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ThisWorkbook" defaultThemeVersion="166925"/>
  <mc:AlternateContent xmlns:mc="http://schemas.openxmlformats.org/markup-compatibility/2006">
    <mc:Choice Requires="x15">
      <x15ac:absPath xmlns:x15ac="http://schemas.microsoft.com/office/spreadsheetml/2010/11/ac" url="https://stateauditormn.sharepoint.com/sites/TIFDivision-FormRedesign/Shared Documents/"/>
    </mc:Choice>
  </mc:AlternateContent>
  <xr:revisionPtr revIDLastSave="989" documentId="8_{DC6A9801-7002-4EC4-9451-E878070468D7}" xr6:coauthVersionLast="47" xr6:coauthVersionMax="47" xr10:uidLastSave="{9CE09491-E595-48E2-9483-5C35E2B1664D}"/>
  <workbookProtection workbookAlgorithmName="SHA-512" workbookHashValue="OvUVX9EGO75i9uSiDsKjhcPFoQlyzO9LoJ7VeRQTFtBru+Ze2PBZuPyZAar4U/yHH/FrZ0gTh1uIH6m72YN8hA==" workbookSaltValue="i87TKGGMmh6d/9XDwoolNw==" workbookSpinCount="100000" lockStructure="1"/>
  <bookViews>
    <workbookView xWindow="-28920" yWindow="-120" windowWidth="29040" windowHeight="15840" tabRatio="890" firstSheet="11" activeTab="11" xr2:uid="{7A480A5D-A399-4D59-8E2C-316223A4A2BC}"/>
  </bookViews>
  <sheets>
    <sheet name="Bond Input" sheetId="82" state="hidden" r:id="rId1"/>
    <sheet name="Bond Output" sheetId="83" state="hidden" r:id="rId2"/>
    <sheet name="PAYG Input" sheetId="98" state="hidden" r:id="rId3"/>
    <sheet name="PAYG Output" sheetId="117" state="hidden" r:id="rId4"/>
    <sheet name="IFL Input" sheetId="134" state="hidden" r:id="rId5"/>
    <sheet name="IFL Ouput" sheetId="133" state="hidden" r:id="rId6"/>
    <sheet name="Loan Input" sheetId="118" state="hidden" r:id="rId7"/>
    <sheet name="Lent Input" sheetId="135" state="hidden" r:id="rId8"/>
    <sheet name="Variables" sheetId="1" state="hidden" r:id="rId9"/>
    <sheet name="Lists" sheetId="2" state="hidden" r:id="rId10"/>
    <sheet name="Validation" sheetId="3" state="hidden" r:id="rId11"/>
    <sheet name="Instructions" sheetId="32" r:id="rId12"/>
    <sheet name="Dist Info" sheetId="4" r:id="rId13"/>
    <sheet name="Spec Leg" sheetId="5" r:id="rId14"/>
    <sheet name="Bonds" sheetId="18" r:id="rId15"/>
    <sheet name="PAYGs" sheetId="19" r:id="rId16"/>
    <sheet name="Loans" sheetId="20" r:id="rId17"/>
    <sheet name="Debt Summary" sheetId="11" r:id="rId18"/>
    <sheet name="Lent Funds" sheetId="10" r:id="rId19"/>
    <sheet name="Revenues" sheetId="197" r:id="rId20"/>
    <sheet name="Expenditures" sheetId="12" r:id="rId21"/>
    <sheet name="Expenditure Summary" sheetId="195" r:id="rId22"/>
    <sheet name="Transfers" sheetId="75" r:id="rId23"/>
    <sheet name="Returned" sheetId="151" r:id="rId24"/>
    <sheet name="Rev Exp Bal" sheetId="76" r:id="rId25"/>
    <sheet name="Bal Sheet" sheetId="77" r:id="rId26"/>
    <sheet name="EIC" sheetId="80" r:id="rId27"/>
    <sheet name="ADS" sheetId="79" r:id="rId28"/>
    <sheet name="HSS" sheetId="196" r:id="rId29"/>
    <sheet name="Parcels" sheetId="26" r:id="rId30"/>
    <sheet name="Six-Yr Rule" sheetId="78" r:id="rId31"/>
    <sheet name="Review and Submit" sheetId="150" r:id="rId32"/>
    <sheet name="Bond 1" sheetId="7" r:id="rId33"/>
    <sheet name="Bond 2" sheetId="153" r:id="rId34"/>
    <sheet name="Bond 3" sheetId="166" r:id="rId35"/>
    <sheet name="Bond 4" sheetId="165" r:id="rId36"/>
    <sheet name="Bond 5" sheetId="164" r:id="rId37"/>
    <sheet name="Bond 6" sheetId="163" r:id="rId38"/>
    <sheet name="Bond 7" sheetId="162" r:id="rId39"/>
    <sheet name="Bond 8" sheetId="161" r:id="rId40"/>
    <sheet name="Bond 9" sheetId="160" r:id="rId41"/>
    <sheet name="Bond 10" sheetId="159" r:id="rId42"/>
    <sheet name="Bond 11" sheetId="158" r:id="rId43"/>
    <sheet name="Bond 12" sheetId="157" r:id="rId44"/>
    <sheet name="Bond 13" sheetId="156" r:id="rId45"/>
    <sheet name="Bond 14" sheetId="155" r:id="rId46"/>
    <sheet name="Bond 15" sheetId="154" r:id="rId47"/>
    <sheet name="PAYG 1" sheetId="102" r:id="rId48"/>
    <sheet name="PAYG 2" sheetId="167" r:id="rId49"/>
    <sheet name="PAYG 3" sheetId="168" r:id="rId50"/>
    <sheet name="PAYG 4" sheetId="169" r:id="rId51"/>
    <sheet name="PAYG 5" sheetId="170" r:id="rId52"/>
    <sheet name="PAYG 6" sheetId="171" r:id="rId53"/>
    <sheet name="PAYG 7" sheetId="172" r:id="rId54"/>
    <sheet name="PAYG 8" sheetId="173" r:id="rId55"/>
    <sheet name="PAYG 9" sheetId="174" r:id="rId56"/>
    <sheet name="PAYG 10" sheetId="175" r:id="rId57"/>
    <sheet name="PAYG 11" sheetId="176" r:id="rId58"/>
    <sheet name="PAYG 12" sheetId="177" r:id="rId59"/>
    <sheet name="PAYG 13" sheetId="178" r:id="rId60"/>
    <sheet name="PAYG 14" sheetId="179" r:id="rId61"/>
    <sheet name="PAYG 15" sheetId="180" r:id="rId62"/>
    <sheet name="Loan 1" sheetId="16" r:id="rId63"/>
    <sheet name="Loan 2" sheetId="181" r:id="rId64"/>
    <sheet name="Loan 3" sheetId="182" r:id="rId65"/>
    <sheet name="Loan 4" sheetId="183" r:id="rId66"/>
    <sheet name="Loan 5" sheetId="184" r:id="rId67"/>
    <sheet name="Loan 6" sheetId="185" r:id="rId68"/>
    <sheet name="Loan 7" sheetId="186" r:id="rId69"/>
    <sheet name="Loan 8" sheetId="187" r:id="rId70"/>
    <sheet name="Loan 9" sheetId="188" r:id="rId71"/>
    <sheet name="Loan 10" sheetId="189" r:id="rId72"/>
    <sheet name="Loan 11" sheetId="190" r:id="rId73"/>
    <sheet name="Loan 12" sheetId="191" r:id="rId74"/>
    <sheet name="Loan 13" sheetId="192" r:id="rId75"/>
    <sheet name="Loan 14" sheetId="193" r:id="rId76"/>
    <sheet name="Loan 15" sheetId="194" r:id="rId77"/>
    <sheet name="DFLoan1" sheetId="9" r:id="rId78"/>
    <sheet name="DFLoan2" sheetId="136" r:id="rId79"/>
    <sheet name="DFLoan3" sheetId="137" r:id="rId80"/>
    <sheet name="DFLoan4" sheetId="138" r:id="rId81"/>
    <sheet name="DFLoan5" sheetId="139" r:id="rId82"/>
    <sheet name="DFLoan6" sheetId="140" r:id="rId83"/>
    <sheet name="DFLoan7" sheetId="141" r:id="rId84"/>
    <sheet name="DFLoan8" sheetId="142" r:id="rId85"/>
    <sheet name="DFLoan9" sheetId="143" r:id="rId86"/>
    <sheet name="DFLoan10" sheetId="144" r:id="rId87"/>
    <sheet name="DFLoan11" sheetId="145" r:id="rId88"/>
    <sheet name="DFLoan12" sheetId="146" r:id="rId89"/>
    <sheet name="DFLoan13" sheetId="147" r:id="rId90"/>
    <sheet name="DFLoan14" sheetId="148" r:id="rId91"/>
    <sheet name="DFLoan15" sheetId="149" r:id="rId92"/>
  </sheets>
  <definedNames>
    <definedName name="_xlnm._FilterDatabase" localSheetId="10" hidden="1">Validation!$A$1:$A$8553</definedName>
    <definedName name="AlertCheck_ADS">Variables!$A$53</definedName>
    <definedName name="AlertCheck_BalSheet">Variables!$A$51</definedName>
    <definedName name="AlertCheck_Bonds">Variables!$A$42</definedName>
    <definedName name="AlertCheck_DistInfo">Variables!$A$40</definedName>
    <definedName name="AlertCheck_EIC">Variables!$A$52</definedName>
    <definedName name="AlertCheck_Expenditures">Variables!$A$47</definedName>
    <definedName name="AlertCheck_HSS">Variables!$A$54</definedName>
    <definedName name="AlertCheck_LentFunds">Variables!$A$45</definedName>
    <definedName name="AlertCheck_Loans">Variables!$A$44</definedName>
    <definedName name="AlertCheck_Parcels">Variables!$A$55</definedName>
    <definedName name="AlertCheck_PAYGs">Variables!$A$43</definedName>
    <definedName name="AlertCheck_Returned">Variables!$A$49</definedName>
    <definedName name="AlertCheck_Revenues">Variables!$A$46</definedName>
    <definedName name="AlertCheck_RevExpBal">Variables!$A$50</definedName>
    <definedName name="AlertCheck_SixYrRule">Variables!$A$56</definedName>
    <definedName name="AlertCheck_SpecLeg">Variables!$A$41</definedName>
    <definedName name="AlertCheck_Transfers">Variables!$A$48</definedName>
    <definedName name="BondList">Bonds!$B$8:$B$22</definedName>
    <definedName name="BondType">Lists!$W$1:$W$5</definedName>
    <definedName name="ConfirmationId">Variables!$A$11</definedName>
    <definedName name="DistrictDropDown">OFFSET(Lists!$AJ$1,0,0,COUNTIF(Lists!$AJ$1:$AJ$300,"&lt;&gt;"),1)</definedName>
    <definedName name="DistrictsColumn">Lists!$AJ$2:$AJ$300</definedName>
    <definedName name="DistrictsIdColumn">Lists!$AK$2:$AK$300</definedName>
    <definedName name="DistrictType">Lists!$Q$1:$Q$6</definedName>
    <definedName name="DueFromType">Lists!$AH$4:$AH$6</definedName>
    <definedName name="DueToType">Lists!$AH$1:$AH$3</definedName>
    <definedName name="ErrorCheck_ADS">Variables!$A$27</definedName>
    <definedName name="ErrorCheck_BalSheet">Variables!$A$25</definedName>
    <definedName name="ErrorCheck_Bonds">Variables!$A$16</definedName>
    <definedName name="ErrorCheck_DistInfo">Variables!$A$14</definedName>
    <definedName name="ErrorCheck_EIC">Variables!$A$26</definedName>
    <definedName name="ErrorCheck_Expenditures">Variables!$A$21</definedName>
    <definedName name="ErrorCheck_HSS">Variables!$A$28</definedName>
    <definedName name="ErrorCheck_LentFunds">Variables!$A$19</definedName>
    <definedName name="ErrorCheck_Loans">Variables!$A$18</definedName>
    <definedName name="ErrorCheck_Parcels">Variables!$A$29</definedName>
    <definedName name="ErrorCheck_PAYGs">Variables!$A$17</definedName>
    <definedName name="ErrorCheck_Returned">Variables!$A$23</definedName>
    <definedName name="ErrorCheck_Revenues">Variables!$A$20</definedName>
    <definedName name="ErrorCheck_RevExpBal">Variables!$A$24</definedName>
    <definedName name="ErrorCheck_SixYrRule">Variables!$A$30</definedName>
    <definedName name="ErrorCheck_SpecLeg">Variables!$A$15</definedName>
    <definedName name="ErrorCheck_Transfers">Variables!$A$22</definedName>
    <definedName name="FormName">Variables!$A$10</definedName>
    <definedName name="FourYrStatus">Lists!$AC$1:$AC$4</definedName>
    <definedName name="GovEntity_GovEntityID">Variables!$A$3</definedName>
    <definedName name="GovEntity_GovEntityID_Parent">Variables!$A$6</definedName>
    <definedName name="GovEntity_GovEntityName">Variables!$A$4</definedName>
    <definedName name="GovEntity_GovEntityName_Parent">Variables!$A$5</definedName>
    <definedName name="IFL_Input_Column">'IFL Input'!$C$3:$Q$3</definedName>
    <definedName name="IFLType">Lists!$AH$1:$AH$5</definedName>
    <definedName name="InterestRateType">Lists!$AM$1:$AM$3</definedName>
    <definedName name="ParcelStatus">Lists!$T$1:$T$3</definedName>
    <definedName name="PAYG_List">Lists!$AA$1:$AA$15</definedName>
    <definedName name="PAYGList">PAYGs!$B$8:$B$22</definedName>
    <definedName name="SelOneAppNA">Lists!#REF!</definedName>
    <definedName name="SelOneYesNo">Lists!$K$1:$K$3</definedName>
    <definedName name="SelOneYesNoNA">Lists!$K$1:$K$4</definedName>
    <definedName name="SessionLabel">Lists!$N$1:$N$3</definedName>
    <definedName name="Sessions">Lists!$N$1:$O$3</definedName>
    <definedName name="SubmissionDate">Variables!$A$12</definedName>
    <definedName name="TIF_Adjustments2010_CostsPaidOtherPublicFunds">'Expenditure Summary'!$K$17</definedName>
    <definedName name="TIF_Adjustments2010_DebtInterestPaidTI">'Debt Summary'!$B$69</definedName>
    <definedName name="TIF_Adjustments2010_DebtNonRefBondsIssued">'Debt Summary'!$B$66</definedName>
    <definedName name="TIF_Adjustments2010_DebtPrincipalPaidTI">'Debt Summary'!$B$68</definedName>
    <definedName name="TIF_Adjustments2010_DebtRefBondsIssued">'Debt Summary'!$B$67</definedName>
    <definedName name="TIF_Adjustments2010_InterfundInterestPaid">'Debt Summary'!$B$70</definedName>
    <definedName name="TIF_Budget_AdministrativeCost">'Dist Info'!$B$57</definedName>
    <definedName name="TIF_Budget_AffordableHsgCost">'Dist Info'!$B$55</definedName>
    <definedName name="TIF_Budget_BondsIssued">'Dist Info'!$B$62</definedName>
    <definedName name="TIF_Budget_CreditsAmt">'Dist Info'!$B$47</definedName>
    <definedName name="TIF_Budget_Interest">'Dist Info'!$B$59</definedName>
    <definedName name="TIF_Budget_InvestmentEarningsAmt">'Dist Info'!$B$48</definedName>
    <definedName name="TIF_Budget_LandBldgAcquisitionCost">'Dist Info'!$B$52</definedName>
    <definedName name="TIF_Budget_LeaseProceedsAmt">'Dist Info'!$B$50</definedName>
    <definedName name="TIF_Budget_OtherPublicCost">'Dist Info'!$B$56</definedName>
    <definedName name="TIF_Budget_SalesProceedsAmt">'Dist Info'!$B$49</definedName>
    <definedName name="TIF_Budget_SiteImprovementsCost">'Dist Info'!$B$53</definedName>
    <definedName name="TIF_Budget_TaxIncRevAmt">'Dist Info'!$B$46</definedName>
    <definedName name="TIF_Budget_UtilitiesCost">'Dist Info'!$B$54</definedName>
    <definedName name="TIF_CountyNumbers_CountyNumbers">'Dist Info'!$B$9</definedName>
    <definedName name="TIF_Debt_BondDiscount_Input">'Bond Input'!$C$15:$Q$15</definedName>
    <definedName name="TIF_Debt_BondDiscount_Output">'Bond Output'!$C$15:$Q$15</definedName>
    <definedName name="TIF_Debt_BondPremium_Input">'Bond Input'!$C$16:$Q$16</definedName>
    <definedName name="TIF_Debt_BondPremium_Output">'Bond Output'!$C$16:$Q$16</definedName>
    <definedName name="TIF_Debt_DebtId_Input">'Bond Input'!$C$4:$Q$4</definedName>
    <definedName name="TIF_Debt_DebtId_Output">'Bond Output'!$C$4:$Q$4</definedName>
    <definedName name="TIF_Debt_DebtInd_Entry">Bonds!$B$6</definedName>
    <definedName name="TIF_Debt_DebtInd_Input">Bonds!$E$6</definedName>
    <definedName name="TIF_Debt_DebtInd_Output">Bonds!$F$6</definedName>
    <definedName name="TIF_Debt_Description_Input">'Bond Input'!$C$5:$Q$5</definedName>
    <definedName name="TIF_Debt_Description_Output" localSheetId="1">'Bond Output'!$C$5:$Q$5</definedName>
    <definedName name="TIF_Debt_FinalMaturityDate_Input">'Bond Input'!$C$11:$Q$11</definedName>
    <definedName name="TIF_Debt_FinalMaturityDate_Output" localSheetId="1">'Bond Output'!$C$11:$Q$11</definedName>
    <definedName name="TIF_Debt_InterestRateHigh_Input">'Bond Input'!$C$13:$Q$13</definedName>
    <definedName name="TIF_Debt_InterestRateHigh_Output" localSheetId="1">'Bond Output'!$C$13:$Q$13</definedName>
    <definedName name="TIF_Debt_InterestRateLow_Input">'Bond Input'!$C$12:$Q$12</definedName>
    <definedName name="TIF_Debt_InterestRateLow_Output" localSheetId="1">'Bond Output'!$C$12:$Q$12</definedName>
    <definedName name="TIF_Debt_IssueAmt_Input">'Bond Input'!$C$14:$Q$14</definedName>
    <definedName name="TIF_Debt_IssueAmt_Output" localSheetId="1">'Bond Output'!$C$14:$Q$14</definedName>
    <definedName name="TIF_Debt_IssueDate_Input">'Bond Input'!$C$10:$Q$10</definedName>
    <definedName name="TIF_Debt_IssueDate_Output" localSheetId="1">'Bond Output'!$C$10:$Q$10</definedName>
    <definedName name="TIF_Debt_MeetsFiveYrRuleInd_Input">'Bond Input'!$C$18:$Q$18</definedName>
    <definedName name="TIF_Debt_MeetsFiveYrRuleInd_Output">'Bond Output'!$C$18:$Q$18</definedName>
    <definedName name="TIF_Debt_PooledInd_Input">'Bond Input'!$C$9:$Q$9</definedName>
    <definedName name="TIF_Debt_PooledInd_Output" localSheetId="1">'Bond Output'!$C$9:$Q$9</definedName>
    <definedName name="TIF_Debt_RefundedInd_Input">'Bond Input'!$C$7:$Q$7</definedName>
    <definedName name="TIF_Debt_RefundedInd_Output" localSheetId="1">'Bond Output'!$C$7:$Q$7</definedName>
    <definedName name="TIF_Debt_RefundingInd_Input">'Bond Input'!$C$8:$Q$8</definedName>
    <definedName name="TIF_Debt_RefundingInd_Output" localSheetId="1">'Bond Output'!$C$8:$Q$8</definedName>
    <definedName name="TIF_DebtAnnual_AffordableHsgCost_Input">'Bond Input'!$C$26:$Q$26</definedName>
    <definedName name="TIF_DebtAnnual_AffordableHsgCost_Output">'Bond Output'!$C$26:$Q$26</definedName>
    <definedName name="TIF_DebtAnnual_AffordableHsgCostPriorAdj_Input">'Bond Input'!$C$25:$Q$25</definedName>
    <definedName name="TIF_DebtAnnual_AffordableHsgCostPriorAdj_Output">'Bond Output'!$C$25:$Q$25</definedName>
    <definedName name="TIF_DebtAnnual_AuthorityAdminCost_Input">'Bond Input'!$C$32:$Q$32</definedName>
    <definedName name="TIF_DebtAnnual_AuthorityAdminCost_Output">'Bond Output'!$C$32:$Q$32</definedName>
    <definedName name="TIF_DebtAnnual_AuthorityAdminCostPriorAdj_Input">'Bond Input'!$C$31:$Q$31</definedName>
    <definedName name="TIF_DebtAnnual_AuthorityAdminCostPriorAdj_Output">'Bond Output'!$C$31:$Q$31</definedName>
    <definedName name="TIF_DebtAnnual_ElectedHsgCost_Input">'Bond Input'!$C$28:$Q$28</definedName>
    <definedName name="TIF_DebtAnnual_ElectedHsgCost_Output">'Bond Output'!$C$28:$Q$28</definedName>
    <definedName name="TIF_DebtAnnual_ElectedHsgCostPriorAdj_Input">'Bond Input'!$C$27:$Q$27</definedName>
    <definedName name="TIF_DebtAnnual_ElectedHsgCostPriorAdj_Output">'Bond Output'!$C$27:$Q$27</definedName>
    <definedName name="TIF_DebtAnnual_InDistrictCost_Input">'Bond Input'!$C$42:$Q$42</definedName>
    <definedName name="TIF_DebtAnnual_InDistrictCost_Output">'Bond Output'!$C$42:$Q$42</definedName>
    <definedName name="TIF_DebtAnnual_InDistrictCostPriorAdj_Input">'Bond Input'!$C$41:$Q$41</definedName>
    <definedName name="TIF_DebtAnnual_InDistrictCostPriorAdj_Output">'Bond Output'!$C$41:$Q$41</definedName>
    <definedName name="TIF_DebtAnnual_InterestDue_Input">'Bond Input'!$C$60:$Q$60</definedName>
    <definedName name="TIF_DebtAnnual_InterestDue_Output" localSheetId="1">'Bond Output'!$C$60:$Q$60</definedName>
    <definedName name="TIF_DebtAnnual_InterestPaidOther_Input">'Bond Input'!$C$58:$Q$58</definedName>
    <definedName name="TIF_DebtAnnual_InterestPaidOther_Output" localSheetId="1">'Bond Output'!$C$58:$Q$58</definedName>
    <definedName name="TIF_DebtAnnual_InterestPaidOtherPriorAdj_Input">'Bond Input'!$C$57:$Q$57</definedName>
    <definedName name="TIF_DebtAnnual_InterestPaidOtherPriorAdj_Output" localSheetId="1">'Bond Output'!$C$57:$Q$57</definedName>
    <definedName name="TIF_DebtAnnual_InterestPaidTI_Input">'Bond Input'!$C$56:$Q$56</definedName>
    <definedName name="TIF_DebtAnnual_InterestPaidTI_Output" localSheetId="1">'Bond Output'!$C$56:$Q$56</definedName>
    <definedName name="TIF_DebtAnnual_InterestPaidTiPriorAdj_Input">'Bond Input'!$C$55:$Q$55</definedName>
    <definedName name="TIF_DebtAnnual_InterestPaidTiPriorAdj_Output" localSheetId="1">'Bond Output'!$C$55:$Q$55</definedName>
    <definedName name="TIF_DebtAnnual_JobsBillCost_Input">'Bond Input'!$C$34:$Q$34</definedName>
    <definedName name="TIF_DebtAnnual_JobsBillCost_Output">'Bond Output'!$C$34:$Q$34</definedName>
    <definedName name="TIF_DebtAnnual_JobsBillCostPriorAdj_Input">'Bond Input'!$C$33:$Q$33</definedName>
    <definedName name="TIF_DebtAnnual_JobsBillCostPriorAdj_Output">'Bond Output'!$C$33:$Q$33</definedName>
    <definedName name="TIF_DebtAnnual_LandBldgAcquisitionCost_Input">'Bond Input'!$C$20:$Q$20</definedName>
    <definedName name="TIF_DebtAnnual_LandBldgAcquisitionCost_Output">'Bond Output'!$C$20:$Q$20</definedName>
    <definedName name="TIF_DebtAnnual_LandBldgAcquisitionCostPriorAdj_Input">'Bond Input'!$C$19:$Q$19</definedName>
    <definedName name="TIF_DebtAnnual_LandBldgAcquisitionCostPriorAdj_Output">'Bond Output'!$C$19:$Q$19</definedName>
    <definedName name="TIF_DebtAnnual_OtherPublicCost_Input">'Bond Input'!$C$30:$Q$30</definedName>
    <definedName name="TIF_DebtAnnual_OtherPublicCost_Output">'Bond Output'!$C$30:$Q$30</definedName>
    <definedName name="TIF_DebtAnnual_OtherPublicCostPriorAdj_Input">'Bond Input'!$C$29:$Q$29</definedName>
    <definedName name="TIF_DebtAnnual_OtherPublicCostPriorAdj_Output">'Bond Output'!$C$29:$Q$29</definedName>
    <definedName name="TIF_DebtAnnual_OutDistrictCost_Input">'Bond Input'!$C$44:$Q$44</definedName>
    <definedName name="TIF_DebtAnnual_OutDistrictCost_Output">'Bond Output'!$C$44:$Q$44</definedName>
    <definedName name="TIF_DebtAnnual_OutDistrictCostPriorAdj_Input">'Bond Input'!$C$43:$Q$43</definedName>
    <definedName name="TIF_DebtAnnual_OutDistrictCostPriorAdj_Output">'Bond Output'!$C$43:$Q$43</definedName>
    <definedName name="TIF_DebtAnnual_PrincipalAdditions_Input">'Bond Input'!$C$50:$Q$50</definedName>
    <definedName name="TIF_DebtAnnual_PrincipalAdditions_Output" localSheetId="1">'Bond Output'!$C$50:$Q$50</definedName>
    <definedName name="TIF_DebtAnnual_PrincipalAdditionsPriorAdj_Input">'Bond Input'!$C$49:$Q$49</definedName>
    <definedName name="TIF_DebtAnnual_PrincipalAdditionsPriorAdj_Output" localSheetId="1">'Bond Output'!$C$49:$Q$49</definedName>
    <definedName name="TIF_DebtAnnual_PrincipalDueTI_Input">'Bond Input'!$C$59:$Q$59</definedName>
    <definedName name="TIF_DebtAnnual_PrincipalDueTI_Output" localSheetId="1">'Bond Output'!$C$59:$Q$59</definedName>
    <definedName name="TIF_DebtAnnual_PrincipalOutstanding_Input">'Bond Input'!$C$52:$Q$52</definedName>
    <definedName name="TIF_DebtAnnual_PrincipalOutstanding_Output" localSheetId="1">'Bond Output'!$C$52:$Q$52</definedName>
    <definedName name="TIF_DebtAnnual_PrincipalOutstandingPriorAdj_Input">'Bond Input'!$C$51:$Q$51</definedName>
    <definedName name="TIF_DebtAnnual_PrincipalOutstandingPriorAdj_Output">'Bond Output'!$C$51:$Q$51</definedName>
    <definedName name="TIF_DebtAnnual_PrincipalPaidOther_Input">'Bond Input'!$C$48:$Q$48</definedName>
    <definedName name="TIF_DebtAnnual_PrincipalPaidOther_Output" localSheetId="1">'Bond Output'!$C$48:$Q$48</definedName>
    <definedName name="TIF_DebtAnnual_PrincipalPaidOtherPriorAdj_Input">'Bond Input'!$C$47:$Q$47</definedName>
    <definedName name="TIF_DebtAnnual_PrincipalPaidOtherPriorAdj_Output" localSheetId="1">'Bond Output'!$C$47:$Q$47</definedName>
    <definedName name="TIF_DebtAnnual_PrincipalPaidTI_Input">'Bond Input'!$C$46:$Q$46</definedName>
    <definedName name="TIF_DebtAnnual_PrincipalPaidTI_Output" localSheetId="1">'Bond Output'!$C$46:$Q$46</definedName>
    <definedName name="TIF_DebtAnnual_PrincipalPaidTiPriorAdj_Input">'Bond Input'!$C$45:$Q$45</definedName>
    <definedName name="TIF_DebtAnnual_PrincipalPaidTiPriorAdj_Output" localSheetId="1">'Bond Output'!$C$45:$Q$45</definedName>
    <definedName name="TIF_DebtAnnual_RefundedAmt_Input">'Bond Input'!$C$17:$Q$17</definedName>
    <definedName name="TIF_DebtAnnual_RefundedAmt_Output" localSheetId="1">'Bond Output'!$C$17:$Q$17</definedName>
    <definedName name="TIF_DebtAnnual_RemainingProceeds_Input">'Bond Input'!$C$40:$Q$40</definedName>
    <definedName name="TIF_DebtAnnual_RemainingProceeds_Output">'Bond Output'!$C$40:$Q$40</definedName>
    <definedName name="TIF_DebtAnnual_RemainingProceedsPriorAdj_Input">'Bond Input'!$C$39:$Q$39</definedName>
    <definedName name="TIF_DebtAnnual_RemainingProceedsPriorAdj_Output">'Bond Output'!$C$39:$Q$39</definedName>
    <definedName name="TIF_DebtAnnual_SiteImprovementsCost_Input">'Bond Input'!$C$22:$Q$22</definedName>
    <definedName name="TIF_DebtAnnual_SiteImprovementsCost_Output">'Bond Output'!$C$22:$Q$22</definedName>
    <definedName name="TIF_DebtAnnual_SiteImprovementsCostPriorAdj_Input">'Bond Input'!$C$21:$Q$21</definedName>
    <definedName name="TIF_DebtAnnual_SiteImprovementsCostPriorAdj_Output">'Bond Output'!$C$21:$Q$21</definedName>
    <definedName name="TIF_DebtAnnual_TempTransferAuthority_Input">'Bond Input'!$C$36:$Q$36</definedName>
    <definedName name="TIF_DebtAnnual_TempTransferAuthority_Output">'Bond Output'!$C$36:$Q$36</definedName>
    <definedName name="TIF_DebtAnnual_TempTransferAuthorityPriorAdj_Input">'Bond Input'!$C$35:$Q$35</definedName>
    <definedName name="TIF_DebtAnnual_TempTransferAuthorityPriorAdj_Output">'Bond Output'!$C$35:$Q$35</definedName>
    <definedName name="TIF_DebtAnnual_TotalUses_Input">'Bond Input'!$C$38:$Q$38</definedName>
    <definedName name="TIF_DebtAnnual_TotalUses_Output">'Bond Output'!$C$38:$Q$38</definedName>
    <definedName name="TIF_DebtAnnual_TotalUsesPriorAdj_Input">'Bond Input'!$C$37:$Q$37</definedName>
    <definedName name="TIF_DebtAnnual_TotalUsesPriorAdj_Output">'Bond Output'!$C$37:$Q$37</definedName>
    <definedName name="TIF_DebtAnnual_UnpaidInterest_Input">'Bond Input'!$C$54:$Q$54</definedName>
    <definedName name="TIF_DebtAnnual_UnpaidInterest_Output" localSheetId="1">'Bond Output'!$C$54:$Q$54</definedName>
    <definedName name="TIF_DebtAnnual_UnpaidInterestPriorAdj_Input">'Bond Input'!$C$53:$Q$53</definedName>
    <definedName name="TIF_DebtAnnual_UnpaidInterestPriorAdj_Output">'Bond Output'!$C$53:$Q$53</definedName>
    <definedName name="TIF_DebtAnnual_UserCommentsBond_Output">'Bond Output'!$C$61:$Q$61</definedName>
    <definedName name="TIF_DebtAnnual_UserCommentsBonds">Bonds!$A$24</definedName>
    <definedName name="TIF_DebtAnnual_UtilitiesCost_Input">'Bond Input'!$C$24:$Q$24</definedName>
    <definedName name="TIF_DebtAnnual_UtilitiesCost_Output">'Bond Output'!$C$24:$Q$24</definedName>
    <definedName name="TIF_DebtAnnual_UtilitiesCostPriorAdj_Input">'Bond Input'!$C$23:$Q$23</definedName>
    <definedName name="TIF_DebtAnnual_UtilitiesCostPriorAdj_Output">'Bond Output'!$C$23:$Q$23</definedName>
    <definedName name="TIF_DebtType_TypeName_Input">'Bond Input'!$C$6:$Q$6</definedName>
    <definedName name="TIF_DebtType_TypeName_Output" localSheetId="1">'Bond Output'!$C$6:$Q$6</definedName>
    <definedName name="TIF_District_ActualDecertificationDate">'Dist Info'!$B$37</definedName>
    <definedName name="TIF_District_ActualDecertificationDateInd_Entry">'Dist Info'!$B$25</definedName>
    <definedName name="TIF_District_ActualDecertificationDateInd_Input">'Dist Info'!$E$25</definedName>
    <definedName name="TIF_District_ActualDecertificationDateInd_Output">'Dist Info'!$F$25</definedName>
    <definedName name="TIF_District_County">'Dist Info'!$B$14</definedName>
    <definedName name="TIF_District_DelayFirstReceiptElection">'Dist Info'!$B$23</definedName>
    <definedName name="TIF_District_FirstReceiptYear">'Dist Info'!$B$35</definedName>
    <definedName name="TIF_District_FourYearRuleDate">'Dist Info'!$B$30</definedName>
    <definedName name="TIF_District_FYRDate">'Dist Info'!$B$32</definedName>
    <definedName name="TIF_District_HSSind">'Dist Info'!#REF!</definedName>
    <definedName name="TIF_District_Municipality">'Dist Info'!$B$13</definedName>
    <definedName name="TIF_District_OriginalCertificationDate">'Dist Info'!$B$29</definedName>
    <definedName name="TIF_District_OriginalCertificationRequestDate">'Dist Info'!$B$28</definedName>
    <definedName name="TIF_District_PoolingElectionForHousingInd">'Dist Info'!$B$24</definedName>
    <definedName name="TIF_District_RequiredDecertificationDate">'Dist Info'!$B$36</definedName>
    <definedName name="TIF_District_SmallCityExceptionInd">Variables!$A$32</definedName>
    <definedName name="TIF_District_WorkforceHousingInd">Variables!$A$33</definedName>
    <definedName name="TIF_DistrictAnnnual_HssRecoveredCostReturnInd_Entry">HSS!$B$31</definedName>
    <definedName name="TIF_DistrictAnnnual_HssRecoveredCostReturnInd_Input">HSS!$F$31</definedName>
    <definedName name="TIF_DistrictAnnnual_HssRecoveredCostReturnInd_Output">HSS!$G$31</definedName>
    <definedName name="TIF_DistrictAnnual_HssAdminCost">HSS!$C$22</definedName>
    <definedName name="TIF_DistrictAnnual_HssAdminCostPriorAdj_Entry">HSS!$B$22</definedName>
    <definedName name="TIF_DistrictAnnual_HssAdminCostPriorAdj_Input">HSS!$F$22</definedName>
    <definedName name="TIF_DistrictAnnual_HssAdminCostPriorAdj_Output">HSS!$G$22</definedName>
    <definedName name="TIF_DistrictAnnual_HssAttyGenReimbursement_Entry">HSS!$B$29</definedName>
    <definedName name="TIF_DistrictAnnual_HssAttyGenReimbursement_Input">HSS!$F$29</definedName>
    <definedName name="TIF_DistrictAnnual_HssAttyGenReimbursement_Output">HSS!$G$29</definedName>
    <definedName name="TIF_DistrictAnnual_HssFinancingCost">HSS!$C$23</definedName>
    <definedName name="TIF_DistrictAnnual_HssFinancingCostPriorAdj_Entry">HSS!$B$23</definedName>
    <definedName name="TIF_DistrictAnnual_HssFinancingCostPriorAdj_Input">HSS!$F$23</definedName>
    <definedName name="TIF_DistrictAnnual_HssFinancingCostPriorAdj_Output">HSS!$G$23</definedName>
    <definedName name="TIF_DistrictAnnual_HssIncrement">HSS!$C$17</definedName>
    <definedName name="TIF_DistrictAnnual_HssIncrementPriorAdj_Entry">HSS!$B$17</definedName>
    <definedName name="TIF_DistrictAnnual_HssIncrementPriorAdj_Input">HSS!$F$17</definedName>
    <definedName name="TIF_DistrictAnnual_HssIncrementPriorAdj_Output">HSS!$G$17</definedName>
    <definedName name="TIF_DistrictAnnual_HssInsurGuarantyCost">HSS!$C$21</definedName>
    <definedName name="TIF_DistrictAnnual_HssInsurGuarantyCostPriorAdj_Entry">HSS!$B$21</definedName>
    <definedName name="TIF_DistrictAnnual_HssInsurGuarantyCostPriorAdj_Input">HSS!$F$21</definedName>
    <definedName name="TIF_DistrictAnnual_HssInsurGuarantyCostPriorAdj_Output">HSS!$G$21</definedName>
    <definedName name="TIF_DistrictAnnual_HssNetRecoveredCost_Entry">HSS!$B$30</definedName>
    <definedName name="TIF_DistrictAnnual_HssNetRecoveredCost_Input">HSS!$F$30</definedName>
    <definedName name="TIF_DistrictAnnual_HssNetRecoveredCost_Output">HSS!$G$30</definedName>
    <definedName name="TIF_DistrictAnnual_HssPCAReimbursement_Entry">HSS!$B$28</definedName>
    <definedName name="TIF_DistrictAnnual_HssPCAReimbursement_Input">HSS!$F$28</definedName>
    <definedName name="TIF_DistrictAnnual_HssPCAReimbursement_Output">HSS!$G$28</definedName>
    <definedName name="TIF_DistrictAnnual_HssRecoveredCosts_Entry">HSS!$B$27</definedName>
    <definedName name="TIF_DistrictAnnual_HssRecoveredCosts_Input">HSS!$F$27</definedName>
    <definedName name="TIF_DistrictAnnual_HssRecoveredCosts_Output">HSS!$G$27</definedName>
    <definedName name="TIF_DistrictAnnual_HssRecoveredCostsInd_Entry">HSS!$B$26</definedName>
    <definedName name="TIF_DistrictAnnual_HssRecoveredCostsInd_Input">HSS!$F$26</definedName>
    <definedName name="TIF_DistrictAnnual_HssRecoveredCostsInd_Output">HSS!$G$26</definedName>
    <definedName name="TIF_DistrictAnnual_HssRemedialCost">HSS!$C$19</definedName>
    <definedName name="TIF_DistrictAnnual_HssRemedialCostPriorAdj_Entry">HSS!$B$19</definedName>
    <definedName name="TIF_DistrictAnnual_HssRemedialCostPriorAdj_Input">HSS!$F$19</definedName>
    <definedName name="TIF_DistrictAnnual_HssRemedialCostPriorAdj_Output">HSS!$G$19</definedName>
    <definedName name="TIF_DistrictAnnual_HssTestDemoSoilCost">HSS!$C$20</definedName>
    <definedName name="TIF_DistrictAnnual_HssTestDemoSoilCostPriorAdj_Entry">HSS!$B$20</definedName>
    <definedName name="TIF_DistrictAnnual_HssTestDemoSoilCostPriorAdj_Input">HSS!$F$20</definedName>
    <definedName name="TIF_DistrictAnnual_HssTestDemoSoilCostPriorAdj_Output">HSS!$G$20</definedName>
    <definedName name="TIF_DistrictType_DistrictTypeId">Variables!#REF!</definedName>
    <definedName name="TIF_DistrictType_DistrictTypeName">'Dist Info'!$B$16</definedName>
    <definedName name="TIF_DistrictYear_ADSInfoStatement">ADS!$A$21</definedName>
    <definedName name="TIF_DistrictYear_AffordableHsgCost">Expenditures!$C$10</definedName>
    <definedName name="TIF_DistrictYear_AffordableHsgCostPriorAdj_Entry">Expenditures!$B$10</definedName>
    <definedName name="TIF_DistrictYear_AffordableHsgCostPriorAdj_Input">Expenditures!$G$10</definedName>
    <definedName name="TIF_DistrictYear_AffordableHsgCostPriorAdj_Output">Expenditures!$H$10</definedName>
    <definedName name="TIF_DistrictYear_AgreementRepaymentAmt">Revenues!$C$14</definedName>
    <definedName name="TIF_DistrictYear_AgreementRepaymentPriorAdj_Entry">Revenues!$B$14</definedName>
    <definedName name="TIF_DistrictYear_AgreementRepaymentPriorAdj_Input">Revenues!$G$14</definedName>
    <definedName name="TIF_DistrictYear_AgreementRepaymentPriorAdj_Output">Revenues!$H$14</definedName>
    <definedName name="TIF_DistrictYear_AssetsCashAmt">'Bal Sheet'!$C$7</definedName>
    <definedName name="TIF_DistrictYear_AssetsCashPriorAdj_Entry">'Bal Sheet'!$B$7</definedName>
    <definedName name="TIF_DistrictYear_AssetsCashPriorAdj_Input">'Bal Sheet'!$F$7</definedName>
    <definedName name="TIF_DistrictYear_AssetsCashPriorAdj_Output">'Bal Sheet'!$G$7</definedName>
    <definedName name="TIF_DistrictYear_AssetsInterestAmt">'Bal Sheet'!$C$11</definedName>
    <definedName name="TIF_DistrictYear_AssetsInterestPriorAdj_Entry">'Bal Sheet'!$B$11</definedName>
    <definedName name="TIF_DistrictYear_AssetsInterestPriorAdj_Input">'Bal Sheet'!$F$11</definedName>
    <definedName name="TIF_DistrictYear_AssetsInterestPriorAdj_Output">'Bal Sheet'!$G$11</definedName>
    <definedName name="TIF_DistrictYear_AssetsInvestmentsAmt">'Bal Sheet'!$C$8</definedName>
    <definedName name="TIF_DistrictYear_AssetsInvestmentsPriorAdj_Entry">'Bal Sheet'!$B$8</definedName>
    <definedName name="TIF_DistrictYear_AssetsInvestmentsPriorAdj_Input">'Bal Sheet'!$F$8</definedName>
    <definedName name="TIF_DistrictYear_AssetsInvestmentsPriorAdj_Output">'Bal Sheet'!$G$8</definedName>
    <definedName name="TIF_DistrictYear_AssetsOtherAmt">'Bal Sheet'!$C$13</definedName>
    <definedName name="TIF_DistrictYear_AssetsOtherPriorAdj_Entry">'Bal Sheet'!$B$13</definedName>
    <definedName name="TIF_DistrictYear_AssetsOtherPriorAdj_Input">'Bal Sheet'!$F$13</definedName>
    <definedName name="TIF_DistrictYear_AssetsOtherPriorAdj_Output">'Bal Sheet'!$G$13</definedName>
    <definedName name="TIF_DistrictYear_AssetsPropertyAmt">'Bal Sheet'!$C$14</definedName>
    <definedName name="TIF_DistrictYear_AssetsPropertyPriorAdj_Entry">'Bal Sheet'!$B$14</definedName>
    <definedName name="TIF_DistrictYear_AssetsPropertyPriorAdj_Input">'Bal Sheet'!$F$14</definedName>
    <definedName name="TIF_DistrictYear_AssetsPropertyPriorAdj_Output">'Bal Sheet'!$G$14</definedName>
    <definedName name="TIF_DistrictYear_AssetsTaxesAmt">'Bal Sheet'!$C$12</definedName>
    <definedName name="TIF_DistrictYear_AssetsTaxesPriorAdj_Entry">'Bal Sheet'!$B$12</definedName>
    <definedName name="TIF_DistrictYear_AssetsTaxesPriorAdj_Input">'Bal Sheet'!$F$12</definedName>
    <definedName name="TIF_DistrictYear_AssetsTaxesPriorAdj_Output">'Bal Sheet'!$G$12</definedName>
    <definedName name="TIF_DistrictYear_AuthorityAdminCost">Expenditures!$C$13</definedName>
    <definedName name="TIF_DistrictYear_AuthorityAdminCostPriorAdj_Entry">Expenditures!$B$13</definedName>
    <definedName name="TIF_DistrictYear_AuthorityAdminCostPriorAdj_Input">Expenditures!$G$13</definedName>
    <definedName name="TIF_DistrictYear_AuthorityAdminCostPriorAdj_Output">Expenditures!$H$13</definedName>
    <definedName name="TIF_DistrictYear_AuthorityAdminOperCost">Expenditures!$C$21</definedName>
    <definedName name="TIF_DistrictYear_AuthorityAdminOperCostLeaseProceedTI">Expenditures!$C$22</definedName>
    <definedName name="TIF_DistrictYear_AuthorityAdminOperCostLeaseProceedTIPriorAdj_Entry">Expenditures!$B$22</definedName>
    <definedName name="TIF_DistrictYear_AuthorityAdminOperCostLeaseProceedTIPriorAdj_Input">Expenditures!$G$22</definedName>
    <definedName name="TIF_DistrictYear_AuthorityAdminOperCostLeaseProceedTIPriorAdj_Output">Expenditures!$H$22</definedName>
    <definedName name="TIF_DistrictYear_AuthorityAdminOperCostPriorAdj_Entry">Expenditures!$B$21</definedName>
    <definedName name="TIF_DistrictYear_AuthorityAdminOperCostPriorAdj_Input">Expenditures!$G$21</definedName>
    <definedName name="TIF_DistrictYear_AuthorityAdminOperCostPriorAdj_Ouput">Expenditures!$H$21</definedName>
    <definedName name="TIF_DistrictYear_CountyAdminCost">Expenditures!$C$14</definedName>
    <definedName name="TIF_DistrictYear_CountyAdminCostPriorAdj_Entry">Expenditures!$B$14</definedName>
    <definedName name="TIF_DistrictYear_CountyAdminCostPriorAdj_Input">Expenditures!$G$14</definedName>
    <definedName name="TIF_DistrictYear_CountyAdminCostPriorAdj_Output">Expenditures!$H$14</definedName>
    <definedName name="TIF_DistrictYear_CountyRoadCost">Expenditures!#REF!</definedName>
    <definedName name="TIF_DistrictYear_CountyRoadCostPriorAdj_Entry">Expenditures!#REF!</definedName>
    <definedName name="TIF_DistrictYear_CountyRoadCostPriorAdj_Input">Expenditures!#REF!</definedName>
    <definedName name="TIF_DistrictYear_CountyRoadCostPriorAdj_Output">Expenditures!#REF!</definedName>
    <definedName name="TIF_DistrictYear_DeferredInflowsAmt">'Bal Sheet'!$C$23</definedName>
    <definedName name="TIF_DistrictYear_DeferredInflowsPriorAdj_Entry">'Bal Sheet'!$B$23</definedName>
    <definedName name="TIF_DistrictYear_DeferredInflowsPriorAdj_Input">'Bal Sheet'!$F$23</definedName>
    <definedName name="TIF_DistrictYear_DeferredInflowsPriorAdj_Output">'Bal Sheet'!$G$23</definedName>
    <definedName name="TIF_DistrictYear_DisclosureNewspaper">ADS!$B$7</definedName>
    <definedName name="TIF_DistrictYear_DisclosurePublicationDate">ADS!$B$8</definedName>
    <definedName name="TIF_DistrictYear_EICAuthorizedNonTIPaymentsAmt">EIC!$B$16</definedName>
    <definedName name="TIF_DistrictYear_EICBondEscrowPaymentAmt">EIC!$B$25</definedName>
    <definedName name="TIF_DistrictYear_EICBondPrepaymentAmt">EIC!$B$23</definedName>
    <definedName name="TIF_DistrictYear_EICBondTiPledgeDischargeAmt">EIC!$B$24</definedName>
    <definedName name="TIF_DistrictYear_EICDeficitTransfersAmt">EIC!$B$18</definedName>
    <definedName name="TIF_DistrictYear_EICPaymentsDueAmt">EIC!$B$17</definedName>
    <definedName name="TIF_DistrictYear_EICReturnAmt">EIC!$B$26</definedName>
    <definedName name="TIF_DistrictYear_ExcessReturned">Returned!$C$7</definedName>
    <definedName name="TIF_DistrictYear_ExcessReturnedPriorAdj">Returned!$B$7</definedName>
    <definedName name="TIF_DistrictYear_FiscalDisparitiesIncrease">'Dist Info'!$B$21</definedName>
    <definedName name="TIF_DistrictYear_FiscalDisparityDeduction">'Dist Info'!$B$42</definedName>
    <definedName name="TIF_DistrictYear_InDistProjCostsDebt">Expenditures!#REF!</definedName>
    <definedName name="TIF_DistrictYear_InDistProjCostsDebtPriorAdj_Entry">Expenditures!#REF!</definedName>
    <definedName name="TIF_DistrictYear_InDistProjCostsDebtPriorAdj_Input">Expenditures!#REF!</definedName>
    <definedName name="TIF_DistrictYear_InDistProjCostsDebtPriorAdj_Output">Expenditures!#REF!</definedName>
    <definedName name="TIF_DistrictYear_InDistProjCostsInc">Expenditures!$C$18</definedName>
    <definedName name="TIF_DistrictYear_InDistProjCostsIncPriorAdj_Entry">Expenditures!$B$18</definedName>
    <definedName name="TIF_DistrictYear_InDistProjCostsIncPriorAdj_Input">Expenditures!$G$18</definedName>
    <definedName name="TIF_DistrictYear_InDistProjCostsIncPriorAdj_Output">Expenditures!$H$18</definedName>
    <definedName name="TIF_DistrictYear_InvestmentEarningsAmt">Revenues!$C$10</definedName>
    <definedName name="TIF_DistrictYear_InvestmentEarningsPriorAdj_Entry">Revenues!$B$10</definedName>
    <definedName name="TIF_DistrictYear_InvestmentEarningsPriorAdj_Input">Revenues!$G$10</definedName>
    <definedName name="TIF_DistrictYear_InvestmentEarningsPriorAdj_Output">Revenues!$H$10</definedName>
    <definedName name="TIF_DistrictYear_JobsBillCost">Expenditures!$C$15</definedName>
    <definedName name="TIF_DistrictYear_JobsBillCostPriorAdj_Entry">Expenditures!$B$15</definedName>
    <definedName name="TIF_DistrictYear_JobsBillCostPriorAdj_Input">Expenditures!$G$15</definedName>
    <definedName name="TIF_DistrictYear_JobsBillCostPriorAdj_Output">Expenditures!$H$15</definedName>
    <definedName name="TIF_DistrictYear_LandBldgAcquisitionCost_Entry">Expenditures!$C$7</definedName>
    <definedName name="TIF_DistrictYear_LandBldgAcquisitionCostPriorAdj_Entry">Expenditures!$B$7</definedName>
    <definedName name="TIF_DistrictYear_LandBldgAcquisitionCostPriorAdj_Input">Expenditures!$G$7</definedName>
    <definedName name="TIF_DistrictYear_LandBldgAcquisitionCostPriorAdj_Output">Expenditures!$H$7</definedName>
    <definedName name="TIF_DistrictYear_LeaseProceedsAmt">Revenues!$C$12</definedName>
    <definedName name="TIF_DistrictYear_LeaseProceedsPriorAdj_Entry">Revenues!$B$12</definedName>
    <definedName name="TIF_DistrictYear_LeaseProceedsPriorAdj_Input">Revenues!$G$12</definedName>
    <definedName name="TIF_DistrictYear_LeaseProceedsPriorAdj_Output">Revenues!$H$12</definedName>
    <definedName name="TIF_DistrictYear_LiabilitiesAccountsPayableAmt">'Bal Sheet'!$C$19</definedName>
    <definedName name="TIF_DistrictYear_LiabilitiesAccountsPayablePriorAdj_Entry">'Bal Sheet'!$B$19</definedName>
    <definedName name="TIF_DistrictYear_LiabilitiesAccountsPayablePriorAdj_Input">'Bal Sheet'!$F$19</definedName>
    <definedName name="TIF_DistrictYear_LiabilitiesAccountsPayablePriorAdj_Output">'Bal Sheet'!$G$19</definedName>
    <definedName name="TIF_DistrictYear_LiabilitiesUnearnedRevenueAmt">'Bal Sheet'!$C$20</definedName>
    <definedName name="TIF_DistrictYear_LiabilitiesUnearnedRevenuePriorAdj_Entry">'Bal Sheet'!$B$20</definedName>
    <definedName name="TIF_DistrictYear_LiabilitiesUnearnedRevenuePriorAdj_Input">'Bal Sheet'!$F$20</definedName>
    <definedName name="TIF_DistrictYear_LiabilitiesUnearnedRevenuePriorAdj_Output">'Bal Sheet'!$G$20</definedName>
    <definedName name="TIF_DistrictYear_LoanAdvanceRepaymentsAmt">Revenues!$C$13</definedName>
    <definedName name="TIF_DistrictYear_LoanAdvanceRepaymentsPriorAdj_Entry">Revenues!$B$13</definedName>
    <definedName name="TIF_DistrictYear_LoanAdvanceRepaymentsPriorAdj_Input">Revenues!$G$13</definedName>
    <definedName name="TIF_DistrictYear_LoanAdvanceRepaymentsPriorAdj_Output">Revenues!$H$13</definedName>
    <definedName name="TIF_DistrictYear_MVHCAmt">Revenues!$C$8</definedName>
    <definedName name="TIF_DistrictYear_MVHCPriorAdj_Entry">Revenues!$B$8</definedName>
    <definedName name="TIF_DistrictYear_MVHCPriorAdj_Input">Revenues!$G$8</definedName>
    <definedName name="TIF_DistrictYear_MVHCPriorAdj_Output">Revenues!$H$8</definedName>
    <definedName name="TIF_DistrictYear_OtherPublicCost">Expenditures!$C$12</definedName>
    <definedName name="TIF_DistrictYear_OtherPublicCostPriorAdj_Entry">Expenditures!$B$12</definedName>
    <definedName name="TIF_DistrictYear_OtherPublicCostPriorAdj_Input">Expenditures!$G$12</definedName>
    <definedName name="TIF_DistrictYear_OtherPublicCostPriorAdj_Output">Expenditures!$H$12</definedName>
    <definedName name="TIF_DistrictYear_OtherSourcesUses">'Rev Exp Bal'!$C$36</definedName>
    <definedName name="TIF_DistrictYear_OtherSourcesUsesPriorAdj_Entry">'Rev Exp Bal'!$B$36</definedName>
    <definedName name="TIF_DistrictYear_OtherSourcesUsesPriorAdj_Input">'Rev Exp Bal'!$G$36</definedName>
    <definedName name="TIF_DistrictYear_OtherSourcesUsesPriorAdj_Output">'Rev Exp Bal'!$H$36</definedName>
    <definedName name="TIF_DistrictYear_OutDistProjCostsDebt">Expenditures!#REF!</definedName>
    <definedName name="TIF_DistrictYear_OutDistProjCostsDebtPriorAdj_Entry">Expenditures!#REF!</definedName>
    <definedName name="TIF_DistrictYear_OutDistProjCostsDebtPriorAdj_Input">Expenditures!#REF!</definedName>
    <definedName name="TIF_DistrictYear_OutDistProjCostsDebtPriorAdj_Output">Expenditures!#REF!</definedName>
    <definedName name="TIF_DistrictYear_OutDistProjCostsInc">Expenditures!$C$19</definedName>
    <definedName name="TIF_DistrictYear_OutDistProjCostsIncPriorAdj_Entry">Expenditures!$B$19</definedName>
    <definedName name="TIF_DistrictYear_OutDistProjCostsIncPriorAdj_Input">Expenditures!$G$19</definedName>
    <definedName name="TIF_DistrictYear_OutDistProjCostsIncPriorAdj_Output">Expenditures!$H$19</definedName>
    <definedName name="TIF_DistrictYear_OutDistrictElectedHousing">Expenditures!$C$11</definedName>
    <definedName name="TIF_DistrictYear_OutDistrictElectedHousingPriorAdj_Entry">Expenditures!$B$11</definedName>
    <definedName name="TIF_DistrictYear_OutDistrictElectedHousingPriorAdj_Input">Expenditures!$G$11</definedName>
    <definedName name="TIF_DistrictYear_OutDistrictElectedHousingPriorAdj_Output">Expenditures!$H$11</definedName>
    <definedName name="TIF_DistrictYear_PropertySalesAmt">Revenues!$C$11</definedName>
    <definedName name="TIF_DistrictYear_PropertySalesPriorAdj_Entry">Revenues!$B$11</definedName>
    <definedName name="TIF_DistrictYear_PropertySalesPriorAdj_Input">Revenues!$G$11</definedName>
    <definedName name="TIF_DistrictYear_PropertySalesPriorAdj_Output">Revenues!$H$11</definedName>
    <definedName name="TIF_DistrictYear_RemedyImproperExpend">Returned!$C$10</definedName>
    <definedName name="TIF_DistrictYear_RemedyImproperExpendPriorAdj">Returned!$B$10</definedName>
    <definedName name="TIF_DistrictYear_RemedyImproperReceipt">Returned!$C$9</definedName>
    <definedName name="TIF_DistrictYear_RemedyImproperReceiptPriorAdj">Returned!$B$9</definedName>
    <definedName name="TIF_DistrictYear_ReturnedToCountyAmt">Returned!$C$11</definedName>
    <definedName name="TIF_DistrictYear_ReturnedToCountyPriorAdj">Returned!$B$11</definedName>
    <definedName name="TIF_DistrictYear_SiteImprovementsCost">Expenditures!$C$8</definedName>
    <definedName name="TIF_DistrictYear_SiteImprovementsCostPriorAdj_Entry">Expenditures!$B$8</definedName>
    <definedName name="TIF_DistrictYear_SiteImprovementsCostPriorAdj_Input">Expenditures!$G$8</definedName>
    <definedName name="TIF_DistrictYear_SiteImprovementsCostPriorAdj_Output">Expenditures!$H$8</definedName>
    <definedName name="TIF_DistrictYear_SurplusReturned">Returned!$C$8</definedName>
    <definedName name="TIF_DistrictYear_SurplusReturnedPriorAdj">Returned!$B$8</definedName>
    <definedName name="TIF_DistrictYear_TaxCapacityCurrent">'Dist Info'!$B$39</definedName>
    <definedName name="TIF_DistrictYear_TaxCapacityOriginal">'Dist Info'!$B$40</definedName>
    <definedName name="TIF_DistrictYear_TaxCapacityShared">'Dist Info'!$B$43</definedName>
    <definedName name="TIF_DistrictYear_TaxIncRevAmt">Revenues!$C$7</definedName>
    <definedName name="TIF_DistrictYear_TaxIncRevPriorAdj_Entry">Revenues!$B$7</definedName>
    <definedName name="TIF_DistrictYear_TaxIncRevPriorAdj_Input">Revenues!$G$7</definedName>
    <definedName name="TIF_DistrictYear_TaxIncRevPriorAdj_Output">Revenues!$H$7</definedName>
    <definedName name="TIF_DistrictYear_TempTransferAuthority">Expenditures!$C$16</definedName>
    <definedName name="TIF_DistrictYear_TempTransferAuthorityPriorAdj_Entry">Expenditures!$B$16</definedName>
    <definedName name="TIF_DistrictYear_TempTransferAuthorityPriorAdj_Input">Expenditures!$G$16</definedName>
    <definedName name="TIF_DistrictYear_TempTransferAuthorityPriorAdj_Output">Expenditures!$H$16</definedName>
    <definedName name="TIF_DistrictYear_UserCommentsADS">ADS!$A$23</definedName>
    <definedName name="TIF_DistrictYear_UserCommentsBalSheet">'Bal Sheet'!$A$28</definedName>
    <definedName name="TIF_DistrictYear_UserCommentsBond1">'Bond 1'!$A$47</definedName>
    <definedName name="TIF_DistrictYear_UserCommentsBond10">'Bond 10'!$A$47</definedName>
    <definedName name="TIF_DistrictYear_UserCommentsBond11">'Bond 11'!$A$47</definedName>
    <definedName name="TIF_DistrictYear_UserCommentsBond12">'Bond 12'!$A$47</definedName>
    <definedName name="TIF_DistrictYear_UserCommentsBond13">'Bond 13'!$A$47</definedName>
    <definedName name="TIF_DistrictYear_UserCommentsBond14">'Bond 14'!$A$47</definedName>
    <definedName name="TIF_DistrictYear_UserCommentsBond15">'Bond 15'!$A$47</definedName>
    <definedName name="TIF_DistrictYear_UserCommentsBond2">'Bond 2'!$A$47</definedName>
    <definedName name="TIF_DistrictYear_UserCommentsBond3">'Bond 3'!$A$47</definedName>
    <definedName name="TIF_DistrictYear_UserCommentsBond4">'Bond 4'!$A$47</definedName>
    <definedName name="TIF_DistrictYear_UserCommentsBond5">'Bond 5'!$A$47</definedName>
    <definedName name="TIF_DistrictYear_UserCommentsBond6">'Bond 6'!$A$47</definedName>
    <definedName name="TIF_DistrictYear_UserCommentsBond7">'Bond 7'!$A$47</definedName>
    <definedName name="TIF_DistrictYear_UserCommentsBond8">'Bond 8'!$A$47</definedName>
    <definedName name="TIF_DistrictYear_UserCommentsBond9">'Bond 9'!$A$47</definedName>
    <definedName name="TIF_DistrictYear_UserCommentsDebtSummary">'Debt Summary'!$A$72</definedName>
    <definedName name="TIF_DistrictYear_UserCommentsDFLoan1">DFLoan1!$A$29</definedName>
    <definedName name="TIF_DistrictYear_UserCommentsDFLoan10">DFLoan10!$A$29</definedName>
    <definedName name="TIF_DistrictYear_UserCommentsDFLoan11">DFLoan11!$A$29</definedName>
    <definedName name="TIF_DistrictYear_UserCommentsDFLoan12">DFLoan12!$A$29</definedName>
    <definedName name="TIF_DistrictYear_UserCommentsDFLoan13">DFLoan13!$A$29</definedName>
    <definedName name="TIF_DistrictYear_UserCommentsDFLoan14">DFLoan14!$A$29</definedName>
    <definedName name="TIF_DistrictYear_UserCommentsDFLoan15">DFLoan15!$A$29</definedName>
    <definedName name="TIF_DistrictYear_UserCommentsDFLoan2">DFLoan2!$A$29</definedName>
    <definedName name="TIF_DistrictYear_UserCommentsDFLoan3">DFLoan3!$A$29</definedName>
    <definedName name="TIF_DistrictYear_UserCommentsDFLoan4">DFLoan4!$A$29</definedName>
    <definedName name="TIF_DistrictYear_UserCommentsDFLoan5">DFLoan5!$A$29</definedName>
    <definedName name="TIF_DistrictYear_UserCommentsDFLoan6">DFLoan6!$A$29</definedName>
    <definedName name="TIF_DistrictYear_UserCommentsDFLoan7">DFLoan7!$A$29</definedName>
    <definedName name="TIF_DistrictYear_UserCommentsDFLoan8">DFLoan8!$A$29</definedName>
    <definedName name="TIF_DistrictYear_UserCommentsDFLoan9">DFLoan9!$A$29</definedName>
    <definedName name="TIF_DistrictYear_UserCommentsDistInfo">'Dist Info'!$A$68</definedName>
    <definedName name="TIF_DistrictYear_UserCommentsEIC">EIC!$A$29</definedName>
    <definedName name="TIF_DistrictYear_UserCommentsExpenditures">Expenditures!$A$24</definedName>
    <definedName name="TIF_DistrictYear_UserCommentsExpenditureSummary">'Expenditure Summary'!$A$38</definedName>
    <definedName name="TIF_DistrictYear_UserCommentsHSS">HSS!$A$33</definedName>
    <definedName name="TIF_DistrictYear_UserCommentsLentFunds">'Lent Funds'!$A$24</definedName>
    <definedName name="TIF_DistrictYear_UserCommentsLoan1">'Loan 1'!$A$46</definedName>
    <definedName name="TIF_DistrictYear_UserCommentsLoan10">'Loan 10'!$A$46</definedName>
    <definedName name="TIF_DistrictYear_UserCommentsLoan11">'Loan 11'!$A$46</definedName>
    <definedName name="TIF_DistrictYear_UserCommentsLoan12">'Loan 12'!$A$46</definedName>
    <definedName name="TIF_DistrictYear_UserCommentsLoan13">'Loan 13'!$A$46</definedName>
    <definedName name="TIF_DistrictYear_UserCommentsLoan14">'Loan 14'!$A$46</definedName>
    <definedName name="TIF_DistrictYear_UserCommentsLoan15">'Loan 15'!$A$46</definedName>
    <definedName name="TIF_DistrictYear_UserCommentsLoan2">'Loan 2'!$A$46</definedName>
    <definedName name="TIF_DistrictYear_UserCommentsLoan3">'Loan 3'!$A$46</definedName>
    <definedName name="TIF_DistrictYear_UserCommentsLoan4">'Loan 4'!$A$46</definedName>
    <definedName name="TIF_DistrictYear_UserCommentsLoan5">'Loan 5'!$A$46</definedName>
    <definedName name="TIF_DistrictYear_UserCommentsLoan6">'Loan 6'!$A$46</definedName>
    <definedName name="TIF_DistrictYear_UserCommentsLoan7">'Loan 7'!$A$46</definedName>
    <definedName name="TIF_DistrictYear_UserCommentsLoan8">'Loan 8'!$A$46</definedName>
    <definedName name="TIF_DistrictYear_UserCommentsLoan9">'Loan 9'!$A$46</definedName>
    <definedName name="TIF_DistrictYear_UserCommentsLoans">Loans!$A$24</definedName>
    <definedName name="TIF_DistrictYear_UserCommentsParcels">Parcels!$A$852</definedName>
    <definedName name="TIF_DistrictYear_UserCommentsPAYG1">'PAYG 1'!$A$34</definedName>
    <definedName name="TIF_DistrictYear_UserCommentsPAYG10">'PAYG 10'!$A$34</definedName>
    <definedName name="TIF_DistrictYear_UserCommentsPAYG11">'PAYG 11'!$A$34</definedName>
    <definedName name="TIF_DistrictYear_UserCommentsPAYG12">'PAYG 12'!$A$34</definedName>
    <definedName name="TIF_DistrictYear_UserCommentsPAYG13">'PAYG 13'!$A$34</definedName>
    <definedName name="TIF_DistrictYear_UserCommentsPAYG14">'PAYG 14'!$A$34</definedName>
    <definedName name="TIF_DistrictYear_UserCommentsPAYG15">'PAYG 15'!$A$34</definedName>
    <definedName name="TIF_DistrictYear_UserCommentsPAYG2">'PAYG 2'!$A$34</definedName>
    <definedName name="TIF_DistrictYear_UserCommentsPAYG3">'PAYG 3'!$A$34</definedName>
    <definedName name="TIF_DistrictYear_UserCommentsPAYG4">'PAYG 4'!$A$34</definedName>
    <definedName name="TIF_DistrictYear_UserCommentsPAYG5">'PAYG 5'!$A$34</definedName>
    <definedName name="TIF_DistrictYear_UserCommentsPAYG6">'PAYG 6'!$A$34</definedName>
    <definedName name="TIF_DistrictYear_UserCommentsPAYG7">'PAYG 7'!$A$34</definedName>
    <definedName name="TIF_DistrictYear_UserCommentsPAYG8">'PAYG 8'!$A$34</definedName>
    <definedName name="TIF_DistrictYear_UserCommentsPAYG9">'PAYG 9'!$A$34</definedName>
    <definedName name="TIF_DistrictYear_UserCommentsPAYGs">PAYGs!$A$24</definedName>
    <definedName name="TIF_DistrictYear_UserCommentsReturned">Returned!$A$13</definedName>
    <definedName name="TIF_DistrictYear_UserCommentsRevenues">Revenues!$A$17</definedName>
    <definedName name="TIF_DistrictYear_UserCommentsRevExpBal">'Rev Exp Bal'!$A$42</definedName>
    <definedName name="TIF_DistrictYear_UserCommentsSixYrRule">'Six-Yr Rule'!$A$44</definedName>
    <definedName name="TIF_DistrictYear_UserCommentsSpecLeg">'Spec Leg'!$A$19</definedName>
    <definedName name="TIF_DistrictYear_UserCommentsTransfers">Transfers!$A$36</definedName>
    <definedName name="TIF_DistrictYear_UtilitiesCost">Expenditures!$C$9</definedName>
    <definedName name="TIF_DistrictYear_UtilitiesCostPriorAdj_Entry">Expenditures!$B$9</definedName>
    <definedName name="TIF_DistrictYear_UtilitiesCostPriorAdj_Input">Expenditures!$G$9</definedName>
    <definedName name="TIF_DistrictYear_UtilitiesCostPriorAdj_Output">Expenditures!$H$9</definedName>
    <definedName name="TIF_ErrorCorrection_Year_Entry">'Dist Info'!$B$64</definedName>
    <definedName name="TIF_ErrorCorrection_Year_Input">'Dist Info'!$E$64</definedName>
    <definedName name="TIF_ErrorCorrection_Year_Output">'Dist Info'!$F$64</definedName>
    <definedName name="TIF_FiscalDisparityOption_OptionId">Variables!$A$34</definedName>
    <definedName name="TIF_HazardousSubstanceSubdistrict_ActualDecertificationDate">HSS!$B$15</definedName>
    <definedName name="TIF_HazardousSubstanceSubdistrict_ActualDecertificationDate_Entry">HSS!$B$14</definedName>
    <definedName name="TIF_HazardousSubstanceSubdistrict_ActualDecertificationDate_Input">HSS!$F$14</definedName>
    <definedName name="TIF_HazardousSubstanceSubdistrict_ActualDecertificationDate_Output">HSS!$G$14</definedName>
    <definedName name="TIF_HazardousSubstanceSubdistrict_ApprovalDate_Entry">HSS!$B$8</definedName>
    <definedName name="TIF_HazardousSubstanceSubdistrict_ApprovalDate_Input">HSS!$F$8</definedName>
    <definedName name="TIF_HazardousSubstanceSubdistrict_ApprovalDate_Output">HSS!$G$8</definedName>
    <definedName name="TIF_HazardousSubstanceSubdistrict_CertificationDate_Entry">HSS!$B$10</definedName>
    <definedName name="TIF_HazardousSubstanceSubdistrict_CertificationDate_Input">HSS!$F$10</definedName>
    <definedName name="TIF_HazardousSubstanceSubdistrict_CertificationDate_Output">HSS!$G$10</definedName>
    <definedName name="TIF_HazardousSubstanceSubdistrict_CertificationRequestDate_Entry">HSS!$B$9</definedName>
    <definedName name="TIF_HazardousSubstanceSubdistrict_CertificationRequestDate_Input">HSS!$F$9</definedName>
    <definedName name="TIF_HazardousSubstanceSubdistrict_CertificationRequestDate_Output">HSS!$G$9</definedName>
    <definedName name="TIF_HazardousSubstanceSubdistrict_EstimatedCosts">HSS!$B$13</definedName>
    <definedName name="TIF_HazardousSubstanceSubdistrict_FirstReceiptYear">HSS!$B$12</definedName>
    <definedName name="TIF_HazardousSubstanceSubdistrict_PCAApprovalDate">HSS!$B$11</definedName>
    <definedName name="TIF_InterfundLoan_FinalMaturityDate_Input">'IFL Input'!$C$9:$Q$9</definedName>
    <definedName name="TIF_InterfundLoan_FinalMaturityDate_Output" localSheetId="5">'IFL Ouput'!$C$9:$Q$9</definedName>
    <definedName name="TIF_InterfundLoan_ImportRow">'IFL Ouput'!$C$64:$Q$64</definedName>
    <definedName name="TIF_InterfundLoan_InterestRateHigh_Input">'IFL Input'!$C$11:$Q$11</definedName>
    <definedName name="TIF_InterfundLoan_InterestRateHigh_Output" localSheetId="5">'IFL Ouput'!$C$11:$Q$11</definedName>
    <definedName name="TIF_InterfundLoan_InterestRateLow_Input">'IFL Input'!$C$10:$Q$10</definedName>
    <definedName name="TIF_InterfundLoan_InterestRateLow_Output" localSheetId="5">'IFL Ouput'!$C$10:$Q$10</definedName>
    <definedName name="TIF_InterfundLoan_InterestRateType_Input">'IFL Input'!$C$12:$Q$12</definedName>
    <definedName name="TIF_InterfundLoan_InterestRateType_Output" localSheetId="5">'IFL Ouput'!$C$12:$Q$12</definedName>
    <definedName name="TIF_InterfundLoan_InterfundLentInd_Entry">'Lent Funds'!$B$6</definedName>
    <definedName name="TIF_InterfundLoan_InterfundLentInd_Input">'Lent Funds'!$E$6</definedName>
    <definedName name="TIF_InterfundLoan_InterfundLentInd_Output">'Lent Funds'!$F$6</definedName>
    <definedName name="TIF_InterfundLoan_InterfundLoanId">'IFL Input'!$C$4:$Q$4</definedName>
    <definedName name="TIF_InterfundLoan_InterfundLoanId_Output">'IFL Ouput'!$C$4:$Q$4</definedName>
    <definedName name="TIF_InterfundLoan_InterfundLoanInd_Entry">Loans!$B$6</definedName>
    <definedName name="TIF_InterfundLoan_InterfundLoanInd_Input">Loans!$E$6</definedName>
    <definedName name="TIF_InterfundLoan_InterfundLoanInd_Output">Loans!$F$6</definedName>
    <definedName name="TIF_InterfundLoan_MeetsFiveYrRuleInd_Input">'IFL Input'!$C$14:$Q$14</definedName>
    <definedName name="TIF_InterfundLoan_MeetsFiveYrRuleInd_Output" localSheetId="5">'IFL Ouput'!$C$14:$Q$14</definedName>
    <definedName name="TIF_InterfundLoan_NonTiAccount_Input">'IFL Input'!$C$7:$Q$7</definedName>
    <definedName name="TIF_InterfundLoan_NonTiAccount_Output" localSheetId="5">'IFL Ouput'!$C$7:$Q$7</definedName>
    <definedName name="TIF_InterfundLoan_OtherDistrictName_Input">'IFL Input'!$C$6:$Q$6</definedName>
    <definedName name="TIF_InterfundLoan_OtherDistrictName_Output" localSheetId="5">'IFL Ouput'!$C$6:$Q$6</definedName>
    <definedName name="TIF_InterfundLoan_ResolutionAmt_Input">'IFL Input'!$C$13:$Q$13</definedName>
    <definedName name="TIF_InterfundLoan_ResolutionAmt_Output" localSheetId="5">'IFL Ouput'!$C$13:$Q$13</definedName>
    <definedName name="TIF_InterfundLoan_ResolutionDate_Input">'IFL Input'!$C$8:$Q$8</definedName>
    <definedName name="TIF_InterfundLoan_ResolutionDate_Output" localSheetId="5">'IFL Ouput'!$C$8:$Q$8</definedName>
    <definedName name="TIF_InterfundLoanAnnual_AffordableHsgCost_Input">'IFL Input'!$C$23:$Q$23</definedName>
    <definedName name="TIF_InterfundLoanAnnual_AffordableHsgCost_Output">'IFL Ouput'!$C$23:$Q$23</definedName>
    <definedName name="TIF_InterfundLoanAnnual_AffordableHsgCostPriorAdj_Input">'IFL Input'!$C$22:$Q$22</definedName>
    <definedName name="TIF_InterfundLoanAnnual_AffordableHsgCostPriorAdj_Output">'IFL Ouput'!$C$22:$Q$22</definedName>
    <definedName name="TIF_InterfundLoanAnnual_AuthorityAdminCost_Input">'IFL Input'!$C$29:$Q$29</definedName>
    <definedName name="TIF_InterfundLoanAnnual_AuthorityAdminCost_Output">'IFL Ouput'!$C$29:$Q$29</definedName>
    <definedName name="TIF_InterfundLoanAnnual_AuthorityAdminCostPriorAdj_Input">'IFL Input'!$C$28:$Q$28</definedName>
    <definedName name="TIF_InterfundLoanAnnual_AuthorityAdminCostPriorAdj_Output">'IFL Ouput'!$C$28:$Q$28</definedName>
    <definedName name="TIF_InterfundLoanAnnual_CountyAdminCost_Input">'IFL Input'!$C$31:$Q$31</definedName>
    <definedName name="TIF_InterfundLoanAnnual_CountyAdminCost_Output">'IFL Ouput'!$C$31:$Q$31</definedName>
    <definedName name="TIF_InterfundLoanAnnual_CountyAdminCostPriorAdj_Input">'IFL Input'!$C$30:$Q$30</definedName>
    <definedName name="TIF_InterfundLoanAnnual_CountyAdminCostPriorAdj_Output">'IFL Ouput'!$C$30:$Q$30</definedName>
    <definedName name="TIF_InterfundLoanAnnual_DrawAmount_Input">'IFL Input'!$C$45:$Q$45</definedName>
    <definedName name="TIF_InterfundLoanAnnual_DrawAmount_Ouput">'IFL Ouput'!$C$45:$Q$45</definedName>
    <definedName name="TIF_InterfundLoanAnnual_DrawAmountPriorAdj_Input">'IFL Input'!$C$44:$Q$44</definedName>
    <definedName name="TIF_InterfundLoanAnnual_DrawAmountPriorAdj_Output" localSheetId="5">'IFL Ouput'!$C$44:$Q$44</definedName>
    <definedName name="TIF_InterfundLoanAnnual_ElectedHsgCost_Input">'IFL Input'!$C$25:$Q$25</definedName>
    <definedName name="TIF_InterfundLoanAnnual_ElectedHsgCost_Output">'IFL Ouput'!$C$25:$Q$25</definedName>
    <definedName name="TIF_InterfundLoanAnnual_ElectedHsgCostPriorAdj_Input">'IFL Input'!$C$24:$Q$24</definedName>
    <definedName name="TIF_InterfundLoanAnnual_ElectedHsgCostPriorAdj_Output">'IFL Ouput'!$C$24:$Q$24</definedName>
    <definedName name="TIF_InterfundLoanAnnual_InDistrictCost_Input">'IFL Input'!$C$41:$Q$41</definedName>
    <definedName name="TIF_InterfundLoanAnnual_InDistrictCost_Output">'IFL Ouput'!$C$41:$Q$41</definedName>
    <definedName name="TIF_InterfundLoanAnnual_InDistrictCostPriorAdj_Input">'IFL Input'!$C$40:$Q$40</definedName>
    <definedName name="TIF_InterfundLoanAnnual_InDistrictCostPriorAdj_Output">'IFL Ouput'!$C$40:$Q$40</definedName>
    <definedName name="TIF_InterfundLoanAnnual_InterestDue_Input">'IFL Input'!$C$62:$Q$62</definedName>
    <definedName name="TIF_InterfundLoanAnnual_InterestDue_Ouput">'IFL Ouput'!$C$62:$Q$62</definedName>
    <definedName name="TIF_InterfundLoanAnnual_InterestPaid_Input">'IFL Input'!$C$58:$Q$58</definedName>
    <definedName name="TIF_InterfundLoanAnnual_InterestPaid_Ouput">'IFL Ouput'!$C$58:$Q$58</definedName>
    <definedName name="TIF_InterfundLoanAnnual_InterestPaidOther_Input">'IFL Input'!$C$60:$Q$60</definedName>
    <definedName name="TIF_InterfundLoanAnnual_InterestPaidOther_Ouput">'IFL Ouput'!$C$60:$Q$60</definedName>
    <definedName name="TIF_InterfundLoanAnnual_InterestPaidOtherPriorAdj_Input">'IFL Input'!$C$59:$Q$59</definedName>
    <definedName name="TIF_InterfundLoanAnnual_InterestPaidOtherPriorAdj_Output" localSheetId="5">'IFL Ouput'!$C$59:$Q$59</definedName>
    <definedName name="TIF_InterfundLoanAnnual_InterestPaidPriorAdj_Input">'IFL Input'!$C$57:$Q$57</definedName>
    <definedName name="TIF_InterfundLoanAnnual_InterestPaidPriorAdj_Output" localSheetId="5">'IFL Ouput'!$C$57:$Q$57</definedName>
    <definedName name="TIF_InterfundLoanAnnual_JobsBillCost_Input">'IFL Input'!$C$33:$Q$33</definedName>
    <definedName name="TIF_InterfundLoanAnnual_JobsBillCost_Output">'IFL Ouput'!$C$33:$Q$33</definedName>
    <definedName name="TIF_InterfundLoanAnnual_JobsBillCostPriorAdj_Input">'IFL Input'!$C$32:$Q$32</definedName>
    <definedName name="TIF_InterfundLoanAnnual_JobsBillCostPriorAdj_Output">'IFL Ouput'!$C$32:$Q$32</definedName>
    <definedName name="TIF_InterfundLoanAnnual_LandBldgAcquisitionCost_Input">'IFL Input'!$C$17:$Q$17</definedName>
    <definedName name="TIF_InterfundLoanAnnual_LandBldgAcquisitionCost_Output">'IFL Ouput'!$C$17:$Q$17</definedName>
    <definedName name="TIF_InterfundLoanAnnual_LandBldgAcquisitionCostPriorAdj_Input">'IFL Input'!$C$16:$Q$16</definedName>
    <definedName name="TIF_InterfundLoanAnnual_LandBldgAcquisitionCostPriorAdj_Output">'IFL Ouput'!$C$16:$Q$16</definedName>
    <definedName name="TIF_InterfundLoanAnnual_OtherPublicCost_Input">'IFL Input'!$C$27:$Q$27</definedName>
    <definedName name="TIF_InterfundLoanAnnual_OtherPublicCost_Output">'IFL Ouput'!$C$27:$Q$27</definedName>
    <definedName name="TIF_InterfundLoanAnnual_OtherPublicCostPriorAdj_Input">'IFL Input'!$C$26:$Q$26</definedName>
    <definedName name="TIF_InterfundLoanAnnual_OtherPublicCostPriorAdj_Output">'IFL Ouput'!$C$26:$Q$26</definedName>
    <definedName name="TIF_InterfundLoanAnnual_OutDistrictCost_Input">'IFL Input'!$C$43:$Q$43</definedName>
    <definedName name="TIF_InterfundLoanAnnual_OutDistrictCost_Output">'IFL Ouput'!$C$43:$Q$43</definedName>
    <definedName name="TIF_InterfundLoanAnnual_OutDistrictCostPriorAdj_Input">'IFL Input'!$C$42:$Q$42</definedName>
    <definedName name="TIF_InterfundLoanAnnual_OutDistrictCostPriorAdj_Output">'IFL Ouput'!$C$42:$Q$42</definedName>
    <definedName name="TIF_InterfundLoanAnnual_PrincipalAdditions_Input">'IFL Input'!$C$52:$Q$52</definedName>
    <definedName name="TIF_InterfundLoanAnnual_PrincipalAdditions_Ouput">'IFL Ouput'!$C$52:$Q$52</definedName>
    <definedName name="TIF_InterfundLoanAnnual_PrincipalAdditionsPriorAdj_Input">'IFL Input'!$C$51:$Q$51</definedName>
    <definedName name="TIF_InterfundLoanAnnual_PrincipalAdditionsPriorAdj_Output" localSheetId="5">'IFL Ouput'!$C$51:$Q$51</definedName>
    <definedName name="TIF_InterfundLoanAnnual_PrincipalDue_Input">'IFL Input'!$C$61:$Q$61</definedName>
    <definedName name="TIF_InterfundLoanAnnual_PrincipalDue_Ouput">'IFL Ouput'!$C$61:$Q$61</definedName>
    <definedName name="TIF_InterfundLoanAnnual_PrincipalOutstanding_Input">'IFL Input'!$C$54:$Q$54</definedName>
    <definedName name="TIF_InterfundLoanAnnual_PrincipalOutstanding_Ouput">'IFL Ouput'!$C$54:$Q$54</definedName>
    <definedName name="TIF_InterfundLoanAnnual_PrincipalOutstandingPriorAdj_Input">'IFL Input'!$C$53:$Q$53</definedName>
    <definedName name="TIF_InterfundLoanAnnual_PrincipalOutstandingPriorAdj_Ouput">'IFL Ouput'!$C$53:$Q$53</definedName>
    <definedName name="TIF_InterfundLoanAnnual_PrincipalPaid_Input">'IFL Input'!$C$48:$Q$48</definedName>
    <definedName name="TIF_InterfundLoanAnnual_PrincipalPaid_Ouput">'IFL Ouput'!$C$48:$Q$48</definedName>
    <definedName name="TIF_InterfundLoanAnnual_PrincipalPaidOther_Input">'IFL Input'!$C$50:$Q$50</definedName>
    <definedName name="TIF_InterfundLoanAnnual_PrincipalPaidOther_Ouput">'IFL Ouput'!$C$50:$Q$50</definedName>
    <definedName name="TIF_InterfundLoanAnnual_PrincipalPaidOtherPriorAdj_Input">'IFL Input'!$C$49:$Q$49</definedName>
    <definedName name="TIF_InterfundLoanAnnual_PrincipalPaidOtherPriorAdj_Output" localSheetId="5">'IFL Ouput'!$C$49:$Q$49</definedName>
    <definedName name="TIF_InterfundLoanAnnual_PrincipalPaidPriorAdj_Input">'IFL Input'!$C$47:$Q$47</definedName>
    <definedName name="TIF_InterfundLoanAnnual_PrincipalPaidPriorAdj_Output" localSheetId="5">'IFL Ouput'!$C$47:$Q$47</definedName>
    <definedName name="TIF_InterfundLoanAnnual_RemainingProceeds_Input">'IFL Input'!$C$39:$Q$39</definedName>
    <definedName name="TIF_InterfundLoanAnnual_RemainingProceeds_Output">'IFL Ouput'!$C$39:$Q$39</definedName>
    <definedName name="TIF_InterfundLoanAnnual_RemainingProceedsPriorAdj_Input">'IFL Input'!$C$38:$Q$38</definedName>
    <definedName name="TIF_InterfundLoanAnnual_RemainingProceedsPriorAdj_Output">'IFL Ouput'!$C$38:$Q$38</definedName>
    <definedName name="TIF_InterfundLoanAnnual_SiteImprovementsCost_Input">'IFL Input'!$C$19:$Q$19</definedName>
    <definedName name="TIF_InterfundLoanAnnual_SiteImprovementsCost_Output">'IFL Ouput'!$C$19:$Q$19</definedName>
    <definedName name="TIF_InterfundLoanAnnual_SiteImprovementsCostPriorAdj_Input">'IFL Input'!$C$18:$Q$18</definedName>
    <definedName name="TIF_InterfundLoanAnnual_SiteImprovementsCostPriorAdj_Output">'IFL Ouput'!$C$18:$Q$18</definedName>
    <definedName name="TIF_InterfundLoanAnnual_TempTransferAuthority_Input">'IFL Input'!$C$35:$Q$35</definedName>
    <definedName name="TIF_InterfundLoanAnnual_TempTransferAuthority_Output">'IFL Ouput'!$C$35:$Q$35</definedName>
    <definedName name="TIF_InterfundLoanAnnual_TempTransferAuthorityPriorAdj_Input">'IFL Input'!$C$34:$Q$34</definedName>
    <definedName name="TIF_InterfundLoanAnnual_TempTransferAuthorityPriorAdj_Output">'IFL Ouput'!$C$34:$Q$34</definedName>
    <definedName name="TIF_InterfundLoanAnnual_TermsModifiedInd_Input">'IFL Input'!$C$15:$Q$15</definedName>
    <definedName name="TIF_InterfundLoanAnnual_TermsModifiedInd_Ouput">'IFL Ouput'!$C$15:$Q$15</definedName>
    <definedName name="TIF_InterfundLoanAnnual_TotalDrawAmount_Input">'IFL Input'!$C$46:$Q$46</definedName>
    <definedName name="TIF_InterfundLoanAnnual_TotalDrawAmount_Ouput">'IFL Ouput'!$C$46:$Q$46</definedName>
    <definedName name="TIF_InterfundLoanAnnual_TotalUses_Input">'IFL Input'!$C$37:$Q$37</definedName>
    <definedName name="TIF_InterfundLoanAnnual_TotalUses_Output">'IFL Ouput'!$C$37:$Q$37</definedName>
    <definedName name="TIF_InterfundLoanAnnual_TotalUsesPriorAdj_Input">'IFL Input'!$C$36:$Q$36</definedName>
    <definedName name="TIF_InterfundLoanAnnual_TotalUsesPriorAdj_Output">'IFL Ouput'!$C$36:$Q$36</definedName>
    <definedName name="TIF_InterfundLoanAnnual_UnpaidInterest_Input">'IFL Input'!$C$56:$Q$56</definedName>
    <definedName name="TIF_InterfundLoanAnnual_UnpaidInterest_Output" localSheetId="5">'IFL Ouput'!$C$56:$Q$56</definedName>
    <definedName name="TIF_InterfundLoanAnnual_UnpaidInterestPriorAdj_Input">'IFL Input'!$C$55:$Q$55</definedName>
    <definedName name="TIF_InterfundLoanAnnual_UnpaidInterestPriorAdj_Ouput">'IFL Ouput'!$C$55:$Q$55</definedName>
    <definedName name="TIF_InterfundLoanAnnual_UserCommentsLoan_Ouput">'IFL Ouput'!$C$63:$Q$63</definedName>
    <definedName name="TIF_InterfundLoanAnnual_UtilitiesCost_Input">'IFL Input'!$C$21:$Q$21</definedName>
    <definedName name="TIF_InterfundLoanAnnual_UtilitiesCost_Output">'IFL Ouput'!$C$21:$Q$21</definedName>
    <definedName name="TIF_InterfundLoanAnnual_UtilitiesCostPriorAdj_Input">'IFL Input'!$C$20:$Q$20</definedName>
    <definedName name="TIF_InterfundLoanAnnual_UtilitiesCostPriorAdj_Output">'IFL Ouput'!$C$20:$Q$20</definedName>
    <definedName name="TIF_InterfundLoanType_TypeName_Input">'IFL Input'!$C$5:$Q$5</definedName>
    <definedName name="TIF_InterfundLoanType_TypeName_Output">'IFL Ouput'!$C$5:$Q$5</definedName>
    <definedName name="TIF_PAYG_ContractAmt_Input">'PAYG Input'!$C$10:$Q$10</definedName>
    <definedName name="TIF_PAYG_ContractAmt_Output">'PAYG Output'!$C$10:$Q$10</definedName>
    <definedName name="TIF_PAYG_FinalMaturityDate_Input">'PAYG Input'!$C$7:$Q$7</definedName>
    <definedName name="TIF_PAYG_FinalMaturityDate_Output">'PAYG Output'!$C$7:$Q$7</definedName>
    <definedName name="TIF_PAYG_HolderName_Input">'PAYG Input'!$C$5:$Q$5</definedName>
    <definedName name="TIF_PAYG_HolderName_Output">'PAYG Output'!$C$5:$Q$5</definedName>
    <definedName name="TIF_PAYG_InterestRateHigh_Input">'PAYG Input'!$C$9:$Q$9</definedName>
    <definedName name="TIF_PAYG_InterestRateHigh_Output">'PAYG Output'!$C$9:$Q$9</definedName>
    <definedName name="TIF_PAYG_InterestRateLow_Input">'PAYG Input'!$C$8:$Q$8</definedName>
    <definedName name="TIF_PAYG_InterestRateLow_Output">'PAYG Output'!$C$8:$Q$8</definedName>
    <definedName name="TIF_PAYG_IssueDate_Input">'PAYG Input'!$C$6:$Q$6</definedName>
    <definedName name="TIF_PAYG_IssueDate_Output">'PAYG Output'!$C$6:$Q$6</definedName>
    <definedName name="TIF_PAYG_MeetsFiveYrRuleInd_Input">'PAYG Input'!$C$11:$Q$11</definedName>
    <definedName name="TIF_PAYG_MeetsFiveYrRuleInd_Output">'PAYG Output'!$C$11:$Q$11</definedName>
    <definedName name="TIF_PAYG_PaygId_Input">'PAYG Input'!$C$4:$Q$4</definedName>
    <definedName name="TIF_PAYG_PaygId_Output">'PAYG Output'!$C$4:$Q$4</definedName>
    <definedName name="TIF_PAYG_PAYGInd_Entry">PAYGs!$B$6</definedName>
    <definedName name="TIF_PAYG_PAYGInd_Input">PAYGs!$E$6</definedName>
    <definedName name="TIF_PAYG_PAYGInd_Output">PAYGs!$F$6</definedName>
    <definedName name="TIF_PaygAnnual_AffordableHsgCost_Input">'PAYG Input'!$C$19:$Q$19</definedName>
    <definedName name="TIF_PaygAnnual_AffordableHsgCost_Output">'PAYG Output'!$C$19:$Q$19</definedName>
    <definedName name="TIF_PaygAnnual_AffordableHsgCostPriorAdj_Input">'PAYG Input'!$C$18:$Q$18</definedName>
    <definedName name="TIF_PaygAnnual_AffordableHsgCostPriorAdj_Output">'PAYG Output'!$C$18:$Q$18</definedName>
    <definedName name="TIF_PaygAnnual_InDistrictCost_Input">'PAYG Input'!$C$27:$Q$27</definedName>
    <definedName name="TIF_PaygAnnual_InDistrictCost_Output">'PAYG Output'!$C$27:$Q$27</definedName>
    <definedName name="TIF_PaygAnnual_InDistrictCostPriorAdj_Input">'PAYG Input'!$C$26:$Q$26</definedName>
    <definedName name="TIF_PaygAnnual_InDistrictCostPriorAdj_Output">'PAYG Output'!$C$26:$Q$26</definedName>
    <definedName name="TIF_PaygAnnual_InterestDue_Input">'PAYG Input'!$C$41:$Q$41</definedName>
    <definedName name="TIF_PaygAnnual_InterestDue_Output">'PAYG Output'!$C$41:$Q$41</definedName>
    <definedName name="TIF_PaygAnnual_InterestPaid_Input">'PAYG Input'!$C$39:$Q$39</definedName>
    <definedName name="TIF_PaygAnnual_InterestPaid_Output">'PAYG Output'!$C$39:$Q$39</definedName>
    <definedName name="TIF_PaygAnnual_InterestPaidPriorAdj_Input">'PAYG Input'!$C$38:$Q$38</definedName>
    <definedName name="TIF_PaygAnnual_InterestPaidPriorAdj_Output">'PAYG Output'!$C$38:$Q$38</definedName>
    <definedName name="TIF_PaygAnnual_JobsBillCost_Input">'PAYG Input'!$C$23:$Q$23</definedName>
    <definedName name="TIF_PaygAnnual_JobsBillCost_Output">'PAYG Output'!$C$23:$Q$23</definedName>
    <definedName name="TIF_PaygAnnual_JobsBillCostPriorAdj_Input">'PAYG Input'!$C$22:$Q$22</definedName>
    <definedName name="TIF_PaygAnnual_JobsBillCostPriorAdj_Output">'PAYG Output'!$C$22:$Q$22</definedName>
    <definedName name="TIF_PaygAnnual_LandBldgAcquisitionCost_Input">'PAYG Input'!$C$13:$Q$13</definedName>
    <definedName name="TIF_PaygAnnual_LandBldgAcquisitionCost_Output">'PAYG Output'!$C$13:$Q$13</definedName>
    <definedName name="TIF_PaygAnnual_LandBldgAcquisitionCostPriorAdj_Input">'PAYG Input'!$C$12:$Q$12</definedName>
    <definedName name="TIF_PaygAnnual_LandBldgAcquisitionCostPriorAdj_Output">'PAYG Output'!$C$12:$Q$12</definedName>
    <definedName name="TIF_PaygAnnual_OtherPublicCost_Input">'PAYG Input'!$C$21:$Q$21</definedName>
    <definedName name="TIF_PaygAnnual_OtherPublicCost_Output">'PAYG Output'!$C$21:$Q$21</definedName>
    <definedName name="TIF_PaygAnnual_OtherPublicCostPriorAdj_Input">'PAYG Input'!$C$20:$Q$20</definedName>
    <definedName name="TIF_PaygAnnual_OtherPublicCostPriorAdj_Output">'PAYG Output'!$C$20:$Q$20</definedName>
    <definedName name="TIF_PaygAnnual_OutDistrictCost_Input">'PAYG Input'!$C$29:$Q$29</definedName>
    <definedName name="TIF_PaygAnnual_OutDistrictCost_Output">'PAYG Output'!$C$29:$Q$29</definedName>
    <definedName name="TIF_PaygAnnual_OutDistrictCostPriorAdj_Input">'PAYG Input'!$C$28:$Q$28</definedName>
    <definedName name="TIF_PaygAnnual_OutDistrictCostPriorAdj_Output">'PAYG Output'!$C$28:$Q$28</definedName>
    <definedName name="TIF_PaygAnnual_PrincipalAdditions_Input">'PAYG Input'!$C$33:$Q$33</definedName>
    <definedName name="TIF_PaygAnnual_PrincipalAdditions_Output">'PAYG Output'!$C$33:$Q$33</definedName>
    <definedName name="TIF_PaygAnnual_PrincipalAdditionsPriorAdj_Input">'PAYG Input'!$C$32:$Q$32</definedName>
    <definedName name="TIF_PaygAnnual_PrincipalAdditionsPriorAdj_Output">'PAYG Output'!$C$32:$Q$32</definedName>
    <definedName name="TIF_PaygAnnual_PrincipalDue_Input">'PAYG Input'!$C$40:$Q$40</definedName>
    <definedName name="TIF_PaygAnnual_PrincipalDue_Output">'PAYG Output'!$C$40:$Q$40</definedName>
    <definedName name="TIF_PaygAnnual_PrincipalOutstanding_Input">'PAYG Input'!$C$35:$Q$35</definedName>
    <definedName name="TIF_PaygAnnual_PrincipalOutstanding_Output">'PAYG Output'!$C$35:$Q$35</definedName>
    <definedName name="TIF_PaygAnnual_PrincipalOutstandingPriorAdj_Input">'PAYG Input'!$C$34:$Q$34</definedName>
    <definedName name="TIF_PaygAnnual_PrincipalOutstandingPriorAdj_Output">'PAYG Output'!$C$34:$Q$34</definedName>
    <definedName name="TIF_PaygAnnual_PrincipalPaid_Input">'PAYG Input'!$C$31:$Q$31</definedName>
    <definedName name="TIF_PaygAnnual_PrincipalPaid_Output">'PAYG Output'!$C$31:$Q$31</definedName>
    <definedName name="TIF_PaygAnnual_PrincipalPaidPriorAdj_Input">'PAYG Input'!$C$30:$Q$30</definedName>
    <definedName name="TIF_PaygAnnual_PrincipalPaidPriorAdj_Output">'PAYG Output'!$C$30:$Q$30</definedName>
    <definedName name="TIF_PaygAnnual_SiteImprovementsCost_Input">'PAYG Input'!$C$15:$Q$15</definedName>
    <definedName name="TIF_PaygAnnual_SiteImprovementsCost_Output">'PAYG Output'!$C$15:$Q$15</definedName>
    <definedName name="TIF_PaygAnnual_SiteImprovementsCostPriorAdj_Input">'PAYG Input'!$C$14:$Q$14</definedName>
    <definedName name="TIF_PaygAnnual_SiteImprovementsCostPriorAdj_Output">'PAYG Output'!$C$14:$Q$14</definedName>
    <definedName name="TIF_PaygAnnual_TotalDocumentedCost_Input">'PAYG Input'!$C$25:$Q$25</definedName>
    <definedName name="TIF_PaygAnnual_TotalDocumentedCost_Output">'PAYG Output'!$C$25:$Q$25</definedName>
    <definedName name="TIF_PaygAnnual_TotalDocumentedCostPriorAdj_Input">'PAYG Input'!$C$24:$Q$24</definedName>
    <definedName name="TIF_PaygAnnual_TotalDocumentedCostPriorAdj_Output">'PAYG Output'!$C$24:$Q$24</definedName>
    <definedName name="TIF_PaygAnnual_UnpaidInterest_Input">'PAYG Input'!$C$37:$Q$37</definedName>
    <definedName name="TIF_PaygAnnual_UnpaidInterest_Output">'PAYG Output'!$C$37:$Q$37</definedName>
    <definedName name="TIF_PaygAnnual_UnpaidInterestPriorAdj_Input">'PAYG Input'!$C$36:$Q$36</definedName>
    <definedName name="TIF_PaygAnnual_UnpaidInterestPriorAdj_Output">'PAYG Output'!$C$36:$Q$36</definedName>
    <definedName name="TIF_PAYGAnnual_UserCommentsPAYG_Ouput">'PAYG Output'!$C$42:$Q$42</definedName>
    <definedName name="TIF_PaygAnnual_UtilitiesCost_Input">'PAYG Input'!$C$17:$Q$17</definedName>
    <definedName name="TIF_PaygAnnual_UtilitiesCost_Output">'PAYG Output'!$C$17:$Q$17</definedName>
    <definedName name="TIF_PaygAnnual_UtilitiesCostPriorAdj_Input">'PAYG Input'!$C$16:$Q$16</definedName>
    <definedName name="TIF_PaygAnnual_UtilitiesCostPriorAdj_Output">'PAYG Output'!$C$16:$Q$16</definedName>
    <definedName name="TIF_Plan_AnticipatedFirstReceiptYear">'Dist Info'!$B$34</definedName>
    <definedName name="TIF_Plan_ApprovalDate">'Dist Info'!$B$27</definedName>
    <definedName name="TIF_Plan_DelayFirstReceiptElection">'Dist Info'!$B$23</definedName>
    <definedName name="TIF_Plan_HssInd_Entry">HSS!$B$6</definedName>
    <definedName name="TIF_Plan_HssInd_Input">HSS!$F$6</definedName>
    <definedName name="TIF_Plan_HssInd_Output">HSS!$G$6</definedName>
    <definedName name="TIF_Plan_ShorterDuration">'Dist Info'!$B$22</definedName>
    <definedName name="TIF_SpecialLegislation_Article">'Spec Leg'!$E$8:$E$17</definedName>
    <definedName name="TIF_SpecialLegislation_Chapter">'Spec Leg'!$D$8:$D$17</definedName>
    <definedName name="TIF_SpecialLegislation_Section">'Spec Leg'!$F$8:$F$17</definedName>
    <definedName name="TIF_SpecialLegislation_Session">'Spec Leg'!$C$8:$C$17</definedName>
    <definedName name="TIF_SpecialLegislation_SpecialLegislationId">'Spec Leg'!$I$8:$I$17</definedName>
    <definedName name="TIF_SpecialLegislation_SpecialLegislationInd_Entry">'Spec Leg'!$B$6</definedName>
    <definedName name="TIF_SpecialLegislation_SpecialLegislationInd_Input">'Spec Leg'!$I$6</definedName>
    <definedName name="TIF_SpecialLegislation_SpecialLegislationInd_Output">'Spec Leg'!$J$6</definedName>
    <definedName name="TIF_SpecialLegislation_Year">'Spec Leg'!$B$8:$B$17</definedName>
    <definedName name="TIF_TemporaryTransfer_Expenditures">Transfers!$D$34:$D$34</definedName>
    <definedName name="TIF_TemporaryTransfer_ExpendituresPrior">Transfers!$C$34:$C$34</definedName>
    <definedName name="TIF_TemporaryTransfer_TransferInd">Transfers!$J$32</definedName>
    <definedName name="TIF_TemporaryTransfer_TransfersIn">Transfers!$F$34:$F$34</definedName>
    <definedName name="TIF_TemporaryTransfer_TransfersOut2021">Transfers!$J$34:$J$34</definedName>
    <definedName name="TIF_TemporaryTransfer_TransfersOut2022">Transfers!$K$34:$K$34</definedName>
    <definedName name="TIF_TemporaryTransferFund_FundId">Transfers!$L$34:$L$34</definedName>
    <definedName name="TIF_Transfer_OtherDistrictId">Transfers!$J$9:$J$30</definedName>
    <definedName name="TIF_Transfer_TransferInAmt">Transfers!$C$9:$C$30</definedName>
    <definedName name="TIF_Transfer_TransferInd_Entry">Transfers!$B$6</definedName>
    <definedName name="TIF_Transfer_TransferInd_Input">Transfers!$J$6</definedName>
    <definedName name="TIF_Transfer_TransferInd_Output">Transfers!$K$6</definedName>
    <definedName name="TIF_Transfer_TransferInPriorAdj">Transfers!$B$9:$B$30</definedName>
    <definedName name="TIF_Transfer_TransferName">Transfers!$A$9:$A$30</definedName>
    <definedName name="TIF_Transfer_TransferOutAmt">Transfers!$F$9:$F$30</definedName>
    <definedName name="TIF_Transfer_TransferOutPriorAdj">Transfers!$E$9:$E$30</definedName>
    <definedName name="VersionNumber">Variables!$A$9</definedName>
    <definedName name="Year_DestinationYearID">Variables!$A$8</definedName>
    <definedName name="Year_SourceYearID">Variables!$A$7</definedName>
    <definedName name="YesNo">Lists!$K$2:$K$3</definedName>
    <definedName name="YesNoNA">Lists!$K$2:$K$4</definedName>
    <definedName name="YesNoNotApp">Lists!#REF!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 i="154" l="1"/>
  <c r="A5" i="155"/>
  <c r="A5" i="156"/>
  <c r="A5" i="157"/>
  <c r="A5" i="158"/>
  <c r="A5" i="159"/>
  <c r="A5" i="160"/>
  <c r="A5" i="161"/>
  <c r="A5" i="162"/>
  <c r="A5" i="163"/>
  <c r="A5" i="164"/>
  <c r="A5" i="165"/>
  <c r="A5" i="166"/>
  <c r="A5" i="153"/>
  <c r="B47" i="154"/>
  <c r="B47" i="155"/>
  <c r="B47" i="156"/>
  <c r="B47" i="157"/>
  <c r="B47" i="158"/>
  <c r="B47" i="159"/>
  <c r="B47" i="160"/>
  <c r="B47" i="161"/>
  <c r="B47" i="162"/>
  <c r="B47" i="163"/>
  <c r="B47" i="164"/>
  <c r="B47" i="165"/>
  <c r="B47" i="166"/>
  <c r="B47" i="153"/>
  <c r="B47" i="7"/>
  <c r="A5" i="7"/>
  <c r="A5" i="180"/>
  <c r="A5" i="179"/>
  <c r="A5" i="178"/>
  <c r="A5" i="177"/>
  <c r="A5" i="176"/>
  <c r="A5" i="175"/>
  <c r="A5" i="174"/>
  <c r="A5" i="173"/>
  <c r="A5" i="172"/>
  <c r="A5" i="171"/>
  <c r="A5" i="170"/>
  <c r="A5" i="169"/>
  <c r="A5" i="168"/>
  <c r="A5" i="167"/>
  <c r="B34" i="180"/>
  <c r="B34" i="179"/>
  <c r="B34" i="178"/>
  <c r="B34" i="177"/>
  <c r="B34" i="176"/>
  <c r="B34" i="175"/>
  <c r="B34" i="174"/>
  <c r="B34" i="173"/>
  <c r="B34" i="172"/>
  <c r="B34" i="171"/>
  <c r="B34" i="170"/>
  <c r="B34" i="169"/>
  <c r="B34" i="168"/>
  <c r="B34" i="167"/>
  <c r="B34" i="102"/>
  <c r="A5" i="102"/>
  <c r="A5" i="16"/>
  <c r="A5" i="181"/>
  <c r="A5" i="182"/>
  <c r="A5" i="183"/>
  <c r="A5" i="184"/>
  <c r="A5" i="185"/>
  <c r="A5" i="186"/>
  <c r="A5" i="187"/>
  <c r="A5" i="188"/>
  <c r="A5" i="189"/>
  <c r="A5" i="190"/>
  <c r="A5" i="191"/>
  <c r="A5" i="192"/>
  <c r="A5" i="193"/>
  <c r="B46" i="16"/>
  <c r="B46" i="181"/>
  <c r="B46" i="182"/>
  <c r="B46" i="183"/>
  <c r="B46" i="184"/>
  <c r="B46" i="185"/>
  <c r="B46" i="186"/>
  <c r="B46" i="187"/>
  <c r="B46" i="188"/>
  <c r="B46" i="189"/>
  <c r="B46" i="190"/>
  <c r="B46" i="191"/>
  <c r="B46" i="192"/>
  <c r="B46" i="193"/>
  <c r="B46" i="194"/>
  <c r="A5" i="194"/>
  <c r="A5" i="9"/>
  <c r="A5" i="136"/>
  <c r="A5" i="137"/>
  <c r="A5" i="138"/>
  <c r="A5" i="139"/>
  <c r="A5" i="140"/>
  <c r="A5" i="141"/>
  <c r="A5" i="142"/>
  <c r="A5" i="143"/>
  <c r="A5" i="144"/>
  <c r="A5" i="145"/>
  <c r="A5" i="146"/>
  <c r="A5" i="147"/>
  <c r="A5" i="148"/>
  <c r="B29" i="9"/>
  <c r="B29" i="136"/>
  <c r="B29" i="137"/>
  <c r="B29" i="138"/>
  <c r="B29" i="139"/>
  <c r="B29" i="140"/>
  <c r="B29" i="141"/>
  <c r="B29" i="142"/>
  <c r="B29" i="143"/>
  <c r="B29" i="144"/>
  <c r="B29" i="145"/>
  <c r="B29" i="146"/>
  <c r="B29" i="147"/>
  <c r="B29" i="148"/>
  <c r="B29" i="149"/>
  <c r="A5" i="149"/>
  <c r="A13" i="150"/>
  <c r="B25" i="11" a="1"/>
  <c r="B25" i="11" s="1"/>
  <c r="B68" i="4"/>
  <c r="B64" i="4"/>
  <c r="B25" i="4"/>
  <c r="D3340" i="3" a="1"/>
  <c r="D3338" i="3" a="1"/>
  <c r="D3335" i="3" a="1"/>
  <c r="D3328" i="3" a="1"/>
  <c r="D3339" i="3" a="1"/>
  <c r="B23" i="11" a="1"/>
  <c r="D3336" i="3" a="1"/>
  <c r="D3329" i="3" a="1"/>
  <c r="D3333" i="3" a="1"/>
  <c r="D3326" i="3" a="1"/>
  <c r="D3330" i="3" a="1"/>
  <c r="D3334" i="3" a="1"/>
  <c r="D3337" i="3" a="1"/>
  <c r="D3331" i="3" a="1"/>
  <c r="D3327" i="3" a="1"/>
  <c r="D3332" i="3" a="1"/>
  <c r="B24" i="11" a="1"/>
  <c r="D3331" i="3" l="1"/>
  <c r="D3337" i="3"/>
  <c r="D3335" i="3"/>
  <c r="D3330" i="3"/>
  <c r="D3326" i="3"/>
  <c r="D3338" i="3"/>
  <c r="D3333" i="3"/>
  <c r="D3340" i="3"/>
  <c r="D3329" i="3"/>
  <c r="D3336" i="3"/>
  <c r="D3332" i="3"/>
  <c r="D3327" i="3"/>
  <c r="D3339" i="3"/>
  <c r="D3328" i="3"/>
  <c r="D3334" i="3"/>
  <c r="B23" i="11"/>
  <c r="B24" i="11"/>
  <c r="A46" i="11" l="1"/>
  <c r="A54" i="11"/>
  <c r="A51" i="11"/>
  <c r="A52" i="11"/>
  <c r="A60" i="11"/>
  <c r="A61" i="11"/>
  <c r="A62" i="11"/>
  <c r="A56" i="11"/>
  <c r="A41" i="11"/>
  <c r="A40" i="11"/>
  <c r="A39" i="11"/>
  <c r="A34" i="11"/>
  <c r="A32" i="11"/>
  <c r="A30" i="11"/>
  <c r="A29" i="11"/>
  <c r="A25" i="11"/>
  <c r="A19" i="11"/>
  <c r="F8" i="75"/>
  <c r="D3895" i="3"/>
  <c r="D3894" i="3"/>
  <c r="D3893" i="3"/>
  <c r="D3892" i="3"/>
  <c r="D3891" i="3"/>
  <c r="D3890" i="3"/>
  <c r="D3889" i="3"/>
  <c r="D3888" i="3"/>
  <c r="D3887" i="3"/>
  <c r="D3886" i="3"/>
  <c r="D3885" i="3"/>
  <c r="D3884" i="3"/>
  <c r="D3883" i="3"/>
  <c r="D3882" i="3"/>
  <c r="D3881" i="3"/>
  <c r="B14" i="79"/>
  <c r="B6" i="5"/>
  <c r="B13" i="12" l="1"/>
  <c r="B6" i="75"/>
  <c r="D30" i="98"/>
  <c r="C30" i="98"/>
  <c r="D1923" i="3" l="1"/>
  <c r="D1922" i="3"/>
  <c r="D1921" i="3"/>
  <c r="D1920" i="3"/>
  <c r="D1919" i="3"/>
  <c r="D1918" i="3"/>
  <c r="D1917" i="3"/>
  <c r="D1916" i="3"/>
  <c r="D1915" i="3"/>
  <c r="D1914" i="3"/>
  <c r="D1913" i="3"/>
  <c r="B34" i="153"/>
  <c r="D813" i="3"/>
  <c r="D812" i="3"/>
  <c r="D811" i="3"/>
  <c r="D810" i="3"/>
  <c r="D809" i="3"/>
  <c r="D808" i="3"/>
  <c r="D807" i="3"/>
  <c r="D806" i="3"/>
  <c r="D805" i="3"/>
  <c r="D804" i="3"/>
  <c r="D803" i="3"/>
  <c r="B19" i="153"/>
  <c r="D800" i="3" s="1"/>
  <c r="C40" i="150"/>
  <c r="C38" i="150"/>
  <c r="C37" i="150"/>
  <c r="C39" i="150"/>
  <c r="B10451" i="3"/>
  <c r="C10451" i="3"/>
  <c r="C10450" i="3"/>
  <c r="D10452" i="3"/>
  <c r="G10451" i="3"/>
  <c r="F10451" i="3"/>
  <c r="D9582" i="3"/>
  <c r="D9584" i="3"/>
  <c r="D9588" i="3"/>
  <c r="D9590" i="3"/>
  <c r="D9593" i="3"/>
  <c r="D9596" i="3"/>
  <c r="I9596" i="3" s="1"/>
  <c r="D9598" i="3"/>
  <c r="J9598" i="3" s="1"/>
  <c r="D9600" i="3"/>
  <c r="I9600" i="3" s="1"/>
  <c r="D9604" i="3"/>
  <c r="I9604" i="3" s="1"/>
  <c r="D9608" i="3"/>
  <c r="I9608" i="3" s="1"/>
  <c r="D9613" i="3"/>
  <c r="I9613" i="3" s="1"/>
  <c r="D9615" i="3"/>
  <c r="J9615" i="3" s="1"/>
  <c r="D9616" i="3"/>
  <c r="I9616" i="3" s="1"/>
  <c r="D9617" i="3"/>
  <c r="I9617" i="3" s="1"/>
  <c r="D9618" i="3"/>
  <c r="J9618" i="3" s="1"/>
  <c r="D9619" i="3"/>
  <c r="D9620" i="3"/>
  <c r="I9620" i="3" s="1"/>
  <c r="D9621" i="3"/>
  <c r="I9621" i="3" s="1"/>
  <c r="D9622" i="3"/>
  <c r="J9622" i="3" s="1"/>
  <c r="D9623" i="3"/>
  <c r="I9623" i="3" s="1"/>
  <c r="D9624" i="3"/>
  <c r="I9624" i="3" s="1"/>
  <c r="D9625" i="3"/>
  <c r="I9625" i="3" s="1"/>
  <c r="D9626" i="3"/>
  <c r="I9626" i="3" s="1"/>
  <c r="D9627" i="3"/>
  <c r="J9627" i="3" s="1"/>
  <c r="D9628" i="3"/>
  <c r="I9628" i="3" s="1"/>
  <c r="D9629" i="3"/>
  <c r="I9629" i="3" s="1"/>
  <c r="D9630" i="3"/>
  <c r="J9630" i="3" s="1"/>
  <c r="D9631" i="3"/>
  <c r="D9632" i="3"/>
  <c r="I9632" i="3" s="1"/>
  <c r="D9633" i="3"/>
  <c r="I9633" i="3" s="1"/>
  <c r="D9634" i="3"/>
  <c r="J9634" i="3" s="1"/>
  <c r="D9635" i="3"/>
  <c r="I9635" i="3" s="1"/>
  <c r="D9636" i="3"/>
  <c r="I9636" i="3" s="1"/>
  <c r="D9637" i="3"/>
  <c r="I9637" i="3" s="1"/>
  <c r="D9638" i="3"/>
  <c r="I9638" i="3" s="1"/>
  <c r="D9639" i="3"/>
  <c r="I9639" i="3" s="1"/>
  <c r="D9640" i="3"/>
  <c r="D9641" i="3"/>
  <c r="D9642" i="3"/>
  <c r="J9642" i="3" s="1"/>
  <c r="D9643" i="3"/>
  <c r="J9643" i="3" s="1"/>
  <c r="D9644" i="3"/>
  <c r="D9645" i="3"/>
  <c r="D9646" i="3"/>
  <c r="J9646" i="3" s="1"/>
  <c r="D9647" i="3"/>
  <c r="D9648" i="3"/>
  <c r="D9649" i="3"/>
  <c r="J9649" i="3" s="1"/>
  <c r="D9650" i="3"/>
  <c r="D9651" i="3"/>
  <c r="D9652" i="3"/>
  <c r="J9652" i="3" s="1"/>
  <c r="D9653" i="3"/>
  <c r="D9654" i="3"/>
  <c r="J9654" i="3" s="1"/>
  <c r="D9655" i="3"/>
  <c r="J9655" i="3" s="1"/>
  <c r="D9656" i="3"/>
  <c r="D9657" i="3"/>
  <c r="D9658" i="3"/>
  <c r="J9658" i="3" s="1"/>
  <c r="D9659" i="3"/>
  <c r="D9660" i="3"/>
  <c r="J9660" i="3" s="1"/>
  <c r="D9661" i="3"/>
  <c r="I9661" i="3" s="1"/>
  <c r="D9662" i="3"/>
  <c r="D9663" i="3"/>
  <c r="I9663" i="3" s="1"/>
  <c r="D9664" i="3"/>
  <c r="I9664" i="3" s="1"/>
  <c r="D9665" i="3"/>
  <c r="D9666" i="3"/>
  <c r="I9666" i="3" s="1"/>
  <c r="D9667" i="3"/>
  <c r="D9668" i="3"/>
  <c r="D9669" i="3"/>
  <c r="I9669" i="3" s="1"/>
  <c r="D9670" i="3"/>
  <c r="I9670" i="3" s="1"/>
  <c r="D9671" i="3"/>
  <c r="D9672" i="3"/>
  <c r="J9672" i="3" s="1"/>
  <c r="D9673" i="3"/>
  <c r="I9673" i="3" s="1"/>
  <c r="D9674" i="3"/>
  <c r="J9674" i="3" s="1"/>
  <c r="D9675" i="3"/>
  <c r="I9675" i="3" s="1"/>
  <c r="D9676" i="3"/>
  <c r="D9677" i="3"/>
  <c r="J9677" i="3" s="1"/>
  <c r="D9678" i="3"/>
  <c r="D9679" i="3"/>
  <c r="I9679" i="3" s="1"/>
  <c r="D9680" i="3"/>
  <c r="D9681" i="3"/>
  <c r="I9681" i="3" s="1"/>
  <c r="D9682" i="3"/>
  <c r="I9682" i="3" s="1"/>
  <c r="D9683" i="3"/>
  <c r="J9683" i="3" s="1"/>
  <c r="D9684" i="3"/>
  <c r="I9684" i="3" s="1"/>
  <c r="D9685" i="3"/>
  <c r="J9685" i="3" s="1"/>
  <c r="D9686" i="3"/>
  <c r="J9686" i="3" s="1"/>
  <c r="D9687" i="3"/>
  <c r="J9687" i="3" s="1"/>
  <c r="D9688" i="3"/>
  <c r="I9688" i="3" s="1"/>
  <c r="D9689" i="3"/>
  <c r="D9690" i="3"/>
  <c r="I9690" i="3" s="1"/>
  <c r="D9691" i="3"/>
  <c r="I9691" i="3" s="1"/>
  <c r="D9692" i="3"/>
  <c r="J9692" i="3" s="1"/>
  <c r="D9693" i="3"/>
  <c r="I9693" i="3" s="1"/>
  <c r="D9694" i="3"/>
  <c r="J9694" i="3" s="1"/>
  <c r="D9695" i="3"/>
  <c r="J9695" i="3" s="1"/>
  <c r="D9696" i="3"/>
  <c r="J9696" i="3" s="1"/>
  <c r="D9697" i="3"/>
  <c r="I9697" i="3" s="1"/>
  <c r="D9698" i="3"/>
  <c r="D9699" i="3"/>
  <c r="I9699" i="3" s="1"/>
  <c r="D9700" i="3"/>
  <c r="I9700" i="3" s="1"/>
  <c r="D9701" i="3"/>
  <c r="J9701" i="3" s="1"/>
  <c r="D9702" i="3"/>
  <c r="D9703" i="3"/>
  <c r="D9704" i="3"/>
  <c r="J9704" i="3" s="1"/>
  <c r="D9705" i="3"/>
  <c r="D9706" i="3"/>
  <c r="I9706" i="3" s="1"/>
  <c r="D9707" i="3"/>
  <c r="D9708" i="3"/>
  <c r="I9708" i="3" s="1"/>
  <c r="D9709" i="3"/>
  <c r="I9709" i="3" s="1"/>
  <c r="D9710" i="3"/>
  <c r="J9710" i="3" s="1"/>
  <c r="D9711" i="3"/>
  <c r="I9711" i="3" s="1"/>
  <c r="D9712" i="3"/>
  <c r="J9712" i="3" s="1"/>
  <c r="D9713" i="3"/>
  <c r="J9713" i="3" s="1"/>
  <c r="D9714" i="3"/>
  <c r="J9714" i="3" s="1"/>
  <c r="D9715" i="3"/>
  <c r="D9716" i="3"/>
  <c r="D9717" i="3"/>
  <c r="J9717" i="3" s="1"/>
  <c r="D9718" i="3"/>
  <c r="I9718" i="3" s="1"/>
  <c r="D9719" i="3"/>
  <c r="J9719" i="3" s="1"/>
  <c r="D9720" i="3"/>
  <c r="I9720" i="3" s="1"/>
  <c r="D9721" i="3"/>
  <c r="J9721" i="3" s="1"/>
  <c r="D9722" i="3"/>
  <c r="J9722" i="3" s="1"/>
  <c r="D9723" i="3"/>
  <c r="I9723" i="3" s="1"/>
  <c r="D9724" i="3"/>
  <c r="I9724" i="3" s="1"/>
  <c r="D9725" i="3"/>
  <c r="D9726" i="3"/>
  <c r="D9727" i="3"/>
  <c r="I9727" i="3" s="1"/>
  <c r="D9728" i="3"/>
  <c r="J9728" i="3" s="1"/>
  <c r="D9729" i="3"/>
  <c r="J9729" i="3" s="1"/>
  <c r="D9730" i="3"/>
  <c r="I9730" i="3" s="1"/>
  <c r="D9731" i="3"/>
  <c r="J9731" i="3" s="1"/>
  <c r="D9732" i="3"/>
  <c r="I9732" i="3" s="1"/>
  <c r="D9733" i="3"/>
  <c r="I9733" i="3" s="1"/>
  <c r="D9734" i="3"/>
  <c r="D9735" i="3"/>
  <c r="I9735" i="3" s="1"/>
  <c r="D9736" i="3"/>
  <c r="I9736" i="3" s="1"/>
  <c r="D9737" i="3"/>
  <c r="J9737" i="3" s="1"/>
  <c r="D9738" i="3"/>
  <c r="J9738" i="3" s="1"/>
  <c r="D9739" i="3"/>
  <c r="J9739" i="3" s="1"/>
  <c r="D9740" i="3"/>
  <c r="J9740" i="3" s="1"/>
  <c r="D9741" i="3"/>
  <c r="I9741" i="3" s="1"/>
  <c r="D9742" i="3"/>
  <c r="I9742" i="3" s="1"/>
  <c r="D9743" i="3"/>
  <c r="D9744" i="3"/>
  <c r="I9744" i="3" s="1"/>
  <c r="D9745" i="3"/>
  <c r="I9745" i="3" s="1"/>
  <c r="D9746" i="3"/>
  <c r="J9746" i="3" s="1"/>
  <c r="D9747" i="3"/>
  <c r="I9747" i="3" s="1"/>
  <c r="D9748" i="3"/>
  <c r="J9748" i="3" s="1"/>
  <c r="D9749" i="3"/>
  <c r="J9749" i="3" s="1"/>
  <c r="D9750" i="3"/>
  <c r="I9750" i="3" s="1"/>
  <c r="D9751" i="3"/>
  <c r="D9752" i="3"/>
  <c r="D9753" i="3"/>
  <c r="I9753" i="3" s="1"/>
  <c r="D9754" i="3"/>
  <c r="J9754" i="3" s="1"/>
  <c r="D9755" i="3"/>
  <c r="J9755" i="3" s="1"/>
  <c r="D9756" i="3"/>
  <c r="I9756" i="3" s="1"/>
  <c r="D9757" i="3"/>
  <c r="I9757" i="3" s="1"/>
  <c r="D9758" i="3"/>
  <c r="J9758" i="3" s="1"/>
  <c r="D9759" i="3"/>
  <c r="I9759" i="3" s="1"/>
  <c r="D9760" i="3"/>
  <c r="J9760" i="3" s="1"/>
  <c r="D9761" i="3"/>
  <c r="D9762" i="3"/>
  <c r="D9763" i="3"/>
  <c r="I9763" i="3" s="1"/>
  <c r="D9764" i="3"/>
  <c r="J9764" i="3" s="1"/>
  <c r="D9765" i="3"/>
  <c r="J9765" i="3" s="1"/>
  <c r="D9766" i="3"/>
  <c r="I9766" i="3" s="1"/>
  <c r="D9767" i="3"/>
  <c r="J9767" i="3" s="1"/>
  <c r="D9768" i="3"/>
  <c r="I9768" i="3" s="1"/>
  <c r="D9769" i="3"/>
  <c r="J9769" i="3" s="1"/>
  <c r="D9770" i="3"/>
  <c r="D9771" i="3"/>
  <c r="J9771" i="3" s="1"/>
  <c r="D9772" i="3"/>
  <c r="I9772" i="3" s="1"/>
  <c r="D9773" i="3"/>
  <c r="J9773" i="3" s="1"/>
  <c r="D9774" i="3"/>
  <c r="I9774" i="3" s="1"/>
  <c r="D9775" i="3"/>
  <c r="I9775" i="3" s="1"/>
  <c r="D9776" i="3"/>
  <c r="J9776" i="3" s="1"/>
  <c r="D9777" i="3"/>
  <c r="I9777" i="3" s="1"/>
  <c r="D9778" i="3"/>
  <c r="I9778" i="3" s="1"/>
  <c r="D9779" i="3"/>
  <c r="D9780" i="3"/>
  <c r="I9780" i="3" s="1"/>
  <c r="D9781" i="3"/>
  <c r="I9781" i="3" s="1"/>
  <c r="D9782" i="3"/>
  <c r="J9782" i="3" s="1"/>
  <c r="D9783" i="3"/>
  <c r="I9783" i="3" s="1"/>
  <c r="D9784" i="3"/>
  <c r="I9784" i="3" s="1"/>
  <c r="D9785" i="3"/>
  <c r="J9785" i="3" s="1"/>
  <c r="D9786" i="3"/>
  <c r="I9786" i="3" s="1"/>
  <c r="D9787" i="3"/>
  <c r="D9788" i="3"/>
  <c r="D9789" i="3"/>
  <c r="I9789" i="3" s="1"/>
  <c r="D9790" i="3"/>
  <c r="I9790" i="3" s="1"/>
  <c r="D9791" i="3"/>
  <c r="J9791" i="3" s="1"/>
  <c r="D9792" i="3"/>
  <c r="I9792" i="3" s="1"/>
  <c r="D9793" i="3"/>
  <c r="J9793" i="3" s="1"/>
  <c r="D9794" i="3"/>
  <c r="J9794" i="3" s="1"/>
  <c r="D9795" i="3"/>
  <c r="I9795" i="3" s="1"/>
  <c r="D9796" i="3"/>
  <c r="J9796" i="3" s="1"/>
  <c r="D9797" i="3"/>
  <c r="D9798" i="3"/>
  <c r="J9798" i="3" s="1"/>
  <c r="D9799" i="3"/>
  <c r="I9799" i="3" s="1"/>
  <c r="D9800" i="3"/>
  <c r="J9800" i="3" s="1"/>
  <c r="D9801" i="3"/>
  <c r="I9801" i="3" s="1"/>
  <c r="D9802" i="3"/>
  <c r="J9802" i="3" s="1"/>
  <c r="D9803" i="3"/>
  <c r="J9803" i="3" s="1"/>
  <c r="D9804" i="3"/>
  <c r="I9804" i="3" s="1"/>
  <c r="D9805" i="3"/>
  <c r="I9805" i="3" s="1"/>
  <c r="D9806" i="3"/>
  <c r="D9807" i="3"/>
  <c r="I9807" i="3" s="1"/>
  <c r="D9808" i="3"/>
  <c r="I9808" i="3" s="1"/>
  <c r="D9809" i="3"/>
  <c r="J9809" i="3" s="1"/>
  <c r="D9810" i="3"/>
  <c r="I9810" i="3" s="1"/>
  <c r="D9811" i="3"/>
  <c r="D9812" i="3"/>
  <c r="J9812" i="3" s="1"/>
  <c r="D9813" i="3"/>
  <c r="J9813" i="3" s="1"/>
  <c r="D9814" i="3"/>
  <c r="J9814" i="3" s="1"/>
  <c r="D9815" i="3"/>
  <c r="D9816" i="3"/>
  <c r="J9816" i="3" s="1"/>
  <c r="D9817" i="3"/>
  <c r="I9817" i="3" s="1"/>
  <c r="D9818" i="3"/>
  <c r="J9818" i="3" s="1"/>
  <c r="D9819" i="3"/>
  <c r="I9819" i="3" s="1"/>
  <c r="D9820" i="3"/>
  <c r="I9820" i="3" s="1"/>
  <c r="D9821" i="3"/>
  <c r="J9821" i="3" s="1"/>
  <c r="D9822" i="3"/>
  <c r="D9823" i="3"/>
  <c r="I9823" i="3" s="1"/>
  <c r="D9824" i="3"/>
  <c r="D9825" i="3"/>
  <c r="I9825" i="3" s="1"/>
  <c r="D9826" i="3"/>
  <c r="J9826" i="3" s="1"/>
  <c r="D9827" i="3"/>
  <c r="J9827" i="3" s="1"/>
  <c r="D9828" i="3"/>
  <c r="D9829" i="3"/>
  <c r="I9829" i="3" s="1"/>
  <c r="D9830" i="3"/>
  <c r="I9830" i="3" s="1"/>
  <c r="D9831" i="3"/>
  <c r="I9831" i="3" s="1"/>
  <c r="D9832" i="3"/>
  <c r="I9832" i="3" s="1"/>
  <c r="D9833" i="3"/>
  <c r="I9833" i="3" s="1"/>
  <c r="D9834" i="3"/>
  <c r="J9834" i="3" s="1"/>
  <c r="D9835" i="3"/>
  <c r="I9835" i="3" s="1"/>
  <c r="D9836" i="3"/>
  <c r="I9836" i="3" s="1"/>
  <c r="D9837" i="3"/>
  <c r="I9837" i="3" s="1"/>
  <c r="D9838" i="3"/>
  <c r="I9838" i="3" s="1"/>
  <c r="D9839" i="3"/>
  <c r="I9839" i="3" s="1"/>
  <c r="D9840" i="3"/>
  <c r="I9840" i="3" s="1"/>
  <c r="D9841" i="3"/>
  <c r="D9842" i="3"/>
  <c r="I9842" i="3" s="1"/>
  <c r="D9843" i="3"/>
  <c r="J9843" i="3" s="1"/>
  <c r="D9844" i="3"/>
  <c r="I9844" i="3" s="1"/>
  <c r="D9845" i="3"/>
  <c r="I9845" i="3" s="1"/>
  <c r="D9846" i="3"/>
  <c r="I9846" i="3" s="1"/>
  <c r="D9847" i="3"/>
  <c r="D9848" i="3"/>
  <c r="I9848" i="3" s="1"/>
  <c r="D9849" i="3"/>
  <c r="D9850" i="3"/>
  <c r="I9850" i="3" s="1"/>
  <c r="D9851" i="3"/>
  <c r="I9851" i="3" s="1"/>
  <c r="D9852" i="3"/>
  <c r="D9853" i="3"/>
  <c r="D9854" i="3"/>
  <c r="I9854" i="3" s="1"/>
  <c r="D9855" i="3"/>
  <c r="J9855" i="3" s="1"/>
  <c r="D9856" i="3"/>
  <c r="I9856" i="3" s="1"/>
  <c r="D9857" i="3"/>
  <c r="I9857" i="3" s="1"/>
  <c r="D9858" i="3"/>
  <c r="D9859" i="3"/>
  <c r="I9859" i="3" s="1"/>
  <c r="D9860" i="3"/>
  <c r="I9860" i="3" s="1"/>
  <c r="D9861" i="3"/>
  <c r="I9861" i="3" s="1"/>
  <c r="D9862" i="3"/>
  <c r="J9862" i="3" s="1"/>
  <c r="D9863" i="3"/>
  <c r="I9863" i="3" s="1"/>
  <c r="D9864" i="3"/>
  <c r="D9865" i="3"/>
  <c r="I9865" i="3" s="1"/>
  <c r="D9866" i="3"/>
  <c r="I9866" i="3" s="1"/>
  <c r="D9867" i="3"/>
  <c r="I9867" i="3" s="1"/>
  <c r="D9868" i="3"/>
  <c r="I9868" i="3" s="1"/>
  <c r="D9869" i="3"/>
  <c r="I9869" i="3" s="1"/>
  <c r="D9870" i="3"/>
  <c r="I9870" i="3" s="1"/>
  <c r="D9871" i="3"/>
  <c r="D9872" i="3"/>
  <c r="I9872" i="3" s="1"/>
  <c r="D9873" i="3"/>
  <c r="I9873" i="3" s="1"/>
  <c r="D9874" i="3"/>
  <c r="I9874" i="3" s="1"/>
  <c r="D9875" i="3"/>
  <c r="I9875" i="3" s="1"/>
  <c r="D9876" i="3"/>
  <c r="I9876" i="3" s="1"/>
  <c r="D9877" i="3"/>
  <c r="I9877" i="3" s="1"/>
  <c r="D9878" i="3"/>
  <c r="I9878" i="3" s="1"/>
  <c r="D9879" i="3"/>
  <c r="J9879" i="3" s="1"/>
  <c r="D9880" i="3"/>
  <c r="D9881" i="3"/>
  <c r="I9881" i="3" s="1"/>
  <c r="D9882" i="3"/>
  <c r="I9882" i="3" s="1"/>
  <c r="D9883" i="3"/>
  <c r="I9883" i="3" s="1"/>
  <c r="D9884" i="3"/>
  <c r="I9884" i="3" s="1"/>
  <c r="D9885" i="3"/>
  <c r="D9886" i="3"/>
  <c r="I9886" i="3" s="1"/>
  <c r="D9887" i="3"/>
  <c r="I9887" i="3" s="1"/>
  <c r="D9888" i="3"/>
  <c r="J9888" i="3" s="1"/>
  <c r="D9889" i="3"/>
  <c r="J9889" i="3" s="1"/>
  <c r="D9890" i="3"/>
  <c r="I9890" i="3" s="1"/>
  <c r="D9891" i="3"/>
  <c r="D9892" i="3"/>
  <c r="D9893" i="3"/>
  <c r="I9893" i="3" s="1"/>
  <c r="D9894" i="3"/>
  <c r="D9895" i="3"/>
  <c r="J9895" i="3" s="1"/>
  <c r="D9896" i="3"/>
  <c r="I9896" i="3" s="1"/>
  <c r="D9897" i="3"/>
  <c r="I9897" i="3" s="1"/>
  <c r="D9898" i="3"/>
  <c r="D9899" i="3"/>
  <c r="I9899" i="3" s="1"/>
  <c r="D9900" i="3"/>
  <c r="I9900" i="3" s="1"/>
  <c r="D9901" i="3"/>
  <c r="D9902" i="3"/>
  <c r="I9902" i="3" s="1"/>
  <c r="D9903" i="3"/>
  <c r="I9903" i="3" s="1"/>
  <c r="D9904" i="3"/>
  <c r="J9904" i="3" s="1"/>
  <c r="D9905" i="3"/>
  <c r="I9905" i="3" s="1"/>
  <c r="D9906" i="3"/>
  <c r="D9907" i="3"/>
  <c r="D9908" i="3"/>
  <c r="I9908" i="3" s="1"/>
  <c r="D9909" i="3"/>
  <c r="D9910" i="3"/>
  <c r="J9910" i="3" s="1"/>
  <c r="D9911" i="3"/>
  <c r="I9911" i="3" s="1"/>
  <c r="D9912" i="3"/>
  <c r="I9912" i="3" s="1"/>
  <c r="D9913" i="3"/>
  <c r="J9913" i="3" s="1"/>
  <c r="D9914" i="3"/>
  <c r="I9914" i="3" s="1"/>
  <c r="D9915" i="3"/>
  <c r="I9915" i="3" s="1"/>
  <c r="D9916" i="3"/>
  <c r="D9917" i="3"/>
  <c r="I9917" i="3" s="1"/>
  <c r="D9918" i="3"/>
  <c r="D9919" i="3"/>
  <c r="J9919" i="3" s="1"/>
  <c r="D9920" i="3"/>
  <c r="I9920" i="3" s="1"/>
  <c r="D9921" i="3"/>
  <c r="I9921" i="3" s="1"/>
  <c r="D9922" i="3"/>
  <c r="J9922" i="3" s="1"/>
  <c r="D9923" i="3"/>
  <c r="I9923" i="3" s="1"/>
  <c r="D9924" i="3"/>
  <c r="J9924" i="3" s="1"/>
  <c r="D9925" i="3"/>
  <c r="D9926" i="3"/>
  <c r="I9926" i="3" s="1"/>
  <c r="D9927" i="3"/>
  <c r="D9928" i="3"/>
  <c r="J9928" i="3" s="1"/>
  <c r="D9929" i="3"/>
  <c r="I9929" i="3" s="1"/>
  <c r="D9930" i="3"/>
  <c r="D9931" i="3"/>
  <c r="D9932" i="3"/>
  <c r="I9932" i="3" s="1"/>
  <c r="D9933" i="3"/>
  <c r="I9933" i="3" s="1"/>
  <c r="D9934" i="3"/>
  <c r="D9935" i="3"/>
  <c r="I9935" i="3" s="1"/>
  <c r="D9936" i="3"/>
  <c r="D9937" i="3"/>
  <c r="J9937" i="3" s="1"/>
  <c r="D9938" i="3"/>
  <c r="I9938" i="3" s="1"/>
  <c r="D9939" i="3"/>
  <c r="I9939" i="3" s="1"/>
  <c r="D9940" i="3"/>
  <c r="J9940" i="3" s="1"/>
  <c r="D9941" i="3"/>
  <c r="I9941" i="3" s="1"/>
  <c r="D9942" i="3"/>
  <c r="I9942" i="3" s="1"/>
  <c r="D9943" i="3"/>
  <c r="D9944" i="3"/>
  <c r="I9944" i="3" s="1"/>
  <c r="D9945" i="3"/>
  <c r="D9946" i="3"/>
  <c r="J9946" i="3" s="1"/>
  <c r="D9947" i="3"/>
  <c r="I9947" i="3" s="1"/>
  <c r="D9948" i="3"/>
  <c r="I9948" i="3" s="1"/>
  <c r="D9949" i="3"/>
  <c r="J9949" i="3" s="1"/>
  <c r="D9950" i="3"/>
  <c r="I9950" i="3" s="1"/>
  <c r="D9951" i="3"/>
  <c r="I9951" i="3" s="1"/>
  <c r="D9952" i="3"/>
  <c r="D9953" i="3"/>
  <c r="I9953" i="3" s="1"/>
  <c r="D9954" i="3"/>
  <c r="D9955" i="3"/>
  <c r="J9955" i="3" s="1"/>
  <c r="D9956" i="3"/>
  <c r="I9956" i="3" s="1"/>
  <c r="D9957" i="3"/>
  <c r="I9957" i="3" s="1"/>
  <c r="D9958" i="3"/>
  <c r="J9958" i="3" s="1"/>
  <c r="D9959" i="3"/>
  <c r="I9959" i="3" s="1"/>
  <c r="D9960" i="3"/>
  <c r="I9960" i="3" s="1"/>
  <c r="D9961" i="3"/>
  <c r="D9962" i="3"/>
  <c r="I9962" i="3" s="1"/>
  <c r="D9963" i="3"/>
  <c r="D9964" i="3"/>
  <c r="J9964" i="3" s="1"/>
  <c r="D9965" i="3"/>
  <c r="I9965" i="3" s="1"/>
  <c r="D9966" i="3"/>
  <c r="J9966" i="3" s="1"/>
  <c r="D9967" i="3"/>
  <c r="J9967" i="3" s="1"/>
  <c r="D9968" i="3"/>
  <c r="I9968" i="3" s="1"/>
  <c r="D9969" i="3"/>
  <c r="J9969" i="3" s="1"/>
  <c r="D9970" i="3"/>
  <c r="J9970" i="3" s="1"/>
  <c r="D9971" i="3"/>
  <c r="I9971" i="3" s="1"/>
  <c r="D9972" i="3"/>
  <c r="D9973" i="3"/>
  <c r="J9973" i="3" s="1"/>
  <c r="D9974" i="3"/>
  <c r="I9974" i="3" s="1"/>
  <c r="D9975" i="3"/>
  <c r="I9975" i="3" s="1"/>
  <c r="D9976" i="3"/>
  <c r="D9977" i="3"/>
  <c r="I9977" i="3" s="1"/>
  <c r="D9978" i="3"/>
  <c r="I9978" i="3" s="1"/>
  <c r="D9979" i="3"/>
  <c r="D9980" i="3"/>
  <c r="I9980" i="3" s="1"/>
  <c r="D9981" i="3"/>
  <c r="D9982" i="3"/>
  <c r="J9982" i="3" s="1"/>
  <c r="D9983" i="3"/>
  <c r="I9983" i="3" s="1"/>
  <c r="D9984" i="3"/>
  <c r="J9984" i="3" s="1"/>
  <c r="D9985" i="3"/>
  <c r="D9986" i="3"/>
  <c r="I9986" i="3" s="1"/>
  <c r="D9987" i="3"/>
  <c r="I9987" i="3" s="1"/>
  <c r="D9988" i="3"/>
  <c r="J9988" i="3" s="1"/>
  <c r="D9989" i="3"/>
  <c r="I9989" i="3" s="1"/>
  <c r="D9990" i="3"/>
  <c r="D9991" i="3"/>
  <c r="D9992" i="3"/>
  <c r="I9992" i="3" s="1"/>
  <c r="D9993" i="3"/>
  <c r="J9993" i="3" s="1"/>
  <c r="D9994" i="3"/>
  <c r="D9995" i="3"/>
  <c r="I9995" i="3" s="1"/>
  <c r="D9996" i="3"/>
  <c r="I9996" i="3" s="1"/>
  <c r="D9997" i="3"/>
  <c r="J9997" i="3" s="1"/>
  <c r="D9998" i="3"/>
  <c r="I9998" i="3" s="1"/>
  <c r="D9999" i="3"/>
  <c r="D10000" i="3"/>
  <c r="J10000" i="3" s="1"/>
  <c r="D10001" i="3"/>
  <c r="D10002" i="3"/>
  <c r="D10003" i="3"/>
  <c r="D10004" i="3"/>
  <c r="D10005" i="3"/>
  <c r="D10006" i="3"/>
  <c r="J10006" i="3" s="1"/>
  <c r="D10007" i="3"/>
  <c r="D10008" i="3"/>
  <c r="D10009" i="3"/>
  <c r="D10010" i="3"/>
  <c r="J10010" i="3" s="1"/>
  <c r="D10011" i="3"/>
  <c r="D10012" i="3"/>
  <c r="I10012" i="3" s="1"/>
  <c r="D10013" i="3"/>
  <c r="D10014" i="3"/>
  <c r="D10015" i="3"/>
  <c r="D10016" i="3"/>
  <c r="J10016" i="3" s="1"/>
  <c r="D10017" i="3"/>
  <c r="D10018" i="3"/>
  <c r="D10019" i="3"/>
  <c r="I10019" i="3" s="1"/>
  <c r="D10020" i="3"/>
  <c r="D10021" i="3"/>
  <c r="I10021" i="3" s="1"/>
  <c r="D10022" i="3"/>
  <c r="I10022" i="3" s="1"/>
  <c r="D10023" i="3"/>
  <c r="D10024" i="3"/>
  <c r="I10024" i="3" s="1"/>
  <c r="D10025" i="3"/>
  <c r="I10025" i="3" s="1"/>
  <c r="D10026" i="3"/>
  <c r="D10027" i="3"/>
  <c r="D10028" i="3"/>
  <c r="I10028" i="3" s="1"/>
  <c r="D10029" i="3"/>
  <c r="D10030" i="3"/>
  <c r="D10031" i="3"/>
  <c r="I10031" i="3" s="1"/>
  <c r="D10032" i="3"/>
  <c r="D10033" i="3"/>
  <c r="I10033" i="3" s="1"/>
  <c r="D10034" i="3"/>
  <c r="D10035" i="3"/>
  <c r="D10036" i="3"/>
  <c r="D10037" i="3"/>
  <c r="I10037" i="3" s="1"/>
  <c r="D10038" i="3"/>
  <c r="D10039" i="3"/>
  <c r="I10039" i="3" s="1"/>
  <c r="D10040" i="3"/>
  <c r="I10040" i="3" s="1"/>
  <c r="D10041" i="3"/>
  <c r="D10042" i="3"/>
  <c r="I10042" i="3" s="1"/>
  <c r="D10043" i="3"/>
  <c r="J10043" i="3" s="1"/>
  <c r="D10044" i="3"/>
  <c r="D10045" i="3"/>
  <c r="D10046" i="3"/>
  <c r="I10046" i="3" s="1"/>
  <c r="D10047" i="3"/>
  <c r="D10048" i="3"/>
  <c r="D10049" i="3"/>
  <c r="D10050" i="3"/>
  <c r="D10051" i="3"/>
  <c r="D10052" i="3"/>
  <c r="J10052" i="3" s="1"/>
  <c r="D10053" i="3"/>
  <c r="D10054" i="3"/>
  <c r="J10054" i="3" s="1"/>
  <c r="D10055" i="3"/>
  <c r="I10055" i="3" s="1"/>
  <c r="D10056" i="3"/>
  <c r="D10057" i="3"/>
  <c r="I10057" i="3" s="1"/>
  <c r="D10058" i="3"/>
  <c r="J10058" i="3" s="1"/>
  <c r="D10059" i="3"/>
  <c r="D10060" i="3"/>
  <c r="J10060" i="3" s="1"/>
  <c r="D10061" i="3"/>
  <c r="I10061" i="3" s="1"/>
  <c r="D10062" i="3"/>
  <c r="D10063" i="3"/>
  <c r="D10064" i="3"/>
  <c r="I10064" i="3" s="1"/>
  <c r="D10065" i="3"/>
  <c r="D10066" i="3"/>
  <c r="D10067" i="3"/>
  <c r="I10067" i="3" s="1"/>
  <c r="D10068" i="3"/>
  <c r="D10069" i="3"/>
  <c r="I10069" i="3" s="1"/>
  <c r="D10070" i="3"/>
  <c r="D10071" i="3"/>
  <c r="D10072" i="3"/>
  <c r="D10073" i="3"/>
  <c r="I10073" i="3" s="1"/>
  <c r="D10074" i="3"/>
  <c r="D10075" i="3"/>
  <c r="I10075" i="3" s="1"/>
  <c r="D10076" i="3"/>
  <c r="I10076" i="3" s="1"/>
  <c r="D10077" i="3"/>
  <c r="D10078" i="3"/>
  <c r="I10078" i="3" s="1"/>
  <c r="D10079" i="3"/>
  <c r="J10079" i="3" s="1"/>
  <c r="D10080" i="3"/>
  <c r="D10081" i="3"/>
  <c r="I10081" i="3" s="1"/>
  <c r="D10082" i="3"/>
  <c r="I10082" i="3" s="1"/>
  <c r="D10083" i="3"/>
  <c r="D10084" i="3"/>
  <c r="I10084" i="3" s="1"/>
  <c r="D10085" i="3"/>
  <c r="D10086" i="3"/>
  <c r="D10087" i="3"/>
  <c r="D10088" i="3"/>
  <c r="I10088" i="3" s="1"/>
  <c r="D10089" i="3"/>
  <c r="D10090" i="3"/>
  <c r="I10090" i="3" s="1"/>
  <c r="D10091" i="3"/>
  <c r="I10091" i="3" s="1"/>
  <c r="D10092" i="3"/>
  <c r="D10093" i="3"/>
  <c r="I10093" i="3" s="1"/>
  <c r="D10094" i="3"/>
  <c r="J10094" i="3" s="1"/>
  <c r="D10095" i="3"/>
  <c r="D10096" i="3"/>
  <c r="J10096" i="3" s="1"/>
  <c r="D10097" i="3"/>
  <c r="I10097" i="3" s="1"/>
  <c r="D10098" i="3"/>
  <c r="D10099" i="3"/>
  <c r="I10099" i="3" s="1"/>
  <c r="D10100" i="3"/>
  <c r="I10100" i="3" s="1"/>
  <c r="D10101" i="3"/>
  <c r="D10102" i="3"/>
  <c r="I10102" i="3" s="1"/>
  <c r="D10103" i="3"/>
  <c r="I10103" i="3" s="1"/>
  <c r="D10104" i="3"/>
  <c r="D10105" i="3"/>
  <c r="I10105" i="3" s="1"/>
  <c r="D10106" i="3"/>
  <c r="D10107" i="3"/>
  <c r="D10108" i="3"/>
  <c r="D10109" i="3"/>
  <c r="I10109" i="3" s="1"/>
  <c r="D10110" i="3"/>
  <c r="D10111" i="3"/>
  <c r="I10111" i="3" s="1"/>
  <c r="D10112" i="3"/>
  <c r="I10112" i="3" s="1"/>
  <c r="D10113" i="3"/>
  <c r="D10114" i="3"/>
  <c r="I10114" i="3" s="1"/>
  <c r="D10115" i="3"/>
  <c r="J10115" i="3" s="1"/>
  <c r="D10116" i="3"/>
  <c r="D10117" i="3"/>
  <c r="J10117" i="3" s="1"/>
  <c r="D10118" i="3"/>
  <c r="I10118" i="3" s="1"/>
  <c r="D10119" i="3"/>
  <c r="D10120" i="3"/>
  <c r="I10120" i="3" s="1"/>
  <c r="D10121" i="3"/>
  <c r="D10122" i="3"/>
  <c r="D10123" i="3"/>
  <c r="D10124" i="3"/>
  <c r="J10124" i="3" s="1"/>
  <c r="D10125" i="3"/>
  <c r="D10126" i="3"/>
  <c r="J10126" i="3" s="1"/>
  <c r="D10127" i="3"/>
  <c r="I10127" i="3" s="1"/>
  <c r="D10128" i="3"/>
  <c r="D10129" i="3"/>
  <c r="I10129" i="3" s="1"/>
  <c r="D10130" i="3"/>
  <c r="I10130" i="3" s="1"/>
  <c r="D10131" i="3"/>
  <c r="D10132" i="3"/>
  <c r="J10132" i="3" s="1"/>
  <c r="D10133" i="3"/>
  <c r="I10133" i="3" s="1"/>
  <c r="D10134" i="3"/>
  <c r="D10135" i="3"/>
  <c r="I10135" i="3" s="1"/>
  <c r="D10136" i="3"/>
  <c r="I10136" i="3" s="1"/>
  <c r="D10137" i="3"/>
  <c r="D10138" i="3"/>
  <c r="D10139" i="3"/>
  <c r="I10139" i="3" s="1"/>
  <c r="D10140" i="3"/>
  <c r="D10141" i="3"/>
  <c r="I10141" i="3" s="1"/>
  <c r="D10142" i="3"/>
  <c r="D10143" i="3"/>
  <c r="D10144" i="3"/>
  <c r="D10145" i="3"/>
  <c r="I10145" i="3" s="1"/>
  <c r="D10146" i="3"/>
  <c r="D10147" i="3"/>
  <c r="I10147" i="3" s="1"/>
  <c r="D10148" i="3"/>
  <c r="I10148" i="3" s="1"/>
  <c r="D10149" i="3"/>
  <c r="D10150" i="3"/>
  <c r="I10150" i="3" s="1"/>
  <c r="D10151" i="3"/>
  <c r="J10151" i="3" s="1"/>
  <c r="D10152" i="3"/>
  <c r="D10153" i="3"/>
  <c r="J10153" i="3" s="1"/>
  <c r="D10154" i="3"/>
  <c r="I10154" i="3" s="1"/>
  <c r="D10155" i="3"/>
  <c r="D10156" i="3"/>
  <c r="I10156" i="3" s="1"/>
  <c r="D10157" i="3"/>
  <c r="D10158" i="3"/>
  <c r="D10159" i="3"/>
  <c r="D10160" i="3"/>
  <c r="J10160" i="3" s="1"/>
  <c r="D10161" i="3"/>
  <c r="D10162" i="3"/>
  <c r="J10162" i="3" s="1"/>
  <c r="D10163" i="3"/>
  <c r="I10163" i="3" s="1"/>
  <c r="D10164" i="3"/>
  <c r="D10165" i="3"/>
  <c r="I10165" i="3" s="1"/>
  <c r="D10166" i="3"/>
  <c r="I10166" i="3" s="1"/>
  <c r="D10167" i="3"/>
  <c r="D10168" i="3"/>
  <c r="I10168" i="3" s="1"/>
  <c r="D10169" i="3"/>
  <c r="I10169" i="3" s="1"/>
  <c r="D10170" i="3"/>
  <c r="D10171" i="3"/>
  <c r="I10171" i="3" s="1"/>
  <c r="D10172" i="3"/>
  <c r="I10172" i="3" s="1"/>
  <c r="D10173" i="3"/>
  <c r="D10174" i="3"/>
  <c r="I10174" i="3" s="1"/>
  <c r="D10175" i="3"/>
  <c r="I10175" i="3" s="1"/>
  <c r="D10176" i="3"/>
  <c r="D10177" i="3"/>
  <c r="I10177" i="3" s="1"/>
  <c r="D10178" i="3"/>
  <c r="D10179" i="3"/>
  <c r="D10180" i="3"/>
  <c r="D10181" i="3"/>
  <c r="I10181" i="3" s="1"/>
  <c r="D10182" i="3"/>
  <c r="D10183" i="3"/>
  <c r="I10183" i="3" s="1"/>
  <c r="D10184" i="3"/>
  <c r="I10184" i="3" s="1"/>
  <c r="D10185" i="3"/>
  <c r="D10186" i="3"/>
  <c r="I10186" i="3" s="1"/>
  <c r="D10187" i="3"/>
  <c r="J10187" i="3" s="1"/>
  <c r="D10188" i="3"/>
  <c r="D10189" i="3"/>
  <c r="J10189" i="3" s="1"/>
  <c r="D10190" i="3"/>
  <c r="I10190" i="3" s="1"/>
  <c r="D10191" i="3"/>
  <c r="D10192" i="3"/>
  <c r="I10192" i="3" s="1"/>
  <c r="D10193" i="3"/>
  <c r="D10194" i="3"/>
  <c r="D10195" i="3"/>
  <c r="D10196" i="3"/>
  <c r="J10196" i="3" s="1"/>
  <c r="D10197" i="3"/>
  <c r="D10198" i="3"/>
  <c r="J10198" i="3" s="1"/>
  <c r="D10199" i="3"/>
  <c r="I10199" i="3" s="1"/>
  <c r="D10200" i="3"/>
  <c r="D10201" i="3"/>
  <c r="I10201" i="3" s="1"/>
  <c r="D10202" i="3"/>
  <c r="J10202" i="3" s="1"/>
  <c r="D10203" i="3"/>
  <c r="D10204" i="3"/>
  <c r="J10204" i="3" s="1"/>
  <c r="D10205" i="3"/>
  <c r="I10205" i="3" s="1"/>
  <c r="D10206" i="3"/>
  <c r="D10207" i="3"/>
  <c r="I10207" i="3" s="1"/>
  <c r="D10208" i="3"/>
  <c r="I10208" i="3" s="1"/>
  <c r="D10209" i="3"/>
  <c r="D10210" i="3"/>
  <c r="I10210" i="3" s="1"/>
  <c r="D10211" i="3"/>
  <c r="I10211" i="3" s="1"/>
  <c r="D10212" i="3"/>
  <c r="D10213" i="3"/>
  <c r="I10213" i="3" s="1"/>
  <c r="D10214" i="3"/>
  <c r="D10215" i="3"/>
  <c r="D10216" i="3"/>
  <c r="D10217" i="3"/>
  <c r="I10217" i="3" s="1"/>
  <c r="D10218" i="3"/>
  <c r="D10219" i="3"/>
  <c r="I10219" i="3" s="1"/>
  <c r="D10220" i="3"/>
  <c r="I10220" i="3" s="1"/>
  <c r="D10221" i="3"/>
  <c r="D10222" i="3"/>
  <c r="I10222" i="3" s="1"/>
  <c r="D10223" i="3"/>
  <c r="J10223" i="3" s="1"/>
  <c r="D10224" i="3"/>
  <c r="D10225" i="3"/>
  <c r="J10225" i="3" s="1"/>
  <c r="D10226" i="3"/>
  <c r="I10226" i="3" s="1"/>
  <c r="D10227" i="3"/>
  <c r="D10228" i="3"/>
  <c r="I10228" i="3" s="1"/>
  <c r="D10229" i="3"/>
  <c r="D10230" i="3"/>
  <c r="D10231" i="3"/>
  <c r="D10232" i="3"/>
  <c r="J10232" i="3" s="1"/>
  <c r="D10233" i="3"/>
  <c r="D10234" i="3"/>
  <c r="J10234" i="3" s="1"/>
  <c r="D10235" i="3"/>
  <c r="I10235" i="3" s="1"/>
  <c r="D10236" i="3"/>
  <c r="D10237" i="3"/>
  <c r="D10238" i="3"/>
  <c r="D10239" i="3"/>
  <c r="J10239" i="3" s="1"/>
  <c r="D10240" i="3"/>
  <c r="D10241" i="3"/>
  <c r="I10241" i="3" s="1"/>
  <c r="D10242" i="3"/>
  <c r="D10243" i="3"/>
  <c r="D10244" i="3"/>
  <c r="D10245" i="3"/>
  <c r="J10245" i="3" s="1"/>
  <c r="D10246" i="3"/>
  <c r="D10247" i="3"/>
  <c r="I10247" i="3" s="1"/>
  <c r="D10248" i="3"/>
  <c r="J10248" i="3" s="1"/>
  <c r="D10249" i="3"/>
  <c r="D10250" i="3"/>
  <c r="D10251" i="3"/>
  <c r="J10251" i="3" s="1"/>
  <c r="D10252" i="3"/>
  <c r="D10253" i="3"/>
  <c r="J10253" i="3" s="1"/>
  <c r="D10254" i="3"/>
  <c r="J10254" i="3" s="1"/>
  <c r="D10255" i="3"/>
  <c r="D10256" i="3"/>
  <c r="J10256" i="3" s="1"/>
  <c r="D10257" i="3"/>
  <c r="J10257" i="3" s="1"/>
  <c r="D10258" i="3"/>
  <c r="D10259" i="3"/>
  <c r="I10259" i="3" s="1"/>
  <c r="D10260" i="3"/>
  <c r="J10260" i="3" s="1"/>
  <c r="D10261" i="3"/>
  <c r="D10262" i="3"/>
  <c r="J10262" i="3" s="1"/>
  <c r="D10263" i="3"/>
  <c r="J10263" i="3" s="1"/>
  <c r="D10264" i="3"/>
  <c r="D10265" i="3"/>
  <c r="J10265" i="3" s="1"/>
  <c r="D10266" i="3"/>
  <c r="I10266" i="3" s="1"/>
  <c r="D10267" i="3"/>
  <c r="D10268" i="3"/>
  <c r="J10268" i="3" s="1"/>
  <c r="D10269" i="3"/>
  <c r="I10269" i="3" s="1"/>
  <c r="D10270" i="3"/>
  <c r="D10271" i="3"/>
  <c r="I10271" i="3" s="1"/>
  <c r="D10272" i="3"/>
  <c r="I10272" i="3" s="1"/>
  <c r="D10273" i="3"/>
  <c r="D10274" i="3"/>
  <c r="J10274" i="3" s="1"/>
  <c r="D10275" i="3"/>
  <c r="I10275" i="3" s="1"/>
  <c r="D10276" i="3"/>
  <c r="D10277" i="3"/>
  <c r="D10278" i="3"/>
  <c r="I10278" i="3" s="1"/>
  <c r="D10279" i="3"/>
  <c r="J10279" i="3" s="1"/>
  <c r="D10280" i="3"/>
  <c r="J10280" i="3" s="1"/>
  <c r="D10281" i="3"/>
  <c r="I10281" i="3" s="1"/>
  <c r="D10282" i="3"/>
  <c r="D10283" i="3"/>
  <c r="J10283" i="3" s="1"/>
  <c r="D10284" i="3"/>
  <c r="D10285" i="3"/>
  <c r="D10286" i="3"/>
  <c r="J10286" i="3" s="1"/>
  <c r="D10287" i="3"/>
  <c r="I10287" i="3" s="1"/>
  <c r="D10288" i="3"/>
  <c r="I10288" i="3" s="1"/>
  <c r="D10289" i="3"/>
  <c r="D10290" i="3"/>
  <c r="I10290" i="3" s="1"/>
  <c r="D10291" i="3"/>
  <c r="D10292" i="3"/>
  <c r="I10292" i="3" s="1"/>
  <c r="D10293" i="3"/>
  <c r="I10293" i="3" s="1"/>
  <c r="D10294" i="3"/>
  <c r="I10294" i="3" s="1"/>
  <c r="D10295" i="3"/>
  <c r="I10295" i="3" s="1"/>
  <c r="D10296" i="3"/>
  <c r="I10296" i="3" s="1"/>
  <c r="D10297" i="3"/>
  <c r="I10297" i="3" s="1"/>
  <c r="D10298" i="3"/>
  <c r="D10299" i="3"/>
  <c r="I10299" i="3" s="1"/>
  <c r="D10300" i="3"/>
  <c r="I10300" i="3" s="1"/>
  <c r="D10301" i="3"/>
  <c r="I10301" i="3" s="1"/>
  <c r="D10302" i="3"/>
  <c r="I10302" i="3" s="1"/>
  <c r="D10303" i="3"/>
  <c r="D10304" i="3"/>
  <c r="I10304" i="3" s="1"/>
  <c r="D10305" i="3"/>
  <c r="I10305" i="3" s="1"/>
  <c r="D10306" i="3"/>
  <c r="I10306" i="3" s="1"/>
  <c r="D10307" i="3"/>
  <c r="I10307" i="3" s="1"/>
  <c r="D10308" i="3"/>
  <c r="I10308" i="3" s="1"/>
  <c r="D10309" i="3"/>
  <c r="I10309" i="3" s="1"/>
  <c r="D10310" i="3"/>
  <c r="D10311" i="3"/>
  <c r="I10311" i="3" s="1"/>
  <c r="D10312" i="3"/>
  <c r="I10312" i="3" s="1"/>
  <c r="D10313" i="3"/>
  <c r="J10313" i="3" s="1"/>
  <c r="D10314" i="3"/>
  <c r="I10314" i="3" s="1"/>
  <c r="D10315" i="3"/>
  <c r="D10316" i="3"/>
  <c r="J10316" i="3" s="1"/>
  <c r="D10317" i="3"/>
  <c r="I10317" i="3" s="1"/>
  <c r="D10318" i="3"/>
  <c r="I10318" i="3" s="1"/>
  <c r="D10319" i="3"/>
  <c r="J10319" i="3" s="1"/>
  <c r="D10320" i="3"/>
  <c r="J10320" i="3" s="1"/>
  <c r="D10321" i="3"/>
  <c r="I10321" i="3" s="1"/>
  <c r="D10322" i="3"/>
  <c r="D10323" i="3"/>
  <c r="I10323" i="3" s="1"/>
  <c r="D10324" i="3"/>
  <c r="D10325" i="3"/>
  <c r="I10325" i="3" s="1"/>
  <c r="D10326" i="3"/>
  <c r="I10326" i="3" s="1"/>
  <c r="D10327" i="3"/>
  <c r="J10327" i="3" s="1"/>
  <c r="D10328" i="3"/>
  <c r="I10328" i="3" s="1"/>
  <c r="D10329" i="3"/>
  <c r="D10330" i="3"/>
  <c r="D10331" i="3"/>
  <c r="J10331" i="3" s="1"/>
  <c r="D10332" i="3"/>
  <c r="I10332" i="3" s="1"/>
  <c r="D10333" i="3"/>
  <c r="J10333" i="3" s="1"/>
  <c r="D10334" i="3"/>
  <c r="J10334" i="3" s="1"/>
  <c r="D10335" i="3"/>
  <c r="I10335" i="3" s="1"/>
  <c r="D10336" i="3"/>
  <c r="D10337" i="3"/>
  <c r="I10337" i="3" s="1"/>
  <c r="D10338" i="3"/>
  <c r="I10338" i="3" s="1"/>
  <c r="D10339" i="3"/>
  <c r="D10340" i="3"/>
  <c r="I10340" i="3" s="1"/>
  <c r="D10341" i="3"/>
  <c r="D10342" i="3"/>
  <c r="I10342" i="3" s="1"/>
  <c r="D10343" i="3"/>
  <c r="D10344" i="3"/>
  <c r="I10344" i="3" s="1"/>
  <c r="D10345" i="3"/>
  <c r="I10345" i="3" s="1"/>
  <c r="D10346" i="3"/>
  <c r="I10346" i="3" s="1"/>
  <c r="D10347" i="3"/>
  <c r="I10347" i="3" s="1"/>
  <c r="D10348" i="3"/>
  <c r="I10348" i="3" s="1"/>
  <c r="D10349" i="3"/>
  <c r="I10349" i="3" s="1"/>
  <c r="D10350" i="3"/>
  <c r="D10351" i="3"/>
  <c r="I10351" i="3" s="1"/>
  <c r="D10352" i="3"/>
  <c r="D10353" i="3"/>
  <c r="I10353" i="3" s="1"/>
  <c r="D10354" i="3"/>
  <c r="I10354" i="3" s="1"/>
  <c r="D10355" i="3"/>
  <c r="I10355" i="3" s="1"/>
  <c r="D10356" i="3"/>
  <c r="I10356" i="3" s="1"/>
  <c r="D10357" i="3"/>
  <c r="I10357" i="3" s="1"/>
  <c r="D10358" i="3"/>
  <c r="I10358" i="3" s="1"/>
  <c r="D10359" i="3"/>
  <c r="D10360" i="3"/>
  <c r="I10360" i="3" s="1"/>
  <c r="D10361" i="3"/>
  <c r="D10362" i="3"/>
  <c r="I10362" i="3" s="1"/>
  <c r="D10363" i="3"/>
  <c r="I10363" i="3" s="1"/>
  <c r="D10364" i="3"/>
  <c r="I10364" i="3" s="1"/>
  <c r="D10365" i="3"/>
  <c r="I10365" i="3" s="1"/>
  <c r="D10366" i="3"/>
  <c r="I10366" i="3" s="1"/>
  <c r="D10367" i="3"/>
  <c r="I10367" i="3" s="1"/>
  <c r="D10368" i="3"/>
  <c r="D10369" i="3"/>
  <c r="I10369" i="3" s="1"/>
  <c r="D10370" i="3"/>
  <c r="D10371" i="3"/>
  <c r="I10371" i="3" s="1"/>
  <c r="D10372" i="3"/>
  <c r="I10372" i="3" s="1"/>
  <c r="D10373" i="3"/>
  <c r="I10373" i="3" s="1"/>
  <c r="D10374" i="3"/>
  <c r="I10374" i="3" s="1"/>
  <c r="D10375" i="3"/>
  <c r="I10375" i="3" s="1"/>
  <c r="D10376" i="3"/>
  <c r="I10376" i="3" s="1"/>
  <c r="D10377" i="3"/>
  <c r="D10378" i="3"/>
  <c r="I10378" i="3" s="1"/>
  <c r="D10379" i="3"/>
  <c r="D10380" i="3"/>
  <c r="J10380" i="3" s="1"/>
  <c r="D10381" i="3"/>
  <c r="I10381" i="3" s="1"/>
  <c r="D10382" i="3"/>
  <c r="J10382" i="3" s="1"/>
  <c r="D10383" i="3"/>
  <c r="I10383" i="3" s="1"/>
  <c r="D10384" i="3"/>
  <c r="D10385" i="3"/>
  <c r="J10385" i="3" s="1"/>
  <c r="D10386" i="3"/>
  <c r="I10386" i="3" s="1"/>
  <c r="D10387" i="3"/>
  <c r="I10387" i="3" s="1"/>
  <c r="D10388" i="3"/>
  <c r="J10388" i="3" s="1"/>
  <c r="D10389" i="3"/>
  <c r="J10389" i="3" s="1"/>
  <c r="D10390" i="3"/>
  <c r="I10390" i="3" s="1"/>
  <c r="D10391" i="3"/>
  <c r="D10392" i="3"/>
  <c r="I10392" i="3" s="1"/>
  <c r="D10393" i="3"/>
  <c r="I10393" i="3" s="1"/>
  <c r="D10394" i="3"/>
  <c r="J10394" i="3" s="1"/>
  <c r="D10395" i="3"/>
  <c r="I10395" i="3" s="1"/>
  <c r="D10396" i="3"/>
  <c r="D10397" i="3"/>
  <c r="J10397" i="3" s="1"/>
  <c r="D10398" i="3"/>
  <c r="I10398" i="3" s="1"/>
  <c r="D10399" i="3"/>
  <c r="I10399" i="3" s="1"/>
  <c r="D10400" i="3"/>
  <c r="I10400" i="3" s="1"/>
  <c r="D10401" i="3"/>
  <c r="J10401" i="3" s="1"/>
  <c r="D10402" i="3"/>
  <c r="I10402" i="3" s="1"/>
  <c r="D10403" i="3"/>
  <c r="D10404" i="3"/>
  <c r="I10404" i="3" s="1"/>
  <c r="D10405" i="3"/>
  <c r="I10405" i="3" s="1"/>
  <c r="D10406" i="3"/>
  <c r="J10406" i="3" s="1"/>
  <c r="D10407" i="3"/>
  <c r="I10407" i="3" s="1"/>
  <c r="D10408" i="3"/>
  <c r="D10409" i="3"/>
  <c r="J10409" i="3" s="1"/>
  <c r="D10410" i="3"/>
  <c r="I10410" i="3" s="1"/>
  <c r="D10411" i="3"/>
  <c r="I10411" i="3" s="1"/>
  <c r="D10412" i="3"/>
  <c r="I10412" i="3" s="1"/>
  <c r="D10413" i="3"/>
  <c r="J10413" i="3" s="1"/>
  <c r="D10414" i="3"/>
  <c r="I10414" i="3" s="1"/>
  <c r="D10415" i="3"/>
  <c r="D10416" i="3"/>
  <c r="I10416" i="3" s="1"/>
  <c r="D10417" i="3"/>
  <c r="I10417" i="3" s="1"/>
  <c r="D10418" i="3"/>
  <c r="J10418" i="3" s="1"/>
  <c r="D10419" i="3"/>
  <c r="I10419" i="3" s="1"/>
  <c r="D10420" i="3"/>
  <c r="D10421" i="3"/>
  <c r="J10421" i="3" s="1"/>
  <c r="D10422" i="3"/>
  <c r="I10422" i="3" s="1"/>
  <c r="D10423" i="3"/>
  <c r="I10423" i="3" s="1"/>
  <c r="F10450" i="3"/>
  <c r="G10450" i="3"/>
  <c r="F10452" i="3"/>
  <c r="G10452" i="3"/>
  <c r="B10450" i="3"/>
  <c r="B10452" i="3"/>
  <c r="C10452" i="3"/>
  <c r="B10274" i="3"/>
  <c r="C10274" i="3"/>
  <c r="F10274" i="3"/>
  <c r="G10274" i="3"/>
  <c r="B10275" i="3"/>
  <c r="C10275" i="3"/>
  <c r="F10275" i="3"/>
  <c r="G10275" i="3"/>
  <c r="B10276" i="3"/>
  <c r="C10276" i="3"/>
  <c r="F10276" i="3"/>
  <c r="G10276" i="3"/>
  <c r="B10277" i="3"/>
  <c r="C10277" i="3"/>
  <c r="F10277" i="3"/>
  <c r="G10277" i="3"/>
  <c r="B10278" i="3"/>
  <c r="C10278" i="3"/>
  <c r="F10278" i="3"/>
  <c r="G10278" i="3"/>
  <c r="B10279" i="3"/>
  <c r="C10279" i="3"/>
  <c r="F10279" i="3"/>
  <c r="G10279" i="3"/>
  <c r="B10280" i="3"/>
  <c r="C10280" i="3"/>
  <c r="F10280" i="3"/>
  <c r="G10280" i="3"/>
  <c r="B10281" i="3"/>
  <c r="C10281" i="3"/>
  <c r="F10281" i="3"/>
  <c r="G10281" i="3"/>
  <c r="B10282" i="3"/>
  <c r="C10282" i="3"/>
  <c r="F10282" i="3"/>
  <c r="G10282" i="3"/>
  <c r="B10283" i="3"/>
  <c r="C10283" i="3"/>
  <c r="F10283" i="3"/>
  <c r="G10283" i="3"/>
  <c r="B10284" i="3"/>
  <c r="C10284" i="3"/>
  <c r="F10284" i="3"/>
  <c r="G10284" i="3"/>
  <c r="B10285" i="3"/>
  <c r="C10285" i="3"/>
  <c r="F10285" i="3"/>
  <c r="G10285" i="3"/>
  <c r="B10286" i="3"/>
  <c r="C10286" i="3"/>
  <c r="F10286" i="3"/>
  <c r="G10286" i="3"/>
  <c r="B10287" i="3"/>
  <c r="C10287" i="3"/>
  <c r="F10287" i="3"/>
  <c r="G10287" i="3"/>
  <c r="B10288" i="3"/>
  <c r="C10288" i="3"/>
  <c r="F10288" i="3"/>
  <c r="G10288" i="3"/>
  <c r="B10289" i="3"/>
  <c r="C10289" i="3"/>
  <c r="F10289" i="3"/>
  <c r="G10289" i="3"/>
  <c r="B10290" i="3"/>
  <c r="C10290" i="3"/>
  <c r="F10290" i="3"/>
  <c r="G10290" i="3"/>
  <c r="B10291" i="3"/>
  <c r="C10291" i="3"/>
  <c r="F10291" i="3"/>
  <c r="G10291" i="3"/>
  <c r="B10292" i="3"/>
  <c r="C10292" i="3"/>
  <c r="F10292" i="3"/>
  <c r="G10292" i="3"/>
  <c r="B10293" i="3"/>
  <c r="C10293" i="3"/>
  <c r="F10293" i="3"/>
  <c r="G10293" i="3"/>
  <c r="B10294" i="3"/>
  <c r="C10294" i="3"/>
  <c r="F10294" i="3"/>
  <c r="G10294" i="3"/>
  <c r="B10295" i="3"/>
  <c r="C10295" i="3"/>
  <c r="F10295" i="3"/>
  <c r="G10295" i="3"/>
  <c r="B10296" i="3"/>
  <c r="C10296" i="3"/>
  <c r="F10296" i="3"/>
  <c r="G10296" i="3"/>
  <c r="B10297" i="3"/>
  <c r="C10297" i="3"/>
  <c r="F10297" i="3"/>
  <c r="G10297" i="3"/>
  <c r="B10298" i="3"/>
  <c r="C10298" i="3"/>
  <c r="F10298" i="3"/>
  <c r="G10298" i="3"/>
  <c r="B10299" i="3"/>
  <c r="C10299" i="3"/>
  <c r="F10299" i="3"/>
  <c r="G10299" i="3"/>
  <c r="B10300" i="3"/>
  <c r="C10300" i="3"/>
  <c r="F10300" i="3"/>
  <c r="G10300" i="3"/>
  <c r="B10301" i="3"/>
  <c r="C10301" i="3"/>
  <c r="F10301" i="3"/>
  <c r="G10301" i="3"/>
  <c r="B10302" i="3"/>
  <c r="C10302" i="3"/>
  <c r="F10302" i="3"/>
  <c r="G10302" i="3"/>
  <c r="B10303" i="3"/>
  <c r="C10303" i="3"/>
  <c r="F10303" i="3"/>
  <c r="G10303" i="3"/>
  <c r="B10304" i="3"/>
  <c r="C10304" i="3"/>
  <c r="F10304" i="3"/>
  <c r="G10304" i="3"/>
  <c r="B10305" i="3"/>
  <c r="C10305" i="3"/>
  <c r="F10305" i="3"/>
  <c r="G10305" i="3"/>
  <c r="B10306" i="3"/>
  <c r="C10306" i="3"/>
  <c r="F10306" i="3"/>
  <c r="G10306" i="3"/>
  <c r="B10307" i="3"/>
  <c r="C10307" i="3"/>
  <c r="F10307" i="3"/>
  <c r="G10307" i="3"/>
  <c r="B10308" i="3"/>
  <c r="C10308" i="3"/>
  <c r="F10308" i="3"/>
  <c r="G10308" i="3"/>
  <c r="B10309" i="3"/>
  <c r="C10309" i="3"/>
  <c r="F10309" i="3"/>
  <c r="G10309" i="3"/>
  <c r="B10310" i="3"/>
  <c r="C10310" i="3"/>
  <c r="F10310" i="3"/>
  <c r="G10310" i="3"/>
  <c r="B10311" i="3"/>
  <c r="C10311" i="3"/>
  <c r="F10311" i="3"/>
  <c r="G10311" i="3"/>
  <c r="B10312" i="3"/>
  <c r="C10312" i="3"/>
  <c r="F10312" i="3"/>
  <c r="G10312" i="3"/>
  <c r="B10313" i="3"/>
  <c r="C10313" i="3"/>
  <c r="F10313" i="3"/>
  <c r="G10313" i="3"/>
  <c r="B10314" i="3"/>
  <c r="C10314" i="3"/>
  <c r="F10314" i="3"/>
  <c r="G10314" i="3"/>
  <c r="B10315" i="3"/>
  <c r="C10315" i="3"/>
  <c r="F10315" i="3"/>
  <c r="G10315" i="3"/>
  <c r="B10316" i="3"/>
  <c r="C10316" i="3"/>
  <c r="F10316" i="3"/>
  <c r="G10316" i="3"/>
  <c r="B10317" i="3"/>
  <c r="C10317" i="3"/>
  <c r="F10317" i="3"/>
  <c r="G10317" i="3"/>
  <c r="B10318" i="3"/>
  <c r="C10318" i="3"/>
  <c r="F10318" i="3"/>
  <c r="G10318" i="3"/>
  <c r="B10319" i="3"/>
  <c r="C10319" i="3"/>
  <c r="F10319" i="3"/>
  <c r="G10319" i="3"/>
  <c r="B10320" i="3"/>
  <c r="C10320" i="3"/>
  <c r="F10320" i="3"/>
  <c r="G10320" i="3"/>
  <c r="B10321" i="3"/>
  <c r="C10321" i="3"/>
  <c r="F10321" i="3"/>
  <c r="G10321" i="3"/>
  <c r="B10322" i="3"/>
  <c r="C10322" i="3"/>
  <c r="F10322" i="3"/>
  <c r="G10322" i="3"/>
  <c r="B10323" i="3"/>
  <c r="C10323" i="3"/>
  <c r="F10323" i="3"/>
  <c r="G10323" i="3"/>
  <c r="B10324" i="3"/>
  <c r="C10324" i="3"/>
  <c r="F10324" i="3"/>
  <c r="G10324" i="3"/>
  <c r="B10325" i="3"/>
  <c r="C10325" i="3"/>
  <c r="F10325" i="3"/>
  <c r="G10325" i="3"/>
  <c r="B10326" i="3"/>
  <c r="C10326" i="3"/>
  <c r="F10326" i="3"/>
  <c r="G10326" i="3"/>
  <c r="B10327" i="3"/>
  <c r="C10327" i="3"/>
  <c r="F10327" i="3"/>
  <c r="G10327" i="3"/>
  <c r="B10328" i="3"/>
  <c r="C10328" i="3"/>
  <c r="F10328" i="3"/>
  <c r="G10328" i="3"/>
  <c r="B10329" i="3"/>
  <c r="C10329" i="3"/>
  <c r="F10329" i="3"/>
  <c r="G10329" i="3"/>
  <c r="B10330" i="3"/>
  <c r="C10330" i="3"/>
  <c r="F10330" i="3"/>
  <c r="G10330" i="3"/>
  <c r="B10331" i="3"/>
  <c r="C10331" i="3"/>
  <c r="F10331" i="3"/>
  <c r="G10331" i="3"/>
  <c r="B10332" i="3"/>
  <c r="C10332" i="3"/>
  <c r="F10332" i="3"/>
  <c r="G10332" i="3"/>
  <c r="B10333" i="3"/>
  <c r="C10333" i="3"/>
  <c r="F10333" i="3"/>
  <c r="G10333" i="3"/>
  <c r="B10334" i="3"/>
  <c r="C10334" i="3"/>
  <c r="F10334" i="3"/>
  <c r="G10334" i="3"/>
  <c r="B10335" i="3"/>
  <c r="C10335" i="3"/>
  <c r="F10335" i="3"/>
  <c r="G10335" i="3"/>
  <c r="B10336" i="3"/>
  <c r="C10336" i="3"/>
  <c r="F10336" i="3"/>
  <c r="G10336" i="3"/>
  <c r="B10337" i="3"/>
  <c r="C10337" i="3"/>
  <c r="F10337" i="3"/>
  <c r="G10337" i="3"/>
  <c r="B10338" i="3"/>
  <c r="C10338" i="3"/>
  <c r="F10338" i="3"/>
  <c r="G10338" i="3"/>
  <c r="B10339" i="3"/>
  <c r="C10339" i="3"/>
  <c r="F10339" i="3"/>
  <c r="G10339" i="3"/>
  <c r="B10340" i="3"/>
  <c r="C10340" i="3"/>
  <c r="F10340" i="3"/>
  <c r="G10340" i="3"/>
  <c r="B10341" i="3"/>
  <c r="C10341" i="3"/>
  <c r="F10341" i="3"/>
  <c r="G10341" i="3"/>
  <c r="B10342" i="3"/>
  <c r="C10342" i="3"/>
  <c r="F10342" i="3"/>
  <c r="G10342" i="3"/>
  <c r="B10343" i="3"/>
  <c r="C10343" i="3"/>
  <c r="F10343" i="3"/>
  <c r="G10343" i="3"/>
  <c r="B10344" i="3"/>
  <c r="C10344" i="3"/>
  <c r="F10344" i="3"/>
  <c r="G10344" i="3"/>
  <c r="B10345" i="3"/>
  <c r="C10345" i="3"/>
  <c r="F10345" i="3"/>
  <c r="G10345" i="3"/>
  <c r="B10346" i="3"/>
  <c r="C10346" i="3"/>
  <c r="F10346" i="3"/>
  <c r="G10346" i="3"/>
  <c r="B10347" i="3"/>
  <c r="C10347" i="3"/>
  <c r="F10347" i="3"/>
  <c r="G10347" i="3"/>
  <c r="B10348" i="3"/>
  <c r="C10348" i="3"/>
  <c r="F10348" i="3"/>
  <c r="G10348" i="3"/>
  <c r="B10349" i="3"/>
  <c r="C10349" i="3"/>
  <c r="F10349" i="3"/>
  <c r="G10349" i="3"/>
  <c r="B10350" i="3"/>
  <c r="C10350" i="3"/>
  <c r="F10350" i="3"/>
  <c r="G10350" i="3"/>
  <c r="B10351" i="3"/>
  <c r="C10351" i="3"/>
  <c r="F10351" i="3"/>
  <c r="G10351" i="3"/>
  <c r="B10352" i="3"/>
  <c r="C10352" i="3"/>
  <c r="F10352" i="3"/>
  <c r="G10352" i="3"/>
  <c r="B10353" i="3"/>
  <c r="C10353" i="3"/>
  <c r="F10353" i="3"/>
  <c r="G10353" i="3"/>
  <c r="B10354" i="3"/>
  <c r="C10354" i="3"/>
  <c r="F10354" i="3"/>
  <c r="G10354" i="3"/>
  <c r="B10355" i="3"/>
  <c r="C10355" i="3"/>
  <c r="F10355" i="3"/>
  <c r="G10355" i="3"/>
  <c r="B10356" i="3"/>
  <c r="C10356" i="3"/>
  <c r="F10356" i="3"/>
  <c r="G10356" i="3"/>
  <c r="B10357" i="3"/>
  <c r="C10357" i="3"/>
  <c r="F10357" i="3"/>
  <c r="G10357" i="3"/>
  <c r="B10358" i="3"/>
  <c r="C10358" i="3"/>
  <c r="F10358" i="3"/>
  <c r="G10358" i="3"/>
  <c r="B10359" i="3"/>
  <c r="C10359" i="3"/>
  <c r="F10359" i="3"/>
  <c r="G10359" i="3"/>
  <c r="B10360" i="3"/>
  <c r="C10360" i="3"/>
  <c r="F10360" i="3"/>
  <c r="G10360" i="3"/>
  <c r="B10361" i="3"/>
  <c r="C10361" i="3"/>
  <c r="F10361" i="3"/>
  <c r="G10361" i="3"/>
  <c r="B10362" i="3"/>
  <c r="C10362" i="3"/>
  <c r="F10362" i="3"/>
  <c r="G10362" i="3"/>
  <c r="B10363" i="3"/>
  <c r="C10363" i="3"/>
  <c r="F10363" i="3"/>
  <c r="G10363" i="3"/>
  <c r="B10364" i="3"/>
  <c r="C10364" i="3"/>
  <c r="F10364" i="3"/>
  <c r="G10364" i="3"/>
  <c r="B10365" i="3"/>
  <c r="C10365" i="3"/>
  <c r="F10365" i="3"/>
  <c r="G10365" i="3"/>
  <c r="B10366" i="3"/>
  <c r="C10366" i="3"/>
  <c r="F10366" i="3"/>
  <c r="G10366" i="3"/>
  <c r="B10367" i="3"/>
  <c r="C10367" i="3"/>
  <c r="F10367" i="3"/>
  <c r="G10367" i="3"/>
  <c r="B10368" i="3"/>
  <c r="C10368" i="3"/>
  <c r="F10368" i="3"/>
  <c r="G10368" i="3"/>
  <c r="B10369" i="3"/>
  <c r="C10369" i="3"/>
  <c r="F10369" i="3"/>
  <c r="G10369" i="3"/>
  <c r="B10370" i="3"/>
  <c r="C10370" i="3"/>
  <c r="F10370" i="3"/>
  <c r="G10370" i="3"/>
  <c r="B10371" i="3"/>
  <c r="C10371" i="3"/>
  <c r="F10371" i="3"/>
  <c r="G10371" i="3"/>
  <c r="B10372" i="3"/>
  <c r="C10372" i="3"/>
  <c r="F10372" i="3"/>
  <c r="G10372" i="3"/>
  <c r="B10373" i="3"/>
  <c r="C10373" i="3"/>
  <c r="F10373" i="3"/>
  <c r="G10373" i="3"/>
  <c r="B10374" i="3"/>
  <c r="C10374" i="3"/>
  <c r="F10374" i="3"/>
  <c r="G10374" i="3"/>
  <c r="B10375" i="3"/>
  <c r="C10375" i="3"/>
  <c r="F10375" i="3"/>
  <c r="G10375" i="3"/>
  <c r="B10376" i="3"/>
  <c r="C10376" i="3"/>
  <c r="F10376" i="3"/>
  <c r="G10376" i="3"/>
  <c r="B10377" i="3"/>
  <c r="C10377" i="3"/>
  <c r="F10377" i="3"/>
  <c r="G10377" i="3"/>
  <c r="B10378" i="3"/>
  <c r="C10378" i="3"/>
  <c r="F10378" i="3"/>
  <c r="G10378" i="3"/>
  <c r="B10379" i="3"/>
  <c r="C10379" i="3"/>
  <c r="F10379" i="3"/>
  <c r="G10379" i="3"/>
  <c r="B10380" i="3"/>
  <c r="C10380" i="3"/>
  <c r="F10380" i="3"/>
  <c r="G10380" i="3"/>
  <c r="B10381" i="3"/>
  <c r="C10381" i="3"/>
  <c r="F10381" i="3"/>
  <c r="G10381" i="3"/>
  <c r="B10382" i="3"/>
  <c r="C10382" i="3"/>
  <c r="F10382" i="3"/>
  <c r="G10382" i="3"/>
  <c r="B10383" i="3"/>
  <c r="C10383" i="3"/>
  <c r="F10383" i="3"/>
  <c r="G10383" i="3"/>
  <c r="B10384" i="3"/>
  <c r="C10384" i="3"/>
  <c r="F10384" i="3"/>
  <c r="G10384" i="3"/>
  <c r="B10385" i="3"/>
  <c r="C10385" i="3"/>
  <c r="F10385" i="3"/>
  <c r="G10385" i="3"/>
  <c r="B10386" i="3"/>
  <c r="C10386" i="3"/>
  <c r="F10386" i="3"/>
  <c r="G10386" i="3"/>
  <c r="B10387" i="3"/>
  <c r="C10387" i="3"/>
  <c r="F10387" i="3"/>
  <c r="G10387" i="3"/>
  <c r="B10388" i="3"/>
  <c r="C10388" i="3"/>
  <c r="F10388" i="3"/>
  <c r="G10388" i="3"/>
  <c r="B10389" i="3"/>
  <c r="C10389" i="3"/>
  <c r="F10389" i="3"/>
  <c r="G10389" i="3"/>
  <c r="B10390" i="3"/>
  <c r="C10390" i="3"/>
  <c r="F10390" i="3"/>
  <c r="G10390" i="3"/>
  <c r="B10391" i="3"/>
  <c r="C10391" i="3"/>
  <c r="F10391" i="3"/>
  <c r="G10391" i="3"/>
  <c r="B10392" i="3"/>
  <c r="C10392" i="3"/>
  <c r="F10392" i="3"/>
  <c r="G10392" i="3"/>
  <c r="B10393" i="3"/>
  <c r="C10393" i="3"/>
  <c r="F10393" i="3"/>
  <c r="G10393" i="3"/>
  <c r="B10394" i="3"/>
  <c r="C10394" i="3"/>
  <c r="F10394" i="3"/>
  <c r="G10394" i="3"/>
  <c r="B10395" i="3"/>
  <c r="C10395" i="3"/>
  <c r="F10395" i="3"/>
  <c r="G10395" i="3"/>
  <c r="B10396" i="3"/>
  <c r="C10396" i="3"/>
  <c r="F10396" i="3"/>
  <c r="G10396" i="3"/>
  <c r="B10397" i="3"/>
  <c r="C10397" i="3"/>
  <c r="F10397" i="3"/>
  <c r="G10397" i="3"/>
  <c r="B10398" i="3"/>
  <c r="C10398" i="3"/>
  <c r="F10398" i="3"/>
  <c r="G10398" i="3"/>
  <c r="B10399" i="3"/>
  <c r="C10399" i="3"/>
  <c r="F10399" i="3"/>
  <c r="G10399" i="3"/>
  <c r="B10400" i="3"/>
  <c r="C10400" i="3"/>
  <c r="F10400" i="3"/>
  <c r="G10400" i="3"/>
  <c r="B10401" i="3"/>
  <c r="C10401" i="3"/>
  <c r="F10401" i="3"/>
  <c r="G10401" i="3"/>
  <c r="B10402" i="3"/>
  <c r="C10402" i="3"/>
  <c r="F10402" i="3"/>
  <c r="G10402" i="3"/>
  <c r="B10403" i="3"/>
  <c r="C10403" i="3"/>
  <c r="F10403" i="3"/>
  <c r="G10403" i="3"/>
  <c r="B10404" i="3"/>
  <c r="C10404" i="3"/>
  <c r="F10404" i="3"/>
  <c r="G10404" i="3"/>
  <c r="B10405" i="3"/>
  <c r="C10405" i="3"/>
  <c r="F10405" i="3"/>
  <c r="G10405" i="3"/>
  <c r="B10406" i="3"/>
  <c r="C10406" i="3"/>
  <c r="F10406" i="3"/>
  <c r="G10406" i="3"/>
  <c r="B10407" i="3"/>
  <c r="C10407" i="3"/>
  <c r="F10407" i="3"/>
  <c r="G10407" i="3"/>
  <c r="B10408" i="3"/>
  <c r="C10408" i="3"/>
  <c r="F10408" i="3"/>
  <c r="G10408" i="3"/>
  <c r="B10409" i="3"/>
  <c r="C10409" i="3"/>
  <c r="F10409" i="3"/>
  <c r="G10409" i="3"/>
  <c r="B10410" i="3"/>
  <c r="C10410" i="3"/>
  <c r="F10410" i="3"/>
  <c r="G10410" i="3"/>
  <c r="B10411" i="3"/>
  <c r="C10411" i="3"/>
  <c r="F10411" i="3"/>
  <c r="G10411" i="3"/>
  <c r="B10412" i="3"/>
  <c r="C10412" i="3"/>
  <c r="F10412" i="3"/>
  <c r="G10412" i="3"/>
  <c r="B10413" i="3"/>
  <c r="C10413" i="3"/>
  <c r="F10413" i="3"/>
  <c r="G10413" i="3"/>
  <c r="B10414" i="3"/>
  <c r="C10414" i="3"/>
  <c r="F10414" i="3"/>
  <c r="G10414" i="3"/>
  <c r="B10415" i="3"/>
  <c r="C10415" i="3"/>
  <c r="F10415" i="3"/>
  <c r="G10415" i="3"/>
  <c r="B10416" i="3"/>
  <c r="C10416" i="3"/>
  <c r="F10416" i="3"/>
  <c r="G10416" i="3"/>
  <c r="B10417" i="3"/>
  <c r="C10417" i="3"/>
  <c r="F10417" i="3"/>
  <c r="G10417" i="3"/>
  <c r="B10418" i="3"/>
  <c r="C10418" i="3"/>
  <c r="F10418" i="3"/>
  <c r="G10418" i="3"/>
  <c r="B10419" i="3"/>
  <c r="C10419" i="3"/>
  <c r="F10419" i="3"/>
  <c r="G10419" i="3"/>
  <c r="B10420" i="3"/>
  <c r="C10420" i="3"/>
  <c r="F10420" i="3"/>
  <c r="G10420" i="3"/>
  <c r="B10421" i="3"/>
  <c r="C10421" i="3"/>
  <c r="F10421" i="3"/>
  <c r="G10421" i="3"/>
  <c r="B10422" i="3"/>
  <c r="C10422" i="3"/>
  <c r="F10422" i="3"/>
  <c r="G10422" i="3"/>
  <c r="B10423" i="3"/>
  <c r="C10423" i="3"/>
  <c r="F10423" i="3"/>
  <c r="G10423" i="3"/>
  <c r="B10236" i="3"/>
  <c r="C10236" i="3"/>
  <c r="F10236" i="3"/>
  <c r="G10236" i="3"/>
  <c r="B10237" i="3"/>
  <c r="C10237" i="3"/>
  <c r="F10237" i="3"/>
  <c r="G10237" i="3"/>
  <c r="B10238" i="3"/>
  <c r="C10238" i="3"/>
  <c r="F10238" i="3"/>
  <c r="G10238" i="3"/>
  <c r="B10239" i="3"/>
  <c r="C10239" i="3"/>
  <c r="F10239" i="3"/>
  <c r="G10239" i="3"/>
  <c r="B10240" i="3"/>
  <c r="C10240" i="3"/>
  <c r="F10240" i="3"/>
  <c r="G10240" i="3"/>
  <c r="B10241" i="3"/>
  <c r="C10241" i="3"/>
  <c r="F10241" i="3"/>
  <c r="G10241" i="3"/>
  <c r="B10242" i="3"/>
  <c r="C10242" i="3"/>
  <c r="F10242" i="3"/>
  <c r="G10242" i="3"/>
  <c r="B10243" i="3"/>
  <c r="C10243" i="3"/>
  <c r="F10243" i="3"/>
  <c r="G10243" i="3"/>
  <c r="B10244" i="3"/>
  <c r="C10244" i="3"/>
  <c r="F10244" i="3"/>
  <c r="G10244" i="3"/>
  <c r="B10245" i="3"/>
  <c r="C10245" i="3"/>
  <c r="F10245" i="3"/>
  <c r="G10245" i="3"/>
  <c r="B10246" i="3"/>
  <c r="C10246" i="3"/>
  <c r="F10246" i="3"/>
  <c r="G10246" i="3"/>
  <c r="B10247" i="3"/>
  <c r="C10247" i="3"/>
  <c r="F10247" i="3"/>
  <c r="G10247" i="3"/>
  <c r="B10248" i="3"/>
  <c r="C10248" i="3"/>
  <c r="F10248" i="3"/>
  <c r="G10248" i="3"/>
  <c r="B10249" i="3"/>
  <c r="C10249" i="3"/>
  <c r="F10249" i="3"/>
  <c r="G10249" i="3"/>
  <c r="B10250" i="3"/>
  <c r="C10250" i="3"/>
  <c r="F10250" i="3"/>
  <c r="G10250" i="3"/>
  <c r="B10251" i="3"/>
  <c r="C10251" i="3"/>
  <c r="F10251" i="3"/>
  <c r="G10251" i="3"/>
  <c r="B10252" i="3"/>
  <c r="C10252" i="3"/>
  <c r="F10252" i="3"/>
  <c r="G10252" i="3"/>
  <c r="B10253" i="3"/>
  <c r="C10253" i="3"/>
  <c r="F10253" i="3"/>
  <c r="G10253" i="3"/>
  <c r="B10254" i="3"/>
  <c r="C10254" i="3"/>
  <c r="F10254" i="3"/>
  <c r="G10254" i="3"/>
  <c r="B10255" i="3"/>
  <c r="C10255" i="3"/>
  <c r="F10255" i="3"/>
  <c r="G10255" i="3"/>
  <c r="B10256" i="3"/>
  <c r="C10256" i="3"/>
  <c r="F10256" i="3"/>
  <c r="G10256" i="3"/>
  <c r="B10257" i="3"/>
  <c r="C10257" i="3"/>
  <c r="F10257" i="3"/>
  <c r="G10257" i="3"/>
  <c r="B10258" i="3"/>
  <c r="C10258" i="3"/>
  <c r="F10258" i="3"/>
  <c r="G10258" i="3"/>
  <c r="B10259" i="3"/>
  <c r="C10259" i="3"/>
  <c r="F10259" i="3"/>
  <c r="G10259" i="3"/>
  <c r="B10260" i="3"/>
  <c r="C10260" i="3"/>
  <c r="F10260" i="3"/>
  <c r="G10260" i="3"/>
  <c r="B10261" i="3"/>
  <c r="C10261" i="3"/>
  <c r="F10261" i="3"/>
  <c r="G10261" i="3"/>
  <c r="B10262" i="3"/>
  <c r="C10262" i="3"/>
  <c r="F10262" i="3"/>
  <c r="G10262" i="3"/>
  <c r="B10263" i="3"/>
  <c r="C10263" i="3"/>
  <c r="F10263" i="3"/>
  <c r="G10263" i="3"/>
  <c r="B10264" i="3"/>
  <c r="C10264" i="3"/>
  <c r="F10264" i="3"/>
  <c r="G10264" i="3"/>
  <c r="B10265" i="3"/>
  <c r="C10265" i="3"/>
  <c r="F10265" i="3"/>
  <c r="G10265" i="3"/>
  <c r="B10266" i="3"/>
  <c r="C10266" i="3"/>
  <c r="F10266" i="3"/>
  <c r="G10266" i="3"/>
  <c r="B10267" i="3"/>
  <c r="C10267" i="3"/>
  <c r="F10267" i="3"/>
  <c r="G10267" i="3"/>
  <c r="B10268" i="3"/>
  <c r="C10268" i="3"/>
  <c r="F10268" i="3"/>
  <c r="G10268" i="3"/>
  <c r="B10269" i="3"/>
  <c r="C10269" i="3"/>
  <c r="F10269" i="3"/>
  <c r="G10269" i="3"/>
  <c r="B10270" i="3"/>
  <c r="C10270" i="3"/>
  <c r="F10270" i="3"/>
  <c r="G10270" i="3"/>
  <c r="B10271" i="3"/>
  <c r="C10271" i="3"/>
  <c r="F10271" i="3"/>
  <c r="G10271" i="3"/>
  <c r="B10272" i="3"/>
  <c r="C10272" i="3"/>
  <c r="F10272" i="3"/>
  <c r="G10272" i="3"/>
  <c r="B10273" i="3"/>
  <c r="C10273" i="3"/>
  <c r="F10273" i="3"/>
  <c r="G10273" i="3"/>
  <c r="B10001" i="3"/>
  <c r="C10001" i="3"/>
  <c r="F10001" i="3"/>
  <c r="G10001" i="3"/>
  <c r="B10002" i="3"/>
  <c r="C10002" i="3"/>
  <c r="F10002" i="3"/>
  <c r="G10002" i="3"/>
  <c r="B10003" i="3"/>
  <c r="C10003" i="3"/>
  <c r="F10003" i="3"/>
  <c r="G10003" i="3"/>
  <c r="B10004" i="3"/>
  <c r="C10004" i="3"/>
  <c r="F10004" i="3"/>
  <c r="G10004" i="3"/>
  <c r="B10005" i="3"/>
  <c r="C10005" i="3"/>
  <c r="F10005" i="3"/>
  <c r="G10005" i="3"/>
  <c r="B10006" i="3"/>
  <c r="C10006" i="3"/>
  <c r="F10006" i="3"/>
  <c r="G10006" i="3"/>
  <c r="B10007" i="3"/>
  <c r="C10007" i="3"/>
  <c r="F10007" i="3"/>
  <c r="G10007" i="3"/>
  <c r="B10008" i="3"/>
  <c r="C10008" i="3"/>
  <c r="F10008" i="3"/>
  <c r="G10008" i="3"/>
  <c r="B10009" i="3"/>
  <c r="C10009" i="3"/>
  <c r="F10009" i="3"/>
  <c r="G10009" i="3"/>
  <c r="B10010" i="3"/>
  <c r="C10010" i="3"/>
  <c r="F10010" i="3"/>
  <c r="G10010" i="3"/>
  <c r="B10011" i="3"/>
  <c r="C10011" i="3"/>
  <c r="F10011" i="3"/>
  <c r="G10011" i="3"/>
  <c r="B10012" i="3"/>
  <c r="C10012" i="3"/>
  <c r="F10012" i="3"/>
  <c r="G10012" i="3"/>
  <c r="B10013" i="3"/>
  <c r="C10013" i="3"/>
  <c r="F10013" i="3"/>
  <c r="G10013" i="3"/>
  <c r="B10014" i="3"/>
  <c r="C10014" i="3"/>
  <c r="F10014" i="3"/>
  <c r="G10014" i="3"/>
  <c r="B10015" i="3"/>
  <c r="C10015" i="3"/>
  <c r="F10015" i="3"/>
  <c r="G10015" i="3"/>
  <c r="B10016" i="3"/>
  <c r="C10016" i="3"/>
  <c r="F10016" i="3"/>
  <c r="G10016" i="3"/>
  <c r="B10017" i="3"/>
  <c r="C10017" i="3"/>
  <c r="F10017" i="3"/>
  <c r="G10017" i="3"/>
  <c r="B10018" i="3"/>
  <c r="C10018" i="3"/>
  <c r="F10018" i="3"/>
  <c r="G10018" i="3"/>
  <c r="B10019" i="3"/>
  <c r="C10019" i="3"/>
  <c r="F10019" i="3"/>
  <c r="G10019" i="3"/>
  <c r="B10020" i="3"/>
  <c r="C10020" i="3"/>
  <c r="F10020" i="3"/>
  <c r="G10020" i="3"/>
  <c r="B10021" i="3"/>
  <c r="C10021" i="3"/>
  <c r="F10021" i="3"/>
  <c r="G10021" i="3"/>
  <c r="B10022" i="3"/>
  <c r="C10022" i="3"/>
  <c r="F10022" i="3"/>
  <c r="G10022" i="3"/>
  <c r="B10023" i="3"/>
  <c r="C10023" i="3"/>
  <c r="F10023" i="3"/>
  <c r="G10023" i="3"/>
  <c r="B10024" i="3"/>
  <c r="C10024" i="3"/>
  <c r="F10024" i="3"/>
  <c r="G10024" i="3"/>
  <c r="B10025" i="3"/>
  <c r="C10025" i="3"/>
  <c r="F10025" i="3"/>
  <c r="G10025" i="3"/>
  <c r="B10026" i="3"/>
  <c r="C10026" i="3"/>
  <c r="F10026" i="3"/>
  <c r="G10026" i="3"/>
  <c r="B10027" i="3"/>
  <c r="C10027" i="3"/>
  <c r="F10027" i="3"/>
  <c r="G10027" i="3"/>
  <c r="B10028" i="3"/>
  <c r="C10028" i="3"/>
  <c r="F10028" i="3"/>
  <c r="G10028" i="3"/>
  <c r="B10029" i="3"/>
  <c r="C10029" i="3"/>
  <c r="F10029" i="3"/>
  <c r="G10029" i="3"/>
  <c r="B10030" i="3"/>
  <c r="C10030" i="3"/>
  <c r="F10030" i="3"/>
  <c r="G10030" i="3"/>
  <c r="B10031" i="3"/>
  <c r="C10031" i="3"/>
  <c r="F10031" i="3"/>
  <c r="G10031" i="3"/>
  <c r="B10032" i="3"/>
  <c r="C10032" i="3"/>
  <c r="F10032" i="3"/>
  <c r="G10032" i="3"/>
  <c r="B10033" i="3"/>
  <c r="C10033" i="3"/>
  <c r="F10033" i="3"/>
  <c r="G10033" i="3"/>
  <c r="B10034" i="3"/>
  <c r="C10034" i="3"/>
  <c r="F10034" i="3"/>
  <c r="G10034" i="3"/>
  <c r="B10035" i="3"/>
  <c r="C10035" i="3"/>
  <c r="F10035" i="3"/>
  <c r="G10035" i="3"/>
  <c r="B10036" i="3"/>
  <c r="C10036" i="3"/>
  <c r="F10036" i="3"/>
  <c r="G10036" i="3"/>
  <c r="B10037" i="3"/>
  <c r="C10037" i="3"/>
  <c r="F10037" i="3"/>
  <c r="G10037" i="3"/>
  <c r="B10038" i="3"/>
  <c r="C10038" i="3"/>
  <c r="F10038" i="3"/>
  <c r="G10038" i="3"/>
  <c r="B10039" i="3"/>
  <c r="C10039" i="3"/>
  <c r="F10039" i="3"/>
  <c r="G10039" i="3"/>
  <c r="B10040" i="3"/>
  <c r="C10040" i="3"/>
  <c r="F10040" i="3"/>
  <c r="G10040" i="3"/>
  <c r="B10041" i="3"/>
  <c r="C10041" i="3"/>
  <c r="F10041" i="3"/>
  <c r="G10041" i="3"/>
  <c r="B10042" i="3"/>
  <c r="C10042" i="3"/>
  <c r="F10042" i="3"/>
  <c r="G10042" i="3"/>
  <c r="B10043" i="3"/>
  <c r="C10043" i="3"/>
  <c r="F10043" i="3"/>
  <c r="G10043" i="3"/>
  <c r="B10044" i="3"/>
  <c r="C10044" i="3"/>
  <c r="F10044" i="3"/>
  <c r="G10044" i="3"/>
  <c r="B10045" i="3"/>
  <c r="C10045" i="3"/>
  <c r="F10045" i="3"/>
  <c r="G10045" i="3"/>
  <c r="B10046" i="3"/>
  <c r="C10046" i="3"/>
  <c r="F10046" i="3"/>
  <c r="G10046" i="3"/>
  <c r="B10047" i="3"/>
  <c r="C10047" i="3"/>
  <c r="F10047" i="3"/>
  <c r="G10047" i="3"/>
  <c r="B10048" i="3"/>
  <c r="C10048" i="3"/>
  <c r="F10048" i="3"/>
  <c r="G10048" i="3"/>
  <c r="B10049" i="3"/>
  <c r="C10049" i="3"/>
  <c r="F10049" i="3"/>
  <c r="G10049" i="3"/>
  <c r="B10050" i="3"/>
  <c r="C10050" i="3"/>
  <c r="F10050" i="3"/>
  <c r="G10050" i="3"/>
  <c r="B10051" i="3"/>
  <c r="C10051" i="3"/>
  <c r="F10051" i="3"/>
  <c r="G10051" i="3"/>
  <c r="B10052" i="3"/>
  <c r="C10052" i="3"/>
  <c r="F10052" i="3"/>
  <c r="G10052" i="3"/>
  <c r="B10053" i="3"/>
  <c r="C10053" i="3"/>
  <c r="F10053" i="3"/>
  <c r="G10053" i="3"/>
  <c r="B10054" i="3"/>
  <c r="C10054" i="3"/>
  <c r="F10054" i="3"/>
  <c r="G10054" i="3"/>
  <c r="B10055" i="3"/>
  <c r="C10055" i="3"/>
  <c r="F10055" i="3"/>
  <c r="G10055" i="3"/>
  <c r="B10056" i="3"/>
  <c r="C10056" i="3"/>
  <c r="F10056" i="3"/>
  <c r="G10056" i="3"/>
  <c r="B10057" i="3"/>
  <c r="C10057" i="3"/>
  <c r="F10057" i="3"/>
  <c r="G10057" i="3"/>
  <c r="B10058" i="3"/>
  <c r="C10058" i="3"/>
  <c r="F10058" i="3"/>
  <c r="G10058" i="3"/>
  <c r="B10059" i="3"/>
  <c r="C10059" i="3"/>
  <c r="F10059" i="3"/>
  <c r="G10059" i="3"/>
  <c r="B10060" i="3"/>
  <c r="C10060" i="3"/>
  <c r="F10060" i="3"/>
  <c r="G10060" i="3"/>
  <c r="B10061" i="3"/>
  <c r="C10061" i="3"/>
  <c r="F10061" i="3"/>
  <c r="G10061" i="3"/>
  <c r="B10062" i="3"/>
  <c r="C10062" i="3"/>
  <c r="F10062" i="3"/>
  <c r="G10062" i="3"/>
  <c r="B10063" i="3"/>
  <c r="C10063" i="3"/>
  <c r="F10063" i="3"/>
  <c r="G10063" i="3"/>
  <c r="B10064" i="3"/>
  <c r="C10064" i="3"/>
  <c r="F10064" i="3"/>
  <c r="G10064" i="3"/>
  <c r="B10065" i="3"/>
  <c r="C10065" i="3"/>
  <c r="F10065" i="3"/>
  <c r="G10065" i="3"/>
  <c r="B10066" i="3"/>
  <c r="C10066" i="3"/>
  <c r="F10066" i="3"/>
  <c r="G10066" i="3"/>
  <c r="B10067" i="3"/>
  <c r="C10067" i="3"/>
  <c r="F10067" i="3"/>
  <c r="G10067" i="3"/>
  <c r="B10068" i="3"/>
  <c r="C10068" i="3"/>
  <c r="F10068" i="3"/>
  <c r="G10068" i="3"/>
  <c r="B10069" i="3"/>
  <c r="C10069" i="3"/>
  <c r="F10069" i="3"/>
  <c r="G10069" i="3"/>
  <c r="B10070" i="3"/>
  <c r="C10070" i="3"/>
  <c r="F10070" i="3"/>
  <c r="G10070" i="3"/>
  <c r="B10071" i="3"/>
  <c r="C10071" i="3"/>
  <c r="F10071" i="3"/>
  <c r="G10071" i="3"/>
  <c r="B10072" i="3"/>
  <c r="C10072" i="3"/>
  <c r="F10072" i="3"/>
  <c r="G10072" i="3"/>
  <c r="B10073" i="3"/>
  <c r="C10073" i="3"/>
  <c r="F10073" i="3"/>
  <c r="G10073" i="3"/>
  <c r="B10074" i="3"/>
  <c r="C10074" i="3"/>
  <c r="F10074" i="3"/>
  <c r="G10074" i="3"/>
  <c r="B10075" i="3"/>
  <c r="C10075" i="3"/>
  <c r="F10075" i="3"/>
  <c r="G10075" i="3"/>
  <c r="B10076" i="3"/>
  <c r="C10076" i="3"/>
  <c r="F10076" i="3"/>
  <c r="G10076" i="3"/>
  <c r="B10077" i="3"/>
  <c r="C10077" i="3"/>
  <c r="F10077" i="3"/>
  <c r="G10077" i="3"/>
  <c r="B10078" i="3"/>
  <c r="C10078" i="3"/>
  <c r="F10078" i="3"/>
  <c r="G10078" i="3"/>
  <c r="B10079" i="3"/>
  <c r="C10079" i="3"/>
  <c r="F10079" i="3"/>
  <c r="G10079" i="3"/>
  <c r="B10080" i="3"/>
  <c r="C10080" i="3"/>
  <c r="F10080" i="3"/>
  <c r="G10080" i="3"/>
  <c r="B10081" i="3"/>
  <c r="C10081" i="3"/>
  <c r="F10081" i="3"/>
  <c r="G10081" i="3"/>
  <c r="B10082" i="3"/>
  <c r="C10082" i="3"/>
  <c r="F10082" i="3"/>
  <c r="G10082" i="3"/>
  <c r="B10083" i="3"/>
  <c r="C10083" i="3"/>
  <c r="F10083" i="3"/>
  <c r="G10083" i="3"/>
  <c r="B10084" i="3"/>
  <c r="C10084" i="3"/>
  <c r="F10084" i="3"/>
  <c r="G10084" i="3"/>
  <c r="B10085" i="3"/>
  <c r="C10085" i="3"/>
  <c r="F10085" i="3"/>
  <c r="G10085" i="3"/>
  <c r="B10086" i="3"/>
  <c r="C10086" i="3"/>
  <c r="F10086" i="3"/>
  <c r="G10086" i="3"/>
  <c r="B10087" i="3"/>
  <c r="C10087" i="3"/>
  <c r="F10087" i="3"/>
  <c r="G10087" i="3"/>
  <c r="B10088" i="3"/>
  <c r="C10088" i="3"/>
  <c r="F10088" i="3"/>
  <c r="G10088" i="3"/>
  <c r="B10089" i="3"/>
  <c r="C10089" i="3"/>
  <c r="F10089" i="3"/>
  <c r="G10089" i="3"/>
  <c r="B10090" i="3"/>
  <c r="C10090" i="3"/>
  <c r="F10090" i="3"/>
  <c r="G10090" i="3"/>
  <c r="B10091" i="3"/>
  <c r="C10091" i="3"/>
  <c r="F10091" i="3"/>
  <c r="G10091" i="3"/>
  <c r="B10092" i="3"/>
  <c r="C10092" i="3"/>
  <c r="F10092" i="3"/>
  <c r="G10092" i="3"/>
  <c r="B10093" i="3"/>
  <c r="C10093" i="3"/>
  <c r="F10093" i="3"/>
  <c r="G10093" i="3"/>
  <c r="B10094" i="3"/>
  <c r="C10094" i="3"/>
  <c r="F10094" i="3"/>
  <c r="G10094" i="3"/>
  <c r="B10095" i="3"/>
  <c r="C10095" i="3"/>
  <c r="F10095" i="3"/>
  <c r="G10095" i="3"/>
  <c r="B10096" i="3"/>
  <c r="C10096" i="3"/>
  <c r="F10096" i="3"/>
  <c r="G10096" i="3"/>
  <c r="B10097" i="3"/>
  <c r="C10097" i="3"/>
  <c r="F10097" i="3"/>
  <c r="G10097" i="3"/>
  <c r="B10098" i="3"/>
  <c r="C10098" i="3"/>
  <c r="F10098" i="3"/>
  <c r="G10098" i="3"/>
  <c r="B10099" i="3"/>
  <c r="C10099" i="3"/>
  <c r="F10099" i="3"/>
  <c r="G10099" i="3"/>
  <c r="B10100" i="3"/>
  <c r="C10100" i="3"/>
  <c r="F10100" i="3"/>
  <c r="G10100" i="3"/>
  <c r="B10101" i="3"/>
  <c r="C10101" i="3"/>
  <c r="F10101" i="3"/>
  <c r="G10101" i="3"/>
  <c r="B10102" i="3"/>
  <c r="C10102" i="3"/>
  <c r="F10102" i="3"/>
  <c r="G10102" i="3"/>
  <c r="B10103" i="3"/>
  <c r="C10103" i="3"/>
  <c r="F10103" i="3"/>
  <c r="G10103" i="3"/>
  <c r="B10104" i="3"/>
  <c r="C10104" i="3"/>
  <c r="F10104" i="3"/>
  <c r="G10104" i="3"/>
  <c r="B10105" i="3"/>
  <c r="C10105" i="3"/>
  <c r="F10105" i="3"/>
  <c r="G10105" i="3"/>
  <c r="B10106" i="3"/>
  <c r="C10106" i="3"/>
  <c r="F10106" i="3"/>
  <c r="G10106" i="3"/>
  <c r="B10107" i="3"/>
  <c r="C10107" i="3"/>
  <c r="F10107" i="3"/>
  <c r="G10107" i="3"/>
  <c r="B10108" i="3"/>
  <c r="C10108" i="3"/>
  <c r="F10108" i="3"/>
  <c r="G10108" i="3"/>
  <c r="B10109" i="3"/>
  <c r="C10109" i="3"/>
  <c r="F10109" i="3"/>
  <c r="G10109" i="3"/>
  <c r="B10110" i="3"/>
  <c r="C10110" i="3"/>
  <c r="F10110" i="3"/>
  <c r="G10110" i="3"/>
  <c r="B10111" i="3"/>
  <c r="C10111" i="3"/>
  <c r="F10111" i="3"/>
  <c r="G10111" i="3"/>
  <c r="B10112" i="3"/>
  <c r="C10112" i="3"/>
  <c r="F10112" i="3"/>
  <c r="G10112" i="3"/>
  <c r="B10113" i="3"/>
  <c r="C10113" i="3"/>
  <c r="F10113" i="3"/>
  <c r="G10113" i="3"/>
  <c r="B10114" i="3"/>
  <c r="C10114" i="3"/>
  <c r="F10114" i="3"/>
  <c r="G10114" i="3"/>
  <c r="B10115" i="3"/>
  <c r="C10115" i="3"/>
  <c r="F10115" i="3"/>
  <c r="G10115" i="3"/>
  <c r="B10116" i="3"/>
  <c r="C10116" i="3"/>
  <c r="F10116" i="3"/>
  <c r="G10116" i="3"/>
  <c r="B10117" i="3"/>
  <c r="C10117" i="3"/>
  <c r="F10117" i="3"/>
  <c r="G10117" i="3"/>
  <c r="B10118" i="3"/>
  <c r="C10118" i="3"/>
  <c r="F10118" i="3"/>
  <c r="G10118" i="3"/>
  <c r="B10119" i="3"/>
  <c r="C10119" i="3"/>
  <c r="F10119" i="3"/>
  <c r="G10119" i="3"/>
  <c r="B10120" i="3"/>
  <c r="C10120" i="3"/>
  <c r="F10120" i="3"/>
  <c r="G10120" i="3"/>
  <c r="B10121" i="3"/>
  <c r="C10121" i="3"/>
  <c r="F10121" i="3"/>
  <c r="G10121" i="3"/>
  <c r="B10122" i="3"/>
  <c r="C10122" i="3"/>
  <c r="F10122" i="3"/>
  <c r="G10122" i="3"/>
  <c r="B10123" i="3"/>
  <c r="C10123" i="3"/>
  <c r="F10123" i="3"/>
  <c r="G10123" i="3"/>
  <c r="B10124" i="3"/>
  <c r="C10124" i="3"/>
  <c r="F10124" i="3"/>
  <c r="G10124" i="3"/>
  <c r="B10125" i="3"/>
  <c r="C10125" i="3"/>
  <c r="F10125" i="3"/>
  <c r="G10125" i="3"/>
  <c r="B10126" i="3"/>
  <c r="C10126" i="3"/>
  <c r="F10126" i="3"/>
  <c r="G10126" i="3"/>
  <c r="B10127" i="3"/>
  <c r="C10127" i="3"/>
  <c r="F10127" i="3"/>
  <c r="G10127" i="3"/>
  <c r="B10128" i="3"/>
  <c r="C10128" i="3"/>
  <c r="F10128" i="3"/>
  <c r="G10128" i="3"/>
  <c r="B10129" i="3"/>
  <c r="C10129" i="3"/>
  <c r="F10129" i="3"/>
  <c r="G10129" i="3"/>
  <c r="B10130" i="3"/>
  <c r="C10130" i="3"/>
  <c r="F10130" i="3"/>
  <c r="G10130" i="3"/>
  <c r="B10131" i="3"/>
  <c r="C10131" i="3"/>
  <c r="F10131" i="3"/>
  <c r="G10131" i="3"/>
  <c r="B10132" i="3"/>
  <c r="C10132" i="3"/>
  <c r="F10132" i="3"/>
  <c r="G10132" i="3"/>
  <c r="B10133" i="3"/>
  <c r="C10133" i="3"/>
  <c r="F10133" i="3"/>
  <c r="G10133" i="3"/>
  <c r="B10134" i="3"/>
  <c r="C10134" i="3"/>
  <c r="F10134" i="3"/>
  <c r="G10134" i="3"/>
  <c r="B10135" i="3"/>
  <c r="C10135" i="3"/>
  <c r="F10135" i="3"/>
  <c r="G10135" i="3"/>
  <c r="B10136" i="3"/>
  <c r="C10136" i="3"/>
  <c r="F10136" i="3"/>
  <c r="G10136" i="3"/>
  <c r="B10137" i="3"/>
  <c r="C10137" i="3"/>
  <c r="F10137" i="3"/>
  <c r="G10137" i="3"/>
  <c r="B10138" i="3"/>
  <c r="C10138" i="3"/>
  <c r="I10138" i="3"/>
  <c r="F10138" i="3"/>
  <c r="G10138" i="3"/>
  <c r="B10139" i="3"/>
  <c r="C10139" i="3"/>
  <c r="F10139" i="3"/>
  <c r="G10139" i="3"/>
  <c r="B10140" i="3"/>
  <c r="C10140" i="3"/>
  <c r="F10140" i="3"/>
  <c r="G10140" i="3"/>
  <c r="B10141" i="3"/>
  <c r="C10141" i="3"/>
  <c r="F10141" i="3"/>
  <c r="G10141" i="3"/>
  <c r="B10142" i="3"/>
  <c r="C10142" i="3"/>
  <c r="F10142" i="3"/>
  <c r="G10142" i="3"/>
  <c r="B10143" i="3"/>
  <c r="C10143" i="3"/>
  <c r="F10143" i="3"/>
  <c r="G10143" i="3"/>
  <c r="B10144" i="3"/>
  <c r="C10144" i="3"/>
  <c r="F10144" i="3"/>
  <c r="G10144" i="3"/>
  <c r="B10145" i="3"/>
  <c r="C10145" i="3"/>
  <c r="F10145" i="3"/>
  <c r="G10145" i="3"/>
  <c r="B10146" i="3"/>
  <c r="C10146" i="3"/>
  <c r="F10146" i="3"/>
  <c r="G10146" i="3"/>
  <c r="B10147" i="3"/>
  <c r="C10147" i="3"/>
  <c r="F10147" i="3"/>
  <c r="G10147" i="3"/>
  <c r="B10148" i="3"/>
  <c r="C10148" i="3"/>
  <c r="F10148" i="3"/>
  <c r="G10148" i="3"/>
  <c r="B10149" i="3"/>
  <c r="C10149" i="3"/>
  <c r="F10149" i="3"/>
  <c r="G10149" i="3"/>
  <c r="B10150" i="3"/>
  <c r="C10150" i="3"/>
  <c r="F10150" i="3"/>
  <c r="G10150" i="3"/>
  <c r="B10151" i="3"/>
  <c r="C10151" i="3"/>
  <c r="F10151" i="3"/>
  <c r="G10151" i="3"/>
  <c r="B10152" i="3"/>
  <c r="C10152" i="3"/>
  <c r="F10152" i="3"/>
  <c r="G10152" i="3"/>
  <c r="B10153" i="3"/>
  <c r="C10153" i="3"/>
  <c r="F10153" i="3"/>
  <c r="G10153" i="3"/>
  <c r="B10154" i="3"/>
  <c r="C10154" i="3"/>
  <c r="F10154" i="3"/>
  <c r="G10154" i="3"/>
  <c r="B10155" i="3"/>
  <c r="C10155" i="3"/>
  <c r="F10155" i="3"/>
  <c r="G10155" i="3"/>
  <c r="B10156" i="3"/>
  <c r="C10156" i="3"/>
  <c r="F10156" i="3"/>
  <c r="G10156" i="3"/>
  <c r="B10157" i="3"/>
  <c r="C10157" i="3"/>
  <c r="F10157" i="3"/>
  <c r="G10157" i="3"/>
  <c r="B10158" i="3"/>
  <c r="C10158" i="3"/>
  <c r="F10158" i="3"/>
  <c r="G10158" i="3"/>
  <c r="B10159" i="3"/>
  <c r="C10159" i="3"/>
  <c r="F10159" i="3"/>
  <c r="G10159" i="3"/>
  <c r="B10160" i="3"/>
  <c r="C10160" i="3"/>
  <c r="F10160" i="3"/>
  <c r="G10160" i="3"/>
  <c r="B10161" i="3"/>
  <c r="C10161" i="3"/>
  <c r="F10161" i="3"/>
  <c r="G10161" i="3"/>
  <c r="B10162" i="3"/>
  <c r="C10162" i="3"/>
  <c r="F10162" i="3"/>
  <c r="G10162" i="3"/>
  <c r="B10163" i="3"/>
  <c r="C10163" i="3"/>
  <c r="F10163" i="3"/>
  <c r="G10163" i="3"/>
  <c r="B10164" i="3"/>
  <c r="C10164" i="3"/>
  <c r="F10164" i="3"/>
  <c r="G10164" i="3"/>
  <c r="B10165" i="3"/>
  <c r="C10165" i="3"/>
  <c r="F10165" i="3"/>
  <c r="G10165" i="3"/>
  <c r="B10166" i="3"/>
  <c r="C10166" i="3"/>
  <c r="F10166" i="3"/>
  <c r="G10166" i="3"/>
  <c r="B10167" i="3"/>
  <c r="C10167" i="3"/>
  <c r="F10167" i="3"/>
  <c r="G10167" i="3"/>
  <c r="B10168" i="3"/>
  <c r="C10168" i="3"/>
  <c r="F10168" i="3"/>
  <c r="G10168" i="3"/>
  <c r="B10169" i="3"/>
  <c r="C10169" i="3"/>
  <c r="F10169" i="3"/>
  <c r="G10169" i="3"/>
  <c r="B10170" i="3"/>
  <c r="C10170" i="3"/>
  <c r="F10170" i="3"/>
  <c r="G10170" i="3"/>
  <c r="B10171" i="3"/>
  <c r="C10171" i="3"/>
  <c r="F10171" i="3"/>
  <c r="G10171" i="3"/>
  <c r="B10172" i="3"/>
  <c r="C10172" i="3"/>
  <c r="F10172" i="3"/>
  <c r="G10172" i="3"/>
  <c r="B10173" i="3"/>
  <c r="C10173" i="3"/>
  <c r="F10173" i="3"/>
  <c r="G10173" i="3"/>
  <c r="B10174" i="3"/>
  <c r="C10174" i="3"/>
  <c r="F10174" i="3"/>
  <c r="G10174" i="3"/>
  <c r="B10175" i="3"/>
  <c r="C10175" i="3"/>
  <c r="F10175" i="3"/>
  <c r="G10175" i="3"/>
  <c r="B10176" i="3"/>
  <c r="C10176" i="3"/>
  <c r="F10176" i="3"/>
  <c r="G10176" i="3"/>
  <c r="B10177" i="3"/>
  <c r="C10177" i="3"/>
  <c r="F10177" i="3"/>
  <c r="G10177" i="3"/>
  <c r="B10178" i="3"/>
  <c r="C10178" i="3"/>
  <c r="F10178" i="3"/>
  <c r="G10178" i="3"/>
  <c r="B10179" i="3"/>
  <c r="C10179" i="3"/>
  <c r="F10179" i="3"/>
  <c r="G10179" i="3"/>
  <c r="B10180" i="3"/>
  <c r="C10180" i="3"/>
  <c r="F10180" i="3"/>
  <c r="G10180" i="3"/>
  <c r="B10181" i="3"/>
  <c r="C10181" i="3"/>
  <c r="F10181" i="3"/>
  <c r="G10181" i="3"/>
  <c r="B10182" i="3"/>
  <c r="C10182" i="3"/>
  <c r="F10182" i="3"/>
  <c r="G10182" i="3"/>
  <c r="B10183" i="3"/>
  <c r="C10183" i="3"/>
  <c r="F10183" i="3"/>
  <c r="G10183" i="3"/>
  <c r="B10184" i="3"/>
  <c r="C10184" i="3"/>
  <c r="F10184" i="3"/>
  <c r="G10184" i="3"/>
  <c r="B10185" i="3"/>
  <c r="C10185" i="3"/>
  <c r="F10185" i="3"/>
  <c r="G10185" i="3"/>
  <c r="B10186" i="3"/>
  <c r="C10186" i="3"/>
  <c r="F10186" i="3"/>
  <c r="G10186" i="3"/>
  <c r="B10187" i="3"/>
  <c r="C10187" i="3"/>
  <c r="F10187" i="3"/>
  <c r="G10187" i="3"/>
  <c r="B10188" i="3"/>
  <c r="C10188" i="3"/>
  <c r="F10188" i="3"/>
  <c r="G10188" i="3"/>
  <c r="B10189" i="3"/>
  <c r="C10189" i="3"/>
  <c r="F10189" i="3"/>
  <c r="G10189" i="3"/>
  <c r="B10190" i="3"/>
  <c r="C10190" i="3"/>
  <c r="F10190" i="3"/>
  <c r="G10190" i="3"/>
  <c r="B10191" i="3"/>
  <c r="C10191" i="3"/>
  <c r="F10191" i="3"/>
  <c r="G10191" i="3"/>
  <c r="B10192" i="3"/>
  <c r="C10192" i="3"/>
  <c r="F10192" i="3"/>
  <c r="G10192" i="3"/>
  <c r="B10193" i="3"/>
  <c r="C10193" i="3"/>
  <c r="F10193" i="3"/>
  <c r="G10193" i="3"/>
  <c r="B10194" i="3"/>
  <c r="C10194" i="3"/>
  <c r="F10194" i="3"/>
  <c r="G10194" i="3"/>
  <c r="B10195" i="3"/>
  <c r="C10195" i="3"/>
  <c r="F10195" i="3"/>
  <c r="G10195" i="3"/>
  <c r="B10196" i="3"/>
  <c r="C10196" i="3"/>
  <c r="F10196" i="3"/>
  <c r="G10196" i="3"/>
  <c r="B10197" i="3"/>
  <c r="C10197" i="3"/>
  <c r="F10197" i="3"/>
  <c r="G10197" i="3"/>
  <c r="B10198" i="3"/>
  <c r="C10198" i="3"/>
  <c r="F10198" i="3"/>
  <c r="G10198" i="3"/>
  <c r="B10199" i="3"/>
  <c r="C10199" i="3"/>
  <c r="F10199" i="3"/>
  <c r="G10199" i="3"/>
  <c r="B10200" i="3"/>
  <c r="C10200" i="3"/>
  <c r="F10200" i="3"/>
  <c r="G10200" i="3"/>
  <c r="B10201" i="3"/>
  <c r="C10201" i="3"/>
  <c r="F10201" i="3"/>
  <c r="G10201" i="3"/>
  <c r="B10202" i="3"/>
  <c r="C10202" i="3"/>
  <c r="F10202" i="3"/>
  <c r="G10202" i="3"/>
  <c r="B10203" i="3"/>
  <c r="C10203" i="3"/>
  <c r="F10203" i="3"/>
  <c r="G10203" i="3"/>
  <c r="B10204" i="3"/>
  <c r="C10204" i="3"/>
  <c r="F10204" i="3"/>
  <c r="G10204" i="3"/>
  <c r="B10205" i="3"/>
  <c r="C10205" i="3"/>
  <c r="F10205" i="3"/>
  <c r="G10205" i="3"/>
  <c r="B10206" i="3"/>
  <c r="C10206" i="3"/>
  <c r="F10206" i="3"/>
  <c r="G10206" i="3"/>
  <c r="B10207" i="3"/>
  <c r="C10207" i="3"/>
  <c r="F10207" i="3"/>
  <c r="G10207" i="3"/>
  <c r="B10208" i="3"/>
  <c r="C10208" i="3"/>
  <c r="F10208" i="3"/>
  <c r="G10208" i="3"/>
  <c r="B10209" i="3"/>
  <c r="C10209" i="3"/>
  <c r="F10209" i="3"/>
  <c r="G10209" i="3"/>
  <c r="B10210" i="3"/>
  <c r="C10210" i="3"/>
  <c r="F10210" i="3"/>
  <c r="G10210" i="3"/>
  <c r="B10211" i="3"/>
  <c r="C10211" i="3"/>
  <c r="F10211" i="3"/>
  <c r="G10211" i="3"/>
  <c r="B10212" i="3"/>
  <c r="C10212" i="3"/>
  <c r="F10212" i="3"/>
  <c r="G10212" i="3"/>
  <c r="B10213" i="3"/>
  <c r="C10213" i="3"/>
  <c r="F10213" i="3"/>
  <c r="G10213" i="3"/>
  <c r="B10214" i="3"/>
  <c r="C10214" i="3"/>
  <c r="F10214" i="3"/>
  <c r="G10214" i="3"/>
  <c r="B10215" i="3"/>
  <c r="C10215" i="3"/>
  <c r="F10215" i="3"/>
  <c r="G10215" i="3"/>
  <c r="B10216" i="3"/>
  <c r="C10216" i="3"/>
  <c r="F10216" i="3"/>
  <c r="G10216" i="3"/>
  <c r="B10217" i="3"/>
  <c r="C10217" i="3"/>
  <c r="F10217" i="3"/>
  <c r="G10217" i="3"/>
  <c r="B10218" i="3"/>
  <c r="C10218" i="3"/>
  <c r="F10218" i="3"/>
  <c r="G10218" i="3"/>
  <c r="B10219" i="3"/>
  <c r="C10219" i="3"/>
  <c r="F10219" i="3"/>
  <c r="G10219" i="3"/>
  <c r="B10220" i="3"/>
  <c r="C10220" i="3"/>
  <c r="F10220" i="3"/>
  <c r="G10220" i="3"/>
  <c r="B10221" i="3"/>
  <c r="C10221" i="3"/>
  <c r="F10221" i="3"/>
  <c r="G10221" i="3"/>
  <c r="B10222" i="3"/>
  <c r="C10222" i="3"/>
  <c r="F10222" i="3"/>
  <c r="G10222" i="3"/>
  <c r="B10223" i="3"/>
  <c r="C10223" i="3"/>
  <c r="F10223" i="3"/>
  <c r="G10223" i="3"/>
  <c r="B10224" i="3"/>
  <c r="C10224" i="3"/>
  <c r="F10224" i="3"/>
  <c r="G10224" i="3"/>
  <c r="B10225" i="3"/>
  <c r="C10225" i="3"/>
  <c r="F10225" i="3"/>
  <c r="G10225" i="3"/>
  <c r="B10226" i="3"/>
  <c r="C10226" i="3"/>
  <c r="F10226" i="3"/>
  <c r="G10226" i="3"/>
  <c r="B10227" i="3"/>
  <c r="C10227" i="3"/>
  <c r="F10227" i="3"/>
  <c r="G10227" i="3"/>
  <c r="B10228" i="3"/>
  <c r="C10228" i="3"/>
  <c r="F10228" i="3"/>
  <c r="G10228" i="3"/>
  <c r="B10229" i="3"/>
  <c r="C10229" i="3"/>
  <c r="F10229" i="3"/>
  <c r="G10229" i="3"/>
  <c r="B10230" i="3"/>
  <c r="C10230" i="3"/>
  <c r="F10230" i="3"/>
  <c r="G10230" i="3"/>
  <c r="B10231" i="3"/>
  <c r="C10231" i="3"/>
  <c r="F10231" i="3"/>
  <c r="G10231" i="3"/>
  <c r="B10232" i="3"/>
  <c r="C10232" i="3"/>
  <c r="F10232" i="3"/>
  <c r="G10232" i="3"/>
  <c r="B10233" i="3"/>
  <c r="C10233" i="3"/>
  <c r="F10233" i="3"/>
  <c r="G10233" i="3"/>
  <c r="B10234" i="3"/>
  <c r="C10234" i="3"/>
  <c r="F10234" i="3"/>
  <c r="G10234" i="3"/>
  <c r="B10235" i="3"/>
  <c r="C10235" i="3"/>
  <c r="F10235" i="3"/>
  <c r="G10235" i="3"/>
  <c r="B9640" i="3"/>
  <c r="C9640" i="3"/>
  <c r="F9640" i="3"/>
  <c r="G9640" i="3"/>
  <c r="B9641" i="3"/>
  <c r="C9641" i="3"/>
  <c r="F9641" i="3"/>
  <c r="G9641" i="3"/>
  <c r="B9642" i="3"/>
  <c r="C9642" i="3"/>
  <c r="F9642" i="3"/>
  <c r="G9642" i="3"/>
  <c r="B9643" i="3"/>
  <c r="C9643" i="3"/>
  <c r="F9643" i="3"/>
  <c r="G9643" i="3"/>
  <c r="B9644" i="3"/>
  <c r="C9644" i="3"/>
  <c r="F9644" i="3"/>
  <c r="G9644" i="3"/>
  <c r="B9645" i="3"/>
  <c r="C9645" i="3"/>
  <c r="F9645" i="3"/>
  <c r="G9645" i="3"/>
  <c r="B9646" i="3"/>
  <c r="C9646" i="3"/>
  <c r="F9646" i="3"/>
  <c r="G9646" i="3"/>
  <c r="B9647" i="3"/>
  <c r="C9647" i="3"/>
  <c r="F9647" i="3"/>
  <c r="G9647" i="3"/>
  <c r="B9648" i="3"/>
  <c r="C9648" i="3"/>
  <c r="F9648" i="3"/>
  <c r="G9648" i="3"/>
  <c r="B9649" i="3"/>
  <c r="C9649" i="3"/>
  <c r="F9649" i="3"/>
  <c r="G9649" i="3"/>
  <c r="B9650" i="3"/>
  <c r="C9650" i="3"/>
  <c r="F9650" i="3"/>
  <c r="G9650" i="3"/>
  <c r="B9651" i="3"/>
  <c r="C9651" i="3"/>
  <c r="F9651" i="3"/>
  <c r="G9651" i="3"/>
  <c r="B9652" i="3"/>
  <c r="C9652" i="3"/>
  <c r="F9652" i="3"/>
  <c r="G9652" i="3"/>
  <c r="B9653" i="3"/>
  <c r="C9653" i="3"/>
  <c r="F9653" i="3"/>
  <c r="G9653" i="3"/>
  <c r="B9654" i="3"/>
  <c r="C9654" i="3"/>
  <c r="F9654" i="3"/>
  <c r="G9654" i="3"/>
  <c r="B9655" i="3"/>
  <c r="C9655" i="3"/>
  <c r="F9655" i="3"/>
  <c r="G9655" i="3"/>
  <c r="B9656" i="3"/>
  <c r="C9656" i="3"/>
  <c r="F9656" i="3"/>
  <c r="G9656" i="3"/>
  <c r="B9657" i="3"/>
  <c r="C9657" i="3"/>
  <c r="F9657" i="3"/>
  <c r="G9657" i="3"/>
  <c r="B9658" i="3"/>
  <c r="C9658" i="3"/>
  <c r="F9658" i="3"/>
  <c r="G9658" i="3"/>
  <c r="B9659" i="3"/>
  <c r="C9659" i="3"/>
  <c r="F9659" i="3"/>
  <c r="G9659" i="3"/>
  <c r="B9660" i="3"/>
  <c r="C9660" i="3"/>
  <c r="F9660" i="3"/>
  <c r="G9660" i="3"/>
  <c r="B9661" i="3"/>
  <c r="C9661" i="3"/>
  <c r="F9661" i="3"/>
  <c r="G9661" i="3"/>
  <c r="B9662" i="3"/>
  <c r="C9662" i="3"/>
  <c r="F9662" i="3"/>
  <c r="G9662" i="3"/>
  <c r="B9663" i="3"/>
  <c r="C9663" i="3"/>
  <c r="F9663" i="3"/>
  <c r="G9663" i="3"/>
  <c r="B9664" i="3"/>
  <c r="C9664" i="3"/>
  <c r="F9664" i="3"/>
  <c r="G9664" i="3"/>
  <c r="B9665" i="3"/>
  <c r="C9665" i="3"/>
  <c r="F9665" i="3"/>
  <c r="G9665" i="3"/>
  <c r="B9666" i="3"/>
  <c r="C9666" i="3"/>
  <c r="F9666" i="3"/>
  <c r="G9666" i="3"/>
  <c r="B9667" i="3"/>
  <c r="C9667" i="3"/>
  <c r="I9667" i="3"/>
  <c r="F9667" i="3"/>
  <c r="G9667" i="3"/>
  <c r="B9668" i="3"/>
  <c r="C9668" i="3"/>
  <c r="F9668" i="3"/>
  <c r="G9668" i="3"/>
  <c r="B9669" i="3"/>
  <c r="C9669" i="3"/>
  <c r="F9669" i="3"/>
  <c r="G9669" i="3"/>
  <c r="B9670" i="3"/>
  <c r="C9670" i="3"/>
  <c r="F9670" i="3"/>
  <c r="G9670" i="3"/>
  <c r="B9671" i="3"/>
  <c r="C9671" i="3"/>
  <c r="F9671" i="3"/>
  <c r="G9671" i="3"/>
  <c r="B9672" i="3"/>
  <c r="C9672" i="3"/>
  <c r="F9672" i="3"/>
  <c r="G9672" i="3"/>
  <c r="B9673" i="3"/>
  <c r="C9673" i="3"/>
  <c r="F9673" i="3"/>
  <c r="G9673" i="3"/>
  <c r="B9674" i="3"/>
  <c r="C9674" i="3"/>
  <c r="F9674" i="3"/>
  <c r="G9674" i="3"/>
  <c r="B9675" i="3"/>
  <c r="C9675" i="3"/>
  <c r="F9675" i="3"/>
  <c r="G9675" i="3"/>
  <c r="B9676" i="3"/>
  <c r="C9676" i="3"/>
  <c r="F9676" i="3"/>
  <c r="G9676" i="3"/>
  <c r="B9677" i="3"/>
  <c r="C9677" i="3"/>
  <c r="F9677" i="3"/>
  <c r="G9677" i="3"/>
  <c r="B9678" i="3"/>
  <c r="C9678" i="3"/>
  <c r="F9678" i="3"/>
  <c r="G9678" i="3"/>
  <c r="B9679" i="3"/>
  <c r="C9679" i="3"/>
  <c r="F9679" i="3"/>
  <c r="G9679" i="3"/>
  <c r="B9680" i="3"/>
  <c r="C9680" i="3"/>
  <c r="F9680" i="3"/>
  <c r="G9680" i="3"/>
  <c r="B9681" i="3"/>
  <c r="C9681" i="3"/>
  <c r="F9681" i="3"/>
  <c r="G9681" i="3"/>
  <c r="B9682" i="3"/>
  <c r="C9682" i="3"/>
  <c r="F9682" i="3"/>
  <c r="G9682" i="3"/>
  <c r="B9683" i="3"/>
  <c r="C9683" i="3"/>
  <c r="F9683" i="3"/>
  <c r="G9683" i="3"/>
  <c r="B9684" i="3"/>
  <c r="C9684" i="3"/>
  <c r="F9684" i="3"/>
  <c r="G9684" i="3"/>
  <c r="B9685" i="3"/>
  <c r="C9685" i="3"/>
  <c r="F9685" i="3"/>
  <c r="G9685" i="3"/>
  <c r="B9686" i="3"/>
  <c r="C9686" i="3"/>
  <c r="F9686" i="3"/>
  <c r="G9686" i="3"/>
  <c r="B9687" i="3"/>
  <c r="C9687" i="3"/>
  <c r="F9687" i="3"/>
  <c r="G9687" i="3"/>
  <c r="B9688" i="3"/>
  <c r="C9688" i="3"/>
  <c r="F9688" i="3"/>
  <c r="G9688" i="3"/>
  <c r="B9689" i="3"/>
  <c r="C9689" i="3"/>
  <c r="F9689" i="3"/>
  <c r="G9689" i="3"/>
  <c r="B9690" i="3"/>
  <c r="C9690" i="3"/>
  <c r="F9690" i="3"/>
  <c r="G9690" i="3"/>
  <c r="B9691" i="3"/>
  <c r="C9691" i="3"/>
  <c r="F9691" i="3"/>
  <c r="G9691" i="3"/>
  <c r="B9692" i="3"/>
  <c r="C9692" i="3"/>
  <c r="F9692" i="3"/>
  <c r="G9692" i="3"/>
  <c r="B9693" i="3"/>
  <c r="C9693" i="3"/>
  <c r="F9693" i="3"/>
  <c r="G9693" i="3"/>
  <c r="B9694" i="3"/>
  <c r="C9694" i="3"/>
  <c r="F9694" i="3"/>
  <c r="G9694" i="3"/>
  <c r="B9695" i="3"/>
  <c r="C9695" i="3"/>
  <c r="F9695" i="3"/>
  <c r="G9695" i="3"/>
  <c r="B9696" i="3"/>
  <c r="C9696" i="3"/>
  <c r="F9696" i="3"/>
  <c r="G9696" i="3"/>
  <c r="B9697" i="3"/>
  <c r="C9697" i="3"/>
  <c r="F9697" i="3"/>
  <c r="G9697" i="3"/>
  <c r="B9698" i="3"/>
  <c r="C9698" i="3"/>
  <c r="F9698" i="3"/>
  <c r="G9698" i="3"/>
  <c r="B9699" i="3"/>
  <c r="C9699" i="3"/>
  <c r="F9699" i="3"/>
  <c r="G9699" i="3"/>
  <c r="B9700" i="3"/>
  <c r="C9700" i="3"/>
  <c r="F9700" i="3"/>
  <c r="G9700" i="3"/>
  <c r="B9701" i="3"/>
  <c r="C9701" i="3"/>
  <c r="F9701" i="3"/>
  <c r="G9701" i="3"/>
  <c r="B9702" i="3"/>
  <c r="C9702" i="3"/>
  <c r="I9702" i="3"/>
  <c r="F9702" i="3"/>
  <c r="G9702" i="3"/>
  <c r="B9703" i="3"/>
  <c r="C9703" i="3"/>
  <c r="F9703" i="3"/>
  <c r="G9703" i="3"/>
  <c r="B9704" i="3"/>
  <c r="C9704" i="3"/>
  <c r="F9704" i="3"/>
  <c r="G9704" i="3"/>
  <c r="B9705" i="3"/>
  <c r="C9705" i="3"/>
  <c r="F9705" i="3"/>
  <c r="G9705" i="3"/>
  <c r="B9706" i="3"/>
  <c r="C9706" i="3"/>
  <c r="F9706" i="3"/>
  <c r="G9706" i="3"/>
  <c r="B9707" i="3"/>
  <c r="C9707" i="3"/>
  <c r="F9707" i="3"/>
  <c r="G9707" i="3"/>
  <c r="B9708" i="3"/>
  <c r="C9708" i="3"/>
  <c r="F9708" i="3"/>
  <c r="G9708" i="3"/>
  <c r="B9709" i="3"/>
  <c r="C9709" i="3"/>
  <c r="F9709" i="3"/>
  <c r="G9709" i="3"/>
  <c r="B9710" i="3"/>
  <c r="C9710" i="3"/>
  <c r="F9710" i="3"/>
  <c r="G9710" i="3"/>
  <c r="B9711" i="3"/>
  <c r="C9711" i="3"/>
  <c r="F9711" i="3"/>
  <c r="G9711" i="3"/>
  <c r="B9712" i="3"/>
  <c r="C9712" i="3"/>
  <c r="F9712" i="3"/>
  <c r="G9712" i="3"/>
  <c r="B9713" i="3"/>
  <c r="C9713" i="3"/>
  <c r="F9713" i="3"/>
  <c r="G9713" i="3"/>
  <c r="B9714" i="3"/>
  <c r="C9714" i="3"/>
  <c r="F9714" i="3"/>
  <c r="G9714" i="3"/>
  <c r="B9715" i="3"/>
  <c r="C9715" i="3"/>
  <c r="J9715" i="3"/>
  <c r="F9715" i="3"/>
  <c r="G9715" i="3"/>
  <c r="B9716" i="3"/>
  <c r="C9716" i="3"/>
  <c r="F9716" i="3"/>
  <c r="G9716" i="3"/>
  <c r="B9717" i="3"/>
  <c r="C9717" i="3"/>
  <c r="F9717" i="3"/>
  <c r="G9717" i="3"/>
  <c r="B9718" i="3"/>
  <c r="C9718" i="3"/>
  <c r="F9718" i="3"/>
  <c r="G9718" i="3"/>
  <c r="B9719" i="3"/>
  <c r="C9719" i="3"/>
  <c r="F9719" i="3"/>
  <c r="G9719" i="3"/>
  <c r="B9720" i="3"/>
  <c r="C9720" i="3"/>
  <c r="F9720" i="3"/>
  <c r="G9720" i="3"/>
  <c r="B9721" i="3"/>
  <c r="C9721" i="3"/>
  <c r="F9721" i="3"/>
  <c r="G9721" i="3"/>
  <c r="B9722" i="3"/>
  <c r="C9722" i="3"/>
  <c r="F9722" i="3"/>
  <c r="G9722" i="3"/>
  <c r="B9723" i="3"/>
  <c r="C9723" i="3"/>
  <c r="F9723" i="3"/>
  <c r="G9723" i="3"/>
  <c r="B9724" i="3"/>
  <c r="C9724" i="3"/>
  <c r="F9724" i="3"/>
  <c r="G9724" i="3"/>
  <c r="B9725" i="3"/>
  <c r="C9725" i="3"/>
  <c r="F9725" i="3"/>
  <c r="G9725" i="3"/>
  <c r="B9726" i="3"/>
  <c r="C9726" i="3"/>
  <c r="I9726" i="3"/>
  <c r="F9726" i="3"/>
  <c r="G9726" i="3"/>
  <c r="B9727" i="3"/>
  <c r="C9727" i="3"/>
  <c r="F9727" i="3"/>
  <c r="G9727" i="3"/>
  <c r="B9728" i="3"/>
  <c r="C9728" i="3"/>
  <c r="F9728" i="3"/>
  <c r="G9728" i="3"/>
  <c r="B9729" i="3"/>
  <c r="C9729" i="3"/>
  <c r="F9729" i="3"/>
  <c r="G9729" i="3"/>
  <c r="B9730" i="3"/>
  <c r="C9730" i="3"/>
  <c r="F9730" i="3"/>
  <c r="G9730" i="3"/>
  <c r="B9731" i="3"/>
  <c r="C9731" i="3"/>
  <c r="F9731" i="3"/>
  <c r="G9731" i="3"/>
  <c r="B9732" i="3"/>
  <c r="C9732" i="3"/>
  <c r="F9732" i="3"/>
  <c r="G9732" i="3"/>
  <c r="B9733" i="3"/>
  <c r="C9733" i="3"/>
  <c r="F9733" i="3"/>
  <c r="G9733" i="3"/>
  <c r="B9734" i="3"/>
  <c r="C9734" i="3"/>
  <c r="F9734" i="3"/>
  <c r="G9734" i="3"/>
  <c r="B9735" i="3"/>
  <c r="C9735" i="3"/>
  <c r="F9735" i="3"/>
  <c r="G9735" i="3"/>
  <c r="B9736" i="3"/>
  <c r="C9736" i="3"/>
  <c r="F9736" i="3"/>
  <c r="G9736" i="3"/>
  <c r="B9737" i="3"/>
  <c r="C9737" i="3"/>
  <c r="F9737" i="3"/>
  <c r="G9737" i="3"/>
  <c r="B9738" i="3"/>
  <c r="C9738" i="3"/>
  <c r="F9738" i="3"/>
  <c r="G9738" i="3"/>
  <c r="B9739" i="3"/>
  <c r="C9739" i="3"/>
  <c r="F9739" i="3"/>
  <c r="G9739" i="3"/>
  <c r="B9740" i="3"/>
  <c r="C9740" i="3"/>
  <c r="F9740" i="3"/>
  <c r="G9740" i="3"/>
  <c r="B9741" i="3"/>
  <c r="C9741" i="3"/>
  <c r="F9741" i="3"/>
  <c r="G9741" i="3"/>
  <c r="B9742" i="3"/>
  <c r="C9742" i="3"/>
  <c r="F9742" i="3"/>
  <c r="G9742" i="3"/>
  <c r="B9743" i="3"/>
  <c r="C9743" i="3"/>
  <c r="F9743" i="3"/>
  <c r="G9743" i="3"/>
  <c r="B9744" i="3"/>
  <c r="C9744" i="3"/>
  <c r="F9744" i="3"/>
  <c r="G9744" i="3"/>
  <c r="B9745" i="3"/>
  <c r="C9745" i="3"/>
  <c r="F9745" i="3"/>
  <c r="G9745" i="3"/>
  <c r="B9746" i="3"/>
  <c r="C9746" i="3"/>
  <c r="F9746" i="3"/>
  <c r="G9746" i="3"/>
  <c r="B9747" i="3"/>
  <c r="C9747" i="3"/>
  <c r="F9747" i="3"/>
  <c r="G9747" i="3"/>
  <c r="B9748" i="3"/>
  <c r="C9748" i="3"/>
  <c r="F9748" i="3"/>
  <c r="G9748" i="3"/>
  <c r="B9749" i="3"/>
  <c r="C9749" i="3"/>
  <c r="F9749" i="3"/>
  <c r="G9749" i="3"/>
  <c r="B9750" i="3"/>
  <c r="C9750" i="3"/>
  <c r="F9750" i="3"/>
  <c r="G9750" i="3"/>
  <c r="B9751" i="3"/>
  <c r="C9751" i="3"/>
  <c r="I9751" i="3"/>
  <c r="F9751" i="3"/>
  <c r="G9751" i="3"/>
  <c r="B9752" i="3"/>
  <c r="C9752" i="3"/>
  <c r="F9752" i="3"/>
  <c r="G9752" i="3"/>
  <c r="B9753" i="3"/>
  <c r="C9753" i="3"/>
  <c r="F9753" i="3"/>
  <c r="G9753" i="3"/>
  <c r="B9754" i="3"/>
  <c r="C9754" i="3"/>
  <c r="F9754" i="3"/>
  <c r="G9754" i="3"/>
  <c r="B9755" i="3"/>
  <c r="C9755" i="3"/>
  <c r="F9755" i="3"/>
  <c r="G9755" i="3"/>
  <c r="B9756" i="3"/>
  <c r="C9756" i="3"/>
  <c r="F9756" i="3"/>
  <c r="G9756" i="3"/>
  <c r="B9757" i="3"/>
  <c r="C9757" i="3"/>
  <c r="F9757" i="3"/>
  <c r="G9757" i="3"/>
  <c r="B9758" i="3"/>
  <c r="C9758" i="3"/>
  <c r="F9758" i="3"/>
  <c r="G9758" i="3"/>
  <c r="B9759" i="3"/>
  <c r="C9759" i="3"/>
  <c r="F9759" i="3"/>
  <c r="G9759" i="3"/>
  <c r="B9760" i="3"/>
  <c r="C9760" i="3"/>
  <c r="F9760" i="3"/>
  <c r="G9760" i="3"/>
  <c r="B9761" i="3"/>
  <c r="C9761" i="3"/>
  <c r="F9761" i="3"/>
  <c r="G9761" i="3"/>
  <c r="B9762" i="3"/>
  <c r="C9762" i="3"/>
  <c r="J9762" i="3"/>
  <c r="F9762" i="3"/>
  <c r="G9762" i="3"/>
  <c r="B9763" i="3"/>
  <c r="C9763" i="3"/>
  <c r="F9763" i="3"/>
  <c r="G9763" i="3"/>
  <c r="B9764" i="3"/>
  <c r="C9764" i="3"/>
  <c r="F9764" i="3"/>
  <c r="G9764" i="3"/>
  <c r="B9765" i="3"/>
  <c r="C9765" i="3"/>
  <c r="F9765" i="3"/>
  <c r="G9765" i="3"/>
  <c r="B9766" i="3"/>
  <c r="C9766" i="3"/>
  <c r="F9766" i="3"/>
  <c r="G9766" i="3"/>
  <c r="B9767" i="3"/>
  <c r="C9767" i="3"/>
  <c r="F9767" i="3"/>
  <c r="G9767" i="3"/>
  <c r="B9768" i="3"/>
  <c r="C9768" i="3"/>
  <c r="F9768" i="3"/>
  <c r="G9768" i="3"/>
  <c r="B9769" i="3"/>
  <c r="C9769" i="3"/>
  <c r="F9769" i="3"/>
  <c r="G9769" i="3"/>
  <c r="B9770" i="3"/>
  <c r="C9770" i="3"/>
  <c r="F9770" i="3"/>
  <c r="G9770" i="3"/>
  <c r="B9771" i="3"/>
  <c r="C9771" i="3"/>
  <c r="F9771" i="3"/>
  <c r="G9771" i="3"/>
  <c r="B9772" i="3"/>
  <c r="C9772" i="3"/>
  <c r="F9772" i="3"/>
  <c r="G9772" i="3"/>
  <c r="B9773" i="3"/>
  <c r="C9773" i="3"/>
  <c r="F9773" i="3"/>
  <c r="G9773" i="3"/>
  <c r="B9774" i="3"/>
  <c r="C9774" i="3"/>
  <c r="F9774" i="3"/>
  <c r="G9774" i="3"/>
  <c r="B9775" i="3"/>
  <c r="C9775" i="3"/>
  <c r="F9775" i="3"/>
  <c r="G9775" i="3"/>
  <c r="B9776" i="3"/>
  <c r="C9776" i="3"/>
  <c r="F9776" i="3"/>
  <c r="G9776" i="3"/>
  <c r="B9777" i="3"/>
  <c r="C9777" i="3"/>
  <c r="F9777" i="3"/>
  <c r="G9777" i="3"/>
  <c r="B9778" i="3"/>
  <c r="C9778" i="3"/>
  <c r="F9778" i="3"/>
  <c r="G9778" i="3"/>
  <c r="B9779" i="3"/>
  <c r="C9779" i="3"/>
  <c r="F9779" i="3"/>
  <c r="G9779" i="3"/>
  <c r="B9780" i="3"/>
  <c r="C9780" i="3"/>
  <c r="F9780" i="3"/>
  <c r="G9780" i="3"/>
  <c r="B9781" i="3"/>
  <c r="C9781" i="3"/>
  <c r="F9781" i="3"/>
  <c r="G9781" i="3"/>
  <c r="B9782" i="3"/>
  <c r="C9782" i="3"/>
  <c r="F9782" i="3"/>
  <c r="G9782" i="3"/>
  <c r="B9783" i="3"/>
  <c r="C9783" i="3"/>
  <c r="F9783" i="3"/>
  <c r="G9783" i="3"/>
  <c r="B9784" i="3"/>
  <c r="C9784" i="3"/>
  <c r="F9784" i="3"/>
  <c r="G9784" i="3"/>
  <c r="B9785" i="3"/>
  <c r="C9785" i="3"/>
  <c r="F9785" i="3"/>
  <c r="G9785" i="3"/>
  <c r="B9786" i="3"/>
  <c r="C9786" i="3"/>
  <c r="F9786" i="3"/>
  <c r="G9786" i="3"/>
  <c r="B9787" i="3"/>
  <c r="C9787" i="3"/>
  <c r="I9787" i="3"/>
  <c r="F9787" i="3"/>
  <c r="G9787" i="3"/>
  <c r="B9788" i="3"/>
  <c r="C9788" i="3"/>
  <c r="F9788" i="3"/>
  <c r="G9788" i="3"/>
  <c r="B9789" i="3"/>
  <c r="C9789" i="3"/>
  <c r="F9789" i="3"/>
  <c r="G9789" i="3"/>
  <c r="B9790" i="3"/>
  <c r="C9790" i="3"/>
  <c r="F9790" i="3"/>
  <c r="G9790" i="3"/>
  <c r="B9791" i="3"/>
  <c r="C9791" i="3"/>
  <c r="F9791" i="3"/>
  <c r="G9791" i="3"/>
  <c r="B9792" i="3"/>
  <c r="C9792" i="3"/>
  <c r="F9792" i="3"/>
  <c r="G9792" i="3"/>
  <c r="B9793" i="3"/>
  <c r="C9793" i="3"/>
  <c r="F9793" i="3"/>
  <c r="G9793" i="3"/>
  <c r="B9794" i="3"/>
  <c r="C9794" i="3"/>
  <c r="F9794" i="3"/>
  <c r="G9794" i="3"/>
  <c r="B9795" i="3"/>
  <c r="C9795" i="3"/>
  <c r="F9795" i="3"/>
  <c r="G9795" i="3"/>
  <c r="B9796" i="3"/>
  <c r="C9796" i="3"/>
  <c r="F9796" i="3"/>
  <c r="G9796" i="3"/>
  <c r="B9797" i="3"/>
  <c r="C9797" i="3"/>
  <c r="F9797" i="3"/>
  <c r="G9797" i="3"/>
  <c r="B9798" i="3"/>
  <c r="C9798" i="3"/>
  <c r="F9798" i="3"/>
  <c r="G9798" i="3"/>
  <c r="B9799" i="3"/>
  <c r="C9799" i="3"/>
  <c r="F9799" i="3"/>
  <c r="G9799" i="3"/>
  <c r="J9799" i="3"/>
  <c r="B9800" i="3"/>
  <c r="C9800" i="3"/>
  <c r="F9800" i="3"/>
  <c r="G9800" i="3"/>
  <c r="B9801" i="3"/>
  <c r="C9801" i="3"/>
  <c r="F9801" i="3"/>
  <c r="G9801" i="3"/>
  <c r="B9802" i="3"/>
  <c r="C9802" i="3"/>
  <c r="F9802" i="3"/>
  <c r="G9802" i="3"/>
  <c r="B9803" i="3"/>
  <c r="C9803" i="3"/>
  <c r="F9803" i="3"/>
  <c r="G9803" i="3"/>
  <c r="B9804" i="3"/>
  <c r="C9804" i="3"/>
  <c r="F9804" i="3"/>
  <c r="G9804" i="3"/>
  <c r="B9805" i="3"/>
  <c r="C9805" i="3"/>
  <c r="F9805" i="3"/>
  <c r="G9805" i="3"/>
  <c r="B9806" i="3"/>
  <c r="C9806" i="3"/>
  <c r="F9806" i="3"/>
  <c r="G9806" i="3"/>
  <c r="B9807" i="3"/>
  <c r="C9807" i="3"/>
  <c r="F9807" i="3"/>
  <c r="G9807" i="3"/>
  <c r="B9808" i="3"/>
  <c r="C9808" i="3"/>
  <c r="F9808" i="3"/>
  <c r="G9808" i="3"/>
  <c r="B9809" i="3"/>
  <c r="C9809" i="3"/>
  <c r="F9809" i="3"/>
  <c r="G9809" i="3"/>
  <c r="B9810" i="3"/>
  <c r="C9810" i="3"/>
  <c r="F9810" i="3"/>
  <c r="G9810" i="3"/>
  <c r="B9811" i="3"/>
  <c r="C9811" i="3"/>
  <c r="I9811" i="3"/>
  <c r="F9811" i="3"/>
  <c r="G9811" i="3"/>
  <c r="B9812" i="3"/>
  <c r="C9812" i="3"/>
  <c r="F9812" i="3"/>
  <c r="G9812" i="3"/>
  <c r="B9813" i="3"/>
  <c r="C9813" i="3"/>
  <c r="F9813" i="3"/>
  <c r="G9813" i="3"/>
  <c r="B9814" i="3"/>
  <c r="C9814" i="3"/>
  <c r="F9814" i="3"/>
  <c r="G9814" i="3"/>
  <c r="B9815" i="3"/>
  <c r="C9815" i="3"/>
  <c r="F9815" i="3"/>
  <c r="G9815" i="3"/>
  <c r="B9816" i="3"/>
  <c r="C9816" i="3"/>
  <c r="F9816" i="3"/>
  <c r="G9816" i="3"/>
  <c r="B9817" i="3"/>
  <c r="C9817" i="3"/>
  <c r="F9817" i="3"/>
  <c r="G9817" i="3"/>
  <c r="B9818" i="3"/>
  <c r="C9818" i="3"/>
  <c r="F9818" i="3"/>
  <c r="G9818" i="3"/>
  <c r="B9819" i="3"/>
  <c r="C9819" i="3"/>
  <c r="F9819" i="3"/>
  <c r="G9819" i="3"/>
  <c r="B9820" i="3"/>
  <c r="C9820" i="3"/>
  <c r="F9820" i="3"/>
  <c r="G9820" i="3"/>
  <c r="B9821" i="3"/>
  <c r="C9821" i="3"/>
  <c r="F9821" i="3"/>
  <c r="G9821" i="3"/>
  <c r="B9822" i="3"/>
  <c r="C9822" i="3"/>
  <c r="I9822" i="3"/>
  <c r="F9822" i="3"/>
  <c r="G9822" i="3"/>
  <c r="B9823" i="3"/>
  <c r="C9823" i="3"/>
  <c r="F9823" i="3"/>
  <c r="G9823" i="3"/>
  <c r="B9824" i="3"/>
  <c r="C9824" i="3"/>
  <c r="F9824" i="3"/>
  <c r="G9824" i="3"/>
  <c r="B9825" i="3"/>
  <c r="C9825" i="3"/>
  <c r="F9825" i="3"/>
  <c r="G9825" i="3"/>
  <c r="B9826" i="3"/>
  <c r="C9826" i="3"/>
  <c r="F9826" i="3"/>
  <c r="G9826" i="3"/>
  <c r="B9827" i="3"/>
  <c r="C9827" i="3"/>
  <c r="F9827" i="3"/>
  <c r="G9827" i="3"/>
  <c r="B9828" i="3"/>
  <c r="C9828" i="3"/>
  <c r="F9828" i="3"/>
  <c r="G9828" i="3"/>
  <c r="B9829" i="3"/>
  <c r="C9829" i="3"/>
  <c r="F9829" i="3"/>
  <c r="G9829" i="3"/>
  <c r="B9830" i="3"/>
  <c r="C9830" i="3"/>
  <c r="F9830" i="3"/>
  <c r="G9830" i="3"/>
  <c r="B9831" i="3"/>
  <c r="C9831" i="3"/>
  <c r="F9831" i="3"/>
  <c r="G9831" i="3"/>
  <c r="B9832" i="3"/>
  <c r="C9832" i="3"/>
  <c r="F9832" i="3"/>
  <c r="G9832" i="3"/>
  <c r="B9833" i="3"/>
  <c r="C9833" i="3"/>
  <c r="F9833" i="3"/>
  <c r="G9833" i="3"/>
  <c r="B9834" i="3"/>
  <c r="C9834" i="3"/>
  <c r="F9834" i="3"/>
  <c r="G9834" i="3"/>
  <c r="B9835" i="3"/>
  <c r="C9835" i="3"/>
  <c r="F9835" i="3"/>
  <c r="G9835" i="3"/>
  <c r="B9836" i="3"/>
  <c r="C9836" i="3"/>
  <c r="F9836" i="3"/>
  <c r="G9836" i="3"/>
  <c r="B9837" i="3"/>
  <c r="C9837" i="3"/>
  <c r="F9837" i="3"/>
  <c r="G9837" i="3"/>
  <c r="B9838" i="3"/>
  <c r="C9838" i="3"/>
  <c r="F9838" i="3"/>
  <c r="G9838" i="3"/>
  <c r="B9839" i="3"/>
  <c r="C9839" i="3"/>
  <c r="F9839" i="3"/>
  <c r="G9839" i="3"/>
  <c r="B9840" i="3"/>
  <c r="C9840" i="3"/>
  <c r="F9840" i="3"/>
  <c r="G9840" i="3"/>
  <c r="B9841" i="3"/>
  <c r="C9841" i="3"/>
  <c r="F9841" i="3"/>
  <c r="G9841" i="3"/>
  <c r="B9842" i="3"/>
  <c r="C9842" i="3"/>
  <c r="F9842" i="3"/>
  <c r="G9842" i="3"/>
  <c r="B9843" i="3"/>
  <c r="C9843" i="3"/>
  <c r="F9843" i="3"/>
  <c r="G9843" i="3"/>
  <c r="B9844" i="3"/>
  <c r="C9844" i="3"/>
  <c r="F9844" i="3"/>
  <c r="G9844" i="3"/>
  <c r="B9845" i="3"/>
  <c r="C9845" i="3"/>
  <c r="F9845" i="3"/>
  <c r="G9845" i="3"/>
  <c r="B9846" i="3"/>
  <c r="C9846" i="3"/>
  <c r="F9846" i="3"/>
  <c r="G9846" i="3"/>
  <c r="B9847" i="3"/>
  <c r="C9847" i="3"/>
  <c r="I9847" i="3"/>
  <c r="F9847" i="3"/>
  <c r="G9847" i="3"/>
  <c r="B9848" i="3"/>
  <c r="C9848" i="3"/>
  <c r="F9848" i="3"/>
  <c r="G9848" i="3"/>
  <c r="B9849" i="3"/>
  <c r="C9849" i="3"/>
  <c r="F9849" i="3"/>
  <c r="G9849" i="3"/>
  <c r="B9850" i="3"/>
  <c r="C9850" i="3"/>
  <c r="F9850" i="3"/>
  <c r="G9850" i="3"/>
  <c r="B9851" i="3"/>
  <c r="C9851" i="3"/>
  <c r="F9851" i="3"/>
  <c r="G9851" i="3"/>
  <c r="B9852" i="3"/>
  <c r="C9852" i="3"/>
  <c r="F9852" i="3"/>
  <c r="G9852" i="3"/>
  <c r="B9853" i="3"/>
  <c r="C9853" i="3"/>
  <c r="F9853" i="3"/>
  <c r="G9853" i="3"/>
  <c r="B9854" i="3"/>
  <c r="C9854" i="3"/>
  <c r="F9854" i="3"/>
  <c r="G9854" i="3"/>
  <c r="B9855" i="3"/>
  <c r="C9855" i="3"/>
  <c r="F9855" i="3"/>
  <c r="G9855" i="3"/>
  <c r="B9856" i="3"/>
  <c r="C9856" i="3"/>
  <c r="F9856" i="3"/>
  <c r="G9856" i="3"/>
  <c r="B9857" i="3"/>
  <c r="C9857" i="3"/>
  <c r="F9857" i="3"/>
  <c r="G9857" i="3"/>
  <c r="B9858" i="3"/>
  <c r="C9858" i="3"/>
  <c r="J9858" i="3"/>
  <c r="F9858" i="3"/>
  <c r="G9858" i="3"/>
  <c r="B9859" i="3"/>
  <c r="C9859" i="3"/>
  <c r="F9859" i="3"/>
  <c r="G9859" i="3"/>
  <c r="B9860" i="3"/>
  <c r="C9860" i="3"/>
  <c r="F9860" i="3"/>
  <c r="G9860" i="3"/>
  <c r="B9861" i="3"/>
  <c r="C9861" i="3"/>
  <c r="F9861" i="3"/>
  <c r="G9861" i="3"/>
  <c r="B9862" i="3"/>
  <c r="C9862" i="3"/>
  <c r="F9862" i="3"/>
  <c r="G9862" i="3"/>
  <c r="B9863" i="3"/>
  <c r="C9863" i="3"/>
  <c r="F9863" i="3"/>
  <c r="G9863" i="3"/>
  <c r="B9864" i="3"/>
  <c r="C9864" i="3"/>
  <c r="F9864" i="3"/>
  <c r="G9864" i="3"/>
  <c r="B9865" i="3"/>
  <c r="C9865" i="3"/>
  <c r="F9865" i="3"/>
  <c r="G9865" i="3"/>
  <c r="B9866" i="3"/>
  <c r="C9866" i="3"/>
  <c r="F9866" i="3"/>
  <c r="G9866" i="3"/>
  <c r="B9867" i="3"/>
  <c r="C9867" i="3"/>
  <c r="F9867" i="3"/>
  <c r="G9867" i="3"/>
  <c r="B9868" i="3"/>
  <c r="C9868" i="3"/>
  <c r="F9868" i="3"/>
  <c r="G9868" i="3"/>
  <c r="B9869" i="3"/>
  <c r="C9869" i="3"/>
  <c r="F9869" i="3"/>
  <c r="G9869" i="3"/>
  <c r="B9870" i="3"/>
  <c r="C9870" i="3"/>
  <c r="F9870" i="3"/>
  <c r="G9870" i="3"/>
  <c r="B9871" i="3"/>
  <c r="C9871" i="3"/>
  <c r="F9871" i="3"/>
  <c r="G9871" i="3"/>
  <c r="B9872" i="3"/>
  <c r="C9872" i="3"/>
  <c r="F9872" i="3"/>
  <c r="G9872" i="3"/>
  <c r="B9873" i="3"/>
  <c r="C9873" i="3"/>
  <c r="F9873" i="3"/>
  <c r="G9873" i="3"/>
  <c r="B9874" i="3"/>
  <c r="C9874" i="3"/>
  <c r="F9874" i="3"/>
  <c r="G9874" i="3"/>
  <c r="B9875" i="3"/>
  <c r="C9875" i="3"/>
  <c r="F9875" i="3"/>
  <c r="G9875" i="3"/>
  <c r="B9876" i="3"/>
  <c r="C9876" i="3"/>
  <c r="F9876" i="3"/>
  <c r="G9876" i="3"/>
  <c r="B9877" i="3"/>
  <c r="C9877" i="3"/>
  <c r="F9877" i="3"/>
  <c r="G9877" i="3"/>
  <c r="B9878" i="3"/>
  <c r="C9878" i="3"/>
  <c r="F9878" i="3"/>
  <c r="G9878" i="3"/>
  <c r="B9879" i="3"/>
  <c r="C9879" i="3"/>
  <c r="F9879" i="3"/>
  <c r="G9879" i="3"/>
  <c r="B9880" i="3"/>
  <c r="C9880" i="3"/>
  <c r="F9880" i="3"/>
  <c r="G9880" i="3"/>
  <c r="B9881" i="3"/>
  <c r="C9881" i="3"/>
  <c r="F9881" i="3"/>
  <c r="G9881" i="3"/>
  <c r="B9882" i="3"/>
  <c r="C9882" i="3"/>
  <c r="F9882" i="3"/>
  <c r="G9882" i="3"/>
  <c r="B9883" i="3"/>
  <c r="C9883" i="3"/>
  <c r="F9883" i="3"/>
  <c r="G9883" i="3"/>
  <c r="B9884" i="3"/>
  <c r="C9884" i="3"/>
  <c r="F9884" i="3"/>
  <c r="G9884" i="3"/>
  <c r="B9885" i="3"/>
  <c r="C9885" i="3"/>
  <c r="F9885" i="3"/>
  <c r="G9885" i="3"/>
  <c r="B9886" i="3"/>
  <c r="C9886" i="3"/>
  <c r="F9886" i="3"/>
  <c r="G9886" i="3"/>
  <c r="B9887" i="3"/>
  <c r="C9887" i="3"/>
  <c r="F9887" i="3"/>
  <c r="G9887" i="3"/>
  <c r="B9888" i="3"/>
  <c r="C9888" i="3"/>
  <c r="F9888" i="3"/>
  <c r="G9888" i="3"/>
  <c r="B9889" i="3"/>
  <c r="C9889" i="3"/>
  <c r="F9889" i="3"/>
  <c r="G9889" i="3"/>
  <c r="B9890" i="3"/>
  <c r="C9890" i="3"/>
  <c r="F9890" i="3"/>
  <c r="G9890" i="3"/>
  <c r="B9891" i="3"/>
  <c r="C9891" i="3"/>
  <c r="F9891" i="3"/>
  <c r="G9891" i="3"/>
  <c r="B9892" i="3"/>
  <c r="C9892" i="3"/>
  <c r="F9892" i="3"/>
  <c r="G9892" i="3"/>
  <c r="B9893" i="3"/>
  <c r="C9893" i="3"/>
  <c r="F9893" i="3"/>
  <c r="G9893" i="3"/>
  <c r="B9894" i="3"/>
  <c r="C9894" i="3"/>
  <c r="I9894" i="3"/>
  <c r="F9894" i="3"/>
  <c r="G9894" i="3"/>
  <c r="B9895" i="3"/>
  <c r="C9895" i="3"/>
  <c r="F9895" i="3"/>
  <c r="G9895" i="3"/>
  <c r="B9896" i="3"/>
  <c r="C9896" i="3"/>
  <c r="F9896" i="3"/>
  <c r="G9896" i="3"/>
  <c r="B9897" i="3"/>
  <c r="C9897" i="3"/>
  <c r="F9897" i="3"/>
  <c r="G9897" i="3"/>
  <c r="B9898" i="3"/>
  <c r="C9898" i="3"/>
  <c r="F9898" i="3"/>
  <c r="G9898" i="3"/>
  <c r="B9899" i="3"/>
  <c r="C9899" i="3"/>
  <c r="F9899" i="3"/>
  <c r="G9899" i="3"/>
  <c r="B9900" i="3"/>
  <c r="C9900" i="3"/>
  <c r="F9900" i="3"/>
  <c r="G9900" i="3"/>
  <c r="B9901" i="3"/>
  <c r="C9901" i="3"/>
  <c r="F9901" i="3"/>
  <c r="G9901" i="3"/>
  <c r="B9902" i="3"/>
  <c r="C9902" i="3"/>
  <c r="F9902" i="3"/>
  <c r="G9902" i="3"/>
  <c r="B9903" i="3"/>
  <c r="C9903" i="3"/>
  <c r="F9903" i="3"/>
  <c r="G9903" i="3"/>
  <c r="B9904" i="3"/>
  <c r="C9904" i="3"/>
  <c r="F9904" i="3"/>
  <c r="G9904" i="3"/>
  <c r="B9905" i="3"/>
  <c r="C9905" i="3"/>
  <c r="F9905" i="3"/>
  <c r="G9905" i="3"/>
  <c r="B9906" i="3"/>
  <c r="C9906" i="3"/>
  <c r="F9906" i="3"/>
  <c r="G9906" i="3"/>
  <c r="B9907" i="3"/>
  <c r="C9907" i="3"/>
  <c r="F9907" i="3"/>
  <c r="G9907" i="3"/>
  <c r="B9908" i="3"/>
  <c r="C9908" i="3"/>
  <c r="F9908" i="3"/>
  <c r="G9908" i="3"/>
  <c r="B9909" i="3"/>
  <c r="C9909" i="3"/>
  <c r="F9909" i="3"/>
  <c r="G9909" i="3"/>
  <c r="B9910" i="3"/>
  <c r="C9910" i="3"/>
  <c r="F9910" i="3"/>
  <c r="G9910" i="3"/>
  <c r="B9911" i="3"/>
  <c r="C9911" i="3"/>
  <c r="F9911" i="3"/>
  <c r="G9911" i="3"/>
  <c r="B9912" i="3"/>
  <c r="C9912" i="3"/>
  <c r="F9912" i="3"/>
  <c r="G9912" i="3"/>
  <c r="B9913" i="3"/>
  <c r="C9913" i="3"/>
  <c r="F9913" i="3"/>
  <c r="G9913" i="3"/>
  <c r="B9914" i="3"/>
  <c r="C9914" i="3"/>
  <c r="F9914" i="3"/>
  <c r="G9914" i="3"/>
  <c r="B9915" i="3"/>
  <c r="C9915" i="3"/>
  <c r="F9915" i="3"/>
  <c r="G9915" i="3"/>
  <c r="B9916" i="3"/>
  <c r="C9916" i="3"/>
  <c r="F9916" i="3"/>
  <c r="G9916" i="3"/>
  <c r="B9917" i="3"/>
  <c r="C9917" i="3"/>
  <c r="F9917" i="3"/>
  <c r="G9917" i="3"/>
  <c r="B9918" i="3"/>
  <c r="C9918" i="3"/>
  <c r="F9918" i="3"/>
  <c r="G9918" i="3"/>
  <c r="B9919" i="3"/>
  <c r="C9919" i="3"/>
  <c r="F9919" i="3"/>
  <c r="G9919" i="3"/>
  <c r="B9920" i="3"/>
  <c r="C9920" i="3"/>
  <c r="F9920" i="3"/>
  <c r="G9920" i="3"/>
  <c r="B9921" i="3"/>
  <c r="C9921" i="3"/>
  <c r="F9921" i="3"/>
  <c r="G9921" i="3"/>
  <c r="B9922" i="3"/>
  <c r="C9922" i="3"/>
  <c r="F9922" i="3"/>
  <c r="G9922" i="3"/>
  <c r="B9923" i="3"/>
  <c r="C9923" i="3"/>
  <c r="F9923" i="3"/>
  <c r="G9923" i="3"/>
  <c r="B9924" i="3"/>
  <c r="C9924" i="3"/>
  <c r="F9924" i="3"/>
  <c r="G9924" i="3"/>
  <c r="B9925" i="3"/>
  <c r="C9925" i="3"/>
  <c r="F9925" i="3"/>
  <c r="G9925" i="3"/>
  <c r="B9926" i="3"/>
  <c r="C9926" i="3"/>
  <c r="F9926" i="3"/>
  <c r="G9926" i="3"/>
  <c r="B9927" i="3"/>
  <c r="C9927" i="3"/>
  <c r="F9927" i="3"/>
  <c r="G9927" i="3"/>
  <c r="B9928" i="3"/>
  <c r="C9928" i="3"/>
  <c r="F9928" i="3"/>
  <c r="G9928" i="3"/>
  <c r="B9929" i="3"/>
  <c r="C9929" i="3"/>
  <c r="F9929" i="3"/>
  <c r="G9929" i="3"/>
  <c r="B9930" i="3"/>
  <c r="C9930" i="3"/>
  <c r="J9930" i="3"/>
  <c r="F9930" i="3"/>
  <c r="G9930" i="3"/>
  <c r="B9931" i="3"/>
  <c r="C9931" i="3"/>
  <c r="J9931" i="3"/>
  <c r="F9931" i="3"/>
  <c r="G9931" i="3"/>
  <c r="B9932" i="3"/>
  <c r="C9932" i="3"/>
  <c r="F9932" i="3"/>
  <c r="G9932" i="3"/>
  <c r="B9933" i="3"/>
  <c r="C9933" i="3"/>
  <c r="F9933" i="3"/>
  <c r="G9933" i="3"/>
  <c r="B9934" i="3"/>
  <c r="C9934" i="3"/>
  <c r="F9934" i="3"/>
  <c r="G9934" i="3"/>
  <c r="B9935" i="3"/>
  <c r="C9935" i="3"/>
  <c r="F9935" i="3"/>
  <c r="G9935" i="3"/>
  <c r="B9936" i="3"/>
  <c r="C9936" i="3"/>
  <c r="F9936" i="3"/>
  <c r="G9936" i="3"/>
  <c r="B9937" i="3"/>
  <c r="C9937" i="3"/>
  <c r="F9937" i="3"/>
  <c r="G9937" i="3"/>
  <c r="B9938" i="3"/>
  <c r="C9938" i="3"/>
  <c r="F9938" i="3"/>
  <c r="G9938" i="3"/>
  <c r="B9939" i="3"/>
  <c r="C9939" i="3"/>
  <c r="F9939" i="3"/>
  <c r="G9939" i="3"/>
  <c r="B9940" i="3"/>
  <c r="C9940" i="3"/>
  <c r="F9940" i="3"/>
  <c r="G9940" i="3"/>
  <c r="B9941" i="3"/>
  <c r="C9941" i="3"/>
  <c r="F9941" i="3"/>
  <c r="G9941" i="3"/>
  <c r="B9942" i="3"/>
  <c r="C9942" i="3"/>
  <c r="F9942" i="3"/>
  <c r="G9942" i="3"/>
  <c r="B9943" i="3"/>
  <c r="C9943" i="3"/>
  <c r="F9943" i="3"/>
  <c r="G9943" i="3"/>
  <c r="B9944" i="3"/>
  <c r="C9944" i="3"/>
  <c r="F9944" i="3"/>
  <c r="G9944" i="3"/>
  <c r="B9945" i="3"/>
  <c r="C9945" i="3"/>
  <c r="F9945" i="3"/>
  <c r="G9945" i="3"/>
  <c r="B9946" i="3"/>
  <c r="C9946" i="3"/>
  <c r="F9946" i="3"/>
  <c r="G9946" i="3"/>
  <c r="B9947" i="3"/>
  <c r="C9947" i="3"/>
  <c r="F9947" i="3"/>
  <c r="G9947" i="3"/>
  <c r="B9948" i="3"/>
  <c r="C9948" i="3"/>
  <c r="F9948" i="3"/>
  <c r="G9948" i="3"/>
  <c r="B9949" i="3"/>
  <c r="C9949" i="3"/>
  <c r="F9949" i="3"/>
  <c r="G9949" i="3"/>
  <c r="B9950" i="3"/>
  <c r="C9950" i="3"/>
  <c r="F9950" i="3"/>
  <c r="G9950" i="3"/>
  <c r="B9951" i="3"/>
  <c r="C9951" i="3"/>
  <c r="F9951" i="3"/>
  <c r="G9951" i="3"/>
  <c r="B9952" i="3"/>
  <c r="C9952" i="3"/>
  <c r="F9952" i="3"/>
  <c r="G9952" i="3"/>
  <c r="B9953" i="3"/>
  <c r="C9953" i="3"/>
  <c r="F9953" i="3"/>
  <c r="G9953" i="3"/>
  <c r="B9954" i="3"/>
  <c r="C9954" i="3"/>
  <c r="F9954" i="3"/>
  <c r="G9954" i="3"/>
  <c r="B9955" i="3"/>
  <c r="C9955" i="3"/>
  <c r="F9955" i="3"/>
  <c r="G9955" i="3"/>
  <c r="B9956" i="3"/>
  <c r="C9956" i="3"/>
  <c r="F9956" i="3"/>
  <c r="G9956" i="3"/>
  <c r="B9957" i="3"/>
  <c r="C9957" i="3"/>
  <c r="F9957" i="3"/>
  <c r="G9957" i="3"/>
  <c r="B9958" i="3"/>
  <c r="C9958" i="3"/>
  <c r="F9958" i="3"/>
  <c r="G9958" i="3"/>
  <c r="B9959" i="3"/>
  <c r="C9959" i="3"/>
  <c r="F9959" i="3"/>
  <c r="G9959" i="3"/>
  <c r="B9960" i="3"/>
  <c r="C9960" i="3"/>
  <c r="F9960" i="3"/>
  <c r="G9960" i="3"/>
  <c r="B9961" i="3"/>
  <c r="C9961" i="3"/>
  <c r="F9961" i="3"/>
  <c r="G9961" i="3"/>
  <c r="B9962" i="3"/>
  <c r="C9962" i="3"/>
  <c r="F9962" i="3"/>
  <c r="G9962" i="3"/>
  <c r="B9963" i="3"/>
  <c r="C9963" i="3"/>
  <c r="F9963" i="3"/>
  <c r="G9963" i="3"/>
  <c r="B9964" i="3"/>
  <c r="C9964" i="3"/>
  <c r="F9964" i="3"/>
  <c r="G9964" i="3"/>
  <c r="B9965" i="3"/>
  <c r="C9965" i="3"/>
  <c r="F9965" i="3"/>
  <c r="G9965" i="3"/>
  <c r="B9966" i="3"/>
  <c r="C9966" i="3"/>
  <c r="F9966" i="3"/>
  <c r="G9966" i="3"/>
  <c r="B9967" i="3"/>
  <c r="C9967" i="3"/>
  <c r="F9967" i="3"/>
  <c r="G9967" i="3"/>
  <c r="B9968" i="3"/>
  <c r="C9968" i="3"/>
  <c r="F9968" i="3"/>
  <c r="G9968" i="3"/>
  <c r="B9969" i="3"/>
  <c r="C9969" i="3"/>
  <c r="F9969" i="3"/>
  <c r="G9969" i="3"/>
  <c r="B9970" i="3"/>
  <c r="C9970" i="3"/>
  <c r="F9970" i="3"/>
  <c r="G9970" i="3"/>
  <c r="B9971" i="3"/>
  <c r="C9971" i="3"/>
  <c r="F9971" i="3"/>
  <c r="G9971" i="3"/>
  <c r="B9972" i="3"/>
  <c r="C9972" i="3"/>
  <c r="F9972" i="3"/>
  <c r="G9972" i="3"/>
  <c r="B9973" i="3"/>
  <c r="C9973" i="3"/>
  <c r="F9973" i="3"/>
  <c r="G9973" i="3"/>
  <c r="B9974" i="3"/>
  <c r="C9974" i="3"/>
  <c r="F9974" i="3"/>
  <c r="G9974" i="3"/>
  <c r="B9975" i="3"/>
  <c r="C9975" i="3"/>
  <c r="F9975" i="3"/>
  <c r="G9975" i="3"/>
  <c r="B9976" i="3"/>
  <c r="C9976" i="3"/>
  <c r="F9976" i="3"/>
  <c r="G9976" i="3"/>
  <c r="B9977" i="3"/>
  <c r="C9977" i="3"/>
  <c r="F9977" i="3"/>
  <c r="G9977" i="3"/>
  <c r="B9978" i="3"/>
  <c r="C9978" i="3"/>
  <c r="F9978" i="3"/>
  <c r="G9978" i="3"/>
  <c r="B9979" i="3"/>
  <c r="C9979" i="3"/>
  <c r="J9979" i="3"/>
  <c r="F9979" i="3"/>
  <c r="G9979" i="3"/>
  <c r="B9980" i="3"/>
  <c r="C9980" i="3"/>
  <c r="F9980" i="3"/>
  <c r="G9980" i="3"/>
  <c r="B9981" i="3"/>
  <c r="C9981" i="3"/>
  <c r="F9981" i="3"/>
  <c r="G9981" i="3"/>
  <c r="B9982" i="3"/>
  <c r="C9982" i="3"/>
  <c r="F9982" i="3"/>
  <c r="G9982" i="3"/>
  <c r="B9983" i="3"/>
  <c r="C9983" i="3"/>
  <c r="F9983" i="3"/>
  <c r="G9983" i="3"/>
  <c r="B9984" i="3"/>
  <c r="C9984" i="3"/>
  <c r="F9984" i="3"/>
  <c r="G9984" i="3"/>
  <c r="B9985" i="3"/>
  <c r="C9985" i="3"/>
  <c r="F9985" i="3"/>
  <c r="G9985" i="3"/>
  <c r="B9986" i="3"/>
  <c r="C9986" i="3"/>
  <c r="F9986" i="3"/>
  <c r="G9986" i="3"/>
  <c r="B9987" i="3"/>
  <c r="C9987" i="3"/>
  <c r="F9987" i="3"/>
  <c r="G9987" i="3"/>
  <c r="B9988" i="3"/>
  <c r="C9988" i="3"/>
  <c r="F9988" i="3"/>
  <c r="G9988" i="3"/>
  <c r="B9989" i="3"/>
  <c r="C9989" i="3"/>
  <c r="F9989" i="3"/>
  <c r="G9989" i="3"/>
  <c r="B9990" i="3"/>
  <c r="C9990" i="3"/>
  <c r="F9990" i="3"/>
  <c r="G9990" i="3"/>
  <c r="B9991" i="3"/>
  <c r="C9991" i="3"/>
  <c r="J9991" i="3"/>
  <c r="F9991" i="3"/>
  <c r="G9991" i="3"/>
  <c r="B9992" i="3"/>
  <c r="C9992" i="3"/>
  <c r="F9992" i="3"/>
  <c r="G9992" i="3"/>
  <c r="B9993" i="3"/>
  <c r="C9993" i="3"/>
  <c r="F9993" i="3"/>
  <c r="G9993" i="3"/>
  <c r="B9994" i="3"/>
  <c r="C9994" i="3"/>
  <c r="F9994" i="3"/>
  <c r="G9994" i="3"/>
  <c r="B9995" i="3"/>
  <c r="C9995" i="3"/>
  <c r="F9995" i="3"/>
  <c r="G9995" i="3"/>
  <c r="B9996" i="3"/>
  <c r="C9996" i="3"/>
  <c r="F9996" i="3"/>
  <c r="G9996" i="3"/>
  <c r="B9997" i="3"/>
  <c r="C9997" i="3"/>
  <c r="F9997" i="3"/>
  <c r="G9997" i="3"/>
  <c r="B9998" i="3"/>
  <c r="C9998" i="3"/>
  <c r="F9998" i="3"/>
  <c r="G9998" i="3"/>
  <c r="B9999" i="3"/>
  <c r="C9999" i="3"/>
  <c r="F9999" i="3"/>
  <c r="G9999" i="3"/>
  <c r="B10000" i="3"/>
  <c r="C10000" i="3"/>
  <c r="F10000" i="3"/>
  <c r="G10000" i="3"/>
  <c r="B9591" i="3"/>
  <c r="C9591" i="3"/>
  <c r="F9591" i="3"/>
  <c r="G9591" i="3"/>
  <c r="B9592" i="3"/>
  <c r="C9592" i="3"/>
  <c r="F9592" i="3"/>
  <c r="G9592" i="3"/>
  <c r="B9593" i="3"/>
  <c r="C9593" i="3"/>
  <c r="F9593" i="3"/>
  <c r="G9593" i="3"/>
  <c r="B9594" i="3"/>
  <c r="C9594" i="3"/>
  <c r="F9594" i="3"/>
  <c r="G9594" i="3"/>
  <c r="B9595" i="3"/>
  <c r="C9595" i="3"/>
  <c r="F9595" i="3"/>
  <c r="G9595" i="3"/>
  <c r="B9596" i="3"/>
  <c r="C9596" i="3"/>
  <c r="F9596" i="3"/>
  <c r="G9596" i="3"/>
  <c r="B9597" i="3"/>
  <c r="C9597" i="3"/>
  <c r="F9597" i="3"/>
  <c r="G9597" i="3"/>
  <c r="B9598" i="3"/>
  <c r="C9598" i="3"/>
  <c r="F9598" i="3"/>
  <c r="G9598" i="3"/>
  <c r="B9599" i="3"/>
  <c r="C9599" i="3"/>
  <c r="F9599" i="3"/>
  <c r="G9599" i="3"/>
  <c r="B9600" i="3"/>
  <c r="C9600" i="3"/>
  <c r="F9600" i="3"/>
  <c r="G9600" i="3"/>
  <c r="B9601" i="3"/>
  <c r="C9601" i="3"/>
  <c r="F9601" i="3"/>
  <c r="G9601" i="3"/>
  <c r="B9602" i="3"/>
  <c r="C9602" i="3"/>
  <c r="F9602" i="3"/>
  <c r="G9602" i="3"/>
  <c r="B9603" i="3"/>
  <c r="C9603" i="3"/>
  <c r="F9603" i="3"/>
  <c r="G9603" i="3"/>
  <c r="B9604" i="3"/>
  <c r="C9604" i="3"/>
  <c r="F9604" i="3"/>
  <c r="G9604" i="3"/>
  <c r="B9605" i="3"/>
  <c r="C9605" i="3"/>
  <c r="F9605" i="3"/>
  <c r="G9605" i="3"/>
  <c r="B9606" i="3"/>
  <c r="C9606" i="3"/>
  <c r="F9606" i="3"/>
  <c r="G9606" i="3"/>
  <c r="B9607" i="3"/>
  <c r="C9607" i="3"/>
  <c r="F9607" i="3"/>
  <c r="G9607" i="3"/>
  <c r="B9608" i="3"/>
  <c r="C9608" i="3"/>
  <c r="F9608" i="3"/>
  <c r="G9608" i="3"/>
  <c r="B9609" i="3"/>
  <c r="C9609" i="3"/>
  <c r="F9609" i="3"/>
  <c r="G9609" i="3"/>
  <c r="B9610" i="3"/>
  <c r="C9610" i="3"/>
  <c r="F9610" i="3"/>
  <c r="G9610" i="3"/>
  <c r="B9611" i="3"/>
  <c r="C9611" i="3"/>
  <c r="F9611" i="3"/>
  <c r="G9611" i="3"/>
  <c r="B9612" i="3"/>
  <c r="C9612" i="3"/>
  <c r="F9612" i="3"/>
  <c r="G9612" i="3"/>
  <c r="B9613" i="3"/>
  <c r="C9613" i="3"/>
  <c r="F9613" i="3"/>
  <c r="G9613" i="3"/>
  <c r="B9614" i="3"/>
  <c r="C9614" i="3"/>
  <c r="F9614" i="3"/>
  <c r="G9614" i="3"/>
  <c r="B9615" i="3"/>
  <c r="C9615" i="3"/>
  <c r="F9615" i="3"/>
  <c r="G9615" i="3"/>
  <c r="B9616" i="3"/>
  <c r="C9616" i="3"/>
  <c r="F9616" i="3"/>
  <c r="G9616" i="3"/>
  <c r="B9617" i="3"/>
  <c r="C9617" i="3"/>
  <c r="F9617" i="3"/>
  <c r="G9617" i="3"/>
  <c r="B9618" i="3"/>
  <c r="C9618" i="3"/>
  <c r="F9618" i="3"/>
  <c r="G9618" i="3"/>
  <c r="B9619" i="3"/>
  <c r="C9619" i="3"/>
  <c r="J9619" i="3"/>
  <c r="F9619" i="3"/>
  <c r="G9619" i="3"/>
  <c r="B9620" i="3"/>
  <c r="C9620" i="3"/>
  <c r="F9620" i="3"/>
  <c r="G9620" i="3"/>
  <c r="B9621" i="3"/>
  <c r="C9621" i="3"/>
  <c r="F9621" i="3"/>
  <c r="G9621" i="3"/>
  <c r="B9622" i="3"/>
  <c r="C9622" i="3"/>
  <c r="F9622" i="3"/>
  <c r="G9622" i="3"/>
  <c r="B9623" i="3"/>
  <c r="C9623" i="3"/>
  <c r="F9623" i="3"/>
  <c r="G9623" i="3"/>
  <c r="B9624" i="3"/>
  <c r="C9624" i="3"/>
  <c r="F9624" i="3"/>
  <c r="G9624" i="3"/>
  <c r="B9625" i="3"/>
  <c r="C9625" i="3"/>
  <c r="F9625" i="3"/>
  <c r="G9625" i="3"/>
  <c r="B9626" i="3"/>
  <c r="C9626" i="3"/>
  <c r="F9626" i="3"/>
  <c r="G9626" i="3"/>
  <c r="B9627" i="3"/>
  <c r="C9627" i="3"/>
  <c r="F9627" i="3"/>
  <c r="G9627" i="3"/>
  <c r="B9628" i="3"/>
  <c r="C9628" i="3"/>
  <c r="F9628" i="3"/>
  <c r="G9628" i="3"/>
  <c r="B9629" i="3"/>
  <c r="C9629" i="3"/>
  <c r="F9629" i="3"/>
  <c r="G9629" i="3"/>
  <c r="B9630" i="3"/>
  <c r="C9630" i="3"/>
  <c r="F9630" i="3"/>
  <c r="G9630" i="3"/>
  <c r="B9631" i="3"/>
  <c r="C9631" i="3"/>
  <c r="J9631" i="3"/>
  <c r="F9631" i="3"/>
  <c r="G9631" i="3"/>
  <c r="B9632" i="3"/>
  <c r="C9632" i="3"/>
  <c r="F9632" i="3"/>
  <c r="G9632" i="3"/>
  <c r="B9633" i="3"/>
  <c r="C9633" i="3"/>
  <c r="F9633" i="3"/>
  <c r="G9633" i="3"/>
  <c r="B9634" i="3"/>
  <c r="C9634" i="3"/>
  <c r="F9634" i="3"/>
  <c r="G9634" i="3"/>
  <c r="B9635" i="3"/>
  <c r="C9635" i="3"/>
  <c r="F9635" i="3"/>
  <c r="G9635" i="3"/>
  <c r="B9636" i="3"/>
  <c r="C9636" i="3"/>
  <c r="F9636" i="3"/>
  <c r="G9636" i="3"/>
  <c r="B9637" i="3"/>
  <c r="C9637" i="3"/>
  <c r="F9637" i="3"/>
  <c r="G9637" i="3"/>
  <c r="B9638" i="3"/>
  <c r="C9638" i="3"/>
  <c r="F9638" i="3"/>
  <c r="G9638" i="3"/>
  <c r="B9639" i="3"/>
  <c r="C9639" i="3"/>
  <c r="F9639" i="3"/>
  <c r="G9639" i="3"/>
  <c r="B9582" i="3"/>
  <c r="C9582" i="3"/>
  <c r="F9582" i="3"/>
  <c r="G9582" i="3"/>
  <c r="B9583" i="3"/>
  <c r="C9583" i="3"/>
  <c r="F9583" i="3"/>
  <c r="G9583" i="3"/>
  <c r="B9584" i="3"/>
  <c r="C9584" i="3"/>
  <c r="F9584" i="3"/>
  <c r="G9584" i="3"/>
  <c r="B9585" i="3"/>
  <c r="C9585" i="3"/>
  <c r="F9585" i="3"/>
  <c r="G9585" i="3"/>
  <c r="B9586" i="3"/>
  <c r="C9586" i="3"/>
  <c r="F9586" i="3"/>
  <c r="G9586" i="3"/>
  <c r="B9587" i="3"/>
  <c r="C9587" i="3"/>
  <c r="F9587" i="3"/>
  <c r="G9587" i="3"/>
  <c r="B9588" i="3"/>
  <c r="C9588" i="3"/>
  <c r="I9588" i="3"/>
  <c r="F9588" i="3"/>
  <c r="G9588" i="3"/>
  <c r="B9589" i="3"/>
  <c r="C9589" i="3"/>
  <c r="F9589" i="3"/>
  <c r="G9589" i="3"/>
  <c r="B9590" i="3"/>
  <c r="C9590" i="3"/>
  <c r="F9590" i="3"/>
  <c r="G9590" i="3"/>
  <c r="C9581" i="3"/>
  <c r="B9581" i="3"/>
  <c r="G9581" i="3"/>
  <c r="F9581" i="3"/>
  <c r="F10432" i="3"/>
  <c r="G10432" i="3"/>
  <c r="F10433" i="3"/>
  <c r="G10433" i="3"/>
  <c r="F10434" i="3"/>
  <c r="G10434" i="3"/>
  <c r="B10432" i="3"/>
  <c r="C10432" i="3"/>
  <c r="B10433" i="3"/>
  <c r="C10433" i="3"/>
  <c r="B10434" i="3"/>
  <c r="C10434" i="3"/>
  <c r="B7" i="78"/>
  <c r="F10431" i="3"/>
  <c r="G10431" i="3"/>
  <c r="F10435" i="3"/>
  <c r="G10435" i="3"/>
  <c r="C10435" i="3"/>
  <c r="B10435" i="3"/>
  <c r="C10431" i="3"/>
  <c r="B10431" i="3"/>
  <c r="B10447" i="3"/>
  <c r="C10447" i="3"/>
  <c r="G10447" i="3"/>
  <c r="F10447" i="3"/>
  <c r="C10446" i="3"/>
  <c r="B10446" i="3"/>
  <c r="C10443" i="3"/>
  <c r="B10443" i="3"/>
  <c r="G10443" i="3"/>
  <c r="F10443" i="3"/>
  <c r="D10432" i="3" a="1"/>
  <c r="D10434" i="3" a="1"/>
  <c r="D10433" i="3" a="1"/>
  <c r="J9971" i="3" l="1"/>
  <c r="H9985" i="3"/>
  <c r="H10165" i="3"/>
  <c r="J10081" i="3"/>
  <c r="H9697" i="3"/>
  <c r="H9849" i="3"/>
  <c r="H9584" i="3"/>
  <c r="H10004" i="3"/>
  <c r="H9990" i="3"/>
  <c r="I9717" i="3"/>
  <c r="H10050" i="3"/>
  <c r="J9681" i="3"/>
  <c r="J10090" i="3"/>
  <c r="J9838" i="3"/>
  <c r="H10138" i="3"/>
  <c r="I10006" i="3"/>
  <c r="H9864" i="3"/>
  <c r="J10452" i="3"/>
  <c r="D10451" i="3"/>
  <c r="H10452" i="3"/>
  <c r="J10088" i="3"/>
  <c r="H10330" i="3"/>
  <c r="J10304" i="3"/>
  <c r="H10059" i="3"/>
  <c r="D9614" i="3"/>
  <c r="I9614" i="3" s="1"/>
  <c r="H10359" i="3"/>
  <c r="H10203" i="3"/>
  <c r="H10299" i="3"/>
  <c r="H9927" i="3"/>
  <c r="H10077" i="3"/>
  <c r="H10185" i="3"/>
  <c r="H10176" i="3"/>
  <c r="H10224" i="3"/>
  <c r="H9880" i="3"/>
  <c r="H10240" i="3"/>
  <c r="H9892" i="3"/>
  <c r="H10337" i="3"/>
  <c r="I9696" i="3"/>
  <c r="J10299" i="3"/>
  <c r="H9834" i="3"/>
  <c r="H9822" i="3"/>
  <c r="J9679" i="3"/>
  <c r="I9660" i="3"/>
  <c r="J9912" i="3"/>
  <c r="J9781" i="3"/>
  <c r="I9814" i="3"/>
  <c r="J9974" i="3"/>
  <c r="I9834" i="3"/>
  <c r="H10387" i="3"/>
  <c r="H10380" i="3"/>
  <c r="H10373" i="3"/>
  <c r="I10313" i="3"/>
  <c r="J10130" i="3"/>
  <c r="I9969" i="3"/>
  <c r="H9608" i="3"/>
  <c r="J9975" i="3"/>
  <c r="J10369" i="3"/>
  <c r="J10307" i="3"/>
  <c r="J9723" i="3"/>
  <c r="H10058" i="3"/>
  <c r="I10162" i="3"/>
  <c r="H9863" i="3"/>
  <c r="H9730" i="3"/>
  <c r="H9723" i="3"/>
  <c r="J9666" i="3"/>
  <c r="H10112" i="3"/>
  <c r="H10100" i="3"/>
  <c r="J10031" i="3"/>
  <c r="J10012" i="3"/>
  <c r="I10380" i="3"/>
  <c r="J10373" i="3"/>
  <c r="H10155" i="3"/>
  <c r="H9909" i="3"/>
  <c r="J9783" i="3"/>
  <c r="H10119" i="3"/>
  <c r="H10095" i="3"/>
  <c r="H10086" i="3"/>
  <c r="H10419" i="3"/>
  <c r="J10360" i="3"/>
  <c r="H10327" i="3"/>
  <c r="H10285" i="3"/>
  <c r="J9625" i="3"/>
  <c r="H10219" i="3"/>
  <c r="H10195" i="3"/>
  <c r="H10031" i="3"/>
  <c r="H9976" i="3"/>
  <c r="H9941" i="3"/>
  <c r="H9906" i="3"/>
  <c r="H10116" i="3"/>
  <c r="H10104" i="3"/>
  <c r="H10083" i="3"/>
  <c r="I10054" i="3"/>
  <c r="H10045" i="3"/>
  <c r="H10040" i="3"/>
  <c r="J10411" i="3"/>
  <c r="J10404" i="3"/>
  <c r="J10364" i="3"/>
  <c r="J9957" i="3"/>
  <c r="H9901" i="3"/>
  <c r="H9853" i="3"/>
  <c r="H10161" i="3"/>
  <c r="H10149" i="3"/>
  <c r="H10404" i="3"/>
  <c r="H10131" i="3"/>
  <c r="H10053" i="3"/>
  <c r="H9954" i="3"/>
  <c r="H9871" i="3"/>
  <c r="J9989" i="3"/>
  <c r="H9891" i="3"/>
  <c r="J9732" i="3"/>
  <c r="H10230" i="3"/>
  <c r="H10089" i="3"/>
  <c r="H10080" i="3"/>
  <c r="H10068" i="3"/>
  <c r="H10018" i="3"/>
  <c r="J10342" i="3"/>
  <c r="J9947" i="3"/>
  <c r="H9898" i="3"/>
  <c r="H9751" i="3"/>
  <c r="H9648" i="3"/>
  <c r="I10234" i="3"/>
  <c r="H10044" i="3"/>
  <c r="H10032" i="3"/>
  <c r="I10265" i="3"/>
  <c r="H10244" i="3"/>
  <c r="H9798" i="3"/>
  <c r="H10148" i="3"/>
  <c r="H10311" i="3"/>
  <c r="H9972" i="3"/>
  <c r="J9951" i="3"/>
  <c r="I9879" i="3"/>
  <c r="J9846" i="3"/>
  <c r="H9835" i="3"/>
  <c r="H9828" i="3"/>
  <c r="H9814" i="3"/>
  <c r="H9739" i="3"/>
  <c r="H10233" i="3"/>
  <c r="H10221" i="3"/>
  <c r="H10188" i="3"/>
  <c r="I10058" i="3"/>
  <c r="H10047" i="3"/>
  <c r="H10012" i="3"/>
  <c r="H10010" i="3"/>
  <c r="H9590" i="3"/>
  <c r="J9992" i="3"/>
  <c r="H9981" i="3"/>
  <c r="H9963" i="3"/>
  <c r="H9923" i="3"/>
  <c r="I9748" i="3"/>
  <c r="J10211" i="3"/>
  <c r="I10204" i="3"/>
  <c r="H10122" i="3"/>
  <c r="H10063" i="3"/>
  <c r="J10018" i="3"/>
  <c r="H10014" i="3"/>
  <c r="H10003" i="3"/>
  <c r="J9621" i="3"/>
  <c r="H9879" i="3"/>
  <c r="H9874" i="3"/>
  <c r="H9867" i="3"/>
  <c r="H9795" i="3"/>
  <c r="H9760" i="3"/>
  <c r="J9708" i="3"/>
  <c r="I9694" i="3"/>
  <c r="J10213" i="3"/>
  <c r="H10152" i="3"/>
  <c r="J10067" i="3"/>
  <c r="H10023" i="3"/>
  <c r="I10018" i="3"/>
  <c r="H10250" i="3"/>
  <c r="J10400" i="3"/>
  <c r="H10282" i="3"/>
  <c r="H9999" i="3"/>
  <c r="H10197" i="3"/>
  <c r="H10140" i="3"/>
  <c r="H10005" i="3"/>
  <c r="H10238" i="3"/>
  <c r="I10409" i="3"/>
  <c r="I10388" i="3"/>
  <c r="J10337" i="3"/>
  <c r="I10316" i="3"/>
  <c r="H9994" i="3"/>
  <c r="H9841" i="3"/>
  <c r="H10220" i="3"/>
  <c r="H10168" i="3"/>
  <c r="H10102" i="3"/>
  <c r="H10400" i="3"/>
  <c r="J10293" i="3"/>
  <c r="I10279" i="3"/>
  <c r="J10281" i="3"/>
  <c r="J9639" i="3"/>
  <c r="H9918" i="3"/>
  <c r="J9675" i="3"/>
  <c r="I9654" i="3"/>
  <c r="H10227" i="3"/>
  <c r="H10194" i="3"/>
  <c r="J10139" i="3"/>
  <c r="I10132" i="3"/>
  <c r="H10027" i="3"/>
  <c r="H10011" i="3"/>
  <c r="J10004" i="3"/>
  <c r="J9613" i="3"/>
  <c r="H9593" i="3"/>
  <c r="I9993" i="3"/>
  <c r="I9984" i="3"/>
  <c r="I9966" i="3"/>
  <c r="I9924" i="3"/>
  <c r="J9899" i="3"/>
  <c r="J9789" i="3"/>
  <c r="J10141" i="3"/>
  <c r="H10048" i="3"/>
  <c r="H10041" i="3"/>
  <c r="H10002" i="3"/>
  <c r="H10242" i="3"/>
  <c r="H10367" i="3"/>
  <c r="H10339" i="3"/>
  <c r="H9936" i="3"/>
  <c r="J9926" i="3"/>
  <c r="J9908" i="3"/>
  <c r="H9885" i="3"/>
  <c r="H9852" i="3"/>
  <c r="I9826" i="3"/>
  <c r="J9810" i="3"/>
  <c r="H9778" i="3"/>
  <c r="H9675" i="3"/>
  <c r="H10210" i="3"/>
  <c r="J10186" i="3"/>
  <c r="H10158" i="3"/>
  <c r="I10052" i="3"/>
  <c r="I10045" i="3"/>
  <c r="H10392" i="3"/>
  <c r="J10371" i="3"/>
  <c r="H9945" i="3"/>
  <c r="H9826" i="3"/>
  <c r="H9780" i="3"/>
  <c r="H10212" i="3"/>
  <c r="H10186" i="3"/>
  <c r="H10174" i="3"/>
  <c r="H10167" i="3"/>
  <c r="H10125" i="3"/>
  <c r="H10113" i="3"/>
  <c r="H10096" i="3"/>
  <c r="H10017" i="3"/>
  <c r="H10008" i="3"/>
  <c r="H10246" i="3"/>
  <c r="H10371" i="3"/>
  <c r="H10322" i="3"/>
  <c r="H10276" i="3"/>
  <c r="H9617" i="3"/>
  <c r="J9965" i="3"/>
  <c r="J9867" i="3"/>
  <c r="J9844" i="3"/>
  <c r="H9762" i="3"/>
  <c r="I9739" i="3"/>
  <c r="H9726" i="3"/>
  <c r="H9724" i="3"/>
  <c r="H9673" i="3"/>
  <c r="I10202" i="3"/>
  <c r="H10184" i="3"/>
  <c r="H10172" i="3"/>
  <c r="J10148" i="3"/>
  <c r="J10033" i="3"/>
  <c r="H10268" i="3"/>
  <c r="H10259" i="3"/>
  <c r="H10411" i="3"/>
  <c r="J10402" i="3"/>
  <c r="H10365" i="3"/>
  <c r="H10356" i="3"/>
  <c r="H10338" i="3"/>
  <c r="J10311" i="3"/>
  <c r="J10275" i="3"/>
  <c r="I9634" i="3"/>
  <c r="H9632" i="3"/>
  <c r="I9930" i="3"/>
  <c r="H9899" i="3"/>
  <c r="I9862" i="3"/>
  <c r="J9777" i="3"/>
  <c r="J9690" i="3"/>
  <c r="H10130" i="3"/>
  <c r="J10247" i="3"/>
  <c r="H10375" i="3"/>
  <c r="J10295" i="3"/>
  <c r="H9783" i="3"/>
  <c r="H9708" i="3"/>
  <c r="H9681" i="3"/>
  <c r="H9679" i="3"/>
  <c r="I10060" i="3"/>
  <c r="H10028" i="3"/>
  <c r="J10355" i="3"/>
  <c r="J10346" i="3"/>
  <c r="H9634" i="3"/>
  <c r="J9939" i="3"/>
  <c r="H9777" i="3"/>
  <c r="J9772" i="3"/>
  <c r="J9747" i="3"/>
  <c r="J9745" i="3"/>
  <c r="H9699" i="3"/>
  <c r="I9642" i="3"/>
  <c r="J10217" i="3"/>
  <c r="H10199" i="3"/>
  <c r="J10145" i="3"/>
  <c r="I10094" i="3"/>
  <c r="H10076" i="3"/>
  <c r="J10069" i="3"/>
  <c r="I10016" i="3"/>
  <c r="I10421" i="3"/>
  <c r="J10412" i="3"/>
  <c r="J10399" i="3"/>
  <c r="J10390" i="3"/>
  <c r="H10348" i="3"/>
  <c r="H10304" i="3"/>
  <c r="H10288" i="3"/>
  <c r="I9889" i="3"/>
  <c r="I9816" i="3"/>
  <c r="I9798" i="3"/>
  <c r="J9756" i="3"/>
  <c r="J10219" i="3"/>
  <c r="H10166" i="3"/>
  <c r="J10147" i="3"/>
  <c r="H10136" i="3"/>
  <c r="H10127" i="3"/>
  <c r="I10096" i="3"/>
  <c r="J10271" i="3"/>
  <c r="I10253" i="3"/>
  <c r="J10242" i="3"/>
  <c r="J10423" i="3"/>
  <c r="J10414" i="3"/>
  <c r="H10399" i="3"/>
  <c r="J10392" i="3"/>
  <c r="H10388" i="3"/>
  <c r="J10381" i="3"/>
  <c r="H10364" i="3"/>
  <c r="I10330" i="3"/>
  <c r="I9622" i="3"/>
  <c r="H9620" i="3"/>
  <c r="H9959" i="3"/>
  <c r="H9789" i="3"/>
  <c r="J9711" i="3"/>
  <c r="J9709" i="3"/>
  <c r="H10217" i="3"/>
  <c r="I10196" i="3"/>
  <c r="I10189" i="3"/>
  <c r="H10094" i="3"/>
  <c r="H10078" i="3"/>
  <c r="J10416" i="3"/>
  <c r="H10412" i="3"/>
  <c r="H10381" i="3"/>
  <c r="H10355" i="3"/>
  <c r="J10332" i="3"/>
  <c r="I10285" i="3"/>
  <c r="J9604" i="3"/>
  <c r="J9983" i="3"/>
  <c r="H9889" i="3"/>
  <c r="H9877" i="3"/>
  <c r="J9822" i="3"/>
  <c r="J9820" i="3"/>
  <c r="H9816" i="3"/>
  <c r="I9793" i="3"/>
  <c r="J9780" i="3"/>
  <c r="J9778" i="3"/>
  <c r="H9772" i="3"/>
  <c r="H9756" i="3"/>
  <c r="H9747" i="3"/>
  <c r="I10124" i="3"/>
  <c r="I10117" i="3"/>
  <c r="J10073" i="3"/>
  <c r="J10323" i="3"/>
  <c r="J10305" i="3"/>
  <c r="J9635" i="3"/>
  <c r="J9633" i="3"/>
  <c r="H9622" i="3"/>
  <c r="I9593" i="3"/>
  <c r="J9929" i="3"/>
  <c r="H9838" i="3"/>
  <c r="H9831" i="3"/>
  <c r="H9784" i="3"/>
  <c r="I9760" i="3"/>
  <c r="J9726" i="3"/>
  <c r="J9724" i="3"/>
  <c r="H9720" i="3"/>
  <c r="J9702" i="3"/>
  <c r="J9700" i="3"/>
  <c r="J10075" i="3"/>
  <c r="H10271" i="3"/>
  <c r="J10259" i="3"/>
  <c r="H10416" i="3"/>
  <c r="H10383" i="3"/>
  <c r="H10332" i="3"/>
  <c r="J9637" i="3"/>
  <c r="J9987" i="3"/>
  <c r="J9911" i="3"/>
  <c r="J9902" i="3"/>
  <c r="J9856" i="3"/>
  <c r="H9820" i="3"/>
  <c r="H9793" i="3"/>
  <c r="I9769" i="3"/>
  <c r="I9762" i="3"/>
  <c r="I9715" i="3"/>
  <c r="H9711" i="3"/>
  <c r="H9709" i="3"/>
  <c r="J9673" i="3"/>
  <c r="J9664" i="3"/>
  <c r="I9648" i="3"/>
  <c r="J10184" i="3"/>
  <c r="H10057" i="3"/>
  <c r="I10250" i="3"/>
  <c r="J10387" i="3"/>
  <c r="J10365" i="3"/>
  <c r="J10356" i="3"/>
  <c r="J10338" i="3"/>
  <c r="I10327" i="3"/>
  <c r="H9628" i="3"/>
  <c r="H9616" i="3"/>
  <c r="H9598" i="3"/>
  <c r="J9953" i="3"/>
  <c r="H9902" i="3"/>
  <c r="J9896" i="3"/>
  <c r="J9877" i="3"/>
  <c r="J9875" i="3"/>
  <c r="H9860" i="3"/>
  <c r="I9858" i="3"/>
  <c r="H9850" i="3"/>
  <c r="J9848" i="3"/>
  <c r="H9846" i="3"/>
  <c r="H9842" i="3"/>
  <c r="H9804" i="3"/>
  <c r="J9787" i="3"/>
  <c r="I9754" i="3"/>
  <c r="H9750" i="3"/>
  <c r="H10231" i="3"/>
  <c r="H10222" i="3"/>
  <c r="I10198" i="3"/>
  <c r="H10183" i="3"/>
  <c r="H10181" i="3"/>
  <c r="H10159" i="3"/>
  <c r="H10150" i="3"/>
  <c r="I10126" i="3"/>
  <c r="H10087" i="3"/>
  <c r="H10015" i="3"/>
  <c r="I10268" i="3"/>
  <c r="H10266" i="3"/>
  <c r="H10262" i="3"/>
  <c r="J10344" i="3"/>
  <c r="H10334" i="3"/>
  <c r="J10287" i="3"/>
  <c r="J10285" i="3"/>
  <c r="J9623" i="3"/>
  <c r="H9995" i="3"/>
  <c r="J9985" i="3"/>
  <c r="H9977" i="3"/>
  <c r="H9914" i="3"/>
  <c r="H9883" i="3"/>
  <c r="H9858" i="3"/>
  <c r="H9856" i="3"/>
  <c r="H9844" i="3"/>
  <c r="J9836" i="3"/>
  <c r="J9832" i="3"/>
  <c r="H9787" i="3"/>
  <c r="J9766" i="3"/>
  <c r="H9754" i="3"/>
  <c r="J9735" i="3"/>
  <c r="J9670" i="3"/>
  <c r="H9664" i="3"/>
  <c r="H10235" i="3"/>
  <c r="H10163" i="3"/>
  <c r="H10093" i="3"/>
  <c r="H10069" i="3"/>
  <c r="H10067" i="3"/>
  <c r="H10006" i="3"/>
  <c r="H10272" i="3"/>
  <c r="H10346" i="3"/>
  <c r="H10344" i="3"/>
  <c r="I10319" i="3"/>
  <c r="J10317" i="3"/>
  <c r="H10307" i="3"/>
  <c r="H10295" i="3"/>
  <c r="H10287" i="3"/>
  <c r="H10281" i="3"/>
  <c r="H10275" i="3"/>
  <c r="J10339" i="3"/>
  <c r="H10279" i="3"/>
  <c r="I9627" i="3"/>
  <c r="I9615" i="3"/>
  <c r="J9942" i="3"/>
  <c r="H9932" i="3"/>
  <c r="J9920" i="3"/>
  <c r="J9880" i="3"/>
  <c r="J9849" i="3"/>
  <c r="H9810" i="3"/>
  <c r="H9766" i="3"/>
  <c r="H9735" i="3"/>
  <c r="H9670" i="3"/>
  <c r="I10223" i="3"/>
  <c r="H10213" i="3"/>
  <c r="H10211" i="3"/>
  <c r="H10193" i="3"/>
  <c r="I10151" i="3"/>
  <c r="H10141" i="3"/>
  <c r="H10139" i="3"/>
  <c r="I10079" i="3"/>
  <c r="H10075" i="3"/>
  <c r="H10073" i="3"/>
  <c r="H10049" i="3"/>
  <c r="J10417" i="3"/>
  <c r="J10405" i="3"/>
  <c r="J10393" i="3"/>
  <c r="I10339" i="3"/>
  <c r="I10333" i="3"/>
  <c r="J10325" i="3"/>
  <c r="H9629" i="3"/>
  <c r="J9944" i="3"/>
  <c r="J9905" i="3"/>
  <c r="H9893" i="3"/>
  <c r="I9880" i="3"/>
  <c r="I9849" i="3"/>
  <c r="H9799" i="3"/>
  <c r="H9661" i="3"/>
  <c r="I10232" i="3"/>
  <c r="I10225" i="3"/>
  <c r="H10204" i="3"/>
  <c r="H10202" i="3"/>
  <c r="I10160" i="3"/>
  <c r="I10153" i="3"/>
  <c r="H10132" i="3"/>
  <c r="H10114" i="3"/>
  <c r="J10105" i="3"/>
  <c r="J10103" i="3"/>
  <c r="H10064" i="3"/>
  <c r="H10417" i="3"/>
  <c r="I10413" i="3"/>
  <c r="H10405" i="3"/>
  <c r="I10401" i="3"/>
  <c r="H10393" i="3"/>
  <c r="I10389" i="3"/>
  <c r="I10385" i="3"/>
  <c r="H10366" i="3"/>
  <c r="J10362" i="3"/>
  <c r="J10347" i="3"/>
  <c r="H10333" i="3"/>
  <c r="I10331" i="3"/>
  <c r="J10288" i="3"/>
  <c r="H9633" i="3"/>
  <c r="H9631" i="3"/>
  <c r="H9621" i="3"/>
  <c r="H9619" i="3"/>
  <c r="J9960" i="3"/>
  <c r="H9950" i="3"/>
  <c r="J9948" i="3"/>
  <c r="J9938" i="3"/>
  <c r="J9901" i="3"/>
  <c r="J9874" i="3"/>
  <c r="J9872" i="3"/>
  <c r="J9859" i="3"/>
  <c r="I9855" i="3"/>
  <c r="J9853" i="3"/>
  <c r="I9843" i="3"/>
  <c r="J9841" i="3"/>
  <c r="J9839" i="3"/>
  <c r="H10147" i="3"/>
  <c r="H10145" i="3"/>
  <c r="H10123" i="3"/>
  <c r="H10051" i="3"/>
  <c r="J10024" i="3"/>
  <c r="J10022" i="3"/>
  <c r="J10269" i="3"/>
  <c r="H10407" i="3"/>
  <c r="I10397" i="3"/>
  <c r="H10395" i="3"/>
  <c r="H10345" i="3"/>
  <c r="H10341" i="3"/>
  <c r="H10335" i="3"/>
  <c r="H10329" i="3"/>
  <c r="H10323" i="3"/>
  <c r="J10306" i="3"/>
  <c r="J10294" i="3"/>
  <c r="J9998" i="3"/>
  <c r="J9996" i="3"/>
  <c r="J9980" i="3"/>
  <c r="J9978" i="3"/>
  <c r="J9962" i="3"/>
  <c r="J9915" i="3"/>
  <c r="H9905" i="3"/>
  <c r="I9888" i="3"/>
  <c r="J9886" i="3"/>
  <c r="J9884" i="3"/>
  <c r="J9863" i="3"/>
  <c r="H9855" i="3"/>
  <c r="I9853" i="3"/>
  <c r="I9841" i="3"/>
  <c r="J9837" i="3"/>
  <c r="J9825" i="3"/>
  <c r="J9823" i="3"/>
  <c r="I9813" i="3"/>
  <c r="J9811" i="3"/>
  <c r="J9792" i="3"/>
  <c r="J9759" i="3"/>
  <c r="H9753" i="3"/>
  <c r="I9738" i="3"/>
  <c r="J9736" i="3"/>
  <c r="H9717" i="3"/>
  <c r="H9715" i="3"/>
  <c r="H10208" i="3"/>
  <c r="J10177" i="3"/>
  <c r="J10175" i="3"/>
  <c r="J10111" i="3"/>
  <c r="J10109" i="3"/>
  <c r="J10039" i="3"/>
  <c r="J10037" i="3"/>
  <c r="H10265" i="3"/>
  <c r="H10423" i="3"/>
  <c r="H10413" i="3"/>
  <c r="H10401" i="3"/>
  <c r="H10389" i="3"/>
  <c r="H10362" i="3"/>
  <c r="J10351" i="3"/>
  <c r="H10347" i="3"/>
  <c r="H10325" i="3"/>
  <c r="H10312" i="3"/>
  <c r="H10308" i="3"/>
  <c r="H10306" i="3"/>
  <c r="H10300" i="3"/>
  <c r="H10296" i="3"/>
  <c r="H10294" i="3"/>
  <c r="J10292" i="3"/>
  <c r="J10278" i="3"/>
  <c r="J9994" i="3"/>
  <c r="H9986" i="3"/>
  <c r="J9976" i="3"/>
  <c r="H9968" i="3"/>
  <c r="J9956" i="3"/>
  <c r="J9917" i="3"/>
  <c r="H9888" i="3"/>
  <c r="H9876" i="3"/>
  <c r="J9865" i="3"/>
  <c r="H9859" i="3"/>
  <c r="H9839" i="3"/>
  <c r="J9835" i="3"/>
  <c r="J9831" i="3"/>
  <c r="J9829" i="3"/>
  <c r="H9817" i="3"/>
  <c r="I9796" i="3"/>
  <c r="I9765" i="3"/>
  <c r="J9706" i="3"/>
  <c r="H9702" i="3"/>
  <c r="H9700" i="3"/>
  <c r="J10168" i="3"/>
  <c r="J10166" i="3"/>
  <c r="H10105" i="3"/>
  <c r="H10103" i="3"/>
  <c r="H10269" i="3"/>
  <c r="I10256" i="3"/>
  <c r="J10374" i="3"/>
  <c r="H10357" i="3"/>
  <c r="J10353" i="3"/>
  <c r="I10320" i="3"/>
  <c r="J10318" i="3"/>
  <c r="J9750" i="3"/>
  <c r="H9721" i="3"/>
  <c r="J10220" i="3"/>
  <c r="J10183" i="3"/>
  <c r="J10181" i="3"/>
  <c r="H10022" i="3"/>
  <c r="H10009" i="3"/>
  <c r="J10241" i="3"/>
  <c r="I10382" i="3"/>
  <c r="J9628" i="3"/>
  <c r="J9616" i="3"/>
  <c r="J9596" i="3"/>
  <c r="J9933" i="3"/>
  <c r="J9921" i="3"/>
  <c r="J9804" i="3"/>
  <c r="J9632" i="3"/>
  <c r="I9630" i="3"/>
  <c r="J9620" i="3"/>
  <c r="I9618" i="3"/>
  <c r="I9598" i="3"/>
  <c r="H9596" i="3"/>
  <c r="J9935" i="3"/>
  <c r="H9886" i="3"/>
  <c r="H9865" i="3"/>
  <c r="H9829" i="3"/>
  <c r="H9811" i="3"/>
  <c r="I9802" i="3"/>
  <c r="H9796" i="3"/>
  <c r="I9771" i="3"/>
  <c r="H9765" i="3"/>
  <c r="H9736" i="3"/>
  <c r="H9727" i="3"/>
  <c r="H9706" i="3"/>
  <c r="J9688" i="3"/>
  <c r="J10222" i="3"/>
  <c r="H10201" i="3"/>
  <c r="I10187" i="3"/>
  <c r="H10177" i="3"/>
  <c r="H10175" i="3"/>
  <c r="J10150" i="3"/>
  <c r="H10129" i="3"/>
  <c r="I10115" i="3"/>
  <c r="H10111" i="3"/>
  <c r="H10109" i="3"/>
  <c r="I10043" i="3"/>
  <c r="H10037" i="3"/>
  <c r="I10262" i="3"/>
  <c r="I10418" i="3"/>
  <c r="I10406" i="3"/>
  <c r="I10394" i="3"/>
  <c r="J10378" i="3"/>
  <c r="H10376" i="3"/>
  <c r="H10374" i="3"/>
  <c r="H10353" i="3"/>
  <c r="I10334" i="3"/>
  <c r="J10326" i="3"/>
  <c r="H10318" i="3"/>
  <c r="H10292" i="3"/>
  <c r="I10144" i="3"/>
  <c r="J10144" i="3"/>
  <c r="I10359" i="3"/>
  <c r="J10359" i="3"/>
  <c r="I10322" i="3"/>
  <c r="J10322" i="3"/>
  <c r="I10216" i="3"/>
  <c r="J10216" i="3"/>
  <c r="H9639" i="3"/>
  <c r="H9627" i="3"/>
  <c r="H9615" i="3"/>
  <c r="H9903" i="3"/>
  <c r="J9893" i="3"/>
  <c r="H9862" i="3"/>
  <c r="H9843" i="3"/>
  <c r="H9813" i="3"/>
  <c r="H9802" i="3"/>
  <c r="H9771" i="3"/>
  <c r="H9769" i="3"/>
  <c r="H9738" i="3"/>
  <c r="J9730" i="3"/>
  <c r="I9685" i="3"/>
  <c r="I10231" i="3"/>
  <c r="J10231" i="3"/>
  <c r="I10159" i="3"/>
  <c r="J10159" i="3"/>
  <c r="I10087" i="3"/>
  <c r="J10087" i="3"/>
  <c r="I10015" i="3"/>
  <c r="J10015" i="3"/>
  <c r="I10384" i="3"/>
  <c r="H10384" i="3"/>
  <c r="J10384" i="3"/>
  <c r="I10361" i="3"/>
  <c r="J10361" i="3"/>
  <c r="I10324" i="3"/>
  <c r="H10324" i="3"/>
  <c r="J10324" i="3"/>
  <c r="H9979" i="3"/>
  <c r="H9970" i="3"/>
  <c r="H9934" i="3"/>
  <c r="J9870" i="3"/>
  <c r="J9868" i="3"/>
  <c r="J9807" i="3"/>
  <c r="J9805" i="3"/>
  <c r="J9774" i="3"/>
  <c r="J9763" i="3"/>
  <c r="J9741" i="3"/>
  <c r="J9718" i="3"/>
  <c r="I9712" i="3"/>
  <c r="J9693" i="3"/>
  <c r="J9691" i="3"/>
  <c r="I9687" i="3"/>
  <c r="I10106" i="3"/>
  <c r="J10106" i="3"/>
  <c r="I10034" i="3"/>
  <c r="J10034" i="3"/>
  <c r="I10420" i="3"/>
  <c r="H10420" i="3"/>
  <c r="J10420" i="3"/>
  <c r="I10408" i="3"/>
  <c r="H10408" i="3"/>
  <c r="J10408" i="3"/>
  <c r="I10396" i="3"/>
  <c r="H10396" i="3"/>
  <c r="J10396" i="3"/>
  <c r="H10350" i="3"/>
  <c r="H10336" i="3"/>
  <c r="I10336" i="3"/>
  <c r="J10336" i="3"/>
  <c r="H10289" i="3"/>
  <c r="J10289" i="3"/>
  <c r="H9943" i="3"/>
  <c r="H9637" i="3"/>
  <c r="H9635" i="3"/>
  <c r="H9625" i="3"/>
  <c r="H9623" i="3"/>
  <c r="H9613" i="3"/>
  <c r="H9998" i="3"/>
  <c r="H9993" i="3"/>
  <c r="H9989" i="3"/>
  <c r="H9984" i="3"/>
  <c r="H9980" i="3"/>
  <c r="H9975" i="3"/>
  <c r="H9971" i="3"/>
  <c r="H9966" i="3"/>
  <c r="H9962" i="3"/>
  <c r="H9957" i="3"/>
  <c r="H9953" i="3"/>
  <c r="H9948" i="3"/>
  <c r="H9944" i="3"/>
  <c r="H9939" i="3"/>
  <c r="H9935" i="3"/>
  <c r="H9930" i="3"/>
  <c r="H9926" i="3"/>
  <c r="H9921" i="3"/>
  <c r="H9917" i="3"/>
  <c r="H9912" i="3"/>
  <c r="H9908" i="3"/>
  <c r="I9906" i="3"/>
  <c r="H9897" i="3"/>
  <c r="J9891" i="3"/>
  <c r="H9882" i="3"/>
  <c r="H9745" i="3"/>
  <c r="H9732" i="3"/>
  <c r="J9720" i="3"/>
  <c r="I9714" i="3"/>
  <c r="H10191" i="3"/>
  <c r="I10350" i="3"/>
  <c r="J10350" i="3"/>
  <c r="H10277" i="3"/>
  <c r="J10277" i="3"/>
  <c r="I10157" i="3"/>
  <c r="J10157" i="3"/>
  <c r="H9997" i="3"/>
  <c r="H9925" i="3"/>
  <c r="H9916" i="3"/>
  <c r="H9907" i="3"/>
  <c r="J9584" i="3"/>
  <c r="H9630" i="3"/>
  <c r="H9618" i="3"/>
  <c r="H10000" i="3"/>
  <c r="H9991" i="3"/>
  <c r="H9982" i="3"/>
  <c r="H9973" i="3"/>
  <c r="H9964" i="3"/>
  <c r="H9955" i="3"/>
  <c r="H9946" i="3"/>
  <c r="H9937" i="3"/>
  <c r="H9928" i="3"/>
  <c r="H9919" i="3"/>
  <c r="H9910" i="3"/>
  <c r="H9895" i="3"/>
  <c r="H9718" i="3"/>
  <c r="I9657" i="3"/>
  <c r="J9657" i="3"/>
  <c r="I10178" i="3"/>
  <c r="J10178" i="3"/>
  <c r="H10121" i="3"/>
  <c r="I10108" i="3"/>
  <c r="J10108" i="3"/>
  <c r="H10036" i="3"/>
  <c r="I10036" i="3"/>
  <c r="J10036" i="3"/>
  <c r="I10352" i="3"/>
  <c r="J10352" i="3"/>
  <c r="H10291" i="3"/>
  <c r="I10291" i="3"/>
  <c r="J10291" i="3"/>
  <c r="H9961" i="3"/>
  <c r="I9651" i="3"/>
  <c r="J9651" i="3"/>
  <c r="H9604" i="3"/>
  <c r="J9593" i="3"/>
  <c r="H9875" i="3"/>
  <c r="J9873" i="3"/>
  <c r="H9870" i="3"/>
  <c r="H9868" i="3"/>
  <c r="J9866" i="3"/>
  <c r="J9861" i="3"/>
  <c r="J9847" i="3"/>
  <c r="H9832" i="3"/>
  <c r="J9830" i="3"/>
  <c r="H9807" i="3"/>
  <c r="H9805" i="3"/>
  <c r="J9801" i="3"/>
  <c r="J9790" i="3"/>
  <c r="H9774" i="3"/>
  <c r="J9768" i="3"/>
  <c r="H9763" i="3"/>
  <c r="J9757" i="3"/>
  <c r="H9741" i="3"/>
  <c r="H9693" i="3"/>
  <c r="H9691" i="3"/>
  <c r="I9676" i="3"/>
  <c r="J9676" i="3"/>
  <c r="I10193" i="3"/>
  <c r="J10193" i="3"/>
  <c r="I10121" i="3"/>
  <c r="J10121" i="3"/>
  <c r="I10049" i="3"/>
  <c r="J10049" i="3"/>
  <c r="H10377" i="3"/>
  <c r="I10315" i="3"/>
  <c r="H10315" i="3"/>
  <c r="J10315" i="3"/>
  <c r="I10303" i="3"/>
  <c r="H10303" i="3"/>
  <c r="J10303" i="3"/>
  <c r="I10229" i="3"/>
  <c r="J10229" i="3"/>
  <c r="H9952" i="3"/>
  <c r="J9600" i="3"/>
  <c r="J9898" i="3"/>
  <c r="J9885" i="3"/>
  <c r="H9878" i="3"/>
  <c r="J9871" i="3"/>
  <c r="H9866" i="3"/>
  <c r="H9830" i="3"/>
  <c r="J9733" i="3"/>
  <c r="I10180" i="3"/>
  <c r="J10180" i="3"/>
  <c r="I10377" i="3"/>
  <c r="J10377" i="3"/>
  <c r="I10085" i="3"/>
  <c r="J10085" i="3"/>
  <c r="J9626" i="3"/>
  <c r="J9590" i="3"/>
  <c r="H9638" i="3"/>
  <c r="H9626" i="3"/>
  <c r="I9590" i="3"/>
  <c r="J9588" i="3"/>
  <c r="H9582" i="3"/>
  <c r="J9636" i="3"/>
  <c r="I9631" i="3"/>
  <c r="J9624" i="3"/>
  <c r="I9619" i="3"/>
  <c r="J9999" i="3"/>
  <c r="H9996" i="3"/>
  <c r="H9992" i="3"/>
  <c r="J9990" i="3"/>
  <c r="H9987" i="3"/>
  <c r="H9983" i="3"/>
  <c r="J9981" i="3"/>
  <c r="H9978" i="3"/>
  <c r="H9974" i="3"/>
  <c r="J9972" i="3"/>
  <c r="H9969" i="3"/>
  <c r="H9965" i="3"/>
  <c r="J9963" i="3"/>
  <c r="H9960" i="3"/>
  <c r="H9956" i="3"/>
  <c r="J9954" i="3"/>
  <c r="H9951" i="3"/>
  <c r="H9947" i="3"/>
  <c r="J9945" i="3"/>
  <c r="H9942" i="3"/>
  <c r="H9938" i="3"/>
  <c r="J9936" i="3"/>
  <c r="H9933" i="3"/>
  <c r="H9929" i="3"/>
  <c r="J9927" i="3"/>
  <c r="H9924" i="3"/>
  <c r="H9920" i="3"/>
  <c r="J9918" i="3"/>
  <c r="H9915" i="3"/>
  <c r="H9911" i="3"/>
  <c r="J9909" i="3"/>
  <c r="H9904" i="3"/>
  <c r="H9896" i="3"/>
  <c r="J9892" i="3"/>
  <c r="I9885" i="3"/>
  <c r="I9871" i="3"/>
  <c r="J9864" i="3"/>
  <c r="J9852" i="3"/>
  <c r="J9840" i="3"/>
  <c r="H9837" i="3"/>
  <c r="J9828" i="3"/>
  <c r="H9825" i="3"/>
  <c r="H9823" i="3"/>
  <c r="J9819" i="3"/>
  <c r="J9808" i="3"/>
  <c r="H9792" i="3"/>
  <c r="J9786" i="3"/>
  <c r="H9781" i="3"/>
  <c r="J9775" i="3"/>
  <c r="H9759" i="3"/>
  <c r="H9748" i="3"/>
  <c r="J9744" i="3"/>
  <c r="J9742" i="3"/>
  <c r="I9678" i="3"/>
  <c r="J9678" i="3"/>
  <c r="I10195" i="3"/>
  <c r="J10195" i="3"/>
  <c r="I10123" i="3"/>
  <c r="J10123" i="3"/>
  <c r="I10051" i="3"/>
  <c r="J10051" i="3"/>
  <c r="I10003" i="3"/>
  <c r="J10003" i="3"/>
  <c r="I10379" i="3"/>
  <c r="J10379" i="3"/>
  <c r="I10341" i="3"/>
  <c r="J10341" i="3"/>
  <c r="I10329" i="3"/>
  <c r="J10329" i="3"/>
  <c r="H10013" i="3"/>
  <c r="J10013" i="3"/>
  <c r="H9988" i="3"/>
  <c r="I9584" i="3"/>
  <c r="J9638" i="3"/>
  <c r="J9629" i="3"/>
  <c r="J9617" i="3"/>
  <c r="H9600" i="3"/>
  <c r="I9999" i="3"/>
  <c r="I9990" i="3"/>
  <c r="I9981" i="3"/>
  <c r="I9972" i="3"/>
  <c r="H9967" i="3"/>
  <c r="I9963" i="3"/>
  <c r="H9958" i="3"/>
  <c r="I9954" i="3"/>
  <c r="H9949" i="3"/>
  <c r="I9945" i="3"/>
  <c r="H9940" i="3"/>
  <c r="I9936" i="3"/>
  <c r="H9931" i="3"/>
  <c r="I9927" i="3"/>
  <c r="H9922" i="3"/>
  <c r="I9918" i="3"/>
  <c r="H9913" i="3"/>
  <c r="I9909" i="3"/>
  <c r="H9900" i="3"/>
  <c r="I9892" i="3"/>
  <c r="J9883" i="3"/>
  <c r="J9876" i="3"/>
  <c r="H9873" i="3"/>
  <c r="I9864" i="3"/>
  <c r="H9861" i="3"/>
  <c r="J9857" i="3"/>
  <c r="I9852" i="3"/>
  <c r="J9850" i="3"/>
  <c r="H9847" i="3"/>
  <c r="J9845" i="3"/>
  <c r="H9833" i="3"/>
  <c r="I9828" i="3"/>
  <c r="J9817" i="3"/>
  <c r="H9801" i="3"/>
  <c r="J9795" i="3"/>
  <c r="H9790" i="3"/>
  <c r="J9784" i="3"/>
  <c r="H9768" i="3"/>
  <c r="H9757" i="3"/>
  <c r="J9753" i="3"/>
  <c r="J9751" i="3"/>
  <c r="H9733" i="3"/>
  <c r="I9729" i="3"/>
  <c r="J9727" i="3"/>
  <c r="I9703" i="3"/>
  <c r="J9703" i="3"/>
  <c r="I9645" i="3"/>
  <c r="J9645" i="3"/>
  <c r="I10070" i="3"/>
  <c r="J10070" i="3"/>
  <c r="H10007" i="3"/>
  <c r="J10007" i="3"/>
  <c r="I10415" i="3"/>
  <c r="J10415" i="3"/>
  <c r="I10403" i="3"/>
  <c r="J10403" i="3"/>
  <c r="I10391" i="3"/>
  <c r="J10391" i="3"/>
  <c r="H10368" i="3"/>
  <c r="I10343" i="3"/>
  <c r="J10343" i="3"/>
  <c r="J9961" i="3"/>
  <c r="J9952" i="3"/>
  <c r="J9934" i="3"/>
  <c r="J9925" i="3"/>
  <c r="J9916" i="3"/>
  <c r="J9907" i="3"/>
  <c r="J9881" i="3"/>
  <c r="I9721" i="3"/>
  <c r="I10368" i="3"/>
  <c r="J10368" i="3"/>
  <c r="J9943" i="3"/>
  <c r="H9588" i="3"/>
  <c r="H9636" i="3"/>
  <c r="H9624" i="3"/>
  <c r="J9608" i="3"/>
  <c r="J9995" i="3"/>
  <c r="J9986" i="3"/>
  <c r="J9977" i="3"/>
  <c r="J9968" i="3"/>
  <c r="J9959" i="3"/>
  <c r="J9950" i="3"/>
  <c r="J9941" i="3"/>
  <c r="J9932" i="3"/>
  <c r="J9923" i="3"/>
  <c r="J9914" i="3"/>
  <c r="H9894" i="3"/>
  <c r="H9857" i="3"/>
  <c r="H9840" i="3"/>
  <c r="H9819" i="3"/>
  <c r="H9808" i="3"/>
  <c r="H9786" i="3"/>
  <c r="H9775" i="3"/>
  <c r="H9744" i="3"/>
  <c r="H9742" i="3"/>
  <c r="H9729" i="3"/>
  <c r="I9705" i="3"/>
  <c r="J9705" i="3"/>
  <c r="H10229" i="3"/>
  <c r="I10214" i="3"/>
  <c r="J10214" i="3"/>
  <c r="H10157" i="3"/>
  <c r="I10142" i="3"/>
  <c r="J10142" i="3"/>
  <c r="H10085" i="3"/>
  <c r="I10072" i="3"/>
  <c r="J10072" i="3"/>
  <c r="I10009" i="3"/>
  <c r="J10009" i="3"/>
  <c r="I10370" i="3"/>
  <c r="J10370" i="3"/>
  <c r="I10310" i="3"/>
  <c r="J10310" i="3"/>
  <c r="H10298" i="3"/>
  <c r="I10298" i="3"/>
  <c r="J10298" i="3"/>
  <c r="I10284" i="3"/>
  <c r="J10284" i="3"/>
  <c r="H9687" i="3"/>
  <c r="H9685" i="3"/>
  <c r="H9672" i="3"/>
  <c r="J9648" i="3"/>
  <c r="H10225" i="3"/>
  <c r="H10223" i="3"/>
  <c r="H10206" i="3"/>
  <c r="H10189" i="3"/>
  <c r="H10187" i="3"/>
  <c r="H10170" i="3"/>
  <c r="H10153" i="3"/>
  <c r="H10151" i="3"/>
  <c r="H10134" i="3"/>
  <c r="H10117" i="3"/>
  <c r="H10115" i="3"/>
  <c r="H10098" i="3"/>
  <c r="H10081" i="3"/>
  <c r="H10079" i="3"/>
  <c r="H10066" i="3"/>
  <c r="H10062" i="3"/>
  <c r="H10043" i="3"/>
  <c r="H10030" i="3"/>
  <c r="H10026" i="3"/>
  <c r="H10418" i="3"/>
  <c r="H10406" i="3"/>
  <c r="H10394" i="3"/>
  <c r="H10382" i="3"/>
  <c r="J10330" i="3"/>
  <c r="H10320" i="3"/>
  <c r="H10313" i="3"/>
  <c r="J10309" i="3"/>
  <c r="H10301" i="3"/>
  <c r="J10297" i="3"/>
  <c r="H10280" i="3"/>
  <c r="J10276" i="3"/>
  <c r="H9666" i="3"/>
  <c r="H9640" i="3"/>
  <c r="J10228" i="3"/>
  <c r="J10226" i="3"/>
  <c r="H10200" i="3"/>
  <c r="J10192" i="3"/>
  <c r="J10190" i="3"/>
  <c r="H10164" i="3"/>
  <c r="J10156" i="3"/>
  <c r="J10154" i="3"/>
  <c r="H10128" i="3"/>
  <c r="J10120" i="3"/>
  <c r="J10118" i="3"/>
  <c r="H10092" i="3"/>
  <c r="J10084" i="3"/>
  <c r="J10082" i="3"/>
  <c r="H10060" i="3"/>
  <c r="H10056" i="3"/>
  <c r="J10048" i="3"/>
  <c r="J10046" i="3"/>
  <c r="H10024" i="3"/>
  <c r="H10020" i="3"/>
  <c r="H10273" i="3"/>
  <c r="H10267" i="3"/>
  <c r="H10263" i="3"/>
  <c r="H10261" i="3"/>
  <c r="H10257" i="3"/>
  <c r="H10255" i="3"/>
  <c r="H10251" i="3"/>
  <c r="H10249" i="3"/>
  <c r="H10245" i="3"/>
  <c r="H10243" i="3"/>
  <c r="H10239" i="3"/>
  <c r="H10237" i="3"/>
  <c r="J10419" i="3"/>
  <c r="H10414" i="3"/>
  <c r="J10407" i="3"/>
  <c r="H10402" i="3"/>
  <c r="J10395" i="3"/>
  <c r="H10390" i="3"/>
  <c r="J10383" i="3"/>
  <c r="H10378" i="3"/>
  <c r="J10376" i="3"/>
  <c r="H10369" i="3"/>
  <c r="J10367" i="3"/>
  <c r="H10360" i="3"/>
  <c r="J10358" i="3"/>
  <c r="H10351" i="3"/>
  <c r="J10349" i="3"/>
  <c r="H10342" i="3"/>
  <c r="J10340" i="3"/>
  <c r="J10335" i="3"/>
  <c r="J10328" i="3"/>
  <c r="J10321" i="3"/>
  <c r="J10314" i="3"/>
  <c r="H10309" i="3"/>
  <c r="J10302" i="3"/>
  <c r="H10297" i="3"/>
  <c r="J10290" i="3"/>
  <c r="I10276" i="3"/>
  <c r="H9696" i="3"/>
  <c r="H9694" i="3"/>
  <c r="J9669" i="3"/>
  <c r="J9667" i="3"/>
  <c r="H9660" i="3"/>
  <c r="H9658" i="3"/>
  <c r="H9654" i="3"/>
  <c r="H9652" i="3"/>
  <c r="H9646" i="3"/>
  <c r="H9642" i="3"/>
  <c r="H10234" i="3"/>
  <c r="H10232" i="3"/>
  <c r="H10215" i="3"/>
  <c r="J10207" i="3"/>
  <c r="J10205" i="3"/>
  <c r="H10198" i="3"/>
  <c r="H10196" i="3"/>
  <c r="H10179" i="3"/>
  <c r="J10171" i="3"/>
  <c r="J10169" i="3"/>
  <c r="H10162" i="3"/>
  <c r="H10160" i="3"/>
  <c r="H10143" i="3"/>
  <c r="J10135" i="3"/>
  <c r="J10133" i="3"/>
  <c r="H10126" i="3"/>
  <c r="H10124" i="3"/>
  <c r="H10107" i="3"/>
  <c r="J10099" i="3"/>
  <c r="J10097" i="3"/>
  <c r="H10090" i="3"/>
  <c r="H10088" i="3"/>
  <c r="H10071" i="3"/>
  <c r="J10063" i="3"/>
  <c r="J10061" i="3"/>
  <c r="H10054" i="3"/>
  <c r="H10052" i="3"/>
  <c r="I10048" i="3"/>
  <c r="H10039" i="3"/>
  <c r="H10035" i="3"/>
  <c r="J10027" i="3"/>
  <c r="J10025" i="3"/>
  <c r="H10016" i="3"/>
  <c r="H10253" i="3"/>
  <c r="H10247" i="3"/>
  <c r="H10241" i="3"/>
  <c r="H10421" i="3"/>
  <c r="H10409" i="3"/>
  <c r="H10397" i="3"/>
  <c r="H10385" i="3"/>
  <c r="H10321" i="3"/>
  <c r="H10316" i="3"/>
  <c r="H10278" i="3"/>
  <c r="J9684" i="3"/>
  <c r="J9682" i="3"/>
  <c r="J10114" i="3"/>
  <c r="J10112" i="3"/>
  <c r="J10078" i="3"/>
  <c r="J10076" i="3"/>
  <c r="I10063" i="3"/>
  <c r="J10042" i="3"/>
  <c r="J10040" i="3"/>
  <c r="I10027" i="3"/>
  <c r="J10312" i="3"/>
  <c r="J10300" i="3"/>
  <c r="H10290" i="3"/>
  <c r="H10283" i="3"/>
  <c r="J9699" i="3"/>
  <c r="J9697" i="3"/>
  <c r="H9690" i="3"/>
  <c r="H9688" i="3"/>
  <c r="J9663" i="3"/>
  <c r="J9661" i="3"/>
  <c r="J10235" i="3"/>
  <c r="H10228" i="3"/>
  <c r="H10226" i="3"/>
  <c r="H10209" i="3"/>
  <c r="J10201" i="3"/>
  <c r="J10199" i="3"/>
  <c r="H10192" i="3"/>
  <c r="H10190" i="3"/>
  <c r="H10173" i="3"/>
  <c r="J10165" i="3"/>
  <c r="J10163" i="3"/>
  <c r="H10156" i="3"/>
  <c r="H10154" i="3"/>
  <c r="H10137" i="3"/>
  <c r="J10129" i="3"/>
  <c r="J10127" i="3"/>
  <c r="H10120" i="3"/>
  <c r="H10118" i="3"/>
  <c r="H10101" i="3"/>
  <c r="J10093" i="3"/>
  <c r="J10091" i="3"/>
  <c r="H10084" i="3"/>
  <c r="H10082" i="3"/>
  <c r="H10065" i="3"/>
  <c r="J10057" i="3"/>
  <c r="J10055" i="3"/>
  <c r="H10046" i="3"/>
  <c r="H10033" i="3"/>
  <c r="H10029" i="3"/>
  <c r="J10021" i="3"/>
  <c r="J10019" i="3"/>
  <c r="J10272" i="3"/>
  <c r="J10266" i="3"/>
  <c r="J10250" i="3"/>
  <c r="J10244" i="3"/>
  <c r="J10238" i="3"/>
  <c r="J10422" i="3"/>
  <c r="J10410" i="3"/>
  <c r="J10398" i="3"/>
  <c r="J10386" i="3"/>
  <c r="J10372" i="3"/>
  <c r="J10363" i="3"/>
  <c r="H10358" i="3"/>
  <c r="J10354" i="3"/>
  <c r="H10349" i="3"/>
  <c r="J10345" i="3"/>
  <c r="H10340" i="3"/>
  <c r="H10328" i="3"/>
  <c r="H10314" i="3"/>
  <c r="H10302" i="3"/>
  <c r="H9705" i="3"/>
  <c r="H9703" i="3"/>
  <c r="H9667" i="3"/>
  <c r="H10207" i="3"/>
  <c r="H10205" i="3"/>
  <c r="H10171" i="3"/>
  <c r="H10169" i="3"/>
  <c r="H10135" i="3"/>
  <c r="H10133" i="3"/>
  <c r="H10099" i="3"/>
  <c r="H10097" i="3"/>
  <c r="H10061" i="3"/>
  <c r="H10025" i="3"/>
  <c r="I10244" i="3"/>
  <c r="I10238" i="3"/>
  <c r="H10372" i="3"/>
  <c r="H10363" i="3"/>
  <c r="H10354" i="3"/>
  <c r="H9684" i="3"/>
  <c r="H9682" i="3"/>
  <c r="H10236" i="3"/>
  <c r="H10326" i="3"/>
  <c r="H10319" i="3"/>
  <c r="H10293" i="3"/>
  <c r="H10286" i="3"/>
  <c r="J10282" i="3"/>
  <c r="H10274" i="3"/>
  <c r="H10218" i="3"/>
  <c r="J10210" i="3"/>
  <c r="J10208" i="3"/>
  <c r="H10182" i="3"/>
  <c r="J10174" i="3"/>
  <c r="J10172" i="3"/>
  <c r="H10146" i="3"/>
  <c r="J10138" i="3"/>
  <c r="J10136" i="3"/>
  <c r="H10110" i="3"/>
  <c r="J10102" i="3"/>
  <c r="J10100" i="3"/>
  <c r="H10091" i="3"/>
  <c r="H10074" i="3"/>
  <c r="J10066" i="3"/>
  <c r="J10064" i="3"/>
  <c r="H10055" i="3"/>
  <c r="H10042" i="3"/>
  <c r="H10038" i="3"/>
  <c r="J10030" i="3"/>
  <c r="J10028" i="3"/>
  <c r="H10019" i="3"/>
  <c r="H10270" i="3"/>
  <c r="H10264" i="3"/>
  <c r="H10260" i="3"/>
  <c r="H10258" i="3"/>
  <c r="H10254" i="3"/>
  <c r="H10252" i="3"/>
  <c r="H10248" i="3"/>
  <c r="H10422" i="3"/>
  <c r="H10410" i="3"/>
  <c r="H10398" i="3"/>
  <c r="H10386" i="3"/>
  <c r="H10331" i="3"/>
  <c r="H10317" i="3"/>
  <c r="J10308" i="3"/>
  <c r="H10305" i="3"/>
  <c r="J10296" i="3"/>
  <c r="I10282" i="3"/>
  <c r="H9714" i="3"/>
  <c r="H9712" i="3"/>
  <c r="H9678" i="3"/>
  <c r="H9676" i="3"/>
  <c r="I9672" i="3"/>
  <c r="H9663" i="3"/>
  <c r="H9657" i="3"/>
  <c r="H9655" i="3"/>
  <c r="H9651" i="3"/>
  <c r="H9649" i="3"/>
  <c r="H9645" i="3"/>
  <c r="H9643" i="3"/>
  <c r="H10216" i="3"/>
  <c r="H10214" i="3"/>
  <c r="H10180" i="3"/>
  <c r="H10178" i="3"/>
  <c r="H10144" i="3"/>
  <c r="H10142" i="3"/>
  <c r="H10108" i="3"/>
  <c r="H10106" i="3"/>
  <c r="H10072" i="3"/>
  <c r="H10070" i="3"/>
  <c r="I10066" i="3"/>
  <c r="J10045" i="3"/>
  <c r="H10034" i="3"/>
  <c r="I10030" i="3"/>
  <c r="H10021" i="3"/>
  <c r="H10001" i="3"/>
  <c r="H10256" i="3"/>
  <c r="H10415" i="3"/>
  <c r="H10403" i="3"/>
  <c r="H10391" i="3"/>
  <c r="H10379" i="3"/>
  <c r="J10375" i="3"/>
  <c r="H10370" i="3"/>
  <c r="J10366" i="3"/>
  <c r="H10361" i="3"/>
  <c r="J10357" i="3"/>
  <c r="H10352" i="3"/>
  <c r="J10348" i="3"/>
  <c r="H10343" i="3"/>
  <c r="H10310" i="3"/>
  <c r="J10301" i="3"/>
  <c r="H10284" i="3"/>
  <c r="I10289" i="3"/>
  <c r="I10286" i="3"/>
  <c r="I10283" i="3"/>
  <c r="I10280" i="3"/>
  <c r="I10277" i="3"/>
  <c r="I10274" i="3"/>
  <c r="J10236" i="3"/>
  <c r="I10263" i="3"/>
  <c r="I10260" i="3"/>
  <c r="I10257" i="3"/>
  <c r="I10254" i="3"/>
  <c r="I10251" i="3"/>
  <c r="I10248" i="3"/>
  <c r="I10245" i="3"/>
  <c r="I10242" i="3"/>
  <c r="I10239" i="3"/>
  <c r="I10236" i="3"/>
  <c r="J10273" i="3"/>
  <c r="J10270" i="3"/>
  <c r="J10267" i="3"/>
  <c r="J10264" i="3"/>
  <c r="J10261" i="3"/>
  <c r="J10258" i="3"/>
  <c r="J10255" i="3"/>
  <c r="J10252" i="3"/>
  <c r="J10249" i="3"/>
  <c r="J10246" i="3"/>
  <c r="J10243" i="3"/>
  <c r="J10240" i="3"/>
  <c r="J10237" i="3"/>
  <c r="I10273" i="3"/>
  <c r="I10270" i="3"/>
  <c r="I10267" i="3"/>
  <c r="I10264" i="3"/>
  <c r="I10261" i="3"/>
  <c r="I10258" i="3"/>
  <c r="I10255" i="3"/>
  <c r="I10252" i="3"/>
  <c r="I10249" i="3"/>
  <c r="I10246" i="3"/>
  <c r="I10243" i="3"/>
  <c r="I10240" i="3"/>
  <c r="I10237" i="3"/>
  <c r="J10001" i="3"/>
  <c r="I10013" i="3"/>
  <c r="I10010" i="3"/>
  <c r="I10007" i="3"/>
  <c r="I10004" i="3"/>
  <c r="I10001" i="3"/>
  <c r="J10233" i="3"/>
  <c r="J10227" i="3"/>
  <c r="J10224" i="3"/>
  <c r="J10221" i="3"/>
  <c r="J10218" i="3"/>
  <c r="J10215" i="3"/>
  <c r="J10212" i="3"/>
  <c r="J10209" i="3"/>
  <c r="J10206" i="3"/>
  <c r="J10203" i="3"/>
  <c r="J10200" i="3"/>
  <c r="J10197" i="3"/>
  <c r="J10194" i="3"/>
  <c r="J10191" i="3"/>
  <c r="J10188" i="3"/>
  <c r="J10185" i="3"/>
  <c r="J10182" i="3"/>
  <c r="J10179" i="3"/>
  <c r="J10176" i="3"/>
  <c r="J10173" i="3"/>
  <c r="J10170" i="3"/>
  <c r="J10167" i="3"/>
  <c r="J10164" i="3"/>
  <c r="J10161" i="3"/>
  <c r="J10158" i="3"/>
  <c r="J10155" i="3"/>
  <c r="J10152" i="3"/>
  <c r="J10149" i="3"/>
  <c r="J10146" i="3"/>
  <c r="J10143" i="3"/>
  <c r="J10140" i="3"/>
  <c r="J10137" i="3"/>
  <c r="J10134" i="3"/>
  <c r="J10131" i="3"/>
  <c r="J10128" i="3"/>
  <c r="J10125" i="3"/>
  <c r="J10122" i="3"/>
  <c r="J10119" i="3"/>
  <c r="J10116" i="3"/>
  <c r="J10113" i="3"/>
  <c r="J10110" i="3"/>
  <c r="J10107" i="3"/>
  <c r="J10104" i="3"/>
  <c r="J10101" i="3"/>
  <c r="J10098" i="3"/>
  <c r="J10095" i="3"/>
  <c r="J10092" i="3"/>
  <c r="J10089" i="3"/>
  <c r="J10086" i="3"/>
  <c r="J10083" i="3"/>
  <c r="J10080" i="3"/>
  <c r="J10077" i="3"/>
  <c r="J10074" i="3"/>
  <c r="J10071" i="3"/>
  <c r="J10068" i="3"/>
  <c r="J10065" i="3"/>
  <c r="J10062" i="3"/>
  <c r="J10059" i="3"/>
  <c r="J10056" i="3"/>
  <c r="J10053" i="3"/>
  <c r="J10050" i="3"/>
  <c r="J10047" i="3"/>
  <c r="J10044" i="3"/>
  <c r="J10041" i="3"/>
  <c r="J10038" i="3"/>
  <c r="J10035" i="3"/>
  <c r="J10032" i="3"/>
  <c r="J10029" i="3"/>
  <c r="J10026" i="3"/>
  <c r="J10023" i="3"/>
  <c r="J10020" i="3"/>
  <c r="J10017" i="3"/>
  <c r="J10014" i="3"/>
  <c r="J10011" i="3"/>
  <c r="J10008" i="3"/>
  <c r="J10005" i="3"/>
  <c r="J10002" i="3"/>
  <c r="J10230" i="3"/>
  <c r="I10233" i="3"/>
  <c r="I10230" i="3"/>
  <c r="I10227" i="3"/>
  <c r="I10224" i="3"/>
  <c r="I10221" i="3"/>
  <c r="I10218" i="3"/>
  <c r="I10215" i="3"/>
  <c r="I10212" i="3"/>
  <c r="I10209" i="3"/>
  <c r="I10206" i="3"/>
  <c r="I10203" i="3"/>
  <c r="I10200" i="3"/>
  <c r="I10197" i="3"/>
  <c r="I10194" i="3"/>
  <c r="I10191" i="3"/>
  <c r="I10188" i="3"/>
  <c r="I10185" i="3"/>
  <c r="I10182" i="3"/>
  <c r="I10179" i="3"/>
  <c r="I10176" i="3"/>
  <c r="I10173" i="3"/>
  <c r="I10170" i="3"/>
  <c r="I10167" i="3"/>
  <c r="I10164" i="3"/>
  <c r="I10161" i="3"/>
  <c r="I10158" i="3"/>
  <c r="I10155" i="3"/>
  <c r="I10152" i="3"/>
  <c r="I10149" i="3"/>
  <c r="I10146" i="3"/>
  <c r="I10143" i="3"/>
  <c r="I10140" i="3"/>
  <c r="I10137" i="3"/>
  <c r="I10134" i="3"/>
  <c r="I10131" i="3"/>
  <c r="I10128" i="3"/>
  <c r="I10125" i="3"/>
  <c r="I10122" i="3"/>
  <c r="I10119" i="3"/>
  <c r="I10116" i="3"/>
  <c r="I10113" i="3"/>
  <c r="I10110" i="3"/>
  <c r="I10107" i="3"/>
  <c r="I10104" i="3"/>
  <c r="I10101" i="3"/>
  <c r="I10098" i="3"/>
  <c r="I10095" i="3"/>
  <c r="I10092" i="3"/>
  <c r="I10089" i="3"/>
  <c r="I10086" i="3"/>
  <c r="I10083" i="3"/>
  <c r="I10080" i="3"/>
  <c r="I10077" i="3"/>
  <c r="I10074" i="3"/>
  <c r="I10071" i="3"/>
  <c r="I10068" i="3"/>
  <c r="I10065" i="3"/>
  <c r="I10062" i="3"/>
  <c r="I10059" i="3"/>
  <c r="I10056" i="3"/>
  <c r="I10053" i="3"/>
  <c r="I10050" i="3"/>
  <c r="I10047" i="3"/>
  <c r="I10044" i="3"/>
  <c r="I10041" i="3"/>
  <c r="I10038" i="3"/>
  <c r="I10035" i="3"/>
  <c r="I10032" i="3"/>
  <c r="I10029" i="3"/>
  <c r="I10026" i="3"/>
  <c r="I10023" i="3"/>
  <c r="I10020" i="3"/>
  <c r="I10017" i="3"/>
  <c r="I10014" i="3"/>
  <c r="I10011" i="3"/>
  <c r="I10008" i="3"/>
  <c r="I10005" i="3"/>
  <c r="I10002" i="3"/>
  <c r="H9671" i="3"/>
  <c r="I9671" i="3"/>
  <c r="J9671" i="3"/>
  <c r="H9734" i="3"/>
  <c r="I9734" i="3"/>
  <c r="J9906" i="3"/>
  <c r="J9903" i="3"/>
  <c r="J9900" i="3"/>
  <c r="J9897" i="3"/>
  <c r="J9894" i="3"/>
  <c r="I9891" i="3"/>
  <c r="J9869" i="3"/>
  <c r="J9833" i="3"/>
  <c r="H9669" i="3"/>
  <c r="H9665" i="3"/>
  <c r="I9665" i="3"/>
  <c r="J9665" i="3"/>
  <c r="H9815" i="3"/>
  <c r="I9815" i="3"/>
  <c r="H9752" i="3"/>
  <c r="I9752" i="3"/>
  <c r="H9743" i="3"/>
  <c r="I9743" i="3"/>
  <c r="H9698" i="3"/>
  <c r="I9698" i="3"/>
  <c r="H9689" i="3"/>
  <c r="I9689" i="3"/>
  <c r="H9869" i="3"/>
  <c r="H9827" i="3"/>
  <c r="I9827" i="3"/>
  <c r="H9770" i="3"/>
  <c r="I9770" i="3"/>
  <c r="H9872" i="3"/>
  <c r="H9836" i="3"/>
  <c r="H9659" i="3"/>
  <c r="I9659" i="3"/>
  <c r="J9659" i="3"/>
  <c r="H9653" i="3"/>
  <c r="I9653" i="3"/>
  <c r="J9653" i="3"/>
  <c r="H9647" i="3"/>
  <c r="I9647" i="3"/>
  <c r="J9647" i="3"/>
  <c r="H9641" i="3"/>
  <c r="I9641" i="3"/>
  <c r="J9641" i="3"/>
  <c r="H9824" i="3"/>
  <c r="I9824" i="3"/>
  <c r="H9725" i="3"/>
  <c r="I9725" i="3"/>
  <c r="H9716" i="3"/>
  <c r="I9716" i="3"/>
  <c r="H9707" i="3"/>
  <c r="I9707" i="3"/>
  <c r="J9878" i="3"/>
  <c r="J9842" i="3"/>
  <c r="H9818" i="3"/>
  <c r="I9818" i="3"/>
  <c r="H9809" i="3"/>
  <c r="I9809" i="3"/>
  <c r="H9800" i="3"/>
  <c r="I9800" i="3"/>
  <c r="H9791" i="3"/>
  <c r="I9791" i="3"/>
  <c r="H9782" i="3"/>
  <c r="I9782" i="3"/>
  <c r="H9773" i="3"/>
  <c r="I9773" i="3"/>
  <c r="H9764" i="3"/>
  <c r="I9764" i="3"/>
  <c r="H9755" i="3"/>
  <c r="I9755" i="3"/>
  <c r="H9746" i="3"/>
  <c r="I9746" i="3"/>
  <c r="H9737" i="3"/>
  <c r="I9737" i="3"/>
  <c r="H9728" i="3"/>
  <c r="I9728" i="3"/>
  <c r="H9719" i="3"/>
  <c r="I9719" i="3"/>
  <c r="H9710" i="3"/>
  <c r="I9710" i="3"/>
  <c r="H9701" i="3"/>
  <c r="I9701" i="3"/>
  <c r="H9692" i="3"/>
  <c r="I9692" i="3"/>
  <c r="H9683" i="3"/>
  <c r="I9683" i="3"/>
  <c r="H9674" i="3"/>
  <c r="I9674" i="3"/>
  <c r="H9806" i="3"/>
  <c r="I9806" i="3"/>
  <c r="H9797" i="3"/>
  <c r="I9797" i="3"/>
  <c r="H9788" i="3"/>
  <c r="I9788" i="3"/>
  <c r="I9997" i="3"/>
  <c r="I9994" i="3"/>
  <c r="I9988" i="3"/>
  <c r="I9985" i="3"/>
  <c r="I9982" i="3"/>
  <c r="I9970" i="3"/>
  <c r="I9967" i="3"/>
  <c r="I9961" i="3"/>
  <c r="I9952" i="3"/>
  <c r="I9949" i="3"/>
  <c r="I9946" i="3"/>
  <c r="I9943" i="3"/>
  <c r="I9934" i="3"/>
  <c r="I9928" i="3"/>
  <c r="I9919" i="3"/>
  <c r="I9913" i="3"/>
  <c r="I9910" i="3"/>
  <c r="I9901" i="3"/>
  <c r="I9898" i="3"/>
  <c r="H9845" i="3"/>
  <c r="H9668" i="3"/>
  <c r="I9668" i="3"/>
  <c r="J9668" i="3"/>
  <c r="H9779" i="3"/>
  <c r="I9779" i="3"/>
  <c r="H9761" i="3"/>
  <c r="I9761" i="3"/>
  <c r="H9680" i="3"/>
  <c r="I9680" i="3"/>
  <c r="I10000" i="3"/>
  <c r="I9991" i="3"/>
  <c r="I9979" i="3"/>
  <c r="I9976" i="3"/>
  <c r="I9973" i="3"/>
  <c r="I9964" i="3"/>
  <c r="I9958" i="3"/>
  <c r="I9955" i="3"/>
  <c r="I9940" i="3"/>
  <c r="I9937" i="3"/>
  <c r="I9931" i="3"/>
  <c r="I9925" i="3"/>
  <c r="I9922" i="3"/>
  <c r="I9916" i="3"/>
  <c r="I9907" i="3"/>
  <c r="I9904" i="3"/>
  <c r="I9895" i="3"/>
  <c r="H9881" i="3"/>
  <c r="J9887" i="3"/>
  <c r="H9884" i="3"/>
  <c r="J9851" i="3"/>
  <c r="H9848" i="3"/>
  <c r="J9890" i="3"/>
  <c r="H9887" i="3"/>
  <c r="J9854" i="3"/>
  <c r="H9851" i="3"/>
  <c r="H9821" i="3"/>
  <c r="I9821" i="3"/>
  <c r="H9812" i="3"/>
  <c r="I9812" i="3"/>
  <c r="H9803" i="3"/>
  <c r="I9803" i="3"/>
  <c r="H9794" i="3"/>
  <c r="I9794" i="3"/>
  <c r="H9785" i="3"/>
  <c r="I9785" i="3"/>
  <c r="H9776" i="3"/>
  <c r="I9776" i="3"/>
  <c r="H9767" i="3"/>
  <c r="I9767" i="3"/>
  <c r="H9758" i="3"/>
  <c r="I9758" i="3"/>
  <c r="H9749" i="3"/>
  <c r="I9749" i="3"/>
  <c r="H9740" i="3"/>
  <c r="I9740" i="3"/>
  <c r="H9731" i="3"/>
  <c r="I9731" i="3"/>
  <c r="H9722" i="3"/>
  <c r="I9722" i="3"/>
  <c r="H9713" i="3"/>
  <c r="I9713" i="3"/>
  <c r="H9704" i="3"/>
  <c r="I9704" i="3"/>
  <c r="H9695" i="3"/>
  <c r="I9695" i="3"/>
  <c r="H9686" i="3"/>
  <c r="I9686" i="3"/>
  <c r="H9677" i="3"/>
  <c r="I9677" i="3"/>
  <c r="H9662" i="3"/>
  <c r="I9662" i="3"/>
  <c r="J9662" i="3"/>
  <c r="H9890" i="3"/>
  <c r="J9882" i="3"/>
  <c r="H9854" i="3"/>
  <c r="J9824" i="3"/>
  <c r="J9815" i="3"/>
  <c r="J9806" i="3"/>
  <c r="J9797" i="3"/>
  <c r="J9788" i="3"/>
  <c r="J9779" i="3"/>
  <c r="J9770" i="3"/>
  <c r="J9761" i="3"/>
  <c r="J9752" i="3"/>
  <c r="J9743" i="3"/>
  <c r="J9734" i="3"/>
  <c r="J9725" i="3"/>
  <c r="J9716" i="3"/>
  <c r="J9707" i="3"/>
  <c r="J9698" i="3"/>
  <c r="J9689" i="3"/>
  <c r="J9680" i="3"/>
  <c r="H9656" i="3"/>
  <c r="I9656" i="3"/>
  <c r="J9656" i="3"/>
  <c r="H9650" i="3"/>
  <c r="I9650" i="3"/>
  <c r="J9650" i="3"/>
  <c r="H9644" i="3"/>
  <c r="I9644" i="3"/>
  <c r="J9644" i="3"/>
  <c r="J9860" i="3"/>
  <c r="J9640" i="3"/>
  <c r="I9658" i="3"/>
  <c r="I9655" i="3"/>
  <c r="I9652" i="3"/>
  <c r="I9649" i="3"/>
  <c r="I9646" i="3"/>
  <c r="I9643" i="3"/>
  <c r="I9640" i="3"/>
  <c r="J9582" i="3"/>
  <c r="I9582" i="3"/>
  <c r="D10432" i="3"/>
  <c r="H10432" i="3" s="1"/>
  <c r="D10433" i="3"/>
  <c r="H10433" i="3" s="1"/>
  <c r="D10434" i="3"/>
  <c r="H10434" i="3" s="1"/>
  <c r="I10452" i="3"/>
  <c r="J10451" i="3" l="1"/>
  <c r="J9614" i="3"/>
  <c r="H10451" i="3"/>
  <c r="H9614" i="3"/>
  <c r="J10434" i="3"/>
  <c r="J10433" i="3"/>
  <c r="J10432" i="3"/>
  <c r="I10433" i="3"/>
  <c r="I10434" i="3"/>
  <c r="I10432" i="3"/>
  <c r="I10451" i="3"/>
  <c r="Q52" i="83" l="1"/>
  <c r="Q51" i="83"/>
  <c r="P52" i="83"/>
  <c r="P51" i="83"/>
  <c r="O52" i="83"/>
  <c r="O51" i="83"/>
  <c r="N52" i="83"/>
  <c r="N51" i="83"/>
  <c r="M52" i="83"/>
  <c r="M51" i="83"/>
  <c r="L52" i="83"/>
  <c r="L51" i="83"/>
  <c r="K52" i="83"/>
  <c r="K51" i="83"/>
  <c r="J52" i="83"/>
  <c r="J51" i="83"/>
  <c r="I52" i="83"/>
  <c r="I51" i="83"/>
  <c r="H52" i="83"/>
  <c r="H51" i="83"/>
  <c r="G52" i="83"/>
  <c r="G51" i="83"/>
  <c r="Q18" i="83"/>
  <c r="P18" i="83"/>
  <c r="O18" i="83"/>
  <c r="N18" i="83"/>
  <c r="M18" i="83"/>
  <c r="L18" i="83"/>
  <c r="K18" i="83"/>
  <c r="J18" i="83"/>
  <c r="I18" i="83"/>
  <c r="H18" i="83"/>
  <c r="G18" i="83"/>
  <c r="F18" i="83"/>
  <c r="E18" i="83"/>
  <c r="D18" i="83"/>
  <c r="B20" i="154"/>
  <c r="B20" i="155"/>
  <c r="B20" i="156"/>
  <c r="B20" i="157"/>
  <c r="B20" i="158"/>
  <c r="B20" i="159"/>
  <c r="B20" i="160"/>
  <c r="B20" i="161"/>
  <c r="B20" i="162"/>
  <c r="B20" i="163"/>
  <c r="B20" i="164"/>
  <c r="B20" i="165"/>
  <c r="B20" i="166"/>
  <c r="B20" i="153"/>
  <c r="A1" i="161"/>
  <c r="A1" i="162"/>
  <c r="A1" i="163"/>
  <c r="B20" i="7"/>
  <c r="C18" i="83" s="1"/>
  <c r="Q11" i="117"/>
  <c r="P11" i="117"/>
  <c r="O11" i="117"/>
  <c r="N11" i="117"/>
  <c r="M11" i="117"/>
  <c r="L11" i="117"/>
  <c r="K11" i="117"/>
  <c r="J11" i="117"/>
  <c r="I11" i="117"/>
  <c r="H11" i="117"/>
  <c r="G11" i="117"/>
  <c r="F11" i="117"/>
  <c r="E11" i="117"/>
  <c r="B13" i="177"/>
  <c r="B13" i="180"/>
  <c r="B13" i="179"/>
  <c r="B13" i="176"/>
  <c r="B13" i="175"/>
  <c r="B13" i="174"/>
  <c r="B13" i="173"/>
  <c r="B13" i="172"/>
  <c r="B13" i="171"/>
  <c r="B13" i="170"/>
  <c r="B13" i="169"/>
  <c r="B13" i="102"/>
  <c r="C11" i="117" s="1"/>
  <c r="B13" i="167"/>
  <c r="D11" i="117" s="1"/>
  <c r="B13" i="168"/>
  <c r="E35" i="117"/>
  <c r="G10430" i="3"/>
  <c r="F10430" i="3"/>
  <c r="C10430" i="3"/>
  <c r="B10430" i="3"/>
  <c r="C8731" i="3" l="1"/>
  <c r="C8730" i="3"/>
  <c r="B8731" i="3"/>
  <c r="B8730" i="3"/>
  <c r="F8731" i="3"/>
  <c r="G8731" i="3"/>
  <c r="B27" i="196"/>
  <c r="G27" i="196" s="1"/>
  <c r="B26" i="196"/>
  <c r="B8714" i="3"/>
  <c r="C8714" i="3"/>
  <c r="G8714" i="3"/>
  <c r="F8714" i="3"/>
  <c r="G8730" i="3"/>
  <c r="F8730" i="3"/>
  <c r="D8715" i="3"/>
  <c r="J8715" i="3" s="1"/>
  <c r="G8715" i="3"/>
  <c r="F8715" i="3"/>
  <c r="C8715" i="3"/>
  <c r="B8715" i="3"/>
  <c r="G8716" i="3"/>
  <c r="F8716" i="3"/>
  <c r="C8716" i="3"/>
  <c r="B8716" i="3"/>
  <c r="C8713" i="3"/>
  <c r="B8713" i="3"/>
  <c r="G8713" i="3"/>
  <c r="F8713" i="3"/>
  <c r="B8729" i="3"/>
  <c r="C8729" i="3"/>
  <c r="F8729" i="3"/>
  <c r="G8729" i="3"/>
  <c r="B8726" i="3"/>
  <c r="C8726" i="3"/>
  <c r="B8727" i="3"/>
  <c r="C8727" i="3"/>
  <c r="B8728" i="3"/>
  <c r="C8728" i="3"/>
  <c r="B8725" i="3"/>
  <c r="C8725" i="3"/>
  <c r="C8722" i="3"/>
  <c r="C8723" i="3"/>
  <c r="C8724" i="3"/>
  <c r="C8721" i="3"/>
  <c r="B8722" i="3"/>
  <c r="B8723" i="3"/>
  <c r="B8724" i="3"/>
  <c r="B8721" i="3"/>
  <c r="G8724" i="3"/>
  <c r="F8724" i="3"/>
  <c r="G8723" i="3"/>
  <c r="F8723" i="3"/>
  <c r="G8722" i="3"/>
  <c r="F8722" i="3"/>
  <c r="G8721" i="3"/>
  <c r="F8721" i="3"/>
  <c r="C8718" i="3"/>
  <c r="C8719" i="3"/>
  <c r="C8720" i="3"/>
  <c r="C8717" i="3"/>
  <c r="B8718" i="3"/>
  <c r="B8719" i="3"/>
  <c r="B8720" i="3"/>
  <c r="B8717" i="3"/>
  <c r="C8712" i="3"/>
  <c r="C8711" i="3"/>
  <c r="C24" i="196"/>
  <c r="B19" i="196"/>
  <c r="G19" i="196" s="1"/>
  <c r="G8711" i="3"/>
  <c r="F8711" i="3"/>
  <c r="F8712" i="3"/>
  <c r="G8712" i="3"/>
  <c r="B17" i="196"/>
  <c r="B8708" i="3"/>
  <c r="B8709" i="3"/>
  <c r="B8710" i="3"/>
  <c r="B8707" i="3"/>
  <c r="B8704" i="3"/>
  <c r="B8705" i="3"/>
  <c r="B8706" i="3"/>
  <c r="B8703" i="3"/>
  <c r="C8704" i="3"/>
  <c r="C8705" i="3"/>
  <c r="C8706" i="3"/>
  <c r="C8707" i="3"/>
  <c r="C8708" i="3"/>
  <c r="C8709" i="3"/>
  <c r="C8710" i="3"/>
  <c r="C8703" i="3"/>
  <c r="G8710" i="3"/>
  <c r="F8710" i="3"/>
  <c r="G8709" i="3"/>
  <c r="F8709" i="3"/>
  <c r="G8708" i="3"/>
  <c r="F8708" i="3"/>
  <c r="G8707" i="3"/>
  <c r="F8707" i="3"/>
  <c r="G8706" i="3"/>
  <c r="F8706" i="3"/>
  <c r="G8705" i="3"/>
  <c r="F8705" i="3"/>
  <c r="G8704" i="3"/>
  <c r="F8704" i="3"/>
  <c r="G8703" i="3"/>
  <c r="F8703" i="3"/>
  <c r="B8700" i="3"/>
  <c r="B8701" i="3"/>
  <c r="B8702" i="3"/>
  <c r="B8699" i="3"/>
  <c r="B8696" i="3"/>
  <c r="B8697" i="3"/>
  <c r="B8698" i="3"/>
  <c r="B8695" i="3"/>
  <c r="C8696" i="3"/>
  <c r="C8697" i="3"/>
  <c r="C8698" i="3"/>
  <c r="C8699" i="3"/>
  <c r="C8700" i="3"/>
  <c r="C8701" i="3"/>
  <c r="C8702" i="3"/>
  <c r="C8695" i="3"/>
  <c r="G8702" i="3"/>
  <c r="F8702" i="3"/>
  <c r="G8701" i="3"/>
  <c r="F8701" i="3"/>
  <c r="G8700" i="3"/>
  <c r="F8700" i="3"/>
  <c r="G8699" i="3"/>
  <c r="F8699" i="3"/>
  <c r="G8698" i="3"/>
  <c r="F8698" i="3"/>
  <c r="G8697" i="3"/>
  <c r="F8697" i="3"/>
  <c r="G8696" i="3"/>
  <c r="F8696" i="3"/>
  <c r="G8695" i="3"/>
  <c r="F8695" i="3"/>
  <c r="B8692" i="3"/>
  <c r="B8693" i="3"/>
  <c r="B8694" i="3"/>
  <c r="B8691" i="3"/>
  <c r="B8688" i="3"/>
  <c r="B8689" i="3"/>
  <c r="B8690" i="3"/>
  <c r="B8687" i="3"/>
  <c r="C8688" i="3"/>
  <c r="C8689" i="3"/>
  <c r="C8690" i="3"/>
  <c r="C8691" i="3"/>
  <c r="C8692" i="3"/>
  <c r="C8693" i="3"/>
  <c r="C8694" i="3"/>
  <c r="C8687" i="3"/>
  <c r="G8694" i="3"/>
  <c r="F8694" i="3"/>
  <c r="G8693" i="3"/>
  <c r="F8693" i="3"/>
  <c r="G8692" i="3"/>
  <c r="F8692" i="3"/>
  <c r="G8691" i="3"/>
  <c r="F8691" i="3"/>
  <c r="G8690" i="3"/>
  <c r="F8690" i="3"/>
  <c r="G8689" i="3"/>
  <c r="F8689" i="3"/>
  <c r="G8688" i="3"/>
  <c r="F8688" i="3"/>
  <c r="G8687" i="3"/>
  <c r="F8687" i="3"/>
  <c r="B8684" i="3"/>
  <c r="B8685" i="3"/>
  <c r="B8686" i="3"/>
  <c r="B8683" i="3"/>
  <c r="B8680" i="3"/>
  <c r="B8681" i="3"/>
  <c r="B8682" i="3"/>
  <c r="B8679" i="3"/>
  <c r="C8680" i="3"/>
  <c r="C8681" i="3"/>
  <c r="C8682" i="3"/>
  <c r="C8683" i="3"/>
  <c r="C8684" i="3"/>
  <c r="C8685" i="3"/>
  <c r="C8686" i="3"/>
  <c r="C8679" i="3"/>
  <c r="B8676" i="3"/>
  <c r="B8677" i="3"/>
  <c r="B8678" i="3"/>
  <c r="B8675" i="3"/>
  <c r="B8672" i="3"/>
  <c r="B8673" i="3"/>
  <c r="B8674" i="3"/>
  <c r="B8671" i="3"/>
  <c r="C8672" i="3"/>
  <c r="C8673" i="3"/>
  <c r="C8674" i="3"/>
  <c r="C8675" i="3"/>
  <c r="C8676" i="3"/>
  <c r="C8677" i="3"/>
  <c r="C8678" i="3"/>
  <c r="C8671" i="3"/>
  <c r="C8667" i="3"/>
  <c r="C8668" i="3"/>
  <c r="C8669" i="3"/>
  <c r="C8670" i="3"/>
  <c r="B8668" i="3"/>
  <c r="B8669" i="3"/>
  <c r="B8670" i="3"/>
  <c r="B8667" i="3"/>
  <c r="B8664" i="3"/>
  <c r="B8665" i="3"/>
  <c r="B8666" i="3"/>
  <c r="B8663" i="3"/>
  <c r="C8664" i="3"/>
  <c r="C8665" i="3"/>
  <c r="C8666" i="3"/>
  <c r="C8663" i="3"/>
  <c r="G8678" i="3"/>
  <c r="F8678" i="3"/>
  <c r="G8677" i="3"/>
  <c r="F8677" i="3"/>
  <c r="G8676" i="3"/>
  <c r="F8676" i="3"/>
  <c r="G8675" i="3"/>
  <c r="F8675" i="3"/>
  <c r="G8674" i="3"/>
  <c r="F8674" i="3"/>
  <c r="G8673" i="3"/>
  <c r="F8673" i="3"/>
  <c r="G8672" i="3"/>
  <c r="F8672" i="3"/>
  <c r="G8671" i="3"/>
  <c r="F8671" i="3"/>
  <c r="G8670" i="3"/>
  <c r="F8670" i="3"/>
  <c r="G8669" i="3"/>
  <c r="F8669" i="3"/>
  <c r="G8668" i="3"/>
  <c r="F8668" i="3"/>
  <c r="G8667" i="3"/>
  <c r="F8667" i="3"/>
  <c r="G8666" i="3"/>
  <c r="F8666" i="3"/>
  <c r="G8665" i="3"/>
  <c r="F8665" i="3"/>
  <c r="G8664" i="3"/>
  <c r="F8664" i="3"/>
  <c r="G8663" i="3"/>
  <c r="F8663" i="3"/>
  <c r="G8686" i="3"/>
  <c r="F8686" i="3"/>
  <c r="G8685" i="3"/>
  <c r="F8685" i="3"/>
  <c r="G8684" i="3"/>
  <c r="F8684" i="3"/>
  <c r="G8683" i="3"/>
  <c r="F8683" i="3"/>
  <c r="G8682" i="3"/>
  <c r="F8682" i="3"/>
  <c r="G8681" i="3"/>
  <c r="F8681" i="3"/>
  <c r="G8680" i="3"/>
  <c r="F8680" i="3"/>
  <c r="G8679" i="3"/>
  <c r="F8679" i="3"/>
  <c r="G8720" i="3"/>
  <c r="F8720" i="3"/>
  <c r="G8719" i="3"/>
  <c r="F8719" i="3"/>
  <c r="G8718" i="3"/>
  <c r="F8718" i="3"/>
  <c r="G8717" i="3"/>
  <c r="F8717" i="3"/>
  <c r="B6" i="196"/>
  <c r="B14" i="196" s="1"/>
  <c r="D8657" i="3" s="1"/>
  <c r="D8661" i="3"/>
  <c r="G8658" i="3"/>
  <c r="F8658" i="3"/>
  <c r="C8658" i="3"/>
  <c r="B8658" i="3"/>
  <c r="C8660" i="3"/>
  <c r="C8661" i="3"/>
  <c r="C8662" i="3"/>
  <c r="C8659" i="3"/>
  <c r="B8660" i="3"/>
  <c r="B8661" i="3"/>
  <c r="B8662" i="3"/>
  <c r="B8659" i="3"/>
  <c r="B8657" i="3"/>
  <c r="C8657" i="3"/>
  <c r="B8656" i="3"/>
  <c r="C8656" i="3"/>
  <c r="B8655" i="3"/>
  <c r="C8655" i="3"/>
  <c r="B8654" i="3"/>
  <c r="C8654" i="3"/>
  <c r="B8653" i="3"/>
  <c r="C8653" i="3"/>
  <c r="B8652" i="3"/>
  <c r="C8652" i="3"/>
  <c r="B9" i="196"/>
  <c r="B10" i="196"/>
  <c r="D8646" i="3" s="1"/>
  <c r="J8646" i="3" s="1"/>
  <c r="C8651" i="3"/>
  <c r="B8651" i="3"/>
  <c r="G8651" i="3"/>
  <c r="F8651" i="3"/>
  <c r="D8650" i="3"/>
  <c r="J8650" i="3" s="1"/>
  <c r="B8" i="196"/>
  <c r="C8649" i="3"/>
  <c r="C8650" i="3"/>
  <c r="C8648" i="3"/>
  <c r="B8649" i="3"/>
  <c r="B8650" i="3"/>
  <c r="B8648" i="3"/>
  <c r="G8650" i="3"/>
  <c r="F8650" i="3"/>
  <c r="G8649" i="3"/>
  <c r="F8649" i="3"/>
  <c r="G8648" i="3"/>
  <c r="F8648" i="3"/>
  <c r="G8644" i="3"/>
  <c r="F8644" i="3"/>
  <c r="B8644" i="3"/>
  <c r="C8644" i="3"/>
  <c r="B8640" i="3"/>
  <c r="C8640" i="3"/>
  <c r="G8640" i="3"/>
  <c r="F8640" i="3"/>
  <c r="B8636" i="3"/>
  <c r="C8636" i="3"/>
  <c r="F8636" i="3"/>
  <c r="G8636" i="3"/>
  <c r="C8646" i="3"/>
  <c r="C8647" i="3"/>
  <c r="C8645" i="3"/>
  <c r="B8646" i="3"/>
  <c r="B8647" i="3"/>
  <c r="B8645" i="3"/>
  <c r="G8647" i="3"/>
  <c r="F8647" i="3"/>
  <c r="G8646" i="3"/>
  <c r="F8646" i="3"/>
  <c r="G8645" i="3"/>
  <c r="F8645" i="3"/>
  <c r="C8642" i="3"/>
  <c r="C8643" i="3"/>
  <c r="C8641" i="3"/>
  <c r="B8642" i="3"/>
  <c r="B8643" i="3"/>
  <c r="B8641" i="3"/>
  <c r="G8643" i="3"/>
  <c r="F8643" i="3"/>
  <c r="G8642" i="3"/>
  <c r="F8642" i="3"/>
  <c r="G8641" i="3"/>
  <c r="F8641" i="3"/>
  <c r="C8638" i="3"/>
  <c r="C8639" i="3"/>
  <c r="C8637" i="3"/>
  <c r="B8638" i="3"/>
  <c r="B8639" i="3"/>
  <c r="B8637" i="3"/>
  <c r="G8639" i="3"/>
  <c r="F8639" i="3"/>
  <c r="G8638" i="3"/>
  <c r="F8638" i="3"/>
  <c r="G8637" i="3"/>
  <c r="F8637" i="3"/>
  <c r="C8634" i="3"/>
  <c r="C8635" i="3"/>
  <c r="C8633" i="3"/>
  <c r="G8635" i="3"/>
  <c r="F8635" i="3"/>
  <c r="B8635" i="3"/>
  <c r="G8634" i="3"/>
  <c r="F8634" i="3"/>
  <c r="B8634" i="3"/>
  <c r="G8633" i="3"/>
  <c r="F8633" i="3"/>
  <c r="B8633" i="3"/>
  <c r="B23" i="196"/>
  <c r="G23" i="196" s="1"/>
  <c r="B22" i="196"/>
  <c r="G22" i="196" s="1"/>
  <c r="B21" i="196"/>
  <c r="G21" i="196" s="1"/>
  <c r="B20" i="196"/>
  <c r="G20" i="196" s="1"/>
  <c r="B29" i="196"/>
  <c r="G29" i="196" s="1"/>
  <c r="B28" i="196"/>
  <c r="G28" i="196" s="1"/>
  <c r="D8666" i="3" a="1"/>
  <c r="D8728" i="3" a="1"/>
  <c r="D8701" i="3" a="1"/>
  <c r="D8654" i="3" a="1"/>
  <c r="D8665" i="3" a="1"/>
  <c r="D8694" i="3" a="1"/>
  <c r="D8719" i="3" a="1"/>
  <c r="D8725" i="3" a="1"/>
  <c r="D8723" i="3" a="1"/>
  <c r="D8721" i="3" a="1"/>
  <c r="D8664" i="3" a="1"/>
  <c r="D8689" i="3" a="1"/>
  <c r="D8669" i="3" a="1"/>
  <c r="D8678" i="3" a="1"/>
  <c r="D8693" i="3" a="1"/>
  <c r="D8717" i="3" a="1"/>
  <c r="D8708" i="3" a="1"/>
  <c r="D8702" i="3" a="1"/>
  <c r="D8704" i="3" a="1"/>
  <c r="D8720" i="3" a="1"/>
  <c r="D8709" i="3" a="1"/>
  <c r="D8676" i="3" a="1"/>
  <c r="D8695" i="3" a="1"/>
  <c r="D8674" i="3" a="1"/>
  <c r="D8718" i="3" a="1"/>
  <c r="D8707" i="3" a="1"/>
  <c r="D8688" i="3" a="1"/>
  <c r="D8655" i="3" a="1"/>
  <c r="D8685" i="3" a="1"/>
  <c r="D8671" i="3" a="1"/>
  <c r="D8696" i="3" a="1"/>
  <c r="D8682" i="3" a="1"/>
  <c r="D8677" i="3" a="1"/>
  <c r="D8726" i="3" a="1"/>
  <c r="D8672" i="3" a="1"/>
  <c r="D8691" i="3" a="1"/>
  <c r="D8724" i="3" a="1"/>
  <c r="D8670" i="3" a="1"/>
  <c r="D8705" i="3" a="1"/>
  <c r="D8683" i="3" a="1"/>
  <c r="D8673" i="3" a="1"/>
  <c r="D8690" i="3" a="1"/>
  <c r="D8699" i="3" a="1"/>
  <c r="D8667" i="3" a="1"/>
  <c r="D8681" i="3" a="1"/>
  <c r="D8700" i="3" a="1"/>
  <c r="D8680" i="3" a="1"/>
  <c r="D8663" i="3" a="1"/>
  <c r="D8668" i="3" a="1"/>
  <c r="D8697" i="3" a="1"/>
  <c r="D8679" i="3" a="1"/>
  <c r="D8692" i="3" a="1"/>
  <c r="D8656" i="3" a="1"/>
  <c r="D8710" i="3" a="1"/>
  <c r="D8727" i="3" a="1"/>
  <c r="D8703" i="3" a="1"/>
  <c r="D8698" i="3" a="1"/>
  <c r="D8687" i="3" a="1"/>
  <c r="D8684" i="3" a="1"/>
  <c r="D8722" i="3" a="1"/>
  <c r="D8706" i="3" a="1"/>
  <c r="D8686" i="3" a="1"/>
  <c r="D8675" i="3" a="1"/>
  <c r="D8652" i="3" l="1"/>
  <c r="D8714" i="3"/>
  <c r="J8714" i="3" s="1"/>
  <c r="G26" i="196"/>
  <c r="D8716" i="3"/>
  <c r="J8716" i="3" s="1"/>
  <c r="H8715" i="3"/>
  <c r="D8713" i="3"/>
  <c r="D8725" i="3"/>
  <c r="J8725" i="3" s="1"/>
  <c r="D8726" i="3"/>
  <c r="J8726" i="3" s="1"/>
  <c r="D8727" i="3"/>
  <c r="I8727" i="3" s="1"/>
  <c r="D8728" i="3"/>
  <c r="J8728" i="3" s="1"/>
  <c r="D8721" i="3"/>
  <c r="D8717" i="3"/>
  <c r="H8717" i="3" s="1"/>
  <c r="D8643" i="3"/>
  <c r="J8643" i="3" s="1"/>
  <c r="D8724" i="3"/>
  <c r="D8723" i="3"/>
  <c r="D8722" i="3"/>
  <c r="D8718" i="3"/>
  <c r="H8718" i="3" s="1"/>
  <c r="D8719" i="3"/>
  <c r="H8719" i="3" s="1"/>
  <c r="D8720" i="3"/>
  <c r="H8720" i="3" s="1"/>
  <c r="G17" i="196"/>
  <c r="B24" i="196"/>
  <c r="D8711" i="3" s="1"/>
  <c r="J8711" i="3" s="1"/>
  <c r="D8635" i="3"/>
  <c r="H8635" i="3" s="1"/>
  <c r="D8651" i="3"/>
  <c r="D8653" i="3"/>
  <c r="J8653" i="3" s="1"/>
  <c r="D8707" i="3"/>
  <c r="H8707" i="3" s="1"/>
  <c r="D8708" i="3"/>
  <c r="H8708" i="3" s="1"/>
  <c r="D8709" i="3"/>
  <c r="H8709" i="3" s="1"/>
  <c r="D8710" i="3"/>
  <c r="H8710" i="3" s="1"/>
  <c r="D8704" i="3"/>
  <c r="H8704" i="3" s="1"/>
  <c r="D8703" i="3"/>
  <c r="H8703" i="3" s="1"/>
  <c r="D8705" i="3"/>
  <c r="D8706" i="3"/>
  <c r="D8699" i="3"/>
  <c r="H8699" i="3" s="1"/>
  <c r="D8700" i="3"/>
  <c r="H8700" i="3" s="1"/>
  <c r="D8701" i="3"/>
  <c r="H8701" i="3" s="1"/>
  <c r="D8702" i="3"/>
  <c r="H8702" i="3" s="1"/>
  <c r="D8695" i="3"/>
  <c r="H8695" i="3" s="1"/>
  <c r="D8696" i="3"/>
  <c r="D8697" i="3"/>
  <c r="D8698" i="3"/>
  <c r="H8698" i="3" s="1"/>
  <c r="D8691" i="3"/>
  <c r="H8691" i="3" s="1"/>
  <c r="D8692" i="3"/>
  <c r="H8692" i="3" s="1"/>
  <c r="D8693" i="3"/>
  <c r="H8693" i="3" s="1"/>
  <c r="D8694" i="3"/>
  <c r="H8694" i="3" s="1"/>
  <c r="D8687" i="3"/>
  <c r="H8687" i="3" s="1"/>
  <c r="D8688" i="3"/>
  <c r="H8688" i="3" s="1"/>
  <c r="D8689" i="3"/>
  <c r="H8689" i="3" s="1"/>
  <c r="D8690" i="3"/>
  <c r="H8690" i="3" s="1"/>
  <c r="D8683" i="3"/>
  <c r="H8683" i="3" s="1"/>
  <c r="D8684" i="3"/>
  <c r="H8684" i="3" s="1"/>
  <c r="D8685" i="3"/>
  <c r="H8685" i="3" s="1"/>
  <c r="D8686" i="3"/>
  <c r="H8686" i="3" s="1"/>
  <c r="D8679" i="3"/>
  <c r="H8679" i="3" s="1"/>
  <c r="D8680" i="3"/>
  <c r="D8681" i="3"/>
  <c r="H8681" i="3" s="1"/>
  <c r="D8682" i="3"/>
  <c r="H8682" i="3" s="1"/>
  <c r="D8675" i="3"/>
  <c r="H8675" i="3" s="1"/>
  <c r="D8676" i="3"/>
  <c r="H8676" i="3" s="1"/>
  <c r="D8677" i="3"/>
  <c r="H8677" i="3" s="1"/>
  <c r="D8678" i="3"/>
  <c r="H8678" i="3" s="1"/>
  <c r="D8671" i="3"/>
  <c r="H8671" i="3" s="1"/>
  <c r="D8663" i="3"/>
  <c r="H8663" i="3" s="1"/>
  <c r="D8667" i="3"/>
  <c r="H8667" i="3" s="1"/>
  <c r="D8672" i="3"/>
  <c r="H8672" i="3" s="1"/>
  <c r="D8673" i="3"/>
  <c r="H8673" i="3" s="1"/>
  <c r="D8674" i="3"/>
  <c r="H8674" i="3" s="1"/>
  <c r="D8668" i="3"/>
  <c r="H8668" i="3" s="1"/>
  <c r="D8669" i="3"/>
  <c r="H8669" i="3" s="1"/>
  <c r="D8670" i="3"/>
  <c r="H8670" i="3" s="1"/>
  <c r="D8664" i="3"/>
  <c r="H8664" i="3" s="1"/>
  <c r="D8665" i="3"/>
  <c r="H8665" i="3" s="1"/>
  <c r="D8666" i="3"/>
  <c r="H8666" i="3" s="1"/>
  <c r="D8662" i="3"/>
  <c r="J8662" i="3" s="1"/>
  <c r="D8660" i="3"/>
  <c r="J8660" i="3" s="1"/>
  <c r="D8659" i="3"/>
  <c r="J8659" i="3" s="1"/>
  <c r="D8658" i="3"/>
  <c r="J8658" i="3" s="1"/>
  <c r="G14" i="196"/>
  <c r="D8647" i="3"/>
  <c r="J8647" i="3" s="1"/>
  <c r="D8654" i="3"/>
  <c r="J8654" i="3" s="1"/>
  <c r="D8655" i="3"/>
  <c r="J8655" i="3" s="1"/>
  <c r="D8656" i="3"/>
  <c r="J8656" i="3" s="1"/>
  <c r="D8642" i="3"/>
  <c r="J8642" i="3" s="1"/>
  <c r="J8651" i="3"/>
  <c r="D8644" i="3"/>
  <c r="J8644" i="3" s="1"/>
  <c r="D8641" i="3"/>
  <c r="H8641" i="3" s="1"/>
  <c r="D8636" i="3"/>
  <c r="J8636" i="3" s="1"/>
  <c r="D8640" i="3"/>
  <c r="J8640" i="3" s="1"/>
  <c r="D8645" i="3"/>
  <c r="H8645" i="3" s="1"/>
  <c r="D8648" i="3"/>
  <c r="D8649" i="3"/>
  <c r="J8649" i="3" s="1"/>
  <c r="D8637" i="3"/>
  <c r="I8637" i="3" s="1"/>
  <c r="D8638" i="3"/>
  <c r="J8638" i="3" s="1"/>
  <c r="D8639" i="3"/>
  <c r="J8639" i="3" s="1"/>
  <c r="I8650" i="3"/>
  <c r="H8650" i="3"/>
  <c r="B30" i="196"/>
  <c r="B31" i="196" s="1"/>
  <c r="D8731" i="3" s="1"/>
  <c r="I8731" i="3" s="1"/>
  <c r="B7946" i="3"/>
  <c r="B7947" i="3"/>
  <c r="B7948" i="3"/>
  <c r="B7949" i="3"/>
  <c r="B7950" i="3"/>
  <c r="B7951" i="3"/>
  <c r="B7952" i="3"/>
  <c r="B7953" i="3"/>
  <c r="B7954" i="3"/>
  <c r="B7955" i="3"/>
  <c r="B7956" i="3"/>
  <c r="B7957" i="3"/>
  <c r="B7958" i="3"/>
  <c r="B7959" i="3"/>
  <c r="B7960" i="3"/>
  <c r="B7961" i="3"/>
  <c r="B7962" i="3"/>
  <c r="B7963" i="3"/>
  <c r="B7964" i="3"/>
  <c r="B7965" i="3"/>
  <c r="B7966" i="3"/>
  <c r="B7967" i="3"/>
  <c r="B7968" i="3"/>
  <c r="B7969" i="3"/>
  <c r="B7970" i="3"/>
  <c r="B7971" i="3"/>
  <c r="B7972" i="3"/>
  <c r="B7973" i="3"/>
  <c r="B7974" i="3"/>
  <c r="B7945" i="3"/>
  <c r="C7946" i="3"/>
  <c r="C7947" i="3"/>
  <c r="C7948" i="3"/>
  <c r="C7949" i="3"/>
  <c r="C7950" i="3"/>
  <c r="C7951" i="3"/>
  <c r="C7952" i="3"/>
  <c r="C7953" i="3"/>
  <c r="C7954" i="3"/>
  <c r="C7955" i="3"/>
  <c r="C7956" i="3"/>
  <c r="C7957" i="3"/>
  <c r="C7958" i="3"/>
  <c r="C7959" i="3"/>
  <c r="C7960" i="3"/>
  <c r="C7961" i="3"/>
  <c r="C7962" i="3"/>
  <c r="C7963" i="3"/>
  <c r="C7964" i="3"/>
  <c r="C7965" i="3"/>
  <c r="C7966" i="3"/>
  <c r="C7967" i="3"/>
  <c r="C7968" i="3"/>
  <c r="C7969" i="3"/>
  <c r="C7970" i="3"/>
  <c r="C7971" i="3"/>
  <c r="C7972" i="3"/>
  <c r="C7973" i="3"/>
  <c r="C7974" i="3"/>
  <c r="C7945" i="3"/>
  <c r="G7974" i="3"/>
  <c r="F7974" i="3"/>
  <c r="G7973" i="3"/>
  <c r="F7973" i="3"/>
  <c r="G7972" i="3"/>
  <c r="F7972" i="3"/>
  <c r="G7971" i="3"/>
  <c r="F7971" i="3"/>
  <c r="G7970" i="3"/>
  <c r="F7970" i="3"/>
  <c r="G7969" i="3"/>
  <c r="F7969" i="3"/>
  <c r="G7968" i="3"/>
  <c r="F7968" i="3"/>
  <c r="G7967" i="3"/>
  <c r="F7967" i="3"/>
  <c r="G7966" i="3"/>
  <c r="F7966" i="3"/>
  <c r="G7965" i="3"/>
  <c r="F7965" i="3"/>
  <c r="G7964" i="3"/>
  <c r="F7964" i="3"/>
  <c r="G7963" i="3"/>
  <c r="F7963" i="3"/>
  <c r="G7962" i="3"/>
  <c r="F7962" i="3"/>
  <c r="G7961" i="3"/>
  <c r="F7961" i="3"/>
  <c r="G7960" i="3"/>
  <c r="F7960" i="3"/>
  <c r="G7959" i="3"/>
  <c r="F7959" i="3"/>
  <c r="G7958" i="3"/>
  <c r="F7958" i="3"/>
  <c r="G7957" i="3"/>
  <c r="F7957" i="3"/>
  <c r="G7956" i="3"/>
  <c r="F7956" i="3"/>
  <c r="G7955" i="3"/>
  <c r="F7955" i="3"/>
  <c r="G7954" i="3"/>
  <c r="F7954" i="3"/>
  <c r="G7953" i="3"/>
  <c r="F7953" i="3"/>
  <c r="G7952" i="3"/>
  <c r="F7952" i="3"/>
  <c r="G7951" i="3"/>
  <c r="F7951" i="3"/>
  <c r="G7950" i="3"/>
  <c r="F7950" i="3"/>
  <c r="G7949" i="3"/>
  <c r="F7949" i="3"/>
  <c r="G7948" i="3"/>
  <c r="F7948" i="3"/>
  <c r="G7947" i="3"/>
  <c r="F7947" i="3"/>
  <c r="G7946" i="3"/>
  <c r="F7946" i="3"/>
  <c r="G7945" i="3"/>
  <c r="F7945" i="3"/>
  <c r="C10454" i="3"/>
  <c r="C10453" i="3"/>
  <c r="B10454" i="3"/>
  <c r="B10453" i="3"/>
  <c r="G10454" i="3"/>
  <c r="F10454" i="3"/>
  <c r="G10453" i="3"/>
  <c r="F10453" i="3"/>
  <c r="C9580" i="3"/>
  <c r="C9579" i="3"/>
  <c r="B9580" i="3"/>
  <c r="B9579" i="3"/>
  <c r="G9580" i="3"/>
  <c r="F9580" i="3"/>
  <c r="G9579" i="3"/>
  <c r="F9579" i="3"/>
  <c r="C8733" i="3"/>
  <c r="C8732" i="3"/>
  <c r="B8733" i="3"/>
  <c r="B8732" i="3"/>
  <c r="G8733" i="3"/>
  <c r="F8733" i="3"/>
  <c r="G8732" i="3"/>
  <c r="F8732" i="3"/>
  <c r="C8632" i="3"/>
  <c r="C8631" i="3"/>
  <c r="B8632" i="3"/>
  <c r="B8631" i="3"/>
  <c r="G8632" i="3"/>
  <c r="F8632" i="3"/>
  <c r="G8631" i="3"/>
  <c r="F8631" i="3"/>
  <c r="C8622" i="3"/>
  <c r="C8621" i="3"/>
  <c r="B8622" i="3"/>
  <c r="B8621" i="3"/>
  <c r="G8622" i="3"/>
  <c r="F8622" i="3"/>
  <c r="G8621" i="3"/>
  <c r="F8621" i="3"/>
  <c r="C8591" i="3"/>
  <c r="C8590" i="3"/>
  <c r="B8591" i="3"/>
  <c r="B8590" i="3"/>
  <c r="B8532" i="3"/>
  <c r="B8531" i="3"/>
  <c r="G8591" i="3"/>
  <c r="F8591" i="3"/>
  <c r="G8590" i="3"/>
  <c r="F8590" i="3"/>
  <c r="C8532" i="3"/>
  <c r="C8531" i="3"/>
  <c r="C8522" i="3"/>
  <c r="C8521" i="3"/>
  <c r="B8522" i="3"/>
  <c r="B8521" i="3"/>
  <c r="G8522" i="3"/>
  <c r="F8522" i="3"/>
  <c r="G8521" i="3"/>
  <c r="F8521" i="3"/>
  <c r="C8486" i="3"/>
  <c r="C8485" i="3"/>
  <c r="B8486" i="3"/>
  <c r="B8485" i="3"/>
  <c r="G8486" i="3"/>
  <c r="F8486" i="3"/>
  <c r="G8485" i="3"/>
  <c r="F8485" i="3"/>
  <c r="C8114" i="3"/>
  <c r="C8113" i="3"/>
  <c r="B8114" i="3"/>
  <c r="B8113" i="3"/>
  <c r="G8114" i="3"/>
  <c r="F8114" i="3"/>
  <c r="G8113" i="3"/>
  <c r="F8113" i="3"/>
  <c r="C8019" i="3"/>
  <c r="C8018" i="3"/>
  <c r="B8019" i="3"/>
  <c r="B8018" i="3"/>
  <c r="G8019" i="3"/>
  <c r="F8019" i="3"/>
  <c r="G8018" i="3"/>
  <c r="F8018" i="3"/>
  <c r="C7059" i="3"/>
  <c r="C7058" i="3"/>
  <c r="B7059" i="3"/>
  <c r="B7058" i="3"/>
  <c r="G7059" i="3"/>
  <c r="F7059" i="3"/>
  <c r="G7058" i="3"/>
  <c r="F7058" i="3"/>
  <c r="C4652" i="3"/>
  <c r="C4651" i="3"/>
  <c r="B4652" i="3"/>
  <c r="B4651" i="3"/>
  <c r="G4652" i="3"/>
  <c r="F4652" i="3"/>
  <c r="G4651" i="3"/>
  <c r="F4651" i="3"/>
  <c r="C2935" i="3"/>
  <c r="C2934" i="3"/>
  <c r="B2935" i="3"/>
  <c r="B2934" i="3"/>
  <c r="G2935" i="3"/>
  <c r="F2935" i="3"/>
  <c r="G2934" i="3"/>
  <c r="F2934" i="3"/>
  <c r="C153" i="3"/>
  <c r="C152" i="3"/>
  <c r="B153" i="3"/>
  <c r="B152" i="3"/>
  <c r="G153" i="3"/>
  <c r="F153" i="3"/>
  <c r="G152" i="3"/>
  <c r="F152" i="3"/>
  <c r="C146" i="3"/>
  <c r="C145" i="3"/>
  <c r="B146" i="3"/>
  <c r="B145" i="3"/>
  <c r="G146" i="3"/>
  <c r="F146" i="3"/>
  <c r="G145" i="3"/>
  <c r="F145" i="3"/>
  <c r="C40" i="3"/>
  <c r="C39" i="3"/>
  <c r="B40" i="3"/>
  <c r="B39" i="3"/>
  <c r="G40" i="3"/>
  <c r="F40" i="3"/>
  <c r="G39" i="3"/>
  <c r="F39" i="3"/>
  <c r="F8652" i="3"/>
  <c r="G8652" i="3"/>
  <c r="J8652" i="3"/>
  <c r="F8653" i="3"/>
  <c r="G8653" i="3"/>
  <c r="F8654" i="3"/>
  <c r="G8654" i="3"/>
  <c r="F8655" i="3"/>
  <c r="G8655" i="3"/>
  <c r="F8656" i="3"/>
  <c r="G8656" i="3"/>
  <c r="F8657" i="3"/>
  <c r="G8657" i="3"/>
  <c r="J8657" i="3"/>
  <c r="F8659" i="3"/>
  <c r="G8659" i="3"/>
  <c r="F8660" i="3"/>
  <c r="G8660" i="3"/>
  <c r="F8661" i="3"/>
  <c r="H8661" i="3" s="1"/>
  <c r="G8661" i="3"/>
  <c r="J8661" i="3"/>
  <c r="F8662" i="3"/>
  <c r="H8662" i="3" s="1"/>
  <c r="G8662" i="3"/>
  <c r="F8725" i="3"/>
  <c r="G8725" i="3"/>
  <c r="F8726" i="3"/>
  <c r="G8726" i="3"/>
  <c r="F8727" i="3"/>
  <c r="G8727" i="3"/>
  <c r="F8728" i="3"/>
  <c r="G8728" i="3"/>
  <c r="C18" i="196"/>
  <c r="C8589" i="3"/>
  <c r="C8588" i="3"/>
  <c r="F8535" i="3"/>
  <c r="G8535" i="3"/>
  <c r="F8536" i="3"/>
  <c r="G8536" i="3"/>
  <c r="F8537" i="3"/>
  <c r="G8537" i="3"/>
  <c r="F8538" i="3"/>
  <c r="G8538" i="3"/>
  <c r="F8539" i="3"/>
  <c r="G8539" i="3"/>
  <c r="F8540" i="3"/>
  <c r="G8540" i="3"/>
  <c r="F8541" i="3"/>
  <c r="G8541" i="3"/>
  <c r="F8542" i="3"/>
  <c r="G8542" i="3"/>
  <c r="F8543" i="3"/>
  <c r="G8543" i="3"/>
  <c r="F8544" i="3"/>
  <c r="G8544" i="3"/>
  <c r="F8545" i="3"/>
  <c r="G8545" i="3"/>
  <c r="F8546" i="3"/>
  <c r="G8546" i="3"/>
  <c r="F8547" i="3"/>
  <c r="G8547" i="3"/>
  <c r="F8548" i="3"/>
  <c r="G8548" i="3"/>
  <c r="F8549" i="3"/>
  <c r="G8549" i="3"/>
  <c r="F8550" i="3"/>
  <c r="G8550" i="3"/>
  <c r="F8551" i="3"/>
  <c r="G8551" i="3"/>
  <c r="F8552" i="3"/>
  <c r="G8552" i="3"/>
  <c r="F8553" i="3"/>
  <c r="G8553" i="3"/>
  <c r="F8554" i="3"/>
  <c r="G8554" i="3"/>
  <c r="F8555" i="3"/>
  <c r="G8555" i="3"/>
  <c r="F8556" i="3"/>
  <c r="G8556" i="3"/>
  <c r="F8557" i="3"/>
  <c r="G8557" i="3"/>
  <c r="F8558" i="3"/>
  <c r="G8558" i="3"/>
  <c r="F8559" i="3"/>
  <c r="G8559" i="3"/>
  <c r="F8560" i="3"/>
  <c r="G8560" i="3"/>
  <c r="F8561" i="3"/>
  <c r="G8561" i="3"/>
  <c r="F8562" i="3"/>
  <c r="G8562" i="3"/>
  <c r="F8563" i="3"/>
  <c r="G8563" i="3"/>
  <c r="F8564" i="3"/>
  <c r="G8564" i="3"/>
  <c r="F8565" i="3"/>
  <c r="G8565" i="3"/>
  <c r="F8566" i="3"/>
  <c r="G8566" i="3"/>
  <c r="F8567" i="3"/>
  <c r="G8567" i="3"/>
  <c r="F8568" i="3"/>
  <c r="G8568" i="3"/>
  <c r="F8569" i="3"/>
  <c r="G8569" i="3"/>
  <c r="F8570" i="3"/>
  <c r="G8570" i="3"/>
  <c r="F8571" i="3"/>
  <c r="G8571" i="3"/>
  <c r="F8572" i="3"/>
  <c r="G8572" i="3"/>
  <c r="F8573" i="3"/>
  <c r="G8573" i="3"/>
  <c r="F8574" i="3"/>
  <c r="G8574" i="3"/>
  <c r="F8575" i="3"/>
  <c r="G8575" i="3"/>
  <c r="F8576" i="3"/>
  <c r="G8576" i="3"/>
  <c r="F8577" i="3"/>
  <c r="G8577" i="3"/>
  <c r="F8578" i="3"/>
  <c r="G8578" i="3"/>
  <c r="F8579" i="3"/>
  <c r="G8579" i="3"/>
  <c r="F8580" i="3"/>
  <c r="G8580" i="3"/>
  <c r="F8581" i="3"/>
  <c r="G8581" i="3"/>
  <c r="F8582" i="3"/>
  <c r="G8582" i="3"/>
  <c r="F8583" i="3"/>
  <c r="G8583" i="3"/>
  <c r="F8584" i="3"/>
  <c r="G8584" i="3"/>
  <c r="F8585" i="3"/>
  <c r="G8585" i="3"/>
  <c r="F8586" i="3"/>
  <c r="G8586" i="3"/>
  <c r="F8587" i="3"/>
  <c r="G8587" i="3"/>
  <c r="F8588" i="3"/>
  <c r="G8588" i="3"/>
  <c r="F8589" i="3"/>
  <c r="G8589" i="3"/>
  <c r="B8589" i="3"/>
  <c r="B8588" i="3"/>
  <c r="C16" i="196"/>
  <c r="C8533" i="3"/>
  <c r="G8533" i="3"/>
  <c r="F8533" i="3"/>
  <c r="C8583" i="3"/>
  <c r="C8584" i="3"/>
  <c r="C8585" i="3"/>
  <c r="C8586" i="3"/>
  <c r="C8587" i="3"/>
  <c r="C8582" i="3"/>
  <c r="C8577" i="3"/>
  <c r="C8578" i="3"/>
  <c r="C8579" i="3"/>
  <c r="C8580" i="3"/>
  <c r="C8581" i="3"/>
  <c r="C8576" i="3"/>
  <c r="B8586" i="3"/>
  <c r="B8587" i="3"/>
  <c r="B8585" i="3"/>
  <c r="B8583" i="3"/>
  <c r="B8584" i="3"/>
  <c r="B8582" i="3"/>
  <c r="B8580" i="3"/>
  <c r="B8581" i="3"/>
  <c r="B8579" i="3"/>
  <c r="B8577" i="3"/>
  <c r="B8578" i="3"/>
  <c r="B8576" i="3"/>
  <c r="B8574" i="3"/>
  <c r="B8575" i="3"/>
  <c r="B8573" i="3"/>
  <c r="B8571" i="3"/>
  <c r="B8572" i="3"/>
  <c r="B8570" i="3"/>
  <c r="C8571" i="3"/>
  <c r="C8572" i="3"/>
  <c r="C8573" i="3"/>
  <c r="C8574" i="3"/>
  <c r="C8575" i="3"/>
  <c r="C8570" i="3"/>
  <c r="C8569" i="3"/>
  <c r="B8568" i="3"/>
  <c r="B8569" i="3"/>
  <c r="B8567" i="3"/>
  <c r="B8565" i="3"/>
  <c r="B8566" i="3"/>
  <c r="B8564" i="3"/>
  <c r="B8562" i="3"/>
  <c r="B8563" i="3"/>
  <c r="B8561" i="3"/>
  <c r="B8559" i="3"/>
  <c r="B8560" i="3"/>
  <c r="B8558" i="3"/>
  <c r="B8556" i="3"/>
  <c r="B8557" i="3"/>
  <c r="B8555" i="3"/>
  <c r="B8553" i="3"/>
  <c r="B8554" i="3"/>
  <c r="B8552" i="3"/>
  <c r="B8550" i="3"/>
  <c r="B8551" i="3"/>
  <c r="B8549" i="3"/>
  <c r="B8547" i="3"/>
  <c r="B8548" i="3"/>
  <c r="B8546" i="3"/>
  <c r="B8544" i="3"/>
  <c r="B8545" i="3"/>
  <c r="B8543" i="3"/>
  <c r="B8538" i="3"/>
  <c r="B8539" i="3"/>
  <c r="B8537" i="3"/>
  <c r="B8541" i="3"/>
  <c r="B8542" i="3"/>
  <c r="B8540" i="3"/>
  <c r="C8567" i="3"/>
  <c r="C8568" i="3"/>
  <c r="C8561" i="3"/>
  <c r="C8562" i="3"/>
  <c r="C8563" i="3"/>
  <c r="C8555" i="3"/>
  <c r="C8556" i="3"/>
  <c r="C8557" i="3"/>
  <c r="C8549" i="3"/>
  <c r="C8550" i="3"/>
  <c r="C8551" i="3"/>
  <c r="C8543" i="3"/>
  <c r="C8544" i="3"/>
  <c r="C8545" i="3"/>
  <c r="C8537" i="3"/>
  <c r="C8538" i="3"/>
  <c r="C8539" i="3"/>
  <c r="C8565" i="3"/>
  <c r="C8566" i="3"/>
  <c r="C8564" i="3"/>
  <c r="C8559" i="3"/>
  <c r="C8560" i="3"/>
  <c r="C8558" i="3"/>
  <c r="C8553" i="3"/>
  <c r="C8554" i="3"/>
  <c r="C8552" i="3"/>
  <c r="C8547" i="3"/>
  <c r="C8548" i="3"/>
  <c r="C8546" i="3"/>
  <c r="C8541" i="3"/>
  <c r="C8542" i="3"/>
  <c r="C8540" i="3"/>
  <c r="B8535" i="3"/>
  <c r="C8535" i="3"/>
  <c r="B8536" i="3"/>
  <c r="C8536" i="3"/>
  <c r="C8534" i="3"/>
  <c r="B8534" i="3"/>
  <c r="H8636" i="3"/>
  <c r="H8646" i="3"/>
  <c r="I8646" i="3"/>
  <c r="H8714" i="3"/>
  <c r="I8714" i="3"/>
  <c r="I8713" i="3"/>
  <c r="H8713" i="3"/>
  <c r="I8659" i="3"/>
  <c r="I8661" i="3"/>
  <c r="H8658" i="3"/>
  <c r="I8658" i="3"/>
  <c r="I8660" i="3"/>
  <c r="I8662" i="3"/>
  <c r="H8660" i="3"/>
  <c r="I8652" i="3"/>
  <c r="H8652" i="3"/>
  <c r="I8644" i="3"/>
  <c r="I8640" i="3"/>
  <c r="I8647" i="3"/>
  <c r="H8647" i="3"/>
  <c r="H8643" i="3"/>
  <c r="I8643" i="3"/>
  <c r="I8653" i="3"/>
  <c r="H8657" i="3"/>
  <c r="I8715" i="3"/>
  <c r="I8648" i="3"/>
  <c r="H8651" i="3"/>
  <c r="I8657" i="3"/>
  <c r="H8648" i="3"/>
  <c r="H8653" i="3"/>
  <c r="I8651" i="3"/>
  <c r="D8550" i="3" a="1"/>
  <c r="D145" i="3" a="1"/>
  <c r="D7949" i="3" a="1"/>
  <c r="D146" i="3" a="1"/>
  <c r="D7971" i="3" a="1"/>
  <c r="D7969" i="3" a="1"/>
  <c r="D8538" i="3" a="1"/>
  <c r="D7964" i="3" a="1"/>
  <c r="D7059" i="3" a="1"/>
  <c r="D7970" i="3" a="1"/>
  <c r="D8486" i="3" a="1"/>
  <c r="D8557" i="3" a="1"/>
  <c r="D8581" i="3" a="1"/>
  <c r="D7957" i="3" a="1"/>
  <c r="D8522" i="3" a="1"/>
  <c r="D8555" i="3" a="1"/>
  <c r="D7965" i="3" a="1"/>
  <c r="D8568" i="3" a="1"/>
  <c r="D9579" i="3" a="1"/>
  <c r="D8632" i="3" a="1"/>
  <c r="D4652" i="3" a="1"/>
  <c r="D8521" i="3" a="1"/>
  <c r="D8544" i="3" a="1"/>
  <c r="D4651" i="3" a="1"/>
  <c r="D8590" i="3" a="1"/>
  <c r="D2934" i="3" a="1"/>
  <c r="D7960" i="3" a="1"/>
  <c r="D8019" i="3" a="1"/>
  <c r="D7951" i="3" a="1"/>
  <c r="D8733" i="3" a="1"/>
  <c r="D7974" i="3" a="1"/>
  <c r="D10453" i="3" a="1"/>
  <c r="D7968" i="3" a="1"/>
  <c r="D8567" i="3" a="1"/>
  <c r="D8561" i="3" a="1"/>
  <c r="D8585" i="3" a="1"/>
  <c r="D8537" i="3" a="1"/>
  <c r="D7972" i="3" a="1"/>
  <c r="D8549" i="3" a="1"/>
  <c r="D8591" i="3" a="1"/>
  <c r="D2935" i="3" a="1"/>
  <c r="D7945" i="3" a="1"/>
  <c r="D8574" i="3" a="1"/>
  <c r="D7058" i="3" a="1"/>
  <c r="D8551" i="3" a="1"/>
  <c r="D8539" i="3" a="1"/>
  <c r="D39" i="3" a="1"/>
  <c r="D8485" i="3" a="1"/>
  <c r="D8543" i="3" a="1"/>
  <c r="D8018" i="3" a="1"/>
  <c r="D8575" i="3" a="1"/>
  <c r="D40" i="3" a="1"/>
  <c r="D7948" i="3" a="1"/>
  <c r="D8573" i="3" a="1"/>
  <c r="D8556" i="3" a="1"/>
  <c r="D8622" i="3" a="1"/>
  <c r="D7973" i="3" a="1"/>
  <c r="D7961" i="3" a="1"/>
  <c r="D8580" i="3" a="1"/>
  <c r="D8732" i="3" a="1"/>
  <c r="D8569" i="3" a="1"/>
  <c r="D8579" i="3" a="1"/>
  <c r="D7958" i="3" a="1"/>
  <c r="D7962" i="3" a="1"/>
  <c r="D9580" i="3" a="1"/>
  <c r="D7963" i="3" a="1"/>
  <c r="D8586" i="3" a="1"/>
  <c r="D10454" i="3" a="1"/>
  <c r="D7956" i="3" a="1"/>
  <c r="D8114" i="3" a="1"/>
  <c r="D7967" i="3" a="1"/>
  <c r="D7955" i="3" a="1"/>
  <c r="D7953" i="3" a="1"/>
  <c r="D8631" i="3" a="1"/>
  <c r="D7959" i="3" a="1"/>
  <c r="D8113" i="3" a="1"/>
  <c r="D8587" i="3" a="1"/>
  <c r="D8563" i="3" a="1"/>
  <c r="D7966" i="3" a="1"/>
  <c r="D7950" i="3" a="1"/>
  <c r="D8545" i="3" a="1"/>
  <c r="D7954" i="3" a="1"/>
  <c r="D7947" i="3" a="1"/>
  <c r="D8621" i="3" a="1"/>
  <c r="D7946" i="3" a="1"/>
  <c r="D7952" i="3" a="1"/>
  <c r="D8562" i="3" a="1"/>
  <c r="D8730" i="3" l="1"/>
  <c r="J8730" i="3" s="1"/>
  <c r="H8731" i="3"/>
  <c r="J8731" i="3"/>
  <c r="I8635" i="3"/>
  <c r="I8725" i="3"/>
  <c r="D8712" i="3"/>
  <c r="I8712" i="3" s="1"/>
  <c r="H8725" i="3"/>
  <c r="H8655" i="3"/>
  <c r="I8655" i="3"/>
  <c r="I8654" i="3"/>
  <c r="H8654" i="3"/>
  <c r="H8656" i="3"/>
  <c r="I8656" i="3"/>
  <c r="G31" i="196"/>
  <c r="I8728" i="3"/>
  <c r="J8635" i="3"/>
  <c r="I8636" i="3"/>
  <c r="H8716" i="3"/>
  <c r="H8727" i="3"/>
  <c r="H8728" i="3"/>
  <c r="J8713" i="3"/>
  <c r="I8726" i="3"/>
  <c r="H8726" i="3"/>
  <c r="G30" i="196"/>
  <c r="D8729" i="3"/>
  <c r="J8727" i="3"/>
  <c r="J8722" i="3"/>
  <c r="I8722" i="3"/>
  <c r="H8722" i="3"/>
  <c r="J8723" i="3"/>
  <c r="H8723" i="3"/>
  <c r="I8723" i="3"/>
  <c r="J8724" i="3"/>
  <c r="I8724" i="3"/>
  <c r="H8724" i="3"/>
  <c r="J8721" i="3"/>
  <c r="J8720" i="3"/>
  <c r="I8720" i="3"/>
  <c r="J8719" i="3"/>
  <c r="I8719" i="3"/>
  <c r="J8718" i="3"/>
  <c r="I8718" i="3"/>
  <c r="J8717" i="3"/>
  <c r="H8637" i="3"/>
  <c r="H8639" i="3"/>
  <c r="I8639" i="3"/>
  <c r="H8649" i="3"/>
  <c r="I8649" i="3"/>
  <c r="J8710" i="3"/>
  <c r="I8710" i="3"/>
  <c r="J8709" i="3"/>
  <c r="I8709" i="3"/>
  <c r="I8708" i="3"/>
  <c r="J8708" i="3"/>
  <c r="J8707" i="3"/>
  <c r="J8706" i="3"/>
  <c r="I8706" i="3"/>
  <c r="H8706" i="3"/>
  <c r="I8705" i="3"/>
  <c r="H8705" i="3"/>
  <c r="J8705" i="3"/>
  <c r="J8703" i="3"/>
  <c r="J8704" i="3"/>
  <c r="I8704" i="3"/>
  <c r="J8702" i="3"/>
  <c r="I8702" i="3"/>
  <c r="J8701" i="3"/>
  <c r="I8701" i="3"/>
  <c r="J8700" i="3"/>
  <c r="I8700" i="3"/>
  <c r="J8699" i="3"/>
  <c r="J8698" i="3"/>
  <c r="I8698" i="3"/>
  <c r="H8697" i="3"/>
  <c r="J8697" i="3"/>
  <c r="I8697" i="3"/>
  <c r="J8696" i="3"/>
  <c r="I8696" i="3"/>
  <c r="H8696" i="3"/>
  <c r="J8695" i="3"/>
  <c r="J8694" i="3"/>
  <c r="I8694" i="3"/>
  <c r="J8693" i="3"/>
  <c r="I8693" i="3"/>
  <c r="J8692" i="3"/>
  <c r="I8692" i="3"/>
  <c r="J8691" i="3"/>
  <c r="I8690" i="3"/>
  <c r="J8690" i="3"/>
  <c r="J8689" i="3"/>
  <c r="I8689" i="3"/>
  <c r="J8688" i="3"/>
  <c r="I8688" i="3"/>
  <c r="J8687" i="3"/>
  <c r="I8686" i="3"/>
  <c r="J8686" i="3"/>
  <c r="J8685" i="3"/>
  <c r="I8685" i="3"/>
  <c r="J8684" i="3"/>
  <c r="I8684" i="3"/>
  <c r="J8683" i="3"/>
  <c r="I8682" i="3"/>
  <c r="J8682" i="3"/>
  <c r="J8681" i="3"/>
  <c r="I8681" i="3"/>
  <c r="I8680" i="3"/>
  <c r="J8680" i="3"/>
  <c r="H8680" i="3"/>
  <c r="J8679" i="3"/>
  <c r="J8678" i="3"/>
  <c r="I8678" i="3"/>
  <c r="J8677" i="3"/>
  <c r="I8677" i="3"/>
  <c r="J8676" i="3"/>
  <c r="I8676" i="3"/>
  <c r="J8675" i="3"/>
  <c r="J8674" i="3"/>
  <c r="I8674" i="3"/>
  <c r="I8673" i="3"/>
  <c r="J8673" i="3"/>
  <c r="J8672" i="3"/>
  <c r="I8672" i="3"/>
  <c r="J8671" i="3"/>
  <c r="J8670" i="3"/>
  <c r="I8670" i="3"/>
  <c r="J8669" i="3"/>
  <c r="J8668" i="3"/>
  <c r="I8668" i="3"/>
  <c r="J8667" i="3"/>
  <c r="J8666" i="3"/>
  <c r="J8664" i="3"/>
  <c r="J8665" i="3"/>
  <c r="J8663" i="3"/>
  <c r="H8644" i="3"/>
  <c r="H8659" i="3"/>
  <c r="I8642" i="3"/>
  <c r="H8638" i="3"/>
  <c r="I8638" i="3"/>
  <c r="I8641" i="3"/>
  <c r="H8642" i="3"/>
  <c r="I8645" i="3"/>
  <c r="H8640" i="3"/>
  <c r="J8648" i="3"/>
  <c r="J8645" i="3"/>
  <c r="J8641" i="3"/>
  <c r="J8637" i="3"/>
  <c r="D8633" i="3"/>
  <c r="D8634" i="3"/>
  <c r="G10" i="196"/>
  <c r="G9" i="196"/>
  <c r="G8" i="196"/>
  <c r="G6" i="196"/>
  <c r="D7974" i="3"/>
  <c r="D7947" i="3"/>
  <c r="D7955" i="3"/>
  <c r="D7963" i="3"/>
  <c r="D7951" i="3"/>
  <c r="D7959" i="3"/>
  <c r="D7967" i="3"/>
  <c r="D7971" i="3"/>
  <c r="D7946" i="3"/>
  <c r="D7950" i="3"/>
  <c r="D7954" i="3"/>
  <c r="D7958" i="3"/>
  <c r="D7962" i="3"/>
  <c r="D7966" i="3"/>
  <c r="D7970" i="3"/>
  <c r="D7945" i="3"/>
  <c r="D7949" i="3"/>
  <c r="D7953" i="3"/>
  <c r="D7957" i="3"/>
  <c r="D7961" i="3"/>
  <c r="D7965" i="3"/>
  <c r="D7969" i="3"/>
  <c r="D7973" i="3"/>
  <c r="D7948" i="3"/>
  <c r="D7952" i="3"/>
  <c r="D7956" i="3"/>
  <c r="D7960" i="3"/>
  <c r="D7964" i="3"/>
  <c r="D7968" i="3"/>
  <c r="D7972" i="3"/>
  <c r="D10454" i="3"/>
  <c r="D10453" i="3"/>
  <c r="D9580" i="3"/>
  <c r="D9579" i="3"/>
  <c r="D8733" i="3"/>
  <c r="D8732" i="3"/>
  <c r="D8632" i="3"/>
  <c r="D8631" i="3"/>
  <c r="D8622" i="3"/>
  <c r="D8621" i="3"/>
  <c r="D8591" i="3"/>
  <c r="D8590" i="3"/>
  <c r="D8522" i="3"/>
  <c r="D8521" i="3"/>
  <c r="D8486" i="3"/>
  <c r="D8485" i="3"/>
  <c r="D8114" i="3"/>
  <c r="D8113" i="3"/>
  <c r="D8019" i="3"/>
  <c r="D8018" i="3"/>
  <c r="D7059" i="3"/>
  <c r="D7058" i="3"/>
  <c r="D4652" i="3"/>
  <c r="D4651" i="3"/>
  <c r="D2935" i="3"/>
  <c r="D2934" i="3"/>
  <c r="D146" i="3"/>
  <c r="D145" i="3"/>
  <c r="D40" i="3"/>
  <c r="D39" i="3"/>
  <c r="D8585" i="3"/>
  <c r="D8586" i="3"/>
  <c r="D8587" i="3"/>
  <c r="D8579" i="3"/>
  <c r="D8580" i="3"/>
  <c r="D8581" i="3"/>
  <c r="D8573" i="3"/>
  <c r="D8574" i="3"/>
  <c r="D8575" i="3"/>
  <c r="D8567" i="3"/>
  <c r="D8568" i="3"/>
  <c r="D8569" i="3"/>
  <c r="D8561" i="3"/>
  <c r="D8562" i="3"/>
  <c r="D8563" i="3"/>
  <c r="D8555" i="3"/>
  <c r="D8556" i="3"/>
  <c r="D8557" i="3"/>
  <c r="D8549" i="3"/>
  <c r="D8550" i="3"/>
  <c r="D8551" i="3"/>
  <c r="D8543" i="3"/>
  <c r="D8544" i="3"/>
  <c r="D8545" i="3"/>
  <c r="D8537" i="3"/>
  <c r="D8538" i="3"/>
  <c r="D8539" i="3"/>
  <c r="I8716" i="3"/>
  <c r="I8721" i="3"/>
  <c r="H8721" i="3"/>
  <c r="I8717" i="3"/>
  <c r="H8730" i="3"/>
  <c r="I8730" i="3"/>
  <c r="J8729" i="3" l="1"/>
  <c r="I8711" i="3"/>
  <c r="H8711" i="3"/>
  <c r="I8729" i="3"/>
  <c r="H8729" i="3"/>
  <c r="I8669" i="3"/>
  <c r="I8666" i="3"/>
  <c r="I8665" i="3"/>
  <c r="I8664" i="3"/>
  <c r="I8687" i="3"/>
  <c r="I8695" i="3"/>
  <c r="I8703" i="3"/>
  <c r="I8671" i="3"/>
  <c r="I8663" i="3"/>
  <c r="I8679" i="3"/>
  <c r="I8683" i="3"/>
  <c r="I8699" i="3"/>
  <c r="I8667" i="3"/>
  <c r="I8675" i="3"/>
  <c r="I8707" i="3"/>
  <c r="I8691" i="3"/>
  <c r="I8633" i="3"/>
  <c r="J8712" i="3" l="1"/>
  <c r="H8712" i="3"/>
  <c r="J8634" i="3"/>
  <c r="J8633" i="3"/>
  <c r="J7966" i="3"/>
  <c r="I7966" i="3"/>
  <c r="H7966" i="3"/>
  <c r="J7952" i="3"/>
  <c r="J7962" i="3"/>
  <c r="I7962" i="3"/>
  <c r="H7962" i="3"/>
  <c r="J7973" i="3"/>
  <c r="I7973" i="3"/>
  <c r="H7973" i="3"/>
  <c r="J7969" i="3"/>
  <c r="I7969" i="3"/>
  <c r="H7969" i="3"/>
  <c r="J7950" i="3"/>
  <c r="J7965" i="3"/>
  <c r="I7965" i="3"/>
  <c r="H7965" i="3"/>
  <c r="J7946" i="3"/>
  <c r="J7947" i="3"/>
  <c r="J7958" i="3"/>
  <c r="J7971" i="3"/>
  <c r="I7971" i="3"/>
  <c r="H7971" i="3"/>
  <c r="J7972" i="3"/>
  <c r="I7972" i="3"/>
  <c r="H7972" i="3"/>
  <c r="J7953" i="3"/>
  <c r="J7959" i="3"/>
  <c r="J7956" i="3"/>
  <c r="J7974" i="3"/>
  <c r="I7974" i="3"/>
  <c r="H7974" i="3"/>
  <c r="J7954" i="3"/>
  <c r="J7957" i="3"/>
  <c r="J7964" i="3"/>
  <c r="I7964" i="3"/>
  <c r="H7964" i="3"/>
  <c r="J7945" i="3"/>
  <c r="J7963" i="3"/>
  <c r="I7963" i="3"/>
  <c r="H7963" i="3"/>
  <c r="J7948" i="3"/>
  <c r="J7961" i="3"/>
  <c r="I7961" i="3"/>
  <c r="H7961" i="3"/>
  <c r="J7967" i="3"/>
  <c r="I7967" i="3"/>
  <c r="H7967" i="3"/>
  <c r="J7968" i="3"/>
  <c r="I7968" i="3"/>
  <c r="H7968" i="3"/>
  <c r="J7949" i="3"/>
  <c r="J7951" i="3"/>
  <c r="J7960" i="3"/>
  <c r="J7970" i="3"/>
  <c r="I7970" i="3"/>
  <c r="H7970" i="3"/>
  <c r="J7955" i="3"/>
  <c r="J10453" i="3"/>
  <c r="I10453" i="3"/>
  <c r="H10453" i="3"/>
  <c r="J10454" i="3"/>
  <c r="I10454" i="3"/>
  <c r="H10454" i="3"/>
  <c r="J9580" i="3"/>
  <c r="J9579" i="3"/>
  <c r="J8733" i="3"/>
  <c r="J8732" i="3"/>
  <c r="J8631" i="3"/>
  <c r="J8632" i="3"/>
  <c r="I8632" i="3"/>
  <c r="H8632" i="3"/>
  <c r="J8622" i="3"/>
  <c r="J8621" i="3"/>
  <c r="J8591" i="3"/>
  <c r="J8590" i="3"/>
  <c r="J8522" i="3"/>
  <c r="J8521" i="3"/>
  <c r="J8485" i="3"/>
  <c r="J8486" i="3"/>
  <c r="J8114" i="3"/>
  <c r="J8113" i="3"/>
  <c r="J8018" i="3"/>
  <c r="J8019" i="3"/>
  <c r="J7059" i="3"/>
  <c r="J7058" i="3"/>
  <c r="J4651" i="3"/>
  <c r="J4652" i="3"/>
  <c r="J2935" i="3"/>
  <c r="J2934" i="3"/>
  <c r="J145" i="3"/>
  <c r="J146" i="3"/>
  <c r="J39" i="3"/>
  <c r="J40" i="3"/>
  <c r="H8545" i="3"/>
  <c r="I8545" i="3"/>
  <c r="J8545" i="3"/>
  <c r="H8557" i="3"/>
  <c r="I8557" i="3"/>
  <c r="J8557" i="3"/>
  <c r="H8569" i="3"/>
  <c r="I8569" i="3"/>
  <c r="J8569" i="3"/>
  <c r="H8581" i="3"/>
  <c r="I8581" i="3"/>
  <c r="J8581" i="3"/>
  <c r="I8544" i="3"/>
  <c r="J8544" i="3"/>
  <c r="H8544" i="3"/>
  <c r="I8556" i="3"/>
  <c r="J8556" i="3"/>
  <c r="H8556" i="3"/>
  <c r="I8568" i="3"/>
  <c r="J8568" i="3"/>
  <c r="H8568" i="3"/>
  <c r="I8580" i="3"/>
  <c r="J8580" i="3"/>
  <c r="H8580" i="3"/>
  <c r="H8543" i="3"/>
  <c r="I8543" i="3"/>
  <c r="J8543" i="3"/>
  <c r="H8555" i="3"/>
  <c r="I8555" i="3"/>
  <c r="J8555" i="3"/>
  <c r="H8567" i="3"/>
  <c r="I8567" i="3"/>
  <c r="J8567" i="3"/>
  <c r="H8579" i="3"/>
  <c r="I8579" i="3"/>
  <c r="J8579" i="3"/>
  <c r="J8539" i="3"/>
  <c r="H8539" i="3"/>
  <c r="I8539" i="3"/>
  <c r="J8551" i="3"/>
  <c r="I8551" i="3"/>
  <c r="H8551" i="3"/>
  <c r="J8563" i="3"/>
  <c r="H8563" i="3"/>
  <c r="I8563" i="3"/>
  <c r="J8575" i="3"/>
  <c r="H8575" i="3"/>
  <c r="I8575" i="3"/>
  <c r="J8587" i="3"/>
  <c r="H8587" i="3"/>
  <c r="I8587" i="3"/>
  <c r="H8538" i="3"/>
  <c r="I8538" i="3"/>
  <c r="J8538" i="3"/>
  <c r="H8550" i="3"/>
  <c r="I8550" i="3"/>
  <c r="J8550" i="3"/>
  <c r="H8562" i="3"/>
  <c r="I8562" i="3"/>
  <c r="J8562" i="3"/>
  <c r="H8574" i="3"/>
  <c r="I8574" i="3"/>
  <c r="J8574" i="3"/>
  <c r="H8586" i="3"/>
  <c r="I8586" i="3"/>
  <c r="J8586" i="3"/>
  <c r="H8537" i="3"/>
  <c r="I8537" i="3"/>
  <c r="J8537" i="3"/>
  <c r="H8549" i="3"/>
  <c r="I8549" i="3"/>
  <c r="J8549" i="3"/>
  <c r="H8561" i="3"/>
  <c r="I8561" i="3"/>
  <c r="J8561" i="3"/>
  <c r="H8573" i="3"/>
  <c r="I8573" i="3"/>
  <c r="J8573" i="3"/>
  <c r="H8585" i="3"/>
  <c r="I8585" i="3"/>
  <c r="J8585" i="3"/>
  <c r="I7960" i="3"/>
  <c r="H7960" i="3"/>
  <c r="I7946" i="3"/>
  <c r="I7947" i="3"/>
  <c r="I7953" i="3"/>
  <c r="I7954" i="3"/>
  <c r="H7947" i="3"/>
  <c r="H7953" i="3"/>
  <c r="H7954" i="3"/>
  <c r="I7948" i="3"/>
  <c r="I7949" i="3"/>
  <c r="I7955" i="3"/>
  <c r="H7948" i="3"/>
  <c r="H7949" i="3"/>
  <c r="H7955" i="3"/>
  <c r="I7952" i="3"/>
  <c r="I7950" i="3"/>
  <c r="I7958" i="3"/>
  <c r="I7959" i="3"/>
  <c r="I7957" i="3"/>
  <c r="H7952" i="3"/>
  <c r="H7950" i="3"/>
  <c r="H7958" i="3"/>
  <c r="H7959" i="3"/>
  <c r="H7957" i="3"/>
  <c r="I7951" i="3"/>
  <c r="H7951" i="3"/>
  <c r="H7946" i="3"/>
  <c r="I7956" i="3"/>
  <c r="H7956" i="3"/>
  <c r="I7945" i="3"/>
  <c r="H7945" i="3"/>
  <c r="I9580" i="3"/>
  <c r="H9580" i="3"/>
  <c r="I9579" i="3"/>
  <c r="H9579" i="3"/>
  <c r="I8733" i="3"/>
  <c r="H8733" i="3"/>
  <c r="H8732" i="3"/>
  <c r="I8732" i="3"/>
  <c r="I8631" i="3"/>
  <c r="H8631" i="3"/>
  <c r="I8622" i="3"/>
  <c r="H8622" i="3"/>
  <c r="I8591" i="3"/>
  <c r="H8591" i="3"/>
  <c r="I8522" i="3"/>
  <c r="H8522" i="3"/>
  <c r="I8521" i="3"/>
  <c r="H8521" i="3"/>
  <c r="I8486" i="3"/>
  <c r="H8486" i="3"/>
  <c r="I8114" i="3"/>
  <c r="H8114" i="3"/>
  <c r="I8113" i="3"/>
  <c r="H8113" i="3"/>
  <c r="I8019" i="3"/>
  <c r="H8019" i="3"/>
  <c r="H8018" i="3"/>
  <c r="I8018" i="3"/>
  <c r="I7059" i="3"/>
  <c r="H7059" i="3"/>
  <c r="I7058" i="3"/>
  <c r="H7058" i="3"/>
  <c r="I4652" i="3"/>
  <c r="H4652" i="3"/>
  <c r="H4651" i="3"/>
  <c r="I4651" i="3"/>
  <c r="I2935" i="3"/>
  <c r="H2935" i="3"/>
  <c r="H2934" i="3"/>
  <c r="I2934" i="3"/>
  <c r="H145" i="3"/>
  <c r="I145" i="3"/>
  <c r="H146" i="3"/>
  <c r="I146" i="3"/>
  <c r="I39" i="3"/>
  <c r="H39" i="3"/>
  <c r="H40" i="3"/>
  <c r="I40" i="3"/>
  <c r="I8634" i="3"/>
  <c r="H8634" i="3"/>
  <c r="I8485" i="3"/>
  <c r="H8485" i="3"/>
  <c r="I8590" i="3"/>
  <c r="H8590" i="3"/>
  <c r="H8621" i="3"/>
  <c r="I8621" i="3"/>
  <c r="H8633" i="3"/>
  <c r="A26" i="80" l="1"/>
  <c r="A25" i="80"/>
  <c r="A24" i="80"/>
  <c r="A23" i="80"/>
  <c r="A22" i="80"/>
  <c r="A21" i="80"/>
  <c r="B18" i="12" l="1"/>
  <c r="B19" i="12"/>
  <c r="B8" i="4"/>
  <c r="B17" i="4"/>
  <c r="H99" i="2"/>
  <c r="F8530" i="3"/>
  <c r="G8530" i="3"/>
  <c r="B8530" i="3"/>
  <c r="C8530" i="3"/>
  <c r="G8532" i="3"/>
  <c r="F8532" i="3"/>
  <c r="G8531" i="3"/>
  <c r="F8531" i="3"/>
  <c r="F8620" i="3"/>
  <c r="G8620" i="3"/>
  <c r="C8620" i="3"/>
  <c r="B8620" i="3"/>
  <c r="B27" i="80"/>
  <c r="D8531" i="3" a="1"/>
  <c r="D8532" i="3" a="1"/>
  <c r="D8531" i="3" l="1"/>
  <c r="D8532" i="3"/>
  <c r="J8532" i="3" l="1"/>
  <c r="J8531" i="3"/>
  <c r="I8532" i="3"/>
  <c r="H8532" i="3"/>
  <c r="I8531" i="3"/>
  <c r="H8531" i="3"/>
  <c r="B8111" i="3" l="1"/>
  <c r="D8100" i="3"/>
  <c r="J8100" i="3" s="1"/>
  <c r="B8100" i="3"/>
  <c r="G8100" i="3"/>
  <c r="F8100" i="3"/>
  <c r="C8100" i="3"/>
  <c r="B8067" i="3"/>
  <c r="B8068" i="3"/>
  <c r="B8066" i="3"/>
  <c r="B8064" i="3"/>
  <c r="B8065" i="3"/>
  <c r="B8063" i="3"/>
  <c r="G8068" i="3"/>
  <c r="F8068" i="3"/>
  <c r="C8068" i="3"/>
  <c r="G8067" i="3"/>
  <c r="F8067" i="3"/>
  <c r="C8067" i="3"/>
  <c r="G8066" i="3"/>
  <c r="F8066" i="3"/>
  <c r="C8066" i="3"/>
  <c r="G8065" i="3"/>
  <c r="F8065" i="3"/>
  <c r="C8065" i="3"/>
  <c r="G8064" i="3"/>
  <c r="F8064" i="3"/>
  <c r="C8064" i="3"/>
  <c r="G8063" i="3"/>
  <c r="F8063" i="3"/>
  <c r="C8063" i="3"/>
  <c r="C6032" i="3"/>
  <c r="B6032" i="3"/>
  <c r="C6031" i="3"/>
  <c r="B6031" i="3"/>
  <c r="C6030" i="3"/>
  <c r="B6030" i="3"/>
  <c r="C6029" i="3"/>
  <c r="B6029" i="3"/>
  <c r="C6028" i="3"/>
  <c r="B6028" i="3"/>
  <c r="C6027" i="3"/>
  <c r="B6027" i="3"/>
  <c r="C6026" i="3"/>
  <c r="B6026" i="3"/>
  <c r="C6025" i="3"/>
  <c r="B6025" i="3"/>
  <c r="C6024" i="3"/>
  <c r="B6024" i="3"/>
  <c r="C6023" i="3"/>
  <c r="B6023" i="3"/>
  <c r="C6022" i="3"/>
  <c r="B6022" i="3"/>
  <c r="C6021" i="3"/>
  <c r="B6021" i="3"/>
  <c r="C6020" i="3"/>
  <c r="B6020" i="3"/>
  <c r="C6019" i="3"/>
  <c r="B6019" i="3"/>
  <c r="C6018" i="3"/>
  <c r="B6018" i="3"/>
  <c r="C5837" i="3"/>
  <c r="B5837" i="3"/>
  <c r="C5836" i="3"/>
  <c r="B5836" i="3"/>
  <c r="C5835" i="3"/>
  <c r="B5835" i="3"/>
  <c r="C5834" i="3"/>
  <c r="B5834" i="3"/>
  <c r="C5833" i="3"/>
  <c r="B5833" i="3"/>
  <c r="C5832" i="3"/>
  <c r="B5832" i="3"/>
  <c r="C5831" i="3"/>
  <c r="B5831" i="3"/>
  <c r="C5830" i="3"/>
  <c r="B5830" i="3"/>
  <c r="C5829" i="3"/>
  <c r="B5829" i="3"/>
  <c r="C5828" i="3"/>
  <c r="B5828" i="3"/>
  <c r="C5827" i="3"/>
  <c r="B5827" i="3"/>
  <c r="C5826" i="3"/>
  <c r="B5826" i="3"/>
  <c r="C5825" i="3"/>
  <c r="B5825" i="3"/>
  <c r="C5824" i="3"/>
  <c r="B5824" i="3"/>
  <c r="C5823" i="3"/>
  <c r="B5823" i="3"/>
  <c r="C5822" i="3"/>
  <c r="B5822" i="3"/>
  <c r="C5821" i="3"/>
  <c r="B5821" i="3"/>
  <c r="C5820" i="3"/>
  <c r="B5820" i="3"/>
  <c r="C5819" i="3"/>
  <c r="B5819" i="3"/>
  <c r="C5818" i="3"/>
  <c r="B5818" i="3"/>
  <c r="C5817" i="3"/>
  <c r="B5817" i="3"/>
  <c r="C5816" i="3"/>
  <c r="B5816" i="3"/>
  <c r="C5815" i="3"/>
  <c r="B5815" i="3"/>
  <c r="C5814" i="3"/>
  <c r="B5814" i="3"/>
  <c r="C5813" i="3"/>
  <c r="B5813" i="3"/>
  <c r="C5812" i="3"/>
  <c r="B5812" i="3"/>
  <c r="C5811" i="3"/>
  <c r="B5811" i="3"/>
  <c r="C5810" i="3"/>
  <c r="B5810" i="3"/>
  <c r="C5809" i="3"/>
  <c r="B5809" i="3"/>
  <c r="C5808" i="3"/>
  <c r="B5808" i="3"/>
  <c r="C5807" i="3"/>
  <c r="B5807" i="3"/>
  <c r="C5806" i="3"/>
  <c r="B5806" i="3"/>
  <c r="C5805" i="3"/>
  <c r="B5805" i="3"/>
  <c r="C5804" i="3"/>
  <c r="B5804" i="3"/>
  <c r="C5803" i="3"/>
  <c r="B5803" i="3"/>
  <c r="C5802" i="3"/>
  <c r="B5802" i="3"/>
  <c r="C5801" i="3"/>
  <c r="B5801" i="3"/>
  <c r="C5800" i="3"/>
  <c r="B5800" i="3"/>
  <c r="C5799" i="3"/>
  <c r="B5799" i="3"/>
  <c r="C5798" i="3"/>
  <c r="B5798" i="3"/>
  <c r="C5797" i="3"/>
  <c r="B5797" i="3"/>
  <c r="C5796" i="3"/>
  <c r="B5796" i="3"/>
  <c r="C5795" i="3"/>
  <c r="B5795" i="3"/>
  <c r="C5794" i="3"/>
  <c r="B5794" i="3"/>
  <c r="C5793" i="3"/>
  <c r="B5793" i="3"/>
  <c r="C5792" i="3"/>
  <c r="B5792" i="3"/>
  <c r="C5791" i="3"/>
  <c r="B5791" i="3"/>
  <c r="C5790" i="3"/>
  <c r="B5790" i="3"/>
  <c r="C5789" i="3"/>
  <c r="B5789" i="3"/>
  <c r="C5788" i="3"/>
  <c r="B5788" i="3"/>
  <c r="C5787" i="3"/>
  <c r="B5787" i="3"/>
  <c r="C5786" i="3"/>
  <c r="B5786" i="3"/>
  <c r="C5785" i="3"/>
  <c r="B5785" i="3"/>
  <c r="C5784" i="3"/>
  <c r="B5784" i="3"/>
  <c r="C5783" i="3"/>
  <c r="B5783" i="3"/>
  <c r="C5782" i="3"/>
  <c r="B5782" i="3"/>
  <c r="C5781" i="3"/>
  <c r="B5781" i="3"/>
  <c r="C5780" i="3"/>
  <c r="B5780" i="3"/>
  <c r="C5779" i="3"/>
  <c r="B5779" i="3"/>
  <c r="C5778" i="3"/>
  <c r="B5778" i="3"/>
  <c r="C5777" i="3"/>
  <c r="B5777" i="3"/>
  <c r="C5776" i="3"/>
  <c r="B5776" i="3"/>
  <c r="C5775" i="3"/>
  <c r="B5775" i="3"/>
  <c r="C5774" i="3"/>
  <c r="B5774" i="3"/>
  <c r="C5773" i="3"/>
  <c r="B5773" i="3"/>
  <c r="C5772" i="3"/>
  <c r="B5772" i="3"/>
  <c r="C5771" i="3"/>
  <c r="B5771" i="3"/>
  <c r="C5770" i="3"/>
  <c r="B5770" i="3"/>
  <c r="C5769" i="3"/>
  <c r="B5769" i="3"/>
  <c r="C5768" i="3"/>
  <c r="B5768" i="3"/>
  <c r="C5767" i="3"/>
  <c r="B5767" i="3"/>
  <c r="C5766" i="3"/>
  <c r="B5766" i="3"/>
  <c r="C5765" i="3"/>
  <c r="B5765" i="3"/>
  <c r="C5764" i="3"/>
  <c r="B5764" i="3"/>
  <c r="C5763" i="3"/>
  <c r="B5763" i="3"/>
  <c r="C5762" i="3"/>
  <c r="B5762" i="3"/>
  <c r="C5761" i="3"/>
  <c r="B5761" i="3"/>
  <c r="C5760" i="3"/>
  <c r="B5760" i="3"/>
  <c r="C5759" i="3"/>
  <c r="B5759" i="3"/>
  <c r="C5758" i="3"/>
  <c r="B5758" i="3"/>
  <c r="C5757" i="3"/>
  <c r="B5757" i="3"/>
  <c r="C5756" i="3"/>
  <c r="B5756" i="3"/>
  <c r="C5755" i="3"/>
  <c r="B5755" i="3"/>
  <c r="C5754" i="3"/>
  <c r="B5754" i="3"/>
  <c r="C5753" i="3"/>
  <c r="B5753" i="3"/>
  <c r="C5752" i="3"/>
  <c r="B5752" i="3"/>
  <c r="C5751" i="3"/>
  <c r="B5751" i="3"/>
  <c r="C5750" i="3"/>
  <c r="B5750" i="3"/>
  <c r="C5749" i="3"/>
  <c r="B5749" i="3"/>
  <c r="C5748" i="3"/>
  <c r="B5748" i="3"/>
  <c r="G5747" i="3"/>
  <c r="F5747" i="3"/>
  <c r="C5747" i="3"/>
  <c r="B5747" i="3"/>
  <c r="G5746" i="3"/>
  <c r="F5746" i="3"/>
  <c r="C5746" i="3"/>
  <c r="B5746" i="3"/>
  <c r="G5745" i="3"/>
  <c r="F5745" i="3"/>
  <c r="C5745" i="3"/>
  <c r="B5745" i="3"/>
  <c r="G5744" i="3"/>
  <c r="F5744" i="3"/>
  <c r="C5744" i="3"/>
  <c r="B5744" i="3"/>
  <c r="G5743" i="3"/>
  <c r="F5743" i="3"/>
  <c r="C5743" i="3"/>
  <c r="B5743" i="3"/>
  <c r="G5742" i="3"/>
  <c r="F5742" i="3"/>
  <c r="C5742" i="3"/>
  <c r="B5742" i="3"/>
  <c r="G5741" i="3"/>
  <c r="F5741" i="3"/>
  <c r="C5741" i="3"/>
  <c r="B5741" i="3"/>
  <c r="G5740" i="3"/>
  <c r="F5740" i="3"/>
  <c r="C5740" i="3"/>
  <c r="B5740" i="3"/>
  <c r="G5739" i="3"/>
  <c r="F5739" i="3"/>
  <c r="C5739" i="3"/>
  <c r="B5739" i="3"/>
  <c r="G5738" i="3"/>
  <c r="F5738" i="3"/>
  <c r="C5738" i="3"/>
  <c r="B5738" i="3"/>
  <c r="G5737" i="3"/>
  <c r="F5737" i="3"/>
  <c r="C5737" i="3"/>
  <c r="B5737" i="3"/>
  <c r="G5736" i="3"/>
  <c r="F5736" i="3"/>
  <c r="C5736" i="3"/>
  <c r="B5736" i="3"/>
  <c r="G5735" i="3"/>
  <c r="F5735" i="3"/>
  <c r="C5735" i="3"/>
  <c r="B5735" i="3"/>
  <c r="G5734" i="3"/>
  <c r="F5734" i="3"/>
  <c r="C5734" i="3"/>
  <c r="B5734" i="3"/>
  <c r="G5733" i="3"/>
  <c r="F5733" i="3"/>
  <c r="C5733" i="3"/>
  <c r="B5733" i="3"/>
  <c r="G5732" i="3"/>
  <c r="F5732" i="3"/>
  <c r="C5732" i="3"/>
  <c r="B5732" i="3"/>
  <c r="G5731" i="3"/>
  <c r="F5731" i="3"/>
  <c r="C5731" i="3"/>
  <c r="B5731" i="3"/>
  <c r="G5730" i="3"/>
  <c r="F5730" i="3"/>
  <c r="C5730" i="3"/>
  <c r="B5730" i="3"/>
  <c r="G5729" i="3"/>
  <c r="F5729" i="3"/>
  <c r="C5729" i="3"/>
  <c r="B5729" i="3"/>
  <c r="G5728" i="3"/>
  <c r="F5728" i="3"/>
  <c r="C5728" i="3"/>
  <c r="B5728" i="3"/>
  <c r="G5727" i="3"/>
  <c r="F5727" i="3"/>
  <c r="C5727" i="3"/>
  <c r="B5727" i="3"/>
  <c r="G5726" i="3"/>
  <c r="F5726" i="3"/>
  <c r="C5726" i="3"/>
  <c r="B5726" i="3"/>
  <c r="G5725" i="3"/>
  <c r="F5725" i="3"/>
  <c r="C5725" i="3"/>
  <c r="B5725" i="3"/>
  <c r="G5724" i="3"/>
  <c r="F5724" i="3"/>
  <c r="C5724" i="3"/>
  <c r="B5724" i="3"/>
  <c r="G5723" i="3"/>
  <c r="F5723" i="3"/>
  <c r="C5723" i="3"/>
  <c r="B5723" i="3"/>
  <c r="G5722" i="3"/>
  <c r="F5722" i="3"/>
  <c r="C5722" i="3"/>
  <c r="B5722" i="3"/>
  <c r="G5721" i="3"/>
  <c r="F5721" i="3"/>
  <c r="C5721" i="3"/>
  <c r="B5721" i="3"/>
  <c r="G5720" i="3"/>
  <c r="F5720" i="3"/>
  <c r="C5720" i="3"/>
  <c r="B5720" i="3"/>
  <c r="G5719" i="3"/>
  <c r="F5719" i="3"/>
  <c r="C5719" i="3"/>
  <c r="B5719" i="3"/>
  <c r="G5718" i="3"/>
  <c r="F5718" i="3"/>
  <c r="C5718" i="3"/>
  <c r="B5718" i="3"/>
  <c r="G5717" i="3"/>
  <c r="F5717" i="3"/>
  <c r="C5717" i="3"/>
  <c r="B5717" i="3"/>
  <c r="G5716" i="3"/>
  <c r="F5716" i="3"/>
  <c r="C5716" i="3"/>
  <c r="B5716" i="3"/>
  <c r="G5715" i="3"/>
  <c r="F5715" i="3"/>
  <c r="C5715" i="3"/>
  <c r="B5715" i="3"/>
  <c r="G5714" i="3"/>
  <c r="F5714" i="3"/>
  <c r="C5714" i="3"/>
  <c r="B5714" i="3"/>
  <c r="G5713" i="3"/>
  <c r="F5713" i="3"/>
  <c r="C5713" i="3"/>
  <c r="B5713" i="3"/>
  <c r="G5712" i="3"/>
  <c r="F5712" i="3"/>
  <c r="C5712" i="3"/>
  <c r="B5712" i="3"/>
  <c r="G5711" i="3"/>
  <c r="F5711" i="3"/>
  <c r="C5711" i="3"/>
  <c r="B5711" i="3"/>
  <c r="G5710" i="3"/>
  <c r="F5710" i="3"/>
  <c r="C5710" i="3"/>
  <c r="B5710" i="3"/>
  <c r="G5709" i="3"/>
  <c r="F5709" i="3"/>
  <c r="C5709" i="3"/>
  <c r="B5709" i="3"/>
  <c r="G5708" i="3"/>
  <c r="F5708" i="3"/>
  <c r="C5708" i="3"/>
  <c r="B5708" i="3"/>
  <c r="G5707" i="3"/>
  <c r="F5707" i="3"/>
  <c r="C5707" i="3"/>
  <c r="B5707" i="3"/>
  <c r="G5706" i="3"/>
  <c r="F5706" i="3"/>
  <c r="C5706" i="3"/>
  <c r="B5706" i="3"/>
  <c r="G5705" i="3"/>
  <c r="F5705" i="3"/>
  <c r="C5705" i="3"/>
  <c r="B5705" i="3"/>
  <c r="G5704" i="3"/>
  <c r="F5704" i="3"/>
  <c r="C5704" i="3"/>
  <c r="B5704" i="3"/>
  <c r="G5703" i="3"/>
  <c r="F5703" i="3"/>
  <c r="C5703" i="3"/>
  <c r="B5703" i="3"/>
  <c r="G5702" i="3"/>
  <c r="F5702" i="3"/>
  <c r="C5702" i="3"/>
  <c r="B5702" i="3"/>
  <c r="G5701" i="3"/>
  <c r="F5701" i="3"/>
  <c r="C5701" i="3"/>
  <c r="B5701" i="3"/>
  <c r="G5700" i="3"/>
  <c r="F5700" i="3"/>
  <c r="C5700" i="3"/>
  <c r="B5700" i="3"/>
  <c r="G5699" i="3"/>
  <c r="F5699" i="3"/>
  <c r="C5699" i="3"/>
  <c r="B5699" i="3"/>
  <c r="G5698" i="3"/>
  <c r="F5698" i="3"/>
  <c r="C5698" i="3"/>
  <c r="B5698" i="3"/>
  <c r="G5697" i="3"/>
  <c r="F5697" i="3"/>
  <c r="C5697" i="3"/>
  <c r="B5697" i="3"/>
  <c r="G5696" i="3"/>
  <c r="F5696" i="3"/>
  <c r="C5696" i="3"/>
  <c r="B5696" i="3"/>
  <c r="G5695" i="3"/>
  <c r="F5695" i="3"/>
  <c r="C5695" i="3"/>
  <c r="B5695" i="3"/>
  <c r="G5694" i="3"/>
  <c r="F5694" i="3"/>
  <c r="C5694" i="3"/>
  <c r="B5694" i="3"/>
  <c r="G5693" i="3"/>
  <c r="F5693" i="3"/>
  <c r="C5693" i="3"/>
  <c r="B5693" i="3"/>
  <c r="G5692" i="3"/>
  <c r="F5692" i="3"/>
  <c r="C5692" i="3"/>
  <c r="B5692" i="3"/>
  <c r="G5691" i="3"/>
  <c r="F5691" i="3"/>
  <c r="C5691" i="3"/>
  <c r="B5691" i="3"/>
  <c r="G5690" i="3"/>
  <c r="F5690" i="3"/>
  <c r="C5690" i="3"/>
  <c r="B5690" i="3"/>
  <c r="G5689" i="3"/>
  <c r="F5689" i="3"/>
  <c r="C5689" i="3"/>
  <c r="B5689" i="3"/>
  <c r="G5688" i="3"/>
  <c r="F5688" i="3"/>
  <c r="C5688" i="3"/>
  <c r="B5688" i="3"/>
  <c r="G5687" i="3"/>
  <c r="F5687" i="3"/>
  <c r="C5687" i="3"/>
  <c r="B5687" i="3"/>
  <c r="G5686" i="3"/>
  <c r="F5686" i="3"/>
  <c r="C5686" i="3"/>
  <c r="B5686" i="3"/>
  <c r="G5685" i="3"/>
  <c r="F5685" i="3"/>
  <c r="C5685" i="3"/>
  <c r="B5685" i="3"/>
  <c r="G5684" i="3"/>
  <c r="F5684" i="3"/>
  <c r="C5684" i="3"/>
  <c r="B5684" i="3"/>
  <c r="G5683" i="3"/>
  <c r="F5683" i="3"/>
  <c r="C5683" i="3"/>
  <c r="B5683" i="3"/>
  <c r="G5682" i="3"/>
  <c r="F5682" i="3"/>
  <c r="C5682" i="3"/>
  <c r="B5682" i="3"/>
  <c r="G5681" i="3"/>
  <c r="F5681" i="3"/>
  <c r="C5681" i="3"/>
  <c r="B5681" i="3"/>
  <c r="G5680" i="3"/>
  <c r="F5680" i="3"/>
  <c r="C5680" i="3"/>
  <c r="B5680" i="3"/>
  <c r="G5679" i="3"/>
  <c r="F5679" i="3"/>
  <c r="C5679" i="3"/>
  <c r="B5679" i="3"/>
  <c r="G5678" i="3"/>
  <c r="F5678" i="3"/>
  <c r="C5678" i="3"/>
  <c r="B5678" i="3"/>
  <c r="G5677" i="3"/>
  <c r="F5677" i="3"/>
  <c r="C5677" i="3"/>
  <c r="B5677" i="3"/>
  <c r="G5676" i="3"/>
  <c r="F5676" i="3"/>
  <c r="C5676" i="3"/>
  <c r="B5676" i="3"/>
  <c r="G5675" i="3"/>
  <c r="F5675" i="3"/>
  <c r="C5675" i="3"/>
  <c r="B5675" i="3"/>
  <c r="G5674" i="3"/>
  <c r="F5674" i="3"/>
  <c r="C5674" i="3"/>
  <c r="B5674" i="3"/>
  <c r="G5673" i="3"/>
  <c r="F5673" i="3"/>
  <c r="C5673" i="3"/>
  <c r="B5673" i="3"/>
  <c r="G5672" i="3"/>
  <c r="F5672" i="3"/>
  <c r="C5672" i="3"/>
  <c r="B5672" i="3"/>
  <c r="G5671" i="3"/>
  <c r="F5671" i="3"/>
  <c r="C5671" i="3"/>
  <c r="B5671" i="3"/>
  <c r="G5670" i="3"/>
  <c r="F5670" i="3"/>
  <c r="C5670" i="3"/>
  <c r="B5670" i="3"/>
  <c r="G5669" i="3"/>
  <c r="F5669" i="3"/>
  <c r="C5669" i="3"/>
  <c r="B5669" i="3"/>
  <c r="G5668" i="3"/>
  <c r="F5668" i="3"/>
  <c r="C5668" i="3"/>
  <c r="B5668" i="3"/>
  <c r="G5667" i="3"/>
  <c r="F5667" i="3"/>
  <c r="C5667" i="3"/>
  <c r="B5667" i="3"/>
  <c r="G5666" i="3"/>
  <c r="F5666" i="3"/>
  <c r="C5666" i="3"/>
  <c r="B5666" i="3"/>
  <c r="G5665" i="3"/>
  <c r="F5665" i="3"/>
  <c r="C5665" i="3"/>
  <c r="B5665" i="3"/>
  <c r="G5664" i="3"/>
  <c r="F5664" i="3"/>
  <c r="C5664" i="3"/>
  <c r="B5664" i="3"/>
  <c r="G5663" i="3"/>
  <c r="F5663" i="3"/>
  <c r="C5663" i="3"/>
  <c r="B5663" i="3"/>
  <c r="G5662" i="3"/>
  <c r="F5662" i="3"/>
  <c r="C5662" i="3"/>
  <c r="B5662" i="3"/>
  <c r="G5661" i="3"/>
  <c r="F5661" i="3"/>
  <c r="C5661" i="3"/>
  <c r="B5661" i="3"/>
  <c r="G5660" i="3"/>
  <c r="F5660" i="3"/>
  <c r="C5660" i="3"/>
  <c r="B5660" i="3"/>
  <c r="G5659" i="3"/>
  <c r="F5659" i="3"/>
  <c r="C5659" i="3"/>
  <c r="B5659" i="3"/>
  <c r="G5658" i="3"/>
  <c r="F5658" i="3"/>
  <c r="C5658" i="3"/>
  <c r="B5658" i="3"/>
  <c r="B6047" i="3"/>
  <c r="B6046" i="3"/>
  <c r="B6045" i="3"/>
  <c r="B6044" i="3"/>
  <c r="B6043" i="3"/>
  <c r="B6042" i="3"/>
  <c r="B6041" i="3"/>
  <c r="B6040" i="3"/>
  <c r="B6039" i="3"/>
  <c r="B6038" i="3"/>
  <c r="B6037" i="3"/>
  <c r="B6036" i="3"/>
  <c r="B6035" i="3"/>
  <c r="B6034" i="3"/>
  <c r="B6033" i="3"/>
  <c r="G6047" i="3"/>
  <c r="F6047" i="3"/>
  <c r="C6047" i="3"/>
  <c r="G6046" i="3"/>
  <c r="F6046" i="3"/>
  <c r="C6046" i="3"/>
  <c r="G6045" i="3"/>
  <c r="F6045" i="3"/>
  <c r="C6045" i="3"/>
  <c r="G6044" i="3"/>
  <c r="F6044" i="3"/>
  <c r="C6044" i="3"/>
  <c r="G6043" i="3"/>
  <c r="F6043" i="3"/>
  <c r="C6043" i="3"/>
  <c r="G6042" i="3"/>
  <c r="F6042" i="3"/>
  <c r="C6042" i="3"/>
  <c r="G6041" i="3"/>
  <c r="F6041" i="3"/>
  <c r="C6041" i="3"/>
  <c r="G6040" i="3"/>
  <c r="F6040" i="3"/>
  <c r="C6040" i="3"/>
  <c r="G6039" i="3"/>
  <c r="F6039" i="3"/>
  <c r="C6039" i="3"/>
  <c r="G6038" i="3"/>
  <c r="F6038" i="3"/>
  <c r="C6038" i="3"/>
  <c r="G6037" i="3"/>
  <c r="F6037" i="3"/>
  <c r="C6037" i="3"/>
  <c r="G6036" i="3"/>
  <c r="F6036" i="3"/>
  <c r="C6036" i="3"/>
  <c r="G6035" i="3"/>
  <c r="F6035" i="3"/>
  <c r="C6035" i="3"/>
  <c r="G6034" i="3"/>
  <c r="F6034" i="3"/>
  <c r="C6034" i="3"/>
  <c r="G6033" i="3"/>
  <c r="F6033" i="3"/>
  <c r="C6033" i="3"/>
  <c r="H19" i="12"/>
  <c r="G30" i="118"/>
  <c r="H30" i="118"/>
  <c r="I30" i="118"/>
  <c r="J30" i="118"/>
  <c r="K30" i="118"/>
  <c r="L30" i="118"/>
  <c r="M30" i="118"/>
  <c r="N30" i="118"/>
  <c r="O30" i="118"/>
  <c r="P30" i="118"/>
  <c r="Q30" i="118"/>
  <c r="D5715" i="3" a="1"/>
  <c r="D5745" i="3" a="1"/>
  <c r="D5734" i="3" a="1"/>
  <c r="D5725" i="3" a="1"/>
  <c r="D5727" i="3" a="1"/>
  <c r="D5728" i="3" a="1"/>
  <c r="D5730" i="3" a="1"/>
  <c r="D5739" i="3" a="1"/>
  <c r="D5709" i="3" a="1"/>
  <c r="D5747" i="3" a="1"/>
  <c r="D5742" i="3" a="1"/>
  <c r="D8067" i="3" a="1"/>
  <c r="D5738" i="3" a="1"/>
  <c r="D5706" i="3" a="1"/>
  <c r="D5714" i="3" a="1"/>
  <c r="D5710" i="3" a="1"/>
  <c r="D5746" i="3" a="1"/>
  <c r="D5703" i="3" a="1"/>
  <c r="D5724" i="3" a="1"/>
  <c r="D5708" i="3" a="1"/>
  <c r="D5737" i="3" a="1"/>
  <c r="D5729" i="3" a="1"/>
  <c r="D5719" i="3" a="1"/>
  <c r="D5720" i="3" a="1"/>
  <c r="D5735" i="3" a="1"/>
  <c r="D5712" i="3" a="1"/>
  <c r="D5731" i="3" a="1"/>
  <c r="D8068" i="3" a="1"/>
  <c r="D5705" i="3" a="1"/>
  <c r="D5718" i="3" a="1"/>
  <c r="D5721" i="3" a="1"/>
  <c r="D5743" i="3" a="1"/>
  <c r="D5717" i="3" a="1"/>
  <c r="D5707" i="3" a="1"/>
  <c r="D5733" i="3" a="1"/>
  <c r="D5736" i="3" a="1"/>
  <c r="D5741" i="3" a="1"/>
  <c r="D5740" i="3" a="1"/>
  <c r="D5704" i="3" a="1"/>
  <c r="D5723" i="3" a="1"/>
  <c r="D5711" i="3" a="1"/>
  <c r="D5726" i="3" a="1"/>
  <c r="D5744" i="3" a="1"/>
  <c r="D5722" i="3" a="1"/>
  <c r="D5716" i="3" a="1"/>
  <c r="D5732" i="3" a="1"/>
  <c r="D8066" i="3" a="1"/>
  <c r="D5713" i="3" a="1"/>
  <c r="H8100" i="3" l="1"/>
  <c r="I8100" i="3"/>
  <c r="D8068" i="3"/>
  <c r="D8067" i="3"/>
  <c r="D8066" i="3"/>
  <c r="D5736" i="3"/>
  <c r="D5728" i="3"/>
  <c r="D5740" i="3"/>
  <c r="D5704" i="3"/>
  <c r="D5724" i="3"/>
  <c r="D5716" i="3"/>
  <c r="D5712" i="3"/>
  <c r="D5720" i="3"/>
  <c r="D5732" i="3"/>
  <c r="D5744" i="3"/>
  <c r="D5708" i="3"/>
  <c r="D5703" i="3"/>
  <c r="D5707" i="3"/>
  <c r="D5711" i="3"/>
  <c r="D5715" i="3"/>
  <c r="D5719" i="3"/>
  <c r="D5723" i="3"/>
  <c r="D5727" i="3"/>
  <c r="D5731" i="3"/>
  <c r="D5735" i="3"/>
  <c r="D5739" i="3"/>
  <c r="D5743" i="3"/>
  <c r="D5747" i="3"/>
  <c r="D5706" i="3"/>
  <c r="D5710" i="3"/>
  <c r="D5714" i="3"/>
  <c r="D5718" i="3"/>
  <c r="D5722" i="3"/>
  <c r="D5726" i="3"/>
  <c r="D5730" i="3"/>
  <c r="D5734" i="3"/>
  <c r="D5738" i="3"/>
  <c r="D5742" i="3"/>
  <c r="D5746" i="3"/>
  <c r="D5705" i="3"/>
  <c r="D5709" i="3"/>
  <c r="D5713" i="3"/>
  <c r="D5717" i="3"/>
  <c r="D5721" i="3"/>
  <c r="D5725" i="3"/>
  <c r="D5729" i="3"/>
  <c r="D5733" i="3"/>
  <c r="D5737" i="3"/>
  <c r="D5741" i="3"/>
  <c r="D5745" i="3"/>
  <c r="G14" i="195"/>
  <c r="C22" i="76"/>
  <c r="C20" i="76"/>
  <c r="J8066" i="3" l="1"/>
  <c r="I8066" i="3"/>
  <c r="H8066" i="3"/>
  <c r="I8067" i="3"/>
  <c r="J8067" i="3"/>
  <c r="H8067" i="3"/>
  <c r="J8068" i="3"/>
  <c r="I8068" i="3"/>
  <c r="H8068" i="3"/>
  <c r="J5711" i="3"/>
  <c r="I5711" i="3"/>
  <c r="H5711" i="3"/>
  <c r="H5722" i="3"/>
  <c r="I5722" i="3"/>
  <c r="J5722" i="3"/>
  <c r="J5703" i="3"/>
  <c r="I5703" i="3"/>
  <c r="H5703" i="3"/>
  <c r="J5717" i="3"/>
  <c r="I5717" i="3"/>
  <c r="H5717" i="3"/>
  <c r="J5713" i="3"/>
  <c r="I5713" i="3"/>
  <c r="H5713" i="3"/>
  <c r="H5718" i="3"/>
  <c r="J5718" i="3"/>
  <c r="I5718" i="3"/>
  <c r="J5716" i="3"/>
  <c r="I5716" i="3"/>
  <c r="H5716" i="3"/>
  <c r="H5714" i="3"/>
  <c r="I5714" i="3"/>
  <c r="J5714" i="3"/>
  <c r="J5744" i="3"/>
  <c r="I5744" i="3"/>
  <c r="H5744" i="3"/>
  <c r="J5732" i="3"/>
  <c r="I5732" i="3"/>
  <c r="H5732" i="3"/>
  <c r="J5743" i="3"/>
  <c r="I5743" i="3"/>
  <c r="H5743" i="3"/>
  <c r="I5706" i="3"/>
  <c r="J5706" i="3"/>
  <c r="H5706" i="3"/>
  <c r="J5721" i="3"/>
  <c r="I5721" i="3"/>
  <c r="H5721" i="3"/>
  <c r="J5707" i="3"/>
  <c r="I5707" i="3"/>
  <c r="H5707" i="3"/>
  <c r="J5709" i="3"/>
  <c r="I5709" i="3"/>
  <c r="H5709" i="3"/>
  <c r="I5710" i="3"/>
  <c r="H5710" i="3"/>
  <c r="J5710" i="3"/>
  <c r="J5747" i="3"/>
  <c r="I5747" i="3"/>
  <c r="H5747" i="3"/>
  <c r="J5724" i="3"/>
  <c r="I5724" i="3"/>
  <c r="H5724" i="3"/>
  <c r="J5705" i="3"/>
  <c r="I5705" i="3"/>
  <c r="H5705" i="3"/>
  <c r="J5720" i="3"/>
  <c r="I5720" i="3"/>
  <c r="H5720" i="3"/>
  <c r="J5704" i="3"/>
  <c r="I5704" i="3"/>
  <c r="H5704" i="3"/>
  <c r="J5739" i="3"/>
  <c r="I5739" i="3"/>
  <c r="H5739" i="3"/>
  <c r="J5745" i="3"/>
  <c r="I5745" i="3"/>
  <c r="H5745" i="3"/>
  <c r="H5746" i="3"/>
  <c r="I5746" i="3"/>
  <c r="J5746" i="3"/>
  <c r="J5735" i="3"/>
  <c r="I5735" i="3"/>
  <c r="H5735" i="3"/>
  <c r="J5741" i="3"/>
  <c r="I5741" i="3"/>
  <c r="H5741" i="3"/>
  <c r="H5742" i="3"/>
  <c r="J5742" i="3"/>
  <c r="I5742" i="3"/>
  <c r="J5731" i="3"/>
  <c r="I5731" i="3"/>
  <c r="H5731" i="3"/>
  <c r="J5737" i="3"/>
  <c r="I5737" i="3"/>
  <c r="H5737" i="3"/>
  <c r="I5738" i="3"/>
  <c r="H5738" i="3"/>
  <c r="J5738" i="3"/>
  <c r="J5727" i="3"/>
  <c r="I5727" i="3"/>
  <c r="H5727" i="3"/>
  <c r="J5708" i="3"/>
  <c r="I5708" i="3"/>
  <c r="H5708" i="3"/>
  <c r="J5740" i="3"/>
  <c r="I5740" i="3"/>
  <c r="H5740" i="3"/>
  <c r="J5733" i="3"/>
  <c r="I5733" i="3"/>
  <c r="H5733" i="3"/>
  <c r="H5734" i="3"/>
  <c r="I5734" i="3"/>
  <c r="J5734" i="3"/>
  <c r="J5723" i="3"/>
  <c r="I5723" i="3"/>
  <c r="H5723" i="3"/>
  <c r="J5728" i="3"/>
  <c r="I5728" i="3"/>
  <c r="H5728" i="3"/>
  <c r="J5729" i="3"/>
  <c r="I5729" i="3"/>
  <c r="H5729" i="3"/>
  <c r="I5730" i="3"/>
  <c r="H5730" i="3"/>
  <c r="J5730" i="3"/>
  <c r="J5719" i="3"/>
  <c r="I5719" i="3"/>
  <c r="H5719" i="3"/>
  <c r="J5736" i="3"/>
  <c r="I5736" i="3"/>
  <c r="H5736" i="3"/>
  <c r="J5725" i="3"/>
  <c r="I5725" i="3"/>
  <c r="H5725" i="3"/>
  <c r="H5726" i="3"/>
  <c r="J5726" i="3"/>
  <c r="I5726" i="3"/>
  <c r="J5715" i="3"/>
  <c r="I5715" i="3"/>
  <c r="H5715" i="3"/>
  <c r="J5712" i="3"/>
  <c r="I5712" i="3"/>
  <c r="H5712" i="3"/>
  <c r="C14" i="76"/>
  <c r="C13" i="76"/>
  <c r="C12" i="76"/>
  <c r="C11" i="76"/>
  <c r="C10" i="76"/>
  <c r="C8" i="76"/>
  <c r="C7" i="76"/>
  <c r="C14" i="195"/>
  <c r="E32" i="195"/>
  <c r="G32" i="195" s="1"/>
  <c r="M17" i="195"/>
  <c r="C21" i="195"/>
  <c r="C20" i="195"/>
  <c r="C16" i="195"/>
  <c r="C15" i="195"/>
  <c r="C13" i="195"/>
  <c r="C12" i="195"/>
  <c r="C11" i="195"/>
  <c r="C10" i="195"/>
  <c r="C9" i="195"/>
  <c r="C8" i="195"/>
  <c r="C7" i="195"/>
  <c r="C36" i="195"/>
  <c r="C35" i="195"/>
  <c r="C30" i="195"/>
  <c r="C28" i="195"/>
  <c r="C26" i="195"/>
  <c r="C25" i="195"/>
  <c r="C24" i="195"/>
  <c r="Q40" i="83"/>
  <c r="Q39" i="83"/>
  <c r="Q38" i="83"/>
  <c r="Q37" i="83"/>
  <c r="P40" i="83"/>
  <c r="P39" i="83"/>
  <c r="P38" i="83"/>
  <c r="P37" i="83"/>
  <c r="O40" i="83"/>
  <c r="O39" i="83"/>
  <c r="O38" i="83"/>
  <c r="O37" i="83"/>
  <c r="N40" i="83"/>
  <c r="N39" i="83"/>
  <c r="N38" i="83"/>
  <c r="N37" i="83"/>
  <c r="M40" i="83"/>
  <c r="M39" i="83"/>
  <c r="M38" i="83"/>
  <c r="M37" i="83"/>
  <c r="L40" i="83"/>
  <c r="L39" i="83"/>
  <c r="L38" i="83"/>
  <c r="L37" i="83"/>
  <c r="K40" i="83"/>
  <c r="K39" i="83"/>
  <c r="K38" i="83"/>
  <c r="K37" i="83"/>
  <c r="J40" i="83"/>
  <c r="J39" i="83"/>
  <c r="J38" i="83"/>
  <c r="J37" i="83"/>
  <c r="I40" i="83"/>
  <c r="I39" i="83"/>
  <c r="I38" i="83"/>
  <c r="I37" i="83"/>
  <c r="H40" i="83"/>
  <c r="H39" i="83"/>
  <c r="H38" i="83"/>
  <c r="H37" i="83"/>
  <c r="G40" i="83"/>
  <c r="G39" i="83"/>
  <c r="G38" i="83"/>
  <c r="G37" i="83"/>
  <c r="F38" i="83"/>
  <c r="F37" i="83"/>
  <c r="E38" i="83"/>
  <c r="E37" i="83"/>
  <c r="D38" i="83"/>
  <c r="D37" i="83"/>
  <c r="B12" i="12"/>
  <c r="C7975" i="3"/>
  <c r="G7975" i="3"/>
  <c r="F7975" i="3"/>
  <c r="G8111" i="3"/>
  <c r="F8111" i="3"/>
  <c r="C8111" i="3"/>
  <c r="G8106" i="3"/>
  <c r="F8106" i="3"/>
  <c r="C8106" i="3"/>
  <c r="B8106" i="3"/>
  <c r="B8112" i="3"/>
  <c r="G8112" i="3"/>
  <c r="F8112" i="3"/>
  <c r="C8112" i="3"/>
  <c r="D8110" i="3"/>
  <c r="J8110" i="3" s="1"/>
  <c r="B8110" i="3"/>
  <c r="G8110" i="3"/>
  <c r="F8110" i="3"/>
  <c r="C8110" i="3"/>
  <c r="B8105" i="3"/>
  <c r="C8105" i="3"/>
  <c r="F8105" i="3"/>
  <c r="G8105" i="3"/>
  <c r="B8101" i="3"/>
  <c r="G8101" i="3"/>
  <c r="F8101" i="3"/>
  <c r="C8101" i="3"/>
  <c r="B8096" i="3"/>
  <c r="G8096" i="3"/>
  <c r="F8096" i="3"/>
  <c r="C8096" i="3"/>
  <c r="B22" i="12"/>
  <c r="D22" i="12" s="1"/>
  <c r="B31" i="150" s="1"/>
  <c r="B21" i="12"/>
  <c r="H21" i="12" s="1"/>
  <c r="B8108" i="3"/>
  <c r="B8109" i="3"/>
  <c r="B8107" i="3"/>
  <c r="B8103" i="3"/>
  <c r="B8104" i="3"/>
  <c r="B8102" i="3"/>
  <c r="C8103" i="3"/>
  <c r="C8104" i="3"/>
  <c r="C8107" i="3"/>
  <c r="C8108" i="3"/>
  <c r="C8109" i="3"/>
  <c r="C8102" i="3"/>
  <c r="C8094" i="3"/>
  <c r="C8095" i="3"/>
  <c r="C8097" i="3"/>
  <c r="C8098" i="3"/>
  <c r="C8099" i="3"/>
  <c r="C8093" i="3"/>
  <c r="B8098" i="3"/>
  <c r="B8099" i="3"/>
  <c r="B8097" i="3"/>
  <c r="B8094" i="3"/>
  <c r="B8095" i="3"/>
  <c r="B8093" i="3"/>
  <c r="G8109" i="3"/>
  <c r="F8109" i="3"/>
  <c r="G8108" i="3"/>
  <c r="F8108" i="3"/>
  <c r="G8107" i="3"/>
  <c r="F8107" i="3"/>
  <c r="G8104" i="3"/>
  <c r="F8104" i="3"/>
  <c r="G8103" i="3"/>
  <c r="F8103" i="3"/>
  <c r="G8102" i="3"/>
  <c r="F8102" i="3"/>
  <c r="G8099" i="3"/>
  <c r="F8099" i="3"/>
  <c r="G8098" i="3"/>
  <c r="F8098" i="3"/>
  <c r="G8097" i="3"/>
  <c r="F8097" i="3"/>
  <c r="G8095" i="3"/>
  <c r="F8095" i="3"/>
  <c r="G8094" i="3"/>
  <c r="F8094" i="3"/>
  <c r="G8093" i="3"/>
  <c r="F8093" i="3"/>
  <c r="C8088" i="3"/>
  <c r="C8089" i="3"/>
  <c r="C8090" i="3"/>
  <c r="C8091" i="3"/>
  <c r="C8092" i="3"/>
  <c r="C8087" i="3"/>
  <c r="C8082" i="3"/>
  <c r="C8083" i="3"/>
  <c r="C8084" i="3"/>
  <c r="C8085" i="3"/>
  <c r="C8086" i="3"/>
  <c r="C8081" i="3"/>
  <c r="B8091" i="3"/>
  <c r="B8092" i="3"/>
  <c r="B8090" i="3"/>
  <c r="B8088" i="3"/>
  <c r="B8089" i="3"/>
  <c r="B8087" i="3"/>
  <c r="B8085" i="3"/>
  <c r="B8086" i="3"/>
  <c r="B8084" i="3"/>
  <c r="B8082" i="3"/>
  <c r="B8083" i="3"/>
  <c r="B8081" i="3"/>
  <c r="G8086" i="3"/>
  <c r="F8086" i="3"/>
  <c r="G8085" i="3"/>
  <c r="F8085" i="3"/>
  <c r="G8084" i="3"/>
  <c r="F8084" i="3"/>
  <c r="G8083" i="3"/>
  <c r="F8083" i="3"/>
  <c r="G8082" i="3"/>
  <c r="F8082" i="3"/>
  <c r="G8081" i="3"/>
  <c r="F8081" i="3"/>
  <c r="G8092" i="3"/>
  <c r="F8092" i="3"/>
  <c r="G8091" i="3"/>
  <c r="F8091" i="3"/>
  <c r="G8090" i="3"/>
  <c r="F8090" i="3"/>
  <c r="G8089" i="3"/>
  <c r="F8089" i="3"/>
  <c r="G8088" i="3"/>
  <c r="F8088" i="3"/>
  <c r="G8087" i="3"/>
  <c r="F8087" i="3"/>
  <c r="C8080" i="3"/>
  <c r="C8079" i="3"/>
  <c r="C8078" i="3"/>
  <c r="C8077" i="3"/>
  <c r="C8076" i="3"/>
  <c r="C8075" i="3"/>
  <c r="C8074" i="3"/>
  <c r="C8073" i="3"/>
  <c r="C8072" i="3"/>
  <c r="C8071" i="3"/>
  <c r="C8070" i="3"/>
  <c r="C8069" i="3"/>
  <c r="C8062" i="3"/>
  <c r="C8061" i="3"/>
  <c r="C8060" i="3"/>
  <c r="C8059" i="3"/>
  <c r="C8058" i="3"/>
  <c r="C8057" i="3"/>
  <c r="C8056" i="3"/>
  <c r="C8055" i="3"/>
  <c r="C8054" i="3"/>
  <c r="C8053" i="3"/>
  <c r="C8052" i="3"/>
  <c r="C8051" i="3"/>
  <c r="C8050" i="3"/>
  <c r="C8049" i="3"/>
  <c r="C8048" i="3"/>
  <c r="C8047" i="3"/>
  <c r="C8046" i="3"/>
  <c r="C8045" i="3"/>
  <c r="C8044" i="3"/>
  <c r="C8043" i="3"/>
  <c r="C8042" i="3"/>
  <c r="C8041" i="3"/>
  <c r="C8040" i="3"/>
  <c r="C8039" i="3"/>
  <c r="C8038" i="3"/>
  <c r="C8037" i="3"/>
  <c r="C8036" i="3"/>
  <c r="C8035" i="3"/>
  <c r="C8034" i="3"/>
  <c r="C8033" i="3"/>
  <c r="C8032" i="3"/>
  <c r="C8031" i="3"/>
  <c r="C8030" i="3"/>
  <c r="C8029" i="3"/>
  <c r="C8028" i="3"/>
  <c r="C8027" i="3"/>
  <c r="C8026" i="3"/>
  <c r="C8025" i="3"/>
  <c r="C8024" i="3"/>
  <c r="C8023" i="3"/>
  <c r="C8022" i="3"/>
  <c r="C8021" i="3"/>
  <c r="A67" i="150"/>
  <c r="B67" i="150"/>
  <c r="C67" i="150"/>
  <c r="A68" i="150"/>
  <c r="B68" i="150"/>
  <c r="C68" i="150"/>
  <c r="A69" i="150"/>
  <c r="B69" i="150"/>
  <c r="C69" i="150"/>
  <c r="A70" i="150"/>
  <c r="B70" i="150"/>
  <c r="C70" i="150"/>
  <c r="A71" i="150"/>
  <c r="B71" i="150"/>
  <c r="C71" i="150"/>
  <c r="A72" i="150"/>
  <c r="B72" i="150"/>
  <c r="C72" i="150"/>
  <c r="A73" i="150"/>
  <c r="B73" i="150"/>
  <c r="C73" i="150"/>
  <c r="A74" i="150"/>
  <c r="B74" i="150"/>
  <c r="C74" i="150"/>
  <c r="A75" i="150"/>
  <c r="B75" i="150"/>
  <c r="C75" i="150"/>
  <c r="A76" i="150"/>
  <c r="B76" i="150"/>
  <c r="C76" i="150"/>
  <c r="A77" i="150"/>
  <c r="B77" i="150"/>
  <c r="C77" i="150"/>
  <c r="A78" i="150"/>
  <c r="B78" i="150"/>
  <c r="C78" i="150"/>
  <c r="A79" i="150"/>
  <c r="B79" i="150"/>
  <c r="C79" i="150"/>
  <c r="A80" i="150"/>
  <c r="B80" i="150"/>
  <c r="C80" i="150"/>
  <c r="A81" i="150"/>
  <c r="B81" i="150"/>
  <c r="C81" i="150"/>
  <c r="A82" i="150"/>
  <c r="B82" i="150"/>
  <c r="C82" i="150"/>
  <c r="A83" i="150"/>
  <c r="B83" i="150"/>
  <c r="C83" i="150"/>
  <c r="A84" i="150"/>
  <c r="B84" i="150"/>
  <c r="C84" i="150"/>
  <c r="A85" i="150"/>
  <c r="B85" i="150"/>
  <c r="C85" i="150"/>
  <c r="A86" i="150"/>
  <c r="B86" i="150"/>
  <c r="C86" i="150"/>
  <c r="A87" i="150"/>
  <c r="B87" i="150"/>
  <c r="C87" i="150"/>
  <c r="A88" i="150"/>
  <c r="B88" i="150"/>
  <c r="C88" i="150"/>
  <c r="A89" i="150"/>
  <c r="B89" i="150"/>
  <c r="C89" i="150"/>
  <c r="A90" i="150"/>
  <c r="B90" i="150"/>
  <c r="C90" i="150"/>
  <c r="A91" i="150"/>
  <c r="B91" i="150"/>
  <c r="C91" i="150"/>
  <c r="A92" i="150"/>
  <c r="B92" i="150"/>
  <c r="C92" i="150"/>
  <c r="A93" i="150"/>
  <c r="B93" i="150"/>
  <c r="C93" i="150"/>
  <c r="A94" i="150"/>
  <c r="B94" i="150"/>
  <c r="C94" i="150"/>
  <c r="A95" i="150"/>
  <c r="B95" i="150"/>
  <c r="C95" i="150"/>
  <c r="A96" i="150"/>
  <c r="B96" i="150"/>
  <c r="C96" i="150"/>
  <c r="A97" i="150"/>
  <c r="B97" i="150"/>
  <c r="C97" i="150"/>
  <c r="A98" i="150"/>
  <c r="B98" i="150"/>
  <c r="C98" i="150"/>
  <c r="A99" i="150"/>
  <c r="B99" i="150"/>
  <c r="C99" i="150"/>
  <c r="A100" i="150"/>
  <c r="B100" i="150"/>
  <c r="C100" i="150"/>
  <c r="A101" i="150"/>
  <c r="B101" i="150"/>
  <c r="C101" i="150"/>
  <c r="A102" i="150"/>
  <c r="B102" i="150"/>
  <c r="C102" i="150"/>
  <c r="A103" i="150"/>
  <c r="B103" i="150"/>
  <c r="C103" i="150"/>
  <c r="A104" i="150"/>
  <c r="B104" i="150"/>
  <c r="C104" i="150"/>
  <c r="A105" i="150"/>
  <c r="B105" i="150"/>
  <c r="C105" i="150"/>
  <c r="A106" i="150"/>
  <c r="B106" i="150"/>
  <c r="C106" i="150"/>
  <c r="A107" i="150"/>
  <c r="B107" i="150"/>
  <c r="C107" i="150"/>
  <c r="A108" i="150"/>
  <c r="B108" i="150"/>
  <c r="C108" i="150"/>
  <c r="A109" i="150"/>
  <c r="B109" i="150"/>
  <c r="C109" i="150"/>
  <c r="A110" i="150"/>
  <c r="B110" i="150"/>
  <c r="C110" i="150"/>
  <c r="A111" i="150"/>
  <c r="B111" i="150"/>
  <c r="C111" i="150"/>
  <c r="A112" i="150"/>
  <c r="B112" i="150"/>
  <c r="C112" i="150"/>
  <c r="A113" i="150"/>
  <c r="B113" i="150"/>
  <c r="C113" i="150"/>
  <c r="A114" i="150"/>
  <c r="B114" i="150"/>
  <c r="C114" i="150"/>
  <c r="A115" i="150"/>
  <c r="B115" i="150"/>
  <c r="C115" i="150"/>
  <c r="A116" i="150"/>
  <c r="B116" i="150"/>
  <c r="C116" i="150"/>
  <c r="A117" i="150"/>
  <c r="B117" i="150"/>
  <c r="C117" i="150"/>
  <c r="A118" i="150"/>
  <c r="B118" i="150"/>
  <c r="C118" i="150"/>
  <c r="A119" i="150"/>
  <c r="B119" i="150"/>
  <c r="C119" i="150"/>
  <c r="A120" i="150"/>
  <c r="B120" i="150"/>
  <c r="C120" i="150"/>
  <c r="A121" i="150"/>
  <c r="B121" i="150"/>
  <c r="C121" i="150"/>
  <c r="A122" i="150"/>
  <c r="B122" i="150"/>
  <c r="C122" i="150"/>
  <c r="A123" i="150"/>
  <c r="B123" i="150"/>
  <c r="C123" i="150"/>
  <c r="A124" i="150"/>
  <c r="B124" i="150"/>
  <c r="C124" i="150"/>
  <c r="A125" i="150"/>
  <c r="B125" i="150"/>
  <c r="C125" i="150"/>
  <c r="A126" i="150"/>
  <c r="B126" i="150"/>
  <c r="C126" i="150"/>
  <c r="A127" i="150"/>
  <c r="B127" i="150"/>
  <c r="C127" i="150"/>
  <c r="A128" i="150"/>
  <c r="B128" i="150"/>
  <c r="C128" i="150"/>
  <c r="A129" i="150"/>
  <c r="B129" i="150"/>
  <c r="C129" i="150"/>
  <c r="A130" i="150"/>
  <c r="B130" i="150"/>
  <c r="C130" i="150"/>
  <c r="A131" i="150"/>
  <c r="B131" i="150"/>
  <c r="C131" i="150"/>
  <c r="A132" i="150"/>
  <c r="B132" i="150"/>
  <c r="C132" i="150"/>
  <c r="A133" i="150"/>
  <c r="B133" i="150"/>
  <c r="C133" i="150"/>
  <c r="A134" i="150"/>
  <c r="B134" i="150"/>
  <c r="C134" i="150"/>
  <c r="D8109" i="3" a="1"/>
  <c r="D8103" i="3" a="1"/>
  <c r="D8091" i="3" a="1"/>
  <c r="D8108" i="3" a="1"/>
  <c r="D8085" i="3" a="1"/>
  <c r="D8104" i="3" a="1"/>
  <c r="D8095" i="3" a="1"/>
  <c r="D8107" i="3" a="1"/>
  <c r="D8093" i="3" a="1"/>
  <c r="D8102" i="3" a="1"/>
  <c r="D8084" i="3" a="1"/>
  <c r="D8090" i="3" a="1"/>
  <c r="D8092" i="3" a="1"/>
  <c r="D8094" i="3" a="1"/>
  <c r="D8097" i="3" a="1"/>
  <c r="D8086" i="3" a="1"/>
  <c r="D8099" i="3" a="1"/>
  <c r="D8098" i="3" a="1"/>
  <c r="B12" i="195" l="1"/>
  <c r="D12" i="195" s="1"/>
  <c r="H12" i="12"/>
  <c r="D8105" i="3"/>
  <c r="J8105" i="3" s="1"/>
  <c r="H22" i="12"/>
  <c r="D21" i="12"/>
  <c r="D8112" i="3" s="1"/>
  <c r="J8112" i="3" s="1"/>
  <c r="D8107" i="3"/>
  <c r="D8104" i="3"/>
  <c r="D8103" i="3"/>
  <c r="D8109" i="3"/>
  <c r="D8102" i="3"/>
  <c r="D8108" i="3"/>
  <c r="D8098" i="3"/>
  <c r="D8095" i="3"/>
  <c r="D8093" i="3"/>
  <c r="D8097" i="3"/>
  <c r="D8094" i="3"/>
  <c r="D8099" i="3"/>
  <c r="D8086" i="3"/>
  <c r="D8084" i="3"/>
  <c r="D8085" i="3"/>
  <c r="D8090" i="3"/>
  <c r="D8092" i="3"/>
  <c r="D8091" i="3"/>
  <c r="B24" i="10"/>
  <c r="A5" i="10"/>
  <c r="B17" i="197"/>
  <c r="A5" i="197"/>
  <c r="C15" i="197"/>
  <c r="B14" i="197"/>
  <c r="B13" i="197"/>
  <c r="B12" i="197"/>
  <c r="H12" i="197" s="1"/>
  <c r="B11" i="197"/>
  <c r="B10" i="197"/>
  <c r="H10" i="197" s="1"/>
  <c r="C9" i="197"/>
  <c r="B8" i="197"/>
  <c r="B7" i="197"/>
  <c r="D6" i="197"/>
  <c r="C6" i="197"/>
  <c r="A2" i="197"/>
  <c r="A1" i="197"/>
  <c r="A21" i="150"/>
  <c r="B23" i="79"/>
  <c r="A5" i="79"/>
  <c r="A5" i="196"/>
  <c r="B33" i="196"/>
  <c r="A2" i="196"/>
  <c r="A1" i="196"/>
  <c r="C31" i="7"/>
  <c r="C38" i="83" s="1"/>
  <c r="F18" i="195" s="1"/>
  <c r="H8110" i="3"/>
  <c r="I8110" i="3"/>
  <c r="D14" i="197" l="1"/>
  <c r="B14" i="76"/>
  <c r="D13" i="197"/>
  <c r="B13" i="76"/>
  <c r="D12" i="197"/>
  <c r="B12" i="76"/>
  <c r="H11" i="197"/>
  <c r="D8111" i="3"/>
  <c r="D8106" i="3"/>
  <c r="J8106" i="3" s="1"/>
  <c r="B11" i="76"/>
  <c r="D10" i="197"/>
  <c r="B10" i="76"/>
  <c r="D8" i="197"/>
  <c r="B8" i="76"/>
  <c r="H8" i="197"/>
  <c r="D7975" i="3"/>
  <c r="B7" i="76"/>
  <c r="B9" i="197"/>
  <c r="H7" i="197"/>
  <c r="D7" i="197"/>
  <c r="D9" i="197"/>
  <c r="H8112" i="3"/>
  <c r="H8105" i="3"/>
  <c r="I8112" i="3"/>
  <c r="I8105" i="3"/>
  <c r="J8108" i="3"/>
  <c r="I8108" i="3"/>
  <c r="H8108" i="3"/>
  <c r="J8102" i="3"/>
  <c r="I8102" i="3"/>
  <c r="H8102" i="3"/>
  <c r="J8109" i="3"/>
  <c r="I8109" i="3"/>
  <c r="H8109" i="3"/>
  <c r="J8103" i="3"/>
  <c r="I8103" i="3"/>
  <c r="H8103" i="3"/>
  <c r="J8104" i="3"/>
  <c r="I8104" i="3"/>
  <c r="H8104" i="3"/>
  <c r="J8107" i="3"/>
  <c r="I8107" i="3"/>
  <c r="H8107" i="3"/>
  <c r="J8099" i="3"/>
  <c r="I8099" i="3"/>
  <c r="H8099" i="3"/>
  <c r="J8094" i="3"/>
  <c r="I8094" i="3"/>
  <c r="H8094" i="3"/>
  <c r="J8097" i="3"/>
  <c r="I8097" i="3"/>
  <c r="H8097" i="3"/>
  <c r="J8093" i="3"/>
  <c r="I8093" i="3"/>
  <c r="H8093" i="3"/>
  <c r="J8095" i="3"/>
  <c r="I8095" i="3"/>
  <c r="H8095" i="3"/>
  <c r="J8098" i="3"/>
  <c r="I8098" i="3"/>
  <c r="H8098" i="3"/>
  <c r="J8086" i="3"/>
  <c r="I8086" i="3"/>
  <c r="H8086" i="3"/>
  <c r="J8085" i="3"/>
  <c r="I8085" i="3"/>
  <c r="H8085" i="3"/>
  <c r="J8084" i="3"/>
  <c r="I8084" i="3"/>
  <c r="H8084" i="3"/>
  <c r="J8091" i="3"/>
  <c r="I8091" i="3"/>
  <c r="H8091" i="3"/>
  <c r="J8092" i="3"/>
  <c r="H8092" i="3"/>
  <c r="I8092" i="3"/>
  <c r="J8090" i="3"/>
  <c r="I8090" i="3"/>
  <c r="H8090" i="3"/>
  <c r="D11" i="197"/>
  <c r="B15" i="197"/>
  <c r="D15" i="197" s="1"/>
  <c r="H13" i="197"/>
  <c r="H14" i="197"/>
  <c r="I7975" i="3"/>
  <c r="H7975" i="3"/>
  <c r="B52" i="150" l="1"/>
  <c r="B37" i="150"/>
  <c r="I8106" i="3"/>
  <c r="H8106" i="3"/>
  <c r="I8111" i="3"/>
  <c r="J8111" i="3"/>
  <c r="H8111" i="3"/>
  <c r="J7975" i="3"/>
  <c r="D1938" i="3"/>
  <c r="J1938" i="3" s="1"/>
  <c r="D1937" i="3"/>
  <c r="J1937" i="3" s="1"/>
  <c r="D1936" i="3"/>
  <c r="J1936" i="3" s="1"/>
  <c r="D1935" i="3"/>
  <c r="J1935" i="3" s="1"/>
  <c r="D1934" i="3"/>
  <c r="J1934" i="3" s="1"/>
  <c r="D1933" i="3"/>
  <c r="J1933" i="3" s="1"/>
  <c r="D1932" i="3"/>
  <c r="J1932" i="3" s="1"/>
  <c r="D1931" i="3"/>
  <c r="J1931" i="3" s="1"/>
  <c r="D1930" i="3"/>
  <c r="J1930" i="3" s="1"/>
  <c r="D1929" i="3"/>
  <c r="I1929" i="3" s="1"/>
  <c r="D1928" i="3"/>
  <c r="J1928" i="3" s="1"/>
  <c r="I1923" i="3"/>
  <c r="J1921" i="3"/>
  <c r="J1920" i="3"/>
  <c r="J1919" i="3"/>
  <c r="I1918" i="3"/>
  <c r="I1917" i="3"/>
  <c r="I1916" i="3"/>
  <c r="J1914" i="3"/>
  <c r="J1913" i="3"/>
  <c r="C1938" i="3"/>
  <c r="B1938" i="3"/>
  <c r="C1937" i="3"/>
  <c r="B1937" i="3"/>
  <c r="C1936" i="3"/>
  <c r="B1936" i="3"/>
  <c r="C1935" i="3"/>
  <c r="B1935" i="3"/>
  <c r="C1934" i="3"/>
  <c r="B1934" i="3"/>
  <c r="C1933" i="3"/>
  <c r="B1933" i="3"/>
  <c r="C1932" i="3"/>
  <c r="B1932" i="3"/>
  <c r="C1931" i="3"/>
  <c r="B1931" i="3"/>
  <c r="C1930" i="3"/>
  <c r="B1930" i="3"/>
  <c r="C1929" i="3"/>
  <c r="B1929" i="3"/>
  <c r="C1928" i="3"/>
  <c r="B1928" i="3"/>
  <c r="C1927" i="3"/>
  <c r="B1927" i="3"/>
  <c r="C1926" i="3"/>
  <c r="B1926" i="3"/>
  <c r="C1925" i="3"/>
  <c r="B1925" i="3"/>
  <c r="C1924" i="3"/>
  <c r="B1924" i="3"/>
  <c r="C1923" i="3"/>
  <c r="B1923" i="3"/>
  <c r="C1922" i="3"/>
  <c r="B1922" i="3"/>
  <c r="C1921" i="3"/>
  <c r="B1921" i="3"/>
  <c r="C1920" i="3"/>
  <c r="B1920" i="3"/>
  <c r="C1919" i="3"/>
  <c r="B1919" i="3"/>
  <c r="C1918" i="3"/>
  <c r="B1918" i="3"/>
  <c r="C1917" i="3"/>
  <c r="B1917" i="3"/>
  <c r="C1916" i="3"/>
  <c r="B1916" i="3"/>
  <c r="C1915" i="3"/>
  <c r="B1915" i="3"/>
  <c r="C1914" i="3"/>
  <c r="B1914" i="3"/>
  <c r="C1913" i="3"/>
  <c r="B1913" i="3"/>
  <c r="C1912" i="3"/>
  <c r="B1912" i="3"/>
  <c r="C1911" i="3"/>
  <c r="B1911" i="3"/>
  <c r="C1910" i="3"/>
  <c r="B1910" i="3"/>
  <c r="C1909" i="3"/>
  <c r="B1909" i="3"/>
  <c r="G1938" i="3"/>
  <c r="F1938" i="3"/>
  <c r="G1937" i="3"/>
  <c r="F1937" i="3"/>
  <c r="G1936" i="3"/>
  <c r="F1936" i="3"/>
  <c r="G1935" i="3"/>
  <c r="F1935" i="3"/>
  <c r="G1934" i="3"/>
  <c r="F1934" i="3"/>
  <c r="G1933" i="3"/>
  <c r="F1933" i="3"/>
  <c r="G1932" i="3"/>
  <c r="F1932" i="3"/>
  <c r="G1931" i="3"/>
  <c r="F1931" i="3"/>
  <c r="G1930" i="3"/>
  <c r="F1930" i="3"/>
  <c r="G1929" i="3"/>
  <c r="F1929" i="3"/>
  <c r="G1928" i="3"/>
  <c r="F1928" i="3"/>
  <c r="G1927" i="3"/>
  <c r="F1927" i="3"/>
  <c r="G1926" i="3"/>
  <c r="F1926" i="3"/>
  <c r="G1925" i="3"/>
  <c r="F1925" i="3"/>
  <c r="G1924" i="3"/>
  <c r="F1924" i="3"/>
  <c r="G1923" i="3"/>
  <c r="F1923" i="3"/>
  <c r="G1922" i="3"/>
  <c r="F1922" i="3"/>
  <c r="G1921" i="3"/>
  <c r="F1921" i="3"/>
  <c r="G1920" i="3"/>
  <c r="F1920" i="3"/>
  <c r="G1919" i="3"/>
  <c r="F1919" i="3"/>
  <c r="G1918" i="3"/>
  <c r="F1918" i="3"/>
  <c r="G1917" i="3"/>
  <c r="F1917" i="3"/>
  <c r="G1916" i="3"/>
  <c r="F1916" i="3"/>
  <c r="G1915" i="3"/>
  <c r="F1915" i="3"/>
  <c r="G1914" i="3"/>
  <c r="F1914" i="3"/>
  <c r="G1913" i="3"/>
  <c r="F1913" i="3"/>
  <c r="G1912" i="3"/>
  <c r="F1912" i="3"/>
  <c r="G1911" i="3"/>
  <c r="F1911" i="3"/>
  <c r="G1910" i="3"/>
  <c r="F1910" i="3"/>
  <c r="G1909" i="3"/>
  <c r="F1909" i="3"/>
  <c r="B4047" i="3"/>
  <c r="B4048" i="3"/>
  <c r="B4049" i="3"/>
  <c r="B4050" i="3"/>
  <c r="B4051" i="3"/>
  <c r="B4052" i="3"/>
  <c r="B4053" i="3"/>
  <c r="B4054" i="3"/>
  <c r="B4055" i="3"/>
  <c r="B4056" i="3"/>
  <c r="B4057" i="3"/>
  <c r="B4058" i="3"/>
  <c r="B4059" i="3"/>
  <c r="B4060" i="3"/>
  <c r="B4061" i="3"/>
  <c r="B4062" i="3"/>
  <c r="B4063" i="3"/>
  <c r="B4064" i="3"/>
  <c r="B4065" i="3"/>
  <c r="B4066" i="3"/>
  <c r="B4067" i="3"/>
  <c r="B4068" i="3"/>
  <c r="B4069" i="3"/>
  <c r="B4070" i="3"/>
  <c r="B4071" i="3"/>
  <c r="B4072" i="3"/>
  <c r="B4073" i="3"/>
  <c r="B4074" i="3"/>
  <c r="B4075" i="3"/>
  <c r="B4076" i="3"/>
  <c r="B4077" i="3"/>
  <c r="B4078" i="3"/>
  <c r="B4079" i="3"/>
  <c r="B4080" i="3"/>
  <c r="B4081" i="3"/>
  <c r="B4082" i="3"/>
  <c r="B4083" i="3"/>
  <c r="B4084" i="3"/>
  <c r="B4085" i="3"/>
  <c r="B4086" i="3"/>
  <c r="B4087" i="3"/>
  <c r="B4088" i="3"/>
  <c r="B4089" i="3"/>
  <c r="B4090" i="3"/>
  <c r="B4046" i="3"/>
  <c r="G4090" i="3"/>
  <c r="F4090" i="3"/>
  <c r="C4090" i="3"/>
  <c r="G4089" i="3"/>
  <c r="F4089" i="3"/>
  <c r="C4089" i="3"/>
  <c r="G4088" i="3"/>
  <c r="F4088" i="3"/>
  <c r="C4088" i="3"/>
  <c r="G4087" i="3"/>
  <c r="F4087" i="3"/>
  <c r="C4087" i="3"/>
  <c r="G4086" i="3"/>
  <c r="F4086" i="3"/>
  <c r="C4086" i="3"/>
  <c r="G4085" i="3"/>
  <c r="F4085" i="3"/>
  <c r="C4085" i="3"/>
  <c r="G4084" i="3"/>
  <c r="F4084" i="3"/>
  <c r="C4084" i="3"/>
  <c r="G4083" i="3"/>
  <c r="F4083" i="3"/>
  <c r="C4083" i="3"/>
  <c r="G4082" i="3"/>
  <c r="F4082" i="3"/>
  <c r="C4082" i="3"/>
  <c r="G4081" i="3"/>
  <c r="F4081" i="3"/>
  <c r="C4081" i="3"/>
  <c r="G4080" i="3"/>
  <c r="F4080" i="3"/>
  <c r="C4080" i="3"/>
  <c r="G4079" i="3"/>
  <c r="F4079" i="3"/>
  <c r="C4079" i="3"/>
  <c r="G4078" i="3"/>
  <c r="F4078" i="3"/>
  <c r="C4078" i="3"/>
  <c r="G4077" i="3"/>
  <c r="F4077" i="3"/>
  <c r="C4077" i="3"/>
  <c r="G4076" i="3"/>
  <c r="F4076" i="3"/>
  <c r="C4076" i="3"/>
  <c r="G4075" i="3"/>
  <c r="F4075" i="3"/>
  <c r="C4075" i="3"/>
  <c r="G4074" i="3"/>
  <c r="F4074" i="3"/>
  <c r="C4074" i="3"/>
  <c r="G4073" i="3"/>
  <c r="F4073" i="3"/>
  <c r="C4073" i="3"/>
  <c r="G4072" i="3"/>
  <c r="F4072" i="3"/>
  <c r="C4072" i="3"/>
  <c r="G4071" i="3"/>
  <c r="F4071" i="3"/>
  <c r="C4071" i="3"/>
  <c r="G4070" i="3"/>
  <c r="F4070" i="3"/>
  <c r="C4070" i="3"/>
  <c r="G4069" i="3"/>
  <c r="F4069" i="3"/>
  <c r="C4069" i="3"/>
  <c r="G4068" i="3"/>
  <c r="F4068" i="3"/>
  <c r="C4068" i="3"/>
  <c r="G4067" i="3"/>
  <c r="F4067" i="3"/>
  <c r="C4067" i="3"/>
  <c r="G4066" i="3"/>
  <c r="F4066" i="3"/>
  <c r="C4066" i="3"/>
  <c r="G4065" i="3"/>
  <c r="F4065" i="3"/>
  <c r="C4065" i="3"/>
  <c r="G4064" i="3"/>
  <c r="F4064" i="3"/>
  <c r="C4064" i="3"/>
  <c r="G4063" i="3"/>
  <c r="F4063" i="3"/>
  <c r="C4063" i="3"/>
  <c r="G4062" i="3"/>
  <c r="F4062" i="3"/>
  <c r="C4062" i="3"/>
  <c r="G4061" i="3"/>
  <c r="F4061" i="3"/>
  <c r="C4061" i="3"/>
  <c r="G4060" i="3"/>
  <c r="F4060" i="3"/>
  <c r="C4060" i="3"/>
  <c r="G4059" i="3"/>
  <c r="F4059" i="3"/>
  <c r="C4059" i="3"/>
  <c r="G4058" i="3"/>
  <c r="F4058" i="3"/>
  <c r="C4058" i="3"/>
  <c r="G4057" i="3"/>
  <c r="F4057" i="3"/>
  <c r="C4057" i="3"/>
  <c r="G4056" i="3"/>
  <c r="F4056" i="3"/>
  <c r="C4056" i="3"/>
  <c r="G4055" i="3"/>
  <c r="F4055" i="3"/>
  <c r="C4055" i="3"/>
  <c r="G4054" i="3"/>
  <c r="F4054" i="3"/>
  <c r="C4054" i="3"/>
  <c r="G4053" i="3"/>
  <c r="F4053" i="3"/>
  <c r="C4053" i="3"/>
  <c r="G4052" i="3"/>
  <c r="F4052" i="3"/>
  <c r="C4052" i="3"/>
  <c r="G4051" i="3"/>
  <c r="F4051" i="3"/>
  <c r="C4051" i="3"/>
  <c r="G4050" i="3"/>
  <c r="F4050" i="3"/>
  <c r="C4050" i="3"/>
  <c r="G4049" i="3"/>
  <c r="F4049" i="3"/>
  <c r="C4049" i="3"/>
  <c r="G4048" i="3"/>
  <c r="F4048" i="3"/>
  <c r="C4048" i="3"/>
  <c r="G4047" i="3"/>
  <c r="F4047" i="3"/>
  <c r="C4047" i="3"/>
  <c r="G4046" i="3"/>
  <c r="F4046" i="3"/>
  <c r="C4046" i="3"/>
  <c r="B3957" i="3"/>
  <c r="B3958" i="3"/>
  <c r="B3959" i="3"/>
  <c r="B3960" i="3"/>
  <c r="B3961" i="3"/>
  <c r="B3962" i="3"/>
  <c r="B3963" i="3"/>
  <c r="B3964" i="3"/>
  <c r="B3965" i="3"/>
  <c r="B3966" i="3"/>
  <c r="B3967" i="3"/>
  <c r="B3968" i="3"/>
  <c r="B3969" i="3"/>
  <c r="B3970" i="3"/>
  <c r="B3971" i="3"/>
  <c r="B3972" i="3"/>
  <c r="B3973" i="3"/>
  <c r="B3974" i="3"/>
  <c r="B3975" i="3"/>
  <c r="B3976" i="3"/>
  <c r="B3977" i="3"/>
  <c r="B3978" i="3"/>
  <c r="B3979" i="3"/>
  <c r="B3980" i="3"/>
  <c r="B3981" i="3"/>
  <c r="B3982" i="3"/>
  <c r="B3983" i="3"/>
  <c r="B3984" i="3"/>
  <c r="B3985" i="3"/>
  <c r="B3986" i="3"/>
  <c r="B3987" i="3"/>
  <c r="B3988" i="3"/>
  <c r="B3989" i="3"/>
  <c r="B3990" i="3"/>
  <c r="B3991" i="3"/>
  <c r="B3992" i="3"/>
  <c r="B3993" i="3"/>
  <c r="B3994" i="3"/>
  <c r="B3995" i="3"/>
  <c r="B3996" i="3"/>
  <c r="B3997" i="3"/>
  <c r="B3998" i="3"/>
  <c r="B3999" i="3"/>
  <c r="B4000" i="3"/>
  <c r="B3956" i="3"/>
  <c r="G4000" i="3"/>
  <c r="F4000" i="3"/>
  <c r="C4000" i="3"/>
  <c r="G3999" i="3"/>
  <c r="F3999" i="3"/>
  <c r="C3999" i="3"/>
  <c r="G3998" i="3"/>
  <c r="F3998" i="3"/>
  <c r="C3998" i="3"/>
  <c r="G3997" i="3"/>
  <c r="F3997" i="3"/>
  <c r="C3997" i="3"/>
  <c r="G3996" i="3"/>
  <c r="F3996" i="3"/>
  <c r="C3996" i="3"/>
  <c r="G3995" i="3"/>
  <c r="F3995" i="3"/>
  <c r="C3995" i="3"/>
  <c r="G3994" i="3"/>
  <c r="F3994" i="3"/>
  <c r="C3994" i="3"/>
  <c r="G3993" i="3"/>
  <c r="F3993" i="3"/>
  <c r="C3993" i="3"/>
  <c r="G3992" i="3"/>
  <c r="F3992" i="3"/>
  <c r="C3992" i="3"/>
  <c r="G3991" i="3"/>
  <c r="F3991" i="3"/>
  <c r="C3991" i="3"/>
  <c r="G3990" i="3"/>
  <c r="F3990" i="3"/>
  <c r="C3990" i="3"/>
  <c r="G3989" i="3"/>
  <c r="F3989" i="3"/>
  <c r="C3989" i="3"/>
  <c r="G3988" i="3"/>
  <c r="F3988" i="3"/>
  <c r="C3988" i="3"/>
  <c r="G3987" i="3"/>
  <c r="F3987" i="3"/>
  <c r="C3987" i="3"/>
  <c r="G3986" i="3"/>
  <c r="F3986" i="3"/>
  <c r="C3986" i="3"/>
  <c r="G3985" i="3"/>
  <c r="F3985" i="3"/>
  <c r="C3985" i="3"/>
  <c r="G3984" i="3"/>
  <c r="F3984" i="3"/>
  <c r="C3984" i="3"/>
  <c r="G3983" i="3"/>
  <c r="F3983" i="3"/>
  <c r="C3983" i="3"/>
  <c r="G3982" i="3"/>
  <c r="F3982" i="3"/>
  <c r="C3982" i="3"/>
  <c r="G3981" i="3"/>
  <c r="F3981" i="3"/>
  <c r="C3981" i="3"/>
  <c r="G3980" i="3"/>
  <c r="F3980" i="3"/>
  <c r="C3980" i="3"/>
  <c r="G3979" i="3"/>
  <c r="F3979" i="3"/>
  <c r="C3979" i="3"/>
  <c r="G3978" i="3"/>
  <c r="F3978" i="3"/>
  <c r="C3978" i="3"/>
  <c r="G3977" i="3"/>
  <c r="F3977" i="3"/>
  <c r="C3977" i="3"/>
  <c r="G3976" i="3"/>
  <c r="F3976" i="3"/>
  <c r="C3976" i="3"/>
  <c r="G3975" i="3"/>
  <c r="F3975" i="3"/>
  <c r="C3975" i="3"/>
  <c r="G3974" i="3"/>
  <c r="F3974" i="3"/>
  <c r="C3974" i="3"/>
  <c r="G3973" i="3"/>
  <c r="F3973" i="3"/>
  <c r="C3973" i="3"/>
  <c r="G3972" i="3"/>
  <c r="F3972" i="3"/>
  <c r="C3972" i="3"/>
  <c r="G3971" i="3"/>
  <c r="F3971" i="3"/>
  <c r="C3971" i="3"/>
  <c r="G3970" i="3"/>
  <c r="F3970" i="3"/>
  <c r="C3970" i="3"/>
  <c r="G3969" i="3"/>
  <c r="F3969" i="3"/>
  <c r="C3969" i="3"/>
  <c r="G3968" i="3"/>
  <c r="F3968" i="3"/>
  <c r="C3968" i="3"/>
  <c r="G3967" i="3"/>
  <c r="F3967" i="3"/>
  <c r="C3967" i="3"/>
  <c r="G3966" i="3"/>
  <c r="F3966" i="3"/>
  <c r="C3966" i="3"/>
  <c r="G3965" i="3"/>
  <c r="F3965" i="3"/>
  <c r="C3965" i="3"/>
  <c r="G3964" i="3"/>
  <c r="F3964" i="3"/>
  <c r="C3964" i="3"/>
  <c r="G3963" i="3"/>
  <c r="F3963" i="3"/>
  <c r="C3963" i="3"/>
  <c r="G3962" i="3"/>
  <c r="F3962" i="3"/>
  <c r="C3962" i="3"/>
  <c r="G3961" i="3"/>
  <c r="F3961" i="3"/>
  <c r="C3961" i="3"/>
  <c r="G3960" i="3"/>
  <c r="F3960" i="3"/>
  <c r="C3960" i="3"/>
  <c r="G3959" i="3"/>
  <c r="F3959" i="3"/>
  <c r="C3959" i="3"/>
  <c r="G3958" i="3"/>
  <c r="F3958" i="3"/>
  <c r="C3958" i="3"/>
  <c r="G3957" i="3"/>
  <c r="F3957" i="3"/>
  <c r="C3957" i="3"/>
  <c r="G3956" i="3"/>
  <c r="F3956" i="3"/>
  <c r="C3956" i="3"/>
  <c r="D3910" i="3"/>
  <c r="J3910" i="3" s="1"/>
  <c r="D3909" i="3"/>
  <c r="I3909" i="3" s="1"/>
  <c r="D3908" i="3"/>
  <c r="J3908" i="3" s="1"/>
  <c r="D3907" i="3"/>
  <c r="J3907" i="3" s="1"/>
  <c r="D3906" i="3"/>
  <c r="J3906" i="3" s="1"/>
  <c r="D3905" i="3"/>
  <c r="J3905" i="3" s="1"/>
  <c r="D3904" i="3"/>
  <c r="J3904" i="3" s="1"/>
  <c r="D3903" i="3"/>
  <c r="J3903" i="3" s="1"/>
  <c r="D3902" i="3"/>
  <c r="J3902" i="3" s="1"/>
  <c r="D3901" i="3"/>
  <c r="J3901" i="3" s="1"/>
  <c r="D3900" i="3"/>
  <c r="J3900" i="3" s="1"/>
  <c r="D3899" i="3"/>
  <c r="J3899" i="3" s="1"/>
  <c r="D3898" i="3"/>
  <c r="J3898" i="3" s="1"/>
  <c r="B3910" i="3"/>
  <c r="B3897" i="3"/>
  <c r="B3898" i="3"/>
  <c r="B3899" i="3"/>
  <c r="B3900" i="3"/>
  <c r="B3901" i="3"/>
  <c r="B3902" i="3"/>
  <c r="B3903" i="3"/>
  <c r="B3904" i="3"/>
  <c r="B3905" i="3"/>
  <c r="B3906" i="3"/>
  <c r="B3907" i="3"/>
  <c r="B3908" i="3"/>
  <c r="B3909" i="3"/>
  <c r="B3896" i="3"/>
  <c r="G3910" i="3"/>
  <c r="F3910" i="3"/>
  <c r="C3910" i="3"/>
  <c r="G3909" i="3"/>
  <c r="F3909" i="3"/>
  <c r="C3909" i="3"/>
  <c r="G3908" i="3"/>
  <c r="F3908" i="3"/>
  <c r="C3908" i="3"/>
  <c r="G3907" i="3"/>
  <c r="F3907" i="3"/>
  <c r="C3907" i="3"/>
  <c r="G3906" i="3"/>
  <c r="F3906" i="3"/>
  <c r="C3906" i="3"/>
  <c r="G3905" i="3"/>
  <c r="F3905" i="3"/>
  <c r="C3905" i="3"/>
  <c r="G3904" i="3"/>
  <c r="F3904" i="3"/>
  <c r="C3904" i="3"/>
  <c r="G3903" i="3"/>
  <c r="F3903" i="3"/>
  <c r="C3903" i="3"/>
  <c r="G3902" i="3"/>
  <c r="F3902" i="3"/>
  <c r="C3902" i="3"/>
  <c r="G3901" i="3"/>
  <c r="F3901" i="3"/>
  <c r="C3901" i="3"/>
  <c r="G3900" i="3"/>
  <c r="F3900" i="3"/>
  <c r="C3900" i="3"/>
  <c r="G3899" i="3"/>
  <c r="F3899" i="3"/>
  <c r="C3899" i="3"/>
  <c r="G3898" i="3"/>
  <c r="F3898" i="3"/>
  <c r="C3898" i="3"/>
  <c r="G3897" i="3"/>
  <c r="F3897" i="3"/>
  <c r="C3897" i="3"/>
  <c r="G3896" i="3"/>
  <c r="F3896" i="3"/>
  <c r="C3896" i="3"/>
  <c r="D3880" i="3"/>
  <c r="J3880" i="3" s="1"/>
  <c r="D3879" i="3"/>
  <c r="J3879" i="3" s="1"/>
  <c r="D3878" i="3"/>
  <c r="J3878" i="3" s="1"/>
  <c r="D3877" i="3"/>
  <c r="J3877" i="3" s="1"/>
  <c r="D3876" i="3"/>
  <c r="I3876" i="3" s="1"/>
  <c r="D3875" i="3"/>
  <c r="J3875" i="3" s="1"/>
  <c r="D3874" i="3"/>
  <c r="J3874" i="3" s="1"/>
  <c r="D3873" i="3"/>
  <c r="I3873" i="3" s="1"/>
  <c r="D3872" i="3"/>
  <c r="I3872" i="3" s="1"/>
  <c r="D3871" i="3"/>
  <c r="I3871" i="3" s="1"/>
  <c r="D3870" i="3"/>
  <c r="J3870" i="3" s="1"/>
  <c r="D3869" i="3"/>
  <c r="J3869" i="3" s="1"/>
  <c r="D3868" i="3"/>
  <c r="J3868" i="3" s="1"/>
  <c r="B3867" i="3"/>
  <c r="B3868" i="3"/>
  <c r="B3869" i="3"/>
  <c r="B3870" i="3"/>
  <c r="B3871" i="3"/>
  <c r="B3872" i="3"/>
  <c r="B3873" i="3"/>
  <c r="B3874" i="3"/>
  <c r="B3875" i="3"/>
  <c r="B3876" i="3"/>
  <c r="B3877" i="3"/>
  <c r="B3878" i="3"/>
  <c r="B3879" i="3"/>
  <c r="B3880" i="3"/>
  <c r="B3866" i="3"/>
  <c r="G3880" i="3"/>
  <c r="F3880" i="3"/>
  <c r="C3880" i="3"/>
  <c r="G3879" i="3"/>
  <c r="F3879" i="3"/>
  <c r="C3879" i="3"/>
  <c r="G3878" i="3"/>
  <c r="F3878" i="3"/>
  <c r="C3878" i="3"/>
  <c r="G3877" i="3"/>
  <c r="F3877" i="3"/>
  <c r="C3877" i="3"/>
  <c r="G3876" i="3"/>
  <c r="F3876" i="3"/>
  <c r="C3876" i="3"/>
  <c r="G3875" i="3"/>
  <c r="F3875" i="3"/>
  <c r="C3875" i="3"/>
  <c r="G3874" i="3"/>
  <c r="F3874" i="3"/>
  <c r="C3874" i="3"/>
  <c r="G3873" i="3"/>
  <c r="F3873" i="3"/>
  <c r="C3873" i="3"/>
  <c r="G3872" i="3"/>
  <c r="F3872" i="3"/>
  <c r="C3872" i="3"/>
  <c r="G3871" i="3"/>
  <c r="F3871" i="3"/>
  <c r="C3871" i="3"/>
  <c r="G3870" i="3"/>
  <c r="F3870" i="3"/>
  <c r="C3870" i="3"/>
  <c r="G3869" i="3"/>
  <c r="F3869" i="3"/>
  <c r="C3869" i="3"/>
  <c r="G3868" i="3"/>
  <c r="F3868" i="3"/>
  <c r="C3868" i="3"/>
  <c r="G3867" i="3"/>
  <c r="F3867" i="3"/>
  <c r="C3867" i="3"/>
  <c r="G3866" i="3"/>
  <c r="F3866" i="3"/>
  <c r="C3866" i="3"/>
  <c r="B3807" i="3"/>
  <c r="B3808" i="3"/>
  <c r="B3809" i="3"/>
  <c r="B3810" i="3"/>
  <c r="B3811" i="3"/>
  <c r="B3812" i="3"/>
  <c r="B3813" i="3"/>
  <c r="B3814" i="3"/>
  <c r="B3815" i="3"/>
  <c r="B3816" i="3"/>
  <c r="B3817" i="3"/>
  <c r="B3818" i="3"/>
  <c r="B3819" i="3"/>
  <c r="B3820" i="3"/>
  <c r="B3821" i="3"/>
  <c r="B3822" i="3"/>
  <c r="B3823" i="3"/>
  <c r="B3824" i="3"/>
  <c r="B3825" i="3"/>
  <c r="B3826" i="3"/>
  <c r="B3827" i="3"/>
  <c r="B3828" i="3"/>
  <c r="B3829" i="3"/>
  <c r="B3830" i="3"/>
  <c r="B3831" i="3"/>
  <c r="B3832" i="3"/>
  <c r="B3833" i="3"/>
  <c r="B3834" i="3"/>
  <c r="B3835" i="3"/>
  <c r="B3836" i="3"/>
  <c r="B3837" i="3"/>
  <c r="B3838" i="3"/>
  <c r="B3839" i="3"/>
  <c r="B3840" i="3"/>
  <c r="B3841" i="3"/>
  <c r="B3842" i="3"/>
  <c r="B3843" i="3"/>
  <c r="B3844" i="3"/>
  <c r="B3845" i="3"/>
  <c r="B3846" i="3"/>
  <c r="B3847" i="3"/>
  <c r="B3848" i="3"/>
  <c r="B3849" i="3"/>
  <c r="B3850" i="3"/>
  <c r="B3806" i="3"/>
  <c r="G3850" i="3"/>
  <c r="F3850" i="3"/>
  <c r="C3850" i="3"/>
  <c r="G3849" i="3"/>
  <c r="F3849" i="3"/>
  <c r="C3849" i="3"/>
  <c r="G3848" i="3"/>
  <c r="F3848" i="3"/>
  <c r="C3848" i="3"/>
  <c r="G3847" i="3"/>
  <c r="F3847" i="3"/>
  <c r="C3847" i="3"/>
  <c r="G3846" i="3"/>
  <c r="F3846" i="3"/>
  <c r="C3846" i="3"/>
  <c r="G3845" i="3"/>
  <c r="F3845" i="3"/>
  <c r="C3845" i="3"/>
  <c r="G3844" i="3"/>
  <c r="F3844" i="3"/>
  <c r="C3844" i="3"/>
  <c r="G3843" i="3"/>
  <c r="F3843" i="3"/>
  <c r="C3843" i="3"/>
  <c r="G3842" i="3"/>
  <c r="F3842" i="3"/>
  <c r="C3842" i="3"/>
  <c r="G3841" i="3"/>
  <c r="F3841" i="3"/>
  <c r="C3841" i="3"/>
  <c r="G3840" i="3"/>
  <c r="F3840" i="3"/>
  <c r="C3840" i="3"/>
  <c r="G3839" i="3"/>
  <c r="F3839" i="3"/>
  <c r="C3839" i="3"/>
  <c r="G3838" i="3"/>
  <c r="F3838" i="3"/>
  <c r="C3838" i="3"/>
  <c r="G3837" i="3"/>
  <c r="F3837" i="3"/>
  <c r="C3837" i="3"/>
  <c r="G3836" i="3"/>
  <c r="F3836" i="3"/>
  <c r="C3836" i="3"/>
  <c r="G3835" i="3"/>
  <c r="F3835" i="3"/>
  <c r="C3835" i="3"/>
  <c r="G3834" i="3"/>
  <c r="F3834" i="3"/>
  <c r="C3834" i="3"/>
  <c r="G3833" i="3"/>
  <c r="F3833" i="3"/>
  <c r="C3833" i="3"/>
  <c r="G3832" i="3"/>
  <c r="F3832" i="3"/>
  <c r="C3832" i="3"/>
  <c r="G3831" i="3"/>
  <c r="F3831" i="3"/>
  <c r="C3831" i="3"/>
  <c r="G3830" i="3"/>
  <c r="F3830" i="3"/>
  <c r="C3830" i="3"/>
  <c r="G3829" i="3"/>
  <c r="F3829" i="3"/>
  <c r="C3829" i="3"/>
  <c r="G3828" i="3"/>
  <c r="F3828" i="3"/>
  <c r="C3828" i="3"/>
  <c r="G3827" i="3"/>
  <c r="F3827" i="3"/>
  <c r="C3827" i="3"/>
  <c r="G3826" i="3"/>
  <c r="F3826" i="3"/>
  <c r="C3826" i="3"/>
  <c r="G3825" i="3"/>
  <c r="F3825" i="3"/>
  <c r="C3825" i="3"/>
  <c r="G3824" i="3"/>
  <c r="F3824" i="3"/>
  <c r="C3824" i="3"/>
  <c r="G3823" i="3"/>
  <c r="F3823" i="3"/>
  <c r="C3823" i="3"/>
  <c r="G3822" i="3"/>
  <c r="F3822" i="3"/>
  <c r="C3822" i="3"/>
  <c r="G3821" i="3"/>
  <c r="F3821" i="3"/>
  <c r="C3821" i="3"/>
  <c r="G3820" i="3"/>
  <c r="F3820" i="3"/>
  <c r="C3820" i="3"/>
  <c r="G3819" i="3"/>
  <c r="F3819" i="3"/>
  <c r="C3819" i="3"/>
  <c r="G3818" i="3"/>
  <c r="F3818" i="3"/>
  <c r="C3818" i="3"/>
  <c r="G3817" i="3"/>
  <c r="F3817" i="3"/>
  <c r="C3817" i="3"/>
  <c r="G3816" i="3"/>
  <c r="F3816" i="3"/>
  <c r="C3816" i="3"/>
  <c r="G3815" i="3"/>
  <c r="F3815" i="3"/>
  <c r="C3815" i="3"/>
  <c r="G3814" i="3"/>
  <c r="F3814" i="3"/>
  <c r="C3814" i="3"/>
  <c r="G3813" i="3"/>
  <c r="F3813" i="3"/>
  <c r="C3813" i="3"/>
  <c r="G3812" i="3"/>
  <c r="F3812" i="3"/>
  <c r="C3812" i="3"/>
  <c r="G3811" i="3"/>
  <c r="F3811" i="3"/>
  <c r="C3811" i="3"/>
  <c r="G3810" i="3"/>
  <c r="F3810" i="3"/>
  <c r="C3810" i="3"/>
  <c r="G3809" i="3"/>
  <c r="F3809" i="3"/>
  <c r="C3809" i="3"/>
  <c r="G3808" i="3"/>
  <c r="F3808" i="3"/>
  <c r="C3808" i="3"/>
  <c r="G3807" i="3"/>
  <c r="F3807" i="3"/>
  <c r="C3807" i="3"/>
  <c r="G3806" i="3"/>
  <c r="F3806" i="3"/>
  <c r="C3806" i="3"/>
  <c r="B3717" i="3"/>
  <c r="B3718" i="3"/>
  <c r="B3719" i="3"/>
  <c r="B3720" i="3"/>
  <c r="B3721" i="3"/>
  <c r="B3722" i="3"/>
  <c r="B3723" i="3"/>
  <c r="B3724" i="3"/>
  <c r="B3725" i="3"/>
  <c r="B3726" i="3"/>
  <c r="B3727" i="3"/>
  <c r="B3728" i="3"/>
  <c r="B3729" i="3"/>
  <c r="B3730" i="3"/>
  <c r="B3731" i="3"/>
  <c r="B3732" i="3"/>
  <c r="B3733" i="3"/>
  <c r="B3734" i="3"/>
  <c r="B3735" i="3"/>
  <c r="B3736" i="3"/>
  <c r="B3737" i="3"/>
  <c r="B3738" i="3"/>
  <c r="B3739" i="3"/>
  <c r="B3740" i="3"/>
  <c r="B3741" i="3"/>
  <c r="B3742" i="3"/>
  <c r="B3743" i="3"/>
  <c r="B3744" i="3"/>
  <c r="B3745" i="3"/>
  <c r="B3746" i="3"/>
  <c r="B3747" i="3"/>
  <c r="B3748" i="3"/>
  <c r="B3749" i="3"/>
  <c r="B3750" i="3"/>
  <c r="B3751" i="3"/>
  <c r="B3752" i="3"/>
  <c r="B3753" i="3"/>
  <c r="B3754" i="3"/>
  <c r="B3755" i="3"/>
  <c r="B3756" i="3"/>
  <c r="B3757" i="3"/>
  <c r="B3758" i="3"/>
  <c r="B3759" i="3"/>
  <c r="B3760" i="3"/>
  <c r="B3716" i="3"/>
  <c r="G3760" i="3"/>
  <c r="F3760" i="3"/>
  <c r="C3760" i="3"/>
  <c r="G3759" i="3"/>
  <c r="F3759" i="3"/>
  <c r="C3759" i="3"/>
  <c r="G3758" i="3"/>
  <c r="F3758" i="3"/>
  <c r="C3758" i="3"/>
  <c r="G3757" i="3"/>
  <c r="F3757" i="3"/>
  <c r="C3757" i="3"/>
  <c r="G3756" i="3"/>
  <c r="F3756" i="3"/>
  <c r="C3756" i="3"/>
  <c r="G3755" i="3"/>
  <c r="F3755" i="3"/>
  <c r="C3755" i="3"/>
  <c r="G3754" i="3"/>
  <c r="F3754" i="3"/>
  <c r="C3754" i="3"/>
  <c r="G3753" i="3"/>
  <c r="F3753" i="3"/>
  <c r="C3753" i="3"/>
  <c r="G3752" i="3"/>
  <c r="F3752" i="3"/>
  <c r="C3752" i="3"/>
  <c r="G3751" i="3"/>
  <c r="F3751" i="3"/>
  <c r="C3751" i="3"/>
  <c r="G3750" i="3"/>
  <c r="F3750" i="3"/>
  <c r="C3750" i="3"/>
  <c r="G3749" i="3"/>
  <c r="F3749" i="3"/>
  <c r="C3749" i="3"/>
  <c r="G3748" i="3"/>
  <c r="F3748" i="3"/>
  <c r="C3748" i="3"/>
  <c r="G3747" i="3"/>
  <c r="F3747" i="3"/>
  <c r="C3747" i="3"/>
  <c r="G3746" i="3"/>
  <c r="F3746" i="3"/>
  <c r="C3746" i="3"/>
  <c r="G3745" i="3"/>
  <c r="F3745" i="3"/>
  <c r="C3745" i="3"/>
  <c r="G3744" i="3"/>
  <c r="F3744" i="3"/>
  <c r="C3744" i="3"/>
  <c r="G3743" i="3"/>
  <c r="F3743" i="3"/>
  <c r="C3743" i="3"/>
  <c r="G3742" i="3"/>
  <c r="F3742" i="3"/>
  <c r="C3742" i="3"/>
  <c r="G3741" i="3"/>
  <c r="F3741" i="3"/>
  <c r="C3741" i="3"/>
  <c r="G3740" i="3"/>
  <c r="F3740" i="3"/>
  <c r="C3740" i="3"/>
  <c r="G3739" i="3"/>
  <c r="F3739" i="3"/>
  <c r="C3739" i="3"/>
  <c r="G3738" i="3"/>
  <c r="F3738" i="3"/>
  <c r="C3738" i="3"/>
  <c r="G3737" i="3"/>
  <c r="F3737" i="3"/>
  <c r="C3737" i="3"/>
  <c r="G3736" i="3"/>
  <c r="F3736" i="3"/>
  <c r="C3736" i="3"/>
  <c r="G3735" i="3"/>
  <c r="F3735" i="3"/>
  <c r="C3735" i="3"/>
  <c r="G3734" i="3"/>
  <c r="F3734" i="3"/>
  <c r="C3734" i="3"/>
  <c r="G3733" i="3"/>
  <c r="F3733" i="3"/>
  <c r="C3733" i="3"/>
  <c r="G3732" i="3"/>
  <c r="F3732" i="3"/>
  <c r="C3732" i="3"/>
  <c r="G3731" i="3"/>
  <c r="F3731" i="3"/>
  <c r="C3731" i="3"/>
  <c r="G3730" i="3"/>
  <c r="F3730" i="3"/>
  <c r="C3730" i="3"/>
  <c r="G3729" i="3"/>
  <c r="F3729" i="3"/>
  <c r="C3729" i="3"/>
  <c r="G3728" i="3"/>
  <c r="F3728" i="3"/>
  <c r="C3728" i="3"/>
  <c r="G3727" i="3"/>
  <c r="F3727" i="3"/>
  <c r="C3727" i="3"/>
  <c r="G3726" i="3"/>
  <c r="F3726" i="3"/>
  <c r="C3726" i="3"/>
  <c r="G3725" i="3"/>
  <c r="F3725" i="3"/>
  <c r="C3725" i="3"/>
  <c r="G3724" i="3"/>
  <c r="F3724" i="3"/>
  <c r="C3724" i="3"/>
  <c r="G3723" i="3"/>
  <c r="F3723" i="3"/>
  <c r="C3723" i="3"/>
  <c r="G3722" i="3"/>
  <c r="F3722" i="3"/>
  <c r="C3722" i="3"/>
  <c r="G3721" i="3"/>
  <c r="F3721" i="3"/>
  <c r="C3721" i="3"/>
  <c r="G3720" i="3"/>
  <c r="F3720" i="3"/>
  <c r="C3720" i="3"/>
  <c r="G3719" i="3"/>
  <c r="F3719" i="3"/>
  <c r="C3719" i="3"/>
  <c r="G3718" i="3"/>
  <c r="F3718" i="3"/>
  <c r="C3718" i="3"/>
  <c r="G3717" i="3"/>
  <c r="F3717" i="3"/>
  <c r="C3717" i="3"/>
  <c r="G3716" i="3"/>
  <c r="F3716" i="3"/>
  <c r="C3716" i="3"/>
  <c r="B3627" i="3"/>
  <c r="B3628" i="3"/>
  <c r="B3629" i="3"/>
  <c r="B3630" i="3"/>
  <c r="B3631" i="3"/>
  <c r="B3632" i="3"/>
  <c r="B3633" i="3"/>
  <c r="B3634" i="3"/>
  <c r="B3635" i="3"/>
  <c r="B3636" i="3"/>
  <c r="B3637" i="3"/>
  <c r="B3638" i="3"/>
  <c r="B3639" i="3"/>
  <c r="B3640" i="3"/>
  <c r="B3641" i="3"/>
  <c r="B3642" i="3"/>
  <c r="B3643" i="3"/>
  <c r="B3644" i="3"/>
  <c r="B3645" i="3"/>
  <c r="B3646" i="3"/>
  <c r="B3647" i="3"/>
  <c r="B3648" i="3"/>
  <c r="B3649" i="3"/>
  <c r="B3650" i="3"/>
  <c r="B3651" i="3"/>
  <c r="B3652" i="3"/>
  <c r="B3653" i="3"/>
  <c r="B3654" i="3"/>
  <c r="B3655" i="3"/>
  <c r="B3656" i="3"/>
  <c r="B3657" i="3"/>
  <c r="B3658" i="3"/>
  <c r="B3659" i="3"/>
  <c r="B3660" i="3"/>
  <c r="B3661" i="3"/>
  <c r="B3662" i="3"/>
  <c r="B3663" i="3"/>
  <c r="B3664" i="3"/>
  <c r="B3665" i="3"/>
  <c r="B3666" i="3"/>
  <c r="B3667" i="3"/>
  <c r="B3668" i="3"/>
  <c r="B3669" i="3"/>
  <c r="B3670" i="3"/>
  <c r="B3626" i="3"/>
  <c r="G3670" i="3"/>
  <c r="F3670" i="3"/>
  <c r="C3670" i="3"/>
  <c r="G3669" i="3"/>
  <c r="F3669" i="3"/>
  <c r="C3669" i="3"/>
  <c r="G3668" i="3"/>
  <c r="F3668" i="3"/>
  <c r="C3668" i="3"/>
  <c r="G3667" i="3"/>
  <c r="F3667" i="3"/>
  <c r="C3667" i="3"/>
  <c r="G3666" i="3"/>
  <c r="F3666" i="3"/>
  <c r="C3666" i="3"/>
  <c r="G3665" i="3"/>
  <c r="F3665" i="3"/>
  <c r="C3665" i="3"/>
  <c r="G3664" i="3"/>
  <c r="F3664" i="3"/>
  <c r="C3664" i="3"/>
  <c r="G3663" i="3"/>
  <c r="F3663" i="3"/>
  <c r="C3663" i="3"/>
  <c r="G3662" i="3"/>
  <c r="F3662" i="3"/>
  <c r="C3662" i="3"/>
  <c r="G3661" i="3"/>
  <c r="F3661" i="3"/>
  <c r="C3661" i="3"/>
  <c r="G3660" i="3"/>
  <c r="F3660" i="3"/>
  <c r="C3660" i="3"/>
  <c r="G3659" i="3"/>
  <c r="F3659" i="3"/>
  <c r="C3659" i="3"/>
  <c r="G3658" i="3"/>
  <c r="F3658" i="3"/>
  <c r="C3658" i="3"/>
  <c r="G3657" i="3"/>
  <c r="F3657" i="3"/>
  <c r="C3657" i="3"/>
  <c r="G3656" i="3"/>
  <c r="F3656" i="3"/>
  <c r="C3656" i="3"/>
  <c r="G3655" i="3"/>
  <c r="F3655" i="3"/>
  <c r="C3655" i="3"/>
  <c r="G3654" i="3"/>
  <c r="F3654" i="3"/>
  <c r="C3654" i="3"/>
  <c r="G3653" i="3"/>
  <c r="F3653" i="3"/>
  <c r="C3653" i="3"/>
  <c r="G3652" i="3"/>
  <c r="F3652" i="3"/>
  <c r="C3652" i="3"/>
  <c r="G3651" i="3"/>
  <c r="F3651" i="3"/>
  <c r="C3651" i="3"/>
  <c r="G3650" i="3"/>
  <c r="F3650" i="3"/>
  <c r="C3650" i="3"/>
  <c r="G3649" i="3"/>
  <c r="F3649" i="3"/>
  <c r="C3649" i="3"/>
  <c r="G3648" i="3"/>
  <c r="F3648" i="3"/>
  <c r="C3648" i="3"/>
  <c r="G3647" i="3"/>
  <c r="F3647" i="3"/>
  <c r="C3647" i="3"/>
  <c r="G3646" i="3"/>
  <c r="F3646" i="3"/>
  <c r="C3646" i="3"/>
  <c r="G3645" i="3"/>
  <c r="F3645" i="3"/>
  <c r="C3645" i="3"/>
  <c r="G3644" i="3"/>
  <c r="F3644" i="3"/>
  <c r="C3644" i="3"/>
  <c r="G3643" i="3"/>
  <c r="F3643" i="3"/>
  <c r="C3643" i="3"/>
  <c r="G3642" i="3"/>
  <c r="F3642" i="3"/>
  <c r="C3642" i="3"/>
  <c r="G3641" i="3"/>
  <c r="F3641" i="3"/>
  <c r="C3641" i="3"/>
  <c r="G3640" i="3"/>
  <c r="F3640" i="3"/>
  <c r="C3640" i="3"/>
  <c r="G3639" i="3"/>
  <c r="F3639" i="3"/>
  <c r="C3639" i="3"/>
  <c r="G3638" i="3"/>
  <c r="F3638" i="3"/>
  <c r="C3638" i="3"/>
  <c r="G3637" i="3"/>
  <c r="F3637" i="3"/>
  <c r="C3637" i="3"/>
  <c r="G3636" i="3"/>
  <c r="F3636" i="3"/>
  <c r="C3636" i="3"/>
  <c r="G3635" i="3"/>
  <c r="F3635" i="3"/>
  <c r="C3635" i="3"/>
  <c r="G3634" i="3"/>
  <c r="F3634" i="3"/>
  <c r="C3634" i="3"/>
  <c r="G3633" i="3"/>
  <c r="F3633" i="3"/>
  <c r="C3633" i="3"/>
  <c r="G3632" i="3"/>
  <c r="F3632" i="3"/>
  <c r="C3632" i="3"/>
  <c r="G3631" i="3"/>
  <c r="F3631" i="3"/>
  <c r="C3631" i="3"/>
  <c r="G3630" i="3"/>
  <c r="F3630" i="3"/>
  <c r="C3630" i="3"/>
  <c r="G3629" i="3"/>
  <c r="F3629" i="3"/>
  <c r="C3629" i="3"/>
  <c r="G3628" i="3"/>
  <c r="F3628" i="3"/>
  <c r="C3628" i="3"/>
  <c r="G3627" i="3"/>
  <c r="F3627" i="3"/>
  <c r="C3627" i="3"/>
  <c r="G3626" i="3"/>
  <c r="F3626" i="3"/>
  <c r="C3626" i="3"/>
  <c r="B3537" i="3"/>
  <c r="B3538" i="3"/>
  <c r="B3539" i="3"/>
  <c r="B3540" i="3"/>
  <c r="B3541" i="3"/>
  <c r="B3542" i="3"/>
  <c r="B3543" i="3"/>
  <c r="B3544" i="3"/>
  <c r="B3545" i="3"/>
  <c r="B3546" i="3"/>
  <c r="B3547" i="3"/>
  <c r="B3548" i="3"/>
  <c r="B3549" i="3"/>
  <c r="B3550" i="3"/>
  <c r="B3551" i="3"/>
  <c r="B3552" i="3"/>
  <c r="B3553" i="3"/>
  <c r="B3554" i="3"/>
  <c r="B3555" i="3"/>
  <c r="B3556" i="3"/>
  <c r="B3557" i="3"/>
  <c r="B3558" i="3"/>
  <c r="B3559" i="3"/>
  <c r="B3560" i="3"/>
  <c r="B3561" i="3"/>
  <c r="B3562" i="3"/>
  <c r="B3563" i="3"/>
  <c r="B3564" i="3"/>
  <c r="B3565" i="3"/>
  <c r="B3566" i="3"/>
  <c r="B3567" i="3"/>
  <c r="B3568" i="3"/>
  <c r="B3569" i="3"/>
  <c r="B3570" i="3"/>
  <c r="B3571" i="3"/>
  <c r="B3572" i="3"/>
  <c r="B3573" i="3"/>
  <c r="B3574" i="3"/>
  <c r="B3575" i="3"/>
  <c r="B3576" i="3"/>
  <c r="B3577" i="3"/>
  <c r="B3578" i="3"/>
  <c r="B3579" i="3"/>
  <c r="B3580" i="3"/>
  <c r="B3536" i="3"/>
  <c r="G3580" i="3"/>
  <c r="F3580" i="3"/>
  <c r="C3580" i="3"/>
  <c r="G3579" i="3"/>
  <c r="F3579" i="3"/>
  <c r="C3579" i="3"/>
  <c r="G3578" i="3"/>
  <c r="F3578" i="3"/>
  <c r="C3578" i="3"/>
  <c r="G3577" i="3"/>
  <c r="F3577" i="3"/>
  <c r="C3577" i="3"/>
  <c r="G3576" i="3"/>
  <c r="F3576" i="3"/>
  <c r="C3576" i="3"/>
  <c r="G3575" i="3"/>
  <c r="F3575" i="3"/>
  <c r="C3575" i="3"/>
  <c r="G3574" i="3"/>
  <c r="F3574" i="3"/>
  <c r="C3574" i="3"/>
  <c r="G3573" i="3"/>
  <c r="F3573" i="3"/>
  <c r="C3573" i="3"/>
  <c r="G3572" i="3"/>
  <c r="F3572" i="3"/>
  <c r="C3572" i="3"/>
  <c r="G3571" i="3"/>
  <c r="F3571" i="3"/>
  <c r="C3571" i="3"/>
  <c r="G3570" i="3"/>
  <c r="F3570" i="3"/>
  <c r="C3570" i="3"/>
  <c r="G3569" i="3"/>
  <c r="F3569" i="3"/>
  <c r="C3569" i="3"/>
  <c r="G3568" i="3"/>
  <c r="F3568" i="3"/>
  <c r="C3568" i="3"/>
  <c r="G3567" i="3"/>
  <c r="F3567" i="3"/>
  <c r="C3567" i="3"/>
  <c r="G3566" i="3"/>
  <c r="F3566" i="3"/>
  <c r="C3566" i="3"/>
  <c r="G3565" i="3"/>
  <c r="F3565" i="3"/>
  <c r="C3565" i="3"/>
  <c r="G3564" i="3"/>
  <c r="F3564" i="3"/>
  <c r="C3564" i="3"/>
  <c r="G3563" i="3"/>
  <c r="F3563" i="3"/>
  <c r="C3563" i="3"/>
  <c r="G3562" i="3"/>
  <c r="F3562" i="3"/>
  <c r="C3562" i="3"/>
  <c r="G3561" i="3"/>
  <c r="F3561" i="3"/>
  <c r="C3561" i="3"/>
  <c r="G3560" i="3"/>
  <c r="F3560" i="3"/>
  <c r="C3560" i="3"/>
  <c r="G3559" i="3"/>
  <c r="F3559" i="3"/>
  <c r="C3559" i="3"/>
  <c r="G3558" i="3"/>
  <c r="F3558" i="3"/>
  <c r="C3558" i="3"/>
  <c r="G3557" i="3"/>
  <c r="F3557" i="3"/>
  <c r="C3557" i="3"/>
  <c r="G3556" i="3"/>
  <c r="F3556" i="3"/>
  <c r="C3556" i="3"/>
  <c r="G3555" i="3"/>
  <c r="F3555" i="3"/>
  <c r="C3555" i="3"/>
  <c r="G3554" i="3"/>
  <c r="F3554" i="3"/>
  <c r="C3554" i="3"/>
  <c r="G3553" i="3"/>
  <c r="F3553" i="3"/>
  <c r="C3553" i="3"/>
  <c r="G3552" i="3"/>
  <c r="F3552" i="3"/>
  <c r="C3552" i="3"/>
  <c r="G3551" i="3"/>
  <c r="F3551" i="3"/>
  <c r="C3551" i="3"/>
  <c r="G3550" i="3"/>
  <c r="F3550" i="3"/>
  <c r="C3550" i="3"/>
  <c r="G3549" i="3"/>
  <c r="F3549" i="3"/>
  <c r="C3549" i="3"/>
  <c r="G3548" i="3"/>
  <c r="F3548" i="3"/>
  <c r="C3548" i="3"/>
  <c r="G3547" i="3"/>
  <c r="F3547" i="3"/>
  <c r="C3547" i="3"/>
  <c r="G3546" i="3"/>
  <c r="F3546" i="3"/>
  <c r="C3546" i="3"/>
  <c r="G3545" i="3"/>
  <c r="F3545" i="3"/>
  <c r="C3545" i="3"/>
  <c r="G3544" i="3"/>
  <c r="F3544" i="3"/>
  <c r="C3544" i="3"/>
  <c r="G3543" i="3"/>
  <c r="F3543" i="3"/>
  <c r="C3543" i="3"/>
  <c r="G3542" i="3"/>
  <c r="F3542" i="3"/>
  <c r="C3542" i="3"/>
  <c r="G3541" i="3"/>
  <c r="F3541" i="3"/>
  <c r="C3541" i="3"/>
  <c r="G3540" i="3"/>
  <c r="F3540" i="3"/>
  <c r="C3540" i="3"/>
  <c r="G3539" i="3"/>
  <c r="F3539" i="3"/>
  <c r="C3539" i="3"/>
  <c r="G3538" i="3"/>
  <c r="F3538" i="3"/>
  <c r="C3538" i="3"/>
  <c r="G3537" i="3"/>
  <c r="F3537" i="3"/>
  <c r="C3537" i="3"/>
  <c r="G3536" i="3"/>
  <c r="F3536" i="3"/>
  <c r="C3536" i="3"/>
  <c r="B3447" i="3"/>
  <c r="B3448" i="3"/>
  <c r="B3449" i="3"/>
  <c r="B3450" i="3"/>
  <c r="B3451" i="3"/>
  <c r="B3452" i="3"/>
  <c r="B3453" i="3"/>
  <c r="B3454" i="3"/>
  <c r="B3455" i="3"/>
  <c r="B3456" i="3"/>
  <c r="B3457" i="3"/>
  <c r="B3458" i="3"/>
  <c r="B3459" i="3"/>
  <c r="B3460" i="3"/>
  <c r="B3461" i="3"/>
  <c r="B3462" i="3"/>
  <c r="B3463" i="3"/>
  <c r="B3464" i="3"/>
  <c r="B3465" i="3"/>
  <c r="B3466" i="3"/>
  <c r="B3467" i="3"/>
  <c r="B3468" i="3"/>
  <c r="B3469" i="3"/>
  <c r="B3470" i="3"/>
  <c r="B3471" i="3"/>
  <c r="B3472" i="3"/>
  <c r="B3473" i="3"/>
  <c r="B3474" i="3"/>
  <c r="B3475" i="3"/>
  <c r="B3476" i="3"/>
  <c r="B3477" i="3"/>
  <c r="B3478" i="3"/>
  <c r="B3479" i="3"/>
  <c r="B3480" i="3"/>
  <c r="B3481" i="3"/>
  <c r="B3482" i="3"/>
  <c r="B3483" i="3"/>
  <c r="B3484" i="3"/>
  <c r="B3485" i="3"/>
  <c r="B3486" i="3"/>
  <c r="B3487" i="3"/>
  <c r="B3488" i="3"/>
  <c r="B3489" i="3"/>
  <c r="B3490" i="3"/>
  <c r="B3446" i="3"/>
  <c r="G3490" i="3"/>
  <c r="F3490" i="3"/>
  <c r="C3490" i="3"/>
  <c r="G3489" i="3"/>
  <c r="F3489" i="3"/>
  <c r="C3489" i="3"/>
  <c r="G3488" i="3"/>
  <c r="F3488" i="3"/>
  <c r="C3488" i="3"/>
  <c r="G3487" i="3"/>
  <c r="F3487" i="3"/>
  <c r="C3487" i="3"/>
  <c r="G3486" i="3"/>
  <c r="F3486" i="3"/>
  <c r="C3486" i="3"/>
  <c r="G3485" i="3"/>
  <c r="F3485" i="3"/>
  <c r="C3485" i="3"/>
  <c r="G3484" i="3"/>
  <c r="F3484" i="3"/>
  <c r="C3484" i="3"/>
  <c r="G3483" i="3"/>
  <c r="F3483" i="3"/>
  <c r="C3483" i="3"/>
  <c r="G3482" i="3"/>
  <c r="F3482" i="3"/>
  <c r="C3482" i="3"/>
  <c r="G3481" i="3"/>
  <c r="F3481" i="3"/>
  <c r="C3481" i="3"/>
  <c r="G3480" i="3"/>
  <c r="F3480" i="3"/>
  <c r="C3480" i="3"/>
  <c r="G3479" i="3"/>
  <c r="F3479" i="3"/>
  <c r="C3479" i="3"/>
  <c r="G3478" i="3"/>
  <c r="F3478" i="3"/>
  <c r="C3478" i="3"/>
  <c r="G3477" i="3"/>
  <c r="F3477" i="3"/>
  <c r="C3477" i="3"/>
  <c r="G3476" i="3"/>
  <c r="F3476" i="3"/>
  <c r="C3476" i="3"/>
  <c r="G3475" i="3"/>
  <c r="F3475" i="3"/>
  <c r="C3475" i="3"/>
  <c r="G3474" i="3"/>
  <c r="F3474" i="3"/>
  <c r="C3474" i="3"/>
  <c r="G3473" i="3"/>
  <c r="F3473" i="3"/>
  <c r="C3473" i="3"/>
  <c r="G3472" i="3"/>
  <c r="F3472" i="3"/>
  <c r="C3472" i="3"/>
  <c r="G3471" i="3"/>
  <c r="F3471" i="3"/>
  <c r="C3471" i="3"/>
  <c r="G3470" i="3"/>
  <c r="F3470" i="3"/>
  <c r="C3470" i="3"/>
  <c r="G3469" i="3"/>
  <c r="F3469" i="3"/>
  <c r="C3469" i="3"/>
  <c r="G3468" i="3"/>
  <c r="F3468" i="3"/>
  <c r="C3468" i="3"/>
  <c r="G3467" i="3"/>
  <c r="F3467" i="3"/>
  <c r="C3467" i="3"/>
  <c r="G3466" i="3"/>
  <c r="F3466" i="3"/>
  <c r="C3466" i="3"/>
  <c r="G3465" i="3"/>
  <c r="F3465" i="3"/>
  <c r="C3465" i="3"/>
  <c r="G3464" i="3"/>
  <c r="F3464" i="3"/>
  <c r="C3464" i="3"/>
  <c r="G3463" i="3"/>
  <c r="F3463" i="3"/>
  <c r="C3463" i="3"/>
  <c r="G3462" i="3"/>
  <c r="F3462" i="3"/>
  <c r="C3462" i="3"/>
  <c r="G3461" i="3"/>
  <c r="F3461" i="3"/>
  <c r="C3461" i="3"/>
  <c r="G3460" i="3"/>
  <c r="F3460" i="3"/>
  <c r="C3460" i="3"/>
  <c r="G3459" i="3"/>
  <c r="F3459" i="3"/>
  <c r="C3459" i="3"/>
  <c r="G3458" i="3"/>
  <c r="F3458" i="3"/>
  <c r="C3458" i="3"/>
  <c r="G3457" i="3"/>
  <c r="F3457" i="3"/>
  <c r="C3457" i="3"/>
  <c r="G3456" i="3"/>
  <c r="F3456" i="3"/>
  <c r="C3456" i="3"/>
  <c r="G3455" i="3"/>
  <c r="F3455" i="3"/>
  <c r="C3455" i="3"/>
  <c r="G3454" i="3"/>
  <c r="F3454" i="3"/>
  <c r="C3454" i="3"/>
  <c r="G3453" i="3"/>
  <c r="F3453" i="3"/>
  <c r="C3453" i="3"/>
  <c r="G3452" i="3"/>
  <c r="F3452" i="3"/>
  <c r="C3452" i="3"/>
  <c r="G3451" i="3"/>
  <c r="F3451" i="3"/>
  <c r="C3451" i="3"/>
  <c r="G3450" i="3"/>
  <c r="F3450" i="3"/>
  <c r="C3450" i="3"/>
  <c r="G3449" i="3"/>
  <c r="F3449" i="3"/>
  <c r="C3449" i="3"/>
  <c r="G3448" i="3"/>
  <c r="F3448" i="3"/>
  <c r="C3448" i="3"/>
  <c r="G3447" i="3"/>
  <c r="F3447" i="3"/>
  <c r="C3447" i="3"/>
  <c r="G3446" i="3"/>
  <c r="F3446" i="3"/>
  <c r="C3446" i="3"/>
  <c r="B3357" i="3"/>
  <c r="B3358" i="3"/>
  <c r="B3359" i="3"/>
  <c r="B3360" i="3"/>
  <c r="B3361" i="3"/>
  <c r="B3362" i="3"/>
  <c r="B3363" i="3"/>
  <c r="B3364" i="3"/>
  <c r="B3365" i="3"/>
  <c r="B3366" i="3"/>
  <c r="B3367" i="3"/>
  <c r="B3368" i="3"/>
  <c r="B3369" i="3"/>
  <c r="B3370" i="3"/>
  <c r="B3371" i="3"/>
  <c r="B3372" i="3"/>
  <c r="B3373" i="3"/>
  <c r="B3374" i="3"/>
  <c r="B3375" i="3"/>
  <c r="B3376" i="3"/>
  <c r="B3377" i="3"/>
  <c r="B3378" i="3"/>
  <c r="B3379" i="3"/>
  <c r="B3380" i="3"/>
  <c r="B3381" i="3"/>
  <c r="B3382" i="3"/>
  <c r="B3383" i="3"/>
  <c r="B3384" i="3"/>
  <c r="B3385" i="3"/>
  <c r="B3386" i="3"/>
  <c r="B3387" i="3"/>
  <c r="B3388" i="3"/>
  <c r="B3389" i="3"/>
  <c r="B3390" i="3"/>
  <c r="B3391" i="3"/>
  <c r="B3392" i="3"/>
  <c r="B3393" i="3"/>
  <c r="B3394" i="3"/>
  <c r="B3395" i="3"/>
  <c r="B3396" i="3"/>
  <c r="B3397" i="3"/>
  <c r="B3398" i="3"/>
  <c r="B3399" i="3"/>
  <c r="B3400" i="3"/>
  <c r="B3356" i="3"/>
  <c r="G3400" i="3"/>
  <c r="F3400" i="3"/>
  <c r="C3400" i="3"/>
  <c r="G3399" i="3"/>
  <c r="F3399" i="3"/>
  <c r="C3399" i="3"/>
  <c r="G3398" i="3"/>
  <c r="F3398" i="3"/>
  <c r="C3398" i="3"/>
  <c r="G3397" i="3"/>
  <c r="F3397" i="3"/>
  <c r="C3397" i="3"/>
  <c r="G3396" i="3"/>
  <c r="F3396" i="3"/>
  <c r="C3396" i="3"/>
  <c r="G3395" i="3"/>
  <c r="F3395" i="3"/>
  <c r="C3395" i="3"/>
  <c r="G3394" i="3"/>
  <c r="F3394" i="3"/>
  <c r="C3394" i="3"/>
  <c r="G3393" i="3"/>
  <c r="F3393" i="3"/>
  <c r="C3393" i="3"/>
  <c r="G3392" i="3"/>
  <c r="F3392" i="3"/>
  <c r="C3392" i="3"/>
  <c r="G3391" i="3"/>
  <c r="F3391" i="3"/>
  <c r="C3391" i="3"/>
  <c r="G3390" i="3"/>
  <c r="F3390" i="3"/>
  <c r="C3390" i="3"/>
  <c r="G3389" i="3"/>
  <c r="F3389" i="3"/>
  <c r="C3389" i="3"/>
  <c r="G3388" i="3"/>
  <c r="F3388" i="3"/>
  <c r="C3388" i="3"/>
  <c r="G3387" i="3"/>
  <c r="F3387" i="3"/>
  <c r="C3387" i="3"/>
  <c r="G3386" i="3"/>
  <c r="F3386" i="3"/>
  <c r="C3386" i="3"/>
  <c r="G3385" i="3"/>
  <c r="F3385" i="3"/>
  <c r="C3385" i="3"/>
  <c r="G3384" i="3"/>
  <c r="F3384" i="3"/>
  <c r="C3384" i="3"/>
  <c r="G3383" i="3"/>
  <c r="F3383" i="3"/>
  <c r="C3383" i="3"/>
  <c r="G3382" i="3"/>
  <c r="F3382" i="3"/>
  <c r="C3382" i="3"/>
  <c r="G3381" i="3"/>
  <c r="F3381" i="3"/>
  <c r="C3381" i="3"/>
  <c r="G3380" i="3"/>
  <c r="F3380" i="3"/>
  <c r="C3380" i="3"/>
  <c r="G3379" i="3"/>
  <c r="F3379" i="3"/>
  <c r="C3379" i="3"/>
  <c r="G3378" i="3"/>
  <c r="F3378" i="3"/>
  <c r="C3378" i="3"/>
  <c r="G3377" i="3"/>
  <c r="F3377" i="3"/>
  <c r="C3377" i="3"/>
  <c r="G3376" i="3"/>
  <c r="F3376" i="3"/>
  <c r="C3376" i="3"/>
  <c r="G3375" i="3"/>
  <c r="F3375" i="3"/>
  <c r="C3375" i="3"/>
  <c r="G3374" i="3"/>
  <c r="F3374" i="3"/>
  <c r="C3374" i="3"/>
  <c r="G3373" i="3"/>
  <c r="F3373" i="3"/>
  <c r="C3373" i="3"/>
  <c r="G3372" i="3"/>
  <c r="F3372" i="3"/>
  <c r="C3372" i="3"/>
  <c r="G3371" i="3"/>
  <c r="F3371" i="3"/>
  <c r="C3371" i="3"/>
  <c r="G3370" i="3"/>
  <c r="F3370" i="3"/>
  <c r="C3370" i="3"/>
  <c r="G3369" i="3"/>
  <c r="F3369" i="3"/>
  <c r="C3369" i="3"/>
  <c r="G3368" i="3"/>
  <c r="F3368" i="3"/>
  <c r="C3368" i="3"/>
  <c r="G3367" i="3"/>
  <c r="F3367" i="3"/>
  <c r="C3367" i="3"/>
  <c r="G3366" i="3"/>
  <c r="F3366" i="3"/>
  <c r="C3366" i="3"/>
  <c r="G3365" i="3"/>
  <c r="F3365" i="3"/>
  <c r="C3365" i="3"/>
  <c r="G3364" i="3"/>
  <c r="F3364" i="3"/>
  <c r="C3364" i="3"/>
  <c r="G3363" i="3"/>
  <c r="F3363" i="3"/>
  <c r="C3363" i="3"/>
  <c r="G3362" i="3"/>
  <c r="F3362" i="3"/>
  <c r="C3362" i="3"/>
  <c r="G3361" i="3"/>
  <c r="F3361" i="3"/>
  <c r="C3361" i="3"/>
  <c r="G3360" i="3"/>
  <c r="F3360" i="3"/>
  <c r="C3360" i="3"/>
  <c r="G3359" i="3"/>
  <c r="F3359" i="3"/>
  <c r="C3359" i="3"/>
  <c r="G3358" i="3"/>
  <c r="F3358" i="3"/>
  <c r="C3358" i="3"/>
  <c r="G3357" i="3"/>
  <c r="F3357" i="3"/>
  <c r="C3357" i="3"/>
  <c r="G3356" i="3"/>
  <c r="F3356" i="3"/>
  <c r="C3356" i="3"/>
  <c r="B6257" i="3"/>
  <c r="G6257" i="3"/>
  <c r="F6257" i="3"/>
  <c r="C6257" i="3"/>
  <c r="B6244" i="3"/>
  <c r="B6245" i="3"/>
  <c r="B6246" i="3"/>
  <c r="B6247" i="3"/>
  <c r="B6248" i="3"/>
  <c r="B6249" i="3"/>
  <c r="B6250" i="3"/>
  <c r="B6251" i="3"/>
  <c r="B6252" i="3"/>
  <c r="B6253" i="3"/>
  <c r="B6254" i="3"/>
  <c r="B6255" i="3"/>
  <c r="B6256" i="3"/>
  <c r="B6243" i="3"/>
  <c r="G6256" i="3"/>
  <c r="F6256" i="3"/>
  <c r="C6256" i="3"/>
  <c r="G6255" i="3"/>
  <c r="F6255" i="3"/>
  <c r="C6255" i="3"/>
  <c r="G6254" i="3"/>
  <c r="F6254" i="3"/>
  <c r="C6254" i="3"/>
  <c r="G6253" i="3"/>
  <c r="F6253" i="3"/>
  <c r="C6253" i="3"/>
  <c r="G6252" i="3"/>
  <c r="F6252" i="3"/>
  <c r="C6252" i="3"/>
  <c r="G6251" i="3"/>
  <c r="F6251" i="3"/>
  <c r="C6251" i="3"/>
  <c r="G6250" i="3"/>
  <c r="F6250" i="3"/>
  <c r="C6250" i="3"/>
  <c r="G6249" i="3"/>
  <c r="F6249" i="3"/>
  <c r="C6249" i="3"/>
  <c r="G6248" i="3"/>
  <c r="F6248" i="3"/>
  <c r="C6248" i="3"/>
  <c r="G6247" i="3"/>
  <c r="F6247" i="3"/>
  <c r="C6247" i="3"/>
  <c r="G6246" i="3"/>
  <c r="F6246" i="3"/>
  <c r="C6246" i="3"/>
  <c r="G6245" i="3"/>
  <c r="F6245" i="3"/>
  <c r="C6245" i="3"/>
  <c r="G6244" i="3"/>
  <c r="F6244" i="3"/>
  <c r="C6244" i="3"/>
  <c r="G6243" i="3"/>
  <c r="F6243" i="3"/>
  <c r="C6243" i="3"/>
  <c r="C6258" i="3"/>
  <c r="C6259" i="3"/>
  <c r="C6260" i="3"/>
  <c r="C6261" i="3"/>
  <c r="C6262" i="3"/>
  <c r="C6263" i="3"/>
  <c r="C6264" i="3"/>
  <c r="C6265" i="3"/>
  <c r="C6266" i="3"/>
  <c r="C6267" i="3"/>
  <c r="C6268" i="3"/>
  <c r="C6269" i="3"/>
  <c r="C6270" i="3"/>
  <c r="C6271" i="3"/>
  <c r="C6272" i="3"/>
  <c r="C6242" i="3"/>
  <c r="B6258" i="3"/>
  <c r="B6259" i="3"/>
  <c r="B6260" i="3"/>
  <c r="B6261" i="3"/>
  <c r="B6262" i="3"/>
  <c r="B6263" i="3"/>
  <c r="B6264" i="3"/>
  <c r="B6265" i="3"/>
  <c r="B6266" i="3"/>
  <c r="B6267" i="3"/>
  <c r="B6268" i="3"/>
  <c r="B6269" i="3"/>
  <c r="B6270" i="3"/>
  <c r="B6271" i="3"/>
  <c r="B6272" i="3"/>
  <c r="G6272" i="3"/>
  <c r="F6272" i="3"/>
  <c r="G6271" i="3"/>
  <c r="F6271" i="3"/>
  <c r="G6270" i="3"/>
  <c r="F6270" i="3"/>
  <c r="G6269" i="3"/>
  <c r="F6269" i="3"/>
  <c r="G6268" i="3"/>
  <c r="F6268" i="3"/>
  <c r="G6267" i="3"/>
  <c r="F6267" i="3"/>
  <c r="G6266" i="3"/>
  <c r="F6266" i="3"/>
  <c r="G6265" i="3"/>
  <c r="F6265" i="3"/>
  <c r="G6264" i="3"/>
  <c r="F6264" i="3"/>
  <c r="G6263" i="3"/>
  <c r="F6263" i="3"/>
  <c r="G6262" i="3"/>
  <c r="F6262" i="3"/>
  <c r="G6261" i="3"/>
  <c r="F6261" i="3"/>
  <c r="G6260" i="3"/>
  <c r="F6260" i="3"/>
  <c r="G6259" i="3"/>
  <c r="F6259" i="3"/>
  <c r="G6258" i="3"/>
  <c r="F6258" i="3"/>
  <c r="F8020" i="3"/>
  <c r="G8020" i="3"/>
  <c r="C8020" i="3"/>
  <c r="B38" i="195"/>
  <c r="A5" i="195"/>
  <c r="I1932" i="3"/>
  <c r="D3374" i="3" a="1"/>
  <c r="D4066" i="3" a="1"/>
  <c r="D4076" i="3" a="1"/>
  <c r="D3463" i="3" a="1"/>
  <c r="D3653" i="3" a="1"/>
  <c r="D3392" i="3" a="1"/>
  <c r="D3459" i="3" a="1"/>
  <c r="D3846" i="3" a="1"/>
  <c r="D3748" i="3" a="1"/>
  <c r="D4060" i="3" a="1"/>
  <c r="D3957" i="3" a="1"/>
  <c r="D3457" i="3" a="1"/>
  <c r="D3386" i="3" a="1"/>
  <c r="D3654" i="3" a="1"/>
  <c r="D4074" i="3" a="1"/>
  <c r="D3365" i="3" a="1"/>
  <c r="D3850" i="3" a="1"/>
  <c r="D3725" i="3" a="1"/>
  <c r="D3475" i="3" a="1"/>
  <c r="D3831" i="3" a="1"/>
  <c r="D4065" i="3" a="1"/>
  <c r="D3484" i="3" a="1"/>
  <c r="D3565" i="3" a="1"/>
  <c r="D4072" i="3" a="1"/>
  <c r="D3390" i="3" a="1"/>
  <c r="D3975" i="3" a="1"/>
  <c r="D3455" i="3" a="1"/>
  <c r="D3829" i="3" a="1"/>
  <c r="D3490" i="3" a="1"/>
  <c r="D3847" i="3" a="1"/>
  <c r="D3735" i="3" a="1"/>
  <c r="D3844" i="3" a="1"/>
  <c r="D3751" i="3" a="1"/>
  <c r="D3375" i="3" a="1"/>
  <c r="D3371" i="3" a="1"/>
  <c r="D3559" i="3" a="1"/>
  <c r="D3821" i="3" a="1"/>
  <c r="D3837" i="3" a="1"/>
  <c r="D3571" i="3" a="1"/>
  <c r="D3481" i="3" a="1"/>
  <c r="D3737" i="3" a="1"/>
  <c r="D4063" i="3" a="1"/>
  <c r="D3553" i="3" a="1"/>
  <c r="D3370" i="3" a="1"/>
  <c r="D3984" i="3" a="1"/>
  <c r="D3979" i="3" a="1"/>
  <c r="D4056" i="3" a="1"/>
  <c r="D3819" i="3" a="1"/>
  <c r="D4090" i="3" a="1"/>
  <c r="D3755" i="3" a="1"/>
  <c r="D3536" i="3" a="1"/>
  <c r="D3450" i="3" a="1"/>
  <c r="D3636" i="3" a="1"/>
  <c r="D3480" i="3" a="1"/>
  <c r="D3811" i="3" a="1"/>
  <c r="D3471" i="3" a="1"/>
  <c r="D3574" i="3" a="1"/>
  <c r="D3956" i="3" a="1"/>
  <c r="D3962" i="3" a="1"/>
  <c r="D4073" i="3" a="1"/>
  <c r="D3456" i="3" a="1"/>
  <c r="D3568" i="3" a="1"/>
  <c r="D3967" i="3" a="1"/>
  <c r="D3980" i="3" a="1"/>
  <c r="D3750" i="3" a="1"/>
  <c r="D3387" i="3" a="1"/>
  <c r="D3376" i="3" a="1"/>
  <c r="D3383" i="3" a="1"/>
  <c r="D3842" i="3" a="1"/>
  <c r="D3758" i="3" a="1"/>
  <c r="D3461" i="3" a="1"/>
  <c r="D3544" i="3" a="1"/>
  <c r="D3661" i="3" a="1"/>
  <c r="D3549" i="3" a="1"/>
  <c r="D3561" i="3" a="1"/>
  <c r="D3397" i="3" a="1"/>
  <c r="D3729" i="3" a="1"/>
  <c r="D4085" i="3" a="1"/>
  <c r="D3453" i="3" a="1"/>
  <c r="D3981" i="3" a="1"/>
  <c r="D3556" i="3" a="1"/>
  <c r="D4052" i="3" a="1"/>
  <c r="D3572" i="3" a="1"/>
  <c r="D3988" i="3" a="1"/>
  <c r="D3827" i="3" a="1"/>
  <c r="D3836" i="3" a="1"/>
  <c r="D3730" i="3" a="1"/>
  <c r="D4054" i="3" a="1"/>
  <c r="D3830" i="3" a="1"/>
  <c r="D3363" i="3" a="1"/>
  <c r="D3849" i="3" a="1"/>
  <c r="D3843" i="3" a="1"/>
  <c r="D3825" i="3" a="1"/>
  <c r="D3650" i="3" a="1"/>
  <c r="D3753" i="3" a="1"/>
  <c r="D4046" i="3" a="1"/>
  <c r="D3716" i="3" a="1"/>
  <c r="D3541" i="3" a="1"/>
  <c r="D3576" i="3" a="1"/>
  <c r="D3360" i="3" a="1"/>
  <c r="D3377" i="3" a="1"/>
  <c r="D3385" i="3" a="1"/>
  <c r="D3543" i="3" a="1"/>
  <c r="D3485" i="3" a="1"/>
  <c r="D3577" i="3" a="1"/>
  <c r="D3651" i="3" a="1"/>
  <c r="D3486" i="3" a="1"/>
  <c r="D3637" i="3" a="1"/>
  <c r="D4088" i="3" a="1"/>
  <c r="D3810" i="3" a="1"/>
  <c r="D3465" i="3" a="1"/>
  <c r="D3579" i="3" a="1"/>
  <c r="D4087" i="3" a="1"/>
  <c r="D4067" i="3" a="1"/>
  <c r="D4071" i="3" a="1"/>
  <c r="D3990" i="3" a="1"/>
  <c r="D4050" i="3" a="1"/>
  <c r="D3718" i="3" a="1"/>
  <c r="D3648" i="3" a="1"/>
  <c r="D3578" i="3" a="1"/>
  <c r="D3960" i="3" a="1"/>
  <c r="D3633" i="3" a="1"/>
  <c r="D3546" i="3" a="1"/>
  <c r="D3647" i="3" a="1"/>
  <c r="D4079" i="3" a="1"/>
  <c r="D3539" i="3" a="1"/>
  <c r="D3364" i="3" a="1"/>
  <c r="D3634" i="3" a="1"/>
  <c r="D3649" i="3" a="1"/>
  <c r="D4068" i="3" a="1"/>
  <c r="D3959" i="3" a="1"/>
  <c r="D3359" i="3" a="1"/>
  <c r="D3964" i="3" a="1"/>
  <c r="D3670" i="3" a="1"/>
  <c r="D3372" i="3" a="1"/>
  <c r="D4049" i="3" a="1"/>
  <c r="D3724" i="3" a="1"/>
  <c r="D3454" i="3" a="1"/>
  <c r="D3638" i="3" a="1"/>
  <c r="D3488" i="3" a="1"/>
  <c r="D3667" i="3" a="1"/>
  <c r="D3562" i="3" a="1"/>
  <c r="D3563" i="3" a="1"/>
  <c r="D3994" i="3" a="1"/>
  <c r="D3538" i="3" a="1"/>
  <c r="D3732" i="3" a="1"/>
  <c r="D3717" i="3" a="1"/>
  <c r="D3389" i="3" a="1"/>
  <c r="D3723" i="3" a="1"/>
  <c r="D3760" i="3" a="1"/>
  <c r="D4084" i="3" a="1"/>
  <c r="D3393" i="3" a="1"/>
  <c r="D3487" i="3" a="1"/>
  <c r="D3997" i="3" a="1"/>
  <c r="D3644" i="3" a="1"/>
  <c r="D3817" i="3" a="1"/>
  <c r="D3362" i="3" a="1"/>
  <c r="D4048" i="3" a="1"/>
  <c r="D3466" i="3" a="1"/>
  <c r="D3645" i="3" a="1"/>
  <c r="D3663" i="3" a="1"/>
  <c r="D3467" i="3" a="1"/>
  <c r="D3969" i="3" a="1"/>
  <c r="D3626" i="3" a="1"/>
  <c r="D3828" i="3" a="1"/>
  <c r="D3384" i="3" a="1"/>
  <c r="D3824" i="3" a="1"/>
  <c r="D3396" i="3" a="1"/>
  <c r="D3378" i="3" a="1"/>
  <c r="D3656" i="3" a="1"/>
  <c r="D3963" i="3" a="1"/>
  <c r="D3814" i="3" a="1"/>
  <c r="D3832" i="3" a="1"/>
  <c r="D3720" i="3" a="1"/>
  <c r="D3995" i="3" a="1"/>
  <c r="D3478" i="3" a="1"/>
  <c r="D3733" i="3" a="1"/>
  <c r="D3840" i="3" a="1"/>
  <c r="D3727" i="3" a="1"/>
  <c r="D3550" i="3" a="1"/>
  <c r="D3806" i="3" a="1"/>
  <c r="D3646" i="3" a="1"/>
  <c r="D3449" i="3" a="1"/>
  <c r="D4059" i="3" a="1"/>
  <c r="D3552" i="3" a="1"/>
  <c r="D3358" i="3" a="1"/>
  <c r="D3482" i="3" a="1"/>
  <c r="D3368" i="3" a="1"/>
  <c r="D3575" i="3" a="1"/>
  <c r="D4069" i="3" a="1"/>
  <c r="D4075" i="3" a="1"/>
  <c r="D3361" i="3" a="1"/>
  <c r="D3992" i="3" a="1"/>
  <c r="D4000" i="3" a="1"/>
  <c r="D3570" i="3" a="1"/>
  <c r="D3838" i="3" a="1"/>
  <c r="D3666" i="3" a="1"/>
  <c r="D3468" i="3" a="1"/>
  <c r="D3662" i="3" a="1"/>
  <c r="D3660" i="3" a="1"/>
  <c r="D3834" i="3" a="1"/>
  <c r="D3379" i="3" a="1"/>
  <c r="D3642" i="3" a="1"/>
  <c r="D3816" i="3" a="1"/>
  <c r="D3564" i="3" a="1"/>
  <c r="D3818" i="3" a="1"/>
  <c r="D4089" i="3" a="1"/>
  <c r="D4078" i="3" a="1"/>
  <c r="D3972" i="3" a="1"/>
  <c r="D3658" i="3" a="1"/>
  <c r="D3391" i="3" a="1"/>
  <c r="D3540" i="3" a="1"/>
  <c r="D4057" i="3" a="1"/>
  <c r="D3833" i="3" a="1"/>
  <c r="D3472" i="3" a="1"/>
  <c r="D3476" i="3" a="1"/>
  <c r="D3369" i="3" a="1"/>
  <c r="D3978" i="3" a="1"/>
  <c r="D3635" i="3" a="1"/>
  <c r="D3665" i="3" a="1"/>
  <c r="D4064" i="3" a="1"/>
  <c r="D3399" i="3" a="1"/>
  <c r="D3983" i="3" a="1"/>
  <c r="D3823" i="3" a="1"/>
  <c r="D3554" i="3" a="1"/>
  <c r="D3839" i="3" a="1"/>
  <c r="D3580" i="3" a="1"/>
  <c r="D3474" i="3" a="1"/>
  <c r="D3639" i="3" a="1"/>
  <c r="D3741" i="3" a="1"/>
  <c r="D4053" i="3" a="1"/>
  <c r="D3742" i="3" a="1"/>
  <c r="D3982" i="3" a="1"/>
  <c r="D3659" i="3" a="1"/>
  <c r="D3974" i="3" a="1"/>
  <c r="D3380" i="3" a="1"/>
  <c r="D3479" i="3" a="1"/>
  <c r="D3745" i="3" a="1"/>
  <c r="D4081" i="3" a="1"/>
  <c r="D3367" i="3" a="1"/>
  <c r="D3987" i="3" a="1"/>
  <c r="D3848" i="3" a="1"/>
  <c r="D3357" i="3" a="1"/>
  <c r="D3448" i="3" a="1"/>
  <c r="D3807" i="3" a="1"/>
  <c r="D3470" i="3" a="1"/>
  <c r="D4047" i="3" a="1"/>
  <c r="D3628" i="3" a="1"/>
  <c r="D3813" i="3" a="1"/>
  <c r="D3489" i="3" a="1"/>
  <c r="D3573" i="3" a="1"/>
  <c r="D3985" i="3" a="1"/>
  <c r="D3566" i="3" a="1"/>
  <c r="D3398" i="3" a="1"/>
  <c r="D3754" i="3" a="1"/>
  <c r="D4077" i="3" a="1"/>
  <c r="D3721" i="3" a="1"/>
  <c r="D3812" i="3" a="1"/>
  <c r="D3557" i="3" a="1"/>
  <c r="D3744" i="3" a="1"/>
  <c r="D3996" i="3" a="1"/>
  <c r="D3631" i="3" a="1"/>
  <c r="D3373" i="3" a="1"/>
  <c r="D3400" i="3" a="1"/>
  <c r="D3629" i="3" a="1"/>
  <c r="D3447" i="3" a="1"/>
  <c r="D3808" i="3" a="1"/>
  <c r="D3841" i="3" a="1"/>
  <c r="D3451" i="3" a="1"/>
  <c r="D4070" i="3" a="1"/>
  <c r="D3746" i="3" a="1"/>
  <c r="D3743" i="3" a="1"/>
  <c r="D3826" i="3" a="1"/>
  <c r="D4086" i="3" a="1"/>
  <c r="D3740" i="3" a="1"/>
  <c r="D3961" i="3" a="1"/>
  <c r="D3569" i="3" a="1"/>
  <c r="D3395" i="3" a="1"/>
  <c r="D3446" i="3" a="1"/>
  <c r="D3655" i="3" a="1"/>
  <c r="D3822" i="3" a="1"/>
  <c r="D3752" i="3" a="1"/>
  <c r="D3567" i="3" a="1"/>
  <c r="D3747" i="3" a="1"/>
  <c r="D3640" i="3" a="1"/>
  <c r="D4058" i="3" a="1"/>
  <c r="D3739" i="3" a="1"/>
  <c r="D3551" i="3" a="1"/>
  <c r="D3738" i="3" a="1"/>
  <c r="D3999" i="3" a="1"/>
  <c r="D3728" i="3" a="1"/>
  <c r="D3756" i="3" a="1"/>
  <c r="D3462" i="3" a="1"/>
  <c r="D3381" i="3" a="1"/>
  <c r="D3555" i="3" a="1"/>
  <c r="D3537" i="3" a="1"/>
  <c r="D4080" i="3" a="1"/>
  <c r="D3759" i="3" a="1"/>
  <c r="D3820" i="3" a="1"/>
  <c r="D4055" i="3" a="1"/>
  <c r="D3545" i="3" a="1"/>
  <c r="D3632" i="3" a="1"/>
  <c r="D3998" i="3" a="1"/>
  <c r="D3970" i="3" a="1"/>
  <c r="D4083" i="3" a="1"/>
  <c r="D3664" i="3" a="1"/>
  <c r="D3460" i="3" a="1"/>
  <c r="D3722" i="3" a="1"/>
  <c r="D3548" i="3" a="1"/>
  <c r="D3477" i="3" a="1"/>
  <c r="D3976" i="3" a="1"/>
  <c r="D4062" i="3" a="1"/>
  <c r="D3989" i="3" a="1"/>
  <c r="D3734" i="3" a="1"/>
  <c r="D3991" i="3" a="1"/>
  <c r="D3966" i="3" a="1"/>
  <c r="D3388" i="3" a="1"/>
  <c r="D4051" i="3" a="1"/>
  <c r="D3726" i="3" a="1"/>
  <c r="D3835" i="3" a="1"/>
  <c r="D3560" i="3" a="1"/>
  <c r="D3483" i="3" a="1"/>
  <c r="D3464" i="3" a="1"/>
  <c r="D3542" i="3" a="1"/>
  <c r="D3473" i="3" a="1"/>
  <c r="D3452" i="3" a="1"/>
  <c r="D3630" i="3" a="1"/>
  <c r="D3382" i="3" a="1"/>
  <c r="D3958" i="3" a="1"/>
  <c r="D3668" i="3" a="1"/>
  <c r="D3986" i="3" a="1"/>
  <c r="D3627" i="3" a="1"/>
  <c r="D3736" i="3" a="1"/>
  <c r="D4082" i="3" a="1"/>
  <c r="D3973" i="3" a="1"/>
  <c r="D3965" i="3" a="1"/>
  <c r="D3993" i="3" a="1"/>
  <c r="D3652" i="3" a="1"/>
  <c r="D4061" i="3" a="1"/>
  <c r="D3458" i="3" a="1"/>
  <c r="D3845" i="3" a="1"/>
  <c r="D3469" i="3" a="1"/>
  <c r="D3547" i="3" a="1"/>
  <c r="D3749" i="3" a="1"/>
  <c r="D3641" i="3" a="1"/>
  <c r="D3977" i="3" a="1"/>
  <c r="D3971" i="3" a="1"/>
  <c r="D3757" i="3" a="1"/>
  <c r="D3657" i="3" a="1"/>
  <c r="D3731" i="3" a="1"/>
  <c r="D3394" i="3" a="1"/>
  <c r="D3356" i="3" a="1"/>
  <c r="D3809" i="3" a="1"/>
  <c r="D3719" i="3" a="1"/>
  <c r="D3815" i="3" a="1"/>
  <c r="D3643" i="3" a="1"/>
  <c r="D3669" i="3" a="1"/>
  <c r="D3968" i="3" a="1"/>
  <c r="D3366" i="3" a="1"/>
  <c r="D3558" i="3" a="1"/>
  <c r="D3385" i="3" l="1"/>
  <c r="D3383" i="3"/>
  <c r="D3371" i="3"/>
  <c r="D3374" i="3"/>
  <c r="D3384" i="3"/>
  <c r="D3382" i="3"/>
  <c r="D3381" i="3"/>
  <c r="D3373" i="3"/>
  <c r="D3380" i="3"/>
  <c r="D3379" i="3"/>
  <c r="D3378" i="3"/>
  <c r="D3372" i="3"/>
  <c r="D3377" i="3"/>
  <c r="D3376" i="3"/>
  <c r="D3375" i="3"/>
  <c r="I1933" i="3"/>
  <c r="H1934" i="3"/>
  <c r="H1930" i="3"/>
  <c r="I1930" i="3"/>
  <c r="H1933" i="3"/>
  <c r="H3873" i="3"/>
  <c r="H1928" i="3"/>
  <c r="J3873" i="3"/>
  <c r="I1931" i="3"/>
  <c r="I3900" i="3"/>
  <c r="I3901" i="3"/>
  <c r="J1918" i="3"/>
  <c r="I3868" i="3"/>
  <c r="J3872" i="3"/>
  <c r="H3909" i="3"/>
  <c r="J1929" i="3"/>
  <c r="I1928" i="3"/>
  <c r="J3909" i="3"/>
  <c r="H1915" i="3"/>
  <c r="H3907" i="3"/>
  <c r="H1916" i="3"/>
  <c r="H1922" i="3"/>
  <c r="I1922" i="3"/>
  <c r="J1916" i="3"/>
  <c r="I1914" i="3"/>
  <c r="I1920" i="3"/>
  <c r="I1921" i="3"/>
  <c r="J1917" i="3"/>
  <c r="J1922" i="3"/>
  <c r="H1913" i="3"/>
  <c r="I1915" i="3"/>
  <c r="J1915" i="3"/>
  <c r="H1918" i="3"/>
  <c r="J1923" i="3"/>
  <c r="I1913" i="3"/>
  <c r="H1921" i="3"/>
  <c r="H1919" i="3"/>
  <c r="I1919" i="3"/>
  <c r="H3870" i="3"/>
  <c r="I3898" i="3"/>
  <c r="I3904" i="3"/>
  <c r="I3907" i="3"/>
  <c r="I3875" i="3"/>
  <c r="H1914" i="3"/>
  <c r="H1917" i="3"/>
  <c r="H1920" i="3"/>
  <c r="H1923" i="3"/>
  <c r="D4090" i="3"/>
  <c r="D4047" i="3"/>
  <c r="D4051" i="3"/>
  <c r="D4055" i="3"/>
  <c r="D4059" i="3"/>
  <c r="D4063" i="3"/>
  <c r="D4067" i="3"/>
  <c r="D4071" i="3"/>
  <c r="D4075" i="3"/>
  <c r="D4079" i="3"/>
  <c r="D4083" i="3"/>
  <c r="D4087" i="3"/>
  <c r="D4046" i="3"/>
  <c r="D4050" i="3"/>
  <c r="D4054" i="3"/>
  <c r="D4058" i="3"/>
  <c r="D4062" i="3"/>
  <c r="D4066" i="3"/>
  <c r="D4070" i="3"/>
  <c r="D4074" i="3"/>
  <c r="D4078" i="3"/>
  <c r="D4082" i="3"/>
  <c r="D4086" i="3"/>
  <c r="D4049" i="3"/>
  <c r="D4053" i="3"/>
  <c r="D4057" i="3"/>
  <c r="D4061" i="3"/>
  <c r="D4065" i="3"/>
  <c r="D4069" i="3"/>
  <c r="D4073" i="3"/>
  <c r="D4077" i="3"/>
  <c r="D4081" i="3"/>
  <c r="D4085" i="3"/>
  <c r="D4089" i="3"/>
  <c r="D4048" i="3"/>
  <c r="D4052" i="3"/>
  <c r="D4056" i="3"/>
  <c r="D4060" i="3"/>
  <c r="D4064" i="3"/>
  <c r="D4068" i="3"/>
  <c r="D4072" i="3"/>
  <c r="D4076" i="3"/>
  <c r="D4080" i="3"/>
  <c r="D4084" i="3"/>
  <c r="D4088" i="3"/>
  <c r="H3906" i="3"/>
  <c r="I3906" i="3"/>
  <c r="J3876" i="3"/>
  <c r="I3874" i="3"/>
  <c r="D3957" i="3"/>
  <c r="D3969" i="3"/>
  <c r="D3981" i="3"/>
  <c r="D3993" i="3"/>
  <c r="D3989" i="3"/>
  <c r="D3961" i="3"/>
  <c r="D3973" i="3"/>
  <c r="D3985" i="3"/>
  <c r="D3997" i="3"/>
  <c r="D4000" i="3"/>
  <c r="D3965" i="3"/>
  <c r="D3977" i="3"/>
  <c r="D3956" i="3"/>
  <c r="D3960" i="3"/>
  <c r="D3964" i="3"/>
  <c r="D3968" i="3"/>
  <c r="D3972" i="3"/>
  <c r="D3976" i="3"/>
  <c r="D3980" i="3"/>
  <c r="D3984" i="3"/>
  <c r="D3988" i="3"/>
  <c r="D3992" i="3"/>
  <c r="D3996" i="3"/>
  <c r="D3959" i="3"/>
  <c r="D3963" i="3"/>
  <c r="D3967" i="3"/>
  <c r="D3971" i="3"/>
  <c r="D3975" i="3"/>
  <c r="D3979" i="3"/>
  <c r="D3983" i="3"/>
  <c r="D3987" i="3"/>
  <c r="D3991" i="3"/>
  <c r="D3995" i="3"/>
  <c r="D3999" i="3"/>
  <c r="D3958" i="3"/>
  <c r="D3962" i="3"/>
  <c r="D3966" i="3"/>
  <c r="D3970" i="3"/>
  <c r="D3974" i="3"/>
  <c r="D3978" i="3"/>
  <c r="D3982" i="3"/>
  <c r="D3986" i="3"/>
  <c r="D3990" i="3"/>
  <c r="D3994" i="3"/>
  <c r="D3998" i="3"/>
  <c r="H3900" i="3"/>
  <c r="H3903" i="3"/>
  <c r="H3876" i="3"/>
  <c r="H3879" i="3"/>
  <c r="I3903" i="3"/>
  <c r="J3871" i="3"/>
  <c r="I3869" i="3"/>
  <c r="H3899" i="3"/>
  <c r="H3902" i="3"/>
  <c r="H3905" i="3"/>
  <c r="H3908" i="3"/>
  <c r="I3899" i="3"/>
  <c r="I3902" i="3"/>
  <c r="I3905" i="3"/>
  <c r="I3908" i="3"/>
  <c r="H3898" i="3"/>
  <c r="H3901" i="3"/>
  <c r="H3904" i="3"/>
  <c r="H3910" i="3"/>
  <c r="I3910" i="3"/>
  <c r="I3877" i="3"/>
  <c r="H3877" i="3"/>
  <c r="I3870" i="3"/>
  <c r="I3878" i="3"/>
  <c r="H3878" i="3"/>
  <c r="I3879" i="3"/>
  <c r="H3869" i="3"/>
  <c r="H3872" i="3"/>
  <c r="H3875" i="3"/>
  <c r="H3868" i="3"/>
  <c r="H3871" i="3"/>
  <c r="H3874" i="3"/>
  <c r="H3880" i="3"/>
  <c r="I3880" i="3"/>
  <c r="D3839" i="3"/>
  <c r="D3807" i="3"/>
  <c r="D3819" i="3"/>
  <c r="D3831" i="3"/>
  <c r="D3843" i="3"/>
  <c r="D3827" i="3"/>
  <c r="D3815" i="3"/>
  <c r="D3811" i="3"/>
  <c r="D3823" i="3"/>
  <c r="D3847" i="3"/>
  <c r="D3835" i="3"/>
  <c r="D3850" i="3"/>
  <c r="D3806" i="3"/>
  <c r="D3810" i="3"/>
  <c r="D3814" i="3"/>
  <c r="D3818" i="3"/>
  <c r="D3822" i="3"/>
  <c r="D3826" i="3"/>
  <c r="D3830" i="3"/>
  <c r="D3834" i="3"/>
  <c r="D3838" i="3"/>
  <c r="D3842" i="3"/>
  <c r="D3846" i="3"/>
  <c r="D3809" i="3"/>
  <c r="D3813" i="3"/>
  <c r="D3817" i="3"/>
  <c r="D3821" i="3"/>
  <c r="D3825" i="3"/>
  <c r="D3829" i="3"/>
  <c r="D3833" i="3"/>
  <c r="D3837" i="3"/>
  <c r="D3841" i="3"/>
  <c r="D3845" i="3"/>
  <c r="D3849" i="3"/>
  <c r="D3808" i="3"/>
  <c r="D3812" i="3"/>
  <c r="D3816" i="3"/>
  <c r="D3820" i="3"/>
  <c r="D3824" i="3"/>
  <c r="D3828" i="3"/>
  <c r="D3832" i="3"/>
  <c r="D3836" i="3"/>
  <c r="D3840" i="3"/>
  <c r="D3844" i="3"/>
  <c r="D3848" i="3"/>
  <c r="D3737" i="3"/>
  <c r="D3717" i="3"/>
  <c r="D3729" i="3"/>
  <c r="D3741" i="3"/>
  <c r="D3753" i="3"/>
  <c r="D3721" i="3"/>
  <c r="D3733" i="3"/>
  <c r="D3745" i="3"/>
  <c r="D3757" i="3"/>
  <c r="D3760" i="3"/>
  <c r="D3725" i="3"/>
  <c r="D3749" i="3"/>
  <c r="D3716" i="3"/>
  <c r="D3720" i="3"/>
  <c r="D3724" i="3"/>
  <c r="D3728" i="3"/>
  <c r="D3732" i="3"/>
  <c r="D3736" i="3"/>
  <c r="D3740" i="3"/>
  <c r="D3744" i="3"/>
  <c r="D3748" i="3"/>
  <c r="D3752" i="3"/>
  <c r="D3756" i="3"/>
  <c r="D3719" i="3"/>
  <c r="D3723" i="3"/>
  <c r="D3727" i="3"/>
  <c r="D3731" i="3"/>
  <c r="D3735" i="3"/>
  <c r="D3739" i="3"/>
  <c r="D3743" i="3"/>
  <c r="D3747" i="3"/>
  <c r="D3751" i="3"/>
  <c r="D3755" i="3"/>
  <c r="D3759" i="3"/>
  <c r="D3718" i="3"/>
  <c r="D3722" i="3"/>
  <c r="D3726" i="3"/>
  <c r="D3730" i="3"/>
  <c r="D3734" i="3"/>
  <c r="D3738" i="3"/>
  <c r="D3742" i="3"/>
  <c r="D3746" i="3"/>
  <c r="D3750" i="3"/>
  <c r="D3754" i="3"/>
  <c r="D3758" i="3"/>
  <c r="D3647" i="3"/>
  <c r="D3663" i="3"/>
  <c r="D3659" i="3"/>
  <c r="D3651" i="3"/>
  <c r="D3639" i="3"/>
  <c r="D3635" i="3"/>
  <c r="D3631" i="3"/>
  <c r="D3643" i="3"/>
  <c r="D3655" i="3"/>
  <c r="D3667" i="3"/>
  <c r="D3627" i="3"/>
  <c r="D3626" i="3"/>
  <c r="D3630" i="3"/>
  <c r="D3634" i="3"/>
  <c r="D3638" i="3"/>
  <c r="D3642" i="3"/>
  <c r="D3646" i="3"/>
  <c r="D3650" i="3"/>
  <c r="D3654" i="3"/>
  <c r="D3658" i="3"/>
  <c r="D3662" i="3"/>
  <c r="D3666" i="3"/>
  <c r="D3670" i="3"/>
  <c r="D3629" i="3"/>
  <c r="D3633" i="3"/>
  <c r="D3637" i="3"/>
  <c r="D3641" i="3"/>
  <c r="D3645" i="3"/>
  <c r="D3649" i="3"/>
  <c r="D3653" i="3"/>
  <c r="D3657" i="3"/>
  <c r="D3661" i="3"/>
  <c r="D3665" i="3"/>
  <c r="D3669" i="3"/>
  <c r="D3628" i="3"/>
  <c r="D3632" i="3"/>
  <c r="D3636" i="3"/>
  <c r="D3640" i="3"/>
  <c r="D3644" i="3"/>
  <c r="D3648" i="3"/>
  <c r="D3652" i="3"/>
  <c r="D3656" i="3"/>
  <c r="D3660" i="3"/>
  <c r="D3664" i="3"/>
  <c r="D3668" i="3"/>
  <c r="D3557" i="3"/>
  <c r="D3545" i="3"/>
  <c r="D3537" i="3"/>
  <c r="D3549" i="3"/>
  <c r="D3561" i="3"/>
  <c r="D3573" i="3"/>
  <c r="D3541" i="3"/>
  <c r="D3553" i="3"/>
  <c r="D3565" i="3"/>
  <c r="D3577" i="3"/>
  <c r="D3580" i="3"/>
  <c r="D3569" i="3"/>
  <c r="D3536" i="3"/>
  <c r="D3540" i="3"/>
  <c r="D3544" i="3"/>
  <c r="D3548" i="3"/>
  <c r="D3552" i="3"/>
  <c r="D3556" i="3"/>
  <c r="D3560" i="3"/>
  <c r="D3564" i="3"/>
  <c r="D3568" i="3"/>
  <c r="D3572" i="3"/>
  <c r="D3576" i="3"/>
  <c r="D3539" i="3"/>
  <c r="D3543" i="3"/>
  <c r="D3547" i="3"/>
  <c r="D3551" i="3"/>
  <c r="D3555" i="3"/>
  <c r="D3559" i="3"/>
  <c r="D3563" i="3"/>
  <c r="D3567" i="3"/>
  <c r="D3571" i="3"/>
  <c r="D3575" i="3"/>
  <c r="D3579" i="3"/>
  <c r="D3538" i="3"/>
  <c r="D3542" i="3"/>
  <c r="D3546" i="3"/>
  <c r="D3550" i="3"/>
  <c r="D3554" i="3"/>
  <c r="D3558" i="3"/>
  <c r="D3562" i="3"/>
  <c r="D3566" i="3"/>
  <c r="D3570" i="3"/>
  <c r="D3574" i="3"/>
  <c r="D3578" i="3"/>
  <c r="D3461" i="3"/>
  <c r="D3449" i="3"/>
  <c r="D3479" i="3"/>
  <c r="D3447" i="3"/>
  <c r="D3453" i="3"/>
  <c r="D3465" i="3"/>
  <c r="D3471" i="3"/>
  <c r="D3477" i="3"/>
  <c r="D3483" i="3"/>
  <c r="D3489" i="3"/>
  <c r="D3467" i="3"/>
  <c r="D3459" i="3"/>
  <c r="D3473" i="3"/>
  <c r="D3451" i="3"/>
  <c r="D3469" i="3"/>
  <c r="D3481" i="3"/>
  <c r="D3487" i="3"/>
  <c r="D3490" i="3"/>
  <c r="D3455" i="3"/>
  <c r="D3475" i="3"/>
  <c r="D3485" i="3"/>
  <c r="D3457" i="3"/>
  <c r="D3463" i="3"/>
  <c r="D3446" i="3"/>
  <c r="D3450" i="3"/>
  <c r="D3454" i="3"/>
  <c r="D3458" i="3"/>
  <c r="D3462" i="3"/>
  <c r="D3466" i="3"/>
  <c r="D3470" i="3"/>
  <c r="D3474" i="3"/>
  <c r="D3478" i="3"/>
  <c r="D3482" i="3"/>
  <c r="D3486" i="3"/>
  <c r="D3448" i="3"/>
  <c r="D3452" i="3"/>
  <c r="D3456" i="3"/>
  <c r="D3460" i="3"/>
  <c r="D3464" i="3"/>
  <c r="D3468" i="3"/>
  <c r="D3472" i="3"/>
  <c r="D3476" i="3"/>
  <c r="D3480" i="3"/>
  <c r="D3484" i="3"/>
  <c r="D3488" i="3"/>
  <c r="D3365" i="3"/>
  <c r="D3389" i="3"/>
  <c r="D3398" i="3"/>
  <c r="D3359" i="3"/>
  <c r="D3357" i="3"/>
  <c r="D3369" i="3"/>
  <c r="D3387" i="3"/>
  <c r="D3390" i="3"/>
  <c r="D3393" i="3"/>
  <c r="D3363" i="3"/>
  <c r="D3399" i="3"/>
  <c r="D3367" i="3"/>
  <c r="D3391" i="3"/>
  <c r="D3394" i="3"/>
  <c r="D3397" i="3"/>
  <c r="D3386" i="3"/>
  <c r="D3395" i="3"/>
  <c r="D3361" i="3"/>
  <c r="D3356" i="3"/>
  <c r="D3360" i="3"/>
  <c r="D3364" i="3"/>
  <c r="D3368" i="3"/>
  <c r="D3388" i="3"/>
  <c r="D3392" i="3"/>
  <c r="D3396" i="3"/>
  <c r="D3400" i="3"/>
  <c r="D3358" i="3"/>
  <c r="D3362" i="3"/>
  <c r="D3366" i="3"/>
  <c r="D3370" i="3"/>
  <c r="I1934" i="3"/>
  <c r="I1938" i="3"/>
  <c r="H1938" i="3"/>
  <c r="H1936" i="3"/>
  <c r="I1937" i="3"/>
  <c r="I1936" i="3"/>
  <c r="H1935" i="3"/>
  <c r="H1931" i="3"/>
  <c r="H1929" i="3"/>
  <c r="H1937" i="3"/>
  <c r="H1932" i="3"/>
  <c r="I1935" i="3"/>
  <c r="J4048" i="3" l="1"/>
  <c r="I4048" i="3"/>
  <c r="H4048" i="3"/>
  <c r="J4086" i="3"/>
  <c r="H4086" i="3"/>
  <c r="I4086" i="3"/>
  <c r="J4083" i="3"/>
  <c r="I4083" i="3"/>
  <c r="H4083" i="3"/>
  <c r="J4089" i="3"/>
  <c r="I4089" i="3"/>
  <c r="H4089" i="3"/>
  <c r="J4082" i="3"/>
  <c r="H4082" i="3"/>
  <c r="I4082" i="3"/>
  <c r="J4079" i="3"/>
  <c r="I4079" i="3"/>
  <c r="H4079" i="3"/>
  <c r="J4088" i="3"/>
  <c r="I4088" i="3"/>
  <c r="H4088" i="3"/>
  <c r="J4085" i="3"/>
  <c r="I4085" i="3"/>
  <c r="H4085" i="3"/>
  <c r="J4078" i="3"/>
  <c r="H4078" i="3"/>
  <c r="I4078" i="3"/>
  <c r="J4075" i="3"/>
  <c r="I4075" i="3"/>
  <c r="H4075" i="3"/>
  <c r="J4084" i="3"/>
  <c r="I4084" i="3"/>
  <c r="H4084" i="3"/>
  <c r="J4081" i="3"/>
  <c r="I4081" i="3"/>
  <c r="H4081" i="3"/>
  <c r="J4074" i="3"/>
  <c r="H4074" i="3"/>
  <c r="I4074" i="3"/>
  <c r="J4071" i="3"/>
  <c r="I4071" i="3"/>
  <c r="H4071" i="3"/>
  <c r="J4080" i="3"/>
  <c r="I4080" i="3"/>
  <c r="H4080" i="3"/>
  <c r="J4077" i="3"/>
  <c r="I4077" i="3"/>
  <c r="H4077" i="3"/>
  <c r="J4070" i="3"/>
  <c r="H4070" i="3"/>
  <c r="I4070" i="3"/>
  <c r="J4067" i="3"/>
  <c r="I4067" i="3"/>
  <c r="H4067" i="3"/>
  <c r="J4076" i="3"/>
  <c r="I4076" i="3"/>
  <c r="H4076" i="3"/>
  <c r="J4073" i="3"/>
  <c r="I4073" i="3"/>
  <c r="H4073" i="3"/>
  <c r="J4066" i="3"/>
  <c r="H4066" i="3"/>
  <c r="I4066" i="3"/>
  <c r="J4063" i="3"/>
  <c r="I4063" i="3"/>
  <c r="H4063" i="3"/>
  <c r="J4087" i="3"/>
  <c r="I4087" i="3"/>
  <c r="H4087" i="3"/>
  <c r="J4072" i="3"/>
  <c r="I4072" i="3"/>
  <c r="H4072" i="3"/>
  <c r="J4069" i="3"/>
  <c r="I4069" i="3"/>
  <c r="H4069" i="3"/>
  <c r="J4062" i="3"/>
  <c r="H4062" i="3"/>
  <c r="I4062" i="3"/>
  <c r="J4059" i="3"/>
  <c r="I4059" i="3"/>
  <c r="H4059" i="3"/>
  <c r="J4049" i="3"/>
  <c r="I4049" i="3"/>
  <c r="H4049" i="3"/>
  <c r="J4068" i="3"/>
  <c r="I4068" i="3"/>
  <c r="H4068" i="3"/>
  <c r="J4065" i="3"/>
  <c r="I4065" i="3"/>
  <c r="H4065" i="3"/>
  <c r="J4058" i="3"/>
  <c r="H4058" i="3"/>
  <c r="I4058" i="3"/>
  <c r="J4055" i="3"/>
  <c r="I4055" i="3"/>
  <c r="H4055" i="3"/>
  <c r="J4064" i="3"/>
  <c r="I4064" i="3"/>
  <c r="H4064" i="3"/>
  <c r="J4061" i="3"/>
  <c r="I4061" i="3"/>
  <c r="H4061" i="3"/>
  <c r="J4054" i="3"/>
  <c r="H4054" i="3"/>
  <c r="I4054" i="3"/>
  <c r="J4051" i="3"/>
  <c r="I4051" i="3"/>
  <c r="H4051" i="3"/>
  <c r="J4052" i="3"/>
  <c r="I4052" i="3"/>
  <c r="H4052" i="3"/>
  <c r="J4060" i="3"/>
  <c r="I4060" i="3"/>
  <c r="H4060" i="3"/>
  <c r="J4057" i="3"/>
  <c r="I4057" i="3"/>
  <c r="H4057" i="3"/>
  <c r="J4050" i="3"/>
  <c r="H4050" i="3"/>
  <c r="I4050" i="3"/>
  <c r="J4047" i="3"/>
  <c r="I4047" i="3"/>
  <c r="H4047" i="3"/>
  <c r="J4056" i="3"/>
  <c r="I4056" i="3"/>
  <c r="H4056" i="3"/>
  <c r="J4053" i="3"/>
  <c r="I4053" i="3"/>
  <c r="H4053" i="3"/>
  <c r="J4046" i="3"/>
  <c r="H4046" i="3"/>
  <c r="I4046" i="3"/>
  <c r="J4090" i="3"/>
  <c r="I4090" i="3"/>
  <c r="H4090" i="3"/>
  <c r="J3962" i="3"/>
  <c r="I3962" i="3"/>
  <c r="H3962" i="3"/>
  <c r="J3959" i="3"/>
  <c r="I3959" i="3"/>
  <c r="H3959" i="3"/>
  <c r="J3977" i="3"/>
  <c r="I3977" i="3"/>
  <c r="H3977" i="3"/>
  <c r="J3958" i="3"/>
  <c r="I3958" i="3"/>
  <c r="H3958" i="3"/>
  <c r="J3996" i="3"/>
  <c r="I3996" i="3"/>
  <c r="H3996" i="3"/>
  <c r="J3965" i="3"/>
  <c r="I3965" i="3"/>
  <c r="H3965" i="3"/>
  <c r="J3999" i="3"/>
  <c r="I3999" i="3"/>
  <c r="H3999" i="3"/>
  <c r="J3992" i="3"/>
  <c r="I3992" i="3"/>
  <c r="H3992" i="3"/>
  <c r="J4000" i="3"/>
  <c r="I4000" i="3"/>
  <c r="H4000" i="3"/>
  <c r="J3998" i="3"/>
  <c r="I3998" i="3"/>
  <c r="H3998" i="3"/>
  <c r="H3995" i="3"/>
  <c r="J3995" i="3"/>
  <c r="I3995" i="3"/>
  <c r="J3988" i="3"/>
  <c r="I3988" i="3"/>
  <c r="H3988" i="3"/>
  <c r="J3997" i="3"/>
  <c r="I3997" i="3"/>
  <c r="H3997" i="3"/>
  <c r="J3994" i="3"/>
  <c r="I3994" i="3"/>
  <c r="H3994" i="3"/>
  <c r="J3991" i="3"/>
  <c r="H3991" i="3"/>
  <c r="I3991" i="3"/>
  <c r="J3984" i="3"/>
  <c r="I3984" i="3"/>
  <c r="H3984" i="3"/>
  <c r="I3985" i="3"/>
  <c r="J3985" i="3"/>
  <c r="H3985" i="3"/>
  <c r="J3990" i="3"/>
  <c r="I3990" i="3"/>
  <c r="H3990" i="3"/>
  <c r="H3987" i="3"/>
  <c r="J3987" i="3"/>
  <c r="I3987" i="3"/>
  <c r="J3980" i="3"/>
  <c r="I3980" i="3"/>
  <c r="H3980" i="3"/>
  <c r="I3973" i="3"/>
  <c r="J3973" i="3"/>
  <c r="H3973" i="3"/>
  <c r="J3986" i="3"/>
  <c r="I3986" i="3"/>
  <c r="H3986" i="3"/>
  <c r="J3983" i="3"/>
  <c r="I3983" i="3"/>
  <c r="H3983" i="3"/>
  <c r="J3976" i="3"/>
  <c r="I3976" i="3"/>
  <c r="H3976" i="3"/>
  <c r="I3961" i="3"/>
  <c r="J3961" i="3"/>
  <c r="H3961" i="3"/>
  <c r="J3982" i="3"/>
  <c r="I3982" i="3"/>
  <c r="H3982" i="3"/>
  <c r="J3979" i="3"/>
  <c r="H3979" i="3"/>
  <c r="I3979" i="3"/>
  <c r="J3972" i="3"/>
  <c r="I3972" i="3"/>
  <c r="H3972" i="3"/>
  <c r="I3989" i="3"/>
  <c r="J3989" i="3"/>
  <c r="H3989" i="3"/>
  <c r="J3978" i="3"/>
  <c r="I3978" i="3"/>
  <c r="H3978" i="3"/>
  <c r="H3975" i="3"/>
  <c r="J3975" i="3"/>
  <c r="I3975" i="3"/>
  <c r="J3968" i="3"/>
  <c r="I3968" i="3"/>
  <c r="H3968" i="3"/>
  <c r="J3993" i="3"/>
  <c r="I3993" i="3"/>
  <c r="H3993" i="3"/>
  <c r="J3974" i="3"/>
  <c r="I3974" i="3"/>
  <c r="H3974" i="3"/>
  <c r="J3971" i="3"/>
  <c r="H3971" i="3"/>
  <c r="I3971" i="3"/>
  <c r="J3964" i="3"/>
  <c r="I3964" i="3"/>
  <c r="H3964" i="3"/>
  <c r="I3981" i="3"/>
  <c r="J3981" i="3"/>
  <c r="H3981" i="3"/>
  <c r="J3970" i="3"/>
  <c r="I3970" i="3"/>
  <c r="H3970" i="3"/>
  <c r="H3967" i="3"/>
  <c r="J3967" i="3"/>
  <c r="I3967" i="3"/>
  <c r="J3960" i="3"/>
  <c r="I3960" i="3"/>
  <c r="H3960" i="3"/>
  <c r="I3969" i="3"/>
  <c r="J3969" i="3"/>
  <c r="H3969" i="3"/>
  <c r="J3966" i="3"/>
  <c r="I3966" i="3"/>
  <c r="H3966" i="3"/>
  <c r="J3963" i="3"/>
  <c r="I3963" i="3"/>
  <c r="H3963" i="3"/>
  <c r="J3956" i="3"/>
  <c r="I3956" i="3"/>
  <c r="H3956" i="3"/>
  <c r="J3957" i="3"/>
  <c r="I3957" i="3"/>
  <c r="H3957" i="3"/>
  <c r="J3812" i="3"/>
  <c r="I3812" i="3"/>
  <c r="H3812" i="3"/>
  <c r="J3809" i="3"/>
  <c r="I3809" i="3"/>
  <c r="H3809" i="3"/>
  <c r="J3850" i="3"/>
  <c r="I3850" i="3"/>
  <c r="H3850" i="3"/>
  <c r="J3808" i="3"/>
  <c r="I3808" i="3"/>
  <c r="H3808" i="3"/>
  <c r="J3846" i="3"/>
  <c r="I3846" i="3"/>
  <c r="H3846" i="3"/>
  <c r="J3835" i="3"/>
  <c r="I3835" i="3"/>
  <c r="H3835" i="3"/>
  <c r="J3849" i="3"/>
  <c r="I3849" i="3"/>
  <c r="H3849" i="3"/>
  <c r="J3848" i="3"/>
  <c r="I3848" i="3"/>
  <c r="H3848" i="3"/>
  <c r="J3845" i="3"/>
  <c r="I3845" i="3"/>
  <c r="H3845" i="3"/>
  <c r="J3838" i="3"/>
  <c r="I3838" i="3"/>
  <c r="H3838" i="3"/>
  <c r="J3823" i="3"/>
  <c r="I3823" i="3"/>
  <c r="H3823" i="3"/>
  <c r="J3844" i="3"/>
  <c r="I3844" i="3"/>
  <c r="H3844" i="3"/>
  <c r="J3841" i="3"/>
  <c r="I3841" i="3"/>
  <c r="H3841" i="3"/>
  <c r="J3834" i="3"/>
  <c r="I3834" i="3"/>
  <c r="H3834" i="3"/>
  <c r="J3811" i="3"/>
  <c r="I3811" i="3"/>
  <c r="H3811" i="3"/>
  <c r="J3842" i="3"/>
  <c r="I3842" i="3"/>
  <c r="H3842" i="3"/>
  <c r="J3840" i="3"/>
  <c r="I3840" i="3"/>
  <c r="H3840" i="3"/>
  <c r="J3837" i="3"/>
  <c r="I3837" i="3"/>
  <c r="H3837" i="3"/>
  <c r="J3830" i="3"/>
  <c r="I3830" i="3"/>
  <c r="H3830" i="3"/>
  <c r="J3815" i="3"/>
  <c r="I3815" i="3"/>
  <c r="H3815" i="3"/>
  <c r="J3847" i="3"/>
  <c r="I3847" i="3"/>
  <c r="H3847" i="3"/>
  <c r="J3836" i="3"/>
  <c r="I3836" i="3"/>
  <c r="H3836" i="3"/>
  <c r="J3833" i="3"/>
  <c r="I3833" i="3"/>
  <c r="H3833" i="3"/>
  <c r="J3826" i="3"/>
  <c r="I3826" i="3"/>
  <c r="H3826" i="3"/>
  <c r="J3827" i="3"/>
  <c r="I3827" i="3"/>
  <c r="H3827" i="3"/>
  <c r="J3832" i="3"/>
  <c r="I3832" i="3"/>
  <c r="H3832" i="3"/>
  <c r="J3829" i="3"/>
  <c r="I3829" i="3"/>
  <c r="H3829" i="3"/>
  <c r="J3822" i="3"/>
  <c r="I3822" i="3"/>
  <c r="H3822" i="3"/>
  <c r="J3843" i="3"/>
  <c r="I3843" i="3"/>
  <c r="H3843" i="3"/>
  <c r="J3828" i="3"/>
  <c r="I3828" i="3"/>
  <c r="H3828" i="3"/>
  <c r="J3825" i="3"/>
  <c r="I3825" i="3"/>
  <c r="H3825" i="3"/>
  <c r="J3818" i="3"/>
  <c r="I3818" i="3"/>
  <c r="H3818" i="3"/>
  <c r="J3831" i="3"/>
  <c r="I3831" i="3"/>
  <c r="H3831" i="3"/>
  <c r="J3824" i="3"/>
  <c r="I3824" i="3"/>
  <c r="H3824" i="3"/>
  <c r="H3821" i="3"/>
  <c r="J3821" i="3"/>
  <c r="I3821" i="3"/>
  <c r="J3814" i="3"/>
  <c r="I3814" i="3"/>
  <c r="H3814" i="3"/>
  <c r="J3819" i="3"/>
  <c r="I3819" i="3"/>
  <c r="H3819" i="3"/>
  <c r="J3820" i="3"/>
  <c r="I3820" i="3"/>
  <c r="H3820" i="3"/>
  <c r="H3817" i="3"/>
  <c r="J3817" i="3"/>
  <c r="I3817" i="3"/>
  <c r="J3810" i="3"/>
  <c r="I3810" i="3"/>
  <c r="H3810" i="3"/>
  <c r="J3807" i="3"/>
  <c r="I3807" i="3"/>
  <c r="H3807" i="3"/>
  <c r="J3816" i="3"/>
  <c r="I3816" i="3"/>
  <c r="H3816" i="3"/>
  <c r="H3813" i="3"/>
  <c r="J3813" i="3"/>
  <c r="I3813" i="3"/>
  <c r="J3806" i="3"/>
  <c r="I3806" i="3"/>
  <c r="H3806" i="3"/>
  <c r="J3839" i="3"/>
  <c r="I3839" i="3"/>
  <c r="H3839" i="3"/>
  <c r="J3737" i="3"/>
  <c r="I3737" i="3"/>
  <c r="H3737" i="3"/>
  <c r="J3749" i="3"/>
  <c r="I3749" i="3"/>
  <c r="H3749" i="3"/>
  <c r="J3756" i="3"/>
  <c r="I3756" i="3"/>
  <c r="H3756" i="3"/>
  <c r="J3758" i="3"/>
  <c r="I3758" i="3"/>
  <c r="H3758" i="3"/>
  <c r="H3755" i="3"/>
  <c r="J3755" i="3"/>
  <c r="I3755" i="3"/>
  <c r="J3748" i="3"/>
  <c r="I3748" i="3"/>
  <c r="H3748" i="3"/>
  <c r="J3757" i="3"/>
  <c r="I3757" i="3"/>
  <c r="H3757" i="3"/>
  <c r="J3750" i="3"/>
  <c r="I3750" i="3"/>
  <c r="H3750" i="3"/>
  <c r="H3747" i="3"/>
  <c r="J3747" i="3"/>
  <c r="I3747" i="3"/>
  <c r="J3740" i="3"/>
  <c r="I3740" i="3"/>
  <c r="H3740" i="3"/>
  <c r="J3733" i="3"/>
  <c r="I3733" i="3"/>
  <c r="H3733" i="3"/>
  <c r="J3726" i="3"/>
  <c r="I3726" i="3"/>
  <c r="H3726" i="3"/>
  <c r="J3744" i="3"/>
  <c r="I3744" i="3"/>
  <c r="H3744" i="3"/>
  <c r="J3746" i="3"/>
  <c r="I3746" i="3"/>
  <c r="H3746" i="3"/>
  <c r="H3743" i="3"/>
  <c r="J3743" i="3"/>
  <c r="I3743" i="3"/>
  <c r="J3736" i="3"/>
  <c r="I3736" i="3"/>
  <c r="H3736" i="3"/>
  <c r="J3721" i="3"/>
  <c r="I3721" i="3"/>
  <c r="H3721" i="3"/>
  <c r="J3751" i="3"/>
  <c r="H3751" i="3"/>
  <c r="I3751" i="3"/>
  <c r="J3742" i="3"/>
  <c r="I3742" i="3"/>
  <c r="H3742" i="3"/>
  <c r="H3739" i="3"/>
  <c r="J3739" i="3"/>
  <c r="I3739" i="3"/>
  <c r="J3732" i="3"/>
  <c r="I3732" i="3"/>
  <c r="H3732" i="3"/>
  <c r="J3753" i="3"/>
  <c r="I3753" i="3"/>
  <c r="H3753" i="3"/>
  <c r="H3723" i="3"/>
  <c r="J3723" i="3"/>
  <c r="I3723" i="3"/>
  <c r="H3719" i="3"/>
  <c r="J3719" i="3"/>
  <c r="I3719" i="3"/>
  <c r="J3760" i="3"/>
  <c r="I3760" i="3"/>
  <c r="H3760" i="3"/>
  <c r="J3738" i="3"/>
  <c r="I3738" i="3"/>
  <c r="H3738" i="3"/>
  <c r="H3735" i="3"/>
  <c r="J3735" i="3"/>
  <c r="I3735" i="3"/>
  <c r="J3728" i="3"/>
  <c r="I3728" i="3"/>
  <c r="H3728" i="3"/>
  <c r="J3741" i="3"/>
  <c r="I3741" i="3"/>
  <c r="H3741" i="3"/>
  <c r="J3716" i="3"/>
  <c r="I3716" i="3"/>
  <c r="H3716" i="3"/>
  <c r="J3725" i="3"/>
  <c r="I3725" i="3"/>
  <c r="H3725" i="3"/>
  <c r="J3752" i="3"/>
  <c r="I3752" i="3"/>
  <c r="H3752" i="3"/>
  <c r="J3745" i="3"/>
  <c r="I3745" i="3"/>
  <c r="H3745" i="3"/>
  <c r="J3734" i="3"/>
  <c r="I3734" i="3"/>
  <c r="H3734" i="3"/>
  <c r="H3731" i="3"/>
  <c r="J3731" i="3"/>
  <c r="I3731" i="3"/>
  <c r="J3724" i="3"/>
  <c r="I3724" i="3"/>
  <c r="H3724" i="3"/>
  <c r="J3729" i="3"/>
  <c r="I3729" i="3"/>
  <c r="H3729" i="3"/>
  <c r="J3722" i="3"/>
  <c r="I3722" i="3"/>
  <c r="H3722" i="3"/>
  <c r="J3718" i="3"/>
  <c r="I3718" i="3"/>
  <c r="H3718" i="3"/>
  <c r="H3759" i="3"/>
  <c r="J3759" i="3"/>
  <c r="I3759" i="3"/>
  <c r="J3754" i="3"/>
  <c r="I3754" i="3"/>
  <c r="H3754" i="3"/>
  <c r="J3730" i="3"/>
  <c r="I3730" i="3"/>
  <c r="H3730" i="3"/>
  <c r="H3727" i="3"/>
  <c r="J3727" i="3"/>
  <c r="I3727" i="3"/>
  <c r="J3720" i="3"/>
  <c r="I3720" i="3"/>
  <c r="H3720" i="3"/>
  <c r="J3717" i="3"/>
  <c r="I3717" i="3"/>
  <c r="H3717" i="3"/>
  <c r="J3627" i="3"/>
  <c r="I3627" i="3"/>
  <c r="H3627" i="3"/>
  <c r="J3668" i="3"/>
  <c r="I3668" i="3"/>
  <c r="H3668" i="3"/>
  <c r="J3665" i="3"/>
  <c r="I3665" i="3"/>
  <c r="H3665" i="3"/>
  <c r="J3662" i="3"/>
  <c r="I3662" i="3"/>
  <c r="H3662" i="3"/>
  <c r="J3655" i="3"/>
  <c r="I3655" i="3"/>
  <c r="H3655" i="3"/>
  <c r="J3667" i="3"/>
  <c r="I3667" i="3"/>
  <c r="H3667" i="3"/>
  <c r="J3664" i="3"/>
  <c r="I3664" i="3"/>
  <c r="H3664" i="3"/>
  <c r="H3661" i="3"/>
  <c r="J3661" i="3"/>
  <c r="I3661" i="3"/>
  <c r="J3658" i="3"/>
  <c r="I3658" i="3"/>
  <c r="H3658" i="3"/>
  <c r="J3643" i="3"/>
  <c r="I3643" i="3"/>
  <c r="H3643" i="3"/>
  <c r="H3629" i="3"/>
  <c r="J3629" i="3"/>
  <c r="I3629" i="3"/>
  <c r="J3660" i="3"/>
  <c r="I3660" i="3"/>
  <c r="H3660" i="3"/>
  <c r="H3657" i="3"/>
  <c r="J3657" i="3"/>
  <c r="I3657" i="3"/>
  <c r="J3654" i="3"/>
  <c r="I3654" i="3"/>
  <c r="H3654" i="3"/>
  <c r="J3631" i="3"/>
  <c r="I3631" i="3"/>
  <c r="H3631" i="3"/>
  <c r="J3656" i="3"/>
  <c r="I3656" i="3"/>
  <c r="H3656" i="3"/>
  <c r="H3653" i="3"/>
  <c r="J3653" i="3"/>
  <c r="I3653" i="3"/>
  <c r="J3650" i="3"/>
  <c r="I3650" i="3"/>
  <c r="H3650" i="3"/>
  <c r="J3635" i="3"/>
  <c r="I3635" i="3"/>
  <c r="H3635" i="3"/>
  <c r="J3632" i="3"/>
  <c r="I3632" i="3"/>
  <c r="H3632" i="3"/>
  <c r="J3670" i="3"/>
  <c r="I3670" i="3"/>
  <c r="H3670" i="3"/>
  <c r="J3666" i="3"/>
  <c r="I3666" i="3"/>
  <c r="H3666" i="3"/>
  <c r="J3652" i="3"/>
  <c r="I3652" i="3"/>
  <c r="H3652" i="3"/>
  <c r="H3649" i="3"/>
  <c r="J3649" i="3"/>
  <c r="I3649" i="3"/>
  <c r="J3646" i="3"/>
  <c r="I3646" i="3"/>
  <c r="H3646" i="3"/>
  <c r="J3639" i="3"/>
  <c r="I3639" i="3"/>
  <c r="H3639" i="3"/>
  <c r="J3628" i="3"/>
  <c r="I3628" i="3"/>
  <c r="H3628" i="3"/>
  <c r="J3648" i="3"/>
  <c r="I3648" i="3"/>
  <c r="H3648" i="3"/>
  <c r="H3645" i="3"/>
  <c r="J3645" i="3"/>
  <c r="I3645" i="3"/>
  <c r="J3642" i="3"/>
  <c r="I3642" i="3"/>
  <c r="H3642" i="3"/>
  <c r="J3651" i="3"/>
  <c r="I3651" i="3"/>
  <c r="H3651" i="3"/>
  <c r="J3626" i="3"/>
  <c r="I3626" i="3"/>
  <c r="H3626" i="3"/>
  <c r="J3644" i="3"/>
  <c r="I3644" i="3"/>
  <c r="H3644" i="3"/>
  <c r="J3641" i="3"/>
  <c r="I3641" i="3"/>
  <c r="H3641" i="3"/>
  <c r="J3638" i="3"/>
  <c r="I3638" i="3"/>
  <c r="H3638" i="3"/>
  <c r="J3659" i="3"/>
  <c r="I3659" i="3"/>
  <c r="H3659" i="3"/>
  <c r="J3640" i="3"/>
  <c r="I3640" i="3"/>
  <c r="H3640" i="3"/>
  <c r="H3637" i="3"/>
  <c r="J3637" i="3"/>
  <c r="I3637" i="3"/>
  <c r="J3634" i="3"/>
  <c r="I3634" i="3"/>
  <c r="H3634" i="3"/>
  <c r="J3663" i="3"/>
  <c r="I3663" i="3"/>
  <c r="H3663" i="3"/>
  <c r="H3669" i="3"/>
  <c r="J3669" i="3"/>
  <c r="I3669" i="3"/>
  <c r="J3636" i="3"/>
  <c r="I3636" i="3"/>
  <c r="H3636" i="3"/>
  <c r="H3633" i="3"/>
  <c r="J3633" i="3"/>
  <c r="I3633" i="3"/>
  <c r="J3630" i="3"/>
  <c r="I3630" i="3"/>
  <c r="H3630" i="3"/>
  <c r="J3647" i="3"/>
  <c r="I3647" i="3"/>
  <c r="H3647" i="3"/>
  <c r="J3577" i="3"/>
  <c r="I3577" i="3"/>
  <c r="H3577" i="3"/>
  <c r="J3578" i="3"/>
  <c r="I3578" i="3"/>
  <c r="H3578" i="3"/>
  <c r="J3575" i="3"/>
  <c r="I3575" i="3"/>
  <c r="H3575" i="3"/>
  <c r="J3568" i="3"/>
  <c r="I3568" i="3"/>
  <c r="H3568" i="3"/>
  <c r="J3565" i="3"/>
  <c r="I3565" i="3"/>
  <c r="H3565" i="3"/>
  <c r="J3580" i="3"/>
  <c r="I3580" i="3"/>
  <c r="H3580" i="3"/>
  <c r="J3574" i="3"/>
  <c r="I3574" i="3"/>
  <c r="H3574" i="3"/>
  <c r="J3571" i="3"/>
  <c r="I3571" i="3"/>
  <c r="H3571" i="3"/>
  <c r="J3564" i="3"/>
  <c r="I3564" i="3"/>
  <c r="H3564" i="3"/>
  <c r="J3553" i="3"/>
  <c r="I3553" i="3"/>
  <c r="H3553" i="3"/>
  <c r="J3569" i="3"/>
  <c r="I3569" i="3"/>
  <c r="H3569" i="3"/>
  <c r="J3538" i="3"/>
  <c r="I3538" i="3"/>
  <c r="H3538" i="3"/>
  <c r="J3570" i="3"/>
  <c r="I3570" i="3"/>
  <c r="H3570" i="3"/>
  <c r="J3567" i="3"/>
  <c r="I3567" i="3"/>
  <c r="H3567" i="3"/>
  <c r="J3560" i="3"/>
  <c r="I3560" i="3"/>
  <c r="H3560" i="3"/>
  <c r="J3541" i="3"/>
  <c r="I3541" i="3"/>
  <c r="H3541" i="3"/>
  <c r="J3539" i="3"/>
  <c r="H3539" i="3"/>
  <c r="I3539" i="3"/>
  <c r="J3579" i="3"/>
  <c r="I3579" i="3"/>
  <c r="H3579" i="3"/>
  <c r="J3566" i="3"/>
  <c r="I3566" i="3"/>
  <c r="H3566" i="3"/>
  <c r="J3563" i="3"/>
  <c r="I3563" i="3"/>
  <c r="H3563" i="3"/>
  <c r="J3556" i="3"/>
  <c r="I3556" i="3"/>
  <c r="H3556" i="3"/>
  <c r="J3573" i="3"/>
  <c r="I3573" i="3"/>
  <c r="H3573" i="3"/>
  <c r="J3562" i="3"/>
  <c r="I3562" i="3"/>
  <c r="H3562" i="3"/>
  <c r="J3559" i="3"/>
  <c r="H3559" i="3"/>
  <c r="I3559" i="3"/>
  <c r="J3552" i="3"/>
  <c r="I3552" i="3"/>
  <c r="H3552" i="3"/>
  <c r="J3561" i="3"/>
  <c r="I3561" i="3"/>
  <c r="H3561" i="3"/>
  <c r="J3576" i="3"/>
  <c r="I3576" i="3"/>
  <c r="H3576" i="3"/>
  <c r="J3558" i="3"/>
  <c r="I3558" i="3"/>
  <c r="H3558" i="3"/>
  <c r="H3555" i="3"/>
  <c r="J3555" i="3"/>
  <c r="I3555" i="3"/>
  <c r="J3548" i="3"/>
  <c r="I3548" i="3"/>
  <c r="H3548" i="3"/>
  <c r="J3549" i="3"/>
  <c r="I3549" i="3"/>
  <c r="H3549" i="3"/>
  <c r="J3542" i="3"/>
  <c r="I3542" i="3"/>
  <c r="H3542" i="3"/>
  <c r="J3572" i="3"/>
  <c r="I3572" i="3"/>
  <c r="H3572" i="3"/>
  <c r="J3554" i="3"/>
  <c r="I3554" i="3"/>
  <c r="H3554" i="3"/>
  <c r="J3551" i="3"/>
  <c r="I3551" i="3"/>
  <c r="H3551" i="3"/>
  <c r="J3544" i="3"/>
  <c r="I3544" i="3"/>
  <c r="H3544" i="3"/>
  <c r="J3537" i="3"/>
  <c r="I3537" i="3"/>
  <c r="H3537" i="3"/>
  <c r="J3550" i="3"/>
  <c r="I3550" i="3"/>
  <c r="H3550" i="3"/>
  <c r="J3547" i="3"/>
  <c r="H3547" i="3"/>
  <c r="I3547" i="3"/>
  <c r="J3540" i="3"/>
  <c r="I3540" i="3"/>
  <c r="H3540" i="3"/>
  <c r="J3545" i="3"/>
  <c r="I3545" i="3"/>
  <c r="H3545" i="3"/>
  <c r="J3546" i="3"/>
  <c r="I3546" i="3"/>
  <c r="H3546" i="3"/>
  <c r="H3543" i="3"/>
  <c r="J3543" i="3"/>
  <c r="I3543" i="3"/>
  <c r="J3536" i="3"/>
  <c r="I3536" i="3"/>
  <c r="H3536" i="3"/>
  <c r="J3557" i="3"/>
  <c r="I3557" i="3"/>
  <c r="H3557" i="3"/>
  <c r="J3486" i="3"/>
  <c r="I3486" i="3"/>
  <c r="H3486" i="3"/>
  <c r="J3457" i="3"/>
  <c r="H3457" i="3"/>
  <c r="I3457" i="3"/>
  <c r="J3489" i="3"/>
  <c r="I3489" i="3"/>
  <c r="H3489" i="3"/>
  <c r="J3488" i="3"/>
  <c r="I3488" i="3"/>
  <c r="H3488" i="3"/>
  <c r="J3482" i="3"/>
  <c r="I3482" i="3"/>
  <c r="H3482" i="3"/>
  <c r="H3485" i="3"/>
  <c r="J3485" i="3"/>
  <c r="I3485" i="3"/>
  <c r="H3483" i="3"/>
  <c r="J3483" i="3"/>
  <c r="I3483" i="3"/>
  <c r="J3484" i="3"/>
  <c r="I3484" i="3"/>
  <c r="H3484" i="3"/>
  <c r="J3478" i="3"/>
  <c r="I3478" i="3"/>
  <c r="H3478" i="3"/>
  <c r="H3475" i="3"/>
  <c r="J3475" i="3"/>
  <c r="I3475" i="3"/>
  <c r="H3477" i="3"/>
  <c r="J3477" i="3"/>
  <c r="I3477" i="3"/>
  <c r="J3480" i="3"/>
  <c r="I3480" i="3"/>
  <c r="H3480" i="3"/>
  <c r="J3474" i="3"/>
  <c r="I3474" i="3"/>
  <c r="H3474" i="3"/>
  <c r="J3455" i="3"/>
  <c r="I3455" i="3"/>
  <c r="H3455" i="3"/>
  <c r="H3471" i="3"/>
  <c r="J3471" i="3"/>
  <c r="I3471" i="3"/>
  <c r="J3452" i="3"/>
  <c r="I3452" i="3"/>
  <c r="H3452" i="3"/>
  <c r="J3465" i="3"/>
  <c r="H3465" i="3"/>
  <c r="I3465" i="3"/>
  <c r="J3472" i="3"/>
  <c r="I3472" i="3"/>
  <c r="H3472" i="3"/>
  <c r="J3466" i="3"/>
  <c r="I3466" i="3"/>
  <c r="H3466" i="3"/>
  <c r="H3487" i="3"/>
  <c r="J3487" i="3"/>
  <c r="I3487" i="3"/>
  <c r="J3453" i="3"/>
  <c r="H3453" i="3"/>
  <c r="I3453" i="3"/>
  <c r="J3446" i="3"/>
  <c r="I3446" i="3"/>
  <c r="H3446" i="3"/>
  <c r="H3459" i="3"/>
  <c r="J3459" i="3"/>
  <c r="I3459" i="3"/>
  <c r="J3448" i="3"/>
  <c r="I3448" i="3"/>
  <c r="H3448" i="3"/>
  <c r="H3467" i="3"/>
  <c r="J3467" i="3"/>
  <c r="I3467" i="3"/>
  <c r="J3470" i="3"/>
  <c r="I3470" i="3"/>
  <c r="H3470" i="3"/>
  <c r="J3468" i="3"/>
  <c r="I3468" i="3"/>
  <c r="H3468" i="3"/>
  <c r="J3462" i="3"/>
  <c r="I3462" i="3"/>
  <c r="H3462" i="3"/>
  <c r="H3481" i="3"/>
  <c r="J3481" i="3"/>
  <c r="I3481" i="3"/>
  <c r="H3447" i="3"/>
  <c r="J3447" i="3"/>
  <c r="I3447" i="3"/>
  <c r="J3476" i="3"/>
  <c r="I3476" i="3"/>
  <c r="H3476" i="3"/>
  <c r="J3464" i="3"/>
  <c r="I3464" i="3"/>
  <c r="H3464" i="3"/>
  <c r="J3458" i="3"/>
  <c r="I3458" i="3"/>
  <c r="H3458" i="3"/>
  <c r="J3469" i="3"/>
  <c r="H3469" i="3"/>
  <c r="I3469" i="3"/>
  <c r="H3479" i="3"/>
  <c r="J3479" i="3"/>
  <c r="I3479" i="3"/>
  <c r="J3490" i="3"/>
  <c r="I3490" i="3"/>
  <c r="H3490" i="3"/>
  <c r="J3460" i="3"/>
  <c r="I3460" i="3"/>
  <c r="H3460" i="3"/>
  <c r="J3454" i="3"/>
  <c r="I3454" i="3"/>
  <c r="H3454" i="3"/>
  <c r="J3451" i="3"/>
  <c r="I3451" i="3"/>
  <c r="H3451" i="3"/>
  <c r="J3449" i="3"/>
  <c r="H3449" i="3"/>
  <c r="I3449" i="3"/>
  <c r="H3463" i="3"/>
  <c r="J3463" i="3"/>
  <c r="I3463" i="3"/>
  <c r="J3456" i="3"/>
  <c r="I3456" i="3"/>
  <c r="H3456" i="3"/>
  <c r="J3450" i="3"/>
  <c r="I3450" i="3"/>
  <c r="H3450" i="3"/>
  <c r="J3473" i="3"/>
  <c r="I3473" i="3"/>
  <c r="H3473" i="3"/>
  <c r="H3461" i="3"/>
  <c r="J3461" i="3"/>
  <c r="I3461" i="3"/>
  <c r="H3375" i="3"/>
  <c r="J3375" i="3"/>
  <c r="I3375" i="3"/>
  <c r="J3377" i="3"/>
  <c r="H3377" i="3"/>
  <c r="I3377" i="3"/>
  <c r="J3386" i="3"/>
  <c r="I3386" i="3"/>
  <c r="H3386" i="3"/>
  <c r="J3380" i="3"/>
  <c r="I3380" i="3"/>
  <c r="H3380" i="3"/>
  <c r="J3371" i="3"/>
  <c r="I3371" i="3"/>
  <c r="H3371" i="3"/>
  <c r="H3393" i="3"/>
  <c r="J3393" i="3"/>
  <c r="I3393" i="3"/>
  <c r="J3376" i="3"/>
  <c r="I3376" i="3"/>
  <c r="H3376" i="3"/>
  <c r="J3397" i="3"/>
  <c r="H3397" i="3"/>
  <c r="I3397" i="3"/>
  <c r="J3390" i="3"/>
  <c r="I3390" i="3"/>
  <c r="H3390" i="3"/>
  <c r="H3399" i="3"/>
  <c r="J3399" i="3"/>
  <c r="I3399" i="3"/>
  <c r="J3366" i="3"/>
  <c r="I3366" i="3"/>
  <c r="H3366" i="3"/>
  <c r="J3364" i="3"/>
  <c r="I3364" i="3"/>
  <c r="H3364" i="3"/>
  <c r="H3385" i="3"/>
  <c r="J3385" i="3"/>
  <c r="I3385" i="3"/>
  <c r="J3369" i="3"/>
  <c r="I3369" i="3"/>
  <c r="H3369" i="3"/>
  <c r="J3388" i="3"/>
  <c r="I3388" i="3"/>
  <c r="H3388" i="3"/>
  <c r="J3395" i="3"/>
  <c r="I3395" i="3"/>
  <c r="H3395" i="3"/>
  <c r="J3363" i="3"/>
  <c r="H3363" i="3"/>
  <c r="I3363" i="3"/>
  <c r="J3384" i="3"/>
  <c r="I3384" i="3"/>
  <c r="H3384" i="3"/>
  <c r="J3394" i="3"/>
  <c r="I3394" i="3"/>
  <c r="H3394" i="3"/>
  <c r="J3370" i="3"/>
  <c r="H3391" i="3"/>
  <c r="J3391" i="3"/>
  <c r="I3391" i="3"/>
  <c r="H3357" i="3"/>
  <c r="J3357" i="3"/>
  <c r="I3357" i="3"/>
  <c r="J3358" i="3"/>
  <c r="I3358" i="3"/>
  <c r="H3358" i="3"/>
  <c r="J3356" i="3"/>
  <c r="I3356" i="3"/>
  <c r="H3356" i="3"/>
  <c r="J3379" i="3"/>
  <c r="I3379" i="3"/>
  <c r="H3379" i="3"/>
  <c r="H3359" i="3"/>
  <c r="J3359" i="3"/>
  <c r="I3359" i="3"/>
  <c r="H3365" i="3"/>
  <c r="J3365" i="3"/>
  <c r="I3365" i="3"/>
  <c r="J3372" i="3"/>
  <c r="I3372" i="3"/>
  <c r="H3372" i="3"/>
  <c r="J3368" i="3"/>
  <c r="I3368" i="3"/>
  <c r="H3368" i="3"/>
  <c r="J3381" i="3"/>
  <c r="I3381" i="3"/>
  <c r="H3381" i="3"/>
  <c r="J3362" i="3"/>
  <c r="I3362" i="3"/>
  <c r="H3362" i="3"/>
  <c r="J3360" i="3"/>
  <c r="I3360" i="3"/>
  <c r="H3360" i="3"/>
  <c r="J3382" i="3"/>
  <c r="I3382" i="3"/>
  <c r="H3382" i="3"/>
  <c r="J3400" i="3"/>
  <c r="I3400" i="3"/>
  <c r="H3400" i="3"/>
  <c r="H3361" i="3"/>
  <c r="J3361" i="3"/>
  <c r="I3361" i="3"/>
  <c r="H3373" i="3"/>
  <c r="J3373" i="3"/>
  <c r="I3373" i="3"/>
  <c r="J3398" i="3"/>
  <c r="I3398" i="3"/>
  <c r="H3398" i="3"/>
  <c r="J3392" i="3"/>
  <c r="I3392" i="3"/>
  <c r="H3392" i="3"/>
  <c r="H3383" i="3"/>
  <c r="J3383" i="3"/>
  <c r="I3383" i="3"/>
  <c r="J3374" i="3"/>
  <c r="I3374" i="3"/>
  <c r="H3374" i="3"/>
  <c r="J3387" i="3"/>
  <c r="I3387" i="3"/>
  <c r="H3387" i="3"/>
  <c r="J3396" i="3"/>
  <c r="I3396" i="3"/>
  <c r="H3396" i="3"/>
  <c r="J3378" i="3"/>
  <c r="I3378" i="3"/>
  <c r="H3378" i="3"/>
  <c r="J3367" i="3"/>
  <c r="I3367" i="3"/>
  <c r="H3367" i="3"/>
  <c r="J3389" i="3"/>
  <c r="H3389" i="3"/>
  <c r="I3389" i="3"/>
  <c r="A2" i="195"/>
  <c r="A1" i="195"/>
  <c r="C20" i="12"/>
  <c r="C6" i="12"/>
  <c r="I3370" i="3"/>
  <c r="H3370" i="3"/>
  <c r="C6049" i="3" l="1"/>
  <c r="C6050" i="3"/>
  <c r="C6051" i="3"/>
  <c r="C6052" i="3"/>
  <c r="C6053" i="3"/>
  <c r="C6054" i="3"/>
  <c r="C6055" i="3"/>
  <c r="C6056" i="3"/>
  <c r="C6057" i="3"/>
  <c r="C6058" i="3"/>
  <c r="C6059" i="3"/>
  <c r="C6060" i="3"/>
  <c r="C6061" i="3"/>
  <c r="C6062" i="3"/>
  <c r="C6048" i="3"/>
  <c r="B6049" i="3"/>
  <c r="B6050" i="3"/>
  <c r="B6051" i="3"/>
  <c r="B6052" i="3"/>
  <c r="B6053" i="3"/>
  <c r="B6054" i="3"/>
  <c r="B6055" i="3"/>
  <c r="B6056" i="3"/>
  <c r="B6057" i="3"/>
  <c r="B6058" i="3"/>
  <c r="B6059" i="3"/>
  <c r="B6060" i="3"/>
  <c r="B6061" i="3"/>
  <c r="B6062" i="3"/>
  <c r="B6048" i="3"/>
  <c r="G6062" i="3"/>
  <c r="F6062" i="3"/>
  <c r="G6061" i="3"/>
  <c r="F6061" i="3"/>
  <c r="G6060" i="3"/>
  <c r="F6060" i="3"/>
  <c r="G6059" i="3"/>
  <c r="F6059" i="3"/>
  <c r="G6058" i="3"/>
  <c r="F6058" i="3"/>
  <c r="G6057" i="3"/>
  <c r="F6057" i="3"/>
  <c r="G6056" i="3"/>
  <c r="F6056" i="3"/>
  <c r="G6055" i="3"/>
  <c r="F6055" i="3"/>
  <c r="G6054" i="3"/>
  <c r="F6054" i="3"/>
  <c r="G6053" i="3"/>
  <c r="F6053" i="3"/>
  <c r="G6052" i="3"/>
  <c r="F6052" i="3"/>
  <c r="G6051" i="3"/>
  <c r="F6051" i="3"/>
  <c r="G6050" i="3"/>
  <c r="F6050" i="3"/>
  <c r="G6049" i="3"/>
  <c r="F6049" i="3"/>
  <c r="G6048" i="3"/>
  <c r="F6048" i="3"/>
  <c r="G6032" i="3"/>
  <c r="F6032" i="3"/>
  <c r="G6031" i="3"/>
  <c r="F6031" i="3"/>
  <c r="G6030" i="3"/>
  <c r="F6030" i="3"/>
  <c r="G6029" i="3"/>
  <c r="F6029" i="3"/>
  <c r="G6028" i="3"/>
  <c r="F6028" i="3"/>
  <c r="G6027" i="3"/>
  <c r="F6027" i="3"/>
  <c r="G6026" i="3"/>
  <c r="F6026" i="3"/>
  <c r="G6025" i="3"/>
  <c r="F6025" i="3"/>
  <c r="G6024" i="3"/>
  <c r="F6024" i="3"/>
  <c r="G6023" i="3"/>
  <c r="F6023" i="3"/>
  <c r="G6022" i="3"/>
  <c r="F6022" i="3"/>
  <c r="G6021" i="3"/>
  <c r="F6021" i="3"/>
  <c r="G6020" i="3"/>
  <c r="F6020" i="3"/>
  <c r="G6019" i="3"/>
  <c r="F6019" i="3"/>
  <c r="G6018" i="3"/>
  <c r="F6018" i="3"/>
  <c r="B5104" i="3"/>
  <c r="C5104" i="3"/>
  <c r="B5105" i="3"/>
  <c r="C5105" i="3"/>
  <c r="B5106" i="3"/>
  <c r="C5106" i="3"/>
  <c r="B5107" i="3"/>
  <c r="C5107" i="3"/>
  <c r="B5108" i="3"/>
  <c r="C5108" i="3"/>
  <c r="B5109" i="3"/>
  <c r="C5109" i="3"/>
  <c r="B5110" i="3"/>
  <c r="C5110" i="3"/>
  <c r="B5111" i="3"/>
  <c r="C5111" i="3"/>
  <c r="B5112" i="3"/>
  <c r="C5112" i="3"/>
  <c r="B5113" i="3"/>
  <c r="C5113" i="3"/>
  <c r="B5114" i="3"/>
  <c r="C5114" i="3"/>
  <c r="B5115" i="3"/>
  <c r="C5115" i="3"/>
  <c r="B5116" i="3"/>
  <c r="C5116" i="3"/>
  <c r="B5117" i="3"/>
  <c r="C5117" i="3"/>
  <c r="C5103" i="3"/>
  <c r="B5103" i="3"/>
  <c r="G5117" i="3"/>
  <c r="F5117" i="3"/>
  <c r="G5116" i="3"/>
  <c r="F5116" i="3"/>
  <c r="G5115" i="3"/>
  <c r="F5115" i="3"/>
  <c r="G5114" i="3"/>
  <c r="F5114" i="3"/>
  <c r="G5113" i="3"/>
  <c r="F5113" i="3"/>
  <c r="G5112" i="3"/>
  <c r="F5112" i="3"/>
  <c r="G5111" i="3"/>
  <c r="F5111" i="3"/>
  <c r="G5110" i="3"/>
  <c r="F5110" i="3"/>
  <c r="G5109" i="3"/>
  <c r="F5109" i="3"/>
  <c r="G5108" i="3"/>
  <c r="F5108" i="3"/>
  <c r="G5107" i="3"/>
  <c r="F5107" i="3"/>
  <c r="G5106" i="3"/>
  <c r="F5106" i="3"/>
  <c r="G5105" i="3"/>
  <c r="F5105" i="3"/>
  <c r="G5104" i="3"/>
  <c r="F5104" i="3"/>
  <c r="G5103" i="3"/>
  <c r="F5103" i="3"/>
  <c r="B6199" i="3"/>
  <c r="C6199" i="3"/>
  <c r="B6200" i="3"/>
  <c r="C6200" i="3"/>
  <c r="B6201" i="3"/>
  <c r="C6201" i="3"/>
  <c r="B6202" i="3"/>
  <c r="C6202" i="3"/>
  <c r="B6203" i="3"/>
  <c r="C6203" i="3"/>
  <c r="B6204" i="3"/>
  <c r="C6204" i="3"/>
  <c r="B6205" i="3"/>
  <c r="C6205" i="3"/>
  <c r="B6206" i="3"/>
  <c r="C6206" i="3"/>
  <c r="B6207" i="3"/>
  <c r="C6207" i="3"/>
  <c r="B6208" i="3"/>
  <c r="C6208" i="3"/>
  <c r="B6209" i="3"/>
  <c r="C6209" i="3"/>
  <c r="B6210" i="3"/>
  <c r="C6210" i="3"/>
  <c r="B6211" i="3"/>
  <c r="C6211" i="3"/>
  <c r="B6212" i="3"/>
  <c r="C6212" i="3"/>
  <c r="B6213" i="3"/>
  <c r="C6213" i="3"/>
  <c r="B6214" i="3"/>
  <c r="C6214" i="3"/>
  <c r="B6215" i="3"/>
  <c r="C6215" i="3"/>
  <c r="B6216" i="3"/>
  <c r="C6216" i="3"/>
  <c r="B6217" i="3"/>
  <c r="C6217" i="3"/>
  <c r="B6218" i="3"/>
  <c r="C6218" i="3"/>
  <c r="B6219" i="3"/>
  <c r="C6219" i="3"/>
  <c r="B6220" i="3"/>
  <c r="C6220" i="3"/>
  <c r="B6221" i="3"/>
  <c r="C6221" i="3"/>
  <c r="B6222" i="3"/>
  <c r="C6222" i="3"/>
  <c r="B6223" i="3"/>
  <c r="C6223" i="3"/>
  <c r="B6224" i="3"/>
  <c r="C6224" i="3"/>
  <c r="B6225" i="3"/>
  <c r="C6225" i="3"/>
  <c r="B6226" i="3"/>
  <c r="C6226" i="3"/>
  <c r="B6227" i="3"/>
  <c r="C6227" i="3"/>
  <c r="B6228" i="3"/>
  <c r="C6228" i="3"/>
  <c r="B6229" i="3"/>
  <c r="C6229" i="3"/>
  <c r="B6230" i="3"/>
  <c r="C6230" i="3"/>
  <c r="B6231" i="3"/>
  <c r="C6231" i="3"/>
  <c r="B6232" i="3"/>
  <c r="C6232" i="3"/>
  <c r="B6233" i="3"/>
  <c r="C6233" i="3"/>
  <c r="B6234" i="3"/>
  <c r="C6234" i="3"/>
  <c r="B6235" i="3"/>
  <c r="C6235" i="3"/>
  <c r="B6236" i="3"/>
  <c r="C6236" i="3"/>
  <c r="B6237" i="3"/>
  <c r="C6237" i="3"/>
  <c r="B6238" i="3"/>
  <c r="C6238" i="3"/>
  <c r="B6239" i="3"/>
  <c r="C6239" i="3"/>
  <c r="B6240" i="3"/>
  <c r="C6240" i="3"/>
  <c r="B6241" i="3"/>
  <c r="C6241" i="3"/>
  <c r="B6242" i="3"/>
  <c r="B6198" i="3"/>
  <c r="C6198" i="3"/>
  <c r="B6154" i="3"/>
  <c r="C6154" i="3"/>
  <c r="B6155" i="3"/>
  <c r="C6155" i="3"/>
  <c r="B6156" i="3"/>
  <c r="C6156" i="3"/>
  <c r="B6157" i="3"/>
  <c r="C6157" i="3"/>
  <c r="B6158" i="3"/>
  <c r="C6158" i="3"/>
  <c r="B6159" i="3"/>
  <c r="C6159" i="3"/>
  <c r="B6160" i="3"/>
  <c r="C6160" i="3"/>
  <c r="B6161" i="3"/>
  <c r="C6161" i="3"/>
  <c r="B6162" i="3"/>
  <c r="C6162" i="3"/>
  <c r="B6163" i="3"/>
  <c r="C6163" i="3"/>
  <c r="B6164" i="3"/>
  <c r="C6164" i="3"/>
  <c r="B6165" i="3"/>
  <c r="C6165" i="3"/>
  <c r="B6166" i="3"/>
  <c r="C6166" i="3"/>
  <c r="B6167" i="3"/>
  <c r="C6167" i="3"/>
  <c r="B6168" i="3"/>
  <c r="C6168" i="3"/>
  <c r="B6169" i="3"/>
  <c r="C6169" i="3"/>
  <c r="B6170" i="3"/>
  <c r="C6170" i="3"/>
  <c r="B6171" i="3"/>
  <c r="C6171" i="3"/>
  <c r="B6172" i="3"/>
  <c r="C6172" i="3"/>
  <c r="B6173" i="3"/>
  <c r="C6173" i="3"/>
  <c r="B6174" i="3"/>
  <c r="C6174" i="3"/>
  <c r="B6175" i="3"/>
  <c r="C6175" i="3"/>
  <c r="B6176" i="3"/>
  <c r="C6176" i="3"/>
  <c r="B6177" i="3"/>
  <c r="C6177" i="3"/>
  <c r="B6178" i="3"/>
  <c r="C6178" i="3"/>
  <c r="B6179" i="3"/>
  <c r="C6179" i="3"/>
  <c r="B6180" i="3"/>
  <c r="C6180" i="3"/>
  <c r="B6181" i="3"/>
  <c r="C6181" i="3"/>
  <c r="B6182" i="3"/>
  <c r="C6182" i="3"/>
  <c r="B6183" i="3"/>
  <c r="C6183" i="3"/>
  <c r="B6184" i="3"/>
  <c r="C6184" i="3"/>
  <c r="B6185" i="3"/>
  <c r="C6185" i="3"/>
  <c r="B6186" i="3"/>
  <c r="C6186" i="3"/>
  <c r="B6187" i="3"/>
  <c r="C6187" i="3"/>
  <c r="B6188" i="3"/>
  <c r="C6188" i="3"/>
  <c r="B6189" i="3"/>
  <c r="C6189" i="3"/>
  <c r="B6190" i="3"/>
  <c r="C6190" i="3"/>
  <c r="B6191" i="3"/>
  <c r="C6191" i="3"/>
  <c r="B6192" i="3"/>
  <c r="C6192" i="3"/>
  <c r="B6193" i="3"/>
  <c r="C6193" i="3"/>
  <c r="B6194" i="3"/>
  <c r="C6194" i="3"/>
  <c r="B6195" i="3"/>
  <c r="C6195" i="3"/>
  <c r="B6196" i="3"/>
  <c r="C6196" i="3"/>
  <c r="B6197" i="3"/>
  <c r="C6197" i="3"/>
  <c r="C6153" i="3"/>
  <c r="B6153" i="3"/>
  <c r="B6109" i="3"/>
  <c r="C6109" i="3"/>
  <c r="B6110" i="3"/>
  <c r="C6110" i="3"/>
  <c r="B6111" i="3"/>
  <c r="C6111" i="3"/>
  <c r="B6112" i="3"/>
  <c r="C6112" i="3"/>
  <c r="B6113" i="3"/>
  <c r="C6113" i="3"/>
  <c r="B6114" i="3"/>
  <c r="C6114" i="3"/>
  <c r="B6115" i="3"/>
  <c r="C6115" i="3"/>
  <c r="B6116" i="3"/>
  <c r="C6116" i="3"/>
  <c r="B6117" i="3"/>
  <c r="C6117" i="3"/>
  <c r="B6118" i="3"/>
  <c r="C6118" i="3"/>
  <c r="B6119" i="3"/>
  <c r="C6119" i="3"/>
  <c r="B6120" i="3"/>
  <c r="C6120" i="3"/>
  <c r="B6121" i="3"/>
  <c r="C6121" i="3"/>
  <c r="B6122" i="3"/>
  <c r="C6122" i="3"/>
  <c r="B6123" i="3"/>
  <c r="C6123" i="3"/>
  <c r="B6124" i="3"/>
  <c r="C6124" i="3"/>
  <c r="B6125" i="3"/>
  <c r="C6125" i="3"/>
  <c r="B6126" i="3"/>
  <c r="C6126" i="3"/>
  <c r="B6127" i="3"/>
  <c r="C6127" i="3"/>
  <c r="B6128" i="3"/>
  <c r="C6128" i="3"/>
  <c r="B6129" i="3"/>
  <c r="C6129" i="3"/>
  <c r="B6130" i="3"/>
  <c r="C6130" i="3"/>
  <c r="B6131" i="3"/>
  <c r="C6131" i="3"/>
  <c r="B6132" i="3"/>
  <c r="C6132" i="3"/>
  <c r="B6133" i="3"/>
  <c r="C6133" i="3"/>
  <c r="B6134" i="3"/>
  <c r="C6134" i="3"/>
  <c r="B6135" i="3"/>
  <c r="C6135" i="3"/>
  <c r="B6136" i="3"/>
  <c r="C6136" i="3"/>
  <c r="B6137" i="3"/>
  <c r="C6137" i="3"/>
  <c r="B6138" i="3"/>
  <c r="C6138" i="3"/>
  <c r="B6139" i="3"/>
  <c r="C6139" i="3"/>
  <c r="B6140" i="3"/>
  <c r="C6140" i="3"/>
  <c r="B6141" i="3"/>
  <c r="C6141" i="3"/>
  <c r="B6142" i="3"/>
  <c r="C6142" i="3"/>
  <c r="B6143" i="3"/>
  <c r="C6143" i="3"/>
  <c r="B6144" i="3"/>
  <c r="C6144" i="3"/>
  <c r="B6145" i="3"/>
  <c r="C6145" i="3"/>
  <c r="B6146" i="3"/>
  <c r="C6146" i="3"/>
  <c r="B6147" i="3"/>
  <c r="C6147" i="3"/>
  <c r="B6148" i="3"/>
  <c r="C6148" i="3"/>
  <c r="B6149" i="3"/>
  <c r="C6149" i="3"/>
  <c r="B6150" i="3"/>
  <c r="C6150" i="3"/>
  <c r="B6151" i="3"/>
  <c r="C6151" i="3"/>
  <c r="B6152" i="3"/>
  <c r="C6152" i="3"/>
  <c r="B6108" i="3"/>
  <c r="C6108" i="3"/>
  <c r="B6064" i="3"/>
  <c r="C6064" i="3"/>
  <c r="B6065" i="3"/>
  <c r="C6065" i="3"/>
  <c r="B6066" i="3"/>
  <c r="C6066" i="3"/>
  <c r="B6067" i="3"/>
  <c r="C6067" i="3"/>
  <c r="B6068" i="3"/>
  <c r="C6068" i="3"/>
  <c r="B6069" i="3"/>
  <c r="C6069" i="3"/>
  <c r="B6070" i="3"/>
  <c r="C6070" i="3"/>
  <c r="B6071" i="3"/>
  <c r="C6071" i="3"/>
  <c r="B6072" i="3"/>
  <c r="C6072" i="3"/>
  <c r="B6073" i="3"/>
  <c r="C6073" i="3"/>
  <c r="B6074" i="3"/>
  <c r="C6074" i="3"/>
  <c r="B6075" i="3"/>
  <c r="C6075" i="3"/>
  <c r="B6076" i="3"/>
  <c r="C6076" i="3"/>
  <c r="B6077" i="3"/>
  <c r="C6077" i="3"/>
  <c r="B6078" i="3"/>
  <c r="C6078" i="3"/>
  <c r="B6079" i="3"/>
  <c r="C6079" i="3"/>
  <c r="B6080" i="3"/>
  <c r="C6080" i="3"/>
  <c r="B6081" i="3"/>
  <c r="C6081" i="3"/>
  <c r="B6082" i="3"/>
  <c r="C6082" i="3"/>
  <c r="B6083" i="3"/>
  <c r="C6083" i="3"/>
  <c r="B6084" i="3"/>
  <c r="C6084" i="3"/>
  <c r="B6085" i="3"/>
  <c r="C6085" i="3"/>
  <c r="B6086" i="3"/>
  <c r="C6086" i="3"/>
  <c r="B6087" i="3"/>
  <c r="C6087" i="3"/>
  <c r="B6088" i="3"/>
  <c r="C6088" i="3"/>
  <c r="B6089" i="3"/>
  <c r="C6089" i="3"/>
  <c r="B6090" i="3"/>
  <c r="C6090" i="3"/>
  <c r="B6091" i="3"/>
  <c r="C6091" i="3"/>
  <c r="B6092" i="3"/>
  <c r="C6092" i="3"/>
  <c r="B6093" i="3"/>
  <c r="C6093" i="3"/>
  <c r="B6094" i="3"/>
  <c r="C6094" i="3"/>
  <c r="B6095" i="3"/>
  <c r="C6095" i="3"/>
  <c r="B6096" i="3"/>
  <c r="C6096" i="3"/>
  <c r="B6097" i="3"/>
  <c r="C6097" i="3"/>
  <c r="B6098" i="3"/>
  <c r="C6098" i="3"/>
  <c r="B6099" i="3"/>
  <c r="C6099" i="3"/>
  <c r="B6100" i="3"/>
  <c r="C6100" i="3"/>
  <c r="B6101" i="3"/>
  <c r="C6101" i="3"/>
  <c r="B6102" i="3"/>
  <c r="C6102" i="3"/>
  <c r="B6103" i="3"/>
  <c r="C6103" i="3"/>
  <c r="B6104" i="3"/>
  <c r="C6104" i="3"/>
  <c r="B6105" i="3"/>
  <c r="C6105" i="3"/>
  <c r="B6106" i="3"/>
  <c r="C6106" i="3"/>
  <c r="B6107" i="3"/>
  <c r="C6107" i="3"/>
  <c r="C6063" i="3"/>
  <c r="B6063" i="3"/>
  <c r="B5974" i="3"/>
  <c r="C5974" i="3"/>
  <c r="B5975" i="3"/>
  <c r="C5975" i="3"/>
  <c r="B5976" i="3"/>
  <c r="C5976" i="3"/>
  <c r="B5977" i="3"/>
  <c r="C5977" i="3"/>
  <c r="B5978" i="3"/>
  <c r="C5978" i="3"/>
  <c r="B5979" i="3"/>
  <c r="C5979" i="3"/>
  <c r="B5980" i="3"/>
  <c r="C5980" i="3"/>
  <c r="B5981" i="3"/>
  <c r="C5981" i="3"/>
  <c r="B5982" i="3"/>
  <c r="C5982" i="3"/>
  <c r="B5983" i="3"/>
  <c r="C5983" i="3"/>
  <c r="B5984" i="3"/>
  <c r="C5984" i="3"/>
  <c r="B5985" i="3"/>
  <c r="C5985" i="3"/>
  <c r="B5986" i="3"/>
  <c r="C5986" i="3"/>
  <c r="B5987" i="3"/>
  <c r="C5987" i="3"/>
  <c r="B5988" i="3"/>
  <c r="C5988" i="3"/>
  <c r="B5989" i="3"/>
  <c r="C5989" i="3"/>
  <c r="B5990" i="3"/>
  <c r="C5990" i="3"/>
  <c r="B5991" i="3"/>
  <c r="C5991" i="3"/>
  <c r="B5992" i="3"/>
  <c r="C5992" i="3"/>
  <c r="B5993" i="3"/>
  <c r="C5993" i="3"/>
  <c r="B5994" i="3"/>
  <c r="C5994" i="3"/>
  <c r="B5995" i="3"/>
  <c r="C5995" i="3"/>
  <c r="B5996" i="3"/>
  <c r="C5996" i="3"/>
  <c r="B5997" i="3"/>
  <c r="C5997" i="3"/>
  <c r="B5998" i="3"/>
  <c r="C5998" i="3"/>
  <c r="B5999" i="3"/>
  <c r="C5999" i="3"/>
  <c r="B6000" i="3"/>
  <c r="C6000" i="3"/>
  <c r="B6001" i="3"/>
  <c r="C6001" i="3"/>
  <c r="B6002" i="3"/>
  <c r="C6002" i="3"/>
  <c r="B6003" i="3"/>
  <c r="C6003" i="3"/>
  <c r="B6004" i="3"/>
  <c r="C6004" i="3"/>
  <c r="B6005" i="3"/>
  <c r="C6005" i="3"/>
  <c r="B6006" i="3"/>
  <c r="C6006" i="3"/>
  <c r="B6007" i="3"/>
  <c r="C6007" i="3"/>
  <c r="B6008" i="3"/>
  <c r="C6008" i="3"/>
  <c r="B6009" i="3"/>
  <c r="C6009" i="3"/>
  <c r="B6010" i="3"/>
  <c r="C6010" i="3"/>
  <c r="B6011" i="3"/>
  <c r="C6011" i="3"/>
  <c r="B6012" i="3"/>
  <c r="C6012" i="3"/>
  <c r="B6013" i="3"/>
  <c r="C6013" i="3"/>
  <c r="B6014" i="3"/>
  <c r="C6014" i="3"/>
  <c r="B6015" i="3"/>
  <c r="C6015" i="3"/>
  <c r="B6016" i="3"/>
  <c r="C6016" i="3"/>
  <c r="B6017" i="3"/>
  <c r="C6017" i="3"/>
  <c r="C5973" i="3"/>
  <c r="B5973" i="3"/>
  <c r="B5929" i="3"/>
  <c r="C5929" i="3"/>
  <c r="B5930" i="3"/>
  <c r="C5930" i="3"/>
  <c r="B5931" i="3"/>
  <c r="C5931" i="3"/>
  <c r="B5932" i="3"/>
  <c r="C5932" i="3"/>
  <c r="B5933" i="3"/>
  <c r="C5933" i="3"/>
  <c r="B5934" i="3"/>
  <c r="C5934" i="3"/>
  <c r="B5935" i="3"/>
  <c r="C5935" i="3"/>
  <c r="B5936" i="3"/>
  <c r="C5936" i="3"/>
  <c r="B5937" i="3"/>
  <c r="C5937" i="3"/>
  <c r="B5938" i="3"/>
  <c r="C5938" i="3"/>
  <c r="B5939" i="3"/>
  <c r="C5939" i="3"/>
  <c r="B5940" i="3"/>
  <c r="C5940" i="3"/>
  <c r="B5941" i="3"/>
  <c r="C5941" i="3"/>
  <c r="B5942" i="3"/>
  <c r="C5942" i="3"/>
  <c r="B5943" i="3"/>
  <c r="C5943" i="3"/>
  <c r="B5944" i="3"/>
  <c r="C5944" i="3"/>
  <c r="B5945" i="3"/>
  <c r="C5945" i="3"/>
  <c r="B5946" i="3"/>
  <c r="C5946" i="3"/>
  <c r="B5947" i="3"/>
  <c r="C5947" i="3"/>
  <c r="B5948" i="3"/>
  <c r="C5948" i="3"/>
  <c r="B5949" i="3"/>
  <c r="C5949" i="3"/>
  <c r="B5950" i="3"/>
  <c r="C5950" i="3"/>
  <c r="B5951" i="3"/>
  <c r="C5951" i="3"/>
  <c r="B5952" i="3"/>
  <c r="C5952" i="3"/>
  <c r="B5953" i="3"/>
  <c r="C5953" i="3"/>
  <c r="B5954" i="3"/>
  <c r="C5954" i="3"/>
  <c r="B5955" i="3"/>
  <c r="C5955" i="3"/>
  <c r="B5956" i="3"/>
  <c r="C5956" i="3"/>
  <c r="B5957" i="3"/>
  <c r="C5957" i="3"/>
  <c r="B5958" i="3"/>
  <c r="C5958" i="3"/>
  <c r="B5959" i="3"/>
  <c r="C5959" i="3"/>
  <c r="B5960" i="3"/>
  <c r="C5960" i="3"/>
  <c r="B5961" i="3"/>
  <c r="C5961" i="3"/>
  <c r="B5962" i="3"/>
  <c r="C5962" i="3"/>
  <c r="B5963" i="3"/>
  <c r="C5963" i="3"/>
  <c r="B5964" i="3"/>
  <c r="C5964" i="3"/>
  <c r="B5965" i="3"/>
  <c r="C5965" i="3"/>
  <c r="B5966" i="3"/>
  <c r="C5966" i="3"/>
  <c r="B5967" i="3"/>
  <c r="C5967" i="3"/>
  <c r="B5968" i="3"/>
  <c r="C5968" i="3"/>
  <c r="B5969" i="3"/>
  <c r="C5969" i="3"/>
  <c r="B5970" i="3"/>
  <c r="C5970" i="3"/>
  <c r="B5971" i="3"/>
  <c r="C5971" i="3"/>
  <c r="B5972" i="3"/>
  <c r="C5972" i="3"/>
  <c r="C5928" i="3"/>
  <c r="B5928" i="3"/>
  <c r="B5884" i="3"/>
  <c r="B5885" i="3"/>
  <c r="B5886" i="3"/>
  <c r="B5887" i="3"/>
  <c r="B5888" i="3"/>
  <c r="B5889" i="3"/>
  <c r="B5890" i="3"/>
  <c r="B5891" i="3"/>
  <c r="B5892" i="3"/>
  <c r="B5893" i="3"/>
  <c r="B5894" i="3"/>
  <c r="B5895" i="3"/>
  <c r="B5896" i="3"/>
  <c r="B5897" i="3"/>
  <c r="B5898" i="3"/>
  <c r="B5899" i="3"/>
  <c r="B5900" i="3"/>
  <c r="B5901" i="3"/>
  <c r="B5902" i="3"/>
  <c r="B5903" i="3"/>
  <c r="B5904" i="3"/>
  <c r="B5905" i="3"/>
  <c r="B5906" i="3"/>
  <c r="B5907" i="3"/>
  <c r="B5908" i="3"/>
  <c r="B5909" i="3"/>
  <c r="B5910" i="3"/>
  <c r="B5911" i="3"/>
  <c r="B5912" i="3"/>
  <c r="B5913" i="3"/>
  <c r="B5914" i="3"/>
  <c r="B5915" i="3"/>
  <c r="B5916" i="3"/>
  <c r="B5917" i="3"/>
  <c r="B5918" i="3"/>
  <c r="B5919" i="3"/>
  <c r="B5920" i="3"/>
  <c r="B5921" i="3"/>
  <c r="B5922" i="3"/>
  <c r="B5923" i="3"/>
  <c r="B5924" i="3"/>
  <c r="B5925" i="3"/>
  <c r="B5926" i="3"/>
  <c r="B5927" i="3"/>
  <c r="B5883" i="3"/>
  <c r="C5883" i="3"/>
  <c r="C5884" i="3"/>
  <c r="C5885" i="3"/>
  <c r="C5886" i="3"/>
  <c r="C5887" i="3"/>
  <c r="C5888" i="3"/>
  <c r="C5889" i="3"/>
  <c r="C5890" i="3"/>
  <c r="C5891" i="3"/>
  <c r="C5892" i="3"/>
  <c r="C5893" i="3"/>
  <c r="C5894" i="3"/>
  <c r="C5895" i="3"/>
  <c r="C5896" i="3"/>
  <c r="C5897" i="3"/>
  <c r="C5898" i="3"/>
  <c r="C5899" i="3"/>
  <c r="C5900" i="3"/>
  <c r="C5901" i="3"/>
  <c r="C5902" i="3"/>
  <c r="C5903" i="3"/>
  <c r="C5904" i="3"/>
  <c r="C5905" i="3"/>
  <c r="C5906" i="3"/>
  <c r="C5907" i="3"/>
  <c r="C5908" i="3"/>
  <c r="C5909" i="3"/>
  <c r="C5910" i="3"/>
  <c r="C5911" i="3"/>
  <c r="C5912" i="3"/>
  <c r="C5913" i="3"/>
  <c r="C5914" i="3"/>
  <c r="C5915" i="3"/>
  <c r="C5916" i="3"/>
  <c r="C5917" i="3"/>
  <c r="C5918" i="3"/>
  <c r="C5919" i="3"/>
  <c r="C5920" i="3"/>
  <c r="C5921" i="3"/>
  <c r="C5922" i="3"/>
  <c r="C5923" i="3"/>
  <c r="C5924" i="3"/>
  <c r="C5925" i="3"/>
  <c r="C5926" i="3"/>
  <c r="C5927" i="3"/>
  <c r="B5839" i="3"/>
  <c r="C5839" i="3"/>
  <c r="B5840" i="3"/>
  <c r="C5840" i="3"/>
  <c r="B5841" i="3"/>
  <c r="C5841" i="3"/>
  <c r="B5842" i="3"/>
  <c r="C5842" i="3"/>
  <c r="B5843" i="3"/>
  <c r="C5843" i="3"/>
  <c r="B5844" i="3"/>
  <c r="C5844" i="3"/>
  <c r="B5845" i="3"/>
  <c r="C5845" i="3"/>
  <c r="B5846" i="3"/>
  <c r="C5846" i="3"/>
  <c r="B5847" i="3"/>
  <c r="C5847" i="3"/>
  <c r="B5848" i="3"/>
  <c r="C5848" i="3"/>
  <c r="B5849" i="3"/>
  <c r="C5849" i="3"/>
  <c r="B5850" i="3"/>
  <c r="C5850" i="3"/>
  <c r="B5851" i="3"/>
  <c r="C5851" i="3"/>
  <c r="B5852" i="3"/>
  <c r="C5852" i="3"/>
  <c r="B5853" i="3"/>
  <c r="C5853" i="3"/>
  <c r="B5854" i="3"/>
  <c r="C5854" i="3"/>
  <c r="B5855" i="3"/>
  <c r="C5855" i="3"/>
  <c r="B5856" i="3"/>
  <c r="C5856" i="3"/>
  <c r="B5857" i="3"/>
  <c r="C5857" i="3"/>
  <c r="B5858" i="3"/>
  <c r="C5858" i="3"/>
  <c r="B5859" i="3"/>
  <c r="C5859" i="3"/>
  <c r="B5860" i="3"/>
  <c r="C5860" i="3"/>
  <c r="B5861" i="3"/>
  <c r="C5861" i="3"/>
  <c r="B5862" i="3"/>
  <c r="C5862" i="3"/>
  <c r="B5863" i="3"/>
  <c r="C5863" i="3"/>
  <c r="B5864" i="3"/>
  <c r="C5864" i="3"/>
  <c r="B5865" i="3"/>
  <c r="C5865" i="3"/>
  <c r="B5866" i="3"/>
  <c r="C5866" i="3"/>
  <c r="B5867" i="3"/>
  <c r="C5867" i="3"/>
  <c r="B5868" i="3"/>
  <c r="C5868" i="3"/>
  <c r="B5869" i="3"/>
  <c r="C5869" i="3"/>
  <c r="B5870" i="3"/>
  <c r="C5870" i="3"/>
  <c r="B5871" i="3"/>
  <c r="C5871" i="3"/>
  <c r="B5872" i="3"/>
  <c r="C5872" i="3"/>
  <c r="B5873" i="3"/>
  <c r="C5873" i="3"/>
  <c r="B5874" i="3"/>
  <c r="C5874" i="3"/>
  <c r="B5875" i="3"/>
  <c r="C5875" i="3"/>
  <c r="B5876" i="3"/>
  <c r="C5876" i="3"/>
  <c r="B5877" i="3"/>
  <c r="C5877" i="3"/>
  <c r="B5878" i="3"/>
  <c r="C5878" i="3"/>
  <c r="B5879" i="3"/>
  <c r="C5879" i="3"/>
  <c r="B5880" i="3"/>
  <c r="C5880" i="3"/>
  <c r="B5881" i="3"/>
  <c r="C5881" i="3"/>
  <c r="B5882" i="3"/>
  <c r="C5882" i="3"/>
  <c r="C5838" i="3"/>
  <c r="B5838" i="3"/>
  <c r="G6242" i="3"/>
  <c r="F6242" i="3"/>
  <c r="G6241" i="3"/>
  <c r="F6241" i="3"/>
  <c r="G6240" i="3"/>
  <c r="F6240" i="3"/>
  <c r="G6239" i="3"/>
  <c r="F6239" i="3"/>
  <c r="G6238" i="3"/>
  <c r="F6238" i="3"/>
  <c r="G6237" i="3"/>
  <c r="F6237" i="3"/>
  <c r="G6236" i="3"/>
  <c r="F6236" i="3"/>
  <c r="G6235" i="3"/>
  <c r="F6235" i="3"/>
  <c r="G6234" i="3"/>
  <c r="F6234" i="3"/>
  <c r="G6233" i="3"/>
  <c r="F6233" i="3"/>
  <c r="G6232" i="3"/>
  <c r="F6232" i="3"/>
  <c r="G6231" i="3"/>
  <c r="F6231" i="3"/>
  <c r="G6230" i="3"/>
  <c r="F6230" i="3"/>
  <c r="G6229" i="3"/>
  <c r="F6229" i="3"/>
  <c r="G6228" i="3"/>
  <c r="F6228" i="3"/>
  <c r="G6227" i="3"/>
  <c r="F6227" i="3"/>
  <c r="G6226" i="3"/>
  <c r="F6226" i="3"/>
  <c r="G6225" i="3"/>
  <c r="F6225" i="3"/>
  <c r="G6224" i="3"/>
  <c r="F6224" i="3"/>
  <c r="G6223" i="3"/>
  <c r="F6223" i="3"/>
  <c r="G6222" i="3"/>
  <c r="F6222" i="3"/>
  <c r="G6221" i="3"/>
  <c r="F6221" i="3"/>
  <c r="G6220" i="3"/>
  <c r="F6220" i="3"/>
  <c r="G6219" i="3"/>
  <c r="F6219" i="3"/>
  <c r="G6218" i="3"/>
  <c r="F6218" i="3"/>
  <c r="G6217" i="3"/>
  <c r="F6217" i="3"/>
  <c r="G6216" i="3"/>
  <c r="F6216" i="3"/>
  <c r="G6215" i="3"/>
  <c r="F6215" i="3"/>
  <c r="G6214" i="3"/>
  <c r="F6214" i="3"/>
  <c r="G6213" i="3"/>
  <c r="F6213" i="3"/>
  <c r="G6212" i="3"/>
  <c r="F6212" i="3"/>
  <c r="G6211" i="3"/>
  <c r="F6211" i="3"/>
  <c r="G6210" i="3"/>
  <c r="F6210" i="3"/>
  <c r="G6209" i="3"/>
  <c r="F6209" i="3"/>
  <c r="G6208" i="3"/>
  <c r="F6208" i="3"/>
  <c r="G6207" i="3"/>
  <c r="F6207" i="3"/>
  <c r="G6206" i="3"/>
  <c r="F6206" i="3"/>
  <c r="G6205" i="3"/>
  <c r="F6205" i="3"/>
  <c r="G6204" i="3"/>
  <c r="F6204" i="3"/>
  <c r="G6203" i="3"/>
  <c r="F6203" i="3"/>
  <c r="G6202" i="3"/>
  <c r="F6202" i="3"/>
  <c r="G6201" i="3"/>
  <c r="F6201" i="3"/>
  <c r="G6200" i="3"/>
  <c r="F6200" i="3"/>
  <c r="G6199" i="3"/>
  <c r="F6199" i="3"/>
  <c r="G6198" i="3"/>
  <c r="F6198" i="3"/>
  <c r="G6197" i="3"/>
  <c r="F6197" i="3"/>
  <c r="G6196" i="3"/>
  <c r="F6196" i="3"/>
  <c r="G6195" i="3"/>
  <c r="F6195" i="3"/>
  <c r="G6194" i="3"/>
  <c r="F6194" i="3"/>
  <c r="G6193" i="3"/>
  <c r="F6193" i="3"/>
  <c r="G6192" i="3"/>
  <c r="F6192" i="3"/>
  <c r="G6191" i="3"/>
  <c r="F6191" i="3"/>
  <c r="G6190" i="3"/>
  <c r="F6190" i="3"/>
  <c r="G6189" i="3"/>
  <c r="F6189" i="3"/>
  <c r="G6188" i="3"/>
  <c r="F6188" i="3"/>
  <c r="G6187" i="3"/>
  <c r="F6187" i="3"/>
  <c r="G6186" i="3"/>
  <c r="F6186" i="3"/>
  <c r="G6185" i="3"/>
  <c r="F6185" i="3"/>
  <c r="G6184" i="3"/>
  <c r="F6184" i="3"/>
  <c r="G6183" i="3"/>
  <c r="F6183" i="3"/>
  <c r="G6182" i="3"/>
  <c r="F6182" i="3"/>
  <c r="G6181" i="3"/>
  <c r="F6181" i="3"/>
  <c r="G6180" i="3"/>
  <c r="F6180" i="3"/>
  <c r="G6179" i="3"/>
  <c r="F6179" i="3"/>
  <c r="G6178" i="3"/>
  <c r="F6178" i="3"/>
  <c r="G6177" i="3"/>
  <c r="F6177" i="3"/>
  <c r="G6176" i="3"/>
  <c r="F6176" i="3"/>
  <c r="G6175" i="3"/>
  <c r="F6175" i="3"/>
  <c r="G6174" i="3"/>
  <c r="F6174" i="3"/>
  <c r="G6173" i="3"/>
  <c r="F6173" i="3"/>
  <c r="G6172" i="3"/>
  <c r="F6172" i="3"/>
  <c r="G6171" i="3"/>
  <c r="F6171" i="3"/>
  <c r="G6170" i="3"/>
  <c r="F6170" i="3"/>
  <c r="G6169" i="3"/>
  <c r="F6169" i="3"/>
  <c r="G6168" i="3"/>
  <c r="F6168" i="3"/>
  <c r="G6167" i="3"/>
  <c r="F6167" i="3"/>
  <c r="G6166" i="3"/>
  <c r="F6166" i="3"/>
  <c r="G6165" i="3"/>
  <c r="F6165" i="3"/>
  <c r="G6164" i="3"/>
  <c r="F6164" i="3"/>
  <c r="G6163" i="3"/>
  <c r="F6163" i="3"/>
  <c r="G6162" i="3"/>
  <c r="F6162" i="3"/>
  <c r="G6161" i="3"/>
  <c r="F6161" i="3"/>
  <c r="G6160" i="3"/>
  <c r="F6160" i="3"/>
  <c r="G6159" i="3"/>
  <c r="F6159" i="3"/>
  <c r="G6158" i="3"/>
  <c r="F6158" i="3"/>
  <c r="G6157" i="3"/>
  <c r="F6157" i="3"/>
  <c r="G6156" i="3"/>
  <c r="F6156" i="3"/>
  <c r="G6155" i="3"/>
  <c r="F6155" i="3"/>
  <c r="G6154" i="3"/>
  <c r="F6154" i="3"/>
  <c r="G6153" i="3"/>
  <c r="F6153" i="3"/>
  <c r="G6152" i="3"/>
  <c r="F6152" i="3"/>
  <c r="G6151" i="3"/>
  <c r="F6151" i="3"/>
  <c r="G6150" i="3"/>
  <c r="F6150" i="3"/>
  <c r="G6149" i="3"/>
  <c r="F6149" i="3"/>
  <c r="G6148" i="3"/>
  <c r="F6148" i="3"/>
  <c r="G6147" i="3"/>
  <c r="F6147" i="3"/>
  <c r="G6146" i="3"/>
  <c r="F6146" i="3"/>
  <c r="G6145" i="3"/>
  <c r="F6145" i="3"/>
  <c r="G6144" i="3"/>
  <c r="F6144" i="3"/>
  <c r="G6143" i="3"/>
  <c r="F6143" i="3"/>
  <c r="G6142" i="3"/>
  <c r="F6142" i="3"/>
  <c r="G6141" i="3"/>
  <c r="F6141" i="3"/>
  <c r="G6140" i="3"/>
  <c r="F6140" i="3"/>
  <c r="G6139" i="3"/>
  <c r="F6139" i="3"/>
  <c r="G6138" i="3"/>
  <c r="F6138" i="3"/>
  <c r="G6137" i="3"/>
  <c r="F6137" i="3"/>
  <c r="G6136" i="3"/>
  <c r="F6136" i="3"/>
  <c r="G6135" i="3"/>
  <c r="F6135" i="3"/>
  <c r="G6134" i="3"/>
  <c r="F6134" i="3"/>
  <c r="G6133" i="3"/>
  <c r="F6133" i="3"/>
  <c r="G6132" i="3"/>
  <c r="F6132" i="3"/>
  <c r="G6131" i="3"/>
  <c r="F6131" i="3"/>
  <c r="G6130" i="3"/>
  <c r="F6130" i="3"/>
  <c r="G6129" i="3"/>
  <c r="F6129" i="3"/>
  <c r="G6128" i="3"/>
  <c r="F6128" i="3"/>
  <c r="G6127" i="3"/>
  <c r="F6127" i="3"/>
  <c r="G6126" i="3"/>
  <c r="F6126" i="3"/>
  <c r="G6125" i="3"/>
  <c r="F6125" i="3"/>
  <c r="G6124" i="3"/>
  <c r="F6124" i="3"/>
  <c r="G6123" i="3"/>
  <c r="F6123" i="3"/>
  <c r="G6122" i="3"/>
  <c r="F6122" i="3"/>
  <c r="G6121" i="3"/>
  <c r="F6121" i="3"/>
  <c r="G6120" i="3"/>
  <c r="F6120" i="3"/>
  <c r="G6119" i="3"/>
  <c r="F6119" i="3"/>
  <c r="G6118" i="3"/>
  <c r="F6118" i="3"/>
  <c r="G6117" i="3"/>
  <c r="F6117" i="3"/>
  <c r="G6116" i="3"/>
  <c r="F6116" i="3"/>
  <c r="G6115" i="3"/>
  <c r="F6115" i="3"/>
  <c r="G6114" i="3"/>
  <c r="F6114" i="3"/>
  <c r="G6113" i="3"/>
  <c r="F6113" i="3"/>
  <c r="G6112" i="3"/>
  <c r="F6112" i="3"/>
  <c r="G6111" i="3"/>
  <c r="F6111" i="3"/>
  <c r="G6110" i="3"/>
  <c r="F6110" i="3"/>
  <c r="G6109" i="3"/>
  <c r="F6109" i="3"/>
  <c r="G6108" i="3"/>
  <c r="F6108" i="3"/>
  <c r="G6107" i="3"/>
  <c r="F6107" i="3"/>
  <c r="G6106" i="3"/>
  <c r="F6106" i="3"/>
  <c r="G6105" i="3"/>
  <c r="F6105" i="3"/>
  <c r="G6104" i="3"/>
  <c r="F6104" i="3"/>
  <c r="G6103" i="3"/>
  <c r="F6103" i="3"/>
  <c r="G6102" i="3"/>
  <c r="F6102" i="3"/>
  <c r="G6101" i="3"/>
  <c r="F6101" i="3"/>
  <c r="G6100" i="3"/>
  <c r="F6100" i="3"/>
  <c r="G6099" i="3"/>
  <c r="F6099" i="3"/>
  <c r="G6098" i="3"/>
  <c r="F6098" i="3"/>
  <c r="G6097" i="3"/>
  <c r="F6097" i="3"/>
  <c r="G6096" i="3"/>
  <c r="F6096" i="3"/>
  <c r="G6095" i="3"/>
  <c r="F6095" i="3"/>
  <c r="G6094" i="3"/>
  <c r="F6094" i="3"/>
  <c r="G6093" i="3"/>
  <c r="F6093" i="3"/>
  <c r="G6092" i="3"/>
  <c r="F6092" i="3"/>
  <c r="G6091" i="3"/>
  <c r="F6091" i="3"/>
  <c r="G6090" i="3"/>
  <c r="F6090" i="3"/>
  <c r="G6089" i="3"/>
  <c r="F6089" i="3"/>
  <c r="G6088" i="3"/>
  <c r="F6088" i="3"/>
  <c r="G6087" i="3"/>
  <c r="F6087" i="3"/>
  <c r="G6086" i="3"/>
  <c r="F6086" i="3"/>
  <c r="G6085" i="3"/>
  <c r="F6085" i="3"/>
  <c r="G6084" i="3"/>
  <c r="F6084" i="3"/>
  <c r="G6083" i="3"/>
  <c r="F6083" i="3"/>
  <c r="G6082" i="3"/>
  <c r="F6082" i="3"/>
  <c r="G6081" i="3"/>
  <c r="F6081" i="3"/>
  <c r="G6080" i="3"/>
  <c r="F6080" i="3"/>
  <c r="G6079" i="3"/>
  <c r="F6079" i="3"/>
  <c r="G6078" i="3"/>
  <c r="F6078" i="3"/>
  <c r="G6077" i="3"/>
  <c r="F6077" i="3"/>
  <c r="G6076" i="3"/>
  <c r="F6076" i="3"/>
  <c r="G6075" i="3"/>
  <c r="F6075" i="3"/>
  <c r="G6074" i="3"/>
  <c r="F6074" i="3"/>
  <c r="G6073" i="3"/>
  <c r="F6073" i="3"/>
  <c r="G6072" i="3"/>
  <c r="F6072" i="3"/>
  <c r="G6071" i="3"/>
  <c r="F6071" i="3"/>
  <c r="G6070" i="3"/>
  <c r="F6070" i="3"/>
  <c r="G6069" i="3"/>
  <c r="F6069" i="3"/>
  <c r="G6068" i="3"/>
  <c r="F6068" i="3"/>
  <c r="G6067" i="3"/>
  <c r="F6067" i="3"/>
  <c r="G6066" i="3"/>
  <c r="F6066" i="3"/>
  <c r="G6065" i="3"/>
  <c r="F6065" i="3"/>
  <c r="G6064" i="3"/>
  <c r="F6064" i="3"/>
  <c r="G6063" i="3"/>
  <c r="F6063" i="3"/>
  <c r="G6017" i="3"/>
  <c r="F6017" i="3"/>
  <c r="G6016" i="3"/>
  <c r="F6016" i="3"/>
  <c r="G6015" i="3"/>
  <c r="F6015" i="3"/>
  <c r="G6014" i="3"/>
  <c r="F6014" i="3"/>
  <c r="G6013" i="3"/>
  <c r="F6013" i="3"/>
  <c r="G6012" i="3"/>
  <c r="F6012" i="3"/>
  <c r="G6011" i="3"/>
  <c r="F6011" i="3"/>
  <c r="G6010" i="3"/>
  <c r="F6010" i="3"/>
  <c r="G6009" i="3"/>
  <c r="F6009" i="3"/>
  <c r="G6008" i="3"/>
  <c r="F6008" i="3"/>
  <c r="G6007" i="3"/>
  <c r="F6007" i="3"/>
  <c r="G6006" i="3"/>
  <c r="F6006" i="3"/>
  <c r="G6005" i="3"/>
  <c r="F6005" i="3"/>
  <c r="G6004" i="3"/>
  <c r="F6004" i="3"/>
  <c r="G6003" i="3"/>
  <c r="F6003" i="3"/>
  <c r="G6002" i="3"/>
  <c r="F6002" i="3"/>
  <c r="G6001" i="3"/>
  <c r="F6001" i="3"/>
  <c r="G6000" i="3"/>
  <c r="F6000" i="3"/>
  <c r="G5999" i="3"/>
  <c r="F5999" i="3"/>
  <c r="G5998" i="3"/>
  <c r="F5998" i="3"/>
  <c r="G5997" i="3"/>
  <c r="F5997" i="3"/>
  <c r="G5996" i="3"/>
  <c r="F5996" i="3"/>
  <c r="G5995" i="3"/>
  <c r="F5995" i="3"/>
  <c r="G5994" i="3"/>
  <c r="F5994" i="3"/>
  <c r="G5993" i="3"/>
  <c r="F5993" i="3"/>
  <c r="G5992" i="3"/>
  <c r="F5992" i="3"/>
  <c r="G5991" i="3"/>
  <c r="F5991" i="3"/>
  <c r="G5990" i="3"/>
  <c r="F5990" i="3"/>
  <c r="G5989" i="3"/>
  <c r="F5989" i="3"/>
  <c r="G5988" i="3"/>
  <c r="F5988" i="3"/>
  <c r="G5987" i="3"/>
  <c r="F5987" i="3"/>
  <c r="G5986" i="3"/>
  <c r="F5986" i="3"/>
  <c r="G5985" i="3"/>
  <c r="F5985" i="3"/>
  <c r="G5984" i="3"/>
  <c r="F5984" i="3"/>
  <c r="G5983" i="3"/>
  <c r="F5983" i="3"/>
  <c r="G5982" i="3"/>
  <c r="F5982" i="3"/>
  <c r="G5981" i="3"/>
  <c r="F5981" i="3"/>
  <c r="G5980" i="3"/>
  <c r="F5980" i="3"/>
  <c r="G5979" i="3"/>
  <c r="F5979" i="3"/>
  <c r="G5978" i="3"/>
  <c r="F5978" i="3"/>
  <c r="G5977" i="3"/>
  <c r="F5977" i="3"/>
  <c r="G5976" i="3"/>
  <c r="F5976" i="3"/>
  <c r="G5975" i="3"/>
  <c r="F5975" i="3"/>
  <c r="G5974" i="3"/>
  <c r="F5974" i="3"/>
  <c r="G5973" i="3"/>
  <c r="F5973" i="3"/>
  <c r="G5972" i="3"/>
  <c r="F5972" i="3"/>
  <c r="G5971" i="3"/>
  <c r="F5971" i="3"/>
  <c r="G5970" i="3"/>
  <c r="F5970" i="3"/>
  <c r="G5969" i="3"/>
  <c r="F5969" i="3"/>
  <c r="G5968" i="3"/>
  <c r="F5968" i="3"/>
  <c r="G5967" i="3"/>
  <c r="F5967" i="3"/>
  <c r="G5966" i="3"/>
  <c r="F5966" i="3"/>
  <c r="G5965" i="3"/>
  <c r="F5965" i="3"/>
  <c r="G5964" i="3"/>
  <c r="F5964" i="3"/>
  <c r="G5963" i="3"/>
  <c r="F5963" i="3"/>
  <c r="G5962" i="3"/>
  <c r="F5962" i="3"/>
  <c r="G5961" i="3"/>
  <c r="F5961" i="3"/>
  <c r="G5960" i="3"/>
  <c r="F5960" i="3"/>
  <c r="G5959" i="3"/>
  <c r="F5959" i="3"/>
  <c r="G5958" i="3"/>
  <c r="F5958" i="3"/>
  <c r="G5957" i="3"/>
  <c r="F5957" i="3"/>
  <c r="G5956" i="3"/>
  <c r="F5956" i="3"/>
  <c r="G5955" i="3"/>
  <c r="F5955" i="3"/>
  <c r="G5954" i="3"/>
  <c r="F5954" i="3"/>
  <c r="G5953" i="3"/>
  <c r="F5953" i="3"/>
  <c r="G5952" i="3"/>
  <c r="F5952" i="3"/>
  <c r="G5951" i="3"/>
  <c r="F5951" i="3"/>
  <c r="G5950" i="3"/>
  <c r="F5950" i="3"/>
  <c r="G5949" i="3"/>
  <c r="F5949" i="3"/>
  <c r="G5948" i="3"/>
  <c r="F5948" i="3"/>
  <c r="G5947" i="3"/>
  <c r="F5947" i="3"/>
  <c r="G5946" i="3"/>
  <c r="F5946" i="3"/>
  <c r="G5945" i="3"/>
  <c r="F5945" i="3"/>
  <c r="G5944" i="3"/>
  <c r="F5944" i="3"/>
  <c r="G5943" i="3"/>
  <c r="F5943" i="3"/>
  <c r="G5942" i="3"/>
  <c r="F5942" i="3"/>
  <c r="G5941" i="3"/>
  <c r="F5941" i="3"/>
  <c r="G5940" i="3"/>
  <c r="F5940" i="3"/>
  <c r="G5939" i="3"/>
  <c r="F5939" i="3"/>
  <c r="G5938" i="3"/>
  <c r="F5938" i="3"/>
  <c r="G5937" i="3"/>
  <c r="F5937" i="3"/>
  <c r="G5936" i="3"/>
  <c r="F5936" i="3"/>
  <c r="G5935" i="3"/>
  <c r="F5935" i="3"/>
  <c r="G5934" i="3"/>
  <c r="F5934" i="3"/>
  <c r="G5933" i="3"/>
  <c r="F5933" i="3"/>
  <c r="G5932" i="3"/>
  <c r="F5932" i="3"/>
  <c r="G5931" i="3"/>
  <c r="F5931" i="3"/>
  <c r="G5930" i="3"/>
  <c r="F5930" i="3"/>
  <c r="G5929" i="3"/>
  <c r="F5929" i="3"/>
  <c r="G5928" i="3"/>
  <c r="F5928" i="3"/>
  <c r="G5927" i="3"/>
  <c r="F5927" i="3"/>
  <c r="G5926" i="3"/>
  <c r="F5926" i="3"/>
  <c r="G5925" i="3"/>
  <c r="F5925" i="3"/>
  <c r="G5924" i="3"/>
  <c r="F5924" i="3"/>
  <c r="G5923" i="3"/>
  <c r="F5923" i="3"/>
  <c r="G5922" i="3"/>
  <c r="F5922" i="3"/>
  <c r="G5921" i="3"/>
  <c r="F5921" i="3"/>
  <c r="G5920" i="3"/>
  <c r="F5920" i="3"/>
  <c r="G5919" i="3"/>
  <c r="F5919" i="3"/>
  <c r="G5918" i="3"/>
  <c r="F5918" i="3"/>
  <c r="G5917" i="3"/>
  <c r="F5917" i="3"/>
  <c r="G5916" i="3"/>
  <c r="F5916" i="3"/>
  <c r="G5915" i="3"/>
  <c r="F5915" i="3"/>
  <c r="G5914" i="3"/>
  <c r="F5914" i="3"/>
  <c r="G5913" i="3"/>
  <c r="F5913" i="3"/>
  <c r="G5912" i="3"/>
  <c r="F5912" i="3"/>
  <c r="G5911" i="3"/>
  <c r="F5911" i="3"/>
  <c r="G5910" i="3"/>
  <c r="F5910" i="3"/>
  <c r="G5909" i="3"/>
  <c r="F5909" i="3"/>
  <c r="G5908" i="3"/>
  <c r="F5908" i="3"/>
  <c r="G5907" i="3"/>
  <c r="F5907" i="3"/>
  <c r="G5906" i="3"/>
  <c r="F5906" i="3"/>
  <c r="G5905" i="3"/>
  <c r="F5905" i="3"/>
  <c r="G5904" i="3"/>
  <c r="F5904" i="3"/>
  <c r="G5903" i="3"/>
  <c r="F5903" i="3"/>
  <c r="G5902" i="3"/>
  <c r="F5902" i="3"/>
  <c r="G5901" i="3"/>
  <c r="F5901" i="3"/>
  <c r="G5900" i="3"/>
  <c r="F5900" i="3"/>
  <c r="G5899" i="3"/>
  <c r="F5899" i="3"/>
  <c r="G5898" i="3"/>
  <c r="F5898" i="3"/>
  <c r="G5897" i="3"/>
  <c r="F5897" i="3"/>
  <c r="G5896" i="3"/>
  <c r="F5896" i="3"/>
  <c r="G5895" i="3"/>
  <c r="F5895" i="3"/>
  <c r="G5894" i="3"/>
  <c r="F5894" i="3"/>
  <c r="G5893" i="3"/>
  <c r="F5893" i="3"/>
  <c r="G5892" i="3"/>
  <c r="F5892" i="3"/>
  <c r="G5891" i="3"/>
  <c r="F5891" i="3"/>
  <c r="G5890" i="3"/>
  <c r="F5890" i="3"/>
  <c r="G5889" i="3"/>
  <c r="F5889" i="3"/>
  <c r="G5888" i="3"/>
  <c r="F5888" i="3"/>
  <c r="G5887" i="3"/>
  <c r="F5887" i="3"/>
  <c r="G5886" i="3"/>
  <c r="F5886" i="3"/>
  <c r="G5885" i="3"/>
  <c r="F5885" i="3"/>
  <c r="G5884" i="3"/>
  <c r="F5884" i="3"/>
  <c r="G5883" i="3"/>
  <c r="F5883" i="3"/>
  <c r="G5882" i="3"/>
  <c r="F5882" i="3"/>
  <c r="G5881" i="3"/>
  <c r="F5881" i="3"/>
  <c r="G5880" i="3"/>
  <c r="F5880" i="3"/>
  <c r="G5879" i="3"/>
  <c r="F5879" i="3"/>
  <c r="G5878" i="3"/>
  <c r="F5878" i="3"/>
  <c r="G5877" i="3"/>
  <c r="F5877" i="3"/>
  <c r="G5876" i="3"/>
  <c r="F5876" i="3"/>
  <c r="G5875" i="3"/>
  <c r="F5875" i="3"/>
  <c r="G5874" i="3"/>
  <c r="F5874" i="3"/>
  <c r="G5873" i="3"/>
  <c r="F5873" i="3"/>
  <c r="G5872" i="3"/>
  <c r="F5872" i="3"/>
  <c r="G5871" i="3"/>
  <c r="F5871" i="3"/>
  <c r="G5870" i="3"/>
  <c r="F5870" i="3"/>
  <c r="G5869" i="3"/>
  <c r="F5869" i="3"/>
  <c r="G5868" i="3"/>
  <c r="F5868" i="3"/>
  <c r="G5867" i="3"/>
  <c r="F5867" i="3"/>
  <c r="G5866" i="3"/>
  <c r="F5866" i="3"/>
  <c r="G5865" i="3"/>
  <c r="F5865" i="3"/>
  <c r="G5864" i="3"/>
  <c r="F5864" i="3"/>
  <c r="G5863" i="3"/>
  <c r="F5863" i="3"/>
  <c r="G5862" i="3"/>
  <c r="F5862" i="3"/>
  <c r="G5861" i="3"/>
  <c r="F5861" i="3"/>
  <c r="G5860" i="3"/>
  <c r="F5860" i="3"/>
  <c r="G5859" i="3"/>
  <c r="F5859" i="3"/>
  <c r="G5858" i="3"/>
  <c r="F5858" i="3"/>
  <c r="G5857" i="3"/>
  <c r="F5857" i="3"/>
  <c r="G5856" i="3"/>
  <c r="F5856" i="3"/>
  <c r="G5855" i="3"/>
  <c r="F5855" i="3"/>
  <c r="G5854" i="3"/>
  <c r="F5854" i="3"/>
  <c r="G5853" i="3"/>
  <c r="F5853" i="3"/>
  <c r="G5852" i="3"/>
  <c r="F5852" i="3"/>
  <c r="G5851" i="3"/>
  <c r="F5851" i="3"/>
  <c r="G5850" i="3"/>
  <c r="F5850" i="3"/>
  <c r="G5849" i="3"/>
  <c r="F5849" i="3"/>
  <c r="G5848" i="3"/>
  <c r="F5848" i="3"/>
  <c r="G5847" i="3"/>
  <c r="F5847" i="3"/>
  <c r="G5846" i="3"/>
  <c r="F5846" i="3"/>
  <c r="G5845" i="3"/>
  <c r="F5845" i="3"/>
  <c r="G5844" i="3"/>
  <c r="F5844" i="3"/>
  <c r="G5843" i="3"/>
  <c r="F5843" i="3"/>
  <c r="G5842" i="3"/>
  <c r="F5842" i="3"/>
  <c r="G5841" i="3"/>
  <c r="F5841" i="3"/>
  <c r="G5840" i="3"/>
  <c r="F5840" i="3"/>
  <c r="G5839" i="3"/>
  <c r="F5839" i="3"/>
  <c r="G5838" i="3"/>
  <c r="F5838" i="3"/>
  <c r="C5208" i="3"/>
  <c r="C5209" i="3"/>
  <c r="C5210" i="3"/>
  <c r="C5211" i="3"/>
  <c r="C5212" i="3"/>
  <c r="C5213" i="3"/>
  <c r="C5214" i="3"/>
  <c r="C5215" i="3"/>
  <c r="C5216" i="3"/>
  <c r="C5217" i="3"/>
  <c r="C5218" i="3"/>
  <c r="C5219" i="3"/>
  <c r="C5220" i="3"/>
  <c r="C5221" i="3"/>
  <c r="C5222" i="3"/>
  <c r="C5223" i="3"/>
  <c r="C5224" i="3"/>
  <c r="C5225" i="3"/>
  <c r="C5226" i="3"/>
  <c r="C5227" i="3"/>
  <c r="C5228" i="3"/>
  <c r="C5229" i="3"/>
  <c r="C5230" i="3"/>
  <c r="C5231" i="3"/>
  <c r="C5232" i="3"/>
  <c r="C5233" i="3"/>
  <c r="C5234" i="3"/>
  <c r="C5235" i="3"/>
  <c r="C5236" i="3"/>
  <c r="C5237" i="3"/>
  <c r="C5238" i="3"/>
  <c r="C5239" i="3"/>
  <c r="C5240" i="3"/>
  <c r="C5241" i="3"/>
  <c r="C5242" i="3"/>
  <c r="C5243" i="3"/>
  <c r="C5244" i="3"/>
  <c r="C5245" i="3"/>
  <c r="C5246" i="3"/>
  <c r="C5247" i="3"/>
  <c r="C5248" i="3"/>
  <c r="C5249" i="3"/>
  <c r="C5250" i="3"/>
  <c r="C5251" i="3"/>
  <c r="C5252" i="3"/>
  <c r="C5253" i="3"/>
  <c r="C5254" i="3"/>
  <c r="C5255" i="3"/>
  <c r="C5256" i="3"/>
  <c r="C5257" i="3"/>
  <c r="C5258" i="3"/>
  <c r="C5259" i="3"/>
  <c r="C5260" i="3"/>
  <c r="C5261" i="3"/>
  <c r="C5262" i="3"/>
  <c r="C5263" i="3"/>
  <c r="C5264" i="3"/>
  <c r="C5265" i="3"/>
  <c r="C5266" i="3"/>
  <c r="C5267" i="3"/>
  <c r="C5268" i="3"/>
  <c r="C5269" i="3"/>
  <c r="C5270" i="3"/>
  <c r="C5271" i="3"/>
  <c r="C5272" i="3"/>
  <c r="C5273" i="3"/>
  <c r="C5274" i="3"/>
  <c r="C5275" i="3"/>
  <c r="C5276" i="3"/>
  <c r="C5277" i="3"/>
  <c r="C5278" i="3"/>
  <c r="C5279" i="3"/>
  <c r="C5280" i="3"/>
  <c r="C5281" i="3"/>
  <c r="C5282" i="3"/>
  <c r="C5283" i="3"/>
  <c r="C5284" i="3"/>
  <c r="C5285" i="3"/>
  <c r="C5286" i="3"/>
  <c r="C5287" i="3"/>
  <c r="C5288" i="3"/>
  <c r="C5289" i="3"/>
  <c r="C5290" i="3"/>
  <c r="C5291" i="3"/>
  <c r="C5292" i="3"/>
  <c r="C5293" i="3"/>
  <c r="C5294" i="3"/>
  <c r="C5295" i="3"/>
  <c r="C5296" i="3"/>
  <c r="C5297" i="3"/>
  <c r="C5298" i="3"/>
  <c r="C5299" i="3"/>
  <c r="C5300" i="3"/>
  <c r="C5301" i="3"/>
  <c r="C5302" i="3"/>
  <c r="C5303" i="3"/>
  <c r="C5304" i="3"/>
  <c r="C5305" i="3"/>
  <c r="C5306" i="3"/>
  <c r="C5307" i="3"/>
  <c r="C5308" i="3"/>
  <c r="C5309" i="3"/>
  <c r="C5310" i="3"/>
  <c r="C5311" i="3"/>
  <c r="C5312" i="3"/>
  <c r="C5313" i="3"/>
  <c r="C5314" i="3"/>
  <c r="C5315" i="3"/>
  <c r="C5316" i="3"/>
  <c r="C5317" i="3"/>
  <c r="C5318" i="3"/>
  <c r="C5319" i="3"/>
  <c r="C5320" i="3"/>
  <c r="C5321" i="3"/>
  <c r="C5322" i="3"/>
  <c r="C5323" i="3"/>
  <c r="C5324" i="3"/>
  <c r="C5325" i="3"/>
  <c r="C5326" i="3"/>
  <c r="C5327" i="3"/>
  <c r="C5328" i="3"/>
  <c r="C5329" i="3"/>
  <c r="C5330" i="3"/>
  <c r="C5331" i="3"/>
  <c r="C5332" i="3"/>
  <c r="C5333" i="3"/>
  <c r="C5334" i="3"/>
  <c r="C5335" i="3"/>
  <c r="C5336" i="3"/>
  <c r="C5337" i="3"/>
  <c r="C5338" i="3"/>
  <c r="C5339" i="3"/>
  <c r="C5340" i="3"/>
  <c r="C5341" i="3"/>
  <c r="C5342" i="3"/>
  <c r="C5343" i="3"/>
  <c r="C5344" i="3"/>
  <c r="C5345" i="3"/>
  <c r="C5346" i="3"/>
  <c r="C5347" i="3"/>
  <c r="C5348" i="3"/>
  <c r="C5349" i="3"/>
  <c r="C5350" i="3"/>
  <c r="C5351" i="3"/>
  <c r="C5352" i="3"/>
  <c r="C5353" i="3"/>
  <c r="C5354" i="3"/>
  <c r="C5355" i="3"/>
  <c r="C5356" i="3"/>
  <c r="C5357" i="3"/>
  <c r="C5358" i="3"/>
  <c r="C5359" i="3"/>
  <c r="C5360" i="3"/>
  <c r="C5361" i="3"/>
  <c r="C5362" i="3"/>
  <c r="C5363" i="3"/>
  <c r="C5364" i="3"/>
  <c r="C5365" i="3"/>
  <c r="C5366" i="3"/>
  <c r="C5367" i="3"/>
  <c r="C5368" i="3"/>
  <c r="C5369" i="3"/>
  <c r="C5370" i="3"/>
  <c r="C5371" i="3"/>
  <c r="C5372" i="3"/>
  <c r="C5373" i="3"/>
  <c r="C5374" i="3"/>
  <c r="C5375" i="3"/>
  <c r="C5376" i="3"/>
  <c r="C5377" i="3"/>
  <c r="C5378" i="3"/>
  <c r="C5379" i="3"/>
  <c r="C5380" i="3"/>
  <c r="C5381" i="3"/>
  <c r="C5382" i="3"/>
  <c r="C5383" i="3"/>
  <c r="C5384" i="3"/>
  <c r="C5385" i="3"/>
  <c r="C5386" i="3"/>
  <c r="C5387" i="3"/>
  <c r="C5388" i="3"/>
  <c r="C5389" i="3"/>
  <c r="C5390" i="3"/>
  <c r="C5391" i="3"/>
  <c r="C5392" i="3"/>
  <c r="C5393" i="3"/>
  <c r="C5394" i="3"/>
  <c r="C5395" i="3"/>
  <c r="C5396" i="3"/>
  <c r="C5397" i="3"/>
  <c r="C5398" i="3"/>
  <c r="C5399" i="3"/>
  <c r="C5400" i="3"/>
  <c r="C5401" i="3"/>
  <c r="C5402" i="3"/>
  <c r="C5403" i="3"/>
  <c r="C5404" i="3"/>
  <c r="C5405" i="3"/>
  <c r="C5406" i="3"/>
  <c r="C5407" i="3"/>
  <c r="C5408" i="3"/>
  <c r="C5409" i="3"/>
  <c r="C5410" i="3"/>
  <c r="C5411" i="3"/>
  <c r="C5412" i="3"/>
  <c r="C5413" i="3"/>
  <c r="C5414" i="3"/>
  <c r="C5415" i="3"/>
  <c r="C5416" i="3"/>
  <c r="C5417" i="3"/>
  <c r="C5418" i="3"/>
  <c r="C5419" i="3"/>
  <c r="C5420" i="3"/>
  <c r="C5421" i="3"/>
  <c r="C5422" i="3"/>
  <c r="C5423" i="3"/>
  <c r="C5424" i="3"/>
  <c r="C5425" i="3"/>
  <c r="C5426" i="3"/>
  <c r="C5427" i="3"/>
  <c r="C5428" i="3"/>
  <c r="C5429" i="3"/>
  <c r="C5430" i="3"/>
  <c r="C5431" i="3"/>
  <c r="C5432" i="3"/>
  <c r="C5433" i="3"/>
  <c r="C5434" i="3"/>
  <c r="C5435" i="3"/>
  <c r="C5436" i="3"/>
  <c r="C5437" i="3"/>
  <c r="C5438" i="3"/>
  <c r="C5439" i="3"/>
  <c r="C5440" i="3"/>
  <c r="C5441" i="3"/>
  <c r="C5442" i="3"/>
  <c r="C5443" i="3"/>
  <c r="C5444" i="3"/>
  <c r="C5445" i="3"/>
  <c r="C5446" i="3"/>
  <c r="C5447" i="3"/>
  <c r="C5448" i="3"/>
  <c r="C5449" i="3"/>
  <c r="C5450" i="3"/>
  <c r="C5451" i="3"/>
  <c r="C5452" i="3"/>
  <c r="C5453" i="3"/>
  <c r="C5454" i="3"/>
  <c r="C5455" i="3"/>
  <c r="C5456" i="3"/>
  <c r="C5457" i="3"/>
  <c r="C5458" i="3"/>
  <c r="C5459" i="3"/>
  <c r="C5460" i="3"/>
  <c r="C5461" i="3"/>
  <c r="C5462" i="3"/>
  <c r="C5463" i="3"/>
  <c r="C5464" i="3"/>
  <c r="C5465" i="3"/>
  <c r="C5466" i="3"/>
  <c r="C5467" i="3"/>
  <c r="C5468" i="3"/>
  <c r="C5469" i="3"/>
  <c r="C5470" i="3"/>
  <c r="C5471" i="3"/>
  <c r="C5472" i="3"/>
  <c r="C5473" i="3"/>
  <c r="C5474" i="3"/>
  <c r="C5475" i="3"/>
  <c r="C5476" i="3"/>
  <c r="C5477" i="3"/>
  <c r="C5478" i="3"/>
  <c r="C5479" i="3"/>
  <c r="C5480" i="3"/>
  <c r="C5481" i="3"/>
  <c r="C5482" i="3"/>
  <c r="C5483" i="3"/>
  <c r="C5484" i="3"/>
  <c r="C5485" i="3"/>
  <c r="C5486" i="3"/>
  <c r="C5487" i="3"/>
  <c r="C5488" i="3"/>
  <c r="C5489" i="3"/>
  <c r="C5490" i="3"/>
  <c r="C5491" i="3"/>
  <c r="C5492" i="3"/>
  <c r="C5493" i="3"/>
  <c r="C5494" i="3"/>
  <c r="C5495" i="3"/>
  <c r="C5496" i="3"/>
  <c r="C5497" i="3"/>
  <c r="C5498" i="3"/>
  <c r="C5499" i="3"/>
  <c r="C5500" i="3"/>
  <c r="C5501" i="3"/>
  <c r="C5502" i="3"/>
  <c r="C5503" i="3"/>
  <c r="C5504" i="3"/>
  <c r="C5505" i="3"/>
  <c r="C5506" i="3"/>
  <c r="C5507" i="3"/>
  <c r="C5508" i="3"/>
  <c r="C5509" i="3"/>
  <c r="C5510" i="3"/>
  <c r="C5511" i="3"/>
  <c r="C5512" i="3"/>
  <c r="C5513" i="3"/>
  <c r="C5514" i="3"/>
  <c r="C5515" i="3"/>
  <c r="C5516" i="3"/>
  <c r="C5517" i="3"/>
  <c r="C5518" i="3"/>
  <c r="C5519" i="3"/>
  <c r="C5520" i="3"/>
  <c r="C5521" i="3"/>
  <c r="C5522" i="3"/>
  <c r="C5523" i="3"/>
  <c r="C5524" i="3"/>
  <c r="C5525" i="3"/>
  <c r="C5526" i="3"/>
  <c r="C5527" i="3"/>
  <c r="C5528" i="3"/>
  <c r="C5529" i="3"/>
  <c r="C5530" i="3"/>
  <c r="C5531" i="3"/>
  <c r="C5532" i="3"/>
  <c r="C5533" i="3"/>
  <c r="C5534" i="3"/>
  <c r="C5535" i="3"/>
  <c r="C5536" i="3"/>
  <c r="C5537" i="3"/>
  <c r="C5538" i="3"/>
  <c r="C5539" i="3"/>
  <c r="C5540" i="3"/>
  <c r="C5541" i="3"/>
  <c r="C5542" i="3"/>
  <c r="C5543" i="3"/>
  <c r="C5544" i="3"/>
  <c r="C5545" i="3"/>
  <c r="C5546" i="3"/>
  <c r="C5547" i="3"/>
  <c r="C5548" i="3"/>
  <c r="C5549" i="3"/>
  <c r="C5550" i="3"/>
  <c r="C5551" i="3"/>
  <c r="C5552" i="3"/>
  <c r="C5553" i="3"/>
  <c r="C5554" i="3"/>
  <c r="C5555" i="3"/>
  <c r="C5556" i="3"/>
  <c r="C5557" i="3"/>
  <c r="C5558" i="3"/>
  <c r="C5559" i="3"/>
  <c r="C5560" i="3"/>
  <c r="C5561" i="3"/>
  <c r="C5562" i="3"/>
  <c r="C5563" i="3"/>
  <c r="C5564" i="3"/>
  <c r="C5565" i="3"/>
  <c r="C5566" i="3"/>
  <c r="C5567" i="3"/>
  <c r="C5568" i="3"/>
  <c r="C5569" i="3"/>
  <c r="C5570" i="3"/>
  <c r="C5571" i="3"/>
  <c r="C5572" i="3"/>
  <c r="C5573" i="3"/>
  <c r="C5574" i="3"/>
  <c r="C5575" i="3"/>
  <c r="C5576" i="3"/>
  <c r="C5577" i="3"/>
  <c r="C5578" i="3"/>
  <c r="C5579" i="3"/>
  <c r="C5580" i="3"/>
  <c r="C5581" i="3"/>
  <c r="C5582" i="3"/>
  <c r="C5583" i="3"/>
  <c r="C5584" i="3"/>
  <c r="C5585" i="3"/>
  <c r="C5586" i="3"/>
  <c r="C5587" i="3"/>
  <c r="C5588" i="3"/>
  <c r="C5589" i="3"/>
  <c r="C5590" i="3"/>
  <c r="C5591" i="3"/>
  <c r="C5592" i="3"/>
  <c r="C5593" i="3"/>
  <c r="C5594" i="3"/>
  <c r="C5595" i="3"/>
  <c r="C5596" i="3"/>
  <c r="C5597" i="3"/>
  <c r="C5598" i="3"/>
  <c r="C5599" i="3"/>
  <c r="C5600" i="3"/>
  <c r="C5601" i="3"/>
  <c r="C5602" i="3"/>
  <c r="C5603" i="3"/>
  <c r="C5604" i="3"/>
  <c r="C5605" i="3"/>
  <c r="C5606" i="3"/>
  <c r="C5607" i="3"/>
  <c r="C5608" i="3"/>
  <c r="C5609" i="3"/>
  <c r="C5610" i="3"/>
  <c r="C5611" i="3"/>
  <c r="C5612" i="3"/>
  <c r="C5613" i="3"/>
  <c r="C5614" i="3"/>
  <c r="C5615" i="3"/>
  <c r="C5616" i="3"/>
  <c r="C5617" i="3"/>
  <c r="C5618" i="3"/>
  <c r="C5619" i="3"/>
  <c r="C5620" i="3"/>
  <c r="C5621" i="3"/>
  <c r="C5622" i="3"/>
  <c r="C5623" i="3"/>
  <c r="C5624" i="3"/>
  <c r="C5625" i="3"/>
  <c r="C5626" i="3"/>
  <c r="C5627" i="3"/>
  <c r="C5628" i="3"/>
  <c r="C5629" i="3"/>
  <c r="C5630" i="3"/>
  <c r="C5631" i="3"/>
  <c r="C5632" i="3"/>
  <c r="C5633" i="3"/>
  <c r="C5634" i="3"/>
  <c r="C5635" i="3"/>
  <c r="C5636" i="3"/>
  <c r="C5637" i="3"/>
  <c r="C5638" i="3"/>
  <c r="C5639" i="3"/>
  <c r="C5640" i="3"/>
  <c r="C5641" i="3"/>
  <c r="C5642" i="3"/>
  <c r="C5643" i="3"/>
  <c r="C5644" i="3"/>
  <c r="C5645" i="3"/>
  <c r="C5646" i="3"/>
  <c r="C5647" i="3"/>
  <c r="C5648" i="3"/>
  <c r="C5649" i="3"/>
  <c r="C5650" i="3"/>
  <c r="C5651" i="3"/>
  <c r="C5652" i="3"/>
  <c r="C5653" i="3"/>
  <c r="C5654" i="3"/>
  <c r="C5655" i="3"/>
  <c r="C5656" i="3"/>
  <c r="C5657" i="3"/>
  <c r="B5614" i="3"/>
  <c r="B5615" i="3"/>
  <c r="B5616" i="3"/>
  <c r="B5617" i="3"/>
  <c r="B5618" i="3"/>
  <c r="B5619" i="3"/>
  <c r="B5620" i="3"/>
  <c r="B5621" i="3"/>
  <c r="B5622" i="3"/>
  <c r="B5623" i="3"/>
  <c r="B5624" i="3"/>
  <c r="B5625" i="3"/>
  <c r="B5626" i="3"/>
  <c r="B5627" i="3"/>
  <c r="B5628" i="3"/>
  <c r="B5629" i="3"/>
  <c r="B5630" i="3"/>
  <c r="B5631" i="3"/>
  <c r="B5632" i="3"/>
  <c r="B5633" i="3"/>
  <c r="B5634" i="3"/>
  <c r="B5635" i="3"/>
  <c r="B5636" i="3"/>
  <c r="B5637" i="3"/>
  <c r="B5638" i="3"/>
  <c r="B5639" i="3"/>
  <c r="B5640" i="3"/>
  <c r="B5641" i="3"/>
  <c r="B5642" i="3"/>
  <c r="B5643" i="3"/>
  <c r="B5644" i="3"/>
  <c r="B5645" i="3"/>
  <c r="B5646" i="3"/>
  <c r="B5647" i="3"/>
  <c r="B5648" i="3"/>
  <c r="B5649" i="3"/>
  <c r="B5650" i="3"/>
  <c r="B5651" i="3"/>
  <c r="B5652" i="3"/>
  <c r="B5653" i="3"/>
  <c r="B5654" i="3"/>
  <c r="B5655" i="3"/>
  <c r="B5656" i="3"/>
  <c r="B5657" i="3"/>
  <c r="B5613" i="3"/>
  <c r="B5569" i="3"/>
  <c r="B5570" i="3"/>
  <c r="B5571" i="3"/>
  <c r="B5572" i="3"/>
  <c r="B5573" i="3"/>
  <c r="B5574" i="3"/>
  <c r="B5575" i="3"/>
  <c r="B5576" i="3"/>
  <c r="B5577" i="3"/>
  <c r="B5578" i="3"/>
  <c r="B5579" i="3"/>
  <c r="B5580" i="3"/>
  <c r="B5581" i="3"/>
  <c r="B5582" i="3"/>
  <c r="B5583" i="3"/>
  <c r="B5584" i="3"/>
  <c r="B5585" i="3"/>
  <c r="B5586" i="3"/>
  <c r="B5587" i="3"/>
  <c r="B5588" i="3"/>
  <c r="B5589" i="3"/>
  <c r="B5590" i="3"/>
  <c r="B5591" i="3"/>
  <c r="B5592" i="3"/>
  <c r="B5593" i="3"/>
  <c r="B5594" i="3"/>
  <c r="B5595" i="3"/>
  <c r="B5596" i="3"/>
  <c r="B5597" i="3"/>
  <c r="B5598" i="3"/>
  <c r="B5599" i="3"/>
  <c r="B5600" i="3"/>
  <c r="B5601" i="3"/>
  <c r="B5602" i="3"/>
  <c r="B5603" i="3"/>
  <c r="B5604" i="3"/>
  <c r="B5605" i="3"/>
  <c r="B5606" i="3"/>
  <c r="B5607" i="3"/>
  <c r="B5608" i="3"/>
  <c r="B5609" i="3"/>
  <c r="B5610" i="3"/>
  <c r="B5611" i="3"/>
  <c r="B5612" i="3"/>
  <c r="B5568" i="3"/>
  <c r="B5524" i="3"/>
  <c r="B5525" i="3"/>
  <c r="B5526" i="3"/>
  <c r="B5527" i="3"/>
  <c r="B5528" i="3"/>
  <c r="B5529" i="3"/>
  <c r="B5530" i="3"/>
  <c r="B5531" i="3"/>
  <c r="B5532" i="3"/>
  <c r="B5533" i="3"/>
  <c r="B5534" i="3"/>
  <c r="B5535" i="3"/>
  <c r="B5536" i="3"/>
  <c r="B5537" i="3"/>
  <c r="B5538" i="3"/>
  <c r="B5539" i="3"/>
  <c r="B5540" i="3"/>
  <c r="B5541" i="3"/>
  <c r="B5542" i="3"/>
  <c r="B5543" i="3"/>
  <c r="B5544" i="3"/>
  <c r="B5545" i="3"/>
  <c r="B5546" i="3"/>
  <c r="B5547" i="3"/>
  <c r="B5548" i="3"/>
  <c r="B5549" i="3"/>
  <c r="B5550" i="3"/>
  <c r="B5551" i="3"/>
  <c r="B5552" i="3"/>
  <c r="B5553" i="3"/>
  <c r="B5554" i="3"/>
  <c r="B5555" i="3"/>
  <c r="B5556" i="3"/>
  <c r="B5557" i="3"/>
  <c r="B5558" i="3"/>
  <c r="B5559" i="3"/>
  <c r="B5560" i="3"/>
  <c r="B5561" i="3"/>
  <c r="B5562" i="3"/>
  <c r="B5563" i="3"/>
  <c r="B5564" i="3"/>
  <c r="B5565" i="3"/>
  <c r="B5566" i="3"/>
  <c r="B5567" i="3"/>
  <c r="B5523" i="3"/>
  <c r="B5479" i="3"/>
  <c r="B5480" i="3"/>
  <c r="B5481" i="3"/>
  <c r="B5482" i="3"/>
  <c r="B5483" i="3"/>
  <c r="B5484" i="3"/>
  <c r="B5485" i="3"/>
  <c r="B5486" i="3"/>
  <c r="B5487" i="3"/>
  <c r="B5488" i="3"/>
  <c r="B5489" i="3"/>
  <c r="B5490" i="3"/>
  <c r="B5491" i="3"/>
  <c r="B5492" i="3"/>
  <c r="B5493" i="3"/>
  <c r="B5494" i="3"/>
  <c r="B5495" i="3"/>
  <c r="B5496" i="3"/>
  <c r="B5497" i="3"/>
  <c r="B5498" i="3"/>
  <c r="B5499" i="3"/>
  <c r="B5500" i="3"/>
  <c r="B5501" i="3"/>
  <c r="B5502" i="3"/>
  <c r="B5503" i="3"/>
  <c r="B5504" i="3"/>
  <c r="B5505" i="3"/>
  <c r="B5506" i="3"/>
  <c r="B5507" i="3"/>
  <c r="B5508" i="3"/>
  <c r="B5509" i="3"/>
  <c r="B5510" i="3"/>
  <c r="B5511" i="3"/>
  <c r="B5512" i="3"/>
  <c r="B5513" i="3"/>
  <c r="B5514" i="3"/>
  <c r="B5515" i="3"/>
  <c r="B5516" i="3"/>
  <c r="B5517" i="3"/>
  <c r="B5518" i="3"/>
  <c r="B5519" i="3"/>
  <c r="B5520" i="3"/>
  <c r="B5521" i="3"/>
  <c r="B5522" i="3"/>
  <c r="B5478" i="3"/>
  <c r="B5434" i="3"/>
  <c r="B5435" i="3"/>
  <c r="B5436" i="3"/>
  <c r="B5437" i="3"/>
  <c r="B5438" i="3"/>
  <c r="B5439" i="3"/>
  <c r="B5440" i="3"/>
  <c r="B5441" i="3"/>
  <c r="B5442" i="3"/>
  <c r="B5443" i="3"/>
  <c r="B5444" i="3"/>
  <c r="B5445" i="3"/>
  <c r="B5446" i="3"/>
  <c r="B5447" i="3"/>
  <c r="B5448" i="3"/>
  <c r="B5449" i="3"/>
  <c r="B5450" i="3"/>
  <c r="B5451" i="3"/>
  <c r="B5452" i="3"/>
  <c r="B5453" i="3"/>
  <c r="B5454" i="3"/>
  <c r="B5455" i="3"/>
  <c r="B5456" i="3"/>
  <c r="B5457" i="3"/>
  <c r="B5458" i="3"/>
  <c r="B5459" i="3"/>
  <c r="B5460" i="3"/>
  <c r="B5461" i="3"/>
  <c r="B5462" i="3"/>
  <c r="B5463" i="3"/>
  <c r="B5464" i="3"/>
  <c r="B5465" i="3"/>
  <c r="B5466" i="3"/>
  <c r="B5467" i="3"/>
  <c r="B5468" i="3"/>
  <c r="B5469" i="3"/>
  <c r="B5470" i="3"/>
  <c r="B5471" i="3"/>
  <c r="B5472" i="3"/>
  <c r="B5473" i="3"/>
  <c r="B5474" i="3"/>
  <c r="B5475" i="3"/>
  <c r="B5476" i="3"/>
  <c r="B5477" i="3"/>
  <c r="B5433" i="3"/>
  <c r="B5389" i="3"/>
  <c r="B5390" i="3"/>
  <c r="B5391" i="3"/>
  <c r="B5392" i="3"/>
  <c r="B5393" i="3"/>
  <c r="B5394" i="3"/>
  <c r="B5395" i="3"/>
  <c r="B5396" i="3"/>
  <c r="B5397" i="3"/>
  <c r="B5398" i="3"/>
  <c r="B5399" i="3"/>
  <c r="B5400" i="3"/>
  <c r="B5401" i="3"/>
  <c r="B5402" i="3"/>
  <c r="B5403" i="3"/>
  <c r="B5404" i="3"/>
  <c r="B5405" i="3"/>
  <c r="B5406" i="3"/>
  <c r="B5407" i="3"/>
  <c r="B5408" i="3"/>
  <c r="B5409" i="3"/>
  <c r="B5410" i="3"/>
  <c r="B5411" i="3"/>
  <c r="B5412" i="3"/>
  <c r="B5413" i="3"/>
  <c r="B5414" i="3"/>
  <c r="B5415" i="3"/>
  <c r="B5416" i="3"/>
  <c r="B5417" i="3"/>
  <c r="B5418" i="3"/>
  <c r="B5419" i="3"/>
  <c r="B5420" i="3"/>
  <c r="B5421" i="3"/>
  <c r="B5422" i="3"/>
  <c r="B5423" i="3"/>
  <c r="B5424" i="3"/>
  <c r="B5425" i="3"/>
  <c r="B5426" i="3"/>
  <c r="B5427" i="3"/>
  <c r="B5428" i="3"/>
  <c r="B5429" i="3"/>
  <c r="B5430" i="3"/>
  <c r="B5431" i="3"/>
  <c r="B5432" i="3"/>
  <c r="B5388" i="3"/>
  <c r="B5344" i="3"/>
  <c r="B5345" i="3"/>
  <c r="B5346" i="3"/>
  <c r="B5347" i="3"/>
  <c r="B5348" i="3"/>
  <c r="B5349" i="3"/>
  <c r="B5350" i="3"/>
  <c r="B5351" i="3"/>
  <c r="B5352" i="3"/>
  <c r="B5353" i="3"/>
  <c r="B5354" i="3"/>
  <c r="B5355" i="3"/>
  <c r="B5356" i="3"/>
  <c r="B5357" i="3"/>
  <c r="B5358" i="3"/>
  <c r="B5359" i="3"/>
  <c r="B5360" i="3"/>
  <c r="B5361" i="3"/>
  <c r="B5362" i="3"/>
  <c r="B5363" i="3"/>
  <c r="B5364" i="3"/>
  <c r="B5365" i="3"/>
  <c r="B5366" i="3"/>
  <c r="B5367" i="3"/>
  <c r="B5368" i="3"/>
  <c r="B5369" i="3"/>
  <c r="B5370" i="3"/>
  <c r="B5371" i="3"/>
  <c r="B5372" i="3"/>
  <c r="B5373" i="3"/>
  <c r="B5374" i="3"/>
  <c r="B5375" i="3"/>
  <c r="B5376" i="3"/>
  <c r="B5377" i="3"/>
  <c r="B5378" i="3"/>
  <c r="B5379" i="3"/>
  <c r="B5380" i="3"/>
  <c r="B5381" i="3"/>
  <c r="B5382" i="3"/>
  <c r="B5383" i="3"/>
  <c r="B5384" i="3"/>
  <c r="B5385" i="3"/>
  <c r="B5386" i="3"/>
  <c r="B5387" i="3"/>
  <c r="B5343" i="3"/>
  <c r="B5299" i="3"/>
  <c r="B5300" i="3"/>
  <c r="B5301" i="3"/>
  <c r="B5302" i="3"/>
  <c r="B5303" i="3"/>
  <c r="B5304" i="3"/>
  <c r="B5305" i="3"/>
  <c r="B5306" i="3"/>
  <c r="B5307" i="3"/>
  <c r="B5308" i="3"/>
  <c r="B5309" i="3"/>
  <c r="B5310" i="3"/>
  <c r="B5311" i="3"/>
  <c r="B5312" i="3"/>
  <c r="B5313" i="3"/>
  <c r="B5314" i="3"/>
  <c r="B5315" i="3"/>
  <c r="B5316" i="3"/>
  <c r="B5317" i="3"/>
  <c r="B5318" i="3"/>
  <c r="B5319" i="3"/>
  <c r="B5320" i="3"/>
  <c r="B5321" i="3"/>
  <c r="B5322" i="3"/>
  <c r="B5323" i="3"/>
  <c r="B5324" i="3"/>
  <c r="B5325" i="3"/>
  <c r="B5326" i="3"/>
  <c r="B5327" i="3"/>
  <c r="B5328" i="3"/>
  <c r="B5329" i="3"/>
  <c r="B5330" i="3"/>
  <c r="B5331" i="3"/>
  <c r="B5332" i="3"/>
  <c r="B5333" i="3"/>
  <c r="B5334" i="3"/>
  <c r="B5335" i="3"/>
  <c r="B5336" i="3"/>
  <c r="B5337" i="3"/>
  <c r="B5338" i="3"/>
  <c r="B5339" i="3"/>
  <c r="B5340" i="3"/>
  <c r="B5341" i="3"/>
  <c r="B5342" i="3"/>
  <c r="B5298" i="3"/>
  <c r="B5254" i="3"/>
  <c r="B5255" i="3"/>
  <c r="B5256" i="3"/>
  <c r="B5257" i="3"/>
  <c r="B5258" i="3"/>
  <c r="B5259" i="3"/>
  <c r="B5260" i="3"/>
  <c r="B5261" i="3"/>
  <c r="B5262" i="3"/>
  <c r="B5263" i="3"/>
  <c r="B5264" i="3"/>
  <c r="B5265" i="3"/>
  <c r="B5266" i="3"/>
  <c r="B5267" i="3"/>
  <c r="B5268" i="3"/>
  <c r="B5269" i="3"/>
  <c r="B5270" i="3"/>
  <c r="B5271" i="3"/>
  <c r="B5272" i="3"/>
  <c r="B5273" i="3"/>
  <c r="B5274" i="3"/>
  <c r="B5275" i="3"/>
  <c r="B5276" i="3"/>
  <c r="B5277" i="3"/>
  <c r="B5278" i="3"/>
  <c r="B5279" i="3"/>
  <c r="B5280" i="3"/>
  <c r="B5281" i="3"/>
  <c r="B5282" i="3"/>
  <c r="B5283" i="3"/>
  <c r="B5284" i="3"/>
  <c r="B5285" i="3"/>
  <c r="B5286" i="3"/>
  <c r="B5287" i="3"/>
  <c r="B5288" i="3"/>
  <c r="B5289" i="3"/>
  <c r="B5290" i="3"/>
  <c r="B5291" i="3"/>
  <c r="B5292" i="3"/>
  <c r="B5293" i="3"/>
  <c r="B5294" i="3"/>
  <c r="B5295" i="3"/>
  <c r="B5296" i="3"/>
  <c r="B5297" i="3"/>
  <c r="B5253" i="3"/>
  <c r="B5209" i="3"/>
  <c r="B5210" i="3"/>
  <c r="B5211" i="3"/>
  <c r="B5212" i="3"/>
  <c r="B5213" i="3"/>
  <c r="B5214" i="3"/>
  <c r="B5215" i="3"/>
  <c r="B5216" i="3"/>
  <c r="B5217" i="3"/>
  <c r="B5218" i="3"/>
  <c r="B5219" i="3"/>
  <c r="B5220" i="3"/>
  <c r="B5221" i="3"/>
  <c r="B5222" i="3"/>
  <c r="B5223" i="3"/>
  <c r="B5224" i="3"/>
  <c r="B5225" i="3"/>
  <c r="B5226" i="3"/>
  <c r="B5227" i="3"/>
  <c r="B5228" i="3"/>
  <c r="B5229" i="3"/>
  <c r="B5230" i="3"/>
  <c r="B5231" i="3"/>
  <c r="B5232" i="3"/>
  <c r="B5233" i="3"/>
  <c r="B5234" i="3"/>
  <c r="B5235" i="3"/>
  <c r="B5236" i="3"/>
  <c r="B5237" i="3"/>
  <c r="B5238" i="3"/>
  <c r="B5239" i="3"/>
  <c r="B5240" i="3"/>
  <c r="B5241" i="3"/>
  <c r="B5242" i="3"/>
  <c r="B5243" i="3"/>
  <c r="B5244" i="3"/>
  <c r="B5245" i="3"/>
  <c r="B5246" i="3"/>
  <c r="B5247" i="3"/>
  <c r="B5248" i="3"/>
  <c r="B5249" i="3"/>
  <c r="B5250" i="3"/>
  <c r="B5251" i="3"/>
  <c r="B5252" i="3"/>
  <c r="B5208" i="3"/>
  <c r="G5837" i="3"/>
  <c r="F5837" i="3"/>
  <c r="G5836" i="3"/>
  <c r="F5836" i="3"/>
  <c r="G5835" i="3"/>
  <c r="F5835" i="3"/>
  <c r="G5834" i="3"/>
  <c r="F5834" i="3"/>
  <c r="G5833" i="3"/>
  <c r="F5833" i="3"/>
  <c r="G5832" i="3"/>
  <c r="F5832" i="3"/>
  <c r="G5831" i="3"/>
  <c r="F5831" i="3"/>
  <c r="G5830" i="3"/>
  <c r="F5830" i="3"/>
  <c r="G5829" i="3"/>
  <c r="F5829" i="3"/>
  <c r="G5828" i="3"/>
  <c r="F5828" i="3"/>
  <c r="G5827" i="3"/>
  <c r="F5827" i="3"/>
  <c r="G5826" i="3"/>
  <c r="F5826" i="3"/>
  <c r="G5825" i="3"/>
  <c r="F5825" i="3"/>
  <c r="G5824" i="3"/>
  <c r="F5824" i="3"/>
  <c r="G5823" i="3"/>
  <c r="F5823" i="3"/>
  <c r="G5822" i="3"/>
  <c r="F5822" i="3"/>
  <c r="G5821" i="3"/>
  <c r="F5821" i="3"/>
  <c r="G5820" i="3"/>
  <c r="F5820" i="3"/>
  <c r="G5819" i="3"/>
  <c r="F5819" i="3"/>
  <c r="G5818" i="3"/>
  <c r="F5818" i="3"/>
  <c r="G5817" i="3"/>
  <c r="F5817" i="3"/>
  <c r="G5816" i="3"/>
  <c r="F5816" i="3"/>
  <c r="G5815" i="3"/>
  <c r="F5815" i="3"/>
  <c r="G5814" i="3"/>
  <c r="F5814" i="3"/>
  <c r="G5813" i="3"/>
  <c r="F5813" i="3"/>
  <c r="G5812" i="3"/>
  <c r="F5812" i="3"/>
  <c r="G5811" i="3"/>
  <c r="F5811" i="3"/>
  <c r="G5810" i="3"/>
  <c r="F5810" i="3"/>
  <c r="G5809" i="3"/>
  <c r="F5809" i="3"/>
  <c r="G5808" i="3"/>
  <c r="F5808" i="3"/>
  <c r="G5807" i="3"/>
  <c r="F5807" i="3"/>
  <c r="G5806" i="3"/>
  <c r="F5806" i="3"/>
  <c r="G5805" i="3"/>
  <c r="F5805" i="3"/>
  <c r="G5804" i="3"/>
  <c r="F5804" i="3"/>
  <c r="G5803" i="3"/>
  <c r="F5803" i="3"/>
  <c r="G5802" i="3"/>
  <c r="F5802" i="3"/>
  <c r="G5801" i="3"/>
  <c r="F5801" i="3"/>
  <c r="G5800" i="3"/>
  <c r="F5800" i="3"/>
  <c r="G5799" i="3"/>
  <c r="F5799" i="3"/>
  <c r="G5798" i="3"/>
  <c r="F5798" i="3"/>
  <c r="G5797" i="3"/>
  <c r="F5797" i="3"/>
  <c r="G5796" i="3"/>
  <c r="F5796" i="3"/>
  <c r="G5795" i="3"/>
  <c r="F5795" i="3"/>
  <c r="G5794" i="3"/>
  <c r="F5794" i="3"/>
  <c r="G5793" i="3"/>
  <c r="F5793" i="3"/>
  <c r="G5792" i="3"/>
  <c r="F5792" i="3"/>
  <c r="G5791" i="3"/>
  <c r="F5791" i="3"/>
  <c r="G5790" i="3"/>
  <c r="F5790" i="3"/>
  <c r="G5789" i="3"/>
  <c r="F5789" i="3"/>
  <c r="G5788" i="3"/>
  <c r="F5788" i="3"/>
  <c r="G5787" i="3"/>
  <c r="F5787" i="3"/>
  <c r="G5786" i="3"/>
  <c r="F5786" i="3"/>
  <c r="G5785" i="3"/>
  <c r="F5785" i="3"/>
  <c r="G5784" i="3"/>
  <c r="F5784" i="3"/>
  <c r="G5783" i="3"/>
  <c r="F5783" i="3"/>
  <c r="G5782" i="3"/>
  <c r="F5782" i="3"/>
  <c r="G5781" i="3"/>
  <c r="F5781" i="3"/>
  <c r="G5780" i="3"/>
  <c r="F5780" i="3"/>
  <c r="G5779" i="3"/>
  <c r="F5779" i="3"/>
  <c r="G5778" i="3"/>
  <c r="F5778" i="3"/>
  <c r="G5777" i="3"/>
  <c r="F5777" i="3"/>
  <c r="G5776" i="3"/>
  <c r="F5776" i="3"/>
  <c r="G5775" i="3"/>
  <c r="F5775" i="3"/>
  <c r="G5774" i="3"/>
  <c r="F5774" i="3"/>
  <c r="G5773" i="3"/>
  <c r="F5773" i="3"/>
  <c r="G5772" i="3"/>
  <c r="F5772" i="3"/>
  <c r="G5771" i="3"/>
  <c r="F5771" i="3"/>
  <c r="G5770" i="3"/>
  <c r="F5770" i="3"/>
  <c r="G5769" i="3"/>
  <c r="F5769" i="3"/>
  <c r="G5768" i="3"/>
  <c r="F5768" i="3"/>
  <c r="G5767" i="3"/>
  <c r="F5767" i="3"/>
  <c r="G5766" i="3"/>
  <c r="F5766" i="3"/>
  <c r="G5765" i="3"/>
  <c r="F5765" i="3"/>
  <c r="G5764" i="3"/>
  <c r="F5764" i="3"/>
  <c r="G5763" i="3"/>
  <c r="F5763" i="3"/>
  <c r="G5762" i="3"/>
  <c r="F5762" i="3"/>
  <c r="G5761" i="3"/>
  <c r="F5761" i="3"/>
  <c r="G5760" i="3"/>
  <c r="F5760" i="3"/>
  <c r="G5759" i="3"/>
  <c r="F5759" i="3"/>
  <c r="G5758" i="3"/>
  <c r="F5758" i="3"/>
  <c r="G5757" i="3"/>
  <c r="F5757" i="3"/>
  <c r="G5756" i="3"/>
  <c r="F5756" i="3"/>
  <c r="G5755" i="3"/>
  <c r="F5755" i="3"/>
  <c r="G5754" i="3"/>
  <c r="F5754" i="3"/>
  <c r="G5753" i="3"/>
  <c r="F5753" i="3"/>
  <c r="G5752" i="3"/>
  <c r="F5752" i="3"/>
  <c r="G5751" i="3"/>
  <c r="F5751" i="3"/>
  <c r="G5750" i="3"/>
  <c r="F5750" i="3"/>
  <c r="G5749" i="3"/>
  <c r="F5749" i="3"/>
  <c r="G5748" i="3"/>
  <c r="F5748" i="3"/>
  <c r="G5657" i="3"/>
  <c r="F5657" i="3"/>
  <c r="G5656" i="3"/>
  <c r="F5656" i="3"/>
  <c r="G5655" i="3"/>
  <c r="F5655" i="3"/>
  <c r="G5654" i="3"/>
  <c r="F5654" i="3"/>
  <c r="G5653" i="3"/>
  <c r="F5653" i="3"/>
  <c r="G5652" i="3"/>
  <c r="F5652" i="3"/>
  <c r="G5651" i="3"/>
  <c r="F5651" i="3"/>
  <c r="G5650" i="3"/>
  <c r="F5650" i="3"/>
  <c r="G5649" i="3"/>
  <c r="F5649" i="3"/>
  <c r="G5648" i="3"/>
  <c r="F5648" i="3"/>
  <c r="G5647" i="3"/>
  <c r="F5647" i="3"/>
  <c r="G5646" i="3"/>
  <c r="F5646" i="3"/>
  <c r="G5645" i="3"/>
  <c r="F5645" i="3"/>
  <c r="G5644" i="3"/>
  <c r="F5644" i="3"/>
  <c r="G5643" i="3"/>
  <c r="F5643" i="3"/>
  <c r="G5642" i="3"/>
  <c r="F5642" i="3"/>
  <c r="G5641" i="3"/>
  <c r="F5641" i="3"/>
  <c r="G5640" i="3"/>
  <c r="F5640" i="3"/>
  <c r="G5639" i="3"/>
  <c r="F5639" i="3"/>
  <c r="G5638" i="3"/>
  <c r="F5638" i="3"/>
  <c r="G5637" i="3"/>
  <c r="F5637" i="3"/>
  <c r="G5636" i="3"/>
  <c r="F5636" i="3"/>
  <c r="G5635" i="3"/>
  <c r="F5635" i="3"/>
  <c r="G5634" i="3"/>
  <c r="F5634" i="3"/>
  <c r="G5633" i="3"/>
  <c r="F5633" i="3"/>
  <c r="G5632" i="3"/>
  <c r="F5632" i="3"/>
  <c r="G5631" i="3"/>
  <c r="F5631" i="3"/>
  <c r="G5630" i="3"/>
  <c r="F5630" i="3"/>
  <c r="G5629" i="3"/>
  <c r="F5629" i="3"/>
  <c r="G5628" i="3"/>
  <c r="F5628" i="3"/>
  <c r="G5627" i="3"/>
  <c r="F5627" i="3"/>
  <c r="G5626" i="3"/>
  <c r="F5626" i="3"/>
  <c r="G5625" i="3"/>
  <c r="F5625" i="3"/>
  <c r="G5624" i="3"/>
  <c r="F5624" i="3"/>
  <c r="G5623" i="3"/>
  <c r="F5623" i="3"/>
  <c r="G5622" i="3"/>
  <c r="F5622" i="3"/>
  <c r="G5621" i="3"/>
  <c r="F5621" i="3"/>
  <c r="G5620" i="3"/>
  <c r="F5620" i="3"/>
  <c r="G5619" i="3"/>
  <c r="F5619" i="3"/>
  <c r="G5618" i="3"/>
  <c r="F5618" i="3"/>
  <c r="G5617" i="3"/>
  <c r="F5617" i="3"/>
  <c r="G5616" i="3"/>
  <c r="F5616" i="3"/>
  <c r="G5615" i="3"/>
  <c r="F5615" i="3"/>
  <c r="G5614" i="3"/>
  <c r="F5614" i="3"/>
  <c r="G5613" i="3"/>
  <c r="F5613" i="3"/>
  <c r="G5612" i="3"/>
  <c r="F5612" i="3"/>
  <c r="G5611" i="3"/>
  <c r="F5611" i="3"/>
  <c r="G5610" i="3"/>
  <c r="F5610" i="3"/>
  <c r="G5609" i="3"/>
  <c r="F5609" i="3"/>
  <c r="G5608" i="3"/>
  <c r="F5608" i="3"/>
  <c r="G5607" i="3"/>
  <c r="F5607" i="3"/>
  <c r="G5606" i="3"/>
  <c r="F5606" i="3"/>
  <c r="G5605" i="3"/>
  <c r="F5605" i="3"/>
  <c r="G5604" i="3"/>
  <c r="F5604" i="3"/>
  <c r="G5603" i="3"/>
  <c r="F5603" i="3"/>
  <c r="G5602" i="3"/>
  <c r="F5602" i="3"/>
  <c r="G5601" i="3"/>
  <c r="F5601" i="3"/>
  <c r="G5600" i="3"/>
  <c r="F5600" i="3"/>
  <c r="G5599" i="3"/>
  <c r="F5599" i="3"/>
  <c r="G5598" i="3"/>
  <c r="F5598" i="3"/>
  <c r="G5597" i="3"/>
  <c r="F5597" i="3"/>
  <c r="G5596" i="3"/>
  <c r="F5596" i="3"/>
  <c r="G5595" i="3"/>
  <c r="F5595" i="3"/>
  <c r="G5594" i="3"/>
  <c r="F5594" i="3"/>
  <c r="G5593" i="3"/>
  <c r="F5593" i="3"/>
  <c r="G5592" i="3"/>
  <c r="F5592" i="3"/>
  <c r="G5591" i="3"/>
  <c r="F5591" i="3"/>
  <c r="G5590" i="3"/>
  <c r="F5590" i="3"/>
  <c r="G5589" i="3"/>
  <c r="F5589" i="3"/>
  <c r="G5588" i="3"/>
  <c r="F5588" i="3"/>
  <c r="G5587" i="3"/>
  <c r="F5587" i="3"/>
  <c r="G5586" i="3"/>
  <c r="F5586" i="3"/>
  <c r="G5585" i="3"/>
  <c r="F5585" i="3"/>
  <c r="G5584" i="3"/>
  <c r="F5584" i="3"/>
  <c r="G5583" i="3"/>
  <c r="F5583" i="3"/>
  <c r="G5582" i="3"/>
  <c r="F5582" i="3"/>
  <c r="G5581" i="3"/>
  <c r="F5581" i="3"/>
  <c r="G5580" i="3"/>
  <c r="F5580" i="3"/>
  <c r="G5579" i="3"/>
  <c r="F5579" i="3"/>
  <c r="G5578" i="3"/>
  <c r="F5578" i="3"/>
  <c r="G5577" i="3"/>
  <c r="F5577" i="3"/>
  <c r="G5576" i="3"/>
  <c r="F5576" i="3"/>
  <c r="G5575" i="3"/>
  <c r="F5575" i="3"/>
  <c r="G5574" i="3"/>
  <c r="F5574" i="3"/>
  <c r="G5573" i="3"/>
  <c r="F5573" i="3"/>
  <c r="G5572" i="3"/>
  <c r="F5572" i="3"/>
  <c r="G5571" i="3"/>
  <c r="F5571" i="3"/>
  <c r="G5570" i="3"/>
  <c r="F5570" i="3"/>
  <c r="G5569" i="3"/>
  <c r="F5569" i="3"/>
  <c r="G5568" i="3"/>
  <c r="F5568" i="3"/>
  <c r="G5567" i="3"/>
  <c r="F5567" i="3"/>
  <c r="G5566" i="3"/>
  <c r="F5566" i="3"/>
  <c r="G5565" i="3"/>
  <c r="F5565" i="3"/>
  <c r="G5564" i="3"/>
  <c r="F5564" i="3"/>
  <c r="G5563" i="3"/>
  <c r="F5563" i="3"/>
  <c r="G5562" i="3"/>
  <c r="F5562" i="3"/>
  <c r="G5561" i="3"/>
  <c r="F5561" i="3"/>
  <c r="G5560" i="3"/>
  <c r="F5560" i="3"/>
  <c r="G5559" i="3"/>
  <c r="F5559" i="3"/>
  <c r="G5558" i="3"/>
  <c r="F5558" i="3"/>
  <c r="G5557" i="3"/>
  <c r="F5557" i="3"/>
  <c r="G5556" i="3"/>
  <c r="F5556" i="3"/>
  <c r="G5555" i="3"/>
  <c r="F5555" i="3"/>
  <c r="G5554" i="3"/>
  <c r="F5554" i="3"/>
  <c r="G5553" i="3"/>
  <c r="F5553" i="3"/>
  <c r="G5552" i="3"/>
  <c r="F5552" i="3"/>
  <c r="G5551" i="3"/>
  <c r="F5551" i="3"/>
  <c r="G5550" i="3"/>
  <c r="F5550" i="3"/>
  <c r="G5549" i="3"/>
  <c r="F5549" i="3"/>
  <c r="G5548" i="3"/>
  <c r="F5548" i="3"/>
  <c r="G5547" i="3"/>
  <c r="F5547" i="3"/>
  <c r="G5546" i="3"/>
  <c r="F5546" i="3"/>
  <c r="G5545" i="3"/>
  <c r="F5545" i="3"/>
  <c r="G5544" i="3"/>
  <c r="F5544" i="3"/>
  <c r="G5543" i="3"/>
  <c r="F5543" i="3"/>
  <c r="G5542" i="3"/>
  <c r="F5542" i="3"/>
  <c r="G5541" i="3"/>
  <c r="F5541" i="3"/>
  <c r="G5540" i="3"/>
  <c r="F5540" i="3"/>
  <c r="G5539" i="3"/>
  <c r="F5539" i="3"/>
  <c r="G5538" i="3"/>
  <c r="F5538" i="3"/>
  <c r="G5537" i="3"/>
  <c r="F5537" i="3"/>
  <c r="G5536" i="3"/>
  <c r="F5536" i="3"/>
  <c r="G5535" i="3"/>
  <c r="F5535" i="3"/>
  <c r="G5534" i="3"/>
  <c r="F5534" i="3"/>
  <c r="G5533" i="3"/>
  <c r="F5533" i="3"/>
  <c r="G5532" i="3"/>
  <c r="F5532" i="3"/>
  <c r="G5531" i="3"/>
  <c r="F5531" i="3"/>
  <c r="G5530" i="3"/>
  <c r="F5530" i="3"/>
  <c r="G5529" i="3"/>
  <c r="F5529" i="3"/>
  <c r="G5528" i="3"/>
  <c r="F5528" i="3"/>
  <c r="G5527" i="3"/>
  <c r="F5527" i="3"/>
  <c r="G5526" i="3"/>
  <c r="F5526" i="3"/>
  <c r="G5525" i="3"/>
  <c r="F5525" i="3"/>
  <c r="G5524" i="3"/>
  <c r="F5524" i="3"/>
  <c r="G5523" i="3"/>
  <c r="F5523" i="3"/>
  <c r="G5522" i="3"/>
  <c r="F5522" i="3"/>
  <c r="G5521" i="3"/>
  <c r="F5521" i="3"/>
  <c r="G5520" i="3"/>
  <c r="F5520" i="3"/>
  <c r="G5519" i="3"/>
  <c r="F5519" i="3"/>
  <c r="G5518" i="3"/>
  <c r="F5518" i="3"/>
  <c r="G5517" i="3"/>
  <c r="F5517" i="3"/>
  <c r="G5516" i="3"/>
  <c r="F5516" i="3"/>
  <c r="G5515" i="3"/>
  <c r="F5515" i="3"/>
  <c r="G5514" i="3"/>
  <c r="F5514" i="3"/>
  <c r="G5513" i="3"/>
  <c r="F5513" i="3"/>
  <c r="G5512" i="3"/>
  <c r="F5512" i="3"/>
  <c r="G5511" i="3"/>
  <c r="F5511" i="3"/>
  <c r="G5510" i="3"/>
  <c r="F5510" i="3"/>
  <c r="G5509" i="3"/>
  <c r="F5509" i="3"/>
  <c r="G5508" i="3"/>
  <c r="F5508" i="3"/>
  <c r="G5507" i="3"/>
  <c r="F5507" i="3"/>
  <c r="G5506" i="3"/>
  <c r="F5506" i="3"/>
  <c r="G5505" i="3"/>
  <c r="F5505" i="3"/>
  <c r="G5504" i="3"/>
  <c r="F5504" i="3"/>
  <c r="G5503" i="3"/>
  <c r="F5503" i="3"/>
  <c r="G5502" i="3"/>
  <c r="F5502" i="3"/>
  <c r="G5501" i="3"/>
  <c r="F5501" i="3"/>
  <c r="G5500" i="3"/>
  <c r="F5500" i="3"/>
  <c r="G5499" i="3"/>
  <c r="F5499" i="3"/>
  <c r="G5498" i="3"/>
  <c r="F5498" i="3"/>
  <c r="G5497" i="3"/>
  <c r="F5497" i="3"/>
  <c r="G5496" i="3"/>
  <c r="F5496" i="3"/>
  <c r="G5495" i="3"/>
  <c r="F5495" i="3"/>
  <c r="G5494" i="3"/>
  <c r="F5494" i="3"/>
  <c r="G5493" i="3"/>
  <c r="F5493" i="3"/>
  <c r="G5492" i="3"/>
  <c r="F5492" i="3"/>
  <c r="G5491" i="3"/>
  <c r="F5491" i="3"/>
  <c r="G5490" i="3"/>
  <c r="F5490" i="3"/>
  <c r="G5489" i="3"/>
  <c r="F5489" i="3"/>
  <c r="G5488" i="3"/>
  <c r="F5488" i="3"/>
  <c r="G5487" i="3"/>
  <c r="F5487" i="3"/>
  <c r="G5486" i="3"/>
  <c r="F5486" i="3"/>
  <c r="G5485" i="3"/>
  <c r="F5485" i="3"/>
  <c r="G5484" i="3"/>
  <c r="F5484" i="3"/>
  <c r="G5483" i="3"/>
  <c r="F5483" i="3"/>
  <c r="G5482" i="3"/>
  <c r="F5482" i="3"/>
  <c r="G5481" i="3"/>
  <c r="F5481" i="3"/>
  <c r="G5480" i="3"/>
  <c r="F5480" i="3"/>
  <c r="G5479" i="3"/>
  <c r="F5479" i="3"/>
  <c r="G5478" i="3"/>
  <c r="F5478" i="3"/>
  <c r="G5477" i="3"/>
  <c r="F5477" i="3"/>
  <c r="G5476" i="3"/>
  <c r="F5476" i="3"/>
  <c r="G5475" i="3"/>
  <c r="F5475" i="3"/>
  <c r="G5474" i="3"/>
  <c r="F5474" i="3"/>
  <c r="G5473" i="3"/>
  <c r="F5473" i="3"/>
  <c r="G5472" i="3"/>
  <c r="F5472" i="3"/>
  <c r="G5471" i="3"/>
  <c r="F5471" i="3"/>
  <c r="G5470" i="3"/>
  <c r="F5470" i="3"/>
  <c r="G5469" i="3"/>
  <c r="F5469" i="3"/>
  <c r="G5468" i="3"/>
  <c r="F5468" i="3"/>
  <c r="G5467" i="3"/>
  <c r="F5467" i="3"/>
  <c r="G5466" i="3"/>
  <c r="F5466" i="3"/>
  <c r="G5465" i="3"/>
  <c r="F5465" i="3"/>
  <c r="G5464" i="3"/>
  <c r="F5464" i="3"/>
  <c r="G5463" i="3"/>
  <c r="F5463" i="3"/>
  <c r="G5462" i="3"/>
  <c r="F5462" i="3"/>
  <c r="G5461" i="3"/>
  <c r="F5461" i="3"/>
  <c r="G5460" i="3"/>
  <c r="F5460" i="3"/>
  <c r="G5459" i="3"/>
  <c r="F5459" i="3"/>
  <c r="G5458" i="3"/>
  <c r="F5458" i="3"/>
  <c r="G5457" i="3"/>
  <c r="F5457" i="3"/>
  <c r="G5456" i="3"/>
  <c r="F5456" i="3"/>
  <c r="G5455" i="3"/>
  <c r="F5455" i="3"/>
  <c r="G5454" i="3"/>
  <c r="F5454" i="3"/>
  <c r="G5453" i="3"/>
  <c r="F5453" i="3"/>
  <c r="G5452" i="3"/>
  <c r="F5452" i="3"/>
  <c r="G5451" i="3"/>
  <c r="F5451" i="3"/>
  <c r="G5450" i="3"/>
  <c r="F5450" i="3"/>
  <c r="G5449" i="3"/>
  <c r="F5449" i="3"/>
  <c r="G5448" i="3"/>
  <c r="F5448" i="3"/>
  <c r="G5447" i="3"/>
  <c r="F5447" i="3"/>
  <c r="G5446" i="3"/>
  <c r="F5446" i="3"/>
  <c r="G5445" i="3"/>
  <c r="F5445" i="3"/>
  <c r="G5444" i="3"/>
  <c r="F5444" i="3"/>
  <c r="G5443" i="3"/>
  <c r="F5443" i="3"/>
  <c r="G5442" i="3"/>
  <c r="F5442" i="3"/>
  <c r="G5441" i="3"/>
  <c r="F5441" i="3"/>
  <c r="G5440" i="3"/>
  <c r="F5440" i="3"/>
  <c r="G5439" i="3"/>
  <c r="F5439" i="3"/>
  <c r="G5438" i="3"/>
  <c r="F5438" i="3"/>
  <c r="G5437" i="3"/>
  <c r="F5437" i="3"/>
  <c r="G5436" i="3"/>
  <c r="F5436" i="3"/>
  <c r="G5435" i="3"/>
  <c r="F5435" i="3"/>
  <c r="G5434" i="3"/>
  <c r="F5434" i="3"/>
  <c r="G5433" i="3"/>
  <c r="F5433" i="3"/>
  <c r="G5432" i="3"/>
  <c r="F5432" i="3"/>
  <c r="G5431" i="3"/>
  <c r="F5431" i="3"/>
  <c r="G5430" i="3"/>
  <c r="F5430" i="3"/>
  <c r="G5429" i="3"/>
  <c r="F5429" i="3"/>
  <c r="G5428" i="3"/>
  <c r="F5428" i="3"/>
  <c r="G5427" i="3"/>
  <c r="F5427" i="3"/>
  <c r="G5426" i="3"/>
  <c r="F5426" i="3"/>
  <c r="G5425" i="3"/>
  <c r="F5425" i="3"/>
  <c r="G5424" i="3"/>
  <c r="F5424" i="3"/>
  <c r="G5423" i="3"/>
  <c r="F5423" i="3"/>
  <c r="G5422" i="3"/>
  <c r="F5422" i="3"/>
  <c r="G5421" i="3"/>
  <c r="F5421" i="3"/>
  <c r="G5420" i="3"/>
  <c r="F5420" i="3"/>
  <c r="G5419" i="3"/>
  <c r="F5419" i="3"/>
  <c r="G5418" i="3"/>
  <c r="F5418" i="3"/>
  <c r="G5417" i="3"/>
  <c r="F5417" i="3"/>
  <c r="G5416" i="3"/>
  <c r="F5416" i="3"/>
  <c r="G5415" i="3"/>
  <c r="F5415" i="3"/>
  <c r="G5414" i="3"/>
  <c r="F5414" i="3"/>
  <c r="G5413" i="3"/>
  <c r="F5413" i="3"/>
  <c r="G5412" i="3"/>
  <c r="F5412" i="3"/>
  <c r="G5411" i="3"/>
  <c r="F5411" i="3"/>
  <c r="G5410" i="3"/>
  <c r="F5410" i="3"/>
  <c r="G5409" i="3"/>
  <c r="F5409" i="3"/>
  <c r="G5408" i="3"/>
  <c r="F5408" i="3"/>
  <c r="G5407" i="3"/>
  <c r="F5407" i="3"/>
  <c r="G5406" i="3"/>
  <c r="F5406" i="3"/>
  <c r="G5405" i="3"/>
  <c r="F5405" i="3"/>
  <c r="G5404" i="3"/>
  <c r="F5404" i="3"/>
  <c r="G5403" i="3"/>
  <c r="F5403" i="3"/>
  <c r="G5402" i="3"/>
  <c r="F5402" i="3"/>
  <c r="G5401" i="3"/>
  <c r="F5401" i="3"/>
  <c r="G5400" i="3"/>
  <c r="F5400" i="3"/>
  <c r="G5399" i="3"/>
  <c r="F5399" i="3"/>
  <c r="G5398" i="3"/>
  <c r="F5398" i="3"/>
  <c r="G5397" i="3"/>
  <c r="F5397" i="3"/>
  <c r="G5396" i="3"/>
  <c r="F5396" i="3"/>
  <c r="G5395" i="3"/>
  <c r="F5395" i="3"/>
  <c r="G5394" i="3"/>
  <c r="F5394" i="3"/>
  <c r="G5393" i="3"/>
  <c r="F5393" i="3"/>
  <c r="G5392" i="3"/>
  <c r="F5392" i="3"/>
  <c r="G5391" i="3"/>
  <c r="F5391" i="3"/>
  <c r="G5390" i="3"/>
  <c r="F5390" i="3"/>
  <c r="G5389" i="3"/>
  <c r="F5389" i="3"/>
  <c r="G5388" i="3"/>
  <c r="F5388" i="3"/>
  <c r="G5387" i="3"/>
  <c r="F5387" i="3"/>
  <c r="G5386" i="3"/>
  <c r="F5386" i="3"/>
  <c r="G5385" i="3"/>
  <c r="F5385" i="3"/>
  <c r="G5384" i="3"/>
  <c r="F5384" i="3"/>
  <c r="G5383" i="3"/>
  <c r="F5383" i="3"/>
  <c r="G5382" i="3"/>
  <c r="F5382" i="3"/>
  <c r="G5381" i="3"/>
  <c r="F5381" i="3"/>
  <c r="G5380" i="3"/>
  <c r="F5380" i="3"/>
  <c r="G5379" i="3"/>
  <c r="F5379" i="3"/>
  <c r="G5378" i="3"/>
  <c r="F5378" i="3"/>
  <c r="G5377" i="3"/>
  <c r="F5377" i="3"/>
  <c r="G5376" i="3"/>
  <c r="F5376" i="3"/>
  <c r="G5375" i="3"/>
  <c r="F5375" i="3"/>
  <c r="G5374" i="3"/>
  <c r="F5374" i="3"/>
  <c r="G5373" i="3"/>
  <c r="F5373" i="3"/>
  <c r="G5372" i="3"/>
  <c r="F5372" i="3"/>
  <c r="G5371" i="3"/>
  <c r="F5371" i="3"/>
  <c r="G5370" i="3"/>
  <c r="F5370" i="3"/>
  <c r="G5369" i="3"/>
  <c r="F5369" i="3"/>
  <c r="G5368" i="3"/>
  <c r="F5368" i="3"/>
  <c r="G5367" i="3"/>
  <c r="F5367" i="3"/>
  <c r="G5366" i="3"/>
  <c r="F5366" i="3"/>
  <c r="G5365" i="3"/>
  <c r="F5365" i="3"/>
  <c r="G5364" i="3"/>
  <c r="F5364" i="3"/>
  <c r="G5363" i="3"/>
  <c r="F5363" i="3"/>
  <c r="G5362" i="3"/>
  <c r="F5362" i="3"/>
  <c r="G5361" i="3"/>
  <c r="F5361" i="3"/>
  <c r="G5360" i="3"/>
  <c r="F5360" i="3"/>
  <c r="G5359" i="3"/>
  <c r="F5359" i="3"/>
  <c r="G5358" i="3"/>
  <c r="F5358" i="3"/>
  <c r="G5357" i="3"/>
  <c r="F5357" i="3"/>
  <c r="G5356" i="3"/>
  <c r="F5356" i="3"/>
  <c r="G5355" i="3"/>
  <c r="F5355" i="3"/>
  <c r="G5354" i="3"/>
  <c r="F5354" i="3"/>
  <c r="G5353" i="3"/>
  <c r="F5353" i="3"/>
  <c r="G5352" i="3"/>
  <c r="F5352" i="3"/>
  <c r="G5351" i="3"/>
  <c r="F5351" i="3"/>
  <c r="G5350" i="3"/>
  <c r="F5350" i="3"/>
  <c r="G5349" i="3"/>
  <c r="F5349" i="3"/>
  <c r="G5348" i="3"/>
  <c r="F5348" i="3"/>
  <c r="G5347" i="3"/>
  <c r="F5347" i="3"/>
  <c r="G5346" i="3"/>
  <c r="F5346" i="3"/>
  <c r="G5345" i="3"/>
  <c r="F5345" i="3"/>
  <c r="G5344" i="3"/>
  <c r="F5344" i="3"/>
  <c r="G5343" i="3"/>
  <c r="F5343" i="3"/>
  <c r="G5342" i="3"/>
  <c r="F5342" i="3"/>
  <c r="G5341" i="3"/>
  <c r="F5341" i="3"/>
  <c r="G5340" i="3"/>
  <c r="F5340" i="3"/>
  <c r="G5339" i="3"/>
  <c r="F5339" i="3"/>
  <c r="G5338" i="3"/>
  <c r="F5338" i="3"/>
  <c r="G5337" i="3"/>
  <c r="F5337" i="3"/>
  <c r="G5336" i="3"/>
  <c r="F5336" i="3"/>
  <c r="G5335" i="3"/>
  <c r="F5335" i="3"/>
  <c r="G5334" i="3"/>
  <c r="F5334" i="3"/>
  <c r="G5333" i="3"/>
  <c r="F5333" i="3"/>
  <c r="G5332" i="3"/>
  <c r="F5332" i="3"/>
  <c r="G5331" i="3"/>
  <c r="F5331" i="3"/>
  <c r="G5330" i="3"/>
  <c r="F5330" i="3"/>
  <c r="G5329" i="3"/>
  <c r="F5329" i="3"/>
  <c r="G5328" i="3"/>
  <c r="F5328" i="3"/>
  <c r="G5327" i="3"/>
  <c r="F5327" i="3"/>
  <c r="G5326" i="3"/>
  <c r="F5326" i="3"/>
  <c r="G5325" i="3"/>
  <c r="F5325" i="3"/>
  <c r="G5324" i="3"/>
  <c r="F5324" i="3"/>
  <c r="G5323" i="3"/>
  <c r="F5323" i="3"/>
  <c r="G5322" i="3"/>
  <c r="F5322" i="3"/>
  <c r="G5321" i="3"/>
  <c r="F5321" i="3"/>
  <c r="G5320" i="3"/>
  <c r="F5320" i="3"/>
  <c r="G5319" i="3"/>
  <c r="F5319" i="3"/>
  <c r="G5318" i="3"/>
  <c r="F5318" i="3"/>
  <c r="G5317" i="3"/>
  <c r="F5317" i="3"/>
  <c r="G5316" i="3"/>
  <c r="F5316" i="3"/>
  <c r="G5315" i="3"/>
  <c r="F5315" i="3"/>
  <c r="G5314" i="3"/>
  <c r="F5314" i="3"/>
  <c r="G5313" i="3"/>
  <c r="F5313" i="3"/>
  <c r="G5312" i="3"/>
  <c r="F5312" i="3"/>
  <c r="G5311" i="3"/>
  <c r="F5311" i="3"/>
  <c r="G5310" i="3"/>
  <c r="F5310" i="3"/>
  <c r="G5309" i="3"/>
  <c r="F5309" i="3"/>
  <c r="G5308" i="3"/>
  <c r="F5308" i="3"/>
  <c r="G5307" i="3"/>
  <c r="F5307" i="3"/>
  <c r="G5306" i="3"/>
  <c r="F5306" i="3"/>
  <c r="G5305" i="3"/>
  <c r="F5305" i="3"/>
  <c r="G5304" i="3"/>
  <c r="F5304" i="3"/>
  <c r="G5303" i="3"/>
  <c r="F5303" i="3"/>
  <c r="G5302" i="3"/>
  <c r="F5302" i="3"/>
  <c r="G5301" i="3"/>
  <c r="F5301" i="3"/>
  <c r="G5300" i="3"/>
  <c r="F5300" i="3"/>
  <c r="G5299" i="3"/>
  <c r="F5299" i="3"/>
  <c r="G5298" i="3"/>
  <c r="F5298" i="3"/>
  <c r="G5297" i="3"/>
  <c r="F5297" i="3"/>
  <c r="G5296" i="3"/>
  <c r="F5296" i="3"/>
  <c r="G5295" i="3"/>
  <c r="F5295" i="3"/>
  <c r="G5294" i="3"/>
  <c r="F5294" i="3"/>
  <c r="G5293" i="3"/>
  <c r="F5293" i="3"/>
  <c r="G5292" i="3"/>
  <c r="F5292" i="3"/>
  <c r="G5291" i="3"/>
  <c r="F5291" i="3"/>
  <c r="G5290" i="3"/>
  <c r="F5290" i="3"/>
  <c r="G5289" i="3"/>
  <c r="F5289" i="3"/>
  <c r="G5288" i="3"/>
  <c r="F5288" i="3"/>
  <c r="G5287" i="3"/>
  <c r="F5287" i="3"/>
  <c r="G5286" i="3"/>
  <c r="F5286" i="3"/>
  <c r="G5285" i="3"/>
  <c r="F5285" i="3"/>
  <c r="G5284" i="3"/>
  <c r="F5284" i="3"/>
  <c r="G5283" i="3"/>
  <c r="F5283" i="3"/>
  <c r="G5282" i="3"/>
  <c r="F5282" i="3"/>
  <c r="G5281" i="3"/>
  <c r="F5281" i="3"/>
  <c r="G5280" i="3"/>
  <c r="F5280" i="3"/>
  <c r="G5279" i="3"/>
  <c r="F5279" i="3"/>
  <c r="G5278" i="3"/>
  <c r="F5278" i="3"/>
  <c r="G5277" i="3"/>
  <c r="F5277" i="3"/>
  <c r="G5276" i="3"/>
  <c r="F5276" i="3"/>
  <c r="G5275" i="3"/>
  <c r="F5275" i="3"/>
  <c r="G5274" i="3"/>
  <c r="F5274" i="3"/>
  <c r="G5273" i="3"/>
  <c r="F5273" i="3"/>
  <c r="G5272" i="3"/>
  <c r="F5272" i="3"/>
  <c r="G5271" i="3"/>
  <c r="F5271" i="3"/>
  <c r="G5270" i="3"/>
  <c r="F5270" i="3"/>
  <c r="G5269" i="3"/>
  <c r="F5269" i="3"/>
  <c r="G5268" i="3"/>
  <c r="F5268" i="3"/>
  <c r="G5267" i="3"/>
  <c r="F5267" i="3"/>
  <c r="G5266" i="3"/>
  <c r="F5266" i="3"/>
  <c r="G5265" i="3"/>
  <c r="F5265" i="3"/>
  <c r="G5264" i="3"/>
  <c r="F5264" i="3"/>
  <c r="G5263" i="3"/>
  <c r="F5263" i="3"/>
  <c r="G5262" i="3"/>
  <c r="F5262" i="3"/>
  <c r="G5261" i="3"/>
  <c r="F5261" i="3"/>
  <c r="G5260" i="3"/>
  <c r="F5260" i="3"/>
  <c r="G5259" i="3"/>
  <c r="F5259" i="3"/>
  <c r="G5258" i="3"/>
  <c r="F5258" i="3"/>
  <c r="G5257" i="3"/>
  <c r="F5257" i="3"/>
  <c r="G5256" i="3"/>
  <c r="F5256" i="3"/>
  <c r="G5255" i="3"/>
  <c r="F5255" i="3"/>
  <c r="G5254" i="3"/>
  <c r="F5254" i="3"/>
  <c r="G5253" i="3"/>
  <c r="F5253" i="3"/>
  <c r="G5252" i="3"/>
  <c r="F5252" i="3"/>
  <c r="G5251" i="3"/>
  <c r="F5251" i="3"/>
  <c r="G5250" i="3"/>
  <c r="F5250" i="3"/>
  <c r="G5249" i="3"/>
  <c r="F5249" i="3"/>
  <c r="G5248" i="3"/>
  <c r="F5248" i="3"/>
  <c r="G5247" i="3"/>
  <c r="F5247" i="3"/>
  <c r="G5246" i="3"/>
  <c r="F5246" i="3"/>
  <c r="G5245" i="3"/>
  <c r="F5245" i="3"/>
  <c r="G5244" i="3"/>
  <c r="F5244" i="3"/>
  <c r="G5243" i="3"/>
  <c r="F5243" i="3"/>
  <c r="G5242" i="3"/>
  <c r="F5242" i="3"/>
  <c r="G5241" i="3"/>
  <c r="F5241" i="3"/>
  <c r="G5240" i="3"/>
  <c r="F5240" i="3"/>
  <c r="G5239" i="3"/>
  <c r="F5239" i="3"/>
  <c r="G5238" i="3"/>
  <c r="F5238" i="3"/>
  <c r="G5237" i="3"/>
  <c r="F5237" i="3"/>
  <c r="G5236" i="3"/>
  <c r="F5236" i="3"/>
  <c r="G5235" i="3"/>
  <c r="F5235" i="3"/>
  <c r="G5234" i="3"/>
  <c r="F5234" i="3"/>
  <c r="G5233" i="3"/>
  <c r="F5233" i="3"/>
  <c r="G5232" i="3"/>
  <c r="F5232" i="3"/>
  <c r="G5231" i="3"/>
  <c r="F5231" i="3"/>
  <c r="G5230" i="3"/>
  <c r="F5230" i="3"/>
  <c r="G5229" i="3"/>
  <c r="F5229" i="3"/>
  <c r="G5228" i="3"/>
  <c r="F5228" i="3"/>
  <c r="G5227" i="3"/>
  <c r="F5227" i="3"/>
  <c r="G5226" i="3"/>
  <c r="F5226" i="3"/>
  <c r="G5225" i="3"/>
  <c r="F5225" i="3"/>
  <c r="G5224" i="3"/>
  <c r="F5224" i="3"/>
  <c r="G5223" i="3"/>
  <c r="F5223" i="3"/>
  <c r="G5222" i="3"/>
  <c r="F5222" i="3"/>
  <c r="G5221" i="3"/>
  <c r="F5221" i="3"/>
  <c r="G5220" i="3"/>
  <c r="F5220" i="3"/>
  <c r="G5219" i="3"/>
  <c r="F5219" i="3"/>
  <c r="G5218" i="3"/>
  <c r="F5218" i="3"/>
  <c r="G5217" i="3"/>
  <c r="F5217" i="3"/>
  <c r="G5216" i="3"/>
  <c r="F5216" i="3"/>
  <c r="G5215" i="3"/>
  <c r="F5215" i="3"/>
  <c r="G5214" i="3"/>
  <c r="F5214" i="3"/>
  <c r="G5213" i="3"/>
  <c r="F5213" i="3"/>
  <c r="G5212" i="3"/>
  <c r="F5212" i="3"/>
  <c r="G5211" i="3"/>
  <c r="F5211" i="3"/>
  <c r="G5210" i="3"/>
  <c r="F5210" i="3"/>
  <c r="G5209" i="3"/>
  <c r="F5209" i="3"/>
  <c r="G5208" i="3"/>
  <c r="F5208" i="3"/>
  <c r="B5164" i="3"/>
  <c r="B5165" i="3"/>
  <c r="B5166" i="3"/>
  <c r="B5167" i="3"/>
  <c r="B5168" i="3"/>
  <c r="B5169" i="3"/>
  <c r="B5170" i="3"/>
  <c r="B5171" i="3"/>
  <c r="B5172" i="3"/>
  <c r="B5173" i="3"/>
  <c r="B5174" i="3"/>
  <c r="B5175" i="3"/>
  <c r="B5176" i="3"/>
  <c r="B5177" i="3"/>
  <c r="B5178" i="3"/>
  <c r="B5179" i="3"/>
  <c r="B5180" i="3"/>
  <c r="B5181" i="3"/>
  <c r="B5182" i="3"/>
  <c r="B5183" i="3"/>
  <c r="B5184" i="3"/>
  <c r="B5185" i="3"/>
  <c r="B5186" i="3"/>
  <c r="B5187" i="3"/>
  <c r="B5188" i="3"/>
  <c r="B5189" i="3"/>
  <c r="B5190" i="3"/>
  <c r="B5191" i="3"/>
  <c r="B5192" i="3"/>
  <c r="B5193" i="3"/>
  <c r="B5194" i="3"/>
  <c r="B5195" i="3"/>
  <c r="B5196" i="3"/>
  <c r="B5197" i="3"/>
  <c r="B5198" i="3"/>
  <c r="B5199" i="3"/>
  <c r="B5200" i="3"/>
  <c r="B5201" i="3"/>
  <c r="B5202" i="3"/>
  <c r="B5203" i="3"/>
  <c r="B5204" i="3"/>
  <c r="B5205" i="3"/>
  <c r="B5206" i="3"/>
  <c r="B5207" i="3"/>
  <c r="B5163" i="3"/>
  <c r="G5207" i="3"/>
  <c r="F5207" i="3"/>
  <c r="C5207" i="3"/>
  <c r="G5206" i="3"/>
  <c r="F5206" i="3"/>
  <c r="C5206" i="3"/>
  <c r="G5205" i="3"/>
  <c r="F5205" i="3"/>
  <c r="C5205" i="3"/>
  <c r="G5204" i="3"/>
  <c r="F5204" i="3"/>
  <c r="C5204" i="3"/>
  <c r="G5203" i="3"/>
  <c r="F5203" i="3"/>
  <c r="C5203" i="3"/>
  <c r="G5202" i="3"/>
  <c r="F5202" i="3"/>
  <c r="C5202" i="3"/>
  <c r="G5201" i="3"/>
  <c r="F5201" i="3"/>
  <c r="C5201" i="3"/>
  <c r="G5200" i="3"/>
  <c r="F5200" i="3"/>
  <c r="C5200" i="3"/>
  <c r="G5199" i="3"/>
  <c r="F5199" i="3"/>
  <c r="C5199" i="3"/>
  <c r="G5198" i="3"/>
  <c r="F5198" i="3"/>
  <c r="C5198" i="3"/>
  <c r="G5197" i="3"/>
  <c r="F5197" i="3"/>
  <c r="C5197" i="3"/>
  <c r="G5196" i="3"/>
  <c r="F5196" i="3"/>
  <c r="C5196" i="3"/>
  <c r="G5195" i="3"/>
  <c r="F5195" i="3"/>
  <c r="C5195" i="3"/>
  <c r="G5194" i="3"/>
  <c r="F5194" i="3"/>
  <c r="C5194" i="3"/>
  <c r="G5193" i="3"/>
  <c r="F5193" i="3"/>
  <c r="C5193" i="3"/>
  <c r="G5192" i="3"/>
  <c r="F5192" i="3"/>
  <c r="C5192" i="3"/>
  <c r="G5191" i="3"/>
  <c r="F5191" i="3"/>
  <c r="C5191" i="3"/>
  <c r="G5190" i="3"/>
  <c r="F5190" i="3"/>
  <c r="C5190" i="3"/>
  <c r="G5189" i="3"/>
  <c r="F5189" i="3"/>
  <c r="C5189" i="3"/>
  <c r="G5188" i="3"/>
  <c r="F5188" i="3"/>
  <c r="C5188" i="3"/>
  <c r="G5187" i="3"/>
  <c r="F5187" i="3"/>
  <c r="C5187" i="3"/>
  <c r="G5186" i="3"/>
  <c r="F5186" i="3"/>
  <c r="C5186" i="3"/>
  <c r="G5185" i="3"/>
  <c r="F5185" i="3"/>
  <c r="C5185" i="3"/>
  <c r="G5184" i="3"/>
  <c r="F5184" i="3"/>
  <c r="C5184" i="3"/>
  <c r="G5183" i="3"/>
  <c r="F5183" i="3"/>
  <c r="C5183" i="3"/>
  <c r="G5182" i="3"/>
  <c r="F5182" i="3"/>
  <c r="C5182" i="3"/>
  <c r="G5181" i="3"/>
  <c r="F5181" i="3"/>
  <c r="C5181" i="3"/>
  <c r="G5180" i="3"/>
  <c r="F5180" i="3"/>
  <c r="C5180" i="3"/>
  <c r="G5179" i="3"/>
  <c r="F5179" i="3"/>
  <c r="C5179" i="3"/>
  <c r="G5178" i="3"/>
  <c r="F5178" i="3"/>
  <c r="C5178" i="3"/>
  <c r="G5177" i="3"/>
  <c r="F5177" i="3"/>
  <c r="C5177" i="3"/>
  <c r="G5176" i="3"/>
  <c r="F5176" i="3"/>
  <c r="C5176" i="3"/>
  <c r="G5175" i="3"/>
  <c r="F5175" i="3"/>
  <c r="C5175" i="3"/>
  <c r="G5174" i="3"/>
  <c r="F5174" i="3"/>
  <c r="C5174" i="3"/>
  <c r="G5173" i="3"/>
  <c r="F5173" i="3"/>
  <c r="C5173" i="3"/>
  <c r="G5172" i="3"/>
  <c r="F5172" i="3"/>
  <c r="C5172" i="3"/>
  <c r="G5171" i="3"/>
  <c r="F5171" i="3"/>
  <c r="C5171" i="3"/>
  <c r="G5170" i="3"/>
  <c r="F5170" i="3"/>
  <c r="C5170" i="3"/>
  <c r="G5169" i="3"/>
  <c r="F5169" i="3"/>
  <c r="C5169" i="3"/>
  <c r="G5168" i="3"/>
  <c r="F5168" i="3"/>
  <c r="C5168" i="3"/>
  <c r="G5167" i="3"/>
  <c r="F5167" i="3"/>
  <c r="C5167" i="3"/>
  <c r="G5166" i="3"/>
  <c r="F5166" i="3"/>
  <c r="C5166" i="3"/>
  <c r="G5165" i="3"/>
  <c r="F5165" i="3"/>
  <c r="C5165" i="3"/>
  <c r="G5164" i="3"/>
  <c r="F5164" i="3"/>
  <c r="C5164" i="3"/>
  <c r="G5163" i="3"/>
  <c r="F5163" i="3"/>
  <c r="C5163" i="3"/>
  <c r="C5119" i="3"/>
  <c r="C5120" i="3"/>
  <c r="C5121" i="3"/>
  <c r="C5122" i="3"/>
  <c r="C5123" i="3"/>
  <c r="C5124" i="3"/>
  <c r="C5125" i="3"/>
  <c r="C5126" i="3"/>
  <c r="C5127" i="3"/>
  <c r="C5128" i="3"/>
  <c r="C5129" i="3"/>
  <c r="C5130" i="3"/>
  <c r="C5131" i="3"/>
  <c r="C5132" i="3"/>
  <c r="C5133" i="3"/>
  <c r="C5134" i="3"/>
  <c r="C5135" i="3"/>
  <c r="C5136" i="3"/>
  <c r="C5137" i="3"/>
  <c r="C5138" i="3"/>
  <c r="C5139" i="3"/>
  <c r="C5140" i="3"/>
  <c r="C5141" i="3"/>
  <c r="C5142" i="3"/>
  <c r="C5143" i="3"/>
  <c r="C5144" i="3"/>
  <c r="C5145" i="3"/>
  <c r="C5146" i="3"/>
  <c r="C5147" i="3"/>
  <c r="C5148" i="3"/>
  <c r="C5149" i="3"/>
  <c r="C5150" i="3"/>
  <c r="C5151" i="3"/>
  <c r="C5152" i="3"/>
  <c r="C5153" i="3"/>
  <c r="C5154" i="3"/>
  <c r="C5155" i="3"/>
  <c r="C5156" i="3"/>
  <c r="C5157" i="3"/>
  <c r="C5158" i="3"/>
  <c r="C5159" i="3"/>
  <c r="C5160" i="3"/>
  <c r="C5161" i="3"/>
  <c r="C5162" i="3"/>
  <c r="C5118" i="3"/>
  <c r="B5119" i="3"/>
  <c r="B5120" i="3"/>
  <c r="B5121" i="3"/>
  <c r="B5122" i="3"/>
  <c r="B5123" i="3"/>
  <c r="B5124" i="3"/>
  <c r="B5125" i="3"/>
  <c r="B5126" i="3"/>
  <c r="B5127" i="3"/>
  <c r="B5128" i="3"/>
  <c r="B5129" i="3"/>
  <c r="B5130" i="3"/>
  <c r="B5131" i="3"/>
  <c r="B5132" i="3"/>
  <c r="B5133" i="3"/>
  <c r="B5134" i="3"/>
  <c r="B5135" i="3"/>
  <c r="B5136" i="3"/>
  <c r="B5137" i="3"/>
  <c r="B5138" i="3"/>
  <c r="B5139" i="3"/>
  <c r="B5140" i="3"/>
  <c r="B5141" i="3"/>
  <c r="B5142" i="3"/>
  <c r="B5143" i="3"/>
  <c r="B5144" i="3"/>
  <c r="B5145" i="3"/>
  <c r="B5146" i="3"/>
  <c r="B5147" i="3"/>
  <c r="B5148" i="3"/>
  <c r="B5149" i="3"/>
  <c r="B5150" i="3"/>
  <c r="B5151" i="3"/>
  <c r="B5152" i="3"/>
  <c r="B5153" i="3"/>
  <c r="B5154" i="3"/>
  <c r="B5155" i="3"/>
  <c r="B5156" i="3"/>
  <c r="B5157" i="3"/>
  <c r="B5158" i="3"/>
  <c r="B5159" i="3"/>
  <c r="B5160" i="3"/>
  <c r="B5161" i="3"/>
  <c r="B5162" i="3"/>
  <c r="B5118" i="3"/>
  <c r="G5162" i="3"/>
  <c r="F5162" i="3"/>
  <c r="G5161" i="3"/>
  <c r="F5161" i="3"/>
  <c r="G5160" i="3"/>
  <c r="F5160" i="3"/>
  <c r="G5159" i="3"/>
  <c r="F5159" i="3"/>
  <c r="G5158" i="3"/>
  <c r="F5158" i="3"/>
  <c r="G5157" i="3"/>
  <c r="F5157" i="3"/>
  <c r="G5156" i="3"/>
  <c r="F5156" i="3"/>
  <c r="G5155" i="3"/>
  <c r="F5155" i="3"/>
  <c r="G5154" i="3"/>
  <c r="F5154" i="3"/>
  <c r="G5153" i="3"/>
  <c r="F5153" i="3"/>
  <c r="G5152" i="3"/>
  <c r="F5152" i="3"/>
  <c r="G5151" i="3"/>
  <c r="F5151" i="3"/>
  <c r="G5150" i="3"/>
  <c r="F5150" i="3"/>
  <c r="G5149" i="3"/>
  <c r="F5149" i="3"/>
  <c r="G5148" i="3"/>
  <c r="F5148" i="3"/>
  <c r="G5147" i="3"/>
  <c r="F5147" i="3"/>
  <c r="G5146" i="3"/>
  <c r="F5146" i="3"/>
  <c r="G5145" i="3"/>
  <c r="F5145" i="3"/>
  <c r="G5144" i="3"/>
  <c r="F5144" i="3"/>
  <c r="G5143" i="3"/>
  <c r="F5143" i="3"/>
  <c r="G5142" i="3"/>
  <c r="F5142" i="3"/>
  <c r="G5141" i="3"/>
  <c r="F5141" i="3"/>
  <c r="G5140" i="3"/>
  <c r="F5140" i="3"/>
  <c r="G5139" i="3"/>
  <c r="F5139" i="3"/>
  <c r="G5138" i="3"/>
  <c r="F5138" i="3"/>
  <c r="G5137" i="3"/>
  <c r="F5137" i="3"/>
  <c r="G5136" i="3"/>
  <c r="F5136" i="3"/>
  <c r="G5135" i="3"/>
  <c r="F5135" i="3"/>
  <c r="G5134" i="3"/>
  <c r="F5134" i="3"/>
  <c r="G5133" i="3"/>
  <c r="F5133" i="3"/>
  <c r="G5132" i="3"/>
  <c r="F5132" i="3"/>
  <c r="G5131" i="3"/>
  <c r="F5131" i="3"/>
  <c r="G5130" i="3"/>
  <c r="F5130" i="3"/>
  <c r="G5129" i="3"/>
  <c r="F5129" i="3"/>
  <c r="G5128" i="3"/>
  <c r="F5128" i="3"/>
  <c r="G5127" i="3"/>
  <c r="F5127" i="3"/>
  <c r="G5126" i="3"/>
  <c r="F5126" i="3"/>
  <c r="G5125" i="3"/>
  <c r="F5125" i="3"/>
  <c r="G5124" i="3"/>
  <c r="F5124" i="3"/>
  <c r="G5123" i="3"/>
  <c r="F5123" i="3"/>
  <c r="G5122" i="3"/>
  <c r="F5122" i="3"/>
  <c r="G5121" i="3"/>
  <c r="F5121" i="3"/>
  <c r="G5120" i="3"/>
  <c r="F5120" i="3"/>
  <c r="G5119" i="3"/>
  <c r="F5119" i="3"/>
  <c r="G5118" i="3"/>
  <c r="F5118" i="3"/>
  <c r="C6873" i="3"/>
  <c r="C6874" i="3"/>
  <c r="C6875" i="3"/>
  <c r="C6876" i="3"/>
  <c r="C6877" i="3"/>
  <c r="C6878" i="3"/>
  <c r="C6879" i="3"/>
  <c r="C6880" i="3"/>
  <c r="C6881" i="3"/>
  <c r="C6882" i="3"/>
  <c r="C6883" i="3"/>
  <c r="C6884" i="3"/>
  <c r="C6885" i="3"/>
  <c r="C6886" i="3"/>
  <c r="C6887" i="3"/>
  <c r="C6888" i="3"/>
  <c r="C6889" i="3"/>
  <c r="C6890" i="3"/>
  <c r="C6891" i="3"/>
  <c r="C6892" i="3"/>
  <c r="C6893" i="3"/>
  <c r="C6894" i="3"/>
  <c r="C6895" i="3"/>
  <c r="C6896" i="3"/>
  <c r="C6897" i="3"/>
  <c r="C6898" i="3"/>
  <c r="C6899" i="3"/>
  <c r="C6900" i="3"/>
  <c r="C6901" i="3"/>
  <c r="C6902" i="3"/>
  <c r="C6903" i="3"/>
  <c r="C6904" i="3"/>
  <c r="C6905" i="3"/>
  <c r="C6906" i="3"/>
  <c r="C6907" i="3"/>
  <c r="C6908" i="3"/>
  <c r="C6909" i="3"/>
  <c r="C6910" i="3"/>
  <c r="C6911" i="3"/>
  <c r="C6912" i="3"/>
  <c r="C6913" i="3"/>
  <c r="C6914" i="3"/>
  <c r="C6915" i="3"/>
  <c r="C6916" i="3"/>
  <c r="C6917" i="3"/>
  <c r="C6783" i="3"/>
  <c r="C6784" i="3"/>
  <c r="C6785" i="3"/>
  <c r="C6786" i="3"/>
  <c r="C6787" i="3"/>
  <c r="C6788" i="3"/>
  <c r="C6789" i="3"/>
  <c r="C6790" i="3"/>
  <c r="C6791" i="3"/>
  <c r="C6792" i="3"/>
  <c r="C6793" i="3"/>
  <c r="C6794" i="3"/>
  <c r="C6795" i="3"/>
  <c r="C6796" i="3"/>
  <c r="C6797" i="3"/>
  <c r="C6798" i="3"/>
  <c r="C6799" i="3"/>
  <c r="C6800" i="3"/>
  <c r="C6801" i="3"/>
  <c r="C6802" i="3"/>
  <c r="C6803" i="3"/>
  <c r="C6804" i="3"/>
  <c r="C6805" i="3"/>
  <c r="C6806" i="3"/>
  <c r="C6807" i="3"/>
  <c r="C6808" i="3"/>
  <c r="C6809" i="3"/>
  <c r="C6810" i="3"/>
  <c r="C6811" i="3"/>
  <c r="C6812" i="3"/>
  <c r="C6813" i="3"/>
  <c r="C6814" i="3"/>
  <c r="C6815" i="3"/>
  <c r="C6816" i="3"/>
  <c r="C6817" i="3"/>
  <c r="C6818" i="3"/>
  <c r="C6819" i="3"/>
  <c r="C6820" i="3"/>
  <c r="C6821" i="3"/>
  <c r="C6822" i="3"/>
  <c r="C6823" i="3"/>
  <c r="C6824" i="3"/>
  <c r="C6825" i="3"/>
  <c r="C6826" i="3"/>
  <c r="C6827" i="3"/>
  <c r="B6694" i="3"/>
  <c r="B6695" i="3"/>
  <c r="B6696" i="3"/>
  <c r="B6697" i="3"/>
  <c r="B6698" i="3"/>
  <c r="B6699" i="3"/>
  <c r="B6700" i="3"/>
  <c r="B6701" i="3"/>
  <c r="B6702" i="3"/>
  <c r="B6703" i="3"/>
  <c r="B6704" i="3"/>
  <c r="B6705" i="3"/>
  <c r="B6706" i="3"/>
  <c r="B6707" i="3"/>
  <c r="B6708" i="3"/>
  <c r="B6709" i="3"/>
  <c r="B6710" i="3"/>
  <c r="B6711" i="3"/>
  <c r="B6712" i="3"/>
  <c r="B6713" i="3"/>
  <c r="B6714" i="3"/>
  <c r="B6715" i="3"/>
  <c r="B6716" i="3"/>
  <c r="B6717" i="3"/>
  <c r="B6718" i="3"/>
  <c r="B6719" i="3"/>
  <c r="B6720" i="3"/>
  <c r="B6721" i="3"/>
  <c r="B6722" i="3"/>
  <c r="B6723" i="3"/>
  <c r="B6724" i="3"/>
  <c r="B6725" i="3"/>
  <c r="B6726" i="3"/>
  <c r="B6727" i="3"/>
  <c r="B6728" i="3"/>
  <c r="B6729" i="3"/>
  <c r="B6730" i="3"/>
  <c r="B6731" i="3"/>
  <c r="B6732" i="3"/>
  <c r="B6733" i="3"/>
  <c r="B6734" i="3"/>
  <c r="B6735" i="3"/>
  <c r="B6736" i="3"/>
  <c r="B6737" i="3"/>
  <c r="B6693" i="3"/>
  <c r="G6737" i="3"/>
  <c r="F6737" i="3"/>
  <c r="C6737" i="3"/>
  <c r="G6736" i="3"/>
  <c r="F6736" i="3"/>
  <c r="C6736" i="3"/>
  <c r="G6735" i="3"/>
  <c r="F6735" i="3"/>
  <c r="C6735" i="3"/>
  <c r="G6734" i="3"/>
  <c r="F6734" i="3"/>
  <c r="C6734" i="3"/>
  <c r="G6733" i="3"/>
  <c r="F6733" i="3"/>
  <c r="C6733" i="3"/>
  <c r="G6732" i="3"/>
  <c r="F6732" i="3"/>
  <c r="C6732" i="3"/>
  <c r="G6731" i="3"/>
  <c r="F6731" i="3"/>
  <c r="C6731" i="3"/>
  <c r="G6730" i="3"/>
  <c r="F6730" i="3"/>
  <c r="C6730" i="3"/>
  <c r="G6729" i="3"/>
  <c r="F6729" i="3"/>
  <c r="C6729" i="3"/>
  <c r="G6728" i="3"/>
  <c r="F6728" i="3"/>
  <c r="C6728" i="3"/>
  <c r="G6727" i="3"/>
  <c r="F6727" i="3"/>
  <c r="C6727" i="3"/>
  <c r="G6726" i="3"/>
  <c r="F6726" i="3"/>
  <c r="C6726" i="3"/>
  <c r="G6725" i="3"/>
  <c r="F6725" i="3"/>
  <c r="C6725" i="3"/>
  <c r="G6724" i="3"/>
  <c r="F6724" i="3"/>
  <c r="C6724" i="3"/>
  <c r="G6723" i="3"/>
  <c r="F6723" i="3"/>
  <c r="C6723" i="3"/>
  <c r="G6722" i="3"/>
  <c r="F6722" i="3"/>
  <c r="C6722" i="3"/>
  <c r="G6721" i="3"/>
  <c r="F6721" i="3"/>
  <c r="C6721" i="3"/>
  <c r="G6720" i="3"/>
  <c r="F6720" i="3"/>
  <c r="C6720" i="3"/>
  <c r="G6719" i="3"/>
  <c r="F6719" i="3"/>
  <c r="C6719" i="3"/>
  <c r="G6718" i="3"/>
  <c r="F6718" i="3"/>
  <c r="C6718" i="3"/>
  <c r="G6717" i="3"/>
  <c r="F6717" i="3"/>
  <c r="C6717" i="3"/>
  <c r="G6716" i="3"/>
  <c r="F6716" i="3"/>
  <c r="C6716" i="3"/>
  <c r="G6715" i="3"/>
  <c r="F6715" i="3"/>
  <c r="C6715" i="3"/>
  <c r="G6714" i="3"/>
  <c r="F6714" i="3"/>
  <c r="C6714" i="3"/>
  <c r="G6713" i="3"/>
  <c r="F6713" i="3"/>
  <c r="C6713" i="3"/>
  <c r="G6712" i="3"/>
  <c r="F6712" i="3"/>
  <c r="C6712" i="3"/>
  <c r="G6711" i="3"/>
  <c r="F6711" i="3"/>
  <c r="C6711" i="3"/>
  <c r="G6710" i="3"/>
  <c r="F6710" i="3"/>
  <c r="C6710" i="3"/>
  <c r="G6709" i="3"/>
  <c r="F6709" i="3"/>
  <c r="C6709" i="3"/>
  <c r="G6708" i="3"/>
  <c r="F6708" i="3"/>
  <c r="C6708" i="3"/>
  <c r="G6707" i="3"/>
  <c r="F6707" i="3"/>
  <c r="C6707" i="3"/>
  <c r="G6706" i="3"/>
  <c r="F6706" i="3"/>
  <c r="C6706" i="3"/>
  <c r="G6705" i="3"/>
  <c r="F6705" i="3"/>
  <c r="C6705" i="3"/>
  <c r="G6704" i="3"/>
  <c r="F6704" i="3"/>
  <c r="C6704" i="3"/>
  <c r="G6703" i="3"/>
  <c r="F6703" i="3"/>
  <c r="C6703" i="3"/>
  <c r="G6702" i="3"/>
  <c r="F6702" i="3"/>
  <c r="C6702" i="3"/>
  <c r="G6701" i="3"/>
  <c r="F6701" i="3"/>
  <c r="C6701" i="3"/>
  <c r="G6700" i="3"/>
  <c r="F6700" i="3"/>
  <c r="C6700" i="3"/>
  <c r="G6699" i="3"/>
  <c r="F6699" i="3"/>
  <c r="C6699" i="3"/>
  <c r="G6698" i="3"/>
  <c r="F6698" i="3"/>
  <c r="C6698" i="3"/>
  <c r="G6697" i="3"/>
  <c r="F6697" i="3"/>
  <c r="C6697" i="3"/>
  <c r="G6696" i="3"/>
  <c r="F6696" i="3"/>
  <c r="C6696" i="3"/>
  <c r="G6695" i="3"/>
  <c r="F6695" i="3"/>
  <c r="C6695" i="3"/>
  <c r="G6694" i="3"/>
  <c r="F6694" i="3"/>
  <c r="C6694" i="3"/>
  <c r="G6693" i="3"/>
  <c r="F6693" i="3"/>
  <c r="C6693" i="3"/>
  <c r="B6634" i="3"/>
  <c r="B6635" i="3"/>
  <c r="B6636" i="3"/>
  <c r="B6637" i="3"/>
  <c r="B6638" i="3"/>
  <c r="B6639" i="3"/>
  <c r="B6640" i="3"/>
  <c r="B6641" i="3"/>
  <c r="B6642" i="3"/>
  <c r="B6643" i="3"/>
  <c r="B6644" i="3"/>
  <c r="B6645" i="3"/>
  <c r="B6646" i="3"/>
  <c r="B6647" i="3"/>
  <c r="B6633" i="3"/>
  <c r="G6647" i="3"/>
  <c r="F6647" i="3"/>
  <c r="C6647" i="3"/>
  <c r="G6646" i="3"/>
  <c r="F6646" i="3"/>
  <c r="C6646" i="3"/>
  <c r="G6645" i="3"/>
  <c r="F6645" i="3"/>
  <c r="C6645" i="3"/>
  <c r="G6644" i="3"/>
  <c r="F6644" i="3"/>
  <c r="C6644" i="3"/>
  <c r="G6643" i="3"/>
  <c r="F6643" i="3"/>
  <c r="C6643" i="3"/>
  <c r="G6642" i="3"/>
  <c r="F6642" i="3"/>
  <c r="C6642" i="3"/>
  <c r="G6641" i="3"/>
  <c r="F6641" i="3"/>
  <c r="C6641" i="3"/>
  <c r="G6640" i="3"/>
  <c r="F6640" i="3"/>
  <c r="C6640" i="3"/>
  <c r="G6639" i="3"/>
  <c r="F6639" i="3"/>
  <c r="C6639" i="3"/>
  <c r="G6638" i="3"/>
  <c r="F6638" i="3"/>
  <c r="C6638" i="3"/>
  <c r="G6637" i="3"/>
  <c r="F6637" i="3"/>
  <c r="C6637" i="3"/>
  <c r="G6636" i="3"/>
  <c r="F6636" i="3"/>
  <c r="C6636" i="3"/>
  <c r="G6635" i="3"/>
  <c r="F6635" i="3"/>
  <c r="C6635" i="3"/>
  <c r="G6634" i="3"/>
  <c r="F6634" i="3"/>
  <c r="C6634" i="3"/>
  <c r="G6633" i="3"/>
  <c r="F6633" i="3"/>
  <c r="C6633" i="3"/>
  <c r="C6588" i="3"/>
  <c r="C6589" i="3"/>
  <c r="C6590" i="3"/>
  <c r="C6591" i="3"/>
  <c r="C6592" i="3"/>
  <c r="C6593" i="3"/>
  <c r="C6594" i="3"/>
  <c r="C6595" i="3"/>
  <c r="C6596" i="3"/>
  <c r="C6597" i="3"/>
  <c r="C6598" i="3"/>
  <c r="C6599" i="3"/>
  <c r="C6600" i="3"/>
  <c r="C6601" i="3"/>
  <c r="C6602" i="3"/>
  <c r="C6603" i="3"/>
  <c r="C6604" i="3"/>
  <c r="C6605" i="3"/>
  <c r="C6606" i="3"/>
  <c r="C6607" i="3"/>
  <c r="C6608" i="3"/>
  <c r="C6609" i="3"/>
  <c r="C6610" i="3"/>
  <c r="C6611" i="3"/>
  <c r="C6612" i="3"/>
  <c r="C6613" i="3"/>
  <c r="C6614" i="3"/>
  <c r="C6615" i="3"/>
  <c r="C6616" i="3"/>
  <c r="C6617" i="3"/>
  <c r="C6513" i="3"/>
  <c r="C6514" i="3"/>
  <c r="C6515" i="3"/>
  <c r="C6516" i="3"/>
  <c r="C6517" i="3"/>
  <c r="C6518" i="3"/>
  <c r="C6519" i="3"/>
  <c r="C6520" i="3"/>
  <c r="C6521" i="3"/>
  <c r="C6522" i="3"/>
  <c r="C6523" i="3"/>
  <c r="C6524" i="3"/>
  <c r="C6525" i="3"/>
  <c r="C6526" i="3"/>
  <c r="C6527" i="3"/>
  <c r="C6528" i="3"/>
  <c r="C6529" i="3"/>
  <c r="C6530" i="3"/>
  <c r="C6531" i="3"/>
  <c r="C6532" i="3"/>
  <c r="C6533" i="3"/>
  <c r="C6534" i="3"/>
  <c r="C6535" i="3"/>
  <c r="C6536" i="3"/>
  <c r="C6537" i="3"/>
  <c r="C6538" i="3"/>
  <c r="C6539" i="3"/>
  <c r="C6540" i="3"/>
  <c r="C6541" i="3"/>
  <c r="C6542" i="3"/>
  <c r="C6543" i="3"/>
  <c r="C6544" i="3"/>
  <c r="C6545" i="3"/>
  <c r="C6546" i="3"/>
  <c r="C6547" i="3"/>
  <c r="C6548" i="3"/>
  <c r="C6549" i="3"/>
  <c r="C6550" i="3"/>
  <c r="C6551" i="3"/>
  <c r="C6552" i="3"/>
  <c r="C6553" i="3"/>
  <c r="C6554" i="3"/>
  <c r="C6555" i="3"/>
  <c r="C6556" i="3"/>
  <c r="C6557" i="3"/>
  <c r="C6424" i="3"/>
  <c r="C6425" i="3"/>
  <c r="C6426" i="3"/>
  <c r="C6427" i="3"/>
  <c r="C6428" i="3"/>
  <c r="C6429" i="3"/>
  <c r="C6430" i="3"/>
  <c r="C6431" i="3"/>
  <c r="C6432" i="3"/>
  <c r="C6433" i="3"/>
  <c r="C6434" i="3"/>
  <c r="C6435" i="3"/>
  <c r="C6436" i="3"/>
  <c r="C6437" i="3"/>
  <c r="C6438" i="3"/>
  <c r="C6439" i="3"/>
  <c r="C6440" i="3"/>
  <c r="C6441" i="3"/>
  <c r="C6442" i="3"/>
  <c r="C6443" i="3"/>
  <c r="C6444" i="3"/>
  <c r="C6445" i="3"/>
  <c r="C6446" i="3"/>
  <c r="C6447" i="3"/>
  <c r="C6448" i="3"/>
  <c r="C6449" i="3"/>
  <c r="C6450" i="3"/>
  <c r="C6451" i="3"/>
  <c r="C6452" i="3"/>
  <c r="C6453" i="3"/>
  <c r="C6454" i="3"/>
  <c r="C6455" i="3"/>
  <c r="C6456" i="3"/>
  <c r="C6457" i="3"/>
  <c r="C6458" i="3"/>
  <c r="C6459" i="3"/>
  <c r="C6460" i="3"/>
  <c r="C6461" i="3"/>
  <c r="C6462" i="3"/>
  <c r="C6463" i="3"/>
  <c r="C6464" i="3"/>
  <c r="C6465" i="3"/>
  <c r="C6466" i="3"/>
  <c r="C6467" i="3"/>
  <c r="C6423" i="3"/>
  <c r="B6363" i="3"/>
  <c r="C6363" i="3"/>
  <c r="B6364" i="3"/>
  <c r="C6364" i="3"/>
  <c r="B6365" i="3"/>
  <c r="C6365" i="3"/>
  <c r="B6366" i="3"/>
  <c r="C6366" i="3"/>
  <c r="B6367" i="3"/>
  <c r="C6367" i="3"/>
  <c r="B6368" i="3"/>
  <c r="C6368" i="3"/>
  <c r="B6369" i="3"/>
  <c r="C6369" i="3"/>
  <c r="B6370" i="3"/>
  <c r="C6370" i="3"/>
  <c r="B6371" i="3"/>
  <c r="C6371" i="3"/>
  <c r="B6372" i="3"/>
  <c r="C6372" i="3"/>
  <c r="B6373" i="3"/>
  <c r="C6373" i="3"/>
  <c r="B6374" i="3"/>
  <c r="C6374" i="3"/>
  <c r="B6375" i="3"/>
  <c r="C6375" i="3"/>
  <c r="B6376" i="3"/>
  <c r="C6376" i="3"/>
  <c r="B6377" i="3"/>
  <c r="C6377" i="3"/>
  <c r="D6372" i="3" a="1"/>
  <c r="D6376" i="3" a="1"/>
  <c r="D6377" i="3" a="1"/>
  <c r="D6371" i="3" a="1"/>
  <c r="D6368" i="3" a="1"/>
  <c r="D6363" i="3" a="1"/>
  <c r="D6367" i="3" a="1"/>
  <c r="D6366" i="3" a="1"/>
  <c r="D6370" i="3" a="1"/>
  <c r="D6373" i="3" a="1"/>
  <c r="D6375" i="3" a="1"/>
  <c r="D6364" i="3" a="1"/>
  <c r="D6374" i="3" a="1"/>
  <c r="D6369" i="3" a="1"/>
  <c r="D6365" i="3" a="1"/>
  <c r="D6363" i="3" l="1"/>
  <c r="D6369" i="3"/>
  <c r="D6374" i="3"/>
  <c r="D6377" i="3"/>
  <c r="D6371" i="3"/>
  <c r="D6365" i="3"/>
  <c r="D6368" i="3"/>
  <c r="D6367" i="3"/>
  <c r="D6366" i="3"/>
  <c r="D6375" i="3"/>
  <c r="D6373" i="3"/>
  <c r="D6370" i="3"/>
  <c r="D6364" i="3"/>
  <c r="D6372" i="3"/>
  <c r="D6376" i="3"/>
  <c r="A44" i="194"/>
  <c r="A43" i="194"/>
  <c r="A42" i="194"/>
  <c r="C33" i="194"/>
  <c r="C29" i="194"/>
  <c r="C18" i="194"/>
  <c r="A17" i="194"/>
  <c r="A2" i="194"/>
  <c r="A1" i="194"/>
  <c r="A44" i="193"/>
  <c r="A43" i="193"/>
  <c r="A42" i="193"/>
  <c r="C33" i="193"/>
  <c r="C29" i="193"/>
  <c r="C18" i="193"/>
  <c r="A17" i="193"/>
  <c r="A2" i="193"/>
  <c r="A1" i="193"/>
  <c r="A44" i="192"/>
  <c r="A43" i="192"/>
  <c r="A42" i="192"/>
  <c r="C33" i="192"/>
  <c r="C29" i="192"/>
  <c r="C18" i="192"/>
  <c r="A17" i="192"/>
  <c r="A2" i="192"/>
  <c r="A1" i="192"/>
  <c r="A44" i="191"/>
  <c r="A43" i="191"/>
  <c r="A42" i="191"/>
  <c r="C33" i="191"/>
  <c r="C29" i="191"/>
  <c r="C18" i="191"/>
  <c r="A17" i="191"/>
  <c r="A2" i="191"/>
  <c r="A1" i="191"/>
  <c r="A44" i="190"/>
  <c r="A43" i="190"/>
  <c r="A42" i="190"/>
  <c r="C33" i="190"/>
  <c r="C29" i="190"/>
  <c r="C18" i="190"/>
  <c r="A17" i="190"/>
  <c r="A2" i="190"/>
  <c r="A1" i="190"/>
  <c r="A44" i="189"/>
  <c r="A43" i="189"/>
  <c r="A42" i="189"/>
  <c r="C33" i="189"/>
  <c r="C29" i="189"/>
  <c r="C18" i="189"/>
  <c r="A17" i="189"/>
  <c r="A2" i="189"/>
  <c r="A1" i="189"/>
  <c r="A44" i="188"/>
  <c r="A43" i="188"/>
  <c r="A42" i="188"/>
  <c r="C33" i="188"/>
  <c r="C29" i="188"/>
  <c r="C18" i="188"/>
  <c r="A17" i="188"/>
  <c r="A2" i="188"/>
  <c r="A1" i="188"/>
  <c r="A44" i="187"/>
  <c r="A43" i="187"/>
  <c r="A42" i="187"/>
  <c r="C33" i="187"/>
  <c r="C29" i="187"/>
  <c r="C18" i="187"/>
  <c r="A17" i="187"/>
  <c r="A2" i="187"/>
  <c r="A1" i="187"/>
  <c r="A44" i="186"/>
  <c r="A43" i="186"/>
  <c r="A42" i="186"/>
  <c r="C33" i="186"/>
  <c r="C29" i="186"/>
  <c r="C18" i="186"/>
  <c r="A17" i="186"/>
  <c r="A2" i="186"/>
  <c r="A1" i="186"/>
  <c r="A44" i="185"/>
  <c r="A43" i="185"/>
  <c r="A42" i="185"/>
  <c r="C33" i="185"/>
  <c r="C29" i="185"/>
  <c r="C18" i="185"/>
  <c r="A17" i="185"/>
  <c r="A2" i="185"/>
  <c r="A1" i="185"/>
  <c r="A44" i="184"/>
  <c r="A43" i="184"/>
  <c r="A42" i="184"/>
  <c r="C33" i="184"/>
  <c r="C29" i="184"/>
  <c r="C18" i="184"/>
  <c r="A17" i="184"/>
  <c r="A2" i="184"/>
  <c r="A1" i="184"/>
  <c r="A44" i="183"/>
  <c r="A43" i="183"/>
  <c r="A42" i="183"/>
  <c r="C33" i="183"/>
  <c r="C29" i="183"/>
  <c r="C18" i="183"/>
  <c r="A17" i="183"/>
  <c r="A2" i="183"/>
  <c r="A1" i="183"/>
  <c r="A44" i="182"/>
  <c r="A43" i="182"/>
  <c r="A42" i="182"/>
  <c r="C33" i="182"/>
  <c r="C29" i="182"/>
  <c r="C18" i="182"/>
  <c r="A17" i="182"/>
  <c r="A2" i="182"/>
  <c r="A1" i="182"/>
  <c r="A44" i="181"/>
  <c r="A43" i="181"/>
  <c r="A42" i="181"/>
  <c r="C33" i="181"/>
  <c r="C29" i="181"/>
  <c r="C18" i="181"/>
  <c r="A17" i="181"/>
  <c r="A2" i="181"/>
  <c r="A1" i="181"/>
  <c r="C6318" i="3"/>
  <c r="C6319" i="3"/>
  <c r="C6320" i="3"/>
  <c r="C6321" i="3"/>
  <c r="C6322" i="3"/>
  <c r="C6323" i="3"/>
  <c r="C6324" i="3"/>
  <c r="C6325" i="3"/>
  <c r="C6326" i="3"/>
  <c r="C6327" i="3"/>
  <c r="C6328" i="3"/>
  <c r="C6329" i="3"/>
  <c r="C6330" i="3"/>
  <c r="C6331" i="3"/>
  <c r="C6332" i="3"/>
  <c r="C6333" i="3"/>
  <c r="C6334" i="3"/>
  <c r="C6335" i="3"/>
  <c r="C6336" i="3"/>
  <c r="C6337" i="3"/>
  <c r="C6338" i="3"/>
  <c r="C6339" i="3"/>
  <c r="C6340" i="3"/>
  <c r="C6341" i="3"/>
  <c r="C6342" i="3"/>
  <c r="C6343" i="3"/>
  <c r="C6344" i="3"/>
  <c r="C6345" i="3"/>
  <c r="C6346" i="3"/>
  <c r="C6347" i="3"/>
  <c r="C6348" i="3"/>
  <c r="C6349" i="3"/>
  <c r="C6350" i="3"/>
  <c r="C6351" i="3"/>
  <c r="C6352" i="3"/>
  <c r="C6353" i="3"/>
  <c r="C6354" i="3"/>
  <c r="C6355" i="3"/>
  <c r="C6356" i="3"/>
  <c r="C6357" i="3"/>
  <c r="C6358" i="3"/>
  <c r="C6359" i="3"/>
  <c r="C6360" i="3"/>
  <c r="C6361" i="3"/>
  <c r="C6362" i="3"/>
  <c r="A62" i="133"/>
  <c r="A61" i="133"/>
  <c r="C29" i="16"/>
  <c r="A62" i="118"/>
  <c r="A61" i="118"/>
  <c r="A62" i="134"/>
  <c r="A61" i="134"/>
  <c r="A42" i="16"/>
  <c r="C33" i="16"/>
  <c r="C18" i="16"/>
  <c r="C4466" i="3"/>
  <c r="C4467" i="3"/>
  <c r="C4468" i="3"/>
  <c r="C4469" i="3"/>
  <c r="C4470" i="3"/>
  <c r="C4471" i="3"/>
  <c r="C4472" i="3"/>
  <c r="C4473" i="3"/>
  <c r="C4474" i="3"/>
  <c r="C4475" i="3"/>
  <c r="C4476" i="3"/>
  <c r="C4477" i="3"/>
  <c r="C4478" i="3"/>
  <c r="C4479" i="3"/>
  <c r="C4480" i="3"/>
  <c r="C4481" i="3"/>
  <c r="C4482" i="3"/>
  <c r="C4483" i="3"/>
  <c r="C4484" i="3"/>
  <c r="C4485" i="3"/>
  <c r="C4486" i="3"/>
  <c r="C4487" i="3"/>
  <c r="C4488" i="3"/>
  <c r="C4489" i="3"/>
  <c r="C4490" i="3"/>
  <c r="C4491" i="3"/>
  <c r="C4492" i="3"/>
  <c r="C4493" i="3"/>
  <c r="C4494" i="3"/>
  <c r="C4495" i="3"/>
  <c r="C4496" i="3"/>
  <c r="C4497" i="3"/>
  <c r="C4498" i="3"/>
  <c r="C4499" i="3"/>
  <c r="C4500" i="3"/>
  <c r="C4501" i="3"/>
  <c r="C4502" i="3"/>
  <c r="C4503" i="3"/>
  <c r="C4504" i="3"/>
  <c r="C4505" i="3"/>
  <c r="C4506" i="3"/>
  <c r="C4507" i="3"/>
  <c r="C4508" i="3"/>
  <c r="C4509" i="3"/>
  <c r="C4510" i="3"/>
  <c r="B4346" i="3"/>
  <c r="C4346" i="3"/>
  <c r="B4347" i="3"/>
  <c r="C4347" i="3"/>
  <c r="B4348" i="3"/>
  <c r="C4348" i="3"/>
  <c r="B4349" i="3"/>
  <c r="C4349" i="3"/>
  <c r="B4350" i="3"/>
  <c r="C4350" i="3"/>
  <c r="B4351" i="3"/>
  <c r="C4351" i="3"/>
  <c r="B4352" i="3"/>
  <c r="C4352" i="3"/>
  <c r="B4353" i="3"/>
  <c r="C4353" i="3"/>
  <c r="B4354" i="3"/>
  <c r="C4354" i="3"/>
  <c r="B4355" i="3"/>
  <c r="C4355" i="3"/>
  <c r="B4356" i="3"/>
  <c r="C4356" i="3"/>
  <c r="B4357" i="3"/>
  <c r="C4357" i="3"/>
  <c r="B4358" i="3"/>
  <c r="C4358" i="3"/>
  <c r="B4359" i="3"/>
  <c r="C4359" i="3"/>
  <c r="B4360" i="3"/>
  <c r="C4360" i="3"/>
  <c r="G4360" i="3"/>
  <c r="F4360" i="3"/>
  <c r="G4359" i="3"/>
  <c r="F4359" i="3"/>
  <c r="G4358" i="3"/>
  <c r="F4358" i="3"/>
  <c r="G4357" i="3"/>
  <c r="F4357" i="3"/>
  <c r="G4356" i="3"/>
  <c r="F4356" i="3"/>
  <c r="G4355" i="3"/>
  <c r="F4355" i="3"/>
  <c r="G4354" i="3"/>
  <c r="F4354" i="3"/>
  <c r="G4353" i="3"/>
  <c r="F4353" i="3"/>
  <c r="G4352" i="3"/>
  <c r="F4352" i="3"/>
  <c r="G4351" i="3"/>
  <c r="F4351" i="3"/>
  <c r="G4350" i="3"/>
  <c r="F4350" i="3"/>
  <c r="G4349" i="3"/>
  <c r="F4349" i="3"/>
  <c r="G4348" i="3"/>
  <c r="F4348" i="3"/>
  <c r="G4347" i="3"/>
  <c r="F4347" i="3"/>
  <c r="G4346" i="3"/>
  <c r="F4346" i="3"/>
  <c r="B4301" i="3"/>
  <c r="B4302" i="3"/>
  <c r="B4303" i="3"/>
  <c r="B4304" i="3"/>
  <c r="B4305" i="3"/>
  <c r="B4306" i="3"/>
  <c r="B4307" i="3"/>
  <c r="B4308" i="3"/>
  <c r="B4309" i="3"/>
  <c r="B4310" i="3"/>
  <c r="B4311" i="3"/>
  <c r="B4312" i="3"/>
  <c r="B4313" i="3"/>
  <c r="B4314" i="3"/>
  <c r="B4315" i="3"/>
  <c r="B4316" i="3"/>
  <c r="B4317" i="3"/>
  <c r="B4318" i="3"/>
  <c r="B4319" i="3"/>
  <c r="B4320" i="3"/>
  <c r="B4321" i="3"/>
  <c r="B4322" i="3"/>
  <c r="B4323" i="3"/>
  <c r="B4324" i="3"/>
  <c r="B4325" i="3"/>
  <c r="B4326" i="3"/>
  <c r="B4327" i="3"/>
  <c r="B4328" i="3"/>
  <c r="B4329" i="3"/>
  <c r="B4330" i="3"/>
  <c r="B4331" i="3"/>
  <c r="B4332" i="3"/>
  <c r="B4333" i="3"/>
  <c r="B4334" i="3"/>
  <c r="B4335" i="3"/>
  <c r="B4336" i="3"/>
  <c r="B4337" i="3"/>
  <c r="B4338" i="3"/>
  <c r="B4339" i="3"/>
  <c r="B4340" i="3"/>
  <c r="B4341" i="3"/>
  <c r="B4342" i="3"/>
  <c r="B4343" i="3"/>
  <c r="B4344" i="3"/>
  <c r="B4345" i="3"/>
  <c r="G4345" i="3"/>
  <c r="F4345" i="3"/>
  <c r="C4345" i="3"/>
  <c r="G4344" i="3"/>
  <c r="F4344" i="3"/>
  <c r="C4344" i="3"/>
  <c r="G4343" i="3"/>
  <c r="F4343" i="3"/>
  <c r="C4343" i="3"/>
  <c r="G4342" i="3"/>
  <c r="F4342" i="3"/>
  <c r="C4342" i="3"/>
  <c r="G4341" i="3"/>
  <c r="F4341" i="3"/>
  <c r="C4341" i="3"/>
  <c r="G4340" i="3"/>
  <c r="F4340" i="3"/>
  <c r="C4340" i="3"/>
  <c r="G4339" i="3"/>
  <c r="F4339" i="3"/>
  <c r="C4339" i="3"/>
  <c r="G4338" i="3"/>
  <c r="F4338" i="3"/>
  <c r="C4338" i="3"/>
  <c r="G4337" i="3"/>
  <c r="F4337" i="3"/>
  <c r="C4337" i="3"/>
  <c r="G4336" i="3"/>
  <c r="F4336" i="3"/>
  <c r="C4336" i="3"/>
  <c r="G4335" i="3"/>
  <c r="F4335" i="3"/>
  <c r="C4335" i="3"/>
  <c r="G4334" i="3"/>
  <c r="F4334" i="3"/>
  <c r="C4334" i="3"/>
  <c r="G4333" i="3"/>
  <c r="F4333" i="3"/>
  <c r="C4333" i="3"/>
  <c r="G4332" i="3"/>
  <c r="F4332" i="3"/>
  <c r="C4332" i="3"/>
  <c r="G4331" i="3"/>
  <c r="F4331" i="3"/>
  <c r="C4331" i="3"/>
  <c r="G4330" i="3"/>
  <c r="F4330" i="3"/>
  <c r="C4330" i="3"/>
  <c r="G4329" i="3"/>
  <c r="F4329" i="3"/>
  <c r="C4329" i="3"/>
  <c r="G4328" i="3"/>
  <c r="F4328" i="3"/>
  <c r="C4328" i="3"/>
  <c r="G4327" i="3"/>
  <c r="F4327" i="3"/>
  <c r="C4327" i="3"/>
  <c r="G4326" i="3"/>
  <c r="F4326" i="3"/>
  <c r="C4326" i="3"/>
  <c r="G4325" i="3"/>
  <c r="F4325" i="3"/>
  <c r="C4325" i="3"/>
  <c r="G4324" i="3"/>
  <c r="F4324" i="3"/>
  <c r="C4324" i="3"/>
  <c r="G4323" i="3"/>
  <c r="F4323" i="3"/>
  <c r="C4323" i="3"/>
  <c r="G4322" i="3"/>
  <c r="F4322" i="3"/>
  <c r="C4322" i="3"/>
  <c r="G4321" i="3"/>
  <c r="F4321" i="3"/>
  <c r="C4321" i="3"/>
  <c r="G4320" i="3"/>
  <c r="F4320" i="3"/>
  <c r="C4320" i="3"/>
  <c r="G4319" i="3"/>
  <c r="F4319" i="3"/>
  <c r="C4319" i="3"/>
  <c r="G4318" i="3"/>
  <c r="F4318" i="3"/>
  <c r="C4318" i="3"/>
  <c r="G4317" i="3"/>
  <c r="F4317" i="3"/>
  <c r="C4317" i="3"/>
  <c r="G4316" i="3"/>
  <c r="F4316" i="3"/>
  <c r="C4316" i="3"/>
  <c r="G4315" i="3"/>
  <c r="F4315" i="3"/>
  <c r="C4315" i="3"/>
  <c r="G4314" i="3"/>
  <c r="F4314" i="3"/>
  <c r="C4314" i="3"/>
  <c r="G4313" i="3"/>
  <c r="F4313" i="3"/>
  <c r="C4313" i="3"/>
  <c r="G4312" i="3"/>
  <c r="F4312" i="3"/>
  <c r="C4312" i="3"/>
  <c r="G4311" i="3"/>
  <c r="F4311" i="3"/>
  <c r="C4311" i="3"/>
  <c r="G4310" i="3"/>
  <c r="F4310" i="3"/>
  <c r="C4310" i="3"/>
  <c r="G4309" i="3"/>
  <c r="F4309" i="3"/>
  <c r="C4309" i="3"/>
  <c r="G4308" i="3"/>
  <c r="F4308" i="3"/>
  <c r="C4308" i="3"/>
  <c r="G4307" i="3"/>
  <c r="F4307" i="3"/>
  <c r="C4307" i="3"/>
  <c r="G4306" i="3"/>
  <c r="F4306" i="3"/>
  <c r="C4306" i="3"/>
  <c r="G4305" i="3"/>
  <c r="F4305" i="3"/>
  <c r="C4305" i="3"/>
  <c r="G4304" i="3"/>
  <c r="F4304" i="3"/>
  <c r="C4304" i="3"/>
  <c r="G4303" i="3"/>
  <c r="F4303" i="3"/>
  <c r="C4303" i="3"/>
  <c r="G4302" i="3"/>
  <c r="F4302" i="3"/>
  <c r="C4302" i="3"/>
  <c r="G4301" i="3"/>
  <c r="F4301" i="3"/>
  <c r="C4301" i="3"/>
  <c r="B4287" i="3"/>
  <c r="B4288" i="3"/>
  <c r="B4289" i="3"/>
  <c r="B4290" i="3"/>
  <c r="B4291" i="3"/>
  <c r="B4292" i="3"/>
  <c r="B4293" i="3"/>
  <c r="B4294" i="3"/>
  <c r="B4295" i="3"/>
  <c r="B4296" i="3"/>
  <c r="B4297" i="3"/>
  <c r="B4298" i="3"/>
  <c r="B4299" i="3"/>
  <c r="B4300" i="3"/>
  <c r="B4286" i="3"/>
  <c r="G4300" i="3"/>
  <c r="F4300" i="3"/>
  <c r="C4300" i="3"/>
  <c r="G4299" i="3"/>
  <c r="F4299" i="3"/>
  <c r="C4299" i="3"/>
  <c r="G4298" i="3"/>
  <c r="F4298" i="3"/>
  <c r="C4298" i="3"/>
  <c r="G4297" i="3"/>
  <c r="F4297" i="3"/>
  <c r="C4297" i="3"/>
  <c r="G4296" i="3"/>
  <c r="F4296" i="3"/>
  <c r="C4296" i="3"/>
  <c r="G4295" i="3"/>
  <c r="F4295" i="3"/>
  <c r="C4295" i="3"/>
  <c r="G4294" i="3"/>
  <c r="F4294" i="3"/>
  <c r="C4294" i="3"/>
  <c r="G4293" i="3"/>
  <c r="F4293" i="3"/>
  <c r="C4293" i="3"/>
  <c r="G4292" i="3"/>
  <c r="F4292" i="3"/>
  <c r="C4292" i="3"/>
  <c r="G4291" i="3"/>
  <c r="F4291" i="3"/>
  <c r="C4291" i="3"/>
  <c r="G4290" i="3"/>
  <c r="F4290" i="3"/>
  <c r="C4290" i="3"/>
  <c r="G4289" i="3"/>
  <c r="F4289" i="3"/>
  <c r="C4289" i="3"/>
  <c r="G4288" i="3"/>
  <c r="F4288" i="3"/>
  <c r="C4288" i="3"/>
  <c r="G4287" i="3"/>
  <c r="F4287" i="3"/>
  <c r="C4287" i="3"/>
  <c r="G4286" i="3"/>
  <c r="F4286" i="3"/>
  <c r="C4286" i="3"/>
  <c r="C4241" i="3"/>
  <c r="C4242" i="3"/>
  <c r="C4243" i="3"/>
  <c r="C4244" i="3"/>
  <c r="C4245" i="3"/>
  <c r="C4246" i="3"/>
  <c r="C4247" i="3"/>
  <c r="C4248" i="3"/>
  <c r="C4249" i="3"/>
  <c r="C4250" i="3"/>
  <c r="C4251" i="3"/>
  <c r="C4252" i="3"/>
  <c r="C4253" i="3"/>
  <c r="C4254" i="3"/>
  <c r="C4255" i="3"/>
  <c r="C4256" i="3"/>
  <c r="C4257" i="3"/>
  <c r="C4258" i="3"/>
  <c r="C4259" i="3"/>
  <c r="C4260" i="3"/>
  <c r="C4261" i="3"/>
  <c r="C4262" i="3"/>
  <c r="C4263" i="3"/>
  <c r="C4264" i="3"/>
  <c r="C4265" i="3"/>
  <c r="C4266" i="3"/>
  <c r="C4267" i="3"/>
  <c r="C4268" i="3"/>
  <c r="C4269" i="3"/>
  <c r="C4270" i="3"/>
  <c r="C4151" i="3"/>
  <c r="C4152" i="3"/>
  <c r="C4153" i="3"/>
  <c r="C4154" i="3"/>
  <c r="C4155" i="3"/>
  <c r="C4156" i="3"/>
  <c r="C4157" i="3"/>
  <c r="C4158" i="3"/>
  <c r="C4159" i="3"/>
  <c r="C4160" i="3"/>
  <c r="C4161" i="3"/>
  <c r="C4162" i="3"/>
  <c r="C4163" i="3"/>
  <c r="C4164" i="3"/>
  <c r="C4165" i="3"/>
  <c r="C4166" i="3"/>
  <c r="C4167" i="3"/>
  <c r="C4168" i="3"/>
  <c r="C4169" i="3"/>
  <c r="C4170" i="3"/>
  <c r="C4171" i="3"/>
  <c r="C4172" i="3"/>
  <c r="C4173" i="3"/>
  <c r="C4174" i="3"/>
  <c r="C4175" i="3"/>
  <c r="C4176" i="3"/>
  <c r="C4177" i="3"/>
  <c r="C4178" i="3"/>
  <c r="C4179" i="3"/>
  <c r="C4180" i="3"/>
  <c r="C4181" i="3"/>
  <c r="C4182" i="3"/>
  <c r="C4183" i="3"/>
  <c r="C4184" i="3"/>
  <c r="C4185" i="3"/>
  <c r="C4186" i="3"/>
  <c r="C4187" i="3"/>
  <c r="C4188" i="3"/>
  <c r="C4189" i="3"/>
  <c r="C4190" i="3"/>
  <c r="C4191" i="3"/>
  <c r="C4192" i="3"/>
  <c r="C4193" i="3"/>
  <c r="C4194" i="3"/>
  <c r="C4195" i="3"/>
  <c r="B3881" i="3"/>
  <c r="C3881" i="3"/>
  <c r="B3882" i="3"/>
  <c r="C3882" i="3"/>
  <c r="B3883" i="3"/>
  <c r="C3883" i="3"/>
  <c r="B3884" i="3"/>
  <c r="C3884" i="3"/>
  <c r="B3885" i="3"/>
  <c r="C3885" i="3"/>
  <c r="B3886" i="3"/>
  <c r="C3886" i="3"/>
  <c r="B3887" i="3"/>
  <c r="C3887" i="3"/>
  <c r="B3888" i="3"/>
  <c r="C3888" i="3"/>
  <c r="B3889" i="3"/>
  <c r="C3889" i="3"/>
  <c r="B3890" i="3"/>
  <c r="C3890" i="3"/>
  <c r="B3891" i="3"/>
  <c r="C3891" i="3"/>
  <c r="B3892" i="3"/>
  <c r="C3892" i="3"/>
  <c r="B3893" i="3"/>
  <c r="C3893" i="3"/>
  <c r="B3894" i="3"/>
  <c r="C3894" i="3"/>
  <c r="B3895" i="3"/>
  <c r="C3895" i="3"/>
  <c r="D3865" i="3"/>
  <c r="D3864" i="3"/>
  <c r="D3863" i="3"/>
  <c r="D3862" i="3"/>
  <c r="D3861" i="3"/>
  <c r="D3860" i="3"/>
  <c r="D3859" i="3"/>
  <c r="D3858" i="3"/>
  <c r="D3857" i="3"/>
  <c r="D3856" i="3"/>
  <c r="D3855" i="3"/>
  <c r="D3854" i="3"/>
  <c r="D3853" i="3"/>
  <c r="B9" i="102"/>
  <c r="D3010" i="3"/>
  <c r="D3009" i="3"/>
  <c r="D3008" i="3"/>
  <c r="D3007" i="3"/>
  <c r="D3006" i="3"/>
  <c r="D3005" i="3"/>
  <c r="D3004" i="3"/>
  <c r="D3003" i="3"/>
  <c r="D3002" i="3"/>
  <c r="D3001" i="3"/>
  <c r="D3000" i="3"/>
  <c r="D2999" i="3"/>
  <c r="D2998" i="3"/>
  <c r="D2950" i="3"/>
  <c r="D2949" i="3"/>
  <c r="D2948" i="3"/>
  <c r="D2947" i="3"/>
  <c r="D2946" i="3"/>
  <c r="D2945" i="3"/>
  <c r="D2944" i="3"/>
  <c r="D2943" i="3"/>
  <c r="D2942" i="3"/>
  <c r="D2941" i="3"/>
  <c r="D2940" i="3"/>
  <c r="D2939" i="3"/>
  <c r="D2938" i="3"/>
  <c r="Q42" i="117"/>
  <c r="Q41" i="117"/>
  <c r="Q40" i="117"/>
  <c r="Q39" i="117"/>
  <c r="Q38" i="117"/>
  <c r="Q37" i="117"/>
  <c r="Q36" i="117"/>
  <c r="Q34" i="117"/>
  <c r="Q33" i="117"/>
  <c r="Q32" i="117"/>
  <c r="Q31" i="117"/>
  <c r="Q30" i="117"/>
  <c r="Q29" i="117"/>
  <c r="Q28" i="117"/>
  <c r="Q27" i="117"/>
  <c r="Q26" i="117"/>
  <c r="Q24" i="117"/>
  <c r="Q23" i="117"/>
  <c r="Q22" i="117"/>
  <c r="Q21" i="117"/>
  <c r="Q20" i="117"/>
  <c r="Q19" i="117"/>
  <c r="Q18" i="117"/>
  <c r="Q17" i="117"/>
  <c r="Q16" i="117"/>
  <c r="Q15" i="117"/>
  <c r="Q14" i="117"/>
  <c r="Q13" i="117"/>
  <c r="Q12" i="117"/>
  <c r="Q10" i="117"/>
  <c r="Q9" i="117"/>
  <c r="Q8" i="117"/>
  <c r="Q7" i="117"/>
  <c r="Q6" i="117"/>
  <c r="Q5" i="117"/>
  <c r="P42" i="117"/>
  <c r="P41" i="117"/>
  <c r="P40" i="117"/>
  <c r="P39" i="117"/>
  <c r="P38" i="117"/>
  <c r="P37" i="117"/>
  <c r="P36" i="117"/>
  <c r="P34" i="117"/>
  <c r="P33" i="117"/>
  <c r="P32" i="117"/>
  <c r="P31" i="117"/>
  <c r="P30" i="117"/>
  <c r="P29" i="117"/>
  <c r="P28" i="117"/>
  <c r="P27" i="117"/>
  <c r="P26" i="117"/>
  <c r="P25" i="117"/>
  <c r="P24" i="117"/>
  <c r="P23" i="117"/>
  <c r="P22" i="117"/>
  <c r="P21" i="117"/>
  <c r="P20" i="117"/>
  <c r="P19" i="117"/>
  <c r="P18" i="117"/>
  <c r="P17" i="117"/>
  <c r="P16" i="117"/>
  <c r="P15" i="117"/>
  <c r="P14" i="117"/>
  <c r="P13" i="117"/>
  <c r="P12" i="117"/>
  <c r="P10" i="117"/>
  <c r="P9" i="117"/>
  <c r="P8" i="117"/>
  <c r="P7" i="117"/>
  <c r="P6" i="117"/>
  <c r="P5" i="117"/>
  <c r="O42" i="117"/>
  <c r="O41" i="117"/>
  <c r="O40" i="117"/>
  <c r="O39" i="117"/>
  <c r="O38" i="117"/>
  <c r="O37" i="117"/>
  <c r="O36" i="117"/>
  <c r="O34" i="117"/>
  <c r="O33" i="117"/>
  <c r="O32" i="117"/>
  <c r="O31" i="117"/>
  <c r="O30" i="117"/>
  <c r="O29" i="117"/>
  <c r="O28" i="117"/>
  <c r="O27" i="117"/>
  <c r="O26" i="117"/>
  <c r="O25" i="117"/>
  <c r="O24" i="117"/>
  <c r="O23" i="117"/>
  <c r="O22" i="117"/>
  <c r="O21" i="117"/>
  <c r="O20" i="117"/>
  <c r="O19" i="117"/>
  <c r="O18" i="117"/>
  <c r="O17" i="117"/>
  <c r="O16" i="117"/>
  <c r="O15" i="117"/>
  <c r="O14" i="117"/>
  <c r="O13" i="117"/>
  <c r="O12" i="117"/>
  <c r="O10" i="117"/>
  <c r="O9" i="117"/>
  <c r="O8" i="117"/>
  <c r="O7" i="117"/>
  <c r="O6" i="117"/>
  <c r="O5" i="117"/>
  <c r="N42" i="117"/>
  <c r="N41" i="117"/>
  <c r="N40" i="117"/>
  <c r="N39" i="117"/>
  <c r="N38" i="117"/>
  <c r="N37" i="117"/>
  <c r="N36" i="117"/>
  <c r="N34" i="117"/>
  <c r="N33" i="117"/>
  <c r="N32" i="117"/>
  <c r="N31" i="117"/>
  <c r="N30" i="117"/>
  <c r="N29" i="117"/>
  <c r="N28" i="117"/>
  <c r="N27" i="117"/>
  <c r="N26" i="117"/>
  <c r="N25" i="117"/>
  <c r="N24" i="117"/>
  <c r="N23" i="117"/>
  <c r="N22" i="117"/>
  <c r="N21" i="117"/>
  <c r="N20" i="117"/>
  <c r="N19" i="117"/>
  <c r="N18" i="117"/>
  <c r="N17" i="117"/>
  <c r="N16" i="117"/>
  <c r="N15" i="117"/>
  <c r="N14" i="117"/>
  <c r="N13" i="117"/>
  <c r="N12" i="117"/>
  <c r="N10" i="117"/>
  <c r="N9" i="117"/>
  <c r="N8" i="117"/>
  <c r="N7" i="117"/>
  <c r="N6" i="117"/>
  <c r="N5" i="117"/>
  <c r="M42" i="117"/>
  <c r="M41" i="117"/>
  <c r="M40" i="117"/>
  <c r="M39" i="117"/>
  <c r="M38" i="117"/>
  <c r="M37" i="117"/>
  <c r="M36" i="117"/>
  <c r="M34" i="117"/>
  <c r="M33" i="117"/>
  <c r="M32" i="117"/>
  <c r="M31" i="117"/>
  <c r="M30" i="117"/>
  <c r="M29" i="117"/>
  <c r="M28" i="117"/>
  <c r="M27" i="117"/>
  <c r="M26" i="117"/>
  <c r="M25" i="117"/>
  <c r="M24" i="117"/>
  <c r="M23" i="117"/>
  <c r="M22" i="117"/>
  <c r="M21" i="117"/>
  <c r="M20" i="117"/>
  <c r="M19" i="117"/>
  <c r="M18" i="117"/>
  <c r="M17" i="117"/>
  <c r="M16" i="117"/>
  <c r="M15" i="117"/>
  <c r="M14" i="117"/>
  <c r="M13" i="117"/>
  <c r="M12" i="117"/>
  <c r="M10" i="117"/>
  <c r="M9" i="117"/>
  <c r="M8" i="117"/>
  <c r="M7" i="117"/>
  <c r="M6" i="117"/>
  <c r="M5" i="117"/>
  <c r="L42" i="117"/>
  <c r="L41" i="117"/>
  <c r="L40" i="117"/>
  <c r="L39" i="117"/>
  <c r="L38" i="117"/>
  <c r="L37" i="117"/>
  <c r="L36" i="117"/>
  <c r="L34" i="117"/>
  <c r="L33" i="117"/>
  <c r="L32" i="117"/>
  <c r="L31" i="117"/>
  <c r="L30" i="117"/>
  <c r="L29" i="117"/>
  <c r="L28" i="117"/>
  <c r="L27" i="117"/>
  <c r="L26" i="117"/>
  <c r="L25" i="117"/>
  <c r="L24" i="117"/>
  <c r="L23" i="117"/>
  <c r="L22" i="117"/>
  <c r="L21" i="117"/>
  <c r="L20" i="117"/>
  <c r="L19" i="117"/>
  <c r="L18" i="117"/>
  <c r="L17" i="117"/>
  <c r="L16" i="117"/>
  <c r="L15" i="117"/>
  <c r="L14" i="117"/>
  <c r="L13" i="117"/>
  <c r="L12" i="117"/>
  <c r="L10" i="117"/>
  <c r="L9" i="117"/>
  <c r="L8" i="117"/>
  <c r="L7" i="117"/>
  <c r="L6" i="117"/>
  <c r="L5" i="117"/>
  <c r="K42" i="117"/>
  <c r="K41" i="117"/>
  <c r="K40" i="117"/>
  <c r="K39" i="117"/>
  <c r="K38" i="117"/>
  <c r="K37" i="117"/>
  <c r="K36" i="117"/>
  <c r="K34" i="117"/>
  <c r="K33" i="117"/>
  <c r="K32" i="117"/>
  <c r="K31" i="117"/>
  <c r="K30" i="117"/>
  <c r="K29" i="117"/>
  <c r="K28" i="117"/>
  <c r="K27" i="117"/>
  <c r="K26" i="117"/>
  <c r="K25" i="117"/>
  <c r="K24" i="117"/>
  <c r="K23" i="117"/>
  <c r="K22" i="117"/>
  <c r="K21" i="117"/>
  <c r="K20" i="117"/>
  <c r="K19" i="117"/>
  <c r="K18" i="117"/>
  <c r="K17" i="117"/>
  <c r="K16" i="117"/>
  <c r="K15" i="117"/>
  <c r="K14" i="117"/>
  <c r="K13" i="117"/>
  <c r="K12" i="117"/>
  <c r="K10" i="117"/>
  <c r="K9" i="117"/>
  <c r="K8" i="117"/>
  <c r="K7" i="117"/>
  <c r="K6" i="117"/>
  <c r="K5" i="117"/>
  <c r="J42" i="117"/>
  <c r="J41" i="117"/>
  <c r="J40" i="117"/>
  <c r="J39" i="117"/>
  <c r="J38" i="117"/>
  <c r="J37" i="117"/>
  <c r="J36" i="117"/>
  <c r="J34" i="117"/>
  <c r="J33" i="117"/>
  <c r="J32" i="117"/>
  <c r="J31" i="117"/>
  <c r="J30" i="117"/>
  <c r="J29" i="117"/>
  <c r="J28" i="117"/>
  <c r="J27" i="117"/>
  <c r="J26" i="117"/>
  <c r="J25" i="117"/>
  <c r="J24" i="117"/>
  <c r="J23" i="117"/>
  <c r="J22" i="117"/>
  <c r="J21" i="117"/>
  <c r="J20" i="117"/>
  <c r="J19" i="117"/>
  <c r="J18" i="117"/>
  <c r="J17" i="117"/>
  <c r="J16" i="117"/>
  <c r="J15" i="117"/>
  <c r="J14" i="117"/>
  <c r="J13" i="117"/>
  <c r="J12" i="117"/>
  <c r="J10" i="117"/>
  <c r="J9" i="117"/>
  <c r="J8" i="117"/>
  <c r="J7" i="117"/>
  <c r="J6" i="117"/>
  <c r="J5" i="117"/>
  <c r="I42" i="117"/>
  <c r="I41" i="117"/>
  <c r="I40" i="117"/>
  <c r="I39" i="117"/>
  <c r="I38" i="117"/>
  <c r="I37" i="117"/>
  <c r="I36" i="117"/>
  <c r="I34" i="117"/>
  <c r="I33" i="117"/>
  <c r="I32" i="117"/>
  <c r="I31" i="117"/>
  <c r="I30" i="117"/>
  <c r="I29" i="117"/>
  <c r="I28" i="117"/>
  <c r="I27" i="117"/>
  <c r="I26" i="117"/>
  <c r="I25" i="117"/>
  <c r="I24" i="117"/>
  <c r="I23" i="117"/>
  <c r="I22" i="117"/>
  <c r="I21" i="117"/>
  <c r="I20" i="117"/>
  <c r="I19" i="117"/>
  <c r="I18" i="117"/>
  <c r="I17" i="117"/>
  <c r="I16" i="117"/>
  <c r="I15" i="117"/>
  <c r="I14" i="117"/>
  <c r="I13" i="117"/>
  <c r="I12" i="117"/>
  <c r="I10" i="117"/>
  <c r="I9" i="117"/>
  <c r="I8" i="117"/>
  <c r="I7" i="117"/>
  <c r="I6" i="117"/>
  <c r="I5" i="117"/>
  <c r="H42" i="117"/>
  <c r="H41" i="117"/>
  <c r="H40" i="117"/>
  <c r="H39" i="117"/>
  <c r="H38" i="117"/>
  <c r="H37" i="117"/>
  <c r="H36" i="117"/>
  <c r="H34" i="117"/>
  <c r="H33" i="117"/>
  <c r="H32" i="117"/>
  <c r="H31" i="117"/>
  <c r="H30" i="117"/>
  <c r="H29" i="117"/>
  <c r="H28" i="117"/>
  <c r="H27" i="117"/>
  <c r="H26" i="117"/>
  <c r="H25" i="117"/>
  <c r="H24" i="117"/>
  <c r="H23" i="117"/>
  <c r="H22" i="117"/>
  <c r="H21" i="117"/>
  <c r="H20" i="117"/>
  <c r="H19" i="117"/>
  <c r="H18" i="117"/>
  <c r="H17" i="117"/>
  <c r="H16" i="117"/>
  <c r="H15" i="117"/>
  <c r="H14" i="117"/>
  <c r="H13" i="117"/>
  <c r="H12" i="117"/>
  <c r="H10" i="117"/>
  <c r="H9" i="117"/>
  <c r="H8" i="117"/>
  <c r="H7" i="117"/>
  <c r="H6" i="117"/>
  <c r="H5" i="117"/>
  <c r="G42" i="117"/>
  <c r="G41" i="117"/>
  <c r="G40" i="117"/>
  <c r="G39" i="117"/>
  <c r="G38" i="117"/>
  <c r="G37" i="117"/>
  <c r="G36" i="117"/>
  <c r="G34" i="117"/>
  <c r="G33" i="117"/>
  <c r="G32" i="117"/>
  <c r="G31" i="117"/>
  <c r="G30" i="117"/>
  <c r="G29" i="117"/>
  <c r="G28" i="117"/>
  <c r="G27" i="117"/>
  <c r="G26" i="117"/>
  <c r="G25" i="117"/>
  <c r="G24" i="117"/>
  <c r="G23" i="117"/>
  <c r="G22" i="117"/>
  <c r="G21" i="117"/>
  <c r="G20" i="117"/>
  <c r="G19" i="117"/>
  <c r="G18" i="117"/>
  <c r="G17" i="117"/>
  <c r="G16" i="117"/>
  <c r="G15" i="117"/>
  <c r="G14" i="117"/>
  <c r="G13" i="117"/>
  <c r="G12" i="117"/>
  <c r="G10" i="117"/>
  <c r="G9" i="117"/>
  <c r="G8" i="117"/>
  <c r="G7" i="117"/>
  <c r="G6" i="117"/>
  <c r="G5" i="117"/>
  <c r="F42" i="117"/>
  <c r="F41" i="117"/>
  <c r="F40" i="117"/>
  <c r="F39" i="117"/>
  <c r="F38" i="117"/>
  <c r="F37" i="117"/>
  <c r="F36" i="117"/>
  <c r="F34" i="117"/>
  <c r="F33" i="117"/>
  <c r="F32" i="117"/>
  <c r="F31" i="117"/>
  <c r="F30" i="117"/>
  <c r="F29" i="117"/>
  <c r="F28" i="117"/>
  <c r="F27" i="117"/>
  <c r="F26" i="117"/>
  <c r="F25" i="117"/>
  <c r="F24" i="117"/>
  <c r="F23" i="117"/>
  <c r="F22" i="117"/>
  <c r="F21" i="117"/>
  <c r="F20" i="117"/>
  <c r="F19" i="117"/>
  <c r="F18" i="117"/>
  <c r="F17" i="117"/>
  <c r="F16" i="117"/>
  <c r="F15" i="117"/>
  <c r="F14" i="117"/>
  <c r="F13" i="117"/>
  <c r="F12" i="117"/>
  <c r="F10" i="117"/>
  <c r="F9" i="117"/>
  <c r="F8" i="117"/>
  <c r="F7" i="117"/>
  <c r="F6" i="117"/>
  <c r="F5" i="117"/>
  <c r="E42" i="117"/>
  <c r="E41" i="117"/>
  <c r="E40" i="117"/>
  <c r="E39" i="117"/>
  <c r="E38" i="117"/>
  <c r="E37" i="117"/>
  <c r="E36" i="117"/>
  <c r="E34" i="117"/>
  <c r="E33" i="117"/>
  <c r="E32" i="117"/>
  <c r="E31" i="117"/>
  <c r="E30" i="117"/>
  <c r="E29" i="117"/>
  <c r="E28" i="117"/>
  <c r="E27" i="117"/>
  <c r="E26" i="117"/>
  <c r="E25" i="117"/>
  <c r="E24" i="117"/>
  <c r="E23" i="117"/>
  <c r="E22" i="117"/>
  <c r="E21" i="117"/>
  <c r="E20" i="117"/>
  <c r="E19" i="117"/>
  <c r="E18" i="117"/>
  <c r="E17" i="117"/>
  <c r="E16" i="117"/>
  <c r="E15" i="117"/>
  <c r="E14" i="117"/>
  <c r="E13" i="117"/>
  <c r="E12" i="117"/>
  <c r="E10" i="117"/>
  <c r="E9" i="117"/>
  <c r="E8" i="117"/>
  <c r="E7" i="117"/>
  <c r="E6" i="117"/>
  <c r="E5" i="117"/>
  <c r="D42" i="117"/>
  <c r="D41" i="117"/>
  <c r="D40" i="117"/>
  <c r="D39" i="117"/>
  <c r="D37" i="117"/>
  <c r="D33" i="117"/>
  <c r="D31" i="117"/>
  <c r="D29" i="117"/>
  <c r="D27" i="117"/>
  <c r="D25" i="117"/>
  <c r="D23" i="117"/>
  <c r="D21" i="117"/>
  <c r="D19" i="117"/>
  <c r="D17" i="117"/>
  <c r="D15" i="117"/>
  <c r="D13" i="117"/>
  <c r="B27" i="180" l="1"/>
  <c r="B27" i="179"/>
  <c r="B27" i="178"/>
  <c r="B27" i="177"/>
  <c r="B27" i="176"/>
  <c r="B27" i="175"/>
  <c r="B27" i="174"/>
  <c r="B27" i="173"/>
  <c r="B27" i="172"/>
  <c r="B27" i="171"/>
  <c r="B27" i="170"/>
  <c r="B27" i="169"/>
  <c r="B27" i="168"/>
  <c r="F7" i="180"/>
  <c r="B29" i="180"/>
  <c r="B28" i="180"/>
  <c r="B26" i="180"/>
  <c r="B25" i="180"/>
  <c r="B23" i="180"/>
  <c r="B22" i="180"/>
  <c r="B20" i="180"/>
  <c r="B19" i="180"/>
  <c r="B18" i="180"/>
  <c r="B17" i="180"/>
  <c r="B16" i="180"/>
  <c r="B15" i="180"/>
  <c r="B21" i="180" s="1"/>
  <c r="B12" i="180"/>
  <c r="B11" i="180"/>
  <c r="B10" i="180"/>
  <c r="B9" i="180"/>
  <c r="B8" i="180"/>
  <c r="B7" i="180"/>
  <c r="F7" i="179"/>
  <c r="B29" i="179"/>
  <c r="B28" i="179"/>
  <c r="B26" i="179"/>
  <c r="B25" i="179"/>
  <c r="B23" i="179"/>
  <c r="B22" i="179"/>
  <c r="B20" i="179"/>
  <c r="B19" i="179"/>
  <c r="B18" i="179"/>
  <c r="B17" i="179"/>
  <c r="B16" i="179"/>
  <c r="B15" i="179"/>
  <c r="B21" i="179" s="1"/>
  <c r="B12" i="179"/>
  <c r="B11" i="179"/>
  <c r="B10" i="179"/>
  <c r="B9" i="179"/>
  <c r="B8" i="179"/>
  <c r="B7" i="179"/>
  <c r="F7" i="178"/>
  <c r="B29" i="178"/>
  <c r="B28" i="178"/>
  <c r="B26" i="178"/>
  <c r="B25" i="178"/>
  <c r="B23" i="178"/>
  <c r="B22" i="178"/>
  <c r="B20" i="178"/>
  <c r="B19" i="178"/>
  <c r="B18" i="178"/>
  <c r="B17" i="178"/>
  <c r="B16" i="178"/>
  <c r="B15" i="178"/>
  <c r="B21" i="178" s="1"/>
  <c r="B12" i="178"/>
  <c r="B11" i="178"/>
  <c r="B10" i="178"/>
  <c r="B9" i="178"/>
  <c r="B8" i="178"/>
  <c r="B7" i="178"/>
  <c r="F7" i="177"/>
  <c r="B29" i="177"/>
  <c r="B28" i="177"/>
  <c r="B26" i="177"/>
  <c r="B25" i="177"/>
  <c r="B23" i="177"/>
  <c r="B22" i="177"/>
  <c r="B20" i="177"/>
  <c r="B19" i="177"/>
  <c r="B18" i="177"/>
  <c r="B17" i="177"/>
  <c r="B16" i="177"/>
  <c r="B15" i="177"/>
  <c r="B12" i="177"/>
  <c r="B11" i="177"/>
  <c r="B10" i="177"/>
  <c r="B9" i="177"/>
  <c r="B8" i="177"/>
  <c r="B7" i="177"/>
  <c r="F7" i="176"/>
  <c r="B29" i="176"/>
  <c r="B28" i="176"/>
  <c r="B26" i="176"/>
  <c r="B25" i="176"/>
  <c r="B23" i="176"/>
  <c r="B22" i="176"/>
  <c r="B20" i="176"/>
  <c r="B19" i="176"/>
  <c r="B18" i="176"/>
  <c r="B17" i="176"/>
  <c r="B16" i="176"/>
  <c r="B15" i="176"/>
  <c r="B21" i="176" s="1"/>
  <c r="B12" i="176"/>
  <c r="B11" i="176"/>
  <c r="B10" i="176"/>
  <c r="B9" i="176"/>
  <c r="B8" i="176"/>
  <c r="B7" i="176"/>
  <c r="F7" i="175"/>
  <c r="B29" i="175"/>
  <c r="B28" i="175"/>
  <c r="B26" i="175"/>
  <c r="B25" i="175"/>
  <c r="B23" i="175"/>
  <c r="B22" i="175"/>
  <c r="B20" i="175"/>
  <c r="B19" i="175"/>
  <c r="B18" i="175"/>
  <c r="B17" i="175"/>
  <c r="B16" i="175"/>
  <c r="B15" i="175"/>
  <c r="B21" i="175" s="1"/>
  <c r="B12" i="175"/>
  <c r="B11" i="175"/>
  <c r="B10" i="175"/>
  <c r="B9" i="175"/>
  <c r="B8" i="175"/>
  <c r="B7" i="175"/>
  <c r="F7" i="174"/>
  <c r="B29" i="174"/>
  <c r="B28" i="174"/>
  <c r="B26" i="174"/>
  <c r="B25" i="174"/>
  <c r="B23" i="174"/>
  <c r="B22" i="174"/>
  <c r="B20" i="174"/>
  <c r="B19" i="174"/>
  <c r="B18" i="174"/>
  <c r="B17" i="174"/>
  <c r="B16" i="174"/>
  <c r="B15" i="174"/>
  <c r="B12" i="174"/>
  <c r="B11" i="174"/>
  <c r="B10" i="174"/>
  <c r="B9" i="174"/>
  <c r="B8" i="174"/>
  <c r="B7" i="174"/>
  <c r="F7" i="173"/>
  <c r="B29" i="173"/>
  <c r="B28" i="173"/>
  <c r="B26" i="173"/>
  <c r="B25" i="173"/>
  <c r="B23" i="173"/>
  <c r="B22" i="173"/>
  <c r="B20" i="173"/>
  <c r="B19" i="173"/>
  <c r="B18" i="173"/>
  <c r="B17" i="173"/>
  <c r="B16" i="173"/>
  <c r="B15" i="173"/>
  <c r="B12" i="173"/>
  <c r="B11" i="173"/>
  <c r="B10" i="173"/>
  <c r="B9" i="173"/>
  <c r="B8" i="173"/>
  <c r="B7" i="173"/>
  <c r="F7" i="172"/>
  <c r="B29" i="172"/>
  <c r="B28" i="172"/>
  <c r="B26" i="172"/>
  <c r="B25" i="172"/>
  <c r="B23" i="172"/>
  <c r="B22" i="172"/>
  <c r="B20" i="172"/>
  <c r="B19" i="172"/>
  <c r="B18" i="172"/>
  <c r="B17" i="172"/>
  <c r="B16" i="172"/>
  <c r="B15" i="172"/>
  <c r="B21" i="172" s="1"/>
  <c r="B12" i="172"/>
  <c r="B11" i="172"/>
  <c r="B10" i="172"/>
  <c r="B9" i="172"/>
  <c r="B8" i="172"/>
  <c r="B7" i="172"/>
  <c r="F7" i="171"/>
  <c r="B29" i="171"/>
  <c r="B28" i="171"/>
  <c r="B26" i="171"/>
  <c r="B25" i="171"/>
  <c r="B23" i="171"/>
  <c r="B22" i="171"/>
  <c r="B20" i="171"/>
  <c r="B19" i="171"/>
  <c r="B18" i="171"/>
  <c r="B17" i="171"/>
  <c r="B16" i="171"/>
  <c r="B15" i="171"/>
  <c r="B21" i="171" s="1"/>
  <c r="B12" i="171"/>
  <c r="B11" i="171"/>
  <c r="B10" i="171"/>
  <c r="B9" i="171"/>
  <c r="B8" i="171"/>
  <c r="B7" i="171"/>
  <c r="F7" i="170"/>
  <c r="B29" i="170"/>
  <c r="B28" i="170"/>
  <c r="B26" i="170"/>
  <c r="B25" i="170"/>
  <c r="B23" i="170"/>
  <c r="B22" i="170"/>
  <c r="B20" i="170"/>
  <c r="B19" i="170"/>
  <c r="B18" i="170"/>
  <c r="B17" i="170"/>
  <c r="B16" i="170"/>
  <c r="B15" i="170"/>
  <c r="B21" i="170" s="1"/>
  <c r="B12" i="170"/>
  <c r="B11" i="170"/>
  <c r="B10" i="170"/>
  <c r="B9" i="170"/>
  <c r="B8" i="170"/>
  <c r="B7" i="170"/>
  <c r="F7" i="169"/>
  <c r="B29" i="169"/>
  <c r="B28" i="169"/>
  <c r="B26" i="169"/>
  <c r="B25" i="169"/>
  <c r="B23" i="169"/>
  <c r="B22" i="169"/>
  <c r="B20" i="169"/>
  <c r="B19" i="169"/>
  <c r="B18" i="169"/>
  <c r="B17" i="169"/>
  <c r="B16" i="169"/>
  <c r="B15" i="169"/>
  <c r="B12" i="169"/>
  <c r="B11" i="169"/>
  <c r="B10" i="169"/>
  <c r="B9" i="169"/>
  <c r="B8" i="169"/>
  <c r="B7" i="169"/>
  <c r="B29" i="168"/>
  <c r="B28" i="168"/>
  <c r="B26" i="168"/>
  <c r="B25" i="168"/>
  <c r="B23" i="168"/>
  <c r="B22" i="168"/>
  <c r="B20" i="168"/>
  <c r="B19" i="168"/>
  <c r="B18" i="168"/>
  <c r="B17" i="168"/>
  <c r="B16" i="168"/>
  <c r="B15" i="168"/>
  <c r="B21" i="168" s="1"/>
  <c r="B12" i="168"/>
  <c r="B11" i="168"/>
  <c r="B10" i="168"/>
  <c r="B9" i="168"/>
  <c r="B8" i="168"/>
  <c r="B7" i="168"/>
  <c r="F7" i="168"/>
  <c r="F7" i="167"/>
  <c r="B29" i="167"/>
  <c r="D38" i="117" s="1"/>
  <c r="B22" i="76" s="1"/>
  <c r="B28" i="167"/>
  <c r="D36" i="117" s="1"/>
  <c r="B26" i="167"/>
  <c r="D32" i="117" s="1"/>
  <c r="B25" i="167"/>
  <c r="D30" i="117" s="1"/>
  <c r="B23" i="167"/>
  <c r="D28" i="117" s="1"/>
  <c r="B36" i="195" s="1"/>
  <c r="D36" i="195" s="1"/>
  <c r="B22" i="167"/>
  <c r="D26" i="117" s="1"/>
  <c r="B20" i="167"/>
  <c r="D22" i="117" s="1"/>
  <c r="B19" i="167"/>
  <c r="D20" i="117" s="1"/>
  <c r="B18" i="167"/>
  <c r="D18" i="117" s="1"/>
  <c r="B17" i="167"/>
  <c r="D16" i="117" s="1"/>
  <c r="B16" i="167"/>
  <c r="D14" i="117" s="1"/>
  <c r="B15" i="167"/>
  <c r="D12" i="117" s="1"/>
  <c r="B12" i="167"/>
  <c r="D10" i="117" s="1"/>
  <c r="B11" i="167"/>
  <c r="D9" i="117" s="1"/>
  <c r="B10" i="167"/>
  <c r="D8" i="117" s="1"/>
  <c r="B9" i="167"/>
  <c r="D7" i="117" s="1"/>
  <c r="B8" i="167"/>
  <c r="D6" i="117" s="1"/>
  <c r="B7" i="167"/>
  <c r="A32" i="180"/>
  <c r="A31" i="180"/>
  <c r="A30" i="180"/>
  <c r="C24" i="180"/>
  <c r="C21" i="180"/>
  <c r="Q25" i="117" s="1"/>
  <c r="C14" i="180"/>
  <c r="A2" i="180"/>
  <c r="A1" i="180"/>
  <c r="A32" i="179"/>
  <c r="A31" i="179"/>
  <c r="A30" i="179"/>
  <c r="C24" i="179"/>
  <c r="C21" i="179"/>
  <c r="C14" i="179"/>
  <c r="A2" i="179"/>
  <c r="A1" i="179"/>
  <c r="A32" i="178"/>
  <c r="A31" i="178"/>
  <c r="A30" i="178"/>
  <c r="C24" i="178"/>
  <c r="C21" i="178"/>
  <c r="C14" i="178"/>
  <c r="A2" i="178"/>
  <c r="A1" i="178"/>
  <c r="A32" i="177"/>
  <c r="A31" i="177"/>
  <c r="A30" i="177"/>
  <c r="C24" i="177"/>
  <c r="C21" i="177"/>
  <c r="B21" i="177"/>
  <c r="C14" i="177"/>
  <c r="A2" i="177"/>
  <c r="A1" i="177"/>
  <c r="A32" i="176"/>
  <c r="A31" i="176"/>
  <c r="A30" i="176"/>
  <c r="C24" i="176"/>
  <c r="C21" i="176"/>
  <c r="C14" i="176"/>
  <c r="A2" i="176"/>
  <c r="A1" i="176"/>
  <c r="A32" i="175"/>
  <c r="A31" i="175"/>
  <c r="A30" i="175"/>
  <c r="C24" i="175"/>
  <c r="C21" i="175"/>
  <c r="C14" i="175"/>
  <c r="A2" i="175"/>
  <c r="A1" i="175"/>
  <c r="A32" i="174"/>
  <c r="A31" i="174"/>
  <c r="A30" i="174"/>
  <c r="C24" i="174"/>
  <c r="C21" i="174"/>
  <c r="C14" i="174"/>
  <c r="A2" i="174"/>
  <c r="A1" i="174"/>
  <c r="A32" i="173"/>
  <c r="A31" i="173"/>
  <c r="A30" i="173"/>
  <c r="C24" i="173"/>
  <c r="C21" i="173"/>
  <c r="B21" i="173"/>
  <c r="C14" i="173"/>
  <c r="A2" i="173"/>
  <c r="A1" i="173"/>
  <c r="A32" i="172"/>
  <c r="A31" i="172"/>
  <c r="A30" i="172"/>
  <c r="C24" i="172"/>
  <c r="C21" i="172"/>
  <c r="C14" i="172"/>
  <c r="A2" i="172"/>
  <c r="A1" i="172"/>
  <c r="A32" i="171"/>
  <c r="A31" i="171"/>
  <c r="A30" i="171"/>
  <c r="C24" i="171"/>
  <c r="C21" i="171"/>
  <c r="C14" i="171"/>
  <c r="A2" i="171"/>
  <c r="A1" i="171"/>
  <c r="A32" i="170"/>
  <c r="A31" i="170"/>
  <c r="A30" i="170"/>
  <c r="C24" i="170"/>
  <c r="C21" i="170"/>
  <c r="C14" i="170"/>
  <c r="A2" i="170"/>
  <c r="A1" i="170"/>
  <c r="A32" i="169"/>
  <c r="A31" i="169"/>
  <c r="A30" i="169"/>
  <c r="C24" i="169"/>
  <c r="C21" i="169"/>
  <c r="B21" i="169"/>
  <c r="C14" i="169"/>
  <c r="A2" i="169"/>
  <c r="A1" i="169"/>
  <c r="A32" i="168"/>
  <c r="A31" i="168"/>
  <c r="A30" i="168"/>
  <c r="C24" i="168"/>
  <c r="C21" i="168"/>
  <c r="C14" i="168"/>
  <c r="A2" i="168"/>
  <c r="A1" i="168"/>
  <c r="A32" i="167"/>
  <c r="A31" i="167"/>
  <c r="A30" i="167"/>
  <c r="C24" i="167"/>
  <c r="C21" i="167"/>
  <c r="C14" i="167"/>
  <c r="A2" i="167"/>
  <c r="A1" i="167"/>
  <c r="C36" i="117"/>
  <c r="C29" i="117"/>
  <c r="C28" i="117"/>
  <c r="C27" i="117"/>
  <c r="C23" i="117"/>
  <c r="C21" i="117"/>
  <c r="C19" i="117"/>
  <c r="C17" i="117"/>
  <c r="C15" i="117"/>
  <c r="C13" i="117"/>
  <c r="C23" i="195" s="1"/>
  <c r="A40" i="117"/>
  <c r="B28" i="102"/>
  <c r="B23" i="102"/>
  <c r="B22" i="102"/>
  <c r="C26" i="117" s="1"/>
  <c r="B20" i="102"/>
  <c r="C22" i="117" s="1"/>
  <c r="B19" i="102"/>
  <c r="C20" i="117" s="1"/>
  <c r="B18" i="102"/>
  <c r="C18" i="117" s="1"/>
  <c r="B17" i="102"/>
  <c r="C16" i="117" s="1"/>
  <c r="B16" i="102"/>
  <c r="C14" i="117" s="1"/>
  <c r="B15" i="102"/>
  <c r="C12" i="117" s="1"/>
  <c r="B23" i="195" s="1"/>
  <c r="A41" i="98"/>
  <c r="A40" i="98"/>
  <c r="D23" i="195" l="1"/>
  <c r="B30" i="195"/>
  <c r="D30" i="195" s="1"/>
  <c r="B35" i="195"/>
  <c r="D35" i="195" s="1"/>
  <c r="B24" i="195"/>
  <c r="D24" i="195" s="1"/>
  <c r="B28" i="195"/>
  <c r="D28" i="195" s="1"/>
  <c r="B26" i="195"/>
  <c r="D26" i="195" s="1"/>
  <c r="B25" i="195"/>
  <c r="D25" i="195" s="1"/>
  <c r="B21" i="167"/>
  <c r="D3897" i="3"/>
  <c r="D2997" i="3"/>
  <c r="D5" i="117"/>
  <c r="D2937" i="3"/>
  <c r="C27" i="180"/>
  <c r="Q35" i="117" s="1"/>
  <c r="C27" i="175"/>
  <c r="L35" i="117" s="1"/>
  <c r="C27" i="176"/>
  <c r="M35" i="117" s="1"/>
  <c r="C27" i="178"/>
  <c r="O35" i="117" s="1"/>
  <c r="B21" i="174"/>
  <c r="C27" i="177"/>
  <c r="N35" i="117" s="1"/>
  <c r="C27" i="179"/>
  <c r="P35" i="117" s="1"/>
  <c r="C27" i="173"/>
  <c r="J35" i="117" s="1"/>
  <c r="C27" i="172"/>
  <c r="I35" i="117" s="1"/>
  <c r="C27" i="170"/>
  <c r="G35" i="117" s="1"/>
  <c r="C27" i="171"/>
  <c r="H35" i="117" s="1"/>
  <c r="C27" i="169"/>
  <c r="F35" i="117" s="1"/>
  <c r="C27" i="168"/>
  <c r="D5562" i="3" a="1"/>
  <c r="D4310" i="3" a="1"/>
  <c r="D4305" i="3" a="1"/>
  <c r="D5884" i="3" a="1"/>
  <c r="D6235" i="3" a="1"/>
  <c r="D6711" i="3" a="1"/>
  <c r="D5536" i="3" a="1"/>
  <c r="D5355" i="3" a="1"/>
  <c r="D5443" i="3" a="1"/>
  <c r="D5357" i="3" a="1"/>
  <c r="D5272" i="3" a="1"/>
  <c r="D5273" i="3" a="1"/>
  <c r="P4" i="117" a="1"/>
  <c r="D6143" i="3" a="1"/>
  <c r="D5795" i="3" a="1"/>
  <c r="D4309" i="3" a="1"/>
  <c r="D5433" i="3" a="1"/>
  <c r="D5191" i="3" a="1"/>
  <c r="D5904" i="3" a="1"/>
  <c r="D5826" i="3" a="1"/>
  <c r="D6134" i="3" a="1"/>
  <c r="D5198" i="3" a="1"/>
  <c r="D5805" i="3" a="1"/>
  <c r="D6227" i="3" a="1"/>
  <c r="D5566" i="3" a="1"/>
  <c r="D5828" i="3" a="1"/>
  <c r="D6715" i="3" a="1"/>
  <c r="D5170" i="3" a="1"/>
  <c r="D5975" i="3" a="1"/>
  <c r="D5350" i="3" a="1"/>
  <c r="D5807" i="3" a="1"/>
  <c r="D5908" i="3" a="1"/>
  <c r="D5896" i="3" a="1"/>
  <c r="D5164" i="3" a="1"/>
  <c r="D5343" i="3" a="1"/>
  <c r="D5461" i="3" a="1"/>
  <c r="D5201" i="3" a="1"/>
  <c r="D6129" i="3" a="1"/>
  <c r="D5346" i="3" a="1"/>
  <c r="D6236" i="3" a="1"/>
  <c r="D5446" i="3" a="1"/>
  <c r="D5445" i="3" a="1"/>
  <c r="D5288" i="3" a="1"/>
  <c r="D5365" i="3" a="1"/>
  <c r="D5912" i="3" a="1"/>
  <c r="D5817" i="3" a="1"/>
  <c r="D5473" i="3" a="1"/>
  <c r="D6724" i="3" a="1"/>
  <c r="D5556" i="3" a="1"/>
  <c r="D5978" i="3" a="1"/>
  <c r="D5657" i="3" a="1"/>
  <c r="D5636" i="3" a="1"/>
  <c r="D5652" i="3" a="1"/>
  <c r="D4360" i="3" a="1"/>
  <c r="D5177" i="3" a="1"/>
  <c r="D5472" i="3" a="1"/>
  <c r="D6016" i="3" a="1"/>
  <c r="D5542" i="3" a="1"/>
  <c r="D5449" i="3" a="1"/>
  <c r="D6005" i="3" a="1"/>
  <c r="D5185" i="3" a="1"/>
  <c r="D5294" i="3" a="1"/>
  <c r="D6710" i="3" a="1"/>
  <c r="D4352" i="3" a="1"/>
  <c r="D5203" i="3" a="1"/>
  <c r="D6730" i="3" a="1"/>
  <c r="D5631" i="3" a="1"/>
  <c r="D6116" i="3" a="1"/>
  <c r="D5903" i="3" a="1"/>
  <c r="D6007" i="3" a="1"/>
  <c r="D4313" i="3" a="1"/>
  <c r="D6234" i="3" a="1"/>
  <c r="D4307" i="3" a="1"/>
  <c r="D6239" i="3" a="1"/>
  <c r="D5987" i="3" a="1"/>
  <c r="D5621" i="3" a="1"/>
  <c r="D6224" i="3" a="1"/>
  <c r="D5548" i="3" a="1"/>
  <c r="D4291" i="3" a="1"/>
  <c r="D6240" i="3" a="1"/>
  <c r="D4326" i="3" a="1"/>
  <c r="D6716" i="3" a="1"/>
  <c r="D5282" i="3" a="1"/>
  <c r="D6149" i="3" a="1"/>
  <c r="D4353" i="3" a="1"/>
  <c r="D5615" i="3" a="1"/>
  <c r="D5829" i="3" a="1"/>
  <c r="D5537" i="3" a="1"/>
  <c r="O4" i="117" a="1"/>
  <c r="D6221" i="3" a="1"/>
  <c r="D5649" i="3" a="1"/>
  <c r="D5451" i="3" a="1"/>
  <c r="D6731" i="3" a="1"/>
  <c r="D6698" i="3" a="1"/>
  <c r="D5284" i="3" a="1"/>
  <c r="D4323" i="3" a="1"/>
  <c r="D6703" i="3" a="1"/>
  <c r="D5280" i="3" a="1"/>
  <c r="D5531" i="3" a="1"/>
  <c r="D5253" i="3" a="1"/>
  <c r="D6008" i="3" a="1"/>
  <c r="D5382" i="3" a="1"/>
  <c r="D5614" i="3" a="1"/>
  <c r="D5266" i="3" a="1"/>
  <c r="D5167" i="3" a="1"/>
  <c r="D6015" i="3" a="1"/>
  <c r="D5369" i="3" a="1"/>
  <c r="D5886" i="3" a="1"/>
  <c r="D5626" i="3" a="1"/>
  <c r="D5172" i="3" a="1"/>
  <c r="D5894" i="3" a="1"/>
  <c r="D5464" i="3" a="1"/>
  <c r="D5988" i="3" a="1"/>
  <c r="D6719" i="3" a="1"/>
  <c r="D5991" i="3" a="1"/>
  <c r="D6705" i="3" a="1"/>
  <c r="D5467" i="3" a="1"/>
  <c r="D5561" i="3" a="1"/>
  <c r="D5457" i="3" a="1"/>
  <c r="D5376" i="3" a="1"/>
  <c r="D5914" i="3" a="1"/>
  <c r="D5642" i="3" a="1"/>
  <c r="D5889" i="3" a="1"/>
  <c r="D5919" i="3" a="1"/>
  <c r="D6228" i="3" a="1"/>
  <c r="D6202" i="3" a="1"/>
  <c r="D4344" i="3" a="1"/>
  <c r="D6145" i="3" a="1"/>
  <c r="D4295" i="3" a="1"/>
  <c r="D6198" i="3" a="1"/>
  <c r="D6200" i="3" a="1"/>
  <c r="D5387" i="3" a="1"/>
  <c r="D4332" i="3" a="1"/>
  <c r="D5462" i="3" a="1"/>
  <c r="D5836" i="3" a="1"/>
  <c r="D5270" i="3" a="1"/>
  <c r="D4299" i="3" a="1"/>
  <c r="D5202" i="3" a="1"/>
  <c r="D5997" i="3" a="1"/>
  <c r="D4334" i="3" a="1"/>
  <c r="D5385" i="3" a="1"/>
  <c r="D5637" i="3" a="1"/>
  <c r="D6729" i="3" a="1"/>
  <c r="D6230" i="3" a="1"/>
  <c r="D6707" i="3" a="1"/>
  <c r="D6696" i="3" a="1"/>
  <c r="D6229" i="3" a="1"/>
  <c r="D5648" i="3" a="1"/>
  <c r="D5539" i="3" a="1"/>
  <c r="D6124" i="3" a="1"/>
  <c r="D6131" i="3" a="1"/>
  <c r="D6713" i="3" a="1"/>
  <c r="D5526" i="3" a="1"/>
  <c r="D5625" i="3" a="1"/>
  <c r="D5450" i="3" a="1"/>
  <c r="D5623" i="3" a="1"/>
  <c r="D5819" i="3" a="1"/>
  <c r="D5262" i="3" a="1"/>
  <c r="D5275" i="3" a="1"/>
  <c r="D6115" i="3" a="1"/>
  <c r="D5354" i="3" a="1"/>
  <c r="D5195" i="3" a="1"/>
  <c r="D4" i="117" a="1"/>
  <c r="D5632" i="3" a="1"/>
  <c r="D5921" i="3" a="1"/>
  <c r="D4306" i="3" a="1"/>
  <c r="D5374" i="3" a="1"/>
  <c r="D5384" i="3" a="1"/>
  <c r="D5368" i="3" a="1"/>
  <c r="D5560" i="3" a="1"/>
  <c r="D4339" i="3" a="1"/>
  <c r="D4314" i="3" a="1"/>
  <c r="D4304" i="3" a="1"/>
  <c r="D5258" i="3" a="1"/>
  <c r="D5386" i="3" a="1"/>
  <c r="D5289" i="3" a="1"/>
  <c r="D5455" i="3" a="1"/>
  <c r="D6148" i="3" a="1"/>
  <c r="D6140" i="3" a="1"/>
  <c r="D5980" i="3" a="1"/>
  <c r="D5821" i="3" a="1"/>
  <c r="D5900" i="3" a="1"/>
  <c r="D5463" i="3" a="1"/>
  <c r="D5444" i="3" a="1"/>
  <c r="D6219" i="3" a="1"/>
  <c r="D5813" i="3" a="1"/>
  <c r="D5527" i="3" a="1"/>
  <c r="D5629" i="3" a="1"/>
  <c r="D5447" i="3" a="1"/>
  <c r="D5345" i="3" a="1"/>
  <c r="D6114" i="3" a="1"/>
  <c r="D5543" i="3" a="1"/>
  <c r="D5565" i="3" a="1"/>
  <c r="D5359" i="3" a="1"/>
  <c r="D6121" i="3" a="1"/>
  <c r="D5348" i="3" a="1"/>
  <c r="D5555" i="3" a="1"/>
  <c r="D6130" i="3" a="1"/>
  <c r="D5891" i="3" a="1"/>
  <c r="D5381" i="3" a="1"/>
  <c r="D4317" i="3" a="1"/>
  <c r="D6144" i="3" a="1"/>
  <c r="D5812" i="3" a="1"/>
  <c r="D5435" i="3" a="1"/>
  <c r="D5168" i="3" a="1"/>
  <c r="D5890" i="3" a="1"/>
  <c r="D4296" i="3" a="1"/>
  <c r="D5528" i="3" a="1"/>
  <c r="D5617" i="3" a="1"/>
  <c r="D5260" i="3" a="1"/>
  <c r="D5439" i="3" a="1"/>
  <c r="D5458" i="3" a="1"/>
  <c r="D6135" i="3" a="1"/>
  <c r="D5441" i="3" a="1"/>
  <c r="D5255" i="3" a="1"/>
  <c r="D5187" i="3" a="1"/>
  <c r="D4288" i="3" a="1"/>
  <c r="D6199" i="3" a="1"/>
  <c r="D5564" i="3" a="1"/>
  <c r="D5973" i="3" a="1"/>
  <c r="D4329" i="3" a="1"/>
  <c r="D6119" i="3" a="1"/>
  <c r="D5207" i="3" a="1"/>
  <c r="D6735" i="3" a="1"/>
  <c r="D6232" i="3" a="1"/>
  <c r="D5628" i="3" a="1"/>
  <c r="D5274" i="3" a="1"/>
  <c r="D6222" i="3" a="1"/>
  <c r="D5985" i="3" a="1"/>
  <c r="D5641" i="3" a="1"/>
  <c r="D5638" i="3" a="1"/>
  <c r="D5899" i="3" a="1"/>
  <c r="D6137" i="3" a="1"/>
  <c r="D5362" i="3" a="1"/>
  <c r="D4348" i="3" a="1"/>
  <c r="D5810" i="3" a="1"/>
  <c r="D5524" i="3" a="1"/>
  <c r="D5644" i="3" a="1"/>
  <c r="D6718" i="3" a="1"/>
  <c r="D6142" i="3" a="1"/>
  <c r="D5371" i="3" a="1"/>
  <c r="D5291" i="3" a="1"/>
  <c r="D5189" i="3" a="1"/>
  <c r="D5541" i="3" a="1"/>
  <c r="D4347" i="3" a="1"/>
  <c r="D5197" i="3" a="1"/>
  <c r="D5474" i="3" a="1"/>
  <c r="D5559" i="3" a="1"/>
  <c r="D5438" i="3" a="1"/>
  <c r="D6141" i="3" a="1"/>
  <c r="D5264" i="3" a="1"/>
  <c r="D5920" i="3" a="1"/>
  <c r="D6237" i="3" a="1"/>
  <c r="D6152" i="3" a="1"/>
  <c r="D5178" i="3" a="1"/>
  <c r="F4" i="117" a="1"/>
  <c r="D5366" i="3" a="1"/>
  <c r="D6204" i="3" a="1"/>
  <c r="D5352" i="3" a="1"/>
  <c r="D5437" i="3" a="1"/>
  <c r="D5295" i="3" a="1"/>
  <c r="D5883" i="3" a="1"/>
  <c r="D5885" i="3" a="1"/>
  <c r="D5544" i="3" a="1"/>
  <c r="D5453" i="3" a="1"/>
  <c r="D5179" i="3" a="1"/>
  <c r="D5557" i="3" a="1"/>
  <c r="D5906" i="3" a="1"/>
  <c r="D6017" i="3" a="1"/>
  <c r="D4345" i="3" a="1"/>
  <c r="D5373" i="3" a="1"/>
  <c r="D6737" i="3" a="1"/>
  <c r="D6122" i="3" a="1"/>
  <c r="D6704" i="3" a="1"/>
  <c r="D5370" i="3" a="1"/>
  <c r="D6700" i="3" a="1"/>
  <c r="D5918" i="3" a="1"/>
  <c r="D5898" i="3" a="1"/>
  <c r="D6128" i="3" a="1"/>
  <c r="D6001" i="3" a="1"/>
  <c r="D5990" i="3" a="1"/>
  <c r="D6211" i="3" a="1"/>
  <c r="D5994" i="3" a="1"/>
  <c r="D4336" i="3" a="1"/>
  <c r="D6010" i="3" a="1"/>
  <c r="D5804" i="3" a="1"/>
  <c r="D5645" i="3" a="1"/>
  <c r="D5257" i="3" a="1"/>
  <c r="Q4" i="117" a="1"/>
  <c r="D6109" i="3" a="1"/>
  <c r="D6216" i="3" a="1"/>
  <c r="D5205" i="3" a="1"/>
  <c r="D6732" i="3" a="1"/>
  <c r="D5618" i="3" a="1"/>
  <c r="D6118" i="3" a="1"/>
  <c r="D5834" i="3" a="1"/>
  <c r="D6210" i="3" a="1"/>
  <c r="D5476" i="3" a="1"/>
  <c r="G4" i="117" a="1"/>
  <c r="D5186" i="3" a="1"/>
  <c r="D4303" i="3" a="1"/>
  <c r="D5344" i="3" a="1"/>
  <c r="D5286" i="3" a="1"/>
  <c r="D6151" i="3" a="1"/>
  <c r="D6722" i="3" a="1"/>
  <c r="D5292" i="3" a="1"/>
  <c r="D5554" i="3" a="1"/>
  <c r="H4" i="117" a="1"/>
  <c r="D5650" i="3" a="1"/>
  <c r="D4338" i="3" a="1"/>
  <c r="D5360" i="3" a="1"/>
  <c r="D5801" i="3" a="1"/>
  <c r="D4293" i="3" a="1"/>
  <c r="D4355" i="3" a="1"/>
  <c r="D6726" i="3" a="1"/>
  <c r="D5916" i="3" a="1"/>
  <c r="D6113" i="3" a="1"/>
  <c r="D5823" i="3" a="1"/>
  <c r="D5800" i="3" a="1"/>
  <c r="D6011" i="3" a="1"/>
  <c r="D4350" i="3" a="1"/>
  <c r="D5546" i="3" a="1"/>
  <c r="D5181" i="3" a="1"/>
  <c r="D5656" i="3" a="1"/>
  <c r="D5358" i="3" a="1"/>
  <c r="J4" i="117" a="1"/>
  <c r="D5806" i="3" a="1"/>
  <c r="D6003" i="3" a="1"/>
  <c r="D5983" i="3" a="1"/>
  <c r="D5383" i="3" a="1"/>
  <c r="D6701" i="3" a="1"/>
  <c r="D4354" i="3" a="1"/>
  <c r="D4343" i="3" a="1"/>
  <c r="D6706" i="3" a="1"/>
  <c r="D5194" i="3" a="1"/>
  <c r="D5907" i="3" a="1"/>
  <c r="D6218" i="3" a="1"/>
  <c r="D5174" i="3" a="1"/>
  <c r="D5835" i="3" a="1"/>
  <c r="D5888" i="3" a="1"/>
  <c r="D6133" i="3" a="1"/>
  <c r="D4316" i="3" a="1"/>
  <c r="D5171" i="3" a="1"/>
  <c r="D5545" i="3" a="1"/>
  <c r="D5465" i="3" a="1"/>
  <c r="D5655" i="3" a="1"/>
  <c r="D4359" i="3" a="1"/>
  <c r="D5538" i="3" a="1"/>
  <c r="D6127" i="3" a="1"/>
  <c r="D5635" i="3" a="1"/>
  <c r="D5799" i="3" a="1"/>
  <c r="D6110" i="3" a="1"/>
  <c r="D6201" i="3" a="1"/>
  <c r="D4335" i="3" a="1"/>
  <c r="D5367" i="3" a="1"/>
  <c r="D4297" i="3" a="1"/>
  <c r="D5646" i="3" a="1"/>
  <c r="D4324" i="3" a="1"/>
  <c r="D4357" i="3" a="1"/>
  <c r="D5199" i="3" a="1"/>
  <c r="D4312" i="3" a="1"/>
  <c r="D6139" i="3" a="1"/>
  <c r="D5974" i="3" a="1"/>
  <c r="D4321" i="3" a="1"/>
  <c r="D6132" i="3" a="1"/>
  <c r="D5794" i="3" a="1"/>
  <c r="D6108" i="3" a="1"/>
  <c r="D5434" i="3" a="1"/>
  <c r="D5184" i="3" a="1"/>
  <c r="D5363" i="3" a="1"/>
  <c r="D5349" i="3" a="1"/>
  <c r="D6125" i="3" a="1"/>
  <c r="D4325" i="3" a="1"/>
  <c r="D4308" i="3" a="1"/>
  <c r="D4340" i="3" a="1"/>
  <c r="D6111" i="3" a="1"/>
  <c r="D5897" i="3" a="1"/>
  <c r="D6712" i="3" a="1"/>
  <c r="D5454" i="3" a="1"/>
  <c r="D5529" i="3" a="1"/>
  <c r="D6214" i="3" a="1"/>
  <c r="D5624" i="3" a="1"/>
  <c r="D5913" i="3" a="1"/>
  <c r="D5470" i="3" a="1"/>
  <c r="D5620" i="3" a="1"/>
  <c r="D5901" i="3" a="1"/>
  <c r="D6012" i="3" a="1"/>
  <c r="D6736" i="3" a="1"/>
  <c r="D5277" i="3" a="1"/>
  <c r="D5905" i="3" a="1"/>
  <c r="D5173" i="3" a="1"/>
  <c r="D5551" i="3" a="1"/>
  <c r="D6212" i="3" a="1"/>
  <c r="D4300" i="3" a="1"/>
  <c r="D5468" i="3" a="1"/>
  <c r="D5549" i="3" a="1"/>
  <c r="D5533" i="3" a="1"/>
  <c r="D6123" i="3" a="1"/>
  <c r="D5290" i="3" a="1"/>
  <c r="D6136" i="3" a="1"/>
  <c r="D6717" i="3" a="1"/>
  <c r="D6147" i="3" a="1"/>
  <c r="D5977" i="3" a="1"/>
  <c r="D5379" i="3" a="1"/>
  <c r="D5372" i="3" a="1"/>
  <c r="D5627" i="3" a="1"/>
  <c r="D5523" i="3" a="1"/>
  <c r="D5436" i="3" a="1"/>
  <c r="D4302" i="3" a="1"/>
  <c r="D5923" i="3" a="1"/>
  <c r="D5535" i="3" a="1"/>
  <c r="D6002" i="3" a="1"/>
  <c r="D6226" i="3" a="1"/>
  <c r="D4341" i="3" a="1"/>
  <c r="D5827" i="3" a="1"/>
  <c r="D5460" i="3" a="1"/>
  <c r="D6004" i="3" a="1"/>
  <c r="D5276" i="3" a="1"/>
  <c r="D6217" i="3" a="1"/>
  <c r="D5296" i="3" a="1"/>
  <c r="D6208" i="3" a="1"/>
  <c r="D5378" i="3" a="1"/>
  <c r="D5613" i="3" a="1"/>
  <c r="D5456" i="3" a="1"/>
  <c r="D4327" i="3" a="1"/>
  <c r="D6223" i="3" a="1"/>
  <c r="D4342" i="3" a="1"/>
  <c r="D4346" i="3" a="1"/>
  <c r="D6207" i="3" a="1"/>
  <c r="D5261" i="3" a="1"/>
  <c r="D5992" i="3" a="1"/>
  <c r="D5377" i="3" a="1"/>
  <c r="D5380" i="3" a="1"/>
  <c r="D5259" i="3" a="1"/>
  <c r="D5837" i="3" a="1"/>
  <c r="D5830" i="3" a="1"/>
  <c r="D5563" i="3" a="1"/>
  <c r="D5982" i="3" a="1"/>
  <c r="D6694" i="3" a="1"/>
  <c r="D5818" i="3" a="1"/>
  <c r="D5915" i="3" a="1"/>
  <c r="D6206" i="3" a="1"/>
  <c r="D5175" i="3" a="1"/>
  <c r="D5808" i="3" a="1"/>
  <c r="D6709" i="3" a="1"/>
  <c r="D4292" i="3" a="1"/>
  <c r="D5989" i="3" a="1"/>
  <c r="D5297" i="3" a="1"/>
  <c r="D6242" i="3" a="1"/>
  <c r="D5265" i="3" a="1"/>
  <c r="D5622" i="3" a="1"/>
  <c r="D5815" i="3" a="1"/>
  <c r="D5998" i="3" a="1"/>
  <c r="D5911" i="3" a="1"/>
  <c r="D6120" i="3" a="1"/>
  <c r="D5651" i="3" a="1"/>
  <c r="D5995" i="3" a="1"/>
  <c r="E4" i="117" a="1"/>
  <c r="D4351" i="3" a="1"/>
  <c r="D5926" i="3" a="1"/>
  <c r="D6205" i="3" a="1"/>
  <c r="D4290" i="3" a="1"/>
  <c r="D6727" i="3" a="1"/>
  <c r="D6241" i="3" a="1"/>
  <c r="D5271" i="3" a="1"/>
  <c r="D5364" i="3" a="1"/>
  <c r="D4331" i="3" a="1"/>
  <c r="D5797" i="3" a="1"/>
  <c r="D5984" i="3" a="1"/>
  <c r="D6231" i="3" a="1"/>
  <c r="L4" i="117" a="1"/>
  <c r="D5183" i="3" a="1"/>
  <c r="D5169" i="3" a="1"/>
  <c r="D5475" i="3" a="1"/>
  <c r="D5814" i="3" a="1"/>
  <c r="D5809" i="3" a="1"/>
  <c r="D5471" i="3" a="1"/>
  <c r="D4333" i="3" a="1"/>
  <c r="D5176" i="3" a="1"/>
  <c r="D6233" i="3" a="1"/>
  <c r="D5796" i="3" a="1"/>
  <c r="D4289" i="3" a="1"/>
  <c r="D5798" i="3" a="1"/>
  <c r="D6215" i="3" a="1"/>
  <c r="D4315" i="3" a="1"/>
  <c r="D4320" i="3" a="1"/>
  <c r="D5639" i="3" a="1"/>
  <c r="D5166" i="3" a="1"/>
  <c r="D5196" i="3" a="1"/>
  <c r="D6209" i="3" a="1"/>
  <c r="D4330" i="3" a="1"/>
  <c r="D6126" i="3" a="1"/>
  <c r="D5910" i="3" a="1"/>
  <c r="D5634" i="3" a="1"/>
  <c r="D5351" i="3" a="1"/>
  <c r="D5552" i="3" a="1"/>
  <c r="D5927" i="3" a="1"/>
  <c r="D5996" i="3" a="1"/>
  <c r="K4" i="117" a="1"/>
  <c r="D6112" i="3" a="1"/>
  <c r="D5267" i="3" a="1"/>
  <c r="D5279" i="3" a="1"/>
  <c r="D4322" i="3" a="1"/>
  <c r="D5206" i="3" a="1"/>
  <c r="D6723" i="3" a="1"/>
  <c r="D4318" i="3" a="1"/>
  <c r="D5925" i="3" a="1"/>
  <c r="D5375" i="3" a="1"/>
  <c r="D4356" i="3" a="1"/>
  <c r="D5633" i="3" a="1"/>
  <c r="D6014" i="3" a="1"/>
  <c r="D5440" i="3" a="1"/>
  <c r="D5361" i="3" a="1"/>
  <c r="D6695" i="3" a="1"/>
  <c r="D5163" i="3" a="1"/>
  <c r="D5892" i="3" a="1"/>
  <c r="D5452" i="3" a="1"/>
  <c r="D5986" i="3" a="1"/>
  <c r="D4337" i="3" a="1"/>
  <c r="D5981" i="3" a="1"/>
  <c r="D6725" i="3" a="1"/>
  <c r="D6000" i="3" a="1"/>
  <c r="D5922" i="3" a="1"/>
  <c r="D5979" i="3" a="1"/>
  <c r="D5534" i="3" a="1"/>
  <c r="N4" i="117" a="1"/>
  <c r="D6220" i="3" a="1"/>
  <c r="D5278" i="3" a="1"/>
  <c r="D6138" i="3" a="1"/>
  <c r="D4319" i="3" a="1"/>
  <c r="D5803" i="3" a="1"/>
  <c r="D5442" i="3" a="1"/>
  <c r="D6238" i="3" a="1"/>
  <c r="D5647" i="3" a="1"/>
  <c r="D5180" i="3" a="1"/>
  <c r="D5887" i="3" a="1"/>
  <c r="I4" i="117" a="1"/>
  <c r="D5909" i="3" a="1"/>
  <c r="D4311" i="3" a="1"/>
  <c r="D5619" i="3" a="1"/>
  <c r="D6203" i="3" a="1"/>
  <c r="D5547" i="3" a="1"/>
  <c r="D5356" i="3" a="1"/>
  <c r="D5254" i="3" a="1"/>
  <c r="D6006" i="3" a="1"/>
  <c r="D6733" i="3" a="1"/>
  <c r="D5287" i="3" a="1"/>
  <c r="D6720" i="3" a="1"/>
  <c r="D6213" i="3" a="1"/>
  <c r="D6009" i="3" a="1"/>
  <c r="D5459" i="3" a="1"/>
  <c r="D5347" i="3" a="1"/>
  <c r="D4328" i="3" a="1"/>
  <c r="D5558" i="3" a="1"/>
  <c r="D5630" i="3" a="1"/>
  <c r="D5820" i="3" a="1"/>
  <c r="D5293" i="3" a="1"/>
  <c r="D5822" i="3" a="1"/>
  <c r="D5895" i="3" a="1"/>
  <c r="D5811" i="3" a="1"/>
  <c r="D5268" i="3" a="1"/>
  <c r="D5283" i="3" a="1"/>
  <c r="D5285" i="3" a="1"/>
  <c r="D5353" i="3" a="1"/>
  <c r="D5200" i="3" a="1"/>
  <c r="D6146" i="3" a="1"/>
  <c r="M4" i="117" a="1"/>
  <c r="D5924" i="3" a="1"/>
  <c r="D5793" i="3" a="1"/>
  <c r="D6721" i="3" a="1"/>
  <c r="D5193" i="3" a="1"/>
  <c r="D6714" i="3" a="1"/>
  <c r="D5832" i="3" a="1"/>
  <c r="D5532" i="3" a="1"/>
  <c r="D5902" i="3" a="1"/>
  <c r="D5816" i="3" a="1"/>
  <c r="D5893" i="3" a="1"/>
  <c r="D4301" i="3" a="1"/>
  <c r="D5525" i="3" a="1"/>
  <c r="D6225" i="3" a="1"/>
  <c r="D6702" i="3" a="1"/>
  <c r="D4349" i="3" a="1"/>
  <c r="D5204" i="3" a="1"/>
  <c r="D5833" i="3" a="1"/>
  <c r="D5553" i="3" a="1"/>
  <c r="D5190" i="3" a="1"/>
  <c r="D5567" i="3" a="1"/>
  <c r="D6013" i="3" a="1"/>
  <c r="D5993" i="3" a="1"/>
  <c r="D5256" i="3" a="1"/>
  <c r="D5976" i="3" a="1"/>
  <c r="D5263" i="3" a="1"/>
  <c r="D5540" i="3" a="1"/>
  <c r="D5654" i="3" a="1"/>
  <c r="D5530" i="3" a="1"/>
  <c r="D5550" i="3" a="1"/>
  <c r="D5281" i="3" a="1"/>
  <c r="D5616" i="3" a="1"/>
  <c r="D6150" i="3" a="1"/>
  <c r="D5269" i="3" a="1"/>
  <c r="D5643" i="3" a="1"/>
  <c r="D4358" i="3" a="1"/>
  <c r="D6708" i="3" a="1"/>
  <c r="D6117" i="3" a="1"/>
  <c r="D5469" i="3" a="1"/>
  <c r="D5477" i="3" a="1"/>
  <c r="D5999" i="3" a="1"/>
  <c r="D5825" i="3" a="1"/>
  <c r="D4298" i="3" a="1"/>
  <c r="D5640" i="3" a="1"/>
  <c r="D6734" i="3" a="1"/>
  <c r="D5917" i="3" a="1"/>
  <c r="D5802" i="3" a="1"/>
  <c r="D5824" i="3" a="1"/>
  <c r="D6699" i="3" a="1"/>
  <c r="D5653" i="3" a="1"/>
  <c r="D5182" i="3" a="1"/>
  <c r="D6697" i="3" a="1"/>
  <c r="D6728" i="3" a="1"/>
  <c r="D5192" i="3" a="1"/>
  <c r="D6693" i="3" a="1"/>
  <c r="D5831" i="3" a="1"/>
  <c r="D5165" i="3" a="1"/>
  <c r="D5466" i="3" a="1"/>
  <c r="D5188" i="3" a="1"/>
  <c r="D5448" i="3" a="1"/>
  <c r="D24" i="117" l="1"/>
  <c r="B27" i="167"/>
  <c r="D34" i="117" s="1"/>
  <c r="C27" i="167"/>
  <c r="D3852" i="3"/>
  <c r="D3867" i="3"/>
  <c r="I3867" i="3" s="1"/>
  <c r="J3897" i="3"/>
  <c r="H3897" i="3"/>
  <c r="I3897" i="3"/>
  <c r="D6718" i="3"/>
  <c r="I6718" i="3" s="1"/>
  <c r="D6202" i="3"/>
  <c r="J6202" i="3" s="1"/>
  <c r="D5182" i="3"/>
  <c r="H5182" i="3" s="1"/>
  <c r="D5564" i="3"/>
  <c r="J5564" i="3" s="1"/>
  <c r="D5531" i="3"/>
  <c r="J5531" i="3" s="1"/>
  <c r="D6146" i="3"/>
  <c r="H6146" i="3" s="1"/>
  <c r="D6235" i="3"/>
  <c r="I6235" i="3" s="1"/>
  <c r="D5260" i="3"/>
  <c r="I5260" i="3" s="1"/>
  <c r="D5566" i="3"/>
  <c r="H5566" i="3" s="1"/>
  <c r="D5896" i="3"/>
  <c r="I5896" i="3" s="1"/>
  <c r="D5924" i="3"/>
  <c r="J5924" i="3" s="1"/>
  <c r="D5177" i="3"/>
  <c r="I5177" i="3" s="1"/>
  <c r="D5920" i="3"/>
  <c r="H5920" i="3" s="1"/>
  <c r="D5267" i="3"/>
  <c r="I5267" i="3" s="1"/>
  <c r="D5197" i="3"/>
  <c r="H5197" i="3" s="1"/>
  <c r="D6698" i="3"/>
  <c r="D5635" i="3"/>
  <c r="H5635" i="3" s="1"/>
  <c r="D6142" i="3"/>
  <c r="I6142" i="3" s="1"/>
  <c r="D5437" i="3"/>
  <c r="J5437" i="3" s="1"/>
  <c r="D5551" i="3"/>
  <c r="I5551" i="3" s="1"/>
  <c r="D6700" i="3"/>
  <c r="I6700" i="3" s="1"/>
  <c r="Q4" i="117"/>
  <c r="D5435" i="3"/>
  <c r="J5435" i="3" s="1"/>
  <c r="D5355" i="3"/>
  <c r="H5355" i="3" s="1"/>
  <c r="D6004" i="3"/>
  <c r="J6004" i="3" s="1"/>
  <c r="D5801" i="3"/>
  <c r="I5801" i="3" s="1"/>
  <c r="D6008" i="3"/>
  <c r="J6008" i="3" s="1"/>
  <c r="D5892" i="3"/>
  <c r="I5892" i="3" s="1"/>
  <c r="D5545" i="3"/>
  <c r="J5545" i="3" s="1"/>
  <c r="D6240" i="3"/>
  <c r="I6240" i="3" s="1"/>
  <c r="D5475" i="3"/>
  <c r="H5475" i="3" s="1"/>
  <c r="D6216" i="3"/>
  <c r="J6216" i="3" s="1"/>
  <c r="D5915" i="3"/>
  <c r="J5915" i="3" s="1"/>
  <c r="D5614" i="3"/>
  <c r="I5614" i="3" s="1"/>
  <c r="D5442" i="3"/>
  <c r="I5442" i="3" s="1"/>
  <c r="D5357" i="3"/>
  <c r="J5357" i="3" s="1"/>
  <c r="D6707" i="3"/>
  <c r="J6707" i="3" s="1"/>
  <c r="D5987" i="3"/>
  <c r="H5987" i="3" s="1"/>
  <c r="D5283" i="3"/>
  <c r="I5283" i="3" s="1"/>
  <c r="D5986" i="3"/>
  <c r="H5986" i="3" s="1"/>
  <c r="D6111" i="3"/>
  <c r="H6111" i="3" s="1"/>
  <c r="D6007" i="3"/>
  <c r="I6007" i="3" s="1"/>
  <c r="D5543" i="3"/>
  <c r="J5543" i="3" s="1"/>
  <c r="D6147" i="3"/>
  <c r="H6147" i="3" s="1"/>
  <c r="D6112" i="3"/>
  <c r="J6112" i="3" s="1"/>
  <c r="D5466" i="3"/>
  <c r="I5466" i="3" s="1"/>
  <c r="D5836" i="3"/>
  <c r="I5836" i="3" s="1"/>
  <c r="D5549" i="3"/>
  <c r="D5253" i="3"/>
  <c r="J5253" i="3" s="1"/>
  <c r="D5282" i="3"/>
  <c r="J5282" i="3" s="1"/>
  <c r="D5642" i="3"/>
  <c r="H5642" i="3" s="1"/>
  <c r="D5167" i="3"/>
  <c r="D5370" i="3"/>
  <c r="I5370" i="3" s="1"/>
  <c r="D5893" i="3"/>
  <c r="J5893" i="3" s="1"/>
  <c r="D4334" i="3"/>
  <c r="H4334" i="3" s="1"/>
  <c r="D5202" i="3"/>
  <c r="D4317" i="3"/>
  <c r="H4317" i="3" s="1"/>
  <c r="D6708" i="3"/>
  <c r="I6708" i="3" s="1"/>
  <c r="D6208" i="3"/>
  <c r="H6208" i="3" s="1"/>
  <c r="D5273" i="3"/>
  <c r="I5273" i="3" s="1"/>
  <c r="D6723" i="3"/>
  <c r="I6723" i="3" s="1"/>
  <c r="D5281" i="3"/>
  <c r="H5281" i="3" s="1"/>
  <c r="D5645" i="3"/>
  <c r="J5645" i="3" s="1"/>
  <c r="D5890" i="3"/>
  <c r="I5890" i="3" s="1"/>
  <c r="D4299" i="3"/>
  <c r="I4299" i="3" s="1"/>
  <c r="D5883" i="3"/>
  <c r="I5883" i="3" s="1"/>
  <c r="D5919" i="3"/>
  <c r="I5919" i="3" s="1"/>
  <c r="D6724" i="3"/>
  <c r="D5922" i="3"/>
  <c r="H5922" i="3" s="1"/>
  <c r="D5538" i="3"/>
  <c r="I5538" i="3" s="1"/>
  <c r="D5999" i="3"/>
  <c r="H5999" i="3" s="1"/>
  <c r="D6109" i="3"/>
  <c r="I6109" i="3" s="1"/>
  <c r="D5471" i="3"/>
  <c r="J5471" i="3" s="1"/>
  <c r="D4297" i="3"/>
  <c r="J4297" i="3" s="1"/>
  <c r="D5199" i="3"/>
  <c r="I5199" i="3" s="1"/>
  <c r="D6119" i="3"/>
  <c r="D6118" i="3"/>
  <c r="H6118" i="3" s="1"/>
  <c r="D5269" i="3"/>
  <c r="J5269" i="3" s="1"/>
  <c r="D5926" i="3"/>
  <c r="I5926" i="3" s="1"/>
  <c r="D5257" i="3"/>
  <c r="D5449" i="3"/>
  <c r="H5449" i="3" s="1"/>
  <c r="D6232" i="3"/>
  <c r="H6232" i="3" s="1"/>
  <c r="D6219" i="3"/>
  <c r="J6219" i="3" s="1"/>
  <c r="D5547" i="3"/>
  <c r="I5547" i="3" s="1"/>
  <c r="D4345" i="3"/>
  <c r="J4345" i="3" s="1"/>
  <c r="D5274" i="3"/>
  <c r="I5274" i="3" s="1"/>
  <c r="D5563" i="3"/>
  <c r="J5563" i="3" s="1"/>
  <c r="D6221" i="3"/>
  <c r="D5203" i="3"/>
  <c r="I5203" i="3" s="1"/>
  <c r="D6125" i="3"/>
  <c r="J6125" i="3" s="1"/>
  <c r="D5463" i="3"/>
  <c r="J5463" i="3" s="1"/>
  <c r="D4342" i="3"/>
  <c r="D6115" i="3"/>
  <c r="H6115" i="3" s="1"/>
  <c r="D6126" i="3"/>
  <c r="I6126" i="3" s="1"/>
  <c r="D6137" i="3"/>
  <c r="J6137" i="3" s="1"/>
  <c r="D6735" i="3"/>
  <c r="D5206" i="3"/>
  <c r="I5206" i="3" s="1"/>
  <c r="D5524" i="3"/>
  <c r="J5524" i="3" s="1"/>
  <c r="D5372" i="3"/>
  <c r="J5372" i="3" s="1"/>
  <c r="D5196" i="3"/>
  <c r="D5793" i="3"/>
  <c r="I5793" i="3" s="1"/>
  <c r="D6129" i="3"/>
  <c r="J6129" i="3" s="1"/>
  <c r="D5172" i="3"/>
  <c r="I5172" i="3" s="1"/>
  <c r="D5909" i="3"/>
  <c r="D5895" i="3"/>
  <c r="I5895" i="3" s="1"/>
  <c r="D4313" i="3"/>
  <c r="H4313" i="3" s="1"/>
  <c r="D6132" i="3"/>
  <c r="J6132" i="3" s="1"/>
  <c r="D6704" i="3"/>
  <c r="D5808" i="3"/>
  <c r="J5808" i="3" s="1"/>
  <c r="D5653" i="3"/>
  <c r="J5653" i="3" s="1"/>
  <c r="D5902" i="3"/>
  <c r="J5902" i="3" s="1"/>
  <c r="D6223" i="3"/>
  <c r="D5293" i="3"/>
  <c r="H5293" i="3" s="1"/>
  <c r="D6710" i="3"/>
  <c r="I6710" i="3" s="1"/>
  <c r="D6236" i="3"/>
  <c r="H6236" i="3" s="1"/>
  <c r="D6697" i="3"/>
  <c r="D5275" i="3"/>
  <c r="J5275" i="3" s="1"/>
  <c r="D4320" i="3"/>
  <c r="H4320" i="3" s="1"/>
  <c r="D5352" i="3"/>
  <c r="H5352" i="3" s="1"/>
  <c r="D5256" i="3"/>
  <c r="D5903" i="3"/>
  <c r="H5903" i="3" s="1"/>
  <c r="D5278" i="3"/>
  <c r="H5278" i="3" s="1"/>
  <c r="D6224" i="3"/>
  <c r="J6224" i="3" s="1"/>
  <c r="D5291" i="3"/>
  <c r="D6110" i="3"/>
  <c r="I6110" i="3" s="1"/>
  <c r="D5453" i="3"/>
  <c r="I5453" i="3" s="1"/>
  <c r="D6725" i="3"/>
  <c r="I6725" i="3" s="1"/>
  <c r="D5532" i="3"/>
  <c r="D5384" i="3"/>
  <c r="H5384" i="3" s="1"/>
  <c r="D6017" i="3"/>
  <c r="J6017" i="3" s="1"/>
  <c r="D6151" i="3"/>
  <c r="I6151" i="3" s="1"/>
  <c r="D5185" i="3"/>
  <c r="D5349" i="3"/>
  <c r="H5349" i="3" s="1"/>
  <c r="D4288" i="3"/>
  <c r="H4288" i="3" s="1"/>
  <c r="D6238" i="3"/>
  <c r="H6238" i="3" s="1"/>
  <c r="D5448" i="3"/>
  <c r="D5295" i="3"/>
  <c r="J5295" i="3" s="1"/>
  <c r="D5191" i="3"/>
  <c r="I5191" i="3" s="1"/>
  <c r="D5974" i="3"/>
  <c r="H5974" i="3" s="1"/>
  <c r="D6241" i="3"/>
  <c r="H6241" i="3" s="1"/>
  <c r="D5163" i="3"/>
  <c r="I5163" i="3" s="1"/>
  <c r="D6116" i="3"/>
  <c r="I6116" i="3" s="1"/>
  <c r="D5530" i="3"/>
  <c r="H5530" i="3" s="1"/>
  <c r="D5829" i="3"/>
  <c r="I5829" i="3" s="1"/>
  <c r="D4326" i="3"/>
  <c r="H4326" i="3" s="1"/>
  <c r="D5898" i="3"/>
  <c r="H5898" i="3" s="1"/>
  <c r="D5378" i="3"/>
  <c r="H5378" i="3" s="1"/>
  <c r="D5885" i="3"/>
  <c r="I5885" i="3" s="1"/>
  <c r="D5347" i="3"/>
  <c r="J5347" i="3" s="1"/>
  <c r="D5540" i="3"/>
  <c r="J5540" i="3" s="1"/>
  <c r="D4304" i="3"/>
  <c r="D5799" i="3"/>
  <c r="H5799" i="3" s="1"/>
  <c r="D5559" i="3"/>
  <c r="H5559" i="3" s="1"/>
  <c r="D5613" i="3"/>
  <c r="J5613" i="3" s="1"/>
  <c r="D4303" i="3"/>
  <c r="D5173" i="3"/>
  <c r="H5173" i="3" s="1"/>
  <c r="D6220" i="3"/>
  <c r="I6220" i="3" s="1"/>
  <c r="D6012" i="3"/>
  <c r="H6012" i="3" s="1"/>
  <c r="D5186" i="3"/>
  <c r="D6013" i="3"/>
  <c r="H6013" i="3" s="1"/>
  <c r="D6141" i="3"/>
  <c r="I6141" i="3" s="1"/>
  <c r="D4305" i="3"/>
  <c r="D6737" i="3"/>
  <c r="D5454" i="3"/>
  <c r="I5454" i="3" s="1"/>
  <c r="D5632" i="3"/>
  <c r="J5632" i="3" s="1"/>
  <c r="D6215" i="3"/>
  <c r="J6215" i="3" s="1"/>
  <c r="D5989" i="3"/>
  <c r="I5989" i="3" s="1"/>
  <c r="D5434" i="3"/>
  <c r="J5434" i="3" s="1"/>
  <c r="D4302" i="3"/>
  <c r="H4302" i="3" s="1"/>
  <c r="D5365" i="3"/>
  <c r="I5365" i="3" s="1"/>
  <c r="D5651" i="3"/>
  <c r="D4315" i="3"/>
  <c r="H4315" i="3" s="1"/>
  <c r="D6212" i="3"/>
  <c r="I6212" i="3" s="1"/>
  <c r="D6233" i="3"/>
  <c r="I6233" i="3" s="1"/>
  <c r="D4341" i="3"/>
  <c r="I4341" i="3" s="1"/>
  <c r="D5828" i="3"/>
  <c r="J5828" i="3" s="1"/>
  <c r="D5356" i="3"/>
  <c r="H5356" i="3" s="1"/>
  <c r="D4289" i="3"/>
  <c r="J4289" i="3" s="1"/>
  <c r="D5980" i="3"/>
  <c r="H5980" i="3" s="1"/>
  <c r="D5287" i="3"/>
  <c r="I5287" i="3" s="1"/>
  <c r="D5975" i="3"/>
  <c r="H5975" i="3" s="1"/>
  <c r="D6015" i="3"/>
  <c r="I6015" i="3" s="1"/>
  <c r="D5643" i="3"/>
  <c r="I5643" i="3" s="1"/>
  <c r="D5465" i="3"/>
  <c r="H5465" i="3" s="1"/>
  <c r="D5476" i="3"/>
  <c r="J5476" i="3" s="1"/>
  <c r="D5548" i="3"/>
  <c r="J5548" i="3" s="1"/>
  <c r="D5803" i="3"/>
  <c r="I5803" i="3" s="1"/>
  <c r="D5194" i="3"/>
  <c r="H5194" i="3" s="1"/>
  <c r="D5461" i="3"/>
  <c r="H5461" i="3" s="1"/>
  <c r="D5277" i="3"/>
  <c r="H5277" i="3" s="1"/>
  <c r="D5345" i="3"/>
  <c r="H5345" i="3" s="1"/>
  <c r="D6213" i="3"/>
  <c r="H6213" i="3" s="1"/>
  <c r="D5385" i="3"/>
  <c r="J5385" i="3" s="1"/>
  <c r="D5985" i="3"/>
  <c r="I5985" i="3" s="1"/>
  <c r="D5474" i="3"/>
  <c r="D5818" i="3"/>
  <c r="I5818" i="3" s="1"/>
  <c r="D5360" i="3"/>
  <c r="I5360" i="3" s="1"/>
  <c r="D6730" i="3"/>
  <c r="I6730" i="3" s="1"/>
  <c r="D5387" i="3"/>
  <c r="D5819" i="3"/>
  <c r="J5819" i="3" s="1"/>
  <c r="D5914" i="3"/>
  <c r="J5914" i="3" s="1"/>
  <c r="D5811" i="3"/>
  <c r="I5811" i="3" s="1"/>
  <c r="D5187" i="3"/>
  <c r="D5279" i="3"/>
  <c r="H5279" i="3" s="1"/>
  <c r="D5348" i="3"/>
  <c r="H5348" i="3" s="1"/>
  <c r="D4359" i="3"/>
  <c r="H4359" i="3" s="1"/>
  <c r="D6133" i="3"/>
  <c r="D6239" i="3"/>
  <c r="I6239" i="3" s="1"/>
  <c r="D6203" i="3"/>
  <c r="I6203" i="3" s="1"/>
  <c r="D6242" i="3"/>
  <c r="H6242" i="3" s="1"/>
  <c r="D5381" i="3"/>
  <c r="H5381" i="3" s="1"/>
  <c r="D5925" i="3"/>
  <c r="H5925" i="3" s="1"/>
  <c r="D6145" i="3"/>
  <c r="I6145" i="3" s="1"/>
  <c r="D5997" i="3"/>
  <c r="I5997" i="3" s="1"/>
  <c r="D6721" i="3"/>
  <c r="D5535" i="3"/>
  <c r="I5535" i="3" s="1"/>
  <c r="D6209" i="3"/>
  <c r="J6209" i="3" s="1"/>
  <c r="D4354" i="3"/>
  <c r="H4354" i="3" s="1"/>
  <c r="D5823" i="3"/>
  <c r="D5886" i="3"/>
  <c r="J5886" i="3" s="1"/>
  <c r="D5831" i="3"/>
  <c r="H5831" i="3" s="1"/>
  <c r="D5168" i="3"/>
  <c r="J5168" i="3" s="1"/>
  <c r="D6014" i="3"/>
  <c r="D5469" i="3"/>
  <c r="H5469" i="3" s="1"/>
  <c r="D5830" i="3"/>
  <c r="I5830" i="3" s="1"/>
  <c r="D5184" i="3"/>
  <c r="I5184" i="3" s="1"/>
  <c r="D4301" i="3"/>
  <c r="I4301" i="3" s="1"/>
  <c r="D5556" i="3"/>
  <c r="H5556" i="3" s="1"/>
  <c r="D5976" i="3"/>
  <c r="J5976" i="3" s="1"/>
  <c r="D5264" i="3"/>
  <c r="J5264" i="3" s="1"/>
  <c r="D4314" i="3"/>
  <c r="D5451" i="3"/>
  <c r="I5451" i="3" s="1"/>
  <c r="D5464" i="3"/>
  <c r="I5464" i="3" s="1"/>
  <c r="D6237" i="3"/>
  <c r="I6237" i="3" s="1"/>
  <c r="D6226" i="3"/>
  <c r="D4290" i="3"/>
  <c r="J4290" i="3" s="1"/>
  <c r="D5534" i="3"/>
  <c r="J5534" i="3" s="1"/>
  <c r="D5910" i="3"/>
  <c r="I5910" i="3" s="1"/>
  <c r="D4350" i="3"/>
  <c r="H4350" i="3" s="1"/>
  <c r="D6229" i="3"/>
  <c r="I6229" i="3" s="1"/>
  <c r="D5647" i="3"/>
  <c r="J5647" i="3" s="1"/>
  <c r="D5900" i="3"/>
  <c r="I5900" i="3" s="1"/>
  <c r="D5621" i="3"/>
  <c r="D6217" i="3"/>
  <c r="J6217" i="3" s="1"/>
  <c r="D5977" i="3"/>
  <c r="J5977" i="3" s="1"/>
  <c r="D5457" i="3"/>
  <c r="J5457" i="3" s="1"/>
  <c r="D5258" i="3"/>
  <c r="H5258" i="3" s="1"/>
  <c r="D5276" i="3"/>
  <c r="H5276" i="3" s="1"/>
  <c r="D5297" i="3"/>
  <c r="J5297" i="3" s="1"/>
  <c r="D4332" i="3"/>
  <c r="I4332" i="3" s="1"/>
  <c r="D5837" i="3"/>
  <c r="D5526" i="3"/>
  <c r="H5526" i="3" s="1"/>
  <c r="D5289" i="3"/>
  <c r="J5289" i="3" s="1"/>
  <c r="D5452" i="3"/>
  <c r="H5452" i="3" s="1"/>
  <c r="D5292" i="3"/>
  <c r="J5292" i="3" s="1"/>
  <c r="D5820" i="3"/>
  <c r="I5820" i="3" s="1"/>
  <c r="D5359" i="3"/>
  <c r="J5359" i="3" s="1"/>
  <c r="D5809" i="3"/>
  <c r="H5809" i="3" s="1"/>
  <c r="D6152" i="3"/>
  <c r="I6152" i="3" s="1"/>
  <c r="D5816" i="3"/>
  <c r="H5816" i="3" s="1"/>
  <c r="D6150" i="3"/>
  <c r="J6150" i="3" s="1"/>
  <c r="D5204" i="3"/>
  <c r="D5265" i="3"/>
  <c r="J5265" i="3" s="1"/>
  <c r="D5374" i="3"/>
  <c r="I5374" i="3" s="1"/>
  <c r="D5805" i="3"/>
  <c r="H5805" i="3" s="1"/>
  <c r="D5641" i="3"/>
  <c r="D5262" i="3"/>
  <c r="I5262" i="3" s="1"/>
  <c r="D4310" i="3"/>
  <c r="J4310" i="3" s="1"/>
  <c r="D5806" i="3"/>
  <c r="I5806" i="3" s="1"/>
  <c r="D5917" i="3"/>
  <c r="D6140" i="3"/>
  <c r="H6140" i="3" s="1"/>
  <c r="D6000" i="3"/>
  <c r="J6000" i="3" s="1"/>
  <c r="D4328" i="3"/>
  <c r="H4328" i="3" s="1"/>
  <c r="D4331" i="3"/>
  <c r="H4331" i="3" s="1"/>
  <c r="D5825" i="3"/>
  <c r="J5825" i="3" s="1"/>
  <c r="D5544" i="3"/>
  <c r="J5544" i="3" s="1"/>
  <c r="D6128" i="3"/>
  <c r="H6128" i="3" s="1"/>
  <c r="D5436" i="3"/>
  <c r="J5436" i="3" s="1"/>
  <c r="D6006" i="3"/>
  <c r="I6006" i="3" s="1"/>
  <c r="D6016" i="3"/>
  <c r="J6016" i="3" s="1"/>
  <c r="D5562" i="3"/>
  <c r="J5562" i="3" s="1"/>
  <c r="D4293" i="3"/>
  <c r="D5376" i="3"/>
  <c r="I5376" i="3" s="1"/>
  <c r="D5440" i="3"/>
  <c r="J5440" i="3" s="1"/>
  <c r="D5998" i="3"/>
  <c r="H5998" i="3" s="1"/>
  <c r="D6715" i="3"/>
  <c r="H6715" i="3" s="1"/>
  <c r="D5901" i="3"/>
  <c r="H5901" i="3" s="1"/>
  <c r="D5822" i="3"/>
  <c r="H5822" i="3" s="1"/>
  <c r="D5555" i="3"/>
  <c r="I5555" i="3" s="1"/>
  <c r="D5639" i="3"/>
  <c r="D6227" i="3"/>
  <c r="J6227" i="3" s="1"/>
  <c r="D5439" i="3"/>
  <c r="J5439" i="3" s="1"/>
  <c r="D5176" i="3"/>
  <c r="I5176" i="3" s="1"/>
  <c r="D5897" i="3"/>
  <c r="D6736" i="3"/>
  <c r="J6736" i="3" s="1"/>
  <c r="D4319" i="3"/>
  <c r="I4319" i="3" s="1"/>
  <c r="D5166" i="3"/>
  <c r="I5166" i="3" s="1"/>
  <c r="D5288" i="3"/>
  <c r="I5288" i="3" s="1"/>
  <c r="D5648" i="3"/>
  <c r="H5648" i="3" s="1"/>
  <c r="D6720" i="3"/>
  <c r="I6720" i="3" s="1"/>
  <c r="D5631" i="3"/>
  <c r="H5631" i="3" s="1"/>
  <c r="D5193" i="3"/>
  <c r="D5552" i="3"/>
  <c r="I5552" i="3" s="1"/>
  <c r="D5364" i="3"/>
  <c r="I5364" i="3" s="1"/>
  <c r="D5827" i="3"/>
  <c r="I5827" i="3" s="1"/>
  <c r="K4" i="117"/>
  <c r="D5810" i="3"/>
  <c r="H5810" i="3" s="1"/>
  <c r="D6214" i="3"/>
  <c r="I6214" i="3" s="1"/>
  <c r="D5912" i="3"/>
  <c r="I5912" i="3" s="1"/>
  <c r="D4308" i="3"/>
  <c r="D5379" i="3"/>
  <c r="J5379" i="3" s="1"/>
  <c r="D5456" i="3"/>
  <c r="H5456" i="3" s="1"/>
  <c r="D6210" i="3"/>
  <c r="J6210" i="3" s="1"/>
  <c r="D5918" i="3"/>
  <c r="I5918" i="3" s="1"/>
  <c r="D6199" i="3"/>
  <c r="H6199" i="3" s="1"/>
  <c r="D4340" i="3"/>
  <c r="H4340" i="3" s="1"/>
  <c r="D5795" i="3"/>
  <c r="I5795" i="3" s="1"/>
  <c r="D5826" i="3"/>
  <c r="J5826" i="3" s="1"/>
  <c r="D5254" i="3"/>
  <c r="I5254" i="3" s="1"/>
  <c r="D5445" i="3"/>
  <c r="J5445" i="3" s="1"/>
  <c r="D6003" i="3"/>
  <c r="J6003" i="3" s="1"/>
  <c r="D4324" i="3"/>
  <c r="D5529" i="3"/>
  <c r="I5529" i="3" s="1"/>
  <c r="G4" i="117"/>
  <c r="D6717" i="3"/>
  <c r="J6717" i="3" s="1"/>
  <c r="D5628" i="3"/>
  <c r="I5628" i="3" s="1"/>
  <c r="D5386" i="3"/>
  <c r="I5386" i="3" s="1"/>
  <c r="D5817" i="3"/>
  <c r="J5817" i="3" s="1"/>
  <c r="D5640" i="3"/>
  <c r="J5640" i="3" s="1"/>
  <c r="D5625" i="3"/>
  <c r="J5625" i="3" s="1"/>
  <c r="D5527" i="3"/>
  <c r="J5527" i="3" s="1"/>
  <c r="D4356" i="3"/>
  <c r="I4356" i="3" s="1"/>
  <c r="D5362" i="3"/>
  <c r="J5362" i="3" s="1"/>
  <c r="D5263" i="3"/>
  <c r="D6002" i="3"/>
  <c r="I6002" i="3" s="1"/>
  <c r="D5441" i="3"/>
  <c r="J5441" i="3" s="1"/>
  <c r="D6716" i="3"/>
  <c r="I6716" i="3" s="1"/>
  <c r="D6211" i="3"/>
  <c r="J6211" i="3" s="1"/>
  <c r="D6010" i="3"/>
  <c r="I6010" i="3" s="1"/>
  <c r="D5833" i="3"/>
  <c r="J5833" i="3" s="1"/>
  <c r="D6694" i="3"/>
  <c r="I6694" i="3" s="1"/>
  <c r="D5284" i="3"/>
  <c r="D5644" i="3"/>
  <c r="H5644" i="3" s="1"/>
  <c r="D5271" i="3"/>
  <c r="H5271" i="3" s="1"/>
  <c r="D5344" i="3"/>
  <c r="H5344" i="3" s="1"/>
  <c r="D5528" i="3"/>
  <c r="I5528" i="3" s="1"/>
  <c r="D5470" i="3"/>
  <c r="I5470" i="3" s="1"/>
  <c r="D5190" i="3"/>
  <c r="I5190" i="3" s="1"/>
  <c r="D5832" i="3"/>
  <c r="H5832" i="3" s="1"/>
  <c r="D5911" i="3"/>
  <c r="D6120" i="3"/>
  <c r="I6120" i="3" s="1"/>
  <c r="D5179" i="3"/>
  <c r="I5179" i="3" s="1"/>
  <c r="D5797" i="3"/>
  <c r="J5797" i="3" s="1"/>
  <c r="D5373" i="3"/>
  <c r="D5280" i="3"/>
  <c r="I5280" i="3" s="1"/>
  <c r="D5905" i="3"/>
  <c r="I5905" i="3" s="1"/>
  <c r="D5207" i="3"/>
  <c r="H5207" i="3" s="1"/>
  <c r="D4311" i="3"/>
  <c r="H4311" i="3" s="1"/>
  <c r="D5261" i="3"/>
  <c r="H5261" i="3" s="1"/>
  <c r="D4298" i="3"/>
  <c r="J4298" i="3" s="1"/>
  <c r="D5908" i="3"/>
  <c r="I5908" i="3" s="1"/>
  <c r="D6218" i="3"/>
  <c r="H6218" i="3" s="1"/>
  <c r="D5634" i="3"/>
  <c r="I5634" i="3" s="1"/>
  <c r="D6135" i="3"/>
  <c r="H6135" i="3" s="1"/>
  <c r="D4309" i="3"/>
  <c r="J4309" i="3" s="1"/>
  <c r="D5558" i="3"/>
  <c r="D4329" i="3"/>
  <c r="H4329" i="3" s="1"/>
  <c r="D5550" i="3"/>
  <c r="H5550" i="3" s="1"/>
  <c r="D5180" i="3"/>
  <c r="I5180" i="3" s="1"/>
  <c r="D5982" i="3"/>
  <c r="I5982" i="3" s="1"/>
  <c r="D5255" i="3"/>
  <c r="H5255" i="3" s="1"/>
  <c r="D5443" i="3"/>
  <c r="H5443" i="3" s="1"/>
  <c r="D5913" i="3"/>
  <c r="H5913" i="3" s="1"/>
  <c r="D5567" i="3"/>
  <c r="H5567" i="3" s="1"/>
  <c r="D6731" i="3"/>
  <c r="H6731" i="3" s="1"/>
  <c r="D5178" i="3"/>
  <c r="H5178" i="3" s="1"/>
  <c r="D5383" i="3"/>
  <c r="I5383" i="3" s="1"/>
  <c r="D5525" i="3"/>
  <c r="I5525" i="3" s="1"/>
  <c r="D4353" i="3"/>
  <c r="J4353" i="3" s="1"/>
  <c r="D5815" i="3"/>
  <c r="I5815" i="3" s="1"/>
  <c r="D6729" i="3"/>
  <c r="H6729" i="3" s="1"/>
  <c r="D6201" i="3"/>
  <c r="H6201" i="3" s="1"/>
  <c r="D5259" i="3"/>
  <c r="H5259" i="3" s="1"/>
  <c r="D5927" i="3"/>
  <c r="H5927" i="3" s="1"/>
  <c r="D5835" i="3"/>
  <c r="I5835" i="3" s="1"/>
  <c r="D5978" i="3"/>
  <c r="I4" i="117"/>
  <c r="D6009" i="3"/>
  <c r="I6009" i="3" s="1"/>
  <c r="D5459" i="3"/>
  <c r="I5459" i="3" s="1"/>
  <c r="D6113" i="3"/>
  <c r="I6113" i="3" s="1"/>
  <c r="D5619" i="3"/>
  <c r="H5619" i="3" s="1"/>
  <c r="D5343" i="3"/>
  <c r="I5343" i="3" s="1"/>
  <c r="D5992" i="3"/>
  <c r="J5992" i="3" s="1"/>
  <c r="D5170" i="3"/>
  <c r="J5170" i="3" s="1"/>
  <c r="D5433" i="3"/>
  <c r="I5433" i="3" s="1"/>
  <c r="D4355" i="3"/>
  <c r="H4355" i="3" s="1"/>
  <c r="D5354" i="3"/>
  <c r="I5354" i="3" s="1"/>
  <c r="D5904" i="3"/>
  <c r="I5904" i="3" s="1"/>
  <c r="D5655" i="3"/>
  <c r="I5655" i="3" s="1"/>
  <c r="D5266" i="3"/>
  <c r="H5266" i="3" s="1"/>
  <c r="D6121" i="3"/>
  <c r="J6121" i="3" s="1"/>
  <c r="D5649" i="3"/>
  <c r="I5649" i="3" s="1"/>
  <c r="D5630" i="3"/>
  <c r="I5630" i="3" s="1"/>
  <c r="D5821" i="3"/>
  <c r="I5821" i="3" s="1"/>
  <c r="D6148" i="3"/>
  <c r="J6148" i="3" s="1"/>
  <c r="D5796" i="3"/>
  <c r="J5796" i="3" s="1"/>
  <c r="D5380" i="3"/>
  <c r="J5380" i="3" s="1"/>
  <c r="D5798" i="3"/>
  <c r="J5798" i="3" s="1"/>
  <c r="D5617" i="3"/>
  <c r="J5617" i="3" s="1"/>
  <c r="D5812" i="3"/>
  <c r="I5812" i="3" s="1"/>
  <c r="D5906" i="3"/>
  <c r="J5906" i="3" s="1"/>
  <c r="D4333" i="3"/>
  <c r="I4333" i="3" s="1"/>
  <c r="D5296" i="3"/>
  <c r="H5296" i="3" s="1"/>
  <c r="D4337" i="3"/>
  <c r="J4337" i="3" s="1"/>
  <c r="D5285" i="3"/>
  <c r="J5285" i="3" s="1"/>
  <c r="D4352" i="3"/>
  <c r="I4352" i="3" s="1"/>
  <c r="D5804" i="3"/>
  <c r="D6711" i="3"/>
  <c r="H6711" i="3" s="1"/>
  <c r="D6695" i="3"/>
  <c r="H6695" i="3" s="1"/>
  <c r="D4316" i="3"/>
  <c r="J4316" i="3" s="1"/>
  <c r="D5627" i="3"/>
  <c r="H5627" i="3" s="1"/>
  <c r="D5626" i="3"/>
  <c r="H5626" i="3" s="1"/>
  <c r="D5536" i="3"/>
  <c r="J5536" i="3" s="1"/>
  <c r="D5195" i="3"/>
  <c r="I5195" i="3" s="1"/>
  <c r="D5467" i="3"/>
  <c r="D5638" i="3"/>
  <c r="D5183" i="3"/>
  <c r="J5183" i="3" s="1"/>
  <c r="D6205" i="3"/>
  <c r="H6205" i="3" s="1"/>
  <c r="D6733" i="3"/>
  <c r="H6733" i="3" s="1"/>
  <c r="D4292" i="3"/>
  <c r="D5438" i="3"/>
  <c r="H5438" i="3" s="1"/>
  <c r="D5371" i="3"/>
  <c r="H5371" i="3" s="1"/>
  <c r="D6726" i="3"/>
  <c r="H6726" i="3" s="1"/>
  <c r="D5988" i="3"/>
  <c r="D5205" i="3"/>
  <c r="H5205" i="3" s="1"/>
  <c r="D5553" i="3"/>
  <c r="H5553" i="3" s="1"/>
  <c r="D6122" i="3"/>
  <c r="J6122" i="3" s="1"/>
  <c r="D6130" i="3"/>
  <c r="H6130" i="3" s="1"/>
  <c r="D5444" i="3"/>
  <c r="H5444" i="3" s="1"/>
  <c r="D5981" i="3"/>
  <c r="J5981" i="3" s="1"/>
  <c r="D5268" i="3"/>
  <c r="J5268" i="3" s="1"/>
  <c r="D5358" i="3"/>
  <c r="H5358" i="3" s="1"/>
  <c r="D5201" i="3"/>
  <c r="J5201" i="3" s="1"/>
  <c r="D5637" i="3"/>
  <c r="J5637" i="3" s="1"/>
  <c r="D5455" i="3"/>
  <c r="H5455" i="3" s="1"/>
  <c r="D6228" i="3"/>
  <c r="I6228" i="3" s="1"/>
  <c r="D6722" i="3"/>
  <c r="I6722" i="3" s="1"/>
  <c r="D6206" i="3"/>
  <c r="J6206" i="3" s="1"/>
  <c r="D4307" i="3"/>
  <c r="H4307" i="3" s="1"/>
  <c r="D5824" i="3"/>
  <c r="J5824" i="3" s="1"/>
  <c r="D5889" i="3"/>
  <c r="I5889" i="3" s="1"/>
  <c r="D5175" i="3"/>
  <c r="J5175" i="3" s="1"/>
  <c r="D5979" i="3"/>
  <c r="I5979" i="3" s="1"/>
  <c r="D5460" i="3"/>
  <c r="D6732" i="3"/>
  <c r="H6732" i="3" s="1"/>
  <c r="D6144" i="3"/>
  <c r="H6144" i="3" s="1"/>
  <c r="D5198" i="3"/>
  <c r="J5198" i="3" s="1"/>
  <c r="D5542" i="3"/>
  <c r="H5542" i="3" s="1"/>
  <c r="D6703" i="3"/>
  <c r="J6703" i="3" s="1"/>
  <c r="D6734" i="3"/>
  <c r="H6734" i="3" s="1"/>
  <c r="D5623" i="3"/>
  <c r="H5623" i="3" s="1"/>
  <c r="D5375" i="3"/>
  <c r="I5375" i="3" s="1"/>
  <c r="E4" i="117"/>
  <c r="D5618" i="3"/>
  <c r="I5618" i="3" s="1"/>
  <c r="D6222" i="3"/>
  <c r="J6222" i="3" s="1"/>
  <c r="D5294" i="3"/>
  <c r="H5294" i="3" s="1"/>
  <c r="D6712" i="3"/>
  <c r="H6712" i="3" s="1"/>
  <c r="D4348" i="3"/>
  <c r="I4348" i="3" s="1"/>
  <c r="D6230" i="3"/>
  <c r="I6230" i="3" s="1"/>
  <c r="D5174" i="3"/>
  <c r="D4318" i="3"/>
  <c r="H4318" i="3" s="1"/>
  <c r="D5346" i="3"/>
  <c r="H5346" i="3" s="1"/>
  <c r="D6001" i="3"/>
  <c r="J6001" i="3" s="1"/>
  <c r="D5477" i="3"/>
  <c r="D5557" i="3"/>
  <c r="H5557" i="3" s="1"/>
  <c r="D5382" i="3"/>
  <c r="H5382" i="3" s="1"/>
  <c r="D5369" i="3"/>
  <c r="H5369" i="3" s="1"/>
  <c r="D5629" i="3"/>
  <c r="J5629" i="3" s="1"/>
  <c r="D6719" i="3"/>
  <c r="J6719" i="3" s="1"/>
  <c r="D5361" i="3"/>
  <c r="I5361" i="3" s="1"/>
  <c r="D4351" i="3"/>
  <c r="J4351" i="3" s="1"/>
  <c r="D6134" i="3"/>
  <c r="J6134" i="3" s="1"/>
  <c r="D5541" i="3"/>
  <c r="I5541" i="3" s="1"/>
  <c r="D4346" i="3"/>
  <c r="J4346" i="3" s="1"/>
  <c r="D6011" i="3"/>
  <c r="J6011" i="3" s="1"/>
  <c r="D5192" i="3"/>
  <c r="D5565" i="3"/>
  <c r="J5565" i="3" s="1"/>
  <c r="D5646" i="3"/>
  <c r="I5646" i="3" s="1"/>
  <c r="D5446" i="3"/>
  <c r="I5446" i="3" s="1"/>
  <c r="D6124" i="3"/>
  <c r="I6124" i="3" s="1"/>
  <c r="J4" i="117"/>
  <c r="D5813" i="3"/>
  <c r="J5813" i="3" s="1"/>
  <c r="D5270" i="3"/>
  <c r="I5270" i="3" s="1"/>
  <c r="P4" i="117"/>
  <c r="D6114" i="3"/>
  <c r="I6114" i="3" s="1"/>
  <c r="D5656" i="3"/>
  <c r="H5656" i="3" s="1"/>
  <c r="D6123" i="3"/>
  <c r="J6123" i="3" s="1"/>
  <c r="D5366" i="3"/>
  <c r="I5366" i="3" s="1"/>
  <c r="D5888" i="3"/>
  <c r="H5888" i="3" s="1"/>
  <c r="D4312" i="3"/>
  <c r="J4312" i="3" s="1"/>
  <c r="D5462" i="3"/>
  <c r="I5462" i="3" s="1"/>
  <c r="D5807" i="3"/>
  <c r="H5807" i="3" s="1"/>
  <c r="D5921" i="3"/>
  <c r="I5921" i="3" s="1"/>
  <c r="D6699" i="3"/>
  <c r="J6699" i="3" s="1"/>
  <c r="D5188" i="3"/>
  <c r="I5188" i="3" s="1"/>
  <c r="D5200" i="3"/>
  <c r="H5200" i="3" s="1"/>
  <c r="D4306" i="3"/>
  <c r="J4306" i="3" s="1"/>
  <c r="D6696" i="3"/>
  <c r="J6696" i="3" s="1"/>
  <c r="D6225" i="3"/>
  <c r="J6225" i="3" s="1"/>
  <c r="D6706" i="3"/>
  <c r="H6706" i="3" s="1"/>
  <c r="D5473" i="3"/>
  <c r="H5473" i="3" s="1"/>
  <c r="D5802" i="3"/>
  <c r="J5802" i="3" s="1"/>
  <c r="D5351" i="3"/>
  <c r="D5533" i="3"/>
  <c r="I5533" i="3" s="1"/>
  <c r="D6138" i="3"/>
  <c r="H6138" i="3" s="1"/>
  <c r="D6117" i="3"/>
  <c r="H6117" i="3" s="1"/>
  <c r="D5181" i="3"/>
  <c r="H5181" i="3" s="1"/>
  <c r="D5994" i="3"/>
  <c r="D4343" i="3"/>
  <c r="H4343" i="3" s="1"/>
  <c r="D5171" i="3"/>
  <c r="J5171" i="3" s="1"/>
  <c r="D6728" i="3"/>
  <c r="J6728" i="3" s="1"/>
  <c r="D5814" i="3"/>
  <c r="M4" i="117"/>
  <c r="D5990" i="3"/>
  <c r="J5990" i="3" s="1"/>
  <c r="D5290" i="3"/>
  <c r="I5290" i="3" s="1"/>
  <c r="O4" i="117"/>
  <c r="D5794" i="3"/>
  <c r="H5794" i="3" s="1"/>
  <c r="D5834" i="3"/>
  <c r="J5834" i="3" s="1"/>
  <c r="D6231" i="3"/>
  <c r="I6231" i="3" s="1"/>
  <c r="D6709" i="3"/>
  <c r="H6709" i="3" s="1"/>
  <c r="D5472" i="3"/>
  <c r="J5472" i="3" s="1"/>
  <c r="D5622" i="3"/>
  <c r="I5622" i="3" s="1"/>
  <c r="D5800" i="3"/>
  <c r="D5995" i="3"/>
  <c r="H5995" i="3" s="1"/>
  <c r="D5907" i="3"/>
  <c r="J5907" i="3" s="1"/>
  <c r="D5554" i="3"/>
  <c r="H5554" i="3" s="1"/>
  <c r="D5899" i="3"/>
  <c r="I5899" i="3" s="1"/>
  <c r="D5991" i="3"/>
  <c r="H5991" i="3" s="1"/>
  <c r="D5539" i="3"/>
  <c r="J5539" i="3" s="1"/>
  <c r="D5657" i="3"/>
  <c r="J5657" i="3" s="1"/>
  <c r="D5654" i="3"/>
  <c r="J5654" i="3" s="1"/>
  <c r="D5368" i="3"/>
  <c r="D4321" i="3"/>
  <c r="J4321" i="3" s="1"/>
  <c r="D5916" i="3"/>
  <c r="J5916" i="3" s="1"/>
  <c r="D4296" i="3"/>
  <c r="J4296" i="3" s="1"/>
  <c r="D5468" i="3"/>
  <c r="H5468" i="3" s="1"/>
  <c r="D4323" i="3"/>
  <c r="J4323" i="3" s="1"/>
  <c r="D4349" i="3"/>
  <c r="I4349" i="3" s="1"/>
  <c r="D5616" i="3"/>
  <c r="I5616" i="3" s="1"/>
  <c r="D5652" i="3"/>
  <c r="F4" i="117"/>
  <c r="D5350" i="3"/>
  <c r="I5350" i="3" s="1"/>
  <c r="D5447" i="3"/>
  <c r="J5447" i="3" s="1"/>
  <c r="D6149" i="3"/>
  <c r="D5633" i="3"/>
  <c r="J5633" i="3" s="1"/>
  <c r="D5450" i="3"/>
  <c r="I5450" i="3" s="1"/>
  <c r="D6207" i="3"/>
  <c r="I6207" i="3" s="1"/>
  <c r="D4357" i="3"/>
  <c r="I4357" i="3" s="1"/>
  <c r="D4325" i="3"/>
  <c r="I4325" i="3" s="1"/>
  <c r="D5636" i="3"/>
  <c r="H5636" i="3" s="1"/>
  <c r="D6200" i="3"/>
  <c r="J6200" i="3" s="1"/>
  <c r="D4360" i="3"/>
  <c r="D4327" i="3"/>
  <c r="J4327" i="3" s="1"/>
  <c r="D5620" i="3"/>
  <c r="H5620" i="3" s="1"/>
  <c r="D5891" i="3"/>
  <c r="I5891" i="3" s="1"/>
  <c r="D5286" i="3"/>
  <c r="H5286" i="3" s="1"/>
  <c r="D4358" i="3"/>
  <c r="J4358" i="3" s="1"/>
  <c r="D6713" i="3"/>
  <c r="J6713" i="3" s="1"/>
  <c r="D5884" i="3"/>
  <c r="I5884" i="3" s="1"/>
  <c r="D4" i="117"/>
  <c r="D5458" i="3"/>
  <c r="H5458" i="3" s="1"/>
  <c r="D5993" i="3"/>
  <c r="J5993" i="3" s="1"/>
  <c r="D4322" i="3"/>
  <c r="I4322" i="3" s="1"/>
  <c r="D4339" i="3"/>
  <c r="D4295" i="3"/>
  <c r="H4295" i="3" s="1"/>
  <c r="D6108" i="3"/>
  <c r="H6108" i="3" s="1"/>
  <c r="D5272" i="3"/>
  <c r="J5272" i="3" s="1"/>
  <c r="D6234" i="3"/>
  <c r="J6234" i="3" s="1"/>
  <c r="D5377" i="3"/>
  <c r="I5377" i="3" s="1"/>
  <c r="D6705" i="3"/>
  <c r="J6705" i="3" s="1"/>
  <c r="D5189" i="3"/>
  <c r="H5189" i="3" s="1"/>
  <c r="D6701" i="3"/>
  <c r="J6701" i="3" s="1"/>
  <c r="D6693" i="3"/>
  <c r="J6693" i="3" s="1"/>
  <c r="D4344" i="3"/>
  <c r="H4344" i="3" s="1"/>
  <c r="D4335" i="3"/>
  <c r="J4335" i="3" s="1"/>
  <c r="D5973" i="3"/>
  <c r="D5546" i="3"/>
  <c r="H5546" i="3" s="1"/>
  <c r="D5537" i="3"/>
  <c r="I5537" i="3" s="1"/>
  <c r="D6005" i="3"/>
  <c r="J6005" i="3" s="1"/>
  <c r="D6727" i="3"/>
  <c r="N4" i="117"/>
  <c r="D5984" i="3"/>
  <c r="I5984" i="3" s="1"/>
  <c r="D5624" i="3"/>
  <c r="I5624" i="3" s="1"/>
  <c r="D6702" i="3"/>
  <c r="D5615" i="3"/>
  <c r="H5615" i="3" s="1"/>
  <c r="D5561" i="3"/>
  <c r="H5561" i="3" s="1"/>
  <c r="D5894" i="3"/>
  <c r="J5894" i="3" s="1"/>
  <c r="D5164" i="3"/>
  <c r="J5164" i="3" s="1"/>
  <c r="D4347" i="3"/>
  <c r="J4347" i="3" s="1"/>
  <c r="D6198" i="3"/>
  <c r="I6198" i="3" s="1"/>
  <c r="D5367" i="3"/>
  <c r="J5367" i="3" s="1"/>
  <c r="D4336" i="3"/>
  <c r="D5996" i="3"/>
  <c r="H5996" i="3" s="1"/>
  <c r="D4291" i="3"/>
  <c r="H4291" i="3" s="1"/>
  <c r="D6136" i="3"/>
  <c r="H6136" i="3" s="1"/>
  <c r="D5169" i="3"/>
  <c r="J5169" i="3" s="1"/>
  <c r="D6131" i="3"/>
  <c r="I6131" i="3" s="1"/>
  <c r="D5363" i="3"/>
  <c r="J5363" i="3" s="1"/>
  <c r="D6143" i="3"/>
  <c r="J6143" i="3" s="1"/>
  <c r="L4" i="117"/>
  <c r="D5165" i="3"/>
  <c r="H5165" i="3" s="1"/>
  <c r="D4338" i="3"/>
  <c r="H4338" i="3" s="1"/>
  <c r="D5353" i="3"/>
  <c r="J5353" i="3" s="1"/>
  <c r="D6127" i="3"/>
  <c r="D6139" i="3"/>
  <c r="I6139" i="3" s="1"/>
  <c r="D4330" i="3"/>
  <c r="J4330" i="3" s="1"/>
  <c r="D5650" i="3"/>
  <c r="I5650" i="3" s="1"/>
  <c r="D5523" i="3"/>
  <c r="D5983" i="3"/>
  <c r="J5983" i="3" s="1"/>
  <c r="D5923" i="3"/>
  <c r="J5923" i="3" s="1"/>
  <c r="H4" i="117"/>
  <c r="D6714" i="3"/>
  <c r="I6714" i="3" s="1"/>
  <c r="D5887" i="3"/>
  <c r="H5887" i="3" s="1"/>
  <c r="D6204" i="3"/>
  <c r="J6204" i="3" s="1"/>
  <c r="D5560" i="3"/>
  <c r="H5560" i="3" s="1"/>
  <c r="D4300" i="3"/>
  <c r="C27" i="174"/>
  <c r="D4294" i="3" a="1"/>
  <c r="D4287" i="3" a="1"/>
  <c r="D4294" i="3" l="1"/>
  <c r="H4294" i="3" s="1"/>
  <c r="K35" i="117"/>
  <c r="J6111" i="3"/>
  <c r="D4287" i="3"/>
  <c r="I4287" i="3" s="1"/>
  <c r="H3867" i="3"/>
  <c r="J3867" i="3"/>
  <c r="D35" i="117"/>
  <c r="I5531" i="3"/>
  <c r="H5531" i="3"/>
  <c r="J5635" i="3"/>
  <c r="I5635" i="3"/>
  <c r="I6111" i="3"/>
  <c r="H4299" i="3"/>
  <c r="I6202" i="3"/>
  <c r="H5295" i="3"/>
  <c r="J6013" i="3"/>
  <c r="J6118" i="3"/>
  <c r="H5370" i="3"/>
  <c r="J5370" i="3"/>
  <c r="I5465" i="3"/>
  <c r="J4299" i="3"/>
  <c r="J5465" i="3"/>
  <c r="H5203" i="3"/>
  <c r="J6718" i="3"/>
  <c r="H6004" i="3"/>
  <c r="H5451" i="3"/>
  <c r="I5545" i="3"/>
  <c r="I6217" i="3"/>
  <c r="I5920" i="3"/>
  <c r="H6718" i="3"/>
  <c r="H5793" i="3"/>
  <c r="H6006" i="3"/>
  <c r="H5262" i="3"/>
  <c r="J5293" i="3"/>
  <c r="H6239" i="3"/>
  <c r="I6199" i="3"/>
  <c r="H5552" i="3"/>
  <c r="J6006" i="3"/>
  <c r="J5262" i="3"/>
  <c r="H6217" i="3"/>
  <c r="H5818" i="3"/>
  <c r="I4315" i="3"/>
  <c r="J5818" i="3"/>
  <c r="H5886" i="3"/>
  <c r="H6120" i="3"/>
  <c r="H5906" i="3"/>
  <c r="J5793" i="3"/>
  <c r="I6118" i="3"/>
  <c r="J6110" i="3"/>
  <c r="J4315" i="3"/>
  <c r="I5293" i="3"/>
  <c r="J5920" i="3"/>
  <c r="J6239" i="3"/>
  <c r="H6110" i="3"/>
  <c r="I6013" i="3"/>
  <c r="J5552" i="3"/>
  <c r="J5820" i="3"/>
  <c r="H5634" i="3"/>
  <c r="H6227" i="3"/>
  <c r="I4306" i="3"/>
  <c r="H5536" i="3"/>
  <c r="I5295" i="3"/>
  <c r="H5545" i="3"/>
  <c r="H6703" i="3"/>
  <c r="J5451" i="3"/>
  <c r="H5386" i="3"/>
  <c r="I5886" i="3"/>
  <c r="J5386" i="3"/>
  <c r="J6010" i="3"/>
  <c r="J6120" i="3"/>
  <c r="J6199" i="3"/>
  <c r="I4321" i="3"/>
  <c r="H6010" i="3"/>
  <c r="J6731" i="3"/>
  <c r="H5820" i="3"/>
  <c r="J6722" i="3"/>
  <c r="H6722" i="3"/>
  <c r="I5906" i="3"/>
  <c r="J5634" i="3"/>
  <c r="I6703" i="3"/>
  <c r="H5472" i="3"/>
  <c r="J5205" i="3"/>
  <c r="H5633" i="3"/>
  <c r="I5205" i="3"/>
  <c r="J5541" i="3"/>
  <c r="J4302" i="3"/>
  <c r="I5653" i="3"/>
  <c r="I6209" i="3"/>
  <c r="J5274" i="3"/>
  <c r="I6227" i="3"/>
  <c r="I6731" i="3"/>
  <c r="J5377" i="3"/>
  <c r="H5377" i="3"/>
  <c r="H4321" i="3"/>
  <c r="I5536" i="3"/>
  <c r="J5203" i="3"/>
  <c r="I4288" i="3"/>
  <c r="J5453" i="3"/>
  <c r="I5633" i="3"/>
  <c r="H5801" i="3"/>
  <c r="J5655" i="3"/>
  <c r="J4318" i="3"/>
  <c r="I5349" i="3"/>
  <c r="I6707" i="3"/>
  <c r="J5278" i="3"/>
  <c r="H4290" i="3"/>
  <c r="I5434" i="3"/>
  <c r="J5526" i="3"/>
  <c r="I4326" i="3"/>
  <c r="H5434" i="3"/>
  <c r="I6004" i="3"/>
  <c r="H6707" i="3"/>
  <c r="H6229" i="3"/>
  <c r="I6213" i="3"/>
  <c r="J6213" i="3"/>
  <c r="H5253" i="3"/>
  <c r="I5173" i="3"/>
  <c r="H5471" i="3"/>
  <c r="H5206" i="3"/>
  <c r="J5173" i="3"/>
  <c r="I5808" i="3"/>
  <c r="J5556" i="3"/>
  <c r="J5206" i="3"/>
  <c r="H5808" i="3"/>
  <c r="J5903" i="3"/>
  <c r="J5349" i="3"/>
  <c r="I4355" i="3"/>
  <c r="H5267" i="3"/>
  <c r="J6220" i="3"/>
  <c r="H5274" i="3"/>
  <c r="H6720" i="3"/>
  <c r="I5976" i="3"/>
  <c r="I5282" i="3"/>
  <c r="I5822" i="3"/>
  <c r="H6220" i="3"/>
  <c r="J6720" i="3"/>
  <c r="J5898" i="3"/>
  <c r="J5267" i="3"/>
  <c r="J5987" i="3"/>
  <c r="J6144" i="3"/>
  <c r="I5898" i="3"/>
  <c r="H5524" i="3"/>
  <c r="J5975" i="3"/>
  <c r="H6202" i="3"/>
  <c r="I5524" i="3"/>
  <c r="I5281" i="3"/>
  <c r="H4297" i="3"/>
  <c r="H6209" i="3"/>
  <c r="H5653" i="3"/>
  <c r="J5801" i="3"/>
  <c r="J5281" i="3"/>
  <c r="J4288" i="3"/>
  <c r="I4302" i="3"/>
  <c r="H5289" i="3"/>
  <c r="I5278" i="3"/>
  <c r="J5456" i="3"/>
  <c r="I5556" i="3"/>
  <c r="J4326" i="3"/>
  <c r="J5901" i="3"/>
  <c r="J6140" i="3"/>
  <c r="J5279" i="3"/>
  <c r="H5287" i="3"/>
  <c r="I5279" i="3"/>
  <c r="J5287" i="3"/>
  <c r="H5825" i="3"/>
  <c r="I5825" i="3"/>
  <c r="J6229" i="3"/>
  <c r="H6723" i="3"/>
  <c r="J5535" i="3"/>
  <c r="I5648" i="3"/>
  <c r="I4345" i="3"/>
  <c r="J5255" i="3"/>
  <c r="J6723" i="3"/>
  <c r="H5535" i="3"/>
  <c r="J5648" i="3"/>
  <c r="H4345" i="3"/>
  <c r="I5471" i="3"/>
  <c r="I5265" i="3"/>
  <c r="I5526" i="3"/>
  <c r="I5253" i="3"/>
  <c r="J5438" i="3"/>
  <c r="H5529" i="3"/>
  <c r="I5255" i="3"/>
  <c r="J6732" i="3"/>
  <c r="I5438" i="3"/>
  <c r="I6732" i="3"/>
  <c r="I6695" i="3"/>
  <c r="H5379" i="3"/>
  <c r="J6695" i="3"/>
  <c r="J5921" i="3"/>
  <c r="H5433" i="3"/>
  <c r="J6138" i="3"/>
  <c r="J5259" i="3"/>
  <c r="I6138" i="3"/>
  <c r="I5259" i="3"/>
  <c r="I5201" i="3"/>
  <c r="I6712" i="3"/>
  <c r="H5201" i="3"/>
  <c r="J6712" i="3"/>
  <c r="I5380" i="3"/>
  <c r="H5817" i="3"/>
  <c r="H5470" i="3"/>
  <c r="I5887" i="3"/>
  <c r="I5379" i="3"/>
  <c r="J5433" i="3"/>
  <c r="H5380" i="3"/>
  <c r="J5261" i="3"/>
  <c r="H5190" i="3"/>
  <c r="I5975" i="3"/>
  <c r="H6007" i="3"/>
  <c r="J5529" i="3"/>
  <c r="H5265" i="3"/>
  <c r="H5374" i="3"/>
  <c r="J5464" i="3"/>
  <c r="J5895" i="3"/>
  <c r="H5179" i="3"/>
  <c r="J5374" i="3"/>
  <c r="J5887" i="3"/>
  <c r="I4297" i="3"/>
  <c r="J5822" i="3"/>
  <c r="I5831" i="3"/>
  <c r="I5289" i="3"/>
  <c r="I5261" i="3"/>
  <c r="J6002" i="3"/>
  <c r="I5647" i="3"/>
  <c r="H5647" i="3"/>
  <c r="I6206" i="3"/>
  <c r="H5976" i="3"/>
  <c r="H4347" i="3"/>
  <c r="H5464" i="3"/>
  <c r="I5903" i="3"/>
  <c r="H6002" i="3"/>
  <c r="J5927" i="3"/>
  <c r="H5544" i="3"/>
  <c r="I5987" i="3"/>
  <c r="J4355" i="3"/>
  <c r="H5282" i="3"/>
  <c r="I5456" i="3"/>
  <c r="H6696" i="3"/>
  <c r="I5371" i="3"/>
  <c r="J5371" i="3"/>
  <c r="I5385" i="3"/>
  <c r="J5361" i="3"/>
  <c r="I4298" i="3"/>
  <c r="J6198" i="3"/>
  <c r="H5364" i="3"/>
  <c r="J5194" i="3"/>
  <c r="J5350" i="3"/>
  <c r="J5831" i="3"/>
  <c r="I5476" i="3"/>
  <c r="I5901" i="3"/>
  <c r="J5809" i="3"/>
  <c r="I5544" i="3"/>
  <c r="H6736" i="3"/>
  <c r="I5657" i="3"/>
  <c r="I6108" i="3"/>
  <c r="I5348" i="3"/>
  <c r="J5889" i="3"/>
  <c r="I5834" i="3"/>
  <c r="H5350" i="3"/>
  <c r="J5190" i="3"/>
  <c r="H5361" i="3"/>
  <c r="H4298" i="3"/>
  <c r="I6204" i="3"/>
  <c r="H6198" i="3"/>
  <c r="H6204" i="3"/>
  <c r="I5441" i="3"/>
  <c r="I5813" i="3"/>
  <c r="J4348" i="3"/>
  <c r="H5798" i="3"/>
  <c r="H5441" i="3"/>
  <c r="J5443" i="3"/>
  <c r="H5813" i="3"/>
  <c r="H4348" i="3"/>
  <c r="H4316" i="3"/>
  <c r="I5798" i="3"/>
  <c r="I5443" i="3"/>
  <c r="I4316" i="3"/>
  <c r="I6144" i="3"/>
  <c r="I5927" i="3"/>
  <c r="H5834" i="3"/>
  <c r="H5657" i="3"/>
  <c r="I6117" i="3"/>
  <c r="I5620" i="3"/>
  <c r="I5916" i="3"/>
  <c r="J5559" i="3"/>
  <c r="I6125" i="3"/>
  <c r="H4346" i="3"/>
  <c r="H5439" i="3"/>
  <c r="J6142" i="3"/>
  <c r="I5346" i="3"/>
  <c r="H5440" i="3"/>
  <c r="I5439" i="3"/>
  <c r="H6142" i="3"/>
  <c r="H5359" i="3"/>
  <c r="H5360" i="3"/>
  <c r="J6708" i="3"/>
  <c r="I5817" i="3"/>
  <c r="H5195" i="3"/>
  <c r="H6141" i="3"/>
  <c r="I5925" i="3"/>
  <c r="I5194" i="3"/>
  <c r="H5527" i="3"/>
  <c r="H5916" i="3"/>
  <c r="J5444" i="3"/>
  <c r="I4346" i="3"/>
  <c r="I5833" i="3"/>
  <c r="I5553" i="3"/>
  <c r="H5889" i="3"/>
  <c r="I6736" i="3"/>
  <c r="J5470" i="3"/>
  <c r="J4291" i="3"/>
  <c r="I5656" i="3"/>
  <c r="I6016" i="3"/>
  <c r="H5454" i="3"/>
  <c r="J5165" i="3"/>
  <c r="H6009" i="3"/>
  <c r="J5454" i="3"/>
  <c r="I5269" i="3"/>
  <c r="I5977" i="3"/>
  <c r="J5461" i="3"/>
  <c r="H4349" i="3"/>
  <c r="J5550" i="3"/>
  <c r="H6000" i="3"/>
  <c r="J4313" i="3"/>
  <c r="I6017" i="3"/>
  <c r="J4356" i="3"/>
  <c r="J6116" i="3"/>
  <c r="I5356" i="3"/>
  <c r="J5382" i="3"/>
  <c r="I5636" i="3"/>
  <c r="I5384" i="3"/>
  <c r="I5550" i="3"/>
  <c r="I6140" i="3"/>
  <c r="J5644" i="3"/>
  <c r="I5816" i="3"/>
  <c r="H5802" i="3"/>
  <c r="J5356" i="3"/>
  <c r="H6116" i="3"/>
  <c r="I5461" i="3"/>
  <c r="I5444" i="3"/>
  <c r="J4352" i="3"/>
  <c r="I5615" i="3"/>
  <c r="J5810" i="3"/>
  <c r="I5819" i="3"/>
  <c r="H5538" i="3"/>
  <c r="I5554" i="3"/>
  <c r="H4356" i="3"/>
  <c r="I5907" i="3"/>
  <c r="H5905" i="3"/>
  <c r="J5619" i="3"/>
  <c r="I6115" i="3"/>
  <c r="J5449" i="3"/>
  <c r="I5559" i="3"/>
  <c r="J5614" i="3"/>
  <c r="H6708" i="3"/>
  <c r="I4313" i="3"/>
  <c r="J4349" i="3"/>
  <c r="I5440" i="3"/>
  <c r="I5802" i="3"/>
  <c r="H6017" i="3"/>
  <c r="H5983" i="3"/>
  <c r="I5810" i="3"/>
  <c r="H5819" i="3"/>
  <c r="J5538" i="3"/>
  <c r="J5554" i="3"/>
  <c r="J5905" i="3"/>
  <c r="J6115" i="3"/>
  <c r="I6000" i="3"/>
  <c r="J5566" i="3"/>
  <c r="I5527" i="3"/>
  <c r="H5297" i="3"/>
  <c r="J6232" i="3"/>
  <c r="H5614" i="3"/>
  <c r="I4290" i="3"/>
  <c r="I5285" i="3"/>
  <c r="J4319" i="3"/>
  <c r="H5343" i="3"/>
  <c r="J5618" i="3"/>
  <c r="J6205" i="3"/>
  <c r="J5925" i="3"/>
  <c r="H5895" i="3"/>
  <c r="I5382" i="3"/>
  <c r="I6232" i="3"/>
  <c r="I5297" i="3"/>
  <c r="H5990" i="3"/>
  <c r="I5175" i="3"/>
  <c r="H5285" i="3"/>
  <c r="H4319" i="3"/>
  <c r="J5343" i="3"/>
  <c r="H5618" i="3"/>
  <c r="J4320" i="3"/>
  <c r="J6214" i="3"/>
  <c r="I5799" i="3"/>
  <c r="I6205" i="3"/>
  <c r="I5566" i="3"/>
  <c r="H5915" i="3"/>
  <c r="H5632" i="3"/>
  <c r="I5990" i="3"/>
  <c r="J5830" i="3"/>
  <c r="I4329" i="3"/>
  <c r="H5175" i="3"/>
  <c r="H5981" i="3"/>
  <c r="H5363" i="3"/>
  <c r="I4320" i="3"/>
  <c r="H6112" i="3"/>
  <c r="H5896" i="3"/>
  <c r="H5630" i="3"/>
  <c r="H6214" i="3"/>
  <c r="H5914" i="3"/>
  <c r="J5799" i="3"/>
  <c r="J5469" i="3"/>
  <c r="H5821" i="3"/>
  <c r="J5815" i="3"/>
  <c r="I5915" i="3"/>
  <c r="I5632" i="3"/>
  <c r="H5376" i="3"/>
  <c r="H5830" i="3"/>
  <c r="J4329" i="3"/>
  <c r="I5981" i="3"/>
  <c r="H5254" i="3"/>
  <c r="I5561" i="3"/>
  <c r="I6112" i="3"/>
  <c r="J5896" i="3"/>
  <c r="J5630" i="3"/>
  <c r="I5914" i="3"/>
  <c r="J5271" i="3"/>
  <c r="I5469" i="3"/>
  <c r="I5275" i="3"/>
  <c r="J5821" i="3"/>
  <c r="H5280" i="3"/>
  <c r="H5815" i="3"/>
  <c r="J5376" i="3"/>
  <c r="J4317" i="3"/>
  <c r="J5254" i="3"/>
  <c r="J5561" i="3"/>
  <c r="I5445" i="3"/>
  <c r="H6700" i="3"/>
  <c r="I4312" i="3"/>
  <c r="I5271" i="3"/>
  <c r="H5275" i="3"/>
  <c r="J5280" i="3"/>
  <c r="H6126" i="3"/>
  <c r="I4294" i="3"/>
  <c r="I4317" i="3"/>
  <c r="H5466" i="3"/>
  <c r="H5163" i="3"/>
  <c r="I5993" i="3"/>
  <c r="J4325" i="3"/>
  <c r="I5828" i="3"/>
  <c r="H5534" i="3"/>
  <c r="H5445" i="3"/>
  <c r="J6700" i="3"/>
  <c r="H4312" i="3"/>
  <c r="J5922" i="3"/>
  <c r="I4353" i="3"/>
  <c r="J5636" i="3"/>
  <c r="J5384" i="3"/>
  <c r="J6126" i="3"/>
  <c r="I5644" i="3"/>
  <c r="J5816" i="3"/>
  <c r="J5473" i="3"/>
  <c r="J5557" i="3"/>
  <c r="J5466" i="3"/>
  <c r="J5163" i="3"/>
  <c r="H5993" i="3"/>
  <c r="H5828" i="3"/>
  <c r="H4352" i="3"/>
  <c r="I5534" i="3"/>
  <c r="I5922" i="3"/>
  <c r="J5276" i="3"/>
  <c r="I5449" i="3"/>
  <c r="I5473" i="3"/>
  <c r="I5557" i="3"/>
  <c r="I5276" i="3"/>
  <c r="I5619" i="3"/>
  <c r="H6206" i="3"/>
  <c r="H6212" i="3"/>
  <c r="J5266" i="3"/>
  <c r="J6009" i="3"/>
  <c r="H5476" i="3"/>
  <c r="I5359" i="3"/>
  <c r="J5195" i="3"/>
  <c r="J4333" i="3"/>
  <c r="J5346" i="3"/>
  <c r="H4310" i="3"/>
  <c r="I5266" i="3"/>
  <c r="H5883" i="3"/>
  <c r="I6713" i="3"/>
  <c r="H5347" i="3"/>
  <c r="I6129" i="3"/>
  <c r="H4333" i="3"/>
  <c r="J6212" i="3"/>
  <c r="I5893" i="3"/>
  <c r="H6203" i="3"/>
  <c r="I4310" i="3"/>
  <c r="J5883" i="3"/>
  <c r="H6713" i="3"/>
  <c r="I5347" i="3"/>
  <c r="J5360" i="3"/>
  <c r="H5453" i="3"/>
  <c r="J6203" i="3"/>
  <c r="H6129" i="3"/>
  <c r="H5269" i="3"/>
  <c r="H5171" i="3"/>
  <c r="J5656" i="3"/>
  <c r="J6141" i="3"/>
  <c r="H6125" i="3"/>
  <c r="H6016" i="3"/>
  <c r="H5977" i="3"/>
  <c r="I5171" i="3"/>
  <c r="J5178" i="3"/>
  <c r="J5364" i="3"/>
  <c r="I6696" i="3"/>
  <c r="J5553" i="3"/>
  <c r="J6146" i="3"/>
  <c r="J5179" i="3"/>
  <c r="J4340" i="3"/>
  <c r="H5833" i="3"/>
  <c r="J6734" i="3"/>
  <c r="I5178" i="3"/>
  <c r="H6710" i="3"/>
  <c r="I6146" i="3"/>
  <c r="I4340" i="3"/>
  <c r="J6710" i="3"/>
  <c r="H5191" i="3"/>
  <c r="H6240" i="3"/>
  <c r="I4330" i="3"/>
  <c r="I6734" i="3"/>
  <c r="I6135" i="3"/>
  <c r="J5191" i="3"/>
  <c r="J6240" i="3"/>
  <c r="J6007" i="3"/>
  <c r="H5450" i="3"/>
  <c r="J6135" i="3"/>
  <c r="J5984" i="3"/>
  <c r="H5183" i="3"/>
  <c r="H4353" i="3"/>
  <c r="H5655" i="3"/>
  <c r="I4323" i="3"/>
  <c r="I4291" i="3"/>
  <c r="I5363" i="3"/>
  <c r="H5984" i="3"/>
  <c r="J6108" i="3"/>
  <c r="I5546" i="3"/>
  <c r="I4347" i="3"/>
  <c r="H4327" i="3"/>
  <c r="I5472" i="3"/>
  <c r="H6139" i="3"/>
  <c r="H6693" i="3"/>
  <c r="I5996" i="3"/>
  <c r="H5565" i="3"/>
  <c r="I5539" i="3"/>
  <c r="J4295" i="3"/>
  <c r="H4306" i="3"/>
  <c r="H5541" i="3"/>
  <c r="J6114" i="3"/>
  <c r="I6719" i="3"/>
  <c r="J5888" i="3"/>
  <c r="I4327" i="3"/>
  <c r="J6139" i="3"/>
  <c r="J5458" i="3"/>
  <c r="J5996" i="3"/>
  <c r="I5565" i="3"/>
  <c r="H4358" i="3"/>
  <c r="I4295" i="3"/>
  <c r="I5983" i="3"/>
  <c r="I5888" i="3"/>
  <c r="I5183" i="3"/>
  <c r="J4338" i="3"/>
  <c r="J4343" i="3"/>
  <c r="J5794" i="3"/>
  <c r="J5546" i="3"/>
  <c r="H5907" i="3"/>
  <c r="H6705" i="3"/>
  <c r="J5622" i="3"/>
  <c r="H6131" i="3"/>
  <c r="I4318" i="3"/>
  <c r="J5537" i="3"/>
  <c r="I4338" i="3"/>
  <c r="I5637" i="3"/>
  <c r="H5540" i="3"/>
  <c r="J6117" i="3"/>
  <c r="I5369" i="3"/>
  <c r="I5974" i="3"/>
  <c r="H5908" i="3"/>
  <c r="H6694" i="3"/>
  <c r="I5437" i="3"/>
  <c r="H5537" i="3"/>
  <c r="H6699" i="3"/>
  <c r="H4330" i="3"/>
  <c r="J5620" i="3"/>
  <c r="I5923" i="3"/>
  <c r="H6145" i="3"/>
  <c r="H5385" i="3"/>
  <c r="H5437" i="3"/>
  <c r="H5562" i="3"/>
  <c r="H5891" i="3"/>
  <c r="H5268" i="3"/>
  <c r="I5182" i="3"/>
  <c r="J5974" i="3"/>
  <c r="J6208" i="3"/>
  <c r="I5613" i="3"/>
  <c r="J6242" i="3"/>
  <c r="H5543" i="3"/>
  <c r="I6238" i="3"/>
  <c r="H6001" i="3"/>
  <c r="I5809" i="3"/>
  <c r="J5189" i="3"/>
  <c r="J5627" i="3"/>
  <c r="J5530" i="3"/>
  <c r="H6005" i="3"/>
  <c r="H5354" i="3"/>
  <c r="J5899" i="3"/>
  <c r="I5530" i="3"/>
  <c r="H6210" i="3"/>
  <c r="H6137" i="3"/>
  <c r="H6219" i="3"/>
  <c r="J5891" i="3"/>
  <c r="H5459" i="3"/>
  <c r="I5452" i="3"/>
  <c r="I6242" i="3"/>
  <c r="I6222" i="3"/>
  <c r="H6717" i="3"/>
  <c r="H6237" i="3"/>
  <c r="H5654" i="3"/>
  <c r="H6230" i="3"/>
  <c r="I6122" i="3"/>
  <c r="I6728" i="3"/>
  <c r="I5832" i="3"/>
  <c r="I6208" i="3"/>
  <c r="H5797" i="3"/>
  <c r="I5998" i="3"/>
  <c r="I6137" i="3"/>
  <c r="I6143" i="3"/>
  <c r="I6219" i="3"/>
  <c r="I5992" i="3"/>
  <c r="J5452" i="3"/>
  <c r="J5631" i="3"/>
  <c r="H4296" i="3"/>
  <c r="J5985" i="3"/>
  <c r="I6717" i="3"/>
  <c r="H5435" i="3"/>
  <c r="H6015" i="3"/>
  <c r="J6237" i="3"/>
  <c r="J6725" i="3"/>
  <c r="I5296" i="3"/>
  <c r="H5463" i="3"/>
  <c r="H5979" i="3"/>
  <c r="J5836" i="3"/>
  <c r="I5447" i="3"/>
  <c r="H4351" i="3"/>
  <c r="H5367" i="3"/>
  <c r="J5184" i="3"/>
  <c r="J5560" i="3"/>
  <c r="J5207" i="3"/>
  <c r="I5352" i="3"/>
  <c r="H6003" i="3"/>
  <c r="H5198" i="3"/>
  <c r="H5184" i="3"/>
  <c r="J5475" i="3"/>
  <c r="I6210" i="3"/>
  <c r="J5998" i="3"/>
  <c r="J5369" i="3"/>
  <c r="H5992" i="3"/>
  <c r="I5548" i="3"/>
  <c r="I4354" i="3"/>
  <c r="I4296" i="3"/>
  <c r="I5268" i="3"/>
  <c r="J5182" i="3"/>
  <c r="J5270" i="3"/>
  <c r="I5362" i="3"/>
  <c r="H6730" i="3"/>
  <c r="J5296" i="3"/>
  <c r="I5463" i="3"/>
  <c r="I5654" i="3"/>
  <c r="I5560" i="3"/>
  <c r="I6001" i="3"/>
  <c r="J6230" i="3"/>
  <c r="I5627" i="3"/>
  <c r="I5372" i="3"/>
  <c r="I6225" i="3"/>
  <c r="J5352" i="3"/>
  <c r="J5979" i="3"/>
  <c r="I4351" i="3"/>
  <c r="I4359" i="3"/>
  <c r="J5910" i="3"/>
  <c r="H5795" i="3"/>
  <c r="I5475" i="3"/>
  <c r="I6200" i="3"/>
  <c r="J5908" i="3"/>
  <c r="J4322" i="3"/>
  <c r="I5562" i="3"/>
  <c r="J4354" i="3"/>
  <c r="H5353" i="3"/>
  <c r="H5985" i="3"/>
  <c r="J5835" i="3"/>
  <c r="I5540" i="3"/>
  <c r="I6729" i="3"/>
  <c r="I5543" i="3"/>
  <c r="H5270" i="3"/>
  <c r="H5362" i="3"/>
  <c r="J6015" i="3"/>
  <c r="H5617" i="3"/>
  <c r="H4335" i="3"/>
  <c r="I5272" i="3"/>
  <c r="I5207" i="3"/>
  <c r="I5623" i="3"/>
  <c r="H5806" i="3"/>
  <c r="J4359" i="3"/>
  <c r="J4341" i="3"/>
  <c r="I5797" i="3"/>
  <c r="H6143" i="3"/>
  <c r="J6694" i="3"/>
  <c r="H4322" i="3"/>
  <c r="J5459" i="3"/>
  <c r="H5548" i="3"/>
  <c r="I5631" i="3"/>
  <c r="I5353" i="3"/>
  <c r="H5835" i="3"/>
  <c r="H5613" i="3"/>
  <c r="J6207" i="3"/>
  <c r="J6729" i="3"/>
  <c r="H6222" i="3"/>
  <c r="I5435" i="3"/>
  <c r="I6005" i="3"/>
  <c r="J6730" i="3"/>
  <c r="I5617" i="3"/>
  <c r="J5884" i="3"/>
  <c r="H5442" i="3"/>
  <c r="I4335" i="3"/>
  <c r="J5180" i="3"/>
  <c r="H5272" i="3"/>
  <c r="H5176" i="3"/>
  <c r="H5899" i="3"/>
  <c r="J5354" i="3"/>
  <c r="H6235" i="3"/>
  <c r="H6225" i="3"/>
  <c r="H6121" i="3"/>
  <c r="I6003" i="3"/>
  <c r="I4334" i="3"/>
  <c r="J5344" i="3"/>
  <c r="I6236" i="3"/>
  <c r="H5283" i="3"/>
  <c r="I5455" i="3"/>
  <c r="J6131" i="3"/>
  <c r="H6008" i="3"/>
  <c r="H6215" i="3"/>
  <c r="I4289" i="3"/>
  <c r="H5910" i="3"/>
  <c r="H5836" i="3"/>
  <c r="H5462" i="3"/>
  <c r="J5832" i="3"/>
  <c r="H5290" i="3"/>
  <c r="H4323" i="3"/>
  <c r="I6709" i="3"/>
  <c r="H6207" i="3"/>
  <c r="H6200" i="3"/>
  <c r="H5884" i="3"/>
  <c r="H6725" i="3"/>
  <c r="J5442" i="3"/>
  <c r="H5180" i="3"/>
  <c r="I5189" i="3"/>
  <c r="J5176" i="3"/>
  <c r="J6238" i="3"/>
  <c r="J6235" i="3"/>
  <c r="H6122" i="3"/>
  <c r="H5372" i="3"/>
  <c r="H6728" i="3"/>
  <c r="I6121" i="3"/>
  <c r="J5623" i="3"/>
  <c r="J4334" i="3"/>
  <c r="I5344" i="3"/>
  <c r="J5806" i="3"/>
  <c r="J6236" i="3"/>
  <c r="J5283" i="3"/>
  <c r="J5455" i="3"/>
  <c r="I6008" i="3"/>
  <c r="I6215" i="3"/>
  <c r="H4309" i="3"/>
  <c r="H4289" i="3"/>
  <c r="J5624" i="3"/>
  <c r="J5462" i="3"/>
  <c r="J5181" i="3"/>
  <c r="H5643" i="3"/>
  <c r="J5650" i="3"/>
  <c r="H5650" i="3"/>
  <c r="J5616" i="3"/>
  <c r="H5616" i="3"/>
  <c r="J5800" i="3"/>
  <c r="H5800" i="3"/>
  <c r="J6231" i="3"/>
  <c r="H6231" i="3"/>
  <c r="I5351" i="3"/>
  <c r="H5351" i="3"/>
  <c r="J5188" i="3"/>
  <c r="H5188" i="3"/>
  <c r="I6123" i="3"/>
  <c r="H6123" i="3"/>
  <c r="J5446" i="3"/>
  <c r="H5446" i="3"/>
  <c r="I6011" i="3"/>
  <c r="H6011" i="3"/>
  <c r="J4307" i="3"/>
  <c r="I4307" i="3"/>
  <c r="J6733" i="3"/>
  <c r="I6733" i="3"/>
  <c r="H5467" i="3"/>
  <c r="I5467" i="3"/>
  <c r="I5804" i="3"/>
  <c r="J5804" i="3"/>
  <c r="H6148" i="3"/>
  <c r="I6148" i="3"/>
  <c r="J5383" i="3"/>
  <c r="H5383" i="3"/>
  <c r="I5913" i="3"/>
  <c r="J5913" i="3"/>
  <c r="H6716" i="3"/>
  <c r="J6716" i="3"/>
  <c r="I5640" i="3"/>
  <c r="H5640" i="3"/>
  <c r="H5912" i="3"/>
  <c r="J5912" i="3"/>
  <c r="H5827" i="3"/>
  <c r="J5827" i="3"/>
  <c r="H5166" i="3"/>
  <c r="J5166" i="3"/>
  <c r="J5555" i="3"/>
  <c r="H5555" i="3"/>
  <c r="I6128" i="3"/>
  <c r="J6128" i="3"/>
  <c r="I4328" i="3"/>
  <c r="J4328" i="3"/>
  <c r="J5805" i="3"/>
  <c r="I5805" i="3"/>
  <c r="H6150" i="3"/>
  <c r="I6150" i="3"/>
  <c r="H4332" i="3"/>
  <c r="J4332" i="3"/>
  <c r="I5457" i="3"/>
  <c r="H5457" i="3"/>
  <c r="J5900" i="3"/>
  <c r="H5900" i="3"/>
  <c r="H5264" i="3"/>
  <c r="I5264" i="3"/>
  <c r="I5168" i="3"/>
  <c r="H5168" i="3"/>
  <c r="J5997" i="3"/>
  <c r="H5997" i="3"/>
  <c r="H5811" i="3"/>
  <c r="J5811" i="3"/>
  <c r="J5277" i="3"/>
  <c r="I5277" i="3"/>
  <c r="H6233" i="3"/>
  <c r="J6233" i="3"/>
  <c r="H5365" i="3"/>
  <c r="J5365" i="3"/>
  <c r="H4305" i="3"/>
  <c r="I4305" i="3"/>
  <c r="I6012" i="3"/>
  <c r="J6012" i="3"/>
  <c r="I5378" i="3"/>
  <c r="J5378" i="3"/>
  <c r="J6151" i="3"/>
  <c r="H6151" i="3"/>
  <c r="H6224" i="3"/>
  <c r="I6224" i="3"/>
  <c r="H5902" i="3"/>
  <c r="I5902" i="3"/>
  <c r="H6132" i="3"/>
  <c r="I6132" i="3"/>
  <c r="J5172" i="3"/>
  <c r="H5172" i="3"/>
  <c r="H5563" i="3"/>
  <c r="I5563" i="3"/>
  <c r="H5926" i="3"/>
  <c r="J5926" i="3"/>
  <c r="H5199" i="3"/>
  <c r="J5199" i="3"/>
  <c r="J5999" i="3"/>
  <c r="I5999" i="3"/>
  <c r="J5919" i="3"/>
  <c r="H5919" i="3"/>
  <c r="I5645" i="3"/>
  <c r="H5645" i="3"/>
  <c r="I5642" i="3"/>
  <c r="J5642" i="3"/>
  <c r="I5197" i="3"/>
  <c r="J5197" i="3"/>
  <c r="H5924" i="3"/>
  <c r="I5924" i="3"/>
  <c r="H5366" i="3"/>
  <c r="H5628" i="3"/>
  <c r="I5894" i="3"/>
  <c r="J5351" i="3"/>
  <c r="I5367" i="3"/>
  <c r="I5181" i="3"/>
  <c r="J5290" i="3"/>
  <c r="J5795" i="3"/>
  <c r="J5467" i="3"/>
  <c r="I6136" i="3"/>
  <c r="J4305" i="3"/>
  <c r="J6726" i="3"/>
  <c r="I5198" i="3"/>
  <c r="H5447" i="3"/>
  <c r="H5804" i="3"/>
  <c r="H5894" i="3"/>
  <c r="I4309" i="3"/>
  <c r="H5624" i="3"/>
  <c r="J6136" i="3"/>
  <c r="I6726" i="3"/>
  <c r="I5800" i="3"/>
  <c r="H6211" i="3"/>
  <c r="J6201" i="3"/>
  <c r="I5629" i="3"/>
  <c r="I5170" i="3"/>
  <c r="J5366" i="3"/>
  <c r="J6709" i="3"/>
  <c r="I6241" i="3"/>
  <c r="I5292" i="3"/>
  <c r="J5286" i="3"/>
  <c r="I5294" i="3"/>
  <c r="J6113" i="3"/>
  <c r="J6109" i="3"/>
  <c r="H5824" i="3"/>
  <c r="I6706" i="3"/>
  <c r="H5169" i="3"/>
  <c r="J5273" i="3"/>
  <c r="J5885" i="3"/>
  <c r="I6218" i="3"/>
  <c r="I4331" i="3"/>
  <c r="H5551" i="3"/>
  <c r="I5980" i="3"/>
  <c r="I5986" i="3"/>
  <c r="H5892" i="3"/>
  <c r="I6216" i="3"/>
  <c r="I5258" i="3"/>
  <c r="H5829" i="3"/>
  <c r="H5904" i="3"/>
  <c r="J5980" i="3"/>
  <c r="I5824" i="3"/>
  <c r="I6130" i="3"/>
  <c r="J5986" i="3"/>
  <c r="H5625" i="3"/>
  <c r="J5381" i="3"/>
  <c r="H5292" i="3"/>
  <c r="J5260" i="3"/>
  <c r="I5169" i="3"/>
  <c r="H6216" i="3"/>
  <c r="I5826" i="3"/>
  <c r="J5628" i="3"/>
  <c r="I5165" i="3"/>
  <c r="I5286" i="3"/>
  <c r="H5982" i="3"/>
  <c r="H5921" i="3"/>
  <c r="I5458" i="3"/>
  <c r="I6693" i="3"/>
  <c r="I4358" i="3"/>
  <c r="H5539" i="3"/>
  <c r="H4325" i="3"/>
  <c r="J5615" i="3"/>
  <c r="I4343" i="3"/>
  <c r="H6114" i="3"/>
  <c r="I5794" i="3"/>
  <c r="H6719" i="3"/>
  <c r="I6705" i="3"/>
  <c r="H5622" i="3"/>
  <c r="H5923" i="3"/>
  <c r="J5646" i="3"/>
  <c r="J5567" i="3"/>
  <c r="J5649" i="3"/>
  <c r="H6113" i="3"/>
  <c r="J6130" i="3"/>
  <c r="J5643" i="3"/>
  <c r="I5625" i="3"/>
  <c r="I5381" i="3"/>
  <c r="J5807" i="3"/>
  <c r="I6711" i="3"/>
  <c r="H5273" i="3"/>
  <c r="J5258" i="3"/>
  <c r="J5294" i="3"/>
  <c r="J4344" i="3"/>
  <c r="J6714" i="3"/>
  <c r="H6714" i="3"/>
  <c r="H5523" i="3"/>
  <c r="J5523" i="3"/>
  <c r="I5523" i="3"/>
  <c r="J6127" i="3"/>
  <c r="H6127" i="3"/>
  <c r="I6127" i="3"/>
  <c r="H4336" i="3"/>
  <c r="J4336" i="3"/>
  <c r="H5164" i="3"/>
  <c r="I5164" i="3"/>
  <c r="J6702" i="3"/>
  <c r="I6702" i="3"/>
  <c r="I5973" i="3"/>
  <c r="J5973" i="3"/>
  <c r="I6701" i="3"/>
  <c r="H6701" i="3"/>
  <c r="H6234" i="3"/>
  <c r="I6234" i="3"/>
  <c r="J4339" i="3"/>
  <c r="H4339" i="3"/>
  <c r="I4339" i="3"/>
  <c r="H4360" i="3"/>
  <c r="J4360" i="3"/>
  <c r="H4357" i="3"/>
  <c r="J4357" i="3"/>
  <c r="H6149" i="3"/>
  <c r="J6149" i="3"/>
  <c r="I6149" i="3"/>
  <c r="I5652" i="3"/>
  <c r="J5652" i="3"/>
  <c r="I5468" i="3"/>
  <c r="J5468" i="3"/>
  <c r="J5368" i="3"/>
  <c r="H5368" i="3"/>
  <c r="I5991" i="3"/>
  <c r="J5991" i="3"/>
  <c r="I5814" i="3"/>
  <c r="J5814" i="3"/>
  <c r="H5814" i="3"/>
  <c r="J5994" i="3"/>
  <c r="H5994" i="3"/>
  <c r="H5533" i="3"/>
  <c r="J5533" i="3"/>
  <c r="I5200" i="3"/>
  <c r="J5200" i="3"/>
  <c r="H6134" i="3"/>
  <c r="I6134" i="3"/>
  <c r="H6228" i="3"/>
  <c r="J6228" i="3"/>
  <c r="J5638" i="3"/>
  <c r="H5638" i="3"/>
  <c r="I5796" i="3"/>
  <c r="H5796" i="3"/>
  <c r="H5978" i="3"/>
  <c r="I5978" i="3"/>
  <c r="H5558" i="3"/>
  <c r="I5558" i="3"/>
  <c r="J5558" i="3"/>
  <c r="J4311" i="3"/>
  <c r="I4311" i="3"/>
  <c r="J5373" i="3"/>
  <c r="H5373" i="3"/>
  <c r="H5911" i="3"/>
  <c r="J5911" i="3"/>
  <c r="J5284" i="3"/>
  <c r="H5284" i="3"/>
  <c r="I5284" i="3"/>
  <c r="H5263" i="3"/>
  <c r="I5263" i="3"/>
  <c r="J4324" i="3"/>
  <c r="H4324" i="3"/>
  <c r="J5918" i="3"/>
  <c r="H5918" i="3"/>
  <c r="H5193" i="3"/>
  <c r="J5193" i="3"/>
  <c r="I5193" i="3"/>
  <c r="J5288" i="3"/>
  <c r="H5288" i="3"/>
  <c r="H5897" i="3"/>
  <c r="J5897" i="3"/>
  <c r="I5897" i="3"/>
  <c r="H5639" i="3"/>
  <c r="I5639" i="3"/>
  <c r="I6715" i="3"/>
  <c r="J6715" i="3"/>
  <c r="I4293" i="3"/>
  <c r="H4293" i="3"/>
  <c r="J4293" i="3"/>
  <c r="I5436" i="3"/>
  <c r="H5436" i="3"/>
  <c r="I5917" i="3"/>
  <c r="J5917" i="3"/>
  <c r="I5641" i="3"/>
  <c r="J5641" i="3"/>
  <c r="I5204" i="3"/>
  <c r="H5204" i="3"/>
  <c r="J6152" i="3"/>
  <c r="H6152" i="3"/>
  <c r="J5837" i="3"/>
  <c r="H5837" i="3"/>
  <c r="H5621" i="3"/>
  <c r="I5621" i="3"/>
  <c r="J4350" i="3"/>
  <c r="I4350" i="3"/>
  <c r="J6226" i="3"/>
  <c r="H6226" i="3"/>
  <c r="H4314" i="3"/>
  <c r="I4314" i="3"/>
  <c r="H4301" i="3"/>
  <c r="J4301" i="3"/>
  <c r="J6014" i="3"/>
  <c r="I6014" i="3"/>
  <c r="I5823" i="3"/>
  <c r="J5823" i="3"/>
  <c r="H6721" i="3"/>
  <c r="I6721" i="3"/>
  <c r="J6133" i="3"/>
  <c r="H6133" i="3"/>
  <c r="H5187" i="3"/>
  <c r="I5187" i="3"/>
  <c r="J5187" i="3"/>
  <c r="J5387" i="3"/>
  <c r="I5387" i="3"/>
  <c r="J5474" i="3"/>
  <c r="I5474" i="3"/>
  <c r="J5345" i="3"/>
  <c r="I5345" i="3"/>
  <c r="J5803" i="3"/>
  <c r="H5803" i="3"/>
  <c r="I5651" i="3"/>
  <c r="J5651" i="3"/>
  <c r="H5989" i="3"/>
  <c r="J5989" i="3"/>
  <c r="I6737" i="3"/>
  <c r="H6737" i="3"/>
  <c r="H5186" i="3"/>
  <c r="I5186" i="3"/>
  <c r="I4303" i="3"/>
  <c r="H4303" i="3"/>
  <c r="J4303" i="3"/>
  <c r="I4304" i="3"/>
  <c r="H4304" i="3"/>
  <c r="I5448" i="3"/>
  <c r="H5448" i="3"/>
  <c r="J5185" i="3"/>
  <c r="I5185" i="3"/>
  <c r="I5532" i="3"/>
  <c r="J5532" i="3"/>
  <c r="H5532" i="3"/>
  <c r="H5291" i="3"/>
  <c r="I5291" i="3"/>
  <c r="J5291" i="3"/>
  <c r="H5256" i="3"/>
  <c r="I5256" i="3"/>
  <c r="H6697" i="3"/>
  <c r="I6697" i="3"/>
  <c r="J6223" i="3"/>
  <c r="H6223" i="3"/>
  <c r="H6704" i="3"/>
  <c r="J6704" i="3"/>
  <c r="J5909" i="3"/>
  <c r="H5909" i="3"/>
  <c r="H5196" i="3"/>
  <c r="J5196" i="3"/>
  <c r="I5196" i="3"/>
  <c r="I6735" i="3"/>
  <c r="J6735" i="3"/>
  <c r="H4342" i="3"/>
  <c r="I4342" i="3"/>
  <c r="I6221" i="3"/>
  <c r="H6221" i="3"/>
  <c r="J5547" i="3"/>
  <c r="H5547" i="3"/>
  <c r="J5257" i="3"/>
  <c r="I5257" i="3"/>
  <c r="H6119" i="3"/>
  <c r="I6119" i="3"/>
  <c r="H6724" i="3"/>
  <c r="J6724" i="3"/>
  <c r="I6724" i="3"/>
  <c r="H5890" i="3"/>
  <c r="J5890" i="3"/>
  <c r="J5202" i="3"/>
  <c r="H5202" i="3"/>
  <c r="I5202" i="3"/>
  <c r="I5167" i="3"/>
  <c r="J5167" i="3"/>
  <c r="H5549" i="3"/>
  <c r="I5549" i="3"/>
  <c r="J5549" i="3"/>
  <c r="I6147" i="3"/>
  <c r="J6147" i="3"/>
  <c r="H5357" i="3"/>
  <c r="I5357" i="3"/>
  <c r="I5355" i="3"/>
  <c r="J5355" i="3"/>
  <c r="I6698" i="3"/>
  <c r="J6698" i="3"/>
  <c r="H6698" i="3"/>
  <c r="H5177" i="3"/>
  <c r="J5177" i="3"/>
  <c r="I6201" i="3"/>
  <c r="I5567" i="3"/>
  <c r="J6218" i="3"/>
  <c r="H5649" i="3"/>
  <c r="J4331" i="3"/>
  <c r="J5829" i="3"/>
  <c r="H5170" i="3"/>
  <c r="J5904" i="3"/>
  <c r="H6109" i="3"/>
  <c r="J5551" i="3"/>
  <c r="H4341" i="3"/>
  <c r="J6241" i="3"/>
  <c r="J6706" i="3"/>
  <c r="J5892" i="3"/>
  <c r="I5807" i="3"/>
  <c r="H5260" i="3"/>
  <c r="J6711" i="3"/>
  <c r="H5826" i="3"/>
  <c r="J5982" i="3"/>
  <c r="J5256" i="3"/>
  <c r="H5185" i="3"/>
  <c r="H5641" i="3"/>
  <c r="H5973" i="3"/>
  <c r="I5368" i="3"/>
  <c r="H6014" i="3"/>
  <c r="J5639" i="3"/>
  <c r="I5638" i="3"/>
  <c r="J5621" i="3"/>
  <c r="H5257" i="3"/>
  <c r="H5474" i="3"/>
  <c r="J6221" i="3"/>
  <c r="H6735" i="3"/>
  <c r="I6226" i="3"/>
  <c r="J6737" i="3"/>
  <c r="J6697" i="3"/>
  <c r="J5978" i="3"/>
  <c r="J5263" i="3"/>
  <c r="J6721" i="3"/>
  <c r="I4360" i="3"/>
  <c r="H6727" i="3"/>
  <c r="I6727" i="3"/>
  <c r="J5995" i="3"/>
  <c r="I5995" i="3"/>
  <c r="H6124" i="3"/>
  <c r="J6124" i="3"/>
  <c r="J5192" i="3"/>
  <c r="I5192" i="3"/>
  <c r="H5477" i="3"/>
  <c r="I5477" i="3"/>
  <c r="I5174" i="3"/>
  <c r="H5174" i="3"/>
  <c r="J5375" i="3"/>
  <c r="H5375" i="3"/>
  <c r="J5542" i="3"/>
  <c r="I5542" i="3"/>
  <c r="I5460" i="3"/>
  <c r="H5460" i="3"/>
  <c r="I5358" i="3"/>
  <c r="J5358" i="3"/>
  <c r="J5988" i="3"/>
  <c r="I5988" i="3"/>
  <c r="I4292" i="3"/>
  <c r="J4292" i="3"/>
  <c r="I5626" i="3"/>
  <c r="J5626" i="3"/>
  <c r="I4337" i="3"/>
  <c r="H4337" i="3"/>
  <c r="J5812" i="3"/>
  <c r="H5812" i="3"/>
  <c r="J5525" i="3"/>
  <c r="H5525" i="3"/>
  <c r="H5528" i="3"/>
  <c r="J5528" i="3"/>
  <c r="H4308" i="3"/>
  <c r="J4308" i="3"/>
  <c r="H5564" i="3"/>
  <c r="I5564" i="3"/>
  <c r="H5885" i="3"/>
  <c r="H5629" i="3"/>
  <c r="I6211" i="3"/>
  <c r="H5917" i="3"/>
  <c r="J4314" i="3"/>
  <c r="J5460" i="3"/>
  <c r="I4308" i="3"/>
  <c r="H4292" i="3"/>
  <c r="J4304" i="3"/>
  <c r="J5186" i="3"/>
  <c r="H5823" i="3"/>
  <c r="H5167" i="3"/>
  <c r="J6727" i="3"/>
  <c r="I5373" i="3"/>
  <c r="J5204" i="3"/>
  <c r="I6133" i="3"/>
  <c r="I5909" i="3"/>
  <c r="J6119" i="3"/>
  <c r="I4324" i="3"/>
  <c r="H5651" i="3"/>
  <c r="I5837" i="3"/>
  <c r="H5988" i="3"/>
  <c r="J4342" i="3"/>
  <c r="H5652" i="3"/>
  <c r="J5174" i="3"/>
  <c r="J5448" i="3"/>
  <c r="I4336" i="3"/>
  <c r="J5477" i="3"/>
  <c r="H5192" i="3"/>
  <c r="I5994" i="3"/>
  <c r="I6704" i="3"/>
  <c r="I6223" i="3"/>
  <c r="H6702" i="3"/>
  <c r="H5387" i="3"/>
  <c r="I5911" i="3"/>
  <c r="I6699" i="3"/>
  <c r="H5637" i="3"/>
  <c r="J5450" i="3"/>
  <c r="J6145" i="3"/>
  <c r="H5893" i="3"/>
  <c r="H5646" i="3"/>
  <c r="J5348" i="3"/>
  <c r="I4344" i="3"/>
  <c r="H4300" i="3"/>
  <c r="I4300" i="3"/>
  <c r="J4300" i="3"/>
  <c r="C21" i="102"/>
  <c r="C25" i="117" s="1"/>
  <c r="C33" i="195" s="1"/>
  <c r="A30" i="102"/>
  <c r="C24" i="102"/>
  <c r="C14" i="102"/>
  <c r="J4294" i="3" l="1"/>
  <c r="J4287" i="3"/>
  <c r="C32" i="154"/>
  <c r="B32" i="154"/>
  <c r="C31" i="154"/>
  <c r="B31" i="154"/>
  <c r="C32" i="155"/>
  <c r="B32" i="155"/>
  <c r="C31" i="155"/>
  <c r="B31" i="155"/>
  <c r="C32" i="156"/>
  <c r="B32" i="156"/>
  <c r="C31" i="156"/>
  <c r="B31" i="156"/>
  <c r="C32" i="157"/>
  <c r="B32" i="157"/>
  <c r="C31" i="157"/>
  <c r="B31" i="157"/>
  <c r="C32" i="158"/>
  <c r="B32" i="158"/>
  <c r="C31" i="158"/>
  <c r="B31" i="158"/>
  <c r="C32" i="159"/>
  <c r="B32" i="159"/>
  <c r="C31" i="159"/>
  <c r="B31" i="159"/>
  <c r="C32" i="160"/>
  <c r="B32" i="160"/>
  <c r="C31" i="160"/>
  <c r="B31" i="160"/>
  <c r="C32" i="161"/>
  <c r="B32" i="161"/>
  <c r="C31" i="161"/>
  <c r="B31" i="161"/>
  <c r="C32" i="162"/>
  <c r="B32" i="162"/>
  <c r="C31" i="162"/>
  <c r="B31" i="162"/>
  <c r="C32" i="163"/>
  <c r="B32" i="163"/>
  <c r="C31" i="163"/>
  <c r="B31" i="163"/>
  <c r="C32" i="164"/>
  <c r="B32" i="164"/>
  <c r="C31" i="164"/>
  <c r="B31" i="164"/>
  <c r="C31" i="165"/>
  <c r="B31" i="165"/>
  <c r="C31" i="166"/>
  <c r="B31" i="166"/>
  <c r="C1803" i="3"/>
  <c r="B1803" i="3"/>
  <c r="C1802" i="3"/>
  <c r="B1802" i="3"/>
  <c r="C1801" i="3"/>
  <c r="B1801" i="3"/>
  <c r="C1800" i="3"/>
  <c r="B1800" i="3"/>
  <c r="C1799" i="3"/>
  <c r="B1799" i="3"/>
  <c r="C1798" i="3"/>
  <c r="B1798" i="3"/>
  <c r="C1797" i="3"/>
  <c r="B1797" i="3"/>
  <c r="C1796" i="3"/>
  <c r="B1796" i="3"/>
  <c r="C1795" i="3"/>
  <c r="B1795" i="3"/>
  <c r="C1794" i="3"/>
  <c r="B1794" i="3"/>
  <c r="C1793" i="3"/>
  <c r="B1793" i="3"/>
  <c r="C1792" i="3"/>
  <c r="B1792" i="3"/>
  <c r="C1791" i="3"/>
  <c r="B1791" i="3"/>
  <c r="C1790" i="3"/>
  <c r="B1790" i="3"/>
  <c r="C1789" i="3"/>
  <c r="B1789" i="3"/>
  <c r="G1803" i="3"/>
  <c r="F1803" i="3"/>
  <c r="G1802" i="3"/>
  <c r="F1802" i="3"/>
  <c r="G1801" i="3"/>
  <c r="F1801" i="3"/>
  <c r="G1800" i="3"/>
  <c r="F1800" i="3"/>
  <c r="G1799" i="3"/>
  <c r="F1799" i="3"/>
  <c r="G1798" i="3"/>
  <c r="F1798" i="3"/>
  <c r="G1797" i="3"/>
  <c r="F1797" i="3"/>
  <c r="G1796" i="3"/>
  <c r="F1796" i="3"/>
  <c r="G1795" i="3"/>
  <c r="F1795" i="3"/>
  <c r="G1794" i="3"/>
  <c r="F1794" i="3"/>
  <c r="G1793" i="3"/>
  <c r="F1793" i="3"/>
  <c r="G1792" i="3"/>
  <c r="F1792" i="3"/>
  <c r="G1791" i="3"/>
  <c r="F1791" i="3"/>
  <c r="G1790" i="3"/>
  <c r="F1790" i="3"/>
  <c r="G1789" i="3"/>
  <c r="F1789" i="3"/>
  <c r="F1774" i="3"/>
  <c r="G1774" i="3"/>
  <c r="F1775" i="3"/>
  <c r="G1775" i="3"/>
  <c r="F1776" i="3"/>
  <c r="G1776" i="3"/>
  <c r="F1777" i="3"/>
  <c r="G1777" i="3"/>
  <c r="F1778" i="3"/>
  <c r="G1778" i="3"/>
  <c r="F1779" i="3"/>
  <c r="G1779" i="3"/>
  <c r="F1780" i="3"/>
  <c r="G1780" i="3"/>
  <c r="F1781" i="3"/>
  <c r="G1781" i="3"/>
  <c r="F1782" i="3"/>
  <c r="G1782" i="3"/>
  <c r="F1783" i="3"/>
  <c r="G1783" i="3"/>
  <c r="F1784" i="3"/>
  <c r="G1784" i="3"/>
  <c r="F1785" i="3"/>
  <c r="G1785" i="3"/>
  <c r="F1786" i="3"/>
  <c r="G1786" i="3"/>
  <c r="F1787" i="3"/>
  <c r="G1787" i="3"/>
  <c r="F1788" i="3"/>
  <c r="G1788" i="3"/>
  <c r="C1788" i="3"/>
  <c r="B1788" i="3"/>
  <c r="C1787" i="3"/>
  <c r="B1787" i="3"/>
  <c r="C1786" i="3"/>
  <c r="B1786" i="3"/>
  <c r="C1785" i="3"/>
  <c r="B1785" i="3"/>
  <c r="C1784" i="3"/>
  <c r="B1784" i="3"/>
  <c r="C1783" i="3"/>
  <c r="B1783" i="3"/>
  <c r="C1782" i="3"/>
  <c r="B1782" i="3"/>
  <c r="C1781" i="3"/>
  <c r="B1781" i="3"/>
  <c r="C1780" i="3"/>
  <c r="B1780" i="3"/>
  <c r="C1779" i="3"/>
  <c r="B1779" i="3"/>
  <c r="C1778" i="3"/>
  <c r="B1778" i="3"/>
  <c r="C1777" i="3"/>
  <c r="B1777" i="3"/>
  <c r="C1776" i="3"/>
  <c r="B1776" i="3"/>
  <c r="C1775" i="3"/>
  <c r="B1775" i="3"/>
  <c r="C1774" i="3"/>
  <c r="B1774" i="3"/>
  <c r="C2043" i="3"/>
  <c r="B2043" i="3"/>
  <c r="C2042" i="3"/>
  <c r="B2042" i="3"/>
  <c r="C2041" i="3"/>
  <c r="B2041" i="3"/>
  <c r="C2040" i="3"/>
  <c r="B2040" i="3"/>
  <c r="C2039" i="3"/>
  <c r="B2039" i="3"/>
  <c r="C2038" i="3"/>
  <c r="B2038" i="3"/>
  <c r="C2037" i="3"/>
  <c r="B2037" i="3"/>
  <c r="C2036" i="3"/>
  <c r="B2036" i="3"/>
  <c r="C2035" i="3"/>
  <c r="B2035" i="3"/>
  <c r="C2034" i="3"/>
  <c r="B2034" i="3"/>
  <c r="C2033" i="3"/>
  <c r="B2033" i="3"/>
  <c r="C2032" i="3"/>
  <c r="B2032" i="3"/>
  <c r="C2031" i="3"/>
  <c r="B2031" i="3"/>
  <c r="C2030" i="3"/>
  <c r="B2030" i="3"/>
  <c r="C2029" i="3"/>
  <c r="B2029" i="3"/>
  <c r="C2028" i="3"/>
  <c r="B2028" i="3"/>
  <c r="C2027" i="3"/>
  <c r="B2027" i="3"/>
  <c r="C2026" i="3"/>
  <c r="B2026" i="3"/>
  <c r="C2025" i="3"/>
  <c r="B2025" i="3"/>
  <c r="C2024" i="3"/>
  <c r="B2024" i="3"/>
  <c r="C2023" i="3"/>
  <c r="B2023" i="3"/>
  <c r="C2022" i="3"/>
  <c r="B2022" i="3"/>
  <c r="C2021" i="3"/>
  <c r="B2021" i="3"/>
  <c r="C2020" i="3"/>
  <c r="B2020" i="3"/>
  <c r="C2019" i="3"/>
  <c r="B2019" i="3"/>
  <c r="C2018" i="3"/>
  <c r="B2018" i="3"/>
  <c r="C2017" i="3"/>
  <c r="B2017" i="3"/>
  <c r="C2016" i="3"/>
  <c r="B2016" i="3"/>
  <c r="C2015" i="3"/>
  <c r="B2015" i="3"/>
  <c r="C2014" i="3"/>
  <c r="B2014" i="3"/>
  <c r="C2013" i="3"/>
  <c r="B2013" i="3"/>
  <c r="C2012" i="3"/>
  <c r="B2012" i="3"/>
  <c r="C2011" i="3"/>
  <c r="B2011" i="3"/>
  <c r="C2010" i="3"/>
  <c r="B2010" i="3"/>
  <c r="C2009" i="3"/>
  <c r="B2009" i="3"/>
  <c r="C2008" i="3"/>
  <c r="B2008" i="3"/>
  <c r="C2007" i="3"/>
  <c r="B2007" i="3"/>
  <c r="C2006" i="3"/>
  <c r="B2006" i="3"/>
  <c r="C2005" i="3"/>
  <c r="B2005" i="3"/>
  <c r="C2004" i="3"/>
  <c r="B2004" i="3"/>
  <c r="C2003" i="3"/>
  <c r="B2003" i="3"/>
  <c r="C2002" i="3"/>
  <c r="B2002" i="3"/>
  <c r="C2001" i="3"/>
  <c r="B2001" i="3"/>
  <c r="C2000" i="3"/>
  <c r="B2000" i="3"/>
  <c r="C1999" i="3"/>
  <c r="B1999" i="3"/>
  <c r="C1998" i="3"/>
  <c r="B1998" i="3"/>
  <c r="C1997" i="3"/>
  <c r="B1997" i="3"/>
  <c r="C1996" i="3"/>
  <c r="B1996" i="3"/>
  <c r="C1995" i="3"/>
  <c r="B1995" i="3"/>
  <c r="C1994" i="3"/>
  <c r="B1994" i="3"/>
  <c r="C1993" i="3"/>
  <c r="B1993" i="3"/>
  <c r="C1992" i="3"/>
  <c r="B1992" i="3"/>
  <c r="C1991" i="3"/>
  <c r="B1991" i="3"/>
  <c r="C1990" i="3"/>
  <c r="B1990" i="3"/>
  <c r="C1989" i="3"/>
  <c r="B1989" i="3"/>
  <c r="C1988" i="3"/>
  <c r="B1988" i="3"/>
  <c r="C1987" i="3"/>
  <c r="B1987" i="3"/>
  <c r="C1986" i="3"/>
  <c r="B1986" i="3"/>
  <c r="C1985" i="3"/>
  <c r="B1985" i="3"/>
  <c r="C1984" i="3"/>
  <c r="B1984" i="3"/>
  <c r="C1983" i="3"/>
  <c r="B1983" i="3"/>
  <c r="C1982" i="3"/>
  <c r="B1982" i="3"/>
  <c r="C1981" i="3"/>
  <c r="B1981" i="3"/>
  <c r="C1980" i="3"/>
  <c r="B1980" i="3"/>
  <c r="C1979" i="3"/>
  <c r="B1979" i="3"/>
  <c r="C1978" i="3"/>
  <c r="B1978" i="3"/>
  <c r="C1977" i="3"/>
  <c r="B1977" i="3"/>
  <c r="C1976" i="3"/>
  <c r="B1976" i="3"/>
  <c r="C1975" i="3"/>
  <c r="B1975" i="3"/>
  <c r="C1974" i="3"/>
  <c r="B1974" i="3"/>
  <c r="C1973" i="3"/>
  <c r="B1973" i="3"/>
  <c r="C1972" i="3"/>
  <c r="B1972" i="3"/>
  <c r="C1971" i="3"/>
  <c r="B1971" i="3"/>
  <c r="C1970" i="3"/>
  <c r="B1970" i="3"/>
  <c r="C1969" i="3"/>
  <c r="B1969" i="3"/>
  <c r="C1968" i="3"/>
  <c r="B1968" i="3"/>
  <c r="C1967" i="3"/>
  <c r="B1967" i="3"/>
  <c r="C1966" i="3"/>
  <c r="B1966" i="3"/>
  <c r="C1965" i="3"/>
  <c r="B1965" i="3"/>
  <c r="C1964" i="3"/>
  <c r="B1964" i="3"/>
  <c r="C1963" i="3"/>
  <c r="B1963" i="3"/>
  <c r="C1962" i="3"/>
  <c r="B1962" i="3"/>
  <c r="C1961" i="3"/>
  <c r="B1961" i="3"/>
  <c r="C1960" i="3"/>
  <c r="B1960" i="3"/>
  <c r="C1959" i="3"/>
  <c r="B1959" i="3"/>
  <c r="C1958" i="3"/>
  <c r="B1958" i="3"/>
  <c r="C1957" i="3"/>
  <c r="B1957" i="3"/>
  <c r="C1956" i="3"/>
  <c r="B1956" i="3"/>
  <c r="C1955" i="3"/>
  <c r="B1955" i="3"/>
  <c r="C1954" i="3"/>
  <c r="B1954" i="3"/>
  <c r="C1953" i="3"/>
  <c r="B1953" i="3"/>
  <c r="C1952" i="3"/>
  <c r="B1952" i="3"/>
  <c r="C1951" i="3"/>
  <c r="B1951" i="3"/>
  <c r="C1950" i="3"/>
  <c r="B1950" i="3"/>
  <c r="C1949" i="3"/>
  <c r="B1949" i="3"/>
  <c r="C1948" i="3"/>
  <c r="B1948" i="3"/>
  <c r="C1947" i="3"/>
  <c r="B1947" i="3"/>
  <c r="C1946" i="3"/>
  <c r="B1946" i="3"/>
  <c r="C1945" i="3"/>
  <c r="B1945" i="3"/>
  <c r="C1944" i="3"/>
  <c r="B1944" i="3"/>
  <c r="C1943" i="3"/>
  <c r="B1943" i="3"/>
  <c r="C1942" i="3"/>
  <c r="B1942" i="3"/>
  <c r="C1941" i="3"/>
  <c r="B1941" i="3"/>
  <c r="C1940" i="3"/>
  <c r="B1940" i="3"/>
  <c r="C1939" i="3"/>
  <c r="B1939" i="3"/>
  <c r="G2043" i="3"/>
  <c r="F2043" i="3"/>
  <c r="G2042" i="3"/>
  <c r="F2042" i="3"/>
  <c r="G2041" i="3"/>
  <c r="F2041" i="3"/>
  <c r="G2040" i="3"/>
  <c r="F2040" i="3"/>
  <c r="G2039" i="3"/>
  <c r="F2039" i="3"/>
  <c r="G2038" i="3"/>
  <c r="F2038" i="3"/>
  <c r="G2037" i="3"/>
  <c r="F2037" i="3"/>
  <c r="G2036" i="3"/>
  <c r="F2036" i="3"/>
  <c r="G2035" i="3"/>
  <c r="F2035" i="3"/>
  <c r="G2034" i="3"/>
  <c r="F2034" i="3"/>
  <c r="G2033" i="3"/>
  <c r="F2033" i="3"/>
  <c r="G2032" i="3"/>
  <c r="F2032" i="3"/>
  <c r="G2031" i="3"/>
  <c r="F2031" i="3"/>
  <c r="G2030" i="3"/>
  <c r="F2030" i="3"/>
  <c r="G2029" i="3"/>
  <c r="F2029" i="3"/>
  <c r="G2028" i="3"/>
  <c r="F2028" i="3"/>
  <c r="G2027" i="3"/>
  <c r="F2027" i="3"/>
  <c r="G2026" i="3"/>
  <c r="F2026" i="3"/>
  <c r="G2025" i="3"/>
  <c r="F2025" i="3"/>
  <c r="G2024" i="3"/>
  <c r="F2024" i="3"/>
  <c r="G2023" i="3"/>
  <c r="F2023" i="3"/>
  <c r="G2022" i="3"/>
  <c r="F2022" i="3"/>
  <c r="G2021" i="3"/>
  <c r="F2021" i="3"/>
  <c r="G2020" i="3"/>
  <c r="F2020" i="3"/>
  <c r="G2019" i="3"/>
  <c r="F2019" i="3"/>
  <c r="G2018" i="3"/>
  <c r="F2018" i="3"/>
  <c r="G2017" i="3"/>
  <c r="F2017" i="3"/>
  <c r="G2016" i="3"/>
  <c r="F2016" i="3"/>
  <c r="G2015" i="3"/>
  <c r="F2015" i="3"/>
  <c r="G2014" i="3"/>
  <c r="F2014" i="3"/>
  <c r="G2013" i="3"/>
  <c r="F2013" i="3"/>
  <c r="G2012" i="3"/>
  <c r="F2012" i="3"/>
  <c r="G2011" i="3"/>
  <c r="F2011" i="3"/>
  <c r="G2010" i="3"/>
  <c r="F2010" i="3"/>
  <c r="G2009" i="3"/>
  <c r="F2009" i="3"/>
  <c r="G2008" i="3"/>
  <c r="F2008" i="3"/>
  <c r="G2007" i="3"/>
  <c r="F2007" i="3"/>
  <c r="G2006" i="3"/>
  <c r="F2006" i="3"/>
  <c r="G2005" i="3"/>
  <c r="F2005" i="3"/>
  <c r="G2004" i="3"/>
  <c r="F2004" i="3"/>
  <c r="G2003" i="3"/>
  <c r="F2003" i="3"/>
  <c r="G2002" i="3"/>
  <c r="F2002" i="3"/>
  <c r="G2001" i="3"/>
  <c r="F2001" i="3"/>
  <c r="G2000" i="3"/>
  <c r="F2000" i="3"/>
  <c r="G1999" i="3"/>
  <c r="F1999" i="3"/>
  <c r="G1998" i="3"/>
  <c r="F1998" i="3"/>
  <c r="G1997" i="3"/>
  <c r="F1997" i="3"/>
  <c r="G1996" i="3"/>
  <c r="F1996" i="3"/>
  <c r="G1995" i="3"/>
  <c r="F1995" i="3"/>
  <c r="G1994" i="3"/>
  <c r="F1994" i="3"/>
  <c r="G1993" i="3"/>
  <c r="F1993" i="3"/>
  <c r="G1992" i="3"/>
  <c r="F1992" i="3"/>
  <c r="G1991" i="3"/>
  <c r="F1991" i="3"/>
  <c r="G1990" i="3"/>
  <c r="F1990" i="3"/>
  <c r="G1989" i="3"/>
  <c r="F1989" i="3"/>
  <c r="G1988" i="3"/>
  <c r="F1988" i="3"/>
  <c r="G1987" i="3"/>
  <c r="F1987" i="3"/>
  <c r="G1986" i="3"/>
  <c r="F1986" i="3"/>
  <c r="G1985" i="3"/>
  <c r="F1985" i="3"/>
  <c r="G1984" i="3"/>
  <c r="F1984" i="3"/>
  <c r="G1983" i="3"/>
  <c r="F1983" i="3"/>
  <c r="G1982" i="3"/>
  <c r="F1982" i="3"/>
  <c r="G1981" i="3"/>
  <c r="F1981" i="3"/>
  <c r="G1980" i="3"/>
  <c r="F1980" i="3"/>
  <c r="G1979" i="3"/>
  <c r="F1979" i="3"/>
  <c r="G1978" i="3"/>
  <c r="F1978" i="3"/>
  <c r="G1977" i="3"/>
  <c r="F1977" i="3"/>
  <c r="G1976" i="3"/>
  <c r="F1976" i="3"/>
  <c r="G1975" i="3"/>
  <c r="F1975" i="3"/>
  <c r="G1974" i="3"/>
  <c r="F1974" i="3"/>
  <c r="G1973" i="3"/>
  <c r="F1973" i="3"/>
  <c r="G1972" i="3"/>
  <c r="F1972" i="3"/>
  <c r="G1971" i="3"/>
  <c r="F1971" i="3"/>
  <c r="G1970" i="3"/>
  <c r="F1970" i="3"/>
  <c r="G1969" i="3"/>
  <c r="F1969" i="3"/>
  <c r="G1968" i="3"/>
  <c r="F1968" i="3"/>
  <c r="G1967" i="3"/>
  <c r="F1967" i="3"/>
  <c r="G1966" i="3"/>
  <c r="F1966" i="3"/>
  <c r="G1965" i="3"/>
  <c r="F1965" i="3"/>
  <c r="G1964" i="3"/>
  <c r="F1964" i="3"/>
  <c r="G1963" i="3"/>
  <c r="F1963" i="3"/>
  <c r="G1962" i="3"/>
  <c r="F1962" i="3"/>
  <c r="G1961" i="3"/>
  <c r="F1961" i="3"/>
  <c r="G1960" i="3"/>
  <c r="F1960" i="3"/>
  <c r="G1959" i="3"/>
  <c r="F1959" i="3"/>
  <c r="G1958" i="3"/>
  <c r="F1958" i="3"/>
  <c r="G1957" i="3"/>
  <c r="F1957" i="3"/>
  <c r="G1956" i="3"/>
  <c r="F1956" i="3"/>
  <c r="G1955" i="3"/>
  <c r="F1955" i="3"/>
  <c r="G1954" i="3"/>
  <c r="F1954" i="3"/>
  <c r="G1953" i="3"/>
  <c r="F1953" i="3"/>
  <c r="G1952" i="3"/>
  <c r="F1952" i="3"/>
  <c r="G1951" i="3"/>
  <c r="F1951" i="3"/>
  <c r="G1950" i="3"/>
  <c r="F1950" i="3"/>
  <c r="G1949" i="3"/>
  <c r="F1949" i="3"/>
  <c r="G1948" i="3"/>
  <c r="F1948" i="3"/>
  <c r="G1947" i="3"/>
  <c r="F1947" i="3"/>
  <c r="G1946" i="3"/>
  <c r="F1946" i="3"/>
  <c r="G1945" i="3"/>
  <c r="F1945" i="3"/>
  <c r="G1944" i="3"/>
  <c r="F1944" i="3"/>
  <c r="G1943" i="3"/>
  <c r="F1943" i="3"/>
  <c r="G1942" i="3"/>
  <c r="F1942" i="3"/>
  <c r="G1941" i="3"/>
  <c r="F1941" i="3"/>
  <c r="G1940" i="3"/>
  <c r="F1940" i="3"/>
  <c r="G1939" i="3"/>
  <c r="F1939" i="3"/>
  <c r="C1908" i="3"/>
  <c r="B1908" i="3"/>
  <c r="C1907" i="3"/>
  <c r="B1907" i="3"/>
  <c r="C1906" i="3"/>
  <c r="B1906" i="3"/>
  <c r="C1905" i="3"/>
  <c r="B1905" i="3"/>
  <c r="C1904" i="3"/>
  <c r="B1904" i="3"/>
  <c r="C1903" i="3"/>
  <c r="B1903" i="3"/>
  <c r="C1902" i="3"/>
  <c r="B1902" i="3"/>
  <c r="C1901" i="3"/>
  <c r="B1901" i="3"/>
  <c r="C1900" i="3"/>
  <c r="B1900" i="3"/>
  <c r="C1899" i="3"/>
  <c r="B1899" i="3"/>
  <c r="C1898" i="3"/>
  <c r="B1898" i="3"/>
  <c r="C1897" i="3"/>
  <c r="B1897" i="3"/>
  <c r="C1896" i="3"/>
  <c r="B1896" i="3"/>
  <c r="C1895" i="3"/>
  <c r="B1895" i="3"/>
  <c r="C1894" i="3"/>
  <c r="B1894" i="3"/>
  <c r="C1893" i="3"/>
  <c r="B1893" i="3"/>
  <c r="C1892" i="3"/>
  <c r="B1892" i="3"/>
  <c r="C1891" i="3"/>
  <c r="B1891" i="3"/>
  <c r="C1890" i="3"/>
  <c r="B1890" i="3"/>
  <c r="C1889" i="3"/>
  <c r="B1889" i="3"/>
  <c r="C1888" i="3"/>
  <c r="B1888" i="3"/>
  <c r="C1887" i="3"/>
  <c r="B1887" i="3"/>
  <c r="C1886" i="3"/>
  <c r="B1886" i="3"/>
  <c r="C1885" i="3"/>
  <c r="B1885" i="3"/>
  <c r="C1884" i="3"/>
  <c r="B1884" i="3"/>
  <c r="C1883" i="3"/>
  <c r="B1883" i="3"/>
  <c r="C1882" i="3"/>
  <c r="B1882" i="3"/>
  <c r="C1881" i="3"/>
  <c r="B1881" i="3"/>
  <c r="C1880" i="3"/>
  <c r="B1880" i="3"/>
  <c r="C1879" i="3"/>
  <c r="B1879" i="3"/>
  <c r="C1878" i="3"/>
  <c r="B1878" i="3"/>
  <c r="C1877" i="3"/>
  <c r="B1877" i="3"/>
  <c r="C1876" i="3"/>
  <c r="B1876" i="3"/>
  <c r="C1875" i="3"/>
  <c r="B1875" i="3"/>
  <c r="C1874" i="3"/>
  <c r="B1874" i="3"/>
  <c r="C1873" i="3"/>
  <c r="B1873" i="3"/>
  <c r="C1872" i="3"/>
  <c r="B1872" i="3"/>
  <c r="C1871" i="3"/>
  <c r="B1871" i="3"/>
  <c r="C1870" i="3"/>
  <c r="B1870" i="3"/>
  <c r="C1869" i="3"/>
  <c r="B1869" i="3"/>
  <c r="C1868" i="3"/>
  <c r="B1868" i="3"/>
  <c r="C1867" i="3"/>
  <c r="B1867" i="3"/>
  <c r="C1866" i="3"/>
  <c r="B1866" i="3"/>
  <c r="C1865" i="3"/>
  <c r="B1865" i="3"/>
  <c r="C1864" i="3"/>
  <c r="B1864" i="3"/>
  <c r="C1863" i="3"/>
  <c r="B1863" i="3"/>
  <c r="C1862" i="3"/>
  <c r="B1862" i="3"/>
  <c r="C1861" i="3"/>
  <c r="B1861" i="3"/>
  <c r="C1860" i="3"/>
  <c r="B1860" i="3"/>
  <c r="C1859" i="3"/>
  <c r="B1859" i="3"/>
  <c r="C1858" i="3"/>
  <c r="B1858" i="3"/>
  <c r="C1857" i="3"/>
  <c r="B1857" i="3"/>
  <c r="C1856" i="3"/>
  <c r="B1856" i="3"/>
  <c r="C1855" i="3"/>
  <c r="B1855" i="3"/>
  <c r="C1854" i="3"/>
  <c r="B1854" i="3"/>
  <c r="C1853" i="3"/>
  <c r="B1853" i="3"/>
  <c r="C1852" i="3"/>
  <c r="B1852" i="3"/>
  <c r="C1851" i="3"/>
  <c r="B1851" i="3"/>
  <c r="C1850" i="3"/>
  <c r="B1850" i="3"/>
  <c r="C1849" i="3"/>
  <c r="B1849" i="3"/>
  <c r="C1848" i="3"/>
  <c r="B1848" i="3"/>
  <c r="C1847" i="3"/>
  <c r="B1847" i="3"/>
  <c r="C1846" i="3"/>
  <c r="B1846" i="3"/>
  <c r="C1845" i="3"/>
  <c r="B1845" i="3"/>
  <c r="C1844" i="3"/>
  <c r="B1844" i="3"/>
  <c r="C1843" i="3"/>
  <c r="B1843" i="3"/>
  <c r="C1842" i="3"/>
  <c r="B1842" i="3"/>
  <c r="C1841" i="3"/>
  <c r="B1841" i="3"/>
  <c r="C1840" i="3"/>
  <c r="B1840" i="3"/>
  <c r="C1839" i="3"/>
  <c r="B1839" i="3"/>
  <c r="C1838" i="3"/>
  <c r="B1838" i="3"/>
  <c r="C1837" i="3"/>
  <c r="B1837" i="3"/>
  <c r="C1836" i="3"/>
  <c r="B1836" i="3"/>
  <c r="C1835" i="3"/>
  <c r="B1835" i="3"/>
  <c r="C1834" i="3"/>
  <c r="B1834" i="3"/>
  <c r="C1833" i="3"/>
  <c r="B1833" i="3"/>
  <c r="C1832" i="3"/>
  <c r="B1832" i="3"/>
  <c r="C1831" i="3"/>
  <c r="B1831" i="3"/>
  <c r="C1830" i="3"/>
  <c r="B1830" i="3"/>
  <c r="C1829" i="3"/>
  <c r="B1829" i="3"/>
  <c r="C1828" i="3"/>
  <c r="B1828" i="3"/>
  <c r="C1827" i="3"/>
  <c r="B1827" i="3"/>
  <c r="C1826" i="3"/>
  <c r="B1826" i="3"/>
  <c r="C1825" i="3"/>
  <c r="B1825" i="3"/>
  <c r="C1824" i="3"/>
  <c r="B1824" i="3"/>
  <c r="C1823" i="3"/>
  <c r="B1823" i="3"/>
  <c r="C1822" i="3"/>
  <c r="B1822" i="3"/>
  <c r="C1821" i="3"/>
  <c r="B1821" i="3"/>
  <c r="C1820" i="3"/>
  <c r="B1820" i="3"/>
  <c r="C1819" i="3"/>
  <c r="B1819" i="3"/>
  <c r="C1818" i="3"/>
  <c r="B1818" i="3"/>
  <c r="C1817" i="3"/>
  <c r="B1817" i="3"/>
  <c r="C1816" i="3"/>
  <c r="B1816" i="3"/>
  <c r="C1815" i="3"/>
  <c r="B1815" i="3"/>
  <c r="C1814" i="3"/>
  <c r="B1814" i="3"/>
  <c r="C1813" i="3"/>
  <c r="B1813" i="3"/>
  <c r="C1812" i="3"/>
  <c r="B1812" i="3"/>
  <c r="C1811" i="3"/>
  <c r="B1811" i="3"/>
  <c r="C1810" i="3"/>
  <c r="B1810" i="3"/>
  <c r="C1809" i="3"/>
  <c r="B1809" i="3"/>
  <c r="C1808" i="3"/>
  <c r="B1808" i="3"/>
  <c r="C1807" i="3"/>
  <c r="B1807" i="3"/>
  <c r="C1806" i="3"/>
  <c r="B1806" i="3"/>
  <c r="C1805" i="3"/>
  <c r="B1805" i="3"/>
  <c r="C1804" i="3"/>
  <c r="B1804" i="3"/>
  <c r="G1908" i="3"/>
  <c r="F1908" i="3"/>
  <c r="G1907" i="3"/>
  <c r="F1907" i="3"/>
  <c r="G1906" i="3"/>
  <c r="F1906" i="3"/>
  <c r="G1905" i="3"/>
  <c r="F1905" i="3"/>
  <c r="G1904" i="3"/>
  <c r="F1904" i="3"/>
  <c r="G1903" i="3"/>
  <c r="F1903" i="3"/>
  <c r="G1902" i="3"/>
  <c r="F1902" i="3"/>
  <c r="G1901" i="3"/>
  <c r="F1901" i="3"/>
  <c r="G1900" i="3"/>
  <c r="F1900" i="3"/>
  <c r="G1899" i="3"/>
  <c r="F1899" i="3"/>
  <c r="G1898" i="3"/>
  <c r="F1898" i="3"/>
  <c r="G1897" i="3"/>
  <c r="F1897" i="3"/>
  <c r="G1896" i="3"/>
  <c r="F1896" i="3"/>
  <c r="G1895" i="3"/>
  <c r="F1895" i="3"/>
  <c r="G1894" i="3"/>
  <c r="F1894" i="3"/>
  <c r="G1893" i="3"/>
  <c r="F1893" i="3"/>
  <c r="G1892" i="3"/>
  <c r="F1892" i="3"/>
  <c r="G1891" i="3"/>
  <c r="F1891" i="3"/>
  <c r="G1890" i="3"/>
  <c r="F1890" i="3"/>
  <c r="G1889" i="3"/>
  <c r="F1889" i="3"/>
  <c r="G1888" i="3"/>
  <c r="F1888" i="3"/>
  <c r="G1887" i="3"/>
  <c r="F1887" i="3"/>
  <c r="G1886" i="3"/>
  <c r="F1886" i="3"/>
  <c r="G1885" i="3"/>
  <c r="F1885" i="3"/>
  <c r="G1884" i="3"/>
  <c r="F1884" i="3"/>
  <c r="G1883" i="3"/>
  <c r="F1883" i="3"/>
  <c r="G1882" i="3"/>
  <c r="F1882" i="3"/>
  <c r="G1881" i="3"/>
  <c r="F1881" i="3"/>
  <c r="G1880" i="3"/>
  <c r="F1880" i="3"/>
  <c r="G1879" i="3"/>
  <c r="F1879" i="3"/>
  <c r="G1878" i="3"/>
  <c r="F1878" i="3"/>
  <c r="G1877" i="3"/>
  <c r="F1877" i="3"/>
  <c r="G1876" i="3"/>
  <c r="F1876" i="3"/>
  <c r="G1875" i="3"/>
  <c r="F1875" i="3"/>
  <c r="G1874" i="3"/>
  <c r="F1874" i="3"/>
  <c r="G1873" i="3"/>
  <c r="F1873" i="3"/>
  <c r="G1872" i="3"/>
  <c r="F1872" i="3"/>
  <c r="G1871" i="3"/>
  <c r="F1871" i="3"/>
  <c r="G1870" i="3"/>
  <c r="F1870" i="3"/>
  <c r="G1869" i="3"/>
  <c r="F1869" i="3"/>
  <c r="G1868" i="3"/>
  <c r="F1868" i="3"/>
  <c r="G1867" i="3"/>
  <c r="F1867" i="3"/>
  <c r="G1866" i="3"/>
  <c r="F1866" i="3"/>
  <c r="G1865" i="3"/>
  <c r="F1865" i="3"/>
  <c r="G1864" i="3"/>
  <c r="F1864" i="3"/>
  <c r="G1863" i="3"/>
  <c r="F1863" i="3"/>
  <c r="G1862" i="3"/>
  <c r="F1862" i="3"/>
  <c r="G1861" i="3"/>
  <c r="F1861" i="3"/>
  <c r="G1860" i="3"/>
  <c r="F1860" i="3"/>
  <c r="G1859" i="3"/>
  <c r="F1859" i="3"/>
  <c r="G1858" i="3"/>
  <c r="F1858" i="3"/>
  <c r="G1857" i="3"/>
  <c r="F1857" i="3"/>
  <c r="G1856" i="3"/>
  <c r="F1856" i="3"/>
  <c r="G1855" i="3"/>
  <c r="F1855" i="3"/>
  <c r="G1854" i="3"/>
  <c r="F1854" i="3"/>
  <c r="G1853" i="3"/>
  <c r="F1853" i="3"/>
  <c r="G1852" i="3"/>
  <c r="F1852" i="3"/>
  <c r="G1851" i="3"/>
  <c r="F1851" i="3"/>
  <c r="G1850" i="3"/>
  <c r="F1850" i="3"/>
  <c r="G1849" i="3"/>
  <c r="F1849" i="3"/>
  <c r="G1848" i="3"/>
  <c r="F1848" i="3"/>
  <c r="G1847" i="3"/>
  <c r="F1847" i="3"/>
  <c r="G1846" i="3"/>
  <c r="F1846" i="3"/>
  <c r="G1845" i="3"/>
  <c r="F1845" i="3"/>
  <c r="G1844" i="3"/>
  <c r="F1844" i="3"/>
  <c r="G1843" i="3"/>
  <c r="F1843" i="3"/>
  <c r="G1842" i="3"/>
  <c r="F1842" i="3"/>
  <c r="G1841" i="3"/>
  <c r="F1841" i="3"/>
  <c r="G1840" i="3"/>
  <c r="F1840" i="3"/>
  <c r="G1839" i="3"/>
  <c r="F1839" i="3"/>
  <c r="G1838" i="3"/>
  <c r="F1838" i="3"/>
  <c r="G1837" i="3"/>
  <c r="F1837" i="3"/>
  <c r="G1836" i="3"/>
  <c r="F1836" i="3"/>
  <c r="G1835" i="3"/>
  <c r="F1835" i="3"/>
  <c r="G1834" i="3"/>
  <c r="F1834" i="3"/>
  <c r="G1833" i="3"/>
  <c r="F1833" i="3"/>
  <c r="G1832" i="3"/>
  <c r="F1832" i="3"/>
  <c r="G1831" i="3"/>
  <c r="F1831" i="3"/>
  <c r="G1830" i="3"/>
  <c r="F1830" i="3"/>
  <c r="G1829" i="3"/>
  <c r="F1829" i="3"/>
  <c r="G1828" i="3"/>
  <c r="F1828" i="3"/>
  <c r="G1827" i="3"/>
  <c r="F1827" i="3"/>
  <c r="G1826" i="3"/>
  <c r="F1826" i="3"/>
  <c r="G1825" i="3"/>
  <c r="F1825" i="3"/>
  <c r="G1824" i="3"/>
  <c r="F1824" i="3"/>
  <c r="G1823" i="3"/>
  <c r="F1823" i="3"/>
  <c r="G1822" i="3"/>
  <c r="F1822" i="3"/>
  <c r="G1821" i="3"/>
  <c r="F1821" i="3"/>
  <c r="G1820" i="3"/>
  <c r="F1820" i="3"/>
  <c r="G1819" i="3"/>
  <c r="F1819" i="3"/>
  <c r="G1818" i="3"/>
  <c r="F1818" i="3"/>
  <c r="G1817" i="3"/>
  <c r="F1817" i="3"/>
  <c r="G1816" i="3"/>
  <c r="F1816" i="3"/>
  <c r="G1815" i="3"/>
  <c r="F1815" i="3"/>
  <c r="G1814" i="3"/>
  <c r="F1814" i="3"/>
  <c r="G1813" i="3"/>
  <c r="F1813" i="3"/>
  <c r="G1812" i="3"/>
  <c r="F1812" i="3"/>
  <c r="G1811" i="3"/>
  <c r="F1811" i="3"/>
  <c r="G1810" i="3"/>
  <c r="F1810" i="3"/>
  <c r="G1809" i="3"/>
  <c r="F1809" i="3"/>
  <c r="G1808" i="3"/>
  <c r="F1808" i="3"/>
  <c r="G1807" i="3"/>
  <c r="F1807" i="3"/>
  <c r="G1806" i="3"/>
  <c r="F1806" i="3"/>
  <c r="G1805" i="3"/>
  <c r="F1805" i="3"/>
  <c r="G1804" i="3"/>
  <c r="F1804" i="3"/>
  <c r="C1773" i="3"/>
  <c r="B1773" i="3"/>
  <c r="C1772" i="3"/>
  <c r="B1772" i="3"/>
  <c r="C1771" i="3"/>
  <c r="B1771" i="3"/>
  <c r="C1770" i="3"/>
  <c r="B1770" i="3"/>
  <c r="C1769" i="3"/>
  <c r="B1769" i="3"/>
  <c r="C1768" i="3"/>
  <c r="B1768" i="3"/>
  <c r="C1767" i="3"/>
  <c r="B1767" i="3"/>
  <c r="C1766" i="3"/>
  <c r="B1766" i="3"/>
  <c r="C1765" i="3"/>
  <c r="B1765" i="3"/>
  <c r="C1764" i="3"/>
  <c r="B1764" i="3"/>
  <c r="C1763" i="3"/>
  <c r="B1763" i="3"/>
  <c r="C1762" i="3"/>
  <c r="B1762" i="3"/>
  <c r="C1761" i="3"/>
  <c r="B1761" i="3"/>
  <c r="C1760" i="3"/>
  <c r="B1760" i="3"/>
  <c r="C1759" i="3"/>
  <c r="B1759" i="3"/>
  <c r="C1758" i="3"/>
  <c r="B1758" i="3"/>
  <c r="C1757" i="3"/>
  <c r="B1757" i="3"/>
  <c r="C1756" i="3"/>
  <c r="B1756" i="3"/>
  <c r="C1755" i="3"/>
  <c r="B1755" i="3"/>
  <c r="C1754" i="3"/>
  <c r="B1754" i="3"/>
  <c r="C1753" i="3"/>
  <c r="B1753" i="3"/>
  <c r="C1752" i="3"/>
  <c r="B1752" i="3"/>
  <c r="C1751" i="3"/>
  <c r="B1751" i="3"/>
  <c r="C1750" i="3"/>
  <c r="B1750" i="3"/>
  <c r="C1749" i="3"/>
  <c r="B1749" i="3"/>
  <c r="C1748" i="3"/>
  <c r="B1748" i="3"/>
  <c r="C1747" i="3"/>
  <c r="B1747" i="3"/>
  <c r="C1746" i="3"/>
  <c r="B1746" i="3"/>
  <c r="C1745" i="3"/>
  <c r="B1745" i="3"/>
  <c r="C1744" i="3"/>
  <c r="B1744" i="3"/>
  <c r="C1743" i="3"/>
  <c r="B1743" i="3"/>
  <c r="C1742" i="3"/>
  <c r="B1742" i="3"/>
  <c r="C1741" i="3"/>
  <c r="B1741" i="3"/>
  <c r="C1740" i="3"/>
  <c r="B1740" i="3"/>
  <c r="C1739" i="3"/>
  <c r="B1739" i="3"/>
  <c r="C1738" i="3"/>
  <c r="B1738" i="3"/>
  <c r="C1737" i="3"/>
  <c r="B1737" i="3"/>
  <c r="C1736" i="3"/>
  <c r="B1736" i="3"/>
  <c r="C1735" i="3"/>
  <c r="B1735" i="3"/>
  <c r="C1734" i="3"/>
  <c r="B1734" i="3"/>
  <c r="C1733" i="3"/>
  <c r="B1733" i="3"/>
  <c r="C1732" i="3"/>
  <c r="B1732" i="3"/>
  <c r="C1731" i="3"/>
  <c r="B1731" i="3"/>
  <c r="C1730" i="3"/>
  <c r="B1730" i="3"/>
  <c r="C1729" i="3"/>
  <c r="B1729" i="3"/>
  <c r="C1728" i="3"/>
  <c r="B1728" i="3"/>
  <c r="C1727" i="3"/>
  <c r="B1727" i="3"/>
  <c r="C1726" i="3"/>
  <c r="B1726" i="3"/>
  <c r="C1725" i="3"/>
  <c r="B1725" i="3"/>
  <c r="C1724" i="3"/>
  <c r="B1724" i="3"/>
  <c r="C1723" i="3"/>
  <c r="B1723" i="3"/>
  <c r="C1722" i="3"/>
  <c r="B1722" i="3"/>
  <c r="C1721" i="3"/>
  <c r="B1721" i="3"/>
  <c r="C1720" i="3"/>
  <c r="B1720" i="3"/>
  <c r="C1719" i="3"/>
  <c r="B1719" i="3"/>
  <c r="C1718" i="3"/>
  <c r="B1718" i="3"/>
  <c r="C1717" i="3"/>
  <c r="B1717" i="3"/>
  <c r="C1716" i="3"/>
  <c r="B1716" i="3"/>
  <c r="C1715" i="3"/>
  <c r="B1715" i="3"/>
  <c r="C1714" i="3"/>
  <c r="B1714" i="3"/>
  <c r="C1713" i="3"/>
  <c r="B1713" i="3"/>
  <c r="C1712" i="3"/>
  <c r="B1712" i="3"/>
  <c r="C1711" i="3"/>
  <c r="B1711" i="3"/>
  <c r="C1710" i="3"/>
  <c r="B1710" i="3"/>
  <c r="C1709" i="3"/>
  <c r="B1709" i="3"/>
  <c r="C1708" i="3"/>
  <c r="B1708" i="3"/>
  <c r="C1707" i="3"/>
  <c r="B1707" i="3"/>
  <c r="C1706" i="3"/>
  <c r="B1706" i="3"/>
  <c r="C1705" i="3"/>
  <c r="B1705" i="3"/>
  <c r="C1704" i="3"/>
  <c r="B1704" i="3"/>
  <c r="C1703" i="3"/>
  <c r="B1703" i="3"/>
  <c r="C1702" i="3"/>
  <c r="B1702" i="3"/>
  <c r="C1701" i="3"/>
  <c r="B1701" i="3"/>
  <c r="C1700" i="3"/>
  <c r="B1700" i="3"/>
  <c r="C1699" i="3"/>
  <c r="B1699" i="3"/>
  <c r="C1698" i="3"/>
  <c r="B1698" i="3"/>
  <c r="C1697" i="3"/>
  <c r="B1697" i="3"/>
  <c r="C1696" i="3"/>
  <c r="B1696" i="3"/>
  <c r="C1695" i="3"/>
  <c r="B1695" i="3"/>
  <c r="C1694" i="3"/>
  <c r="B1694" i="3"/>
  <c r="C1693" i="3"/>
  <c r="B1693" i="3"/>
  <c r="C1692" i="3"/>
  <c r="B1692" i="3"/>
  <c r="C1691" i="3"/>
  <c r="B1691" i="3"/>
  <c r="C1690" i="3"/>
  <c r="B1690" i="3"/>
  <c r="C1689" i="3"/>
  <c r="B1689" i="3"/>
  <c r="C1688" i="3"/>
  <c r="B1688" i="3"/>
  <c r="C1687" i="3"/>
  <c r="B1687" i="3"/>
  <c r="C1686" i="3"/>
  <c r="B1686" i="3"/>
  <c r="C1685" i="3"/>
  <c r="B1685" i="3"/>
  <c r="C1684" i="3"/>
  <c r="B1684" i="3"/>
  <c r="C1683" i="3"/>
  <c r="B1683" i="3"/>
  <c r="C1682" i="3"/>
  <c r="B1682" i="3"/>
  <c r="C1681" i="3"/>
  <c r="B1681" i="3"/>
  <c r="C1680" i="3"/>
  <c r="B1680" i="3"/>
  <c r="C1679" i="3"/>
  <c r="B1679" i="3"/>
  <c r="C1678" i="3"/>
  <c r="B1678" i="3"/>
  <c r="C1677" i="3"/>
  <c r="B1677" i="3"/>
  <c r="C1676" i="3"/>
  <c r="B1676" i="3"/>
  <c r="C1675" i="3"/>
  <c r="B1675" i="3"/>
  <c r="C1674" i="3"/>
  <c r="B1674" i="3"/>
  <c r="C1673" i="3"/>
  <c r="B1673" i="3"/>
  <c r="C1672" i="3"/>
  <c r="B1672" i="3"/>
  <c r="C1671" i="3"/>
  <c r="B1671" i="3"/>
  <c r="C1670" i="3"/>
  <c r="B1670" i="3"/>
  <c r="C1669" i="3"/>
  <c r="B1669" i="3"/>
  <c r="G1773" i="3"/>
  <c r="F1773" i="3"/>
  <c r="G1772" i="3"/>
  <c r="F1772" i="3"/>
  <c r="G1771" i="3"/>
  <c r="F1771" i="3"/>
  <c r="G1770" i="3"/>
  <c r="F1770" i="3"/>
  <c r="G1769" i="3"/>
  <c r="F1769" i="3"/>
  <c r="G1768" i="3"/>
  <c r="F1768" i="3"/>
  <c r="G1767" i="3"/>
  <c r="F1767" i="3"/>
  <c r="G1766" i="3"/>
  <c r="F1766" i="3"/>
  <c r="G1765" i="3"/>
  <c r="F1765" i="3"/>
  <c r="G1764" i="3"/>
  <c r="F1764" i="3"/>
  <c r="G1763" i="3"/>
  <c r="F1763" i="3"/>
  <c r="G1762" i="3"/>
  <c r="F1762" i="3"/>
  <c r="G1761" i="3"/>
  <c r="F1761" i="3"/>
  <c r="G1760" i="3"/>
  <c r="F1760" i="3"/>
  <c r="G1759" i="3"/>
  <c r="F1759" i="3"/>
  <c r="G1758" i="3"/>
  <c r="F1758" i="3"/>
  <c r="G1757" i="3"/>
  <c r="F1757" i="3"/>
  <c r="G1756" i="3"/>
  <c r="F1756" i="3"/>
  <c r="G1755" i="3"/>
  <c r="F1755" i="3"/>
  <c r="G1754" i="3"/>
  <c r="F1754" i="3"/>
  <c r="G1753" i="3"/>
  <c r="F1753" i="3"/>
  <c r="G1752" i="3"/>
  <c r="F1752" i="3"/>
  <c r="G1751" i="3"/>
  <c r="F1751" i="3"/>
  <c r="G1750" i="3"/>
  <c r="F1750" i="3"/>
  <c r="G1749" i="3"/>
  <c r="F1749" i="3"/>
  <c r="G1748" i="3"/>
  <c r="F1748" i="3"/>
  <c r="G1747" i="3"/>
  <c r="F1747" i="3"/>
  <c r="G1746" i="3"/>
  <c r="F1746" i="3"/>
  <c r="G1745" i="3"/>
  <c r="F1745" i="3"/>
  <c r="G1744" i="3"/>
  <c r="F1744" i="3"/>
  <c r="G1743" i="3"/>
  <c r="F1743" i="3"/>
  <c r="G1742" i="3"/>
  <c r="F1742" i="3"/>
  <c r="G1741" i="3"/>
  <c r="F1741" i="3"/>
  <c r="G1740" i="3"/>
  <c r="F1740" i="3"/>
  <c r="G1739" i="3"/>
  <c r="F1739" i="3"/>
  <c r="G1738" i="3"/>
  <c r="F1738" i="3"/>
  <c r="G1737" i="3"/>
  <c r="F1737" i="3"/>
  <c r="G1736" i="3"/>
  <c r="F1736" i="3"/>
  <c r="G1735" i="3"/>
  <c r="F1735" i="3"/>
  <c r="G1734" i="3"/>
  <c r="F1734" i="3"/>
  <c r="G1733" i="3"/>
  <c r="F1733" i="3"/>
  <c r="G1732" i="3"/>
  <c r="F1732" i="3"/>
  <c r="G1731" i="3"/>
  <c r="F1731" i="3"/>
  <c r="G1730" i="3"/>
  <c r="F1730" i="3"/>
  <c r="G1729" i="3"/>
  <c r="F1729" i="3"/>
  <c r="G1728" i="3"/>
  <c r="F1728" i="3"/>
  <c r="G1727" i="3"/>
  <c r="F1727" i="3"/>
  <c r="G1726" i="3"/>
  <c r="F1726" i="3"/>
  <c r="G1725" i="3"/>
  <c r="F1725" i="3"/>
  <c r="G1724" i="3"/>
  <c r="F1724" i="3"/>
  <c r="G1723" i="3"/>
  <c r="F1723" i="3"/>
  <c r="G1722" i="3"/>
  <c r="F1722" i="3"/>
  <c r="G1721" i="3"/>
  <c r="F1721" i="3"/>
  <c r="G1720" i="3"/>
  <c r="F1720" i="3"/>
  <c r="G1719" i="3"/>
  <c r="F1719" i="3"/>
  <c r="G1718" i="3"/>
  <c r="F1718" i="3"/>
  <c r="G1717" i="3"/>
  <c r="F1717" i="3"/>
  <c r="G1716" i="3"/>
  <c r="F1716" i="3"/>
  <c r="G1715" i="3"/>
  <c r="F1715" i="3"/>
  <c r="G1714" i="3"/>
  <c r="F1714" i="3"/>
  <c r="G1713" i="3"/>
  <c r="F1713" i="3"/>
  <c r="G1712" i="3"/>
  <c r="F1712" i="3"/>
  <c r="G1711" i="3"/>
  <c r="F1711" i="3"/>
  <c r="G1710" i="3"/>
  <c r="F1710" i="3"/>
  <c r="G1709" i="3"/>
  <c r="F1709" i="3"/>
  <c r="G1708" i="3"/>
  <c r="F1708" i="3"/>
  <c r="G1707" i="3"/>
  <c r="F1707" i="3"/>
  <c r="G1706" i="3"/>
  <c r="F1706" i="3"/>
  <c r="G1705" i="3"/>
  <c r="F1705" i="3"/>
  <c r="G1704" i="3"/>
  <c r="F1704" i="3"/>
  <c r="G1703" i="3"/>
  <c r="F1703" i="3"/>
  <c r="G1702" i="3"/>
  <c r="F1702" i="3"/>
  <c r="G1701" i="3"/>
  <c r="F1701" i="3"/>
  <c r="G1700" i="3"/>
  <c r="F1700" i="3"/>
  <c r="G1699" i="3"/>
  <c r="F1699" i="3"/>
  <c r="G1698" i="3"/>
  <c r="F1698" i="3"/>
  <c r="G1697" i="3"/>
  <c r="F1697" i="3"/>
  <c r="G1696" i="3"/>
  <c r="F1696" i="3"/>
  <c r="G1695" i="3"/>
  <c r="F1695" i="3"/>
  <c r="G1694" i="3"/>
  <c r="F1694" i="3"/>
  <c r="G1693" i="3"/>
  <c r="F1693" i="3"/>
  <c r="G1692" i="3"/>
  <c r="F1692" i="3"/>
  <c r="G1691" i="3"/>
  <c r="F1691" i="3"/>
  <c r="G1690" i="3"/>
  <c r="F1690" i="3"/>
  <c r="G1689" i="3"/>
  <c r="F1689" i="3"/>
  <c r="G1688" i="3"/>
  <c r="F1688" i="3"/>
  <c r="G1687" i="3"/>
  <c r="F1687" i="3"/>
  <c r="G1686" i="3"/>
  <c r="F1686" i="3"/>
  <c r="G1685" i="3"/>
  <c r="F1685" i="3"/>
  <c r="G1684" i="3"/>
  <c r="F1684" i="3"/>
  <c r="G1683" i="3"/>
  <c r="F1683" i="3"/>
  <c r="G1682" i="3"/>
  <c r="F1682" i="3"/>
  <c r="G1681" i="3"/>
  <c r="F1681" i="3"/>
  <c r="G1680" i="3"/>
  <c r="F1680" i="3"/>
  <c r="G1679" i="3"/>
  <c r="F1679" i="3"/>
  <c r="G1678" i="3"/>
  <c r="F1678" i="3"/>
  <c r="G1677" i="3"/>
  <c r="F1677" i="3"/>
  <c r="G1676" i="3"/>
  <c r="F1676" i="3"/>
  <c r="G1675" i="3"/>
  <c r="F1675" i="3"/>
  <c r="G1674" i="3"/>
  <c r="F1674" i="3"/>
  <c r="G1673" i="3"/>
  <c r="F1673" i="3"/>
  <c r="G1672" i="3"/>
  <c r="F1672" i="3"/>
  <c r="G1671" i="3"/>
  <c r="F1671" i="3"/>
  <c r="G1670" i="3"/>
  <c r="F1670" i="3"/>
  <c r="G1669" i="3"/>
  <c r="F1669" i="3"/>
  <c r="C1668" i="3"/>
  <c r="B1668" i="3"/>
  <c r="C1667" i="3"/>
  <c r="B1667" i="3"/>
  <c r="C1666" i="3"/>
  <c r="B1666" i="3"/>
  <c r="C1665" i="3"/>
  <c r="B1665" i="3"/>
  <c r="C1664" i="3"/>
  <c r="B1664" i="3"/>
  <c r="C1663" i="3"/>
  <c r="B1663" i="3"/>
  <c r="C1662" i="3"/>
  <c r="B1662" i="3"/>
  <c r="C1661" i="3"/>
  <c r="B1661" i="3"/>
  <c r="C1660" i="3"/>
  <c r="B1660" i="3"/>
  <c r="C1659" i="3"/>
  <c r="B1659" i="3"/>
  <c r="C1658" i="3"/>
  <c r="B1658" i="3"/>
  <c r="C1657" i="3"/>
  <c r="B1657" i="3"/>
  <c r="C1656" i="3"/>
  <c r="B1656" i="3"/>
  <c r="C1655" i="3"/>
  <c r="B1655" i="3"/>
  <c r="C1654" i="3"/>
  <c r="B1654" i="3"/>
  <c r="C1653" i="3"/>
  <c r="B1653" i="3"/>
  <c r="C1652" i="3"/>
  <c r="B1652" i="3"/>
  <c r="C1651" i="3"/>
  <c r="B1651" i="3"/>
  <c r="C1650" i="3"/>
  <c r="B1650" i="3"/>
  <c r="C1649" i="3"/>
  <c r="B1649" i="3"/>
  <c r="C1648" i="3"/>
  <c r="B1648" i="3"/>
  <c r="C1647" i="3"/>
  <c r="B1647" i="3"/>
  <c r="C1646" i="3"/>
  <c r="B1646" i="3"/>
  <c r="C1645" i="3"/>
  <c r="B1645" i="3"/>
  <c r="C1644" i="3"/>
  <c r="B1644" i="3"/>
  <c r="C1643" i="3"/>
  <c r="B1643" i="3"/>
  <c r="C1642" i="3"/>
  <c r="B1642" i="3"/>
  <c r="C1641" i="3"/>
  <c r="B1641" i="3"/>
  <c r="C1640" i="3"/>
  <c r="B1640" i="3"/>
  <c r="C1639" i="3"/>
  <c r="B1639" i="3"/>
  <c r="C1638" i="3"/>
  <c r="B1638" i="3"/>
  <c r="C1637" i="3"/>
  <c r="B1637" i="3"/>
  <c r="C1636" i="3"/>
  <c r="B1636" i="3"/>
  <c r="C1635" i="3"/>
  <c r="B1635" i="3"/>
  <c r="C1634" i="3"/>
  <c r="B1634" i="3"/>
  <c r="C1633" i="3"/>
  <c r="B1633" i="3"/>
  <c r="C1632" i="3"/>
  <c r="B1632" i="3"/>
  <c r="C1631" i="3"/>
  <c r="B1631" i="3"/>
  <c r="C1630" i="3"/>
  <c r="B1630" i="3"/>
  <c r="C1629" i="3"/>
  <c r="B1629" i="3"/>
  <c r="C1628" i="3"/>
  <c r="B1628" i="3"/>
  <c r="C1627" i="3"/>
  <c r="B1627" i="3"/>
  <c r="C1626" i="3"/>
  <c r="B1626" i="3"/>
  <c r="C1625" i="3"/>
  <c r="B1625" i="3"/>
  <c r="C1624" i="3"/>
  <c r="B1624" i="3"/>
  <c r="C1623" i="3"/>
  <c r="B1623" i="3"/>
  <c r="C1622" i="3"/>
  <c r="B1622" i="3"/>
  <c r="C1621" i="3"/>
  <c r="B1621" i="3"/>
  <c r="C1620" i="3"/>
  <c r="B1620" i="3"/>
  <c r="C1619" i="3"/>
  <c r="B1619" i="3"/>
  <c r="C1618" i="3"/>
  <c r="B1618" i="3"/>
  <c r="C1617" i="3"/>
  <c r="B1617" i="3"/>
  <c r="C1616" i="3"/>
  <c r="B1616" i="3"/>
  <c r="C1615" i="3"/>
  <c r="B1615" i="3"/>
  <c r="C1614" i="3"/>
  <c r="B1614" i="3"/>
  <c r="C1613" i="3"/>
  <c r="B1613" i="3"/>
  <c r="C1612" i="3"/>
  <c r="B1612" i="3"/>
  <c r="C1611" i="3"/>
  <c r="B1611" i="3"/>
  <c r="C1610" i="3"/>
  <c r="B1610" i="3"/>
  <c r="C1609" i="3"/>
  <c r="B1609" i="3"/>
  <c r="C1608" i="3"/>
  <c r="B1608" i="3"/>
  <c r="C1607" i="3"/>
  <c r="B1607" i="3"/>
  <c r="C1606" i="3"/>
  <c r="B1606" i="3"/>
  <c r="C1605" i="3"/>
  <c r="B1605" i="3"/>
  <c r="C1604" i="3"/>
  <c r="B1604" i="3"/>
  <c r="C1603" i="3"/>
  <c r="B1603" i="3"/>
  <c r="C1602" i="3"/>
  <c r="B1602" i="3"/>
  <c r="C1601" i="3"/>
  <c r="B1601" i="3"/>
  <c r="C1600" i="3"/>
  <c r="B1600" i="3"/>
  <c r="C1599" i="3"/>
  <c r="B1599" i="3"/>
  <c r="C1598" i="3"/>
  <c r="B1598" i="3"/>
  <c r="C1597" i="3"/>
  <c r="B1597" i="3"/>
  <c r="C1596" i="3"/>
  <c r="B1596" i="3"/>
  <c r="C1595" i="3"/>
  <c r="B1595" i="3"/>
  <c r="C1594" i="3"/>
  <c r="B1594" i="3"/>
  <c r="C1593" i="3"/>
  <c r="B1593" i="3"/>
  <c r="C1592" i="3"/>
  <c r="B1592" i="3"/>
  <c r="C1591" i="3"/>
  <c r="B1591" i="3"/>
  <c r="C1590" i="3"/>
  <c r="B1590" i="3"/>
  <c r="C1589" i="3"/>
  <c r="B1589" i="3"/>
  <c r="C1588" i="3"/>
  <c r="B1588" i="3"/>
  <c r="C1587" i="3"/>
  <c r="B1587" i="3"/>
  <c r="C1586" i="3"/>
  <c r="B1586" i="3"/>
  <c r="C1585" i="3"/>
  <c r="B1585" i="3"/>
  <c r="C1584" i="3"/>
  <c r="B1584" i="3"/>
  <c r="C1583" i="3"/>
  <c r="B1583" i="3"/>
  <c r="C1582" i="3"/>
  <c r="B1582" i="3"/>
  <c r="C1581" i="3"/>
  <c r="B1581" i="3"/>
  <c r="C1580" i="3"/>
  <c r="B1580" i="3"/>
  <c r="C1579" i="3"/>
  <c r="B1579" i="3"/>
  <c r="C1578" i="3"/>
  <c r="B1578" i="3"/>
  <c r="C1577" i="3"/>
  <c r="B1577" i="3"/>
  <c r="C1576" i="3"/>
  <c r="B1576" i="3"/>
  <c r="C1575" i="3"/>
  <c r="B1575" i="3"/>
  <c r="C1574" i="3"/>
  <c r="B1574" i="3"/>
  <c r="C1573" i="3"/>
  <c r="B1573" i="3"/>
  <c r="C1572" i="3"/>
  <c r="B1572" i="3"/>
  <c r="C1571" i="3"/>
  <c r="B1571" i="3"/>
  <c r="C1570" i="3"/>
  <c r="B1570" i="3"/>
  <c r="C1569" i="3"/>
  <c r="B1569" i="3"/>
  <c r="C1568" i="3"/>
  <c r="B1568" i="3"/>
  <c r="C1567" i="3"/>
  <c r="B1567" i="3"/>
  <c r="C1566" i="3"/>
  <c r="B1566" i="3"/>
  <c r="C1565" i="3"/>
  <c r="B1565" i="3"/>
  <c r="C1564" i="3"/>
  <c r="B1564" i="3"/>
  <c r="G1668" i="3"/>
  <c r="F1668" i="3"/>
  <c r="G1667" i="3"/>
  <c r="F1667" i="3"/>
  <c r="G1666" i="3"/>
  <c r="F1666" i="3"/>
  <c r="G1665" i="3"/>
  <c r="F1665" i="3"/>
  <c r="G1664" i="3"/>
  <c r="F1664" i="3"/>
  <c r="G1663" i="3"/>
  <c r="F1663" i="3"/>
  <c r="G1662" i="3"/>
  <c r="F1662" i="3"/>
  <c r="G1661" i="3"/>
  <c r="F1661" i="3"/>
  <c r="G1660" i="3"/>
  <c r="F1660" i="3"/>
  <c r="G1659" i="3"/>
  <c r="F1659" i="3"/>
  <c r="G1658" i="3"/>
  <c r="F1658" i="3"/>
  <c r="G1657" i="3"/>
  <c r="F1657" i="3"/>
  <c r="G1656" i="3"/>
  <c r="F1656" i="3"/>
  <c r="G1655" i="3"/>
  <c r="F1655" i="3"/>
  <c r="G1654" i="3"/>
  <c r="F1654" i="3"/>
  <c r="G1653" i="3"/>
  <c r="F1653" i="3"/>
  <c r="G1652" i="3"/>
  <c r="F1652" i="3"/>
  <c r="G1651" i="3"/>
  <c r="F1651" i="3"/>
  <c r="G1650" i="3"/>
  <c r="F1650" i="3"/>
  <c r="G1649" i="3"/>
  <c r="F1649" i="3"/>
  <c r="G1648" i="3"/>
  <c r="F1648" i="3"/>
  <c r="G1647" i="3"/>
  <c r="F1647" i="3"/>
  <c r="G1646" i="3"/>
  <c r="F1646" i="3"/>
  <c r="G1645" i="3"/>
  <c r="F1645" i="3"/>
  <c r="G1644" i="3"/>
  <c r="F1644" i="3"/>
  <c r="G1643" i="3"/>
  <c r="F1643" i="3"/>
  <c r="G1642" i="3"/>
  <c r="F1642" i="3"/>
  <c r="G1641" i="3"/>
  <c r="F1641" i="3"/>
  <c r="G1640" i="3"/>
  <c r="F1640" i="3"/>
  <c r="G1639" i="3"/>
  <c r="F1639" i="3"/>
  <c r="G1638" i="3"/>
  <c r="F1638" i="3"/>
  <c r="G1637" i="3"/>
  <c r="F1637" i="3"/>
  <c r="G1636" i="3"/>
  <c r="F1636" i="3"/>
  <c r="G1635" i="3"/>
  <c r="F1635" i="3"/>
  <c r="G1634" i="3"/>
  <c r="F1634" i="3"/>
  <c r="G1633" i="3"/>
  <c r="F1633" i="3"/>
  <c r="G1632" i="3"/>
  <c r="F1632" i="3"/>
  <c r="G1631" i="3"/>
  <c r="F1631" i="3"/>
  <c r="G1630" i="3"/>
  <c r="F1630" i="3"/>
  <c r="G1629" i="3"/>
  <c r="F1629" i="3"/>
  <c r="G1628" i="3"/>
  <c r="F1628" i="3"/>
  <c r="G1627" i="3"/>
  <c r="F1627" i="3"/>
  <c r="G1626" i="3"/>
  <c r="F1626" i="3"/>
  <c r="G1625" i="3"/>
  <c r="F1625" i="3"/>
  <c r="G1624" i="3"/>
  <c r="F1624" i="3"/>
  <c r="G1623" i="3"/>
  <c r="F1623" i="3"/>
  <c r="G1622" i="3"/>
  <c r="F1622" i="3"/>
  <c r="G1621" i="3"/>
  <c r="F1621" i="3"/>
  <c r="G1620" i="3"/>
  <c r="F1620" i="3"/>
  <c r="G1619" i="3"/>
  <c r="F1619" i="3"/>
  <c r="G1618" i="3"/>
  <c r="F1618" i="3"/>
  <c r="G1617" i="3"/>
  <c r="F1617" i="3"/>
  <c r="G1616" i="3"/>
  <c r="F1616" i="3"/>
  <c r="G1615" i="3"/>
  <c r="F1615" i="3"/>
  <c r="G1614" i="3"/>
  <c r="F1614" i="3"/>
  <c r="G1613" i="3"/>
  <c r="F1613" i="3"/>
  <c r="G1612" i="3"/>
  <c r="F1612" i="3"/>
  <c r="G1611" i="3"/>
  <c r="F1611" i="3"/>
  <c r="G1610" i="3"/>
  <c r="F1610" i="3"/>
  <c r="G1609" i="3"/>
  <c r="F1609" i="3"/>
  <c r="G1608" i="3"/>
  <c r="F1608" i="3"/>
  <c r="G1607" i="3"/>
  <c r="F1607" i="3"/>
  <c r="G1606" i="3"/>
  <c r="F1606" i="3"/>
  <c r="G1605" i="3"/>
  <c r="F1605" i="3"/>
  <c r="G1604" i="3"/>
  <c r="F1604" i="3"/>
  <c r="G1603" i="3"/>
  <c r="F1603" i="3"/>
  <c r="G1602" i="3"/>
  <c r="F1602" i="3"/>
  <c r="G1601" i="3"/>
  <c r="F1601" i="3"/>
  <c r="G1600" i="3"/>
  <c r="F1600" i="3"/>
  <c r="G1599" i="3"/>
  <c r="F1599" i="3"/>
  <c r="G1598" i="3"/>
  <c r="F1598" i="3"/>
  <c r="G1597" i="3"/>
  <c r="F1597" i="3"/>
  <c r="G1596" i="3"/>
  <c r="F1596" i="3"/>
  <c r="G1595" i="3"/>
  <c r="F1595" i="3"/>
  <c r="G1594" i="3"/>
  <c r="F1594" i="3"/>
  <c r="G1593" i="3"/>
  <c r="F1593" i="3"/>
  <c r="G1592" i="3"/>
  <c r="F1592" i="3"/>
  <c r="G1591" i="3"/>
  <c r="F1591" i="3"/>
  <c r="G1590" i="3"/>
  <c r="F1590" i="3"/>
  <c r="G1589" i="3"/>
  <c r="F1589" i="3"/>
  <c r="G1588" i="3"/>
  <c r="F1588" i="3"/>
  <c r="G1587" i="3"/>
  <c r="F1587" i="3"/>
  <c r="G1586" i="3"/>
  <c r="F1586" i="3"/>
  <c r="G1585" i="3"/>
  <c r="F1585" i="3"/>
  <c r="G1584" i="3"/>
  <c r="F1584" i="3"/>
  <c r="G1583" i="3"/>
  <c r="F1583" i="3"/>
  <c r="G1582" i="3"/>
  <c r="F1582" i="3"/>
  <c r="G1581" i="3"/>
  <c r="F1581" i="3"/>
  <c r="G1580" i="3"/>
  <c r="F1580" i="3"/>
  <c r="G1579" i="3"/>
  <c r="F1579" i="3"/>
  <c r="G1578" i="3"/>
  <c r="F1578" i="3"/>
  <c r="G1577" i="3"/>
  <c r="F1577" i="3"/>
  <c r="G1576" i="3"/>
  <c r="F1576" i="3"/>
  <c r="G1575" i="3"/>
  <c r="F1575" i="3"/>
  <c r="G1574" i="3"/>
  <c r="F1574" i="3"/>
  <c r="G1573" i="3"/>
  <c r="F1573" i="3"/>
  <c r="G1572" i="3"/>
  <c r="F1572" i="3"/>
  <c r="G1571" i="3"/>
  <c r="F1571" i="3"/>
  <c r="G1570" i="3"/>
  <c r="F1570" i="3"/>
  <c r="G1569" i="3"/>
  <c r="F1569" i="3"/>
  <c r="G1568" i="3"/>
  <c r="F1568" i="3"/>
  <c r="G1567" i="3"/>
  <c r="F1567" i="3"/>
  <c r="G1566" i="3"/>
  <c r="F1566" i="3"/>
  <c r="G1565" i="3"/>
  <c r="F1565" i="3"/>
  <c r="G1564" i="3"/>
  <c r="F1564" i="3"/>
  <c r="C1563" i="3"/>
  <c r="B1563" i="3"/>
  <c r="C1562" i="3"/>
  <c r="B1562" i="3"/>
  <c r="C1561" i="3"/>
  <c r="B1561" i="3"/>
  <c r="C1560" i="3"/>
  <c r="B1560" i="3"/>
  <c r="C1559" i="3"/>
  <c r="B1559" i="3"/>
  <c r="C1558" i="3"/>
  <c r="B1558" i="3"/>
  <c r="C1557" i="3"/>
  <c r="B1557" i="3"/>
  <c r="C1556" i="3"/>
  <c r="B1556" i="3"/>
  <c r="C1555" i="3"/>
  <c r="B1555" i="3"/>
  <c r="C1554" i="3"/>
  <c r="B1554" i="3"/>
  <c r="C1553" i="3"/>
  <c r="B1553" i="3"/>
  <c r="C1552" i="3"/>
  <c r="B1552" i="3"/>
  <c r="C1551" i="3"/>
  <c r="B1551" i="3"/>
  <c r="C1550" i="3"/>
  <c r="B1550" i="3"/>
  <c r="C1549" i="3"/>
  <c r="B1549" i="3"/>
  <c r="C1548" i="3"/>
  <c r="B1548" i="3"/>
  <c r="C1547" i="3"/>
  <c r="B1547" i="3"/>
  <c r="C1546" i="3"/>
  <c r="B1546" i="3"/>
  <c r="C1545" i="3"/>
  <c r="B1545" i="3"/>
  <c r="C1544" i="3"/>
  <c r="B1544" i="3"/>
  <c r="C1543" i="3"/>
  <c r="B1543" i="3"/>
  <c r="C1542" i="3"/>
  <c r="B1542" i="3"/>
  <c r="C1541" i="3"/>
  <c r="B1541" i="3"/>
  <c r="C1540" i="3"/>
  <c r="B1540" i="3"/>
  <c r="C1539" i="3"/>
  <c r="B1539" i="3"/>
  <c r="C1538" i="3"/>
  <c r="B1538" i="3"/>
  <c r="C1537" i="3"/>
  <c r="B1537" i="3"/>
  <c r="C1536" i="3"/>
  <c r="B1536" i="3"/>
  <c r="C1535" i="3"/>
  <c r="B1535" i="3"/>
  <c r="C1534" i="3"/>
  <c r="B1534" i="3"/>
  <c r="C1533" i="3"/>
  <c r="B1533" i="3"/>
  <c r="C1532" i="3"/>
  <c r="B1532" i="3"/>
  <c r="C1531" i="3"/>
  <c r="B1531" i="3"/>
  <c r="C1530" i="3"/>
  <c r="B1530" i="3"/>
  <c r="C1529" i="3"/>
  <c r="B1529" i="3"/>
  <c r="C1528" i="3"/>
  <c r="B1528" i="3"/>
  <c r="C1527" i="3"/>
  <c r="B1527" i="3"/>
  <c r="C1526" i="3"/>
  <c r="B1526" i="3"/>
  <c r="C1525" i="3"/>
  <c r="B1525" i="3"/>
  <c r="C1524" i="3"/>
  <c r="B1524" i="3"/>
  <c r="C1523" i="3"/>
  <c r="B1523" i="3"/>
  <c r="C1522" i="3"/>
  <c r="B1522" i="3"/>
  <c r="C1521" i="3"/>
  <c r="B1521" i="3"/>
  <c r="C1520" i="3"/>
  <c r="B1520" i="3"/>
  <c r="C1519" i="3"/>
  <c r="B1519" i="3"/>
  <c r="C1518" i="3"/>
  <c r="B1518" i="3"/>
  <c r="C1517" i="3"/>
  <c r="B1517" i="3"/>
  <c r="C1516" i="3"/>
  <c r="B1516" i="3"/>
  <c r="C1515" i="3"/>
  <c r="B1515" i="3"/>
  <c r="C1514" i="3"/>
  <c r="B1514" i="3"/>
  <c r="C1513" i="3"/>
  <c r="B1513" i="3"/>
  <c r="C1512" i="3"/>
  <c r="B1512" i="3"/>
  <c r="C1511" i="3"/>
  <c r="B1511" i="3"/>
  <c r="C1510" i="3"/>
  <c r="B1510" i="3"/>
  <c r="C1509" i="3"/>
  <c r="B1509" i="3"/>
  <c r="C1508" i="3"/>
  <c r="B1508" i="3"/>
  <c r="C1507" i="3"/>
  <c r="B1507" i="3"/>
  <c r="C1506" i="3"/>
  <c r="B1506" i="3"/>
  <c r="C1505" i="3"/>
  <c r="B1505" i="3"/>
  <c r="C1504" i="3"/>
  <c r="B1504" i="3"/>
  <c r="C1503" i="3"/>
  <c r="B1503" i="3"/>
  <c r="C1502" i="3"/>
  <c r="B1502" i="3"/>
  <c r="C1501" i="3"/>
  <c r="B1501" i="3"/>
  <c r="C1500" i="3"/>
  <c r="B1500" i="3"/>
  <c r="C1499" i="3"/>
  <c r="B1499" i="3"/>
  <c r="C1498" i="3"/>
  <c r="B1498" i="3"/>
  <c r="C1497" i="3"/>
  <c r="B1497" i="3"/>
  <c r="C1496" i="3"/>
  <c r="B1496" i="3"/>
  <c r="C1495" i="3"/>
  <c r="B1495" i="3"/>
  <c r="C1494" i="3"/>
  <c r="B1494" i="3"/>
  <c r="C1493" i="3"/>
  <c r="B1493" i="3"/>
  <c r="C1492" i="3"/>
  <c r="B1492" i="3"/>
  <c r="C1491" i="3"/>
  <c r="B1491" i="3"/>
  <c r="C1490" i="3"/>
  <c r="B1490" i="3"/>
  <c r="C1489" i="3"/>
  <c r="B1489" i="3"/>
  <c r="C1488" i="3"/>
  <c r="B1488" i="3"/>
  <c r="C1487" i="3"/>
  <c r="B1487" i="3"/>
  <c r="C1486" i="3"/>
  <c r="B1486" i="3"/>
  <c r="C1485" i="3"/>
  <c r="B1485" i="3"/>
  <c r="C1484" i="3"/>
  <c r="B1484" i="3"/>
  <c r="C1483" i="3"/>
  <c r="B1483" i="3"/>
  <c r="C1482" i="3"/>
  <c r="B1482" i="3"/>
  <c r="C1481" i="3"/>
  <c r="B1481" i="3"/>
  <c r="C1480" i="3"/>
  <c r="B1480" i="3"/>
  <c r="C1479" i="3"/>
  <c r="B1479" i="3"/>
  <c r="C1478" i="3"/>
  <c r="B1478" i="3"/>
  <c r="C1477" i="3"/>
  <c r="B1477" i="3"/>
  <c r="C1476" i="3"/>
  <c r="B1476" i="3"/>
  <c r="C1475" i="3"/>
  <c r="B1475" i="3"/>
  <c r="C1474" i="3"/>
  <c r="B1474" i="3"/>
  <c r="C1473" i="3"/>
  <c r="B1473" i="3"/>
  <c r="C1472" i="3"/>
  <c r="B1472" i="3"/>
  <c r="C1471" i="3"/>
  <c r="B1471" i="3"/>
  <c r="C1470" i="3"/>
  <c r="B1470" i="3"/>
  <c r="C1469" i="3"/>
  <c r="B1469" i="3"/>
  <c r="C1468" i="3"/>
  <c r="B1468" i="3"/>
  <c r="C1467" i="3"/>
  <c r="B1467" i="3"/>
  <c r="C1466" i="3"/>
  <c r="B1466" i="3"/>
  <c r="C1465" i="3"/>
  <c r="B1465" i="3"/>
  <c r="C1464" i="3"/>
  <c r="B1464" i="3"/>
  <c r="C1463" i="3"/>
  <c r="B1463" i="3"/>
  <c r="C1462" i="3"/>
  <c r="B1462" i="3"/>
  <c r="C1461" i="3"/>
  <c r="B1461" i="3"/>
  <c r="C1460" i="3"/>
  <c r="B1460" i="3"/>
  <c r="C1459" i="3"/>
  <c r="B1459" i="3"/>
  <c r="G1563" i="3"/>
  <c r="F1563" i="3"/>
  <c r="G1562" i="3"/>
  <c r="F1562" i="3"/>
  <c r="G1561" i="3"/>
  <c r="F1561" i="3"/>
  <c r="G1560" i="3"/>
  <c r="F1560" i="3"/>
  <c r="G1559" i="3"/>
  <c r="F1559" i="3"/>
  <c r="G1558" i="3"/>
  <c r="F1558" i="3"/>
  <c r="G1557" i="3"/>
  <c r="F1557" i="3"/>
  <c r="G1556" i="3"/>
  <c r="F1556" i="3"/>
  <c r="G1555" i="3"/>
  <c r="F1555" i="3"/>
  <c r="G1554" i="3"/>
  <c r="F1554" i="3"/>
  <c r="G1553" i="3"/>
  <c r="F1553" i="3"/>
  <c r="G1552" i="3"/>
  <c r="F1552" i="3"/>
  <c r="G1551" i="3"/>
  <c r="F1551" i="3"/>
  <c r="G1550" i="3"/>
  <c r="F1550" i="3"/>
  <c r="G1549" i="3"/>
  <c r="F1549" i="3"/>
  <c r="G1548" i="3"/>
  <c r="F1548" i="3"/>
  <c r="G1547" i="3"/>
  <c r="F1547" i="3"/>
  <c r="G1546" i="3"/>
  <c r="F1546" i="3"/>
  <c r="G1545" i="3"/>
  <c r="F1545" i="3"/>
  <c r="G1544" i="3"/>
  <c r="F1544" i="3"/>
  <c r="G1543" i="3"/>
  <c r="F1543" i="3"/>
  <c r="G1542" i="3"/>
  <c r="F1542" i="3"/>
  <c r="G1541" i="3"/>
  <c r="F1541" i="3"/>
  <c r="G1540" i="3"/>
  <c r="F1540" i="3"/>
  <c r="G1539" i="3"/>
  <c r="F1539" i="3"/>
  <c r="G1538" i="3"/>
  <c r="F1538" i="3"/>
  <c r="G1537" i="3"/>
  <c r="F1537" i="3"/>
  <c r="G1536" i="3"/>
  <c r="F1536" i="3"/>
  <c r="G1535" i="3"/>
  <c r="F1535" i="3"/>
  <c r="G1534" i="3"/>
  <c r="F1534" i="3"/>
  <c r="G1533" i="3"/>
  <c r="F1533" i="3"/>
  <c r="G1532" i="3"/>
  <c r="F1532" i="3"/>
  <c r="G1531" i="3"/>
  <c r="F1531" i="3"/>
  <c r="G1530" i="3"/>
  <c r="F1530" i="3"/>
  <c r="G1529" i="3"/>
  <c r="F1529" i="3"/>
  <c r="G1528" i="3"/>
  <c r="F1528" i="3"/>
  <c r="G1527" i="3"/>
  <c r="F1527" i="3"/>
  <c r="G1526" i="3"/>
  <c r="F1526" i="3"/>
  <c r="G1525" i="3"/>
  <c r="F1525" i="3"/>
  <c r="G1524" i="3"/>
  <c r="F1524" i="3"/>
  <c r="G1523" i="3"/>
  <c r="F1523" i="3"/>
  <c r="G1522" i="3"/>
  <c r="F1522" i="3"/>
  <c r="G1521" i="3"/>
  <c r="F1521" i="3"/>
  <c r="G1520" i="3"/>
  <c r="F1520" i="3"/>
  <c r="G1519" i="3"/>
  <c r="F1519" i="3"/>
  <c r="G1518" i="3"/>
  <c r="F1518" i="3"/>
  <c r="G1517" i="3"/>
  <c r="F1517" i="3"/>
  <c r="G1516" i="3"/>
  <c r="F1516" i="3"/>
  <c r="G1515" i="3"/>
  <c r="F1515" i="3"/>
  <c r="G1514" i="3"/>
  <c r="F1514" i="3"/>
  <c r="G1513" i="3"/>
  <c r="F1513" i="3"/>
  <c r="G1512" i="3"/>
  <c r="F1512" i="3"/>
  <c r="G1511" i="3"/>
  <c r="F1511" i="3"/>
  <c r="G1510" i="3"/>
  <c r="F1510" i="3"/>
  <c r="G1509" i="3"/>
  <c r="F1509" i="3"/>
  <c r="G1508" i="3"/>
  <c r="F1508" i="3"/>
  <c r="G1507" i="3"/>
  <c r="F1507" i="3"/>
  <c r="G1506" i="3"/>
  <c r="F1506" i="3"/>
  <c r="G1505" i="3"/>
  <c r="F1505" i="3"/>
  <c r="G1504" i="3"/>
  <c r="F1504" i="3"/>
  <c r="G1503" i="3"/>
  <c r="F1503" i="3"/>
  <c r="G1502" i="3"/>
  <c r="F1502" i="3"/>
  <c r="G1501" i="3"/>
  <c r="F1501" i="3"/>
  <c r="G1500" i="3"/>
  <c r="F1500" i="3"/>
  <c r="G1499" i="3"/>
  <c r="F1499" i="3"/>
  <c r="G1498" i="3"/>
  <c r="F1498" i="3"/>
  <c r="G1497" i="3"/>
  <c r="F1497" i="3"/>
  <c r="G1496" i="3"/>
  <c r="F1496" i="3"/>
  <c r="G1495" i="3"/>
  <c r="F1495" i="3"/>
  <c r="G1494" i="3"/>
  <c r="F1494" i="3"/>
  <c r="G1493" i="3"/>
  <c r="F1493" i="3"/>
  <c r="G1492" i="3"/>
  <c r="F1492" i="3"/>
  <c r="G1491" i="3"/>
  <c r="F1491" i="3"/>
  <c r="G1490" i="3"/>
  <c r="F1490" i="3"/>
  <c r="G1489" i="3"/>
  <c r="F1489" i="3"/>
  <c r="G1488" i="3"/>
  <c r="F1488" i="3"/>
  <c r="G1487" i="3"/>
  <c r="F1487" i="3"/>
  <c r="G1486" i="3"/>
  <c r="F1486" i="3"/>
  <c r="G1485" i="3"/>
  <c r="F1485" i="3"/>
  <c r="G1484" i="3"/>
  <c r="F1484" i="3"/>
  <c r="G1483" i="3"/>
  <c r="F1483" i="3"/>
  <c r="G1482" i="3"/>
  <c r="F1482" i="3"/>
  <c r="G1481" i="3"/>
  <c r="F1481" i="3"/>
  <c r="G1480" i="3"/>
  <c r="F1480" i="3"/>
  <c r="G1479" i="3"/>
  <c r="F1479" i="3"/>
  <c r="G1478" i="3"/>
  <c r="F1478" i="3"/>
  <c r="G1477" i="3"/>
  <c r="F1477" i="3"/>
  <c r="G1476" i="3"/>
  <c r="F1476" i="3"/>
  <c r="G1475" i="3"/>
  <c r="F1475" i="3"/>
  <c r="G1474" i="3"/>
  <c r="F1474" i="3"/>
  <c r="G1473" i="3"/>
  <c r="F1473" i="3"/>
  <c r="G1472" i="3"/>
  <c r="F1472" i="3"/>
  <c r="G1471" i="3"/>
  <c r="F1471" i="3"/>
  <c r="G1470" i="3"/>
  <c r="F1470" i="3"/>
  <c r="G1469" i="3"/>
  <c r="F1469" i="3"/>
  <c r="G1468" i="3"/>
  <c r="F1468" i="3"/>
  <c r="G1467" i="3"/>
  <c r="F1467" i="3"/>
  <c r="G1466" i="3"/>
  <c r="F1466" i="3"/>
  <c r="G1465" i="3"/>
  <c r="F1465" i="3"/>
  <c r="G1464" i="3"/>
  <c r="F1464" i="3"/>
  <c r="G1463" i="3"/>
  <c r="F1463" i="3"/>
  <c r="G1462" i="3"/>
  <c r="F1462" i="3"/>
  <c r="G1461" i="3"/>
  <c r="F1461" i="3"/>
  <c r="G1460" i="3"/>
  <c r="F1460" i="3"/>
  <c r="G1459" i="3"/>
  <c r="F1459" i="3"/>
  <c r="C1458" i="3"/>
  <c r="B1458" i="3"/>
  <c r="C1457" i="3"/>
  <c r="B1457" i="3"/>
  <c r="C1456" i="3"/>
  <c r="B1456" i="3"/>
  <c r="C1455" i="3"/>
  <c r="B1455" i="3"/>
  <c r="C1454" i="3"/>
  <c r="B1454" i="3"/>
  <c r="C1453" i="3"/>
  <c r="B1453" i="3"/>
  <c r="C1452" i="3"/>
  <c r="B1452" i="3"/>
  <c r="C1451" i="3"/>
  <c r="B1451" i="3"/>
  <c r="C1450" i="3"/>
  <c r="B1450" i="3"/>
  <c r="C1449" i="3"/>
  <c r="B1449" i="3"/>
  <c r="C1448" i="3"/>
  <c r="B1448" i="3"/>
  <c r="C1447" i="3"/>
  <c r="B1447" i="3"/>
  <c r="C1446" i="3"/>
  <c r="B1446" i="3"/>
  <c r="C1445" i="3"/>
  <c r="B1445" i="3"/>
  <c r="C1444" i="3"/>
  <c r="B1444" i="3"/>
  <c r="C1443" i="3"/>
  <c r="B1443" i="3"/>
  <c r="C1442" i="3"/>
  <c r="B1442" i="3"/>
  <c r="C1441" i="3"/>
  <c r="B1441" i="3"/>
  <c r="C1440" i="3"/>
  <c r="B1440" i="3"/>
  <c r="C1439" i="3"/>
  <c r="B1439" i="3"/>
  <c r="C1438" i="3"/>
  <c r="B1438" i="3"/>
  <c r="C1437" i="3"/>
  <c r="B1437" i="3"/>
  <c r="C1436" i="3"/>
  <c r="B1436" i="3"/>
  <c r="C1435" i="3"/>
  <c r="B1435" i="3"/>
  <c r="C1434" i="3"/>
  <c r="B1434" i="3"/>
  <c r="C1433" i="3"/>
  <c r="B1433" i="3"/>
  <c r="C1432" i="3"/>
  <c r="B1432" i="3"/>
  <c r="C1431" i="3"/>
  <c r="B1431" i="3"/>
  <c r="C1430" i="3"/>
  <c r="B1430" i="3"/>
  <c r="C1429" i="3"/>
  <c r="B1429" i="3"/>
  <c r="C1428" i="3"/>
  <c r="B1428" i="3"/>
  <c r="C1427" i="3"/>
  <c r="B1427" i="3"/>
  <c r="C1426" i="3"/>
  <c r="B1426" i="3"/>
  <c r="C1425" i="3"/>
  <c r="B1425" i="3"/>
  <c r="C1424" i="3"/>
  <c r="B1424" i="3"/>
  <c r="C1423" i="3"/>
  <c r="B1423" i="3"/>
  <c r="C1422" i="3"/>
  <c r="B1422" i="3"/>
  <c r="C1421" i="3"/>
  <c r="B1421" i="3"/>
  <c r="C1420" i="3"/>
  <c r="B1420" i="3"/>
  <c r="C1419" i="3"/>
  <c r="B1419" i="3"/>
  <c r="C1418" i="3"/>
  <c r="B1418" i="3"/>
  <c r="C1417" i="3"/>
  <c r="B1417" i="3"/>
  <c r="C1416" i="3"/>
  <c r="B1416" i="3"/>
  <c r="C1415" i="3"/>
  <c r="B1415" i="3"/>
  <c r="C1414" i="3"/>
  <c r="B1414" i="3"/>
  <c r="C1413" i="3"/>
  <c r="B1413" i="3"/>
  <c r="C1412" i="3"/>
  <c r="B1412" i="3"/>
  <c r="C1411" i="3"/>
  <c r="B1411" i="3"/>
  <c r="C1410" i="3"/>
  <c r="B1410" i="3"/>
  <c r="C1409" i="3"/>
  <c r="B1409" i="3"/>
  <c r="C1408" i="3"/>
  <c r="B1408" i="3"/>
  <c r="C1407" i="3"/>
  <c r="B1407" i="3"/>
  <c r="C1406" i="3"/>
  <c r="B1406" i="3"/>
  <c r="C1405" i="3"/>
  <c r="B1405" i="3"/>
  <c r="C1404" i="3"/>
  <c r="B1404" i="3"/>
  <c r="C1403" i="3"/>
  <c r="B1403" i="3"/>
  <c r="C1402" i="3"/>
  <c r="B1402" i="3"/>
  <c r="C1401" i="3"/>
  <c r="B1401" i="3"/>
  <c r="C1400" i="3"/>
  <c r="B1400" i="3"/>
  <c r="C1399" i="3"/>
  <c r="B1399" i="3"/>
  <c r="C1398" i="3"/>
  <c r="B1398" i="3"/>
  <c r="C1397" i="3"/>
  <c r="B1397" i="3"/>
  <c r="C1396" i="3"/>
  <c r="B1396" i="3"/>
  <c r="C1395" i="3"/>
  <c r="B1395" i="3"/>
  <c r="C1394" i="3"/>
  <c r="B1394" i="3"/>
  <c r="C1393" i="3"/>
  <c r="B1393" i="3"/>
  <c r="C1392" i="3"/>
  <c r="B1392" i="3"/>
  <c r="C1391" i="3"/>
  <c r="B1391" i="3"/>
  <c r="C1390" i="3"/>
  <c r="B1390" i="3"/>
  <c r="C1389" i="3"/>
  <c r="B1389" i="3"/>
  <c r="C1388" i="3"/>
  <c r="B1388" i="3"/>
  <c r="C1387" i="3"/>
  <c r="B1387" i="3"/>
  <c r="C1386" i="3"/>
  <c r="B1386" i="3"/>
  <c r="C1385" i="3"/>
  <c r="B1385" i="3"/>
  <c r="C1384" i="3"/>
  <c r="B1384" i="3"/>
  <c r="C1383" i="3"/>
  <c r="B1383" i="3"/>
  <c r="C1382" i="3"/>
  <c r="B1382" i="3"/>
  <c r="C1381" i="3"/>
  <c r="B1381" i="3"/>
  <c r="C1380" i="3"/>
  <c r="B1380" i="3"/>
  <c r="C1379" i="3"/>
  <c r="B1379" i="3"/>
  <c r="C1378" i="3"/>
  <c r="B1378" i="3"/>
  <c r="C1377" i="3"/>
  <c r="B1377" i="3"/>
  <c r="C1376" i="3"/>
  <c r="B1376" i="3"/>
  <c r="C1375" i="3"/>
  <c r="B1375" i="3"/>
  <c r="C1374" i="3"/>
  <c r="B1374" i="3"/>
  <c r="C1373" i="3"/>
  <c r="B1373" i="3"/>
  <c r="C1372" i="3"/>
  <c r="B1372" i="3"/>
  <c r="C1371" i="3"/>
  <c r="B1371" i="3"/>
  <c r="C1370" i="3"/>
  <c r="B1370" i="3"/>
  <c r="C1369" i="3"/>
  <c r="B1369" i="3"/>
  <c r="C1368" i="3"/>
  <c r="B1368" i="3"/>
  <c r="C1367" i="3"/>
  <c r="B1367" i="3"/>
  <c r="C1366" i="3"/>
  <c r="B1366" i="3"/>
  <c r="C1365" i="3"/>
  <c r="B1365" i="3"/>
  <c r="C1364" i="3"/>
  <c r="B1364" i="3"/>
  <c r="C1363" i="3"/>
  <c r="B1363" i="3"/>
  <c r="C1362" i="3"/>
  <c r="B1362" i="3"/>
  <c r="C1361" i="3"/>
  <c r="B1361" i="3"/>
  <c r="C1360" i="3"/>
  <c r="B1360" i="3"/>
  <c r="C1359" i="3"/>
  <c r="B1359" i="3"/>
  <c r="C1358" i="3"/>
  <c r="B1358" i="3"/>
  <c r="C1357" i="3"/>
  <c r="B1357" i="3"/>
  <c r="C1356" i="3"/>
  <c r="B1356" i="3"/>
  <c r="C1355" i="3"/>
  <c r="B1355" i="3"/>
  <c r="C1354" i="3"/>
  <c r="B1354" i="3"/>
  <c r="G1458" i="3"/>
  <c r="F1458" i="3"/>
  <c r="G1457" i="3"/>
  <c r="F1457" i="3"/>
  <c r="G1456" i="3"/>
  <c r="F1456" i="3"/>
  <c r="G1455" i="3"/>
  <c r="F1455" i="3"/>
  <c r="G1454" i="3"/>
  <c r="F1454" i="3"/>
  <c r="G1453" i="3"/>
  <c r="F1453" i="3"/>
  <c r="G1452" i="3"/>
  <c r="F1452" i="3"/>
  <c r="G1451" i="3"/>
  <c r="F1451" i="3"/>
  <c r="G1450" i="3"/>
  <c r="F1450" i="3"/>
  <c r="G1449" i="3"/>
  <c r="F1449" i="3"/>
  <c r="G1448" i="3"/>
  <c r="F1448" i="3"/>
  <c r="G1447" i="3"/>
  <c r="F1447" i="3"/>
  <c r="G1446" i="3"/>
  <c r="F1446" i="3"/>
  <c r="G1445" i="3"/>
  <c r="F1445" i="3"/>
  <c r="G1444" i="3"/>
  <c r="F1444" i="3"/>
  <c r="G1443" i="3"/>
  <c r="F1443" i="3"/>
  <c r="G1442" i="3"/>
  <c r="F1442" i="3"/>
  <c r="G1441" i="3"/>
  <c r="F1441" i="3"/>
  <c r="G1440" i="3"/>
  <c r="F1440" i="3"/>
  <c r="G1439" i="3"/>
  <c r="F1439" i="3"/>
  <c r="G1438" i="3"/>
  <c r="F1438" i="3"/>
  <c r="G1437" i="3"/>
  <c r="F1437" i="3"/>
  <c r="G1436" i="3"/>
  <c r="F1436" i="3"/>
  <c r="G1435" i="3"/>
  <c r="F1435" i="3"/>
  <c r="G1434" i="3"/>
  <c r="F1434" i="3"/>
  <c r="G1433" i="3"/>
  <c r="F1433" i="3"/>
  <c r="G1432" i="3"/>
  <c r="F1432" i="3"/>
  <c r="G1431" i="3"/>
  <c r="F1431" i="3"/>
  <c r="G1430" i="3"/>
  <c r="F1430" i="3"/>
  <c r="G1429" i="3"/>
  <c r="F1429" i="3"/>
  <c r="G1428" i="3"/>
  <c r="F1428" i="3"/>
  <c r="G1427" i="3"/>
  <c r="F1427" i="3"/>
  <c r="G1426" i="3"/>
  <c r="F1426" i="3"/>
  <c r="G1425" i="3"/>
  <c r="F1425" i="3"/>
  <c r="G1424" i="3"/>
  <c r="F1424" i="3"/>
  <c r="G1423" i="3"/>
  <c r="F1423" i="3"/>
  <c r="G1422" i="3"/>
  <c r="F1422" i="3"/>
  <c r="G1421" i="3"/>
  <c r="F1421" i="3"/>
  <c r="G1420" i="3"/>
  <c r="F1420" i="3"/>
  <c r="G1419" i="3"/>
  <c r="F1419" i="3"/>
  <c r="G1418" i="3"/>
  <c r="F1418" i="3"/>
  <c r="G1417" i="3"/>
  <c r="F1417" i="3"/>
  <c r="G1416" i="3"/>
  <c r="F1416" i="3"/>
  <c r="G1415" i="3"/>
  <c r="F1415" i="3"/>
  <c r="G1414" i="3"/>
  <c r="F1414" i="3"/>
  <c r="G1413" i="3"/>
  <c r="F1413" i="3"/>
  <c r="G1412" i="3"/>
  <c r="F1412" i="3"/>
  <c r="G1411" i="3"/>
  <c r="F1411" i="3"/>
  <c r="G1410" i="3"/>
  <c r="F1410" i="3"/>
  <c r="G1409" i="3"/>
  <c r="F1409" i="3"/>
  <c r="G1408" i="3"/>
  <c r="F1408" i="3"/>
  <c r="G1407" i="3"/>
  <c r="F1407" i="3"/>
  <c r="G1406" i="3"/>
  <c r="F1406" i="3"/>
  <c r="G1405" i="3"/>
  <c r="F1405" i="3"/>
  <c r="G1404" i="3"/>
  <c r="F1404" i="3"/>
  <c r="G1403" i="3"/>
  <c r="F1403" i="3"/>
  <c r="G1402" i="3"/>
  <c r="F1402" i="3"/>
  <c r="G1401" i="3"/>
  <c r="F1401" i="3"/>
  <c r="G1400" i="3"/>
  <c r="F1400" i="3"/>
  <c r="G1399" i="3"/>
  <c r="F1399" i="3"/>
  <c r="G1398" i="3"/>
  <c r="F1398" i="3"/>
  <c r="G1397" i="3"/>
  <c r="F1397" i="3"/>
  <c r="G1396" i="3"/>
  <c r="F1396" i="3"/>
  <c r="G1395" i="3"/>
  <c r="F1395" i="3"/>
  <c r="G1394" i="3"/>
  <c r="F1394" i="3"/>
  <c r="G1393" i="3"/>
  <c r="F1393" i="3"/>
  <c r="G1392" i="3"/>
  <c r="F1392" i="3"/>
  <c r="G1391" i="3"/>
  <c r="F1391" i="3"/>
  <c r="G1390" i="3"/>
  <c r="F1390" i="3"/>
  <c r="G1389" i="3"/>
  <c r="F1389" i="3"/>
  <c r="G1388" i="3"/>
  <c r="F1388" i="3"/>
  <c r="G1387" i="3"/>
  <c r="F1387" i="3"/>
  <c r="G1386" i="3"/>
  <c r="F1386" i="3"/>
  <c r="G1385" i="3"/>
  <c r="F1385" i="3"/>
  <c r="G1384" i="3"/>
  <c r="F1384" i="3"/>
  <c r="G1383" i="3"/>
  <c r="F1383" i="3"/>
  <c r="G1382" i="3"/>
  <c r="F1382" i="3"/>
  <c r="G1381" i="3"/>
  <c r="F1381" i="3"/>
  <c r="G1380" i="3"/>
  <c r="F1380" i="3"/>
  <c r="G1379" i="3"/>
  <c r="F1379" i="3"/>
  <c r="G1378" i="3"/>
  <c r="F1378" i="3"/>
  <c r="G1377" i="3"/>
  <c r="F1377" i="3"/>
  <c r="G1376" i="3"/>
  <c r="F1376" i="3"/>
  <c r="G1375" i="3"/>
  <c r="F1375" i="3"/>
  <c r="G1374" i="3"/>
  <c r="F1374" i="3"/>
  <c r="G1373" i="3"/>
  <c r="F1373" i="3"/>
  <c r="G1372" i="3"/>
  <c r="F1372" i="3"/>
  <c r="G1371" i="3"/>
  <c r="F1371" i="3"/>
  <c r="G1370" i="3"/>
  <c r="F1370" i="3"/>
  <c r="G1369" i="3"/>
  <c r="F1369" i="3"/>
  <c r="G1368" i="3"/>
  <c r="F1368" i="3"/>
  <c r="G1367" i="3"/>
  <c r="F1367" i="3"/>
  <c r="G1366" i="3"/>
  <c r="F1366" i="3"/>
  <c r="G1365" i="3"/>
  <c r="F1365" i="3"/>
  <c r="G1364" i="3"/>
  <c r="F1364" i="3"/>
  <c r="G1363" i="3"/>
  <c r="F1363" i="3"/>
  <c r="G1362" i="3"/>
  <c r="F1362" i="3"/>
  <c r="G1361" i="3"/>
  <c r="F1361" i="3"/>
  <c r="G1360" i="3"/>
  <c r="F1360" i="3"/>
  <c r="G1359" i="3"/>
  <c r="F1359" i="3"/>
  <c r="G1358" i="3"/>
  <c r="F1358" i="3"/>
  <c r="G1357" i="3"/>
  <c r="F1357" i="3"/>
  <c r="G1356" i="3"/>
  <c r="F1356" i="3"/>
  <c r="G1355" i="3"/>
  <c r="F1355" i="3"/>
  <c r="G1354" i="3"/>
  <c r="F1354" i="3"/>
  <c r="C1353" i="3"/>
  <c r="B1353" i="3"/>
  <c r="C1352" i="3"/>
  <c r="B1352" i="3"/>
  <c r="C1351" i="3"/>
  <c r="B1351" i="3"/>
  <c r="C1350" i="3"/>
  <c r="B1350" i="3"/>
  <c r="C1349" i="3"/>
  <c r="B1349" i="3"/>
  <c r="C1348" i="3"/>
  <c r="B1348" i="3"/>
  <c r="C1347" i="3"/>
  <c r="B1347" i="3"/>
  <c r="C1346" i="3"/>
  <c r="B1346" i="3"/>
  <c r="C1345" i="3"/>
  <c r="B1345" i="3"/>
  <c r="C1344" i="3"/>
  <c r="B1344" i="3"/>
  <c r="C1343" i="3"/>
  <c r="B1343" i="3"/>
  <c r="C1342" i="3"/>
  <c r="B1342" i="3"/>
  <c r="C1341" i="3"/>
  <c r="B1341" i="3"/>
  <c r="C1340" i="3"/>
  <c r="B1340" i="3"/>
  <c r="C1339" i="3"/>
  <c r="B1339" i="3"/>
  <c r="C1338" i="3"/>
  <c r="B1338" i="3"/>
  <c r="C1337" i="3"/>
  <c r="B1337" i="3"/>
  <c r="C1336" i="3"/>
  <c r="B1336" i="3"/>
  <c r="C1335" i="3"/>
  <c r="B1335" i="3"/>
  <c r="C1334" i="3"/>
  <c r="B1334" i="3"/>
  <c r="C1333" i="3"/>
  <c r="B1333" i="3"/>
  <c r="C1332" i="3"/>
  <c r="B1332" i="3"/>
  <c r="C1331" i="3"/>
  <c r="B1331" i="3"/>
  <c r="C1330" i="3"/>
  <c r="B1330" i="3"/>
  <c r="C1329" i="3"/>
  <c r="B1329" i="3"/>
  <c r="C1328" i="3"/>
  <c r="B1328" i="3"/>
  <c r="C1327" i="3"/>
  <c r="B1327" i="3"/>
  <c r="C1326" i="3"/>
  <c r="B1326" i="3"/>
  <c r="C1325" i="3"/>
  <c r="B1325" i="3"/>
  <c r="C1324" i="3"/>
  <c r="B1324" i="3"/>
  <c r="C1323" i="3"/>
  <c r="B1323" i="3"/>
  <c r="C1322" i="3"/>
  <c r="B1322" i="3"/>
  <c r="C1321" i="3"/>
  <c r="B1321" i="3"/>
  <c r="C1320" i="3"/>
  <c r="B1320" i="3"/>
  <c r="C1319" i="3"/>
  <c r="B1319" i="3"/>
  <c r="C1318" i="3"/>
  <c r="B1318" i="3"/>
  <c r="C1317" i="3"/>
  <c r="B1317" i="3"/>
  <c r="C1316" i="3"/>
  <c r="B1316" i="3"/>
  <c r="C1315" i="3"/>
  <c r="B1315" i="3"/>
  <c r="C1314" i="3"/>
  <c r="B1314" i="3"/>
  <c r="C1313" i="3"/>
  <c r="B1313" i="3"/>
  <c r="C1312" i="3"/>
  <c r="B1312" i="3"/>
  <c r="C1311" i="3"/>
  <c r="B1311" i="3"/>
  <c r="C1310" i="3"/>
  <c r="B1310" i="3"/>
  <c r="C1309" i="3"/>
  <c r="B1309" i="3"/>
  <c r="C1308" i="3"/>
  <c r="B1308" i="3"/>
  <c r="C1307" i="3"/>
  <c r="B1307" i="3"/>
  <c r="C1306" i="3"/>
  <c r="B1306" i="3"/>
  <c r="C1305" i="3"/>
  <c r="B1305" i="3"/>
  <c r="C1304" i="3"/>
  <c r="B1304" i="3"/>
  <c r="C1303" i="3"/>
  <c r="B1303" i="3"/>
  <c r="C1302" i="3"/>
  <c r="B1302" i="3"/>
  <c r="C1301" i="3"/>
  <c r="B1301" i="3"/>
  <c r="C1300" i="3"/>
  <c r="B1300" i="3"/>
  <c r="C1299" i="3"/>
  <c r="B1299" i="3"/>
  <c r="C1298" i="3"/>
  <c r="B1298" i="3"/>
  <c r="C1297" i="3"/>
  <c r="B1297" i="3"/>
  <c r="C1296" i="3"/>
  <c r="B1296" i="3"/>
  <c r="C1295" i="3"/>
  <c r="B1295" i="3"/>
  <c r="C1294" i="3"/>
  <c r="B1294" i="3"/>
  <c r="C1293" i="3"/>
  <c r="B1293" i="3"/>
  <c r="C1292" i="3"/>
  <c r="B1292" i="3"/>
  <c r="C1291" i="3"/>
  <c r="B1291" i="3"/>
  <c r="C1290" i="3"/>
  <c r="B1290" i="3"/>
  <c r="C1289" i="3"/>
  <c r="B1289" i="3"/>
  <c r="C1288" i="3"/>
  <c r="B1288" i="3"/>
  <c r="C1287" i="3"/>
  <c r="B1287" i="3"/>
  <c r="C1286" i="3"/>
  <c r="B1286" i="3"/>
  <c r="C1285" i="3"/>
  <c r="B1285" i="3"/>
  <c r="C1284" i="3"/>
  <c r="B1284" i="3"/>
  <c r="C1283" i="3"/>
  <c r="B1283" i="3"/>
  <c r="C1282" i="3"/>
  <c r="B1282" i="3"/>
  <c r="C1281" i="3"/>
  <c r="B1281" i="3"/>
  <c r="C1280" i="3"/>
  <c r="B1280" i="3"/>
  <c r="C1279" i="3"/>
  <c r="B1279" i="3"/>
  <c r="C1278" i="3"/>
  <c r="B1278" i="3"/>
  <c r="C1277" i="3"/>
  <c r="B1277" i="3"/>
  <c r="C1276" i="3"/>
  <c r="B1276" i="3"/>
  <c r="C1275" i="3"/>
  <c r="B1275" i="3"/>
  <c r="C1274" i="3"/>
  <c r="B1274" i="3"/>
  <c r="C1273" i="3"/>
  <c r="B1273" i="3"/>
  <c r="C1272" i="3"/>
  <c r="B1272" i="3"/>
  <c r="C1271" i="3"/>
  <c r="B1271" i="3"/>
  <c r="C1270" i="3"/>
  <c r="B1270" i="3"/>
  <c r="C1269" i="3"/>
  <c r="B1269" i="3"/>
  <c r="C1268" i="3"/>
  <c r="B1268" i="3"/>
  <c r="C1267" i="3"/>
  <c r="B1267" i="3"/>
  <c r="C1266" i="3"/>
  <c r="B1266" i="3"/>
  <c r="C1265" i="3"/>
  <c r="B1265" i="3"/>
  <c r="C1264" i="3"/>
  <c r="B1264" i="3"/>
  <c r="C1263" i="3"/>
  <c r="B1263" i="3"/>
  <c r="C1262" i="3"/>
  <c r="B1262" i="3"/>
  <c r="C1261" i="3"/>
  <c r="B1261" i="3"/>
  <c r="C1260" i="3"/>
  <c r="B1260" i="3"/>
  <c r="C1259" i="3"/>
  <c r="B1259" i="3"/>
  <c r="C1258" i="3"/>
  <c r="B1258" i="3"/>
  <c r="C1257" i="3"/>
  <c r="B1257" i="3"/>
  <c r="C1256" i="3"/>
  <c r="B1256" i="3"/>
  <c r="C1255" i="3"/>
  <c r="B1255" i="3"/>
  <c r="C1254" i="3"/>
  <c r="B1254" i="3"/>
  <c r="C1253" i="3"/>
  <c r="B1253" i="3"/>
  <c r="C1252" i="3"/>
  <c r="B1252" i="3"/>
  <c r="C1251" i="3"/>
  <c r="B1251" i="3"/>
  <c r="C1250" i="3"/>
  <c r="B1250" i="3"/>
  <c r="C1249" i="3"/>
  <c r="B1249" i="3"/>
  <c r="G1353" i="3"/>
  <c r="F1353" i="3"/>
  <c r="G1352" i="3"/>
  <c r="F1352" i="3"/>
  <c r="G1351" i="3"/>
  <c r="F1351" i="3"/>
  <c r="G1350" i="3"/>
  <c r="F1350" i="3"/>
  <c r="G1349" i="3"/>
  <c r="F1349" i="3"/>
  <c r="G1348" i="3"/>
  <c r="F1348" i="3"/>
  <c r="G1347" i="3"/>
  <c r="F1347" i="3"/>
  <c r="G1346" i="3"/>
  <c r="F1346" i="3"/>
  <c r="G1345" i="3"/>
  <c r="F1345" i="3"/>
  <c r="G1344" i="3"/>
  <c r="F1344" i="3"/>
  <c r="G1343" i="3"/>
  <c r="F1343" i="3"/>
  <c r="G1342" i="3"/>
  <c r="F1342" i="3"/>
  <c r="G1341" i="3"/>
  <c r="F1341" i="3"/>
  <c r="G1340" i="3"/>
  <c r="F1340" i="3"/>
  <c r="G1339" i="3"/>
  <c r="F1339" i="3"/>
  <c r="G1338" i="3"/>
  <c r="F1338" i="3"/>
  <c r="G1337" i="3"/>
  <c r="F1337" i="3"/>
  <c r="G1336" i="3"/>
  <c r="F1336" i="3"/>
  <c r="G1335" i="3"/>
  <c r="F1335" i="3"/>
  <c r="G1334" i="3"/>
  <c r="F1334" i="3"/>
  <c r="G1333" i="3"/>
  <c r="F1333" i="3"/>
  <c r="G1332" i="3"/>
  <c r="F1332" i="3"/>
  <c r="G1331" i="3"/>
  <c r="F1331" i="3"/>
  <c r="G1330" i="3"/>
  <c r="F1330" i="3"/>
  <c r="G1329" i="3"/>
  <c r="F1329" i="3"/>
  <c r="G1328" i="3"/>
  <c r="F1328" i="3"/>
  <c r="G1327" i="3"/>
  <c r="F1327" i="3"/>
  <c r="G1326" i="3"/>
  <c r="F1326" i="3"/>
  <c r="G1325" i="3"/>
  <c r="F1325" i="3"/>
  <c r="G1324" i="3"/>
  <c r="F1324" i="3"/>
  <c r="G1323" i="3"/>
  <c r="F1323" i="3"/>
  <c r="G1322" i="3"/>
  <c r="F1322" i="3"/>
  <c r="G1321" i="3"/>
  <c r="F1321" i="3"/>
  <c r="G1320" i="3"/>
  <c r="F1320" i="3"/>
  <c r="G1319" i="3"/>
  <c r="F1319" i="3"/>
  <c r="G1318" i="3"/>
  <c r="F1318" i="3"/>
  <c r="G1317" i="3"/>
  <c r="F1317" i="3"/>
  <c r="G1316" i="3"/>
  <c r="F1316" i="3"/>
  <c r="G1315" i="3"/>
  <c r="F1315" i="3"/>
  <c r="G1314" i="3"/>
  <c r="F1314" i="3"/>
  <c r="G1313" i="3"/>
  <c r="F1313" i="3"/>
  <c r="G1312" i="3"/>
  <c r="F1312" i="3"/>
  <c r="G1311" i="3"/>
  <c r="F1311" i="3"/>
  <c r="G1310" i="3"/>
  <c r="F1310" i="3"/>
  <c r="G1309" i="3"/>
  <c r="F1309" i="3"/>
  <c r="G1308" i="3"/>
  <c r="F1308" i="3"/>
  <c r="G1307" i="3"/>
  <c r="F1307" i="3"/>
  <c r="G1306" i="3"/>
  <c r="F1306" i="3"/>
  <c r="G1305" i="3"/>
  <c r="F1305" i="3"/>
  <c r="G1304" i="3"/>
  <c r="F1304" i="3"/>
  <c r="G1303" i="3"/>
  <c r="F1303" i="3"/>
  <c r="G1302" i="3"/>
  <c r="F1302" i="3"/>
  <c r="G1301" i="3"/>
  <c r="F1301" i="3"/>
  <c r="G1300" i="3"/>
  <c r="F1300" i="3"/>
  <c r="G1299" i="3"/>
  <c r="F1299" i="3"/>
  <c r="G1298" i="3"/>
  <c r="F1298" i="3"/>
  <c r="G1297" i="3"/>
  <c r="F1297" i="3"/>
  <c r="G1296" i="3"/>
  <c r="F1296" i="3"/>
  <c r="G1295" i="3"/>
  <c r="F1295" i="3"/>
  <c r="G1294" i="3"/>
  <c r="F1294" i="3"/>
  <c r="G1293" i="3"/>
  <c r="F1293" i="3"/>
  <c r="G1292" i="3"/>
  <c r="F1292" i="3"/>
  <c r="G1291" i="3"/>
  <c r="F1291" i="3"/>
  <c r="G1290" i="3"/>
  <c r="F1290" i="3"/>
  <c r="G1289" i="3"/>
  <c r="F1289" i="3"/>
  <c r="G1288" i="3"/>
  <c r="F1288" i="3"/>
  <c r="G1287" i="3"/>
  <c r="F1287" i="3"/>
  <c r="G1286" i="3"/>
  <c r="F1286" i="3"/>
  <c r="G1285" i="3"/>
  <c r="F1285" i="3"/>
  <c r="G1284" i="3"/>
  <c r="F1284" i="3"/>
  <c r="G1283" i="3"/>
  <c r="F1283" i="3"/>
  <c r="G1282" i="3"/>
  <c r="F1282" i="3"/>
  <c r="G1281" i="3"/>
  <c r="F1281" i="3"/>
  <c r="G1280" i="3"/>
  <c r="F1280" i="3"/>
  <c r="G1279" i="3"/>
  <c r="F1279" i="3"/>
  <c r="G1278" i="3"/>
  <c r="F1278" i="3"/>
  <c r="G1277" i="3"/>
  <c r="F1277" i="3"/>
  <c r="G1276" i="3"/>
  <c r="F1276" i="3"/>
  <c r="G1275" i="3"/>
  <c r="F1275" i="3"/>
  <c r="G1274" i="3"/>
  <c r="F1274" i="3"/>
  <c r="G1273" i="3"/>
  <c r="F1273" i="3"/>
  <c r="G1272" i="3"/>
  <c r="F1272" i="3"/>
  <c r="G1271" i="3"/>
  <c r="F1271" i="3"/>
  <c r="G1270" i="3"/>
  <c r="F1270" i="3"/>
  <c r="G1269" i="3"/>
  <c r="F1269" i="3"/>
  <c r="G1268" i="3"/>
  <c r="F1268" i="3"/>
  <c r="G1267" i="3"/>
  <c r="F1267" i="3"/>
  <c r="G1266" i="3"/>
  <c r="F1266" i="3"/>
  <c r="G1265" i="3"/>
  <c r="F1265" i="3"/>
  <c r="G1264" i="3"/>
  <c r="F1264" i="3"/>
  <c r="G1263" i="3"/>
  <c r="F1263" i="3"/>
  <c r="G1262" i="3"/>
  <c r="F1262" i="3"/>
  <c r="G1261" i="3"/>
  <c r="F1261" i="3"/>
  <c r="G1260" i="3"/>
  <c r="F1260" i="3"/>
  <c r="G1259" i="3"/>
  <c r="F1259" i="3"/>
  <c r="G1258" i="3"/>
  <c r="F1258" i="3"/>
  <c r="G1257" i="3"/>
  <c r="F1257" i="3"/>
  <c r="G1256" i="3"/>
  <c r="F1256" i="3"/>
  <c r="G1255" i="3"/>
  <c r="F1255" i="3"/>
  <c r="G1254" i="3"/>
  <c r="F1254" i="3"/>
  <c r="G1253" i="3"/>
  <c r="F1253" i="3"/>
  <c r="G1252" i="3"/>
  <c r="F1252" i="3"/>
  <c r="G1251" i="3"/>
  <c r="F1251" i="3"/>
  <c r="G1250" i="3"/>
  <c r="F1250" i="3"/>
  <c r="G1249" i="3"/>
  <c r="F1249" i="3"/>
  <c r="C1248" i="3"/>
  <c r="B1248" i="3"/>
  <c r="C1247" i="3"/>
  <c r="B1247" i="3"/>
  <c r="C1246" i="3"/>
  <c r="B1246" i="3"/>
  <c r="C1245" i="3"/>
  <c r="B1245" i="3"/>
  <c r="C1244" i="3"/>
  <c r="B1244" i="3"/>
  <c r="C1243" i="3"/>
  <c r="B1243" i="3"/>
  <c r="C1242" i="3"/>
  <c r="B1242" i="3"/>
  <c r="C1241" i="3"/>
  <c r="B1241" i="3"/>
  <c r="C1240" i="3"/>
  <c r="B1240" i="3"/>
  <c r="C1239" i="3"/>
  <c r="B1239" i="3"/>
  <c r="C1238" i="3"/>
  <c r="B1238" i="3"/>
  <c r="C1237" i="3"/>
  <c r="B1237" i="3"/>
  <c r="C1236" i="3"/>
  <c r="B1236" i="3"/>
  <c r="C1235" i="3"/>
  <c r="B1235" i="3"/>
  <c r="C1234" i="3"/>
  <c r="B1234" i="3"/>
  <c r="C1233" i="3"/>
  <c r="B1233" i="3"/>
  <c r="C1232" i="3"/>
  <c r="B1232" i="3"/>
  <c r="C1231" i="3"/>
  <c r="B1231" i="3"/>
  <c r="C1230" i="3"/>
  <c r="B1230" i="3"/>
  <c r="C1229" i="3"/>
  <c r="B1229" i="3"/>
  <c r="C1228" i="3"/>
  <c r="B1228" i="3"/>
  <c r="C1227" i="3"/>
  <c r="B1227" i="3"/>
  <c r="C1226" i="3"/>
  <c r="B1226" i="3"/>
  <c r="C1225" i="3"/>
  <c r="B1225" i="3"/>
  <c r="C1224" i="3"/>
  <c r="B1224" i="3"/>
  <c r="C1223" i="3"/>
  <c r="B1223" i="3"/>
  <c r="C1222" i="3"/>
  <c r="B1222" i="3"/>
  <c r="C1221" i="3"/>
  <c r="B1221" i="3"/>
  <c r="C1220" i="3"/>
  <c r="B1220" i="3"/>
  <c r="C1219" i="3"/>
  <c r="B1219" i="3"/>
  <c r="C1218" i="3"/>
  <c r="B1218" i="3"/>
  <c r="C1217" i="3"/>
  <c r="B1217" i="3"/>
  <c r="C1216" i="3"/>
  <c r="B1216" i="3"/>
  <c r="C1215" i="3"/>
  <c r="B1215" i="3"/>
  <c r="C1214" i="3"/>
  <c r="B1214" i="3"/>
  <c r="C1213" i="3"/>
  <c r="B1213" i="3"/>
  <c r="C1212" i="3"/>
  <c r="B1212" i="3"/>
  <c r="C1211" i="3"/>
  <c r="B1211" i="3"/>
  <c r="C1210" i="3"/>
  <c r="B1210" i="3"/>
  <c r="C1209" i="3"/>
  <c r="B1209" i="3"/>
  <c r="C1208" i="3"/>
  <c r="B1208" i="3"/>
  <c r="C1207" i="3"/>
  <c r="B1207" i="3"/>
  <c r="C1206" i="3"/>
  <c r="B1206" i="3"/>
  <c r="C1205" i="3"/>
  <c r="B1205" i="3"/>
  <c r="C1204" i="3"/>
  <c r="B1204" i="3"/>
  <c r="C1203" i="3"/>
  <c r="B1203" i="3"/>
  <c r="C1202" i="3"/>
  <c r="B1202" i="3"/>
  <c r="C1201" i="3"/>
  <c r="B1201" i="3"/>
  <c r="C1200" i="3"/>
  <c r="B1200" i="3"/>
  <c r="C1199" i="3"/>
  <c r="B1199" i="3"/>
  <c r="C1198" i="3"/>
  <c r="B1198" i="3"/>
  <c r="C1197" i="3"/>
  <c r="B1197" i="3"/>
  <c r="C1196" i="3"/>
  <c r="B1196" i="3"/>
  <c r="C1195" i="3"/>
  <c r="B1195" i="3"/>
  <c r="C1194" i="3"/>
  <c r="B1194" i="3"/>
  <c r="C1193" i="3"/>
  <c r="B1193" i="3"/>
  <c r="C1192" i="3"/>
  <c r="B1192" i="3"/>
  <c r="C1191" i="3"/>
  <c r="B1191" i="3"/>
  <c r="C1190" i="3"/>
  <c r="B1190" i="3"/>
  <c r="C1189" i="3"/>
  <c r="B1189" i="3"/>
  <c r="C1188" i="3"/>
  <c r="B1188" i="3"/>
  <c r="C1187" i="3"/>
  <c r="B1187" i="3"/>
  <c r="C1186" i="3"/>
  <c r="B1186" i="3"/>
  <c r="C1185" i="3"/>
  <c r="B1185" i="3"/>
  <c r="C1184" i="3"/>
  <c r="B1184" i="3"/>
  <c r="C1183" i="3"/>
  <c r="B1183" i="3"/>
  <c r="C1182" i="3"/>
  <c r="B1182" i="3"/>
  <c r="C1181" i="3"/>
  <c r="B1181" i="3"/>
  <c r="C1180" i="3"/>
  <c r="B1180" i="3"/>
  <c r="C1179" i="3"/>
  <c r="B1179" i="3"/>
  <c r="C1178" i="3"/>
  <c r="B1178" i="3"/>
  <c r="C1177" i="3"/>
  <c r="B1177" i="3"/>
  <c r="C1176" i="3"/>
  <c r="B1176" i="3"/>
  <c r="C1175" i="3"/>
  <c r="B1175" i="3"/>
  <c r="C1174" i="3"/>
  <c r="B1174" i="3"/>
  <c r="C1173" i="3"/>
  <c r="B1173" i="3"/>
  <c r="C1172" i="3"/>
  <c r="B1172" i="3"/>
  <c r="C1171" i="3"/>
  <c r="B1171" i="3"/>
  <c r="C1170" i="3"/>
  <c r="B1170" i="3"/>
  <c r="C1169" i="3"/>
  <c r="B1169" i="3"/>
  <c r="C1168" i="3"/>
  <c r="B1168" i="3"/>
  <c r="C1167" i="3"/>
  <c r="B1167" i="3"/>
  <c r="C1166" i="3"/>
  <c r="B1166" i="3"/>
  <c r="C1165" i="3"/>
  <c r="B1165" i="3"/>
  <c r="C1164" i="3"/>
  <c r="B1164" i="3"/>
  <c r="C1163" i="3"/>
  <c r="B1163" i="3"/>
  <c r="C1162" i="3"/>
  <c r="B1162" i="3"/>
  <c r="C1161" i="3"/>
  <c r="B1161" i="3"/>
  <c r="C1160" i="3"/>
  <c r="B1160" i="3"/>
  <c r="C1159" i="3"/>
  <c r="B1159" i="3"/>
  <c r="C1158" i="3"/>
  <c r="B1158" i="3"/>
  <c r="C1157" i="3"/>
  <c r="B1157" i="3"/>
  <c r="C1156" i="3"/>
  <c r="B1156" i="3"/>
  <c r="C1155" i="3"/>
  <c r="B1155" i="3"/>
  <c r="C1154" i="3"/>
  <c r="B1154" i="3"/>
  <c r="C1153" i="3"/>
  <c r="B1153" i="3"/>
  <c r="C1152" i="3"/>
  <c r="B1152" i="3"/>
  <c r="C1151" i="3"/>
  <c r="B1151" i="3"/>
  <c r="C1150" i="3"/>
  <c r="B1150" i="3"/>
  <c r="C1149" i="3"/>
  <c r="B1149" i="3"/>
  <c r="C1148" i="3"/>
  <c r="B1148" i="3"/>
  <c r="C1147" i="3"/>
  <c r="B1147" i="3"/>
  <c r="C1146" i="3"/>
  <c r="B1146" i="3"/>
  <c r="C1145" i="3"/>
  <c r="B1145" i="3"/>
  <c r="C1144" i="3"/>
  <c r="B1144" i="3"/>
  <c r="G1248" i="3"/>
  <c r="F1248" i="3"/>
  <c r="G1247" i="3"/>
  <c r="F1247" i="3"/>
  <c r="G1246" i="3"/>
  <c r="F1246" i="3"/>
  <c r="G1245" i="3"/>
  <c r="F1245" i="3"/>
  <c r="G1244" i="3"/>
  <c r="F1244" i="3"/>
  <c r="G1243" i="3"/>
  <c r="F1243" i="3"/>
  <c r="G1242" i="3"/>
  <c r="F1242" i="3"/>
  <c r="G1241" i="3"/>
  <c r="F1241" i="3"/>
  <c r="G1240" i="3"/>
  <c r="F1240" i="3"/>
  <c r="G1239" i="3"/>
  <c r="F1239" i="3"/>
  <c r="G1238" i="3"/>
  <c r="F1238" i="3"/>
  <c r="G1237" i="3"/>
  <c r="F1237" i="3"/>
  <c r="G1236" i="3"/>
  <c r="F1236" i="3"/>
  <c r="G1235" i="3"/>
  <c r="F1235" i="3"/>
  <c r="G1234" i="3"/>
  <c r="F1234" i="3"/>
  <c r="G1233" i="3"/>
  <c r="F1233" i="3"/>
  <c r="G1232" i="3"/>
  <c r="F1232" i="3"/>
  <c r="G1231" i="3"/>
  <c r="F1231" i="3"/>
  <c r="G1230" i="3"/>
  <c r="F1230" i="3"/>
  <c r="G1229" i="3"/>
  <c r="F1229" i="3"/>
  <c r="G1228" i="3"/>
  <c r="F1228" i="3"/>
  <c r="G1227" i="3"/>
  <c r="F1227" i="3"/>
  <c r="G1226" i="3"/>
  <c r="F1226" i="3"/>
  <c r="G1225" i="3"/>
  <c r="F1225" i="3"/>
  <c r="G1224" i="3"/>
  <c r="F1224" i="3"/>
  <c r="G1223" i="3"/>
  <c r="F1223" i="3"/>
  <c r="G1222" i="3"/>
  <c r="F1222" i="3"/>
  <c r="G1221" i="3"/>
  <c r="F1221" i="3"/>
  <c r="G1220" i="3"/>
  <c r="F1220" i="3"/>
  <c r="G1219" i="3"/>
  <c r="F1219" i="3"/>
  <c r="G1218" i="3"/>
  <c r="F1218" i="3"/>
  <c r="G1217" i="3"/>
  <c r="F1217" i="3"/>
  <c r="G1216" i="3"/>
  <c r="F1216" i="3"/>
  <c r="G1215" i="3"/>
  <c r="F1215" i="3"/>
  <c r="G1214" i="3"/>
  <c r="F1214" i="3"/>
  <c r="G1213" i="3"/>
  <c r="F1213" i="3"/>
  <c r="G1212" i="3"/>
  <c r="F1212" i="3"/>
  <c r="G1211" i="3"/>
  <c r="F1211" i="3"/>
  <c r="G1210" i="3"/>
  <c r="F1210" i="3"/>
  <c r="G1209" i="3"/>
  <c r="F1209" i="3"/>
  <c r="G1208" i="3"/>
  <c r="F1208" i="3"/>
  <c r="G1207" i="3"/>
  <c r="F1207" i="3"/>
  <c r="G1206" i="3"/>
  <c r="F1206" i="3"/>
  <c r="G1205" i="3"/>
  <c r="F1205" i="3"/>
  <c r="G1204" i="3"/>
  <c r="F1204" i="3"/>
  <c r="G1203" i="3"/>
  <c r="F1203" i="3"/>
  <c r="G1202" i="3"/>
  <c r="F1202" i="3"/>
  <c r="G1201" i="3"/>
  <c r="F1201" i="3"/>
  <c r="G1200" i="3"/>
  <c r="F1200" i="3"/>
  <c r="G1199" i="3"/>
  <c r="F1199" i="3"/>
  <c r="G1198" i="3"/>
  <c r="F1198" i="3"/>
  <c r="G1197" i="3"/>
  <c r="F1197" i="3"/>
  <c r="G1196" i="3"/>
  <c r="F1196" i="3"/>
  <c r="G1195" i="3"/>
  <c r="F1195" i="3"/>
  <c r="G1194" i="3"/>
  <c r="F1194" i="3"/>
  <c r="G1193" i="3"/>
  <c r="F1193" i="3"/>
  <c r="G1192" i="3"/>
  <c r="F1192" i="3"/>
  <c r="G1191" i="3"/>
  <c r="F1191" i="3"/>
  <c r="G1190" i="3"/>
  <c r="F1190" i="3"/>
  <c r="G1189" i="3"/>
  <c r="F1189" i="3"/>
  <c r="G1188" i="3"/>
  <c r="F1188" i="3"/>
  <c r="G1187" i="3"/>
  <c r="F1187" i="3"/>
  <c r="G1186" i="3"/>
  <c r="F1186" i="3"/>
  <c r="G1185" i="3"/>
  <c r="F1185" i="3"/>
  <c r="G1184" i="3"/>
  <c r="F1184" i="3"/>
  <c r="G1183" i="3"/>
  <c r="F1183" i="3"/>
  <c r="G1182" i="3"/>
  <c r="F1182" i="3"/>
  <c r="G1181" i="3"/>
  <c r="F1181" i="3"/>
  <c r="G1180" i="3"/>
  <c r="F1180" i="3"/>
  <c r="G1179" i="3"/>
  <c r="F1179" i="3"/>
  <c r="G1178" i="3"/>
  <c r="F1178" i="3"/>
  <c r="G1177" i="3"/>
  <c r="F1177" i="3"/>
  <c r="G1176" i="3"/>
  <c r="F1176" i="3"/>
  <c r="G1175" i="3"/>
  <c r="F1175" i="3"/>
  <c r="G1174" i="3"/>
  <c r="F1174" i="3"/>
  <c r="G1173" i="3"/>
  <c r="F1173" i="3"/>
  <c r="G1172" i="3"/>
  <c r="F1172" i="3"/>
  <c r="G1171" i="3"/>
  <c r="F1171" i="3"/>
  <c r="G1170" i="3"/>
  <c r="F1170" i="3"/>
  <c r="G1169" i="3"/>
  <c r="F1169" i="3"/>
  <c r="G1168" i="3"/>
  <c r="F1168" i="3"/>
  <c r="G1167" i="3"/>
  <c r="F1167" i="3"/>
  <c r="G1166" i="3"/>
  <c r="F1166" i="3"/>
  <c r="G1165" i="3"/>
  <c r="F1165" i="3"/>
  <c r="G1164" i="3"/>
  <c r="F1164" i="3"/>
  <c r="G1163" i="3"/>
  <c r="F1163" i="3"/>
  <c r="G1162" i="3"/>
  <c r="F1162" i="3"/>
  <c r="G1161" i="3"/>
  <c r="F1161" i="3"/>
  <c r="G1160" i="3"/>
  <c r="F1160" i="3"/>
  <c r="G1159" i="3"/>
  <c r="F1159" i="3"/>
  <c r="G1158" i="3"/>
  <c r="F1158" i="3"/>
  <c r="G1157" i="3"/>
  <c r="F1157" i="3"/>
  <c r="G1156" i="3"/>
  <c r="F1156" i="3"/>
  <c r="G1155" i="3"/>
  <c r="F1155" i="3"/>
  <c r="G1154" i="3"/>
  <c r="F1154" i="3"/>
  <c r="G1153" i="3"/>
  <c r="F1153" i="3"/>
  <c r="G1152" i="3"/>
  <c r="F1152" i="3"/>
  <c r="G1151" i="3"/>
  <c r="F1151" i="3"/>
  <c r="G1150" i="3"/>
  <c r="F1150" i="3"/>
  <c r="G1149" i="3"/>
  <c r="F1149" i="3"/>
  <c r="G1148" i="3"/>
  <c r="F1148" i="3"/>
  <c r="G1147" i="3"/>
  <c r="F1147" i="3"/>
  <c r="G1146" i="3"/>
  <c r="F1146" i="3"/>
  <c r="G1145" i="3"/>
  <c r="F1145" i="3"/>
  <c r="G1144" i="3"/>
  <c r="F1144" i="3"/>
  <c r="C1143" i="3"/>
  <c r="B1143" i="3"/>
  <c r="C1142" i="3"/>
  <c r="B1142" i="3"/>
  <c r="C1141" i="3"/>
  <c r="B1141" i="3"/>
  <c r="C1140" i="3"/>
  <c r="B1140" i="3"/>
  <c r="C1139" i="3"/>
  <c r="B1139" i="3"/>
  <c r="C1138" i="3"/>
  <c r="B1138" i="3"/>
  <c r="C1137" i="3"/>
  <c r="B1137" i="3"/>
  <c r="C1136" i="3"/>
  <c r="B1136" i="3"/>
  <c r="C1135" i="3"/>
  <c r="B1135" i="3"/>
  <c r="C1134" i="3"/>
  <c r="B1134" i="3"/>
  <c r="C1133" i="3"/>
  <c r="B1133" i="3"/>
  <c r="C1132" i="3"/>
  <c r="B1132" i="3"/>
  <c r="C1131" i="3"/>
  <c r="B1131" i="3"/>
  <c r="C1130" i="3"/>
  <c r="B1130" i="3"/>
  <c r="C1129" i="3"/>
  <c r="B1129" i="3"/>
  <c r="C1128" i="3"/>
  <c r="B1128" i="3"/>
  <c r="C1127" i="3"/>
  <c r="B1127" i="3"/>
  <c r="C1126" i="3"/>
  <c r="B1126" i="3"/>
  <c r="C1125" i="3"/>
  <c r="B1125" i="3"/>
  <c r="C1124" i="3"/>
  <c r="B1124" i="3"/>
  <c r="C1123" i="3"/>
  <c r="B1123" i="3"/>
  <c r="C1122" i="3"/>
  <c r="B1122" i="3"/>
  <c r="C1121" i="3"/>
  <c r="B1121" i="3"/>
  <c r="C1120" i="3"/>
  <c r="B1120" i="3"/>
  <c r="C1119" i="3"/>
  <c r="B1119" i="3"/>
  <c r="C1118" i="3"/>
  <c r="B1118" i="3"/>
  <c r="C1117" i="3"/>
  <c r="B1117" i="3"/>
  <c r="C1116" i="3"/>
  <c r="B1116" i="3"/>
  <c r="C1115" i="3"/>
  <c r="B1115" i="3"/>
  <c r="C1114" i="3"/>
  <c r="B1114" i="3"/>
  <c r="C1113" i="3"/>
  <c r="B1113" i="3"/>
  <c r="C1112" i="3"/>
  <c r="B1112" i="3"/>
  <c r="C1111" i="3"/>
  <c r="B1111" i="3"/>
  <c r="C1110" i="3"/>
  <c r="B1110" i="3"/>
  <c r="C1109" i="3"/>
  <c r="B1109" i="3"/>
  <c r="C1108" i="3"/>
  <c r="B1108" i="3"/>
  <c r="C1107" i="3"/>
  <c r="B1107" i="3"/>
  <c r="C1106" i="3"/>
  <c r="B1106" i="3"/>
  <c r="C1105" i="3"/>
  <c r="B1105" i="3"/>
  <c r="C1104" i="3"/>
  <c r="B1104" i="3"/>
  <c r="C1103" i="3"/>
  <c r="B1103" i="3"/>
  <c r="C1102" i="3"/>
  <c r="B1102" i="3"/>
  <c r="C1101" i="3"/>
  <c r="B1101" i="3"/>
  <c r="C1100" i="3"/>
  <c r="B1100" i="3"/>
  <c r="C1099" i="3"/>
  <c r="B1099" i="3"/>
  <c r="C1098" i="3"/>
  <c r="B1098" i="3"/>
  <c r="C1097" i="3"/>
  <c r="B1097" i="3"/>
  <c r="C1096" i="3"/>
  <c r="B1096" i="3"/>
  <c r="C1095" i="3"/>
  <c r="B1095" i="3"/>
  <c r="C1094" i="3"/>
  <c r="B1094" i="3"/>
  <c r="C1093" i="3"/>
  <c r="B1093" i="3"/>
  <c r="C1092" i="3"/>
  <c r="B1092" i="3"/>
  <c r="C1091" i="3"/>
  <c r="B1091" i="3"/>
  <c r="C1090" i="3"/>
  <c r="B1090" i="3"/>
  <c r="C1089" i="3"/>
  <c r="B1089" i="3"/>
  <c r="C1088" i="3"/>
  <c r="B1088" i="3"/>
  <c r="C1087" i="3"/>
  <c r="B1087" i="3"/>
  <c r="C1086" i="3"/>
  <c r="B1086" i="3"/>
  <c r="C1085" i="3"/>
  <c r="B1085" i="3"/>
  <c r="C1084" i="3"/>
  <c r="B1084" i="3"/>
  <c r="C1083" i="3"/>
  <c r="B1083" i="3"/>
  <c r="C1082" i="3"/>
  <c r="B1082" i="3"/>
  <c r="C1081" i="3"/>
  <c r="B1081" i="3"/>
  <c r="C1080" i="3"/>
  <c r="B1080" i="3"/>
  <c r="C1079" i="3"/>
  <c r="B1079" i="3"/>
  <c r="C1078" i="3"/>
  <c r="B1078" i="3"/>
  <c r="C1077" i="3"/>
  <c r="B1077" i="3"/>
  <c r="C1076" i="3"/>
  <c r="B1076" i="3"/>
  <c r="C1075" i="3"/>
  <c r="B1075" i="3"/>
  <c r="C1074" i="3"/>
  <c r="B1074" i="3"/>
  <c r="C1073" i="3"/>
  <c r="B1073" i="3"/>
  <c r="C1072" i="3"/>
  <c r="B1072" i="3"/>
  <c r="C1071" i="3"/>
  <c r="B1071" i="3"/>
  <c r="C1070" i="3"/>
  <c r="B1070" i="3"/>
  <c r="C1069" i="3"/>
  <c r="B1069" i="3"/>
  <c r="C1068" i="3"/>
  <c r="B1068" i="3"/>
  <c r="C1067" i="3"/>
  <c r="B1067" i="3"/>
  <c r="C1066" i="3"/>
  <c r="B1066" i="3"/>
  <c r="C1065" i="3"/>
  <c r="B1065" i="3"/>
  <c r="C1064" i="3"/>
  <c r="B1064" i="3"/>
  <c r="C1063" i="3"/>
  <c r="B1063" i="3"/>
  <c r="C1062" i="3"/>
  <c r="B1062" i="3"/>
  <c r="C1061" i="3"/>
  <c r="B1061" i="3"/>
  <c r="C1060" i="3"/>
  <c r="B1060" i="3"/>
  <c r="C1059" i="3"/>
  <c r="B1059" i="3"/>
  <c r="C1058" i="3"/>
  <c r="B1058" i="3"/>
  <c r="C1057" i="3"/>
  <c r="B1057" i="3"/>
  <c r="C1056" i="3"/>
  <c r="B1056" i="3"/>
  <c r="C1055" i="3"/>
  <c r="B1055" i="3"/>
  <c r="C1054" i="3"/>
  <c r="B1054" i="3"/>
  <c r="C1053" i="3"/>
  <c r="B1053" i="3"/>
  <c r="C1052" i="3"/>
  <c r="B1052" i="3"/>
  <c r="C1051" i="3"/>
  <c r="B1051" i="3"/>
  <c r="C1050" i="3"/>
  <c r="B1050" i="3"/>
  <c r="C1049" i="3"/>
  <c r="B1049" i="3"/>
  <c r="C1048" i="3"/>
  <c r="B1048" i="3"/>
  <c r="C1047" i="3"/>
  <c r="B1047" i="3"/>
  <c r="C1046" i="3"/>
  <c r="B1046" i="3"/>
  <c r="C1045" i="3"/>
  <c r="B1045" i="3"/>
  <c r="C1044" i="3"/>
  <c r="B1044" i="3"/>
  <c r="C1043" i="3"/>
  <c r="B1043" i="3"/>
  <c r="C1042" i="3"/>
  <c r="B1042" i="3"/>
  <c r="C1041" i="3"/>
  <c r="B1041" i="3"/>
  <c r="C1040" i="3"/>
  <c r="B1040" i="3"/>
  <c r="C1039" i="3"/>
  <c r="B1039" i="3"/>
  <c r="G1143" i="3"/>
  <c r="F1143" i="3"/>
  <c r="G1142" i="3"/>
  <c r="F1142" i="3"/>
  <c r="G1141" i="3"/>
  <c r="F1141" i="3"/>
  <c r="G1140" i="3"/>
  <c r="F1140" i="3"/>
  <c r="G1139" i="3"/>
  <c r="F1139" i="3"/>
  <c r="G1138" i="3"/>
  <c r="F1138" i="3"/>
  <c r="G1137" i="3"/>
  <c r="F1137" i="3"/>
  <c r="G1136" i="3"/>
  <c r="F1136" i="3"/>
  <c r="G1135" i="3"/>
  <c r="F1135" i="3"/>
  <c r="G1134" i="3"/>
  <c r="F1134" i="3"/>
  <c r="G1133" i="3"/>
  <c r="F1133" i="3"/>
  <c r="G1132" i="3"/>
  <c r="F1132" i="3"/>
  <c r="G1131" i="3"/>
  <c r="F1131" i="3"/>
  <c r="G1130" i="3"/>
  <c r="F1130" i="3"/>
  <c r="G1129" i="3"/>
  <c r="F1129" i="3"/>
  <c r="G1128" i="3"/>
  <c r="F1128" i="3"/>
  <c r="G1127" i="3"/>
  <c r="F1127" i="3"/>
  <c r="G1126" i="3"/>
  <c r="F1126" i="3"/>
  <c r="G1125" i="3"/>
  <c r="F1125" i="3"/>
  <c r="G1124" i="3"/>
  <c r="F1124" i="3"/>
  <c r="G1123" i="3"/>
  <c r="F1123" i="3"/>
  <c r="G1122" i="3"/>
  <c r="F1122" i="3"/>
  <c r="G1121" i="3"/>
  <c r="F1121" i="3"/>
  <c r="G1120" i="3"/>
  <c r="F1120" i="3"/>
  <c r="G1119" i="3"/>
  <c r="F1119" i="3"/>
  <c r="G1118" i="3"/>
  <c r="F1118" i="3"/>
  <c r="G1117" i="3"/>
  <c r="F1117" i="3"/>
  <c r="G1116" i="3"/>
  <c r="F1116" i="3"/>
  <c r="G1115" i="3"/>
  <c r="F1115" i="3"/>
  <c r="G1114" i="3"/>
  <c r="F1114" i="3"/>
  <c r="G1113" i="3"/>
  <c r="F1113" i="3"/>
  <c r="G1112" i="3"/>
  <c r="F1112" i="3"/>
  <c r="G1111" i="3"/>
  <c r="F1111" i="3"/>
  <c r="G1110" i="3"/>
  <c r="F1110" i="3"/>
  <c r="G1109" i="3"/>
  <c r="F1109" i="3"/>
  <c r="G1108" i="3"/>
  <c r="F1108" i="3"/>
  <c r="G1107" i="3"/>
  <c r="F1107" i="3"/>
  <c r="G1106" i="3"/>
  <c r="F1106" i="3"/>
  <c r="G1105" i="3"/>
  <c r="F1105" i="3"/>
  <c r="G1104" i="3"/>
  <c r="F1104" i="3"/>
  <c r="G1103" i="3"/>
  <c r="F1103" i="3"/>
  <c r="G1102" i="3"/>
  <c r="F1102" i="3"/>
  <c r="G1101" i="3"/>
  <c r="F1101" i="3"/>
  <c r="G1100" i="3"/>
  <c r="F1100" i="3"/>
  <c r="G1099" i="3"/>
  <c r="F1099" i="3"/>
  <c r="G1098" i="3"/>
  <c r="F1098" i="3"/>
  <c r="G1097" i="3"/>
  <c r="F1097" i="3"/>
  <c r="G1096" i="3"/>
  <c r="F1096" i="3"/>
  <c r="G1095" i="3"/>
  <c r="F1095" i="3"/>
  <c r="G1094" i="3"/>
  <c r="F1094" i="3"/>
  <c r="G1093" i="3"/>
  <c r="F1093" i="3"/>
  <c r="G1092" i="3"/>
  <c r="F1092" i="3"/>
  <c r="G1091" i="3"/>
  <c r="F1091" i="3"/>
  <c r="G1090" i="3"/>
  <c r="F1090" i="3"/>
  <c r="G1089" i="3"/>
  <c r="F1089" i="3"/>
  <c r="G1088" i="3"/>
  <c r="F1088" i="3"/>
  <c r="G1087" i="3"/>
  <c r="F1087" i="3"/>
  <c r="G1086" i="3"/>
  <c r="F1086" i="3"/>
  <c r="G1085" i="3"/>
  <c r="F1085" i="3"/>
  <c r="G1084" i="3"/>
  <c r="F1084" i="3"/>
  <c r="G1083" i="3"/>
  <c r="F1083" i="3"/>
  <c r="G1082" i="3"/>
  <c r="F1082" i="3"/>
  <c r="G1081" i="3"/>
  <c r="F1081" i="3"/>
  <c r="G1080" i="3"/>
  <c r="F1080" i="3"/>
  <c r="G1079" i="3"/>
  <c r="F1079" i="3"/>
  <c r="G1078" i="3"/>
  <c r="F1078" i="3"/>
  <c r="G1077" i="3"/>
  <c r="F1077" i="3"/>
  <c r="G1076" i="3"/>
  <c r="F1076" i="3"/>
  <c r="G1075" i="3"/>
  <c r="F1075" i="3"/>
  <c r="G1074" i="3"/>
  <c r="F1074" i="3"/>
  <c r="G1073" i="3"/>
  <c r="F1073" i="3"/>
  <c r="G1072" i="3"/>
  <c r="F1072" i="3"/>
  <c r="G1071" i="3"/>
  <c r="F1071" i="3"/>
  <c r="G1070" i="3"/>
  <c r="F1070" i="3"/>
  <c r="G1069" i="3"/>
  <c r="F1069" i="3"/>
  <c r="G1068" i="3"/>
  <c r="F1068" i="3"/>
  <c r="G1067" i="3"/>
  <c r="F1067" i="3"/>
  <c r="G1066" i="3"/>
  <c r="F1066" i="3"/>
  <c r="G1065" i="3"/>
  <c r="F1065" i="3"/>
  <c r="G1064" i="3"/>
  <c r="F1064" i="3"/>
  <c r="G1063" i="3"/>
  <c r="F1063" i="3"/>
  <c r="G1062" i="3"/>
  <c r="F1062" i="3"/>
  <c r="G1061" i="3"/>
  <c r="F1061" i="3"/>
  <c r="G1060" i="3"/>
  <c r="F1060" i="3"/>
  <c r="G1059" i="3"/>
  <c r="F1059" i="3"/>
  <c r="G1058" i="3"/>
  <c r="F1058" i="3"/>
  <c r="G1057" i="3"/>
  <c r="F1057" i="3"/>
  <c r="G1056" i="3"/>
  <c r="F1056" i="3"/>
  <c r="G1055" i="3"/>
  <c r="F1055" i="3"/>
  <c r="G1054" i="3"/>
  <c r="F1054" i="3"/>
  <c r="G1053" i="3"/>
  <c r="F1053" i="3"/>
  <c r="G1052" i="3"/>
  <c r="F1052" i="3"/>
  <c r="G1051" i="3"/>
  <c r="F1051" i="3"/>
  <c r="G1050" i="3"/>
  <c r="F1050" i="3"/>
  <c r="G1049" i="3"/>
  <c r="F1049" i="3"/>
  <c r="G1048" i="3"/>
  <c r="F1048" i="3"/>
  <c r="G1047" i="3"/>
  <c r="F1047" i="3"/>
  <c r="G1046" i="3"/>
  <c r="F1046" i="3"/>
  <c r="G1045" i="3"/>
  <c r="F1045" i="3"/>
  <c r="G1044" i="3"/>
  <c r="F1044" i="3"/>
  <c r="G1043" i="3"/>
  <c r="F1043" i="3"/>
  <c r="G1042" i="3"/>
  <c r="F1042" i="3"/>
  <c r="G1041" i="3"/>
  <c r="F1041" i="3"/>
  <c r="G1040" i="3"/>
  <c r="F1040" i="3"/>
  <c r="G1039" i="3"/>
  <c r="F1039" i="3"/>
  <c r="C1038" i="3"/>
  <c r="B1038" i="3"/>
  <c r="C1037" i="3"/>
  <c r="B1037" i="3"/>
  <c r="C1036" i="3"/>
  <c r="B1036" i="3"/>
  <c r="C1035" i="3"/>
  <c r="B1035" i="3"/>
  <c r="C1034" i="3"/>
  <c r="B1034" i="3"/>
  <c r="C1033" i="3"/>
  <c r="B1033" i="3"/>
  <c r="C1032" i="3"/>
  <c r="B1032" i="3"/>
  <c r="C1031" i="3"/>
  <c r="B1031" i="3"/>
  <c r="C1030" i="3"/>
  <c r="B1030" i="3"/>
  <c r="C1029" i="3"/>
  <c r="B1029" i="3"/>
  <c r="C1028" i="3"/>
  <c r="B1028" i="3"/>
  <c r="C1027" i="3"/>
  <c r="B1027" i="3"/>
  <c r="C1026" i="3"/>
  <c r="B1026" i="3"/>
  <c r="C1025" i="3"/>
  <c r="B1025" i="3"/>
  <c r="C1024" i="3"/>
  <c r="B1024" i="3"/>
  <c r="C1023" i="3"/>
  <c r="B1023" i="3"/>
  <c r="C1022" i="3"/>
  <c r="B1022" i="3"/>
  <c r="C1021" i="3"/>
  <c r="B1021" i="3"/>
  <c r="C1020" i="3"/>
  <c r="B1020" i="3"/>
  <c r="C1019" i="3"/>
  <c r="B1019" i="3"/>
  <c r="C1018" i="3"/>
  <c r="B1018" i="3"/>
  <c r="C1017" i="3"/>
  <c r="B1017" i="3"/>
  <c r="C1016" i="3"/>
  <c r="B1016" i="3"/>
  <c r="C1015" i="3"/>
  <c r="B1015" i="3"/>
  <c r="C1014" i="3"/>
  <c r="B1014" i="3"/>
  <c r="C1013" i="3"/>
  <c r="B1013" i="3"/>
  <c r="C1012" i="3"/>
  <c r="B1012" i="3"/>
  <c r="C1011" i="3"/>
  <c r="B1011" i="3"/>
  <c r="C1010" i="3"/>
  <c r="B1010" i="3"/>
  <c r="C1009" i="3"/>
  <c r="B1009" i="3"/>
  <c r="C1008" i="3"/>
  <c r="B1008" i="3"/>
  <c r="C1007" i="3"/>
  <c r="B1007" i="3"/>
  <c r="C1006" i="3"/>
  <c r="B1006" i="3"/>
  <c r="C1005" i="3"/>
  <c r="B1005" i="3"/>
  <c r="C1004" i="3"/>
  <c r="B1004" i="3"/>
  <c r="C1003" i="3"/>
  <c r="B1003" i="3"/>
  <c r="C1002" i="3"/>
  <c r="B1002" i="3"/>
  <c r="C1001" i="3"/>
  <c r="B1001" i="3"/>
  <c r="C1000" i="3"/>
  <c r="B1000" i="3"/>
  <c r="C999" i="3"/>
  <c r="B999" i="3"/>
  <c r="C998" i="3"/>
  <c r="B998" i="3"/>
  <c r="C997" i="3"/>
  <c r="B997" i="3"/>
  <c r="C996" i="3"/>
  <c r="B996" i="3"/>
  <c r="C995" i="3"/>
  <c r="B995" i="3"/>
  <c r="C994" i="3"/>
  <c r="B994" i="3"/>
  <c r="C993" i="3"/>
  <c r="B993" i="3"/>
  <c r="C992" i="3"/>
  <c r="B992" i="3"/>
  <c r="C991" i="3"/>
  <c r="B991" i="3"/>
  <c r="C990" i="3"/>
  <c r="B990" i="3"/>
  <c r="C989" i="3"/>
  <c r="B989" i="3"/>
  <c r="C988" i="3"/>
  <c r="B988" i="3"/>
  <c r="C987" i="3"/>
  <c r="B987" i="3"/>
  <c r="C986" i="3"/>
  <c r="B986" i="3"/>
  <c r="C985" i="3"/>
  <c r="B985" i="3"/>
  <c r="C984" i="3"/>
  <c r="B984" i="3"/>
  <c r="C983" i="3"/>
  <c r="B983" i="3"/>
  <c r="C982" i="3"/>
  <c r="B982" i="3"/>
  <c r="C981" i="3"/>
  <c r="B981" i="3"/>
  <c r="C980" i="3"/>
  <c r="B980" i="3"/>
  <c r="C979" i="3"/>
  <c r="B979" i="3"/>
  <c r="C978" i="3"/>
  <c r="B978" i="3"/>
  <c r="C977" i="3"/>
  <c r="B977" i="3"/>
  <c r="C976" i="3"/>
  <c r="B976" i="3"/>
  <c r="C975" i="3"/>
  <c r="B975" i="3"/>
  <c r="C974" i="3"/>
  <c r="B974" i="3"/>
  <c r="C973" i="3"/>
  <c r="B973" i="3"/>
  <c r="C972" i="3"/>
  <c r="B972" i="3"/>
  <c r="C971" i="3"/>
  <c r="B971" i="3"/>
  <c r="C970" i="3"/>
  <c r="B970" i="3"/>
  <c r="C969" i="3"/>
  <c r="B969" i="3"/>
  <c r="C968" i="3"/>
  <c r="B968" i="3"/>
  <c r="C967" i="3"/>
  <c r="B967" i="3"/>
  <c r="C966" i="3"/>
  <c r="B966" i="3"/>
  <c r="C965" i="3"/>
  <c r="B965" i="3"/>
  <c r="C964" i="3"/>
  <c r="B964" i="3"/>
  <c r="C963" i="3"/>
  <c r="B963" i="3"/>
  <c r="C962" i="3"/>
  <c r="B962" i="3"/>
  <c r="C961" i="3"/>
  <c r="B961" i="3"/>
  <c r="C960" i="3"/>
  <c r="B960" i="3"/>
  <c r="C959" i="3"/>
  <c r="B959" i="3"/>
  <c r="C958" i="3"/>
  <c r="B958" i="3"/>
  <c r="C957" i="3"/>
  <c r="B957" i="3"/>
  <c r="C956" i="3"/>
  <c r="B956" i="3"/>
  <c r="C955" i="3"/>
  <c r="B955" i="3"/>
  <c r="C954" i="3"/>
  <c r="B954" i="3"/>
  <c r="C953" i="3"/>
  <c r="B953" i="3"/>
  <c r="C952" i="3"/>
  <c r="B952" i="3"/>
  <c r="C951" i="3"/>
  <c r="B951" i="3"/>
  <c r="C950" i="3"/>
  <c r="B950" i="3"/>
  <c r="C949" i="3"/>
  <c r="B949" i="3"/>
  <c r="C948" i="3"/>
  <c r="B948" i="3"/>
  <c r="C947" i="3"/>
  <c r="B947" i="3"/>
  <c r="C946" i="3"/>
  <c r="B946" i="3"/>
  <c r="C945" i="3"/>
  <c r="B945" i="3"/>
  <c r="C944" i="3"/>
  <c r="B944" i="3"/>
  <c r="C943" i="3"/>
  <c r="B943" i="3"/>
  <c r="C942" i="3"/>
  <c r="B942" i="3"/>
  <c r="C941" i="3"/>
  <c r="B941" i="3"/>
  <c r="C940" i="3"/>
  <c r="B940" i="3"/>
  <c r="C939" i="3"/>
  <c r="B939" i="3"/>
  <c r="C938" i="3"/>
  <c r="B938" i="3"/>
  <c r="C937" i="3"/>
  <c r="B937" i="3"/>
  <c r="C936" i="3"/>
  <c r="B936" i="3"/>
  <c r="C935" i="3"/>
  <c r="B935" i="3"/>
  <c r="C934" i="3"/>
  <c r="B934" i="3"/>
  <c r="G1038" i="3"/>
  <c r="F1038" i="3"/>
  <c r="G1037" i="3"/>
  <c r="F1037" i="3"/>
  <c r="G1036" i="3"/>
  <c r="F1036" i="3"/>
  <c r="G1035" i="3"/>
  <c r="F1035" i="3"/>
  <c r="G1034" i="3"/>
  <c r="F1034" i="3"/>
  <c r="G1033" i="3"/>
  <c r="F1033" i="3"/>
  <c r="G1032" i="3"/>
  <c r="F1032" i="3"/>
  <c r="G1031" i="3"/>
  <c r="F1031" i="3"/>
  <c r="G1030" i="3"/>
  <c r="F1030" i="3"/>
  <c r="G1029" i="3"/>
  <c r="F1029" i="3"/>
  <c r="G1028" i="3"/>
  <c r="F1028" i="3"/>
  <c r="G1027" i="3"/>
  <c r="F1027" i="3"/>
  <c r="G1026" i="3"/>
  <c r="F1026" i="3"/>
  <c r="G1025" i="3"/>
  <c r="F1025" i="3"/>
  <c r="G1024" i="3"/>
  <c r="F1024" i="3"/>
  <c r="G1023" i="3"/>
  <c r="F1023" i="3"/>
  <c r="G1022" i="3"/>
  <c r="F1022" i="3"/>
  <c r="G1021" i="3"/>
  <c r="F1021" i="3"/>
  <c r="G1020" i="3"/>
  <c r="F1020" i="3"/>
  <c r="G1019" i="3"/>
  <c r="F1019" i="3"/>
  <c r="G1018" i="3"/>
  <c r="F1018" i="3"/>
  <c r="G1017" i="3"/>
  <c r="F1017" i="3"/>
  <c r="G1016" i="3"/>
  <c r="F1016" i="3"/>
  <c r="G1015" i="3"/>
  <c r="F1015" i="3"/>
  <c r="G1014" i="3"/>
  <c r="F1014" i="3"/>
  <c r="G1013" i="3"/>
  <c r="F1013" i="3"/>
  <c r="G1012" i="3"/>
  <c r="F1012" i="3"/>
  <c r="G1011" i="3"/>
  <c r="F1011" i="3"/>
  <c r="G1010" i="3"/>
  <c r="F1010" i="3"/>
  <c r="G1009" i="3"/>
  <c r="F1009" i="3"/>
  <c r="G1008" i="3"/>
  <c r="F1008" i="3"/>
  <c r="G1007" i="3"/>
  <c r="F1007" i="3"/>
  <c r="G1006" i="3"/>
  <c r="F1006" i="3"/>
  <c r="G1005" i="3"/>
  <c r="F1005" i="3"/>
  <c r="G1004" i="3"/>
  <c r="F1004" i="3"/>
  <c r="G1003" i="3"/>
  <c r="F1003" i="3"/>
  <c r="G1002" i="3"/>
  <c r="F1002" i="3"/>
  <c r="G1001" i="3"/>
  <c r="F1001" i="3"/>
  <c r="G1000" i="3"/>
  <c r="F1000" i="3"/>
  <c r="G999" i="3"/>
  <c r="F999" i="3"/>
  <c r="G998" i="3"/>
  <c r="F998" i="3"/>
  <c r="G997" i="3"/>
  <c r="F997" i="3"/>
  <c r="G996" i="3"/>
  <c r="F996" i="3"/>
  <c r="G995" i="3"/>
  <c r="F995" i="3"/>
  <c r="G994" i="3"/>
  <c r="F994" i="3"/>
  <c r="G993" i="3"/>
  <c r="F993" i="3"/>
  <c r="G992" i="3"/>
  <c r="F992" i="3"/>
  <c r="G991" i="3"/>
  <c r="F991" i="3"/>
  <c r="G990" i="3"/>
  <c r="F990" i="3"/>
  <c r="G989" i="3"/>
  <c r="F989" i="3"/>
  <c r="G988" i="3"/>
  <c r="F988" i="3"/>
  <c r="G987" i="3"/>
  <c r="F987" i="3"/>
  <c r="G986" i="3"/>
  <c r="F986" i="3"/>
  <c r="G985" i="3"/>
  <c r="F985" i="3"/>
  <c r="G984" i="3"/>
  <c r="F984" i="3"/>
  <c r="G983" i="3"/>
  <c r="F983" i="3"/>
  <c r="G982" i="3"/>
  <c r="F982" i="3"/>
  <c r="G981" i="3"/>
  <c r="F981" i="3"/>
  <c r="G980" i="3"/>
  <c r="F980" i="3"/>
  <c r="G979" i="3"/>
  <c r="F979" i="3"/>
  <c r="G978" i="3"/>
  <c r="F978" i="3"/>
  <c r="G977" i="3"/>
  <c r="F977" i="3"/>
  <c r="G976" i="3"/>
  <c r="F976" i="3"/>
  <c r="G975" i="3"/>
  <c r="F975" i="3"/>
  <c r="G974" i="3"/>
  <c r="F974" i="3"/>
  <c r="G973" i="3"/>
  <c r="F973" i="3"/>
  <c r="G972" i="3"/>
  <c r="F972" i="3"/>
  <c r="G971" i="3"/>
  <c r="F971" i="3"/>
  <c r="G970" i="3"/>
  <c r="F970" i="3"/>
  <c r="G969" i="3"/>
  <c r="F969" i="3"/>
  <c r="G968" i="3"/>
  <c r="F968" i="3"/>
  <c r="G967" i="3"/>
  <c r="F967" i="3"/>
  <c r="G966" i="3"/>
  <c r="F966" i="3"/>
  <c r="G965" i="3"/>
  <c r="F965" i="3"/>
  <c r="G964" i="3"/>
  <c r="F964" i="3"/>
  <c r="G963" i="3"/>
  <c r="F963" i="3"/>
  <c r="G962" i="3"/>
  <c r="F962" i="3"/>
  <c r="G961" i="3"/>
  <c r="F961" i="3"/>
  <c r="G960" i="3"/>
  <c r="F960" i="3"/>
  <c r="G959" i="3"/>
  <c r="F959" i="3"/>
  <c r="G958" i="3"/>
  <c r="F958" i="3"/>
  <c r="G957" i="3"/>
  <c r="F957" i="3"/>
  <c r="G956" i="3"/>
  <c r="F956" i="3"/>
  <c r="G955" i="3"/>
  <c r="F955" i="3"/>
  <c r="G954" i="3"/>
  <c r="F954" i="3"/>
  <c r="G953" i="3"/>
  <c r="F953" i="3"/>
  <c r="G952" i="3"/>
  <c r="F952" i="3"/>
  <c r="G951" i="3"/>
  <c r="F951" i="3"/>
  <c r="G950" i="3"/>
  <c r="F950" i="3"/>
  <c r="G949" i="3"/>
  <c r="F949" i="3"/>
  <c r="G948" i="3"/>
  <c r="F948" i="3"/>
  <c r="G947" i="3"/>
  <c r="F947" i="3"/>
  <c r="G946" i="3"/>
  <c r="F946" i="3"/>
  <c r="G945" i="3"/>
  <c r="F945" i="3"/>
  <c r="G944" i="3"/>
  <c r="F944" i="3"/>
  <c r="G943" i="3"/>
  <c r="F943" i="3"/>
  <c r="G942" i="3"/>
  <c r="F942" i="3"/>
  <c r="G941" i="3"/>
  <c r="F941" i="3"/>
  <c r="G940" i="3"/>
  <c r="F940" i="3"/>
  <c r="G939" i="3"/>
  <c r="F939" i="3"/>
  <c r="G938" i="3"/>
  <c r="F938" i="3"/>
  <c r="G937" i="3"/>
  <c r="F937" i="3"/>
  <c r="G936" i="3"/>
  <c r="F936" i="3"/>
  <c r="G935" i="3"/>
  <c r="F935" i="3"/>
  <c r="G934" i="3"/>
  <c r="F934" i="3"/>
  <c r="B933" i="3"/>
  <c r="B932" i="3"/>
  <c r="B931" i="3"/>
  <c r="B930" i="3"/>
  <c r="B929" i="3"/>
  <c r="B928" i="3"/>
  <c r="B927" i="3"/>
  <c r="B926" i="3"/>
  <c r="B925" i="3"/>
  <c r="B924" i="3"/>
  <c r="B923" i="3"/>
  <c r="B922" i="3"/>
  <c r="B921" i="3"/>
  <c r="B920" i="3"/>
  <c r="B919" i="3"/>
  <c r="B918" i="3"/>
  <c r="B917" i="3"/>
  <c r="B916" i="3"/>
  <c r="B915" i="3"/>
  <c r="B914" i="3"/>
  <c r="B913" i="3"/>
  <c r="B912" i="3"/>
  <c r="B911" i="3"/>
  <c r="B910" i="3"/>
  <c r="B909" i="3"/>
  <c r="B908" i="3"/>
  <c r="B907" i="3"/>
  <c r="B906" i="3"/>
  <c r="B905" i="3"/>
  <c r="B904" i="3"/>
  <c r="B903" i="3"/>
  <c r="B902" i="3"/>
  <c r="B901" i="3"/>
  <c r="B900" i="3"/>
  <c r="B899" i="3"/>
  <c r="B898" i="3"/>
  <c r="B897" i="3"/>
  <c r="B896" i="3"/>
  <c r="B895" i="3"/>
  <c r="B894" i="3"/>
  <c r="B893" i="3"/>
  <c r="B892" i="3"/>
  <c r="B891" i="3"/>
  <c r="B890" i="3"/>
  <c r="B889" i="3"/>
  <c r="G933" i="3"/>
  <c r="F933" i="3"/>
  <c r="C933" i="3"/>
  <c r="G932" i="3"/>
  <c r="F932" i="3"/>
  <c r="C932" i="3"/>
  <c r="G931" i="3"/>
  <c r="F931" i="3"/>
  <c r="C931" i="3"/>
  <c r="G930" i="3"/>
  <c r="F930" i="3"/>
  <c r="C930" i="3"/>
  <c r="G929" i="3"/>
  <c r="F929" i="3"/>
  <c r="C929" i="3"/>
  <c r="G928" i="3"/>
  <c r="F928" i="3"/>
  <c r="C928" i="3"/>
  <c r="G927" i="3"/>
  <c r="F927" i="3"/>
  <c r="C927" i="3"/>
  <c r="G926" i="3"/>
  <c r="F926" i="3"/>
  <c r="C926" i="3"/>
  <c r="G925" i="3"/>
  <c r="F925" i="3"/>
  <c r="C925" i="3"/>
  <c r="G924" i="3"/>
  <c r="F924" i="3"/>
  <c r="C924" i="3"/>
  <c r="G923" i="3"/>
  <c r="F923" i="3"/>
  <c r="C923" i="3"/>
  <c r="G922" i="3"/>
  <c r="F922" i="3"/>
  <c r="C922" i="3"/>
  <c r="G921" i="3"/>
  <c r="F921" i="3"/>
  <c r="C921" i="3"/>
  <c r="G920" i="3"/>
  <c r="F920" i="3"/>
  <c r="C920" i="3"/>
  <c r="G919" i="3"/>
  <c r="F919" i="3"/>
  <c r="C919" i="3"/>
  <c r="G918" i="3"/>
  <c r="F918" i="3"/>
  <c r="C918" i="3"/>
  <c r="G917" i="3"/>
  <c r="F917" i="3"/>
  <c r="C917" i="3"/>
  <c r="G916" i="3"/>
  <c r="F916" i="3"/>
  <c r="C916" i="3"/>
  <c r="G915" i="3"/>
  <c r="F915" i="3"/>
  <c r="C915" i="3"/>
  <c r="G914" i="3"/>
  <c r="F914" i="3"/>
  <c r="C914" i="3"/>
  <c r="G913" i="3"/>
  <c r="F913" i="3"/>
  <c r="C913" i="3"/>
  <c r="G912" i="3"/>
  <c r="F912" i="3"/>
  <c r="C912" i="3"/>
  <c r="G911" i="3"/>
  <c r="F911" i="3"/>
  <c r="C911" i="3"/>
  <c r="G910" i="3"/>
  <c r="F910" i="3"/>
  <c r="C910" i="3"/>
  <c r="G909" i="3"/>
  <c r="F909" i="3"/>
  <c r="C909" i="3"/>
  <c r="G908" i="3"/>
  <c r="F908" i="3"/>
  <c r="C908" i="3"/>
  <c r="G907" i="3"/>
  <c r="F907" i="3"/>
  <c r="C907" i="3"/>
  <c r="G906" i="3"/>
  <c r="F906" i="3"/>
  <c r="C906" i="3"/>
  <c r="G905" i="3"/>
  <c r="F905" i="3"/>
  <c r="C905" i="3"/>
  <c r="G904" i="3"/>
  <c r="F904" i="3"/>
  <c r="C904" i="3"/>
  <c r="G903" i="3"/>
  <c r="F903" i="3"/>
  <c r="C903" i="3"/>
  <c r="G902" i="3"/>
  <c r="F902" i="3"/>
  <c r="C902" i="3"/>
  <c r="G901" i="3"/>
  <c r="F901" i="3"/>
  <c r="C901" i="3"/>
  <c r="G900" i="3"/>
  <c r="F900" i="3"/>
  <c r="C900" i="3"/>
  <c r="G899" i="3"/>
  <c r="F899" i="3"/>
  <c r="C899" i="3"/>
  <c r="G898" i="3"/>
  <c r="F898" i="3"/>
  <c r="C898" i="3"/>
  <c r="G897" i="3"/>
  <c r="F897" i="3"/>
  <c r="C897" i="3"/>
  <c r="G896" i="3"/>
  <c r="F896" i="3"/>
  <c r="C896" i="3"/>
  <c r="G895" i="3"/>
  <c r="F895" i="3"/>
  <c r="C895" i="3"/>
  <c r="G894" i="3"/>
  <c r="F894" i="3"/>
  <c r="C894" i="3"/>
  <c r="G893" i="3"/>
  <c r="F893" i="3"/>
  <c r="C893" i="3"/>
  <c r="G892" i="3"/>
  <c r="F892" i="3"/>
  <c r="C892" i="3"/>
  <c r="G891" i="3"/>
  <c r="F891" i="3"/>
  <c r="C891" i="3"/>
  <c r="G890" i="3"/>
  <c r="F890" i="3"/>
  <c r="C890" i="3"/>
  <c r="G889" i="3"/>
  <c r="F889" i="3"/>
  <c r="C889" i="3"/>
  <c r="C888" i="3"/>
  <c r="C887" i="3"/>
  <c r="C886" i="3"/>
  <c r="C885" i="3"/>
  <c r="C884" i="3"/>
  <c r="C883" i="3"/>
  <c r="C882" i="3"/>
  <c r="C881" i="3"/>
  <c r="C880" i="3"/>
  <c r="C879" i="3"/>
  <c r="C878" i="3"/>
  <c r="C877" i="3"/>
  <c r="C876" i="3"/>
  <c r="C875" i="3"/>
  <c r="C874" i="3"/>
  <c r="C873" i="3"/>
  <c r="C872" i="3"/>
  <c r="C871" i="3"/>
  <c r="C870" i="3"/>
  <c r="C869" i="3"/>
  <c r="C868" i="3"/>
  <c r="C867" i="3"/>
  <c r="C866" i="3"/>
  <c r="C865" i="3"/>
  <c r="C864" i="3"/>
  <c r="C863" i="3"/>
  <c r="C862" i="3"/>
  <c r="C861" i="3"/>
  <c r="C860" i="3"/>
  <c r="C859" i="3"/>
  <c r="C858" i="3"/>
  <c r="C857" i="3"/>
  <c r="C856" i="3"/>
  <c r="C855" i="3"/>
  <c r="C854" i="3"/>
  <c r="C853" i="3"/>
  <c r="C852" i="3"/>
  <c r="C851" i="3"/>
  <c r="C850" i="3"/>
  <c r="C849" i="3"/>
  <c r="C848" i="3"/>
  <c r="C847" i="3"/>
  <c r="C846" i="3"/>
  <c r="C845" i="3"/>
  <c r="C844" i="3"/>
  <c r="C843" i="3"/>
  <c r="C842" i="3"/>
  <c r="C841" i="3"/>
  <c r="C840" i="3"/>
  <c r="C839" i="3"/>
  <c r="C838" i="3"/>
  <c r="C837" i="3"/>
  <c r="C836" i="3"/>
  <c r="C835" i="3"/>
  <c r="C834" i="3"/>
  <c r="C833" i="3"/>
  <c r="C832" i="3"/>
  <c r="C831" i="3"/>
  <c r="C830" i="3"/>
  <c r="C829" i="3"/>
  <c r="B888" i="3"/>
  <c r="B887" i="3"/>
  <c r="B886" i="3"/>
  <c r="B885" i="3"/>
  <c r="B884" i="3"/>
  <c r="B883" i="3"/>
  <c r="B882" i="3"/>
  <c r="B881" i="3"/>
  <c r="B880" i="3"/>
  <c r="B879" i="3"/>
  <c r="B878" i="3"/>
  <c r="B877" i="3"/>
  <c r="B876" i="3"/>
  <c r="B875" i="3"/>
  <c r="B874" i="3"/>
  <c r="B873" i="3"/>
  <c r="B872" i="3"/>
  <c r="B871" i="3"/>
  <c r="B870" i="3"/>
  <c r="B869" i="3"/>
  <c r="B868" i="3"/>
  <c r="B867" i="3"/>
  <c r="B866" i="3"/>
  <c r="B865" i="3"/>
  <c r="B864" i="3"/>
  <c r="B863" i="3"/>
  <c r="B862" i="3"/>
  <c r="B861" i="3"/>
  <c r="B860" i="3"/>
  <c r="B859" i="3"/>
  <c r="B858" i="3"/>
  <c r="B857" i="3"/>
  <c r="B856" i="3"/>
  <c r="B855" i="3"/>
  <c r="B854" i="3"/>
  <c r="B853" i="3"/>
  <c r="B852" i="3"/>
  <c r="B851" i="3"/>
  <c r="B850" i="3"/>
  <c r="B849" i="3"/>
  <c r="B848" i="3"/>
  <c r="B847" i="3"/>
  <c r="B846" i="3"/>
  <c r="B845" i="3"/>
  <c r="B844" i="3"/>
  <c r="B843" i="3"/>
  <c r="B842" i="3"/>
  <c r="B841" i="3"/>
  <c r="B840" i="3"/>
  <c r="B839" i="3"/>
  <c r="B838" i="3"/>
  <c r="B837" i="3"/>
  <c r="B836" i="3"/>
  <c r="B835" i="3"/>
  <c r="B834" i="3"/>
  <c r="B833" i="3"/>
  <c r="B832" i="3"/>
  <c r="B831" i="3"/>
  <c r="B830" i="3"/>
  <c r="B829" i="3"/>
  <c r="G888" i="3"/>
  <c r="F888" i="3"/>
  <c r="G887" i="3"/>
  <c r="F887" i="3"/>
  <c r="G886" i="3"/>
  <c r="F886" i="3"/>
  <c r="G885" i="3"/>
  <c r="F885" i="3"/>
  <c r="G884" i="3"/>
  <c r="F884" i="3"/>
  <c r="G883" i="3"/>
  <c r="F883" i="3"/>
  <c r="G882" i="3"/>
  <c r="F882" i="3"/>
  <c r="G881" i="3"/>
  <c r="F881" i="3"/>
  <c r="G880" i="3"/>
  <c r="F880" i="3"/>
  <c r="G879" i="3"/>
  <c r="F879" i="3"/>
  <c r="G878" i="3"/>
  <c r="F878" i="3"/>
  <c r="G877" i="3"/>
  <c r="F877" i="3"/>
  <c r="G876" i="3"/>
  <c r="F876" i="3"/>
  <c r="G875" i="3"/>
  <c r="F875" i="3"/>
  <c r="G874" i="3"/>
  <c r="F874" i="3"/>
  <c r="G873" i="3"/>
  <c r="F873" i="3"/>
  <c r="G872" i="3"/>
  <c r="F872" i="3"/>
  <c r="G871" i="3"/>
  <c r="F871" i="3"/>
  <c r="G870" i="3"/>
  <c r="F870" i="3"/>
  <c r="G869" i="3"/>
  <c r="F869" i="3"/>
  <c r="G868" i="3"/>
  <c r="F868" i="3"/>
  <c r="G867" i="3"/>
  <c r="F867" i="3"/>
  <c r="G866" i="3"/>
  <c r="F866" i="3"/>
  <c r="G865" i="3"/>
  <c r="F865" i="3"/>
  <c r="G864" i="3"/>
  <c r="F864" i="3"/>
  <c r="G863" i="3"/>
  <c r="F863" i="3"/>
  <c r="G862" i="3"/>
  <c r="F862" i="3"/>
  <c r="G861" i="3"/>
  <c r="F861" i="3"/>
  <c r="G860" i="3"/>
  <c r="F860" i="3"/>
  <c r="G859" i="3"/>
  <c r="F859" i="3"/>
  <c r="G858" i="3"/>
  <c r="F858" i="3"/>
  <c r="G857" i="3"/>
  <c r="F857" i="3"/>
  <c r="G856" i="3"/>
  <c r="F856" i="3"/>
  <c r="G855" i="3"/>
  <c r="F855" i="3"/>
  <c r="G854" i="3"/>
  <c r="F854" i="3"/>
  <c r="G853" i="3"/>
  <c r="F853" i="3"/>
  <c r="G852" i="3"/>
  <c r="F852" i="3"/>
  <c r="G851" i="3"/>
  <c r="F851" i="3"/>
  <c r="G850" i="3"/>
  <c r="F850" i="3"/>
  <c r="G849" i="3"/>
  <c r="F849" i="3"/>
  <c r="G848" i="3"/>
  <c r="F848" i="3"/>
  <c r="G847" i="3"/>
  <c r="F847" i="3"/>
  <c r="G846" i="3"/>
  <c r="F846" i="3"/>
  <c r="G845" i="3"/>
  <c r="F845" i="3"/>
  <c r="G844" i="3"/>
  <c r="F844" i="3"/>
  <c r="G843" i="3"/>
  <c r="F843" i="3"/>
  <c r="G842" i="3"/>
  <c r="F842" i="3"/>
  <c r="G841" i="3"/>
  <c r="F841" i="3"/>
  <c r="G840" i="3"/>
  <c r="F840" i="3"/>
  <c r="G839" i="3"/>
  <c r="F839" i="3"/>
  <c r="G838" i="3"/>
  <c r="F838" i="3"/>
  <c r="G837" i="3"/>
  <c r="F837" i="3"/>
  <c r="G836" i="3"/>
  <c r="F836" i="3"/>
  <c r="G835" i="3"/>
  <c r="F835" i="3"/>
  <c r="G834" i="3"/>
  <c r="F834" i="3"/>
  <c r="G833" i="3"/>
  <c r="F833" i="3"/>
  <c r="G832" i="3"/>
  <c r="F832" i="3"/>
  <c r="G831" i="3"/>
  <c r="F831" i="3"/>
  <c r="G830" i="3"/>
  <c r="F830" i="3"/>
  <c r="G829" i="3"/>
  <c r="F829" i="3"/>
  <c r="C2464" i="3"/>
  <c r="C2465" i="3"/>
  <c r="C2466" i="3"/>
  <c r="C2467" i="3"/>
  <c r="C2468" i="3"/>
  <c r="C2469" i="3"/>
  <c r="C2470" i="3"/>
  <c r="C2471" i="3"/>
  <c r="C2472" i="3"/>
  <c r="C2473" i="3"/>
  <c r="C2474" i="3"/>
  <c r="C2475" i="3"/>
  <c r="C2476" i="3"/>
  <c r="C2477" i="3"/>
  <c r="C2478" i="3"/>
  <c r="B2465" i="3"/>
  <c r="B2466" i="3"/>
  <c r="B2467" i="3"/>
  <c r="B2468" i="3"/>
  <c r="B2469" i="3"/>
  <c r="B2470" i="3"/>
  <c r="B2471" i="3"/>
  <c r="B2472" i="3"/>
  <c r="B2473" i="3"/>
  <c r="B2474" i="3"/>
  <c r="B2475" i="3"/>
  <c r="B2476" i="3"/>
  <c r="B2477" i="3"/>
  <c r="B2478" i="3"/>
  <c r="B2464" i="3"/>
  <c r="G2478" i="3"/>
  <c r="F2478" i="3"/>
  <c r="G2477" i="3"/>
  <c r="F2477" i="3"/>
  <c r="G2476" i="3"/>
  <c r="F2476" i="3"/>
  <c r="G2475" i="3"/>
  <c r="F2475" i="3"/>
  <c r="G2474" i="3"/>
  <c r="F2474" i="3"/>
  <c r="G2473" i="3"/>
  <c r="F2473" i="3"/>
  <c r="G2472" i="3"/>
  <c r="F2472" i="3"/>
  <c r="G2471" i="3"/>
  <c r="F2471" i="3"/>
  <c r="G2470" i="3"/>
  <c r="F2470" i="3"/>
  <c r="G2469" i="3"/>
  <c r="F2469" i="3"/>
  <c r="G2468" i="3"/>
  <c r="F2468" i="3"/>
  <c r="G2467" i="3"/>
  <c r="F2467" i="3"/>
  <c r="G2466" i="3"/>
  <c r="F2466" i="3"/>
  <c r="G2465" i="3"/>
  <c r="F2465" i="3"/>
  <c r="G2464" i="3"/>
  <c r="F2464" i="3"/>
  <c r="B2480" i="3"/>
  <c r="B2481" i="3"/>
  <c r="B2482" i="3"/>
  <c r="B2483" i="3"/>
  <c r="B2484" i="3"/>
  <c r="B2485" i="3"/>
  <c r="B2486" i="3"/>
  <c r="B2487" i="3"/>
  <c r="B2488" i="3"/>
  <c r="B2489" i="3"/>
  <c r="B2490" i="3"/>
  <c r="B2491" i="3"/>
  <c r="B2492" i="3"/>
  <c r="B2493" i="3"/>
  <c r="B2494" i="3"/>
  <c r="B2495" i="3"/>
  <c r="B2496" i="3"/>
  <c r="B2497" i="3"/>
  <c r="B2498" i="3"/>
  <c r="B2499" i="3"/>
  <c r="B2500" i="3"/>
  <c r="B2501" i="3"/>
  <c r="B2502" i="3"/>
  <c r="B2503" i="3"/>
  <c r="B2504" i="3"/>
  <c r="B2505" i="3"/>
  <c r="B2506" i="3"/>
  <c r="B2507" i="3"/>
  <c r="B2508" i="3"/>
  <c r="B2509" i="3"/>
  <c r="B2510" i="3"/>
  <c r="B2511" i="3"/>
  <c r="B2512" i="3"/>
  <c r="B2513" i="3"/>
  <c r="B2514" i="3"/>
  <c r="B2515" i="3"/>
  <c r="B2516" i="3"/>
  <c r="B2517" i="3"/>
  <c r="B2518" i="3"/>
  <c r="B2519" i="3"/>
  <c r="B2520" i="3"/>
  <c r="B2521" i="3"/>
  <c r="B2522" i="3"/>
  <c r="B2523" i="3"/>
  <c r="B2479" i="3"/>
  <c r="G2523" i="3"/>
  <c r="F2523" i="3"/>
  <c r="C2523" i="3"/>
  <c r="G2522" i="3"/>
  <c r="F2522" i="3"/>
  <c r="C2522" i="3"/>
  <c r="G2521" i="3"/>
  <c r="F2521" i="3"/>
  <c r="C2521" i="3"/>
  <c r="G2520" i="3"/>
  <c r="F2520" i="3"/>
  <c r="C2520" i="3"/>
  <c r="G2519" i="3"/>
  <c r="F2519" i="3"/>
  <c r="C2519" i="3"/>
  <c r="G2518" i="3"/>
  <c r="F2518" i="3"/>
  <c r="C2518" i="3"/>
  <c r="G2517" i="3"/>
  <c r="F2517" i="3"/>
  <c r="C2517" i="3"/>
  <c r="G2516" i="3"/>
  <c r="F2516" i="3"/>
  <c r="C2516" i="3"/>
  <c r="G2515" i="3"/>
  <c r="F2515" i="3"/>
  <c r="C2515" i="3"/>
  <c r="G2514" i="3"/>
  <c r="F2514" i="3"/>
  <c r="C2514" i="3"/>
  <c r="G2513" i="3"/>
  <c r="F2513" i="3"/>
  <c r="C2513" i="3"/>
  <c r="G2512" i="3"/>
  <c r="F2512" i="3"/>
  <c r="C2512" i="3"/>
  <c r="G2511" i="3"/>
  <c r="F2511" i="3"/>
  <c r="C2511" i="3"/>
  <c r="G2510" i="3"/>
  <c r="F2510" i="3"/>
  <c r="C2510" i="3"/>
  <c r="G2509" i="3"/>
  <c r="F2509" i="3"/>
  <c r="C2509" i="3"/>
  <c r="G2508" i="3"/>
  <c r="F2508" i="3"/>
  <c r="C2508" i="3"/>
  <c r="G2507" i="3"/>
  <c r="F2507" i="3"/>
  <c r="C2507" i="3"/>
  <c r="G2506" i="3"/>
  <c r="F2506" i="3"/>
  <c r="C2506" i="3"/>
  <c r="G2505" i="3"/>
  <c r="F2505" i="3"/>
  <c r="C2505" i="3"/>
  <c r="G2504" i="3"/>
  <c r="F2504" i="3"/>
  <c r="C2504" i="3"/>
  <c r="G2503" i="3"/>
  <c r="F2503" i="3"/>
  <c r="C2503" i="3"/>
  <c r="G2502" i="3"/>
  <c r="F2502" i="3"/>
  <c r="C2502" i="3"/>
  <c r="G2501" i="3"/>
  <c r="F2501" i="3"/>
  <c r="C2501" i="3"/>
  <c r="G2500" i="3"/>
  <c r="F2500" i="3"/>
  <c r="C2500" i="3"/>
  <c r="G2499" i="3"/>
  <c r="F2499" i="3"/>
  <c r="C2499" i="3"/>
  <c r="G2498" i="3"/>
  <c r="F2498" i="3"/>
  <c r="C2498" i="3"/>
  <c r="G2497" i="3"/>
  <c r="F2497" i="3"/>
  <c r="C2497" i="3"/>
  <c r="G2496" i="3"/>
  <c r="F2496" i="3"/>
  <c r="C2496" i="3"/>
  <c r="G2495" i="3"/>
  <c r="F2495" i="3"/>
  <c r="C2495" i="3"/>
  <c r="G2494" i="3"/>
  <c r="F2494" i="3"/>
  <c r="C2494" i="3"/>
  <c r="G2493" i="3"/>
  <c r="F2493" i="3"/>
  <c r="C2493" i="3"/>
  <c r="G2492" i="3"/>
  <c r="F2492" i="3"/>
  <c r="C2492" i="3"/>
  <c r="G2491" i="3"/>
  <c r="F2491" i="3"/>
  <c r="C2491" i="3"/>
  <c r="G2490" i="3"/>
  <c r="F2490" i="3"/>
  <c r="C2490" i="3"/>
  <c r="G2489" i="3"/>
  <c r="F2489" i="3"/>
  <c r="C2489" i="3"/>
  <c r="G2488" i="3"/>
  <c r="F2488" i="3"/>
  <c r="C2488" i="3"/>
  <c r="G2487" i="3"/>
  <c r="F2487" i="3"/>
  <c r="C2487" i="3"/>
  <c r="G2486" i="3"/>
  <c r="F2486" i="3"/>
  <c r="C2486" i="3"/>
  <c r="G2485" i="3"/>
  <c r="F2485" i="3"/>
  <c r="C2485" i="3"/>
  <c r="G2484" i="3"/>
  <c r="F2484" i="3"/>
  <c r="C2484" i="3"/>
  <c r="G2483" i="3"/>
  <c r="F2483" i="3"/>
  <c r="C2483" i="3"/>
  <c r="G2482" i="3"/>
  <c r="F2482" i="3"/>
  <c r="C2482" i="3"/>
  <c r="G2481" i="3"/>
  <c r="F2481" i="3"/>
  <c r="C2481" i="3"/>
  <c r="G2480" i="3"/>
  <c r="F2480" i="3"/>
  <c r="C2480" i="3"/>
  <c r="G2479" i="3"/>
  <c r="F2479" i="3"/>
  <c r="C2479" i="3"/>
  <c r="B2405" i="3"/>
  <c r="B2406" i="3"/>
  <c r="B2407" i="3"/>
  <c r="B2408" i="3"/>
  <c r="B2409" i="3"/>
  <c r="B2410" i="3"/>
  <c r="B2411" i="3"/>
  <c r="B2412" i="3"/>
  <c r="B2413" i="3"/>
  <c r="B2414" i="3"/>
  <c r="B2415" i="3"/>
  <c r="B2416" i="3"/>
  <c r="B2417" i="3"/>
  <c r="B2418" i="3"/>
  <c r="B2404" i="3"/>
  <c r="G2403" i="3"/>
  <c r="F2403" i="3"/>
  <c r="C2403" i="3"/>
  <c r="B2403" i="3"/>
  <c r="G2402" i="3"/>
  <c r="F2402" i="3"/>
  <c r="C2402" i="3"/>
  <c r="B2402" i="3"/>
  <c r="G2401" i="3"/>
  <c r="F2401" i="3"/>
  <c r="C2401" i="3"/>
  <c r="B2401" i="3"/>
  <c r="G2400" i="3"/>
  <c r="F2400" i="3"/>
  <c r="C2400" i="3"/>
  <c r="B2400" i="3"/>
  <c r="G2399" i="3"/>
  <c r="F2399" i="3"/>
  <c r="C2399" i="3"/>
  <c r="B2399" i="3"/>
  <c r="G2398" i="3"/>
  <c r="F2398" i="3"/>
  <c r="C2398" i="3"/>
  <c r="B2398" i="3"/>
  <c r="G2397" i="3"/>
  <c r="F2397" i="3"/>
  <c r="C2397" i="3"/>
  <c r="B2397" i="3"/>
  <c r="G2396" i="3"/>
  <c r="F2396" i="3"/>
  <c r="C2396" i="3"/>
  <c r="B2396" i="3"/>
  <c r="G2395" i="3"/>
  <c r="F2395" i="3"/>
  <c r="C2395" i="3"/>
  <c r="B2395" i="3"/>
  <c r="G2394" i="3"/>
  <c r="F2394" i="3"/>
  <c r="C2394" i="3"/>
  <c r="B2394" i="3"/>
  <c r="G2393" i="3"/>
  <c r="F2393" i="3"/>
  <c r="C2393" i="3"/>
  <c r="B2393" i="3"/>
  <c r="G2392" i="3"/>
  <c r="F2392" i="3"/>
  <c r="C2392" i="3"/>
  <c r="B2392" i="3"/>
  <c r="G2391" i="3"/>
  <c r="F2391" i="3"/>
  <c r="C2391" i="3"/>
  <c r="B2391" i="3"/>
  <c r="G2390" i="3"/>
  <c r="F2390" i="3"/>
  <c r="C2390" i="3"/>
  <c r="B2390" i="3"/>
  <c r="G2389" i="3"/>
  <c r="F2389" i="3"/>
  <c r="C2389" i="3"/>
  <c r="B2389" i="3"/>
  <c r="C2705" i="3"/>
  <c r="C2706" i="3"/>
  <c r="C2707" i="3"/>
  <c r="C2708" i="3"/>
  <c r="C2709" i="3"/>
  <c r="C2710" i="3"/>
  <c r="C2711" i="3"/>
  <c r="C2712" i="3"/>
  <c r="C2713" i="3"/>
  <c r="C2714" i="3"/>
  <c r="C2715" i="3"/>
  <c r="C2716" i="3"/>
  <c r="C2717" i="3"/>
  <c r="C2718" i="3"/>
  <c r="C2719" i="3"/>
  <c r="C2720" i="3"/>
  <c r="C2721" i="3"/>
  <c r="C2722" i="3"/>
  <c r="C2723" i="3"/>
  <c r="C2724" i="3"/>
  <c r="C2725" i="3"/>
  <c r="C2726" i="3"/>
  <c r="C2727" i="3"/>
  <c r="C2728" i="3"/>
  <c r="C2729" i="3"/>
  <c r="C2730" i="3"/>
  <c r="C2731" i="3"/>
  <c r="C2732" i="3"/>
  <c r="C2733" i="3"/>
  <c r="C2734" i="3"/>
  <c r="C2735" i="3"/>
  <c r="C2736" i="3"/>
  <c r="C2737" i="3"/>
  <c r="C2738" i="3"/>
  <c r="C2739" i="3"/>
  <c r="C2740" i="3"/>
  <c r="C2741" i="3"/>
  <c r="C2742" i="3"/>
  <c r="C2743" i="3"/>
  <c r="C2744" i="3"/>
  <c r="C2745" i="3"/>
  <c r="C2746" i="3"/>
  <c r="C2747" i="3"/>
  <c r="C2748" i="3"/>
  <c r="C2749" i="3"/>
  <c r="C2750" i="3"/>
  <c r="C2751" i="3"/>
  <c r="C2752" i="3"/>
  <c r="C2753" i="3"/>
  <c r="C2754" i="3"/>
  <c r="C2755" i="3"/>
  <c r="C2756" i="3"/>
  <c r="C2757" i="3"/>
  <c r="C2758" i="3"/>
  <c r="C2759" i="3"/>
  <c r="C2760" i="3"/>
  <c r="C2761" i="3"/>
  <c r="C2762" i="3"/>
  <c r="C2763" i="3"/>
  <c r="C2704" i="3"/>
  <c r="C2585" i="3"/>
  <c r="C2586" i="3"/>
  <c r="C2587" i="3"/>
  <c r="C2588" i="3"/>
  <c r="C2589" i="3"/>
  <c r="C2590" i="3"/>
  <c r="C2591" i="3"/>
  <c r="C2592" i="3"/>
  <c r="C2593" i="3"/>
  <c r="C2594" i="3"/>
  <c r="C2595" i="3"/>
  <c r="C2596" i="3"/>
  <c r="C2597" i="3"/>
  <c r="C2598" i="3"/>
  <c r="C2599" i="3"/>
  <c r="C2600" i="3"/>
  <c r="C2601" i="3"/>
  <c r="C2602" i="3"/>
  <c r="C2603" i="3"/>
  <c r="C2604" i="3"/>
  <c r="C2605" i="3"/>
  <c r="C2606" i="3"/>
  <c r="C2607" i="3"/>
  <c r="C2608" i="3"/>
  <c r="C2609" i="3"/>
  <c r="C2610" i="3"/>
  <c r="C2611" i="3"/>
  <c r="C2612" i="3"/>
  <c r="C2613" i="3"/>
  <c r="C2614" i="3"/>
  <c r="C2615" i="3"/>
  <c r="C2616" i="3"/>
  <c r="C2617" i="3"/>
  <c r="C2618" i="3"/>
  <c r="C2619" i="3"/>
  <c r="C2620" i="3"/>
  <c r="C2621" i="3"/>
  <c r="C2622" i="3"/>
  <c r="C2623" i="3"/>
  <c r="C2624" i="3"/>
  <c r="C2625" i="3"/>
  <c r="C2626" i="3"/>
  <c r="C2627" i="3"/>
  <c r="C2628" i="3"/>
  <c r="C2584" i="3"/>
  <c r="C2344" i="3"/>
  <c r="C2345" i="3"/>
  <c r="C2346" i="3"/>
  <c r="C2347" i="3"/>
  <c r="C2348" i="3"/>
  <c r="C2349" i="3"/>
  <c r="C2350" i="3"/>
  <c r="C2351" i="3"/>
  <c r="C2352" i="3"/>
  <c r="C2353" i="3"/>
  <c r="C2354" i="3"/>
  <c r="C2355" i="3"/>
  <c r="C2356" i="3"/>
  <c r="C2357" i="3"/>
  <c r="C2358" i="3"/>
  <c r="C2359" i="3"/>
  <c r="C2360" i="3"/>
  <c r="C2361" i="3"/>
  <c r="C2362" i="3"/>
  <c r="C2363" i="3"/>
  <c r="C2364" i="3"/>
  <c r="C2365" i="3"/>
  <c r="C2366" i="3"/>
  <c r="C2367" i="3"/>
  <c r="C2368" i="3"/>
  <c r="C2369" i="3"/>
  <c r="C2370" i="3"/>
  <c r="C2371" i="3"/>
  <c r="C2372" i="3"/>
  <c r="C2373" i="3"/>
  <c r="C2374" i="3"/>
  <c r="C2375" i="3"/>
  <c r="C2376" i="3"/>
  <c r="C2377" i="3"/>
  <c r="C2378" i="3"/>
  <c r="C2379" i="3"/>
  <c r="C2380" i="3"/>
  <c r="C2381" i="3"/>
  <c r="C2382" i="3"/>
  <c r="C2383" i="3"/>
  <c r="C2384" i="3"/>
  <c r="C2385" i="3"/>
  <c r="C2386" i="3"/>
  <c r="C2387" i="3"/>
  <c r="C2388" i="3"/>
  <c r="C2225" i="3"/>
  <c r="C2226" i="3"/>
  <c r="C2227" i="3"/>
  <c r="C2228" i="3"/>
  <c r="C2229" i="3"/>
  <c r="C2230" i="3"/>
  <c r="C2231" i="3"/>
  <c r="C2232" i="3"/>
  <c r="C2233" i="3"/>
  <c r="C2234" i="3"/>
  <c r="C2235" i="3"/>
  <c r="C2236" i="3"/>
  <c r="C2237" i="3"/>
  <c r="C2238" i="3"/>
  <c r="C2239" i="3"/>
  <c r="C2240" i="3"/>
  <c r="C2241" i="3"/>
  <c r="C2242" i="3"/>
  <c r="C2243" i="3"/>
  <c r="C2244" i="3"/>
  <c r="C2245" i="3"/>
  <c r="C2246" i="3"/>
  <c r="C2247" i="3"/>
  <c r="C2248" i="3"/>
  <c r="C2249" i="3"/>
  <c r="C2250" i="3"/>
  <c r="C2251" i="3"/>
  <c r="C2252" i="3"/>
  <c r="C2253" i="3"/>
  <c r="C2254" i="3"/>
  <c r="C2255" i="3"/>
  <c r="C2256" i="3"/>
  <c r="C2257" i="3"/>
  <c r="C2258" i="3"/>
  <c r="C2259" i="3"/>
  <c r="C2260" i="3"/>
  <c r="C2261" i="3"/>
  <c r="C2262" i="3"/>
  <c r="C2263" i="3"/>
  <c r="C2264" i="3"/>
  <c r="C2265" i="3"/>
  <c r="C2266" i="3"/>
  <c r="C2267" i="3"/>
  <c r="C2268" i="3"/>
  <c r="C2269" i="3"/>
  <c r="C2270" i="3"/>
  <c r="C2271" i="3"/>
  <c r="C2272" i="3"/>
  <c r="C2273" i="3"/>
  <c r="C2274" i="3"/>
  <c r="C2275" i="3"/>
  <c r="C2276" i="3"/>
  <c r="C2277" i="3"/>
  <c r="C2278" i="3"/>
  <c r="C2279" i="3"/>
  <c r="C2280" i="3"/>
  <c r="C2281" i="3"/>
  <c r="C2282" i="3"/>
  <c r="C2283" i="3"/>
  <c r="C2224" i="3"/>
  <c r="C2119" i="3"/>
  <c r="C2120" i="3"/>
  <c r="C2121" i="3"/>
  <c r="C2122" i="3"/>
  <c r="C2123" i="3"/>
  <c r="C2124" i="3"/>
  <c r="C2125" i="3"/>
  <c r="C2126" i="3"/>
  <c r="C2127" i="3"/>
  <c r="C2128" i="3"/>
  <c r="C2129" i="3"/>
  <c r="C2130" i="3"/>
  <c r="C2131" i="3"/>
  <c r="C2132" i="3"/>
  <c r="C2133" i="3"/>
  <c r="C2134" i="3"/>
  <c r="C2135" i="3"/>
  <c r="C2136" i="3"/>
  <c r="C2137" i="3"/>
  <c r="C2138" i="3"/>
  <c r="C2139" i="3"/>
  <c r="C2140" i="3"/>
  <c r="C2141" i="3"/>
  <c r="C2142" i="3"/>
  <c r="C2143" i="3"/>
  <c r="C2144" i="3"/>
  <c r="C2145" i="3"/>
  <c r="C2146" i="3"/>
  <c r="C2147" i="3"/>
  <c r="C2148" i="3"/>
  <c r="C2105" i="3"/>
  <c r="C2106" i="3"/>
  <c r="C2107" i="3"/>
  <c r="C2108" i="3"/>
  <c r="C2109" i="3"/>
  <c r="C2110" i="3"/>
  <c r="C2111" i="3"/>
  <c r="C2112" i="3"/>
  <c r="C2113" i="3"/>
  <c r="C2114" i="3"/>
  <c r="C2115" i="3"/>
  <c r="C2116" i="3"/>
  <c r="C2117" i="3"/>
  <c r="C2118" i="3"/>
  <c r="C2104" i="3"/>
  <c r="H4287" i="3"/>
  <c r="D453" i="3" l="1"/>
  <c r="D452" i="3"/>
  <c r="D451" i="3"/>
  <c r="D450" i="3"/>
  <c r="D449" i="3"/>
  <c r="D448" i="3"/>
  <c r="D447" i="3"/>
  <c r="D446" i="3"/>
  <c r="D445" i="3"/>
  <c r="D444" i="3"/>
  <c r="D443" i="3"/>
  <c r="D438" i="3"/>
  <c r="D437" i="3"/>
  <c r="D436" i="3"/>
  <c r="D435" i="3"/>
  <c r="D434" i="3"/>
  <c r="D433" i="3"/>
  <c r="D432" i="3"/>
  <c r="D431" i="3"/>
  <c r="D430" i="3"/>
  <c r="D429" i="3"/>
  <c r="D428" i="3"/>
  <c r="B12" i="7"/>
  <c r="D393" i="3"/>
  <c r="D392" i="3"/>
  <c r="D391" i="3"/>
  <c r="D390" i="3"/>
  <c r="D389" i="3"/>
  <c r="D388" i="3"/>
  <c r="D387" i="3"/>
  <c r="D386" i="3"/>
  <c r="D385" i="3"/>
  <c r="D384" i="3"/>
  <c r="D383" i="3"/>
  <c r="D378" i="3"/>
  <c r="D377" i="3"/>
  <c r="D376" i="3"/>
  <c r="D375" i="3"/>
  <c r="D374" i="3"/>
  <c r="D373" i="3"/>
  <c r="D372" i="3"/>
  <c r="D371" i="3"/>
  <c r="D370" i="3"/>
  <c r="D369" i="3"/>
  <c r="D368" i="3"/>
  <c r="D348" i="3"/>
  <c r="D347" i="3"/>
  <c r="D346" i="3"/>
  <c r="D345" i="3"/>
  <c r="D344" i="3"/>
  <c r="D343" i="3"/>
  <c r="D342" i="3"/>
  <c r="D341" i="3"/>
  <c r="D340" i="3"/>
  <c r="D339" i="3"/>
  <c r="D338" i="3"/>
  <c r="D318" i="3"/>
  <c r="D317" i="3"/>
  <c r="D316" i="3"/>
  <c r="D315" i="3"/>
  <c r="D314" i="3"/>
  <c r="D313" i="3"/>
  <c r="D312" i="3"/>
  <c r="D311" i="3"/>
  <c r="D310" i="3"/>
  <c r="D309" i="3"/>
  <c r="D308" i="3"/>
  <c r="D306" i="3"/>
  <c r="D273" i="3"/>
  <c r="D272" i="3"/>
  <c r="D271" i="3"/>
  <c r="D270" i="3"/>
  <c r="D269" i="3"/>
  <c r="D268" i="3"/>
  <c r="D267" i="3"/>
  <c r="D266" i="3"/>
  <c r="D265" i="3"/>
  <c r="D264" i="3"/>
  <c r="D263" i="3"/>
  <c r="D243" i="3"/>
  <c r="D242" i="3"/>
  <c r="D241" i="3"/>
  <c r="D240" i="3"/>
  <c r="D239" i="3"/>
  <c r="D238" i="3"/>
  <c r="D237" i="3"/>
  <c r="D236" i="3"/>
  <c r="D235" i="3"/>
  <c r="D234" i="3"/>
  <c r="D233" i="3"/>
  <c r="D228" i="3"/>
  <c r="D227" i="3"/>
  <c r="D226" i="3"/>
  <c r="D225" i="3"/>
  <c r="D224" i="3"/>
  <c r="D223" i="3"/>
  <c r="D222" i="3"/>
  <c r="D221" i="3"/>
  <c r="D220" i="3"/>
  <c r="D219" i="3"/>
  <c r="D218" i="3"/>
  <c r="D211" i="3"/>
  <c r="D210" i="3"/>
  <c r="D209" i="3"/>
  <c r="D208" i="3"/>
  <c r="D207" i="3"/>
  <c r="D206" i="3"/>
  <c r="D205" i="3"/>
  <c r="D204" i="3"/>
  <c r="D191" i="3"/>
  <c r="D190" i="3"/>
  <c r="D189" i="3"/>
  <c r="D188" i="3"/>
  <c r="D192" i="3"/>
  <c r="D195" i="3"/>
  <c r="D194" i="3"/>
  <c r="D193" i="3"/>
  <c r="D196" i="3"/>
  <c r="D197" i="3"/>
  <c r="D198" i="3"/>
  <c r="D168" i="3"/>
  <c r="D167" i="3"/>
  <c r="D166" i="3"/>
  <c r="D165" i="3"/>
  <c r="D164" i="3"/>
  <c r="D163" i="3"/>
  <c r="D162" i="3"/>
  <c r="D161" i="3"/>
  <c r="D160" i="3"/>
  <c r="D159" i="3"/>
  <c r="D158" i="3"/>
  <c r="D178" i="3"/>
  <c r="C178" i="3"/>
  <c r="B178" i="3"/>
  <c r="C177" i="3"/>
  <c r="B177" i="3"/>
  <c r="C176" i="3"/>
  <c r="B176" i="3"/>
  <c r="C175" i="3"/>
  <c r="B175" i="3"/>
  <c r="C174" i="3"/>
  <c r="B174" i="3"/>
  <c r="C173" i="3"/>
  <c r="B173" i="3"/>
  <c r="C172" i="3"/>
  <c r="B172" i="3"/>
  <c r="C171" i="3"/>
  <c r="B171" i="3"/>
  <c r="C170" i="3"/>
  <c r="B170" i="3"/>
  <c r="C169" i="3"/>
  <c r="B169" i="3"/>
  <c r="C168" i="3"/>
  <c r="B168" i="3"/>
  <c r="C167" i="3"/>
  <c r="B167" i="3"/>
  <c r="C166" i="3"/>
  <c r="B166" i="3"/>
  <c r="C165" i="3"/>
  <c r="B165" i="3"/>
  <c r="C164" i="3"/>
  <c r="B164" i="3"/>
  <c r="C163" i="3"/>
  <c r="B163" i="3"/>
  <c r="C162" i="3"/>
  <c r="B162" i="3"/>
  <c r="C161" i="3"/>
  <c r="B161" i="3"/>
  <c r="C160" i="3"/>
  <c r="B160" i="3"/>
  <c r="C159" i="3"/>
  <c r="B159" i="3"/>
  <c r="C158" i="3"/>
  <c r="B158" i="3"/>
  <c r="C157" i="3"/>
  <c r="B157" i="3"/>
  <c r="C156" i="3"/>
  <c r="B156" i="3"/>
  <c r="C155" i="3"/>
  <c r="B155" i="3"/>
  <c r="C154" i="3"/>
  <c r="B154" i="3"/>
  <c r="B17" i="7"/>
  <c r="B18" i="7"/>
  <c r="B40" i="7"/>
  <c r="D183" i="3"/>
  <c r="D182" i="3"/>
  <c r="D181" i="3"/>
  <c r="D180" i="3"/>
  <c r="D179" i="3"/>
  <c r="D177" i="3"/>
  <c r="D176" i="3"/>
  <c r="D175" i="3"/>
  <c r="D174" i="3"/>
  <c r="D173" i="3"/>
  <c r="Q61" i="83"/>
  <c r="Q60" i="83"/>
  <c r="Q59" i="83"/>
  <c r="Q58" i="83"/>
  <c r="Q57" i="83"/>
  <c r="Q56" i="83"/>
  <c r="Q55" i="83"/>
  <c r="Q54" i="83"/>
  <c r="Q53" i="83"/>
  <c r="Q50" i="83"/>
  <c r="Q49" i="83"/>
  <c r="Q48" i="83"/>
  <c r="Q47" i="83"/>
  <c r="Q46" i="83"/>
  <c r="Q45" i="83"/>
  <c r="Q44" i="83"/>
  <c r="Q43" i="83"/>
  <c r="Q42" i="83"/>
  <c r="Q41" i="83"/>
  <c r="Q36" i="83"/>
  <c r="Q35" i="83"/>
  <c r="Q34" i="83"/>
  <c r="Q33" i="83"/>
  <c r="Q32" i="83"/>
  <c r="Q31" i="83"/>
  <c r="Q30" i="83"/>
  <c r="Q29" i="83"/>
  <c r="Q28" i="83"/>
  <c r="Q27" i="83"/>
  <c r="Q26" i="83"/>
  <c r="Q25" i="83"/>
  <c r="Q24" i="83"/>
  <c r="Q23" i="83"/>
  <c r="Q22" i="83"/>
  <c r="Q21" i="83"/>
  <c r="Q20" i="83"/>
  <c r="Q19" i="83"/>
  <c r="Q17" i="83"/>
  <c r="Q16" i="83"/>
  <c r="Q15" i="83"/>
  <c r="Q14" i="83"/>
  <c r="Q13" i="83"/>
  <c r="Q12" i="83"/>
  <c r="Q11" i="83"/>
  <c r="Q10" i="83"/>
  <c r="Q9" i="83"/>
  <c r="Q8" i="83"/>
  <c r="Q7" i="83"/>
  <c r="Q6" i="83"/>
  <c r="Q5" i="83"/>
  <c r="P61" i="83"/>
  <c r="P60" i="83"/>
  <c r="P59" i="83"/>
  <c r="P58" i="83"/>
  <c r="P57" i="83"/>
  <c r="P56" i="83"/>
  <c r="P55" i="83"/>
  <c r="P54" i="83"/>
  <c r="P53" i="83"/>
  <c r="P50" i="83"/>
  <c r="P49" i="83"/>
  <c r="P48" i="83"/>
  <c r="P47" i="83"/>
  <c r="P46" i="83"/>
  <c r="P45" i="83"/>
  <c r="P44" i="83"/>
  <c r="P43" i="83"/>
  <c r="P42" i="83"/>
  <c r="P41" i="83"/>
  <c r="P36" i="83"/>
  <c r="P35" i="83"/>
  <c r="P34" i="83"/>
  <c r="P33" i="83"/>
  <c r="P32" i="83"/>
  <c r="P31" i="83"/>
  <c r="P30" i="83"/>
  <c r="P29" i="83"/>
  <c r="P28" i="83"/>
  <c r="P27" i="83"/>
  <c r="P26" i="83"/>
  <c r="P25" i="83"/>
  <c r="P24" i="83"/>
  <c r="P23" i="83"/>
  <c r="P22" i="83"/>
  <c r="P21" i="83"/>
  <c r="P20" i="83"/>
  <c r="P19" i="83"/>
  <c r="P17" i="83"/>
  <c r="P16" i="83"/>
  <c r="P15" i="83"/>
  <c r="P14" i="83"/>
  <c r="P13" i="83"/>
  <c r="P12" i="83"/>
  <c r="P11" i="83"/>
  <c r="P10" i="83"/>
  <c r="P9" i="83"/>
  <c r="P8" i="83"/>
  <c r="P7" i="83"/>
  <c r="P6" i="83"/>
  <c r="P5" i="83"/>
  <c r="O61" i="83"/>
  <c r="O60" i="83"/>
  <c r="O59" i="83"/>
  <c r="O58" i="83"/>
  <c r="O57" i="83"/>
  <c r="O56" i="83"/>
  <c r="O55" i="83"/>
  <c r="O54" i="83"/>
  <c r="O53" i="83"/>
  <c r="O50" i="83"/>
  <c r="O49" i="83"/>
  <c r="O48" i="83"/>
  <c r="O47" i="83"/>
  <c r="O46" i="83"/>
  <c r="O45" i="83"/>
  <c r="O44" i="83"/>
  <c r="O43" i="83"/>
  <c r="O42" i="83"/>
  <c r="O41" i="83"/>
  <c r="O36" i="83"/>
  <c r="O35" i="83"/>
  <c r="O34" i="83"/>
  <c r="O33" i="83"/>
  <c r="O32" i="83"/>
  <c r="O31" i="83"/>
  <c r="O30" i="83"/>
  <c r="O29" i="83"/>
  <c r="O28" i="83"/>
  <c r="O27" i="83"/>
  <c r="O26" i="83"/>
  <c r="O25" i="83"/>
  <c r="O24" i="83"/>
  <c r="O23" i="83"/>
  <c r="O22" i="83"/>
  <c r="O21" i="83"/>
  <c r="O20" i="83"/>
  <c r="O19" i="83"/>
  <c r="O17" i="83"/>
  <c r="O16" i="83"/>
  <c r="O15" i="83"/>
  <c r="O14" i="83"/>
  <c r="O13" i="83"/>
  <c r="O12" i="83"/>
  <c r="O11" i="83"/>
  <c r="O10" i="83"/>
  <c r="O9" i="83"/>
  <c r="O8" i="83"/>
  <c r="O7" i="83"/>
  <c r="O6" i="83"/>
  <c r="O5" i="83"/>
  <c r="N61" i="83"/>
  <c r="N60" i="83"/>
  <c r="N59" i="83"/>
  <c r="N58" i="83"/>
  <c r="N57" i="83"/>
  <c r="N56" i="83"/>
  <c r="N55" i="83"/>
  <c r="N54" i="83"/>
  <c r="N53" i="83"/>
  <c r="N50" i="83"/>
  <c r="N49" i="83"/>
  <c r="N48" i="83"/>
  <c r="N47" i="83"/>
  <c r="N46" i="83"/>
  <c r="N45" i="83"/>
  <c r="N44" i="83"/>
  <c r="N43" i="83"/>
  <c r="N42" i="83"/>
  <c r="N41" i="83"/>
  <c r="N36" i="83"/>
  <c r="N35" i="83"/>
  <c r="N34" i="83"/>
  <c r="N33" i="83"/>
  <c r="N32" i="83"/>
  <c r="N31" i="83"/>
  <c r="N30" i="83"/>
  <c r="N29" i="83"/>
  <c r="N28" i="83"/>
  <c r="N27" i="83"/>
  <c r="N26" i="83"/>
  <c r="N25" i="83"/>
  <c r="N24" i="83"/>
  <c r="N23" i="83"/>
  <c r="N22" i="83"/>
  <c r="N21" i="83"/>
  <c r="N20" i="83"/>
  <c r="N19" i="83"/>
  <c r="N17" i="83"/>
  <c r="N16" i="83"/>
  <c r="N15" i="83"/>
  <c r="N14" i="83"/>
  <c r="N13" i="83"/>
  <c r="N12" i="83"/>
  <c r="N11" i="83"/>
  <c r="N10" i="83"/>
  <c r="N9" i="83"/>
  <c r="N8" i="83"/>
  <c r="N7" i="83"/>
  <c r="N6" i="83"/>
  <c r="N5" i="83"/>
  <c r="M61" i="83"/>
  <c r="M60" i="83"/>
  <c r="M59" i="83"/>
  <c r="M58" i="83"/>
  <c r="M57" i="83"/>
  <c r="M56" i="83"/>
  <c r="M55" i="83"/>
  <c r="M54" i="83"/>
  <c r="M53" i="83"/>
  <c r="M50" i="83"/>
  <c r="M49" i="83"/>
  <c r="M48" i="83"/>
  <c r="M47" i="83"/>
  <c r="M46" i="83"/>
  <c r="M45" i="83"/>
  <c r="M44" i="83"/>
  <c r="M43" i="83"/>
  <c r="M42" i="83"/>
  <c r="M41" i="83"/>
  <c r="M36" i="83"/>
  <c r="M35" i="83"/>
  <c r="M34" i="83"/>
  <c r="M33" i="83"/>
  <c r="M32" i="83"/>
  <c r="M31" i="83"/>
  <c r="M30" i="83"/>
  <c r="M29" i="83"/>
  <c r="M28" i="83"/>
  <c r="M27" i="83"/>
  <c r="M26" i="83"/>
  <c r="M25" i="83"/>
  <c r="M24" i="83"/>
  <c r="M23" i="83"/>
  <c r="M22" i="83"/>
  <c r="M21" i="83"/>
  <c r="M20" i="83"/>
  <c r="M19" i="83"/>
  <c r="M17" i="83"/>
  <c r="M16" i="83"/>
  <c r="M15" i="83"/>
  <c r="M14" i="83"/>
  <c r="M13" i="83"/>
  <c r="M12" i="83"/>
  <c r="M11" i="83"/>
  <c r="M10" i="83"/>
  <c r="M9" i="83"/>
  <c r="M8" i="83"/>
  <c r="M7" i="83"/>
  <c r="M6" i="83"/>
  <c r="M5" i="83"/>
  <c r="L61" i="83"/>
  <c r="L60" i="83"/>
  <c r="L59" i="83"/>
  <c r="L58" i="83"/>
  <c r="L57" i="83"/>
  <c r="L56" i="83"/>
  <c r="L55" i="83"/>
  <c r="L54" i="83"/>
  <c r="L53" i="83"/>
  <c r="L50" i="83"/>
  <c r="L49" i="83"/>
  <c r="L48" i="83"/>
  <c r="L47" i="83"/>
  <c r="L46" i="83"/>
  <c r="L45" i="83"/>
  <c r="L44" i="83"/>
  <c r="L43" i="83"/>
  <c r="L42" i="83"/>
  <c r="L41" i="83"/>
  <c r="L36" i="83"/>
  <c r="L35" i="83"/>
  <c r="L34" i="83"/>
  <c r="L33" i="83"/>
  <c r="L32" i="83"/>
  <c r="L31" i="83"/>
  <c r="L30" i="83"/>
  <c r="L29" i="83"/>
  <c r="L28" i="83"/>
  <c r="L27" i="83"/>
  <c r="L26" i="83"/>
  <c r="L25" i="83"/>
  <c r="L24" i="83"/>
  <c r="L23" i="83"/>
  <c r="L22" i="83"/>
  <c r="L21" i="83"/>
  <c r="L20" i="83"/>
  <c r="L19" i="83"/>
  <c r="L17" i="83"/>
  <c r="L16" i="83"/>
  <c r="L15" i="83"/>
  <c r="L14" i="83"/>
  <c r="L13" i="83"/>
  <c r="L12" i="83"/>
  <c r="L11" i="83"/>
  <c r="L10" i="83"/>
  <c r="L9" i="83"/>
  <c r="L8" i="83"/>
  <c r="L7" i="83"/>
  <c r="L6" i="83"/>
  <c r="L5" i="83"/>
  <c r="K61" i="83"/>
  <c r="K60" i="83"/>
  <c r="K59" i="83"/>
  <c r="K58" i="83"/>
  <c r="K57" i="83"/>
  <c r="K56" i="83"/>
  <c r="K55" i="83"/>
  <c r="K54" i="83"/>
  <c r="K53" i="83"/>
  <c r="K50" i="83"/>
  <c r="K49" i="83"/>
  <c r="K48" i="83"/>
  <c r="K47" i="83"/>
  <c r="K46" i="83"/>
  <c r="K45" i="83"/>
  <c r="K44" i="83"/>
  <c r="K43" i="83"/>
  <c r="K42" i="83"/>
  <c r="K41" i="83"/>
  <c r="K36" i="83"/>
  <c r="K35" i="83"/>
  <c r="K34" i="83"/>
  <c r="K33" i="83"/>
  <c r="K32" i="83"/>
  <c r="K31" i="83"/>
  <c r="K30" i="83"/>
  <c r="K29" i="83"/>
  <c r="K28" i="83"/>
  <c r="K27" i="83"/>
  <c r="K26" i="83"/>
  <c r="K25" i="83"/>
  <c r="K24" i="83"/>
  <c r="K23" i="83"/>
  <c r="K22" i="83"/>
  <c r="K21" i="83"/>
  <c r="K20" i="83"/>
  <c r="K19" i="83"/>
  <c r="K17" i="83"/>
  <c r="K16" i="83"/>
  <c r="K15" i="83"/>
  <c r="K14" i="83"/>
  <c r="K13" i="83"/>
  <c r="K12" i="83"/>
  <c r="K11" i="83"/>
  <c r="K10" i="83"/>
  <c r="K9" i="83"/>
  <c r="K8" i="83"/>
  <c r="K7" i="83"/>
  <c r="K6" i="83"/>
  <c r="K5" i="83"/>
  <c r="J61" i="83"/>
  <c r="J60" i="83"/>
  <c r="J59" i="83"/>
  <c r="J58" i="83"/>
  <c r="J57" i="83"/>
  <c r="J56" i="83"/>
  <c r="J55" i="83"/>
  <c r="J54" i="83"/>
  <c r="J53" i="83"/>
  <c r="J50" i="83"/>
  <c r="J49" i="83"/>
  <c r="J48" i="83"/>
  <c r="J47" i="83"/>
  <c r="J46" i="83"/>
  <c r="J45" i="83"/>
  <c r="J44" i="83"/>
  <c r="J43" i="83"/>
  <c r="J42" i="83"/>
  <c r="J41" i="83"/>
  <c r="J36" i="83"/>
  <c r="J35" i="83"/>
  <c r="J34" i="83"/>
  <c r="J33" i="83"/>
  <c r="J32" i="83"/>
  <c r="J31" i="83"/>
  <c r="J30" i="83"/>
  <c r="J29" i="83"/>
  <c r="J28" i="83"/>
  <c r="J27" i="83"/>
  <c r="J26" i="83"/>
  <c r="J25" i="83"/>
  <c r="J24" i="83"/>
  <c r="J23" i="83"/>
  <c r="J22" i="83"/>
  <c r="J21" i="83"/>
  <c r="J20" i="83"/>
  <c r="J19" i="83"/>
  <c r="J17" i="83"/>
  <c r="J16" i="83"/>
  <c r="J15" i="83"/>
  <c r="J14" i="83"/>
  <c r="J13" i="83"/>
  <c r="J12" i="83"/>
  <c r="J11" i="83"/>
  <c r="J10" i="83"/>
  <c r="J9" i="83"/>
  <c r="J8" i="83"/>
  <c r="J7" i="83"/>
  <c r="J6" i="83"/>
  <c r="J5" i="83"/>
  <c r="I61" i="83"/>
  <c r="I60" i="83"/>
  <c r="I59" i="83"/>
  <c r="I58" i="83"/>
  <c r="I57" i="83"/>
  <c r="I56" i="83"/>
  <c r="I55" i="83"/>
  <c r="I54" i="83"/>
  <c r="I53" i="83"/>
  <c r="I50" i="83"/>
  <c r="I49" i="83"/>
  <c r="I48" i="83"/>
  <c r="I47" i="83"/>
  <c r="I46" i="83"/>
  <c r="I45" i="83"/>
  <c r="I44" i="83"/>
  <c r="I43" i="83"/>
  <c r="I42" i="83"/>
  <c r="I41" i="83"/>
  <c r="I36" i="83"/>
  <c r="I35" i="83"/>
  <c r="I34" i="83"/>
  <c r="I33" i="83"/>
  <c r="I32" i="83"/>
  <c r="I31" i="83"/>
  <c r="I30" i="83"/>
  <c r="I29" i="83"/>
  <c r="I28" i="83"/>
  <c r="I27" i="83"/>
  <c r="I26" i="83"/>
  <c r="I25" i="83"/>
  <c r="I24" i="83"/>
  <c r="I23" i="83"/>
  <c r="I22" i="83"/>
  <c r="I21" i="83"/>
  <c r="I20" i="83"/>
  <c r="I19" i="83"/>
  <c r="I17" i="83"/>
  <c r="I16" i="83"/>
  <c r="I15" i="83"/>
  <c r="I14" i="83"/>
  <c r="I13" i="83"/>
  <c r="I12" i="83"/>
  <c r="I11" i="83"/>
  <c r="I10" i="83"/>
  <c r="I9" i="83"/>
  <c r="I8" i="83"/>
  <c r="I7" i="83"/>
  <c r="I6" i="83"/>
  <c r="I5" i="83"/>
  <c r="H61" i="83"/>
  <c r="H60" i="83"/>
  <c r="H59" i="83"/>
  <c r="H58" i="83"/>
  <c r="H57" i="83"/>
  <c r="H56" i="83"/>
  <c r="H55" i="83"/>
  <c r="H54" i="83"/>
  <c r="H53" i="83"/>
  <c r="H50" i="83"/>
  <c r="H49" i="83"/>
  <c r="H48" i="83"/>
  <c r="H47" i="83"/>
  <c r="H46" i="83"/>
  <c r="H45" i="83"/>
  <c r="H44" i="83"/>
  <c r="H43" i="83"/>
  <c r="H42" i="83"/>
  <c r="H41" i="83"/>
  <c r="H36" i="83"/>
  <c r="H35" i="83"/>
  <c r="H34" i="83"/>
  <c r="H33" i="83"/>
  <c r="H32" i="83"/>
  <c r="H31" i="83"/>
  <c r="H30" i="83"/>
  <c r="H29" i="83"/>
  <c r="H28" i="83"/>
  <c r="H27" i="83"/>
  <c r="H26" i="83"/>
  <c r="H25" i="83"/>
  <c r="H24" i="83"/>
  <c r="H23" i="83"/>
  <c r="H22" i="83"/>
  <c r="H21" i="83"/>
  <c r="H20" i="83"/>
  <c r="H19" i="83"/>
  <c r="H17" i="83"/>
  <c r="H16" i="83"/>
  <c r="H15" i="83"/>
  <c r="H14" i="83"/>
  <c r="H13" i="83"/>
  <c r="H12" i="83"/>
  <c r="H11" i="83"/>
  <c r="H10" i="83"/>
  <c r="H9" i="83"/>
  <c r="H8" i="83"/>
  <c r="H7" i="83"/>
  <c r="H6" i="83"/>
  <c r="H5" i="83"/>
  <c r="G61" i="83"/>
  <c r="G60" i="83"/>
  <c r="G59" i="83"/>
  <c r="G58" i="83"/>
  <c r="G57" i="83"/>
  <c r="G56" i="83"/>
  <c r="G55" i="83"/>
  <c r="G54" i="83"/>
  <c r="G53" i="83"/>
  <c r="G50" i="83"/>
  <c r="G49" i="83"/>
  <c r="G48" i="83"/>
  <c r="G47" i="83"/>
  <c r="G46" i="83"/>
  <c r="G45" i="83"/>
  <c r="G44" i="83"/>
  <c r="G43" i="83"/>
  <c r="G42" i="83"/>
  <c r="G41" i="83"/>
  <c r="G36" i="83"/>
  <c r="G35" i="83"/>
  <c r="G34" i="83"/>
  <c r="G33" i="83"/>
  <c r="G32" i="83"/>
  <c r="G31" i="83"/>
  <c r="G30" i="83"/>
  <c r="G29" i="83"/>
  <c r="G28" i="83"/>
  <c r="G27" i="83"/>
  <c r="G26" i="83"/>
  <c r="G25" i="83"/>
  <c r="G24" i="83"/>
  <c r="G23" i="83"/>
  <c r="G22" i="83"/>
  <c r="G21" i="83"/>
  <c r="G20" i="83"/>
  <c r="G19" i="83"/>
  <c r="G17" i="83"/>
  <c r="G16" i="83"/>
  <c r="G15" i="83"/>
  <c r="G14" i="83"/>
  <c r="G13" i="83"/>
  <c r="G12" i="83"/>
  <c r="G11" i="83"/>
  <c r="G10" i="83"/>
  <c r="G9" i="83"/>
  <c r="G8" i="83"/>
  <c r="G7" i="83"/>
  <c r="G6" i="83"/>
  <c r="G5" i="83"/>
  <c r="F61" i="83"/>
  <c r="F60" i="83"/>
  <c r="F59" i="83"/>
  <c r="F58" i="83"/>
  <c r="F57" i="83"/>
  <c r="F56" i="83"/>
  <c r="F55" i="83"/>
  <c r="F54" i="83"/>
  <c r="F53" i="83"/>
  <c r="F50" i="83"/>
  <c r="F49" i="83"/>
  <c r="F48" i="83"/>
  <c r="F47" i="83"/>
  <c r="F46" i="83"/>
  <c r="F45" i="83"/>
  <c r="F44" i="83"/>
  <c r="F43" i="83"/>
  <c r="F42" i="83"/>
  <c r="F41" i="83"/>
  <c r="F36" i="83"/>
  <c r="F35" i="83"/>
  <c r="F34" i="83"/>
  <c r="F33" i="83"/>
  <c r="F32" i="83"/>
  <c r="F31" i="83"/>
  <c r="F30" i="83"/>
  <c r="F29" i="83"/>
  <c r="F28" i="83"/>
  <c r="F27" i="83"/>
  <c r="F26" i="83"/>
  <c r="F25" i="83"/>
  <c r="F24" i="83"/>
  <c r="F23" i="83"/>
  <c r="F22" i="83"/>
  <c r="F21" i="83"/>
  <c r="F20" i="83"/>
  <c r="F19" i="83"/>
  <c r="E61" i="83"/>
  <c r="E60" i="83"/>
  <c r="E59" i="83"/>
  <c r="E58" i="83"/>
  <c r="E57" i="83"/>
  <c r="E56" i="83"/>
  <c r="E55" i="83"/>
  <c r="E54" i="83"/>
  <c r="E53" i="83"/>
  <c r="E50" i="83"/>
  <c r="E49" i="83"/>
  <c r="E48" i="83"/>
  <c r="E47" i="83"/>
  <c r="E46" i="83"/>
  <c r="E45" i="83"/>
  <c r="E44" i="83"/>
  <c r="E43" i="83"/>
  <c r="E42" i="83"/>
  <c r="E41" i="83"/>
  <c r="E36" i="83"/>
  <c r="E35" i="83"/>
  <c r="E34" i="83"/>
  <c r="E33" i="83"/>
  <c r="E32" i="83"/>
  <c r="E31" i="83"/>
  <c r="E30" i="83"/>
  <c r="E29" i="83"/>
  <c r="E28" i="83"/>
  <c r="E27" i="83"/>
  <c r="E26" i="83"/>
  <c r="E25" i="83"/>
  <c r="E24" i="83"/>
  <c r="E23" i="83"/>
  <c r="E22" i="83"/>
  <c r="E21" i="83"/>
  <c r="E20" i="83"/>
  <c r="E19" i="83"/>
  <c r="F7" i="153"/>
  <c r="F7" i="166"/>
  <c r="F7" i="165"/>
  <c r="F7" i="164"/>
  <c r="F7" i="163"/>
  <c r="F7" i="162"/>
  <c r="F7" i="161"/>
  <c r="F7" i="160"/>
  <c r="F7" i="159"/>
  <c r="F7" i="158"/>
  <c r="F7" i="157"/>
  <c r="F7" i="156"/>
  <c r="F7" i="155"/>
  <c r="F7" i="154"/>
  <c r="B42" i="154"/>
  <c r="B41" i="154"/>
  <c r="B40" i="154"/>
  <c r="B38" i="154"/>
  <c r="B37" i="154"/>
  <c r="B36" i="154"/>
  <c r="B34" i="154"/>
  <c r="B33" i="154"/>
  <c r="B30" i="154"/>
  <c r="B29" i="154"/>
  <c r="B28" i="154"/>
  <c r="B27" i="154"/>
  <c r="B26" i="154"/>
  <c r="B25" i="154"/>
  <c r="B24" i="154"/>
  <c r="B23" i="154"/>
  <c r="B22" i="154"/>
  <c r="B19" i="154"/>
  <c r="B18" i="154"/>
  <c r="B17" i="154"/>
  <c r="B16" i="154"/>
  <c r="B15" i="154"/>
  <c r="B14" i="154"/>
  <c r="B13" i="154"/>
  <c r="B12" i="154"/>
  <c r="B11" i="154"/>
  <c r="B10" i="154"/>
  <c r="B9" i="154"/>
  <c r="B8" i="154"/>
  <c r="B7" i="154"/>
  <c r="B42" i="155"/>
  <c r="B41" i="155"/>
  <c r="B40" i="155"/>
  <c r="B38" i="155"/>
  <c r="B37" i="155"/>
  <c r="B36" i="155"/>
  <c r="B34" i="155"/>
  <c r="B33" i="155"/>
  <c r="B30" i="155"/>
  <c r="B29" i="155"/>
  <c r="B28" i="155"/>
  <c r="B27" i="155"/>
  <c r="B26" i="155"/>
  <c r="B25" i="155"/>
  <c r="B24" i="155"/>
  <c r="B23" i="155"/>
  <c r="B22" i="155"/>
  <c r="B19" i="155"/>
  <c r="B18" i="155"/>
  <c r="B17" i="155"/>
  <c r="B16" i="155"/>
  <c r="B15" i="155"/>
  <c r="B14" i="155"/>
  <c r="B13" i="155"/>
  <c r="B12" i="155"/>
  <c r="B11" i="155"/>
  <c r="B10" i="155"/>
  <c r="B9" i="155"/>
  <c r="B8" i="155"/>
  <c r="B7" i="155"/>
  <c r="B42" i="156"/>
  <c r="B41" i="156"/>
  <c r="B40" i="156"/>
  <c r="B38" i="156"/>
  <c r="B37" i="156"/>
  <c r="B36" i="156"/>
  <c r="B34" i="156"/>
  <c r="B33" i="156"/>
  <c r="B30" i="156"/>
  <c r="B29" i="156"/>
  <c r="B28" i="156"/>
  <c r="B27" i="156"/>
  <c r="B26" i="156"/>
  <c r="B25" i="156"/>
  <c r="B24" i="156"/>
  <c r="B23" i="156"/>
  <c r="B22" i="156"/>
  <c r="B19" i="156"/>
  <c r="B18" i="156"/>
  <c r="B17" i="156"/>
  <c r="B16" i="156"/>
  <c r="B15" i="156"/>
  <c r="B14" i="156"/>
  <c r="B13" i="156"/>
  <c r="B12" i="156"/>
  <c r="B11" i="156"/>
  <c r="B10" i="156"/>
  <c r="B9" i="156"/>
  <c r="B8" i="156"/>
  <c r="B7" i="156"/>
  <c r="B42" i="157"/>
  <c r="B41" i="157"/>
  <c r="B40" i="157"/>
  <c r="B38" i="157"/>
  <c r="B37" i="157"/>
  <c r="B36" i="157"/>
  <c r="B34" i="157"/>
  <c r="B33" i="157"/>
  <c r="B30" i="157"/>
  <c r="B29" i="157"/>
  <c r="B28" i="157"/>
  <c r="B27" i="157"/>
  <c r="B26" i="157"/>
  <c r="B25" i="157"/>
  <c r="B24" i="157"/>
  <c r="B23" i="157"/>
  <c r="B22" i="157"/>
  <c r="B19" i="157"/>
  <c r="B18" i="157"/>
  <c r="B17" i="157"/>
  <c r="B16" i="157"/>
  <c r="B15" i="157"/>
  <c r="B14" i="157"/>
  <c r="B13" i="157"/>
  <c r="B12" i="157"/>
  <c r="B11" i="157"/>
  <c r="B10" i="157"/>
  <c r="B9" i="157"/>
  <c r="B8" i="157"/>
  <c r="B7" i="157"/>
  <c r="B42" i="158"/>
  <c r="B41" i="158"/>
  <c r="B40" i="158"/>
  <c r="B38" i="158"/>
  <c r="B37" i="158"/>
  <c r="B36" i="158"/>
  <c r="B34" i="158"/>
  <c r="B33" i="158"/>
  <c r="B30" i="158"/>
  <c r="B29" i="158"/>
  <c r="B28" i="158"/>
  <c r="B27" i="158"/>
  <c r="B26" i="158"/>
  <c r="B25" i="158"/>
  <c r="B24" i="158"/>
  <c r="B23" i="158"/>
  <c r="B22" i="158"/>
  <c r="B19" i="158"/>
  <c r="B18" i="158"/>
  <c r="B17" i="158"/>
  <c r="B16" i="158"/>
  <c r="B15" i="158"/>
  <c r="B14" i="158"/>
  <c r="B13" i="158"/>
  <c r="B12" i="158"/>
  <c r="B11" i="158"/>
  <c r="C39" i="158" s="1"/>
  <c r="B10" i="158"/>
  <c r="B9" i="158"/>
  <c r="B8" i="158"/>
  <c r="B7" i="158"/>
  <c r="B42" i="159"/>
  <c r="B41" i="159"/>
  <c r="B40" i="159"/>
  <c r="B38" i="159"/>
  <c r="B37" i="159"/>
  <c r="B36" i="159"/>
  <c r="B34" i="159"/>
  <c r="B33" i="159"/>
  <c r="B30" i="159"/>
  <c r="B29" i="159"/>
  <c r="B28" i="159"/>
  <c r="B27" i="159"/>
  <c r="B26" i="159"/>
  <c r="B25" i="159"/>
  <c r="B24" i="159"/>
  <c r="B23" i="159"/>
  <c r="B22" i="159"/>
  <c r="B19" i="159"/>
  <c r="B18" i="159"/>
  <c r="B17" i="159"/>
  <c r="B16" i="159"/>
  <c r="B15" i="159"/>
  <c r="B14" i="159"/>
  <c r="B13" i="159"/>
  <c r="B12" i="159"/>
  <c r="B11" i="159"/>
  <c r="B10" i="159"/>
  <c r="B9" i="159"/>
  <c r="B8" i="159"/>
  <c r="B7" i="159"/>
  <c r="B42" i="160"/>
  <c r="B41" i="160"/>
  <c r="B40" i="160"/>
  <c r="B38" i="160"/>
  <c r="B37" i="160"/>
  <c r="B36" i="160"/>
  <c r="B34" i="160"/>
  <c r="B33" i="160"/>
  <c r="B30" i="160"/>
  <c r="B29" i="160"/>
  <c r="B28" i="160"/>
  <c r="B27" i="160"/>
  <c r="B26" i="160"/>
  <c r="B25" i="160"/>
  <c r="B24" i="160"/>
  <c r="B23" i="160"/>
  <c r="B22" i="160"/>
  <c r="B19" i="160"/>
  <c r="B18" i="160"/>
  <c r="B17" i="160"/>
  <c r="B16" i="160"/>
  <c r="C39" i="160" s="1"/>
  <c r="B15" i="160"/>
  <c r="B14" i="160"/>
  <c r="B13" i="160"/>
  <c r="B12" i="160"/>
  <c r="B11" i="160"/>
  <c r="B10" i="160"/>
  <c r="B9" i="160"/>
  <c r="B8" i="160"/>
  <c r="B7" i="160"/>
  <c r="B42" i="161"/>
  <c r="B41" i="161"/>
  <c r="B40" i="161"/>
  <c r="B38" i="161"/>
  <c r="B37" i="161"/>
  <c r="B36" i="161"/>
  <c r="B34" i="161"/>
  <c r="B33" i="161"/>
  <c r="B30" i="161"/>
  <c r="B29" i="161"/>
  <c r="B28" i="161"/>
  <c r="B27" i="161"/>
  <c r="B26" i="161"/>
  <c r="B25" i="161"/>
  <c r="B24" i="161"/>
  <c r="B23" i="161"/>
  <c r="B22" i="161"/>
  <c r="B19" i="161"/>
  <c r="B18" i="161"/>
  <c r="B17" i="161"/>
  <c r="B16" i="161"/>
  <c r="B15" i="161"/>
  <c r="B14" i="161"/>
  <c r="B13" i="161"/>
  <c r="B12" i="161"/>
  <c r="B11" i="161"/>
  <c r="C39" i="161" s="1"/>
  <c r="B10" i="161"/>
  <c r="B9" i="161"/>
  <c r="B8" i="161"/>
  <c r="B7" i="161"/>
  <c r="B42" i="162"/>
  <c r="B41" i="162"/>
  <c r="B40" i="162"/>
  <c r="B38" i="162"/>
  <c r="B37" i="162"/>
  <c r="B36" i="162"/>
  <c r="B34" i="162"/>
  <c r="B33" i="162"/>
  <c r="B30" i="162"/>
  <c r="B29" i="162"/>
  <c r="B28" i="162"/>
  <c r="B27" i="162"/>
  <c r="B26" i="162"/>
  <c r="B25" i="162"/>
  <c r="B24" i="162"/>
  <c r="B23" i="162"/>
  <c r="B22" i="162"/>
  <c r="B19" i="162"/>
  <c r="B18" i="162"/>
  <c r="B17" i="162"/>
  <c r="B16" i="162"/>
  <c r="B15" i="162"/>
  <c r="B14" i="162"/>
  <c r="B13" i="162"/>
  <c r="B12" i="162"/>
  <c r="B11" i="162"/>
  <c r="B10" i="162"/>
  <c r="B9" i="162"/>
  <c r="B8" i="162"/>
  <c r="B7" i="162"/>
  <c r="B42" i="163"/>
  <c r="B41" i="163"/>
  <c r="B40" i="163"/>
  <c r="B38" i="163"/>
  <c r="B37" i="163"/>
  <c r="B36" i="163"/>
  <c r="B34" i="163"/>
  <c r="B33" i="163"/>
  <c r="B30" i="163"/>
  <c r="B29" i="163"/>
  <c r="B28" i="163"/>
  <c r="B27" i="163"/>
  <c r="B26" i="163"/>
  <c r="B25" i="163"/>
  <c r="B24" i="163"/>
  <c r="B23" i="163"/>
  <c r="B22" i="163"/>
  <c r="B19" i="163"/>
  <c r="B18" i="163"/>
  <c r="B17" i="163"/>
  <c r="B16" i="163"/>
  <c r="B15" i="163"/>
  <c r="B14" i="163"/>
  <c r="B13" i="163"/>
  <c r="B12" i="163"/>
  <c r="B11" i="163"/>
  <c r="C39" i="163" s="1"/>
  <c r="B10" i="163"/>
  <c r="B9" i="163"/>
  <c r="B8" i="163"/>
  <c r="B7" i="163"/>
  <c r="B42" i="164"/>
  <c r="B41" i="164"/>
  <c r="B40" i="164"/>
  <c r="B38" i="164"/>
  <c r="B37" i="164"/>
  <c r="B36" i="164"/>
  <c r="B34" i="164"/>
  <c r="B33" i="164"/>
  <c r="B30" i="164"/>
  <c r="B29" i="164"/>
  <c r="B28" i="164"/>
  <c r="B27" i="164"/>
  <c r="B26" i="164"/>
  <c r="B25" i="164"/>
  <c r="B24" i="164"/>
  <c r="B23" i="164"/>
  <c r="B22" i="164"/>
  <c r="B19" i="164"/>
  <c r="B18" i="164"/>
  <c r="B17" i="164"/>
  <c r="B16" i="164"/>
  <c r="B15" i="164"/>
  <c r="B14" i="164"/>
  <c r="B13" i="164"/>
  <c r="B12" i="164"/>
  <c r="B11" i="164"/>
  <c r="B10" i="164"/>
  <c r="B9" i="164"/>
  <c r="B8" i="164"/>
  <c r="B7" i="164"/>
  <c r="B42" i="165"/>
  <c r="B41" i="165"/>
  <c r="B40" i="165"/>
  <c r="B38" i="165"/>
  <c r="B37" i="165"/>
  <c r="B36" i="165"/>
  <c r="B34" i="165"/>
  <c r="B33" i="165"/>
  <c r="B30" i="165"/>
  <c r="B29" i="165"/>
  <c r="B28" i="165"/>
  <c r="B27" i="165"/>
  <c r="B26" i="165"/>
  <c r="B25" i="165"/>
  <c r="B24" i="165"/>
  <c r="B23" i="165"/>
  <c r="B22" i="165"/>
  <c r="B19" i="165"/>
  <c r="D802" i="3" s="1"/>
  <c r="B18" i="165"/>
  <c r="F16" i="83" s="1"/>
  <c r="B17" i="165"/>
  <c r="F15" i="83" s="1"/>
  <c r="B16" i="165"/>
  <c r="F14" i="83" s="1"/>
  <c r="B15" i="165"/>
  <c r="F13" i="83" s="1"/>
  <c r="B14" i="165"/>
  <c r="F12" i="83" s="1"/>
  <c r="B13" i="165"/>
  <c r="F11" i="83" s="1"/>
  <c r="B12" i="165"/>
  <c r="B11" i="165"/>
  <c r="D337" i="3" s="1"/>
  <c r="B10" i="165"/>
  <c r="B9" i="165"/>
  <c r="F7" i="83" s="1"/>
  <c r="B8" i="165"/>
  <c r="F6" i="83" s="1"/>
  <c r="B7" i="165"/>
  <c r="D172" i="3" s="1"/>
  <c r="B42" i="166"/>
  <c r="B41" i="166"/>
  <c r="B40" i="166"/>
  <c r="B38" i="166"/>
  <c r="B37" i="166"/>
  <c r="B36" i="166"/>
  <c r="B34" i="166"/>
  <c r="B33" i="166"/>
  <c r="B30" i="166"/>
  <c r="B29" i="166"/>
  <c r="B28" i="166"/>
  <c r="B27" i="166"/>
  <c r="B26" i="166"/>
  <c r="B25" i="166"/>
  <c r="B24" i="166"/>
  <c r="B23" i="166"/>
  <c r="B22" i="166"/>
  <c r="B19" i="166"/>
  <c r="D801" i="3" s="1"/>
  <c r="B18" i="166"/>
  <c r="E16" i="83" s="1"/>
  <c r="B17" i="166"/>
  <c r="E15" i="83" s="1"/>
  <c r="B16" i="166"/>
  <c r="E14" i="83" s="1"/>
  <c r="B15" i="166"/>
  <c r="E13" i="83" s="1"/>
  <c r="B14" i="166"/>
  <c r="E12" i="83" s="1"/>
  <c r="B13" i="166"/>
  <c r="D441" i="3" s="1"/>
  <c r="B12" i="166"/>
  <c r="B11" i="166"/>
  <c r="E9" i="83" s="1"/>
  <c r="B10" i="166"/>
  <c r="E8" i="83" s="1"/>
  <c r="B9" i="166"/>
  <c r="D186" i="3" s="1"/>
  <c r="B8" i="166"/>
  <c r="D261" i="3" s="1"/>
  <c r="B7" i="166"/>
  <c r="D171" i="3" s="1"/>
  <c r="A45" i="166"/>
  <c r="A44" i="166"/>
  <c r="A43" i="166"/>
  <c r="C35" i="166"/>
  <c r="C21" i="166"/>
  <c r="A2" i="166"/>
  <c r="A1" i="166"/>
  <c r="A45" i="165"/>
  <c r="A44" i="165"/>
  <c r="A43" i="165"/>
  <c r="C35" i="165"/>
  <c r="C21" i="165"/>
  <c r="A2" i="165"/>
  <c r="A1" i="165"/>
  <c r="A45" i="164"/>
  <c r="A44" i="164"/>
  <c r="A43" i="164"/>
  <c r="C35" i="164"/>
  <c r="C21" i="164"/>
  <c r="C39" i="164"/>
  <c r="A2" i="164"/>
  <c r="A1" i="164"/>
  <c r="A45" i="163"/>
  <c r="A44" i="163"/>
  <c r="A43" i="163"/>
  <c r="C35" i="163"/>
  <c r="C21" i="163"/>
  <c r="A2" i="163"/>
  <c r="A45" i="162"/>
  <c r="A44" i="162"/>
  <c r="A43" i="162"/>
  <c r="C35" i="162"/>
  <c r="C21" i="162"/>
  <c r="C39" i="162"/>
  <c r="A2" i="162"/>
  <c r="A45" i="161"/>
  <c r="A44" i="161"/>
  <c r="A43" i="161"/>
  <c r="C35" i="161"/>
  <c r="C21" i="161"/>
  <c r="A2" i="161"/>
  <c r="A45" i="160"/>
  <c r="A44" i="160"/>
  <c r="A43" i="160"/>
  <c r="C35" i="160"/>
  <c r="C21" i="160"/>
  <c r="A2" i="160"/>
  <c r="A1" i="160"/>
  <c r="A45" i="159"/>
  <c r="A44" i="159"/>
  <c r="A43" i="159"/>
  <c r="C35" i="159"/>
  <c r="C21" i="159"/>
  <c r="C39" i="159"/>
  <c r="A2" i="159"/>
  <c r="A1" i="159"/>
  <c r="A45" i="158"/>
  <c r="A44" i="158"/>
  <c r="A43" i="158"/>
  <c r="C35" i="158"/>
  <c r="C21" i="158"/>
  <c r="A2" i="158"/>
  <c r="A1" i="158"/>
  <c r="A45" i="157"/>
  <c r="A44" i="157"/>
  <c r="A43" i="157"/>
  <c r="C35" i="157"/>
  <c r="C21" i="157"/>
  <c r="C39" i="157"/>
  <c r="A2" i="157"/>
  <c r="A1" i="157"/>
  <c r="A45" i="156"/>
  <c r="A44" i="156"/>
  <c r="A43" i="156"/>
  <c r="C35" i="156"/>
  <c r="C21" i="156"/>
  <c r="C39" i="156"/>
  <c r="A2" i="156"/>
  <c r="A1" i="156"/>
  <c r="A45" i="155"/>
  <c r="A44" i="155"/>
  <c r="A43" i="155"/>
  <c r="B39" i="155"/>
  <c r="C35" i="155"/>
  <c r="C21" i="155"/>
  <c r="C39" i="155"/>
  <c r="A2" i="155"/>
  <c r="A1" i="155"/>
  <c r="A45" i="154"/>
  <c r="A44" i="154"/>
  <c r="A43" i="154"/>
  <c r="B39" i="154"/>
  <c r="C35" i="154"/>
  <c r="C21" i="154"/>
  <c r="C39" i="154"/>
  <c r="A2" i="154"/>
  <c r="A1" i="154"/>
  <c r="B42" i="153"/>
  <c r="B41" i="153"/>
  <c r="B40" i="153"/>
  <c r="B38" i="153"/>
  <c r="B37" i="153"/>
  <c r="B36" i="153"/>
  <c r="B33" i="153"/>
  <c r="B30" i="153"/>
  <c r="B29" i="153"/>
  <c r="D33" i="83" s="1"/>
  <c r="B28" i="153"/>
  <c r="B27" i="153"/>
  <c r="B31" i="153" s="1"/>
  <c r="B26" i="153"/>
  <c r="B25" i="153"/>
  <c r="B24" i="153"/>
  <c r="B23" i="153"/>
  <c r="B22" i="153"/>
  <c r="B18" i="153"/>
  <c r="B17" i="153"/>
  <c r="B16" i="153"/>
  <c r="B15" i="153"/>
  <c r="D13" i="83" s="1"/>
  <c r="B14" i="153"/>
  <c r="D12" i="83" s="1"/>
  <c r="B13" i="153"/>
  <c r="D440" i="3" s="1"/>
  <c r="B12" i="153"/>
  <c r="D1910" i="3" s="1"/>
  <c r="B11" i="153"/>
  <c r="D335" i="3" s="1"/>
  <c r="B10" i="153"/>
  <c r="D305" i="3" s="1"/>
  <c r="B9" i="153"/>
  <c r="D7" i="83" s="1"/>
  <c r="B8" i="153"/>
  <c r="D260" i="3" s="1"/>
  <c r="B7" i="153"/>
  <c r="D230" i="3" s="1"/>
  <c r="D61" i="83"/>
  <c r="D60" i="83"/>
  <c r="D59" i="83"/>
  <c r="D58" i="83"/>
  <c r="D57" i="83"/>
  <c r="D56" i="83"/>
  <c r="D55" i="83"/>
  <c r="D54" i="83"/>
  <c r="D53" i="83"/>
  <c r="D50" i="83"/>
  <c r="D49" i="83"/>
  <c r="D48" i="83"/>
  <c r="D47" i="83"/>
  <c r="D46" i="83"/>
  <c r="D45" i="83"/>
  <c r="D44" i="83"/>
  <c r="D43" i="83"/>
  <c r="D42" i="83"/>
  <c r="D41" i="83"/>
  <c r="D36" i="83"/>
  <c r="D35" i="83"/>
  <c r="D34" i="83"/>
  <c r="D32" i="83"/>
  <c r="D31" i="83"/>
  <c r="D30" i="83"/>
  <c r="D28" i="83"/>
  <c r="D27" i="83"/>
  <c r="D26" i="83"/>
  <c r="D25" i="83"/>
  <c r="D24" i="83"/>
  <c r="D23" i="83"/>
  <c r="D22" i="83"/>
  <c r="D21" i="83"/>
  <c r="D20" i="83"/>
  <c r="D19" i="83"/>
  <c r="D17" i="83"/>
  <c r="D16" i="83"/>
  <c r="D15" i="83"/>
  <c r="D6" i="83"/>
  <c r="A45" i="153"/>
  <c r="A44" i="153"/>
  <c r="A43" i="153"/>
  <c r="C35" i="153"/>
  <c r="C31" i="153"/>
  <c r="C21" i="153"/>
  <c r="A2" i="153"/>
  <c r="A1" i="153"/>
  <c r="B19" i="7"/>
  <c r="B8" i="7"/>
  <c r="B11" i="7"/>
  <c r="C54" i="83"/>
  <c r="C53" i="83"/>
  <c r="C44" i="83"/>
  <c r="F21" i="195" s="1"/>
  <c r="C42" i="83"/>
  <c r="F20" i="195" s="1"/>
  <c r="C36" i="83"/>
  <c r="F16" i="195" s="1"/>
  <c r="C34" i="83"/>
  <c r="F15" i="195" s="1"/>
  <c r="C32" i="83"/>
  <c r="F13" i="195" s="1"/>
  <c r="C30" i="83"/>
  <c r="F12" i="195" s="1"/>
  <c r="C28" i="83"/>
  <c r="F11" i="195" s="1"/>
  <c r="C26" i="83"/>
  <c r="F10" i="195" s="1"/>
  <c r="C24" i="83"/>
  <c r="F9" i="195" s="1"/>
  <c r="C22" i="83"/>
  <c r="F8" i="195" s="1"/>
  <c r="C20" i="83"/>
  <c r="F7" i="195" s="1"/>
  <c r="D1924" i="3" l="1"/>
  <c r="D367" i="3"/>
  <c r="D1912" i="3"/>
  <c r="D427" i="3"/>
  <c r="D442" i="3"/>
  <c r="F10" i="83"/>
  <c r="D185" i="3"/>
  <c r="D366" i="3"/>
  <c r="D1911" i="3"/>
  <c r="E7" i="83"/>
  <c r="D187" i="3"/>
  <c r="F8" i="83"/>
  <c r="D380" i="3"/>
  <c r="F17" i="83"/>
  <c r="E17" i="83"/>
  <c r="C32" i="165"/>
  <c r="F40" i="83" s="1"/>
  <c r="B32" i="165"/>
  <c r="F39" i="83" s="1"/>
  <c r="D1927" i="3"/>
  <c r="D382" i="3"/>
  <c r="F9" i="83"/>
  <c r="D307" i="3"/>
  <c r="C39" i="165"/>
  <c r="F52" i="83" s="1"/>
  <c r="D262" i="3"/>
  <c r="D217" i="3"/>
  <c r="D232" i="3"/>
  <c r="F5" i="83"/>
  <c r="C32" i="166"/>
  <c r="E40" i="83" s="1"/>
  <c r="B32" i="166"/>
  <c r="E39" i="83" s="1"/>
  <c r="E11" i="83"/>
  <c r="D426" i="3"/>
  <c r="E10" i="83"/>
  <c r="D1926" i="3"/>
  <c r="D381" i="3"/>
  <c r="D336" i="3"/>
  <c r="C39" i="166"/>
  <c r="E52" i="83" s="1"/>
  <c r="E6" i="83"/>
  <c r="E5" i="83"/>
  <c r="D216" i="3"/>
  <c r="D231" i="3"/>
  <c r="D14" i="83"/>
  <c r="C32" i="153"/>
  <c r="D40" i="83" s="1"/>
  <c r="B32" i="153"/>
  <c r="D39" i="83" s="1"/>
  <c r="D425" i="3"/>
  <c r="D11" i="83"/>
  <c r="D1925" i="3"/>
  <c r="D10" i="83"/>
  <c r="D365" i="3"/>
  <c r="D9" i="83"/>
  <c r="D8" i="83"/>
  <c r="D215" i="3"/>
  <c r="D170" i="3"/>
  <c r="D5" i="83"/>
  <c r="B39" i="161"/>
  <c r="B39" i="162"/>
  <c r="B39" i="163"/>
  <c r="B39" i="164"/>
  <c r="B39" i="165"/>
  <c r="F51" i="83" s="1"/>
  <c r="B39" i="166"/>
  <c r="B39" i="157"/>
  <c r="B39" i="158"/>
  <c r="B39" i="159"/>
  <c r="B39" i="160"/>
  <c r="B39" i="156"/>
  <c r="C39" i="153"/>
  <c r="D29" i="83"/>
  <c r="B39" i="153"/>
  <c r="D51" i="83" s="1"/>
  <c r="B33" i="7"/>
  <c r="C41" i="83" s="1"/>
  <c r="E20" i="195" s="1"/>
  <c r="G20" i="195" s="1"/>
  <c r="B34" i="7"/>
  <c r="C43" i="83" s="1"/>
  <c r="E21" i="195" s="1"/>
  <c r="G21" i="195" s="1"/>
  <c r="B30" i="7"/>
  <c r="C35" i="83" s="1"/>
  <c r="E16" i="195" s="1"/>
  <c r="G16" i="195" s="1"/>
  <c r="B29" i="7"/>
  <c r="C33" i="83" s="1"/>
  <c r="E15" i="195" s="1"/>
  <c r="G15" i="195" s="1"/>
  <c r="B28" i="7"/>
  <c r="C31" i="83" s="1"/>
  <c r="E13" i="195" s="1"/>
  <c r="G13" i="195" s="1"/>
  <c r="B27" i="7"/>
  <c r="C29" i="83" s="1"/>
  <c r="E12" i="195" s="1"/>
  <c r="G12" i="195" s="1"/>
  <c r="B26" i="7"/>
  <c r="C27" i="83" s="1"/>
  <c r="E11" i="195" s="1"/>
  <c r="G11" i="195" s="1"/>
  <c r="B25" i="7"/>
  <c r="C25" i="83" s="1"/>
  <c r="E10" i="195" s="1"/>
  <c r="G10" i="195" s="1"/>
  <c r="B24" i="7"/>
  <c r="C23" i="83" s="1"/>
  <c r="E9" i="195" s="1"/>
  <c r="G9" i="195" s="1"/>
  <c r="B23" i="7"/>
  <c r="C21" i="83" s="1"/>
  <c r="E8" i="195" s="1"/>
  <c r="G8" i="195" s="1"/>
  <c r="B22" i="7"/>
  <c r="A59" i="83"/>
  <c r="A60" i="83"/>
  <c r="A59" i="82"/>
  <c r="A60" i="82"/>
  <c r="C21" i="7"/>
  <c r="A43" i="7"/>
  <c r="C35" i="7"/>
  <c r="F8534" i="3"/>
  <c r="G8534" i="3"/>
  <c r="C8526" i="3"/>
  <c r="B8526" i="3"/>
  <c r="G8526" i="3"/>
  <c r="F8526" i="3"/>
  <c r="J1924" i="3" l="1"/>
  <c r="C31" i="76"/>
  <c r="B31" i="76"/>
  <c r="D156" i="3"/>
  <c r="E51" i="83"/>
  <c r="D155" i="3"/>
  <c r="D52" i="83"/>
  <c r="J1912" i="3"/>
  <c r="I1912" i="3"/>
  <c r="H1912" i="3"/>
  <c r="H1927" i="3"/>
  <c r="I1927" i="3"/>
  <c r="J1927" i="3"/>
  <c r="D157" i="3"/>
  <c r="J1911" i="3"/>
  <c r="I1911" i="3"/>
  <c r="H1911" i="3"/>
  <c r="J1926" i="3"/>
  <c r="I1926" i="3"/>
  <c r="H1926" i="3"/>
  <c r="J1910" i="3"/>
  <c r="I1910" i="3"/>
  <c r="H1910" i="3"/>
  <c r="J1925" i="3"/>
  <c r="I1925" i="3"/>
  <c r="H1925" i="3"/>
  <c r="B31" i="7"/>
  <c r="C19" i="83"/>
  <c r="E7" i="195" s="1"/>
  <c r="G7" i="195" s="1"/>
  <c r="B7" i="77"/>
  <c r="B23" i="77"/>
  <c r="B20" i="77"/>
  <c r="B19" i="77"/>
  <c r="B14" i="77"/>
  <c r="B13" i="77"/>
  <c r="B12" i="77"/>
  <c r="B11" i="77"/>
  <c r="B8" i="77"/>
  <c r="C6" i="76"/>
  <c r="D6" i="76"/>
  <c r="B5" i="77"/>
  <c r="C5" i="77"/>
  <c r="C10444" i="3"/>
  <c r="B10444" i="3"/>
  <c r="G10444" i="3"/>
  <c r="F10444" i="3"/>
  <c r="C10449" i="3"/>
  <c r="B10449" i="3"/>
  <c r="F10449" i="3"/>
  <c r="C10448" i="3"/>
  <c r="B10448" i="3"/>
  <c r="G10448" i="3"/>
  <c r="F10448" i="3"/>
  <c r="I1924" i="3"/>
  <c r="H1924" i="3"/>
  <c r="D8534" i="3" a="1"/>
  <c r="D8552" i="3" a="1"/>
  <c r="D8564" i="3" a="1"/>
  <c r="D8542" i="3" a="1"/>
  <c r="D8541" i="3" a="1"/>
  <c r="D8582" i="3" a="1"/>
  <c r="D8572" i="3" a="1"/>
  <c r="D8576" i="3" a="1"/>
  <c r="D8536" i="3" a="1"/>
  <c r="D8540" i="3" a="1"/>
  <c r="D8546" i="3" a="1"/>
  <c r="D8554" i="3" a="1"/>
  <c r="D8560" i="3" a="1"/>
  <c r="D8547" i="3" a="1"/>
  <c r="D8578" i="3" a="1"/>
  <c r="D8584" i="3" a="1"/>
  <c r="D8559" i="3" a="1"/>
  <c r="D8565" i="3" a="1"/>
  <c r="D8570" i="3" a="1"/>
  <c r="D8558" i="3" a="1"/>
  <c r="D8548" i="3" a="1"/>
  <c r="D8583" i="3" a="1"/>
  <c r="D8577" i="3" a="1"/>
  <c r="D8553" i="3" a="1"/>
  <c r="D8566" i="3" a="1"/>
  <c r="D8535" i="3" a="1"/>
  <c r="D8571" i="3" a="1"/>
  <c r="D8582" i="3" l="1"/>
  <c r="D8583" i="3"/>
  <c r="D8584" i="3"/>
  <c r="G23" i="77"/>
  <c r="D8578" i="3"/>
  <c r="D8577" i="3"/>
  <c r="D8576" i="3"/>
  <c r="G20" i="77"/>
  <c r="D8570" i="3"/>
  <c r="D8572" i="3"/>
  <c r="D8571" i="3"/>
  <c r="G19" i="77"/>
  <c r="D8564" i="3"/>
  <c r="D8566" i="3"/>
  <c r="D8565" i="3"/>
  <c r="G14" i="77"/>
  <c r="D8560" i="3"/>
  <c r="D8558" i="3"/>
  <c r="D8559" i="3"/>
  <c r="G13" i="77"/>
  <c r="D8552" i="3"/>
  <c r="D8554" i="3"/>
  <c r="D8553" i="3"/>
  <c r="G12" i="77"/>
  <c r="D8548" i="3"/>
  <c r="D8547" i="3"/>
  <c r="D8546" i="3"/>
  <c r="G11" i="77"/>
  <c r="D8541" i="3"/>
  <c r="D8542" i="3"/>
  <c r="D8540" i="3"/>
  <c r="G8" i="77"/>
  <c r="D8534" i="3"/>
  <c r="D8536" i="3"/>
  <c r="D8535" i="3"/>
  <c r="G7" i="77"/>
  <c r="D8533" i="3"/>
  <c r="C37" i="83"/>
  <c r="E18" i="195" s="1"/>
  <c r="G18" i="195" s="1"/>
  <c r="D1909" i="3"/>
  <c r="G10439" i="3"/>
  <c r="F10439" i="3"/>
  <c r="C10439" i="3"/>
  <c r="B10439" i="3"/>
  <c r="C10440" i="3"/>
  <c r="B10440" i="3"/>
  <c r="G10440" i="3"/>
  <c r="F10440" i="3"/>
  <c r="F10446" i="3"/>
  <c r="G10449" i="3"/>
  <c r="H8584" i="3" l="1"/>
  <c r="I8584" i="3"/>
  <c r="J8584" i="3"/>
  <c r="H8583" i="3"/>
  <c r="I8583" i="3"/>
  <c r="J8583" i="3"/>
  <c r="H8582" i="3"/>
  <c r="I8582" i="3"/>
  <c r="J8582" i="3"/>
  <c r="J8577" i="3"/>
  <c r="H8577" i="3"/>
  <c r="I8577" i="3"/>
  <c r="H8576" i="3"/>
  <c r="I8576" i="3"/>
  <c r="J8576" i="3"/>
  <c r="I8578" i="3"/>
  <c r="H8578" i="3"/>
  <c r="J8578" i="3"/>
  <c r="H8571" i="3"/>
  <c r="I8571" i="3"/>
  <c r="J8571" i="3"/>
  <c r="H8572" i="3"/>
  <c r="I8572" i="3"/>
  <c r="J8572" i="3"/>
  <c r="H8570" i="3"/>
  <c r="J8570" i="3"/>
  <c r="I8570" i="3"/>
  <c r="J8565" i="3"/>
  <c r="H8565" i="3"/>
  <c r="I8565" i="3"/>
  <c r="J8566" i="3"/>
  <c r="H8566" i="3"/>
  <c r="I8566" i="3"/>
  <c r="I8564" i="3"/>
  <c r="H8564" i="3"/>
  <c r="J8564" i="3"/>
  <c r="H8560" i="3"/>
  <c r="I8560" i="3"/>
  <c r="J8560" i="3"/>
  <c r="I8558" i="3"/>
  <c r="J8558" i="3"/>
  <c r="H8558" i="3"/>
  <c r="I8559" i="3"/>
  <c r="J8559" i="3"/>
  <c r="H8559" i="3"/>
  <c r="H8553" i="3"/>
  <c r="I8553" i="3"/>
  <c r="J8553" i="3"/>
  <c r="H8554" i="3"/>
  <c r="I8554" i="3"/>
  <c r="J8554" i="3"/>
  <c r="I8552" i="3"/>
  <c r="H8552" i="3"/>
  <c r="J8552" i="3"/>
  <c r="H8546" i="3"/>
  <c r="I8546" i="3"/>
  <c r="J8546" i="3"/>
  <c r="H8547" i="3"/>
  <c r="J8547" i="3"/>
  <c r="I8547" i="3"/>
  <c r="I8548" i="3"/>
  <c r="J8548" i="3"/>
  <c r="H8548" i="3"/>
  <c r="I8542" i="3"/>
  <c r="H8542" i="3"/>
  <c r="J8542" i="3"/>
  <c r="J8541" i="3"/>
  <c r="H8541" i="3"/>
  <c r="I8541" i="3"/>
  <c r="I8540" i="3"/>
  <c r="H8540" i="3"/>
  <c r="J8540" i="3"/>
  <c r="H8536" i="3"/>
  <c r="I8536" i="3"/>
  <c r="J8536" i="3"/>
  <c r="I8535" i="3"/>
  <c r="J8535" i="3"/>
  <c r="H8535" i="3"/>
  <c r="I8534" i="3"/>
  <c r="J8534" i="3"/>
  <c r="H8534" i="3"/>
  <c r="J1909" i="3"/>
  <c r="G10446" i="3"/>
  <c r="H1909" i="3"/>
  <c r="I1909" i="3"/>
  <c r="B10445" i="3" l="1"/>
  <c r="C10445" i="3"/>
  <c r="C10424" i="3"/>
  <c r="B10424" i="3"/>
  <c r="G10424" i="3"/>
  <c r="F10424" i="3"/>
  <c r="B14" i="12"/>
  <c r="D8088" i="3" a="1"/>
  <c r="D8083" i="3" a="1"/>
  <c r="D8087" i="3" a="1"/>
  <c r="D8081" i="3" a="1"/>
  <c r="D8082" i="3" a="1"/>
  <c r="D8063" i="3" a="1"/>
  <c r="D8065" i="3" a="1"/>
  <c r="D8089" i="3" a="1"/>
  <c r="D8064" i="3" a="1"/>
  <c r="D8063" i="3" l="1"/>
  <c r="D8064" i="3"/>
  <c r="D8065" i="3"/>
  <c r="B20" i="195"/>
  <c r="D20" i="195" s="1"/>
  <c r="H18" i="12"/>
  <c r="B21" i="195"/>
  <c r="D21" i="195" s="1"/>
  <c r="D19" i="12"/>
  <c r="H14" i="12"/>
  <c r="B14" i="195"/>
  <c r="D8087" i="3"/>
  <c r="D8088" i="3"/>
  <c r="D8089" i="3"/>
  <c r="D8081" i="3"/>
  <c r="D8082" i="3"/>
  <c r="D8083" i="3"/>
  <c r="B8079" i="3"/>
  <c r="B8080" i="3"/>
  <c r="B8078" i="3"/>
  <c r="B8076" i="3"/>
  <c r="B8077" i="3"/>
  <c r="B8075" i="3"/>
  <c r="B8073" i="3"/>
  <c r="B8074" i="3"/>
  <c r="B8072" i="3"/>
  <c r="B8070" i="3"/>
  <c r="B8071" i="3"/>
  <c r="B8069" i="3"/>
  <c r="B8061" i="3"/>
  <c r="B8062" i="3"/>
  <c r="B8060" i="3"/>
  <c r="B8058" i="3"/>
  <c r="B8059" i="3"/>
  <c r="B8057" i="3"/>
  <c r="B8055" i="3"/>
  <c r="B8056" i="3"/>
  <c r="B8054" i="3"/>
  <c r="B8052" i="3"/>
  <c r="B8053" i="3"/>
  <c r="B8051" i="3"/>
  <c r="B8049" i="3"/>
  <c r="B8050" i="3"/>
  <c r="B8048" i="3"/>
  <c r="B8046" i="3"/>
  <c r="B8047" i="3"/>
  <c r="B8045" i="3"/>
  <c r="B8043" i="3"/>
  <c r="B8044" i="3"/>
  <c r="B8042" i="3"/>
  <c r="B8040" i="3"/>
  <c r="B8041" i="3"/>
  <c r="B8039" i="3"/>
  <c r="B8037" i="3"/>
  <c r="B8038" i="3"/>
  <c r="B8036" i="3"/>
  <c r="B8034" i="3"/>
  <c r="B8035" i="3"/>
  <c r="B8033" i="3"/>
  <c r="B8028" i="3"/>
  <c r="B8029" i="3"/>
  <c r="B8027" i="3"/>
  <c r="B8031" i="3"/>
  <c r="B8032" i="3"/>
  <c r="B8030" i="3"/>
  <c r="B8025" i="3"/>
  <c r="B8026" i="3"/>
  <c r="B8024" i="3"/>
  <c r="B8023" i="3"/>
  <c r="B8022" i="3"/>
  <c r="B8021" i="3"/>
  <c r="F8022" i="3"/>
  <c r="G8022" i="3"/>
  <c r="F8023" i="3"/>
  <c r="G8023" i="3"/>
  <c r="F8024" i="3"/>
  <c r="G8024" i="3"/>
  <c r="F8025" i="3"/>
  <c r="G8025" i="3"/>
  <c r="F8026" i="3"/>
  <c r="G8026" i="3"/>
  <c r="F8027" i="3"/>
  <c r="G8027" i="3"/>
  <c r="F8028" i="3"/>
  <c r="G8028" i="3"/>
  <c r="F8029" i="3"/>
  <c r="G8029" i="3"/>
  <c r="F8030" i="3"/>
  <c r="G8030" i="3"/>
  <c r="F8031" i="3"/>
  <c r="G8031" i="3"/>
  <c r="F8032" i="3"/>
  <c r="G8032" i="3"/>
  <c r="F8033" i="3"/>
  <c r="G8033" i="3"/>
  <c r="F8034" i="3"/>
  <c r="G8034" i="3"/>
  <c r="F8035" i="3"/>
  <c r="G8035" i="3"/>
  <c r="F8036" i="3"/>
  <c r="G8036" i="3"/>
  <c r="F8037" i="3"/>
  <c r="G8037" i="3"/>
  <c r="F8038" i="3"/>
  <c r="G8038" i="3"/>
  <c r="F8039" i="3"/>
  <c r="G8039" i="3"/>
  <c r="F8040" i="3"/>
  <c r="G8040" i="3"/>
  <c r="F8041" i="3"/>
  <c r="G8041" i="3"/>
  <c r="F8042" i="3"/>
  <c r="G8042" i="3"/>
  <c r="F8043" i="3"/>
  <c r="G8043" i="3"/>
  <c r="F8044" i="3"/>
  <c r="G8044" i="3"/>
  <c r="F8045" i="3"/>
  <c r="G8045" i="3"/>
  <c r="F8046" i="3"/>
  <c r="G8046" i="3"/>
  <c r="F8047" i="3"/>
  <c r="G8047" i="3"/>
  <c r="F8048" i="3"/>
  <c r="G8048" i="3"/>
  <c r="F8049" i="3"/>
  <c r="G8049" i="3"/>
  <c r="F8050" i="3"/>
  <c r="G8050" i="3"/>
  <c r="F8051" i="3"/>
  <c r="G8051" i="3"/>
  <c r="F8052" i="3"/>
  <c r="G8052" i="3"/>
  <c r="F8053" i="3"/>
  <c r="G8053" i="3"/>
  <c r="F8054" i="3"/>
  <c r="G8054" i="3"/>
  <c r="F8055" i="3"/>
  <c r="G8055" i="3"/>
  <c r="F8056" i="3"/>
  <c r="G8056" i="3"/>
  <c r="F8057" i="3"/>
  <c r="G8057" i="3"/>
  <c r="F8058" i="3"/>
  <c r="G8058" i="3"/>
  <c r="F8059" i="3"/>
  <c r="G8059" i="3"/>
  <c r="F8060" i="3"/>
  <c r="G8060" i="3"/>
  <c r="F8061" i="3"/>
  <c r="G8061" i="3"/>
  <c r="F8062" i="3"/>
  <c r="G8062" i="3"/>
  <c r="F8069" i="3"/>
  <c r="G8069" i="3"/>
  <c r="F8070" i="3"/>
  <c r="G8070" i="3"/>
  <c r="F8071" i="3"/>
  <c r="G8071" i="3"/>
  <c r="F8072" i="3"/>
  <c r="G8072" i="3"/>
  <c r="F8073" i="3"/>
  <c r="G8073" i="3"/>
  <c r="F8074" i="3"/>
  <c r="G8074" i="3"/>
  <c r="F8075" i="3"/>
  <c r="G8075" i="3"/>
  <c r="F8076" i="3"/>
  <c r="G8076" i="3"/>
  <c r="F8077" i="3"/>
  <c r="G8077" i="3"/>
  <c r="F8078" i="3"/>
  <c r="G8078" i="3"/>
  <c r="F8079" i="3"/>
  <c r="G8079" i="3"/>
  <c r="F8080" i="3"/>
  <c r="G8080" i="3"/>
  <c r="G8021" i="3"/>
  <c r="F8021" i="3"/>
  <c r="C29" i="76"/>
  <c r="C28" i="76"/>
  <c r="B28" i="76"/>
  <c r="B11" i="151"/>
  <c r="B15" i="7"/>
  <c r="B7" i="7"/>
  <c r="J8065" i="3" l="1"/>
  <c r="I8065" i="3"/>
  <c r="H8065" i="3"/>
  <c r="J8064" i="3"/>
  <c r="I8064" i="3"/>
  <c r="H8064" i="3"/>
  <c r="I8063" i="3"/>
  <c r="H8063" i="3"/>
  <c r="J8063" i="3"/>
  <c r="D14" i="195"/>
  <c r="J8089" i="3"/>
  <c r="J8088" i="3"/>
  <c r="J8087" i="3"/>
  <c r="J8083" i="3"/>
  <c r="J8082" i="3"/>
  <c r="J8081" i="3"/>
  <c r="D169" i="3"/>
  <c r="H8087" i="3"/>
  <c r="I8087" i="3"/>
  <c r="I8081" i="3"/>
  <c r="H8081" i="3"/>
  <c r="H8089" i="3"/>
  <c r="I8089" i="3"/>
  <c r="H8083" i="3"/>
  <c r="I8083" i="3"/>
  <c r="H8088" i="3"/>
  <c r="I8088" i="3"/>
  <c r="I8082" i="3"/>
  <c r="H8082" i="3"/>
  <c r="B10442" i="3" l="1"/>
  <c r="C10442" i="3"/>
  <c r="D10441" i="3"/>
  <c r="C10441" i="3"/>
  <c r="B10441" i="3"/>
  <c r="A38" i="78"/>
  <c r="B134" i="3" l="1"/>
  <c r="B133" i="3"/>
  <c r="B132" i="3"/>
  <c r="B131" i="3"/>
  <c r="B130" i="3"/>
  <c r="B129" i="3"/>
  <c r="B128" i="3"/>
  <c r="B127" i="3"/>
  <c r="B126" i="3"/>
  <c r="B125" i="3"/>
  <c r="B124" i="3"/>
  <c r="B123" i="3"/>
  <c r="B122" i="3"/>
  <c r="B121" i="3"/>
  <c r="B120" i="3"/>
  <c r="B119" i="3"/>
  <c r="B118" i="3"/>
  <c r="B117" i="3"/>
  <c r="B116" i="3"/>
  <c r="B115" i="3"/>
  <c r="G114" i="3"/>
  <c r="F114" i="3"/>
  <c r="C114" i="3"/>
  <c r="B114" i="3"/>
  <c r="G113" i="3"/>
  <c r="F113" i="3"/>
  <c r="C113" i="3"/>
  <c r="B113" i="3"/>
  <c r="G112" i="3"/>
  <c r="F112" i="3"/>
  <c r="C112" i="3"/>
  <c r="B112" i="3"/>
  <c r="G111" i="3"/>
  <c r="F111" i="3"/>
  <c r="C111" i="3"/>
  <c r="B111" i="3"/>
  <c r="G110" i="3"/>
  <c r="F110" i="3"/>
  <c r="C110" i="3"/>
  <c r="B110" i="3"/>
  <c r="G109" i="3"/>
  <c r="F109" i="3"/>
  <c r="C109" i="3"/>
  <c r="B109" i="3"/>
  <c r="G108" i="3"/>
  <c r="F108" i="3"/>
  <c r="C108" i="3"/>
  <c r="B108" i="3"/>
  <c r="G107" i="3"/>
  <c r="F107" i="3"/>
  <c r="C107" i="3"/>
  <c r="B107" i="3"/>
  <c r="G106" i="3"/>
  <c r="F106" i="3"/>
  <c r="C106" i="3"/>
  <c r="B106" i="3"/>
  <c r="G105" i="3"/>
  <c r="F105" i="3"/>
  <c r="C105" i="3"/>
  <c r="B105" i="3"/>
  <c r="G124" i="3"/>
  <c r="F124" i="3"/>
  <c r="C124" i="3"/>
  <c r="G123" i="3"/>
  <c r="F123" i="3"/>
  <c r="C123" i="3"/>
  <c r="G122" i="3"/>
  <c r="F122" i="3"/>
  <c r="C122" i="3"/>
  <c r="G121" i="3"/>
  <c r="F121" i="3"/>
  <c r="C121" i="3"/>
  <c r="G120" i="3"/>
  <c r="F120" i="3"/>
  <c r="C120" i="3"/>
  <c r="G119" i="3"/>
  <c r="F119" i="3"/>
  <c r="C119" i="3"/>
  <c r="G118" i="3"/>
  <c r="F118" i="3"/>
  <c r="C118" i="3"/>
  <c r="G117" i="3"/>
  <c r="F117" i="3"/>
  <c r="C117" i="3"/>
  <c r="G116" i="3"/>
  <c r="F116" i="3"/>
  <c r="C116" i="3"/>
  <c r="G115" i="3"/>
  <c r="F115" i="3"/>
  <c r="C115" i="3"/>
  <c r="D8520" i="3"/>
  <c r="I8520" i="3" s="1"/>
  <c r="F8520" i="3"/>
  <c r="G8520" i="3"/>
  <c r="C8520" i="3"/>
  <c r="B8520" i="3"/>
  <c r="H104" i="2"/>
  <c r="J8520" i="3" l="1"/>
  <c r="H8520" i="3"/>
  <c r="B14" i="7" l="1"/>
  <c r="A17" i="150"/>
  <c r="A23" i="150"/>
  <c r="A22" i="150"/>
  <c r="A20" i="150"/>
  <c r="A19" i="150"/>
  <c r="A18" i="150"/>
  <c r="A16" i="150"/>
  <c r="A15" i="150"/>
  <c r="A14" i="150"/>
  <c r="A12" i="150"/>
  <c r="A11" i="150"/>
  <c r="A8" i="150"/>
  <c r="A10" i="150"/>
  <c r="A9" i="150"/>
  <c r="A7" i="150"/>
  <c r="B8519" i="3"/>
  <c r="C8519" i="3"/>
  <c r="F8519" i="3"/>
  <c r="G8519" i="3"/>
  <c r="C8518" i="3"/>
  <c r="C8517" i="3"/>
  <c r="C8516" i="3"/>
  <c r="C8515" i="3"/>
  <c r="C8514" i="3"/>
  <c r="C8513" i="3"/>
  <c r="C8512" i="3"/>
  <c r="C8511" i="3"/>
  <c r="C8510" i="3"/>
  <c r="C8509" i="3"/>
  <c r="C8508" i="3"/>
  <c r="C8507" i="3"/>
  <c r="C8506" i="3"/>
  <c r="C8505" i="3"/>
  <c r="C8504" i="3"/>
  <c r="C8503" i="3"/>
  <c r="C8500" i="3"/>
  <c r="C8501" i="3"/>
  <c r="C8502" i="3"/>
  <c r="C8499" i="3"/>
  <c r="C8496" i="3"/>
  <c r="C8497" i="3"/>
  <c r="C8498" i="3"/>
  <c r="C8495" i="3"/>
  <c r="C8492" i="3"/>
  <c r="C8493" i="3"/>
  <c r="C8494" i="3"/>
  <c r="C8491" i="3"/>
  <c r="B8515" i="3"/>
  <c r="B8511" i="3"/>
  <c r="B8507" i="3"/>
  <c r="B8503" i="3"/>
  <c r="B8499" i="3"/>
  <c r="B8495" i="3"/>
  <c r="B8491" i="3"/>
  <c r="B8487" i="3"/>
  <c r="C8487" i="3"/>
  <c r="F8487" i="3"/>
  <c r="G8487" i="3"/>
  <c r="F8488" i="3"/>
  <c r="G8488" i="3"/>
  <c r="F8489" i="3"/>
  <c r="G8489" i="3"/>
  <c r="F8490" i="3"/>
  <c r="G8490" i="3"/>
  <c r="F8491" i="3"/>
  <c r="G8491" i="3"/>
  <c r="F8492" i="3"/>
  <c r="G8492" i="3"/>
  <c r="F8493" i="3"/>
  <c r="G8493" i="3"/>
  <c r="F8494" i="3"/>
  <c r="G8494" i="3"/>
  <c r="F8495" i="3"/>
  <c r="G8495" i="3"/>
  <c r="F8496" i="3"/>
  <c r="G8496" i="3"/>
  <c r="F8497" i="3"/>
  <c r="G8497" i="3"/>
  <c r="F8498" i="3"/>
  <c r="G8498" i="3"/>
  <c r="F8499" i="3"/>
  <c r="G8499" i="3"/>
  <c r="F8500" i="3"/>
  <c r="G8500" i="3"/>
  <c r="F8501" i="3"/>
  <c r="G8501" i="3"/>
  <c r="F8502" i="3"/>
  <c r="G8502" i="3"/>
  <c r="F8503" i="3"/>
  <c r="G8503" i="3"/>
  <c r="F8504" i="3"/>
  <c r="G8504" i="3"/>
  <c r="F8505" i="3"/>
  <c r="G8505" i="3"/>
  <c r="F8506" i="3"/>
  <c r="G8506" i="3"/>
  <c r="F8507" i="3"/>
  <c r="G8507" i="3"/>
  <c r="F8508" i="3"/>
  <c r="G8508" i="3"/>
  <c r="F8509" i="3"/>
  <c r="G8509" i="3"/>
  <c r="F8510" i="3"/>
  <c r="G8510" i="3"/>
  <c r="F8511" i="3"/>
  <c r="G8511" i="3"/>
  <c r="F8512" i="3"/>
  <c r="G8512" i="3"/>
  <c r="F8513" i="3"/>
  <c r="G8513" i="3"/>
  <c r="F8514" i="3"/>
  <c r="G8514" i="3"/>
  <c r="F8515" i="3"/>
  <c r="G8515" i="3"/>
  <c r="F8516" i="3"/>
  <c r="G8516" i="3"/>
  <c r="F8517" i="3"/>
  <c r="G8517" i="3"/>
  <c r="F8518" i="3"/>
  <c r="G8518" i="3"/>
  <c r="B8518" i="3"/>
  <c r="B8514" i="3"/>
  <c r="B8510" i="3"/>
  <c r="B8506" i="3"/>
  <c r="B8502" i="3"/>
  <c r="B8498" i="3"/>
  <c r="B8494" i="3"/>
  <c r="C8490" i="3"/>
  <c r="B8490" i="3"/>
  <c r="B8517" i="3"/>
  <c r="B8513" i="3"/>
  <c r="B8509" i="3"/>
  <c r="B8505" i="3"/>
  <c r="B8501" i="3"/>
  <c r="B8497" i="3"/>
  <c r="B8493" i="3"/>
  <c r="C8489" i="3"/>
  <c r="B8489" i="3"/>
  <c r="B8516" i="3"/>
  <c r="B8512" i="3"/>
  <c r="B8508" i="3"/>
  <c r="B8504" i="3"/>
  <c r="B8500" i="3"/>
  <c r="B8496" i="3"/>
  <c r="B8492" i="3"/>
  <c r="C8488" i="3"/>
  <c r="B8488" i="3"/>
  <c r="B11" i="12" l="1"/>
  <c r="B11" i="195" l="1"/>
  <c r="D11" i="195" s="1"/>
  <c r="H11" i="12"/>
  <c r="D11" i="12"/>
  <c r="B8617" i="3"/>
  <c r="B8618" i="3"/>
  <c r="B8619" i="3"/>
  <c r="B8616" i="3"/>
  <c r="B8613" i="3"/>
  <c r="B8614" i="3"/>
  <c r="B8615" i="3"/>
  <c r="B8612" i="3"/>
  <c r="B8609" i="3"/>
  <c r="B8610" i="3"/>
  <c r="B8611" i="3"/>
  <c r="B8608" i="3"/>
  <c r="F8604" i="3"/>
  <c r="G8604" i="3"/>
  <c r="F8605" i="3"/>
  <c r="G8605" i="3"/>
  <c r="F8606" i="3"/>
  <c r="G8606" i="3"/>
  <c r="F8607" i="3"/>
  <c r="G8607" i="3"/>
  <c r="F8608" i="3"/>
  <c r="G8608" i="3"/>
  <c r="F8609" i="3"/>
  <c r="G8609" i="3"/>
  <c r="F8610" i="3"/>
  <c r="G8610" i="3"/>
  <c r="F8611" i="3"/>
  <c r="G8611" i="3"/>
  <c r="F8612" i="3"/>
  <c r="G8612" i="3"/>
  <c r="F8613" i="3"/>
  <c r="G8613" i="3"/>
  <c r="F8614" i="3"/>
  <c r="G8614" i="3"/>
  <c r="F8615" i="3"/>
  <c r="G8615" i="3"/>
  <c r="F8616" i="3"/>
  <c r="G8616" i="3"/>
  <c r="F8617" i="3"/>
  <c r="G8617" i="3"/>
  <c r="F8618" i="3"/>
  <c r="G8618" i="3"/>
  <c r="F8619" i="3"/>
  <c r="G8619" i="3"/>
  <c r="C8617" i="3"/>
  <c r="C8618" i="3"/>
  <c r="C8619" i="3"/>
  <c r="C8616" i="3"/>
  <c r="C8613" i="3"/>
  <c r="C8614" i="3"/>
  <c r="C8615" i="3"/>
  <c r="C8612" i="3"/>
  <c r="C8609" i="3"/>
  <c r="C8610" i="3"/>
  <c r="C8611" i="3"/>
  <c r="C8608" i="3"/>
  <c r="B8605" i="3"/>
  <c r="C8605" i="3"/>
  <c r="B8606" i="3"/>
  <c r="C8606" i="3"/>
  <c r="B8607" i="3"/>
  <c r="C8607" i="3"/>
  <c r="B8604" i="3"/>
  <c r="C8604" i="3"/>
  <c r="B8601" i="3"/>
  <c r="B8602" i="3"/>
  <c r="B8603" i="3"/>
  <c r="B8600" i="3"/>
  <c r="B8597" i="3"/>
  <c r="B8598" i="3"/>
  <c r="B8599" i="3"/>
  <c r="B8596" i="3"/>
  <c r="C8601" i="3"/>
  <c r="C8602" i="3"/>
  <c r="C8603" i="3"/>
  <c r="C8600" i="3"/>
  <c r="C8597" i="3"/>
  <c r="C8598" i="3"/>
  <c r="C8599" i="3"/>
  <c r="F8596" i="3"/>
  <c r="G8596" i="3"/>
  <c r="F8597" i="3"/>
  <c r="G8597" i="3"/>
  <c r="F8598" i="3"/>
  <c r="G8598" i="3"/>
  <c r="F8599" i="3"/>
  <c r="G8599" i="3"/>
  <c r="F8600" i="3"/>
  <c r="G8600" i="3"/>
  <c r="F8601" i="3"/>
  <c r="G8601" i="3"/>
  <c r="F8602" i="3"/>
  <c r="G8602" i="3"/>
  <c r="F8603" i="3"/>
  <c r="G8603" i="3"/>
  <c r="C8596" i="3"/>
  <c r="C8593" i="3"/>
  <c r="C8594" i="3"/>
  <c r="C8595" i="3"/>
  <c r="C8592" i="3"/>
  <c r="B8593" i="3"/>
  <c r="B8594" i="3"/>
  <c r="B8595" i="3"/>
  <c r="B8592" i="3"/>
  <c r="F8592" i="3"/>
  <c r="G8592" i="3"/>
  <c r="F8593" i="3"/>
  <c r="G8593" i="3"/>
  <c r="F8594" i="3"/>
  <c r="G8594" i="3"/>
  <c r="F8595" i="3"/>
  <c r="G8595" i="3"/>
  <c r="D8628" i="3" l="1"/>
  <c r="J8628" i="3" s="1"/>
  <c r="F8628" i="3"/>
  <c r="G8628" i="3"/>
  <c r="B8628" i="3"/>
  <c r="C8628" i="3"/>
  <c r="D8630" i="3"/>
  <c r="J8630" i="3" s="1"/>
  <c r="B8630" i="3"/>
  <c r="C8630" i="3"/>
  <c r="C8629" i="3"/>
  <c r="D8629" i="3"/>
  <c r="I8629" i="3" s="1"/>
  <c r="B8629" i="3"/>
  <c r="D8627" i="3"/>
  <c r="J8627" i="3" s="1"/>
  <c r="G8627" i="3"/>
  <c r="B8626" i="3"/>
  <c r="C8626" i="3"/>
  <c r="B8627" i="3"/>
  <c r="C8627" i="3"/>
  <c r="D8623" i="3"/>
  <c r="I8623" i="3" s="1"/>
  <c r="B8625" i="3"/>
  <c r="C8625" i="3"/>
  <c r="C8624" i="3"/>
  <c r="C8623" i="3"/>
  <c r="B8624" i="3"/>
  <c r="B8623" i="3"/>
  <c r="F8623" i="3"/>
  <c r="G8623" i="3"/>
  <c r="F8624" i="3"/>
  <c r="G8624" i="3"/>
  <c r="F8625" i="3"/>
  <c r="G8625" i="3"/>
  <c r="F8626" i="3"/>
  <c r="G8626" i="3"/>
  <c r="F8627" i="3"/>
  <c r="F8629" i="3"/>
  <c r="G8629" i="3"/>
  <c r="F8630" i="3"/>
  <c r="G8630" i="3"/>
  <c r="B18" i="79"/>
  <c r="B17" i="79"/>
  <c r="B16" i="79"/>
  <c r="B11" i="79"/>
  <c r="B10" i="79"/>
  <c r="A13" i="79"/>
  <c r="A15" i="79"/>
  <c r="A14" i="79"/>
  <c r="H8623" i="3" l="1"/>
  <c r="J8629" i="3"/>
  <c r="H8627" i="3"/>
  <c r="J8623" i="3"/>
  <c r="H8629" i="3"/>
  <c r="D10427" i="3" l="1"/>
  <c r="D10428" i="3"/>
  <c r="B10429" i="3"/>
  <c r="C10429" i="3"/>
  <c r="B10428" i="3"/>
  <c r="C10428" i="3"/>
  <c r="C10427" i="3"/>
  <c r="B10427" i="3"/>
  <c r="B41" i="3" l="1"/>
  <c r="B42" i="3"/>
  <c r="B43" i="3"/>
  <c r="B44" i="3"/>
  <c r="B54" i="3"/>
  <c r="B53" i="3"/>
  <c r="B52" i="3"/>
  <c r="B51" i="3"/>
  <c r="B50" i="3"/>
  <c r="B49" i="3"/>
  <c r="B48" i="3"/>
  <c r="B47" i="3"/>
  <c r="B46" i="3"/>
  <c r="B45" i="3"/>
  <c r="B64" i="3"/>
  <c r="B63" i="3"/>
  <c r="B62" i="3"/>
  <c r="B61" i="3"/>
  <c r="B60" i="3"/>
  <c r="B59" i="3"/>
  <c r="B58" i="3"/>
  <c r="B57" i="3"/>
  <c r="B56" i="3"/>
  <c r="B55" i="3"/>
  <c r="B74" i="3"/>
  <c r="B73" i="3"/>
  <c r="B72" i="3"/>
  <c r="B71" i="3"/>
  <c r="B70" i="3"/>
  <c r="B69" i="3"/>
  <c r="B68" i="3"/>
  <c r="B67" i="3"/>
  <c r="B66" i="3"/>
  <c r="B65" i="3"/>
  <c r="B84" i="3"/>
  <c r="B83" i="3"/>
  <c r="B82" i="3"/>
  <c r="B81" i="3"/>
  <c r="B80" i="3"/>
  <c r="B79" i="3"/>
  <c r="B78" i="3"/>
  <c r="B77" i="3"/>
  <c r="B76" i="3"/>
  <c r="B75" i="3"/>
  <c r="B94" i="3"/>
  <c r="B93" i="3"/>
  <c r="B92" i="3"/>
  <c r="B91" i="3"/>
  <c r="B90" i="3"/>
  <c r="B89" i="3"/>
  <c r="B88" i="3"/>
  <c r="B87" i="3"/>
  <c r="B86" i="3"/>
  <c r="B85" i="3"/>
  <c r="B95" i="3"/>
  <c r="B104" i="3"/>
  <c r="B103" i="3"/>
  <c r="B102" i="3"/>
  <c r="B101" i="3"/>
  <c r="B100" i="3"/>
  <c r="B99" i="3"/>
  <c r="B98" i="3"/>
  <c r="B97" i="3"/>
  <c r="B96" i="3"/>
  <c r="B144" i="3"/>
  <c r="B143" i="3"/>
  <c r="B142" i="3"/>
  <c r="B141" i="3"/>
  <c r="B140" i="3"/>
  <c r="B139" i="3"/>
  <c r="B138" i="3"/>
  <c r="B137" i="3"/>
  <c r="B136" i="3"/>
  <c r="B135" i="3"/>
  <c r="C41" i="3"/>
  <c r="C42" i="3"/>
  <c r="C43" i="3"/>
  <c r="C44" i="3"/>
  <c r="C54" i="3"/>
  <c r="C53" i="3"/>
  <c r="C52" i="3"/>
  <c r="C51" i="3"/>
  <c r="C50" i="3"/>
  <c r="C49" i="3"/>
  <c r="C48" i="3"/>
  <c r="C47" i="3"/>
  <c r="C46" i="3"/>
  <c r="C45" i="3"/>
  <c r="C64" i="3"/>
  <c r="C63" i="3"/>
  <c r="C62" i="3"/>
  <c r="C61" i="3"/>
  <c r="C60" i="3"/>
  <c r="C59" i="3"/>
  <c r="C58" i="3"/>
  <c r="C57" i="3"/>
  <c r="C56" i="3"/>
  <c r="C55" i="3"/>
  <c r="C74" i="3"/>
  <c r="C73" i="3"/>
  <c r="C72" i="3"/>
  <c r="C71" i="3"/>
  <c r="C70" i="3"/>
  <c r="C69" i="3"/>
  <c r="C68" i="3"/>
  <c r="C67" i="3"/>
  <c r="C66" i="3"/>
  <c r="C65" i="3"/>
  <c r="C84" i="3"/>
  <c r="C83" i="3"/>
  <c r="C82" i="3"/>
  <c r="C81" i="3"/>
  <c r="C80" i="3"/>
  <c r="C79" i="3"/>
  <c r="C78" i="3"/>
  <c r="C77" i="3"/>
  <c r="C76" i="3"/>
  <c r="C75" i="3"/>
  <c r="C94" i="3"/>
  <c r="C93" i="3"/>
  <c r="C92" i="3"/>
  <c r="C91" i="3"/>
  <c r="C90" i="3"/>
  <c r="C89" i="3"/>
  <c r="C88" i="3"/>
  <c r="C87" i="3"/>
  <c r="C86" i="3"/>
  <c r="C85" i="3"/>
  <c r="C104" i="3"/>
  <c r="C103" i="3"/>
  <c r="C102" i="3"/>
  <c r="C101" i="3"/>
  <c r="C100" i="3"/>
  <c r="C99" i="3"/>
  <c r="C98" i="3"/>
  <c r="C97" i="3"/>
  <c r="C96" i="3"/>
  <c r="C95" i="3"/>
  <c r="C134" i="3"/>
  <c r="C133" i="3"/>
  <c r="C132" i="3"/>
  <c r="C131" i="3"/>
  <c r="C130" i="3"/>
  <c r="C129" i="3"/>
  <c r="C128" i="3"/>
  <c r="C127" i="3"/>
  <c r="C126" i="3"/>
  <c r="C125" i="3"/>
  <c r="C144" i="3"/>
  <c r="C143" i="3"/>
  <c r="C142" i="3"/>
  <c r="C141" i="3"/>
  <c r="C140" i="3"/>
  <c r="C139" i="3"/>
  <c r="C138" i="3"/>
  <c r="C137" i="3"/>
  <c r="C136" i="3"/>
  <c r="C135" i="3"/>
  <c r="C8734" i="3"/>
  <c r="C8735" i="3"/>
  <c r="B8734" i="3"/>
  <c r="B8735" i="3"/>
  <c r="B8736" i="3"/>
  <c r="C8736" i="3"/>
  <c r="B8737" i="3"/>
  <c r="C8737" i="3"/>
  <c r="B8738" i="3"/>
  <c r="C8738" i="3"/>
  <c r="B8739" i="3"/>
  <c r="C8739" i="3"/>
  <c r="B8740" i="3"/>
  <c r="C8740" i="3"/>
  <c r="B8741" i="3"/>
  <c r="C8741" i="3"/>
  <c r="B8742" i="3"/>
  <c r="C8742" i="3"/>
  <c r="B8743" i="3"/>
  <c r="C8743" i="3"/>
  <c r="B8744" i="3"/>
  <c r="C8744" i="3"/>
  <c r="B8745" i="3"/>
  <c r="C8745" i="3"/>
  <c r="B8746" i="3"/>
  <c r="C8746" i="3"/>
  <c r="B8747" i="3"/>
  <c r="C8747" i="3"/>
  <c r="B8748" i="3"/>
  <c r="C8748" i="3"/>
  <c r="B8749" i="3"/>
  <c r="C8749" i="3"/>
  <c r="B8750" i="3"/>
  <c r="C8750" i="3"/>
  <c r="B8751" i="3"/>
  <c r="C8751" i="3"/>
  <c r="B8752" i="3"/>
  <c r="C8752" i="3"/>
  <c r="B8753" i="3"/>
  <c r="C8753" i="3"/>
  <c r="B8754" i="3"/>
  <c r="C8754" i="3"/>
  <c r="B8755" i="3"/>
  <c r="C8755" i="3"/>
  <c r="B8756" i="3"/>
  <c r="C8756" i="3"/>
  <c r="B8757" i="3"/>
  <c r="C8757" i="3"/>
  <c r="B8758" i="3"/>
  <c r="C8758" i="3"/>
  <c r="B8759" i="3"/>
  <c r="C8759" i="3"/>
  <c r="B8760" i="3"/>
  <c r="C8760" i="3"/>
  <c r="B8761" i="3"/>
  <c r="C8761" i="3"/>
  <c r="B8762" i="3"/>
  <c r="C8762" i="3"/>
  <c r="B8763" i="3"/>
  <c r="C8763" i="3"/>
  <c r="B8764" i="3"/>
  <c r="C8764" i="3"/>
  <c r="B8765" i="3"/>
  <c r="C8765" i="3"/>
  <c r="B8766" i="3"/>
  <c r="C8766" i="3"/>
  <c r="B8767" i="3"/>
  <c r="C8767" i="3"/>
  <c r="B8768" i="3"/>
  <c r="C8768" i="3"/>
  <c r="B8769" i="3"/>
  <c r="C8769" i="3"/>
  <c r="B8770" i="3"/>
  <c r="C8770" i="3"/>
  <c r="B8771" i="3"/>
  <c r="C8771" i="3"/>
  <c r="B8772" i="3"/>
  <c r="C8772" i="3"/>
  <c r="B8773" i="3"/>
  <c r="C8773" i="3"/>
  <c r="B8774" i="3"/>
  <c r="C8774" i="3"/>
  <c r="B8775" i="3"/>
  <c r="C8775" i="3"/>
  <c r="B8776" i="3"/>
  <c r="C8776" i="3"/>
  <c r="B8777" i="3"/>
  <c r="C8777" i="3"/>
  <c r="B8778" i="3"/>
  <c r="C8778" i="3"/>
  <c r="B8779" i="3"/>
  <c r="C8779" i="3"/>
  <c r="B8780" i="3"/>
  <c r="C8780" i="3"/>
  <c r="B8781" i="3"/>
  <c r="C8781" i="3"/>
  <c r="B8782" i="3"/>
  <c r="C8782" i="3"/>
  <c r="B8783" i="3"/>
  <c r="C8783" i="3"/>
  <c r="B8784" i="3"/>
  <c r="C8784" i="3"/>
  <c r="B8785" i="3"/>
  <c r="C8785" i="3"/>
  <c r="B8786" i="3"/>
  <c r="C8786" i="3"/>
  <c r="B8787" i="3"/>
  <c r="C8787" i="3"/>
  <c r="B8788" i="3"/>
  <c r="C8788" i="3"/>
  <c r="B8789" i="3"/>
  <c r="C8789" i="3"/>
  <c r="B8790" i="3"/>
  <c r="C8790" i="3"/>
  <c r="B8791" i="3"/>
  <c r="C8791" i="3"/>
  <c r="B8792" i="3"/>
  <c r="C8792" i="3"/>
  <c r="B8793" i="3"/>
  <c r="C8793" i="3"/>
  <c r="B8794" i="3"/>
  <c r="C8794" i="3"/>
  <c r="B8795" i="3"/>
  <c r="C8795" i="3"/>
  <c r="B8796" i="3"/>
  <c r="C8796" i="3"/>
  <c r="B8797" i="3"/>
  <c r="C8797" i="3"/>
  <c r="B8798" i="3"/>
  <c r="C8798" i="3"/>
  <c r="B8799" i="3"/>
  <c r="C8799" i="3"/>
  <c r="B8800" i="3"/>
  <c r="C8800" i="3"/>
  <c r="B8801" i="3"/>
  <c r="C8801" i="3"/>
  <c r="B8802" i="3"/>
  <c r="C8802" i="3"/>
  <c r="B8803" i="3"/>
  <c r="C8803" i="3"/>
  <c r="B8804" i="3"/>
  <c r="C8804" i="3"/>
  <c r="B8805" i="3"/>
  <c r="C8805" i="3"/>
  <c r="B8806" i="3"/>
  <c r="C8806" i="3"/>
  <c r="B8807" i="3"/>
  <c r="C8807" i="3"/>
  <c r="B8808" i="3"/>
  <c r="C8808" i="3"/>
  <c r="B8809" i="3"/>
  <c r="C8809" i="3"/>
  <c r="B8810" i="3"/>
  <c r="C8810" i="3"/>
  <c r="B8811" i="3"/>
  <c r="C8811" i="3"/>
  <c r="B8812" i="3"/>
  <c r="C8812" i="3"/>
  <c r="B8813" i="3"/>
  <c r="C8813" i="3"/>
  <c r="B8814" i="3"/>
  <c r="C8814" i="3"/>
  <c r="B8815" i="3"/>
  <c r="C8815" i="3"/>
  <c r="B8816" i="3"/>
  <c r="C8816" i="3"/>
  <c r="B8817" i="3"/>
  <c r="C8817" i="3"/>
  <c r="B8818" i="3"/>
  <c r="C8818" i="3"/>
  <c r="B8819" i="3"/>
  <c r="C8819" i="3"/>
  <c r="B8820" i="3"/>
  <c r="C8820" i="3"/>
  <c r="B8821" i="3"/>
  <c r="C8821" i="3"/>
  <c r="B8822" i="3"/>
  <c r="C8822" i="3"/>
  <c r="B8823" i="3"/>
  <c r="C8823" i="3"/>
  <c r="B8824" i="3"/>
  <c r="C8824" i="3"/>
  <c r="B8825" i="3"/>
  <c r="C8825" i="3"/>
  <c r="B8826" i="3"/>
  <c r="C8826" i="3"/>
  <c r="B8827" i="3"/>
  <c r="C8827" i="3"/>
  <c r="B8828" i="3"/>
  <c r="C8828" i="3"/>
  <c r="B8829" i="3"/>
  <c r="C8829" i="3"/>
  <c r="B8830" i="3"/>
  <c r="C8830" i="3"/>
  <c r="B8831" i="3"/>
  <c r="C8831" i="3"/>
  <c r="B8832" i="3"/>
  <c r="C8832" i="3"/>
  <c r="B8833" i="3"/>
  <c r="C8833" i="3"/>
  <c r="B8834" i="3"/>
  <c r="C8834" i="3"/>
  <c r="B8835" i="3"/>
  <c r="C8835" i="3"/>
  <c r="B8836" i="3"/>
  <c r="C8836" i="3"/>
  <c r="B8837" i="3"/>
  <c r="C8837" i="3"/>
  <c r="B8838" i="3"/>
  <c r="C8838" i="3"/>
  <c r="B8839" i="3"/>
  <c r="C8839" i="3"/>
  <c r="B8840" i="3"/>
  <c r="C8840" i="3"/>
  <c r="B8841" i="3"/>
  <c r="C8841" i="3"/>
  <c r="B8842" i="3"/>
  <c r="C8842" i="3"/>
  <c r="B8843" i="3"/>
  <c r="C8843" i="3"/>
  <c r="B8844" i="3"/>
  <c r="C8844" i="3"/>
  <c r="B8845" i="3"/>
  <c r="C8845" i="3"/>
  <c r="B8846" i="3"/>
  <c r="C8846" i="3"/>
  <c r="B8847" i="3"/>
  <c r="C8847" i="3"/>
  <c r="B8848" i="3"/>
  <c r="C8848" i="3"/>
  <c r="B8849" i="3"/>
  <c r="C8849" i="3"/>
  <c r="B8850" i="3"/>
  <c r="C8850" i="3"/>
  <c r="B8851" i="3"/>
  <c r="C8851" i="3"/>
  <c r="B8852" i="3"/>
  <c r="C8852" i="3"/>
  <c r="B8853" i="3"/>
  <c r="C8853" i="3"/>
  <c r="B8854" i="3"/>
  <c r="C8854" i="3"/>
  <c r="B8855" i="3"/>
  <c r="C8855" i="3"/>
  <c r="B8856" i="3"/>
  <c r="C8856" i="3"/>
  <c r="B8857" i="3"/>
  <c r="C8857" i="3"/>
  <c r="B8858" i="3"/>
  <c r="C8858" i="3"/>
  <c r="B8859" i="3"/>
  <c r="C8859" i="3"/>
  <c r="B8860" i="3"/>
  <c r="C8860" i="3"/>
  <c r="B8861" i="3"/>
  <c r="C8861" i="3"/>
  <c r="B8862" i="3"/>
  <c r="C8862" i="3"/>
  <c r="B8863" i="3"/>
  <c r="C8863" i="3"/>
  <c r="B8864" i="3"/>
  <c r="C8864" i="3"/>
  <c r="B8865" i="3"/>
  <c r="C8865" i="3"/>
  <c r="B8866" i="3"/>
  <c r="C8866" i="3"/>
  <c r="B8867" i="3"/>
  <c r="C8867" i="3"/>
  <c r="B8868" i="3"/>
  <c r="C8868" i="3"/>
  <c r="B8869" i="3"/>
  <c r="C8869" i="3"/>
  <c r="B8870" i="3"/>
  <c r="C8870" i="3"/>
  <c r="B8871" i="3"/>
  <c r="C8871" i="3"/>
  <c r="B8872" i="3"/>
  <c r="C8872" i="3"/>
  <c r="B8873" i="3"/>
  <c r="C8873" i="3"/>
  <c r="B8874" i="3"/>
  <c r="C8874" i="3"/>
  <c r="B8875" i="3"/>
  <c r="C8875" i="3"/>
  <c r="B8876" i="3"/>
  <c r="C8876" i="3"/>
  <c r="B8877" i="3"/>
  <c r="C8877" i="3"/>
  <c r="B8878" i="3"/>
  <c r="C8878" i="3"/>
  <c r="B8879" i="3"/>
  <c r="C8879" i="3"/>
  <c r="B8880" i="3"/>
  <c r="C8880" i="3"/>
  <c r="B8881" i="3"/>
  <c r="C8881" i="3"/>
  <c r="B8882" i="3"/>
  <c r="C8882" i="3"/>
  <c r="B8883" i="3"/>
  <c r="C8883" i="3"/>
  <c r="B8884" i="3"/>
  <c r="C8884" i="3"/>
  <c r="B8885" i="3"/>
  <c r="C8885" i="3"/>
  <c r="B8886" i="3"/>
  <c r="C8886" i="3"/>
  <c r="B8887" i="3"/>
  <c r="C8887" i="3"/>
  <c r="B8888" i="3"/>
  <c r="C8888" i="3"/>
  <c r="B8889" i="3"/>
  <c r="C8889" i="3"/>
  <c r="B8890" i="3"/>
  <c r="C8890" i="3"/>
  <c r="B8891" i="3"/>
  <c r="C8891" i="3"/>
  <c r="B8892" i="3"/>
  <c r="C8892" i="3"/>
  <c r="B8893" i="3"/>
  <c r="C8893" i="3"/>
  <c r="B8894" i="3"/>
  <c r="C8894" i="3"/>
  <c r="B8895" i="3"/>
  <c r="C8895" i="3"/>
  <c r="B8896" i="3"/>
  <c r="C8896" i="3"/>
  <c r="B8897" i="3"/>
  <c r="C8897" i="3"/>
  <c r="B8898" i="3"/>
  <c r="C8898" i="3"/>
  <c r="B8899" i="3"/>
  <c r="C8899" i="3"/>
  <c r="B8900" i="3"/>
  <c r="C8900" i="3"/>
  <c r="B8901" i="3"/>
  <c r="C8901" i="3"/>
  <c r="B8902" i="3"/>
  <c r="C8902" i="3"/>
  <c r="B8903" i="3"/>
  <c r="C8903" i="3"/>
  <c r="B8904" i="3"/>
  <c r="C8904" i="3"/>
  <c r="B8905" i="3"/>
  <c r="C8905" i="3"/>
  <c r="B8906" i="3"/>
  <c r="C8906" i="3"/>
  <c r="B8907" i="3"/>
  <c r="C8907" i="3"/>
  <c r="B8908" i="3"/>
  <c r="C8908" i="3"/>
  <c r="B8909" i="3"/>
  <c r="C8909" i="3"/>
  <c r="B8910" i="3"/>
  <c r="C8910" i="3"/>
  <c r="B8911" i="3"/>
  <c r="C8911" i="3"/>
  <c r="B8912" i="3"/>
  <c r="C8912" i="3"/>
  <c r="B8913" i="3"/>
  <c r="C8913" i="3"/>
  <c r="B8914" i="3"/>
  <c r="C8914" i="3"/>
  <c r="B8915" i="3"/>
  <c r="C8915" i="3"/>
  <c r="B8916" i="3"/>
  <c r="C8916" i="3"/>
  <c r="B8917" i="3"/>
  <c r="C8917" i="3"/>
  <c r="B8918" i="3"/>
  <c r="C8918" i="3"/>
  <c r="B8919" i="3"/>
  <c r="C8919" i="3"/>
  <c r="B8920" i="3"/>
  <c r="C8920" i="3"/>
  <c r="B8921" i="3"/>
  <c r="C8921" i="3"/>
  <c r="B8922" i="3"/>
  <c r="C8922" i="3"/>
  <c r="B8923" i="3"/>
  <c r="C8923" i="3"/>
  <c r="B8924" i="3"/>
  <c r="C8924" i="3"/>
  <c r="B8925" i="3"/>
  <c r="C8925" i="3"/>
  <c r="B8926" i="3"/>
  <c r="C8926" i="3"/>
  <c r="B8927" i="3"/>
  <c r="C8927" i="3"/>
  <c r="B8928" i="3"/>
  <c r="C8928" i="3"/>
  <c r="B8929" i="3"/>
  <c r="C8929" i="3"/>
  <c r="B8930" i="3"/>
  <c r="C8930" i="3"/>
  <c r="B8931" i="3"/>
  <c r="C8931" i="3"/>
  <c r="B8932" i="3"/>
  <c r="C8932" i="3"/>
  <c r="B8933" i="3"/>
  <c r="C8933" i="3"/>
  <c r="B8934" i="3"/>
  <c r="C8934" i="3"/>
  <c r="B8935" i="3"/>
  <c r="C8935" i="3"/>
  <c r="B8936" i="3"/>
  <c r="C8936" i="3"/>
  <c r="B8937" i="3"/>
  <c r="C8937" i="3"/>
  <c r="B8938" i="3"/>
  <c r="C8938" i="3"/>
  <c r="B8939" i="3"/>
  <c r="C8939" i="3"/>
  <c r="B8940" i="3"/>
  <c r="C8940" i="3"/>
  <c r="B8941" i="3"/>
  <c r="C8941" i="3"/>
  <c r="B8942" i="3"/>
  <c r="C8942" i="3"/>
  <c r="B8943" i="3"/>
  <c r="C8943" i="3"/>
  <c r="B8944" i="3"/>
  <c r="C8944" i="3"/>
  <c r="B8945" i="3"/>
  <c r="C8945" i="3"/>
  <c r="B8946" i="3"/>
  <c r="C8946" i="3"/>
  <c r="B8947" i="3"/>
  <c r="C8947" i="3"/>
  <c r="B8948" i="3"/>
  <c r="C8948" i="3"/>
  <c r="B8949" i="3"/>
  <c r="C8949" i="3"/>
  <c r="B8950" i="3"/>
  <c r="C8950" i="3"/>
  <c r="B8951" i="3"/>
  <c r="C8951" i="3"/>
  <c r="B8952" i="3"/>
  <c r="C8952" i="3"/>
  <c r="B8953" i="3"/>
  <c r="C8953" i="3"/>
  <c r="B8954" i="3"/>
  <c r="C8954" i="3"/>
  <c r="B8955" i="3"/>
  <c r="C8955" i="3"/>
  <c r="B8956" i="3"/>
  <c r="C8956" i="3"/>
  <c r="B8957" i="3"/>
  <c r="C8957" i="3"/>
  <c r="B8958" i="3"/>
  <c r="C8958" i="3"/>
  <c r="B8959" i="3"/>
  <c r="C8959" i="3"/>
  <c r="B8960" i="3"/>
  <c r="C8960" i="3"/>
  <c r="B8961" i="3"/>
  <c r="C8961" i="3"/>
  <c r="B8962" i="3"/>
  <c r="C8962" i="3"/>
  <c r="B8963" i="3"/>
  <c r="C8963" i="3"/>
  <c r="B8964" i="3"/>
  <c r="C8964" i="3"/>
  <c r="B8965" i="3"/>
  <c r="C8965" i="3"/>
  <c r="B8966" i="3"/>
  <c r="C8966" i="3"/>
  <c r="B8967" i="3"/>
  <c r="C8967" i="3"/>
  <c r="B8968" i="3"/>
  <c r="C8968" i="3"/>
  <c r="B8969" i="3"/>
  <c r="C8969" i="3"/>
  <c r="B8970" i="3"/>
  <c r="C8970" i="3"/>
  <c r="B8971" i="3"/>
  <c r="C8971" i="3"/>
  <c r="B8972" i="3"/>
  <c r="C8972" i="3"/>
  <c r="B8973" i="3"/>
  <c r="C8973" i="3"/>
  <c r="B8974" i="3"/>
  <c r="C8974" i="3"/>
  <c r="B8975" i="3"/>
  <c r="C8975" i="3"/>
  <c r="B8976" i="3"/>
  <c r="C8976" i="3"/>
  <c r="B8977" i="3"/>
  <c r="C8977" i="3"/>
  <c r="B8978" i="3"/>
  <c r="C8978" i="3"/>
  <c r="B8979" i="3"/>
  <c r="C8979" i="3"/>
  <c r="B8980" i="3"/>
  <c r="C8980" i="3"/>
  <c r="B8981" i="3"/>
  <c r="C8981" i="3"/>
  <c r="B8982" i="3"/>
  <c r="C8982" i="3"/>
  <c r="B8983" i="3"/>
  <c r="C8983" i="3"/>
  <c r="B8984" i="3"/>
  <c r="C8984" i="3"/>
  <c r="B8985" i="3"/>
  <c r="C8985" i="3"/>
  <c r="B8986" i="3"/>
  <c r="C8986" i="3"/>
  <c r="B8987" i="3"/>
  <c r="C8987" i="3"/>
  <c r="B8988" i="3"/>
  <c r="C8988" i="3"/>
  <c r="B8989" i="3"/>
  <c r="C8989" i="3"/>
  <c r="B8990" i="3"/>
  <c r="C8990" i="3"/>
  <c r="B8991" i="3"/>
  <c r="C8991" i="3"/>
  <c r="B8992" i="3"/>
  <c r="C8992" i="3"/>
  <c r="B8993" i="3"/>
  <c r="C8993" i="3"/>
  <c r="B8994" i="3"/>
  <c r="C8994" i="3"/>
  <c r="B8995" i="3"/>
  <c r="C8995" i="3"/>
  <c r="B8996" i="3"/>
  <c r="C8996" i="3"/>
  <c r="B8997" i="3"/>
  <c r="C8997" i="3"/>
  <c r="B8998" i="3"/>
  <c r="C8998" i="3"/>
  <c r="B8999" i="3"/>
  <c r="C8999" i="3"/>
  <c r="B9000" i="3"/>
  <c r="C9000" i="3"/>
  <c r="B9001" i="3"/>
  <c r="C9001" i="3"/>
  <c r="B9002" i="3"/>
  <c r="C9002" i="3"/>
  <c r="B9003" i="3"/>
  <c r="C9003" i="3"/>
  <c r="B9004" i="3"/>
  <c r="C9004" i="3"/>
  <c r="B9005" i="3"/>
  <c r="C9005" i="3"/>
  <c r="B9006" i="3"/>
  <c r="C9006" i="3"/>
  <c r="B9007" i="3"/>
  <c r="C9007" i="3"/>
  <c r="B9008" i="3"/>
  <c r="C9008" i="3"/>
  <c r="B9009" i="3"/>
  <c r="C9009" i="3"/>
  <c r="B9010" i="3"/>
  <c r="C9010" i="3"/>
  <c r="B9011" i="3"/>
  <c r="C9011" i="3"/>
  <c r="B9012" i="3"/>
  <c r="C9012" i="3"/>
  <c r="B9013" i="3"/>
  <c r="C9013" i="3"/>
  <c r="B9014" i="3"/>
  <c r="C9014" i="3"/>
  <c r="B9015" i="3"/>
  <c r="C9015" i="3"/>
  <c r="B9016" i="3"/>
  <c r="C9016" i="3"/>
  <c r="B9017" i="3"/>
  <c r="C9017" i="3"/>
  <c r="B9018" i="3"/>
  <c r="C9018" i="3"/>
  <c r="B9019" i="3"/>
  <c r="C9019" i="3"/>
  <c r="B9020" i="3"/>
  <c r="C9020" i="3"/>
  <c r="B9021" i="3"/>
  <c r="C9021" i="3"/>
  <c r="B9022" i="3"/>
  <c r="C9022" i="3"/>
  <c r="B9023" i="3"/>
  <c r="C9023" i="3"/>
  <c r="B9024" i="3"/>
  <c r="C9024" i="3"/>
  <c r="B9025" i="3"/>
  <c r="C9025" i="3"/>
  <c r="B9026" i="3"/>
  <c r="C9026" i="3"/>
  <c r="B9027" i="3"/>
  <c r="C9027" i="3"/>
  <c r="B9028" i="3"/>
  <c r="C9028" i="3"/>
  <c r="B9029" i="3"/>
  <c r="C9029" i="3"/>
  <c r="B9030" i="3"/>
  <c r="C9030" i="3"/>
  <c r="B9031" i="3"/>
  <c r="C9031" i="3"/>
  <c r="B9032" i="3"/>
  <c r="C9032" i="3"/>
  <c r="B9033" i="3"/>
  <c r="C9033" i="3"/>
  <c r="B9034" i="3"/>
  <c r="C9034" i="3"/>
  <c r="B9035" i="3"/>
  <c r="C9035" i="3"/>
  <c r="B9036" i="3"/>
  <c r="C9036" i="3"/>
  <c r="B9037" i="3"/>
  <c r="C9037" i="3"/>
  <c r="B9038" i="3"/>
  <c r="C9038" i="3"/>
  <c r="B9039" i="3"/>
  <c r="C9039" i="3"/>
  <c r="B9040" i="3"/>
  <c r="C9040" i="3"/>
  <c r="B9041" i="3"/>
  <c r="C9041" i="3"/>
  <c r="B9042" i="3"/>
  <c r="C9042" i="3"/>
  <c r="B9043" i="3"/>
  <c r="C9043" i="3"/>
  <c r="B9044" i="3"/>
  <c r="C9044" i="3"/>
  <c r="B9045" i="3"/>
  <c r="C9045" i="3"/>
  <c r="B9046" i="3"/>
  <c r="C9046" i="3"/>
  <c r="B9047" i="3"/>
  <c r="C9047" i="3"/>
  <c r="B9048" i="3"/>
  <c r="C9048" i="3"/>
  <c r="B9049" i="3"/>
  <c r="C9049" i="3"/>
  <c r="B9050" i="3"/>
  <c r="C9050" i="3"/>
  <c r="B9051" i="3"/>
  <c r="C9051" i="3"/>
  <c r="B9052" i="3"/>
  <c r="C9052" i="3"/>
  <c r="B9053" i="3"/>
  <c r="C9053" i="3"/>
  <c r="B9054" i="3"/>
  <c r="C9054" i="3"/>
  <c r="B9055" i="3"/>
  <c r="C9055" i="3"/>
  <c r="B9056" i="3"/>
  <c r="C9056" i="3"/>
  <c r="B9057" i="3"/>
  <c r="C9057" i="3"/>
  <c r="B9058" i="3"/>
  <c r="C9058" i="3"/>
  <c r="B9059" i="3"/>
  <c r="C9059" i="3"/>
  <c r="B9060" i="3"/>
  <c r="C9060" i="3"/>
  <c r="B9061" i="3"/>
  <c r="C9061" i="3"/>
  <c r="B9062" i="3"/>
  <c r="C9062" i="3"/>
  <c r="B9063" i="3"/>
  <c r="C9063" i="3"/>
  <c r="B9064" i="3"/>
  <c r="C9064" i="3"/>
  <c r="B9065" i="3"/>
  <c r="C9065" i="3"/>
  <c r="B9066" i="3"/>
  <c r="C9066" i="3"/>
  <c r="B9067" i="3"/>
  <c r="C9067" i="3"/>
  <c r="B9068" i="3"/>
  <c r="C9068" i="3"/>
  <c r="B9069" i="3"/>
  <c r="C9069" i="3"/>
  <c r="B9070" i="3"/>
  <c r="C9070" i="3"/>
  <c r="B9071" i="3"/>
  <c r="C9071" i="3"/>
  <c r="B9072" i="3"/>
  <c r="C9072" i="3"/>
  <c r="B9073" i="3"/>
  <c r="C9073" i="3"/>
  <c r="B9074" i="3"/>
  <c r="C9074" i="3"/>
  <c r="B9075" i="3"/>
  <c r="C9075" i="3"/>
  <c r="B9076" i="3"/>
  <c r="C9076" i="3"/>
  <c r="B9077" i="3"/>
  <c r="C9077" i="3"/>
  <c r="B9078" i="3"/>
  <c r="C9078" i="3"/>
  <c r="B9079" i="3"/>
  <c r="C9079" i="3"/>
  <c r="B9080" i="3"/>
  <c r="C9080" i="3"/>
  <c r="B9081" i="3"/>
  <c r="C9081" i="3"/>
  <c r="B9082" i="3"/>
  <c r="C9082" i="3"/>
  <c r="B9083" i="3"/>
  <c r="C9083" i="3"/>
  <c r="B9084" i="3"/>
  <c r="C9084" i="3"/>
  <c r="B9085" i="3"/>
  <c r="C9085" i="3"/>
  <c r="B9086" i="3"/>
  <c r="C9086" i="3"/>
  <c r="B9087" i="3"/>
  <c r="C9087" i="3"/>
  <c r="B9088" i="3"/>
  <c r="C9088" i="3"/>
  <c r="B9089" i="3"/>
  <c r="C9089" i="3"/>
  <c r="B9090" i="3"/>
  <c r="C9090" i="3"/>
  <c r="B9091" i="3"/>
  <c r="C9091" i="3"/>
  <c r="B9092" i="3"/>
  <c r="C9092" i="3"/>
  <c r="B9093" i="3"/>
  <c r="C9093" i="3"/>
  <c r="B9094" i="3"/>
  <c r="C9094" i="3"/>
  <c r="B9095" i="3"/>
  <c r="C9095" i="3"/>
  <c r="B9096" i="3"/>
  <c r="C9096" i="3"/>
  <c r="B9097" i="3"/>
  <c r="C9097" i="3"/>
  <c r="B9098" i="3"/>
  <c r="C9098" i="3"/>
  <c r="B9099" i="3"/>
  <c r="C9099" i="3"/>
  <c r="B9100" i="3"/>
  <c r="C9100" i="3"/>
  <c r="B9101" i="3"/>
  <c r="C9101" i="3"/>
  <c r="B9102" i="3"/>
  <c r="C9102" i="3"/>
  <c r="B9103" i="3"/>
  <c r="C9103" i="3"/>
  <c r="B9104" i="3"/>
  <c r="C9104" i="3"/>
  <c r="B9105" i="3"/>
  <c r="C9105" i="3"/>
  <c r="B9106" i="3"/>
  <c r="C9106" i="3"/>
  <c r="B9107" i="3"/>
  <c r="C9107" i="3"/>
  <c r="B9108" i="3"/>
  <c r="C9108" i="3"/>
  <c r="B9109" i="3"/>
  <c r="C9109" i="3"/>
  <c r="B9110" i="3"/>
  <c r="C9110" i="3"/>
  <c r="B9111" i="3"/>
  <c r="C9111" i="3"/>
  <c r="B9112" i="3"/>
  <c r="C9112" i="3"/>
  <c r="B9113" i="3"/>
  <c r="C9113" i="3"/>
  <c r="B9114" i="3"/>
  <c r="C9114" i="3"/>
  <c r="B9115" i="3"/>
  <c r="C9115" i="3"/>
  <c r="B9116" i="3"/>
  <c r="C9116" i="3"/>
  <c r="B9117" i="3"/>
  <c r="C9117" i="3"/>
  <c r="B9118" i="3"/>
  <c r="C9118" i="3"/>
  <c r="B9119" i="3"/>
  <c r="C9119" i="3"/>
  <c r="B9120" i="3"/>
  <c r="C9120" i="3"/>
  <c r="B9121" i="3"/>
  <c r="C9121" i="3"/>
  <c r="B9122" i="3"/>
  <c r="C9122" i="3"/>
  <c r="B9123" i="3"/>
  <c r="C9123" i="3"/>
  <c r="B9124" i="3"/>
  <c r="C9124" i="3"/>
  <c r="B9125" i="3"/>
  <c r="C9125" i="3"/>
  <c r="B9126" i="3"/>
  <c r="C9126" i="3"/>
  <c r="B9127" i="3"/>
  <c r="C9127" i="3"/>
  <c r="B9128" i="3"/>
  <c r="C9128" i="3"/>
  <c r="B9129" i="3"/>
  <c r="C9129" i="3"/>
  <c r="B9130" i="3"/>
  <c r="C9130" i="3"/>
  <c r="B9131" i="3"/>
  <c r="C9131" i="3"/>
  <c r="B9132" i="3"/>
  <c r="C9132" i="3"/>
  <c r="B9133" i="3"/>
  <c r="C9133" i="3"/>
  <c r="B9134" i="3"/>
  <c r="C9134" i="3"/>
  <c r="B9135" i="3"/>
  <c r="C9135" i="3"/>
  <c r="B9136" i="3"/>
  <c r="C9136" i="3"/>
  <c r="B9137" i="3"/>
  <c r="C9137" i="3"/>
  <c r="B9138" i="3"/>
  <c r="C9138" i="3"/>
  <c r="B9139" i="3"/>
  <c r="C9139" i="3"/>
  <c r="B9140" i="3"/>
  <c r="C9140" i="3"/>
  <c r="B9141" i="3"/>
  <c r="C9141" i="3"/>
  <c r="B9142" i="3"/>
  <c r="C9142" i="3"/>
  <c r="B9143" i="3"/>
  <c r="C9143" i="3"/>
  <c r="B9144" i="3"/>
  <c r="C9144" i="3"/>
  <c r="B9145" i="3"/>
  <c r="C9145" i="3"/>
  <c r="B9146" i="3"/>
  <c r="C9146" i="3"/>
  <c r="B9147" i="3"/>
  <c r="C9147" i="3"/>
  <c r="B9148" i="3"/>
  <c r="C9148" i="3"/>
  <c r="B9149" i="3"/>
  <c r="C9149" i="3"/>
  <c r="B9150" i="3"/>
  <c r="C9150" i="3"/>
  <c r="B9151" i="3"/>
  <c r="C9151" i="3"/>
  <c r="B9152" i="3"/>
  <c r="C9152" i="3"/>
  <c r="B9153" i="3"/>
  <c r="C9153" i="3"/>
  <c r="B9154" i="3"/>
  <c r="C9154" i="3"/>
  <c r="B9155" i="3"/>
  <c r="C9155" i="3"/>
  <c r="B9156" i="3"/>
  <c r="C9156" i="3"/>
  <c r="B9157" i="3"/>
  <c r="C9157" i="3"/>
  <c r="B9158" i="3"/>
  <c r="C9158" i="3"/>
  <c r="B9159" i="3"/>
  <c r="C9159" i="3"/>
  <c r="B9160" i="3"/>
  <c r="C9160" i="3"/>
  <c r="B9161" i="3"/>
  <c r="C9161" i="3"/>
  <c r="B9162" i="3"/>
  <c r="C9162" i="3"/>
  <c r="B9163" i="3"/>
  <c r="C9163" i="3"/>
  <c r="B9164" i="3"/>
  <c r="C9164" i="3"/>
  <c r="B9165" i="3"/>
  <c r="C9165" i="3"/>
  <c r="B9166" i="3"/>
  <c r="C9166" i="3"/>
  <c r="B9167" i="3"/>
  <c r="C9167" i="3"/>
  <c r="B9168" i="3"/>
  <c r="C9168" i="3"/>
  <c r="B9169" i="3"/>
  <c r="C9169" i="3"/>
  <c r="B9170" i="3"/>
  <c r="C9170" i="3"/>
  <c r="B9171" i="3"/>
  <c r="C9171" i="3"/>
  <c r="B9172" i="3"/>
  <c r="C9172" i="3"/>
  <c r="B9173" i="3"/>
  <c r="C9173" i="3"/>
  <c r="B9174" i="3"/>
  <c r="C9174" i="3"/>
  <c r="B9175" i="3"/>
  <c r="C9175" i="3"/>
  <c r="B9176" i="3"/>
  <c r="C9176" i="3"/>
  <c r="B9177" i="3"/>
  <c r="C9177" i="3"/>
  <c r="B9178" i="3"/>
  <c r="C9178" i="3"/>
  <c r="B9179" i="3"/>
  <c r="C9179" i="3"/>
  <c r="B9180" i="3"/>
  <c r="C9180" i="3"/>
  <c r="B9181" i="3"/>
  <c r="C9181" i="3"/>
  <c r="B9182" i="3"/>
  <c r="C9182" i="3"/>
  <c r="B9183" i="3"/>
  <c r="C9183" i="3"/>
  <c r="B9184" i="3"/>
  <c r="C9184" i="3"/>
  <c r="B9185" i="3"/>
  <c r="C9185" i="3"/>
  <c r="B9186" i="3"/>
  <c r="C9186" i="3"/>
  <c r="B9187" i="3"/>
  <c r="C9187" i="3"/>
  <c r="B9188" i="3"/>
  <c r="C9188" i="3"/>
  <c r="B9189" i="3"/>
  <c r="C9189" i="3"/>
  <c r="B9190" i="3"/>
  <c r="C9190" i="3"/>
  <c r="B9191" i="3"/>
  <c r="C9191" i="3"/>
  <c r="B9192" i="3"/>
  <c r="C9192" i="3"/>
  <c r="B9193" i="3"/>
  <c r="C9193" i="3"/>
  <c r="B9194" i="3"/>
  <c r="C9194" i="3"/>
  <c r="B9195" i="3"/>
  <c r="C9195" i="3"/>
  <c r="B9196" i="3"/>
  <c r="C9196" i="3"/>
  <c r="B9197" i="3"/>
  <c r="C9197" i="3"/>
  <c r="B9198" i="3"/>
  <c r="C9198" i="3"/>
  <c r="B9199" i="3"/>
  <c r="C9199" i="3"/>
  <c r="B9200" i="3"/>
  <c r="C9200" i="3"/>
  <c r="B9201" i="3"/>
  <c r="C9201" i="3"/>
  <c r="B9202" i="3"/>
  <c r="C9202" i="3"/>
  <c r="B9203" i="3"/>
  <c r="C9203" i="3"/>
  <c r="B9204" i="3"/>
  <c r="C9204" i="3"/>
  <c r="B9205" i="3"/>
  <c r="C9205" i="3"/>
  <c r="B9206" i="3"/>
  <c r="C9206" i="3"/>
  <c r="B9207" i="3"/>
  <c r="C9207" i="3"/>
  <c r="B9208" i="3"/>
  <c r="C9208" i="3"/>
  <c r="B9209" i="3"/>
  <c r="C9209" i="3"/>
  <c r="B9210" i="3"/>
  <c r="C9210" i="3"/>
  <c r="B9211" i="3"/>
  <c r="C9211" i="3"/>
  <c r="B9212" i="3"/>
  <c r="C9212" i="3"/>
  <c r="B9213" i="3"/>
  <c r="C9213" i="3"/>
  <c r="B9214" i="3"/>
  <c r="C9214" i="3"/>
  <c r="B9215" i="3"/>
  <c r="C9215" i="3"/>
  <c r="B9216" i="3"/>
  <c r="C9216" i="3"/>
  <c r="B9217" i="3"/>
  <c r="C9217" i="3"/>
  <c r="B9218" i="3"/>
  <c r="C9218" i="3"/>
  <c r="B9219" i="3"/>
  <c r="C9219" i="3"/>
  <c r="B9220" i="3"/>
  <c r="C9220" i="3"/>
  <c r="B9221" i="3"/>
  <c r="C9221" i="3"/>
  <c r="B9222" i="3"/>
  <c r="C9222" i="3"/>
  <c r="B9223" i="3"/>
  <c r="C9223" i="3"/>
  <c r="B9224" i="3"/>
  <c r="C9224" i="3"/>
  <c r="B9225" i="3"/>
  <c r="C9225" i="3"/>
  <c r="B9226" i="3"/>
  <c r="C9226" i="3"/>
  <c r="B9227" i="3"/>
  <c r="C9227" i="3"/>
  <c r="B9228" i="3"/>
  <c r="C9228" i="3"/>
  <c r="B9229" i="3"/>
  <c r="C9229" i="3"/>
  <c r="B9230" i="3"/>
  <c r="C9230" i="3"/>
  <c r="B9231" i="3"/>
  <c r="C9231" i="3"/>
  <c r="B9232" i="3"/>
  <c r="C9232" i="3"/>
  <c r="B9233" i="3"/>
  <c r="C9233" i="3"/>
  <c r="B9234" i="3"/>
  <c r="C9234" i="3"/>
  <c r="B9235" i="3"/>
  <c r="C9235" i="3"/>
  <c r="B9236" i="3"/>
  <c r="C9236" i="3"/>
  <c r="B9237" i="3"/>
  <c r="C9237" i="3"/>
  <c r="B9238" i="3"/>
  <c r="C9238" i="3"/>
  <c r="B9239" i="3"/>
  <c r="C9239" i="3"/>
  <c r="B9240" i="3"/>
  <c r="C9240" i="3"/>
  <c r="B9241" i="3"/>
  <c r="C9241" i="3"/>
  <c r="B9242" i="3"/>
  <c r="C9242" i="3"/>
  <c r="B9243" i="3"/>
  <c r="C9243" i="3"/>
  <c r="B9244" i="3"/>
  <c r="C9244" i="3"/>
  <c r="B9245" i="3"/>
  <c r="C9245" i="3"/>
  <c r="B9246" i="3"/>
  <c r="C9246" i="3"/>
  <c r="B9247" i="3"/>
  <c r="C9247" i="3"/>
  <c r="B9248" i="3"/>
  <c r="C9248" i="3"/>
  <c r="B9249" i="3"/>
  <c r="C9249" i="3"/>
  <c r="B9250" i="3"/>
  <c r="C9250" i="3"/>
  <c r="B9251" i="3"/>
  <c r="C9251" i="3"/>
  <c r="B9252" i="3"/>
  <c r="C9252" i="3"/>
  <c r="B9253" i="3"/>
  <c r="C9253" i="3"/>
  <c r="B9254" i="3"/>
  <c r="C9254" i="3"/>
  <c r="B9255" i="3"/>
  <c r="C9255" i="3"/>
  <c r="B9256" i="3"/>
  <c r="C9256" i="3"/>
  <c r="B9257" i="3"/>
  <c r="C9257" i="3"/>
  <c r="B9258" i="3"/>
  <c r="C9258" i="3"/>
  <c r="B9259" i="3"/>
  <c r="C9259" i="3"/>
  <c r="B9260" i="3"/>
  <c r="C9260" i="3"/>
  <c r="B9261" i="3"/>
  <c r="C9261" i="3"/>
  <c r="B9262" i="3"/>
  <c r="C9262" i="3"/>
  <c r="B9263" i="3"/>
  <c r="C9263" i="3"/>
  <c r="B9264" i="3"/>
  <c r="C9264" i="3"/>
  <c r="B9265" i="3"/>
  <c r="C9265" i="3"/>
  <c r="B9266" i="3"/>
  <c r="C9266" i="3"/>
  <c r="B9267" i="3"/>
  <c r="C9267" i="3"/>
  <c r="B9268" i="3"/>
  <c r="C9268" i="3"/>
  <c r="B9269" i="3"/>
  <c r="C9269" i="3"/>
  <c r="B9270" i="3"/>
  <c r="C9270" i="3"/>
  <c r="B9271" i="3"/>
  <c r="C9271" i="3"/>
  <c r="B9272" i="3"/>
  <c r="C9272" i="3"/>
  <c r="B9273" i="3"/>
  <c r="C9273" i="3"/>
  <c r="B9274" i="3"/>
  <c r="C9274" i="3"/>
  <c r="B9275" i="3"/>
  <c r="C9275" i="3"/>
  <c r="B9276" i="3"/>
  <c r="C9276" i="3"/>
  <c r="B9277" i="3"/>
  <c r="C9277" i="3"/>
  <c r="B9278" i="3"/>
  <c r="C9278" i="3"/>
  <c r="B9279" i="3"/>
  <c r="C9279" i="3"/>
  <c r="B9280" i="3"/>
  <c r="C9280" i="3"/>
  <c r="B9281" i="3"/>
  <c r="C9281" i="3"/>
  <c r="B9282" i="3"/>
  <c r="C9282" i="3"/>
  <c r="B9283" i="3"/>
  <c r="C9283" i="3"/>
  <c r="B9284" i="3"/>
  <c r="C9284" i="3"/>
  <c r="B9285" i="3"/>
  <c r="C9285" i="3"/>
  <c r="B9286" i="3"/>
  <c r="C9286" i="3"/>
  <c r="B9287" i="3"/>
  <c r="C9287" i="3"/>
  <c r="B9288" i="3"/>
  <c r="C9288" i="3"/>
  <c r="B9289" i="3"/>
  <c r="C9289" i="3"/>
  <c r="B9290" i="3"/>
  <c r="C9290" i="3"/>
  <c r="B9291" i="3"/>
  <c r="C9291" i="3"/>
  <c r="B9292" i="3"/>
  <c r="C9292" i="3"/>
  <c r="B9293" i="3"/>
  <c r="C9293" i="3"/>
  <c r="B9294" i="3"/>
  <c r="C9294" i="3"/>
  <c r="B9295" i="3"/>
  <c r="C9295" i="3"/>
  <c r="B9296" i="3"/>
  <c r="C9296" i="3"/>
  <c r="B9297" i="3"/>
  <c r="C9297" i="3"/>
  <c r="B9298" i="3"/>
  <c r="C9298" i="3"/>
  <c r="B9299" i="3"/>
  <c r="C9299" i="3"/>
  <c r="B9300" i="3"/>
  <c r="C9300" i="3"/>
  <c r="B9301" i="3"/>
  <c r="C9301" i="3"/>
  <c r="B9302" i="3"/>
  <c r="C9302" i="3"/>
  <c r="B9303" i="3"/>
  <c r="C9303" i="3"/>
  <c r="B9304" i="3"/>
  <c r="C9304" i="3"/>
  <c r="B9305" i="3"/>
  <c r="C9305" i="3"/>
  <c r="B9306" i="3"/>
  <c r="C9306" i="3"/>
  <c r="B9307" i="3"/>
  <c r="C9307" i="3"/>
  <c r="B9308" i="3"/>
  <c r="C9308" i="3"/>
  <c r="B9309" i="3"/>
  <c r="C9309" i="3"/>
  <c r="B9310" i="3"/>
  <c r="C9310" i="3"/>
  <c r="B9311" i="3"/>
  <c r="C9311" i="3"/>
  <c r="B9312" i="3"/>
  <c r="C9312" i="3"/>
  <c r="B9313" i="3"/>
  <c r="C9313" i="3"/>
  <c r="B9314" i="3"/>
  <c r="C9314" i="3"/>
  <c r="B9315" i="3"/>
  <c r="C9315" i="3"/>
  <c r="B9316" i="3"/>
  <c r="C9316" i="3"/>
  <c r="B9317" i="3"/>
  <c r="C9317" i="3"/>
  <c r="B9318" i="3"/>
  <c r="C9318" i="3"/>
  <c r="B9319" i="3"/>
  <c r="C9319" i="3"/>
  <c r="B9320" i="3"/>
  <c r="C9320" i="3"/>
  <c r="B9321" i="3"/>
  <c r="C9321" i="3"/>
  <c r="B9322" i="3"/>
  <c r="C9322" i="3"/>
  <c r="B9323" i="3"/>
  <c r="C9323" i="3"/>
  <c r="B9324" i="3"/>
  <c r="C9324" i="3"/>
  <c r="B9325" i="3"/>
  <c r="C9325" i="3"/>
  <c r="B9326" i="3"/>
  <c r="C9326" i="3"/>
  <c r="B9327" i="3"/>
  <c r="C9327" i="3"/>
  <c r="B9328" i="3"/>
  <c r="C9328" i="3"/>
  <c r="B9329" i="3"/>
  <c r="C9329" i="3"/>
  <c r="B9330" i="3"/>
  <c r="C9330" i="3"/>
  <c r="B9331" i="3"/>
  <c r="C9331" i="3"/>
  <c r="B9332" i="3"/>
  <c r="C9332" i="3"/>
  <c r="B9333" i="3"/>
  <c r="C9333" i="3"/>
  <c r="B9334" i="3"/>
  <c r="C9334" i="3"/>
  <c r="B9335" i="3"/>
  <c r="C9335" i="3"/>
  <c r="B9336" i="3"/>
  <c r="C9336" i="3"/>
  <c r="B9337" i="3"/>
  <c r="C9337" i="3"/>
  <c r="B9338" i="3"/>
  <c r="C9338" i="3"/>
  <c r="B9339" i="3"/>
  <c r="C9339" i="3"/>
  <c r="B9340" i="3"/>
  <c r="C9340" i="3"/>
  <c r="B9341" i="3"/>
  <c r="C9341" i="3"/>
  <c r="B9342" i="3"/>
  <c r="C9342" i="3"/>
  <c r="B9343" i="3"/>
  <c r="C9343" i="3"/>
  <c r="B9344" i="3"/>
  <c r="C9344" i="3"/>
  <c r="B9345" i="3"/>
  <c r="C9345" i="3"/>
  <c r="B9346" i="3"/>
  <c r="C9346" i="3"/>
  <c r="B9347" i="3"/>
  <c r="C9347" i="3"/>
  <c r="B9348" i="3"/>
  <c r="C9348" i="3"/>
  <c r="B9349" i="3"/>
  <c r="C9349" i="3"/>
  <c r="B9350" i="3"/>
  <c r="C9350" i="3"/>
  <c r="B9351" i="3"/>
  <c r="C9351" i="3"/>
  <c r="B9352" i="3"/>
  <c r="C9352" i="3"/>
  <c r="B9353" i="3"/>
  <c r="C9353" i="3"/>
  <c r="B9354" i="3"/>
  <c r="C9354" i="3"/>
  <c r="B9355" i="3"/>
  <c r="C9355" i="3"/>
  <c r="B9356" i="3"/>
  <c r="C9356" i="3"/>
  <c r="B9357" i="3"/>
  <c r="C9357" i="3"/>
  <c r="B9358" i="3"/>
  <c r="C9358" i="3"/>
  <c r="B9359" i="3"/>
  <c r="C9359" i="3"/>
  <c r="B9360" i="3"/>
  <c r="C9360" i="3"/>
  <c r="B9361" i="3"/>
  <c r="C9361" i="3"/>
  <c r="B9362" i="3"/>
  <c r="C9362" i="3"/>
  <c r="B9363" i="3"/>
  <c r="C9363" i="3"/>
  <c r="B9364" i="3"/>
  <c r="C9364" i="3"/>
  <c r="B9365" i="3"/>
  <c r="C9365" i="3"/>
  <c r="B9366" i="3"/>
  <c r="C9366" i="3"/>
  <c r="B9367" i="3"/>
  <c r="C9367" i="3"/>
  <c r="B9368" i="3"/>
  <c r="C9368" i="3"/>
  <c r="B9369" i="3"/>
  <c r="C9369" i="3"/>
  <c r="B9370" i="3"/>
  <c r="C9370" i="3"/>
  <c r="B9371" i="3"/>
  <c r="C9371" i="3"/>
  <c r="B9372" i="3"/>
  <c r="C9372" i="3"/>
  <c r="B9373" i="3"/>
  <c r="C9373" i="3"/>
  <c r="B9374" i="3"/>
  <c r="C9374" i="3"/>
  <c r="B9375" i="3"/>
  <c r="C9375" i="3"/>
  <c r="B9376" i="3"/>
  <c r="C9376" i="3"/>
  <c r="B9377" i="3"/>
  <c r="C9377" i="3"/>
  <c r="B9378" i="3"/>
  <c r="C9378" i="3"/>
  <c r="B9379" i="3"/>
  <c r="C9379" i="3"/>
  <c r="B9380" i="3"/>
  <c r="C9380" i="3"/>
  <c r="B9381" i="3"/>
  <c r="C9381" i="3"/>
  <c r="B9382" i="3"/>
  <c r="C9382" i="3"/>
  <c r="B9383" i="3"/>
  <c r="C9383" i="3"/>
  <c r="B9384" i="3"/>
  <c r="C9384" i="3"/>
  <c r="B9385" i="3"/>
  <c r="C9385" i="3"/>
  <c r="B9386" i="3"/>
  <c r="C9386" i="3"/>
  <c r="B9387" i="3"/>
  <c r="C9387" i="3"/>
  <c r="B9388" i="3"/>
  <c r="C9388" i="3"/>
  <c r="B9389" i="3"/>
  <c r="C9389" i="3"/>
  <c r="B9390" i="3"/>
  <c r="C9390" i="3"/>
  <c r="B9391" i="3"/>
  <c r="C9391" i="3"/>
  <c r="B9392" i="3"/>
  <c r="C9392" i="3"/>
  <c r="B9393" i="3"/>
  <c r="C9393" i="3"/>
  <c r="B9394" i="3"/>
  <c r="C9394" i="3"/>
  <c r="B9395" i="3"/>
  <c r="C9395" i="3"/>
  <c r="B9396" i="3"/>
  <c r="C9396" i="3"/>
  <c r="B9397" i="3"/>
  <c r="C9397" i="3"/>
  <c r="B9398" i="3"/>
  <c r="C9398" i="3"/>
  <c r="B9399" i="3"/>
  <c r="C9399" i="3"/>
  <c r="B9400" i="3"/>
  <c r="C9400" i="3"/>
  <c r="B9401" i="3"/>
  <c r="C9401" i="3"/>
  <c r="B9402" i="3"/>
  <c r="C9402" i="3"/>
  <c r="B9403" i="3"/>
  <c r="C9403" i="3"/>
  <c r="B9404" i="3"/>
  <c r="C9404" i="3"/>
  <c r="B9405" i="3"/>
  <c r="C9405" i="3"/>
  <c r="B9406" i="3"/>
  <c r="C9406" i="3"/>
  <c r="B9407" i="3"/>
  <c r="C9407" i="3"/>
  <c r="B9408" i="3"/>
  <c r="C9408" i="3"/>
  <c r="B9409" i="3"/>
  <c r="C9409" i="3"/>
  <c r="B9410" i="3"/>
  <c r="C9410" i="3"/>
  <c r="B9411" i="3"/>
  <c r="C9411" i="3"/>
  <c r="B9412" i="3"/>
  <c r="C9412" i="3"/>
  <c r="B9413" i="3"/>
  <c r="C9413" i="3"/>
  <c r="B9414" i="3"/>
  <c r="C9414" i="3"/>
  <c r="B9415" i="3"/>
  <c r="C9415" i="3"/>
  <c r="B9416" i="3"/>
  <c r="C9416" i="3"/>
  <c r="B9417" i="3"/>
  <c r="C9417" i="3"/>
  <c r="B9418" i="3"/>
  <c r="C9418" i="3"/>
  <c r="B9419" i="3"/>
  <c r="C9419" i="3"/>
  <c r="B9420" i="3"/>
  <c r="C9420" i="3"/>
  <c r="B9421" i="3"/>
  <c r="C9421" i="3"/>
  <c r="B9422" i="3"/>
  <c r="C9422" i="3"/>
  <c r="B9423" i="3"/>
  <c r="C9423" i="3"/>
  <c r="B9424" i="3"/>
  <c r="C9424" i="3"/>
  <c r="B9425" i="3"/>
  <c r="C9425" i="3"/>
  <c r="B9426" i="3"/>
  <c r="C9426" i="3"/>
  <c r="B9427" i="3"/>
  <c r="C9427" i="3"/>
  <c r="B9428" i="3"/>
  <c r="C9428" i="3"/>
  <c r="B9429" i="3"/>
  <c r="C9429" i="3"/>
  <c r="B9430" i="3"/>
  <c r="C9430" i="3"/>
  <c r="B9431" i="3"/>
  <c r="C9431" i="3"/>
  <c r="B9432" i="3"/>
  <c r="C9432" i="3"/>
  <c r="B9433" i="3"/>
  <c r="C9433" i="3"/>
  <c r="B9434" i="3"/>
  <c r="C9434" i="3"/>
  <c r="B9435" i="3"/>
  <c r="C9435" i="3"/>
  <c r="B9436" i="3"/>
  <c r="C9436" i="3"/>
  <c r="B9437" i="3"/>
  <c r="C9437" i="3"/>
  <c r="B9438" i="3"/>
  <c r="C9438" i="3"/>
  <c r="B9439" i="3"/>
  <c r="C9439" i="3"/>
  <c r="B9440" i="3"/>
  <c r="C9440" i="3"/>
  <c r="B9441" i="3"/>
  <c r="C9441" i="3"/>
  <c r="B9442" i="3"/>
  <c r="C9442" i="3"/>
  <c r="B9443" i="3"/>
  <c r="C9443" i="3"/>
  <c r="B9444" i="3"/>
  <c r="C9444" i="3"/>
  <c r="B9445" i="3"/>
  <c r="C9445" i="3"/>
  <c r="B9446" i="3"/>
  <c r="C9446" i="3"/>
  <c r="B9447" i="3"/>
  <c r="C9447" i="3"/>
  <c r="B9448" i="3"/>
  <c r="C9448" i="3"/>
  <c r="B9449" i="3"/>
  <c r="C9449" i="3"/>
  <c r="B9450" i="3"/>
  <c r="C9450" i="3"/>
  <c r="B9451" i="3"/>
  <c r="C9451" i="3"/>
  <c r="B9452" i="3"/>
  <c r="C9452" i="3"/>
  <c r="B9453" i="3"/>
  <c r="C9453" i="3"/>
  <c r="B9454" i="3"/>
  <c r="C9454" i="3"/>
  <c r="B9455" i="3"/>
  <c r="C9455" i="3"/>
  <c r="B9456" i="3"/>
  <c r="C9456" i="3"/>
  <c r="B9457" i="3"/>
  <c r="C9457" i="3"/>
  <c r="B9458" i="3"/>
  <c r="C9458" i="3"/>
  <c r="B9459" i="3"/>
  <c r="C9459" i="3"/>
  <c r="B9460" i="3"/>
  <c r="C9460" i="3"/>
  <c r="B9461" i="3"/>
  <c r="C9461" i="3"/>
  <c r="B9462" i="3"/>
  <c r="C9462" i="3"/>
  <c r="B9463" i="3"/>
  <c r="C9463" i="3"/>
  <c r="B9464" i="3"/>
  <c r="C9464" i="3"/>
  <c r="B9465" i="3"/>
  <c r="C9465" i="3"/>
  <c r="B9466" i="3"/>
  <c r="C9466" i="3"/>
  <c r="B9467" i="3"/>
  <c r="C9467" i="3"/>
  <c r="B9468" i="3"/>
  <c r="C9468" i="3"/>
  <c r="B9469" i="3"/>
  <c r="C9469" i="3"/>
  <c r="B9470" i="3"/>
  <c r="C9470" i="3"/>
  <c r="B9471" i="3"/>
  <c r="C9471" i="3"/>
  <c r="B9472" i="3"/>
  <c r="C9472" i="3"/>
  <c r="B9473" i="3"/>
  <c r="C9473" i="3"/>
  <c r="B9474" i="3"/>
  <c r="C9474" i="3"/>
  <c r="B9475" i="3"/>
  <c r="C9475" i="3"/>
  <c r="B9476" i="3"/>
  <c r="C9476" i="3"/>
  <c r="B9477" i="3"/>
  <c r="C9477" i="3"/>
  <c r="B9478" i="3"/>
  <c r="C9478" i="3"/>
  <c r="B9479" i="3"/>
  <c r="C9479" i="3"/>
  <c r="B9480" i="3"/>
  <c r="C9480" i="3"/>
  <c r="B9481" i="3"/>
  <c r="C9481" i="3"/>
  <c r="B9482" i="3"/>
  <c r="C9482" i="3"/>
  <c r="B9483" i="3"/>
  <c r="C9483" i="3"/>
  <c r="B9484" i="3"/>
  <c r="C9484" i="3"/>
  <c r="B9485" i="3"/>
  <c r="C9485" i="3"/>
  <c r="B9486" i="3"/>
  <c r="C9486" i="3"/>
  <c r="B9487" i="3"/>
  <c r="C9487" i="3"/>
  <c r="B9488" i="3"/>
  <c r="C9488" i="3"/>
  <c r="B9489" i="3"/>
  <c r="C9489" i="3"/>
  <c r="B9490" i="3"/>
  <c r="C9490" i="3"/>
  <c r="B9491" i="3"/>
  <c r="C9491" i="3"/>
  <c r="B9492" i="3"/>
  <c r="C9492" i="3"/>
  <c r="B9493" i="3"/>
  <c r="C9493" i="3"/>
  <c r="B9494" i="3"/>
  <c r="C9494" i="3"/>
  <c r="B9495" i="3"/>
  <c r="C9495" i="3"/>
  <c r="B9496" i="3"/>
  <c r="C9496" i="3"/>
  <c r="B9497" i="3"/>
  <c r="C9497" i="3"/>
  <c r="B9498" i="3"/>
  <c r="C9498" i="3"/>
  <c r="B9499" i="3"/>
  <c r="C9499" i="3"/>
  <c r="B9500" i="3"/>
  <c r="C9500" i="3"/>
  <c r="B9501" i="3"/>
  <c r="C9501" i="3"/>
  <c r="B9502" i="3"/>
  <c r="C9502" i="3"/>
  <c r="B9503" i="3"/>
  <c r="C9503" i="3"/>
  <c r="B9504" i="3"/>
  <c r="C9504" i="3"/>
  <c r="B9505" i="3"/>
  <c r="C9505" i="3"/>
  <c r="B9506" i="3"/>
  <c r="C9506" i="3"/>
  <c r="B9507" i="3"/>
  <c r="C9507" i="3"/>
  <c r="B9508" i="3"/>
  <c r="C9508" i="3"/>
  <c r="B9509" i="3"/>
  <c r="C9509" i="3"/>
  <c r="B9510" i="3"/>
  <c r="C9510" i="3"/>
  <c r="B9511" i="3"/>
  <c r="C9511" i="3"/>
  <c r="B9512" i="3"/>
  <c r="C9512" i="3"/>
  <c r="B9513" i="3"/>
  <c r="C9513" i="3"/>
  <c r="B9514" i="3"/>
  <c r="C9514" i="3"/>
  <c r="B9515" i="3"/>
  <c r="C9515" i="3"/>
  <c r="B9516" i="3"/>
  <c r="C9516" i="3"/>
  <c r="B9517" i="3"/>
  <c r="C9517" i="3"/>
  <c r="B9518" i="3"/>
  <c r="C9518" i="3"/>
  <c r="B9519" i="3"/>
  <c r="C9519" i="3"/>
  <c r="B9520" i="3"/>
  <c r="C9520" i="3"/>
  <c r="B9521" i="3"/>
  <c r="C9521" i="3"/>
  <c r="B9522" i="3"/>
  <c r="C9522" i="3"/>
  <c r="B9523" i="3"/>
  <c r="C9523" i="3"/>
  <c r="B9524" i="3"/>
  <c r="C9524" i="3"/>
  <c r="B9525" i="3"/>
  <c r="C9525" i="3"/>
  <c r="B9526" i="3"/>
  <c r="C9526" i="3"/>
  <c r="B9527" i="3"/>
  <c r="C9527" i="3"/>
  <c r="B9528" i="3"/>
  <c r="C9528" i="3"/>
  <c r="B9529" i="3"/>
  <c r="C9529" i="3"/>
  <c r="B9530" i="3"/>
  <c r="C9530" i="3"/>
  <c r="B9531" i="3"/>
  <c r="C9531" i="3"/>
  <c r="B9532" i="3"/>
  <c r="C9532" i="3"/>
  <c r="B9533" i="3"/>
  <c r="C9533" i="3"/>
  <c r="B9534" i="3"/>
  <c r="C9534" i="3"/>
  <c r="B9535" i="3"/>
  <c r="C9535" i="3"/>
  <c r="B9536" i="3"/>
  <c r="C9536" i="3"/>
  <c r="B9537" i="3"/>
  <c r="C9537" i="3"/>
  <c r="B9538" i="3"/>
  <c r="C9538" i="3"/>
  <c r="B9539" i="3"/>
  <c r="C9539" i="3"/>
  <c r="B9540" i="3"/>
  <c r="C9540" i="3"/>
  <c r="B9541" i="3"/>
  <c r="C9541" i="3"/>
  <c r="B9542" i="3"/>
  <c r="C9542" i="3"/>
  <c r="B9543" i="3"/>
  <c r="C9543" i="3"/>
  <c r="B9544" i="3"/>
  <c r="C9544" i="3"/>
  <c r="B9545" i="3"/>
  <c r="C9545" i="3"/>
  <c r="B9546" i="3"/>
  <c r="C9546" i="3"/>
  <c r="B9547" i="3"/>
  <c r="C9547" i="3"/>
  <c r="B9548" i="3"/>
  <c r="C9548" i="3"/>
  <c r="B9549" i="3"/>
  <c r="C9549" i="3"/>
  <c r="B9550" i="3"/>
  <c r="C9550" i="3"/>
  <c r="B9551" i="3"/>
  <c r="C9551" i="3"/>
  <c r="B9552" i="3"/>
  <c r="C9552" i="3"/>
  <c r="B9553" i="3"/>
  <c r="C9553" i="3"/>
  <c r="B9554" i="3"/>
  <c r="C9554" i="3"/>
  <c r="B9555" i="3"/>
  <c r="C9555" i="3"/>
  <c r="B9556" i="3"/>
  <c r="C9556" i="3"/>
  <c r="B9557" i="3"/>
  <c r="C9557" i="3"/>
  <c r="B9558" i="3"/>
  <c r="C9558" i="3"/>
  <c r="B9559" i="3"/>
  <c r="C9559" i="3"/>
  <c r="B9560" i="3"/>
  <c r="C9560" i="3"/>
  <c r="B9561" i="3"/>
  <c r="C9561" i="3"/>
  <c r="B9562" i="3"/>
  <c r="C9562" i="3"/>
  <c r="B9563" i="3"/>
  <c r="C9563" i="3"/>
  <c r="B9564" i="3"/>
  <c r="C9564" i="3"/>
  <c r="B9565" i="3"/>
  <c r="C9565" i="3"/>
  <c r="B9566" i="3"/>
  <c r="C9566" i="3"/>
  <c r="B9567" i="3"/>
  <c r="C9567" i="3"/>
  <c r="B9568" i="3"/>
  <c r="C9568" i="3"/>
  <c r="B9569" i="3"/>
  <c r="C9569" i="3"/>
  <c r="B9570" i="3"/>
  <c r="C9570" i="3"/>
  <c r="B9571" i="3"/>
  <c r="C9571" i="3"/>
  <c r="B9572" i="3"/>
  <c r="C9572" i="3"/>
  <c r="B9573" i="3"/>
  <c r="C9573" i="3"/>
  <c r="B9574" i="3"/>
  <c r="C9574" i="3"/>
  <c r="B9575" i="3"/>
  <c r="C9575" i="3"/>
  <c r="B9576" i="3"/>
  <c r="C9576" i="3"/>
  <c r="B9577" i="3"/>
  <c r="C9577" i="3"/>
  <c r="B9578" i="3"/>
  <c r="C9578" i="3"/>
  <c r="B2" i="3"/>
  <c r="B3" i="3"/>
  <c r="B4" i="3"/>
  <c r="B5" i="3"/>
  <c r="B6" i="3"/>
  <c r="B7" i="3"/>
  <c r="B8" i="3"/>
  <c r="B9" i="3"/>
  <c r="B10" i="3"/>
  <c r="B11" i="3"/>
  <c r="B12" i="3"/>
  <c r="B13" i="3"/>
  <c r="B14" i="3"/>
  <c r="B15" i="3"/>
  <c r="B16" i="3"/>
  <c r="B17" i="3"/>
  <c r="B18" i="3"/>
  <c r="B19" i="3"/>
  <c r="B20" i="3"/>
  <c r="B21" i="3"/>
  <c r="B22" i="3"/>
  <c r="B23" i="3"/>
  <c r="B24" i="3"/>
  <c r="B25" i="3"/>
  <c r="B26" i="3"/>
  <c r="B27" i="3"/>
  <c r="B28" i="3"/>
  <c r="B29" i="3"/>
  <c r="B30" i="3"/>
  <c r="B31" i="3"/>
  <c r="B32" i="3"/>
  <c r="B33" i="3"/>
  <c r="B34" i="3"/>
  <c r="B35" i="3"/>
  <c r="B36" i="3"/>
  <c r="C2" i="3"/>
  <c r="C3" i="3"/>
  <c r="C4" i="3"/>
  <c r="C5" i="3"/>
  <c r="C6" i="3"/>
  <c r="C7" i="3"/>
  <c r="C8" i="3"/>
  <c r="C9" i="3"/>
  <c r="C10" i="3"/>
  <c r="C11" i="3"/>
  <c r="C12" i="3"/>
  <c r="C13" i="3"/>
  <c r="C14" i="3"/>
  <c r="C15" i="3"/>
  <c r="C16" i="3"/>
  <c r="C17" i="3"/>
  <c r="C18" i="3"/>
  <c r="C19" i="3"/>
  <c r="C20" i="3"/>
  <c r="C21" i="3"/>
  <c r="C22" i="3"/>
  <c r="C23" i="3"/>
  <c r="C24" i="3"/>
  <c r="C25" i="3"/>
  <c r="C26" i="3"/>
  <c r="C27" i="3"/>
  <c r="C28" i="3"/>
  <c r="C29" i="3"/>
  <c r="C30" i="3"/>
  <c r="C31" i="3"/>
  <c r="C32" i="3"/>
  <c r="C33" i="3"/>
  <c r="C34" i="3"/>
  <c r="C35" i="3"/>
  <c r="C36" i="3"/>
  <c r="C37" i="3"/>
  <c r="B37" i="3"/>
  <c r="C38" i="3"/>
  <c r="B38" i="3"/>
  <c r="C147" i="3"/>
  <c r="C148" i="3"/>
  <c r="C149" i="3"/>
  <c r="C150" i="3"/>
  <c r="C151" i="3"/>
  <c r="B147" i="3"/>
  <c r="B148" i="3"/>
  <c r="B149" i="3"/>
  <c r="B150" i="3"/>
  <c r="B151" i="3"/>
  <c r="B179" i="3"/>
  <c r="C179" i="3"/>
  <c r="B180" i="3"/>
  <c r="C180" i="3"/>
  <c r="B181" i="3"/>
  <c r="C181" i="3"/>
  <c r="B182" i="3"/>
  <c r="C182" i="3"/>
  <c r="B183" i="3"/>
  <c r="C183" i="3"/>
  <c r="B184" i="3"/>
  <c r="C184" i="3"/>
  <c r="B185" i="3"/>
  <c r="C185" i="3"/>
  <c r="B186" i="3"/>
  <c r="C186" i="3"/>
  <c r="B187" i="3"/>
  <c r="C187" i="3"/>
  <c r="B188" i="3"/>
  <c r="C188" i="3"/>
  <c r="B189" i="3"/>
  <c r="C189" i="3"/>
  <c r="B190" i="3"/>
  <c r="C190" i="3"/>
  <c r="B191" i="3"/>
  <c r="C191" i="3"/>
  <c r="B192" i="3"/>
  <c r="C192" i="3"/>
  <c r="B193" i="3"/>
  <c r="C193" i="3"/>
  <c r="B194" i="3"/>
  <c r="C194" i="3"/>
  <c r="B195" i="3"/>
  <c r="C195" i="3"/>
  <c r="B196" i="3"/>
  <c r="C196" i="3"/>
  <c r="B197" i="3"/>
  <c r="C197" i="3"/>
  <c r="B198" i="3"/>
  <c r="C198" i="3"/>
  <c r="B199" i="3"/>
  <c r="C199" i="3"/>
  <c r="B200" i="3"/>
  <c r="C200" i="3"/>
  <c r="B201" i="3"/>
  <c r="C201" i="3"/>
  <c r="B202" i="3"/>
  <c r="C202" i="3"/>
  <c r="B203" i="3"/>
  <c r="C203" i="3"/>
  <c r="B204" i="3"/>
  <c r="C204" i="3"/>
  <c r="B205" i="3"/>
  <c r="C205" i="3"/>
  <c r="B206" i="3"/>
  <c r="C206" i="3"/>
  <c r="B207" i="3"/>
  <c r="C207" i="3"/>
  <c r="B208" i="3"/>
  <c r="C208" i="3"/>
  <c r="B209" i="3"/>
  <c r="C209" i="3"/>
  <c r="B210" i="3"/>
  <c r="C210" i="3"/>
  <c r="B211" i="3"/>
  <c r="C211" i="3"/>
  <c r="B212" i="3"/>
  <c r="C212" i="3"/>
  <c r="B213" i="3"/>
  <c r="C213" i="3"/>
  <c r="B214" i="3"/>
  <c r="C214" i="3"/>
  <c r="B215" i="3"/>
  <c r="C215" i="3"/>
  <c r="B216" i="3"/>
  <c r="C216" i="3"/>
  <c r="B217" i="3"/>
  <c r="C217" i="3"/>
  <c r="B218" i="3"/>
  <c r="C218" i="3"/>
  <c r="B219" i="3"/>
  <c r="C219" i="3"/>
  <c r="B220" i="3"/>
  <c r="C220" i="3"/>
  <c r="B221" i="3"/>
  <c r="C221" i="3"/>
  <c r="B222" i="3"/>
  <c r="C222" i="3"/>
  <c r="B223" i="3"/>
  <c r="C223" i="3"/>
  <c r="B224" i="3"/>
  <c r="C224" i="3"/>
  <c r="B225" i="3"/>
  <c r="C225" i="3"/>
  <c r="B226" i="3"/>
  <c r="C226" i="3"/>
  <c r="B227" i="3"/>
  <c r="C227" i="3"/>
  <c r="B228" i="3"/>
  <c r="C228" i="3"/>
  <c r="B229" i="3"/>
  <c r="C229" i="3"/>
  <c r="B230" i="3"/>
  <c r="C230" i="3"/>
  <c r="B231" i="3"/>
  <c r="C231" i="3"/>
  <c r="B232" i="3"/>
  <c r="C232" i="3"/>
  <c r="B233" i="3"/>
  <c r="C233" i="3"/>
  <c r="B234" i="3"/>
  <c r="C234" i="3"/>
  <c r="B235" i="3"/>
  <c r="C235" i="3"/>
  <c r="B236" i="3"/>
  <c r="C236" i="3"/>
  <c r="B237" i="3"/>
  <c r="C237" i="3"/>
  <c r="B238" i="3"/>
  <c r="C238" i="3"/>
  <c r="B239" i="3"/>
  <c r="C239" i="3"/>
  <c r="B240" i="3"/>
  <c r="C240" i="3"/>
  <c r="B241" i="3"/>
  <c r="C241" i="3"/>
  <c r="B242" i="3"/>
  <c r="C242" i="3"/>
  <c r="B243" i="3"/>
  <c r="C243" i="3"/>
  <c r="B244" i="3"/>
  <c r="C244" i="3"/>
  <c r="B245" i="3"/>
  <c r="C245" i="3"/>
  <c r="B246" i="3"/>
  <c r="C246" i="3"/>
  <c r="B247" i="3"/>
  <c r="C247" i="3"/>
  <c r="B248" i="3"/>
  <c r="C248" i="3"/>
  <c r="B249" i="3"/>
  <c r="C249" i="3"/>
  <c r="B250" i="3"/>
  <c r="C250" i="3"/>
  <c r="B251" i="3"/>
  <c r="C251" i="3"/>
  <c r="B252" i="3"/>
  <c r="C252" i="3"/>
  <c r="B253" i="3"/>
  <c r="C253" i="3"/>
  <c r="B254" i="3"/>
  <c r="C254" i="3"/>
  <c r="B255" i="3"/>
  <c r="C255" i="3"/>
  <c r="B256" i="3"/>
  <c r="C256" i="3"/>
  <c r="B257" i="3"/>
  <c r="C257" i="3"/>
  <c r="B258" i="3"/>
  <c r="C258" i="3"/>
  <c r="B259" i="3"/>
  <c r="C259" i="3"/>
  <c r="B260" i="3"/>
  <c r="C260" i="3"/>
  <c r="B261" i="3"/>
  <c r="C261" i="3"/>
  <c r="B262" i="3"/>
  <c r="C262" i="3"/>
  <c r="B263" i="3"/>
  <c r="C263" i="3"/>
  <c r="B264" i="3"/>
  <c r="C264" i="3"/>
  <c r="B265" i="3"/>
  <c r="C265" i="3"/>
  <c r="B266" i="3"/>
  <c r="C266" i="3"/>
  <c r="B267" i="3"/>
  <c r="C267" i="3"/>
  <c r="B268" i="3"/>
  <c r="C268" i="3"/>
  <c r="B269" i="3"/>
  <c r="C269" i="3"/>
  <c r="B270" i="3"/>
  <c r="C270" i="3"/>
  <c r="B271" i="3"/>
  <c r="C271" i="3"/>
  <c r="B272" i="3"/>
  <c r="C272" i="3"/>
  <c r="B273" i="3"/>
  <c r="C273" i="3"/>
  <c r="B274" i="3"/>
  <c r="C274" i="3"/>
  <c r="B275" i="3"/>
  <c r="C275" i="3"/>
  <c r="B276" i="3"/>
  <c r="C276" i="3"/>
  <c r="B277" i="3"/>
  <c r="C277" i="3"/>
  <c r="B278" i="3"/>
  <c r="C278" i="3"/>
  <c r="B279" i="3"/>
  <c r="C279" i="3"/>
  <c r="B280" i="3"/>
  <c r="C280" i="3"/>
  <c r="B281" i="3"/>
  <c r="C281" i="3"/>
  <c r="B282" i="3"/>
  <c r="C282" i="3"/>
  <c r="B283" i="3"/>
  <c r="C283" i="3"/>
  <c r="B284" i="3"/>
  <c r="C284" i="3"/>
  <c r="B285" i="3"/>
  <c r="C285" i="3"/>
  <c r="B286" i="3"/>
  <c r="C286" i="3"/>
  <c r="B287" i="3"/>
  <c r="C287" i="3"/>
  <c r="B288" i="3"/>
  <c r="C288" i="3"/>
  <c r="B289" i="3"/>
  <c r="C289" i="3"/>
  <c r="B290" i="3"/>
  <c r="C290" i="3"/>
  <c r="B291" i="3"/>
  <c r="C291" i="3"/>
  <c r="B292" i="3"/>
  <c r="C292" i="3"/>
  <c r="B293" i="3"/>
  <c r="C293" i="3"/>
  <c r="B294" i="3"/>
  <c r="C294" i="3"/>
  <c r="B295" i="3"/>
  <c r="C295" i="3"/>
  <c r="B296" i="3"/>
  <c r="C296" i="3"/>
  <c r="B297" i="3"/>
  <c r="C297" i="3"/>
  <c r="B298" i="3"/>
  <c r="C298" i="3"/>
  <c r="B299" i="3"/>
  <c r="C299" i="3"/>
  <c r="B300" i="3"/>
  <c r="C300" i="3"/>
  <c r="B301" i="3"/>
  <c r="C301" i="3"/>
  <c r="B302" i="3"/>
  <c r="C302" i="3"/>
  <c r="B303" i="3"/>
  <c r="C303" i="3"/>
  <c r="B304" i="3"/>
  <c r="C304" i="3"/>
  <c r="B305" i="3"/>
  <c r="C305" i="3"/>
  <c r="B306" i="3"/>
  <c r="C306" i="3"/>
  <c r="B307" i="3"/>
  <c r="C307" i="3"/>
  <c r="B308" i="3"/>
  <c r="C308" i="3"/>
  <c r="B309" i="3"/>
  <c r="C309" i="3"/>
  <c r="B310" i="3"/>
  <c r="C310" i="3"/>
  <c r="B311" i="3"/>
  <c r="C311" i="3"/>
  <c r="B312" i="3"/>
  <c r="C312" i="3"/>
  <c r="B313" i="3"/>
  <c r="C313" i="3"/>
  <c r="B314" i="3"/>
  <c r="C314" i="3"/>
  <c r="B315" i="3"/>
  <c r="C315" i="3"/>
  <c r="B316" i="3"/>
  <c r="C316" i="3"/>
  <c r="B317" i="3"/>
  <c r="C317" i="3"/>
  <c r="B318" i="3"/>
  <c r="C318" i="3"/>
  <c r="B319" i="3"/>
  <c r="C319" i="3"/>
  <c r="B320" i="3"/>
  <c r="C320" i="3"/>
  <c r="B321" i="3"/>
  <c r="C321" i="3"/>
  <c r="B322" i="3"/>
  <c r="C322" i="3"/>
  <c r="B323" i="3"/>
  <c r="C323" i="3"/>
  <c r="B324" i="3"/>
  <c r="C324" i="3"/>
  <c r="B325" i="3"/>
  <c r="C325" i="3"/>
  <c r="B326" i="3"/>
  <c r="C326" i="3"/>
  <c r="B327" i="3"/>
  <c r="C327" i="3"/>
  <c r="B328" i="3"/>
  <c r="C328" i="3"/>
  <c r="B329" i="3"/>
  <c r="C329" i="3"/>
  <c r="B330" i="3"/>
  <c r="C330" i="3"/>
  <c r="B331" i="3"/>
  <c r="C331" i="3"/>
  <c r="B332" i="3"/>
  <c r="C332" i="3"/>
  <c r="B333" i="3"/>
  <c r="C333" i="3"/>
  <c r="B334" i="3"/>
  <c r="C334" i="3"/>
  <c r="B335" i="3"/>
  <c r="C335" i="3"/>
  <c r="B336" i="3"/>
  <c r="C336" i="3"/>
  <c r="B337" i="3"/>
  <c r="C337" i="3"/>
  <c r="B338" i="3"/>
  <c r="C338" i="3"/>
  <c r="B339" i="3"/>
  <c r="C339" i="3"/>
  <c r="B340" i="3"/>
  <c r="C340" i="3"/>
  <c r="B341" i="3"/>
  <c r="C341" i="3"/>
  <c r="B342" i="3"/>
  <c r="C342" i="3"/>
  <c r="B343" i="3"/>
  <c r="C343" i="3"/>
  <c r="B344" i="3"/>
  <c r="C344" i="3"/>
  <c r="B345" i="3"/>
  <c r="C345" i="3"/>
  <c r="B346" i="3"/>
  <c r="C346" i="3"/>
  <c r="B347" i="3"/>
  <c r="C347" i="3"/>
  <c r="C348" i="3"/>
  <c r="B348" i="3"/>
  <c r="B349" i="3"/>
  <c r="C349" i="3"/>
  <c r="B350" i="3"/>
  <c r="C350" i="3"/>
  <c r="B351" i="3"/>
  <c r="C351" i="3"/>
  <c r="B352" i="3"/>
  <c r="C352" i="3"/>
  <c r="B353" i="3"/>
  <c r="C353" i="3"/>
  <c r="B354" i="3"/>
  <c r="C354" i="3"/>
  <c r="B355" i="3"/>
  <c r="C355" i="3"/>
  <c r="B356" i="3"/>
  <c r="C356" i="3"/>
  <c r="B357" i="3"/>
  <c r="C357" i="3"/>
  <c r="B358" i="3"/>
  <c r="C358" i="3"/>
  <c r="B359" i="3"/>
  <c r="C359" i="3"/>
  <c r="B360" i="3"/>
  <c r="C360" i="3"/>
  <c r="B361" i="3"/>
  <c r="C361" i="3"/>
  <c r="B362" i="3"/>
  <c r="C362" i="3"/>
  <c r="B363" i="3"/>
  <c r="C363" i="3"/>
  <c r="B364" i="3"/>
  <c r="C364" i="3"/>
  <c r="B365" i="3"/>
  <c r="C365" i="3"/>
  <c r="B366" i="3"/>
  <c r="C366" i="3"/>
  <c r="B367" i="3"/>
  <c r="C367" i="3"/>
  <c r="B368" i="3"/>
  <c r="C368" i="3"/>
  <c r="B369" i="3"/>
  <c r="C369" i="3"/>
  <c r="B370" i="3"/>
  <c r="C370" i="3"/>
  <c r="B371" i="3"/>
  <c r="C371" i="3"/>
  <c r="B372" i="3"/>
  <c r="C372" i="3"/>
  <c r="B373" i="3"/>
  <c r="C373" i="3"/>
  <c r="B374" i="3"/>
  <c r="C374" i="3"/>
  <c r="B375" i="3"/>
  <c r="C375" i="3"/>
  <c r="B376" i="3"/>
  <c r="C376" i="3"/>
  <c r="B377" i="3"/>
  <c r="C377" i="3"/>
  <c r="B378" i="3"/>
  <c r="C378" i="3"/>
  <c r="B379" i="3"/>
  <c r="C379" i="3"/>
  <c r="B380" i="3"/>
  <c r="C380" i="3"/>
  <c r="B381" i="3"/>
  <c r="C381" i="3"/>
  <c r="B382" i="3"/>
  <c r="C382" i="3"/>
  <c r="B383" i="3"/>
  <c r="C383" i="3"/>
  <c r="B384" i="3"/>
  <c r="C384" i="3"/>
  <c r="B385" i="3"/>
  <c r="C385" i="3"/>
  <c r="B386" i="3"/>
  <c r="C386" i="3"/>
  <c r="B387" i="3"/>
  <c r="C387" i="3"/>
  <c r="B388" i="3"/>
  <c r="C388" i="3"/>
  <c r="B389" i="3"/>
  <c r="C389" i="3"/>
  <c r="B390" i="3"/>
  <c r="C390" i="3"/>
  <c r="B391" i="3"/>
  <c r="C391" i="3"/>
  <c r="B392" i="3"/>
  <c r="C392" i="3"/>
  <c r="C393" i="3"/>
  <c r="B393" i="3"/>
  <c r="B394" i="3"/>
  <c r="C394" i="3"/>
  <c r="B395" i="3"/>
  <c r="C395" i="3"/>
  <c r="B396" i="3"/>
  <c r="C396" i="3"/>
  <c r="B397" i="3"/>
  <c r="C397" i="3"/>
  <c r="B398" i="3"/>
  <c r="C398" i="3"/>
  <c r="B399" i="3"/>
  <c r="C399" i="3"/>
  <c r="B400" i="3"/>
  <c r="C400" i="3"/>
  <c r="B401" i="3"/>
  <c r="C401" i="3"/>
  <c r="B402" i="3"/>
  <c r="C402" i="3"/>
  <c r="B403" i="3"/>
  <c r="C403" i="3"/>
  <c r="B404" i="3"/>
  <c r="C404" i="3"/>
  <c r="B405" i="3"/>
  <c r="C405" i="3"/>
  <c r="B406" i="3"/>
  <c r="C406" i="3"/>
  <c r="B407" i="3"/>
  <c r="C407" i="3"/>
  <c r="B408" i="3"/>
  <c r="C408" i="3"/>
  <c r="B409" i="3"/>
  <c r="C409" i="3"/>
  <c r="B410" i="3"/>
  <c r="C410" i="3"/>
  <c r="B411" i="3"/>
  <c r="C411" i="3"/>
  <c r="B412" i="3"/>
  <c r="C412" i="3"/>
  <c r="B413" i="3"/>
  <c r="C413" i="3"/>
  <c r="B414" i="3"/>
  <c r="C414" i="3"/>
  <c r="B415" i="3"/>
  <c r="C415" i="3"/>
  <c r="B416" i="3"/>
  <c r="C416" i="3"/>
  <c r="B417" i="3"/>
  <c r="C417" i="3"/>
  <c r="B418" i="3"/>
  <c r="C418" i="3"/>
  <c r="B419" i="3"/>
  <c r="C419" i="3"/>
  <c r="B420" i="3"/>
  <c r="C420" i="3"/>
  <c r="B421" i="3"/>
  <c r="C421" i="3"/>
  <c r="B422" i="3"/>
  <c r="C422" i="3"/>
  <c r="B423" i="3"/>
  <c r="C423" i="3"/>
  <c r="B424" i="3"/>
  <c r="C424" i="3"/>
  <c r="B425" i="3"/>
  <c r="C425" i="3"/>
  <c r="B426" i="3"/>
  <c r="C426" i="3"/>
  <c r="B427" i="3"/>
  <c r="C427" i="3"/>
  <c r="B428" i="3"/>
  <c r="C428" i="3"/>
  <c r="B429" i="3"/>
  <c r="C429" i="3"/>
  <c r="B430" i="3"/>
  <c r="C430" i="3"/>
  <c r="B431" i="3"/>
  <c r="C431" i="3"/>
  <c r="B432" i="3"/>
  <c r="C432" i="3"/>
  <c r="B433" i="3"/>
  <c r="C433" i="3"/>
  <c r="B434" i="3"/>
  <c r="C434" i="3"/>
  <c r="B435" i="3"/>
  <c r="C435" i="3"/>
  <c r="B436" i="3"/>
  <c r="C436" i="3"/>
  <c r="B437" i="3"/>
  <c r="C437" i="3"/>
  <c r="B438" i="3"/>
  <c r="C438" i="3"/>
  <c r="B439" i="3"/>
  <c r="C439" i="3"/>
  <c r="B440" i="3"/>
  <c r="C440" i="3"/>
  <c r="B441" i="3"/>
  <c r="C441" i="3"/>
  <c r="B442" i="3"/>
  <c r="C442" i="3"/>
  <c r="B443" i="3"/>
  <c r="C443" i="3"/>
  <c r="B444" i="3"/>
  <c r="C444" i="3"/>
  <c r="B445" i="3"/>
  <c r="C445" i="3"/>
  <c r="B446" i="3"/>
  <c r="C446" i="3"/>
  <c r="B447" i="3"/>
  <c r="C447" i="3"/>
  <c r="B448" i="3"/>
  <c r="C448" i="3"/>
  <c r="B449" i="3"/>
  <c r="C449" i="3"/>
  <c r="B450" i="3"/>
  <c r="C450" i="3"/>
  <c r="B451" i="3"/>
  <c r="C451" i="3"/>
  <c r="B452" i="3"/>
  <c r="C452" i="3"/>
  <c r="B453" i="3"/>
  <c r="C453" i="3"/>
  <c r="B454" i="3"/>
  <c r="C454" i="3"/>
  <c r="B455" i="3"/>
  <c r="C455" i="3"/>
  <c r="B456" i="3"/>
  <c r="C456" i="3"/>
  <c r="B457" i="3"/>
  <c r="C457" i="3"/>
  <c r="B458" i="3"/>
  <c r="C458" i="3"/>
  <c r="B459" i="3"/>
  <c r="C459" i="3"/>
  <c r="B460" i="3"/>
  <c r="C460" i="3"/>
  <c r="B461" i="3"/>
  <c r="C461" i="3"/>
  <c r="B462" i="3"/>
  <c r="C462" i="3"/>
  <c r="B463" i="3"/>
  <c r="C463" i="3"/>
  <c r="B464" i="3"/>
  <c r="C464" i="3"/>
  <c r="B465" i="3"/>
  <c r="C465" i="3"/>
  <c r="B466" i="3"/>
  <c r="C466" i="3"/>
  <c r="B467" i="3"/>
  <c r="C467" i="3"/>
  <c r="B468" i="3"/>
  <c r="C468" i="3"/>
  <c r="B469" i="3"/>
  <c r="C469" i="3"/>
  <c r="B470" i="3"/>
  <c r="C470" i="3"/>
  <c r="B471" i="3"/>
  <c r="C471" i="3"/>
  <c r="B472" i="3"/>
  <c r="C472" i="3"/>
  <c r="B473" i="3"/>
  <c r="C473" i="3"/>
  <c r="B474" i="3"/>
  <c r="C474" i="3"/>
  <c r="B475" i="3"/>
  <c r="C475" i="3"/>
  <c r="B476" i="3"/>
  <c r="C476" i="3"/>
  <c r="B477" i="3"/>
  <c r="C477" i="3"/>
  <c r="B478" i="3"/>
  <c r="C478" i="3"/>
  <c r="B479" i="3"/>
  <c r="C479" i="3"/>
  <c r="B480" i="3"/>
  <c r="C480" i="3"/>
  <c r="B481" i="3"/>
  <c r="C481" i="3"/>
  <c r="B482" i="3"/>
  <c r="C482" i="3"/>
  <c r="B483" i="3"/>
  <c r="C483" i="3"/>
  <c r="B484" i="3"/>
  <c r="C484" i="3"/>
  <c r="B485" i="3"/>
  <c r="C485" i="3"/>
  <c r="B486" i="3"/>
  <c r="C486" i="3"/>
  <c r="B487" i="3"/>
  <c r="C487" i="3"/>
  <c r="B488" i="3"/>
  <c r="C488" i="3"/>
  <c r="B489" i="3"/>
  <c r="C489" i="3"/>
  <c r="B490" i="3"/>
  <c r="C490" i="3"/>
  <c r="B491" i="3"/>
  <c r="C491" i="3"/>
  <c r="B492" i="3"/>
  <c r="C492" i="3"/>
  <c r="B493" i="3"/>
  <c r="C493" i="3"/>
  <c r="B494" i="3"/>
  <c r="C494" i="3"/>
  <c r="B495" i="3"/>
  <c r="C495" i="3"/>
  <c r="B496" i="3"/>
  <c r="C496" i="3"/>
  <c r="B497" i="3"/>
  <c r="C497" i="3"/>
  <c r="B498" i="3"/>
  <c r="C498" i="3"/>
  <c r="B499" i="3"/>
  <c r="C499" i="3"/>
  <c r="B500" i="3"/>
  <c r="C500" i="3"/>
  <c r="B501" i="3"/>
  <c r="C501" i="3"/>
  <c r="B502" i="3"/>
  <c r="C502" i="3"/>
  <c r="B503" i="3"/>
  <c r="C503" i="3"/>
  <c r="B504" i="3"/>
  <c r="C504" i="3"/>
  <c r="B505" i="3"/>
  <c r="C505" i="3"/>
  <c r="B506" i="3"/>
  <c r="C506" i="3"/>
  <c r="B507" i="3"/>
  <c r="C507" i="3"/>
  <c r="B508" i="3"/>
  <c r="C508" i="3"/>
  <c r="B509" i="3"/>
  <c r="C509" i="3"/>
  <c r="B510" i="3"/>
  <c r="C510" i="3"/>
  <c r="B511" i="3"/>
  <c r="C511" i="3"/>
  <c r="B512" i="3"/>
  <c r="C512" i="3"/>
  <c r="B513" i="3"/>
  <c r="C513" i="3"/>
  <c r="B514" i="3"/>
  <c r="C514" i="3"/>
  <c r="B515" i="3"/>
  <c r="C515" i="3"/>
  <c r="B516" i="3"/>
  <c r="C516" i="3"/>
  <c r="B517" i="3"/>
  <c r="C517" i="3"/>
  <c r="B518" i="3"/>
  <c r="C518" i="3"/>
  <c r="B519" i="3"/>
  <c r="C519" i="3"/>
  <c r="B520" i="3"/>
  <c r="C520" i="3"/>
  <c r="B521" i="3"/>
  <c r="C521" i="3"/>
  <c r="B522" i="3"/>
  <c r="C522" i="3"/>
  <c r="B523" i="3"/>
  <c r="C523" i="3"/>
  <c r="B524" i="3"/>
  <c r="C524" i="3"/>
  <c r="B525" i="3"/>
  <c r="C525" i="3"/>
  <c r="B526" i="3"/>
  <c r="C526" i="3"/>
  <c r="B527" i="3"/>
  <c r="C527" i="3"/>
  <c r="B528" i="3"/>
  <c r="C528" i="3"/>
  <c r="B529" i="3"/>
  <c r="C529" i="3"/>
  <c r="B530" i="3"/>
  <c r="C530" i="3"/>
  <c r="B531" i="3"/>
  <c r="C531" i="3"/>
  <c r="B532" i="3"/>
  <c r="C532" i="3"/>
  <c r="B533" i="3"/>
  <c r="C533" i="3"/>
  <c r="B534" i="3"/>
  <c r="C534" i="3"/>
  <c r="B535" i="3"/>
  <c r="C535" i="3"/>
  <c r="B536" i="3"/>
  <c r="C536" i="3"/>
  <c r="B537" i="3"/>
  <c r="C537" i="3"/>
  <c r="B538" i="3"/>
  <c r="C538" i="3"/>
  <c r="B539" i="3"/>
  <c r="C539" i="3"/>
  <c r="B540" i="3"/>
  <c r="C540" i="3"/>
  <c r="B541" i="3"/>
  <c r="C541" i="3"/>
  <c r="B542" i="3"/>
  <c r="C542" i="3"/>
  <c r="B543" i="3"/>
  <c r="C543" i="3"/>
  <c r="B544" i="3"/>
  <c r="C544" i="3"/>
  <c r="B545" i="3"/>
  <c r="C545" i="3"/>
  <c r="B546" i="3"/>
  <c r="C546" i="3"/>
  <c r="B547" i="3"/>
  <c r="C547" i="3"/>
  <c r="B548" i="3"/>
  <c r="C548" i="3"/>
  <c r="B549" i="3"/>
  <c r="C549" i="3"/>
  <c r="B550" i="3"/>
  <c r="C550" i="3"/>
  <c r="B551" i="3"/>
  <c r="C551" i="3"/>
  <c r="B552" i="3"/>
  <c r="C552" i="3"/>
  <c r="B553" i="3"/>
  <c r="C553" i="3"/>
  <c r="B554" i="3"/>
  <c r="C554" i="3"/>
  <c r="B555" i="3"/>
  <c r="C555" i="3"/>
  <c r="B556" i="3"/>
  <c r="C556" i="3"/>
  <c r="B557" i="3"/>
  <c r="C557" i="3"/>
  <c r="B558" i="3"/>
  <c r="C558" i="3"/>
  <c r="B559" i="3"/>
  <c r="C559" i="3"/>
  <c r="B560" i="3"/>
  <c r="C560" i="3"/>
  <c r="B561" i="3"/>
  <c r="C561" i="3"/>
  <c r="B562" i="3"/>
  <c r="C562" i="3"/>
  <c r="B563" i="3"/>
  <c r="C563" i="3"/>
  <c r="B564" i="3"/>
  <c r="C564" i="3"/>
  <c r="B565" i="3"/>
  <c r="C565" i="3"/>
  <c r="B566" i="3"/>
  <c r="C566" i="3"/>
  <c r="B567" i="3"/>
  <c r="C567" i="3"/>
  <c r="B568" i="3"/>
  <c r="C568" i="3"/>
  <c r="B569" i="3"/>
  <c r="C569" i="3"/>
  <c r="B570" i="3"/>
  <c r="C570" i="3"/>
  <c r="B571" i="3"/>
  <c r="C571" i="3"/>
  <c r="B572" i="3"/>
  <c r="C572" i="3"/>
  <c r="C573" i="3"/>
  <c r="B573" i="3"/>
  <c r="B574" i="3"/>
  <c r="C574" i="3"/>
  <c r="B575" i="3"/>
  <c r="C575" i="3"/>
  <c r="B576" i="3"/>
  <c r="C576" i="3"/>
  <c r="B577" i="3"/>
  <c r="C577" i="3"/>
  <c r="B578" i="3"/>
  <c r="C578" i="3"/>
  <c r="B579" i="3"/>
  <c r="C579" i="3"/>
  <c r="B580" i="3"/>
  <c r="C580" i="3"/>
  <c r="B581" i="3"/>
  <c r="C581" i="3"/>
  <c r="B582" i="3"/>
  <c r="C582" i="3"/>
  <c r="B583" i="3"/>
  <c r="C583" i="3"/>
  <c r="B584" i="3"/>
  <c r="C584" i="3"/>
  <c r="B585" i="3"/>
  <c r="C585" i="3"/>
  <c r="B586" i="3"/>
  <c r="C586" i="3"/>
  <c r="B587" i="3"/>
  <c r="C587" i="3"/>
  <c r="B588" i="3"/>
  <c r="C588" i="3"/>
  <c r="B589" i="3"/>
  <c r="C589" i="3"/>
  <c r="B590" i="3"/>
  <c r="C590" i="3"/>
  <c r="B591" i="3"/>
  <c r="C591" i="3"/>
  <c r="B592" i="3"/>
  <c r="C592" i="3"/>
  <c r="B593" i="3"/>
  <c r="C593" i="3"/>
  <c r="B594" i="3"/>
  <c r="C594" i="3"/>
  <c r="B595" i="3"/>
  <c r="C595" i="3"/>
  <c r="B596" i="3"/>
  <c r="C596" i="3"/>
  <c r="B597" i="3"/>
  <c r="C597" i="3"/>
  <c r="B598" i="3"/>
  <c r="C598" i="3"/>
  <c r="B599" i="3"/>
  <c r="C599" i="3"/>
  <c r="B600" i="3"/>
  <c r="C600" i="3"/>
  <c r="B601" i="3"/>
  <c r="C601" i="3"/>
  <c r="B602" i="3"/>
  <c r="C602" i="3"/>
  <c r="B603" i="3"/>
  <c r="C603" i="3"/>
  <c r="B604" i="3"/>
  <c r="C604" i="3"/>
  <c r="B605" i="3"/>
  <c r="C605" i="3"/>
  <c r="B606" i="3"/>
  <c r="C606" i="3"/>
  <c r="B607" i="3"/>
  <c r="C607" i="3"/>
  <c r="B608" i="3"/>
  <c r="C608" i="3"/>
  <c r="B609" i="3"/>
  <c r="C609" i="3"/>
  <c r="B610" i="3"/>
  <c r="C610" i="3"/>
  <c r="B611" i="3"/>
  <c r="C611" i="3"/>
  <c r="B612" i="3"/>
  <c r="C612" i="3"/>
  <c r="B613" i="3"/>
  <c r="C613" i="3"/>
  <c r="B614" i="3"/>
  <c r="C614" i="3"/>
  <c r="B615" i="3"/>
  <c r="C615" i="3"/>
  <c r="B616" i="3"/>
  <c r="C616" i="3"/>
  <c r="B617" i="3"/>
  <c r="C617" i="3"/>
  <c r="B618" i="3"/>
  <c r="C618" i="3"/>
  <c r="B619" i="3"/>
  <c r="C619" i="3"/>
  <c r="B620" i="3"/>
  <c r="C620" i="3"/>
  <c r="B621" i="3"/>
  <c r="C621" i="3"/>
  <c r="B622" i="3"/>
  <c r="C622" i="3"/>
  <c r="B623" i="3"/>
  <c r="C623" i="3"/>
  <c r="B624" i="3"/>
  <c r="C624" i="3"/>
  <c r="B625" i="3"/>
  <c r="C625" i="3"/>
  <c r="B626" i="3"/>
  <c r="C626" i="3"/>
  <c r="B627" i="3"/>
  <c r="C627" i="3"/>
  <c r="B628" i="3"/>
  <c r="C628" i="3"/>
  <c r="B629" i="3"/>
  <c r="C629" i="3"/>
  <c r="B630" i="3"/>
  <c r="C630" i="3"/>
  <c r="B631" i="3"/>
  <c r="C631" i="3"/>
  <c r="B632" i="3"/>
  <c r="C632" i="3"/>
  <c r="B633" i="3"/>
  <c r="C633" i="3"/>
  <c r="B634" i="3"/>
  <c r="C634" i="3"/>
  <c r="B635" i="3"/>
  <c r="C635" i="3"/>
  <c r="B636" i="3"/>
  <c r="C636" i="3"/>
  <c r="B637" i="3"/>
  <c r="C637" i="3"/>
  <c r="B638" i="3"/>
  <c r="C638" i="3"/>
  <c r="B639" i="3"/>
  <c r="C639" i="3"/>
  <c r="B640" i="3"/>
  <c r="C640" i="3"/>
  <c r="B641" i="3"/>
  <c r="C641" i="3"/>
  <c r="B642" i="3"/>
  <c r="C642" i="3"/>
  <c r="B643" i="3"/>
  <c r="C643" i="3"/>
  <c r="B644" i="3"/>
  <c r="C644" i="3"/>
  <c r="B645" i="3"/>
  <c r="C645" i="3"/>
  <c r="B646" i="3"/>
  <c r="C646" i="3"/>
  <c r="B647" i="3"/>
  <c r="C647" i="3"/>
  <c r="B648" i="3"/>
  <c r="C648" i="3"/>
  <c r="B649" i="3"/>
  <c r="C649" i="3"/>
  <c r="B650" i="3"/>
  <c r="C650" i="3"/>
  <c r="B651" i="3"/>
  <c r="C651" i="3"/>
  <c r="B652" i="3"/>
  <c r="C652" i="3"/>
  <c r="B653" i="3"/>
  <c r="C653" i="3"/>
  <c r="B654" i="3"/>
  <c r="C654" i="3"/>
  <c r="B655" i="3"/>
  <c r="C655" i="3"/>
  <c r="B656" i="3"/>
  <c r="C656" i="3"/>
  <c r="B657" i="3"/>
  <c r="C657" i="3"/>
  <c r="B658" i="3"/>
  <c r="C658" i="3"/>
  <c r="B659" i="3"/>
  <c r="C659" i="3"/>
  <c r="B660" i="3"/>
  <c r="C660" i="3"/>
  <c r="B661" i="3"/>
  <c r="C661" i="3"/>
  <c r="B662" i="3"/>
  <c r="C662" i="3"/>
  <c r="B663" i="3"/>
  <c r="C663" i="3"/>
  <c r="B664" i="3"/>
  <c r="C664" i="3"/>
  <c r="B665" i="3"/>
  <c r="C665" i="3"/>
  <c r="B666" i="3"/>
  <c r="C666" i="3"/>
  <c r="B667" i="3"/>
  <c r="C667" i="3"/>
  <c r="B668" i="3"/>
  <c r="C668" i="3"/>
  <c r="B669" i="3"/>
  <c r="C669" i="3"/>
  <c r="B670" i="3"/>
  <c r="C670" i="3"/>
  <c r="B671" i="3"/>
  <c r="C671" i="3"/>
  <c r="B672" i="3"/>
  <c r="C672" i="3"/>
  <c r="B673" i="3"/>
  <c r="C673" i="3"/>
  <c r="B674" i="3"/>
  <c r="C674" i="3"/>
  <c r="B675" i="3"/>
  <c r="C675" i="3"/>
  <c r="B676" i="3"/>
  <c r="C676" i="3"/>
  <c r="B677" i="3"/>
  <c r="C677" i="3"/>
  <c r="B678" i="3"/>
  <c r="C678" i="3"/>
  <c r="B679" i="3"/>
  <c r="C679" i="3"/>
  <c r="B680" i="3"/>
  <c r="C680" i="3"/>
  <c r="B681" i="3"/>
  <c r="C681" i="3"/>
  <c r="B682" i="3"/>
  <c r="C682" i="3"/>
  <c r="B683" i="3"/>
  <c r="C683" i="3"/>
  <c r="B684" i="3"/>
  <c r="C684" i="3"/>
  <c r="B685" i="3"/>
  <c r="C685" i="3"/>
  <c r="B686" i="3"/>
  <c r="C686" i="3"/>
  <c r="B687" i="3"/>
  <c r="C687" i="3"/>
  <c r="B688" i="3"/>
  <c r="C688" i="3"/>
  <c r="B689" i="3"/>
  <c r="C689" i="3"/>
  <c r="B690" i="3"/>
  <c r="C690" i="3"/>
  <c r="B691" i="3"/>
  <c r="C691" i="3"/>
  <c r="B692" i="3"/>
  <c r="C692" i="3"/>
  <c r="B693" i="3"/>
  <c r="C693" i="3"/>
  <c r="B694" i="3"/>
  <c r="C694" i="3"/>
  <c r="B695" i="3"/>
  <c r="C695" i="3"/>
  <c r="B696" i="3"/>
  <c r="C696" i="3"/>
  <c r="B697" i="3"/>
  <c r="C697" i="3"/>
  <c r="B698" i="3"/>
  <c r="C698" i="3"/>
  <c r="B699" i="3"/>
  <c r="C699" i="3"/>
  <c r="B700" i="3"/>
  <c r="C700" i="3"/>
  <c r="B701" i="3"/>
  <c r="C701" i="3"/>
  <c r="B702" i="3"/>
  <c r="C702" i="3"/>
  <c r="B703" i="3"/>
  <c r="C703" i="3"/>
  <c r="B704" i="3"/>
  <c r="C704" i="3"/>
  <c r="B705" i="3"/>
  <c r="C705" i="3"/>
  <c r="B706" i="3"/>
  <c r="C706" i="3"/>
  <c r="B707" i="3"/>
  <c r="C707" i="3"/>
  <c r="B708" i="3"/>
  <c r="C708" i="3"/>
  <c r="B709" i="3"/>
  <c r="C709" i="3"/>
  <c r="B710" i="3"/>
  <c r="C710" i="3"/>
  <c r="B711" i="3"/>
  <c r="C711" i="3"/>
  <c r="B712" i="3"/>
  <c r="C712" i="3"/>
  <c r="B713" i="3"/>
  <c r="C713" i="3"/>
  <c r="B714" i="3"/>
  <c r="C714" i="3"/>
  <c r="B715" i="3"/>
  <c r="C715" i="3"/>
  <c r="B716" i="3"/>
  <c r="C716" i="3"/>
  <c r="B717" i="3"/>
  <c r="C717" i="3"/>
  <c r="B718" i="3"/>
  <c r="C718" i="3"/>
  <c r="B719" i="3"/>
  <c r="C719" i="3"/>
  <c r="B720" i="3"/>
  <c r="C720" i="3"/>
  <c r="B721" i="3"/>
  <c r="C721" i="3"/>
  <c r="B722" i="3"/>
  <c r="C722" i="3"/>
  <c r="C723" i="3"/>
  <c r="B723" i="3"/>
  <c r="B814" i="3"/>
  <c r="C814" i="3"/>
  <c r="B815" i="3"/>
  <c r="C815" i="3"/>
  <c r="B816" i="3"/>
  <c r="C816" i="3"/>
  <c r="B817" i="3"/>
  <c r="C817" i="3"/>
  <c r="B818" i="3"/>
  <c r="C818" i="3"/>
  <c r="B819" i="3"/>
  <c r="C819" i="3"/>
  <c r="B820" i="3"/>
  <c r="C820" i="3"/>
  <c r="B821" i="3"/>
  <c r="C821" i="3"/>
  <c r="B822" i="3"/>
  <c r="C822" i="3"/>
  <c r="B823" i="3"/>
  <c r="C823" i="3"/>
  <c r="B824" i="3"/>
  <c r="C824" i="3"/>
  <c r="B825" i="3"/>
  <c r="C825" i="3"/>
  <c r="B826" i="3"/>
  <c r="C826" i="3"/>
  <c r="B827" i="3"/>
  <c r="C827" i="3"/>
  <c r="C828" i="3"/>
  <c r="B828" i="3"/>
  <c r="B724" i="3"/>
  <c r="C724" i="3"/>
  <c r="B725" i="3"/>
  <c r="C725" i="3"/>
  <c r="B726" i="3"/>
  <c r="C726" i="3"/>
  <c r="B727" i="3"/>
  <c r="C727" i="3"/>
  <c r="B728" i="3"/>
  <c r="C728" i="3"/>
  <c r="B729" i="3"/>
  <c r="C729" i="3"/>
  <c r="B730" i="3"/>
  <c r="C730" i="3"/>
  <c r="B731" i="3"/>
  <c r="C731" i="3"/>
  <c r="B732" i="3"/>
  <c r="C732" i="3"/>
  <c r="B733" i="3"/>
  <c r="C733" i="3"/>
  <c r="B734" i="3"/>
  <c r="C734" i="3"/>
  <c r="B735" i="3"/>
  <c r="C735" i="3"/>
  <c r="B736" i="3"/>
  <c r="C736" i="3"/>
  <c r="B737" i="3"/>
  <c r="C737" i="3"/>
  <c r="B738" i="3"/>
  <c r="C738" i="3"/>
  <c r="B739" i="3"/>
  <c r="C739" i="3"/>
  <c r="B740" i="3"/>
  <c r="C740" i="3"/>
  <c r="B741" i="3"/>
  <c r="C741" i="3"/>
  <c r="B742" i="3"/>
  <c r="C742" i="3"/>
  <c r="B743" i="3"/>
  <c r="C743" i="3"/>
  <c r="B744" i="3"/>
  <c r="C744" i="3"/>
  <c r="B745" i="3"/>
  <c r="C745" i="3"/>
  <c r="B746" i="3"/>
  <c r="C746" i="3"/>
  <c r="B747" i="3"/>
  <c r="C747" i="3"/>
  <c r="B748" i="3"/>
  <c r="C748" i="3"/>
  <c r="B749" i="3"/>
  <c r="C749" i="3"/>
  <c r="B750" i="3"/>
  <c r="C750" i="3"/>
  <c r="B751" i="3"/>
  <c r="C751" i="3"/>
  <c r="B752" i="3"/>
  <c r="C752" i="3"/>
  <c r="B753" i="3"/>
  <c r="C753" i="3"/>
  <c r="B754" i="3"/>
  <c r="C754" i="3"/>
  <c r="B755" i="3"/>
  <c r="C755" i="3"/>
  <c r="B756" i="3"/>
  <c r="C756" i="3"/>
  <c r="B757" i="3"/>
  <c r="C757" i="3"/>
  <c r="B758" i="3"/>
  <c r="C758" i="3"/>
  <c r="B759" i="3"/>
  <c r="C759" i="3"/>
  <c r="B760" i="3"/>
  <c r="C760" i="3"/>
  <c r="B761" i="3"/>
  <c r="C761" i="3"/>
  <c r="B762" i="3"/>
  <c r="C762" i="3"/>
  <c r="B763" i="3"/>
  <c r="C763" i="3"/>
  <c r="B764" i="3"/>
  <c r="C764" i="3"/>
  <c r="B765" i="3"/>
  <c r="C765" i="3"/>
  <c r="B766" i="3"/>
  <c r="C766" i="3"/>
  <c r="B767" i="3"/>
  <c r="C767" i="3"/>
  <c r="B768" i="3"/>
  <c r="C768" i="3"/>
  <c r="B769" i="3"/>
  <c r="C769" i="3"/>
  <c r="B770" i="3"/>
  <c r="C770" i="3"/>
  <c r="B771" i="3"/>
  <c r="C771" i="3"/>
  <c r="B772" i="3"/>
  <c r="C772" i="3"/>
  <c r="B773" i="3"/>
  <c r="C773" i="3"/>
  <c r="B774" i="3"/>
  <c r="C774" i="3"/>
  <c r="B775" i="3"/>
  <c r="C775" i="3"/>
  <c r="B776" i="3"/>
  <c r="C776" i="3"/>
  <c r="B777" i="3"/>
  <c r="C777" i="3"/>
  <c r="B778" i="3"/>
  <c r="C778" i="3"/>
  <c r="B779" i="3"/>
  <c r="C779" i="3"/>
  <c r="B780" i="3"/>
  <c r="C780" i="3"/>
  <c r="B781" i="3"/>
  <c r="C781" i="3"/>
  <c r="B782" i="3"/>
  <c r="C782" i="3"/>
  <c r="B783" i="3"/>
  <c r="C783" i="3"/>
  <c r="B784" i="3"/>
  <c r="C784" i="3"/>
  <c r="B785" i="3"/>
  <c r="C785" i="3"/>
  <c r="B786" i="3"/>
  <c r="C786" i="3"/>
  <c r="B787" i="3"/>
  <c r="C787" i="3"/>
  <c r="B788" i="3"/>
  <c r="C788" i="3"/>
  <c r="B789" i="3"/>
  <c r="C789" i="3"/>
  <c r="B790" i="3"/>
  <c r="C790" i="3"/>
  <c r="B791" i="3"/>
  <c r="C791" i="3"/>
  <c r="B792" i="3"/>
  <c r="C792" i="3"/>
  <c r="B793" i="3"/>
  <c r="C793" i="3"/>
  <c r="B794" i="3"/>
  <c r="C794" i="3"/>
  <c r="B795" i="3"/>
  <c r="C795" i="3"/>
  <c r="B796" i="3"/>
  <c r="C796" i="3"/>
  <c r="B797" i="3"/>
  <c r="C797" i="3"/>
  <c r="B798" i="3"/>
  <c r="C798" i="3"/>
  <c r="B799" i="3"/>
  <c r="C799" i="3"/>
  <c r="B800" i="3"/>
  <c r="C800" i="3"/>
  <c r="B801" i="3"/>
  <c r="C801" i="3"/>
  <c r="B802" i="3"/>
  <c r="C802" i="3"/>
  <c r="B803" i="3"/>
  <c r="C803" i="3"/>
  <c r="B804" i="3"/>
  <c r="C804" i="3"/>
  <c r="B805" i="3"/>
  <c r="C805" i="3"/>
  <c r="B806" i="3"/>
  <c r="C806" i="3"/>
  <c r="B807" i="3"/>
  <c r="C807" i="3"/>
  <c r="B808" i="3"/>
  <c r="C808" i="3"/>
  <c r="B809" i="3"/>
  <c r="C809" i="3"/>
  <c r="B810" i="3"/>
  <c r="C810" i="3"/>
  <c r="B811" i="3"/>
  <c r="C811" i="3"/>
  <c r="B812" i="3"/>
  <c r="C812" i="3"/>
  <c r="B813" i="3"/>
  <c r="C813" i="3"/>
  <c r="B2044" i="3"/>
  <c r="C2044" i="3"/>
  <c r="B2045" i="3"/>
  <c r="C2045" i="3"/>
  <c r="B2046" i="3"/>
  <c r="C2046" i="3"/>
  <c r="B2047" i="3"/>
  <c r="C2047" i="3"/>
  <c r="B2048" i="3"/>
  <c r="C2048" i="3"/>
  <c r="B2049" i="3"/>
  <c r="C2049" i="3"/>
  <c r="B2050" i="3"/>
  <c r="C2050" i="3"/>
  <c r="B2051" i="3"/>
  <c r="C2051" i="3"/>
  <c r="B2052" i="3"/>
  <c r="C2052" i="3"/>
  <c r="B2053" i="3"/>
  <c r="C2053" i="3"/>
  <c r="B2054" i="3"/>
  <c r="C2054" i="3"/>
  <c r="B2055" i="3"/>
  <c r="C2055" i="3"/>
  <c r="B2056" i="3"/>
  <c r="C2056" i="3"/>
  <c r="B2057" i="3"/>
  <c r="C2057" i="3"/>
  <c r="B2058" i="3"/>
  <c r="C2058" i="3"/>
  <c r="B2059" i="3"/>
  <c r="C2059" i="3"/>
  <c r="B2060" i="3"/>
  <c r="C2060" i="3"/>
  <c r="B2061" i="3"/>
  <c r="C2061" i="3"/>
  <c r="B2062" i="3"/>
  <c r="C2062" i="3"/>
  <c r="B2063" i="3"/>
  <c r="C2063" i="3"/>
  <c r="B2064" i="3"/>
  <c r="C2064" i="3"/>
  <c r="B2065" i="3"/>
  <c r="C2065" i="3"/>
  <c r="B2066" i="3"/>
  <c r="C2066" i="3"/>
  <c r="B2067" i="3"/>
  <c r="C2067" i="3"/>
  <c r="B2068" i="3"/>
  <c r="C2068" i="3"/>
  <c r="B2069" i="3"/>
  <c r="C2069" i="3"/>
  <c r="B2070" i="3"/>
  <c r="C2070" i="3"/>
  <c r="B2071" i="3"/>
  <c r="C2071" i="3"/>
  <c r="B2072" i="3"/>
  <c r="C2072" i="3"/>
  <c r="B2073" i="3"/>
  <c r="C2073" i="3"/>
  <c r="B2074" i="3"/>
  <c r="C2074" i="3"/>
  <c r="B2075" i="3"/>
  <c r="C2075" i="3"/>
  <c r="B2076" i="3"/>
  <c r="C2076" i="3"/>
  <c r="B2077" i="3"/>
  <c r="C2077" i="3"/>
  <c r="B2078" i="3"/>
  <c r="C2078" i="3"/>
  <c r="B2079" i="3"/>
  <c r="C2079" i="3"/>
  <c r="B2080" i="3"/>
  <c r="C2080" i="3"/>
  <c r="B2081" i="3"/>
  <c r="C2081" i="3"/>
  <c r="B2082" i="3"/>
  <c r="C2082" i="3"/>
  <c r="B2083" i="3"/>
  <c r="C2083" i="3"/>
  <c r="B2084" i="3"/>
  <c r="C2084" i="3"/>
  <c r="B2085" i="3"/>
  <c r="C2085" i="3"/>
  <c r="B2086" i="3"/>
  <c r="C2086" i="3"/>
  <c r="B2087" i="3"/>
  <c r="C2087" i="3"/>
  <c r="B2088" i="3"/>
  <c r="C2088" i="3"/>
  <c r="B2089" i="3"/>
  <c r="C2089" i="3"/>
  <c r="B2090" i="3"/>
  <c r="C2090" i="3"/>
  <c r="B2091" i="3"/>
  <c r="C2091" i="3"/>
  <c r="B2092" i="3"/>
  <c r="C2092" i="3"/>
  <c r="B2093" i="3"/>
  <c r="C2093" i="3"/>
  <c r="B2094" i="3"/>
  <c r="C2094" i="3"/>
  <c r="B2095" i="3"/>
  <c r="C2095" i="3"/>
  <c r="B2096" i="3"/>
  <c r="C2096" i="3"/>
  <c r="B2097" i="3"/>
  <c r="C2097" i="3"/>
  <c r="B2098" i="3"/>
  <c r="C2098" i="3"/>
  <c r="B2099" i="3"/>
  <c r="C2099" i="3"/>
  <c r="B2100" i="3"/>
  <c r="C2100" i="3"/>
  <c r="B2101" i="3"/>
  <c r="C2101" i="3"/>
  <c r="B2102" i="3"/>
  <c r="C2102" i="3"/>
  <c r="C2103" i="3"/>
  <c r="B2103" i="3"/>
  <c r="B2149" i="3"/>
  <c r="C2149" i="3"/>
  <c r="B2150" i="3"/>
  <c r="C2150" i="3"/>
  <c r="B2151" i="3"/>
  <c r="C2151" i="3"/>
  <c r="B2152" i="3"/>
  <c r="C2152" i="3"/>
  <c r="B2153" i="3"/>
  <c r="C2153" i="3"/>
  <c r="B2154" i="3"/>
  <c r="C2154" i="3"/>
  <c r="B2155" i="3"/>
  <c r="C2155" i="3"/>
  <c r="B2156" i="3"/>
  <c r="C2156" i="3"/>
  <c r="B2157" i="3"/>
  <c r="C2157" i="3"/>
  <c r="B2158" i="3"/>
  <c r="C2158" i="3"/>
  <c r="B2159" i="3"/>
  <c r="C2159" i="3"/>
  <c r="B2160" i="3"/>
  <c r="C2160" i="3"/>
  <c r="B2161" i="3"/>
  <c r="C2161" i="3"/>
  <c r="B2162" i="3"/>
  <c r="C2162" i="3"/>
  <c r="B2163" i="3"/>
  <c r="C2163" i="3"/>
  <c r="B2164" i="3"/>
  <c r="C2164" i="3"/>
  <c r="B2165" i="3"/>
  <c r="C2165" i="3"/>
  <c r="B2166" i="3"/>
  <c r="C2166" i="3"/>
  <c r="B2167" i="3"/>
  <c r="C2167" i="3"/>
  <c r="B2168" i="3"/>
  <c r="C2168" i="3"/>
  <c r="B2169" i="3"/>
  <c r="C2169" i="3"/>
  <c r="B2170" i="3"/>
  <c r="C2170" i="3"/>
  <c r="B2171" i="3"/>
  <c r="C2171" i="3"/>
  <c r="B2172" i="3"/>
  <c r="C2172" i="3"/>
  <c r="B2173" i="3"/>
  <c r="C2173" i="3"/>
  <c r="B2174" i="3"/>
  <c r="C2174" i="3"/>
  <c r="B2175" i="3"/>
  <c r="C2175" i="3"/>
  <c r="B2176" i="3"/>
  <c r="C2176" i="3"/>
  <c r="B2177" i="3"/>
  <c r="C2177" i="3"/>
  <c r="B2178" i="3"/>
  <c r="C2178" i="3"/>
  <c r="B2179" i="3"/>
  <c r="C2179" i="3"/>
  <c r="B2180" i="3"/>
  <c r="C2180" i="3"/>
  <c r="B2181" i="3"/>
  <c r="C2181" i="3"/>
  <c r="B2182" i="3"/>
  <c r="C2182" i="3"/>
  <c r="B2183" i="3"/>
  <c r="C2183" i="3"/>
  <c r="B2184" i="3"/>
  <c r="C2184" i="3"/>
  <c r="B2185" i="3"/>
  <c r="C2185" i="3"/>
  <c r="B2186" i="3"/>
  <c r="C2186" i="3"/>
  <c r="B2187" i="3"/>
  <c r="C2187" i="3"/>
  <c r="B2188" i="3"/>
  <c r="C2188" i="3"/>
  <c r="B2189" i="3"/>
  <c r="C2189" i="3"/>
  <c r="B2190" i="3"/>
  <c r="C2190" i="3"/>
  <c r="B2191" i="3"/>
  <c r="C2191" i="3"/>
  <c r="B2192" i="3"/>
  <c r="C2192" i="3"/>
  <c r="B2193" i="3"/>
  <c r="C2193" i="3"/>
  <c r="B2194" i="3"/>
  <c r="C2194" i="3"/>
  <c r="B2195" i="3"/>
  <c r="C2195" i="3"/>
  <c r="B2196" i="3"/>
  <c r="C2196" i="3"/>
  <c r="B2197" i="3"/>
  <c r="C2197" i="3"/>
  <c r="B2198" i="3"/>
  <c r="C2198" i="3"/>
  <c r="B2199" i="3"/>
  <c r="C2199" i="3"/>
  <c r="B2200" i="3"/>
  <c r="C2200" i="3"/>
  <c r="B2201" i="3"/>
  <c r="C2201" i="3"/>
  <c r="B2202" i="3"/>
  <c r="C2202" i="3"/>
  <c r="B2203" i="3"/>
  <c r="C2203" i="3"/>
  <c r="B2204" i="3"/>
  <c r="C2204" i="3"/>
  <c r="B2205" i="3"/>
  <c r="C2205" i="3"/>
  <c r="B2206" i="3"/>
  <c r="C2206" i="3"/>
  <c r="B2207" i="3"/>
  <c r="C2207" i="3"/>
  <c r="B2208" i="3"/>
  <c r="C2208" i="3"/>
  <c r="B2209" i="3"/>
  <c r="C2209" i="3"/>
  <c r="B2210" i="3"/>
  <c r="C2210" i="3"/>
  <c r="B2211" i="3"/>
  <c r="C2211" i="3"/>
  <c r="B2212" i="3"/>
  <c r="C2212" i="3"/>
  <c r="B2213" i="3"/>
  <c r="C2213" i="3"/>
  <c r="B2214" i="3"/>
  <c r="C2214" i="3"/>
  <c r="B2215" i="3"/>
  <c r="C2215" i="3"/>
  <c r="B2216" i="3"/>
  <c r="C2216" i="3"/>
  <c r="B2217" i="3"/>
  <c r="C2217" i="3"/>
  <c r="B2218" i="3"/>
  <c r="C2218" i="3"/>
  <c r="B2219" i="3"/>
  <c r="C2219" i="3"/>
  <c r="B2220" i="3"/>
  <c r="C2220" i="3"/>
  <c r="B2221" i="3"/>
  <c r="C2221" i="3"/>
  <c r="B2222" i="3"/>
  <c r="C2222" i="3"/>
  <c r="C2223" i="3"/>
  <c r="B2223" i="3"/>
  <c r="B2104" i="3"/>
  <c r="B2105" i="3"/>
  <c r="B2106" i="3"/>
  <c r="B2107" i="3"/>
  <c r="B2108" i="3"/>
  <c r="B2109" i="3"/>
  <c r="B2110" i="3"/>
  <c r="B2111" i="3"/>
  <c r="B2112" i="3"/>
  <c r="B2113" i="3"/>
  <c r="B2114" i="3"/>
  <c r="B2115" i="3"/>
  <c r="B2116" i="3"/>
  <c r="B2117" i="3"/>
  <c r="B2118" i="3"/>
  <c r="B2119" i="3"/>
  <c r="B2120" i="3"/>
  <c r="B2121" i="3"/>
  <c r="B2122" i="3"/>
  <c r="B2123" i="3"/>
  <c r="B2124" i="3"/>
  <c r="B2125" i="3"/>
  <c r="B2126" i="3"/>
  <c r="B2127" i="3"/>
  <c r="B2128" i="3"/>
  <c r="B2129" i="3"/>
  <c r="B2130" i="3"/>
  <c r="B2131" i="3"/>
  <c r="B2132" i="3"/>
  <c r="B2133" i="3"/>
  <c r="B2134" i="3"/>
  <c r="B2135" i="3"/>
  <c r="B2136" i="3"/>
  <c r="B2137" i="3"/>
  <c r="B2138" i="3"/>
  <c r="B2139" i="3"/>
  <c r="B2140" i="3"/>
  <c r="B2141" i="3"/>
  <c r="B2142" i="3"/>
  <c r="B2143" i="3"/>
  <c r="B2144" i="3"/>
  <c r="B2145" i="3"/>
  <c r="B2146" i="3"/>
  <c r="B2147" i="3"/>
  <c r="B2148" i="3"/>
  <c r="B2224" i="3"/>
  <c r="B2225" i="3"/>
  <c r="B2226" i="3"/>
  <c r="B2227" i="3"/>
  <c r="B2228" i="3"/>
  <c r="B2229" i="3"/>
  <c r="B2230" i="3"/>
  <c r="B2231" i="3"/>
  <c r="B2232" i="3"/>
  <c r="B2233" i="3"/>
  <c r="B2234" i="3"/>
  <c r="B2235" i="3"/>
  <c r="B2236" i="3"/>
  <c r="B2237" i="3"/>
  <c r="B2238" i="3"/>
  <c r="B2239" i="3"/>
  <c r="B2240" i="3"/>
  <c r="B2241" i="3"/>
  <c r="B2242" i="3"/>
  <c r="B2243" i="3"/>
  <c r="B2244" i="3"/>
  <c r="B2245" i="3"/>
  <c r="B2246" i="3"/>
  <c r="B2247" i="3"/>
  <c r="B2248" i="3"/>
  <c r="B2249" i="3"/>
  <c r="B2250" i="3"/>
  <c r="B2251" i="3"/>
  <c r="B2252" i="3"/>
  <c r="B2253" i="3"/>
  <c r="B2254" i="3"/>
  <c r="B2255" i="3"/>
  <c r="B2256" i="3"/>
  <c r="B2257" i="3"/>
  <c r="B2258" i="3"/>
  <c r="B2259" i="3"/>
  <c r="B2260" i="3"/>
  <c r="B2261" i="3"/>
  <c r="B2262" i="3"/>
  <c r="B2263" i="3"/>
  <c r="B2264" i="3"/>
  <c r="B2265" i="3"/>
  <c r="B2266" i="3"/>
  <c r="B2267" i="3"/>
  <c r="B2268" i="3"/>
  <c r="B2269" i="3"/>
  <c r="B2270" i="3"/>
  <c r="B2271" i="3"/>
  <c r="B2272" i="3"/>
  <c r="B2273" i="3"/>
  <c r="B2274" i="3"/>
  <c r="B2275" i="3"/>
  <c r="B2276" i="3"/>
  <c r="B2277" i="3"/>
  <c r="B2278" i="3"/>
  <c r="B2279" i="3"/>
  <c r="B2280" i="3"/>
  <c r="B2281" i="3"/>
  <c r="B2282" i="3"/>
  <c r="B2283" i="3"/>
  <c r="B2284" i="3"/>
  <c r="C2284" i="3"/>
  <c r="B2285" i="3"/>
  <c r="C2285" i="3"/>
  <c r="B2286" i="3"/>
  <c r="C2286" i="3"/>
  <c r="B2287" i="3"/>
  <c r="C2287" i="3"/>
  <c r="B2288" i="3"/>
  <c r="C2288" i="3"/>
  <c r="B2289" i="3"/>
  <c r="C2289" i="3"/>
  <c r="B2290" i="3"/>
  <c r="C2290" i="3"/>
  <c r="B2291" i="3"/>
  <c r="C2291" i="3"/>
  <c r="B2292" i="3"/>
  <c r="C2292" i="3"/>
  <c r="B2293" i="3"/>
  <c r="C2293" i="3"/>
  <c r="B2294" i="3"/>
  <c r="C2294" i="3"/>
  <c r="B2295" i="3"/>
  <c r="C2295" i="3"/>
  <c r="B2296" i="3"/>
  <c r="C2296" i="3"/>
  <c r="B2297" i="3"/>
  <c r="C2297" i="3"/>
  <c r="B2298" i="3"/>
  <c r="C2298" i="3"/>
  <c r="B2299" i="3"/>
  <c r="C2299" i="3"/>
  <c r="B2300" i="3"/>
  <c r="C2300" i="3"/>
  <c r="B2301" i="3"/>
  <c r="C2301" i="3"/>
  <c r="B2302" i="3"/>
  <c r="C2302" i="3"/>
  <c r="B2303" i="3"/>
  <c r="C2303" i="3"/>
  <c r="B2304" i="3"/>
  <c r="C2304" i="3"/>
  <c r="B2305" i="3"/>
  <c r="C2305" i="3"/>
  <c r="B2306" i="3"/>
  <c r="C2306" i="3"/>
  <c r="B2307" i="3"/>
  <c r="C2307" i="3"/>
  <c r="B2308" i="3"/>
  <c r="C2308" i="3"/>
  <c r="B2309" i="3"/>
  <c r="C2309" i="3"/>
  <c r="B2310" i="3"/>
  <c r="C2310" i="3"/>
  <c r="B2311" i="3"/>
  <c r="C2311" i="3"/>
  <c r="B2312" i="3"/>
  <c r="C2312" i="3"/>
  <c r="B2313" i="3"/>
  <c r="C2313" i="3"/>
  <c r="B2314" i="3"/>
  <c r="C2314" i="3"/>
  <c r="B2315" i="3"/>
  <c r="C2315" i="3"/>
  <c r="B2316" i="3"/>
  <c r="C2316" i="3"/>
  <c r="B2317" i="3"/>
  <c r="C2317" i="3"/>
  <c r="B2318" i="3"/>
  <c r="C2318" i="3"/>
  <c r="B2319" i="3"/>
  <c r="C2319" i="3"/>
  <c r="B2320" i="3"/>
  <c r="C2320" i="3"/>
  <c r="B2321" i="3"/>
  <c r="C2321" i="3"/>
  <c r="B2322" i="3"/>
  <c r="C2322" i="3"/>
  <c r="B2323" i="3"/>
  <c r="C2323" i="3"/>
  <c r="B2324" i="3"/>
  <c r="C2324" i="3"/>
  <c r="B2325" i="3"/>
  <c r="C2325" i="3"/>
  <c r="B2326" i="3"/>
  <c r="C2326" i="3"/>
  <c r="B2327" i="3"/>
  <c r="C2327" i="3"/>
  <c r="B2328" i="3"/>
  <c r="C2328" i="3"/>
  <c r="B2329" i="3"/>
  <c r="C2329" i="3"/>
  <c r="B2330" i="3"/>
  <c r="C2330" i="3"/>
  <c r="B2331" i="3"/>
  <c r="C2331" i="3"/>
  <c r="B2332" i="3"/>
  <c r="C2332" i="3"/>
  <c r="B2333" i="3"/>
  <c r="C2333" i="3"/>
  <c r="B2334" i="3"/>
  <c r="C2334" i="3"/>
  <c r="B2335" i="3"/>
  <c r="C2335" i="3"/>
  <c r="B2336" i="3"/>
  <c r="C2336" i="3"/>
  <c r="B2337" i="3"/>
  <c r="C2337" i="3"/>
  <c r="B2338" i="3"/>
  <c r="C2338" i="3"/>
  <c r="B2339" i="3"/>
  <c r="C2339" i="3"/>
  <c r="B2340" i="3"/>
  <c r="C2340" i="3"/>
  <c r="B2341" i="3"/>
  <c r="C2341" i="3"/>
  <c r="B2342" i="3"/>
  <c r="C2342" i="3"/>
  <c r="C2343" i="3"/>
  <c r="B2343" i="3"/>
  <c r="B2344" i="3"/>
  <c r="B2345" i="3"/>
  <c r="B2346" i="3"/>
  <c r="B2347" i="3"/>
  <c r="B2348" i="3"/>
  <c r="B2349" i="3"/>
  <c r="B2350" i="3"/>
  <c r="B2351" i="3"/>
  <c r="B2352" i="3"/>
  <c r="B2353" i="3"/>
  <c r="B2354" i="3"/>
  <c r="B2355" i="3"/>
  <c r="B2356" i="3"/>
  <c r="B2357" i="3"/>
  <c r="B2358" i="3"/>
  <c r="B2359" i="3"/>
  <c r="B2360" i="3"/>
  <c r="B2361" i="3"/>
  <c r="B2362" i="3"/>
  <c r="B2363" i="3"/>
  <c r="B2364" i="3"/>
  <c r="B2365" i="3"/>
  <c r="B2366" i="3"/>
  <c r="B2367" i="3"/>
  <c r="B2368" i="3"/>
  <c r="B2369" i="3"/>
  <c r="B2370" i="3"/>
  <c r="B2371" i="3"/>
  <c r="B2372" i="3"/>
  <c r="B2373" i="3"/>
  <c r="B2374" i="3"/>
  <c r="B2375" i="3"/>
  <c r="B2376" i="3"/>
  <c r="B2377" i="3"/>
  <c r="B2378" i="3"/>
  <c r="B2379" i="3"/>
  <c r="B2380" i="3"/>
  <c r="B2381" i="3"/>
  <c r="B2382" i="3"/>
  <c r="B2383" i="3"/>
  <c r="B2384" i="3"/>
  <c r="B2385" i="3"/>
  <c r="B2386" i="3"/>
  <c r="B2387" i="3"/>
  <c r="B2388" i="3"/>
  <c r="C2404" i="3"/>
  <c r="C2405" i="3"/>
  <c r="C2406" i="3"/>
  <c r="C2407" i="3"/>
  <c r="C2408" i="3"/>
  <c r="C2409" i="3"/>
  <c r="C2410" i="3"/>
  <c r="C2411" i="3"/>
  <c r="C2412" i="3"/>
  <c r="C2413" i="3"/>
  <c r="C2414" i="3"/>
  <c r="C2415" i="3"/>
  <c r="C2416" i="3"/>
  <c r="C2417" i="3"/>
  <c r="C2418" i="3"/>
  <c r="B2764" i="3"/>
  <c r="C2764" i="3"/>
  <c r="B2765" i="3"/>
  <c r="C2765" i="3"/>
  <c r="B2766" i="3"/>
  <c r="C2766" i="3"/>
  <c r="B2767" i="3"/>
  <c r="C2767" i="3"/>
  <c r="B2768" i="3"/>
  <c r="C2768" i="3"/>
  <c r="B2769" i="3"/>
  <c r="C2769" i="3"/>
  <c r="B2770" i="3"/>
  <c r="C2770" i="3"/>
  <c r="B2771" i="3"/>
  <c r="C2771" i="3"/>
  <c r="B2772" i="3"/>
  <c r="C2772" i="3"/>
  <c r="B2773" i="3"/>
  <c r="C2773" i="3"/>
  <c r="B2774" i="3"/>
  <c r="C2774" i="3"/>
  <c r="B2775" i="3"/>
  <c r="C2775" i="3"/>
  <c r="B2776" i="3"/>
  <c r="C2776" i="3"/>
  <c r="B2777" i="3"/>
  <c r="C2777" i="3"/>
  <c r="B2778" i="3"/>
  <c r="C2778" i="3"/>
  <c r="B2779" i="3"/>
  <c r="C2779" i="3"/>
  <c r="B2780" i="3"/>
  <c r="C2780" i="3"/>
  <c r="B2781" i="3"/>
  <c r="C2781" i="3"/>
  <c r="B2782" i="3"/>
  <c r="C2782" i="3"/>
  <c r="B2783" i="3"/>
  <c r="C2783" i="3"/>
  <c r="B2784" i="3"/>
  <c r="C2784" i="3"/>
  <c r="B2785" i="3"/>
  <c r="C2785" i="3"/>
  <c r="B2786" i="3"/>
  <c r="C2786" i="3"/>
  <c r="B2787" i="3"/>
  <c r="C2787" i="3"/>
  <c r="B2788" i="3"/>
  <c r="C2788" i="3"/>
  <c r="B2789" i="3"/>
  <c r="C2789" i="3"/>
  <c r="B2790" i="3"/>
  <c r="C2790" i="3"/>
  <c r="B2791" i="3"/>
  <c r="C2791" i="3"/>
  <c r="B2792" i="3"/>
  <c r="C2792" i="3"/>
  <c r="B2793" i="3"/>
  <c r="C2793" i="3"/>
  <c r="B2794" i="3"/>
  <c r="C2794" i="3"/>
  <c r="B2795" i="3"/>
  <c r="C2795" i="3"/>
  <c r="B2796" i="3"/>
  <c r="C2796" i="3"/>
  <c r="B2797" i="3"/>
  <c r="C2797" i="3"/>
  <c r="B2798" i="3"/>
  <c r="C2798" i="3"/>
  <c r="B2799" i="3"/>
  <c r="C2799" i="3"/>
  <c r="B2800" i="3"/>
  <c r="C2800" i="3"/>
  <c r="B2801" i="3"/>
  <c r="C2801" i="3"/>
  <c r="B2802" i="3"/>
  <c r="C2802" i="3"/>
  <c r="B2803" i="3"/>
  <c r="C2803" i="3"/>
  <c r="B2804" i="3"/>
  <c r="C2804" i="3"/>
  <c r="B2805" i="3"/>
  <c r="C2805" i="3"/>
  <c r="B2806" i="3"/>
  <c r="C2806" i="3"/>
  <c r="B2807" i="3"/>
  <c r="C2807" i="3"/>
  <c r="B2808" i="3"/>
  <c r="C2808" i="3"/>
  <c r="B2809" i="3"/>
  <c r="C2809" i="3"/>
  <c r="B2810" i="3"/>
  <c r="C2810" i="3"/>
  <c r="B2811" i="3"/>
  <c r="C2811" i="3"/>
  <c r="B2812" i="3"/>
  <c r="C2812" i="3"/>
  <c r="B2813" i="3"/>
  <c r="C2813" i="3"/>
  <c r="B2814" i="3"/>
  <c r="C2814" i="3"/>
  <c r="B2815" i="3"/>
  <c r="C2815" i="3"/>
  <c r="B2816" i="3"/>
  <c r="C2816" i="3"/>
  <c r="B2817" i="3"/>
  <c r="C2817" i="3"/>
  <c r="B2818" i="3"/>
  <c r="C2818" i="3"/>
  <c r="B2819" i="3"/>
  <c r="C2819" i="3"/>
  <c r="B2820" i="3"/>
  <c r="C2820" i="3"/>
  <c r="B2821" i="3"/>
  <c r="C2821" i="3"/>
  <c r="B2822" i="3"/>
  <c r="C2822" i="3"/>
  <c r="B2823" i="3"/>
  <c r="C2823" i="3"/>
  <c r="B2824" i="3"/>
  <c r="C2824" i="3"/>
  <c r="B2825" i="3"/>
  <c r="C2825" i="3"/>
  <c r="B2826" i="3"/>
  <c r="C2826" i="3"/>
  <c r="B2827" i="3"/>
  <c r="C2827" i="3"/>
  <c r="B2828" i="3"/>
  <c r="C2828" i="3"/>
  <c r="B2829" i="3"/>
  <c r="C2829" i="3"/>
  <c r="B2830" i="3"/>
  <c r="C2830" i="3"/>
  <c r="B2831" i="3"/>
  <c r="C2831" i="3"/>
  <c r="B2832" i="3"/>
  <c r="C2832" i="3"/>
  <c r="B2833" i="3"/>
  <c r="C2833" i="3"/>
  <c r="B2834" i="3"/>
  <c r="C2834" i="3"/>
  <c r="B2835" i="3"/>
  <c r="C2835" i="3"/>
  <c r="B2836" i="3"/>
  <c r="C2836" i="3"/>
  <c r="B2837" i="3"/>
  <c r="C2837" i="3"/>
  <c r="C2838" i="3"/>
  <c r="B2838" i="3"/>
  <c r="B2419" i="3"/>
  <c r="C2419" i="3"/>
  <c r="B2420" i="3"/>
  <c r="C2420" i="3"/>
  <c r="B2421" i="3"/>
  <c r="C2421" i="3"/>
  <c r="B2422" i="3"/>
  <c r="C2422" i="3"/>
  <c r="B2423" i="3"/>
  <c r="C2423" i="3"/>
  <c r="B2424" i="3"/>
  <c r="C2424" i="3"/>
  <c r="B2425" i="3"/>
  <c r="C2425" i="3"/>
  <c r="B2426" i="3"/>
  <c r="C2426" i="3"/>
  <c r="B2427" i="3"/>
  <c r="C2427" i="3"/>
  <c r="B2428" i="3"/>
  <c r="C2428" i="3"/>
  <c r="B2429" i="3"/>
  <c r="C2429" i="3"/>
  <c r="B2430" i="3"/>
  <c r="C2430" i="3"/>
  <c r="B2431" i="3"/>
  <c r="C2431" i="3"/>
  <c r="B2432" i="3"/>
  <c r="C2432" i="3"/>
  <c r="B2433" i="3"/>
  <c r="C2433" i="3"/>
  <c r="B2434" i="3"/>
  <c r="C2434" i="3"/>
  <c r="B2435" i="3"/>
  <c r="C2435" i="3"/>
  <c r="B2436" i="3"/>
  <c r="C2436" i="3"/>
  <c r="B2437" i="3"/>
  <c r="C2437" i="3"/>
  <c r="B2438" i="3"/>
  <c r="C2438" i="3"/>
  <c r="B2439" i="3"/>
  <c r="C2439" i="3"/>
  <c r="B2440" i="3"/>
  <c r="C2440" i="3"/>
  <c r="B2441" i="3"/>
  <c r="C2441" i="3"/>
  <c r="B2442" i="3"/>
  <c r="C2442" i="3"/>
  <c r="B2443" i="3"/>
  <c r="C2443" i="3"/>
  <c r="B2444" i="3"/>
  <c r="C2444" i="3"/>
  <c r="B2445" i="3"/>
  <c r="C2445" i="3"/>
  <c r="B2446" i="3"/>
  <c r="C2446" i="3"/>
  <c r="B2447" i="3"/>
  <c r="C2447" i="3"/>
  <c r="B2448" i="3"/>
  <c r="C2448" i="3"/>
  <c r="B2449" i="3"/>
  <c r="C2449" i="3"/>
  <c r="B2450" i="3"/>
  <c r="C2450" i="3"/>
  <c r="B2451" i="3"/>
  <c r="C2451" i="3"/>
  <c r="B2452" i="3"/>
  <c r="C2452" i="3"/>
  <c r="B2453" i="3"/>
  <c r="C2453" i="3"/>
  <c r="B2454" i="3"/>
  <c r="C2454" i="3"/>
  <c r="B2455" i="3"/>
  <c r="C2455" i="3"/>
  <c r="B2456" i="3"/>
  <c r="C2456" i="3"/>
  <c r="B2457" i="3"/>
  <c r="C2457" i="3"/>
  <c r="B2458" i="3"/>
  <c r="C2458" i="3"/>
  <c r="B2459" i="3"/>
  <c r="C2459" i="3"/>
  <c r="B2460" i="3"/>
  <c r="C2460" i="3"/>
  <c r="B2461" i="3"/>
  <c r="C2461" i="3"/>
  <c r="B2462" i="3"/>
  <c r="C2462" i="3"/>
  <c r="C2463" i="3"/>
  <c r="B2463" i="3"/>
  <c r="B2524" i="3"/>
  <c r="C2524" i="3"/>
  <c r="B2525" i="3"/>
  <c r="C2525" i="3"/>
  <c r="B2526" i="3"/>
  <c r="C2526" i="3"/>
  <c r="B2527" i="3"/>
  <c r="C2527" i="3"/>
  <c r="B2528" i="3"/>
  <c r="C2528" i="3"/>
  <c r="B2529" i="3"/>
  <c r="C2529" i="3"/>
  <c r="B2530" i="3"/>
  <c r="C2530" i="3"/>
  <c r="B2531" i="3"/>
  <c r="C2531" i="3"/>
  <c r="B2532" i="3"/>
  <c r="C2532" i="3"/>
  <c r="B2533" i="3"/>
  <c r="C2533" i="3"/>
  <c r="B2534" i="3"/>
  <c r="C2534" i="3"/>
  <c r="B2535" i="3"/>
  <c r="C2535" i="3"/>
  <c r="B2536" i="3"/>
  <c r="C2536" i="3"/>
  <c r="B2537" i="3"/>
  <c r="C2537" i="3"/>
  <c r="B2538" i="3"/>
  <c r="C2538" i="3"/>
  <c r="B2539" i="3"/>
  <c r="C2539" i="3"/>
  <c r="B2540" i="3"/>
  <c r="C2540" i="3"/>
  <c r="B2541" i="3"/>
  <c r="C2541" i="3"/>
  <c r="B2542" i="3"/>
  <c r="C2542" i="3"/>
  <c r="B2543" i="3"/>
  <c r="C2543" i="3"/>
  <c r="B2544" i="3"/>
  <c r="C2544" i="3"/>
  <c r="B2545" i="3"/>
  <c r="C2545" i="3"/>
  <c r="B2546" i="3"/>
  <c r="C2546" i="3"/>
  <c r="B2547" i="3"/>
  <c r="C2547" i="3"/>
  <c r="B2548" i="3"/>
  <c r="C2548" i="3"/>
  <c r="B2549" i="3"/>
  <c r="C2549" i="3"/>
  <c r="B2550" i="3"/>
  <c r="C2550" i="3"/>
  <c r="B2551" i="3"/>
  <c r="C2551" i="3"/>
  <c r="B2552" i="3"/>
  <c r="C2552" i="3"/>
  <c r="B2553" i="3"/>
  <c r="C2553" i="3"/>
  <c r="B2554" i="3"/>
  <c r="C2554" i="3"/>
  <c r="B2555" i="3"/>
  <c r="C2555" i="3"/>
  <c r="B2556" i="3"/>
  <c r="C2556" i="3"/>
  <c r="B2557" i="3"/>
  <c r="C2557" i="3"/>
  <c r="B2558" i="3"/>
  <c r="C2558" i="3"/>
  <c r="B2559" i="3"/>
  <c r="C2559" i="3"/>
  <c r="B2560" i="3"/>
  <c r="C2560" i="3"/>
  <c r="B2561" i="3"/>
  <c r="C2561" i="3"/>
  <c r="B2562" i="3"/>
  <c r="C2562" i="3"/>
  <c r="B2563" i="3"/>
  <c r="C2563" i="3"/>
  <c r="B2564" i="3"/>
  <c r="C2564" i="3"/>
  <c r="B2565" i="3"/>
  <c r="C2565" i="3"/>
  <c r="B2566" i="3"/>
  <c r="C2566" i="3"/>
  <c r="B2567" i="3"/>
  <c r="C2567" i="3"/>
  <c r="B2568" i="3"/>
  <c r="C2568" i="3"/>
  <c r="B2569" i="3"/>
  <c r="C2569" i="3"/>
  <c r="B2570" i="3"/>
  <c r="C2570" i="3"/>
  <c r="B2571" i="3"/>
  <c r="C2571" i="3"/>
  <c r="B2572" i="3"/>
  <c r="C2572" i="3"/>
  <c r="B2573" i="3"/>
  <c r="C2573" i="3"/>
  <c r="B2574" i="3"/>
  <c r="C2574" i="3"/>
  <c r="B2575" i="3"/>
  <c r="C2575" i="3"/>
  <c r="B2576" i="3"/>
  <c r="C2576" i="3"/>
  <c r="B2577" i="3"/>
  <c r="C2577" i="3"/>
  <c r="B2578" i="3"/>
  <c r="C2578" i="3"/>
  <c r="B2579" i="3"/>
  <c r="C2579" i="3"/>
  <c r="B2580" i="3"/>
  <c r="C2580" i="3"/>
  <c r="B2581" i="3"/>
  <c r="C2581" i="3"/>
  <c r="B2582" i="3"/>
  <c r="C2582" i="3"/>
  <c r="B2583" i="3"/>
  <c r="C2583" i="3"/>
  <c r="B2629" i="3"/>
  <c r="C2629" i="3"/>
  <c r="B2630" i="3"/>
  <c r="C2630" i="3"/>
  <c r="B2631" i="3"/>
  <c r="C2631" i="3"/>
  <c r="B2632" i="3"/>
  <c r="C2632" i="3"/>
  <c r="B2633" i="3"/>
  <c r="C2633" i="3"/>
  <c r="B2634" i="3"/>
  <c r="C2634" i="3"/>
  <c r="B2635" i="3"/>
  <c r="C2635" i="3"/>
  <c r="B2636" i="3"/>
  <c r="C2636" i="3"/>
  <c r="B2637" i="3"/>
  <c r="C2637" i="3"/>
  <c r="B2638" i="3"/>
  <c r="C2638" i="3"/>
  <c r="B2639" i="3"/>
  <c r="C2639" i="3"/>
  <c r="B2640" i="3"/>
  <c r="C2640" i="3"/>
  <c r="B2641" i="3"/>
  <c r="C2641" i="3"/>
  <c r="B2642" i="3"/>
  <c r="C2642" i="3"/>
  <c r="B2643" i="3"/>
  <c r="C2643" i="3"/>
  <c r="B2644" i="3"/>
  <c r="C2644" i="3"/>
  <c r="B2645" i="3"/>
  <c r="C2645" i="3"/>
  <c r="B2646" i="3"/>
  <c r="C2646" i="3"/>
  <c r="B2647" i="3"/>
  <c r="C2647" i="3"/>
  <c r="B2648" i="3"/>
  <c r="C2648" i="3"/>
  <c r="B2649" i="3"/>
  <c r="C2649" i="3"/>
  <c r="B2650" i="3"/>
  <c r="C2650" i="3"/>
  <c r="B2651" i="3"/>
  <c r="C2651" i="3"/>
  <c r="B2652" i="3"/>
  <c r="C2652" i="3"/>
  <c r="B2653" i="3"/>
  <c r="C2653" i="3"/>
  <c r="B2654" i="3"/>
  <c r="C2654" i="3"/>
  <c r="B2655" i="3"/>
  <c r="C2655" i="3"/>
  <c r="B2656" i="3"/>
  <c r="C2656" i="3"/>
  <c r="B2657" i="3"/>
  <c r="C2657" i="3"/>
  <c r="B2658" i="3"/>
  <c r="C2658" i="3"/>
  <c r="B2659" i="3"/>
  <c r="C2659" i="3"/>
  <c r="B2660" i="3"/>
  <c r="C2660" i="3"/>
  <c r="B2661" i="3"/>
  <c r="C2661" i="3"/>
  <c r="B2662" i="3"/>
  <c r="C2662" i="3"/>
  <c r="B2663" i="3"/>
  <c r="C2663" i="3"/>
  <c r="B2664" i="3"/>
  <c r="C2664" i="3"/>
  <c r="B2665" i="3"/>
  <c r="C2665" i="3"/>
  <c r="B2666" i="3"/>
  <c r="C2666" i="3"/>
  <c r="B2667" i="3"/>
  <c r="C2667" i="3"/>
  <c r="B2668" i="3"/>
  <c r="C2668" i="3"/>
  <c r="B2669" i="3"/>
  <c r="C2669" i="3"/>
  <c r="B2670" i="3"/>
  <c r="C2670" i="3"/>
  <c r="B2671" i="3"/>
  <c r="C2671" i="3"/>
  <c r="B2672" i="3"/>
  <c r="C2672" i="3"/>
  <c r="B2673" i="3"/>
  <c r="C2673" i="3"/>
  <c r="B2674" i="3"/>
  <c r="C2674" i="3"/>
  <c r="B2675" i="3"/>
  <c r="C2675" i="3"/>
  <c r="B2676" i="3"/>
  <c r="C2676" i="3"/>
  <c r="B2677" i="3"/>
  <c r="C2677" i="3"/>
  <c r="B2678" i="3"/>
  <c r="C2678" i="3"/>
  <c r="B2679" i="3"/>
  <c r="C2679" i="3"/>
  <c r="B2680" i="3"/>
  <c r="C2680" i="3"/>
  <c r="B2681" i="3"/>
  <c r="C2681" i="3"/>
  <c r="B2682" i="3"/>
  <c r="C2682" i="3"/>
  <c r="B2683" i="3"/>
  <c r="C2683" i="3"/>
  <c r="B2684" i="3"/>
  <c r="C2684" i="3"/>
  <c r="B2685" i="3"/>
  <c r="C2685" i="3"/>
  <c r="B2686" i="3"/>
  <c r="C2686" i="3"/>
  <c r="B2687" i="3"/>
  <c r="C2687" i="3"/>
  <c r="B2688" i="3"/>
  <c r="C2688" i="3"/>
  <c r="B2689" i="3"/>
  <c r="C2689" i="3"/>
  <c r="B2690" i="3"/>
  <c r="C2690" i="3"/>
  <c r="B2691" i="3"/>
  <c r="C2691" i="3"/>
  <c r="B2692" i="3"/>
  <c r="C2692" i="3"/>
  <c r="B2693" i="3"/>
  <c r="C2693" i="3"/>
  <c r="B2694" i="3"/>
  <c r="C2694" i="3"/>
  <c r="B2695" i="3"/>
  <c r="C2695" i="3"/>
  <c r="B2696" i="3"/>
  <c r="C2696" i="3"/>
  <c r="B2697" i="3"/>
  <c r="C2697" i="3"/>
  <c r="B2698" i="3"/>
  <c r="C2698" i="3"/>
  <c r="B2699" i="3"/>
  <c r="C2699" i="3"/>
  <c r="B2700" i="3"/>
  <c r="C2700" i="3"/>
  <c r="B2701" i="3"/>
  <c r="C2701" i="3"/>
  <c r="B2702" i="3"/>
  <c r="C2702" i="3"/>
  <c r="C2703" i="3"/>
  <c r="B2703" i="3"/>
  <c r="B2584" i="3"/>
  <c r="B2585" i="3"/>
  <c r="B2586" i="3"/>
  <c r="B2587" i="3"/>
  <c r="B2588" i="3"/>
  <c r="B2589" i="3"/>
  <c r="B2590" i="3"/>
  <c r="B2591" i="3"/>
  <c r="B2592" i="3"/>
  <c r="B2593" i="3"/>
  <c r="B2594" i="3"/>
  <c r="B2595" i="3"/>
  <c r="B2596" i="3"/>
  <c r="B2597" i="3"/>
  <c r="B2598" i="3"/>
  <c r="B2599" i="3"/>
  <c r="B2600" i="3"/>
  <c r="B2601" i="3"/>
  <c r="B2602" i="3"/>
  <c r="B2603" i="3"/>
  <c r="B2604" i="3"/>
  <c r="B2605" i="3"/>
  <c r="B2606" i="3"/>
  <c r="B2607" i="3"/>
  <c r="B2608" i="3"/>
  <c r="B2609" i="3"/>
  <c r="B2610" i="3"/>
  <c r="B2611" i="3"/>
  <c r="B2612" i="3"/>
  <c r="B2613" i="3"/>
  <c r="B2614" i="3"/>
  <c r="B2615" i="3"/>
  <c r="B2616" i="3"/>
  <c r="B2617" i="3"/>
  <c r="B2618" i="3"/>
  <c r="B2619" i="3"/>
  <c r="B2620" i="3"/>
  <c r="B2621" i="3"/>
  <c r="B2622" i="3"/>
  <c r="B2623" i="3"/>
  <c r="B2624" i="3"/>
  <c r="B2625" i="3"/>
  <c r="B2626" i="3"/>
  <c r="B2627" i="3"/>
  <c r="B2628" i="3"/>
  <c r="B2704" i="3"/>
  <c r="B2705" i="3"/>
  <c r="B2706" i="3"/>
  <c r="B2707" i="3"/>
  <c r="B2708" i="3"/>
  <c r="B2709" i="3"/>
  <c r="B2710" i="3"/>
  <c r="B2711" i="3"/>
  <c r="B2712" i="3"/>
  <c r="B2713" i="3"/>
  <c r="B2714" i="3"/>
  <c r="B2715" i="3"/>
  <c r="B2716" i="3"/>
  <c r="B2717" i="3"/>
  <c r="B2718" i="3"/>
  <c r="B2719" i="3"/>
  <c r="B2720" i="3"/>
  <c r="B2721" i="3"/>
  <c r="B2722" i="3"/>
  <c r="B2723" i="3"/>
  <c r="B2724" i="3"/>
  <c r="B2725" i="3"/>
  <c r="B2726" i="3"/>
  <c r="B2727" i="3"/>
  <c r="B2728" i="3"/>
  <c r="B2729" i="3"/>
  <c r="B2730" i="3"/>
  <c r="B2731" i="3"/>
  <c r="B2732" i="3"/>
  <c r="B2733" i="3"/>
  <c r="B2734" i="3"/>
  <c r="B2735" i="3"/>
  <c r="B2736" i="3"/>
  <c r="B2737" i="3"/>
  <c r="B2738" i="3"/>
  <c r="B2739" i="3"/>
  <c r="B2740" i="3"/>
  <c r="B2741" i="3"/>
  <c r="B2742" i="3"/>
  <c r="B2743" i="3"/>
  <c r="B2744" i="3"/>
  <c r="B2745" i="3"/>
  <c r="B2746" i="3"/>
  <c r="B2747" i="3"/>
  <c r="B2748" i="3"/>
  <c r="B2749" i="3"/>
  <c r="B2750" i="3"/>
  <c r="B2751" i="3"/>
  <c r="B2752" i="3"/>
  <c r="B2753" i="3"/>
  <c r="B2754" i="3"/>
  <c r="B2755" i="3"/>
  <c r="B2756" i="3"/>
  <c r="B2757" i="3"/>
  <c r="B2758" i="3"/>
  <c r="B2759" i="3"/>
  <c r="B2760" i="3"/>
  <c r="B2761" i="3"/>
  <c r="B2762" i="3"/>
  <c r="B2763" i="3"/>
  <c r="B2839" i="3"/>
  <c r="C2839" i="3"/>
  <c r="B2840" i="3"/>
  <c r="C2840" i="3"/>
  <c r="B2841" i="3"/>
  <c r="C2841" i="3"/>
  <c r="B2842" i="3"/>
  <c r="C2842" i="3"/>
  <c r="B2843" i="3"/>
  <c r="C2843" i="3"/>
  <c r="B2844" i="3"/>
  <c r="C2844" i="3"/>
  <c r="B2845" i="3"/>
  <c r="C2845" i="3"/>
  <c r="B2846" i="3"/>
  <c r="C2846" i="3"/>
  <c r="B2847" i="3"/>
  <c r="C2847" i="3"/>
  <c r="B2848" i="3"/>
  <c r="C2848" i="3"/>
  <c r="B2849" i="3"/>
  <c r="C2849" i="3"/>
  <c r="B2850" i="3"/>
  <c r="C2850" i="3"/>
  <c r="B2851" i="3"/>
  <c r="C2851" i="3"/>
  <c r="B2852" i="3"/>
  <c r="C2852" i="3"/>
  <c r="B2853" i="3"/>
  <c r="C2853" i="3"/>
  <c r="B2854" i="3"/>
  <c r="C2854" i="3"/>
  <c r="B2855" i="3"/>
  <c r="C2855" i="3"/>
  <c r="B2856" i="3"/>
  <c r="C2856" i="3"/>
  <c r="B2857" i="3"/>
  <c r="C2857" i="3"/>
  <c r="B2858" i="3"/>
  <c r="C2858" i="3"/>
  <c r="B2859" i="3"/>
  <c r="C2859" i="3"/>
  <c r="B2860" i="3"/>
  <c r="C2860" i="3"/>
  <c r="B2861" i="3"/>
  <c r="C2861" i="3"/>
  <c r="B2862" i="3"/>
  <c r="C2862" i="3"/>
  <c r="B2863" i="3"/>
  <c r="C2863" i="3"/>
  <c r="B2864" i="3"/>
  <c r="C2864" i="3"/>
  <c r="B2865" i="3"/>
  <c r="C2865" i="3"/>
  <c r="B2866" i="3"/>
  <c r="C2866" i="3"/>
  <c r="B2867" i="3"/>
  <c r="C2867" i="3"/>
  <c r="B2868" i="3"/>
  <c r="C2868" i="3"/>
  <c r="B2869" i="3"/>
  <c r="C2869" i="3"/>
  <c r="B2870" i="3"/>
  <c r="C2870" i="3"/>
  <c r="B2871" i="3"/>
  <c r="C2871" i="3"/>
  <c r="B2872" i="3"/>
  <c r="C2872" i="3"/>
  <c r="B2873" i="3"/>
  <c r="C2873" i="3"/>
  <c r="B2874" i="3"/>
  <c r="C2874" i="3"/>
  <c r="B2875" i="3"/>
  <c r="C2875" i="3"/>
  <c r="B2876" i="3"/>
  <c r="C2876" i="3"/>
  <c r="B2877" i="3"/>
  <c r="C2877" i="3"/>
  <c r="B2878" i="3"/>
  <c r="C2878" i="3"/>
  <c r="B2879" i="3"/>
  <c r="C2879" i="3"/>
  <c r="B2880" i="3"/>
  <c r="C2880" i="3"/>
  <c r="B2881" i="3"/>
  <c r="C2881" i="3"/>
  <c r="B2882" i="3"/>
  <c r="C2882" i="3"/>
  <c r="B2883" i="3"/>
  <c r="C2883" i="3"/>
  <c r="B2884" i="3"/>
  <c r="C2884" i="3"/>
  <c r="B2885" i="3"/>
  <c r="C2885" i="3"/>
  <c r="B2886" i="3"/>
  <c r="C2886" i="3"/>
  <c r="B2887" i="3"/>
  <c r="C2887" i="3"/>
  <c r="B2888" i="3"/>
  <c r="C2888" i="3"/>
  <c r="B2889" i="3"/>
  <c r="C2889" i="3"/>
  <c r="B2890" i="3"/>
  <c r="C2890" i="3"/>
  <c r="B2891" i="3"/>
  <c r="C2891" i="3"/>
  <c r="B2892" i="3"/>
  <c r="C2892" i="3"/>
  <c r="B2893" i="3"/>
  <c r="C2893" i="3"/>
  <c r="B2894" i="3"/>
  <c r="C2894" i="3"/>
  <c r="B2895" i="3"/>
  <c r="C2895" i="3"/>
  <c r="B2896" i="3"/>
  <c r="C2896" i="3"/>
  <c r="B2897" i="3"/>
  <c r="C2897" i="3"/>
  <c r="C2898" i="3"/>
  <c r="B2898" i="3"/>
  <c r="B2899" i="3"/>
  <c r="C2899" i="3"/>
  <c r="B2900" i="3"/>
  <c r="C2900" i="3"/>
  <c r="B2901" i="3"/>
  <c r="C2901" i="3"/>
  <c r="B2902" i="3"/>
  <c r="C2902" i="3"/>
  <c r="B2903" i="3"/>
  <c r="C2903" i="3"/>
  <c r="B2904" i="3"/>
  <c r="C2904" i="3"/>
  <c r="B2905" i="3"/>
  <c r="C2905" i="3"/>
  <c r="B2906" i="3"/>
  <c r="C2906" i="3"/>
  <c r="B2907" i="3"/>
  <c r="C2907" i="3"/>
  <c r="B2908" i="3"/>
  <c r="C2908" i="3"/>
  <c r="B2909" i="3"/>
  <c r="C2909" i="3"/>
  <c r="B2910" i="3"/>
  <c r="C2910" i="3"/>
  <c r="B2911" i="3"/>
  <c r="C2911" i="3"/>
  <c r="B2912" i="3"/>
  <c r="C2912" i="3"/>
  <c r="B2913" i="3"/>
  <c r="C2913" i="3"/>
  <c r="B2914" i="3"/>
  <c r="C2914" i="3"/>
  <c r="B2915" i="3"/>
  <c r="C2915" i="3"/>
  <c r="B2916" i="3"/>
  <c r="C2916" i="3"/>
  <c r="B2917" i="3"/>
  <c r="C2917" i="3"/>
  <c r="B2918" i="3"/>
  <c r="C2918" i="3"/>
  <c r="B2919" i="3"/>
  <c r="C2919" i="3"/>
  <c r="B2920" i="3"/>
  <c r="C2920" i="3"/>
  <c r="B2921" i="3"/>
  <c r="C2921" i="3"/>
  <c r="B2922" i="3"/>
  <c r="C2922" i="3"/>
  <c r="B2923" i="3"/>
  <c r="C2923" i="3"/>
  <c r="B2924" i="3"/>
  <c r="C2924" i="3"/>
  <c r="B2925" i="3"/>
  <c r="C2925" i="3"/>
  <c r="B2926" i="3"/>
  <c r="C2926" i="3"/>
  <c r="B2927" i="3"/>
  <c r="C2927" i="3"/>
  <c r="C2928" i="3"/>
  <c r="B2928" i="3"/>
  <c r="C2929" i="3"/>
  <c r="C2930" i="3"/>
  <c r="C2931" i="3"/>
  <c r="C2932" i="3"/>
  <c r="C2933" i="3"/>
  <c r="B2929" i="3"/>
  <c r="B2930" i="3"/>
  <c r="B2931" i="3"/>
  <c r="B2932" i="3"/>
  <c r="B2933" i="3"/>
  <c r="B2936" i="3"/>
  <c r="C2936" i="3"/>
  <c r="B2937" i="3"/>
  <c r="C2937" i="3"/>
  <c r="B2938" i="3"/>
  <c r="C2938" i="3"/>
  <c r="B2939" i="3"/>
  <c r="C2939" i="3"/>
  <c r="B2940" i="3"/>
  <c r="C2940" i="3"/>
  <c r="B2941" i="3"/>
  <c r="C2941" i="3"/>
  <c r="B2942" i="3"/>
  <c r="C2942" i="3"/>
  <c r="B2943" i="3"/>
  <c r="C2943" i="3"/>
  <c r="B2944" i="3"/>
  <c r="C2944" i="3"/>
  <c r="B2945" i="3"/>
  <c r="C2945" i="3"/>
  <c r="B2946" i="3"/>
  <c r="C2946" i="3"/>
  <c r="B2947" i="3"/>
  <c r="C2947" i="3"/>
  <c r="B2948" i="3"/>
  <c r="C2948" i="3"/>
  <c r="B2949" i="3"/>
  <c r="C2949" i="3"/>
  <c r="C2950" i="3"/>
  <c r="B2950" i="3"/>
  <c r="B2951" i="3"/>
  <c r="C2951" i="3"/>
  <c r="B2952" i="3"/>
  <c r="C2952" i="3"/>
  <c r="B2953" i="3"/>
  <c r="C2953" i="3"/>
  <c r="B2954" i="3"/>
  <c r="C2954" i="3"/>
  <c r="B2955" i="3"/>
  <c r="C2955" i="3"/>
  <c r="B2956" i="3"/>
  <c r="C2956" i="3"/>
  <c r="B2957" i="3"/>
  <c r="C2957" i="3"/>
  <c r="B2958" i="3"/>
  <c r="C2958" i="3"/>
  <c r="B2959" i="3"/>
  <c r="C2959" i="3"/>
  <c r="B2960" i="3"/>
  <c r="C2960" i="3"/>
  <c r="B2961" i="3"/>
  <c r="C2961" i="3"/>
  <c r="B2962" i="3"/>
  <c r="C2962" i="3"/>
  <c r="B2963" i="3"/>
  <c r="C2963" i="3"/>
  <c r="B2964" i="3"/>
  <c r="C2964" i="3"/>
  <c r="B2965" i="3"/>
  <c r="C2965" i="3"/>
  <c r="B2966" i="3"/>
  <c r="C2966" i="3"/>
  <c r="B2967" i="3"/>
  <c r="C2967" i="3"/>
  <c r="B2968" i="3"/>
  <c r="C2968" i="3"/>
  <c r="B2969" i="3"/>
  <c r="C2969" i="3"/>
  <c r="B2970" i="3"/>
  <c r="C2970" i="3"/>
  <c r="B2971" i="3"/>
  <c r="C2971" i="3"/>
  <c r="B2972" i="3"/>
  <c r="C2972" i="3"/>
  <c r="B2973" i="3"/>
  <c r="C2973" i="3"/>
  <c r="B2974" i="3"/>
  <c r="C2974" i="3"/>
  <c r="B2975" i="3"/>
  <c r="C2975" i="3"/>
  <c r="B2976" i="3"/>
  <c r="C2976" i="3"/>
  <c r="B2977" i="3"/>
  <c r="C2977" i="3"/>
  <c r="B2978" i="3"/>
  <c r="C2978" i="3"/>
  <c r="B2979" i="3"/>
  <c r="C2979" i="3"/>
  <c r="B2980" i="3"/>
  <c r="C2980" i="3"/>
  <c r="B2981" i="3"/>
  <c r="C2981" i="3"/>
  <c r="B2982" i="3"/>
  <c r="C2982" i="3"/>
  <c r="B2983" i="3"/>
  <c r="C2983" i="3"/>
  <c r="B2984" i="3"/>
  <c r="C2984" i="3"/>
  <c r="B2985" i="3"/>
  <c r="C2985" i="3"/>
  <c r="B2986" i="3"/>
  <c r="C2986" i="3"/>
  <c r="B2987" i="3"/>
  <c r="C2987" i="3"/>
  <c r="B2988" i="3"/>
  <c r="C2988" i="3"/>
  <c r="B2989" i="3"/>
  <c r="C2989" i="3"/>
  <c r="B2990" i="3"/>
  <c r="C2990" i="3"/>
  <c r="B2991" i="3"/>
  <c r="C2991" i="3"/>
  <c r="B2992" i="3"/>
  <c r="C2992" i="3"/>
  <c r="B2993" i="3"/>
  <c r="C2993" i="3"/>
  <c r="B2994" i="3"/>
  <c r="C2994" i="3"/>
  <c r="B2995" i="3"/>
  <c r="C2995" i="3"/>
  <c r="B2996" i="3"/>
  <c r="C2996" i="3"/>
  <c r="B2997" i="3"/>
  <c r="C2997" i="3"/>
  <c r="B2998" i="3"/>
  <c r="C2998" i="3"/>
  <c r="B2999" i="3"/>
  <c r="C2999" i="3"/>
  <c r="B3000" i="3"/>
  <c r="C3000" i="3"/>
  <c r="B3001" i="3"/>
  <c r="C3001" i="3"/>
  <c r="B3002" i="3"/>
  <c r="C3002" i="3"/>
  <c r="B3003" i="3"/>
  <c r="C3003" i="3"/>
  <c r="B3004" i="3"/>
  <c r="C3004" i="3"/>
  <c r="B3005" i="3"/>
  <c r="C3005" i="3"/>
  <c r="B3006" i="3"/>
  <c r="C3006" i="3"/>
  <c r="B3007" i="3"/>
  <c r="C3007" i="3"/>
  <c r="B3008" i="3"/>
  <c r="C3008" i="3"/>
  <c r="B3009" i="3"/>
  <c r="C3009" i="3"/>
  <c r="B3010" i="3"/>
  <c r="C3010" i="3"/>
  <c r="B3011" i="3"/>
  <c r="C3011" i="3"/>
  <c r="B3012" i="3"/>
  <c r="C3012" i="3"/>
  <c r="B3013" i="3"/>
  <c r="C3013" i="3"/>
  <c r="B3014" i="3"/>
  <c r="C3014" i="3"/>
  <c r="B3015" i="3"/>
  <c r="C3015" i="3"/>
  <c r="B3016" i="3"/>
  <c r="C3016" i="3"/>
  <c r="B3017" i="3"/>
  <c r="C3017" i="3"/>
  <c r="B3018" i="3"/>
  <c r="C3018" i="3"/>
  <c r="B3019" i="3"/>
  <c r="C3019" i="3"/>
  <c r="B3020" i="3"/>
  <c r="C3020" i="3"/>
  <c r="B3021" i="3"/>
  <c r="C3021" i="3"/>
  <c r="B3022" i="3"/>
  <c r="C3022" i="3"/>
  <c r="B3023" i="3"/>
  <c r="C3023" i="3"/>
  <c r="B3024" i="3"/>
  <c r="C3024" i="3"/>
  <c r="C3025" i="3"/>
  <c r="B3025" i="3"/>
  <c r="B3026" i="3"/>
  <c r="C3026" i="3"/>
  <c r="B3027" i="3"/>
  <c r="C3027" i="3"/>
  <c r="B3028" i="3"/>
  <c r="C3028" i="3"/>
  <c r="B3029" i="3"/>
  <c r="C3029" i="3"/>
  <c r="B3030" i="3"/>
  <c r="C3030" i="3"/>
  <c r="B3031" i="3"/>
  <c r="C3031" i="3"/>
  <c r="B3032" i="3"/>
  <c r="C3032" i="3"/>
  <c r="B3033" i="3"/>
  <c r="C3033" i="3"/>
  <c r="B3034" i="3"/>
  <c r="C3034" i="3"/>
  <c r="B3035" i="3"/>
  <c r="C3035" i="3"/>
  <c r="B3036" i="3"/>
  <c r="C3036" i="3"/>
  <c r="B3037" i="3"/>
  <c r="C3037" i="3"/>
  <c r="B3038" i="3"/>
  <c r="C3038" i="3"/>
  <c r="B3039" i="3"/>
  <c r="C3039" i="3"/>
  <c r="B3040" i="3"/>
  <c r="C3040" i="3"/>
  <c r="B3041" i="3"/>
  <c r="C3041" i="3"/>
  <c r="B3042" i="3"/>
  <c r="C3042" i="3"/>
  <c r="B3043" i="3"/>
  <c r="C3043" i="3"/>
  <c r="B3044" i="3"/>
  <c r="C3044" i="3"/>
  <c r="B3045" i="3"/>
  <c r="C3045" i="3"/>
  <c r="B3046" i="3"/>
  <c r="C3046" i="3"/>
  <c r="B3047" i="3"/>
  <c r="C3047" i="3"/>
  <c r="B3048" i="3"/>
  <c r="C3048" i="3"/>
  <c r="B3049" i="3"/>
  <c r="C3049" i="3"/>
  <c r="B3050" i="3"/>
  <c r="C3050" i="3"/>
  <c r="B3051" i="3"/>
  <c r="C3051" i="3"/>
  <c r="B3052" i="3"/>
  <c r="C3052" i="3"/>
  <c r="B3053" i="3"/>
  <c r="C3053" i="3"/>
  <c r="B3054" i="3"/>
  <c r="C3054" i="3"/>
  <c r="B3055" i="3"/>
  <c r="C3055" i="3"/>
  <c r="B3056" i="3"/>
  <c r="C3056" i="3"/>
  <c r="B3057" i="3"/>
  <c r="C3057" i="3"/>
  <c r="B3058" i="3"/>
  <c r="C3058" i="3"/>
  <c r="B3059" i="3"/>
  <c r="C3059" i="3"/>
  <c r="B3060" i="3"/>
  <c r="C3060" i="3"/>
  <c r="B3061" i="3"/>
  <c r="C3061" i="3"/>
  <c r="B3062" i="3"/>
  <c r="C3062" i="3"/>
  <c r="B3063" i="3"/>
  <c r="C3063" i="3"/>
  <c r="B3064" i="3"/>
  <c r="C3064" i="3"/>
  <c r="B3065" i="3"/>
  <c r="C3065" i="3"/>
  <c r="B3066" i="3"/>
  <c r="C3066" i="3"/>
  <c r="B3067" i="3"/>
  <c r="C3067" i="3"/>
  <c r="B3068" i="3"/>
  <c r="C3068" i="3"/>
  <c r="B3069" i="3"/>
  <c r="C3069" i="3"/>
  <c r="C3070" i="3"/>
  <c r="B3070" i="3"/>
  <c r="B3071" i="3"/>
  <c r="C3071" i="3"/>
  <c r="B3072" i="3"/>
  <c r="C3072" i="3"/>
  <c r="B3073" i="3"/>
  <c r="C3073" i="3"/>
  <c r="B3074" i="3"/>
  <c r="C3074" i="3"/>
  <c r="B3075" i="3"/>
  <c r="C3075" i="3"/>
  <c r="B3076" i="3"/>
  <c r="C3076" i="3"/>
  <c r="B3077" i="3"/>
  <c r="C3077" i="3"/>
  <c r="B3078" i="3"/>
  <c r="C3078" i="3"/>
  <c r="B3079" i="3"/>
  <c r="C3079" i="3"/>
  <c r="B3080" i="3"/>
  <c r="C3080" i="3"/>
  <c r="B3081" i="3"/>
  <c r="C3081" i="3"/>
  <c r="B3082" i="3"/>
  <c r="C3082" i="3"/>
  <c r="B3083" i="3"/>
  <c r="C3083" i="3"/>
  <c r="B3084" i="3"/>
  <c r="C3084" i="3"/>
  <c r="B3085" i="3"/>
  <c r="C3085" i="3"/>
  <c r="B3086" i="3"/>
  <c r="C3086" i="3"/>
  <c r="B3087" i="3"/>
  <c r="C3087" i="3"/>
  <c r="B3088" i="3"/>
  <c r="C3088" i="3"/>
  <c r="B3089" i="3"/>
  <c r="C3089" i="3"/>
  <c r="B3090" i="3"/>
  <c r="C3090" i="3"/>
  <c r="B3091" i="3"/>
  <c r="C3091" i="3"/>
  <c r="B3092" i="3"/>
  <c r="C3092" i="3"/>
  <c r="B3093" i="3"/>
  <c r="C3093" i="3"/>
  <c r="B3094" i="3"/>
  <c r="C3094" i="3"/>
  <c r="B3095" i="3"/>
  <c r="C3095" i="3"/>
  <c r="B3096" i="3"/>
  <c r="C3096" i="3"/>
  <c r="B3097" i="3"/>
  <c r="C3097" i="3"/>
  <c r="B3098" i="3"/>
  <c r="C3098" i="3"/>
  <c r="B3099" i="3"/>
  <c r="C3099" i="3"/>
  <c r="B3100" i="3"/>
  <c r="C3100" i="3"/>
  <c r="B3101" i="3"/>
  <c r="C3101" i="3"/>
  <c r="B3102" i="3"/>
  <c r="C3102" i="3"/>
  <c r="B3103" i="3"/>
  <c r="C3103" i="3"/>
  <c r="B3104" i="3"/>
  <c r="C3104" i="3"/>
  <c r="B3105" i="3"/>
  <c r="C3105" i="3"/>
  <c r="B3106" i="3"/>
  <c r="C3106" i="3"/>
  <c r="B3107" i="3"/>
  <c r="C3107" i="3"/>
  <c r="B3108" i="3"/>
  <c r="C3108" i="3"/>
  <c r="B3109" i="3"/>
  <c r="C3109" i="3"/>
  <c r="B3110" i="3"/>
  <c r="C3110" i="3"/>
  <c r="B3111" i="3"/>
  <c r="C3111" i="3"/>
  <c r="B3112" i="3"/>
  <c r="C3112" i="3"/>
  <c r="B3113" i="3"/>
  <c r="C3113" i="3"/>
  <c r="B3114" i="3"/>
  <c r="C3114" i="3"/>
  <c r="B3115" i="3"/>
  <c r="C3115" i="3"/>
  <c r="B3116" i="3"/>
  <c r="C3116" i="3"/>
  <c r="B3117" i="3"/>
  <c r="C3117" i="3"/>
  <c r="B3118" i="3"/>
  <c r="C3118" i="3"/>
  <c r="B3119" i="3"/>
  <c r="C3119" i="3"/>
  <c r="B3120" i="3"/>
  <c r="C3120" i="3"/>
  <c r="B3121" i="3"/>
  <c r="C3121" i="3"/>
  <c r="B3122" i="3"/>
  <c r="C3122" i="3"/>
  <c r="B3123" i="3"/>
  <c r="C3123" i="3"/>
  <c r="B3124" i="3"/>
  <c r="C3124" i="3"/>
  <c r="B3125" i="3"/>
  <c r="C3125" i="3"/>
  <c r="B3126" i="3"/>
  <c r="C3126" i="3"/>
  <c r="B3127" i="3"/>
  <c r="C3127" i="3"/>
  <c r="B3128" i="3"/>
  <c r="C3128" i="3"/>
  <c r="B3129" i="3"/>
  <c r="C3129" i="3"/>
  <c r="C3130" i="3"/>
  <c r="B3130" i="3"/>
  <c r="B3131" i="3"/>
  <c r="C3131" i="3"/>
  <c r="B3132" i="3"/>
  <c r="C3132" i="3"/>
  <c r="B3133" i="3"/>
  <c r="C3133" i="3"/>
  <c r="B3134" i="3"/>
  <c r="C3134" i="3"/>
  <c r="B3135" i="3"/>
  <c r="C3135" i="3"/>
  <c r="B3136" i="3"/>
  <c r="C3136" i="3"/>
  <c r="B3137" i="3"/>
  <c r="C3137" i="3"/>
  <c r="B3138" i="3"/>
  <c r="C3138" i="3"/>
  <c r="B3139" i="3"/>
  <c r="C3139" i="3"/>
  <c r="B3140" i="3"/>
  <c r="C3140" i="3"/>
  <c r="B3141" i="3"/>
  <c r="C3141" i="3"/>
  <c r="B3142" i="3"/>
  <c r="C3142" i="3"/>
  <c r="B3143" i="3"/>
  <c r="C3143" i="3"/>
  <c r="B3144" i="3"/>
  <c r="C3144" i="3"/>
  <c r="B3145" i="3"/>
  <c r="C3145" i="3"/>
  <c r="B3146" i="3"/>
  <c r="C3146" i="3"/>
  <c r="B3147" i="3"/>
  <c r="C3147" i="3"/>
  <c r="B3148" i="3"/>
  <c r="C3148" i="3"/>
  <c r="B3149" i="3"/>
  <c r="C3149" i="3"/>
  <c r="B3150" i="3"/>
  <c r="C3150" i="3"/>
  <c r="B3151" i="3"/>
  <c r="C3151" i="3"/>
  <c r="B3152" i="3"/>
  <c r="C3152" i="3"/>
  <c r="B3153" i="3"/>
  <c r="C3153" i="3"/>
  <c r="B3154" i="3"/>
  <c r="C3154" i="3"/>
  <c r="B3155" i="3"/>
  <c r="C3155" i="3"/>
  <c r="B3156" i="3"/>
  <c r="C3156" i="3"/>
  <c r="B3157" i="3"/>
  <c r="C3157" i="3"/>
  <c r="B3158" i="3"/>
  <c r="C3158" i="3"/>
  <c r="B3159" i="3"/>
  <c r="C3159" i="3"/>
  <c r="B3160" i="3"/>
  <c r="C3160" i="3"/>
  <c r="B3161" i="3"/>
  <c r="C3161" i="3"/>
  <c r="B3162" i="3"/>
  <c r="C3162" i="3"/>
  <c r="B3163" i="3"/>
  <c r="C3163" i="3"/>
  <c r="B3164" i="3"/>
  <c r="C3164" i="3"/>
  <c r="B3165" i="3"/>
  <c r="C3165" i="3"/>
  <c r="B3166" i="3"/>
  <c r="C3166" i="3"/>
  <c r="B3167" i="3"/>
  <c r="C3167" i="3"/>
  <c r="B3168" i="3"/>
  <c r="C3168" i="3"/>
  <c r="B3169" i="3"/>
  <c r="C3169" i="3"/>
  <c r="B3170" i="3"/>
  <c r="C3170" i="3"/>
  <c r="B3171" i="3"/>
  <c r="C3171" i="3"/>
  <c r="B3172" i="3"/>
  <c r="C3172" i="3"/>
  <c r="B3173" i="3"/>
  <c r="C3173" i="3"/>
  <c r="B3174" i="3"/>
  <c r="C3174" i="3"/>
  <c r="B3175" i="3"/>
  <c r="C3175" i="3"/>
  <c r="B3176" i="3"/>
  <c r="C3176" i="3"/>
  <c r="B3177" i="3"/>
  <c r="C3177" i="3"/>
  <c r="B3178" i="3"/>
  <c r="C3178" i="3"/>
  <c r="B3179" i="3"/>
  <c r="C3179" i="3"/>
  <c r="B3180" i="3"/>
  <c r="C3180" i="3"/>
  <c r="B3181" i="3"/>
  <c r="C3181" i="3"/>
  <c r="B3182" i="3"/>
  <c r="C3182" i="3"/>
  <c r="B3183" i="3"/>
  <c r="C3183" i="3"/>
  <c r="B3184" i="3"/>
  <c r="C3184" i="3"/>
  <c r="B3185" i="3"/>
  <c r="C3185" i="3"/>
  <c r="B3186" i="3"/>
  <c r="C3186" i="3"/>
  <c r="B3187" i="3"/>
  <c r="C3187" i="3"/>
  <c r="B3188" i="3"/>
  <c r="C3188" i="3"/>
  <c r="B3189" i="3"/>
  <c r="C3189" i="3"/>
  <c r="C3190" i="3"/>
  <c r="B3190" i="3"/>
  <c r="B3191" i="3"/>
  <c r="C3191" i="3"/>
  <c r="B3192" i="3"/>
  <c r="C3192" i="3"/>
  <c r="B3193" i="3"/>
  <c r="C3193" i="3"/>
  <c r="B3194" i="3"/>
  <c r="C3194" i="3"/>
  <c r="B3195" i="3"/>
  <c r="C3195" i="3"/>
  <c r="B3196" i="3"/>
  <c r="C3196" i="3"/>
  <c r="B3197" i="3"/>
  <c r="C3197" i="3"/>
  <c r="B3198" i="3"/>
  <c r="C3198" i="3"/>
  <c r="B3199" i="3"/>
  <c r="C3199" i="3"/>
  <c r="B3200" i="3"/>
  <c r="C3200" i="3"/>
  <c r="B3201" i="3"/>
  <c r="C3201" i="3"/>
  <c r="B3202" i="3"/>
  <c r="C3202" i="3"/>
  <c r="B3203" i="3"/>
  <c r="C3203" i="3"/>
  <c r="B3204" i="3"/>
  <c r="C3204" i="3"/>
  <c r="B3205" i="3"/>
  <c r="C3205" i="3"/>
  <c r="B3206" i="3"/>
  <c r="C3206" i="3"/>
  <c r="B3207" i="3"/>
  <c r="C3207" i="3"/>
  <c r="B3208" i="3"/>
  <c r="C3208" i="3"/>
  <c r="B3209" i="3"/>
  <c r="C3209" i="3"/>
  <c r="B3210" i="3"/>
  <c r="C3210" i="3"/>
  <c r="B3211" i="3"/>
  <c r="C3211" i="3"/>
  <c r="B3212" i="3"/>
  <c r="C3212" i="3"/>
  <c r="B3213" i="3"/>
  <c r="C3213" i="3"/>
  <c r="B3214" i="3"/>
  <c r="C3214" i="3"/>
  <c r="B3215" i="3"/>
  <c r="C3215" i="3"/>
  <c r="B3216" i="3"/>
  <c r="C3216" i="3"/>
  <c r="B3217" i="3"/>
  <c r="C3217" i="3"/>
  <c r="B3218" i="3"/>
  <c r="C3218" i="3"/>
  <c r="B3219" i="3"/>
  <c r="C3219" i="3"/>
  <c r="B3220" i="3"/>
  <c r="C3220" i="3"/>
  <c r="B3221" i="3"/>
  <c r="C3221" i="3"/>
  <c r="B3222" i="3"/>
  <c r="C3222" i="3"/>
  <c r="B3223" i="3"/>
  <c r="C3223" i="3"/>
  <c r="B3224" i="3"/>
  <c r="C3224" i="3"/>
  <c r="B3225" i="3"/>
  <c r="C3225" i="3"/>
  <c r="B3226" i="3"/>
  <c r="C3226" i="3"/>
  <c r="B3227" i="3"/>
  <c r="C3227" i="3"/>
  <c r="B3228" i="3"/>
  <c r="C3228" i="3"/>
  <c r="B3229" i="3"/>
  <c r="C3229" i="3"/>
  <c r="B3230" i="3"/>
  <c r="C3230" i="3"/>
  <c r="B3231" i="3"/>
  <c r="C3231" i="3"/>
  <c r="B3232" i="3"/>
  <c r="C3232" i="3"/>
  <c r="B3233" i="3"/>
  <c r="C3233" i="3"/>
  <c r="B3234" i="3"/>
  <c r="C3234" i="3"/>
  <c r="B3235" i="3"/>
  <c r="C3235" i="3"/>
  <c r="B3236" i="3"/>
  <c r="C3236" i="3"/>
  <c r="B3237" i="3"/>
  <c r="C3237" i="3"/>
  <c r="B3238" i="3"/>
  <c r="C3238" i="3"/>
  <c r="B3239" i="3"/>
  <c r="C3239" i="3"/>
  <c r="B3240" i="3"/>
  <c r="C3240" i="3"/>
  <c r="B3241" i="3"/>
  <c r="C3241" i="3"/>
  <c r="B3242" i="3"/>
  <c r="C3242" i="3"/>
  <c r="B3243" i="3"/>
  <c r="C3243" i="3"/>
  <c r="B3244" i="3"/>
  <c r="C3244" i="3"/>
  <c r="B3245" i="3"/>
  <c r="C3245" i="3"/>
  <c r="B3246" i="3"/>
  <c r="C3246" i="3"/>
  <c r="B3247" i="3"/>
  <c r="C3247" i="3"/>
  <c r="B3248" i="3"/>
  <c r="C3248" i="3"/>
  <c r="B3249" i="3"/>
  <c r="C3249" i="3"/>
  <c r="C3250" i="3"/>
  <c r="B3250" i="3"/>
  <c r="B3251" i="3"/>
  <c r="C3251" i="3"/>
  <c r="B3252" i="3"/>
  <c r="C3252" i="3"/>
  <c r="B3253" i="3"/>
  <c r="C3253" i="3"/>
  <c r="B3254" i="3"/>
  <c r="C3254" i="3"/>
  <c r="B3255" i="3"/>
  <c r="C3255" i="3"/>
  <c r="B3256" i="3"/>
  <c r="C3256" i="3"/>
  <c r="B3257" i="3"/>
  <c r="C3257" i="3"/>
  <c r="B3258" i="3"/>
  <c r="C3258" i="3"/>
  <c r="B3259" i="3"/>
  <c r="C3259" i="3"/>
  <c r="B3260" i="3"/>
  <c r="C3260" i="3"/>
  <c r="B3261" i="3"/>
  <c r="C3261" i="3"/>
  <c r="B3262" i="3"/>
  <c r="C3262" i="3"/>
  <c r="B3263" i="3"/>
  <c r="C3263" i="3"/>
  <c r="B3264" i="3"/>
  <c r="C3264" i="3"/>
  <c r="B3265" i="3"/>
  <c r="C3265" i="3"/>
  <c r="B3266" i="3"/>
  <c r="C3266" i="3"/>
  <c r="B3267" i="3"/>
  <c r="C3267" i="3"/>
  <c r="B3268" i="3"/>
  <c r="C3268" i="3"/>
  <c r="B3269" i="3"/>
  <c r="C3269" i="3"/>
  <c r="B3270" i="3"/>
  <c r="C3270" i="3"/>
  <c r="B3271" i="3"/>
  <c r="C3271" i="3"/>
  <c r="B3272" i="3"/>
  <c r="C3272" i="3"/>
  <c r="B3273" i="3"/>
  <c r="C3273" i="3"/>
  <c r="B3274" i="3"/>
  <c r="C3274" i="3"/>
  <c r="B3275" i="3"/>
  <c r="C3275" i="3"/>
  <c r="B3276" i="3"/>
  <c r="C3276" i="3"/>
  <c r="B3277" i="3"/>
  <c r="C3277" i="3"/>
  <c r="B3278" i="3"/>
  <c r="C3278" i="3"/>
  <c r="B3279" i="3"/>
  <c r="C3279" i="3"/>
  <c r="B3280" i="3"/>
  <c r="C3280" i="3"/>
  <c r="B3281" i="3"/>
  <c r="C3281" i="3"/>
  <c r="B3282" i="3"/>
  <c r="C3282" i="3"/>
  <c r="B3283" i="3"/>
  <c r="C3283" i="3"/>
  <c r="B3284" i="3"/>
  <c r="C3284" i="3"/>
  <c r="B3285" i="3"/>
  <c r="C3285" i="3"/>
  <c r="B3286" i="3"/>
  <c r="C3286" i="3"/>
  <c r="B3287" i="3"/>
  <c r="C3287" i="3"/>
  <c r="B3288" i="3"/>
  <c r="C3288" i="3"/>
  <c r="B3289" i="3"/>
  <c r="C3289" i="3"/>
  <c r="B3290" i="3"/>
  <c r="C3290" i="3"/>
  <c r="B3291" i="3"/>
  <c r="C3291" i="3"/>
  <c r="B3292" i="3"/>
  <c r="C3292" i="3"/>
  <c r="B3293" i="3"/>
  <c r="C3293" i="3"/>
  <c r="B3294" i="3"/>
  <c r="C3294" i="3"/>
  <c r="C3295" i="3"/>
  <c r="B3295" i="3"/>
  <c r="B3296" i="3"/>
  <c r="C3296" i="3"/>
  <c r="B3297" i="3"/>
  <c r="C3297" i="3"/>
  <c r="B3298" i="3"/>
  <c r="C3298" i="3"/>
  <c r="B3299" i="3"/>
  <c r="C3299" i="3"/>
  <c r="B3300" i="3"/>
  <c r="C3300" i="3"/>
  <c r="B3301" i="3"/>
  <c r="C3301" i="3"/>
  <c r="B3302" i="3"/>
  <c r="C3302" i="3"/>
  <c r="B3303" i="3"/>
  <c r="C3303" i="3"/>
  <c r="B3304" i="3"/>
  <c r="C3304" i="3"/>
  <c r="B3305" i="3"/>
  <c r="C3305" i="3"/>
  <c r="B3306" i="3"/>
  <c r="C3306" i="3"/>
  <c r="B3307" i="3"/>
  <c r="C3307" i="3"/>
  <c r="B3308" i="3"/>
  <c r="C3308" i="3"/>
  <c r="B3309" i="3"/>
  <c r="C3309" i="3"/>
  <c r="C3310" i="3"/>
  <c r="B3310" i="3"/>
  <c r="B3311" i="3"/>
  <c r="C3311" i="3"/>
  <c r="B3312" i="3"/>
  <c r="C3312" i="3"/>
  <c r="B3313" i="3"/>
  <c r="C3313" i="3"/>
  <c r="B3314" i="3"/>
  <c r="C3314" i="3"/>
  <c r="B3315" i="3"/>
  <c r="C3315" i="3"/>
  <c r="B3316" i="3"/>
  <c r="C3316" i="3"/>
  <c r="B3317" i="3"/>
  <c r="C3317" i="3"/>
  <c r="B3318" i="3"/>
  <c r="C3318" i="3"/>
  <c r="B3319" i="3"/>
  <c r="C3319" i="3"/>
  <c r="B3320" i="3"/>
  <c r="C3320" i="3"/>
  <c r="B3321" i="3"/>
  <c r="C3321" i="3"/>
  <c r="B3322" i="3"/>
  <c r="C3322" i="3"/>
  <c r="B3323" i="3"/>
  <c r="C3323" i="3"/>
  <c r="B3324" i="3"/>
  <c r="C3324" i="3"/>
  <c r="B3325" i="3"/>
  <c r="C3325" i="3"/>
  <c r="B3326" i="3"/>
  <c r="C3326" i="3"/>
  <c r="B3327" i="3"/>
  <c r="C3327" i="3"/>
  <c r="B3328" i="3"/>
  <c r="C3328" i="3"/>
  <c r="B3329" i="3"/>
  <c r="C3329" i="3"/>
  <c r="B3330" i="3"/>
  <c r="C3330" i="3"/>
  <c r="B3331" i="3"/>
  <c r="C3331" i="3"/>
  <c r="B3332" i="3"/>
  <c r="C3332" i="3"/>
  <c r="B3333" i="3"/>
  <c r="C3333" i="3"/>
  <c r="B3334" i="3"/>
  <c r="C3334" i="3"/>
  <c r="B3335" i="3"/>
  <c r="C3335" i="3"/>
  <c r="B3336" i="3"/>
  <c r="C3336" i="3"/>
  <c r="B3337" i="3"/>
  <c r="C3337" i="3"/>
  <c r="B3338" i="3"/>
  <c r="C3338" i="3"/>
  <c r="B3339" i="3"/>
  <c r="C3339" i="3"/>
  <c r="B3340" i="3"/>
  <c r="C3340" i="3"/>
  <c r="B3341" i="3"/>
  <c r="C3341" i="3"/>
  <c r="B3342" i="3"/>
  <c r="C3342" i="3"/>
  <c r="B3343" i="3"/>
  <c r="C3343" i="3"/>
  <c r="B3344" i="3"/>
  <c r="C3344" i="3"/>
  <c r="B3345" i="3"/>
  <c r="C3345" i="3"/>
  <c r="B3346" i="3"/>
  <c r="C3346" i="3"/>
  <c r="B3347" i="3"/>
  <c r="C3347" i="3"/>
  <c r="B3348" i="3"/>
  <c r="C3348" i="3"/>
  <c r="B3349" i="3"/>
  <c r="C3349" i="3"/>
  <c r="B3350" i="3"/>
  <c r="C3350" i="3"/>
  <c r="B3351" i="3"/>
  <c r="C3351" i="3"/>
  <c r="B3352" i="3"/>
  <c r="C3352" i="3"/>
  <c r="B3353" i="3"/>
  <c r="C3353" i="3"/>
  <c r="B3354" i="3"/>
  <c r="C3354" i="3"/>
  <c r="C3355" i="3"/>
  <c r="B3355" i="3"/>
  <c r="B3401" i="3"/>
  <c r="C3401" i="3"/>
  <c r="B3402" i="3"/>
  <c r="C3402" i="3"/>
  <c r="B3403" i="3"/>
  <c r="C3403" i="3"/>
  <c r="B3404" i="3"/>
  <c r="C3404" i="3"/>
  <c r="B3405" i="3"/>
  <c r="C3405" i="3"/>
  <c r="B3406" i="3"/>
  <c r="C3406" i="3"/>
  <c r="B3407" i="3"/>
  <c r="C3407" i="3"/>
  <c r="B3408" i="3"/>
  <c r="C3408" i="3"/>
  <c r="B3409" i="3"/>
  <c r="C3409" i="3"/>
  <c r="B3410" i="3"/>
  <c r="C3410" i="3"/>
  <c r="B3411" i="3"/>
  <c r="C3411" i="3"/>
  <c r="B3412" i="3"/>
  <c r="C3412" i="3"/>
  <c r="B3413" i="3"/>
  <c r="C3413" i="3"/>
  <c r="B3414" i="3"/>
  <c r="C3414" i="3"/>
  <c r="B3415" i="3"/>
  <c r="C3415" i="3"/>
  <c r="B3416" i="3"/>
  <c r="C3416" i="3"/>
  <c r="B3417" i="3"/>
  <c r="C3417" i="3"/>
  <c r="B3418" i="3"/>
  <c r="C3418" i="3"/>
  <c r="B3419" i="3"/>
  <c r="C3419" i="3"/>
  <c r="B3420" i="3"/>
  <c r="C3420" i="3"/>
  <c r="B3421" i="3"/>
  <c r="C3421" i="3"/>
  <c r="B3422" i="3"/>
  <c r="C3422" i="3"/>
  <c r="B3423" i="3"/>
  <c r="C3423" i="3"/>
  <c r="B3424" i="3"/>
  <c r="C3424" i="3"/>
  <c r="B3425" i="3"/>
  <c r="C3425" i="3"/>
  <c r="B3426" i="3"/>
  <c r="C3426" i="3"/>
  <c r="B3427" i="3"/>
  <c r="C3427" i="3"/>
  <c r="B3428" i="3"/>
  <c r="C3428" i="3"/>
  <c r="B3429" i="3"/>
  <c r="C3429" i="3"/>
  <c r="B3430" i="3"/>
  <c r="C3430" i="3"/>
  <c r="B3431" i="3"/>
  <c r="C3431" i="3"/>
  <c r="B3432" i="3"/>
  <c r="C3432" i="3"/>
  <c r="B3433" i="3"/>
  <c r="C3433" i="3"/>
  <c r="B3434" i="3"/>
  <c r="C3434" i="3"/>
  <c r="B3435" i="3"/>
  <c r="C3435" i="3"/>
  <c r="B3436" i="3"/>
  <c r="C3436" i="3"/>
  <c r="B3437" i="3"/>
  <c r="C3437" i="3"/>
  <c r="B3438" i="3"/>
  <c r="C3438" i="3"/>
  <c r="B3439" i="3"/>
  <c r="C3439" i="3"/>
  <c r="B3440" i="3"/>
  <c r="C3440" i="3"/>
  <c r="B3441" i="3"/>
  <c r="C3441" i="3"/>
  <c r="B3442" i="3"/>
  <c r="C3442" i="3"/>
  <c r="B3443" i="3"/>
  <c r="C3443" i="3"/>
  <c r="B3444" i="3"/>
  <c r="C3444" i="3"/>
  <c r="C3445" i="3"/>
  <c r="B3445" i="3"/>
  <c r="B3491" i="3"/>
  <c r="C3491" i="3"/>
  <c r="B3492" i="3"/>
  <c r="C3492" i="3"/>
  <c r="B3493" i="3"/>
  <c r="C3493" i="3"/>
  <c r="B3494" i="3"/>
  <c r="C3494" i="3"/>
  <c r="B3495" i="3"/>
  <c r="C3495" i="3"/>
  <c r="B3496" i="3"/>
  <c r="C3496" i="3"/>
  <c r="B3497" i="3"/>
  <c r="C3497" i="3"/>
  <c r="B3498" i="3"/>
  <c r="C3498" i="3"/>
  <c r="B3499" i="3"/>
  <c r="C3499" i="3"/>
  <c r="B3500" i="3"/>
  <c r="C3500" i="3"/>
  <c r="B3501" i="3"/>
  <c r="C3501" i="3"/>
  <c r="B3502" i="3"/>
  <c r="C3502" i="3"/>
  <c r="B3503" i="3"/>
  <c r="C3503" i="3"/>
  <c r="B3504" i="3"/>
  <c r="C3504" i="3"/>
  <c r="B3505" i="3"/>
  <c r="C3505" i="3"/>
  <c r="B3506" i="3"/>
  <c r="C3506" i="3"/>
  <c r="B3507" i="3"/>
  <c r="C3507" i="3"/>
  <c r="B3508" i="3"/>
  <c r="C3508" i="3"/>
  <c r="B3509" i="3"/>
  <c r="C3509" i="3"/>
  <c r="B3510" i="3"/>
  <c r="C3510" i="3"/>
  <c r="B3511" i="3"/>
  <c r="C3511" i="3"/>
  <c r="B3512" i="3"/>
  <c r="C3512" i="3"/>
  <c r="B3513" i="3"/>
  <c r="C3513" i="3"/>
  <c r="B3514" i="3"/>
  <c r="C3514" i="3"/>
  <c r="B3515" i="3"/>
  <c r="C3515" i="3"/>
  <c r="B3516" i="3"/>
  <c r="C3516" i="3"/>
  <c r="B3517" i="3"/>
  <c r="C3517" i="3"/>
  <c r="B3518" i="3"/>
  <c r="C3518" i="3"/>
  <c r="B3519" i="3"/>
  <c r="C3519" i="3"/>
  <c r="B3520" i="3"/>
  <c r="C3520" i="3"/>
  <c r="B3521" i="3"/>
  <c r="C3521" i="3"/>
  <c r="B3522" i="3"/>
  <c r="C3522" i="3"/>
  <c r="B3523" i="3"/>
  <c r="C3523" i="3"/>
  <c r="B3524" i="3"/>
  <c r="C3524" i="3"/>
  <c r="B3525" i="3"/>
  <c r="C3525" i="3"/>
  <c r="B3526" i="3"/>
  <c r="C3526" i="3"/>
  <c r="B3527" i="3"/>
  <c r="C3527" i="3"/>
  <c r="B3528" i="3"/>
  <c r="C3528" i="3"/>
  <c r="B3529" i="3"/>
  <c r="C3529" i="3"/>
  <c r="B3530" i="3"/>
  <c r="C3530" i="3"/>
  <c r="B3531" i="3"/>
  <c r="C3531" i="3"/>
  <c r="B3532" i="3"/>
  <c r="C3532" i="3"/>
  <c r="B3533" i="3"/>
  <c r="C3533" i="3"/>
  <c r="B3534" i="3"/>
  <c r="C3534" i="3"/>
  <c r="C3535" i="3"/>
  <c r="B3535" i="3"/>
  <c r="B3581" i="3"/>
  <c r="C3581" i="3"/>
  <c r="B3582" i="3"/>
  <c r="C3582" i="3"/>
  <c r="B3583" i="3"/>
  <c r="C3583" i="3"/>
  <c r="B3584" i="3"/>
  <c r="C3584" i="3"/>
  <c r="B3585" i="3"/>
  <c r="C3585" i="3"/>
  <c r="B3586" i="3"/>
  <c r="C3586" i="3"/>
  <c r="B3587" i="3"/>
  <c r="C3587" i="3"/>
  <c r="B3588" i="3"/>
  <c r="C3588" i="3"/>
  <c r="B3589" i="3"/>
  <c r="C3589" i="3"/>
  <c r="B3590" i="3"/>
  <c r="C3590" i="3"/>
  <c r="B3591" i="3"/>
  <c r="C3591" i="3"/>
  <c r="B3592" i="3"/>
  <c r="C3592" i="3"/>
  <c r="B3593" i="3"/>
  <c r="C3593" i="3"/>
  <c r="B3594" i="3"/>
  <c r="C3594" i="3"/>
  <c r="B3595" i="3"/>
  <c r="C3595" i="3"/>
  <c r="B3596" i="3"/>
  <c r="C3596" i="3"/>
  <c r="B3597" i="3"/>
  <c r="C3597" i="3"/>
  <c r="B3598" i="3"/>
  <c r="C3598" i="3"/>
  <c r="B3599" i="3"/>
  <c r="C3599" i="3"/>
  <c r="B3600" i="3"/>
  <c r="C3600" i="3"/>
  <c r="B3601" i="3"/>
  <c r="C3601" i="3"/>
  <c r="B3602" i="3"/>
  <c r="C3602" i="3"/>
  <c r="B3603" i="3"/>
  <c r="C3603" i="3"/>
  <c r="B3604" i="3"/>
  <c r="C3604" i="3"/>
  <c r="B3605" i="3"/>
  <c r="C3605" i="3"/>
  <c r="B3606" i="3"/>
  <c r="C3606" i="3"/>
  <c r="B3607" i="3"/>
  <c r="C3607" i="3"/>
  <c r="B3608" i="3"/>
  <c r="C3608" i="3"/>
  <c r="B3609" i="3"/>
  <c r="C3609" i="3"/>
  <c r="B3610" i="3"/>
  <c r="C3610" i="3"/>
  <c r="B3611" i="3"/>
  <c r="C3611" i="3"/>
  <c r="B3612" i="3"/>
  <c r="C3612" i="3"/>
  <c r="B3613" i="3"/>
  <c r="C3613" i="3"/>
  <c r="B3614" i="3"/>
  <c r="C3614" i="3"/>
  <c r="B3615" i="3"/>
  <c r="C3615" i="3"/>
  <c r="B3616" i="3"/>
  <c r="C3616" i="3"/>
  <c r="B3617" i="3"/>
  <c r="C3617" i="3"/>
  <c r="B3618" i="3"/>
  <c r="C3618" i="3"/>
  <c r="B3619" i="3"/>
  <c r="C3619" i="3"/>
  <c r="B3620" i="3"/>
  <c r="C3620" i="3"/>
  <c r="B3621" i="3"/>
  <c r="C3621" i="3"/>
  <c r="B3622" i="3"/>
  <c r="C3622" i="3"/>
  <c r="B3623" i="3"/>
  <c r="C3623" i="3"/>
  <c r="B3624" i="3"/>
  <c r="C3624" i="3"/>
  <c r="C3625" i="3"/>
  <c r="B3625" i="3"/>
  <c r="B3671" i="3"/>
  <c r="C3671" i="3"/>
  <c r="B3672" i="3"/>
  <c r="C3672" i="3"/>
  <c r="B3673" i="3"/>
  <c r="C3673" i="3"/>
  <c r="B3674" i="3"/>
  <c r="C3674" i="3"/>
  <c r="B3675" i="3"/>
  <c r="C3675" i="3"/>
  <c r="B3676" i="3"/>
  <c r="C3676" i="3"/>
  <c r="B3677" i="3"/>
  <c r="C3677" i="3"/>
  <c r="B3678" i="3"/>
  <c r="C3678" i="3"/>
  <c r="B3679" i="3"/>
  <c r="C3679" i="3"/>
  <c r="B3680" i="3"/>
  <c r="C3680" i="3"/>
  <c r="B3681" i="3"/>
  <c r="C3681" i="3"/>
  <c r="B3682" i="3"/>
  <c r="C3682" i="3"/>
  <c r="B3683" i="3"/>
  <c r="C3683" i="3"/>
  <c r="B3684" i="3"/>
  <c r="C3684" i="3"/>
  <c r="B3685" i="3"/>
  <c r="C3685" i="3"/>
  <c r="B3686" i="3"/>
  <c r="C3686" i="3"/>
  <c r="B3687" i="3"/>
  <c r="C3687" i="3"/>
  <c r="B3688" i="3"/>
  <c r="C3688" i="3"/>
  <c r="B3689" i="3"/>
  <c r="C3689" i="3"/>
  <c r="B3690" i="3"/>
  <c r="C3690" i="3"/>
  <c r="B3691" i="3"/>
  <c r="C3691" i="3"/>
  <c r="B3692" i="3"/>
  <c r="C3692" i="3"/>
  <c r="B3693" i="3"/>
  <c r="C3693" i="3"/>
  <c r="B3694" i="3"/>
  <c r="C3694" i="3"/>
  <c r="B3695" i="3"/>
  <c r="C3695" i="3"/>
  <c r="B3696" i="3"/>
  <c r="C3696" i="3"/>
  <c r="B3697" i="3"/>
  <c r="C3697" i="3"/>
  <c r="B3698" i="3"/>
  <c r="C3698" i="3"/>
  <c r="B3699" i="3"/>
  <c r="C3699" i="3"/>
  <c r="B3700" i="3"/>
  <c r="C3700" i="3"/>
  <c r="B3701" i="3"/>
  <c r="C3701" i="3"/>
  <c r="B3702" i="3"/>
  <c r="C3702" i="3"/>
  <c r="B3703" i="3"/>
  <c r="C3703" i="3"/>
  <c r="B3704" i="3"/>
  <c r="C3704" i="3"/>
  <c r="B3705" i="3"/>
  <c r="C3705" i="3"/>
  <c r="B3706" i="3"/>
  <c r="C3706" i="3"/>
  <c r="B3707" i="3"/>
  <c r="C3707" i="3"/>
  <c r="B3708" i="3"/>
  <c r="C3708" i="3"/>
  <c r="B3709" i="3"/>
  <c r="C3709" i="3"/>
  <c r="B3710" i="3"/>
  <c r="C3710" i="3"/>
  <c r="B3711" i="3"/>
  <c r="C3711" i="3"/>
  <c r="B3712" i="3"/>
  <c r="C3712" i="3"/>
  <c r="B3713" i="3"/>
  <c r="C3713" i="3"/>
  <c r="B3714" i="3"/>
  <c r="C3714" i="3"/>
  <c r="C3715" i="3"/>
  <c r="B3715" i="3"/>
  <c r="B3761" i="3"/>
  <c r="C3761" i="3"/>
  <c r="B3762" i="3"/>
  <c r="C3762" i="3"/>
  <c r="B3763" i="3"/>
  <c r="C3763" i="3"/>
  <c r="B3764" i="3"/>
  <c r="C3764" i="3"/>
  <c r="B3765" i="3"/>
  <c r="C3765" i="3"/>
  <c r="B3766" i="3"/>
  <c r="C3766" i="3"/>
  <c r="B3767" i="3"/>
  <c r="C3767" i="3"/>
  <c r="B3768" i="3"/>
  <c r="C3768" i="3"/>
  <c r="B3769" i="3"/>
  <c r="C3769" i="3"/>
  <c r="B3770" i="3"/>
  <c r="C3770" i="3"/>
  <c r="B3771" i="3"/>
  <c r="C3771" i="3"/>
  <c r="B3772" i="3"/>
  <c r="C3772" i="3"/>
  <c r="B3773" i="3"/>
  <c r="C3773" i="3"/>
  <c r="B3774" i="3"/>
  <c r="C3774" i="3"/>
  <c r="B3775" i="3"/>
  <c r="C3775" i="3"/>
  <c r="B3776" i="3"/>
  <c r="C3776" i="3"/>
  <c r="B3777" i="3"/>
  <c r="C3777" i="3"/>
  <c r="B3778" i="3"/>
  <c r="C3778" i="3"/>
  <c r="B3779" i="3"/>
  <c r="C3779" i="3"/>
  <c r="B3780" i="3"/>
  <c r="C3780" i="3"/>
  <c r="B3781" i="3"/>
  <c r="C3781" i="3"/>
  <c r="B3782" i="3"/>
  <c r="C3782" i="3"/>
  <c r="B3783" i="3"/>
  <c r="C3783" i="3"/>
  <c r="B3784" i="3"/>
  <c r="C3784" i="3"/>
  <c r="B3785" i="3"/>
  <c r="C3785" i="3"/>
  <c r="B3786" i="3"/>
  <c r="C3786" i="3"/>
  <c r="B3787" i="3"/>
  <c r="C3787" i="3"/>
  <c r="B3788" i="3"/>
  <c r="C3788" i="3"/>
  <c r="B3789" i="3"/>
  <c r="C3789" i="3"/>
  <c r="B3790" i="3"/>
  <c r="C3790" i="3"/>
  <c r="B3791" i="3"/>
  <c r="C3791" i="3"/>
  <c r="B3792" i="3"/>
  <c r="C3792" i="3"/>
  <c r="B3793" i="3"/>
  <c r="C3793" i="3"/>
  <c r="B3794" i="3"/>
  <c r="C3794" i="3"/>
  <c r="B3795" i="3"/>
  <c r="C3795" i="3"/>
  <c r="B3796" i="3"/>
  <c r="C3796" i="3"/>
  <c r="B3797" i="3"/>
  <c r="C3797" i="3"/>
  <c r="B3798" i="3"/>
  <c r="C3798" i="3"/>
  <c r="B3799" i="3"/>
  <c r="C3799" i="3"/>
  <c r="B3800" i="3"/>
  <c r="C3800" i="3"/>
  <c r="B3801" i="3"/>
  <c r="C3801" i="3"/>
  <c r="B3802" i="3"/>
  <c r="C3802" i="3"/>
  <c r="B3803" i="3"/>
  <c r="C3803" i="3"/>
  <c r="B3804" i="3"/>
  <c r="C3804" i="3"/>
  <c r="C3805" i="3"/>
  <c r="B3805" i="3"/>
  <c r="B3851" i="3"/>
  <c r="C3851" i="3"/>
  <c r="B3852" i="3"/>
  <c r="C3852" i="3"/>
  <c r="B3853" i="3"/>
  <c r="C3853" i="3"/>
  <c r="B3854" i="3"/>
  <c r="C3854" i="3"/>
  <c r="B3855" i="3"/>
  <c r="C3855" i="3"/>
  <c r="B3856" i="3"/>
  <c r="C3856" i="3"/>
  <c r="B3857" i="3"/>
  <c r="C3857" i="3"/>
  <c r="B3858" i="3"/>
  <c r="C3858" i="3"/>
  <c r="B3859" i="3"/>
  <c r="C3859" i="3"/>
  <c r="B3860" i="3"/>
  <c r="C3860" i="3"/>
  <c r="B3861" i="3"/>
  <c r="C3861" i="3"/>
  <c r="B3862" i="3"/>
  <c r="C3862" i="3"/>
  <c r="B3863" i="3"/>
  <c r="C3863" i="3"/>
  <c r="B3864" i="3"/>
  <c r="C3864" i="3"/>
  <c r="C3865" i="3"/>
  <c r="B3865" i="3"/>
  <c r="B3911" i="3"/>
  <c r="C3911" i="3"/>
  <c r="B3912" i="3"/>
  <c r="C3912" i="3"/>
  <c r="B3913" i="3"/>
  <c r="C3913" i="3"/>
  <c r="B3914" i="3"/>
  <c r="C3914" i="3"/>
  <c r="B3915" i="3"/>
  <c r="C3915" i="3"/>
  <c r="B3916" i="3"/>
  <c r="C3916" i="3"/>
  <c r="B3917" i="3"/>
  <c r="C3917" i="3"/>
  <c r="B3918" i="3"/>
  <c r="C3918" i="3"/>
  <c r="B3919" i="3"/>
  <c r="C3919" i="3"/>
  <c r="B3920" i="3"/>
  <c r="C3920" i="3"/>
  <c r="B3921" i="3"/>
  <c r="C3921" i="3"/>
  <c r="B3922" i="3"/>
  <c r="C3922" i="3"/>
  <c r="B3923" i="3"/>
  <c r="C3923" i="3"/>
  <c r="B3924" i="3"/>
  <c r="C3924" i="3"/>
  <c r="B3925" i="3"/>
  <c r="C3925" i="3"/>
  <c r="B3926" i="3"/>
  <c r="C3926" i="3"/>
  <c r="B3927" i="3"/>
  <c r="C3927" i="3"/>
  <c r="B3928" i="3"/>
  <c r="C3928" i="3"/>
  <c r="B3929" i="3"/>
  <c r="C3929" i="3"/>
  <c r="B3930" i="3"/>
  <c r="C3930" i="3"/>
  <c r="B3931" i="3"/>
  <c r="C3931" i="3"/>
  <c r="B3932" i="3"/>
  <c r="C3932" i="3"/>
  <c r="B3933" i="3"/>
  <c r="C3933" i="3"/>
  <c r="B3934" i="3"/>
  <c r="C3934" i="3"/>
  <c r="B3935" i="3"/>
  <c r="C3935" i="3"/>
  <c r="B3936" i="3"/>
  <c r="C3936" i="3"/>
  <c r="B3937" i="3"/>
  <c r="C3937" i="3"/>
  <c r="B3938" i="3"/>
  <c r="C3938" i="3"/>
  <c r="B3939" i="3"/>
  <c r="C3939" i="3"/>
  <c r="B3940" i="3"/>
  <c r="C3940" i="3"/>
  <c r="B3941" i="3"/>
  <c r="C3941" i="3"/>
  <c r="B3942" i="3"/>
  <c r="C3942" i="3"/>
  <c r="B3943" i="3"/>
  <c r="C3943" i="3"/>
  <c r="B3944" i="3"/>
  <c r="C3944" i="3"/>
  <c r="B3945" i="3"/>
  <c r="C3945" i="3"/>
  <c r="B3946" i="3"/>
  <c r="C3946" i="3"/>
  <c r="B3947" i="3"/>
  <c r="C3947" i="3"/>
  <c r="B3948" i="3"/>
  <c r="C3948" i="3"/>
  <c r="B3949" i="3"/>
  <c r="C3949" i="3"/>
  <c r="B3950" i="3"/>
  <c r="C3950" i="3"/>
  <c r="B3951" i="3"/>
  <c r="C3951" i="3"/>
  <c r="B3952" i="3"/>
  <c r="C3952" i="3"/>
  <c r="B3953" i="3"/>
  <c r="C3953" i="3"/>
  <c r="B3954" i="3"/>
  <c r="C3954" i="3"/>
  <c r="C3955" i="3"/>
  <c r="B3955" i="3"/>
  <c r="B4001" i="3"/>
  <c r="C4001" i="3"/>
  <c r="B4002" i="3"/>
  <c r="C4002" i="3"/>
  <c r="B4003" i="3"/>
  <c r="C4003" i="3"/>
  <c r="B4004" i="3"/>
  <c r="C4004" i="3"/>
  <c r="B4005" i="3"/>
  <c r="C4005" i="3"/>
  <c r="B4006" i="3"/>
  <c r="C4006" i="3"/>
  <c r="B4007" i="3"/>
  <c r="C4007" i="3"/>
  <c r="B4008" i="3"/>
  <c r="C4008" i="3"/>
  <c r="B4009" i="3"/>
  <c r="C4009" i="3"/>
  <c r="B4010" i="3"/>
  <c r="C4010" i="3"/>
  <c r="B4011" i="3"/>
  <c r="C4011" i="3"/>
  <c r="B4012" i="3"/>
  <c r="C4012" i="3"/>
  <c r="B4013" i="3"/>
  <c r="C4013" i="3"/>
  <c r="B4014" i="3"/>
  <c r="C4014" i="3"/>
  <c r="B4015" i="3"/>
  <c r="C4015" i="3"/>
  <c r="B4016" i="3"/>
  <c r="C4016" i="3"/>
  <c r="B4017" i="3"/>
  <c r="C4017" i="3"/>
  <c r="B4018" i="3"/>
  <c r="C4018" i="3"/>
  <c r="B4019" i="3"/>
  <c r="C4019" i="3"/>
  <c r="B4020" i="3"/>
  <c r="C4020" i="3"/>
  <c r="B4021" i="3"/>
  <c r="C4021" i="3"/>
  <c r="B4022" i="3"/>
  <c r="C4022" i="3"/>
  <c r="B4023" i="3"/>
  <c r="C4023" i="3"/>
  <c r="B4024" i="3"/>
  <c r="C4024" i="3"/>
  <c r="B4025" i="3"/>
  <c r="C4025" i="3"/>
  <c r="B4026" i="3"/>
  <c r="C4026" i="3"/>
  <c r="B4027" i="3"/>
  <c r="C4027" i="3"/>
  <c r="B4028" i="3"/>
  <c r="C4028" i="3"/>
  <c r="B4029" i="3"/>
  <c r="C4029" i="3"/>
  <c r="B4030" i="3"/>
  <c r="C4030" i="3"/>
  <c r="B4031" i="3"/>
  <c r="C4031" i="3"/>
  <c r="B4032" i="3"/>
  <c r="C4032" i="3"/>
  <c r="B4033" i="3"/>
  <c r="C4033" i="3"/>
  <c r="B4034" i="3"/>
  <c r="C4034" i="3"/>
  <c r="B4035" i="3"/>
  <c r="C4035" i="3"/>
  <c r="B4036" i="3"/>
  <c r="C4036" i="3"/>
  <c r="B4037" i="3"/>
  <c r="C4037" i="3"/>
  <c r="B4038" i="3"/>
  <c r="C4038" i="3"/>
  <c r="B4039" i="3"/>
  <c r="C4039" i="3"/>
  <c r="B4040" i="3"/>
  <c r="C4040" i="3"/>
  <c r="B4041" i="3"/>
  <c r="C4041" i="3"/>
  <c r="B4042" i="3"/>
  <c r="C4042" i="3"/>
  <c r="B4043" i="3"/>
  <c r="C4043" i="3"/>
  <c r="B4044" i="3"/>
  <c r="C4044" i="3"/>
  <c r="C4045" i="3"/>
  <c r="B4045" i="3"/>
  <c r="B4091" i="3"/>
  <c r="C4091" i="3"/>
  <c r="B4092" i="3"/>
  <c r="C4092" i="3"/>
  <c r="B4093" i="3"/>
  <c r="C4093" i="3"/>
  <c r="B4094" i="3"/>
  <c r="C4094" i="3"/>
  <c r="B4095" i="3"/>
  <c r="C4095" i="3"/>
  <c r="B4096" i="3"/>
  <c r="C4096" i="3"/>
  <c r="B4097" i="3"/>
  <c r="C4097" i="3"/>
  <c r="B4098" i="3"/>
  <c r="C4098" i="3"/>
  <c r="B4099" i="3"/>
  <c r="C4099" i="3"/>
  <c r="B4100" i="3"/>
  <c r="C4100" i="3"/>
  <c r="B4101" i="3"/>
  <c r="C4101" i="3"/>
  <c r="B4102" i="3"/>
  <c r="C4102" i="3"/>
  <c r="B4103" i="3"/>
  <c r="C4103" i="3"/>
  <c r="B4104" i="3"/>
  <c r="C4104" i="3"/>
  <c r="B4105" i="3"/>
  <c r="C4105" i="3"/>
  <c r="B4106" i="3"/>
  <c r="C4106" i="3"/>
  <c r="B4107" i="3"/>
  <c r="C4107" i="3"/>
  <c r="B4108" i="3"/>
  <c r="C4108" i="3"/>
  <c r="B4109" i="3"/>
  <c r="C4109" i="3"/>
  <c r="B4110" i="3"/>
  <c r="C4110" i="3"/>
  <c r="B4111" i="3"/>
  <c r="C4111" i="3"/>
  <c r="B4112" i="3"/>
  <c r="C4112" i="3"/>
  <c r="B4113" i="3"/>
  <c r="C4113" i="3"/>
  <c r="B4114" i="3"/>
  <c r="C4114" i="3"/>
  <c r="B4115" i="3"/>
  <c r="C4115" i="3"/>
  <c r="B4116" i="3"/>
  <c r="C4116" i="3"/>
  <c r="B4117" i="3"/>
  <c r="C4117" i="3"/>
  <c r="B4118" i="3"/>
  <c r="C4118" i="3"/>
  <c r="B4119" i="3"/>
  <c r="C4119" i="3"/>
  <c r="B4120" i="3"/>
  <c r="C4120" i="3"/>
  <c r="B4121" i="3"/>
  <c r="C4121" i="3"/>
  <c r="B4122" i="3"/>
  <c r="C4122" i="3"/>
  <c r="B4123" i="3"/>
  <c r="C4123" i="3"/>
  <c r="B4124" i="3"/>
  <c r="C4124" i="3"/>
  <c r="B4125" i="3"/>
  <c r="C4125" i="3"/>
  <c r="B4126" i="3"/>
  <c r="C4126" i="3"/>
  <c r="B4127" i="3"/>
  <c r="C4127" i="3"/>
  <c r="B4128" i="3"/>
  <c r="C4128" i="3"/>
  <c r="B4129" i="3"/>
  <c r="C4129" i="3"/>
  <c r="B4130" i="3"/>
  <c r="C4130" i="3"/>
  <c r="B4131" i="3"/>
  <c r="C4131" i="3"/>
  <c r="B4132" i="3"/>
  <c r="C4132" i="3"/>
  <c r="B4133" i="3"/>
  <c r="C4133" i="3"/>
  <c r="B4134" i="3"/>
  <c r="C4134" i="3"/>
  <c r="B4135" i="3"/>
  <c r="C4135" i="3"/>
  <c r="B4136" i="3"/>
  <c r="C4136" i="3"/>
  <c r="B4137" i="3"/>
  <c r="C4137" i="3"/>
  <c r="B4138" i="3"/>
  <c r="C4138" i="3"/>
  <c r="B4139" i="3"/>
  <c r="C4139" i="3"/>
  <c r="B4140" i="3"/>
  <c r="C4140" i="3"/>
  <c r="B4141" i="3"/>
  <c r="C4141" i="3"/>
  <c r="B4142" i="3"/>
  <c r="C4142" i="3"/>
  <c r="B4143" i="3"/>
  <c r="C4143" i="3"/>
  <c r="B4144" i="3"/>
  <c r="C4144" i="3"/>
  <c r="B4145" i="3"/>
  <c r="C4145" i="3"/>
  <c r="B4146" i="3"/>
  <c r="C4146" i="3"/>
  <c r="B4147" i="3"/>
  <c r="C4147" i="3"/>
  <c r="B4148" i="3"/>
  <c r="C4148" i="3"/>
  <c r="B4149" i="3"/>
  <c r="C4149" i="3"/>
  <c r="C4150" i="3"/>
  <c r="B4150" i="3"/>
  <c r="B4151" i="3"/>
  <c r="B4152" i="3"/>
  <c r="B4153" i="3"/>
  <c r="B4154" i="3"/>
  <c r="B4155" i="3"/>
  <c r="B4156" i="3"/>
  <c r="B4157" i="3"/>
  <c r="B4158" i="3"/>
  <c r="B4159" i="3"/>
  <c r="B4160" i="3"/>
  <c r="B4161" i="3"/>
  <c r="B4162" i="3"/>
  <c r="B4163" i="3"/>
  <c r="B4164" i="3"/>
  <c r="B4165" i="3"/>
  <c r="B4166" i="3"/>
  <c r="B4167" i="3"/>
  <c r="B4168" i="3"/>
  <c r="B4169" i="3"/>
  <c r="B4170" i="3"/>
  <c r="B4171" i="3"/>
  <c r="B4172" i="3"/>
  <c r="B4173" i="3"/>
  <c r="B4174" i="3"/>
  <c r="B4175" i="3"/>
  <c r="B4176" i="3"/>
  <c r="B4177" i="3"/>
  <c r="B4178" i="3"/>
  <c r="B4179" i="3"/>
  <c r="B4180" i="3"/>
  <c r="B4181" i="3"/>
  <c r="B4182" i="3"/>
  <c r="B4183" i="3"/>
  <c r="B4184" i="3"/>
  <c r="B4185" i="3"/>
  <c r="B4186" i="3"/>
  <c r="B4187" i="3"/>
  <c r="B4188" i="3"/>
  <c r="B4189" i="3"/>
  <c r="B4190" i="3"/>
  <c r="B4191" i="3"/>
  <c r="B4192" i="3"/>
  <c r="B4193" i="3"/>
  <c r="B4194" i="3"/>
  <c r="B4195" i="3"/>
  <c r="B4196" i="3"/>
  <c r="C4196" i="3"/>
  <c r="B4197" i="3"/>
  <c r="C4197" i="3"/>
  <c r="B4198" i="3"/>
  <c r="C4198" i="3"/>
  <c r="B4199" i="3"/>
  <c r="C4199" i="3"/>
  <c r="B4200" i="3"/>
  <c r="C4200" i="3"/>
  <c r="B4201" i="3"/>
  <c r="C4201" i="3"/>
  <c r="B4202" i="3"/>
  <c r="C4202" i="3"/>
  <c r="B4203" i="3"/>
  <c r="C4203" i="3"/>
  <c r="B4204" i="3"/>
  <c r="C4204" i="3"/>
  <c r="B4205" i="3"/>
  <c r="C4205" i="3"/>
  <c r="B4206" i="3"/>
  <c r="C4206" i="3"/>
  <c r="B4207" i="3"/>
  <c r="C4207" i="3"/>
  <c r="B4208" i="3"/>
  <c r="C4208" i="3"/>
  <c r="B4209" i="3"/>
  <c r="C4209" i="3"/>
  <c r="B4210" i="3"/>
  <c r="C4210" i="3"/>
  <c r="B4211" i="3"/>
  <c r="C4211" i="3"/>
  <c r="B4212" i="3"/>
  <c r="C4212" i="3"/>
  <c r="B4213" i="3"/>
  <c r="C4213" i="3"/>
  <c r="B4214" i="3"/>
  <c r="C4214" i="3"/>
  <c r="B4215" i="3"/>
  <c r="C4215" i="3"/>
  <c r="B4216" i="3"/>
  <c r="C4216" i="3"/>
  <c r="B4217" i="3"/>
  <c r="C4217" i="3"/>
  <c r="B4218" i="3"/>
  <c r="C4218" i="3"/>
  <c r="B4219" i="3"/>
  <c r="C4219" i="3"/>
  <c r="B4220" i="3"/>
  <c r="C4220" i="3"/>
  <c r="B4221" i="3"/>
  <c r="C4221" i="3"/>
  <c r="B4222" i="3"/>
  <c r="C4222" i="3"/>
  <c r="B4223" i="3"/>
  <c r="C4223" i="3"/>
  <c r="B4224" i="3"/>
  <c r="C4224" i="3"/>
  <c r="B4225" i="3"/>
  <c r="C4225" i="3"/>
  <c r="B4226" i="3"/>
  <c r="C4226" i="3"/>
  <c r="B4227" i="3"/>
  <c r="C4227" i="3"/>
  <c r="B4228" i="3"/>
  <c r="C4228" i="3"/>
  <c r="B4229" i="3"/>
  <c r="C4229" i="3"/>
  <c r="B4230" i="3"/>
  <c r="C4230" i="3"/>
  <c r="B4231" i="3"/>
  <c r="C4231" i="3"/>
  <c r="B4232" i="3"/>
  <c r="C4232" i="3"/>
  <c r="B4233" i="3"/>
  <c r="C4233" i="3"/>
  <c r="B4234" i="3"/>
  <c r="C4234" i="3"/>
  <c r="B4235" i="3"/>
  <c r="C4235" i="3"/>
  <c r="B4236" i="3"/>
  <c r="C4236" i="3"/>
  <c r="B4237" i="3"/>
  <c r="C4237" i="3"/>
  <c r="B4238" i="3"/>
  <c r="C4238" i="3"/>
  <c r="B4239" i="3"/>
  <c r="C4239" i="3"/>
  <c r="C4240" i="3"/>
  <c r="B4240" i="3"/>
  <c r="B4241" i="3"/>
  <c r="B4242" i="3"/>
  <c r="B4243" i="3"/>
  <c r="B4244" i="3"/>
  <c r="B4245" i="3"/>
  <c r="B4246" i="3"/>
  <c r="B4247" i="3"/>
  <c r="B4248" i="3"/>
  <c r="B4249" i="3"/>
  <c r="B4250" i="3"/>
  <c r="B4251" i="3"/>
  <c r="B4252" i="3"/>
  <c r="B4253" i="3"/>
  <c r="B4254" i="3"/>
  <c r="B4255" i="3"/>
  <c r="B4256" i="3"/>
  <c r="B4257" i="3"/>
  <c r="B4258" i="3"/>
  <c r="B4259" i="3"/>
  <c r="B4260" i="3"/>
  <c r="B4261" i="3"/>
  <c r="B4262" i="3"/>
  <c r="B4263" i="3"/>
  <c r="B4264" i="3"/>
  <c r="B4265" i="3"/>
  <c r="B4266" i="3"/>
  <c r="B4267" i="3"/>
  <c r="B4268" i="3"/>
  <c r="B4269" i="3"/>
  <c r="B4270" i="3"/>
  <c r="B4271" i="3"/>
  <c r="C4271" i="3"/>
  <c r="B4272" i="3"/>
  <c r="C4272" i="3"/>
  <c r="B4273" i="3"/>
  <c r="C4273" i="3"/>
  <c r="B4274" i="3"/>
  <c r="C4274" i="3"/>
  <c r="B4275" i="3"/>
  <c r="C4275" i="3"/>
  <c r="B4276" i="3"/>
  <c r="C4276" i="3"/>
  <c r="B4277" i="3"/>
  <c r="C4277" i="3"/>
  <c r="B4278" i="3"/>
  <c r="C4278" i="3"/>
  <c r="B4279" i="3"/>
  <c r="C4279" i="3"/>
  <c r="B4280" i="3"/>
  <c r="C4280" i="3"/>
  <c r="B4281" i="3"/>
  <c r="C4281" i="3"/>
  <c r="B4282" i="3"/>
  <c r="C4282" i="3"/>
  <c r="B4283" i="3"/>
  <c r="C4283" i="3"/>
  <c r="B4284" i="3"/>
  <c r="C4284" i="3"/>
  <c r="C4285" i="3"/>
  <c r="B4285" i="3"/>
  <c r="B4511" i="3"/>
  <c r="C4511" i="3"/>
  <c r="B4512" i="3"/>
  <c r="C4512" i="3"/>
  <c r="B4513" i="3"/>
  <c r="C4513" i="3"/>
  <c r="B4514" i="3"/>
  <c r="C4514" i="3"/>
  <c r="B4515" i="3"/>
  <c r="C4515" i="3"/>
  <c r="B4516" i="3"/>
  <c r="C4516" i="3"/>
  <c r="B4517" i="3"/>
  <c r="C4517" i="3"/>
  <c r="B4518" i="3"/>
  <c r="C4518" i="3"/>
  <c r="B4519" i="3"/>
  <c r="C4519" i="3"/>
  <c r="B4520" i="3"/>
  <c r="C4520" i="3"/>
  <c r="B4521" i="3"/>
  <c r="C4521" i="3"/>
  <c r="B4522" i="3"/>
  <c r="C4522" i="3"/>
  <c r="B4523" i="3"/>
  <c r="C4523" i="3"/>
  <c r="B4524" i="3"/>
  <c r="C4524" i="3"/>
  <c r="B4525" i="3"/>
  <c r="C4525" i="3"/>
  <c r="B4526" i="3"/>
  <c r="C4526" i="3"/>
  <c r="B4527" i="3"/>
  <c r="C4527" i="3"/>
  <c r="B4528" i="3"/>
  <c r="C4528" i="3"/>
  <c r="B4529" i="3"/>
  <c r="C4529" i="3"/>
  <c r="B4530" i="3"/>
  <c r="C4530" i="3"/>
  <c r="B4531" i="3"/>
  <c r="C4531" i="3"/>
  <c r="B4532" i="3"/>
  <c r="C4532" i="3"/>
  <c r="B4533" i="3"/>
  <c r="C4533" i="3"/>
  <c r="B4534" i="3"/>
  <c r="C4534" i="3"/>
  <c r="B4535" i="3"/>
  <c r="C4535" i="3"/>
  <c r="B4536" i="3"/>
  <c r="C4536" i="3"/>
  <c r="B4537" i="3"/>
  <c r="C4537" i="3"/>
  <c r="B4538" i="3"/>
  <c r="C4538" i="3"/>
  <c r="B4539" i="3"/>
  <c r="C4539" i="3"/>
  <c r="B4540" i="3"/>
  <c r="C4540" i="3"/>
  <c r="B4541" i="3"/>
  <c r="C4541" i="3"/>
  <c r="B4542" i="3"/>
  <c r="C4542" i="3"/>
  <c r="B4543" i="3"/>
  <c r="C4543" i="3"/>
  <c r="B4544" i="3"/>
  <c r="C4544" i="3"/>
  <c r="B4545" i="3"/>
  <c r="C4545" i="3"/>
  <c r="B4546" i="3"/>
  <c r="C4546" i="3"/>
  <c r="B4547" i="3"/>
  <c r="C4547" i="3"/>
  <c r="B4548" i="3"/>
  <c r="C4548" i="3"/>
  <c r="B4549" i="3"/>
  <c r="C4549" i="3"/>
  <c r="B4550" i="3"/>
  <c r="C4550" i="3"/>
  <c r="B4551" i="3"/>
  <c r="C4551" i="3"/>
  <c r="B4552" i="3"/>
  <c r="C4552" i="3"/>
  <c r="B4553" i="3"/>
  <c r="C4553" i="3"/>
  <c r="B4554" i="3"/>
  <c r="C4554" i="3"/>
  <c r="B4555" i="3"/>
  <c r="C4555" i="3"/>
  <c r="B4556" i="3"/>
  <c r="C4556" i="3"/>
  <c r="B4557" i="3"/>
  <c r="C4557" i="3"/>
  <c r="B4558" i="3"/>
  <c r="C4558" i="3"/>
  <c r="B4559" i="3"/>
  <c r="C4559" i="3"/>
  <c r="B4560" i="3"/>
  <c r="C4560" i="3"/>
  <c r="B4561" i="3"/>
  <c r="C4561" i="3"/>
  <c r="B4562" i="3"/>
  <c r="C4562" i="3"/>
  <c r="B4563" i="3"/>
  <c r="C4563" i="3"/>
  <c r="B4564" i="3"/>
  <c r="C4564" i="3"/>
  <c r="B4565" i="3"/>
  <c r="C4565" i="3"/>
  <c r="B4566" i="3"/>
  <c r="C4566" i="3"/>
  <c r="B4567" i="3"/>
  <c r="C4567" i="3"/>
  <c r="B4568" i="3"/>
  <c r="C4568" i="3"/>
  <c r="B4569" i="3"/>
  <c r="C4569" i="3"/>
  <c r="C4570" i="3"/>
  <c r="B4570" i="3"/>
  <c r="B4361" i="3"/>
  <c r="C4361" i="3"/>
  <c r="B4362" i="3"/>
  <c r="C4362" i="3"/>
  <c r="B4363" i="3"/>
  <c r="C4363" i="3"/>
  <c r="B4364" i="3"/>
  <c r="C4364" i="3"/>
  <c r="B4365" i="3"/>
  <c r="C4365" i="3"/>
  <c r="B4366" i="3"/>
  <c r="C4366" i="3"/>
  <c r="B4367" i="3"/>
  <c r="C4367" i="3"/>
  <c r="B4368" i="3"/>
  <c r="C4368" i="3"/>
  <c r="B4369" i="3"/>
  <c r="C4369" i="3"/>
  <c r="B4370" i="3"/>
  <c r="C4370" i="3"/>
  <c r="B4371" i="3"/>
  <c r="C4371" i="3"/>
  <c r="B4372" i="3"/>
  <c r="C4372" i="3"/>
  <c r="B4373" i="3"/>
  <c r="C4373" i="3"/>
  <c r="B4374" i="3"/>
  <c r="C4374" i="3"/>
  <c r="B4375" i="3"/>
  <c r="C4375" i="3"/>
  <c r="B4376" i="3"/>
  <c r="C4376" i="3"/>
  <c r="B4377" i="3"/>
  <c r="C4377" i="3"/>
  <c r="B4378" i="3"/>
  <c r="C4378" i="3"/>
  <c r="B4379" i="3"/>
  <c r="C4379" i="3"/>
  <c r="B4380" i="3"/>
  <c r="C4380" i="3"/>
  <c r="B4381" i="3"/>
  <c r="C4381" i="3"/>
  <c r="B4382" i="3"/>
  <c r="C4382" i="3"/>
  <c r="B4383" i="3"/>
  <c r="C4383" i="3"/>
  <c r="B4384" i="3"/>
  <c r="C4384" i="3"/>
  <c r="B4385" i="3"/>
  <c r="C4385" i="3"/>
  <c r="B4386" i="3"/>
  <c r="C4386" i="3"/>
  <c r="B4387" i="3"/>
  <c r="C4387" i="3"/>
  <c r="B4388" i="3"/>
  <c r="C4388" i="3"/>
  <c r="B4389" i="3"/>
  <c r="C4389" i="3"/>
  <c r="B4390" i="3"/>
  <c r="C4390" i="3"/>
  <c r="B4391" i="3"/>
  <c r="C4391" i="3"/>
  <c r="B4392" i="3"/>
  <c r="C4392" i="3"/>
  <c r="B4393" i="3"/>
  <c r="C4393" i="3"/>
  <c r="B4394" i="3"/>
  <c r="C4394" i="3"/>
  <c r="B4395" i="3"/>
  <c r="C4395" i="3"/>
  <c r="B4396" i="3"/>
  <c r="C4396" i="3"/>
  <c r="B4397" i="3"/>
  <c r="C4397" i="3"/>
  <c r="B4398" i="3"/>
  <c r="C4398" i="3"/>
  <c r="B4399" i="3"/>
  <c r="C4399" i="3"/>
  <c r="B4400" i="3"/>
  <c r="C4400" i="3"/>
  <c r="B4401" i="3"/>
  <c r="C4401" i="3"/>
  <c r="B4402" i="3"/>
  <c r="C4402" i="3"/>
  <c r="B4403" i="3"/>
  <c r="C4403" i="3"/>
  <c r="B4404" i="3"/>
  <c r="C4404" i="3"/>
  <c r="C4405" i="3"/>
  <c r="B4405" i="3"/>
  <c r="B4406" i="3"/>
  <c r="C4406" i="3"/>
  <c r="B4407" i="3"/>
  <c r="C4407" i="3"/>
  <c r="B4408" i="3"/>
  <c r="C4408" i="3"/>
  <c r="B4409" i="3"/>
  <c r="C4409" i="3"/>
  <c r="B4410" i="3"/>
  <c r="C4410" i="3"/>
  <c r="B4411" i="3"/>
  <c r="C4411" i="3"/>
  <c r="B4412" i="3"/>
  <c r="C4412" i="3"/>
  <c r="B4413" i="3"/>
  <c r="C4413" i="3"/>
  <c r="B4414" i="3"/>
  <c r="C4414" i="3"/>
  <c r="B4415" i="3"/>
  <c r="C4415" i="3"/>
  <c r="B4416" i="3"/>
  <c r="C4416" i="3"/>
  <c r="B4417" i="3"/>
  <c r="C4417" i="3"/>
  <c r="B4418" i="3"/>
  <c r="C4418" i="3"/>
  <c r="B4419" i="3"/>
  <c r="C4419" i="3"/>
  <c r="B4420" i="3"/>
  <c r="C4420" i="3"/>
  <c r="B4421" i="3"/>
  <c r="C4421" i="3"/>
  <c r="B4422" i="3"/>
  <c r="C4422" i="3"/>
  <c r="B4423" i="3"/>
  <c r="C4423" i="3"/>
  <c r="B4424" i="3"/>
  <c r="C4424" i="3"/>
  <c r="B4425" i="3"/>
  <c r="C4425" i="3"/>
  <c r="B4426" i="3"/>
  <c r="C4426" i="3"/>
  <c r="B4427" i="3"/>
  <c r="C4427" i="3"/>
  <c r="B4428" i="3"/>
  <c r="C4428" i="3"/>
  <c r="B4429" i="3"/>
  <c r="C4429" i="3"/>
  <c r="B4430" i="3"/>
  <c r="C4430" i="3"/>
  <c r="B4431" i="3"/>
  <c r="C4431" i="3"/>
  <c r="B4432" i="3"/>
  <c r="C4432" i="3"/>
  <c r="B4433" i="3"/>
  <c r="C4433" i="3"/>
  <c r="B4434" i="3"/>
  <c r="C4434" i="3"/>
  <c r="B4435" i="3"/>
  <c r="C4435" i="3"/>
  <c r="B4436" i="3"/>
  <c r="C4436" i="3"/>
  <c r="B4437" i="3"/>
  <c r="C4437" i="3"/>
  <c r="B4438" i="3"/>
  <c r="C4438" i="3"/>
  <c r="B4439" i="3"/>
  <c r="C4439" i="3"/>
  <c r="B4440" i="3"/>
  <c r="C4440" i="3"/>
  <c r="B4441" i="3"/>
  <c r="C4441" i="3"/>
  <c r="B4442" i="3"/>
  <c r="C4442" i="3"/>
  <c r="B4443" i="3"/>
  <c r="C4443" i="3"/>
  <c r="B4444" i="3"/>
  <c r="C4444" i="3"/>
  <c r="B4445" i="3"/>
  <c r="C4445" i="3"/>
  <c r="B4446" i="3"/>
  <c r="C4446" i="3"/>
  <c r="B4447" i="3"/>
  <c r="C4447" i="3"/>
  <c r="B4448" i="3"/>
  <c r="C4448" i="3"/>
  <c r="B4449" i="3"/>
  <c r="C4449" i="3"/>
  <c r="B4450" i="3"/>
  <c r="C4450" i="3"/>
  <c r="B4451" i="3"/>
  <c r="C4451" i="3"/>
  <c r="B4452" i="3"/>
  <c r="C4452" i="3"/>
  <c r="B4453" i="3"/>
  <c r="C4453" i="3"/>
  <c r="B4454" i="3"/>
  <c r="C4454" i="3"/>
  <c r="B4455" i="3"/>
  <c r="C4455" i="3"/>
  <c r="B4456" i="3"/>
  <c r="C4456" i="3"/>
  <c r="B4457" i="3"/>
  <c r="C4457" i="3"/>
  <c r="B4458" i="3"/>
  <c r="C4458" i="3"/>
  <c r="B4459" i="3"/>
  <c r="C4459" i="3"/>
  <c r="B4460" i="3"/>
  <c r="C4460" i="3"/>
  <c r="B4461" i="3"/>
  <c r="C4461" i="3"/>
  <c r="B4462" i="3"/>
  <c r="C4462" i="3"/>
  <c r="B4463" i="3"/>
  <c r="C4463" i="3"/>
  <c r="B4464" i="3"/>
  <c r="C4464" i="3"/>
  <c r="C4465" i="3"/>
  <c r="B4465" i="3"/>
  <c r="B4466" i="3"/>
  <c r="B4467" i="3"/>
  <c r="B4468" i="3"/>
  <c r="B4469" i="3"/>
  <c r="B4470" i="3"/>
  <c r="B4471" i="3"/>
  <c r="B4472" i="3"/>
  <c r="B4473" i="3"/>
  <c r="B4474" i="3"/>
  <c r="B4475" i="3"/>
  <c r="B4476" i="3"/>
  <c r="B4477" i="3"/>
  <c r="B4478" i="3"/>
  <c r="B4479" i="3"/>
  <c r="B4480" i="3"/>
  <c r="B4481" i="3"/>
  <c r="B4482" i="3"/>
  <c r="B4483" i="3"/>
  <c r="B4484" i="3"/>
  <c r="B4485" i="3"/>
  <c r="B4486" i="3"/>
  <c r="B4487" i="3"/>
  <c r="B4488" i="3"/>
  <c r="B4489" i="3"/>
  <c r="B4490" i="3"/>
  <c r="B4491" i="3"/>
  <c r="B4492" i="3"/>
  <c r="B4493" i="3"/>
  <c r="B4494" i="3"/>
  <c r="B4495" i="3"/>
  <c r="B4496" i="3"/>
  <c r="B4497" i="3"/>
  <c r="B4498" i="3"/>
  <c r="B4499" i="3"/>
  <c r="B4500" i="3"/>
  <c r="B4501" i="3"/>
  <c r="B4502" i="3"/>
  <c r="B4503" i="3"/>
  <c r="B4504" i="3"/>
  <c r="B4505" i="3"/>
  <c r="B4506" i="3"/>
  <c r="B4507" i="3"/>
  <c r="B4508" i="3"/>
  <c r="B4509" i="3"/>
  <c r="B4510" i="3"/>
  <c r="B4571" i="3"/>
  <c r="C4571" i="3"/>
  <c r="B4572" i="3"/>
  <c r="C4572" i="3"/>
  <c r="B4573" i="3"/>
  <c r="C4573" i="3"/>
  <c r="B4574" i="3"/>
  <c r="C4574" i="3"/>
  <c r="B4575" i="3"/>
  <c r="C4575" i="3"/>
  <c r="B4576" i="3"/>
  <c r="C4576" i="3"/>
  <c r="B4577" i="3"/>
  <c r="C4577" i="3"/>
  <c r="B4578" i="3"/>
  <c r="C4578" i="3"/>
  <c r="B4579" i="3"/>
  <c r="C4579" i="3"/>
  <c r="B4580" i="3"/>
  <c r="C4580" i="3"/>
  <c r="B4581" i="3"/>
  <c r="C4581" i="3"/>
  <c r="B4582" i="3"/>
  <c r="C4582" i="3"/>
  <c r="B4583" i="3"/>
  <c r="C4583" i="3"/>
  <c r="B4584" i="3"/>
  <c r="C4584" i="3"/>
  <c r="B4585" i="3"/>
  <c r="C4585" i="3"/>
  <c r="B4586" i="3"/>
  <c r="C4586" i="3"/>
  <c r="B4587" i="3"/>
  <c r="C4587" i="3"/>
  <c r="B4588" i="3"/>
  <c r="C4588" i="3"/>
  <c r="B4589" i="3"/>
  <c r="C4589" i="3"/>
  <c r="B4590" i="3"/>
  <c r="C4590" i="3"/>
  <c r="B4591" i="3"/>
  <c r="C4591" i="3"/>
  <c r="B4592" i="3"/>
  <c r="C4592" i="3"/>
  <c r="B4593" i="3"/>
  <c r="C4593" i="3"/>
  <c r="B4594" i="3"/>
  <c r="C4594" i="3"/>
  <c r="B4595" i="3"/>
  <c r="C4595" i="3"/>
  <c r="B4596" i="3"/>
  <c r="C4596" i="3"/>
  <c r="B4597" i="3"/>
  <c r="C4597" i="3"/>
  <c r="B4598" i="3"/>
  <c r="C4598" i="3"/>
  <c r="B4599" i="3"/>
  <c r="C4599" i="3"/>
  <c r="B4600" i="3"/>
  <c r="C4600" i="3"/>
  <c r="B4601" i="3"/>
  <c r="C4601" i="3"/>
  <c r="B4602" i="3"/>
  <c r="C4602" i="3"/>
  <c r="B4603" i="3"/>
  <c r="C4603" i="3"/>
  <c r="B4604" i="3"/>
  <c r="C4604" i="3"/>
  <c r="B4605" i="3"/>
  <c r="C4605" i="3"/>
  <c r="B4606" i="3"/>
  <c r="C4606" i="3"/>
  <c r="B4607" i="3"/>
  <c r="C4607" i="3"/>
  <c r="B4608" i="3"/>
  <c r="C4608" i="3"/>
  <c r="B4609" i="3"/>
  <c r="C4609" i="3"/>
  <c r="B4610" i="3"/>
  <c r="C4610" i="3"/>
  <c r="B4611" i="3"/>
  <c r="C4611" i="3"/>
  <c r="B4612" i="3"/>
  <c r="C4612" i="3"/>
  <c r="B4613" i="3"/>
  <c r="C4613" i="3"/>
  <c r="B4614" i="3"/>
  <c r="C4614" i="3"/>
  <c r="C4615" i="3"/>
  <c r="B4615" i="3"/>
  <c r="B4616" i="3"/>
  <c r="C4616" i="3"/>
  <c r="B4617" i="3"/>
  <c r="C4617" i="3"/>
  <c r="B4618" i="3"/>
  <c r="C4618" i="3"/>
  <c r="B4619" i="3"/>
  <c r="C4619" i="3"/>
  <c r="B4620" i="3"/>
  <c r="C4620" i="3"/>
  <c r="B4621" i="3"/>
  <c r="C4621" i="3"/>
  <c r="B4622" i="3"/>
  <c r="C4622" i="3"/>
  <c r="B4623" i="3"/>
  <c r="C4623" i="3"/>
  <c r="B4624" i="3"/>
  <c r="C4624" i="3"/>
  <c r="B4625" i="3"/>
  <c r="C4625" i="3"/>
  <c r="B4626" i="3"/>
  <c r="C4626" i="3"/>
  <c r="B4627" i="3"/>
  <c r="C4627" i="3"/>
  <c r="B4628" i="3"/>
  <c r="C4628" i="3"/>
  <c r="B4629" i="3"/>
  <c r="C4629" i="3"/>
  <c r="B4630" i="3"/>
  <c r="C4630" i="3"/>
  <c r="B4631" i="3"/>
  <c r="C4631" i="3"/>
  <c r="B4632" i="3"/>
  <c r="C4632" i="3"/>
  <c r="B4633" i="3"/>
  <c r="C4633" i="3"/>
  <c r="B4634" i="3"/>
  <c r="C4634" i="3"/>
  <c r="B4635" i="3"/>
  <c r="C4635" i="3"/>
  <c r="B4636" i="3"/>
  <c r="C4636" i="3"/>
  <c r="B4637" i="3"/>
  <c r="C4637" i="3"/>
  <c r="B4638" i="3"/>
  <c r="C4638" i="3"/>
  <c r="B4639" i="3"/>
  <c r="C4639" i="3"/>
  <c r="B4640" i="3"/>
  <c r="C4640" i="3"/>
  <c r="B4641" i="3"/>
  <c r="C4641" i="3"/>
  <c r="B4642" i="3"/>
  <c r="C4642" i="3"/>
  <c r="B4643" i="3"/>
  <c r="C4643" i="3"/>
  <c r="B4644" i="3"/>
  <c r="C4644" i="3"/>
  <c r="C4645" i="3"/>
  <c r="C4646" i="3"/>
  <c r="C4647" i="3"/>
  <c r="C4648" i="3"/>
  <c r="C4649" i="3"/>
  <c r="C4650" i="3"/>
  <c r="B4646" i="3"/>
  <c r="B4647" i="3"/>
  <c r="B4648" i="3"/>
  <c r="B4649" i="3"/>
  <c r="B4650" i="3"/>
  <c r="B4645" i="3"/>
  <c r="C4653" i="3"/>
  <c r="C4654" i="3"/>
  <c r="C4655" i="3"/>
  <c r="C4656" i="3"/>
  <c r="C4657" i="3"/>
  <c r="C4658" i="3"/>
  <c r="C4659" i="3"/>
  <c r="C4660" i="3"/>
  <c r="C4661" i="3"/>
  <c r="C4662" i="3"/>
  <c r="C4663" i="3"/>
  <c r="C4664" i="3"/>
  <c r="C4665" i="3"/>
  <c r="C4666" i="3"/>
  <c r="C4667" i="3"/>
  <c r="B4653" i="3"/>
  <c r="B4654" i="3"/>
  <c r="B4655" i="3"/>
  <c r="B4656" i="3"/>
  <c r="B4657" i="3"/>
  <c r="B4658" i="3"/>
  <c r="B4659" i="3"/>
  <c r="B4660" i="3"/>
  <c r="B4661" i="3"/>
  <c r="B4662" i="3"/>
  <c r="B4663" i="3"/>
  <c r="B4664" i="3"/>
  <c r="B4665" i="3"/>
  <c r="B4666" i="3"/>
  <c r="B4667" i="3"/>
  <c r="D10438" i="3"/>
  <c r="I10438" i="3" s="1"/>
  <c r="C10438" i="3"/>
  <c r="B10438" i="3"/>
  <c r="C10437" i="3"/>
  <c r="B10437" i="3"/>
  <c r="C10436" i="3"/>
  <c r="B10436" i="3"/>
  <c r="D18" i="12"/>
  <c r="B44" i="78"/>
  <c r="C10426" i="3"/>
  <c r="B10426" i="3"/>
  <c r="F10425" i="3"/>
  <c r="G10425" i="3"/>
  <c r="F10426" i="3"/>
  <c r="G10426" i="3"/>
  <c r="F10436" i="3"/>
  <c r="G10436" i="3"/>
  <c r="F10437" i="3"/>
  <c r="G10437" i="3"/>
  <c r="F10438" i="3"/>
  <c r="G10438" i="3"/>
  <c r="F10427" i="3"/>
  <c r="H10427" i="3" s="1"/>
  <c r="G10427" i="3"/>
  <c r="J10427" i="3"/>
  <c r="F10428" i="3"/>
  <c r="H10428" i="3" s="1"/>
  <c r="G10428" i="3"/>
  <c r="J10428" i="3"/>
  <c r="F10429" i="3"/>
  <c r="G10429" i="3"/>
  <c r="F10441" i="3"/>
  <c r="H10441" i="3" s="1"/>
  <c r="G10441" i="3"/>
  <c r="J10441" i="3"/>
  <c r="F10442" i="3"/>
  <c r="G10442" i="3"/>
  <c r="F10445" i="3"/>
  <c r="G10445" i="3"/>
  <c r="C10425" i="3"/>
  <c r="B10425" i="3"/>
  <c r="I10427" i="3"/>
  <c r="I10441" i="3"/>
  <c r="J10438" i="3" l="1"/>
  <c r="H10438" i="3"/>
  <c r="B20" i="78" l="1"/>
  <c r="D9592" i="3" s="1"/>
  <c r="D6" i="151"/>
  <c r="C6" i="151"/>
  <c r="B36" i="75"/>
  <c r="A5" i="75"/>
  <c r="B35" i="76"/>
  <c r="C11" i="151"/>
  <c r="C35" i="76" s="1"/>
  <c r="D10" i="151"/>
  <c r="D9" i="151"/>
  <c r="B30" i="78" s="1"/>
  <c r="D9602" i="3" s="1"/>
  <c r="D8" i="151"/>
  <c r="D7" i="151"/>
  <c r="B13" i="151"/>
  <c r="A5" i="151"/>
  <c r="A2" i="151"/>
  <c r="A1" i="151"/>
  <c r="I9602" i="3" l="1"/>
  <c r="J9602" i="3"/>
  <c r="H9602" i="3"/>
  <c r="B29" i="78"/>
  <c r="D9601" i="3" s="1"/>
  <c r="B53" i="150"/>
  <c r="B56" i="150" s="1"/>
  <c r="B38" i="150"/>
  <c r="B39" i="150" s="1"/>
  <c r="B41" i="150" s="1"/>
  <c r="J9592" i="3"/>
  <c r="I9592" i="3"/>
  <c r="H9592" i="3"/>
  <c r="D11" i="151"/>
  <c r="A5" i="78"/>
  <c r="B8" i="78"/>
  <c r="B9" i="78" l="1"/>
  <c r="D10450" i="3" s="1"/>
  <c r="I9601" i="3"/>
  <c r="H9601" i="3"/>
  <c r="J9601" i="3"/>
  <c r="B13" i="80"/>
  <c r="B4668" i="3"/>
  <c r="D10426" i="3" l="1"/>
  <c r="D8484" i="3"/>
  <c r="J8484" i="3" s="1"/>
  <c r="B8483" i="3"/>
  <c r="B8484" i="3"/>
  <c r="F8483" i="3"/>
  <c r="G8483" i="3"/>
  <c r="F8484" i="3"/>
  <c r="G8484" i="3"/>
  <c r="C8484" i="3"/>
  <c r="C8483" i="3"/>
  <c r="B8482" i="3"/>
  <c r="C8482" i="3"/>
  <c r="F8482" i="3"/>
  <c r="G8482" i="3"/>
  <c r="F8481" i="3"/>
  <c r="G8481" i="3"/>
  <c r="C8481" i="3"/>
  <c r="B8481" i="3"/>
  <c r="B34" i="75"/>
  <c r="F8480" i="3"/>
  <c r="G8480" i="3"/>
  <c r="C8479" i="3"/>
  <c r="C8478" i="3"/>
  <c r="C8477" i="3"/>
  <c r="C8476" i="3"/>
  <c r="C8475" i="3"/>
  <c r="C8480" i="3"/>
  <c r="B8480" i="3"/>
  <c r="B8479" i="3"/>
  <c r="B8478" i="3"/>
  <c r="B8477" i="3"/>
  <c r="B8476" i="3"/>
  <c r="B8475" i="3"/>
  <c r="B8474" i="3"/>
  <c r="C8474" i="3"/>
  <c r="C8473" i="3"/>
  <c r="B8473" i="3"/>
  <c r="C8472" i="3"/>
  <c r="B8472" i="3"/>
  <c r="D8165" i="3"/>
  <c r="J8165" i="3" s="1"/>
  <c r="D8166" i="3"/>
  <c r="I8166" i="3" s="1"/>
  <c r="D8167" i="3"/>
  <c r="J8167" i="3" s="1"/>
  <c r="D8168" i="3"/>
  <c r="J8168" i="3" s="1"/>
  <c r="D8169" i="3"/>
  <c r="I8169" i="3" s="1"/>
  <c r="D8170" i="3"/>
  <c r="D8171" i="3"/>
  <c r="D8172" i="3"/>
  <c r="I8172" i="3" s="1"/>
  <c r="D8173" i="3"/>
  <c r="I8173" i="3" s="1"/>
  <c r="D8174" i="3"/>
  <c r="I8174" i="3" s="1"/>
  <c r="D8175" i="3"/>
  <c r="I8175" i="3" s="1"/>
  <c r="D8176" i="3"/>
  <c r="I8176" i="3" s="1"/>
  <c r="D8177" i="3"/>
  <c r="J8177" i="3" s="1"/>
  <c r="D8178" i="3"/>
  <c r="I8178" i="3" s="1"/>
  <c r="D8179" i="3"/>
  <c r="I8179" i="3" s="1"/>
  <c r="D8180" i="3"/>
  <c r="I8180" i="3" s="1"/>
  <c r="D8181" i="3"/>
  <c r="J8181" i="3" s="1"/>
  <c r="D8182" i="3"/>
  <c r="J8182" i="3" s="1"/>
  <c r="D8183" i="3"/>
  <c r="J8183" i="3" s="1"/>
  <c r="D8184" i="3"/>
  <c r="J8184" i="3" s="1"/>
  <c r="D8185" i="3"/>
  <c r="J8185" i="3" s="1"/>
  <c r="D8164" i="3"/>
  <c r="J8164" i="3" s="1"/>
  <c r="F8164" i="3"/>
  <c r="G8164" i="3"/>
  <c r="F8165" i="3"/>
  <c r="G8165" i="3"/>
  <c r="F8166" i="3"/>
  <c r="G8166" i="3"/>
  <c r="F8167" i="3"/>
  <c r="G8167" i="3"/>
  <c r="F8168" i="3"/>
  <c r="G8168" i="3"/>
  <c r="F8169" i="3"/>
  <c r="G8169" i="3"/>
  <c r="F8170" i="3"/>
  <c r="G8170" i="3"/>
  <c r="F8171" i="3"/>
  <c r="G8171" i="3"/>
  <c r="F8172" i="3"/>
  <c r="G8172" i="3"/>
  <c r="F8173" i="3"/>
  <c r="G8173" i="3"/>
  <c r="F8174" i="3"/>
  <c r="G8174" i="3"/>
  <c r="F8175" i="3"/>
  <c r="G8175" i="3"/>
  <c r="F8176" i="3"/>
  <c r="G8176" i="3"/>
  <c r="F8177" i="3"/>
  <c r="G8177" i="3"/>
  <c r="F8178" i="3"/>
  <c r="G8178" i="3"/>
  <c r="F8179" i="3"/>
  <c r="G8179" i="3"/>
  <c r="F8180" i="3"/>
  <c r="G8180" i="3"/>
  <c r="F8181" i="3"/>
  <c r="G8181" i="3"/>
  <c r="F8182" i="3"/>
  <c r="G8182" i="3"/>
  <c r="F8183" i="3"/>
  <c r="G8183" i="3"/>
  <c r="F8184" i="3"/>
  <c r="G8184" i="3"/>
  <c r="F8185" i="3"/>
  <c r="G8185" i="3"/>
  <c r="F8186" i="3"/>
  <c r="G8186" i="3"/>
  <c r="B8184" i="3"/>
  <c r="C8184" i="3"/>
  <c r="B8185" i="3"/>
  <c r="C8185" i="3"/>
  <c r="B8165" i="3"/>
  <c r="C8165" i="3"/>
  <c r="B8166" i="3"/>
  <c r="C8166" i="3"/>
  <c r="B8167" i="3"/>
  <c r="C8167" i="3"/>
  <c r="B8168" i="3"/>
  <c r="C8168" i="3"/>
  <c r="B8169" i="3"/>
  <c r="C8169" i="3"/>
  <c r="B8170" i="3"/>
  <c r="C8170" i="3"/>
  <c r="B8171" i="3"/>
  <c r="C8171" i="3"/>
  <c r="B8172" i="3"/>
  <c r="C8172" i="3"/>
  <c r="B8173" i="3"/>
  <c r="C8173" i="3"/>
  <c r="B8174" i="3"/>
  <c r="C8174" i="3"/>
  <c r="B8175" i="3"/>
  <c r="C8175" i="3"/>
  <c r="B8176" i="3"/>
  <c r="C8176" i="3"/>
  <c r="B8177" i="3"/>
  <c r="C8177" i="3"/>
  <c r="B8178" i="3"/>
  <c r="C8178" i="3"/>
  <c r="B8179" i="3"/>
  <c r="C8179" i="3"/>
  <c r="B8180" i="3"/>
  <c r="C8180" i="3"/>
  <c r="B8181" i="3"/>
  <c r="C8181" i="3"/>
  <c r="B8182" i="3"/>
  <c r="C8182" i="3"/>
  <c r="B8183" i="3"/>
  <c r="C8183" i="3"/>
  <c r="C8164" i="3"/>
  <c r="B8164" i="3"/>
  <c r="D8451" i="3"/>
  <c r="J8451" i="3" s="1"/>
  <c r="D8452" i="3"/>
  <c r="I8452" i="3" s="1"/>
  <c r="D8453" i="3"/>
  <c r="J8453" i="3" s="1"/>
  <c r="D8454" i="3"/>
  <c r="J8454" i="3" s="1"/>
  <c r="D8455" i="3"/>
  <c r="J8455" i="3" s="1"/>
  <c r="D8456" i="3"/>
  <c r="J8456" i="3" s="1"/>
  <c r="D8457" i="3"/>
  <c r="J8457" i="3" s="1"/>
  <c r="D8458" i="3"/>
  <c r="J8458" i="3" s="1"/>
  <c r="D8459" i="3"/>
  <c r="J8459" i="3" s="1"/>
  <c r="D8460" i="3"/>
  <c r="J8460" i="3" s="1"/>
  <c r="D8461" i="3"/>
  <c r="J8461" i="3" s="1"/>
  <c r="D8462" i="3"/>
  <c r="J8462" i="3" s="1"/>
  <c r="D8463" i="3"/>
  <c r="J8463" i="3" s="1"/>
  <c r="D8464" i="3"/>
  <c r="J8464" i="3" s="1"/>
  <c r="D8465" i="3"/>
  <c r="J8465" i="3" s="1"/>
  <c r="D8466" i="3"/>
  <c r="J8466" i="3" s="1"/>
  <c r="D8467" i="3"/>
  <c r="J8467" i="3" s="1"/>
  <c r="D8468" i="3"/>
  <c r="J8468" i="3" s="1"/>
  <c r="D8469" i="3"/>
  <c r="J8469" i="3" s="1"/>
  <c r="D8470" i="3"/>
  <c r="J8470" i="3" s="1"/>
  <c r="D8471" i="3"/>
  <c r="J8471" i="3" s="1"/>
  <c r="D8450" i="3"/>
  <c r="J8450" i="3" s="1"/>
  <c r="B8451" i="3"/>
  <c r="B8452" i="3"/>
  <c r="B8453" i="3"/>
  <c r="B8454" i="3"/>
  <c r="B8455" i="3"/>
  <c r="B8456" i="3"/>
  <c r="B8457" i="3"/>
  <c r="B8458" i="3"/>
  <c r="B8459" i="3"/>
  <c r="B8460" i="3"/>
  <c r="B8461" i="3"/>
  <c r="B8462" i="3"/>
  <c r="B8463" i="3"/>
  <c r="B8464" i="3"/>
  <c r="B8465" i="3"/>
  <c r="B8466" i="3"/>
  <c r="B8467" i="3"/>
  <c r="B8468" i="3"/>
  <c r="B8469" i="3"/>
  <c r="B8470" i="3"/>
  <c r="B8471" i="3"/>
  <c r="B8450" i="3"/>
  <c r="C8451" i="3"/>
  <c r="C8452" i="3"/>
  <c r="C8453" i="3"/>
  <c r="C8454" i="3"/>
  <c r="C8455" i="3"/>
  <c r="C8456" i="3"/>
  <c r="C8457" i="3"/>
  <c r="C8458" i="3"/>
  <c r="C8459" i="3"/>
  <c r="C8460" i="3"/>
  <c r="C8461" i="3"/>
  <c r="C8462" i="3"/>
  <c r="C8463" i="3"/>
  <c r="C8464" i="3"/>
  <c r="C8465" i="3"/>
  <c r="C8466" i="3"/>
  <c r="C8467" i="3"/>
  <c r="C8468" i="3"/>
  <c r="C8469" i="3"/>
  <c r="C8470" i="3"/>
  <c r="C8471" i="3"/>
  <c r="C8450" i="3"/>
  <c r="F8450" i="3"/>
  <c r="G8450" i="3"/>
  <c r="F8451" i="3"/>
  <c r="G8451" i="3"/>
  <c r="F8452" i="3"/>
  <c r="G8452" i="3"/>
  <c r="F8453" i="3"/>
  <c r="G8453" i="3"/>
  <c r="F8454" i="3"/>
  <c r="G8454" i="3"/>
  <c r="F8455" i="3"/>
  <c r="G8455" i="3"/>
  <c r="F8456" i="3"/>
  <c r="G8456" i="3"/>
  <c r="F8457" i="3"/>
  <c r="G8457" i="3"/>
  <c r="F8458" i="3"/>
  <c r="G8458" i="3"/>
  <c r="F8459" i="3"/>
  <c r="G8459" i="3"/>
  <c r="F8460" i="3"/>
  <c r="G8460" i="3"/>
  <c r="F8461" i="3"/>
  <c r="G8461" i="3"/>
  <c r="F8462" i="3"/>
  <c r="G8462" i="3"/>
  <c r="F8463" i="3"/>
  <c r="G8463" i="3"/>
  <c r="F8464" i="3"/>
  <c r="G8464" i="3"/>
  <c r="F8465" i="3"/>
  <c r="G8465" i="3"/>
  <c r="F8466" i="3"/>
  <c r="G8466" i="3"/>
  <c r="F8467" i="3"/>
  <c r="G8467" i="3"/>
  <c r="F8468" i="3"/>
  <c r="G8468" i="3"/>
  <c r="F8469" i="3"/>
  <c r="G8469" i="3"/>
  <c r="F8470" i="3"/>
  <c r="G8470" i="3"/>
  <c r="F8471" i="3"/>
  <c r="G8471" i="3"/>
  <c r="F8472" i="3"/>
  <c r="G8472" i="3"/>
  <c r="F8473" i="3"/>
  <c r="G8473" i="3"/>
  <c r="F8474" i="3"/>
  <c r="G8474" i="3"/>
  <c r="F8475" i="3"/>
  <c r="G8475" i="3"/>
  <c r="F8476" i="3"/>
  <c r="G8476" i="3"/>
  <c r="F8477" i="3"/>
  <c r="G8477" i="3"/>
  <c r="F8478" i="3"/>
  <c r="G8478" i="3"/>
  <c r="F8479" i="3"/>
  <c r="G8479" i="3"/>
  <c r="F8418" i="3"/>
  <c r="G8418" i="3"/>
  <c r="F8419" i="3"/>
  <c r="G8419" i="3"/>
  <c r="F8420" i="3"/>
  <c r="G8420" i="3"/>
  <c r="F8421" i="3"/>
  <c r="G8421" i="3"/>
  <c r="F8422" i="3"/>
  <c r="G8422" i="3"/>
  <c r="F8423" i="3"/>
  <c r="G8423" i="3"/>
  <c r="F8424" i="3"/>
  <c r="G8424" i="3"/>
  <c r="F8425" i="3"/>
  <c r="G8425" i="3"/>
  <c r="F8426" i="3"/>
  <c r="G8426" i="3"/>
  <c r="F8427" i="3"/>
  <c r="G8427" i="3"/>
  <c r="F8428" i="3"/>
  <c r="G8428" i="3"/>
  <c r="F8429" i="3"/>
  <c r="G8429" i="3"/>
  <c r="F8430" i="3"/>
  <c r="G8430" i="3"/>
  <c r="F8431" i="3"/>
  <c r="G8431" i="3"/>
  <c r="F8432" i="3"/>
  <c r="G8432" i="3"/>
  <c r="F8433" i="3"/>
  <c r="G8433" i="3"/>
  <c r="F8434" i="3"/>
  <c r="G8434" i="3"/>
  <c r="F8435" i="3"/>
  <c r="G8435" i="3"/>
  <c r="F8436" i="3"/>
  <c r="G8436" i="3"/>
  <c r="F8437" i="3"/>
  <c r="G8437" i="3"/>
  <c r="F8438" i="3"/>
  <c r="G8438" i="3"/>
  <c r="F8439" i="3"/>
  <c r="G8439" i="3"/>
  <c r="F8440" i="3"/>
  <c r="G8440" i="3"/>
  <c r="F8441" i="3"/>
  <c r="G8441" i="3"/>
  <c r="F8442" i="3"/>
  <c r="G8442" i="3"/>
  <c r="F8443" i="3"/>
  <c r="G8443" i="3"/>
  <c r="F8444" i="3"/>
  <c r="G8444" i="3"/>
  <c r="F8445" i="3"/>
  <c r="G8445" i="3"/>
  <c r="F8446" i="3"/>
  <c r="G8446" i="3"/>
  <c r="F8447" i="3"/>
  <c r="G8447" i="3"/>
  <c r="F8448" i="3"/>
  <c r="G8448" i="3"/>
  <c r="F8449" i="3"/>
  <c r="G8449" i="3"/>
  <c r="B8429" i="3"/>
  <c r="C8429" i="3"/>
  <c r="B8430" i="3"/>
  <c r="C8430" i="3"/>
  <c r="B8431" i="3"/>
  <c r="C8431" i="3"/>
  <c r="B8432" i="3"/>
  <c r="C8432" i="3"/>
  <c r="B8433" i="3"/>
  <c r="C8433" i="3"/>
  <c r="B8434" i="3"/>
  <c r="C8434" i="3"/>
  <c r="B8435" i="3"/>
  <c r="C8435" i="3"/>
  <c r="B8436" i="3"/>
  <c r="C8436" i="3"/>
  <c r="B8437" i="3"/>
  <c r="C8437" i="3"/>
  <c r="B8438" i="3"/>
  <c r="C8438" i="3"/>
  <c r="B8439" i="3"/>
  <c r="C8439" i="3"/>
  <c r="B8440" i="3"/>
  <c r="C8440" i="3"/>
  <c r="B8441" i="3"/>
  <c r="C8441" i="3"/>
  <c r="B8442" i="3"/>
  <c r="C8442" i="3"/>
  <c r="B8443" i="3"/>
  <c r="C8443" i="3"/>
  <c r="B8444" i="3"/>
  <c r="C8444" i="3"/>
  <c r="B8445" i="3"/>
  <c r="C8445" i="3"/>
  <c r="B8446" i="3"/>
  <c r="C8446" i="3"/>
  <c r="B8447" i="3"/>
  <c r="C8447" i="3"/>
  <c r="B8448" i="3"/>
  <c r="C8448" i="3"/>
  <c r="B8449" i="3"/>
  <c r="C8449" i="3"/>
  <c r="C8428" i="3"/>
  <c r="B8428" i="3"/>
  <c r="B8407" i="3"/>
  <c r="C8407" i="3"/>
  <c r="B8408" i="3"/>
  <c r="C8408" i="3"/>
  <c r="B8409" i="3"/>
  <c r="C8409" i="3"/>
  <c r="B8410" i="3"/>
  <c r="C8410" i="3"/>
  <c r="B8411" i="3"/>
  <c r="C8411" i="3"/>
  <c r="B8412" i="3"/>
  <c r="C8412" i="3"/>
  <c r="B8413" i="3"/>
  <c r="C8413" i="3"/>
  <c r="B8414" i="3"/>
  <c r="C8414" i="3"/>
  <c r="B8415" i="3"/>
  <c r="C8415" i="3"/>
  <c r="B8416" i="3"/>
  <c r="C8416" i="3"/>
  <c r="B8417" i="3"/>
  <c r="C8417" i="3"/>
  <c r="B8418" i="3"/>
  <c r="C8418" i="3"/>
  <c r="B8419" i="3"/>
  <c r="C8419" i="3"/>
  <c r="B8420" i="3"/>
  <c r="C8420" i="3"/>
  <c r="B8421" i="3"/>
  <c r="C8421" i="3"/>
  <c r="B8422" i="3"/>
  <c r="C8422" i="3"/>
  <c r="B8423" i="3"/>
  <c r="C8423" i="3"/>
  <c r="B8424" i="3"/>
  <c r="C8424" i="3"/>
  <c r="B8425" i="3"/>
  <c r="C8425" i="3"/>
  <c r="B8426" i="3"/>
  <c r="C8426" i="3"/>
  <c r="B8427" i="3"/>
  <c r="C8427" i="3"/>
  <c r="C8406" i="3"/>
  <c r="B8406" i="3"/>
  <c r="B8405" i="3"/>
  <c r="C8405" i="3"/>
  <c r="B8385" i="3"/>
  <c r="C8385" i="3"/>
  <c r="B8386" i="3"/>
  <c r="C8386" i="3"/>
  <c r="B8387" i="3"/>
  <c r="C8387" i="3"/>
  <c r="B8388" i="3"/>
  <c r="C8388" i="3"/>
  <c r="B8389" i="3"/>
  <c r="C8389" i="3"/>
  <c r="B8390" i="3"/>
  <c r="C8390" i="3"/>
  <c r="B8391" i="3"/>
  <c r="C8391" i="3"/>
  <c r="B8392" i="3"/>
  <c r="C8392" i="3"/>
  <c r="B8393" i="3"/>
  <c r="C8393" i="3"/>
  <c r="B8394" i="3"/>
  <c r="C8394" i="3"/>
  <c r="B8395" i="3"/>
  <c r="C8395" i="3"/>
  <c r="B8396" i="3"/>
  <c r="C8396" i="3"/>
  <c r="B8397" i="3"/>
  <c r="C8397" i="3"/>
  <c r="B8398" i="3"/>
  <c r="C8398" i="3"/>
  <c r="B8399" i="3"/>
  <c r="C8399" i="3"/>
  <c r="B8400" i="3"/>
  <c r="C8400" i="3"/>
  <c r="B8401" i="3"/>
  <c r="C8401" i="3"/>
  <c r="B8402" i="3"/>
  <c r="C8402" i="3"/>
  <c r="B8403" i="3"/>
  <c r="C8403" i="3"/>
  <c r="B8404" i="3"/>
  <c r="C8404" i="3"/>
  <c r="C8384" i="3"/>
  <c r="B8384" i="3"/>
  <c r="B8363" i="3"/>
  <c r="C8363" i="3"/>
  <c r="B8364" i="3"/>
  <c r="C8364" i="3"/>
  <c r="B8365" i="3"/>
  <c r="C8365" i="3"/>
  <c r="B8366" i="3"/>
  <c r="C8366" i="3"/>
  <c r="B8367" i="3"/>
  <c r="C8367" i="3"/>
  <c r="B8368" i="3"/>
  <c r="C8368" i="3"/>
  <c r="B8369" i="3"/>
  <c r="C8369" i="3"/>
  <c r="B8370" i="3"/>
  <c r="C8370" i="3"/>
  <c r="B8371" i="3"/>
  <c r="C8371" i="3"/>
  <c r="B8372" i="3"/>
  <c r="C8372" i="3"/>
  <c r="B8373" i="3"/>
  <c r="C8373" i="3"/>
  <c r="B8374" i="3"/>
  <c r="C8374" i="3"/>
  <c r="B8375" i="3"/>
  <c r="C8375" i="3"/>
  <c r="B8376" i="3"/>
  <c r="C8376" i="3"/>
  <c r="B8377" i="3"/>
  <c r="C8377" i="3"/>
  <c r="B8378" i="3"/>
  <c r="C8378" i="3"/>
  <c r="B8379" i="3"/>
  <c r="C8379" i="3"/>
  <c r="B8380" i="3"/>
  <c r="C8380" i="3"/>
  <c r="B8381" i="3"/>
  <c r="C8381" i="3"/>
  <c r="B8382" i="3"/>
  <c r="C8382" i="3"/>
  <c r="B8383" i="3"/>
  <c r="C8383" i="3"/>
  <c r="C8362" i="3"/>
  <c r="B8362" i="3"/>
  <c r="B8341" i="3"/>
  <c r="C8341" i="3"/>
  <c r="B8342" i="3"/>
  <c r="C8342" i="3"/>
  <c r="B8343" i="3"/>
  <c r="C8343" i="3"/>
  <c r="B8344" i="3"/>
  <c r="C8344" i="3"/>
  <c r="B8345" i="3"/>
  <c r="C8345" i="3"/>
  <c r="B8346" i="3"/>
  <c r="C8346" i="3"/>
  <c r="B8347" i="3"/>
  <c r="C8347" i="3"/>
  <c r="B8348" i="3"/>
  <c r="C8348" i="3"/>
  <c r="B8349" i="3"/>
  <c r="C8349" i="3"/>
  <c r="B8350" i="3"/>
  <c r="C8350" i="3"/>
  <c r="B8351" i="3"/>
  <c r="C8351" i="3"/>
  <c r="B8352" i="3"/>
  <c r="C8352" i="3"/>
  <c r="B8353" i="3"/>
  <c r="C8353" i="3"/>
  <c r="B8354" i="3"/>
  <c r="C8354" i="3"/>
  <c r="B8355" i="3"/>
  <c r="C8355" i="3"/>
  <c r="B8356" i="3"/>
  <c r="C8356" i="3"/>
  <c r="B8357" i="3"/>
  <c r="C8357" i="3"/>
  <c r="B8358" i="3"/>
  <c r="C8358" i="3"/>
  <c r="B8359" i="3"/>
  <c r="C8359" i="3"/>
  <c r="B8360" i="3"/>
  <c r="C8360" i="3"/>
  <c r="B8361" i="3"/>
  <c r="C8361" i="3"/>
  <c r="C8340" i="3"/>
  <c r="B8340" i="3"/>
  <c r="F8346" i="3"/>
  <c r="G8346" i="3"/>
  <c r="F8347" i="3"/>
  <c r="G8347" i="3"/>
  <c r="F8348" i="3"/>
  <c r="G8348" i="3"/>
  <c r="F8349" i="3"/>
  <c r="G8349" i="3"/>
  <c r="F8350" i="3"/>
  <c r="G8350" i="3"/>
  <c r="F8351" i="3"/>
  <c r="G8351" i="3"/>
  <c r="F8352" i="3"/>
  <c r="G8352" i="3"/>
  <c r="F8353" i="3"/>
  <c r="G8353" i="3"/>
  <c r="F8354" i="3"/>
  <c r="G8354" i="3"/>
  <c r="F8355" i="3"/>
  <c r="G8355" i="3"/>
  <c r="F8356" i="3"/>
  <c r="G8356" i="3"/>
  <c r="F8357" i="3"/>
  <c r="G8357" i="3"/>
  <c r="F8358" i="3"/>
  <c r="G8358" i="3"/>
  <c r="F8359" i="3"/>
  <c r="G8359" i="3"/>
  <c r="F8360" i="3"/>
  <c r="G8360" i="3"/>
  <c r="F8361" i="3"/>
  <c r="G8361" i="3"/>
  <c r="F8362" i="3"/>
  <c r="G8362" i="3"/>
  <c r="F8363" i="3"/>
  <c r="G8363" i="3"/>
  <c r="F8364" i="3"/>
  <c r="G8364" i="3"/>
  <c r="F8365" i="3"/>
  <c r="G8365" i="3"/>
  <c r="F8366" i="3"/>
  <c r="G8366" i="3"/>
  <c r="F8367" i="3"/>
  <c r="G8367" i="3"/>
  <c r="F8368" i="3"/>
  <c r="G8368" i="3"/>
  <c r="F8369" i="3"/>
  <c r="G8369" i="3"/>
  <c r="F8370" i="3"/>
  <c r="G8370" i="3"/>
  <c r="F8371" i="3"/>
  <c r="G8371" i="3"/>
  <c r="F8372" i="3"/>
  <c r="G8372" i="3"/>
  <c r="F8373" i="3"/>
  <c r="G8373" i="3"/>
  <c r="F8374" i="3"/>
  <c r="G8374" i="3"/>
  <c r="F8375" i="3"/>
  <c r="G8375" i="3"/>
  <c r="F8376" i="3"/>
  <c r="G8376" i="3"/>
  <c r="F8377" i="3"/>
  <c r="G8377" i="3"/>
  <c r="F8378" i="3"/>
  <c r="G8378" i="3"/>
  <c r="F8379" i="3"/>
  <c r="G8379" i="3"/>
  <c r="F8380" i="3"/>
  <c r="G8380" i="3"/>
  <c r="F8381" i="3"/>
  <c r="G8381" i="3"/>
  <c r="F8382" i="3"/>
  <c r="G8382" i="3"/>
  <c r="F8383" i="3"/>
  <c r="G8383" i="3"/>
  <c r="F8384" i="3"/>
  <c r="G8384" i="3"/>
  <c r="F8385" i="3"/>
  <c r="G8385" i="3"/>
  <c r="F8386" i="3"/>
  <c r="G8386" i="3"/>
  <c r="F8387" i="3"/>
  <c r="G8387" i="3"/>
  <c r="F8388" i="3"/>
  <c r="G8388" i="3"/>
  <c r="F8389" i="3"/>
  <c r="G8389" i="3"/>
  <c r="F8390" i="3"/>
  <c r="G8390" i="3"/>
  <c r="F8391" i="3"/>
  <c r="G8391" i="3"/>
  <c r="F8392" i="3"/>
  <c r="G8392" i="3"/>
  <c r="F8393" i="3"/>
  <c r="G8393" i="3"/>
  <c r="F8394" i="3"/>
  <c r="G8394" i="3"/>
  <c r="F8395" i="3"/>
  <c r="G8395" i="3"/>
  <c r="F8396" i="3"/>
  <c r="G8396" i="3"/>
  <c r="F8397" i="3"/>
  <c r="G8397" i="3"/>
  <c r="F8398" i="3"/>
  <c r="G8398" i="3"/>
  <c r="F8399" i="3"/>
  <c r="G8399" i="3"/>
  <c r="F8400" i="3"/>
  <c r="G8400" i="3"/>
  <c r="F8401" i="3"/>
  <c r="G8401" i="3"/>
  <c r="F8402" i="3"/>
  <c r="G8402" i="3"/>
  <c r="F8403" i="3"/>
  <c r="G8403" i="3"/>
  <c r="F8404" i="3"/>
  <c r="G8404" i="3"/>
  <c r="F8405" i="3"/>
  <c r="G8405" i="3"/>
  <c r="F8406" i="3"/>
  <c r="G8406" i="3"/>
  <c r="F8407" i="3"/>
  <c r="G8407" i="3"/>
  <c r="F8408" i="3"/>
  <c r="G8408" i="3"/>
  <c r="F8409" i="3"/>
  <c r="G8409" i="3"/>
  <c r="F8410" i="3"/>
  <c r="G8410" i="3"/>
  <c r="F8411" i="3"/>
  <c r="G8411" i="3"/>
  <c r="F8412" i="3"/>
  <c r="G8412" i="3"/>
  <c r="F8413" i="3"/>
  <c r="G8413" i="3"/>
  <c r="F8414" i="3"/>
  <c r="G8414" i="3"/>
  <c r="F8415" i="3"/>
  <c r="G8415" i="3"/>
  <c r="F8416" i="3"/>
  <c r="G8416" i="3"/>
  <c r="F8417" i="3"/>
  <c r="G8417" i="3"/>
  <c r="B8336" i="3"/>
  <c r="C8336" i="3"/>
  <c r="B8337" i="3"/>
  <c r="C8337" i="3"/>
  <c r="B8338" i="3"/>
  <c r="C8338" i="3"/>
  <c r="B8339" i="3"/>
  <c r="C8339" i="3"/>
  <c r="B8319" i="3"/>
  <c r="C8319" i="3"/>
  <c r="B8320" i="3"/>
  <c r="C8320" i="3"/>
  <c r="B8321" i="3"/>
  <c r="C8321" i="3"/>
  <c r="B8322" i="3"/>
  <c r="C8322" i="3"/>
  <c r="B8323" i="3"/>
  <c r="C8323" i="3"/>
  <c r="B8324" i="3"/>
  <c r="C8324" i="3"/>
  <c r="B8325" i="3"/>
  <c r="C8325" i="3"/>
  <c r="B8326" i="3"/>
  <c r="C8326" i="3"/>
  <c r="B8327" i="3"/>
  <c r="C8327" i="3"/>
  <c r="B8328" i="3"/>
  <c r="C8328" i="3"/>
  <c r="B8329" i="3"/>
  <c r="C8329" i="3"/>
  <c r="B8330" i="3"/>
  <c r="C8330" i="3"/>
  <c r="B8331" i="3"/>
  <c r="C8331" i="3"/>
  <c r="B8332" i="3"/>
  <c r="C8332" i="3"/>
  <c r="B8333" i="3"/>
  <c r="C8333" i="3"/>
  <c r="B8334" i="3"/>
  <c r="C8334" i="3"/>
  <c r="B8335" i="3"/>
  <c r="C8335" i="3"/>
  <c r="C8318" i="3"/>
  <c r="B8318" i="3"/>
  <c r="B8317" i="3"/>
  <c r="C8317" i="3"/>
  <c r="B8297" i="3"/>
  <c r="C8297" i="3"/>
  <c r="B8298" i="3"/>
  <c r="C8298" i="3"/>
  <c r="B8299" i="3"/>
  <c r="C8299" i="3"/>
  <c r="B8300" i="3"/>
  <c r="C8300" i="3"/>
  <c r="B8301" i="3"/>
  <c r="C8301" i="3"/>
  <c r="B8302" i="3"/>
  <c r="C8302" i="3"/>
  <c r="B8303" i="3"/>
  <c r="C8303" i="3"/>
  <c r="B8304" i="3"/>
  <c r="C8304" i="3"/>
  <c r="B8305" i="3"/>
  <c r="C8305" i="3"/>
  <c r="B8306" i="3"/>
  <c r="C8306" i="3"/>
  <c r="B8307" i="3"/>
  <c r="C8307" i="3"/>
  <c r="B8308" i="3"/>
  <c r="C8308" i="3"/>
  <c r="B8309" i="3"/>
  <c r="C8309" i="3"/>
  <c r="B8310" i="3"/>
  <c r="C8310" i="3"/>
  <c r="B8311" i="3"/>
  <c r="C8311" i="3"/>
  <c r="B8312" i="3"/>
  <c r="C8312" i="3"/>
  <c r="B8313" i="3"/>
  <c r="C8313" i="3"/>
  <c r="B8314" i="3"/>
  <c r="C8314" i="3"/>
  <c r="B8315" i="3"/>
  <c r="C8315" i="3"/>
  <c r="B8316" i="3"/>
  <c r="C8316" i="3"/>
  <c r="C8296" i="3"/>
  <c r="B8296" i="3"/>
  <c r="B8275" i="3"/>
  <c r="C8275" i="3"/>
  <c r="B8276" i="3"/>
  <c r="C8276" i="3"/>
  <c r="B8277" i="3"/>
  <c r="C8277" i="3"/>
  <c r="B8278" i="3"/>
  <c r="C8278" i="3"/>
  <c r="B8279" i="3"/>
  <c r="C8279" i="3"/>
  <c r="B8280" i="3"/>
  <c r="C8280" i="3"/>
  <c r="B8281" i="3"/>
  <c r="C8281" i="3"/>
  <c r="B8282" i="3"/>
  <c r="C8282" i="3"/>
  <c r="B8283" i="3"/>
  <c r="C8283" i="3"/>
  <c r="B8284" i="3"/>
  <c r="C8284" i="3"/>
  <c r="B8285" i="3"/>
  <c r="C8285" i="3"/>
  <c r="B8286" i="3"/>
  <c r="C8286" i="3"/>
  <c r="B8287" i="3"/>
  <c r="C8287" i="3"/>
  <c r="B8288" i="3"/>
  <c r="C8288" i="3"/>
  <c r="B8289" i="3"/>
  <c r="C8289" i="3"/>
  <c r="B8290" i="3"/>
  <c r="C8290" i="3"/>
  <c r="B8291" i="3"/>
  <c r="C8291" i="3"/>
  <c r="B8292" i="3"/>
  <c r="C8292" i="3"/>
  <c r="B8293" i="3"/>
  <c r="C8293" i="3"/>
  <c r="B8294" i="3"/>
  <c r="C8294" i="3"/>
  <c r="B8295" i="3"/>
  <c r="C8295" i="3"/>
  <c r="C8274" i="3"/>
  <c r="B8274" i="3"/>
  <c r="B8253" i="3"/>
  <c r="C8253" i="3"/>
  <c r="B8254" i="3"/>
  <c r="C8254" i="3"/>
  <c r="B8255" i="3"/>
  <c r="C8255" i="3"/>
  <c r="B8256" i="3"/>
  <c r="C8256" i="3"/>
  <c r="B8257" i="3"/>
  <c r="C8257" i="3"/>
  <c r="B8258" i="3"/>
  <c r="C8258" i="3"/>
  <c r="B8259" i="3"/>
  <c r="C8259" i="3"/>
  <c r="B8260" i="3"/>
  <c r="C8260" i="3"/>
  <c r="B8261" i="3"/>
  <c r="C8261" i="3"/>
  <c r="B8262" i="3"/>
  <c r="C8262" i="3"/>
  <c r="B8263" i="3"/>
  <c r="C8263" i="3"/>
  <c r="B8264" i="3"/>
  <c r="C8264" i="3"/>
  <c r="B8265" i="3"/>
  <c r="C8265" i="3"/>
  <c r="B8266" i="3"/>
  <c r="C8266" i="3"/>
  <c r="B8267" i="3"/>
  <c r="C8267" i="3"/>
  <c r="B8268" i="3"/>
  <c r="C8268" i="3"/>
  <c r="B8269" i="3"/>
  <c r="C8269" i="3"/>
  <c r="B8270" i="3"/>
  <c r="C8270" i="3"/>
  <c r="B8271" i="3"/>
  <c r="C8271" i="3"/>
  <c r="B8272" i="3"/>
  <c r="C8272" i="3"/>
  <c r="B8273" i="3"/>
  <c r="C8273" i="3"/>
  <c r="C8252" i="3"/>
  <c r="B8252" i="3"/>
  <c r="F8248" i="3"/>
  <c r="G8248" i="3"/>
  <c r="F8249" i="3"/>
  <c r="G8249" i="3"/>
  <c r="F8250" i="3"/>
  <c r="G8250" i="3"/>
  <c r="F8251" i="3"/>
  <c r="G8251" i="3"/>
  <c r="F8252" i="3"/>
  <c r="G8252" i="3"/>
  <c r="F8253" i="3"/>
  <c r="G8253" i="3"/>
  <c r="F8254" i="3"/>
  <c r="G8254" i="3"/>
  <c r="F8255" i="3"/>
  <c r="G8255" i="3"/>
  <c r="F8256" i="3"/>
  <c r="G8256" i="3"/>
  <c r="F8257" i="3"/>
  <c r="G8257" i="3"/>
  <c r="F8258" i="3"/>
  <c r="G8258" i="3"/>
  <c r="F8259" i="3"/>
  <c r="G8259" i="3"/>
  <c r="F8260" i="3"/>
  <c r="G8260" i="3"/>
  <c r="F8261" i="3"/>
  <c r="G8261" i="3"/>
  <c r="F8262" i="3"/>
  <c r="G8262" i="3"/>
  <c r="F8263" i="3"/>
  <c r="G8263" i="3"/>
  <c r="F8264" i="3"/>
  <c r="G8264" i="3"/>
  <c r="F8265" i="3"/>
  <c r="G8265" i="3"/>
  <c r="F8266" i="3"/>
  <c r="G8266" i="3"/>
  <c r="F8267" i="3"/>
  <c r="G8267" i="3"/>
  <c r="F8268" i="3"/>
  <c r="G8268" i="3"/>
  <c r="F8269" i="3"/>
  <c r="G8269" i="3"/>
  <c r="F8270" i="3"/>
  <c r="G8270" i="3"/>
  <c r="F8271" i="3"/>
  <c r="G8271" i="3"/>
  <c r="F8272" i="3"/>
  <c r="G8272" i="3"/>
  <c r="F8273" i="3"/>
  <c r="G8273" i="3"/>
  <c r="F8274" i="3"/>
  <c r="G8274" i="3"/>
  <c r="F8275" i="3"/>
  <c r="G8275" i="3"/>
  <c r="F8276" i="3"/>
  <c r="G8276" i="3"/>
  <c r="F8277" i="3"/>
  <c r="G8277" i="3"/>
  <c r="F8278" i="3"/>
  <c r="G8278" i="3"/>
  <c r="F8279" i="3"/>
  <c r="G8279" i="3"/>
  <c r="F8280" i="3"/>
  <c r="G8280" i="3"/>
  <c r="F8281" i="3"/>
  <c r="G8281" i="3"/>
  <c r="F8282" i="3"/>
  <c r="G8282" i="3"/>
  <c r="F8283" i="3"/>
  <c r="G8283" i="3"/>
  <c r="F8284" i="3"/>
  <c r="G8284" i="3"/>
  <c r="F8285" i="3"/>
  <c r="G8285" i="3"/>
  <c r="F8286" i="3"/>
  <c r="G8286" i="3"/>
  <c r="F8287" i="3"/>
  <c r="G8287" i="3"/>
  <c r="F8288" i="3"/>
  <c r="G8288" i="3"/>
  <c r="F8289" i="3"/>
  <c r="G8289" i="3"/>
  <c r="F8290" i="3"/>
  <c r="G8290" i="3"/>
  <c r="F8291" i="3"/>
  <c r="G8291" i="3"/>
  <c r="F8292" i="3"/>
  <c r="G8292" i="3"/>
  <c r="F8293" i="3"/>
  <c r="G8293" i="3"/>
  <c r="F8294" i="3"/>
  <c r="G8294" i="3"/>
  <c r="F8295" i="3"/>
  <c r="G8295" i="3"/>
  <c r="F8296" i="3"/>
  <c r="G8296" i="3"/>
  <c r="F8297" i="3"/>
  <c r="G8297" i="3"/>
  <c r="F8298" i="3"/>
  <c r="G8298" i="3"/>
  <c r="F8299" i="3"/>
  <c r="G8299" i="3"/>
  <c r="F8300" i="3"/>
  <c r="G8300" i="3"/>
  <c r="F8301" i="3"/>
  <c r="G8301" i="3"/>
  <c r="F8302" i="3"/>
  <c r="G8302" i="3"/>
  <c r="F8303" i="3"/>
  <c r="G8303" i="3"/>
  <c r="F8304" i="3"/>
  <c r="G8304" i="3"/>
  <c r="F8305" i="3"/>
  <c r="G8305" i="3"/>
  <c r="F8306" i="3"/>
  <c r="G8306" i="3"/>
  <c r="F8307" i="3"/>
  <c r="G8307" i="3"/>
  <c r="F8308" i="3"/>
  <c r="G8308" i="3"/>
  <c r="F8309" i="3"/>
  <c r="G8309" i="3"/>
  <c r="F8310" i="3"/>
  <c r="G8310" i="3"/>
  <c r="F8311" i="3"/>
  <c r="G8311" i="3"/>
  <c r="F8312" i="3"/>
  <c r="G8312" i="3"/>
  <c r="F8313" i="3"/>
  <c r="G8313" i="3"/>
  <c r="F8314" i="3"/>
  <c r="G8314" i="3"/>
  <c r="F8315" i="3"/>
  <c r="G8315" i="3"/>
  <c r="F8316" i="3"/>
  <c r="G8316" i="3"/>
  <c r="F8317" i="3"/>
  <c r="G8317" i="3"/>
  <c r="F8318" i="3"/>
  <c r="G8318" i="3"/>
  <c r="F8319" i="3"/>
  <c r="G8319" i="3"/>
  <c r="F8320" i="3"/>
  <c r="G8320" i="3"/>
  <c r="F8321" i="3"/>
  <c r="G8321" i="3"/>
  <c r="F8322" i="3"/>
  <c r="G8322" i="3"/>
  <c r="F8323" i="3"/>
  <c r="G8323" i="3"/>
  <c r="F8324" i="3"/>
  <c r="G8324" i="3"/>
  <c r="F8325" i="3"/>
  <c r="G8325" i="3"/>
  <c r="F8326" i="3"/>
  <c r="G8326" i="3"/>
  <c r="F8327" i="3"/>
  <c r="G8327" i="3"/>
  <c r="F8328" i="3"/>
  <c r="G8328" i="3"/>
  <c r="F8329" i="3"/>
  <c r="G8329" i="3"/>
  <c r="F8330" i="3"/>
  <c r="G8330" i="3"/>
  <c r="F8331" i="3"/>
  <c r="G8331" i="3"/>
  <c r="F8332" i="3"/>
  <c r="G8332" i="3"/>
  <c r="F8333" i="3"/>
  <c r="G8333" i="3"/>
  <c r="F8334" i="3"/>
  <c r="G8334" i="3"/>
  <c r="F8335" i="3"/>
  <c r="G8335" i="3"/>
  <c r="F8336" i="3"/>
  <c r="G8336" i="3"/>
  <c r="F8337" i="3"/>
  <c r="G8337" i="3"/>
  <c r="F8338" i="3"/>
  <c r="G8338" i="3"/>
  <c r="F8339" i="3"/>
  <c r="G8339" i="3"/>
  <c r="F8340" i="3"/>
  <c r="G8340" i="3"/>
  <c r="F8341" i="3"/>
  <c r="G8341" i="3"/>
  <c r="F8342" i="3"/>
  <c r="G8342" i="3"/>
  <c r="F8343" i="3"/>
  <c r="G8343" i="3"/>
  <c r="F8344" i="3"/>
  <c r="G8344" i="3"/>
  <c r="F8345" i="3"/>
  <c r="G8345" i="3"/>
  <c r="B8231" i="3"/>
  <c r="C8231" i="3"/>
  <c r="B8232" i="3"/>
  <c r="C8232" i="3"/>
  <c r="B8233" i="3"/>
  <c r="C8233" i="3"/>
  <c r="B8234" i="3"/>
  <c r="C8234" i="3"/>
  <c r="B8235" i="3"/>
  <c r="C8235" i="3"/>
  <c r="B8236" i="3"/>
  <c r="C8236" i="3"/>
  <c r="B8237" i="3"/>
  <c r="C8237" i="3"/>
  <c r="B8238" i="3"/>
  <c r="C8238" i="3"/>
  <c r="B8239" i="3"/>
  <c r="C8239" i="3"/>
  <c r="B8240" i="3"/>
  <c r="C8240" i="3"/>
  <c r="B8241" i="3"/>
  <c r="C8241" i="3"/>
  <c r="B8242" i="3"/>
  <c r="C8242" i="3"/>
  <c r="B8243" i="3"/>
  <c r="C8243" i="3"/>
  <c r="B8244" i="3"/>
  <c r="C8244" i="3"/>
  <c r="B8245" i="3"/>
  <c r="C8245" i="3"/>
  <c r="B8246" i="3"/>
  <c r="C8246" i="3"/>
  <c r="B8247" i="3"/>
  <c r="C8247" i="3"/>
  <c r="B8248" i="3"/>
  <c r="C8248" i="3"/>
  <c r="B8249" i="3"/>
  <c r="C8249" i="3"/>
  <c r="B8250" i="3"/>
  <c r="C8250" i="3"/>
  <c r="B8251" i="3"/>
  <c r="C8251" i="3"/>
  <c r="C8230" i="3"/>
  <c r="B8230" i="3"/>
  <c r="B8209" i="3"/>
  <c r="C8209" i="3"/>
  <c r="B8210" i="3"/>
  <c r="C8210" i="3"/>
  <c r="B8211" i="3"/>
  <c r="C8211" i="3"/>
  <c r="B8212" i="3"/>
  <c r="C8212" i="3"/>
  <c r="B8213" i="3"/>
  <c r="C8213" i="3"/>
  <c r="B8214" i="3"/>
  <c r="C8214" i="3"/>
  <c r="B8215" i="3"/>
  <c r="C8215" i="3"/>
  <c r="B8216" i="3"/>
  <c r="C8216" i="3"/>
  <c r="B8217" i="3"/>
  <c r="C8217" i="3"/>
  <c r="B8218" i="3"/>
  <c r="C8218" i="3"/>
  <c r="B8219" i="3"/>
  <c r="C8219" i="3"/>
  <c r="B8220" i="3"/>
  <c r="C8220" i="3"/>
  <c r="B8221" i="3"/>
  <c r="C8221" i="3"/>
  <c r="B8222" i="3"/>
  <c r="C8222" i="3"/>
  <c r="B8223" i="3"/>
  <c r="C8223" i="3"/>
  <c r="B8224" i="3"/>
  <c r="C8224" i="3"/>
  <c r="B8225" i="3"/>
  <c r="C8225" i="3"/>
  <c r="B8226" i="3"/>
  <c r="C8226" i="3"/>
  <c r="B8227" i="3"/>
  <c r="C8227" i="3"/>
  <c r="B8228" i="3"/>
  <c r="C8228" i="3"/>
  <c r="B8229" i="3"/>
  <c r="C8229" i="3"/>
  <c r="C8208" i="3"/>
  <c r="B8208" i="3"/>
  <c r="B8187" i="3"/>
  <c r="C8187" i="3"/>
  <c r="B8188" i="3"/>
  <c r="C8188" i="3"/>
  <c r="B8189" i="3"/>
  <c r="C8189" i="3"/>
  <c r="B8190" i="3"/>
  <c r="C8190" i="3"/>
  <c r="B8191" i="3"/>
  <c r="C8191" i="3"/>
  <c r="B8192" i="3"/>
  <c r="C8192" i="3"/>
  <c r="B8193" i="3"/>
  <c r="C8193" i="3"/>
  <c r="B8194" i="3"/>
  <c r="C8194" i="3"/>
  <c r="B8195" i="3"/>
  <c r="C8195" i="3"/>
  <c r="B8196" i="3"/>
  <c r="C8196" i="3"/>
  <c r="B8197" i="3"/>
  <c r="C8197" i="3"/>
  <c r="B8198" i="3"/>
  <c r="C8198" i="3"/>
  <c r="B8199" i="3"/>
  <c r="C8199" i="3"/>
  <c r="B8200" i="3"/>
  <c r="C8200" i="3"/>
  <c r="B8201" i="3"/>
  <c r="C8201" i="3"/>
  <c r="B8202" i="3"/>
  <c r="C8202" i="3"/>
  <c r="B8203" i="3"/>
  <c r="C8203" i="3"/>
  <c r="B8204" i="3"/>
  <c r="C8204" i="3"/>
  <c r="B8205" i="3"/>
  <c r="C8205" i="3"/>
  <c r="B8206" i="3"/>
  <c r="C8206" i="3"/>
  <c r="B8207" i="3"/>
  <c r="C8207" i="3"/>
  <c r="C8186" i="3"/>
  <c r="B8186" i="3"/>
  <c r="D8143" i="3"/>
  <c r="D8144" i="3"/>
  <c r="D8145" i="3"/>
  <c r="D8146" i="3"/>
  <c r="D8147" i="3"/>
  <c r="D8148" i="3"/>
  <c r="D8149" i="3"/>
  <c r="D8150" i="3"/>
  <c r="D8151" i="3"/>
  <c r="D8152" i="3"/>
  <c r="D8153" i="3"/>
  <c r="D8154" i="3"/>
  <c r="D8155" i="3"/>
  <c r="D8156" i="3"/>
  <c r="D8157" i="3"/>
  <c r="D8158" i="3"/>
  <c r="D8159" i="3"/>
  <c r="D8160" i="3"/>
  <c r="D8161" i="3"/>
  <c r="D8162" i="3"/>
  <c r="D8163" i="3"/>
  <c r="B8160" i="3"/>
  <c r="C8160" i="3"/>
  <c r="B8161" i="3"/>
  <c r="C8161" i="3"/>
  <c r="B8162" i="3"/>
  <c r="C8162" i="3"/>
  <c r="B8163" i="3"/>
  <c r="C8163" i="3"/>
  <c r="B8143" i="3"/>
  <c r="C8143" i="3"/>
  <c r="B8144" i="3"/>
  <c r="C8144" i="3"/>
  <c r="B8145" i="3"/>
  <c r="C8145" i="3"/>
  <c r="B8146" i="3"/>
  <c r="C8146" i="3"/>
  <c r="B8147" i="3"/>
  <c r="C8147" i="3"/>
  <c r="B8148" i="3"/>
  <c r="C8148" i="3"/>
  <c r="B8149" i="3"/>
  <c r="C8149" i="3"/>
  <c r="B8150" i="3"/>
  <c r="C8150" i="3"/>
  <c r="B8151" i="3"/>
  <c r="C8151" i="3"/>
  <c r="B8152" i="3"/>
  <c r="C8152" i="3"/>
  <c r="B8153" i="3"/>
  <c r="C8153" i="3"/>
  <c r="B8154" i="3"/>
  <c r="C8154" i="3"/>
  <c r="B8155" i="3"/>
  <c r="C8155" i="3"/>
  <c r="B8156" i="3"/>
  <c r="C8156" i="3"/>
  <c r="B8157" i="3"/>
  <c r="C8157" i="3"/>
  <c r="B8158" i="3"/>
  <c r="C8158" i="3"/>
  <c r="B8159" i="3"/>
  <c r="C8159" i="3"/>
  <c r="C8142" i="3"/>
  <c r="B8142" i="3"/>
  <c r="F8142" i="3"/>
  <c r="G8142" i="3"/>
  <c r="F8122" i="3"/>
  <c r="G8122" i="3"/>
  <c r="D8122" i="3"/>
  <c r="D8123" i="3"/>
  <c r="D8124" i="3"/>
  <c r="D8125" i="3"/>
  <c r="D8126" i="3"/>
  <c r="D8127" i="3"/>
  <c r="D8128" i="3"/>
  <c r="D8129" i="3"/>
  <c r="D8130" i="3"/>
  <c r="D8131" i="3"/>
  <c r="D8132" i="3"/>
  <c r="D8133" i="3"/>
  <c r="D8134" i="3"/>
  <c r="D8135" i="3"/>
  <c r="D8136" i="3"/>
  <c r="D8137" i="3"/>
  <c r="D8138" i="3"/>
  <c r="D8139" i="3"/>
  <c r="D8140" i="3"/>
  <c r="D8141" i="3"/>
  <c r="B8138" i="3"/>
  <c r="C8138" i="3"/>
  <c r="B8139" i="3"/>
  <c r="C8139" i="3"/>
  <c r="B8140" i="3"/>
  <c r="C8140" i="3"/>
  <c r="B8141" i="3"/>
  <c r="C8141" i="3"/>
  <c r="B8122" i="3"/>
  <c r="C8122" i="3"/>
  <c r="B8123" i="3"/>
  <c r="C8123" i="3"/>
  <c r="B8124" i="3"/>
  <c r="C8124" i="3"/>
  <c r="B8125" i="3"/>
  <c r="C8125" i="3"/>
  <c r="B8126" i="3"/>
  <c r="C8126" i="3"/>
  <c r="B8127" i="3"/>
  <c r="C8127" i="3"/>
  <c r="B8128" i="3"/>
  <c r="C8128" i="3"/>
  <c r="B8129" i="3"/>
  <c r="C8129" i="3"/>
  <c r="B8130" i="3"/>
  <c r="C8130" i="3"/>
  <c r="B8131" i="3"/>
  <c r="C8131" i="3"/>
  <c r="B8132" i="3"/>
  <c r="C8132" i="3"/>
  <c r="B8133" i="3"/>
  <c r="C8133" i="3"/>
  <c r="B8134" i="3"/>
  <c r="C8134" i="3"/>
  <c r="B8135" i="3"/>
  <c r="C8135" i="3"/>
  <c r="B8136" i="3"/>
  <c r="C8136" i="3"/>
  <c r="B8137" i="3"/>
  <c r="C8137" i="3"/>
  <c r="C8121" i="3"/>
  <c r="B8121" i="3"/>
  <c r="D8142" i="3"/>
  <c r="J8142" i="3" s="1"/>
  <c r="D8121" i="3"/>
  <c r="H8165" i="3"/>
  <c r="I8165" i="3"/>
  <c r="I8171" i="3"/>
  <c r="D932" i="3" a="1"/>
  <c r="D1895" i="3" a="1"/>
  <c r="D1307" i="3" a="1"/>
  <c r="D1028" i="3" a="1"/>
  <c r="D952" i="3" a="1"/>
  <c r="D1845" i="3" a="1"/>
  <c r="D988" i="3" a="1"/>
  <c r="D1696" i="3" a="1"/>
  <c r="D2495" i="3" a="1"/>
  <c r="D2470" i="3" a="1"/>
  <c r="D1322" i="3" a="1"/>
  <c r="D2468" i="3" a="1"/>
  <c r="D1665" i="3" a="1"/>
  <c r="D943" i="3" a="1"/>
  <c r="D2034" i="3" a="1"/>
  <c r="D8496" i="3" a="1"/>
  <c r="D1139" i="3" a="1"/>
  <c r="D922" i="3" a="1"/>
  <c r="D1440" i="3" a="1"/>
  <c r="D1699" i="3" a="1"/>
  <c r="D1085" i="3" a="1"/>
  <c r="D1655" i="3" a="1"/>
  <c r="D1720" i="3" a="1"/>
  <c r="D1578" i="3" a="1"/>
  <c r="D1303" i="3" a="1"/>
  <c r="D1395" i="3" a="1"/>
  <c r="D2399" i="3" a="1"/>
  <c r="D1505" i="3" a="1"/>
  <c r="D1638" i="3" a="1"/>
  <c r="D1695" i="3" a="1"/>
  <c r="D887" i="3" a="1"/>
  <c r="D1744" i="3" a="1"/>
  <c r="D1618" i="3" a="1"/>
  <c r="D1903" i="3" a="1"/>
  <c r="D2020" i="3" a="1"/>
  <c r="D931" i="3" a="1"/>
  <c r="D1381" i="3" a="1"/>
  <c r="D2464" i="3" a="1"/>
  <c r="D832" i="3" a="1"/>
  <c r="D1331" i="3" a="1"/>
  <c r="D1040" i="3" a="1"/>
  <c r="D1143" i="3" a="1"/>
  <c r="D1191" i="3" a="1"/>
  <c r="D1419" i="3" a="1"/>
  <c r="D1493" i="3" a="1"/>
  <c r="D1352" i="3" a="1"/>
  <c r="D1966" i="3" a="1"/>
  <c r="D1994" i="3" a="1"/>
  <c r="D1365" i="3" a="1"/>
  <c r="D1567" i="3" a="1"/>
  <c r="D1822" i="3" a="1"/>
  <c r="D1905" i="3" a="1"/>
  <c r="D1241" i="3" a="1"/>
  <c r="D838" i="3" a="1"/>
  <c r="D8599" i="3" a="1"/>
  <c r="D1652" i="3" a="1"/>
  <c r="D8506" i="3" a="1"/>
  <c r="D8507" i="3" a="1"/>
  <c r="D2504" i="3" a="1"/>
  <c r="D1637" i="3" a="1"/>
  <c r="D1571" i="3" a="1"/>
  <c r="D2466" i="3" a="1"/>
  <c r="D1298" i="3" a="1"/>
  <c r="D1770" i="3" a="1"/>
  <c r="D1614" i="3" a="1"/>
  <c r="D1215" i="3" a="1"/>
  <c r="D1097" i="3" a="1"/>
  <c r="D1086" i="3" a="1"/>
  <c r="D119" i="3" a="1"/>
  <c r="D1509" i="3" a="1"/>
  <c r="D1138" i="3" a="1"/>
  <c r="D1431" i="3" a="1"/>
  <c r="D2498" i="3" a="1"/>
  <c r="D1410" i="3" a="1"/>
  <c r="D955" i="3" a="1"/>
  <c r="D1568" i="3" a="1"/>
  <c r="D1216" i="3" a="1"/>
  <c r="D1732" i="3" a="1"/>
  <c r="D1558" i="3" a="1"/>
  <c r="D1006" i="3" a="1"/>
  <c r="D1073" i="3" a="1"/>
  <c r="D1959" i="3" a="1"/>
  <c r="D1475" i="3" a="1"/>
  <c r="D1494" i="3" a="1"/>
  <c r="D1941" i="3" a="1"/>
  <c r="D1736" i="3" a="1"/>
  <c r="D1735" i="3" a="1"/>
  <c r="D1055" i="3" a="1"/>
  <c r="D851" i="3" a="1"/>
  <c r="D2021" i="3" a="1"/>
  <c r="D1370" i="3" a="1"/>
  <c r="D1105" i="3" a="1"/>
  <c r="D833" i="3" a="1"/>
  <c r="D1884" i="3" a="1"/>
  <c r="D1362" i="3" a="1"/>
  <c r="D908" i="3" a="1"/>
  <c r="D847" i="3" a="1"/>
  <c r="D8073" i="3" a="1"/>
  <c r="D1634" i="3" a="1"/>
  <c r="D929" i="3" a="1"/>
  <c r="D1353" i="3" a="1"/>
  <c r="D1364" i="3" a="1"/>
  <c r="D1256" i="3" a="1"/>
  <c r="D1763" i="3" a="1"/>
  <c r="D876" i="3" a="1"/>
  <c r="D1525" i="3" a="1"/>
  <c r="D1033" i="3" a="1"/>
  <c r="D1308" i="3" a="1"/>
  <c r="D829" i="3" a="1"/>
  <c r="D1888" i="3" a="1"/>
  <c r="D1378" i="3" a="1"/>
  <c r="D1207" i="3" a="1"/>
  <c r="D917" i="3" a="1"/>
  <c r="D1120" i="3" a="1"/>
  <c r="D1003" i="3" a="1"/>
  <c r="D1168" i="3" a="1"/>
  <c r="D1803" i="3" a="1"/>
  <c r="D1243" i="3" a="1"/>
  <c r="D8487" i="3" a="1"/>
  <c r="D995" i="3" a="1"/>
  <c r="D1338" i="3" a="1"/>
  <c r="D1106" i="3" a="1"/>
  <c r="D1050" i="3" a="1"/>
  <c r="D1398" i="3" a="1"/>
  <c r="D1445" i="3" a="1"/>
  <c r="D2515" i="3" a="1"/>
  <c r="D1481" i="3" a="1"/>
  <c r="D1887" i="3" a="1"/>
  <c r="D1474" i="3" a="1"/>
  <c r="D1501" i="3" a="1"/>
  <c r="D1203" i="3" a="1"/>
  <c r="D1540" i="3" a="1"/>
  <c r="D1125" i="3" a="1"/>
  <c r="D1041" i="3" a="1"/>
  <c r="D8498" i="3" a="1"/>
  <c r="D962" i="3" a="1"/>
  <c r="D1373" i="3" a="1"/>
  <c r="D126" i="3" a="1"/>
  <c r="D1311" i="3" a="1"/>
  <c r="D8606" i="3" a="1"/>
  <c r="D1118" i="3" a="1"/>
  <c r="D1999" i="3" a="1"/>
  <c r="D1480" i="3" a="1"/>
  <c r="D1670" i="3" a="1"/>
  <c r="D1814" i="3" a="1"/>
  <c r="D1801" i="3" a="1"/>
  <c r="D1328" i="3" a="1"/>
  <c r="D2499" i="3" a="1"/>
  <c r="D1470" i="3" a="1"/>
  <c r="D8597" i="3" a="1"/>
  <c r="D1664" i="3" a="1"/>
  <c r="D8037" i="3" a="1"/>
  <c r="D1899" i="3" a="1"/>
  <c r="D1463" i="3" a="1"/>
  <c r="D951" i="3" a="1"/>
  <c r="D8497" i="3" a="1"/>
  <c r="D1367" i="3" a="1"/>
  <c r="D1178" i="3" a="1"/>
  <c r="D2506" i="3" a="1"/>
  <c r="D1745" i="3" a="1"/>
  <c r="J4" i="83" a="1"/>
  <c r="D121" i="3" a="1"/>
  <c r="D2494" i="3" a="1"/>
  <c r="D1262" i="3" a="1"/>
  <c r="D947" i="3" a="1"/>
  <c r="D1861" i="3" a="1"/>
  <c r="D1013" i="3" a="1"/>
  <c r="D1299" i="3" a="1"/>
  <c r="D1626" i="3" a="1"/>
  <c r="D961" i="3" a="1"/>
  <c r="D2036" i="3" a="1"/>
  <c r="D8601" i="3" a="1"/>
  <c r="D1142" i="3" a="1"/>
  <c r="D2501" i="3" a="1"/>
  <c r="D1479" i="3" a="1"/>
  <c r="D2516" i="3" a="1"/>
  <c r="D1114" i="3" a="1"/>
  <c r="D1451" i="3" a="1"/>
  <c r="D1827" i="3" a="1"/>
  <c r="D1031" i="3" a="1"/>
  <c r="D2519" i="3" a="1"/>
  <c r="D1183" i="3" a="1"/>
  <c r="D2041" i="3" a="1"/>
  <c r="D1345" i="3" a="1"/>
  <c r="D869" i="3" a="1"/>
  <c r="D1347" i="3" a="1"/>
  <c r="D902" i="3" a="1"/>
  <c r="D1066" i="3" a="1"/>
  <c r="D967" i="3" a="1"/>
  <c r="D1524" i="3" a="1"/>
  <c r="D968" i="3" a="1"/>
  <c r="D2492" i="3" a="1"/>
  <c r="D1196" i="3" a="1"/>
  <c r="D1654" i="3" a="1"/>
  <c r="D1964" i="3" a="1"/>
  <c r="D2003" i="3" a="1"/>
  <c r="D1737" i="3" a="1"/>
  <c r="D1213" i="3" a="1"/>
  <c r="D1536" i="3" a="1"/>
  <c r="D942" i="3" a="1"/>
  <c r="D1047" i="3" a="1"/>
  <c r="D120" i="3" a="1"/>
  <c r="D2398" i="3" a="1"/>
  <c r="D1039" i="3" a="1"/>
  <c r="D1018" i="3" a="1"/>
  <c r="D2479" i="3" a="1"/>
  <c r="D1042" i="3" a="1"/>
  <c r="D8595" i="3" a="1"/>
  <c r="D1739" i="3" a="1"/>
  <c r="D1261" i="3" a="1"/>
  <c r="D1346" i="3" a="1"/>
  <c r="D2522" i="3" a="1"/>
  <c r="D1300" i="3" a="1"/>
  <c r="D1127" i="3" a="1"/>
  <c r="D1823" i="3" a="1"/>
  <c r="D2493" i="3" a="1"/>
  <c r="D1550" i="3" a="1"/>
  <c r="D1176" i="3" a="1"/>
  <c r="D1709" i="3" a="1"/>
  <c r="D8056" i="3" a="1"/>
  <c r="D2042" i="3" a="1"/>
  <c r="D1831" i="3" a="1"/>
  <c r="D884" i="3" a="1"/>
  <c r="D1645" i="3" a="1"/>
  <c r="D1416" i="3" a="1"/>
  <c r="D1020" i="3" a="1"/>
  <c r="D1032" i="3" a="1"/>
  <c r="D2481" i="3" a="1"/>
  <c r="D907" i="3" a="1"/>
  <c r="D1270" i="3" a="1"/>
  <c r="D1218" i="3" a="1"/>
  <c r="D1012" i="3" a="1"/>
  <c r="D1280" i="3" a="1"/>
  <c r="D1456" i="3" a="1"/>
  <c r="D1856" i="3" a="1"/>
  <c r="D1765" i="3" a="1"/>
  <c r="D1836" i="3" a="1"/>
  <c r="D981" i="3" a="1"/>
  <c r="D1830" i="3" a="1"/>
  <c r="D1786" i="3" a="1"/>
  <c r="D8032" i="3" a="1"/>
  <c r="D1060" i="3" a="1"/>
  <c r="D1312" i="3" a="1"/>
  <c r="D936" i="3" a="1"/>
  <c r="D1443" i="3" a="1"/>
  <c r="D1186" i="3" a="1"/>
  <c r="D939" i="3" a="1"/>
  <c r="D1879" i="3" a="1"/>
  <c r="D1411" i="3" a="1"/>
  <c r="D1585" i="3" a="1"/>
  <c r="D1582" i="3" a="1"/>
  <c r="D1738" i="3" a="1"/>
  <c r="D839" i="3" a="1"/>
  <c r="D889" i="3" a="1"/>
  <c r="D971" i="3" a="1"/>
  <c r="D990" i="3" a="1"/>
  <c r="D1834" i="3" a="1"/>
  <c r="D910" i="3" a="1"/>
  <c r="D1855" i="3" a="1"/>
  <c r="D1714" i="3" a="1"/>
  <c r="D1198" i="3" a="1"/>
  <c r="D1442" i="3" a="1"/>
  <c r="D2509" i="3" a="1"/>
  <c r="D1441" i="3" a="1"/>
  <c r="D1680" i="3" a="1"/>
  <c r="D8036" i="3" a="1"/>
  <c r="D1488" i="3" a="1"/>
  <c r="D1565" i="3" a="1"/>
  <c r="D1103" i="3" a="1"/>
  <c r="D1640" i="3" a="1"/>
  <c r="D1692" i="3" a="1"/>
  <c r="D1265" i="3" a="1"/>
  <c r="D2030" i="3" a="1"/>
  <c r="D8509" i="3" a="1"/>
  <c r="D946" i="3" a="1"/>
  <c r="D873" i="3" a="1"/>
  <c r="D1607" i="3" a="1"/>
  <c r="D1673" i="3" a="1"/>
  <c r="D1611" i="3" a="1"/>
  <c r="D1036" i="3" a="1"/>
  <c r="D901" i="3" a="1"/>
  <c r="D1287" i="3" a="1"/>
  <c r="D1951" i="3" a="1"/>
  <c r="D2001" i="3" a="1"/>
  <c r="D1839" i="3" a="1"/>
  <c r="D1700" i="3" a="1"/>
  <c r="D8602" i="3" a="1"/>
  <c r="D116" i="3" a="1"/>
  <c r="D2028" i="3" a="1"/>
  <c r="D1891" i="3" a="1"/>
  <c r="D985" i="3" a="1"/>
  <c r="D2007" i="3" a="1"/>
  <c r="D1175" i="3" a="1"/>
  <c r="D1396" i="3" a="1"/>
  <c r="D1253" i="3" a="1"/>
  <c r="D1017" i="3" a="1"/>
  <c r="D2486" i="3" a="1"/>
  <c r="D1984" i="3" a="1"/>
  <c r="D1478" i="3" a="1"/>
  <c r="D123" i="3" a="1"/>
  <c r="D1990" i="3" a="1"/>
  <c r="D863" i="3" a="1"/>
  <c r="D1537" i="3" a="1"/>
  <c r="D1224" i="3" a="1"/>
  <c r="D852" i="3" a="1"/>
  <c r="D1067" i="3" a="1"/>
  <c r="D882" i="3" a="1"/>
  <c r="D112" i="3" a="1"/>
  <c r="D973" i="3" a="1"/>
  <c r="D941" i="3" a="1"/>
  <c r="D134" i="3" a="1"/>
  <c r="D2002" i="3" a="1"/>
  <c r="D1360" i="3" a="1"/>
  <c r="D1001" i="3" a="1"/>
  <c r="D1289" i="3" a="1"/>
  <c r="D2478" i="3" a="1"/>
  <c r="D1348" i="3" a="1"/>
  <c r="D1559" i="3" a="1"/>
  <c r="D8046" i="3" a="1"/>
  <c r="D8490" i="3" a="1"/>
  <c r="D1321" i="3" a="1"/>
  <c r="D1965" i="3" a="1"/>
  <c r="D1572" i="3" a="1"/>
  <c r="D1132" i="3" a="1"/>
  <c r="D652" i="3" a="1"/>
  <c r="D926" i="3" a="1"/>
  <c r="D1469" i="3" a="1"/>
  <c r="D1771" i="3" a="1"/>
  <c r="D1056" i="3" a="1"/>
  <c r="D1172" i="3" a="1"/>
  <c r="D1740" i="3" a="1"/>
  <c r="D1162" i="3" a="1"/>
  <c r="D1401" i="3" a="1"/>
  <c r="D1843" i="3" a="1"/>
  <c r="D1179" i="3" a="1"/>
  <c r="D1729" i="3" a="1"/>
  <c r="D1632" i="3" a="1"/>
  <c r="D1024" i="3" a="1"/>
  <c r="D1973" i="3" a="1"/>
  <c r="D1408" i="3" a="1"/>
  <c r="D658" i="3" a="1"/>
  <c r="D1182" i="3" a="1"/>
  <c r="D1380" i="3" a="1"/>
  <c r="D984" i="3" a="1"/>
  <c r="D1874" i="3" a="1"/>
  <c r="D1564" i="3" a="1"/>
  <c r="D8045" i="3" a="1"/>
  <c r="D1518" i="3" a="1"/>
  <c r="D1998" i="3" a="1"/>
  <c r="D1597" i="3" a="1"/>
  <c r="D2008" i="3" a="1"/>
  <c r="D1605" i="3" a="1"/>
  <c r="D938" i="3" a="1"/>
  <c r="D8615" i="3" a="1"/>
  <c r="D904" i="3" a="1"/>
  <c r="D2029" i="3" a="1"/>
  <c r="D8518" i="3" a="1"/>
  <c r="D1109" i="3" a="1"/>
  <c r="D1868" i="3" a="1"/>
  <c r="D1460" i="3" a="1"/>
  <c r="D1961" i="3" a="1"/>
  <c r="D1482" i="3" a="1"/>
  <c r="D913" i="3" a="1"/>
  <c r="D1452" i="3" a="1"/>
  <c r="D1011" i="3" a="1"/>
  <c r="D1000" i="3" a="1"/>
  <c r="D1123" i="3" a="1"/>
  <c r="D1140" i="3" a="1"/>
  <c r="D1985" i="3" a="1"/>
  <c r="D958" i="3" a="1"/>
  <c r="D1820" i="3" a="1"/>
  <c r="D1205" i="3" a="1"/>
  <c r="D1137" i="3" a="1"/>
  <c r="D915" i="3" a="1"/>
  <c r="D980" i="3" a="1"/>
  <c r="D1293" i="3" a="1"/>
  <c r="D1944" i="3" a="1"/>
  <c r="D1446" i="3" a="1"/>
  <c r="D1163" i="3" a="1"/>
  <c r="D1225" i="3" a="1"/>
  <c r="D1530" i="3" a="1"/>
  <c r="D1095" i="3" a="1"/>
  <c r="D1228" i="3" a="1"/>
  <c r="D2024" i="3" a="1"/>
  <c r="D925" i="3" a="1"/>
  <c r="H8630" i="3"/>
  <c r="D2011" i="3" a="1"/>
  <c r="D1277" i="3" a="1"/>
  <c r="D1269" i="3" a="1"/>
  <c r="D1946" i="3" a="1"/>
  <c r="D1473" i="3" a="1"/>
  <c r="D1492" i="3" a="1"/>
  <c r="Q4" i="83" a="1"/>
  <c r="D8504" i="3" a="1"/>
  <c r="D1561" i="3" a="1"/>
  <c r="D1876" i="3" a="1"/>
  <c r="D1049" i="3" a="1"/>
  <c r="D1177" i="3" a="1"/>
  <c r="D896" i="3" a="1"/>
  <c r="D1947" i="3" a="1"/>
  <c r="D2520" i="3" a="1"/>
  <c r="D1594" i="3" a="1"/>
  <c r="D1019" i="3" a="1"/>
  <c r="D1777" i="3" a="1"/>
  <c r="D1104" i="3" a="1"/>
  <c r="D1527" i="3" a="1"/>
  <c r="I8630" i="3"/>
  <c r="D1848" i="3" a="1"/>
  <c r="D1863" i="3" a="1"/>
  <c r="D1598" i="3" a="1"/>
  <c r="D1880" i="3" a="1"/>
  <c r="D865" i="3" a="1"/>
  <c r="D1788" i="3" a="1"/>
  <c r="D1989" i="3" a="1"/>
  <c r="D128" i="3" a="1"/>
  <c r="D899" i="3" a="1"/>
  <c r="D1651" i="3" a="1"/>
  <c r="D1675" i="3" a="1"/>
  <c r="D1064" i="3" a="1"/>
  <c r="D1691" i="3" a="1"/>
  <c r="D1252" i="3" a="1"/>
  <c r="D855" i="3" a="1"/>
  <c r="D1430" i="3" a="1"/>
  <c r="D1986" i="3" a="1"/>
  <c r="D1296" i="3" a="1"/>
  <c r="D2523" i="3" a="1"/>
  <c r="D127" i="3" a="1"/>
  <c r="D2487" i="3" a="1"/>
  <c r="D1136" i="3" a="1"/>
  <c r="D1683" i="3" a="1"/>
  <c r="D1939" i="3" a="1"/>
  <c r="D1650" i="3" a="1"/>
  <c r="D1027" i="3" a="1"/>
  <c r="D1190" i="3" a="1"/>
  <c r="D2474" i="3" a="1"/>
  <c r="D8072" i="3" a="1"/>
  <c r="D923" i="3" a="1"/>
  <c r="D1864" i="3" a="1"/>
  <c r="D2510" i="3" a="1"/>
  <c r="D1388" i="3" a="1"/>
  <c r="D1721" i="3" a="1"/>
  <c r="D8613" i="3" a="1"/>
  <c r="D1350" i="3" a="1"/>
  <c r="K4" i="83" a="1"/>
  <c r="D1950" i="3" a="1"/>
  <c r="D1698" i="3" a="1"/>
  <c r="D1541" i="3" a="1"/>
  <c r="D1459" i="3" a="1"/>
  <c r="D1595" i="3" a="1"/>
  <c r="D1988" i="3" a="1"/>
  <c r="D1601" i="3" a="1"/>
  <c r="D1062" i="3" a="1"/>
  <c r="D1155" i="3" a="1"/>
  <c r="D1315" i="3" a="1"/>
  <c r="D862" i="3" a="1"/>
  <c r="D1983" i="3" a="1"/>
  <c r="D1409" i="3" a="1"/>
  <c r="D1078" i="3" a="1"/>
  <c r="D1731" i="3" a="1"/>
  <c r="D934" i="3" a="1"/>
  <c r="D1222" i="3" a="1"/>
  <c r="D1007" i="3" a="1"/>
  <c r="D1226" i="3" a="1"/>
  <c r="D1875" i="3" a="1"/>
  <c r="D8508" i="3" a="1"/>
  <c r="D948" i="3" a="1"/>
  <c r="D1828" i="3" a="1"/>
  <c r="D1885" i="3" a="1"/>
  <c r="D1195" i="3" a="1"/>
  <c r="D1574" i="3" a="1"/>
  <c r="D1211" i="3" a="1"/>
  <c r="D1327" i="3" a="1"/>
  <c r="D1046" i="3" a="1"/>
  <c r="D657" i="3" a="1"/>
  <c r="D2490" i="3" a="1"/>
  <c r="D1282" i="3" a="1"/>
  <c r="D1871" i="3" a="1"/>
  <c r="D1236" i="3" a="1"/>
  <c r="D2497" i="3" a="1"/>
  <c r="D1209" i="3" a="1"/>
  <c r="D898" i="3" a="1"/>
  <c r="D1180" i="3" a="1"/>
  <c r="D1519" i="3" a="1"/>
  <c r="D1562" i="3" a="1"/>
  <c r="D1575" i="3" a="1"/>
  <c r="D1487" i="3" a="1"/>
  <c r="D1620" i="3" a="1"/>
  <c r="D1555" i="3" a="1"/>
  <c r="D1044" i="3" a="1"/>
  <c r="D1022" i="3" a="1"/>
  <c r="D1128" i="3" a="1"/>
  <c r="D1520" i="3" a="1"/>
  <c r="D1454" i="3" a="1"/>
  <c r="D1258" i="3" a="1"/>
  <c r="D986" i="3" a="1"/>
  <c r="O4" i="83" a="1"/>
  <c r="D2039" i="3" a="1"/>
  <c r="D1093" i="3" a="1"/>
  <c r="D1173" i="3" a="1"/>
  <c r="D1980" i="3" a="1"/>
  <c r="D1259" i="3" a="1"/>
  <c r="D1727" i="3" a="1"/>
  <c r="D1833" i="3" a="1"/>
  <c r="D1148" i="3" a="1"/>
  <c r="D1563" i="3" a="1"/>
  <c r="D1837" i="3" a="1"/>
  <c r="I10428" i="3"/>
  <c r="D881" i="3" a="1"/>
  <c r="D861" i="3" a="1"/>
  <c r="D2480" i="3" a="1"/>
  <c r="D1799" i="3" a="1"/>
  <c r="D1853" i="3" a="1"/>
  <c r="D654" i="3" a="1"/>
  <c r="D2484" i="3" a="1"/>
  <c r="D1581" i="3" a="1"/>
  <c r="D1292" i="3" a="1"/>
  <c r="D1753" i="3" a="1"/>
  <c r="D1134" i="3" a="1"/>
  <c r="D969" i="3" a="1"/>
  <c r="D1189" i="3" a="1"/>
  <c r="D1768" i="3" a="1"/>
  <c r="D2022" i="3" a="1"/>
  <c r="D1522" i="3" a="1"/>
  <c r="D1993" i="3" a="1"/>
  <c r="D1631" i="3" a="1"/>
  <c r="D1710" i="3" a="1"/>
  <c r="D846" i="3" a="1"/>
  <c r="D1333" i="3" a="1"/>
  <c r="D8605" i="3" a="1"/>
  <c r="D115" i="3" a="1"/>
  <c r="D1471" i="3" a="1"/>
  <c r="D1317" i="3" a="1"/>
  <c r="D1206" i="3" a="1"/>
  <c r="D1725" i="3" a="1"/>
  <c r="D1113" i="3" a="1"/>
  <c r="D8080" i="3" a="1"/>
  <c r="D1977" i="3" a="1"/>
  <c r="D1272" i="3" a="1"/>
  <c r="D1324" i="3" a="1"/>
  <c r="D1286" i="3" a="1"/>
  <c r="D1271" i="3" a="1"/>
  <c r="D8499" i="3" a="1"/>
  <c r="D1952" i="3" a="1"/>
  <c r="D8607" i="3" a="1"/>
  <c r="D1220" i="3" a="1"/>
  <c r="D1751" i="3" a="1"/>
  <c r="D843" i="3" a="1"/>
  <c r="D1423" i="3" a="1"/>
  <c r="D905" i="3" a="1"/>
  <c r="D2508" i="3" a="1"/>
  <c r="D1756" i="3" a="1"/>
  <c r="D114" i="3" a="1"/>
  <c r="D1444" i="3" a="1"/>
  <c r="D8047" i="3" a="1"/>
  <c r="D8038" i="3" a="1"/>
  <c r="D1101" i="3" a="1"/>
  <c r="D1604" i="3" a="1"/>
  <c r="D1160" i="3" a="1"/>
  <c r="D2400" i="3" a="1"/>
  <c r="D1646" i="3" a="1"/>
  <c r="D1775" i="3" a="1"/>
  <c r="D1787" i="3" a="1"/>
  <c r="D1267" i="3" a="1"/>
  <c r="D1784" i="3" a="1"/>
  <c r="D1153" i="3" a="1"/>
  <c r="D1958" i="3" a="1"/>
  <c r="D1628" i="3" a="1"/>
  <c r="D1288" i="3" a="1"/>
  <c r="D1412" i="3" a="1"/>
  <c r="D8526" i="3" a="1"/>
  <c r="D2031" i="3" a="1"/>
  <c r="D1397" i="3" a="1"/>
  <c r="D859" i="3" a="1"/>
  <c r="D1499" i="3" a="1"/>
  <c r="D8043" i="3" a="1"/>
  <c r="D2471" i="3" a="1"/>
  <c r="D916" i="3" a="1"/>
  <c r="D1513" i="3" a="1"/>
  <c r="D1100" i="3" a="1"/>
  <c r="D1485" i="3" a="1"/>
  <c r="D8489" i="3" a="1"/>
  <c r="D8510" i="3" a="1"/>
  <c r="D1489" i="3" a="1"/>
  <c r="D1960" i="3" a="1"/>
  <c r="D2019" i="3" a="1"/>
  <c r="D1809" i="3" a="1"/>
  <c r="D8502" i="3" a="1"/>
  <c r="D8594" i="3" a="1"/>
  <c r="H4" i="83" a="1"/>
  <c r="D921" i="3" a="1"/>
  <c r="D124" i="3" a="1"/>
  <c r="D1219" i="3" a="1"/>
  <c r="D1538" i="3" a="1"/>
  <c r="D107" i="3" a="1"/>
  <c r="D1996" i="3" a="1"/>
  <c r="D970" i="3" a="1"/>
  <c r="D1048" i="3" a="1"/>
  <c r="D1126" i="3" a="1"/>
  <c r="D1200" i="3" a="1"/>
  <c r="D2004" i="3" a="1"/>
  <c r="D1343" i="3" a="1"/>
  <c r="D857" i="3" a="1"/>
  <c r="D1757" i="3" a="1"/>
  <c r="D957" i="3" a="1"/>
  <c r="D1758" i="3" a="1"/>
  <c r="D1764" i="3" a="1"/>
  <c r="D1617" i="3" a="1"/>
  <c r="D1319" i="3" a="1"/>
  <c r="D1234" i="3" a="1"/>
  <c r="D1708" i="3" a="1"/>
  <c r="D1587" i="3" a="1"/>
  <c r="D8516" i="3" a="1"/>
  <c r="D1119" i="3" a="1"/>
  <c r="D1679" i="3" a="1"/>
  <c r="D2038" i="3" a="1"/>
  <c r="D1260" i="3" a="1"/>
  <c r="D872" i="3" a="1"/>
  <c r="D1824" i="3" a="1"/>
  <c r="D8610" i="3" a="1"/>
  <c r="D1193" i="3" a="1"/>
  <c r="D1569" i="3" a="1"/>
  <c r="D1589" i="3" a="1"/>
  <c r="D835" i="3" a="1"/>
  <c r="D1309" i="3" a="1"/>
  <c r="D1897" i="3" a="1"/>
  <c r="D1052" i="3" a="1"/>
  <c r="D1613" i="3" a="1"/>
  <c r="D892" i="3" a="1"/>
  <c r="D2502" i="3" a="1"/>
  <c r="D1302" i="3" a="1"/>
  <c r="D1167" i="3" a="1"/>
  <c r="D840" i="3" a="1"/>
  <c r="D1337" i="3" a="1"/>
  <c r="D1662" i="3" a="1"/>
  <c r="D1629" i="3" a="1"/>
  <c r="D1023" i="3" a="1"/>
  <c r="D1596" i="3" a="1"/>
  <c r="D1782" i="3" a="1"/>
  <c r="D1677" i="3" a="1"/>
  <c r="D1295" i="3" a="1"/>
  <c r="D1886" i="3" a="1"/>
  <c r="D927" i="3" a="1"/>
  <c r="D1421" i="3" a="1"/>
  <c r="D1434" i="3" a="1"/>
  <c r="D1233" i="3" a="1"/>
  <c r="D1476" i="3" a="1"/>
  <c r="D1400" i="3" a="1"/>
  <c r="D1344" i="3" a="1"/>
  <c r="D858" i="3" a="1"/>
  <c r="D1439" i="3" a="1"/>
  <c r="D1115" i="3" a="1"/>
  <c r="D1417" i="3" a="1"/>
  <c r="D1734" i="3" a="1"/>
  <c r="D1658" i="3" a="1"/>
  <c r="D1642" i="3" a="1"/>
  <c r="D1942" i="3" a="1"/>
  <c r="D1164" i="3" a="1"/>
  <c r="D1549" i="3" a="1"/>
  <c r="D849" i="3" a="1"/>
  <c r="N4" i="83" a="1"/>
  <c r="D1192" i="3" a="1"/>
  <c r="D1674" i="3" a="1"/>
  <c r="D1854" i="3" a="1"/>
  <c r="D1610" i="3" a="1"/>
  <c r="D1418" i="3" a="1"/>
  <c r="D928" i="3" a="1"/>
  <c r="D2518" i="3" a="1"/>
  <c r="D2505" i="3" a="1"/>
  <c r="D1174" i="3" a="1"/>
  <c r="D854" i="3" a="1"/>
  <c r="D1498" i="3" a="1"/>
  <c r="D1059" i="3" a="1"/>
  <c r="D1037" i="3" a="1"/>
  <c r="D8611" i="3" a="1"/>
  <c r="D1844" i="3" a="1"/>
  <c r="D1377" i="3" a="1"/>
  <c r="D2402" i="3" a="1"/>
  <c r="D106" i="3" a="1"/>
  <c r="D1794" i="3" a="1"/>
  <c r="D1372" i="3" a="1"/>
  <c r="D2018" i="3" a="1"/>
  <c r="D866" i="3" a="1"/>
  <c r="D1250" i="3" a="1"/>
  <c r="D1376" i="3" a="1"/>
  <c r="D1818" i="3" a="1"/>
  <c r="D1570" i="3" a="1"/>
  <c r="D1648" i="3" a="1"/>
  <c r="D1795" i="3" a="1"/>
  <c r="D1436" i="3" a="1"/>
  <c r="D8614" i="3" a="1"/>
  <c r="D963" i="3" a="1"/>
  <c r="D956" i="3" a="1"/>
  <c r="D2514" i="3" a="1"/>
  <c r="D1254" i="3" a="1"/>
  <c r="D1014" i="3" a="1"/>
  <c r="D997" i="3" a="1"/>
  <c r="D1108" i="3" a="1"/>
  <c r="D836" i="3" a="1"/>
  <c r="D1551" i="3" a="1"/>
  <c r="D1687" i="3" a="1"/>
  <c r="D1577" i="3" a="1"/>
  <c r="D1065" i="3" a="1"/>
  <c r="D1339" i="3" a="1"/>
  <c r="D2390" i="3" a="1"/>
  <c r="D1766" i="3" a="1"/>
  <c r="D1068" i="3" a="1"/>
  <c r="D1697" i="3" a="1"/>
  <c r="D1825" i="3" a="1"/>
  <c r="D1383" i="3" a="1"/>
  <c r="D1676" i="3" a="1"/>
  <c r="D8512" i="3" a="1"/>
  <c r="D1542" i="3" a="1"/>
  <c r="D989" i="3" a="1"/>
  <c r="D1685" i="3" a="1"/>
  <c r="D1239" i="3" a="1"/>
  <c r="D2507" i="3" a="1"/>
  <c r="D8493" i="3" a="1"/>
  <c r="D8609" i="3" a="1"/>
  <c r="D2027" i="3" a="1"/>
  <c r="D1858" i="3" a="1"/>
  <c r="D108" i="3" a="1"/>
  <c r="D1404" i="3" a="1"/>
  <c r="D1082" i="3" a="1"/>
  <c r="D906" i="3" a="1"/>
  <c r="D1557" i="3" a="1"/>
  <c r="D8514" i="3" a="1"/>
  <c r="D976" i="3" a="1"/>
  <c r="D1051" i="3" a="1"/>
  <c r="D1663" i="3" a="1"/>
  <c r="D1094" i="3" a="1"/>
  <c r="D1815" i="3" a="1"/>
  <c r="D1688" i="3" a="1"/>
  <c r="D1802" i="3" a="1"/>
  <c r="D1251" i="3" a="1"/>
  <c r="D1437" i="3" a="1"/>
  <c r="D1780" i="3" a="1"/>
  <c r="D2014" i="3" a="1"/>
  <c r="D1391" i="3" a="1"/>
  <c r="D1342" i="3" a="1"/>
  <c r="D1755" i="3" a="1"/>
  <c r="D2005" i="3" a="1"/>
  <c r="D1188" i="3" a="1"/>
  <c r="D1424" i="3" a="1"/>
  <c r="D1414" i="3" a="1"/>
  <c r="D1852" i="3" a="1"/>
  <c r="D1907" i="3" a="1"/>
  <c r="D2401" i="3" a="1"/>
  <c r="D1962" i="3" a="1"/>
  <c r="D2485" i="3" a="1"/>
  <c r="D2032" i="3" a="1"/>
  <c r="D1021" i="3" a="1"/>
  <c r="D1336" i="3" a="1"/>
  <c r="D1349" i="3" a="1"/>
  <c r="D1102" i="3" a="1"/>
  <c r="D1877" i="3" a="1"/>
  <c r="D1793" i="3" a="1"/>
  <c r="D1804" i="3" a="1"/>
  <c r="D1171" i="3" a="1"/>
  <c r="D1058" i="3" a="1"/>
  <c r="D8054" i="3" a="1"/>
  <c r="D1484" i="3" a="1"/>
  <c r="D1504" i="3" a="1"/>
  <c r="D1246" i="3" a="1"/>
  <c r="D1005" i="3" a="1"/>
  <c r="D1096" i="3" a="1"/>
  <c r="H8628" i="3"/>
  <c r="D1054" i="3" a="1"/>
  <c r="D8024" i="3" a="1"/>
  <c r="D1615" i="3" a="1"/>
  <c r="D8503" i="3" a="1"/>
  <c r="D1107" i="3" a="1"/>
  <c r="D940" i="3" a="1"/>
  <c r="D1165" i="3" a="1"/>
  <c r="D903" i="3" a="1"/>
  <c r="D1800" i="3" a="1"/>
  <c r="D1733" i="3" a="1"/>
  <c r="D1316" i="3" a="1"/>
  <c r="D1152" i="3" a="1"/>
  <c r="D1110" i="3" a="1"/>
  <c r="D1268" i="3" a="1"/>
  <c r="D1890" i="3" a="1"/>
  <c r="D8060" i="3" a="1"/>
  <c r="D1512" i="3" a="1"/>
  <c r="D1084" i="3" a="1"/>
  <c r="D1647" i="3" a="1"/>
  <c r="D1573" i="3" a="1"/>
  <c r="D1497" i="3" a="1"/>
  <c r="D1030" i="3" a="1"/>
  <c r="D1413" i="3" a="1"/>
  <c r="D2472" i="3" a="1"/>
  <c r="D1591" i="3" a="1"/>
  <c r="D660" i="3" a="1"/>
  <c r="D1870" i="3" a="1"/>
  <c r="D1992" i="3" a="1"/>
  <c r="D1341" i="3" a="1"/>
  <c r="D8050" i="3" a="1"/>
  <c r="D2403" i="3" a="1"/>
  <c r="D1340" i="3" a="1"/>
  <c r="D1016" i="3" a="1"/>
  <c r="D1366" i="3" a="1"/>
  <c r="D8619" i="3" a="1"/>
  <c r="D920" i="3" a="1"/>
  <c r="D868" i="3" a="1"/>
  <c r="D1656" i="3" a="1"/>
  <c r="D1678" i="3" a="1"/>
  <c r="D953" i="3" a="1"/>
  <c r="D966" i="3" a="1"/>
  <c r="D1785" i="3" a="1"/>
  <c r="D1693" i="3" a="1"/>
  <c r="D1773" i="3" a="1"/>
  <c r="D1523" i="3" a="1"/>
  <c r="D1087" i="3" a="1"/>
  <c r="D2391" i="3" a="1"/>
  <c r="D870" i="3" a="1"/>
  <c r="D1385" i="3" a="1"/>
  <c r="D982" i="3" a="1"/>
  <c r="D8026" i="3" a="1"/>
  <c r="D1080" i="3" a="1"/>
  <c r="D1426" i="3" a="1"/>
  <c r="D1660" i="3" a="1"/>
  <c r="D1544" i="3" a="1"/>
  <c r="D950" i="3" a="1"/>
  <c r="D959" i="3" a="1"/>
  <c r="D1723" i="3" a="1"/>
  <c r="D1355" i="3" a="1"/>
  <c r="D960" i="3" a="1"/>
  <c r="D8061" i="3" a="1"/>
  <c r="F4" i="83" a="1"/>
  <c r="D1865" i="3" a="1"/>
  <c r="D1392" i="3" a="1"/>
  <c r="D1116" i="3" a="1"/>
  <c r="D1866" i="3" a="1"/>
  <c r="D1447" i="3" a="1"/>
  <c r="D8617" i="3" a="1"/>
  <c r="D1713" i="3" a="1"/>
  <c r="D2033" i="3" a="1"/>
  <c r="D1881" i="3" a="1"/>
  <c r="D1807" i="3" a="1"/>
  <c r="D1873" i="3" a="1"/>
  <c r="D1808" i="3" a="1"/>
  <c r="D1111" i="3" a="1"/>
  <c r="D1872" i="3" a="1"/>
  <c r="D1883" i="3" a="1"/>
  <c r="D1781" i="3" a="1"/>
  <c r="D1810" i="3" a="1"/>
  <c r="D1427" i="3" a="1"/>
  <c r="D1712" i="3" a="1"/>
  <c r="D1590" i="3" a="1"/>
  <c r="D1750" i="3" a="1"/>
  <c r="D1045" i="3" a="1"/>
  <c r="D1730" i="3" a="1"/>
  <c r="D1089" i="3" a="1"/>
  <c r="D8624" i="3" a="1"/>
  <c r="D1326" i="3" a="1"/>
  <c r="D1294" i="3" a="1"/>
  <c r="D1199" i="3" a="1"/>
  <c r="D1264" i="3" a="1"/>
  <c r="D1361" i="3" a="1"/>
  <c r="D890" i="3" a="1"/>
  <c r="D8593" i="3" a="1"/>
  <c r="D848" i="3" a="1"/>
  <c r="D1878" i="3" a="1"/>
  <c r="D996" i="3" a="1"/>
  <c r="D8515" i="3" a="1"/>
  <c r="D1375" i="3" a="1"/>
  <c r="D8048" i="3" a="1"/>
  <c r="D900" i="3" a="1"/>
  <c r="D1681" i="3" a="1"/>
  <c r="D1671" i="3" a="1"/>
  <c r="D1491" i="3" a="1"/>
  <c r="D663" i="3" a="1"/>
  <c r="D1975" i="3" a="1"/>
  <c r="D1187" i="3" a="1"/>
  <c r="D1840" i="3" a="1"/>
  <c r="D1122" i="3" a="1"/>
  <c r="D1435" i="3" a="1"/>
  <c r="D944" i="3" a="1"/>
  <c r="D1002" i="3" a="1"/>
  <c r="D1991" i="3" a="1"/>
  <c r="D1425" i="3" a="1"/>
  <c r="D1461" i="3" a="1"/>
  <c r="D1403" i="3" a="1"/>
  <c r="D1235" i="3" a="1"/>
  <c r="D1433" i="3" a="1"/>
  <c r="D1450" i="3" a="1"/>
  <c r="D1145" i="3" a="1"/>
  <c r="D991" i="3" a="1"/>
  <c r="D1422" i="3" a="1"/>
  <c r="D1275" i="3" a="1"/>
  <c r="D1616" i="3" a="1"/>
  <c r="D1790" i="3" a="1"/>
  <c r="D1393" i="3" a="1"/>
  <c r="D1622" i="3" a="1"/>
  <c r="D1500" i="3" a="1"/>
  <c r="D1667" i="3" a="1"/>
  <c r="D888" i="3" a="1"/>
  <c r="D1314" i="3" a="1"/>
  <c r="D8517" i="3" a="1"/>
  <c r="D1495" i="3" a="1"/>
  <c r="D895" i="3" a="1"/>
  <c r="D2017" i="3" a="1"/>
  <c r="D1609" i="3" a="1"/>
  <c r="D111" i="3" a="1"/>
  <c r="D1329" i="3" a="1"/>
  <c r="D1979" i="3" a="1"/>
  <c r="D1117" i="3" a="1"/>
  <c r="E4" i="83" a="1"/>
  <c r="D659" i="3" a="1"/>
  <c r="D1621" i="3" a="1"/>
  <c r="D8492" i="3" a="1"/>
  <c r="D2467" i="3" a="1"/>
  <c r="D1402" i="3" a="1"/>
  <c r="D1063" i="3" a="1"/>
  <c r="D1291" i="3" a="1"/>
  <c r="D1552" i="3" a="1"/>
  <c r="D1026" i="3" a="1"/>
  <c r="D661" i="3" a="1"/>
  <c r="D1202" i="3" a="1"/>
  <c r="D1630" i="3" a="1"/>
  <c r="D8505" i="3" a="1"/>
  <c r="D1227" i="3" a="1"/>
  <c r="D1511" i="3" a="1"/>
  <c r="D964" i="3" a="1"/>
  <c r="D1214" i="3" a="1"/>
  <c r="D1896" i="3" a="1"/>
  <c r="D1232" i="3" a="1"/>
  <c r="D1304" i="3" a="1"/>
  <c r="D122" i="3" a="1"/>
  <c r="D655" i="3" a="1"/>
  <c r="D1997" i="3" a="1"/>
  <c r="D1798" i="3" a="1"/>
  <c r="D132" i="3" a="1"/>
  <c r="D8062" i="3" a="1"/>
  <c r="D1641" i="3" a="1"/>
  <c r="D2013" i="3" a="1"/>
  <c r="D1458" i="3" a="1"/>
  <c r="D1290" i="3" a="1"/>
  <c r="D1690" i="3" a="1"/>
  <c r="D1548" i="3" a="1"/>
  <c r="D1635" i="3" a="1"/>
  <c r="D1748" i="3" a="1"/>
  <c r="D1281" i="3" a="1"/>
  <c r="D1746" i="3" a="1"/>
  <c r="D1957" i="3" a="1"/>
  <c r="D8078" i="3" a="1"/>
  <c r="D1151" i="3" a="1"/>
  <c r="D1761" i="3" a="1"/>
  <c r="D1009" i="3" a="1"/>
  <c r="D1579" i="3" a="1"/>
  <c r="D1949" i="3" a="1"/>
  <c r="D1088" i="3" a="1"/>
  <c r="D1149" i="3" a="1"/>
  <c r="D1351" i="3" a="1"/>
  <c r="D2009" i="3" a="1"/>
  <c r="D2512" i="3" a="1"/>
  <c r="D1158" i="3" a="1"/>
  <c r="D2491" i="3" a="1"/>
  <c r="D1356" i="3" a="1"/>
  <c r="D1779" i="3" a="1"/>
  <c r="D8031" i="3" a="1"/>
  <c r="D2012" i="3" a="1"/>
  <c r="D1354" i="3" a="1"/>
  <c r="D1305" i="3" a="1"/>
  <c r="D883" i="3" a="1"/>
  <c r="D1247" i="3" a="1"/>
  <c r="D1448" i="3" a="1"/>
  <c r="D1161" i="3" a="1"/>
  <c r="I4" i="83" a="1"/>
  <c r="D1453" i="3" a="1"/>
  <c r="D1767" i="3" a="1"/>
  <c r="D1639" i="3" a="1"/>
  <c r="D1842" i="3" a="1"/>
  <c r="D1715" i="3" a="1"/>
  <c r="D1320" i="3" a="1"/>
  <c r="D1743" i="3" a="1"/>
  <c r="D1242" i="3" a="1"/>
  <c r="D8500" i="3" a="1"/>
  <c r="D1278" i="3" a="1"/>
  <c r="D1711" i="3" a="1"/>
  <c r="D1893" i="3" a="1"/>
  <c r="D1279" i="3" a="1"/>
  <c r="D1008" i="3" a="1"/>
  <c r="D1098" i="3" a="1"/>
  <c r="D912" i="3" a="1"/>
  <c r="D1516" i="3" a="1"/>
  <c r="D1335" i="3" a="1"/>
  <c r="D2395" i="3" a="1"/>
  <c r="D1602" i="3" a="1"/>
  <c r="D2394" i="3" a="1"/>
  <c r="D1796" i="3" a="1"/>
  <c r="D1995" i="3" a="1"/>
  <c r="D1318" i="3" a="1"/>
  <c r="D1323" i="3" a="1"/>
  <c r="D1057" i="3" a="1"/>
  <c r="D2475" i="3" a="1"/>
  <c r="D1821" i="3" a="1"/>
  <c r="D2025" i="3" a="1"/>
  <c r="D1465" i="3" a="1"/>
  <c r="D977" i="3" a="1"/>
  <c r="L4" i="83" a="1"/>
  <c r="D2513" i="3" a="1"/>
  <c r="D1466" i="3" a="1"/>
  <c r="D1849" i="3" a="1"/>
  <c r="D1384" i="3" a="1"/>
  <c r="D1860" i="3" a="1"/>
  <c r="D1490" i="3" a="1"/>
  <c r="D1819" i="3" a="1"/>
  <c r="D1816" i="3" a="1"/>
  <c r="D1901" i="3" a="1"/>
  <c r="D975" i="3" a="1"/>
  <c r="D911" i="3" a="1"/>
  <c r="D1496" i="3" a="1"/>
  <c r="D1510" i="3" a="1"/>
  <c r="D1330" i="3" a="1"/>
  <c r="D1612" i="3" a="1"/>
  <c r="D2503" i="3" a="1"/>
  <c r="D844" i="3" a="1"/>
  <c r="D1363" i="3" a="1"/>
  <c r="D1953" i="3" a="1"/>
  <c r="D885" i="3" a="1"/>
  <c r="D1053" i="3" a="1"/>
  <c r="D972" i="3" a="1"/>
  <c r="D935" i="3" a="1"/>
  <c r="D1862" i="3" a="1"/>
  <c r="D841" i="3" a="1"/>
  <c r="D954" i="3" a="1"/>
  <c r="D1889" i="3" a="1"/>
  <c r="D1185" i="3" a="1"/>
  <c r="D1706" i="3" a="1"/>
  <c r="D1076" i="3" a="1"/>
  <c r="D1194" i="3" a="1"/>
  <c r="D994" i="3" a="1"/>
  <c r="D1477" i="3" a="1"/>
  <c r="D1035" i="3" a="1"/>
  <c r="D1882" i="3" a="1"/>
  <c r="D1079" i="3" a="1"/>
  <c r="D874" i="3" a="1"/>
  <c r="D879" i="3" a="1"/>
  <c r="D1850" i="3" a="1"/>
  <c r="D1069" i="3" a="1"/>
  <c r="D878" i="3" a="1"/>
  <c r="D1703" i="3" a="1"/>
  <c r="D1783" i="3" a="1"/>
  <c r="D1368" i="3" a="1"/>
  <c r="D662" i="3" a="1"/>
  <c r="D1608" i="3" a="1"/>
  <c r="D1420" i="3" a="1"/>
  <c r="D1689" i="3" a="1"/>
  <c r="D133" i="3" a="1"/>
  <c r="D930" i="3" a="1"/>
  <c r="D1154" i="3" a="1"/>
  <c r="D125" i="3" a="1"/>
  <c r="D1301" i="3" a="1"/>
  <c r="D1707" i="3" a="1"/>
  <c r="D1144" i="3" a="1"/>
  <c r="D8044" i="3" a="1"/>
  <c r="D1283" i="3" a="1"/>
  <c r="D842" i="3" a="1"/>
  <c r="D1812" i="3" a="1"/>
  <c r="D1747" i="3" a="1"/>
  <c r="D1791" i="3" a="1"/>
  <c r="D974" i="3" a="1"/>
  <c r="D1813" i="3" a="1"/>
  <c r="D1229" i="3" a="1"/>
  <c r="D2010" i="3" a="1"/>
  <c r="D831" i="3" a="1"/>
  <c r="D1653" i="3" a="1"/>
  <c r="D8494" i="3" a="1"/>
  <c r="D1169" i="3" a="1"/>
  <c r="D856" i="3" a="1"/>
  <c r="D834" i="3" a="1"/>
  <c r="D2488" i="3" a="1"/>
  <c r="D2469" i="3" a="1"/>
  <c r="D1625" i="3" a="1"/>
  <c r="D8055" i="3" a="1"/>
  <c r="D4" i="83" a="1"/>
  <c r="D924" i="3" a="1"/>
  <c r="D1147" i="3" a="1"/>
  <c r="D1556" i="3" a="1"/>
  <c r="D2026" i="3" a="1"/>
  <c r="D2521" i="3" a="1"/>
  <c r="D1603" i="3" a="1"/>
  <c r="D894" i="3" a="1"/>
  <c r="D1956" i="3" a="1"/>
  <c r="D853" i="3" a="1"/>
  <c r="D1074" i="3" a="1"/>
  <c r="D987" i="3" a="1"/>
  <c r="D2465" i="3" a="1"/>
  <c r="D2517" i="3" a="1"/>
  <c r="D1943" i="3" a="1"/>
  <c r="D1515" i="3" a="1"/>
  <c r="D850" i="3" a="1"/>
  <c r="D1284" i="3" a="1"/>
  <c r="D1038" i="3" a="1"/>
  <c r="D978" i="3" a="1"/>
  <c r="D1586" i="3" a="1"/>
  <c r="D2000" i="3" a="1"/>
  <c r="D2511" i="3" a="1"/>
  <c r="D1334" i="3" a="1"/>
  <c r="D1869" i="3" a="1"/>
  <c r="D1619" i="3" a="1"/>
  <c r="D1967" i="3" a="1"/>
  <c r="D1072" i="3" a="1"/>
  <c r="D1429" i="3" a="1"/>
  <c r="D1159" i="3" a="1"/>
  <c r="D1029" i="3" a="1"/>
  <c r="D1146" i="3" a="1"/>
  <c r="D965" i="3" a="1"/>
  <c r="D1668" i="3" a="1"/>
  <c r="D1682" i="3" a="1"/>
  <c r="D1701" i="3" a="1"/>
  <c r="D1716" i="3" a="1"/>
  <c r="D1806" i="3" a="1"/>
  <c r="D1717" i="3" a="1"/>
  <c r="M4" i="83" a="1"/>
  <c r="D8049" i="3" a="1"/>
  <c r="D871" i="3" a="1"/>
  <c r="D875" i="3" a="1"/>
  <c r="D1976" i="3" a="1"/>
  <c r="D1428" i="3" a="1"/>
  <c r="D1892" i="3" a="1"/>
  <c r="D1238" i="3" a="1"/>
  <c r="D1535" i="3" a="1"/>
  <c r="D1955" i="3" a="1"/>
  <c r="D113" i="3" a="1"/>
  <c r="D1061" i="3" a="1"/>
  <c r="D1528" i="3" a="1"/>
  <c r="D1981" i="3" a="1"/>
  <c r="D992" i="3" a="1"/>
  <c r="D1566" i="3" a="1"/>
  <c r="D1208" i="3" a="1"/>
  <c r="D2476" i="3" a="1"/>
  <c r="D867" i="3" a="1"/>
  <c r="D1580" i="3" a="1"/>
  <c r="D1483" i="3" a="1"/>
  <c r="D1769" i="3" a="1"/>
  <c r="D1457" i="3" a="1"/>
  <c r="D1015" i="3" a="1"/>
  <c r="D1741" i="3" a="1"/>
  <c r="D649" i="3" a="1"/>
  <c r="D1455" i="3" a="1"/>
  <c r="D1829" i="3" a="1"/>
  <c r="D1657" i="3" a="1"/>
  <c r="D1547" i="3" a="1"/>
  <c r="D1592" i="3" a="1"/>
  <c r="D1371" i="3" a="1"/>
  <c r="D1752" i="3" a="1"/>
  <c r="D8079" i="3" a="1"/>
  <c r="D891" i="3" a="1"/>
  <c r="D1389" i="3" a="1"/>
  <c r="D1776" i="3" a="1"/>
  <c r="D1129" i="3" a="1"/>
  <c r="D1726" i="3" a="1"/>
  <c r="D1297" i="3" a="1"/>
  <c r="D8501" i="3" a="1"/>
  <c r="D1025" i="3" a="1"/>
  <c r="D1170" i="3" a="1"/>
  <c r="D1166" i="3" a="1"/>
  <c r="D2023" i="3" a="1"/>
  <c r="D1131" i="3" a="1"/>
  <c r="D2043" i="3" a="1"/>
  <c r="D1390" i="3" a="1"/>
  <c r="D1817" i="3" a="1"/>
  <c r="D1382" i="3" a="1"/>
  <c r="D1124" i="3" a="1"/>
  <c r="D1705" i="3" a="1"/>
  <c r="D1514" i="3" a="1"/>
  <c r="D998" i="3" a="1"/>
  <c r="D1204" i="3" a="1"/>
  <c r="D1438" i="3" a="1"/>
  <c r="D1954" i="3" a="1"/>
  <c r="D1248" i="3" a="1"/>
  <c r="D650" i="3" a="1"/>
  <c r="D1900" i="3" a="1"/>
  <c r="D877" i="3" a="1"/>
  <c r="D1399" i="3" a="1"/>
  <c r="D1797" i="3" a="1"/>
  <c r="D1867" i="3" a="1"/>
  <c r="D1257" i="3" a="1"/>
  <c r="D1851" i="3" a="1"/>
  <c r="D1649" i="3" a="1"/>
  <c r="D1970" i="3" a="1"/>
  <c r="I8627" i="3"/>
  <c r="D1091" i="3" a="1"/>
  <c r="D1529" i="3" a="1"/>
  <c r="D1197" i="3" a="1"/>
  <c r="D1969" i="3" a="1"/>
  <c r="D8626" i="3" a="1"/>
  <c r="D1584" i="3" a="1"/>
  <c r="D1546" i="3" a="1"/>
  <c r="D1507" i="3" a="1"/>
  <c r="D129" i="3" a="1"/>
  <c r="D1004" i="3" a="1"/>
  <c r="D918" i="3" a="1"/>
  <c r="D1627" i="3" a="1"/>
  <c r="D8513" i="3" a="1"/>
  <c r="D1141" i="3" a="1"/>
  <c r="D1643" i="3" a="1"/>
  <c r="D1217" i="3" a="1"/>
  <c r="D1121" i="3" a="1"/>
  <c r="D1249" i="3" a="1"/>
  <c r="D1974" i="3" a="1"/>
  <c r="D1835" i="3" a="1"/>
  <c r="D1502" i="3" a="1"/>
  <c r="D1539" i="3" a="1"/>
  <c r="D2016" i="3" a="1"/>
  <c r="D2489" i="3" a="1"/>
  <c r="D1902" i="3" a="1"/>
  <c r="D1357" i="3" a="1"/>
  <c r="D1508" i="3" a="1"/>
  <c r="I8628" i="3"/>
  <c r="D1506" i="3" a="1"/>
  <c r="D8618" i="3" a="1"/>
  <c r="D1276" i="3" a="1"/>
  <c r="D1857" i="3" a="1"/>
  <c r="D1792" i="3" a="1"/>
  <c r="D1468" i="3" a="1"/>
  <c r="D1432" i="3" a="1"/>
  <c r="D1728" i="3" a="1"/>
  <c r="D864" i="3" a="1"/>
  <c r="D2482" i="3" a="1"/>
  <c r="D909" i="3" a="1"/>
  <c r="D1778" i="3" a="1"/>
  <c r="D1240" i="3" a="1"/>
  <c r="D1600" i="3" a="1"/>
  <c r="D2035" i="3" a="1"/>
  <c r="D1285" i="3" a="1"/>
  <c r="D1394" i="3" a="1"/>
  <c r="D1071" i="3" a="1"/>
  <c r="D8495" i="3" a="1"/>
  <c r="D1184" i="3" a="1"/>
  <c r="D653" i="3" a="1"/>
  <c r="D1313" i="3" a="1"/>
  <c r="D8625" i="3" a="1"/>
  <c r="D1672" i="3" a="1"/>
  <c r="D2392" i="3" a="1"/>
  <c r="D1588" i="3" a="1"/>
  <c r="D886" i="3" a="1"/>
  <c r="D1749" i="3" a="1"/>
  <c r="D1704" i="3" a="1"/>
  <c r="D993" i="3" a="1"/>
  <c r="D837" i="3" a="1"/>
  <c r="D914" i="3" a="1"/>
  <c r="D1255" i="3" a="1"/>
  <c r="D110" i="3" a="1"/>
  <c r="P4" i="83" a="1"/>
  <c r="D1210" i="3" a="1"/>
  <c r="D1075" i="3" a="1"/>
  <c r="D1971" i="3" a="1"/>
  <c r="D1231" i="3" a="1"/>
  <c r="D1846" i="3" a="1"/>
  <c r="D1130" i="3" a="1"/>
  <c r="D1534" i="3" a="1"/>
  <c r="D1659" i="3" a="1"/>
  <c r="D1526" i="3" a="1"/>
  <c r="D1906" i="3" a="1"/>
  <c r="D1633" i="3" a="1"/>
  <c r="D1237" i="3" a="1"/>
  <c r="D979" i="3" a="1"/>
  <c r="D1636" i="3" a="1"/>
  <c r="D656" i="3" a="1"/>
  <c r="D1978" i="3" a="1"/>
  <c r="D1010" i="3" a="1"/>
  <c r="D1666" i="3" a="1"/>
  <c r="D1223" i="3" a="1"/>
  <c r="D1624" i="3" a="1"/>
  <c r="D2015" i="3" a="1"/>
  <c r="D945" i="3" a="1"/>
  <c r="D1772" i="3" a="1"/>
  <c r="D1201" i="3" a="1"/>
  <c r="D109" i="3" a="1"/>
  <c r="D1832" i="3" a="1"/>
  <c r="D1462" i="3" a="1"/>
  <c r="D1623" i="3" a="1"/>
  <c r="D1553" i="3" a="1"/>
  <c r="D2397" i="3" a="1"/>
  <c r="D2500" i="3" a="1"/>
  <c r="D1034" i="3" a="1"/>
  <c r="D1358" i="3" a="1"/>
  <c r="D1405" i="3" a="1"/>
  <c r="D1332" i="3" a="1"/>
  <c r="D1359" i="3" a="1"/>
  <c r="D1805" i="3" a="1"/>
  <c r="D2483" i="3" a="1"/>
  <c r="D1718" i="3" a="1"/>
  <c r="D1644" i="3" a="1"/>
  <c r="D1545" i="3" a="1"/>
  <c r="D1904" i="3" a="1"/>
  <c r="D880" i="3" a="1"/>
  <c r="D1503" i="3" a="1"/>
  <c r="D1684" i="3" a="1"/>
  <c r="D1908" i="3" a="1"/>
  <c r="D2393" i="3" a="1"/>
  <c r="D1694" i="3" a="1"/>
  <c r="D1374" i="3" a="1"/>
  <c r="D1898" i="3" a="1"/>
  <c r="D1077" i="3" a="1"/>
  <c r="D1306" i="3" a="1"/>
  <c r="D1415" i="3" a="1"/>
  <c r="D1968" i="3" a="1"/>
  <c r="D8598" i="3" a="1"/>
  <c r="D1531" i="3" a="1"/>
  <c r="D893" i="3" a="1"/>
  <c r="D8074" i="3" a="1"/>
  <c r="D1070" i="3" a="1"/>
  <c r="D1230" i="3" a="1"/>
  <c r="D2473" i="3" a="1"/>
  <c r="D830" i="3" a="1"/>
  <c r="D1369" i="3" a="1"/>
  <c r="D1724" i="3" a="1"/>
  <c r="D1467" i="3" a="1"/>
  <c r="D1987" i="3" a="1"/>
  <c r="D1722" i="3" a="1"/>
  <c r="D1273" i="3" a="1"/>
  <c r="D1310" i="3" a="1"/>
  <c r="D2037" i="3" a="1"/>
  <c r="D1841" i="3" a="1"/>
  <c r="D1266" i="3" a="1"/>
  <c r="D1486" i="3" a="1"/>
  <c r="D1092" i="3" a="1"/>
  <c r="D1945" i="3" a="1"/>
  <c r="D1521" i="3" a="1"/>
  <c r="D1464" i="3" a="1"/>
  <c r="D1669" i="3" a="1"/>
  <c r="D2006" i="3" a="1"/>
  <c r="D1274" i="3" a="1"/>
  <c r="D2496" i="3" a="1"/>
  <c r="D845" i="3" a="1"/>
  <c r="D117" i="3" a="1"/>
  <c r="D1244" i="3" a="1"/>
  <c r="D1826" i="3" a="1"/>
  <c r="D1686" i="3" a="1"/>
  <c r="D1760" i="3" a="1"/>
  <c r="D1449" i="3" a="1"/>
  <c r="D1112" i="3" a="1"/>
  <c r="D1150" i="3" a="1"/>
  <c r="D1221" i="3" a="1"/>
  <c r="G4" i="83" a="1"/>
  <c r="D118" i="3" a="1"/>
  <c r="D1554" i="3" a="1"/>
  <c r="D1135" i="3" a="1"/>
  <c r="D8491" i="3" a="1"/>
  <c r="D860" i="3" a="1"/>
  <c r="D2040" i="3" a="1"/>
  <c r="D1472" i="3" a="1"/>
  <c r="D1083" i="3" a="1"/>
  <c r="D1859" i="3" a="1"/>
  <c r="D1702" i="3" a="1"/>
  <c r="D937" i="3" a="1"/>
  <c r="D919" i="3" a="1"/>
  <c r="D1156" i="3" a="1"/>
  <c r="D1532" i="3" a="1"/>
  <c r="D1742" i="3" a="1"/>
  <c r="D1593" i="3" a="1"/>
  <c r="D949" i="3" a="1"/>
  <c r="D1543" i="3" a="1"/>
  <c r="D1379" i="3" a="1"/>
  <c r="D1847" i="3" a="1"/>
  <c r="D983" i="3" a="1"/>
  <c r="D1133" i="3" a="1"/>
  <c r="D1719" i="3" a="1"/>
  <c r="D1661" i="3" a="1"/>
  <c r="D1599" i="3" a="1"/>
  <c r="D8488" i="3" a="1"/>
  <c r="D2396" i="3" a="1"/>
  <c r="D1759" i="3" a="1"/>
  <c r="D1606" i="3" a="1"/>
  <c r="D1406" i="3" a="1"/>
  <c r="D1407" i="3" a="1"/>
  <c r="D1181" i="3" a="1"/>
  <c r="D1517" i="3" a="1"/>
  <c r="D897" i="3" a="1"/>
  <c r="D130" i="3" a="1"/>
  <c r="D1090" i="3" a="1"/>
  <c r="D1576" i="3" a="1"/>
  <c r="D1043" i="3" a="1"/>
  <c r="D1972" i="3" a="1"/>
  <c r="D1811" i="3" a="1"/>
  <c r="D105" i="3" a="1"/>
  <c r="D1081" i="3" a="1"/>
  <c r="D1583" i="3" a="1"/>
  <c r="D8025" i="3" a="1"/>
  <c r="D1157" i="3" a="1"/>
  <c r="D1754" i="3" a="1"/>
  <c r="D1325" i="3" a="1"/>
  <c r="D1838" i="3" a="1"/>
  <c r="D1762" i="3" a="1"/>
  <c r="D1212" i="3" a="1"/>
  <c r="D1940" i="3" a="1"/>
  <c r="D8511" i="3" a="1"/>
  <c r="D651" i="3" a="1"/>
  <c r="D1894" i="3" a="1"/>
  <c r="D999" i="3" a="1"/>
  <c r="D2477" i="3" a="1"/>
  <c r="D1533" i="3" a="1"/>
  <c r="D933" i="3" a="1"/>
  <c r="D1099" i="3" a="1"/>
  <c r="D8603" i="3" a="1"/>
  <c r="D8030" i="3" a="1"/>
  <c r="D1245" i="3" a="1"/>
  <c r="D1982" i="3" a="1"/>
  <c r="D8042" i="3" a="1"/>
  <c r="D1387" i="3" a="1"/>
  <c r="D1948" i="3" a="1"/>
  <c r="D1963" i="3" a="1"/>
  <c r="D1560" i="3" a="1"/>
  <c r="D1263" i="3" a="1"/>
  <c r="D131" i="3" a="1"/>
  <c r="D1386" i="3" a="1"/>
  <c r="D1386" i="3" l="1"/>
  <c r="D131" i="3"/>
  <c r="D1263" i="3"/>
  <c r="J1263" i="3" s="1"/>
  <c r="D1560" i="3"/>
  <c r="D1963" i="3"/>
  <c r="D1948" i="3"/>
  <c r="D1387" i="3"/>
  <c r="D8042" i="3"/>
  <c r="D1982" i="3"/>
  <c r="J1982" i="3" s="1"/>
  <c r="D1245" i="3"/>
  <c r="D8030" i="3"/>
  <c r="J8030" i="3" s="1"/>
  <c r="D8603" i="3"/>
  <c r="D1099" i="3"/>
  <c r="J1099" i="3" s="1"/>
  <c r="D933" i="3"/>
  <c r="D1533" i="3"/>
  <c r="D2477" i="3"/>
  <c r="H2477" i="3" s="1"/>
  <c r="D999" i="3"/>
  <c r="I999" i="3" s="1"/>
  <c r="D1894" i="3"/>
  <c r="J1894" i="3" s="1"/>
  <c r="D651" i="3"/>
  <c r="D8511" i="3"/>
  <c r="D1940" i="3"/>
  <c r="D1212" i="3"/>
  <c r="I1212" i="3" s="1"/>
  <c r="D1762" i="3"/>
  <c r="D1838" i="3"/>
  <c r="H1838" i="3" s="1"/>
  <c r="D1325" i="3"/>
  <c r="J1325" i="3" s="1"/>
  <c r="D1754" i="3"/>
  <c r="H1754" i="3" s="1"/>
  <c r="D1157" i="3"/>
  <c r="D8025" i="3"/>
  <c r="H8025" i="3" s="1"/>
  <c r="D1583" i="3"/>
  <c r="J1583" i="3" s="1"/>
  <c r="D1081" i="3"/>
  <c r="D105" i="3"/>
  <c r="J105" i="3" s="1"/>
  <c r="D1811" i="3"/>
  <c r="D1972" i="3"/>
  <c r="D1043" i="3"/>
  <c r="D1576" i="3"/>
  <c r="D1090" i="3"/>
  <c r="D130" i="3"/>
  <c r="D897" i="3"/>
  <c r="H897" i="3" s="1"/>
  <c r="D1517" i="3"/>
  <c r="D1181" i="3"/>
  <c r="D1407" i="3"/>
  <c r="I1407" i="3" s="1"/>
  <c r="D1406" i="3"/>
  <c r="D1606" i="3"/>
  <c r="D1759" i="3"/>
  <c r="D2396" i="3"/>
  <c r="D8488" i="3"/>
  <c r="D1599" i="3"/>
  <c r="D1661" i="3"/>
  <c r="D1719" i="3"/>
  <c r="D1133" i="3"/>
  <c r="D983" i="3"/>
  <c r="D1847" i="3"/>
  <c r="D1379" i="3"/>
  <c r="D1543" i="3"/>
  <c r="J1543" i="3" s="1"/>
  <c r="D949" i="3"/>
  <c r="D1593" i="3"/>
  <c r="D1742" i="3"/>
  <c r="D1532" i="3"/>
  <c r="H1532" i="3" s="1"/>
  <c r="D1156" i="3"/>
  <c r="H1156" i="3" s="1"/>
  <c r="D919" i="3"/>
  <c r="D937" i="3"/>
  <c r="D1702" i="3"/>
  <c r="I1702" i="3" s="1"/>
  <c r="D1859" i="3"/>
  <c r="H1859" i="3" s="1"/>
  <c r="D1083" i="3"/>
  <c r="D1472" i="3"/>
  <c r="H1472" i="3" s="1"/>
  <c r="D2040" i="3"/>
  <c r="D860" i="3"/>
  <c r="I860" i="3" s="1"/>
  <c r="D8491" i="3"/>
  <c r="D1135" i="3"/>
  <c r="D1554" i="3"/>
  <c r="H1554" i="3" s="1"/>
  <c r="D118" i="3"/>
  <c r="H118" i="3" s="1"/>
  <c r="G4" i="83"/>
  <c r="D1221" i="3"/>
  <c r="D1150" i="3"/>
  <c r="D1112" i="3"/>
  <c r="I1112" i="3" s="1"/>
  <c r="D1449" i="3"/>
  <c r="D1760" i="3"/>
  <c r="D1686" i="3"/>
  <c r="D1826" i="3"/>
  <c r="D1244" i="3"/>
  <c r="D117" i="3"/>
  <c r="D845" i="3"/>
  <c r="H845" i="3" s="1"/>
  <c r="D2496" i="3"/>
  <c r="D1274" i="3"/>
  <c r="D2006" i="3"/>
  <c r="D1669" i="3"/>
  <c r="D1464" i="3"/>
  <c r="D1521" i="3"/>
  <c r="H1521" i="3" s="1"/>
  <c r="D1945" i="3"/>
  <c r="D1092" i="3"/>
  <c r="D1486" i="3"/>
  <c r="D1266" i="3"/>
  <c r="D1841" i="3"/>
  <c r="D2037" i="3"/>
  <c r="I2037" i="3" s="1"/>
  <c r="D1310" i="3"/>
  <c r="D1273" i="3"/>
  <c r="H1273" i="3" s="1"/>
  <c r="D1722" i="3"/>
  <c r="H1722" i="3" s="1"/>
  <c r="D1987" i="3"/>
  <c r="D1467" i="3"/>
  <c r="J1467" i="3" s="1"/>
  <c r="D1724" i="3"/>
  <c r="D1369" i="3"/>
  <c r="D830" i="3"/>
  <c r="D2473" i="3"/>
  <c r="I2473" i="3" s="1"/>
  <c r="D1230" i="3"/>
  <c r="D1070" i="3"/>
  <c r="D8074" i="3"/>
  <c r="J8074" i="3" s="1"/>
  <c r="D893" i="3"/>
  <c r="D1531" i="3"/>
  <c r="D8598" i="3"/>
  <c r="D1968" i="3"/>
  <c r="H1968" i="3" s="1"/>
  <c r="D1415" i="3"/>
  <c r="D1306" i="3"/>
  <c r="D1077" i="3"/>
  <c r="I1077" i="3" s="1"/>
  <c r="D1898" i="3"/>
  <c r="I1898" i="3" s="1"/>
  <c r="D1374" i="3"/>
  <c r="H1374" i="3" s="1"/>
  <c r="D1694" i="3"/>
  <c r="D2393" i="3"/>
  <c r="D1908" i="3"/>
  <c r="I1908" i="3" s="1"/>
  <c r="D1684" i="3"/>
  <c r="D1503" i="3"/>
  <c r="H1503" i="3" s="1"/>
  <c r="D880" i="3"/>
  <c r="D1904" i="3"/>
  <c r="H1904" i="3" s="1"/>
  <c r="D1545" i="3"/>
  <c r="I1545" i="3" s="1"/>
  <c r="D1644" i="3"/>
  <c r="D1718" i="3"/>
  <c r="J1718" i="3" s="1"/>
  <c r="D2483" i="3"/>
  <c r="J2483" i="3" s="1"/>
  <c r="D1805" i="3"/>
  <c r="D1359" i="3"/>
  <c r="I1359" i="3" s="1"/>
  <c r="D1332" i="3"/>
  <c r="J1332" i="3" s="1"/>
  <c r="D1405" i="3"/>
  <c r="I1405" i="3" s="1"/>
  <c r="D1358" i="3"/>
  <c r="J1358" i="3" s="1"/>
  <c r="D1034" i="3"/>
  <c r="H1034" i="3" s="1"/>
  <c r="D2500" i="3"/>
  <c r="J2500" i="3" s="1"/>
  <c r="D2397" i="3"/>
  <c r="D1553" i="3"/>
  <c r="D1623" i="3"/>
  <c r="D1462" i="3"/>
  <c r="D1832" i="3"/>
  <c r="H1832" i="3" s="1"/>
  <c r="D109" i="3"/>
  <c r="J109" i="3" s="1"/>
  <c r="D1201" i="3"/>
  <c r="D1772" i="3"/>
  <c r="D945" i="3"/>
  <c r="I945" i="3" s="1"/>
  <c r="D2015" i="3"/>
  <c r="D1624" i="3"/>
  <c r="J1624" i="3" s="1"/>
  <c r="D1223" i="3"/>
  <c r="D1666" i="3"/>
  <c r="D1010" i="3"/>
  <c r="D1978" i="3"/>
  <c r="D656" i="3"/>
  <c r="D1636" i="3"/>
  <c r="D979" i="3"/>
  <c r="D1237" i="3"/>
  <c r="D1633" i="3"/>
  <c r="D1906" i="3"/>
  <c r="H1906" i="3" s="1"/>
  <c r="D1526" i="3"/>
  <c r="I1526" i="3" s="1"/>
  <c r="D1659" i="3"/>
  <c r="D1534" i="3"/>
  <c r="D1130" i="3"/>
  <c r="D1846" i="3"/>
  <c r="D1231" i="3"/>
  <c r="J1231" i="3" s="1"/>
  <c r="D1971" i="3"/>
  <c r="H1971" i="3" s="1"/>
  <c r="D1075" i="3"/>
  <c r="D1210" i="3"/>
  <c r="H1210" i="3" s="1"/>
  <c r="P4" i="83"/>
  <c r="D110" i="3"/>
  <c r="D1255" i="3"/>
  <c r="D914" i="3"/>
  <c r="D837" i="3"/>
  <c r="J837" i="3" s="1"/>
  <c r="D993" i="3"/>
  <c r="H993" i="3" s="1"/>
  <c r="D1704" i="3"/>
  <c r="J1704" i="3" s="1"/>
  <c r="D1749" i="3"/>
  <c r="I1749" i="3" s="1"/>
  <c r="D886" i="3"/>
  <c r="J886" i="3" s="1"/>
  <c r="D1588" i="3"/>
  <c r="J1588" i="3" s="1"/>
  <c r="D2392" i="3"/>
  <c r="J2392" i="3" s="1"/>
  <c r="D1672" i="3"/>
  <c r="I1672" i="3" s="1"/>
  <c r="D8625" i="3"/>
  <c r="D1313" i="3"/>
  <c r="J1313" i="3" s="1"/>
  <c r="D653" i="3"/>
  <c r="D1184" i="3"/>
  <c r="H1184" i="3" s="1"/>
  <c r="D8495" i="3"/>
  <c r="D1071" i="3"/>
  <c r="I1071" i="3" s="1"/>
  <c r="D1394" i="3"/>
  <c r="H1394" i="3" s="1"/>
  <c r="D1285" i="3"/>
  <c r="D2035" i="3"/>
  <c r="J2035" i="3" s="1"/>
  <c r="D1600" i="3"/>
  <c r="J1600" i="3" s="1"/>
  <c r="D1240" i="3"/>
  <c r="J1240" i="3" s="1"/>
  <c r="D1778" i="3"/>
  <c r="H1778" i="3" s="1"/>
  <c r="D909" i="3"/>
  <c r="D2482" i="3"/>
  <c r="D864" i="3"/>
  <c r="J864" i="3" s="1"/>
  <c r="D1728" i="3"/>
  <c r="D1432" i="3"/>
  <c r="D1468" i="3"/>
  <c r="D1792" i="3"/>
  <c r="D1857" i="3"/>
  <c r="D1276" i="3"/>
  <c r="D8618" i="3"/>
  <c r="D1506" i="3"/>
  <c r="D1508" i="3"/>
  <c r="D1357" i="3"/>
  <c r="D1902" i="3"/>
  <c r="D2489" i="3"/>
  <c r="J2489" i="3" s="1"/>
  <c r="D2016" i="3"/>
  <c r="D1539" i="3"/>
  <c r="D1502" i="3"/>
  <c r="J1502" i="3" s="1"/>
  <c r="D1835" i="3"/>
  <c r="D1974" i="3"/>
  <c r="J1974" i="3" s="1"/>
  <c r="D1249" i="3"/>
  <c r="I1249" i="3" s="1"/>
  <c r="D1121" i="3"/>
  <c r="J1121" i="3" s="1"/>
  <c r="D1217" i="3"/>
  <c r="D1643" i="3"/>
  <c r="H1643" i="3" s="1"/>
  <c r="D1141" i="3"/>
  <c r="D8513" i="3"/>
  <c r="D1627" i="3"/>
  <c r="J1627" i="3" s="1"/>
  <c r="D918" i="3"/>
  <c r="D1004" i="3"/>
  <c r="J1004" i="3" s="1"/>
  <c r="D129" i="3"/>
  <c r="D1507" i="3"/>
  <c r="H1507" i="3" s="1"/>
  <c r="D1546" i="3"/>
  <c r="J1546" i="3" s="1"/>
  <c r="D1584" i="3"/>
  <c r="J1584" i="3" s="1"/>
  <c r="D8626" i="3"/>
  <c r="D1969" i="3"/>
  <c r="I1969" i="3" s="1"/>
  <c r="D1197" i="3"/>
  <c r="D1529" i="3"/>
  <c r="D1091" i="3"/>
  <c r="D1970" i="3"/>
  <c r="J1970" i="3" s="1"/>
  <c r="D1649" i="3"/>
  <c r="D1851" i="3"/>
  <c r="I1851" i="3" s="1"/>
  <c r="D1257" i="3"/>
  <c r="D1867" i="3"/>
  <c r="D1797" i="3"/>
  <c r="D1399" i="3"/>
  <c r="D877" i="3"/>
  <c r="D1900" i="3"/>
  <c r="D650" i="3"/>
  <c r="D1248" i="3"/>
  <c r="D1954" i="3"/>
  <c r="D1438" i="3"/>
  <c r="I1438" i="3" s="1"/>
  <c r="D1204" i="3"/>
  <c r="D998" i="3"/>
  <c r="D1514" i="3"/>
  <c r="D1705" i="3"/>
  <c r="D1124" i="3"/>
  <c r="D1382" i="3"/>
  <c r="D1817" i="3"/>
  <c r="D1390" i="3"/>
  <c r="D2043" i="3"/>
  <c r="D1131" i="3"/>
  <c r="D2023" i="3"/>
  <c r="D1166" i="3"/>
  <c r="J1166" i="3" s="1"/>
  <c r="D1170" i="3"/>
  <c r="D1025" i="3"/>
  <c r="D8501" i="3"/>
  <c r="I8501" i="3" s="1"/>
  <c r="D1297" i="3"/>
  <c r="D1726" i="3"/>
  <c r="D1129" i="3"/>
  <c r="J1129" i="3" s="1"/>
  <c r="D1776" i="3"/>
  <c r="I1776" i="3" s="1"/>
  <c r="D1389" i="3"/>
  <c r="D891" i="3"/>
  <c r="I891" i="3" s="1"/>
  <c r="D8079" i="3"/>
  <c r="D1752" i="3"/>
  <c r="D1371" i="3"/>
  <c r="I1371" i="3" s="1"/>
  <c r="D1592" i="3"/>
  <c r="D1547" i="3"/>
  <c r="D1657" i="3"/>
  <c r="D1829" i="3"/>
  <c r="D1455" i="3"/>
  <c r="D649" i="3"/>
  <c r="D1741" i="3"/>
  <c r="H1741" i="3" s="1"/>
  <c r="D1015" i="3"/>
  <c r="D1457" i="3"/>
  <c r="D1769" i="3"/>
  <c r="D1483" i="3"/>
  <c r="D1580" i="3"/>
  <c r="I1580" i="3" s="1"/>
  <c r="D867" i="3"/>
  <c r="D2476" i="3"/>
  <c r="J2476" i="3" s="1"/>
  <c r="D1208" i="3"/>
  <c r="D1566" i="3"/>
  <c r="I1566" i="3" s="1"/>
  <c r="D992" i="3"/>
  <c r="H992" i="3" s="1"/>
  <c r="D1981" i="3"/>
  <c r="D1528" i="3"/>
  <c r="J1528" i="3" s="1"/>
  <c r="D1061" i="3"/>
  <c r="J1061" i="3" s="1"/>
  <c r="D113" i="3"/>
  <c r="D1955" i="3"/>
  <c r="J1955" i="3" s="1"/>
  <c r="D1535" i="3"/>
  <c r="D1238" i="3"/>
  <c r="J1238" i="3" s="1"/>
  <c r="D1892" i="3"/>
  <c r="J1892" i="3" s="1"/>
  <c r="D1428" i="3"/>
  <c r="I1428" i="3" s="1"/>
  <c r="D1976" i="3"/>
  <c r="H1976" i="3" s="1"/>
  <c r="D875" i="3"/>
  <c r="J875" i="3" s="1"/>
  <c r="D871" i="3"/>
  <c r="J871" i="3" s="1"/>
  <c r="D8049" i="3"/>
  <c r="H8049" i="3" s="1"/>
  <c r="M4" i="83"/>
  <c r="D1717" i="3"/>
  <c r="J1717" i="3" s="1"/>
  <c r="D1806" i="3"/>
  <c r="D1716" i="3"/>
  <c r="I1716" i="3" s="1"/>
  <c r="D1701" i="3"/>
  <c r="H1701" i="3" s="1"/>
  <c r="D1682" i="3"/>
  <c r="J1682" i="3" s="1"/>
  <c r="D1668" i="3"/>
  <c r="J1668" i="3" s="1"/>
  <c r="D965" i="3"/>
  <c r="H965" i="3" s="1"/>
  <c r="D1146" i="3"/>
  <c r="D1029" i="3"/>
  <c r="D1159" i="3"/>
  <c r="D1429" i="3"/>
  <c r="D1072" i="3"/>
  <c r="H1072" i="3" s="1"/>
  <c r="D1967" i="3"/>
  <c r="D1619" i="3"/>
  <c r="D1869" i="3"/>
  <c r="D1334" i="3"/>
  <c r="J1334" i="3" s="1"/>
  <c r="D2511" i="3"/>
  <c r="I2511" i="3" s="1"/>
  <c r="D2000" i="3"/>
  <c r="D1586" i="3"/>
  <c r="D978" i="3"/>
  <c r="D1038" i="3"/>
  <c r="D1284" i="3"/>
  <c r="D850" i="3"/>
  <c r="D1515" i="3"/>
  <c r="D1943" i="3"/>
  <c r="D2517" i="3"/>
  <c r="D2465" i="3"/>
  <c r="D987" i="3"/>
  <c r="D1074" i="3"/>
  <c r="D853" i="3"/>
  <c r="D1956" i="3"/>
  <c r="D894" i="3"/>
  <c r="D1603" i="3"/>
  <c r="D2521" i="3"/>
  <c r="D2026" i="3"/>
  <c r="D1556" i="3"/>
  <c r="D1147" i="3"/>
  <c r="D924" i="3"/>
  <c r="I924" i="3" s="1"/>
  <c r="D4" i="83"/>
  <c r="D8055" i="3"/>
  <c r="D1625" i="3"/>
  <c r="D2469" i="3"/>
  <c r="D2488" i="3"/>
  <c r="D834" i="3"/>
  <c r="D856" i="3"/>
  <c r="D1169" i="3"/>
  <c r="D8494" i="3"/>
  <c r="D1653" i="3"/>
  <c r="D831" i="3"/>
  <c r="J831" i="3" s="1"/>
  <c r="D2010" i="3"/>
  <c r="D1229" i="3"/>
  <c r="D1813" i="3"/>
  <c r="D974" i="3"/>
  <c r="D1791" i="3"/>
  <c r="D1747" i="3"/>
  <c r="D1812" i="3"/>
  <c r="D842" i="3"/>
  <c r="D1283" i="3"/>
  <c r="I1283" i="3" s="1"/>
  <c r="D8044" i="3"/>
  <c r="D1144" i="3"/>
  <c r="H1144" i="3" s="1"/>
  <c r="D1707" i="3"/>
  <c r="I1707" i="3" s="1"/>
  <c r="D1301" i="3"/>
  <c r="D125" i="3"/>
  <c r="D1154" i="3"/>
  <c r="D930" i="3"/>
  <c r="J930" i="3" s="1"/>
  <c r="D133" i="3"/>
  <c r="D1689" i="3"/>
  <c r="H1689" i="3" s="1"/>
  <c r="D1420" i="3"/>
  <c r="J1420" i="3" s="1"/>
  <c r="D1608" i="3"/>
  <c r="D662" i="3"/>
  <c r="D1368" i="3"/>
  <c r="J1368" i="3" s="1"/>
  <c r="D1783" i="3"/>
  <c r="I1783" i="3" s="1"/>
  <c r="D1703" i="3"/>
  <c r="J1703" i="3" s="1"/>
  <c r="D878" i="3"/>
  <c r="H878" i="3" s="1"/>
  <c r="D1069" i="3"/>
  <c r="D1850" i="3"/>
  <c r="D879" i="3"/>
  <c r="I879" i="3" s="1"/>
  <c r="D874" i="3"/>
  <c r="D1079" i="3"/>
  <c r="H1079" i="3" s="1"/>
  <c r="D1882" i="3"/>
  <c r="D1035" i="3"/>
  <c r="H1035" i="3" s="1"/>
  <c r="D1477" i="3"/>
  <c r="J1477" i="3" s="1"/>
  <c r="D994" i="3"/>
  <c r="H994" i="3" s="1"/>
  <c r="D1194" i="3"/>
  <c r="H1194" i="3" s="1"/>
  <c r="D1076" i="3"/>
  <c r="I1076" i="3" s="1"/>
  <c r="D1706" i="3"/>
  <c r="I1706" i="3" s="1"/>
  <c r="D1185" i="3"/>
  <c r="I1185" i="3" s="1"/>
  <c r="D1889" i="3"/>
  <c r="D954" i="3"/>
  <c r="J954" i="3" s="1"/>
  <c r="D841" i="3"/>
  <c r="D1862" i="3"/>
  <c r="I1862" i="3" s="1"/>
  <c r="D935" i="3"/>
  <c r="J935" i="3" s="1"/>
  <c r="D972" i="3"/>
  <c r="J972" i="3" s="1"/>
  <c r="D1053" i="3"/>
  <c r="H1053" i="3" s="1"/>
  <c r="D885" i="3"/>
  <c r="I885" i="3" s="1"/>
  <c r="D1953" i="3"/>
  <c r="J1953" i="3" s="1"/>
  <c r="D1363" i="3"/>
  <c r="I1363" i="3" s="1"/>
  <c r="D844" i="3"/>
  <c r="J844" i="3" s="1"/>
  <c r="D2503" i="3"/>
  <c r="I2503" i="3" s="1"/>
  <c r="D1612" i="3"/>
  <c r="I1612" i="3" s="1"/>
  <c r="D1330" i="3"/>
  <c r="H1330" i="3" s="1"/>
  <c r="D1510" i="3"/>
  <c r="H1510" i="3" s="1"/>
  <c r="D1496" i="3"/>
  <c r="D911" i="3"/>
  <c r="D975" i="3"/>
  <c r="H975" i="3" s="1"/>
  <c r="D1901" i="3"/>
  <c r="J1901" i="3" s="1"/>
  <c r="D1816" i="3"/>
  <c r="I1816" i="3" s="1"/>
  <c r="D1819" i="3"/>
  <c r="I1819" i="3" s="1"/>
  <c r="D1490" i="3"/>
  <c r="I1490" i="3" s="1"/>
  <c r="D1860" i="3"/>
  <c r="H1860" i="3" s="1"/>
  <c r="D1384" i="3"/>
  <c r="D1849" i="3"/>
  <c r="D1466" i="3"/>
  <c r="J1466" i="3" s="1"/>
  <c r="D2513" i="3"/>
  <c r="I2513" i="3" s="1"/>
  <c r="L4" i="83"/>
  <c r="D977" i="3"/>
  <c r="D1465" i="3"/>
  <c r="J1465" i="3" s="1"/>
  <c r="D2025" i="3"/>
  <c r="D1821" i="3"/>
  <c r="I1821" i="3" s="1"/>
  <c r="D2475" i="3"/>
  <c r="I2475" i="3" s="1"/>
  <c r="D1057" i="3"/>
  <c r="D1323" i="3"/>
  <c r="H1323" i="3" s="1"/>
  <c r="D1318" i="3"/>
  <c r="D1995" i="3"/>
  <c r="I1995" i="3" s="1"/>
  <c r="D1796" i="3"/>
  <c r="J1796" i="3" s="1"/>
  <c r="D2394" i="3"/>
  <c r="D1602" i="3"/>
  <c r="H1602" i="3" s="1"/>
  <c r="D2395" i="3"/>
  <c r="D1335" i="3"/>
  <c r="H1335" i="3" s="1"/>
  <c r="D1516" i="3"/>
  <c r="D912" i="3"/>
  <c r="H912" i="3" s="1"/>
  <c r="D1098" i="3"/>
  <c r="J1098" i="3" s="1"/>
  <c r="D1008" i="3"/>
  <c r="I1008" i="3" s="1"/>
  <c r="D1279" i="3"/>
  <c r="D1893" i="3"/>
  <c r="D1711" i="3"/>
  <c r="H1711" i="3" s="1"/>
  <c r="D1278" i="3"/>
  <c r="D8500" i="3"/>
  <c r="J8500" i="3" s="1"/>
  <c r="D1242" i="3"/>
  <c r="D1743" i="3"/>
  <c r="D1320" i="3"/>
  <c r="J1320" i="3" s="1"/>
  <c r="D1715" i="3"/>
  <c r="D1842" i="3"/>
  <c r="D1639" i="3"/>
  <c r="D1767" i="3"/>
  <c r="D1453" i="3"/>
  <c r="I4" i="83"/>
  <c r="D1161" i="3"/>
  <c r="D1448" i="3"/>
  <c r="J1448" i="3" s="1"/>
  <c r="D1247" i="3"/>
  <c r="D883" i="3"/>
  <c r="D1305" i="3"/>
  <c r="D1354" i="3"/>
  <c r="D2012" i="3"/>
  <c r="D8031" i="3"/>
  <c r="D1779" i="3"/>
  <c r="D1356" i="3"/>
  <c r="D2491" i="3"/>
  <c r="D1158" i="3"/>
  <c r="D2512" i="3"/>
  <c r="D2009" i="3"/>
  <c r="H2009" i="3" s="1"/>
  <c r="D1351" i="3"/>
  <c r="D1149" i="3"/>
  <c r="D1088" i="3"/>
  <c r="D1949" i="3"/>
  <c r="D1579" i="3"/>
  <c r="D1009" i="3"/>
  <c r="D1761" i="3"/>
  <c r="D1151" i="3"/>
  <c r="D8078" i="3"/>
  <c r="D1957" i="3"/>
  <c r="D1746" i="3"/>
  <c r="D1281" i="3"/>
  <c r="J1281" i="3" s="1"/>
  <c r="D1748" i="3"/>
  <c r="D1635" i="3"/>
  <c r="J1635" i="3" s="1"/>
  <c r="D1548" i="3"/>
  <c r="D1690" i="3"/>
  <c r="D1290" i="3"/>
  <c r="D1458" i="3"/>
  <c r="D2013" i="3"/>
  <c r="D1641" i="3"/>
  <c r="D8062" i="3"/>
  <c r="D132" i="3"/>
  <c r="D1798" i="3"/>
  <c r="D1997" i="3"/>
  <c r="D655" i="3"/>
  <c r="D122" i="3"/>
  <c r="D1304" i="3"/>
  <c r="D1232" i="3"/>
  <c r="D1896" i="3"/>
  <c r="I1896" i="3" s="1"/>
  <c r="D1214" i="3"/>
  <c r="D964" i="3"/>
  <c r="D1511" i="3"/>
  <c r="D1227" i="3"/>
  <c r="D8505" i="3"/>
  <c r="D1630" i="3"/>
  <c r="D1202" i="3"/>
  <c r="D661" i="3"/>
  <c r="D1026" i="3"/>
  <c r="D1552" i="3"/>
  <c r="D1291" i="3"/>
  <c r="D1063" i="3"/>
  <c r="D1402" i="3"/>
  <c r="D2467" i="3"/>
  <c r="D8492" i="3"/>
  <c r="D1621" i="3"/>
  <c r="D659" i="3"/>
  <c r="E4" i="83"/>
  <c r="D1117" i="3"/>
  <c r="D1979" i="3"/>
  <c r="D1329" i="3"/>
  <c r="D111" i="3"/>
  <c r="D1609" i="3"/>
  <c r="D2017" i="3"/>
  <c r="D895" i="3"/>
  <c r="H895" i="3" s="1"/>
  <c r="D1495" i="3"/>
  <c r="J1495" i="3" s="1"/>
  <c r="D8517" i="3"/>
  <c r="H8517" i="3" s="1"/>
  <c r="D1314" i="3"/>
  <c r="I1314" i="3" s="1"/>
  <c r="D888" i="3"/>
  <c r="I888" i="3" s="1"/>
  <c r="D1667" i="3"/>
  <c r="H1667" i="3" s="1"/>
  <c r="D1500" i="3"/>
  <c r="H1500" i="3" s="1"/>
  <c r="D1622" i="3"/>
  <c r="H1622" i="3" s="1"/>
  <c r="D1393" i="3"/>
  <c r="J1393" i="3" s="1"/>
  <c r="D1790" i="3"/>
  <c r="H1790" i="3" s="1"/>
  <c r="D1616" i="3"/>
  <c r="I1616" i="3" s="1"/>
  <c r="D1275" i="3"/>
  <c r="I1275" i="3" s="1"/>
  <c r="D1422" i="3"/>
  <c r="I1422" i="3" s="1"/>
  <c r="D991" i="3"/>
  <c r="H991" i="3" s="1"/>
  <c r="D1145" i="3"/>
  <c r="H1145" i="3" s="1"/>
  <c r="D1450" i="3"/>
  <c r="D1433" i="3"/>
  <c r="I1433" i="3" s="1"/>
  <c r="D1235" i="3"/>
  <c r="J1235" i="3" s="1"/>
  <c r="D1403" i="3"/>
  <c r="I1403" i="3" s="1"/>
  <c r="D1461" i="3"/>
  <c r="I1461" i="3" s="1"/>
  <c r="D1425" i="3"/>
  <c r="H1425" i="3" s="1"/>
  <c r="D1991" i="3"/>
  <c r="J1991" i="3" s="1"/>
  <c r="D1002" i="3"/>
  <c r="D944" i="3"/>
  <c r="D1435" i="3"/>
  <c r="I1435" i="3" s="1"/>
  <c r="D1122" i="3"/>
  <c r="J1122" i="3" s="1"/>
  <c r="D1840" i="3"/>
  <c r="D1187" i="3"/>
  <c r="J1187" i="3" s="1"/>
  <c r="D1975" i="3"/>
  <c r="I1975" i="3" s="1"/>
  <c r="D663" i="3"/>
  <c r="D1491" i="3"/>
  <c r="I1491" i="3" s="1"/>
  <c r="D1671" i="3"/>
  <c r="H1671" i="3" s="1"/>
  <c r="D1681" i="3"/>
  <c r="J1681" i="3" s="1"/>
  <c r="D900" i="3"/>
  <c r="D8048" i="3"/>
  <c r="J8048" i="3" s="1"/>
  <c r="D1375" i="3"/>
  <c r="D8515" i="3"/>
  <c r="D996" i="3"/>
  <c r="D1878" i="3"/>
  <c r="H1878" i="3" s="1"/>
  <c r="D848" i="3"/>
  <c r="D8593" i="3"/>
  <c r="D890" i="3"/>
  <c r="H890" i="3" s="1"/>
  <c r="D1361" i="3"/>
  <c r="J1361" i="3" s="1"/>
  <c r="D1264" i="3"/>
  <c r="D1199" i="3"/>
  <c r="D1294" i="3"/>
  <c r="D1326" i="3"/>
  <c r="D8624" i="3"/>
  <c r="D1089" i="3"/>
  <c r="D1730" i="3"/>
  <c r="D1045" i="3"/>
  <c r="D1750" i="3"/>
  <c r="D1590" i="3"/>
  <c r="D1712" i="3"/>
  <c r="D1427" i="3"/>
  <c r="J1427" i="3" s="1"/>
  <c r="D1810" i="3"/>
  <c r="D1781" i="3"/>
  <c r="D1883" i="3"/>
  <c r="D1872" i="3"/>
  <c r="D1111" i="3"/>
  <c r="D1808" i="3"/>
  <c r="D1873" i="3"/>
  <c r="D1807" i="3"/>
  <c r="D1881" i="3"/>
  <c r="D2033" i="3"/>
  <c r="D1713" i="3"/>
  <c r="D8617" i="3"/>
  <c r="I8617" i="3" s="1"/>
  <c r="D1447" i="3"/>
  <c r="D1866" i="3"/>
  <c r="D1116" i="3"/>
  <c r="D1392" i="3"/>
  <c r="D1865" i="3"/>
  <c r="F4" i="83"/>
  <c r="D8061" i="3"/>
  <c r="D960" i="3"/>
  <c r="D1355" i="3"/>
  <c r="D1723" i="3"/>
  <c r="D959" i="3"/>
  <c r="D950" i="3"/>
  <c r="D1544" i="3"/>
  <c r="D1660" i="3"/>
  <c r="D1426" i="3"/>
  <c r="D1080" i="3"/>
  <c r="D8026" i="3"/>
  <c r="D982" i="3"/>
  <c r="D1385" i="3"/>
  <c r="D870" i="3"/>
  <c r="D2391" i="3"/>
  <c r="D1087" i="3"/>
  <c r="D1523" i="3"/>
  <c r="D1773" i="3"/>
  <c r="H1773" i="3" s="1"/>
  <c r="D1693" i="3"/>
  <c r="D1785" i="3"/>
  <c r="D966" i="3"/>
  <c r="J966" i="3" s="1"/>
  <c r="D953" i="3"/>
  <c r="D1678" i="3"/>
  <c r="D1656" i="3"/>
  <c r="D868" i="3"/>
  <c r="D920" i="3"/>
  <c r="J920" i="3" s="1"/>
  <c r="D8619" i="3"/>
  <c r="D1366" i="3"/>
  <c r="J1366" i="3" s="1"/>
  <c r="D1016" i="3"/>
  <c r="D1340" i="3"/>
  <c r="H1340" i="3" s="1"/>
  <c r="D2403" i="3"/>
  <c r="J2403" i="3" s="1"/>
  <c r="D8050" i="3"/>
  <c r="D1341" i="3"/>
  <c r="D1992" i="3"/>
  <c r="H1992" i="3" s="1"/>
  <c r="D1870" i="3"/>
  <c r="D660" i="3"/>
  <c r="D1591" i="3"/>
  <c r="D2472" i="3"/>
  <c r="I2472" i="3" s="1"/>
  <c r="D1413" i="3"/>
  <c r="D1030" i="3"/>
  <c r="I1030" i="3" s="1"/>
  <c r="D1497" i="3"/>
  <c r="D1573" i="3"/>
  <c r="H1573" i="3" s="1"/>
  <c r="D1647" i="3"/>
  <c r="J1647" i="3" s="1"/>
  <c r="D1084" i="3"/>
  <c r="J1084" i="3" s="1"/>
  <c r="D1512" i="3"/>
  <c r="I1512" i="3" s="1"/>
  <c r="D8060" i="3"/>
  <c r="I8060" i="3" s="1"/>
  <c r="D1890" i="3"/>
  <c r="J1890" i="3" s="1"/>
  <c r="D1268" i="3"/>
  <c r="J1268" i="3" s="1"/>
  <c r="D1110" i="3"/>
  <c r="H1110" i="3" s="1"/>
  <c r="D1152" i="3"/>
  <c r="D1316" i="3"/>
  <c r="D1733" i="3"/>
  <c r="D1800" i="3"/>
  <c r="D903" i="3"/>
  <c r="D1165" i="3"/>
  <c r="D940" i="3"/>
  <c r="D1107" i="3"/>
  <c r="D8503" i="3"/>
  <c r="D1615" i="3"/>
  <c r="D8024" i="3"/>
  <c r="D1054" i="3"/>
  <c r="D1096" i="3"/>
  <c r="D1005" i="3"/>
  <c r="D1246" i="3"/>
  <c r="D1504" i="3"/>
  <c r="D1484" i="3"/>
  <c r="I1484" i="3" s="1"/>
  <c r="D8054" i="3"/>
  <c r="I8054" i="3" s="1"/>
  <c r="D1058" i="3"/>
  <c r="J1058" i="3" s="1"/>
  <c r="D1171" i="3"/>
  <c r="I1171" i="3" s="1"/>
  <c r="D1804" i="3"/>
  <c r="D1793" i="3"/>
  <c r="I1793" i="3" s="1"/>
  <c r="D1877" i="3"/>
  <c r="D1102" i="3"/>
  <c r="D1349" i="3"/>
  <c r="J1349" i="3" s="1"/>
  <c r="D1336" i="3"/>
  <c r="D1021" i="3"/>
  <c r="D2032" i="3"/>
  <c r="D2485" i="3"/>
  <c r="I2485" i="3" s="1"/>
  <c r="D1962" i="3"/>
  <c r="H1962" i="3" s="1"/>
  <c r="D2401" i="3"/>
  <c r="I2401" i="3" s="1"/>
  <c r="D1907" i="3"/>
  <c r="J1907" i="3" s="1"/>
  <c r="D1852" i="3"/>
  <c r="D1414" i="3"/>
  <c r="D1424" i="3"/>
  <c r="D1188" i="3"/>
  <c r="I1188" i="3" s="1"/>
  <c r="D2005" i="3"/>
  <c r="D1755" i="3"/>
  <c r="D1342" i="3"/>
  <c r="I1342" i="3" s="1"/>
  <c r="D1391" i="3"/>
  <c r="J1391" i="3" s="1"/>
  <c r="D2014" i="3"/>
  <c r="I2014" i="3" s="1"/>
  <c r="D1780" i="3"/>
  <c r="J1780" i="3" s="1"/>
  <c r="D1437" i="3"/>
  <c r="D1251" i="3"/>
  <c r="D1802" i="3"/>
  <c r="D1688" i="3"/>
  <c r="D1815" i="3"/>
  <c r="J1815" i="3" s="1"/>
  <c r="D1094" i="3"/>
  <c r="D1663" i="3"/>
  <c r="D1051" i="3"/>
  <c r="D976" i="3"/>
  <c r="D8514" i="3"/>
  <c r="D1557" i="3"/>
  <c r="I1557" i="3" s="1"/>
  <c r="D906" i="3"/>
  <c r="J906" i="3" s="1"/>
  <c r="D1082" i="3"/>
  <c r="D1404" i="3"/>
  <c r="D108" i="3"/>
  <c r="D1858" i="3"/>
  <c r="D2027" i="3"/>
  <c r="D8609" i="3"/>
  <c r="D8493" i="3"/>
  <c r="D2507" i="3"/>
  <c r="D1239" i="3"/>
  <c r="D1685" i="3"/>
  <c r="D989" i="3"/>
  <c r="J989" i="3" s="1"/>
  <c r="D1542" i="3"/>
  <c r="D8512" i="3"/>
  <c r="D1676" i="3"/>
  <c r="D1383" i="3"/>
  <c r="D1825" i="3"/>
  <c r="D1697" i="3"/>
  <c r="D1068" i="3"/>
  <c r="D1766" i="3"/>
  <c r="D2390" i="3"/>
  <c r="D1339" i="3"/>
  <c r="D1065" i="3"/>
  <c r="D1577" i="3"/>
  <c r="H1577" i="3" s="1"/>
  <c r="D1687" i="3"/>
  <c r="D1551" i="3"/>
  <c r="D836" i="3"/>
  <c r="D1108" i="3"/>
  <c r="D997" i="3"/>
  <c r="H997" i="3" s="1"/>
  <c r="D1014" i="3"/>
  <c r="D1254" i="3"/>
  <c r="D2514" i="3"/>
  <c r="D956" i="3"/>
  <c r="D963" i="3"/>
  <c r="D8614" i="3"/>
  <c r="D1436" i="3"/>
  <c r="H1436" i="3" s="1"/>
  <c r="D1795" i="3"/>
  <c r="D1648" i="3"/>
  <c r="I1648" i="3" s="1"/>
  <c r="D1570" i="3"/>
  <c r="D1818" i="3"/>
  <c r="D1376" i="3"/>
  <c r="D1250" i="3"/>
  <c r="D866" i="3"/>
  <c r="D2018" i="3"/>
  <c r="D1372" i="3"/>
  <c r="D1794" i="3"/>
  <c r="D106" i="3"/>
  <c r="D2402" i="3"/>
  <c r="D1377" i="3"/>
  <c r="D1844" i="3"/>
  <c r="D8611" i="3"/>
  <c r="J8611" i="3" s="1"/>
  <c r="D1037" i="3"/>
  <c r="D1059" i="3"/>
  <c r="D1498" i="3"/>
  <c r="D854" i="3"/>
  <c r="D1174" i="3"/>
  <c r="D2505" i="3"/>
  <c r="D2518" i="3"/>
  <c r="D928" i="3"/>
  <c r="D1418" i="3"/>
  <c r="H1418" i="3" s="1"/>
  <c r="D1610" i="3"/>
  <c r="J1610" i="3" s="1"/>
  <c r="D1854" i="3"/>
  <c r="J1854" i="3" s="1"/>
  <c r="D1674" i="3"/>
  <c r="D1192" i="3"/>
  <c r="H1192" i="3" s="1"/>
  <c r="N4" i="83"/>
  <c r="D849" i="3"/>
  <c r="J849" i="3" s="1"/>
  <c r="D1549" i="3"/>
  <c r="D1164" i="3"/>
  <c r="D1942" i="3"/>
  <c r="D1642" i="3"/>
  <c r="D1658" i="3"/>
  <c r="D1734" i="3"/>
  <c r="H1734" i="3" s="1"/>
  <c r="D1417" i="3"/>
  <c r="H1417" i="3" s="1"/>
  <c r="D1115" i="3"/>
  <c r="H1115" i="3" s="1"/>
  <c r="D1439" i="3"/>
  <c r="H1439" i="3" s="1"/>
  <c r="D858" i="3"/>
  <c r="J858" i="3" s="1"/>
  <c r="D1344" i="3"/>
  <c r="I1344" i="3" s="1"/>
  <c r="D1400" i="3"/>
  <c r="J1400" i="3" s="1"/>
  <c r="D1476" i="3"/>
  <c r="J1476" i="3" s="1"/>
  <c r="D1233" i="3"/>
  <c r="I1233" i="3" s="1"/>
  <c r="D1434" i="3"/>
  <c r="H1434" i="3" s="1"/>
  <c r="D1421" i="3"/>
  <c r="D927" i="3"/>
  <c r="D1886" i="3"/>
  <c r="D1295" i="3"/>
  <c r="D1677" i="3"/>
  <c r="D1782" i="3"/>
  <c r="H1782" i="3" s="1"/>
  <c r="D1596" i="3"/>
  <c r="I1596" i="3" s="1"/>
  <c r="D1023" i="3"/>
  <c r="I1023" i="3" s="1"/>
  <c r="D1629" i="3"/>
  <c r="D1662" i="3"/>
  <c r="D1337" i="3"/>
  <c r="D840" i="3"/>
  <c r="H840" i="3" s="1"/>
  <c r="D1167" i="3"/>
  <c r="D1302" i="3"/>
  <c r="D2502" i="3"/>
  <c r="H2502" i="3" s="1"/>
  <c r="D892" i="3"/>
  <c r="D1613" i="3"/>
  <c r="J1613" i="3" s="1"/>
  <c r="D1052" i="3"/>
  <c r="D1897" i="3"/>
  <c r="H1897" i="3" s="1"/>
  <c r="D1309" i="3"/>
  <c r="I1309" i="3" s="1"/>
  <c r="D835" i="3"/>
  <c r="D1589" i="3"/>
  <c r="D1569" i="3"/>
  <c r="D1193" i="3"/>
  <c r="D8610" i="3"/>
  <c r="D1824" i="3"/>
  <c r="D872" i="3"/>
  <c r="H872" i="3" s="1"/>
  <c r="D1260" i="3"/>
  <c r="D2038" i="3"/>
  <c r="D1679" i="3"/>
  <c r="D1119" i="3"/>
  <c r="J1119" i="3" s="1"/>
  <c r="D8516" i="3"/>
  <c r="D1587" i="3"/>
  <c r="D1708" i="3"/>
  <c r="D1234" i="3"/>
  <c r="D1319" i="3"/>
  <c r="D1617" i="3"/>
  <c r="D1764" i="3"/>
  <c r="J1764" i="3" s="1"/>
  <c r="D1758" i="3"/>
  <c r="H1758" i="3" s="1"/>
  <c r="D957" i="3"/>
  <c r="D1757" i="3"/>
  <c r="D857" i="3"/>
  <c r="D1343" i="3"/>
  <c r="D2004" i="3"/>
  <c r="D1200" i="3"/>
  <c r="D1126" i="3"/>
  <c r="D1048" i="3"/>
  <c r="D970" i="3"/>
  <c r="D1996" i="3"/>
  <c r="D107" i="3"/>
  <c r="D1538" i="3"/>
  <c r="J1538" i="3" s="1"/>
  <c r="D1219" i="3"/>
  <c r="D124" i="3"/>
  <c r="D921" i="3"/>
  <c r="H4" i="83"/>
  <c r="D8594" i="3"/>
  <c r="D8502" i="3"/>
  <c r="D1809" i="3"/>
  <c r="D2019" i="3"/>
  <c r="D1960" i="3"/>
  <c r="D1489" i="3"/>
  <c r="D8510" i="3"/>
  <c r="D8489" i="3"/>
  <c r="I8489" i="3" s="1"/>
  <c r="D1485" i="3"/>
  <c r="D1100" i="3"/>
  <c r="D1513" i="3"/>
  <c r="D916" i="3"/>
  <c r="D2471" i="3"/>
  <c r="D8043" i="3"/>
  <c r="D1499" i="3"/>
  <c r="D859" i="3"/>
  <c r="D1397" i="3"/>
  <c r="D2031" i="3"/>
  <c r="D8526" i="3"/>
  <c r="D1412" i="3"/>
  <c r="J1412" i="3" s="1"/>
  <c r="D1288" i="3"/>
  <c r="D1628" i="3"/>
  <c r="D1958" i="3"/>
  <c r="D1153" i="3"/>
  <c r="D1784" i="3"/>
  <c r="D1267" i="3"/>
  <c r="D1787" i="3"/>
  <c r="D1775" i="3"/>
  <c r="D1646" i="3"/>
  <c r="D2400" i="3"/>
  <c r="D1160" i="3"/>
  <c r="D1604" i="3"/>
  <c r="I1604" i="3" s="1"/>
  <c r="D1101" i="3"/>
  <c r="D8038" i="3"/>
  <c r="D8047" i="3"/>
  <c r="D1444" i="3"/>
  <c r="D114" i="3"/>
  <c r="D1756" i="3"/>
  <c r="D2508" i="3"/>
  <c r="D905" i="3"/>
  <c r="D1423" i="3"/>
  <c r="D843" i="3"/>
  <c r="D1751" i="3"/>
  <c r="D1220" i="3"/>
  <c r="I1220" i="3" s="1"/>
  <c r="D8607" i="3"/>
  <c r="D1952" i="3"/>
  <c r="D8499" i="3"/>
  <c r="D1271" i="3"/>
  <c r="D1286" i="3"/>
  <c r="D1324" i="3"/>
  <c r="D1272" i="3"/>
  <c r="D1977" i="3"/>
  <c r="D8080" i="3"/>
  <c r="D1113" i="3"/>
  <c r="D1725" i="3"/>
  <c r="D1206" i="3"/>
  <c r="D1317" i="3"/>
  <c r="D1471" i="3"/>
  <c r="D115" i="3"/>
  <c r="D8605" i="3"/>
  <c r="D1333" i="3"/>
  <c r="I1333" i="3" s="1"/>
  <c r="D846" i="3"/>
  <c r="J846" i="3" s="1"/>
  <c r="D1710" i="3"/>
  <c r="I1710" i="3" s="1"/>
  <c r="D1631" i="3"/>
  <c r="H1631" i="3" s="1"/>
  <c r="D1993" i="3"/>
  <c r="I1993" i="3" s="1"/>
  <c r="D1522" i="3"/>
  <c r="I1522" i="3" s="1"/>
  <c r="D2022" i="3"/>
  <c r="H2022" i="3" s="1"/>
  <c r="D1768" i="3"/>
  <c r="I1768" i="3" s="1"/>
  <c r="D1189" i="3"/>
  <c r="H1189" i="3" s="1"/>
  <c r="D969" i="3"/>
  <c r="D1134" i="3"/>
  <c r="D1753" i="3"/>
  <c r="D1292" i="3"/>
  <c r="D1581" i="3"/>
  <c r="D2484" i="3"/>
  <c r="D654" i="3"/>
  <c r="D1853" i="3"/>
  <c r="J1853" i="3" s="1"/>
  <c r="D1799" i="3"/>
  <c r="H1799" i="3" s="1"/>
  <c r="D2480" i="3"/>
  <c r="I2480" i="3" s="1"/>
  <c r="D861" i="3"/>
  <c r="D881" i="3"/>
  <c r="D1837" i="3"/>
  <c r="D1563" i="3"/>
  <c r="D1148" i="3"/>
  <c r="D1833" i="3"/>
  <c r="D1727" i="3"/>
  <c r="D1259" i="3"/>
  <c r="D1980" i="3"/>
  <c r="H1980" i="3" s="1"/>
  <c r="D1173" i="3"/>
  <c r="D1093" i="3"/>
  <c r="I1093" i="3" s="1"/>
  <c r="D2039" i="3"/>
  <c r="O4" i="83"/>
  <c r="D986" i="3"/>
  <c r="D1258" i="3"/>
  <c r="D1454" i="3"/>
  <c r="D1520" i="3"/>
  <c r="D1128" i="3"/>
  <c r="D1022" i="3"/>
  <c r="D1044" i="3"/>
  <c r="J1044" i="3" s="1"/>
  <c r="D1555" i="3"/>
  <c r="J1555" i="3" s="1"/>
  <c r="D1620" i="3"/>
  <c r="D1487" i="3"/>
  <c r="I1487" i="3" s="1"/>
  <c r="D1575" i="3"/>
  <c r="H1575" i="3" s="1"/>
  <c r="D1562" i="3"/>
  <c r="J1562" i="3" s="1"/>
  <c r="D1519" i="3"/>
  <c r="J1519" i="3" s="1"/>
  <c r="D1180" i="3"/>
  <c r="D898" i="3"/>
  <c r="D1209" i="3"/>
  <c r="D2497" i="3"/>
  <c r="H2497" i="3" s="1"/>
  <c r="D1236" i="3"/>
  <c r="D1871" i="3"/>
  <c r="H1871" i="3" s="1"/>
  <c r="D1282" i="3"/>
  <c r="D2490" i="3"/>
  <c r="D657" i="3"/>
  <c r="D1046" i="3"/>
  <c r="D1327" i="3"/>
  <c r="J1327" i="3" s="1"/>
  <c r="D1211" i="3"/>
  <c r="D1574" i="3"/>
  <c r="D1195" i="3"/>
  <c r="D1885" i="3"/>
  <c r="J1885" i="3" s="1"/>
  <c r="D1828" i="3"/>
  <c r="D948" i="3"/>
  <c r="H948" i="3" s="1"/>
  <c r="D8508" i="3"/>
  <c r="D1875" i="3"/>
  <c r="D1226" i="3"/>
  <c r="D1007" i="3"/>
  <c r="D1222" i="3"/>
  <c r="H1222" i="3" s="1"/>
  <c r="D934" i="3"/>
  <c r="H934" i="3" s="1"/>
  <c r="D1731" i="3"/>
  <c r="I1731" i="3" s="1"/>
  <c r="D1078" i="3"/>
  <c r="D1409" i="3"/>
  <c r="D1983" i="3"/>
  <c r="H1983" i="3" s="1"/>
  <c r="D862" i="3"/>
  <c r="D1315" i="3"/>
  <c r="D1155" i="3"/>
  <c r="I1155" i="3" s="1"/>
  <c r="D1062" i="3"/>
  <c r="D1601" i="3"/>
  <c r="D1988" i="3"/>
  <c r="D1595" i="3"/>
  <c r="D1459" i="3"/>
  <c r="I1459" i="3" s="1"/>
  <c r="D1541" i="3"/>
  <c r="D1698" i="3"/>
  <c r="D1950" i="3"/>
  <c r="K4" i="83"/>
  <c r="D1350" i="3"/>
  <c r="D8613" i="3"/>
  <c r="D1721" i="3"/>
  <c r="D1388" i="3"/>
  <c r="D2510" i="3"/>
  <c r="D1864" i="3"/>
  <c r="I1864" i="3" s="1"/>
  <c r="D923" i="3"/>
  <c r="D8072" i="3"/>
  <c r="D2474" i="3"/>
  <c r="D1190" i="3"/>
  <c r="D1027" i="3"/>
  <c r="D1650" i="3"/>
  <c r="D1939" i="3"/>
  <c r="H1939" i="3" s="1"/>
  <c r="D1683" i="3"/>
  <c r="D1136" i="3"/>
  <c r="D2487" i="3"/>
  <c r="D127" i="3"/>
  <c r="D2523" i="3"/>
  <c r="D1296" i="3"/>
  <c r="D1986" i="3"/>
  <c r="D1430" i="3"/>
  <c r="D855" i="3"/>
  <c r="D1252" i="3"/>
  <c r="D1691" i="3"/>
  <c r="D1064" i="3"/>
  <c r="D1675" i="3"/>
  <c r="D1651" i="3"/>
  <c r="D899" i="3"/>
  <c r="I899" i="3" s="1"/>
  <c r="D128" i="3"/>
  <c r="D1989" i="3"/>
  <c r="H1989" i="3" s="1"/>
  <c r="D1788" i="3"/>
  <c r="H1788" i="3" s="1"/>
  <c r="D865" i="3"/>
  <c r="D1880" i="3"/>
  <c r="D1598" i="3"/>
  <c r="D1863" i="3"/>
  <c r="D1848" i="3"/>
  <c r="D1527" i="3"/>
  <c r="D1104" i="3"/>
  <c r="D1777" i="3"/>
  <c r="D1019" i="3"/>
  <c r="D1594" i="3"/>
  <c r="D2520" i="3"/>
  <c r="D1947" i="3"/>
  <c r="D896" i="3"/>
  <c r="D1177" i="3"/>
  <c r="D1049" i="3"/>
  <c r="H1049" i="3" s="1"/>
  <c r="D1876" i="3"/>
  <c r="D1561" i="3"/>
  <c r="D8504" i="3"/>
  <c r="Q4" i="83"/>
  <c r="D1492" i="3"/>
  <c r="D1473" i="3"/>
  <c r="D1946" i="3"/>
  <c r="I1946" i="3" s="1"/>
  <c r="D1269" i="3"/>
  <c r="J1269" i="3" s="1"/>
  <c r="D1277" i="3"/>
  <c r="J1277" i="3" s="1"/>
  <c r="D2011" i="3"/>
  <c r="H2011" i="3" s="1"/>
  <c r="D925" i="3"/>
  <c r="D2024" i="3"/>
  <c r="D1228" i="3"/>
  <c r="D1095" i="3"/>
  <c r="H1095" i="3" s="1"/>
  <c r="D1530" i="3"/>
  <c r="I1530" i="3" s="1"/>
  <c r="D1225" i="3"/>
  <c r="J1225" i="3" s="1"/>
  <c r="D1163" i="3"/>
  <c r="D1446" i="3"/>
  <c r="H1446" i="3" s="1"/>
  <c r="D1944" i="3"/>
  <c r="J1944" i="3" s="1"/>
  <c r="D1293" i="3"/>
  <c r="H1293" i="3" s="1"/>
  <c r="D980" i="3"/>
  <c r="D915" i="3"/>
  <c r="H915" i="3" s="1"/>
  <c r="D1137" i="3"/>
  <c r="I1137" i="3" s="1"/>
  <c r="D1205" i="3"/>
  <c r="D1820" i="3"/>
  <c r="D958" i="3"/>
  <c r="D1985" i="3"/>
  <c r="D1140" i="3"/>
  <c r="D1123" i="3"/>
  <c r="H1123" i="3" s="1"/>
  <c r="D1000" i="3"/>
  <c r="H1000" i="3" s="1"/>
  <c r="D1011" i="3"/>
  <c r="D1452" i="3"/>
  <c r="D913" i="3"/>
  <c r="I913" i="3" s="1"/>
  <c r="D1482" i="3"/>
  <c r="I1482" i="3" s="1"/>
  <c r="D1961" i="3"/>
  <c r="D1460" i="3"/>
  <c r="H1460" i="3" s="1"/>
  <c r="D1868" i="3"/>
  <c r="D1109" i="3"/>
  <c r="H1109" i="3" s="1"/>
  <c r="D8518" i="3"/>
  <c r="D2029" i="3"/>
  <c r="D904" i="3"/>
  <c r="D8615" i="3"/>
  <c r="D938" i="3"/>
  <c r="D1605" i="3"/>
  <c r="D2008" i="3"/>
  <c r="D1597" i="3"/>
  <c r="J1597" i="3" s="1"/>
  <c r="D1998" i="3"/>
  <c r="H1998" i="3" s="1"/>
  <c r="D1518" i="3"/>
  <c r="D8045" i="3"/>
  <c r="J8045" i="3" s="1"/>
  <c r="D1564" i="3"/>
  <c r="D1874" i="3"/>
  <c r="D984" i="3"/>
  <c r="J984" i="3" s="1"/>
  <c r="D1380" i="3"/>
  <c r="D1182" i="3"/>
  <c r="D658" i="3"/>
  <c r="D1408" i="3"/>
  <c r="D1973" i="3"/>
  <c r="D1024" i="3"/>
  <c r="I1024" i="3" s="1"/>
  <c r="D1632" i="3"/>
  <c r="D1729" i="3"/>
  <c r="H1729" i="3" s="1"/>
  <c r="D1179" i="3"/>
  <c r="D1843" i="3"/>
  <c r="D1401" i="3"/>
  <c r="H1401" i="3" s="1"/>
  <c r="D1162" i="3"/>
  <c r="D1740" i="3"/>
  <c r="I1740" i="3" s="1"/>
  <c r="D1172" i="3"/>
  <c r="D1056" i="3"/>
  <c r="I1056" i="3" s="1"/>
  <c r="D1771" i="3"/>
  <c r="H1771" i="3" s="1"/>
  <c r="D1469" i="3"/>
  <c r="D926" i="3"/>
  <c r="D652" i="3"/>
  <c r="D1132" i="3"/>
  <c r="D1572" i="3"/>
  <c r="D1965" i="3"/>
  <c r="D1321" i="3"/>
  <c r="D8490" i="3"/>
  <c r="D8046" i="3"/>
  <c r="D1559" i="3"/>
  <c r="D1348" i="3"/>
  <c r="D2478" i="3"/>
  <c r="D1289" i="3"/>
  <c r="D1001" i="3"/>
  <c r="D1360" i="3"/>
  <c r="D2002" i="3"/>
  <c r="D134" i="3"/>
  <c r="D941" i="3"/>
  <c r="D973" i="3"/>
  <c r="D112" i="3"/>
  <c r="D882" i="3"/>
  <c r="D1067" i="3"/>
  <c r="D852" i="3"/>
  <c r="D1224" i="3"/>
  <c r="D1537" i="3"/>
  <c r="D863" i="3"/>
  <c r="D1990" i="3"/>
  <c r="D123" i="3"/>
  <c r="D1478" i="3"/>
  <c r="D1984" i="3"/>
  <c r="D2486" i="3"/>
  <c r="D1017" i="3"/>
  <c r="H1017" i="3" s="1"/>
  <c r="D1253" i="3"/>
  <c r="D1396" i="3"/>
  <c r="J1396" i="3" s="1"/>
  <c r="D1175" i="3"/>
  <c r="H1175" i="3" s="1"/>
  <c r="D2007" i="3"/>
  <c r="J2007" i="3" s="1"/>
  <c r="D985" i="3"/>
  <c r="I985" i="3" s="1"/>
  <c r="D1891" i="3"/>
  <c r="J1891" i="3" s="1"/>
  <c r="D2028" i="3"/>
  <c r="I2028" i="3" s="1"/>
  <c r="D116" i="3"/>
  <c r="H116" i="3" s="1"/>
  <c r="D8602" i="3"/>
  <c r="D1700" i="3"/>
  <c r="D1839" i="3"/>
  <c r="D2001" i="3"/>
  <c r="D1951" i="3"/>
  <c r="D1287" i="3"/>
  <c r="D901" i="3"/>
  <c r="D1036" i="3"/>
  <c r="D1611" i="3"/>
  <c r="D1673" i="3"/>
  <c r="D1607" i="3"/>
  <c r="D873" i="3"/>
  <c r="D946" i="3"/>
  <c r="D8509" i="3"/>
  <c r="D2030" i="3"/>
  <c r="D1265" i="3"/>
  <c r="D1692" i="3"/>
  <c r="D1640" i="3"/>
  <c r="D1103" i="3"/>
  <c r="D1565" i="3"/>
  <c r="D1488" i="3"/>
  <c r="I1488" i="3" s="1"/>
  <c r="D8036" i="3"/>
  <c r="J8036" i="3" s="1"/>
  <c r="D1680" i="3"/>
  <c r="I1680" i="3" s="1"/>
  <c r="D1441" i="3"/>
  <c r="D2509" i="3"/>
  <c r="D1442" i="3"/>
  <c r="D1198" i="3"/>
  <c r="D1714" i="3"/>
  <c r="D1855" i="3"/>
  <c r="J1855" i="3" s="1"/>
  <c r="D910" i="3"/>
  <c r="D1834" i="3"/>
  <c r="I1834" i="3" s="1"/>
  <c r="D990" i="3"/>
  <c r="H990" i="3" s="1"/>
  <c r="D971" i="3"/>
  <c r="J971" i="3" s="1"/>
  <c r="D889" i="3"/>
  <c r="H889" i="3" s="1"/>
  <c r="D839" i="3"/>
  <c r="I839" i="3" s="1"/>
  <c r="D1738" i="3"/>
  <c r="D1582" i="3"/>
  <c r="I1582" i="3" s="1"/>
  <c r="D1585" i="3"/>
  <c r="H1585" i="3" s="1"/>
  <c r="D1411" i="3"/>
  <c r="D1879" i="3"/>
  <c r="D939" i="3"/>
  <c r="D1186" i="3"/>
  <c r="I1186" i="3" s="1"/>
  <c r="D1443" i="3"/>
  <c r="D936" i="3"/>
  <c r="H936" i="3" s="1"/>
  <c r="D1312" i="3"/>
  <c r="I1312" i="3" s="1"/>
  <c r="D1060" i="3"/>
  <c r="J1060" i="3" s="1"/>
  <c r="D8032" i="3"/>
  <c r="D1786" i="3"/>
  <c r="H1786" i="3" s="1"/>
  <c r="D1830" i="3"/>
  <c r="J1830" i="3" s="1"/>
  <c r="D981" i="3"/>
  <c r="I981" i="3" s="1"/>
  <c r="D1836" i="3"/>
  <c r="H1836" i="3" s="1"/>
  <c r="D1765" i="3"/>
  <c r="D1856" i="3"/>
  <c r="D1456" i="3"/>
  <c r="D1280" i="3"/>
  <c r="J1280" i="3" s="1"/>
  <c r="D1012" i="3"/>
  <c r="D1218" i="3"/>
  <c r="H1218" i="3" s="1"/>
  <c r="D1270" i="3"/>
  <c r="H1270" i="3" s="1"/>
  <c r="D907" i="3"/>
  <c r="I907" i="3" s="1"/>
  <c r="D2481" i="3"/>
  <c r="D1032" i="3"/>
  <c r="D1020" i="3"/>
  <c r="H1020" i="3" s="1"/>
  <c r="D1416" i="3"/>
  <c r="H1416" i="3" s="1"/>
  <c r="D1645" i="3"/>
  <c r="D884" i="3"/>
  <c r="J884" i="3" s="1"/>
  <c r="D1831" i="3"/>
  <c r="D2042" i="3"/>
  <c r="I2042" i="3" s="1"/>
  <c r="D8056" i="3"/>
  <c r="D1709" i="3"/>
  <c r="D1176" i="3"/>
  <c r="J1176" i="3" s="1"/>
  <c r="D1550" i="3"/>
  <c r="I1550" i="3" s="1"/>
  <c r="D2493" i="3"/>
  <c r="D1823" i="3"/>
  <c r="J1823" i="3" s="1"/>
  <c r="D1127" i="3"/>
  <c r="D1300" i="3"/>
  <c r="D2522" i="3"/>
  <c r="D1346" i="3"/>
  <c r="D1261" i="3"/>
  <c r="D1739" i="3"/>
  <c r="I1739" i="3" s="1"/>
  <c r="D8595" i="3"/>
  <c r="D1042" i="3"/>
  <c r="I1042" i="3" s="1"/>
  <c r="D2479" i="3"/>
  <c r="I2479" i="3" s="1"/>
  <c r="D1018" i="3"/>
  <c r="I1018" i="3" s="1"/>
  <c r="D1039" i="3"/>
  <c r="D2398" i="3"/>
  <c r="D120" i="3"/>
  <c r="H120" i="3" s="1"/>
  <c r="D1047" i="3"/>
  <c r="D942" i="3"/>
  <c r="D1536" i="3"/>
  <c r="I1536" i="3" s="1"/>
  <c r="D1213" i="3"/>
  <c r="D1737" i="3"/>
  <c r="D2003" i="3"/>
  <c r="H2003" i="3" s="1"/>
  <c r="D1964" i="3"/>
  <c r="H1964" i="3" s="1"/>
  <c r="D1654" i="3"/>
  <c r="J1654" i="3" s="1"/>
  <c r="D1196" i="3"/>
  <c r="J1196" i="3" s="1"/>
  <c r="D2492" i="3"/>
  <c r="D968" i="3"/>
  <c r="D1524" i="3"/>
  <c r="D967" i="3"/>
  <c r="H967" i="3" s="1"/>
  <c r="D1066" i="3"/>
  <c r="H1066" i="3" s="1"/>
  <c r="D902" i="3"/>
  <c r="H902" i="3" s="1"/>
  <c r="D1347" i="3"/>
  <c r="J1347" i="3" s="1"/>
  <c r="D869" i="3"/>
  <c r="J869" i="3" s="1"/>
  <c r="D1345" i="3"/>
  <c r="H1345" i="3" s="1"/>
  <c r="D2041" i="3"/>
  <c r="D1183" i="3"/>
  <c r="J1183" i="3" s="1"/>
  <c r="D2519" i="3"/>
  <c r="D1031" i="3"/>
  <c r="D1827" i="3"/>
  <c r="D1451" i="3"/>
  <c r="I1451" i="3" s="1"/>
  <c r="D1114" i="3"/>
  <c r="J1114" i="3" s="1"/>
  <c r="D2516" i="3"/>
  <c r="J2516" i="3" s="1"/>
  <c r="D1479" i="3"/>
  <c r="H1479" i="3" s="1"/>
  <c r="D2501" i="3"/>
  <c r="H2501" i="3" s="1"/>
  <c r="D1142" i="3"/>
  <c r="H1142" i="3" s="1"/>
  <c r="D8601" i="3"/>
  <c r="I8601" i="3" s="1"/>
  <c r="D2036" i="3"/>
  <c r="J2036" i="3" s="1"/>
  <c r="D961" i="3"/>
  <c r="I961" i="3" s="1"/>
  <c r="D1626" i="3"/>
  <c r="D1299" i="3"/>
  <c r="D1013" i="3"/>
  <c r="D1861" i="3"/>
  <c r="D947" i="3"/>
  <c r="D1262" i="3"/>
  <c r="D2494" i="3"/>
  <c r="D121" i="3"/>
  <c r="J4" i="83"/>
  <c r="D1745" i="3"/>
  <c r="D2506" i="3"/>
  <c r="D1178" i="3"/>
  <c r="J1178" i="3" s="1"/>
  <c r="D1367" i="3"/>
  <c r="D8497" i="3"/>
  <c r="D951" i="3"/>
  <c r="D1463" i="3"/>
  <c r="D1899" i="3"/>
  <c r="D8037" i="3"/>
  <c r="J8037" i="3" s="1"/>
  <c r="D1664" i="3"/>
  <c r="I1664" i="3" s="1"/>
  <c r="D8597" i="3"/>
  <c r="H8597" i="3" s="1"/>
  <c r="D1470" i="3"/>
  <c r="D2499" i="3"/>
  <c r="D1328" i="3"/>
  <c r="D1801" i="3"/>
  <c r="I1801" i="3" s="1"/>
  <c r="D1814" i="3"/>
  <c r="D1670" i="3"/>
  <c r="D1480" i="3"/>
  <c r="D1999" i="3"/>
  <c r="D1118" i="3"/>
  <c r="D8606" i="3"/>
  <c r="I8606" i="3" s="1"/>
  <c r="D1311" i="3"/>
  <c r="I1311" i="3" s="1"/>
  <c r="D126" i="3"/>
  <c r="D1373" i="3"/>
  <c r="D962" i="3"/>
  <c r="D8498" i="3"/>
  <c r="D1041" i="3"/>
  <c r="H1041" i="3" s="1"/>
  <c r="D1125" i="3"/>
  <c r="J1125" i="3" s="1"/>
  <c r="D1540" i="3"/>
  <c r="D1203" i="3"/>
  <c r="D1501" i="3"/>
  <c r="J1501" i="3" s="1"/>
  <c r="D1474" i="3"/>
  <c r="D1887" i="3"/>
  <c r="I1887" i="3" s="1"/>
  <c r="D1481" i="3"/>
  <c r="H1481" i="3" s="1"/>
  <c r="D2515" i="3"/>
  <c r="J2515" i="3" s="1"/>
  <c r="D1445" i="3"/>
  <c r="D1398" i="3"/>
  <c r="D1050" i="3"/>
  <c r="J1050" i="3" s="1"/>
  <c r="D1106" i="3"/>
  <c r="J1106" i="3" s="1"/>
  <c r="D1338" i="3"/>
  <c r="J1338" i="3" s="1"/>
  <c r="D995" i="3"/>
  <c r="J995" i="3" s="1"/>
  <c r="D8487" i="3"/>
  <c r="D1243" i="3"/>
  <c r="D1803" i="3"/>
  <c r="D1168" i="3"/>
  <c r="D1003" i="3"/>
  <c r="H1003" i="3" s="1"/>
  <c r="D1120" i="3"/>
  <c r="I1120" i="3" s="1"/>
  <c r="D917" i="3"/>
  <c r="H917" i="3" s="1"/>
  <c r="D1207" i="3"/>
  <c r="H1207" i="3" s="1"/>
  <c r="D1378" i="3"/>
  <c r="J1378" i="3" s="1"/>
  <c r="D1888" i="3"/>
  <c r="I1888" i="3" s="1"/>
  <c r="D829" i="3"/>
  <c r="D1308" i="3"/>
  <c r="I1308" i="3" s="1"/>
  <c r="D1033" i="3"/>
  <c r="I1033" i="3" s="1"/>
  <c r="D1525" i="3"/>
  <c r="I1525" i="3" s="1"/>
  <c r="D876" i="3"/>
  <c r="D1763" i="3"/>
  <c r="H1763" i="3" s="1"/>
  <c r="D1256" i="3"/>
  <c r="D1364" i="3"/>
  <c r="I1364" i="3" s="1"/>
  <c r="D1353" i="3"/>
  <c r="D929" i="3"/>
  <c r="D1634" i="3"/>
  <c r="D8073" i="3"/>
  <c r="H8073" i="3" s="1"/>
  <c r="D847" i="3"/>
  <c r="D908" i="3"/>
  <c r="J908" i="3" s="1"/>
  <c r="D1362" i="3"/>
  <c r="D1884" i="3"/>
  <c r="D833" i="3"/>
  <c r="H833" i="3" s="1"/>
  <c r="D1105" i="3"/>
  <c r="J1105" i="3" s="1"/>
  <c r="D1370" i="3"/>
  <c r="H1370" i="3" s="1"/>
  <c r="D2021" i="3"/>
  <c r="J2021" i="3" s="1"/>
  <c r="D851" i="3"/>
  <c r="J851" i="3" s="1"/>
  <c r="D1055" i="3"/>
  <c r="D1735" i="3"/>
  <c r="D1736" i="3"/>
  <c r="H1736" i="3" s="1"/>
  <c r="D1941" i="3"/>
  <c r="D1494" i="3"/>
  <c r="I1494" i="3" s="1"/>
  <c r="D1475" i="3"/>
  <c r="H1475" i="3" s="1"/>
  <c r="D1959" i="3"/>
  <c r="H1959" i="3" s="1"/>
  <c r="D1073" i="3"/>
  <c r="I1073" i="3" s="1"/>
  <c r="D1006" i="3"/>
  <c r="D1558" i="3"/>
  <c r="I1558" i="3" s="1"/>
  <c r="D1732" i="3"/>
  <c r="D1216" i="3"/>
  <c r="D1568" i="3"/>
  <c r="D955" i="3"/>
  <c r="D1410" i="3"/>
  <c r="J1410" i="3" s="1"/>
  <c r="D2498" i="3"/>
  <c r="H2498" i="3" s="1"/>
  <c r="D1431" i="3"/>
  <c r="H1431" i="3" s="1"/>
  <c r="D1138" i="3"/>
  <c r="H1138" i="3" s="1"/>
  <c r="D1509" i="3"/>
  <c r="D119" i="3"/>
  <c r="I119" i="3" s="1"/>
  <c r="D1086" i="3"/>
  <c r="D1097" i="3"/>
  <c r="I1097" i="3" s="1"/>
  <c r="D1215" i="3"/>
  <c r="D1614" i="3"/>
  <c r="D1770" i="3"/>
  <c r="H1770" i="3" s="1"/>
  <c r="D1298" i="3"/>
  <c r="D2466" i="3"/>
  <c r="H2466" i="3" s="1"/>
  <c r="D1571" i="3"/>
  <c r="J1571" i="3" s="1"/>
  <c r="D1637" i="3"/>
  <c r="J1637" i="3" s="1"/>
  <c r="D2504" i="3"/>
  <c r="J2504" i="3" s="1"/>
  <c r="D8507" i="3"/>
  <c r="D8506" i="3"/>
  <c r="I8506" i="3" s="1"/>
  <c r="D1652" i="3"/>
  <c r="D8599" i="3"/>
  <c r="D838" i="3"/>
  <c r="D1241" i="3"/>
  <c r="D1905" i="3"/>
  <c r="I1905" i="3" s="1"/>
  <c r="D1822" i="3"/>
  <c r="J1822" i="3" s="1"/>
  <c r="D1567" i="3"/>
  <c r="H1567" i="3" s="1"/>
  <c r="D1365" i="3"/>
  <c r="H1365" i="3" s="1"/>
  <c r="D1994" i="3"/>
  <c r="J1994" i="3" s="1"/>
  <c r="D1966" i="3"/>
  <c r="J1966" i="3" s="1"/>
  <c r="D1352" i="3"/>
  <c r="I1352" i="3" s="1"/>
  <c r="D1493" i="3"/>
  <c r="H1493" i="3" s="1"/>
  <c r="D1419" i="3"/>
  <c r="H1419" i="3" s="1"/>
  <c r="D1191" i="3"/>
  <c r="J1191" i="3" s="1"/>
  <c r="D1143" i="3"/>
  <c r="D1040" i="3"/>
  <c r="D1331" i="3"/>
  <c r="J1331" i="3" s="1"/>
  <c r="D832" i="3"/>
  <c r="H832" i="3" s="1"/>
  <c r="D2464" i="3"/>
  <c r="J2464" i="3" s="1"/>
  <c r="D1381" i="3"/>
  <c r="I1381" i="3" s="1"/>
  <c r="D931" i="3"/>
  <c r="J931" i="3" s="1"/>
  <c r="D2020" i="3"/>
  <c r="H2020" i="3" s="1"/>
  <c r="D1903" i="3"/>
  <c r="J1903" i="3" s="1"/>
  <c r="D1618" i="3"/>
  <c r="H1618" i="3" s="1"/>
  <c r="D1744" i="3"/>
  <c r="D887" i="3"/>
  <c r="D1695" i="3"/>
  <c r="D1638" i="3"/>
  <c r="D1505" i="3"/>
  <c r="D2399" i="3"/>
  <c r="H2399" i="3" s="1"/>
  <c r="D1395" i="3"/>
  <c r="D1303" i="3"/>
  <c r="D1578" i="3"/>
  <c r="D1720" i="3"/>
  <c r="I1720" i="3" s="1"/>
  <c r="D1655" i="3"/>
  <c r="D1085" i="3"/>
  <c r="H1085" i="3" s="1"/>
  <c r="D1699" i="3"/>
  <c r="D1440" i="3"/>
  <c r="D922" i="3"/>
  <c r="D1139" i="3"/>
  <c r="D8496" i="3"/>
  <c r="D2034" i="3"/>
  <c r="D943" i="3"/>
  <c r="D1665" i="3"/>
  <c r="D2468" i="3"/>
  <c r="H2468" i="3" s="1"/>
  <c r="D1322" i="3"/>
  <c r="D2470" i="3"/>
  <c r="D2495" i="3"/>
  <c r="D1696" i="3"/>
  <c r="D988" i="3"/>
  <c r="D1845" i="3"/>
  <c r="D952" i="3"/>
  <c r="D1028" i="3"/>
  <c r="D1307" i="3"/>
  <c r="I1307" i="3" s="1"/>
  <c r="D1895" i="3"/>
  <c r="I1895" i="3" s="1"/>
  <c r="D932" i="3"/>
  <c r="H932" i="3" s="1"/>
  <c r="H2515" i="3"/>
  <c r="J1095" i="3"/>
  <c r="J860" i="3"/>
  <c r="I1095" i="3"/>
  <c r="H860" i="3"/>
  <c r="I1225" i="3"/>
  <c r="J1530" i="3"/>
  <c r="H1268" i="3"/>
  <c r="H1225" i="3"/>
  <c r="H1530" i="3"/>
  <c r="I1268" i="3"/>
  <c r="I8516" i="3"/>
  <c r="I1228" i="3"/>
  <c r="H1610" i="3"/>
  <c r="J997" i="3"/>
  <c r="I2007" i="3"/>
  <c r="I1705" i="3"/>
  <c r="J1175" i="3"/>
  <c r="J1674" i="3"/>
  <c r="H899" i="3"/>
  <c r="J1773" i="3"/>
  <c r="I1164" i="3"/>
  <c r="J899" i="3"/>
  <c r="H1607" i="3"/>
  <c r="I1049" i="3"/>
  <c r="J1049" i="3"/>
  <c r="J1177" i="3"/>
  <c r="J1720" i="3"/>
  <c r="H1396" i="3"/>
  <c r="H8611" i="3"/>
  <c r="J116" i="3"/>
  <c r="H1044" i="3"/>
  <c r="I1044" i="3"/>
  <c r="J1023" i="3"/>
  <c r="H1023" i="3"/>
  <c r="I1107" i="3"/>
  <c r="J1980" i="3"/>
  <c r="J1782" i="3"/>
  <c r="I1782" i="3"/>
  <c r="H1435" i="3"/>
  <c r="H1975" i="3"/>
  <c r="I1187" i="3"/>
  <c r="I8048" i="3"/>
  <c r="H1681" i="3"/>
  <c r="I1240" i="3"/>
  <c r="I979" i="3"/>
  <c r="H1112" i="3"/>
  <c r="H1982" i="3"/>
  <c r="I1964" i="3"/>
  <c r="J985" i="3"/>
  <c r="H1571" i="3"/>
  <c r="I846" i="3"/>
  <c r="J1631" i="3"/>
  <c r="J1042" i="3"/>
  <c r="H1196" i="3"/>
  <c r="I1610" i="3"/>
  <c r="H1648" i="3"/>
  <c r="I849" i="3"/>
  <c r="H2036" i="3"/>
  <c r="J1112" i="3"/>
  <c r="I1521" i="3"/>
  <c r="I1701" i="3"/>
  <c r="I8597" i="3"/>
  <c r="J1598" i="3"/>
  <c r="I1192" i="3"/>
  <c r="I1310" i="3"/>
  <c r="H2007" i="3"/>
  <c r="H849" i="3"/>
  <c r="J1648" i="3"/>
  <c r="J1415" i="3"/>
  <c r="I1982" i="3"/>
  <c r="J1352" i="3"/>
  <c r="I1419" i="3"/>
  <c r="H8037" i="3"/>
  <c r="J1968" i="3"/>
  <c r="H1680" i="3"/>
  <c r="H1526" i="3"/>
  <c r="H1776" i="3"/>
  <c r="H1853" i="3"/>
  <c r="I8037" i="3"/>
  <c r="H8060" i="3"/>
  <c r="I1458" i="3"/>
  <c r="H920" i="3"/>
  <c r="I966" i="3"/>
  <c r="J1137" i="3"/>
  <c r="I1366" i="3"/>
  <c r="H1137" i="3"/>
  <c r="J1290" i="3"/>
  <c r="J1110" i="3"/>
  <c r="I1635" i="3"/>
  <c r="I1110" i="3"/>
  <c r="H1635" i="3"/>
  <c r="H1890" i="3"/>
  <c r="I1678" i="3"/>
  <c r="I2515" i="3"/>
  <c r="J1596" i="3"/>
  <c r="I121" i="3"/>
  <c r="I1968" i="3"/>
  <c r="I1129" i="3"/>
  <c r="J1776" i="3"/>
  <c r="H2480" i="3"/>
  <c r="I931" i="3"/>
  <c r="J1701" i="3"/>
  <c r="H985" i="3"/>
  <c r="J1664" i="3"/>
  <c r="H2028" i="3"/>
  <c r="J1192" i="3"/>
  <c r="J1526" i="3"/>
  <c r="I1788" i="3"/>
  <c r="H846" i="3"/>
  <c r="I1273" i="3"/>
  <c r="I1418" i="3"/>
  <c r="H1854" i="3"/>
  <c r="H1059" i="3"/>
  <c r="J2480" i="3"/>
  <c r="J8597" i="3"/>
  <c r="J8501" i="3"/>
  <c r="I1396" i="3"/>
  <c r="I8611" i="3"/>
  <c r="J1680" i="3"/>
  <c r="I1853" i="3"/>
  <c r="J1799" i="3"/>
  <c r="I971" i="3"/>
  <c r="H1664" i="3"/>
  <c r="I1085" i="3"/>
  <c r="J1273" i="3"/>
  <c r="J1333" i="3"/>
  <c r="J1521" i="3"/>
  <c r="I1854" i="3"/>
  <c r="J1788" i="3"/>
  <c r="H971" i="3"/>
  <c r="I2022" i="3"/>
  <c r="I1631" i="3"/>
  <c r="H1333" i="3"/>
  <c r="H8501" i="3"/>
  <c r="J1989" i="3"/>
  <c r="J1017" i="3"/>
  <c r="I1492" i="3"/>
  <c r="J1999" i="3"/>
  <c r="H1561" i="3"/>
  <c r="I1203" i="3"/>
  <c r="I1474" i="3"/>
  <c r="H1501" i="3"/>
  <c r="I1125" i="3"/>
  <c r="I1501" i="3"/>
  <c r="H1125" i="3"/>
  <c r="J1189" i="3"/>
  <c r="I1189" i="3"/>
  <c r="J946" i="3"/>
  <c r="J969" i="3"/>
  <c r="J1373" i="3"/>
  <c r="J1993" i="3"/>
  <c r="J8606" i="3"/>
  <c r="I1814" i="3"/>
  <c r="J1768" i="3"/>
  <c r="H1993" i="3"/>
  <c r="J2022" i="3"/>
  <c r="H8606" i="3"/>
  <c r="H1422" i="3"/>
  <c r="J1488" i="3"/>
  <c r="J2468" i="3"/>
  <c r="H1611" i="3"/>
  <c r="I1980" i="3"/>
  <c r="H1522" i="3"/>
  <c r="I116" i="3"/>
  <c r="I1017" i="3"/>
  <c r="I1671" i="3"/>
  <c r="J1085" i="3"/>
  <c r="J1710" i="3"/>
  <c r="H1129" i="3"/>
  <c r="I1722" i="3"/>
  <c r="I1037" i="3"/>
  <c r="I1799" i="3"/>
  <c r="J1722" i="3"/>
  <c r="J1549" i="3"/>
  <c r="I1115" i="3"/>
  <c r="H1277" i="3"/>
  <c r="H1710" i="3"/>
  <c r="I1175" i="3"/>
  <c r="I1989" i="3"/>
  <c r="H839" i="3"/>
  <c r="H1944" i="3"/>
  <c r="H1311" i="3"/>
  <c r="J2028" i="3"/>
  <c r="H1887" i="3"/>
  <c r="H1596" i="3"/>
  <c r="J1834" i="3"/>
  <c r="J839" i="3"/>
  <c r="H1269" i="3"/>
  <c r="H1946" i="3"/>
  <c r="I2020" i="3"/>
  <c r="H1969" i="3"/>
  <c r="J1887" i="3"/>
  <c r="I1277" i="3"/>
  <c r="I1269" i="3"/>
  <c r="J1311" i="3"/>
  <c r="J1417" i="3"/>
  <c r="I1600" i="3"/>
  <c r="J1237" i="3"/>
  <c r="I997" i="3"/>
  <c r="H1098" i="3"/>
  <c r="J1093" i="3"/>
  <c r="I1770" i="3"/>
  <c r="H1344" i="3"/>
  <c r="I1476" i="3"/>
  <c r="H1093" i="3"/>
  <c r="I2468" i="3"/>
  <c r="I1400" i="3"/>
  <c r="I8500" i="3"/>
  <c r="J1522" i="3"/>
  <c r="H8500" i="3"/>
  <c r="J1946" i="3"/>
  <c r="J1711" i="3"/>
  <c r="H1512" i="3"/>
  <c r="H966" i="3"/>
  <c r="I1439" i="3"/>
  <c r="J1434" i="3"/>
  <c r="I1417" i="3"/>
  <c r="H2472" i="3"/>
  <c r="H1476" i="3"/>
  <c r="J1512" i="3"/>
  <c r="I1944" i="3"/>
  <c r="I1555" i="3"/>
  <c r="H1366" i="3"/>
  <c r="J2472" i="3"/>
  <c r="I1481" i="3"/>
  <c r="H1030" i="3"/>
  <c r="I920" i="3"/>
  <c r="H1400" i="3"/>
  <c r="J1233" i="3"/>
  <c r="I1890" i="3"/>
  <c r="J1992" i="3"/>
  <c r="I1084" i="3"/>
  <c r="J1481" i="3"/>
  <c r="I1434" i="3"/>
  <c r="H1233" i="3"/>
  <c r="J8060" i="3"/>
  <c r="I1992" i="3"/>
  <c r="H1084" i="3"/>
  <c r="H858" i="3"/>
  <c r="H1555" i="3"/>
  <c r="I1647" i="3"/>
  <c r="I1293" i="3"/>
  <c r="I858" i="3"/>
  <c r="J1000" i="3"/>
  <c r="I2403" i="3"/>
  <c r="J1344" i="3"/>
  <c r="J1293" i="3"/>
  <c r="H2403" i="3"/>
  <c r="J1115" i="3"/>
  <c r="J1439" i="3"/>
  <c r="J1030" i="3"/>
  <c r="H1647" i="3"/>
  <c r="H1816" i="3"/>
  <c r="I932" i="3"/>
  <c r="J932" i="3"/>
  <c r="H2503" i="3"/>
  <c r="H935" i="3"/>
  <c r="H1624" i="3"/>
  <c r="J1364" i="3"/>
  <c r="J1370" i="3"/>
  <c r="I1370" i="3"/>
  <c r="J1308" i="3"/>
  <c r="J1433" i="3"/>
  <c r="I1613" i="3"/>
  <c r="H1004" i="3"/>
  <c r="I1832" i="3"/>
  <c r="J1120" i="3"/>
  <c r="J1145" i="3"/>
  <c r="J1862" i="3"/>
  <c r="H1105" i="3"/>
  <c r="H1862" i="3"/>
  <c r="H885" i="3"/>
  <c r="I935" i="3"/>
  <c r="H1953" i="3"/>
  <c r="J990" i="3"/>
  <c r="I890" i="3"/>
  <c r="H1488" i="3"/>
  <c r="H1187" i="3"/>
  <c r="H1518" i="3"/>
  <c r="H1240" i="3"/>
  <c r="H1011" i="3"/>
  <c r="I1681" i="3"/>
  <c r="J1671" i="3"/>
  <c r="I8487" i="3"/>
  <c r="J1300" i="3"/>
  <c r="I2522" i="3"/>
  <c r="J838" i="3"/>
  <c r="I1191" i="3"/>
  <c r="I8595" i="3"/>
  <c r="H1042" i="3"/>
  <c r="J890" i="3"/>
  <c r="I1571" i="3"/>
  <c r="J1969" i="3"/>
  <c r="H8048" i="3"/>
  <c r="H1191" i="3"/>
  <c r="I1493" i="3"/>
  <c r="I1358" i="3"/>
  <c r="H105" i="3"/>
  <c r="I1431" i="3"/>
  <c r="J1431" i="3"/>
  <c r="J1878" i="3"/>
  <c r="J1975" i="3"/>
  <c r="H1961" i="3"/>
  <c r="H1443" i="3"/>
  <c r="H8518" i="3"/>
  <c r="H1352" i="3"/>
  <c r="J1138" i="3"/>
  <c r="I105" i="3"/>
  <c r="H1597" i="3"/>
  <c r="J1739" i="3"/>
  <c r="I1109" i="3"/>
  <c r="H1739" i="3"/>
  <c r="I995" i="3"/>
  <c r="I2504" i="3"/>
  <c r="H1966" i="3"/>
  <c r="J2498" i="3"/>
  <c r="H1905" i="3"/>
  <c r="J1109" i="3"/>
  <c r="H995" i="3"/>
  <c r="I1637" i="3"/>
  <c r="H119" i="3"/>
  <c r="I1994" i="3"/>
  <c r="H2504" i="3"/>
  <c r="H2035" i="3"/>
  <c r="I1717" i="3"/>
  <c r="H1600" i="3"/>
  <c r="J1905" i="3"/>
  <c r="J8049" i="3"/>
  <c r="H1122" i="3"/>
  <c r="H913" i="3"/>
  <c r="H1637" i="3"/>
  <c r="J2479" i="3"/>
  <c r="J1018" i="3"/>
  <c r="J119" i="3"/>
  <c r="J1097" i="3"/>
  <c r="I965" i="3"/>
  <c r="H1994" i="3"/>
  <c r="J1034" i="3"/>
  <c r="I2035" i="3"/>
  <c r="H1358" i="3"/>
  <c r="J1008" i="3"/>
  <c r="I8049" i="3"/>
  <c r="I1122" i="3"/>
  <c r="J913" i="3"/>
  <c r="J1493" i="3"/>
  <c r="H1018" i="3"/>
  <c r="H1097" i="3"/>
  <c r="J965" i="3"/>
  <c r="I1034" i="3"/>
  <c r="I1966" i="3"/>
  <c r="I1460" i="3"/>
  <c r="J1186" i="3"/>
  <c r="H2500" i="3"/>
  <c r="H8045" i="3"/>
  <c r="I984" i="3"/>
  <c r="J8506" i="3"/>
  <c r="I1365" i="3"/>
  <c r="I1822" i="3"/>
  <c r="H1008" i="3"/>
  <c r="J1770" i="3"/>
  <c r="I2498" i="3"/>
  <c r="J1435" i="3"/>
  <c r="J1460" i="3"/>
  <c r="H1186" i="3"/>
  <c r="I2500" i="3"/>
  <c r="I8045" i="3"/>
  <c r="H984" i="3"/>
  <c r="I2398" i="3"/>
  <c r="H8506" i="3"/>
  <c r="J1419" i="3"/>
  <c r="J1365" i="3"/>
  <c r="I1098" i="3"/>
  <c r="H1822" i="3"/>
  <c r="H1668" i="3"/>
  <c r="I1668" i="3"/>
  <c r="H1717" i="3"/>
  <c r="I1138" i="3"/>
  <c r="J912" i="3"/>
  <c r="I1000" i="3"/>
  <c r="I1878" i="3"/>
  <c r="H1720" i="3"/>
  <c r="I1235" i="3"/>
  <c r="H1834" i="3"/>
  <c r="I1711" i="3"/>
  <c r="J1188" i="3"/>
  <c r="H907" i="3"/>
  <c r="I1892" i="3"/>
  <c r="H1325" i="3"/>
  <c r="I1391" i="3"/>
  <c r="J1342" i="3"/>
  <c r="J1838" i="3"/>
  <c r="I1860" i="3"/>
  <c r="H981" i="3"/>
  <c r="H1071" i="3"/>
  <c r="J897" i="3"/>
  <c r="I1472" i="3"/>
  <c r="J1359" i="3"/>
  <c r="I975" i="3"/>
  <c r="H109" i="3"/>
  <c r="H1391" i="3"/>
  <c r="I1184" i="3"/>
  <c r="H1188" i="3"/>
  <c r="H1280" i="3"/>
  <c r="J1786" i="3"/>
  <c r="J981" i="3"/>
  <c r="H1312" i="3"/>
  <c r="J907" i="3"/>
  <c r="J1976" i="3"/>
  <c r="H1073" i="3"/>
  <c r="J1816" i="3"/>
  <c r="H1490" i="3"/>
  <c r="J1490" i="3"/>
  <c r="H1584" i="3"/>
  <c r="J975" i="3"/>
  <c r="H1342" i="3"/>
  <c r="J1184" i="3"/>
  <c r="J1073" i="3"/>
  <c r="J1860" i="3"/>
  <c r="I1218" i="3"/>
  <c r="H1892" i="3"/>
  <c r="J1210" i="3"/>
  <c r="I1510" i="3"/>
  <c r="I884" i="3"/>
  <c r="H1830" i="3"/>
  <c r="I1325" i="3"/>
  <c r="J1510" i="3"/>
  <c r="H1349" i="3"/>
  <c r="J1836" i="3"/>
  <c r="H884" i="3"/>
  <c r="J1020" i="3"/>
  <c r="J1416" i="3"/>
  <c r="I1830" i="3"/>
  <c r="J1550" i="3"/>
  <c r="I897" i="3"/>
  <c r="H1545" i="3"/>
  <c r="H1823" i="3"/>
  <c r="I1349" i="3"/>
  <c r="J1494" i="3"/>
  <c r="I1836" i="3"/>
  <c r="I1020" i="3"/>
  <c r="I1416" i="3"/>
  <c r="I1475" i="3"/>
  <c r="I1583" i="3"/>
  <c r="I936" i="3"/>
  <c r="H1550" i="3"/>
  <c r="H871" i="3"/>
  <c r="J1071" i="3"/>
  <c r="I1823" i="3"/>
  <c r="H1907" i="3"/>
  <c r="I1962" i="3"/>
  <c r="H1494" i="3"/>
  <c r="J1475" i="3"/>
  <c r="J936" i="3"/>
  <c r="I8025" i="3"/>
  <c r="H1332" i="3"/>
  <c r="I1780" i="3"/>
  <c r="J1428" i="3"/>
  <c r="I871" i="3"/>
  <c r="J1472" i="3"/>
  <c r="I1741" i="3"/>
  <c r="H1718" i="3"/>
  <c r="J2401" i="3"/>
  <c r="J1962" i="3"/>
  <c r="I1959" i="3"/>
  <c r="H2483" i="3"/>
  <c r="J8025" i="3"/>
  <c r="I1332" i="3"/>
  <c r="H1780" i="3"/>
  <c r="H1428" i="3"/>
  <c r="J1741" i="3"/>
  <c r="I1901" i="3"/>
  <c r="I875" i="3"/>
  <c r="I2483" i="3"/>
  <c r="H1558" i="3"/>
  <c r="H1313" i="3"/>
  <c r="J1819" i="3"/>
  <c r="J1218" i="3"/>
  <c r="J1545" i="3"/>
  <c r="J1394" i="3"/>
  <c r="J2042" i="3"/>
  <c r="I1991" i="3"/>
  <c r="J1558" i="3"/>
  <c r="I1313" i="3"/>
  <c r="I1754" i="3"/>
  <c r="I1838" i="3"/>
  <c r="I1210" i="3"/>
  <c r="I1584" i="3"/>
  <c r="H2042" i="3"/>
  <c r="H1583" i="3"/>
  <c r="I109" i="3"/>
  <c r="I1280" i="3"/>
  <c r="I1786" i="3"/>
  <c r="H1991" i="3"/>
  <c r="J1312" i="3"/>
  <c r="I1976" i="3"/>
  <c r="J1959" i="3"/>
  <c r="H2401" i="3"/>
  <c r="J1754" i="3"/>
  <c r="H1546" i="3"/>
  <c r="H1901" i="3"/>
  <c r="H1819" i="3"/>
  <c r="H875" i="3"/>
  <c r="I1718" i="3"/>
  <c r="H1359" i="3"/>
  <c r="I1546" i="3"/>
  <c r="I1394" i="3"/>
  <c r="H1898" i="3"/>
  <c r="J1983" i="3"/>
  <c r="I1465" i="3"/>
  <c r="H1821" i="3"/>
  <c r="H2513" i="3"/>
  <c r="H1995" i="3"/>
  <c r="I2497" i="3"/>
  <c r="J1222" i="3"/>
  <c r="J1024" i="3"/>
  <c r="I948" i="3"/>
  <c r="J1871" i="3"/>
  <c r="J1771" i="3"/>
  <c r="J832" i="3"/>
  <c r="I1903" i="3"/>
  <c r="I1323" i="3"/>
  <c r="H1465" i="3"/>
  <c r="J1821" i="3"/>
  <c r="J2513" i="3"/>
  <c r="I1335" i="3"/>
  <c r="J1995" i="3"/>
  <c r="I1222" i="3"/>
  <c r="J948" i="3"/>
  <c r="I1871" i="3"/>
  <c r="I1771" i="3"/>
  <c r="H1155" i="3"/>
  <c r="J1401" i="3"/>
  <c r="J967" i="3"/>
  <c r="I869" i="3"/>
  <c r="H1451" i="3"/>
  <c r="J1716" i="3"/>
  <c r="J1729" i="3"/>
  <c r="H1467" i="3"/>
  <c r="H1040" i="3"/>
  <c r="J1335" i="3"/>
  <c r="H1885" i="3"/>
  <c r="J1155" i="3"/>
  <c r="H1213" i="3"/>
  <c r="I1401" i="3"/>
  <c r="I2036" i="3"/>
  <c r="I967" i="3"/>
  <c r="H931" i="3"/>
  <c r="J2020" i="3"/>
  <c r="I912" i="3"/>
  <c r="J1971" i="3"/>
  <c r="H1731" i="3"/>
  <c r="I2025" i="3"/>
  <c r="I1143" i="3"/>
  <c r="I1875" i="3"/>
  <c r="I1744" i="3"/>
  <c r="J1574" i="3"/>
  <c r="I1885" i="3"/>
  <c r="J1066" i="3"/>
  <c r="J1964" i="3"/>
  <c r="J1451" i="3"/>
  <c r="I1971" i="3"/>
  <c r="J1618" i="3"/>
  <c r="H887" i="3"/>
  <c r="H1172" i="3"/>
  <c r="I1196" i="3"/>
  <c r="H8601" i="3"/>
  <c r="I1345" i="3"/>
  <c r="H2516" i="3"/>
  <c r="H891" i="3"/>
  <c r="H1716" i="3"/>
  <c r="I1142" i="3"/>
  <c r="J8601" i="3"/>
  <c r="J1345" i="3"/>
  <c r="I2516" i="3"/>
  <c r="H1381" i="3"/>
  <c r="J1731" i="3"/>
  <c r="I1467" i="3"/>
  <c r="H1740" i="3"/>
  <c r="J1142" i="3"/>
  <c r="J902" i="3"/>
  <c r="H1536" i="3"/>
  <c r="I1114" i="3"/>
  <c r="I1778" i="3"/>
  <c r="H869" i="3"/>
  <c r="J942" i="3"/>
  <c r="I1729" i="3"/>
  <c r="I1983" i="3"/>
  <c r="J1740" i="3"/>
  <c r="J1536" i="3"/>
  <c r="I1479" i="3"/>
  <c r="H1331" i="3"/>
  <c r="J891" i="3"/>
  <c r="J1778" i="3"/>
  <c r="I2003" i="3"/>
  <c r="J1479" i="3"/>
  <c r="I1331" i="3"/>
  <c r="I1347" i="3"/>
  <c r="J1381" i="3"/>
  <c r="I1827" i="3"/>
  <c r="J2475" i="3"/>
  <c r="J1602" i="3"/>
  <c r="J1195" i="3"/>
  <c r="J2497" i="3"/>
  <c r="J1323" i="3"/>
  <c r="H8508" i="3"/>
  <c r="J961" i="3"/>
  <c r="J2003" i="3"/>
  <c r="I832" i="3"/>
  <c r="H2475" i="3"/>
  <c r="H1903" i="3"/>
  <c r="H1114" i="3"/>
  <c r="I1618" i="3"/>
  <c r="I1602" i="3"/>
  <c r="I1066" i="3"/>
  <c r="I902" i="3"/>
  <c r="I2501" i="3"/>
  <c r="J2501" i="3"/>
  <c r="H1347" i="3"/>
  <c r="J1487" i="3"/>
  <c r="I1790" i="3"/>
  <c r="J840" i="3"/>
  <c r="H1543" i="3"/>
  <c r="H1707" i="3"/>
  <c r="I1974" i="3"/>
  <c r="J8054" i="3"/>
  <c r="J878" i="3"/>
  <c r="I895" i="3"/>
  <c r="H954" i="3"/>
  <c r="H1099" i="3"/>
  <c r="J1249" i="3"/>
  <c r="J1144" i="3"/>
  <c r="J1185" i="3"/>
  <c r="J1566" i="3"/>
  <c r="I1519" i="3"/>
  <c r="H1703" i="3"/>
  <c r="I874" i="3"/>
  <c r="H874" i="3"/>
  <c r="J874" i="3"/>
  <c r="H949" i="3"/>
  <c r="I949" i="3"/>
  <c r="J949" i="3"/>
  <c r="H1379" i="3"/>
  <c r="J1379" i="3"/>
  <c r="I1379" i="3"/>
  <c r="H1519" i="3"/>
  <c r="H1679" i="3"/>
  <c r="I1679" i="3"/>
  <c r="J1679" i="3"/>
  <c r="I1052" i="3"/>
  <c r="H1052" i="3"/>
  <c r="J1052" i="3"/>
  <c r="J918" i="3"/>
  <c r="H918" i="3"/>
  <c r="I918" i="3"/>
  <c r="H1803" i="3"/>
  <c r="J1803" i="3"/>
  <c r="I1803" i="3"/>
  <c r="I1495" i="3"/>
  <c r="I1145" i="3"/>
  <c r="J1859" i="3"/>
  <c r="J895" i="3"/>
  <c r="H1487" i="3"/>
  <c r="I840" i="3"/>
  <c r="H1308" i="3"/>
  <c r="H1249" i="3"/>
  <c r="H1120" i="3"/>
  <c r="H1364" i="3"/>
  <c r="J1749" i="3"/>
  <c r="I2021" i="3"/>
  <c r="J1672" i="3"/>
  <c r="I1575" i="3"/>
  <c r="J1851" i="3"/>
  <c r="H999" i="3"/>
  <c r="I1004" i="3"/>
  <c r="I1477" i="3"/>
  <c r="J1194" i="3"/>
  <c r="J8517" i="3"/>
  <c r="J1667" i="3"/>
  <c r="I972" i="3"/>
  <c r="J1585" i="3"/>
  <c r="J1832" i="3"/>
  <c r="J1755" i="3"/>
  <c r="I1755" i="3"/>
  <c r="H1755" i="3"/>
  <c r="J2005" i="3"/>
  <c r="H2005" i="3"/>
  <c r="I2005" i="3"/>
  <c r="H1424" i="3"/>
  <c r="J1424" i="3"/>
  <c r="I1424" i="3"/>
  <c r="H1414" i="3"/>
  <c r="I1414" i="3"/>
  <c r="J1414" i="3"/>
  <c r="H1852" i="3"/>
  <c r="I1852" i="3"/>
  <c r="J1852" i="3"/>
  <c r="J2032" i="3"/>
  <c r="H2032" i="3"/>
  <c r="I2032" i="3"/>
  <c r="H1021" i="3"/>
  <c r="I1021" i="3"/>
  <c r="J1021" i="3"/>
  <c r="H1336" i="3"/>
  <c r="J1336" i="3"/>
  <c r="I1336" i="3"/>
  <c r="I1102" i="3"/>
  <c r="J1102" i="3"/>
  <c r="H1102" i="3"/>
  <c r="I1002" i="3"/>
  <c r="J1002" i="3"/>
  <c r="H1002" i="3"/>
  <c r="I911" i="3"/>
  <c r="J911" i="3"/>
  <c r="H911" i="3"/>
  <c r="H1496" i="3"/>
  <c r="J1496" i="3"/>
  <c r="I1496" i="3"/>
  <c r="I1797" i="3"/>
  <c r="J1797" i="3"/>
  <c r="H1797" i="3"/>
  <c r="H2040" i="3"/>
  <c r="J2040" i="3"/>
  <c r="I2040" i="3"/>
  <c r="H1083" i="3"/>
  <c r="J1083" i="3"/>
  <c r="I1083" i="3"/>
  <c r="H1285" i="3"/>
  <c r="I1285" i="3"/>
  <c r="J1285" i="3"/>
  <c r="J1157" i="3"/>
  <c r="H1157" i="3"/>
  <c r="I1157" i="3"/>
  <c r="J8495" i="3"/>
  <c r="I8495" i="3"/>
  <c r="H8495" i="3"/>
  <c r="H1805" i="3"/>
  <c r="I1805" i="3"/>
  <c r="J1805" i="3"/>
  <c r="I1644" i="3"/>
  <c r="J1644" i="3"/>
  <c r="H1644" i="3"/>
  <c r="I1762" i="3"/>
  <c r="H1762" i="3"/>
  <c r="J1762" i="3"/>
  <c r="J1535" i="3"/>
  <c r="I1535" i="3"/>
  <c r="H1535" i="3"/>
  <c r="H955" i="3"/>
  <c r="I955" i="3"/>
  <c r="J955" i="3"/>
  <c r="H1568" i="3"/>
  <c r="J1568" i="3"/>
  <c r="I1568" i="3"/>
  <c r="I1216" i="3"/>
  <c r="J1216" i="3"/>
  <c r="H1216" i="3"/>
  <c r="J1732" i="3"/>
  <c r="I1732" i="3"/>
  <c r="H1732" i="3"/>
  <c r="I1006" i="3"/>
  <c r="J1006" i="3"/>
  <c r="H1006" i="3"/>
  <c r="I1941" i="3"/>
  <c r="J1941" i="3"/>
  <c r="H1941" i="3"/>
  <c r="I1735" i="3"/>
  <c r="H1735" i="3"/>
  <c r="J1735" i="3"/>
  <c r="I2493" i="3"/>
  <c r="H2493" i="3"/>
  <c r="J2493" i="3"/>
  <c r="I1709" i="3"/>
  <c r="H1709" i="3"/>
  <c r="J1709" i="3"/>
  <c r="I8056" i="3"/>
  <c r="J8056" i="3"/>
  <c r="H8056" i="3"/>
  <c r="I1831" i="3"/>
  <c r="J1831" i="3"/>
  <c r="H1831" i="3"/>
  <c r="J1645" i="3"/>
  <c r="H1645" i="3"/>
  <c r="I1645" i="3"/>
  <c r="J1032" i="3"/>
  <c r="I1032" i="3"/>
  <c r="H1032" i="3"/>
  <c r="J2481" i="3"/>
  <c r="I2481" i="3"/>
  <c r="H2481" i="3"/>
  <c r="I1012" i="3"/>
  <c r="H1012" i="3"/>
  <c r="J1012" i="3"/>
  <c r="I1456" i="3"/>
  <c r="H1456" i="3"/>
  <c r="J1456" i="3"/>
  <c r="I1856" i="3"/>
  <c r="H1856" i="3"/>
  <c r="J1856" i="3"/>
  <c r="I1765" i="3"/>
  <c r="H1765" i="3"/>
  <c r="J1765" i="3"/>
  <c r="I8032" i="3"/>
  <c r="J8032" i="3"/>
  <c r="H8032" i="3"/>
  <c r="H1445" i="3"/>
  <c r="J1445" i="3"/>
  <c r="I1445" i="3"/>
  <c r="J1217" i="3"/>
  <c r="I1217" i="3"/>
  <c r="H1217" i="3"/>
  <c r="J1306" i="3"/>
  <c r="I1306" i="3"/>
  <c r="H1306" i="3"/>
  <c r="H1477" i="3"/>
  <c r="I1585" i="3"/>
  <c r="H1824" i="3"/>
  <c r="J1824" i="3"/>
  <c r="I1824" i="3"/>
  <c r="H1450" i="3"/>
  <c r="J1450" i="3"/>
  <c r="I1450" i="3"/>
  <c r="J919" i="3"/>
  <c r="H919" i="3"/>
  <c r="I919" i="3"/>
  <c r="H1940" i="3"/>
  <c r="I1940" i="3"/>
  <c r="J1940" i="3"/>
  <c r="H1256" i="3"/>
  <c r="I1256" i="3"/>
  <c r="J1256" i="3"/>
  <c r="H1495" i="3"/>
  <c r="J1275" i="3"/>
  <c r="H1283" i="3"/>
  <c r="H1783" i="3"/>
  <c r="H1749" i="3"/>
  <c r="H2021" i="3"/>
  <c r="H1672" i="3"/>
  <c r="J1575" i="3"/>
  <c r="H1851" i="3"/>
  <c r="J1076" i="3"/>
  <c r="J999" i="3"/>
  <c r="I1194" i="3"/>
  <c r="I8517" i="3"/>
  <c r="I1667" i="3"/>
  <c r="J1763" i="3"/>
  <c r="H1461" i="3"/>
  <c r="I1035" i="3"/>
  <c r="J1035" i="3"/>
  <c r="H844" i="3"/>
  <c r="H8593" i="3"/>
  <c r="J8593" i="3"/>
  <c r="I8593" i="3"/>
  <c r="H848" i="3"/>
  <c r="I848" i="3"/>
  <c r="J848" i="3"/>
  <c r="J996" i="3"/>
  <c r="H996" i="3"/>
  <c r="I996" i="3"/>
  <c r="I1375" i="3"/>
  <c r="J1375" i="3"/>
  <c r="H1375" i="3"/>
  <c r="J900" i="3"/>
  <c r="H900" i="3"/>
  <c r="I900" i="3"/>
  <c r="H1840" i="3"/>
  <c r="I1840" i="3"/>
  <c r="J1840" i="3"/>
  <c r="J944" i="3"/>
  <c r="I944" i="3"/>
  <c r="H944" i="3"/>
  <c r="H1849" i="3"/>
  <c r="I1849" i="3"/>
  <c r="J1849" i="3"/>
  <c r="H1384" i="3"/>
  <c r="J1384" i="3"/>
  <c r="I1384" i="3"/>
  <c r="H1534" i="3"/>
  <c r="I1534" i="3"/>
  <c r="J1534" i="3"/>
  <c r="H2397" i="3"/>
  <c r="I2397" i="3"/>
  <c r="J2397" i="3"/>
  <c r="J1972" i="3"/>
  <c r="H1972" i="3"/>
  <c r="I1972" i="3"/>
  <c r="I1432" i="3"/>
  <c r="J1432" i="3"/>
  <c r="H1432" i="3"/>
  <c r="H1811" i="3"/>
  <c r="I1811" i="3"/>
  <c r="J1811" i="3"/>
  <c r="I1081" i="3"/>
  <c r="J1081" i="3"/>
  <c r="H1081" i="3"/>
  <c r="H1241" i="3"/>
  <c r="I1241" i="3"/>
  <c r="J1241" i="3"/>
  <c r="I8599" i="3"/>
  <c r="J8599" i="3"/>
  <c r="H8599" i="3"/>
  <c r="J1652" i="3"/>
  <c r="H1652" i="3"/>
  <c r="I1652" i="3"/>
  <c r="J8507" i="3"/>
  <c r="I1298" i="3"/>
  <c r="J1298" i="3"/>
  <c r="H1298" i="3"/>
  <c r="H1614" i="3"/>
  <c r="I1614" i="3"/>
  <c r="J1614" i="3"/>
  <c r="H1215" i="3"/>
  <c r="I1215" i="3"/>
  <c r="J1215" i="3"/>
  <c r="H1086" i="3"/>
  <c r="I1086" i="3"/>
  <c r="J1086" i="3"/>
  <c r="H1509" i="3"/>
  <c r="I1509" i="3"/>
  <c r="J1509" i="3"/>
  <c r="I1047" i="3"/>
  <c r="J1047" i="3"/>
  <c r="H1047" i="3"/>
  <c r="J120" i="3"/>
  <c r="I120" i="3"/>
  <c r="J1039" i="3"/>
  <c r="I1039" i="3"/>
  <c r="H1039" i="3"/>
  <c r="I1261" i="3"/>
  <c r="H1261" i="3"/>
  <c r="J1261" i="3"/>
  <c r="H1346" i="3"/>
  <c r="J1346" i="3"/>
  <c r="I1346" i="3"/>
  <c r="J1127" i="3"/>
  <c r="I1127" i="3"/>
  <c r="H1127" i="3"/>
  <c r="J1182" i="3"/>
  <c r="H1182" i="3"/>
  <c r="I1182" i="3"/>
  <c r="J1380" i="3"/>
  <c r="I1380" i="3"/>
  <c r="H1380" i="3"/>
  <c r="H1874" i="3"/>
  <c r="J1874" i="3"/>
  <c r="I1874" i="3"/>
  <c r="J1564" i="3"/>
  <c r="I1564" i="3"/>
  <c r="H1564" i="3"/>
  <c r="J1998" i="3"/>
  <c r="I1998" i="3"/>
  <c r="H2008" i="3"/>
  <c r="I2008" i="3"/>
  <c r="J2008" i="3"/>
  <c r="I1605" i="3"/>
  <c r="J1605" i="3"/>
  <c r="H1605" i="3"/>
  <c r="J938" i="3"/>
  <c r="H938" i="3"/>
  <c r="I938" i="3"/>
  <c r="H8615" i="3"/>
  <c r="J8615" i="3"/>
  <c r="I8615" i="3"/>
  <c r="H904" i="3"/>
  <c r="J904" i="3"/>
  <c r="I904" i="3"/>
  <c r="I2029" i="3"/>
  <c r="H2029" i="3"/>
  <c r="J2029" i="3"/>
  <c r="J1868" i="3"/>
  <c r="I1868" i="3"/>
  <c r="H1868" i="3"/>
  <c r="J1482" i="3"/>
  <c r="J1452" i="3"/>
  <c r="I1452" i="3"/>
  <c r="H1452" i="3"/>
  <c r="J1243" i="3"/>
  <c r="H1243" i="3"/>
  <c r="I1243" i="3"/>
  <c r="I939" i="3"/>
  <c r="J939" i="3"/>
  <c r="H939" i="3"/>
  <c r="J1234" i="3"/>
  <c r="H1234" i="3"/>
  <c r="I1234" i="3"/>
  <c r="H1504" i="3"/>
  <c r="J1504" i="3"/>
  <c r="I1504" i="3"/>
  <c r="J1533" i="3"/>
  <c r="H1533" i="3"/>
  <c r="I1533" i="3"/>
  <c r="H867" i="3"/>
  <c r="J867" i="3"/>
  <c r="I867" i="3"/>
  <c r="I1543" i="3"/>
  <c r="J1260" i="3"/>
  <c r="H1260" i="3"/>
  <c r="I1260" i="3"/>
  <c r="H937" i="3"/>
  <c r="I937" i="3"/>
  <c r="J937" i="3"/>
  <c r="J1168" i="3"/>
  <c r="I1168" i="3"/>
  <c r="H1168" i="3"/>
  <c r="H1171" i="3"/>
  <c r="H1275" i="3"/>
  <c r="I1503" i="3"/>
  <c r="J1793" i="3"/>
  <c r="J1283" i="3"/>
  <c r="J1790" i="3"/>
  <c r="I993" i="3"/>
  <c r="H1528" i="3"/>
  <c r="I837" i="3"/>
  <c r="J1783" i="3"/>
  <c r="J1702" i="3"/>
  <c r="I1627" i="3"/>
  <c r="H888" i="3"/>
  <c r="I1763" i="3"/>
  <c r="J1706" i="3"/>
  <c r="H1235" i="3"/>
  <c r="H1314" i="3"/>
  <c r="I1263" i="3"/>
  <c r="H1263" i="3"/>
  <c r="H1616" i="3"/>
  <c r="J1516" i="3"/>
  <c r="H1516" i="3"/>
  <c r="I1516" i="3"/>
  <c r="H2395" i="3"/>
  <c r="J2395" i="3"/>
  <c r="I2395" i="3"/>
  <c r="I2394" i="3"/>
  <c r="H2394" i="3"/>
  <c r="J2394" i="3"/>
  <c r="J1318" i="3"/>
  <c r="H1318" i="3"/>
  <c r="I1318" i="3"/>
  <c r="I1057" i="3"/>
  <c r="H1057" i="3"/>
  <c r="J1057" i="3"/>
  <c r="I977" i="3"/>
  <c r="H977" i="3"/>
  <c r="J977" i="3"/>
  <c r="J1437" i="3"/>
  <c r="H1437" i="3"/>
  <c r="I1437" i="3"/>
  <c r="H1361" i="3"/>
  <c r="H1449" i="3"/>
  <c r="I1449" i="3"/>
  <c r="J1449" i="3"/>
  <c r="H1223" i="3"/>
  <c r="J1223" i="3"/>
  <c r="I1223" i="3"/>
  <c r="I1759" i="3"/>
  <c r="J1759" i="3"/>
  <c r="H1759" i="3"/>
  <c r="I1806" i="3"/>
  <c r="H1806" i="3"/>
  <c r="J1806" i="3"/>
  <c r="I1031" i="3"/>
  <c r="J1031" i="3"/>
  <c r="H1031" i="3"/>
  <c r="H2519" i="3"/>
  <c r="J2519" i="3"/>
  <c r="I2519" i="3"/>
  <c r="I2041" i="3"/>
  <c r="J2041" i="3"/>
  <c r="H2041" i="3"/>
  <c r="J1524" i="3"/>
  <c r="H1524" i="3"/>
  <c r="I1524" i="3"/>
  <c r="H968" i="3"/>
  <c r="J968" i="3"/>
  <c r="I968" i="3"/>
  <c r="I2492" i="3"/>
  <c r="H2492" i="3"/>
  <c r="J2492" i="3"/>
  <c r="H1737" i="3"/>
  <c r="J1737" i="3"/>
  <c r="I1737" i="3"/>
  <c r="H1056" i="3"/>
  <c r="J1056" i="3"/>
  <c r="J1162" i="3"/>
  <c r="H1162" i="3"/>
  <c r="I1162" i="3"/>
  <c r="J1843" i="3"/>
  <c r="H1843" i="3"/>
  <c r="I1843" i="3"/>
  <c r="H1179" i="3"/>
  <c r="J1179" i="3"/>
  <c r="I1179" i="3"/>
  <c r="I1632" i="3"/>
  <c r="H1632" i="3"/>
  <c r="J1632" i="3"/>
  <c r="H1973" i="3"/>
  <c r="J1973" i="3"/>
  <c r="I1973" i="3"/>
  <c r="J1408" i="3"/>
  <c r="I1408" i="3"/>
  <c r="H1408" i="3"/>
  <c r="J1315" i="3"/>
  <c r="I1315" i="3"/>
  <c r="H1315" i="3"/>
  <c r="J862" i="3"/>
  <c r="I862" i="3"/>
  <c r="H862" i="3"/>
  <c r="H1409" i="3"/>
  <c r="I1409" i="3"/>
  <c r="J1409" i="3"/>
  <c r="I1078" i="3"/>
  <c r="H1078" i="3"/>
  <c r="J1078" i="3"/>
  <c r="J934" i="3"/>
  <c r="I1007" i="3"/>
  <c r="H1007" i="3"/>
  <c r="J1007" i="3"/>
  <c r="I1226" i="3"/>
  <c r="H1226" i="3"/>
  <c r="J1226" i="3"/>
  <c r="I1828" i="3"/>
  <c r="H1828" i="3"/>
  <c r="J1828" i="3"/>
  <c r="H1211" i="3"/>
  <c r="J1211" i="3"/>
  <c r="I1211" i="3"/>
  <c r="H1046" i="3"/>
  <c r="J1046" i="3"/>
  <c r="I1046" i="3"/>
  <c r="J2490" i="3"/>
  <c r="I2490" i="3"/>
  <c r="H2490" i="3"/>
  <c r="H1282" i="3"/>
  <c r="I1282" i="3"/>
  <c r="J1282" i="3"/>
  <c r="I1236" i="3"/>
  <c r="H1236" i="3"/>
  <c r="J1236" i="3"/>
  <c r="J1209" i="3"/>
  <c r="H1209" i="3"/>
  <c r="I1209" i="3"/>
  <c r="J898" i="3"/>
  <c r="H898" i="3"/>
  <c r="I898" i="3"/>
  <c r="J1180" i="3"/>
  <c r="I1180" i="3"/>
  <c r="H1180" i="3"/>
  <c r="J8603" i="3"/>
  <c r="I8603" i="3"/>
  <c r="J1156" i="3"/>
  <c r="I1338" i="3"/>
  <c r="J1503" i="3"/>
  <c r="H1076" i="3"/>
  <c r="H1793" i="3"/>
  <c r="J993" i="3"/>
  <c r="I1003" i="3"/>
  <c r="J1077" i="3"/>
  <c r="I1528" i="3"/>
  <c r="J1171" i="3"/>
  <c r="H837" i="3"/>
  <c r="H851" i="3"/>
  <c r="H1309" i="3"/>
  <c r="H2392" i="3"/>
  <c r="I1689" i="3"/>
  <c r="H1702" i="3"/>
  <c r="J888" i="3"/>
  <c r="H972" i="3"/>
  <c r="J992" i="3"/>
  <c r="J1307" i="3"/>
  <c r="I990" i="3"/>
  <c r="H1815" i="3"/>
  <c r="I1815" i="3"/>
  <c r="I1967" i="3"/>
  <c r="J1967" i="3"/>
  <c r="H1967" i="3"/>
  <c r="J1072" i="3"/>
  <c r="I1072" i="3"/>
  <c r="J1688" i="3"/>
  <c r="H1688" i="3"/>
  <c r="I1688" i="3"/>
  <c r="H1251" i="3"/>
  <c r="I1251" i="3"/>
  <c r="J1251" i="3"/>
  <c r="J1893" i="3"/>
  <c r="I1893" i="3"/>
  <c r="H1893" i="3"/>
  <c r="I1264" i="3"/>
  <c r="J1264" i="3"/>
  <c r="H1264" i="3"/>
  <c r="H1146" i="3"/>
  <c r="J1146" i="3"/>
  <c r="I1146" i="3"/>
  <c r="H1655" i="3"/>
  <c r="J1655" i="3"/>
  <c r="I1655" i="3"/>
  <c r="I2399" i="3"/>
  <c r="J2399" i="3"/>
  <c r="I1638" i="3"/>
  <c r="H1638" i="3"/>
  <c r="J1638" i="3"/>
  <c r="H1178" i="3"/>
  <c r="H2506" i="3"/>
  <c r="I2506" i="3"/>
  <c r="J2506" i="3"/>
  <c r="J2486" i="3"/>
  <c r="I2486" i="3"/>
  <c r="H2486" i="3"/>
  <c r="H1067" i="3"/>
  <c r="I1067" i="3"/>
  <c r="J1067" i="3"/>
  <c r="H112" i="3"/>
  <c r="J112" i="3"/>
  <c r="I112" i="3"/>
  <c r="J973" i="3"/>
  <c r="I973" i="3"/>
  <c r="H973" i="3"/>
  <c r="J941" i="3"/>
  <c r="H941" i="3"/>
  <c r="I941" i="3"/>
  <c r="H1348" i="3"/>
  <c r="I1348" i="3"/>
  <c r="J1348" i="3"/>
  <c r="H1559" i="3"/>
  <c r="J1559" i="3"/>
  <c r="I1559" i="3"/>
  <c r="I8046" i="3"/>
  <c r="J8046" i="3"/>
  <c r="H8046" i="3"/>
  <c r="H8490" i="3"/>
  <c r="I8490" i="3"/>
  <c r="J8490" i="3"/>
  <c r="H1965" i="3"/>
  <c r="I1965" i="3"/>
  <c r="J1965" i="3"/>
  <c r="J1469" i="3"/>
  <c r="H1469" i="3"/>
  <c r="I1469" i="3"/>
  <c r="J2510" i="3"/>
  <c r="H2510" i="3"/>
  <c r="I2510" i="3"/>
  <c r="I1388" i="3"/>
  <c r="J1388" i="3"/>
  <c r="H1388" i="3"/>
  <c r="H8613" i="3"/>
  <c r="J8613" i="3"/>
  <c r="I8613" i="3"/>
  <c r="H1350" i="3"/>
  <c r="J1350" i="3"/>
  <c r="I1350" i="3"/>
  <c r="J1950" i="3"/>
  <c r="H1950" i="3"/>
  <c r="I1950" i="3"/>
  <c r="J1698" i="3"/>
  <c r="I1698" i="3"/>
  <c r="H1698" i="3"/>
  <c r="I1988" i="3"/>
  <c r="H1988" i="3"/>
  <c r="J1988" i="3"/>
  <c r="J1601" i="3"/>
  <c r="H1601" i="3"/>
  <c r="I1601" i="3"/>
  <c r="H2471" i="3"/>
  <c r="I2471" i="3"/>
  <c r="J2471" i="3"/>
  <c r="H1100" i="3"/>
  <c r="I1100" i="3"/>
  <c r="J1100" i="3"/>
  <c r="H1485" i="3"/>
  <c r="J1485" i="3"/>
  <c r="I1485" i="3"/>
  <c r="I1489" i="3"/>
  <c r="J1489" i="3"/>
  <c r="H1489" i="3"/>
  <c r="H1960" i="3"/>
  <c r="I1960" i="3"/>
  <c r="J1960" i="3"/>
  <c r="J2019" i="3"/>
  <c r="H2019" i="3"/>
  <c r="I2019" i="3"/>
  <c r="H1809" i="3"/>
  <c r="I1809" i="3"/>
  <c r="J1809" i="3"/>
  <c r="H107" i="3"/>
  <c r="I107" i="3"/>
  <c r="J107" i="3"/>
  <c r="H1996" i="3"/>
  <c r="I1996" i="3"/>
  <c r="J1996" i="3"/>
  <c r="J1048" i="3"/>
  <c r="I1048" i="3"/>
  <c r="H1048" i="3"/>
  <c r="H2004" i="3"/>
  <c r="I2004" i="3"/>
  <c r="J2004" i="3"/>
  <c r="I857" i="3"/>
  <c r="J857" i="3"/>
  <c r="H857" i="3"/>
  <c r="J1757" i="3"/>
  <c r="I1757" i="3"/>
  <c r="H1757" i="3"/>
  <c r="H1005" i="3"/>
  <c r="I1005" i="3"/>
  <c r="J1005" i="3"/>
  <c r="J1069" i="3"/>
  <c r="I1069" i="3"/>
  <c r="H1069" i="3"/>
  <c r="I930" i="3"/>
  <c r="I2038" i="3"/>
  <c r="J2038" i="3"/>
  <c r="H2038" i="3"/>
  <c r="J835" i="3"/>
  <c r="H835" i="3"/>
  <c r="I835" i="3"/>
  <c r="H1167" i="3"/>
  <c r="I1167" i="3"/>
  <c r="J1167" i="3"/>
  <c r="H847" i="3"/>
  <c r="J847" i="3"/>
  <c r="I847" i="3"/>
  <c r="I1156" i="3"/>
  <c r="H1338" i="3"/>
  <c r="I1703" i="3"/>
  <c r="I2477" i="3"/>
  <c r="J1612" i="3"/>
  <c r="I1588" i="3"/>
  <c r="I1955" i="3"/>
  <c r="J1003" i="3"/>
  <c r="H1077" i="3"/>
  <c r="H1231" i="3"/>
  <c r="I851" i="3"/>
  <c r="I2392" i="3"/>
  <c r="J1689" i="3"/>
  <c r="J1363" i="3"/>
  <c r="I118" i="3"/>
  <c r="I1050" i="3"/>
  <c r="I1374" i="3"/>
  <c r="H1061" i="3"/>
  <c r="J1053" i="3"/>
  <c r="I1119" i="3"/>
  <c r="I1752" i="3"/>
  <c r="J1752" i="3"/>
  <c r="H1752" i="3"/>
  <c r="H2482" i="3"/>
  <c r="J2482" i="3"/>
  <c r="I2482" i="3"/>
  <c r="I1506" i="3"/>
  <c r="H1506" i="3"/>
  <c r="J1506" i="3"/>
  <c r="J1369" i="3"/>
  <c r="H1369" i="3"/>
  <c r="I1369" i="3"/>
  <c r="J1135" i="3"/>
  <c r="I1135" i="3"/>
  <c r="H1135" i="3"/>
  <c r="H1547" i="3"/>
  <c r="I1547" i="3"/>
  <c r="J1547" i="3"/>
  <c r="I1015" i="3"/>
  <c r="H1015" i="3"/>
  <c r="J1015" i="3"/>
  <c r="J1553" i="3"/>
  <c r="I1553" i="3"/>
  <c r="H1553" i="3"/>
  <c r="H1470" i="3"/>
  <c r="I1470" i="3"/>
  <c r="J1470" i="3"/>
  <c r="I951" i="3"/>
  <c r="H951" i="3"/>
  <c r="J951" i="3"/>
  <c r="J8497" i="3"/>
  <c r="H8497" i="3"/>
  <c r="I8497" i="3"/>
  <c r="H1367" i="3"/>
  <c r="I1367" i="3"/>
  <c r="J1367" i="3"/>
  <c r="J1700" i="3"/>
  <c r="I1700" i="3"/>
  <c r="H1700" i="3"/>
  <c r="H8602" i="3"/>
  <c r="J8602" i="3"/>
  <c r="I8602" i="3"/>
  <c r="J1848" i="3"/>
  <c r="H1848" i="3"/>
  <c r="I1848" i="3"/>
  <c r="I1651" i="3"/>
  <c r="H1651" i="3"/>
  <c r="J1651" i="3"/>
  <c r="H1064" i="3"/>
  <c r="I1064" i="3"/>
  <c r="J1064" i="3"/>
  <c r="I1252" i="3"/>
  <c r="H1252" i="3"/>
  <c r="J1252" i="3"/>
  <c r="H855" i="3"/>
  <c r="I855" i="3"/>
  <c r="J855" i="3"/>
  <c r="H1136" i="3"/>
  <c r="I1136" i="3"/>
  <c r="J1136" i="3"/>
  <c r="J1939" i="3"/>
  <c r="I1939" i="3"/>
  <c r="H1650" i="3"/>
  <c r="J1650" i="3"/>
  <c r="I1650" i="3"/>
  <c r="J1027" i="3"/>
  <c r="H1027" i="3"/>
  <c r="I1027" i="3"/>
  <c r="J1190" i="3"/>
  <c r="I1190" i="3"/>
  <c r="H1190" i="3"/>
  <c r="J1864" i="3"/>
  <c r="H1864" i="3"/>
  <c r="J1787" i="3"/>
  <c r="H1787" i="3"/>
  <c r="I1787" i="3"/>
  <c r="J1267" i="3"/>
  <c r="H1267" i="3"/>
  <c r="I1267" i="3"/>
  <c r="I1153" i="3"/>
  <c r="J1153" i="3"/>
  <c r="H1153" i="3"/>
  <c r="I1288" i="3"/>
  <c r="J1288" i="3"/>
  <c r="H1288" i="3"/>
  <c r="J2031" i="3"/>
  <c r="H2031" i="3"/>
  <c r="I2031" i="3"/>
  <c r="I859" i="3"/>
  <c r="J859" i="3"/>
  <c r="H859" i="3"/>
  <c r="I8043" i="3"/>
  <c r="H8043" i="3"/>
  <c r="J8043" i="3"/>
  <c r="J1274" i="3"/>
  <c r="H1274" i="3"/>
  <c r="I1274" i="3"/>
  <c r="I877" i="3"/>
  <c r="J877" i="3"/>
  <c r="H877" i="3"/>
  <c r="I1010" i="3"/>
  <c r="H1010" i="3"/>
  <c r="J1010" i="3"/>
  <c r="H1948" i="3"/>
  <c r="J1948" i="3"/>
  <c r="I1948" i="3"/>
  <c r="I998" i="3"/>
  <c r="H998" i="3"/>
  <c r="J998" i="3"/>
  <c r="J1244" i="3"/>
  <c r="I1244" i="3"/>
  <c r="H1244" i="3"/>
  <c r="H1666" i="3"/>
  <c r="J1666" i="3"/>
  <c r="I1666" i="3"/>
  <c r="H1826" i="3"/>
  <c r="J1826" i="3"/>
  <c r="I1826" i="3"/>
  <c r="J1963" i="3"/>
  <c r="H1963" i="3"/>
  <c r="I1963" i="3"/>
  <c r="I1070" i="3"/>
  <c r="H1070" i="3"/>
  <c r="J1070" i="3"/>
  <c r="H1399" i="3"/>
  <c r="I1399" i="3"/>
  <c r="J1399" i="3"/>
  <c r="I1337" i="3"/>
  <c r="J1337" i="3"/>
  <c r="H1337" i="3"/>
  <c r="J1882" i="3"/>
  <c r="H1882" i="3"/>
  <c r="I1882" i="3"/>
  <c r="J1608" i="3"/>
  <c r="I1608" i="3"/>
  <c r="H1608" i="3"/>
  <c r="H8044" i="3"/>
  <c r="J8044" i="3"/>
  <c r="I8044" i="3"/>
  <c r="H1908" i="3"/>
  <c r="J2393" i="3"/>
  <c r="H2393" i="3"/>
  <c r="I2393" i="3"/>
  <c r="J1694" i="3"/>
  <c r="H1694" i="3"/>
  <c r="I1694" i="3"/>
  <c r="I1208" i="3"/>
  <c r="J1208" i="3"/>
  <c r="H1208" i="3"/>
  <c r="J933" i="3"/>
  <c r="H933" i="3"/>
  <c r="I933" i="3"/>
  <c r="I1248" i="3"/>
  <c r="H1248" i="3"/>
  <c r="J1248" i="3"/>
  <c r="H1193" i="3"/>
  <c r="I1193" i="3"/>
  <c r="J1193" i="3"/>
  <c r="I1425" i="3"/>
  <c r="J1425" i="3"/>
  <c r="H8513" i="3"/>
  <c r="J8513" i="3"/>
  <c r="I8513" i="3"/>
  <c r="I1592" i="3"/>
  <c r="H1592" i="3"/>
  <c r="J1592" i="3"/>
  <c r="J1742" i="3"/>
  <c r="H1742" i="3"/>
  <c r="I1742" i="3"/>
  <c r="I1593" i="3"/>
  <c r="H1593" i="3"/>
  <c r="J1593" i="3"/>
  <c r="J880" i="3"/>
  <c r="H880" i="3"/>
  <c r="I880" i="3"/>
  <c r="H1055" i="3"/>
  <c r="J1055" i="3"/>
  <c r="J1362" i="3"/>
  <c r="H1362" i="3"/>
  <c r="I1362" i="3"/>
  <c r="J1353" i="3"/>
  <c r="H1353" i="3"/>
  <c r="I1353" i="3"/>
  <c r="H876" i="3"/>
  <c r="J876" i="3"/>
  <c r="I876" i="3"/>
  <c r="J1525" i="3"/>
  <c r="H1525" i="3"/>
  <c r="I991" i="3"/>
  <c r="H1764" i="3"/>
  <c r="H1185" i="3"/>
  <c r="I1378" i="3"/>
  <c r="J2477" i="3"/>
  <c r="H1612" i="3"/>
  <c r="H1588" i="3"/>
  <c r="H1955" i="3"/>
  <c r="J1033" i="3"/>
  <c r="I886" i="3"/>
  <c r="I1231" i="3"/>
  <c r="J2473" i="3"/>
  <c r="H1363" i="3"/>
  <c r="J118" i="3"/>
  <c r="H1050" i="3"/>
  <c r="J1374" i="3"/>
  <c r="J1314" i="3"/>
  <c r="J994" i="3"/>
  <c r="J1461" i="3"/>
  <c r="J1616" i="3"/>
  <c r="I1028" i="3"/>
  <c r="J1028" i="3"/>
  <c r="H1028" i="3"/>
  <c r="J952" i="3"/>
  <c r="H952" i="3"/>
  <c r="I952" i="3"/>
  <c r="J988" i="3"/>
  <c r="I988" i="3"/>
  <c r="H988" i="3"/>
  <c r="H1696" i="3"/>
  <c r="I1696" i="3"/>
  <c r="J1696" i="3"/>
  <c r="H2495" i="3"/>
  <c r="I2495" i="3"/>
  <c r="J2495" i="3"/>
  <c r="J2470" i="3"/>
  <c r="I2470" i="3"/>
  <c r="H2470" i="3"/>
  <c r="I2034" i="3"/>
  <c r="J2034" i="3"/>
  <c r="H2034" i="3"/>
  <c r="I1139" i="3"/>
  <c r="J1139" i="3"/>
  <c r="H1139" i="3"/>
  <c r="I922" i="3"/>
  <c r="H922" i="3"/>
  <c r="J922" i="3"/>
  <c r="J1440" i="3"/>
  <c r="I1440" i="3"/>
  <c r="H1440" i="3"/>
  <c r="J1328" i="3"/>
  <c r="I1328" i="3"/>
  <c r="H1328" i="3"/>
  <c r="J873" i="3"/>
  <c r="I873" i="3"/>
  <c r="H873" i="3"/>
  <c r="H1287" i="3"/>
  <c r="I1287" i="3"/>
  <c r="J1287" i="3"/>
  <c r="J1951" i="3"/>
  <c r="H1951" i="3"/>
  <c r="I1951" i="3"/>
  <c r="J115" i="3"/>
  <c r="I115" i="3"/>
  <c r="H115" i="3"/>
  <c r="I1286" i="3"/>
  <c r="H1286" i="3"/>
  <c r="J1286" i="3"/>
  <c r="J1271" i="3"/>
  <c r="I1271" i="3"/>
  <c r="H1271" i="3"/>
  <c r="I8499" i="3"/>
  <c r="H8499" i="3"/>
  <c r="J8499" i="3"/>
  <c r="J1952" i="3"/>
  <c r="H1952" i="3"/>
  <c r="I1952" i="3"/>
  <c r="J2508" i="3"/>
  <c r="H2508" i="3"/>
  <c r="I2508" i="3"/>
  <c r="I1756" i="3"/>
  <c r="H1756" i="3"/>
  <c r="J1756" i="3"/>
  <c r="I114" i="3"/>
  <c r="J114" i="3"/>
  <c r="H114" i="3"/>
  <c r="H1444" i="3"/>
  <c r="J1444" i="3"/>
  <c r="I1444" i="3"/>
  <c r="J8038" i="3"/>
  <c r="H8038" i="3"/>
  <c r="I8038" i="3"/>
  <c r="J1101" i="3"/>
  <c r="H1101" i="3"/>
  <c r="I1101" i="3"/>
  <c r="J1604" i="3"/>
  <c r="I1160" i="3"/>
  <c r="J1160" i="3"/>
  <c r="H1160" i="3"/>
  <c r="J1775" i="3"/>
  <c r="I1775" i="3"/>
  <c r="H1775" i="3"/>
  <c r="J1221" i="3"/>
  <c r="I1221" i="3"/>
  <c r="H1221" i="3"/>
  <c r="I1390" i="3"/>
  <c r="H1390" i="3"/>
  <c r="J1390" i="3"/>
  <c r="I1978" i="3"/>
  <c r="J1978" i="3"/>
  <c r="H1978" i="3"/>
  <c r="H1387" i="3"/>
  <c r="I1387" i="3"/>
  <c r="J1387" i="3"/>
  <c r="J1769" i="3"/>
  <c r="H1769" i="3"/>
  <c r="I1769" i="3"/>
  <c r="H893" i="3"/>
  <c r="I893" i="3"/>
  <c r="J893" i="3"/>
  <c r="J1382" i="3"/>
  <c r="H1382" i="3"/>
  <c r="I1382" i="3"/>
  <c r="I1687" i="3"/>
  <c r="J1687" i="3"/>
  <c r="H1687" i="3"/>
  <c r="J1339" i="3"/>
  <c r="I1339" i="3"/>
  <c r="H1339" i="3"/>
  <c r="H2390" i="3"/>
  <c r="I2390" i="3"/>
  <c r="J2390" i="3"/>
  <c r="I1766" i="3"/>
  <c r="J1766" i="3"/>
  <c r="H1766" i="3"/>
  <c r="H1068" i="3"/>
  <c r="J1068" i="3"/>
  <c r="I1068" i="3"/>
  <c r="J1825" i="3"/>
  <c r="H1825" i="3"/>
  <c r="I1825" i="3"/>
  <c r="H1676" i="3"/>
  <c r="J1676" i="3"/>
  <c r="I1676" i="3"/>
  <c r="I8512" i="3"/>
  <c r="H8512" i="3"/>
  <c r="J8512" i="3"/>
  <c r="I1239" i="3"/>
  <c r="J1239" i="3"/>
  <c r="H1239" i="3"/>
  <c r="I8493" i="3"/>
  <c r="H8493" i="3"/>
  <c r="J8493" i="3"/>
  <c r="H8609" i="3"/>
  <c r="J8609" i="3"/>
  <c r="I8609" i="3"/>
  <c r="H2027" i="3"/>
  <c r="J2027" i="3"/>
  <c r="I2027" i="3"/>
  <c r="H108" i="3"/>
  <c r="I108" i="3"/>
  <c r="J108" i="3"/>
  <c r="H1404" i="3"/>
  <c r="J1404" i="3"/>
  <c r="I1404" i="3"/>
  <c r="H906" i="3"/>
  <c r="I906" i="3"/>
  <c r="I8514" i="3"/>
  <c r="J8514" i="3"/>
  <c r="H8514" i="3"/>
  <c r="H976" i="3"/>
  <c r="I976" i="3"/>
  <c r="J976" i="3"/>
  <c r="I1663" i="3"/>
  <c r="H1663" i="3"/>
  <c r="J1663" i="3"/>
  <c r="J1411" i="3"/>
  <c r="I1411" i="3"/>
  <c r="H1411" i="3"/>
  <c r="J1889" i="3"/>
  <c r="I1889" i="3"/>
  <c r="H1889" i="3"/>
  <c r="I1704" i="3"/>
  <c r="H1704" i="3"/>
  <c r="H8054" i="3"/>
  <c r="H1877" i="3"/>
  <c r="I1877" i="3"/>
  <c r="J1877" i="3"/>
  <c r="I1867" i="3"/>
  <c r="J1867" i="3"/>
  <c r="H1867" i="3"/>
  <c r="H1884" i="3"/>
  <c r="I1884" i="3"/>
  <c r="J1884" i="3"/>
  <c r="J917" i="3"/>
  <c r="I917" i="3"/>
  <c r="J991" i="3"/>
  <c r="I2476" i="3"/>
  <c r="J833" i="3"/>
  <c r="H1393" i="3"/>
  <c r="I1764" i="3"/>
  <c r="I1368" i="3"/>
  <c r="H1378" i="3"/>
  <c r="H1033" i="3"/>
  <c r="J1207" i="3"/>
  <c r="H886" i="3"/>
  <c r="H1894" i="3"/>
  <c r="J1904" i="3"/>
  <c r="H1420" i="3"/>
  <c r="H1121" i="3"/>
  <c r="H2473" i="3"/>
  <c r="J1643" i="3"/>
  <c r="I1061" i="3"/>
  <c r="I1144" i="3"/>
  <c r="I994" i="3"/>
  <c r="I1055" i="3"/>
  <c r="I1907" i="3"/>
  <c r="I1540" i="3"/>
  <c r="H1540" i="3"/>
  <c r="J1540" i="3"/>
  <c r="H8498" i="3"/>
  <c r="J8498" i="3"/>
  <c r="I8498" i="3"/>
  <c r="H962" i="3"/>
  <c r="I962" i="3"/>
  <c r="J962" i="3"/>
  <c r="H1118" i="3"/>
  <c r="I1118" i="3"/>
  <c r="J1118" i="3"/>
  <c r="I1480" i="3"/>
  <c r="H1480" i="3"/>
  <c r="J1480" i="3"/>
  <c r="H1670" i="3"/>
  <c r="I1670" i="3"/>
  <c r="J1670" i="3"/>
  <c r="I8509" i="3"/>
  <c r="H8509" i="3"/>
  <c r="J8509" i="3"/>
  <c r="H1473" i="3"/>
  <c r="I1473" i="3"/>
  <c r="J1473" i="3"/>
  <c r="J8504" i="3"/>
  <c r="I8504" i="3"/>
  <c r="H8504" i="3"/>
  <c r="H8605" i="3"/>
  <c r="J8605" i="3"/>
  <c r="I8605" i="3"/>
  <c r="I1841" i="3"/>
  <c r="H1841" i="3"/>
  <c r="J1841" i="3"/>
  <c r="I1636" i="3"/>
  <c r="H1636" i="3"/>
  <c r="J1636" i="3"/>
  <c r="J1406" i="3"/>
  <c r="I1406" i="3"/>
  <c r="H1406" i="3"/>
  <c r="I1508" i="3"/>
  <c r="H1508" i="3"/>
  <c r="J1508" i="3"/>
  <c r="H2023" i="3"/>
  <c r="J2023" i="3"/>
  <c r="I2023" i="3"/>
  <c r="H1945" i="3"/>
  <c r="I1945" i="3"/>
  <c r="J1945" i="3"/>
  <c r="H1531" i="3"/>
  <c r="J1531" i="3"/>
  <c r="I1531" i="3"/>
  <c r="H1131" i="3"/>
  <c r="J1131" i="3"/>
  <c r="I1131" i="3"/>
  <c r="H1407" i="3"/>
  <c r="J1407" i="3"/>
  <c r="I1436" i="3"/>
  <c r="H963" i="3"/>
  <c r="J963" i="3"/>
  <c r="I963" i="3"/>
  <c r="H956" i="3"/>
  <c r="I956" i="3"/>
  <c r="J956" i="3"/>
  <c r="I1551" i="3"/>
  <c r="J1551" i="3"/>
  <c r="H1551" i="3"/>
  <c r="J959" i="3"/>
  <c r="I959" i="3"/>
  <c r="H959" i="3"/>
  <c r="I1723" i="3"/>
  <c r="H1723" i="3"/>
  <c r="J1723" i="3"/>
  <c r="H960" i="3"/>
  <c r="I960" i="3"/>
  <c r="J960" i="3"/>
  <c r="H8061" i="3"/>
  <c r="I8061" i="3"/>
  <c r="J8061" i="3"/>
  <c r="H1392" i="3"/>
  <c r="J1392" i="3"/>
  <c r="I1392" i="3"/>
  <c r="J1116" i="3"/>
  <c r="I1116" i="3"/>
  <c r="H1116" i="3"/>
  <c r="J1881" i="3"/>
  <c r="I1881" i="3"/>
  <c r="H1881" i="3"/>
  <c r="J1807" i="3"/>
  <c r="H1807" i="3"/>
  <c r="I1807" i="3"/>
  <c r="J1808" i="3"/>
  <c r="H1808" i="3"/>
  <c r="I1808" i="3"/>
  <c r="H1872" i="3"/>
  <c r="J1872" i="3"/>
  <c r="I1872" i="3"/>
  <c r="J1883" i="3"/>
  <c r="I1883" i="3"/>
  <c r="H1883" i="3"/>
  <c r="H1810" i="3"/>
  <c r="I1810" i="3"/>
  <c r="J1810" i="3"/>
  <c r="J1590" i="3"/>
  <c r="I1590" i="3"/>
  <c r="H1590" i="3"/>
  <c r="H1045" i="3"/>
  <c r="J1045" i="3"/>
  <c r="I1045" i="3"/>
  <c r="J1846" i="3"/>
  <c r="H1846" i="3"/>
  <c r="I1846" i="3"/>
  <c r="H1096" i="3"/>
  <c r="I1096" i="3"/>
  <c r="J1096" i="3"/>
  <c r="J1850" i="3"/>
  <c r="H1850" i="3"/>
  <c r="I1850" i="3"/>
  <c r="H1301" i="3"/>
  <c r="J1301" i="3"/>
  <c r="I1301" i="3"/>
  <c r="J1684" i="3"/>
  <c r="H1684" i="3"/>
  <c r="I1684" i="3"/>
  <c r="H8030" i="3"/>
  <c r="I8030" i="3"/>
  <c r="J1707" i="3"/>
  <c r="J8610" i="3"/>
  <c r="H8610" i="3"/>
  <c r="I8610" i="3"/>
  <c r="H892" i="3"/>
  <c r="J892" i="3"/>
  <c r="I892" i="3"/>
  <c r="H2015" i="3"/>
  <c r="I2015" i="3"/>
  <c r="J2015" i="3"/>
  <c r="H1276" i="3"/>
  <c r="I1276" i="3"/>
  <c r="J1276" i="3"/>
  <c r="J1582" i="3"/>
  <c r="H2476" i="3"/>
  <c r="I833" i="3"/>
  <c r="I1393" i="3"/>
  <c r="H1368" i="3"/>
  <c r="H908" i="3"/>
  <c r="I1079" i="3"/>
  <c r="I1207" i="3"/>
  <c r="J1309" i="3"/>
  <c r="I1894" i="3"/>
  <c r="I1904" i="3"/>
  <c r="I1420" i="3"/>
  <c r="J1507" i="3"/>
  <c r="I1121" i="3"/>
  <c r="I1643" i="3"/>
  <c r="I1058" i="3"/>
  <c r="J1897" i="3"/>
  <c r="J1622" i="3"/>
  <c r="H1307" i="3"/>
  <c r="I1855" i="3"/>
  <c r="H1855" i="3"/>
  <c r="J1714" i="3"/>
  <c r="I1714" i="3"/>
  <c r="H1714" i="3"/>
  <c r="I1442" i="3"/>
  <c r="H1442" i="3"/>
  <c r="J1442" i="3"/>
  <c r="J2509" i="3"/>
  <c r="I2509" i="3"/>
  <c r="H2509" i="3"/>
  <c r="J1441" i="3"/>
  <c r="I1441" i="3"/>
  <c r="H1441" i="3"/>
  <c r="J1565" i="3"/>
  <c r="H1565" i="3"/>
  <c r="I1565" i="3"/>
  <c r="J1692" i="3"/>
  <c r="I1692" i="3"/>
  <c r="H1692" i="3"/>
  <c r="H1265" i="3"/>
  <c r="I1265" i="3"/>
  <c r="J1265" i="3"/>
  <c r="I2030" i="3"/>
  <c r="J2030" i="3"/>
  <c r="H2030" i="3"/>
  <c r="H2484" i="3"/>
  <c r="I2484" i="3"/>
  <c r="J2484" i="3"/>
  <c r="J1581" i="3"/>
  <c r="H1581" i="3"/>
  <c r="I1581" i="3"/>
  <c r="J1134" i="3"/>
  <c r="I1134" i="3"/>
  <c r="H1134" i="3"/>
  <c r="H1659" i="3"/>
  <c r="I1659" i="3"/>
  <c r="J1659" i="3"/>
  <c r="H1987" i="3"/>
  <c r="I1987" i="3"/>
  <c r="J1987" i="3"/>
  <c r="H1606" i="3"/>
  <c r="J1606" i="3"/>
  <c r="I1606" i="3"/>
  <c r="H928" i="3"/>
  <c r="I928" i="3"/>
  <c r="J928" i="3"/>
  <c r="H2505" i="3"/>
  <c r="I2505" i="3"/>
  <c r="J2505" i="3"/>
  <c r="I1174" i="3"/>
  <c r="J1174" i="3"/>
  <c r="H1174" i="3"/>
  <c r="H2018" i="3"/>
  <c r="I2018" i="3"/>
  <c r="J2018" i="3"/>
  <c r="H866" i="3"/>
  <c r="J866" i="3"/>
  <c r="I866" i="3"/>
  <c r="J1250" i="3"/>
  <c r="H1250" i="3"/>
  <c r="I1250" i="3"/>
  <c r="J870" i="3"/>
  <c r="H870" i="3"/>
  <c r="I870" i="3"/>
  <c r="H1385" i="3"/>
  <c r="I1385" i="3"/>
  <c r="J1385" i="3"/>
  <c r="H982" i="3"/>
  <c r="J982" i="3"/>
  <c r="I982" i="3"/>
  <c r="H1660" i="3"/>
  <c r="J1660" i="3"/>
  <c r="I1660" i="3"/>
  <c r="J1761" i="3"/>
  <c r="I1761" i="3"/>
  <c r="H1761" i="3"/>
  <c r="I1009" i="3"/>
  <c r="J1009" i="3"/>
  <c r="H1009" i="3"/>
  <c r="H1949" i="3"/>
  <c r="J1949" i="3"/>
  <c r="I1949" i="3"/>
  <c r="J1088" i="3"/>
  <c r="H1088" i="3"/>
  <c r="I1088" i="3"/>
  <c r="I1149" i="3"/>
  <c r="H1149" i="3"/>
  <c r="J1149" i="3"/>
  <c r="I2512" i="3"/>
  <c r="J2512" i="3"/>
  <c r="H2512" i="3"/>
  <c r="H1356" i="3"/>
  <c r="I1356" i="3"/>
  <c r="J1356" i="3"/>
  <c r="J8031" i="3"/>
  <c r="I8031" i="3"/>
  <c r="H8031" i="3"/>
  <c r="I1305" i="3"/>
  <c r="J1305" i="3"/>
  <c r="H1305" i="3"/>
  <c r="H883" i="3"/>
  <c r="I883" i="3"/>
  <c r="J883" i="3"/>
  <c r="H1247" i="3"/>
  <c r="J1247" i="3"/>
  <c r="I1247" i="3"/>
  <c r="J1161" i="3"/>
  <c r="I1161" i="3"/>
  <c r="H1161" i="3"/>
  <c r="J1639" i="3"/>
  <c r="H1639" i="3"/>
  <c r="I1639" i="3"/>
  <c r="J1842" i="3"/>
  <c r="I1842" i="3"/>
  <c r="H1842" i="3"/>
  <c r="J1715" i="3"/>
  <c r="H1715" i="3"/>
  <c r="I1715" i="3"/>
  <c r="I1320" i="3"/>
  <c r="H1320" i="3"/>
  <c r="H1242" i="3"/>
  <c r="J1242" i="3"/>
  <c r="I1242" i="3"/>
  <c r="I1617" i="3"/>
  <c r="J1617" i="3"/>
  <c r="H1617" i="3"/>
  <c r="I1319" i="3"/>
  <c r="H1319" i="3"/>
  <c r="J1319" i="3"/>
  <c r="J1804" i="3"/>
  <c r="I1804" i="3"/>
  <c r="H1804" i="3"/>
  <c r="J1246" i="3"/>
  <c r="I1246" i="3"/>
  <c r="H1246" i="3"/>
  <c r="I914" i="3"/>
  <c r="H914" i="3"/>
  <c r="J914" i="3"/>
  <c r="J1589" i="3"/>
  <c r="I1589" i="3"/>
  <c r="H1589" i="3"/>
  <c r="H1302" i="3"/>
  <c r="I1302" i="3"/>
  <c r="J1302" i="3"/>
  <c r="J8618" i="3"/>
  <c r="I8618" i="3"/>
  <c r="H8618" i="3"/>
  <c r="J1257" i="3"/>
  <c r="H1257" i="3"/>
  <c r="I1257" i="3"/>
  <c r="J113" i="3"/>
  <c r="H113" i="3"/>
  <c r="I113" i="3"/>
  <c r="J929" i="3"/>
  <c r="H929" i="3"/>
  <c r="I929" i="3"/>
  <c r="J1422" i="3"/>
  <c r="H1613" i="3"/>
  <c r="I878" i="3"/>
  <c r="H1582" i="3"/>
  <c r="I1099" i="3"/>
  <c r="J1898" i="3"/>
  <c r="I908" i="3"/>
  <c r="J1079" i="3"/>
  <c r="H1566" i="3"/>
  <c r="H1974" i="3"/>
  <c r="I1507" i="3"/>
  <c r="H1706" i="3"/>
  <c r="I1105" i="3"/>
  <c r="I1624" i="3"/>
  <c r="J885" i="3"/>
  <c r="H1433" i="3"/>
  <c r="H1058" i="3"/>
  <c r="I1897" i="3"/>
  <c r="I1953" i="3"/>
  <c r="I992" i="3"/>
  <c r="H8603" i="3"/>
  <c r="J1123" i="3"/>
  <c r="I1123" i="3"/>
  <c r="I1140" i="3"/>
  <c r="J1140" i="3"/>
  <c r="H1140" i="3"/>
  <c r="I1985" i="3"/>
  <c r="J1985" i="3"/>
  <c r="H1985" i="3"/>
  <c r="H958" i="3"/>
  <c r="I958" i="3"/>
  <c r="J958" i="3"/>
  <c r="J1820" i="3"/>
  <c r="H1820" i="3"/>
  <c r="I1820" i="3"/>
  <c r="J1205" i="3"/>
  <c r="I1205" i="3"/>
  <c r="H1205" i="3"/>
  <c r="I980" i="3"/>
  <c r="H980" i="3"/>
  <c r="J980" i="3"/>
  <c r="J1446" i="3"/>
  <c r="I1446" i="3"/>
  <c r="H1163" i="3"/>
  <c r="J1163" i="3"/>
  <c r="I1163" i="3"/>
  <c r="H2024" i="3"/>
  <c r="I2024" i="3"/>
  <c r="J2024" i="3"/>
  <c r="J881" i="3"/>
  <c r="I881" i="3"/>
  <c r="H881" i="3"/>
  <c r="H1708" i="3"/>
  <c r="J1708" i="3"/>
  <c r="I1708" i="3"/>
  <c r="H1587" i="3"/>
  <c r="J1587" i="3"/>
  <c r="I1587" i="3"/>
  <c r="I1389" i="3"/>
  <c r="H1389" i="3"/>
  <c r="J1389" i="3"/>
  <c r="J1658" i="3"/>
  <c r="H1658" i="3"/>
  <c r="I1658" i="3"/>
  <c r="H1152" i="3"/>
  <c r="I1152" i="3"/>
  <c r="J1152" i="3"/>
  <c r="H1413" i="3"/>
  <c r="I1413" i="3"/>
  <c r="J1413" i="3"/>
  <c r="J1591" i="3"/>
  <c r="H1591" i="3"/>
  <c r="I1591" i="3"/>
  <c r="I8619" i="3"/>
  <c r="H8619" i="3"/>
  <c r="J8619" i="3"/>
  <c r="H868" i="3"/>
  <c r="I868" i="3"/>
  <c r="J868" i="3"/>
  <c r="J1656" i="3"/>
  <c r="I1656" i="3"/>
  <c r="H1656" i="3"/>
  <c r="J953" i="3"/>
  <c r="I953" i="3"/>
  <c r="H953" i="3"/>
  <c r="J1785" i="3"/>
  <c r="I1785" i="3"/>
  <c r="H1785" i="3"/>
  <c r="H8062" i="3"/>
  <c r="I8062" i="3"/>
  <c r="J8062" i="3"/>
  <c r="J1690" i="3"/>
  <c r="H1690" i="3"/>
  <c r="I1690" i="3"/>
  <c r="J1548" i="3"/>
  <c r="H1548" i="3"/>
  <c r="I1548" i="3"/>
  <c r="H1746" i="3"/>
  <c r="J1746" i="3"/>
  <c r="I1746" i="3"/>
  <c r="H1957" i="3"/>
  <c r="J1957" i="3"/>
  <c r="I1957" i="3"/>
  <c r="H8078" i="3"/>
  <c r="J8078" i="3"/>
  <c r="I8078" i="3"/>
  <c r="H834" i="3"/>
  <c r="J834" i="3"/>
  <c r="I834" i="3"/>
  <c r="I2488" i="3"/>
  <c r="H2488" i="3"/>
  <c r="J2488" i="3"/>
  <c r="H2469" i="3"/>
  <c r="I2469" i="3"/>
  <c r="J2469" i="3"/>
  <c r="H924" i="3"/>
  <c r="J924" i="3"/>
  <c r="I1147" i="3"/>
  <c r="J1147" i="3"/>
  <c r="H1147" i="3"/>
  <c r="I2026" i="3"/>
  <c r="H2026" i="3"/>
  <c r="J2026" i="3"/>
  <c r="I2521" i="3"/>
  <c r="J2521" i="3"/>
  <c r="H2521" i="3"/>
  <c r="I1603" i="3"/>
  <c r="J1603" i="3"/>
  <c r="H1603" i="3"/>
  <c r="I853" i="3"/>
  <c r="H853" i="3"/>
  <c r="J853" i="3"/>
  <c r="I2465" i="3"/>
  <c r="H2465" i="3"/>
  <c r="J2465" i="3"/>
  <c r="H1038" i="3"/>
  <c r="I1038" i="3"/>
  <c r="J1038" i="3"/>
  <c r="J1586" i="3"/>
  <c r="H1586" i="3"/>
  <c r="I1586" i="3"/>
  <c r="I1334" i="3"/>
  <c r="H1334" i="3"/>
  <c r="I1619" i="3"/>
  <c r="H1619" i="3"/>
  <c r="J1619" i="3"/>
  <c r="J1879" i="3"/>
  <c r="I1879" i="3"/>
  <c r="H1879" i="3"/>
  <c r="J1398" i="3"/>
  <c r="I1398" i="3"/>
  <c r="H1398" i="3"/>
  <c r="J1154" i="3"/>
  <c r="H1154" i="3"/>
  <c r="I1154" i="3"/>
  <c r="I1455" i="3"/>
  <c r="H1455" i="3"/>
  <c r="J1455" i="3"/>
  <c r="J1728" i="3"/>
  <c r="I1728" i="3"/>
  <c r="H1728" i="3"/>
  <c r="J1857" i="3"/>
  <c r="H1857" i="3"/>
  <c r="I1857" i="3"/>
  <c r="I1981" i="3"/>
  <c r="H1981" i="3"/>
  <c r="J1981" i="3"/>
  <c r="J1569" i="3"/>
  <c r="I1569" i="3"/>
  <c r="H1569" i="3"/>
  <c r="I841" i="3"/>
  <c r="J841" i="3"/>
  <c r="H841" i="3"/>
  <c r="J1230" i="3"/>
  <c r="H1230" i="3"/>
  <c r="I1230" i="3"/>
  <c r="I1141" i="3"/>
  <c r="J1141" i="3"/>
  <c r="H1141" i="3"/>
  <c r="J1634" i="3"/>
  <c r="H1634" i="3"/>
  <c r="I1634" i="3"/>
  <c r="I829" i="3"/>
  <c r="J829" i="3"/>
  <c r="H829" i="3"/>
  <c r="I1859" i="3"/>
  <c r="J2503" i="3"/>
  <c r="I1053" i="3"/>
  <c r="H1119" i="3"/>
  <c r="I1622" i="3"/>
  <c r="I844" i="3"/>
  <c r="J1022" i="3"/>
  <c r="H1022" i="3"/>
  <c r="I1022" i="3"/>
  <c r="I1128" i="3"/>
  <c r="J1128" i="3"/>
  <c r="H1128" i="3"/>
  <c r="I1520" i="3"/>
  <c r="H1520" i="3"/>
  <c r="J1520" i="3"/>
  <c r="I986" i="3"/>
  <c r="H986" i="3"/>
  <c r="J986" i="3"/>
  <c r="J2039" i="3"/>
  <c r="I2039" i="3"/>
  <c r="H2039" i="3"/>
  <c r="H1727" i="3"/>
  <c r="I1727" i="3"/>
  <c r="J1727" i="3"/>
  <c r="H1148" i="3"/>
  <c r="I1148" i="3"/>
  <c r="J1148" i="3"/>
  <c r="I1738" i="3"/>
  <c r="H1738" i="3"/>
  <c r="J1738" i="3"/>
  <c r="H1629" i="3"/>
  <c r="J1629" i="3"/>
  <c r="I1629" i="3"/>
  <c r="H1677" i="3"/>
  <c r="I1677" i="3"/>
  <c r="J1677" i="3"/>
  <c r="H1295" i="3"/>
  <c r="J1295" i="3"/>
  <c r="I1295" i="3"/>
  <c r="I927" i="3"/>
  <c r="H927" i="3"/>
  <c r="J927" i="3"/>
  <c r="I1733" i="3"/>
  <c r="H1733" i="3"/>
  <c r="J1733" i="3"/>
  <c r="H1402" i="3"/>
  <c r="I1402" i="3"/>
  <c r="J1402" i="3"/>
  <c r="H1291" i="3"/>
  <c r="J1291" i="3"/>
  <c r="I1291" i="3"/>
  <c r="J1552" i="3"/>
  <c r="H1552" i="3"/>
  <c r="I1552" i="3"/>
  <c r="H1214" i="3"/>
  <c r="I1214" i="3"/>
  <c r="J1214" i="3"/>
  <c r="J1896" i="3"/>
  <c r="H1896" i="3"/>
  <c r="I1232" i="3"/>
  <c r="J1232" i="3"/>
  <c r="H1232" i="3"/>
  <c r="I1304" i="3"/>
  <c r="H1304" i="3"/>
  <c r="J1304" i="3"/>
  <c r="I122" i="3"/>
  <c r="H122" i="3"/>
  <c r="J122" i="3"/>
  <c r="J1798" i="3"/>
  <c r="H1798" i="3"/>
  <c r="I1798" i="3"/>
  <c r="H1791" i="3"/>
  <c r="J1791" i="3"/>
  <c r="I1791" i="3"/>
  <c r="I1813" i="3"/>
  <c r="J1813" i="3"/>
  <c r="H1813" i="3"/>
  <c r="I2010" i="3"/>
  <c r="J2010" i="3"/>
  <c r="H2010" i="3"/>
  <c r="I831" i="3"/>
  <c r="H831" i="3"/>
  <c r="H1772" i="3"/>
  <c r="J1772" i="3"/>
  <c r="I1772" i="3"/>
  <c r="I1847" i="3"/>
  <c r="J1847" i="3"/>
  <c r="H1847" i="3"/>
  <c r="H1090" i="3"/>
  <c r="I1090" i="3"/>
  <c r="J1090" i="3"/>
  <c r="J1075" i="3"/>
  <c r="H1075" i="3"/>
  <c r="I1075" i="3"/>
  <c r="J983" i="3"/>
  <c r="H983" i="3"/>
  <c r="I983" i="3"/>
  <c r="I1386" i="3"/>
  <c r="H1386" i="3"/>
  <c r="J1386" i="3"/>
  <c r="H1502" i="3"/>
  <c r="I1502" i="3"/>
  <c r="H1133" i="3"/>
  <c r="I1133" i="3"/>
  <c r="J1133" i="3"/>
  <c r="J1554" i="3"/>
  <c r="J1649" i="3"/>
  <c r="H1649" i="3"/>
  <c r="I1649" i="3"/>
  <c r="I1462" i="3"/>
  <c r="H1462" i="3"/>
  <c r="J1462" i="3"/>
  <c r="H2016" i="3"/>
  <c r="J2016" i="3"/>
  <c r="I2016" i="3"/>
  <c r="I1661" i="3"/>
  <c r="J1661" i="3"/>
  <c r="H1661" i="3"/>
  <c r="I1201" i="3"/>
  <c r="H1201" i="3"/>
  <c r="J1201" i="3"/>
  <c r="I1599" i="3"/>
  <c r="J1599" i="3"/>
  <c r="H1599" i="3"/>
  <c r="I1091" i="3"/>
  <c r="J1091" i="3"/>
  <c r="H1091" i="3"/>
  <c r="I1468" i="3"/>
  <c r="J1468" i="3"/>
  <c r="H1468" i="3"/>
  <c r="I10426" i="3"/>
  <c r="J10426" i="3"/>
  <c r="H10426" i="3"/>
  <c r="I8167" i="3"/>
  <c r="H8171" i="3"/>
  <c r="I8185" i="3"/>
  <c r="I8181" i="3"/>
  <c r="I8470" i="3"/>
  <c r="I8458" i="3"/>
  <c r="I8454" i="3"/>
  <c r="I8466" i="3"/>
  <c r="I8461" i="3"/>
  <c r="H8461" i="3"/>
  <c r="I8469" i="3"/>
  <c r="H8469" i="3"/>
  <c r="H8457" i="3"/>
  <c r="I8457" i="3"/>
  <c r="H8175" i="3"/>
  <c r="I8463" i="3"/>
  <c r="H8185" i="3"/>
  <c r="H8463" i="3"/>
  <c r="I8451" i="3"/>
  <c r="I8460" i="3"/>
  <c r="H8460" i="3"/>
  <c r="H8455" i="3"/>
  <c r="I8450" i="3"/>
  <c r="I8468" i="3"/>
  <c r="I8456" i="3"/>
  <c r="H8468" i="3"/>
  <c r="I8462" i="3"/>
  <c r="H8471" i="3"/>
  <c r="J8179" i="3"/>
  <c r="I8455" i="3"/>
  <c r="H8179" i="3"/>
  <c r="I8467" i="3"/>
  <c r="I8459" i="3"/>
  <c r="I8471" i="3"/>
  <c r="I8453" i="3"/>
  <c r="H8465" i="3"/>
  <c r="I8464" i="3"/>
  <c r="J8452" i="3"/>
  <c r="H8464" i="3"/>
  <c r="H8452" i="3"/>
  <c r="I8465" i="3"/>
  <c r="H8459" i="3"/>
  <c r="H8453" i="3"/>
  <c r="H8451" i="3"/>
  <c r="I8177" i="3"/>
  <c r="H8456" i="3"/>
  <c r="H8183" i="3"/>
  <c r="H8467" i="3"/>
  <c r="I8182" i="3"/>
  <c r="J8169" i="3"/>
  <c r="I8183" i="3"/>
  <c r="H8174" i="3"/>
  <c r="J8178" i="3"/>
  <c r="H8170" i="3"/>
  <c r="H8177" i="3"/>
  <c r="H8181" i="3"/>
  <c r="J8173" i="3"/>
  <c r="H8169" i="3"/>
  <c r="J8174" i="3"/>
  <c r="J8170" i="3"/>
  <c r="H8166" i="3"/>
  <c r="H8182" i="3"/>
  <c r="I8170" i="3"/>
  <c r="J8166" i="3"/>
  <c r="H8184" i="3"/>
  <c r="H8178" i="3"/>
  <c r="H8173" i="3"/>
  <c r="I8168" i="3"/>
  <c r="H8180" i="3"/>
  <c r="J8180" i="3"/>
  <c r="I8184" i="3"/>
  <c r="J8176" i="3"/>
  <c r="J8175" i="3"/>
  <c r="J8172" i="3"/>
  <c r="J8171" i="3"/>
  <c r="H8168" i="3"/>
  <c r="H8176" i="3"/>
  <c r="H8172" i="3"/>
  <c r="H8122" i="3"/>
  <c r="J8122" i="3"/>
  <c r="I8122" i="3"/>
  <c r="H8167" i="3"/>
  <c r="H8470" i="3"/>
  <c r="H8454" i="3"/>
  <c r="H8466" i="3"/>
  <c r="H8462" i="3"/>
  <c r="H8458" i="3"/>
  <c r="H8450" i="3"/>
  <c r="I8142" i="3"/>
  <c r="H8142" i="3"/>
  <c r="H8164" i="3"/>
  <c r="I8164" i="3"/>
  <c r="I8507" i="3"/>
  <c r="H8507" i="3"/>
  <c r="J1673" i="3" l="1"/>
  <c r="I1673" i="3"/>
  <c r="I2402" i="3"/>
  <c r="J2402" i="3"/>
  <c r="H2402" i="3"/>
  <c r="J950" i="3"/>
  <c r="I950" i="3"/>
  <c r="H950" i="3"/>
  <c r="H974" i="3"/>
  <c r="I974" i="3"/>
  <c r="J974" i="3"/>
  <c r="I1245" i="3"/>
  <c r="J1245" i="3"/>
  <c r="H1245" i="3"/>
  <c r="J1371" i="3"/>
  <c r="I1340" i="3"/>
  <c r="H1448" i="3"/>
  <c r="I1427" i="3"/>
  <c r="I1166" i="3"/>
  <c r="H1801" i="3"/>
  <c r="J1580" i="3"/>
  <c r="H1220" i="3"/>
  <c r="H1438" i="3"/>
  <c r="I845" i="3"/>
  <c r="H1895" i="3"/>
  <c r="I1758" i="3"/>
  <c r="H8489" i="3"/>
  <c r="I1327" i="3"/>
  <c r="I1361" i="3"/>
  <c r="H1024" i="3"/>
  <c r="H2479" i="3"/>
  <c r="H1891" i="3"/>
  <c r="J1573" i="3"/>
  <c r="I1578" i="3"/>
  <c r="H1578" i="3"/>
  <c r="J1578" i="3"/>
  <c r="J1299" i="3"/>
  <c r="H1299" i="3"/>
  <c r="I1299" i="3"/>
  <c r="I123" i="3"/>
  <c r="H123" i="3"/>
  <c r="J123" i="3"/>
  <c r="H2002" i="3"/>
  <c r="J2002" i="3"/>
  <c r="I2002" i="3"/>
  <c r="H1132" i="3"/>
  <c r="J1132" i="3"/>
  <c r="I1132" i="3"/>
  <c r="J1518" i="3"/>
  <c r="I1518" i="3"/>
  <c r="I1598" i="3"/>
  <c r="H1598" i="3"/>
  <c r="H1574" i="3"/>
  <c r="I1574" i="3"/>
  <c r="J1258" i="3"/>
  <c r="H1258" i="3"/>
  <c r="I1258" i="3"/>
  <c r="J1837" i="3"/>
  <c r="I1837" i="3"/>
  <c r="H1837" i="3"/>
  <c r="H969" i="3"/>
  <c r="I969" i="3"/>
  <c r="I1471" i="3"/>
  <c r="J1471" i="3"/>
  <c r="H1471" i="3"/>
  <c r="J1628" i="3"/>
  <c r="I1628" i="3"/>
  <c r="H1628" i="3"/>
  <c r="I124" i="3"/>
  <c r="J124" i="3"/>
  <c r="H124" i="3"/>
  <c r="I1844" i="3"/>
  <c r="H1844" i="3"/>
  <c r="J1844" i="3"/>
  <c r="H1082" i="3"/>
  <c r="I1082" i="3"/>
  <c r="J1082" i="3"/>
  <c r="I940" i="3"/>
  <c r="H940" i="3"/>
  <c r="J940" i="3"/>
  <c r="H8050" i="3"/>
  <c r="I8050" i="3"/>
  <c r="J8050" i="3"/>
  <c r="I1866" i="3"/>
  <c r="H1866" i="3"/>
  <c r="J1866" i="3"/>
  <c r="I1781" i="3"/>
  <c r="J1781" i="3"/>
  <c r="H1781" i="3"/>
  <c r="J1199" i="3"/>
  <c r="I1199" i="3"/>
  <c r="H1199" i="3"/>
  <c r="J1329" i="3"/>
  <c r="H1329" i="3"/>
  <c r="I1329" i="3"/>
  <c r="I1026" i="3"/>
  <c r="H1026" i="3"/>
  <c r="J1026" i="3"/>
  <c r="J1747" i="3"/>
  <c r="I1747" i="3"/>
  <c r="H1747" i="3"/>
  <c r="H1956" i="3"/>
  <c r="J1956" i="3"/>
  <c r="I1956" i="3"/>
  <c r="H1025" i="3"/>
  <c r="J1025" i="3"/>
  <c r="I1025" i="3"/>
  <c r="I1539" i="3"/>
  <c r="J1539" i="3"/>
  <c r="H1539" i="3"/>
  <c r="I926" i="3"/>
  <c r="H926" i="3"/>
  <c r="J926" i="3"/>
  <c r="J865" i="3"/>
  <c r="I865" i="3"/>
  <c r="H865" i="3"/>
  <c r="I1206" i="3"/>
  <c r="H1206" i="3"/>
  <c r="J1206" i="3"/>
  <c r="J1886" i="3"/>
  <c r="H1886" i="3"/>
  <c r="I1886" i="3"/>
  <c r="I1554" i="3"/>
  <c r="J1340" i="3"/>
  <c r="I1448" i="3"/>
  <c r="H1427" i="3"/>
  <c r="H879" i="3"/>
  <c r="J1220" i="3"/>
  <c r="J945" i="3"/>
  <c r="J1908" i="3"/>
  <c r="H945" i="3"/>
  <c r="H930" i="3"/>
  <c r="I1178" i="3"/>
  <c r="I934" i="3"/>
  <c r="H1482" i="3"/>
  <c r="I1970" i="3"/>
  <c r="H1970" i="3"/>
  <c r="I1410" i="3"/>
  <c r="H1665" i="3"/>
  <c r="J1665" i="3"/>
  <c r="I1665" i="3"/>
  <c r="I1303" i="3"/>
  <c r="J1303" i="3"/>
  <c r="H1303" i="3"/>
  <c r="H1814" i="3"/>
  <c r="J1814" i="3"/>
  <c r="J1626" i="3"/>
  <c r="I1626" i="3"/>
  <c r="H1626" i="3"/>
  <c r="J1607" i="3"/>
  <c r="I1607" i="3"/>
  <c r="H1990" i="3"/>
  <c r="J1990" i="3"/>
  <c r="I1990" i="3"/>
  <c r="H1360" i="3"/>
  <c r="I1360" i="3"/>
  <c r="J1360" i="3"/>
  <c r="J1961" i="3"/>
  <c r="I1961" i="3"/>
  <c r="I925" i="3"/>
  <c r="H925" i="3"/>
  <c r="J925" i="3"/>
  <c r="I1177" i="3"/>
  <c r="H1177" i="3"/>
  <c r="H1880" i="3"/>
  <c r="I1880" i="3"/>
  <c r="J1880" i="3"/>
  <c r="H1430" i="3"/>
  <c r="I1430" i="3"/>
  <c r="J1430" i="3"/>
  <c r="I2474" i="3"/>
  <c r="H2474" i="3"/>
  <c r="J2474" i="3"/>
  <c r="I1541" i="3"/>
  <c r="J1541" i="3"/>
  <c r="H1541" i="3"/>
  <c r="J1317" i="3"/>
  <c r="I1317" i="3"/>
  <c r="H1317" i="3"/>
  <c r="H8607" i="3"/>
  <c r="I8607" i="3"/>
  <c r="J8607" i="3"/>
  <c r="J1219" i="3"/>
  <c r="H1219" i="3"/>
  <c r="I1219" i="3"/>
  <c r="I957" i="3"/>
  <c r="J957" i="3"/>
  <c r="H957" i="3"/>
  <c r="H1377" i="3"/>
  <c r="J1377" i="3"/>
  <c r="I1377" i="3"/>
  <c r="H1795" i="3"/>
  <c r="I1795" i="3"/>
  <c r="J1795" i="3"/>
  <c r="J1542" i="3"/>
  <c r="H1542" i="3"/>
  <c r="I1542" i="3"/>
  <c r="I1165" i="3"/>
  <c r="H1165" i="3"/>
  <c r="J1165" i="3"/>
  <c r="J1693" i="3"/>
  <c r="I1693" i="3"/>
  <c r="H1693" i="3"/>
  <c r="J1544" i="3"/>
  <c r="I1544" i="3"/>
  <c r="H1544" i="3"/>
  <c r="H1447" i="3"/>
  <c r="J1447" i="3"/>
  <c r="I1447" i="3"/>
  <c r="I1979" i="3"/>
  <c r="J1979" i="3"/>
  <c r="H1979" i="3"/>
  <c r="J1748" i="3"/>
  <c r="I1748" i="3"/>
  <c r="H1748" i="3"/>
  <c r="H1351" i="3"/>
  <c r="I1351" i="3"/>
  <c r="J1351" i="3"/>
  <c r="J2000" i="3"/>
  <c r="H2000" i="3"/>
  <c r="I2000" i="3"/>
  <c r="J1170" i="3"/>
  <c r="H1170" i="3"/>
  <c r="I1170" i="3"/>
  <c r="J1204" i="3"/>
  <c r="I1204" i="3"/>
  <c r="H1204" i="3"/>
  <c r="J1310" i="3"/>
  <c r="H1310" i="3"/>
  <c r="J2496" i="3"/>
  <c r="I2496" i="3"/>
  <c r="H2496" i="3"/>
  <c r="H1576" i="3"/>
  <c r="J1576" i="3"/>
  <c r="I1576" i="3"/>
  <c r="H1117" i="3"/>
  <c r="J1117" i="3"/>
  <c r="I1117" i="3"/>
  <c r="H8488" i="3"/>
  <c r="I8488" i="3"/>
  <c r="J8488" i="3"/>
  <c r="J1436" i="3"/>
  <c r="I1330" i="3"/>
  <c r="H1604" i="3"/>
  <c r="H1654" i="3"/>
  <c r="I954" i="3"/>
  <c r="I2464" i="3"/>
  <c r="H2464" i="3"/>
  <c r="H2014" i="3"/>
  <c r="H2485" i="3"/>
  <c r="H1405" i="3"/>
  <c r="J1491" i="3"/>
  <c r="H1627" i="3"/>
  <c r="J2011" i="3"/>
  <c r="I1891" i="3"/>
  <c r="H1682" i="3"/>
  <c r="J1041" i="3"/>
  <c r="J1734" i="3"/>
  <c r="J1611" i="3"/>
  <c r="I1611" i="3"/>
  <c r="H1537" i="3"/>
  <c r="J1537" i="3"/>
  <c r="I1537" i="3"/>
  <c r="I1289" i="3"/>
  <c r="J1289" i="3"/>
  <c r="H1289" i="3"/>
  <c r="H1947" i="3"/>
  <c r="I1947" i="3"/>
  <c r="J1947" i="3"/>
  <c r="I1296" i="3"/>
  <c r="H1296" i="3"/>
  <c r="J1296" i="3"/>
  <c r="I923" i="3"/>
  <c r="H923" i="3"/>
  <c r="J923" i="3"/>
  <c r="I1595" i="3"/>
  <c r="J1595" i="3"/>
  <c r="H1595" i="3"/>
  <c r="I1725" i="3"/>
  <c r="H1725" i="3"/>
  <c r="J1725" i="3"/>
  <c r="J1751" i="3"/>
  <c r="H1751" i="3"/>
  <c r="I1751" i="3"/>
  <c r="J8526" i="3"/>
  <c r="H8510" i="3"/>
  <c r="J8510" i="3"/>
  <c r="I8510" i="3"/>
  <c r="I106" i="3"/>
  <c r="J106" i="3"/>
  <c r="H106" i="3"/>
  <c r="I8614" i="3"/>
  <c r="H8614" i="3"/>
  <c r="J8614" i="3"/>
  <c r="I1065" i="3"/>
  <c r="J1065" i="3"/>
  <c r="H1065" i="3"/>
  <c r="H1685" i="3"/>
  <c r="J1685" i="3"/>
  <c r="I1685" i="3"/>
  <c r="H1800" i="3"/>
  <c r="I1800" i="3"/>
  <c r="J1800" i="3"/>
  <c r="J1497" i="3"/>
  <c r="I1497" i="3"/>
  <c r="H1497" i="3"/>
  <c r="I1016" i="3"/>
  <c r="H1016" i="3"/>
  <c r="J1016" i="3"/>
  <c r="H1523" i="3"/>
  <c r="I1523" i="3"/>
  <c r="J1523" i="3"/>
  <c r="H1713" i="3"/>
  <c r="J1713" i="3"/>
  <c r="I1713" i="3"/>
  <c r="J1712" i="3"/>
  <c r="H1712" i="3"/>
  <c r="I1712" i="3"/>
  <c r="H1630" i="3"/>
  <c r="I1630" i="3"/>
  <c r="J1630" i="3"/>
  <c r="J8055" i="3"/>
  <c r="H8055" i="3"/>
  <c r="I8055" i="3"/>
  <c r="I987" i="3"/>
  <c r="H987" i="3"/>
  <c r="J987" i="3"/>
  <c r="J1483" i="3"/>
  <c r="I1483" i="3"/>
  <c r="H1483" i="3"/>
  <c r="H1954" i="3"/>
  <c r="I1954" i="3"/>
  <c r="J1954" i="3"/>
  <c r="H1902" i="3"/>
  <c r="J1902" i="3"/>
  <c r="I1902" i="3"/>
  <c r="I110" i="3"/>
  <c r="J110" i="3"/>
  <c r="H110" i="3"/>
  <c r="H1633" i="3"/>
  <c r="J1633" i="3"/>
  <c r="I1633" i="3"/>
  <c r="I117" i="3"/>
  <c r="J117" i="3"/>
  <c r="H117" i="3"/>
  <c r="I2396" i="3"/>
  <c r="H2396" i="3"/>
  <c r="J2396" i="3"/>
  <c r="I8072" i="3"/>
  <c r="J8072" i="3"/>
  <c r="H8072" i="3"/>
  <c r="H1202" i="3"/>
  <c r="J1202" i="3"/>
  <c r="I1202" i="3"/>
  <c r="J1074" i="3"/>
  <c r="H1074" i="3"/>
  <c r="I1074" i="3"/>
  <c r="I915" i="3"/>
  <c r="J1330" i="3"/>
  <c r="H8074" i="3"/>
  <c r="J1459" i="3"/>
  <c r="I1654" i="3"/>
  <c r="H1888" i="3"/>
  <c r="H1060" i="3"/>
  <c r="J1212" i="3"/>
  <c r="I1238" i="3"/>
  <c r="I1562" i="3"/>
  <c r="H1176" i="3"/>
  <c r="J2485" i="3"/>
  <c r="J2466" i="3"/>
  <c r="J1567" i="3"/>
  <c r="J8496" i="3"/>
  <c r="I8496" i="3"/>
  <c r="H8496" i="3"/>
  <c r="J1505" i="3"/>
  <c r="H1505" i="3"/>
  <c r="I1505" i="3"/>
  <c r="J2499" i="3"/>
  <c r="H2499" i="3"/>
  <c r="I2499" i="3"/>
  <c r="I1745" i="3"/>
  <c r="J1745" i="3"/>
  <c r="H1745" i="3"/>
  <c r="J8595" i="3"/>
  <c r="H8595" i="3"/>
  <c r="J1036" i="3"/>
  <c r="I1036" i="3"/>
  <c r="H1036" i="3"/>
  <c r="J1224" i="3"/>
  <c r="H1224" i="3"/>
  <c r="I1224" i="3"/>
  <c r="I2478" i="3"/>
  <c r="H2478" i="3"/>
  <c r="J2478" i="3"/>
  <c r="J2520" i="3"/>
  <c r="H2520" i="3"/>
  <c r="I2520" i="3"/>
  <c r="J2523" i="3"/>
  <c r="I2523" i="3"/>
  <c r="H2523" i="3"/>
  <c r="J1113" i="3"/>
  <c r="I1113" i="3"/>
  <c r="H1113" i="3"/>
  <c r="J843" i="3"/>
  <c r="H843" i="3"/>
  <c r="I843" i="3"/>
  <c r="H2400" i="3"/>
  <c r="I2400" i="3"/>
  <c r="J2400" i="3"/>
  <c r="H1421" i="3"/>
  <c r="J1421" i="3"/>
  <c r="I1421" i="3"/>
  <c r="J1642" i="3"/>
  <c r="I1642" i="3"/>
  <c r="H1642" i="3"/>
  <c r="H2518" i="3"/>
  <c r="J2518" i="3"/>
  <c r="I2518" i="3"/>
  <c r="H1794" i="3"/>
  <c r="J1794" i="3"/>
  <c r="I1794" i="3"/>
  <c r="H1087" i="3"/>
  <c r="J1087" i="3"/>
  <c r="I1087" i="3"/>
  <c r="H2033" i="3"/>
  <c r="I2033" i="3"/>
  <c r="J2033" i="3"/>
  <c r="H8505" i="3"/>
  <c r="J8505" i="3"/>
  <c r="I8505" i="3"/>
  <c r="J1158" i="3"/>
  <c r="H1158" i="3"/>
  <c r="I1158" i="3"/>
  <c r="J1229" i="3"/>
  <c r="I1229" i="3"/>
  <c r="H1229" i="3"/>
  <c r="I1869" i="3"/>
  <c r="H1869" i="3"/>
  <c r="J1869" i="3"/>
  <c r="H8079" i="3"/>
  <c r="J8079" i="3"/>
  <c r="I8079" i="3"/>
  <c r="J1529" i="3"/>
  <c r="I1529" i="3"/>
  <c r="H1529" i="3"/>
  <c r="H1357" i="3"/>
  <c r="I1357" i="3"/>
  <c r="J1357" i="3"/>
  <c r="H909" i="3"/>
  <c r="J909" i="3"/>
  <c r="I909" i="3"/>
  <c r="J8625" i="3"/>
  <c r="I1237" i="3"/>
  <c r="H1237" i="3"/>
  <c r="J1266" i="3"/>
  <c r="H1266" i="3"/>
  <c r="I1266" i="3"/>
  <c r="J8491" i="3"/>
  <c r="H8491" i="3"/>
  <c r="I8491" i="3"/>
  <c r="J8511" i="3"/>
  <c r="H8042" i="3"/>
  <c r="J8042" i="3"/>
  <c r="I8042" i="3"/>
  <c r="H1395" i="3"/>
  <c r="I1395" i="3"/>
  <c r="J1395" i="3"/>
  <c r="I1001" i="3"/>
  <c r="J1001" i="3"/>
  <c r="H1001" i="3"/>
  <c r="H1986" i="3"/>
  <c r="I1986" i="3"/>
  <c r="J1986" i="3"/>
  <c r="I1255" i="3"/>
  <c r="H1255" i="3"/>
  <c r="J1255" i="3"/>
  <c r="J889" i="3"/>
  <c r="J915" i="3"/>
  <c r="H989" i="3"/>
  <c r="I1577" i="3"/>
  <c r="J1403" i="3"/>
  <c r="J8073" i="3"/>
  <c r="I8074" i="3"/>
  <c r="H1459" i="3"/>
  <c r="I1060" i="3"/>
  <c r="H1212" i="3"/>
  <c r="H1238" i="3"/>
  <c r="H1562" i="3"/>
  <c r="H961" i="3"/>
  <c r="I1270" i="3"/>
  <c r="H1410" i="3"/>
  <c r="I2466" i="3"/>
  <c r="J1906" i="3"/>
  <c r="I1040" i="3"/>
  <c r="J1040" i="3"/>
  <c r="H1373" i="3"/>
  <c r="I1373" i="3"/>
  <c r="J1443" i="3"/>
  <c r="I1443" i="3"/>
  <c r="I1103" i="3"/>
  <c r="H1103" i="3"/>
  <c r="J1103" i="3"/>
  <c r="J901" i="3"/>
  <c r="I901" i="3"/>
  <c r="H901" i="3"/>
  <c r="H852" i="3"/>
  <c r="J852" i="3"/>
  <c r="I852" i="3"/>
  <c r="I1011" i="3"/>
  <c r="J1011" i="3"/>
  <c r="J1594" i="3"/>
  <c r="H1594" i="3"/>
  <c r="I1594" i="3"/>
  <c r="H1620" i="3"/>
  <c r="J1620" i="3"/>
  <c r="I1620" i="3"/>
  <c r="I1173" i="3"/>
  <c r="H1173" i="3"/>
  <c r="J1173" i="3"/>
  <c r="J8080" i="3"/>
  <c r="H8080" i="3"/>
  <c r="I8080" i="3"/>
  <c r="H1423" i="3"/>
  <c r="I1423" i="3"/>
  <c r="J1423" i="3"/>
  <c r="H1646" i="3"/>
  <c r="J1646" i="3"/>
  <c r="I1646" i="3"/>
  <c r="I1397" i="3"/>
  <c r="J1397" i="3"/>
  <c r="H1397" i="3"/>
  <c r="I970" i="3"/>
  <c r="J970" i="3"/>
  <c r="H970" i="3"/>
  <c r="I1942" i="3"/>
  <c r="J1942" i="3"/>
  <c r="H1942" i="3"/>
  <c r="I1372" i="3"/>
  <c r="H1372" i="3"/>
  <c r="J1372" i="3"/>
  <c r="H2507" i="3"/>
  <c r="I2507" i="3"/>
  <c r="J2507" i="3"/>
  <c r="I1051" i="3"/>
  <c r="J1051" i="3"/>
  <c r="H1051" i="3"/>
  <c r="H1316" i="3"/>
  <c r="I1316" i="3"/>
  <c r="J1316" i="3"/>
  <c r="I2391" i="3"/>
  <c r="J2391" i="3"/>
  <c r="H2391" i="3"/>
  <c r="I1355" i="3"/>
  <c r="J1355" i="3"/>
  <c r="H1355" i="3"/>
  <c r="H1750" i="3"/>
  <c r="I1750" i="3"/>
  <c r="J1750" i="3"/>
  <c r="J1621" i="3"/>
  <c r="I1621" i="3"/>
  <c r="H1621" i="3"/>
  <c r="I1227" i="3"/>
  <c r="H1227" i="3"/>
  <c r="J1227" i="3"/>
  <c r="H2491" i="3"/>
  <c r="I2491" i="3"/>
  <c r="J2491" i="3"/>
  <c r="H1453" i="3"/>
  <c r="J1453" i="3"/>
  <c r="I1453" i="3"/>
  <c r="H1279" i="3"/>
  <c r="I1279" i="3"/>
  <c r="J1279" i="3"/>
  <c r="I2517" i="3"/>
  <c r="J2517" i="3"/>
  <c r="H2517" i="3"/>
  <c r="H1457" i="3"/>
  <c r="I1457" i="3"/>
  <c r="J1457" i="3"/>
  <c r="H2043" i="3"/>
  <c r="J2043" i="3"/>
  <c r="I2043" i="3"/>
  <c r="J1197" i="3"/>
  <c r="I1197" i="3"/>
  <c r="H1197" i="3"/>
  <c r="J979" i="3"/>
  <c r="H979" i="3"/>
  <c r="I1486" i="3"/>
  <c r="J1486" i="3"/>
  <c r="H1486" i="3"/>
  <c r="I889" i="3"/>
  <c r="J1557" i="3"/>
  <c r="I989" i="3"/>
  <c r="J1577" i="3"/>
  <c r="H1403" i="3"/>
  <c r="J1888" i="3"/>
  <c r="H1466" i="3"/>
  <c r="I1796" i="3"/>
  <c r="J1532" i="3"/>
  <c r="I1183" i="3"/>
  <c r="J2014" i="3"/>
  <c r="I1176" i="3"/>
  <c r="J1736" i="3"/>
  <c r="J1405" i="3"/>
  <c r="I1597" i="3"/>
  <c r="I1906" i="3"/>
  <c r="H1845" i="3"/>
  <c r="I1845" i="3"/>
  <c r="J1845" i="3"/>
  <c r="J1695" i="3"/>
  <c r="I1695" i="3"/>
  <c r="H1695" i="3"/>
  <c r="H1143" i="3"/>
  <c r="J1143" i="3"/>
  <c r="I838" i="3"/>
  <c r="H838" i="3"/>
  <c r="H121" i="3"/>
  <c r="J121" i="3"/>
  <c r="I1213" i="3"/>
  <c r="J1213" i="3"/>
  <c r="I910" i="3"/>
  <c r="H910" i="3"/>
  <c r="J910" i="3"/>
  <c r="I1640" i="3"/>
  <c r="J1640" i="3"/>
  <c r="H1640" i="3"/>
  <c r="J1172" i="3"/>
  <c r="I1172" i="3"/>
  <c r="I1019" i="3"/>
  <c r="J1019" i="3"/>
  <c r="H1019" i="3"/>
  <c r="J2487" i="3"/>
  <c r="H2487" i="3"/>
  <c r="I2487" i="3"/>
  <c r="H1062" i="3"/>
  <c r="I1062" i="3"/>
  <c r="J1062" i="3"/>
  <c r="J1875" i="3"/>
  <c r="H1875" i="3"/>
  <c r="H1977" i="3"/>
  <c r="I1977" i="3"/>
  <c r="J1977" i="3"/>
  <c r="H905" i="3"/>
  <c r="I905" i="3"/>
  <c r="J905" i="3"/>
  <c r="H1164" i="3"/>
  <c r="J1164" i="3"/>
  <c r="I2514" i="3"/>
  <c r="H2514" i="3"/>
  <c r="J2514" i="3"/>
  <c r="J8492" i="3"/>
  <c r="H8492" i="3"/>
  <c r="I8492" i="3"/>
  <c r="J1511" i="3"/>
  <c r="H1511" i="3"/>
  <c r="I1511" i="3"/>
  <c r="H1641" i="3"/>
  <c r="I1641" i="3"/>
  <c r="J1641" i="3"/>
  <c r="H1151" i="3"/>
  <c r="J1151" i="3"/>
  <c r="I1151" i="3"/>
  <c r="H1767" i="3"/>
  <c r="I1767" i="3"/>
  <c r="J1767" i="3"/>
  <c r="I1943" i="3"/>
  <c r="H1943" i="3"/>
  <c r="J1943" i="3"/>
  <c r="H1900" i="3"/>
  <c r="I1900" i="3"/>
  <c r="J1900" i="3"/>
  <c r="I830" i="3"/>
  <c r="J830" i="3"/>
  <c r="H830" i="3"/>
  <c r="J1092" i="3"/>
  <c r="I1092" i="3"/>
  <c r="H1092" i="3"/>
  <c r="I1686" i="3"/>
  <c r="H1686" i="3"/>
  <c r="J1686" i="3"/>
  <c r="I1043" i="3"/>
  <c r="J1043" i="3"/>
  <c r="H1043" i="3"/>
  <c r="H864" i="3"/>
  <c r="I2489" i="3"/>
  <c r="H1557" i="3"/>
  <c r="H1412" i="3"/>
  <c r="I1538" i="3"/>
  <c r="I1466" i="3"/>
  <c r="H1796" i="3"/>
  <c r="I1532" i="3"/>
  <c r="H1491" i="3"/>
  <c r="I1573" i="3"/>
  <c r="I1682" i="3"/>
  <c r="J1418" i="3"/>
  <c r="H1673" i="3"/>
  <c r="J887" i="3"/>
  <c r="I887" i="3"/>
  <c r="J2494" i="3"/>
  <c r="I2494" i="3"/>
  <c r="H2494" i="3"/>
  <c r="I1253" i="3"/>
  <c r="J1253" i="3"/>
  <c r="H1253" i="3"/>
  <c r="I882" i="3"/>
  <c r="J882" i="3"/>
  <c r="H882" i="3"/>
  <c r="J1492" i="3"/>
  <c r="H1492" i="3"/>
  <c r="J1777" i="3"/>
  <c r="H1777" i="3"/>
  <c r="I1777" i="3"/>
  <c r="H1721" i="3"/>
  <c r="J1721" i="3"/>
  <c r="I1721" i="3"/>
  <c r="I8508" i="3"/>
  <c r="J8508" i="3"/>
  <c r="J1259" i="3"/>
  <c r="H1259" i="3"/>
  <c r="I1259" i="3"/>
  <c r="H1272" i="3"/>
  <c r="J1272" i="3"/>
  <c r="I1272" i="3"/>
  <c r="I1499" i="3"/>
  <c r="J1499" i="3"/>
  <c r="H1499" i="3"/>
  <c r="H1126" i="3"/>
  <c r="I1126" i="3"/>
  <c r="J1126" i="3"/>
  <c r="J1662" i="3"/>
  <c r="H1662" i="3"/>
  <c r="I1662" i="3"/>
  <c r="I1549" i="3"/>
  <c r="H1549" i="3"/>
  <c r="H854" i="3"/>
  <c r="I854" i="3"/>
  <c r="J854" i="3"/>
  <c r="I1254" i="3"/>
  <c r="J1254" i="3"/>
  <c r="H1254" i="3"/>
  <c r="I1094" i="3"/>
  <c r="H1094" i="3"/>
  <c r="J1094" i="3"/>
  <c r="H1054" i="3"/>
  <c r="I1054" i="3"/>
  <c r="J1054" i="3"/>
  <c r="J1873" i="3"/>
  <c r="H1873" i="3"/>
  <c r="I1873" i="3"/>
  <c r="I1730" i="3"/>
  <c r="H1730" i="3"/>
  <c r="J1730" i="3"/>
  <c r="I2467" i="3"/>
  <c r="H2467" i="3"/>
  <c r="J2467" i="3"/>
  <c r="I964" i="3"/>
  <c r="J964" i="3"/>
  <c r="H964" i="3"/>
  <c r="H2013" i="3"/>
  <c r="I2013" i="3"/>
  <c r="J2013" i="3"/>
  <c r="H1779" i="3"/>
  <c r="I1779" i="3"/>
  <c r="J1779" i="3"/>
  <c r="J1653" i="3"/>
  <c r="H1653" i="3"/>
  <c r="I1653" i="3"/>
  <c r="I1556" i="3"/>
  <c r="J1556" i="3"/>
  <c r="H1556" i="3"/>
  <c r="J1515" i="3"/>
  <c r="H1515" i="3"/>
  <c r="I1515" i="3"/>
  <c r="I1817" i="3"/>
  <c r="J1817" i="3"/>
  <c r="H1817" i="3"/>
  <c r="J8626" i="3"/>
  <c r="H1760" i="3"/>
  <c r="J1760" i="3"/>
  <c r="I1760" i="3"/>
  <c r="J943" i="3"/>
  <c r="I943" i="3"/>
  <c r="H943" i="3"/>
  <c r="H861" i="3"/>
  <c r="I861" i="3"/>
  <c r="J861" i="3"/>
  <c r="J903" i="3"/>
  <c r="H903" i="3"/>
  <c r="I903" i="3"/>
  <c r="H1997" i="3"/>
  <c r="J1997" i="3"/>
  <c r="I1997" i="3"/>
  <c r="J1625" i="3"/>
  <c r="I1625" i="3"/>
  <c r="H1625" i="3"/>
  <c r="I864" i="3"/>
  <c r="H2489" i="3"/>
  <c r="I1281" i="3"/>
  <c r="I2009" i="3"/>
  <c r="H8617" i="3"/>
  <c r="I1412" i="3"/>
  <c r="H1538" i="3"/>
  <c r="J2502" i="3"/>
  <c r="J1270" i="3"/>
  <c r="H2037" i="3"/>
  <c r="I1734" i="3"/>
  <c r="I1699" i="3"/>
  <c r="H1699" i="3"/>
  <c r="J1699" i="3"/>
  <c r="H1744" i="3"/>
  <c r="J1744" i="3"/>
  <c r="I1262" i="3"/>
  <c r="J1262" i="3"/>
  <c r="H1262" i="3"/>
  <c r="I942" i="3"/>
  <c r="H942" i="3"/>
  <c r="H2522" i="3"/>
  <c r="J2522" i="3"/>
  <c r="J2001" i="3"/>
  <c r="H2001" i="3"/>
  <c r="I2001" i="3"/>
  <c r="I1104" i="3"/>
  <c r="H1104" i="3"/>
  <c r="J1104" i="3"/>
  <c r="J1675" i="3"/>
  <c r="H1675" i="3"/>
  <c r="I1675" i="3"/>
  <c r="J1683" i="3"/>
  <c r="H1683" i="3"/>
  <c r="I1683" i="3"/>
  <c r="J1324" i="3"/>
  <c r="I1324" i="3"/>
  <c r="H1324" i="3"/>
  <c r="J8502" i="3"/>
  <c r="I8502" i="3"/>
  <c r="H8502" i="3"/>
  <c r="H1200" i="3"/>
  <c r="I1200" i="3"/>
  <c r="J1200" i="3"/>
  <c r="H1498" i="3"/>
  <c r="I1498" i="3"/>
  <c r="J1498" i="3"/>
  <c r="I1014" i="3"/>
  <c r="H1014" i="3"/>
  <c r="J1014" i="3"/>
  <c r="I1697" i="3"/>
  <c r="H1697" i="3"/>
  <c r="J1697" i="3"/>
  <c r="I8024" i="3"/>
  <c r="H8024" i="3"/>
  <c r="J8024" i="3"/>
  <c r="I1089" i="3"/>
  <c r="H1089" i="3"/>
  <c r="J1089" i="3"/>
  <c r="J8515" i="3"/>
  <c r="J1458" i="3"/>
  <c r="H1458" i="3"/>
  <c r="J8494" i="3"/>
  <c r="H8494" i="3"/>
  <c r="I8494" i="3"/>
  <c r="H850" i="3"/>
  <c r="J850" i="3"/>
  <c r="I850" i="3"/>
  <c r="J1429" i="3"/>
  <c r="I1429" i="3"/>
  <c r="H1429" i="3"/>
  <c r="J1623" i="3"/>
  <c r="H1623" i="3"/>
  <c r="I1623" i="3"/>
  <c r="J1724" i="3"/>
  <c r="H1724" i="3"/>
  <c r="I1724" i="3"/>
  <c r="J1181" i="3"/>
  <c r="I1181" i="3"/>
  <c r="H1181" i="3"/>
  <c r="H1560" i="3"/>
  <c r="J1560" i="3"/>
  <c r="I1560" i="3"/>
  <c r="J1278" i="3"/>
  <c r="I1278" i="3"/>
  <c r="H1278" i="3"/>
  <c r="J2511" i="3"/>
  <c r="H1281" i="3"/>
  <c r="J2009" i="3"/>
  <c r="J8617" i="3"/>
  <c r="I1500" i="3"/>
  <c r="I2502" i="3"/>
  <c r="I1736" i="3"/>
  <c r="I1567" i="3"/>
  <c r="H1768" i="3"/>
  <c r="H8036" i="3"/>
  <c r="J2037" i="3"/>
  <c r="I1773" i="3"/>
  <c r="H1474" i="3"/>
  <c r="J1474" i="3"/>
  <c r="J1899" i="3"/>
  <c r="I1899" i="3"/>
  <c r="H1899" i="3"/>
  <c r="I947" i="3"/>
  <c r="J947" i="3"/>
  <c r="H947" i="3"/>
  <c r="H1300" i="3"/>
  <c r="I1300" i="3"/>
  <c r="J1198" i="3"/>
  <c r="I1198" i="3"/>
  <c r="H1198" i="3"/>
  <c r="I1839" i="3"/>
  <c r="H1839" i="3"/>
  <c r="J1839" i="3"/>
  <c r="I1321" i="3"/>
  <c r="J1321" i="3"/>
  <c r="H1321" i="3"/>
  <c r="I8518" i="3"/>
  <c r="J8518" i="3"/>
  <c r="I1527" i="3"/>
  <c r="J1527" i="3"/>
  <c r="H1527" i="3"/>
  <c r="J1833" i="3"/>
  <c r="H1833" i="3"/>
  <c r="I1833" i="3"/>
  <c r="J1292" i="3"/>
  <c r="I1292" i="3"/>
  <c r="H1292" i="3"/>
  <c r="J1784" i="3"/>
  <c r="I1784" i="3"/>
  <c r="H1784" i="3"/>
  <c r="I8594" i="3"/>
  <c r="H8594" i="3"/>
  <c r="J8594" i="3"/>
  <c r="J8516" i="3"/>
  <c r="H8516" i="3"/>
  <c r="J1059" i="3"/>
  <c r="I1059" i="3"/>
  <c r="I1376" i="3"/>
  <c r="J1376" i="3"/>
  <c r="H1376" i="3"/>
  <c r="H1858" i="3"/>
  <c r="I1858" i="3"/>
  <c r="J1858" i="3"/>
  <c r="J1615" i="3"/>
  <c r="I1615" i="3"/>
  <c r="H1615" i="3"/>
  <c r="H1870" i="3"/>
  <c r="J1870" i="3"/>
  <c r="I1870" i="3"/>
  <c r="H1678" i="3"/>
  <c r="J1678" i="3"/>
  <c r="I8026" i="3"/>
  <c r="H8026" i="3"/>
  <c r="J8026" i="3"/>
  <c r="H1865" i="3"/>
  <c r="J1865" i="3"/>
  <c r="I1865" i="3"/>
  <c r="H1111" i="3"/>
  <c r="J1111" i="3"/>
  <c r="I1111" i="3"/>
  <c r="J8624" i="3"/>
  <c r="J2017" i="3"/>
  <c r="H2017" i="3"/>
  <c r="I2017" i="3"/>
  <c r="J1063" i="3"/>
  <c r="I1063" i="3"/>
  <c r="H1063" i="3"/>
  <c r="I1290" i="3"/>
  <c r="H1290" i="3"/>
  <c r="I1579" i="3"/>
  <c r="J1579" i="3"/>
  <c r="H1579" i="3"/>
  <c r="H2012" i="3"/>
  <c r="J2012" i="3"/>
  <c r="I2012" i="3"/>
  <c r="H2025" i="3"/>
  <c r="J2025" i="3"/>
  <c r="H1169" i="3"/>
  <c r="I1169" i="3"/>
  <c r="J1169" i="3"/>
  <c r="J1284" i="3"/>
  <c r="H1284" i="3"/>
  <c r="I1284" i="3"/>
  <c r="J1159" i="3"/>
  <c r="I1159" i="3"/>
  <c r="H1159" i="3"/>
  <c r="J1726" i="3"/>
  <c r="I1726" i="3"/>
  <c r="H1726" i="3"/>
  <c r="J1124" i="3"/>
  <c r="H1124" i="3"/>
  <c r="I1124" i="3"/>
  <c r="H1415" i="3"/>
  <c r="I1415" i="3"/>
  <c r="H1464" i="3"/>
  <c r="J1464" i="3"/>
  <c r="I1464" i="3"/>
  <c r="J1517" i="3"/>
  <c r="I1517" i="3"/>
  <c r="H1517" i="3"/>
  <c r="H1371" i="3"/>
  <c r="H2511" i="3"/>
  <c r="H1166" i="3"/>
  <c r="J1801" i="3"/>
  <c r="H1580" i="3"/>
  <c r="J879" i="3"/>
  <c r="J1438" i="3"/>
  <c r="J845" i="3"/>
  <c r="J1500" i="3"/>
  <c r="J1758" i="3"/>
  <c r="J8489" i="3"/>
  <c r="H1327" i="3"/>
  <c r="H1484" i="3"/>
  <c r="H1183" i="3"/>
  <c r="I2011" i="3"/>
  <c r="I1041" i="3"/>
  <c r="I8036" i="3"/>
  <c r="I1999" i="3"/>
  <c r="H1999" i="3"/>
  <c r="H1463" i="3"/>
  <c r="J1463" i="3"/>
  <c r="I1463" i="3"/>
  <c r="J1861" i="3"/>
  <c r="H1861" i="3"/>
  <c r="I1861" i="3"/>
  <c r="J1984" i="3"/>
  <c r="H1984" i="3"/>
  <c r="I1984" i="3"/>
  <c r="I1561" i="3"/>
  <c r="J1561" i="3"/>
  <c r="H1691" i="3"/>
  <c r="I1691" i="3"/>
  <c r="J1691" i="3"/>
  <c r="I1753" i="3"/>
  <c r="J1753" i="3"/>
  <c r="H1753" i="3"/>
  <c r="J916" i="3"/>
  <c r="I916" i="3"/>
  <c r="H916" i="3"/>
  <c r="H1343" i="3"/>
  <c r="I1343" i="3"/>
  <c r="J1343" i="3"/>
  <c r="H1037" i="3"/>
  <c r="J1037" i="3"/>
  <c r="H1818" i="3"/>
  <c r="I1818" i="3"/>
  <c r="J1818" i="3"/>
  <c r="J1108" i="3"/>
  <c r="I1108" i="3"/>
  <c r="H1108" i="3"/>
  <c r="I1383" i="3"/>
  <c r="H1383" i="3"/>
  <c r="J1383" i="3"/>
  <c r="I1802" i="3"/>
  <c r="J1802" i="3"/>
  <c r="H1802" i="3"/>
  <c r="J8503" i="3"/>
  <c r="I1080" i="3"/>
  <c r="H1080" i="3"/>
  <c r="J1080" i="3"/>
  <c r="J1326" i="3"/>
  <c r="H1326" i="3"/>
  <c r="I1326" i="3"/>
  <c r="J1609" i="3"/>
  <c r="I1609" i="3"/>
  <c r="H1609" i="3"/>
  <c r="H1354" i="3"/>
  <c r="J1354" i="3"/>
  <c r="I1354" i="3"/>
  <c r="J842" i="3"/>
  <c r="H842" i="3"/>
  <c r="I842" i="3"/>
  <c r="J856" i="3"/>
  <c r="H856" i="3"/>
  <c r="I856" i="3"/>
  <c r="I1029" i="3"/>
  <c r="H1029" i="3"/>
  <c r="J1029" i="3"/>
  <c r="H1829" i="3"/>
  <c r="J1829" i="3"/>
  <c r="I1829" i="3"/>
  <c r="H1297" i="3"/>
  <c r="J1297" i="3"/>
  <c r="I1297" i="3"/>
  <c r="J1705" i="3"/>
  <c r="H1705" i="3"/>
  <c r="J1835" i="3"/>
  <c r="H1835" i="3"/>
  <c r="I1835" i="3"/>
  <c r="I1792" i="3"/>
  <c r="J1792" i="3"/>
  <c r="H1792" i="3"/>
  <c r="I1130" i="3"/>
  <c r="H1130" i="3"/>
  <c r="J1130" i="3"/>
  <c r="J1669" i="3"/>
  <c r="I1669" i="3"/>
  <c r="H1669" i="3"/>
  <c r="J1150" i="3"/>
  <c r="I1150" i="3"/>
  <c r="H1150" i="3"/>
  <c r="J863" i="3"/>
  <c r="I863" i="3"/>
  <c r="H863" i="3"/>
  <c r="J896" i="3"/>
  <c r="H896" i="3"/>
  <c r="I896" i="3"/>
  <c r="J1484" i="3"/>
  <c r="I8073" i="3"/>
  <c r="J872" i="3"/>
  <c r="J1895" i="3"/>
  <c r="I872" i="3"/>
  <c r="I1106" i="3"/>
  <c r="H1106" i="3"/>
  <c r="H1322" i="3"/>
  <c r="I1322" i="3"/>
  <c r="J1322" i="3"/>
  <c r="H8487" i="3"/>
  <c r="J8487" i="3"/>
  <c r="J1203" i="3"/>
  <c r="H1203" i="3"/>
  <c r="J1013" i="3"/>
  <c r="I1013" i="3"/>
  <c r="H1013" i="3"/>
  <c r="H1827" i="3"/>
  <c r="J1827" i="3"/>
  <c r="H2398" i="3"/>
  <c r="J2398" i="3"/>
  <c r="I946" i="3"/>
  <c r="H946" i="3"/>
  <c r="I1478" i="3"/>
  <c r="H1478" i="3"/>
  <c r="J1478" i="3"/>
  <c r="H1572" i="3"/>
  <c r="J1572" i="3"/>
  <c r="I1572" i="3"/>
  <c r="J1228" i="3"/>
  <c r="H1228" i="3"/>
  <c r="H1876" i="3"/>
  <c r="J1876" i="3"/>
  <c r="I1876" i="3"/>
  <c r="H1863" i="3"/>
  <c r="I1863" i="3"/>
  <c r="J1863" i="3"/>
  <c r="I1195" i="3"/>
  <c r="H1195" i="3"/>
  <c r="I1454" i="3"/>
  <c r="J1454" i="3"/>
  <c r="H1454" i="3"/>
  <c r="J1563" i="3"/>
  <c r="I1563" i="3"/>
  <c r="H1563" i="3"/>
  <c r="H8047" i="3"/>
  <c r="I8047" i="3"/>
  <c r="J8047" i="3"/>
  <c r="J1958" i="3"/>
  <c r="I1958" i="3"/>
  <c r="H1958" i="3"/>
  <c r="H1513" i="3"/>
  <c r="J1513" i="3"/>
  <c r="I1513" i="3"/>
  <c r="J921" i="3"/>
  <c r="H921" i="3"/>
  <c r="I921" i="3"/>
  <c r="I1674" i="3"/>
  <c r="H1674" i="3"/>
  <c r="J1570" i="3"/>
  <c r="H1570" i="3"/>
  <c r="I1570" i="3"/>
  <c r="H836" i="3"/>
  <c r="I836" i="3"/>
  <c r="J836" i="3"/>
  <c r="J1107" i="3"/>
  <c r="H1107" i="3"/>
  <c r="I1341" i="3"/>
  <c r="J1341" i="3"/>
  <c r="H1341" i="3"/>
  <c r="H1426" i="3"/>
  <c r="I1426" i="3"/>
  <c r="J1426" i="3"/>
  <c r="J1294" i="3"/>
  <c r="H1294" i="3"/>
  <c r="I1294" i="3"/>
  <c r="I111" i="3"/>
  <c r="J111" i="3"/>
  <c r="H111" i="3"/>
  <c r="I1743" i="3"/>
  <c r="H1743" i="3"/>
  <c r="J1743" i="3"/>
  <c r="I1812" i="3"/>
  <c r="J1812" i="3"/>
  <c r="H1812" i="3"/>
  <c r="J894" i="3"/>
  <c r="I894" i="3"/>
  <c r="H894" i="3"/>
  <c r="H978" i="3"/>
  <c r="I978" i="3"/>
  <c r="J978" i="3"/>
  <c r="H1657" i="3"/>
  <c r="I1657" i="3"/>
  <c r="J1657" i="3"/>
  <c r="I1514" i="3"/>
  <c r="H1514" i="3"/>
  <c r="J1514" i="3"/>
  <c r="H8598" i="3"/>
  <c r="J8598" i="3"/>
  <c r="I8598" i="3"/>
  <c r="H2006" i="3"/>
  <c r="I2006" i="3"/>
  <c r="J2006" i="3"/>
  <c r="I1719" i="3"/>
  <c r="H1719" i="3"/>
  <c r="J1719" i="3"/>
  <c r="D8119" i="3"/>
  <c r="I8515" i="3"/>
  <c r="I8626" i="3"/>
  <c r="H8626" i="3"/>
  <c r="I8624" i="3"/>
  <c r="H8526" i="3"/>
  <c r="H8624" i="3"/>
  <c r="H8511" i="3"/>
  <c r="H8503" i="3"/>
  <c r="I8526" i="3"/>
  <c r="I8625" i="3"/>
  <c r="I8511" i="3"/>
  <c r="I8503" i="3"/>
  <c r="H8625" i="3"/>
  <c r="H8515" i="3"/>
  <c r="D8120" i="3" l="1"/>
  <c r="D8117" i="3"/>
  <c r="D8118" i="3"/>
  <c r="B8117" i="3"/>
  <c r="B8118" i="3"/>
  <c r="B8119" i="3"/>
  <c r="B8120" i="3"/>
  <c r="B8116" i="3"/>
  <c r="C8117" i="3"/>
  <c r="C8118" i="3"/>
  <c r="C8119" i="3"/>
  <c r="C8120" i="3"/>
  <c r="C8116" i="3"/>
  <c r="C8115" i="3"/>
  <c r="B8115" i="3"/>
  <c r="D8115" i="3"/>
  <c r="B8529" i="3"/>
  <c r="E33" i="75"/>
  <c r="D33" i="75"/>
  <c r="C8" i="75"/>
  <c r="B23" i="2"/>
  <c r="B22" i="2"/>
  <c r="K6" i="75" l="1"/>
  <c r="D8116" i="3"/>
  <c r="B15" i="76" l="1"/>
  <c r="B8528" i="3"/>
  <c r="B8527" i="3"/>
  <c r="B8524" i="3"/>
  <c r="B8525" i="3"/>
  <c r="B8523" i="3"/>
  <c r="C8524" i="3"/>
  <c r="C8525" i="3"/>
  <c r="C8527" i="3"/>
  <c r="C8528" i="3"/>
  <c r="C8529" i="3"/>
  <c r="C8523" i="3"/>
  <c r="D3584" i="3" a="1"/>
  <c r="D3795" i="3" a="1"/>
  <c r="D4105" i="3" a="1"/>
  <c r="D3188" i="3" a="1"/>
  <c r="D4278" i="3" a="1"/>
  <c r="D3040" i="3" a="1"/>
  <c r="D3528" i="3" a="1"/>
  <c r="D2911" i="3" a="1"/>
  <c r="D3787" i="3" a="1"/>
  <c r="D4277" i="3" a="1"/>
  <c r="D2578" i="3" a="1"/>
  <c r="D3491" i="3" a="1"/>
  <c r="D2899" i="3" a="1"/>
  <c r="D2923" i="3" a="1"/>
  <c r="D3069" i="3" a="1"/>
  <c r="D3119" i="3" a="1"/>
  <c r="D4593" i="3" a="1"/>
  <c r="D3222" i="3" a="1"/>
  <c r="D3684" i="3" a="1"/>
  <c r="D3604" i="3" a="1"/>
  <c r="D4603" i="3" a="1"/>
  <c r="D4594" i="3" a="1"/>
  <c r="D3126" i="3" a="1"/>
  <c r="D3033" i="3" a="1"/>
  <c r="D3519" i="3" a="1"/>
  <c r="D3586" i="3" a="1"/>
  <c r="D3259" i="3" a="1"/>
  <c r="D3128" i="3" a="1"/>
  <c r="D4149" i="3" a="1"/>
  <c r="D3247" i="3" a="1"/>
  <c r="D4236" i="3" a="1"/>
  <c r="D4210" i="3" a="1"/>
  <c r="D4588" i="3" a="1"/>
  <c r="D3047" i="3" a="1"/>
  <c r="D4638" i="3" a="1"/>
  <c r="D2994" i="3" a="1"/>
  <c r="D4368" i="3" a="1"/>
  <c r="D4379" i="3" a="1"/>
  <c r="D2928" i="3" a="1"/>
  <c r="D3245" i="3" a="1"/>
  <c r="D4207" i="3" a="1"/>
  <c r="D3596" i="3" a="1"/>
  <c r="D3503" i="3" a="1"/>
  <c r="D4014" i="3" a="1"/>
  <c r="D4604" i="3" a="1"/>
  <c r="D3045" i="3" a="1"/>
  <c r="D2914" i="3" a="1"/>
  <c r="D4215" i="3" a="1"/>
  <c r="D2953" i="3" a="1"/>
  <c r="D3532" i="3" a="1"/>
  <c r="D3322" i="3" a="1"/>
  <c r="D3710" i="3" a="1"/>
  <c r="D3516" i="3" a="1"/>
  <c r="D4500" i="3" a="1"/>
  <c r="D3924" i="3" a="1"/>
  <c r="D4577" i="3" a="1"/>
  <c r="D3793" i="3" a="1"/>
  <c r="D3158" i="3" a="1"/>
  <c r="D3064" i="3" a="1"/>
  <c r="D3150" i="3" a="1"/>
  <c r="D2215" i="3" a="1"/>
  <c r="D3144" i="3" a="1"/>
  <c r="D3048" i="3" a="1"/>
  <c r="D4005" i="3" a="1"/>
  <c r="D4273" i="3" a="1"/>
  <c r="D3195" i="3" a="1"/>
  <c r="D4624" i="3" a="1"/>
  <c r="D4101" i="3" a="1"/>
  <c r="D4396" i="3" a="1"/>
  <c r="D4280" i="3" a="1"/>
  <c r="D3673" i="3" a="1"/>
  <c r="D3169" i="3" a="1"/>
  <c r="D4157" i="3" a="1"/>
  <c r="D3801" i="3" a="1"/>
  <c r="D4372" i="3" a="1"/>
  <c r="D3017" i="3" a="1"/>
  <c r="D4374" i="3" a="1"/>
  <c r="D2577" i="3" a="1"/>
  <c r="D3404" i="3" a="1"/>
  <c r="D4430" i="3" a="1"/>
  <c r="D3614" i="3" a="1"/>
  <c r="D4432" i="3" a="1"/>
  <c r="D4092" i="3" a="1"/>
  <c r="D3514" i="3" a="1"/>
  <c r="D3020" i="3" a="1"/>
  <c r="D4445" i="3" a="1"/>
  <c r="D4446" i="3" a="1"/>
  <c r="D4381" i="3" a="1"/>
  <c r="D3232" i="3" a="1"/>
  <c r="D4279" i="3" a="1"/>
  <c r="D4546" i="3" a="1"/>
  <c r="D3135" i="3" a="1"/>
  <c r="D3272" i="3" a="1"/>
  <c r="D4503" i="3" a="1"/>
  <c r="D4214" i="3" a="1"/>
  <c r="D3690" i="3" a="1"/>
  <c r="D3268" i="3" a="1"/>
  <c r="D3761" i="3" a="1"/>
  <c r="D4147" i="3" a="1"/>
  <c r="D3803" i="3" a="1"/>
  <c r="D3952" i="3" a="1"/>
  <c r="D3160" i="3" a="1"/>
  <c r="D3672" i="3" a="1"/>
  <c r="D3695" i="3" a="1"/>
  <c r="D3067" i="3" a="1"/>
  <c r="D3689" i="3" a="1"/>
  <c r="D4283" i="3" a="1"/>
  <c r="D4468" i="3" a="1"/>
  <c r="D2837" i="3" a="1"/>
  <c r="D3175" i="3" a="1"/>
  <c r="D4462" i="3" a="1"/>
  <c r="D4520" i="3" a="1"/>
  <c r="D4561" i="3" a="1"/>
  <c r="D3625" i="3" a="1"/>
  <c r="D3791" i="3" a="1"/>
  <c r="D3325" i="3" a="1"/>
  <c r="D3254" i="3" a="1"/>
  <c r="D3704" i="3" a="1"/>
  <c r="D4116" i="3" a="1"/>
  <c r="D4361" i="3" a="1"/>
  <c r="D2964" i="3" a="1"/>
  <c r="D4382" i="3" a="1"/>
  <c r="D2217" i="3" a="1"/>
  <c r="D4407" i="3" a="1"/>
  <c r="D3526" i="3" a="1"/>
  <c r="D3123" i="3" a="1"/>
  <c r="D3946" i="3" a="1"/>
  <c r="D3589" i="3" a="1"/>
  <c r="D4439" i="3" a="1"/>
  <c r="D4443" i="3" a="1"/>
  <c r="D4264" i="3" a="1"/>
  <c r="D3515" i="3" a="1"/>
  <c r="D4388" i="3" a="1"/>
  <c r="D4145" i="3" a="1"/>
  <c r="D3800" i="3" a="1"/>
  <c r="D4237" i="3" a="1"/>
  <c r="D3702" i="3" a="1"/>
  <c r="D4569" i="3" a="1"/>
  <c r="D4471" i="3" a="1"/>
  <c r="D4109" i="3" a="1"/>
  <c r="D3301" i="3" a="1"/>
  <c r="D2956" i="3" a="1"/>
  <c r="D4392" i="3" a="1"/>
  <c r="D4484" i="3" a="1"/>
  <c r="D4551" i="3" a="1"/>
  <c r="D3935" i="3" a="1"/>
  <c r="D3244" i="3" a="1"/>
  <c r="D4412" i="3" a="1"/>
  <c r="D3439" i="3" a="1"/>
  <c r="D2101" i="3" a="1"/>
  <c r="D4187" i="3" a="1"/>
  <c r="D3269" i="3" a="1"/>
  <c r="D3177" i="3" a="1"/>
  <c r="D2957" i="3" a="1"/>
  <c r="D4130" i="3" a="1"/>
  <c r="D4498" i="3" a="1"/>
  <c r="D2919" i="3" a="1"/>
  <c r="D4586" i="3" a="1"/>
  <c r="D3686" i="3" a="1"/>
  <c r="D4243" i="3" a="1"/>
  <c r="D3294" i="3" a="1"/>
  <c r="D3039" i="3" a="1"/>
  <c r="D4472" i="3" a="1"/>
  <c r="D4490" i="3" a="1"/>
  <c r="D4162" i="3" a="1"/>
  <c r="D3159" i="3" a="1"/>
  <c r="D3076" i="3" a="1"/>
  <c r="D4499" i="3" a="1"/>
  <c r="D3295" i="3" a="1"/>
  <c r="D4161" i="3" a="1"/>
  <c r="D4108" i="3" a="1"/>
  <c r="D3917" i="3" a="1"/>
  <c r="D3950" i="3" a="1"/>
  <c r="D4597" i="3" a="1"/>
  <c r="D4431" i="3" a="1"/>
  <c r="D3407" i="3" a="1"/>
  <c r="D4160" i="3" a="1"/>
  <c r="D3287" i="3" a="1"/>
  <c r="D2342" i="3" a="1"/>
  <c r="D4579" i="3" a="1"/>
  <c r="D3278" i="3" a="1"/>
  <c r="D2995" i="3" a="1"/>
  <c r="D3794" i="3" a="1"/>
  <c r="D3246" i="3" a="1"/>
  <c r="D4610" i="3" a="1"/>
  <c r="D4024" i="3" a="1"/>
  <c r="D4589" i="3" a="1"/>
  <c r="D3344" i="3" a="1"/>
  <c r="D3038" i="3" a="1"/>
  <c r="D2988" i="3" a="1"/>
  <c r="D3610" i="3" a="1"/>
  <c r="D4191" i="3" a="1"/>
  <c r="D3708" i="3" a="1"/>
  <c r="D4631" i="3" a="1"/>
  <c r="D4134" i="3" a="1"/>
  <c r="D4606" i="3" a="1"/>
  <c r="D4402" i="3" a="1"/>
  <c r="D3421" i="3" a="1"/>
  <c r="D3531" i="3" a="1"/>
  <c r="D2976" i="3" a="1"/>
  <c r="D3598" i="3" a="1"/>
  <c r="D3164" i="3" a="1"/>
  <c r="D4405" i="3" a="1"/>
  <c r="D4218" i="3" a="1"/>
  <c r="D4001" i="3" a="1"/>
  <c r="D3763" i="3" a="1"/>
  <c r="D4124" i="3" a="1"/>
  <c r="D4167" i="3" a="1"/>
  <c r="D3493" i="3" a="1"/>
  <c r="D4008" i="3" a="1"/>
  <c r="D4440" i="3" a="1"/>
  <c r="D4600" i="3" a="1"/>
  <c r="D4395" i="3" a="1"/>
  <c r="D3182" i="3" a="1"/>
  <c r="D4480" i="3" a="1"/>
  <c r="D3792" i="3" a="1"/>
  <c r="D3343" i="3" a="1"/>
  <c r="D3592" i="3" a="1"/>
  <c r="D3352" i="3" a="1"/>
  <c r="D3166" i="3" a="1"/>
  <c r="D2213" i="3" a="1"/>
  <c r="D3507" i="3" a="1"/>
  <c r="D3403" i="3" a="1"/>
  <c r="D3180" i="3" a="1"/>
  <c r="D3225" i="3" a="1"/>
  <c r="D3445" i="3" a="1"/>
  <c r="D4263" i="3" a="1"/>
  <c r="D4489" i="3" a="1"/>
  <c r="D4128" i="3" a="1"/>
  <c r="D2952" i="3" a="1"/>
  <c r="D3351" i="3" a="1"/>
  <c r="D4039" i="3" a="1"/>
  <c r="D2339" i="3" a="1"/>
  <c r="D3525" i="3" a="1"/>
  <c r="D3789" i="3" a="1"/>
  <c r="D2570" i="3" a="1"/>
  <c r="D4192" i="3" a="1"/>
  <c r="D3318" i="3" a="1"/>
  <c r="D2099" i="3" a="1"/>
  <c r="D3675" i="3" a="1"/>
  <c r="D4425" i="3" a="1"/>
  <c r="D4475" i="3" a="1"/>
  <c r="D3349" i="3" a="1"/>
  <c r="D4196" i="3" a="1"/>
  <c r="D4004" i="3" a="1"/>
  <c r="D3438" i="3" a="1"/>
  <c r="D4483" i="3" a="1"/>
  <c r="D4365" i="3" a="1"/>
  <c r="D3109" i="3" a="1"/>
  <c r="D2582" i="3" a="1"/>
  <c r="D3620" i="3" a="1"/>
  <c r="D4199" i="3" a="1"/>
  <c r="D4399" i="3" a="1"/>
  <c r="D4424" i="3" a="1"/>
  <c r="D4234" i="3" a="1"/>
  <c r="D3619" i="3" a="1"/>
  <c r="D3581" i="3" a="1"/>
  <c r="D4485" i="3" a="1"/>
  <c r="D3608" i="3" a="1"/>
  <c r="D3712" i="3" a="1"/>
  <c r="D3414" i="3" a="1"/>
  <c r="D2992" i="3" a="1"/>
  <c r="D2699" i="3" a="1"/>
  <c r="D3423" i="3" a="1"/>
  <c r="D3089" i="3" a="1"/>
  <c r="D4537" i="3" a="1"/>
  <c r="D4246" i="3" a="1"/>
  <c r="D3198" i="3" a="1"/>
  <c r="D4139" i="3" a="1"/>
  <c r="D3324" i="3" a="1"/>
  <c r="D3070" i="3" a="1"/>
  <c r="D3057" i="3" a="1"/>
  <c r="D4020" i="3" a="1"/>
  <c r="D2695" i="3" a="1"/>
  <c r="D3025" i="3" a="1"/>
  <c r="D4415" i="3" a="1"/>
  <c r="D2696" i="3" a="1"/>
  <c r="D3534" i="3" a="1"/>
  <c r="D3412" i="3" a="1"/>
  <c r="D3265" i="3" a="1"/>
  <c r="D3055" i="3" a="1"/>
  <c r="D3780" i="3" a="1"/>
  <c r="D3677" i="3" a="1"/>
  <c r="D2989" i="3" a="1"/>
  <c r="D4545" i="3" a="1"/>
  <c r="D3099" i="3" a="1"/>
  <c r="D3104" i="3" a="1"/>
  <c r="D4626" i="3" a="1"/>
  <c r="D4554" i="3" a="1"/>
  <c r="D4535" i="3" a="1"/>
  <c r="D3073" i="3" a="1"/>
  <c r="D4422" i="3" a="1"/>
  <c r="D3311" i="3" a="1"/>
  <c r="D3196" i="3" a="1"/>
  <c r="D4614" i="3" a="1"/>
  <c r="D2698" i="3" a="1"/>
  <c r="D2920" i="3" a="1"/>
  <c r="D3224" i="3" a="1"/>
  <c r="D2927" i="3" a="1"/>
  <c r="D2406" i="3" a="1"/>
  <c r="D3781" i="3" a="1"/>
  <c r="D3615" i="3" a="1"/>
  <c r="D3142" i="3" a="1"/>
  <c r="D3618" i="3" a="1"/>
  <c r="D3242" i="3" a="1"/>
  <c r="D2902" i="3" a="1"/>
  <c r="D3068" i="3" a="1"/>
  <c r="D3773" i="3" a="1"/>
  <c r="D2969" i="3" a="1"/>
  <c r="D4511" i="3" a="1"/>
  <c r="D3061" i="3" a="1"/>
  <c r="D4027" i="3" a="1"/>
  <c r="D3769" i="3" a="1"/>
  <c r="D4401" i="3" a="1"/>
  <c r="D4571" i="3" a="1"/>
  <c r="D4255" i="3" a="1"/>
  <c r="D3092" i="3" a="1"/>
  <c r="D4221" i="3" a="1"/>
  <c r="D4630" i="3" a="1"/>
  <c r="D3698" i="3" a="1"/>
  <c r="D3077" i="3" a="1"/>
  <c r="D4581" i="3" a="1"/>
  <c r="D3771" i="3" a="1"/>
  <c r="D4456" i="3" a="1"/>
  <c r="D3429" i="3" a="1"/>
  <c r="D4111" i="3" a="1"/>
  <c r="D3501" i="3" a="1"/>
  <c r="D3779" i="3" a="1"/>
  <c r="D4268" i="3" a="1"/>
  <c r="D4244" i="3" a="1"/>
  <c r="D3050" i="3" a="1"/>
  <c r="D4018" i="3" a="1"/>
  <c r="D4012" i="3" a="1"/>
  <c r="D3044" i="3" a="1"/>
  <c r="D4216" i="3" a="1"/>
  <c r="D2092" i="3" a="1"/>
  <c r="D4370" i="3" a="1"/>
  <c r="D4557" i="3" a="1"/>
  <c r="D4429" i="3" a="1"/>
  <c r="D3492" i="3" a="1"/>
  <c r="D3416" i="3" a="1"/>
  <c r="D3588" i="3" a="1"/>
  <c r="D3125" i="3" a="1"/>
  <c r="D3035" i="3" a="1"/>
  <c r="D4140" i="3" a="1"/>
  <c r="D3189" i="3" a="1"/>
  <c r="D4369" i="3" a="1"/>
  <c r="D3595" i="3" a="1"/>
  <c r="D4495" i="3" a="1"/>
  <c r="D3028" i="3" a="1"/>
  <c r="D4166" i="3" a="1"/>
  <c r="D4117" i="3" a="1"/>
  <c r="D3427" i="3" a="1"/>
  <c r="D3151" i="3" a="1"/>
  <c r="D4645" i="3" a="1"/>
  <c r="D4148" i="3" a="1"/>
  <c r="D4394" i="3" a="1"/>
  <c r="D3939" i="3" a="1"/>
  <c r="D3713" i="3" a="1"/>
  <c r="D3162" i="3" a="1"/>
  <c r="D4508" i="3" a="1"/>
  <c r="D3255" i="3" a="1"/>
  <c r="D4591" i="3" a="1"/>
  <c r="D3299" i="3" a="1"/>
  <c r="D2967" i="3" a="1"/>
  <c r="D4122" i="3" a="1"/>
  <c r="D4041" i="3" a="1"/>
  <c r="D2986" i="3" a="1"/>
  <c r="D4411" i="3" a="1"/>
  <c r="D4094" i="3" a="1"/>
  <c r="D3297" i="3" a="1"/>
  <c r="D3165" i="3" a="1"/>
  <c r="D3953" i="3" a="1"/>
  <c r="D4461" i="3" a="1"/>
  <c r="D3517" i="3" a="1"/>
  <c r="D3152" i="3" a="1"/>
  <c r="D2093" i="3" a="1"/>
  <c r="D2574" i="3" a="1"/>
  <c r="D2827" i="3" a="1"/>
  <c r="D2341" i="3" a="1"/>
  <c r="D3601" i="3" a="1"/>
  <c r="D3495" i="3" a="1"/>
  <c r="D3149" i="3" a="1"/>
  <c r="D4533" i="3" a="1"/>
  <c r="D4238" i="3" a="1"/>
  <c r="D2100" i="3" a="1"/>
  <c r="D4479" i="3" a="1"/>
  <c r="D4100" i="3" a="1"/>
  <c r="D3317" i="3" a="1"/>
  <c r="D2701" i="3" a="1"/>
  <c r="D4220" i="3" a="1"/>
  <c r="D4177" i="3" a="1"/>
  <c r="D3936" i="3" a="1"/>
  <c r="D4454" i="3" a="1"/>
  <c r="D3942" i="3" a="1"/>
  <c r="D3775" i="3" a="1"/>
  <c r="D3697" i="3" a="1"/>
  <c r="D4040" i="3" a="1"/>
  <c r="D4241" i="3" a="1"/>
  <c r="D3529" i="3" a="1"/>
  <c r="D4123" i="3" a="1"/>
  <c r="D4559" i="3" a="1"/>
  <c r="D3136" i="3" a="1"/>
  <c r="D2331" i="3" a="1"/>
  <c r="D3934" i="3" a="1"/>
  <c r="D3406" i="3" a="1"/>
  <c r="D4409" i="3" a="1"/>
  <c r="D2906" i="3" a="1"/>
  <c r="D3234" i="3" a="1"/>
  <c r="D3533" i="3" a="1"/>
  <c r="D3530" i="3" a="1"/>
  <c r="D4154" i="3" a="1"/>
  <c r="D3130" i="3" a="1"/>
  <c r="D4641" i="3" a="1"/>
  <c r="D4034" i="3" a="1"/>
  <c r="D3699" i="3" a="1"/>
  <c r="D4572" i="3" a="1"/>
  <c r="D3315" i="3" a="1"/>
  <c r="D2978" i="3" a="1"/>
  <c r="D3346" i="3" a="1"/>
  <c r="D3215" i="3" a="1"/>
  <c r="D4028" i="3" a="1"/>
  <c r="D2900" i="3" a="1"/>
  <c r="D3027" i="3" a="1"/>
  <c r="D3163" i="3" a="1"/>
  <c r="D4022" i="3" a="1"/>
  <c r="D2098" i="3" a="1"/>
  <c r="D3433" i="3" a="1"/>
  <c r="D4622" i="3" a="1"/>
  <c r="D3945" i="3" a="1"/>
  <c r="D4023" i="3" a="1"/>
  <c r="D4209" i="3" a="1"/>
  <c r="D4505" i="3" a="1"/>
  <c r="D4637" i="3" a="1"/>
  <c r="D4276" i="3" a="1"/>
  <c r="D4620" i="3" a="1"/>
  <c r="D4249" i="3" a="1"/>
  <c r="D4113" i="3" a="1"/>
  <c r="D4452" i="3" a="1"/>
  <c r="D4126" i="3" a="1"/>
  <c r="D4496" i="3" a="1"/>
  <c r="D3320" i="3" a="1"/>
  <c r="D4541" i="3" a="1"/>
  <c r="D3139" i="3" a="1"/>
  <c r="D4562" i="3" a="1"/>
  <c r="D4583" i="3" a="1"/>
  <c r="D3691" i="3" a="1"/>
  <c r="D2091" i="3" a="1"/>
  <c r="D4250" i="3" a="1"/>
  <c r="D4031" i="3" a="1"/>
  <c r="D3319" i="3" a="1"/>
  <c r="D4509" i="3" a="1"/>
  <c r="D4371" i="3" a="1"/>
  <c r="D3347" i="3" a="1"/>
  <c r="D4435" i="3" a="1"/>
  <c r="D3231" i="3" a="1"/>
  <c r="D4042" i="3" a="1"/>
  <c r="D4550" i="3" a="1"/>
  <c r="D4527" i="3" a="1"/>
  <c r="D3599" i="3" a="1"/>
  <c r="D3114" i="3" a="1"/>
  <c r="D4565" i="3" a="1"/>
  <c r="D3948" i="3" a="1"/>
  <c r="D3425" i="3" a="1"/>
  <c r="D4492" i="3" a="1"/>
  <c r="D4522" i="3" a="1"/>
  <c r="D3782" i="3" a="1"/>
  <c r="D4389" i="3" a="1"/>
  <c r="D3143" i="3" a="1"/>
  <c r="D3707" i="3" a="1"/>
  <c r="D4629" i="3" a="1"/>
  <c r="D3032" i="3" a="1"/>
  <c r="D4634" i="3" a="1"/>
  <c r="D2580" i="3" a="1"/>
  <c r="D4632" i="3" a="1"/>
  <c r="D3271" i="3" a="1"/>
  <c r="D4131" i="3" a="1"/>
  <c r="D4260" i="3" a="1"/>
  <c r="D3930" i="3" a="1"/>
  <c r="D4517" i="3" a="1"/>
  <c r="D4387" i="3" a="1"/>
  <c r="D4163" i="3" a="1"/>
  <c r="D3075" i="3" a="1"/>
  <c r="D3072" i="3" a="1"/>
  <c r="D3504" i="3" a="1"/>
  <c r="D2697" i="3" a="1"/>
  <c r="D3505" i="3" a="1"/>
  <c r="D4231" i="3" a="1"/>
  <c r="D3796" i="3" a="1"/>
  <c r="D2903" i="3" a="1"/>
  <c r="D4206" i="3" a="1"/>
  <c r="D3933" i="3" a="1"/>
  <c r="D3078" i="3" a="1"/>
  <c r="D3091" i="3" a="1"/>
  <c r="D2212" i="3" a="1"/>
  <c r="D3094" i="3" a="1"/>
  <c r="D3804" i="3" a="1"/>
  <c r="D4580" i="3" a="1"/>
  <c r="D3279" i="3" a="1"/>
  <c r="D2918" i="3" a="1"/>
  <c r="D4451" i="3" a="1"/>
  <c r="D4185" i="3" a="1"/>
  <c r="D4190" i="3" a="1"/>
  <c r="D4151" i="3" a="1"/>
  <c r="D3192" i="3" a="1"/>
  <c r="D3141" i="3" a="1"/>
  <c r="D3316" i="3" a="1"/>
  <c r="D3300" i="3" a="1"/>
  <c r="D2417" i="3" a="1"/>
  <c r="D4015" i="3" a="1"/>
  <c r="D3223" i="3" a="1"/>
  <c r="D3709" i="3" a="1"/>
  <c r="D4228" i="3" a="1"/>
  <c r="D3762" i="3" a="1"/>
  <c r="D3118" i="3" a="1"/>
  <c r="D3137" i="3" a="1"/>
  <c r="D3705" i="3" a="1"/>
  <c r="D2972" i="3" a="1"/>
  <c r="D3014" i="3" a="1"/>
  <c r="D4502" i="3" a="1"/>
  <c r="D3179" i="3" a="1"/>
  <c r="D2222" i="3" a="1"/>
  <c r="D4584" i="3" a="1"/>
  <c r="D3273" i="3" a="1"/>
  <c r="D3696" i="3" a="1"/>
  <c r="D2216" i="3" a="1"/>
  <c r="D3306" i="3" a="1"/>
  <c r="D4204" i="3" a="1"/>
  <c r="D4164" i="3" a="1"/>
  <c r="D4010" i="3" a="1"/>
  <c r="D4558" i="3" a="1"/>
  <c r="D3083" i="3" a="1"/>
  <c r="D4643" i="3" a="1"/>
  <c r="D3440" i="3" a="1"/>
  <c r="D4208" i="3" a="1"/>
  <c r="D4227" i="3" a="1"/>
  <c r="D3203" i="3" a="1"/>
  <c r="D4007" i="3" a="1"/>
  <c r="D3096" i="3" a="1"/>
  <c r="D4137" i="3" a="1"/>
  <c r="D3765" i="3" a="1"/>
  <c r="D3233" i="3" a="1"/>
  <c r="D4156" i="3" a="1"/>
  <c r="D3422" i="3" a="1"/>
  <c r="D2702" i="3" a="1"/>
  <c r="D4045" i="3" a="1"/>
  <c r="D4172" i="3" a="1"/>
  <c r="D4516" i="3" a="1"/>
  <c r="D3411" i="3" a="1"/>
  <c r="D2700" i="3" a="1"/>
  <c r="D3768" i="3" a="1"/>
  <c r="D3257" i="3" a="1"/>
  <c r="D2907" i="3" a="1"/>
  <c r="D3127" i="3" a="1"/>
  <c r="D4453" i="3" a="1"/>
  <c r="D4512" i="3" a="1"/>
  <c r="D3776" i="3" a="1"/>
  <c r="D2410" i="3" a="1"/>
  <c r="D4155" i="3" a="1"/>
  <c r="D3310" i="3" a="1"/>
  <c r="D3402" i="3" a="1"/>
  <c r="D2219" i="3" a="1"/>
  <c r="D4183" i="3" a="1"/>
  <c r="D2836" i="3" a="1"/>
  <c r="D3508" i="3" a="1"/>
  <c r="D4174" i="3" a="1"/>
  <c r="D2904" i="3" a="1"/>
  <c r="D4419" i="3" a="1"/>
  <c r="D4180" i="3" a="1"/>
  <c r="D3772" i="3" a="1"/>
  <c r="D4284" i="3" a="1"/>
  <c r="D3267" i="3" a="1"/>
  <c r="D3024" i="3" a="1"/>
  <c r="D4397" i="3" a="1"/>
  <c r="D3778" i="3" a="1"/>
  <c r="D3074" i="3" a="1"/>
  <c r="D3605" i="3" a="1"/>
  <c r="D2409" i="3" a="1"/>
  <c r="D4219" i="3" a="1"/>
  <c r="D4560" i="3" a="1"/>
  <c r="D2958" i="3" a="1"/>
  <c r="D4469" i="3" a="1"/>
  <c r="D4501" i="3" a="1"/>
  <c r="D3036" i="3" a="1"/>
  <c r="D3258" i="3" a="1"/>
  <c r="D3134" i="3" a="1"/>
  <c r="D4617" i="3" a="1"/>
  <c r="D4487" i="3" a="1"/>
  <c r="D3923" i="3" a="1"/>
  <c r="D4450" i="3" a="1"/>
  <c r="D3784" i="3" a="1"/>
  <c r="D4640" i="3" a="1"/>
  <c r="D3798" i="3" a="1"/>
  <c r="D3147" i="3" a="1"/>
  <c r="D4036" i="3" a="1"/>
  <c r="D4152" i="3" a="1"/>
  <c r="D3590" i="3" a="1"/>
  <c r="D3524" i="3" a="1"/>
  <c r="D3060" i="3" a="1"/>
  <c r="D4176" i="3" a="1"/>
  <c r="D3187" i="3" a="1"/>
  <c r="D3715" i="3" a="1"/>
  <c r="D3512" i="3" a="1"/>
  <c r="D4441" i="3" a="1"/>
  <c r="D4143" i="3" a="1"/>
  <c r="D3304" i="3" a="1"/>
  <c r="D4385" i="3" a="1"/>
  <c r="D4193" i="3" a="1"/>
  <c r="D2579" i="3" a="1"/>
  <c r="D3066" i="3" a="1"/>
  <c r="D3174" i="3" a="1"/>
  <c r="D3509" i="3" a="1"/>
  <c r="D3354" i="3" a="1"/>
  <c r="D2974" i="3" a="1"/>
  <c r="D4611" i="3" a="1"/>
  <c r="D2925" i="3" a="1"/>
  <c r="D4459" i="3" a="1"/>
  <c r="D4433" i="3" a="1"/>
  <c r="D3606" i="3" a="1"/>
  <c r="D4466" i="3" a="1"/>
  <c r="D3015" i="3" a="1"/>
  <c r="D4539" i="3" a="1"/>
  <c r="D4403" i="3" a="1"/>
  <c r="D4252" i="3" a="1"/>
  <c r="D4436" i="3" a="1"/>
  <c r="D3767" i="3" a="1"/>
  <c r="D4030" i="3" a="1"/>
  <c r="D4248" i="3" a="1"/>
  <c r="D3220" i="3" a="1"/>
  <c r="D2693" i="3" a="1"/>
  <c r="D2337" i="3" a="1"/>
  <c r="D3314" i="3" a="1"/>
  <c r="D2910" i="3" a="1"/>
  <c r="D4097" i="3" a="1"/>
  <c r="D3046" i="3" a="1"/>
  <c r="D4285" i="3" a="1"/>
  <c r="D3916" i="3" a="1"/>
  <c r="D3121" i="3" a="1"/>
  <c r="D3012" i="3" a="1"/>
  <c r="D4465" i="3" a="1"/>
  <c r="D4364" i="3" a="1"/>
  <c r="D4575" i="3" a="1"/>
  <c r="D3682" i="3" a="1"/>
  <c r="D3502" i="3" a="1"/>
  <c r="D2912" i="3" a="1"/>
  <c r="D3293" i="3" a="1"/>
  <c r="D3282" i="3" a="1"/>
  <c r="D4568" i="3" a="1"/>
  <c r="D4165" i="3" a="1"/>
  <c r="D3240" i="3" a="1"/>
  <c r="D3183" i="3" a="1"/>
  <c r="D2970" i="3" a="1"/>
  <c r="D3323" i="3" a="1"/>
  <c r="D4366" i="3" a="1"/>
  <c r="D3276" i="3" a="1"/>
  <c r="D3071" i="3" a="1"/>
  <c r="D3703" i="3" a="1"/>
  <c r="D2413" i="3" a="1"/>
  <c r="D3227" i="3" a="1"/>
  <c r="D4555" i="3" a="1"/>
  <c r="D2924" i="3" a="1"/>
  <c r="D3313" i="3" a="1"/>
  <c r="D3312" i="3" a="1"/>
  <c r="D4254" i="3" a="1"/>
  <c r="D3105" i="3" a="1"/>
  <c r="D3783" i="3" a="1"/>
  <c r="D4602" i="3" a="1"/>
  <c r="D3103" i="3" a="1"/>
  <c r="D2968" i="3" a="1"/>
  <c r="D3124" i="3" a="1"/>
  <c r="D3034" i="3" a="1"/>
  <c r="D3270" i="3" a="1"/>
  <c r="D4556" i="3" a="1"/>
  <c r="D4107" i="3" a="1"/>
  <c r="D3209" i="3" a="1"/>
  <c r="D2223" i="3" a="1"/>
  <c r="D3941" i="3" a="1"/>
  <c r="D4120" i="3" a="1"/>
  <c r="D4110" i="3" a="1"/>
  <c r="D3609" i="3" a="1"/>
  <c r="D4103" i="3" a="1"/>
  <c r="D3799" i="3" a="1"/>
  <c r="D4195" i="3" a="1"/>
  <c r="D3170" i="3" a="1"/>
  <c r="D4515" i="3" a="1"/>
  <c r="D4282" i="3" a="1"/>
  <c r="D4153" i="3" a="1"/>
  <c r="D2962" i="3" a="1"/>
  <c r="D3117" i="3" a="1"/>
  <c r="D2692" i="3" a="1"/>
  <c r="D3238" i="3" a="1"/>
  <c r="D2984" i="3" a="1"/>
  <c r="D4427" i="3" a="1"/>
  <c r="D4002" i="3" a="1"/>
  <c r="D4567" i="3" a="1"/>
  <c r="D2993" i="3" a="1"/>
  <c r="D4543" i="3" a="1"/>
  <c r="D4239" i="3" a="1"/>
  <c r="D4253" i="3" a="1"/>
  <c r="D4553" i="3" a="1"/>
  <c r="D4408" i="3" a="1"/>
  <c r="D3199" i="3" a="1"/>
  <c r="D4423" i="3" a="1"/>
  <c r="D3185" i="3" a="1"/>
  <c r="D3043" i="3" a="1"/>
  <c r="D3919" i="3" a="1"/>
  <c r="D4563" i="3" a="1"/>
  <c r="D2829" i="3" a="1"/>
  <c r="D4127" i="3" a="1"/>
  <c r="D4013" i="3" a="1"/>
  <c r="D3925" i="3" a="1"/>
  <c r="D3062" i="3" a="1"/>
  <c r="D3208" i="3" a="1"/>
  <c r="D4524" i="3" a="1"/>
  <c r="D2691" i="3" a="1"/>
  <c r="D3052" i="3" a="1"/>
  <c r="D3623" i="3" a="1"/>
  <c r="D3418" i="3" a="1"/>
  <c r="D3171" i="3" a="1"/>
  <c r="D4119" i="3" a="1"/>
  <c r="D3172" i="3" a="1"/>
  <c r="D4267" i="3" a="1"/>
  <c r="D4181" i="3" a="1"/>
  <c r="D3241" i="3" a="1"/>
  <c r="D4182" i="3" a="1"/>
  <c r="D4247" i="3" a="1"/>
  <c r="D3243" i="3" a="1"/>
  <c r="D4093" i="3" a="1"/>
  <c r="D4504" i="3" a="1"/>
  <c r="D2094" i="3" a="1"/>
  <c r="D3280" i="3" a="1"/>
  <c r="D4202" i="3" a="1"/>
  <c r="D4125" i="3" a="1"/>
  <c r="D4494" i="3" a="1"/>
  <c r="D3154" i="3" a="1"/>
  <c r="D3016" i="3" a="1"/>
  <c r="D3594" i="3" a="1"/>
  <c r="D3912" i="3" a="1"/>
  <c r="D2333" i="3" a="1"/>
  <c r="D3132" i="3" a="1"/>
  <c r="D2581" i="3" a="1"/>
  <c r="D3214" i="3" a="1"/>
  <c r="D2221" i="3" a="1"/>
  <c r="D3506" i="3" a="1"/>
  <c r="D4628" i="3" a="1"/>
  <c r="D4605" i="3" a="1"/>
  <c r="D3949" i="3" a="1"/>
  <c r="D4434" i="3" a="1"/>
  <c r="D4386" i="3" a="1"/>
  <c r="D2102" i="3" a="1"/>
  <c r="D2090" i="3" a="1"/>
  <c r="D3263" i="3" a="1"/>
  <c r="D3913" i="3" a="1"/>
  <c r="D3018" i="3" a="1"/>
  <c r="D4098" i="3" a="1"/>
  <c r="D4457" i="3" a="1"/>
  <c r="D3082" i="3" a="1"/>
  <c r="D3777" i="3" a="1"/>
  <c r="D3228" i="3" a="1"/>
  <c r="D4595" i="3" a="1"/>
  <c r="D3434" i="3" a="1"/>
  <c r="D4029" i="3" a="1"/>
  <c r="D3432" i="3" a="1"/>
  <c r="D4135" i="3" a="1"/>
  <c r="D3054" i="3" a="1"/>
  <c r="D3309" i="3" a="1"/>
  <c r="D3249" i="3" a="1"/>
  <c r="D3275" i="3" a="1"/>
  <c r="D4240" i="3" a="1"/>
  <c r="D2211" i="3" a="1"/>
  <c r="D4444" i="3" a="1"/>
  <c r="D4222" i="3" a="1"/>
  <c r="D2955" i="3" a="1"/>
  <c r="D3617" i="3" a="1"/>
  <c r="D4528" i="3" a="1"/>
  <c r="D4129" i="3" a="1"/>
  <c r="D4448" i="3" a="1"/>
  <c r="D4574" i="3" a="1"/>
  <c r="D4625" i="3" a="1"/>
  <c r="D2418" i="3" a="1"/>
  <c r="D4616" i="3" a="1"/>
  <c r="D3042" i="3" a="1"/>
  <c r="D4470" i="3" a="1"/>
  <c r="D3603" i="3" a="1"/>
  <c r="D3927" i="3" a="1"/>
  <c r="D3611" i="3" a="1"/>
  <c r="D3583" i="3" a="1"/>
  <c r="D3597" i="3" a="1"/>
  <c r="D4544" i="3" a="1"/>
  <c r="D4530" i="3" a="1"/>
  <c r="D4488" i="3" a="1"/>
  <c r="D2334" i="3" a="1"/>
  <c r="D4486" i="3" a="1"/>
  <c r="D4447" i="3" a="1"/>
  <c r="D4391" i="3" a="1"/>
  <c r="D3420" i="3" a="1"/>
  <c r="D4141" i="3" a="1"/>
  <c r="D3496" i="3" a="1"/>
  <c r="D3944" i="3" a="1"/>
  <c r="D2973" i="3" a="1"/>
  <c r="D4449" i="3" a="1"/>
  <c r="D2963" i="3" a="1"/>
  <c r="D4455" i="3" a="1"/>
  <c r="D3140" i="3" a="1"/>
  <c r="D3194" i="3" a="1"/>
  <c r="D4534" i="3" a="1"/>
  <c r="D3252" i="3" a="1"/>
  <c r="D3350" i="3" a="1"/>
  <c r="D3049" i="3" a="1"/>
  <c r="D4256" i="3" a="1"/>
  <c r="D4188" i="3" a="1"/>
  <c r="D3410" i="3" a="1"/>
  <c r="D4376" i="3" a="1"/>
  <c r="D4636" i="3" a="1"/>
  <c r="D2977" i="3" a="1"/>
  <c r="D3616" i="3" a="1"/>
  <c r="D4245" i="3" a="1"/>
  <c r="D3108" i="3" a="1"/>
  <c r="D4043" i="3" a="1"/>
  <c r="D3230" i="3" a="1"/>
  <c r="D2336" i="3" a="1"/>
  <c r="D4032" i="3" a="1"/>
  <c r="D4142" i="3" a="1"/>
  <c r="D2335" i="3" a="1"/>
  <c r="D3535" i="3" a="1"/>
  <c r="D2954" i="3" a="1"/>
  <c r="D3770" i="3" a="1"/>
  <c r="D4587" i="3" a="1"/>
  <c r="D3587" i="3" a="1"/>
  <c r="D4570" i="3" a="1"/>
  <c r="D3797" i="3" a="1"/>
  <c r="D3029" i="3" a="1"/>
  <c r="D3153" i="3" a="1"/>
  <c r="D3494" i="3" a="1"/>
  <c r="D4133" i="3" a="1"/>
  <c r="D4482" i="3" a="1"/>
  <c r="D4474" i="3" a="1"/>
  <c r="D3201" i="3" a="1"/>
  <c r="D3107" i="3" a="1"/>
  <c r="D3229" i="3" a="1"/>
  <c r="D2828" i="3" a="1"/>
  <c r="D3714" i="3" a="1"/>
  <c r="D2965" i="3" a="1"/>
  <c r="D3436" i="3" a="1"/>
  <c r="D4203" i="3" a="1"/>
  <c r="D3785" i="3" a="1"/>
  <c r="D2576" i="3" a="1"/>
  <c r="D4198" i="3" a="1"/>
  <c r="D3348" i="3" a="1"/>
  <c r="D3262" i="3" a="1"/>
  <c r="D3701" i="3" a="1"/>
  <c r="D4529" i="3" a="1"/>
  <c r="D2097" i="3" a="1"/>
  <c r="D2991" i="3" a="1"/>
  <c r="D2572" i="3" a="1"/>
  <c r="D3111" i="3" a="1"/>
  <c r="D4536" i="3" a="1"/>
  <c r="D3019" i="3" a="1"/>
  <c r="D4229" i="3" a="1"/>
  <c r="D3954" i="3" a="1"/>
  <c r="D4564" i="3" a="1"/>
  <c r="D4265" i="3" a="1"/>
  <c r="D3678" i="3" a="1"/>
  <c r="D4416" i="3" a="1"/>
  <c r="D4037" i="3" a="1"/>
  <c r="D4118" i="3" a="1"/>
  <c r="D4460" i="3" a="1"/>
  <c r="D4158" i="3" a="1"/>
  <c r="D4623" i="3" a="1"/>
  <c r="D2838" i="3" a="1"/>
  <c r="D4173" i="3" a="1"/>
  <c r="D2922" i="3" a="1"/>
  <c r="D2990" i="3" a="1"/>
  <c r="D3190" i="3" a="1"/>
  <c r="D3303" i="3" a="1"/>
  <c r="D3430" i="3" a="1"/>
  <c r="D3155" i="3" a="1"/>
  <c r="D3940" i="3" a="1"/>
  <c r="D3938" i="3" a="1"/>
  <c r="D3692" i="3" a="1"/>
  <c r="D4598" i="3" a="1"/>
  <c r="D3211" i="3" a="1"/>
  <c r="D3145" i="3" a="1"/>
  <c r="D3612" i="3" a="1"/>
  <c r="D3342" i="3" a="1"/>
  <c r="D2575" i="3" a="1"/>
  <c r="D4400" i="3" a="1"/>
  <c r="D3680" i="3" a="1"/>
  <c r="D2415" i="3" a="1"/>
  <c r="D4506" i="3" a="1"/>
  <c r="D4144" i="3" a="1"/>
  <c r="D4464" i="3" a="1"/>
  <c r="D2917" i="3" a="1"/>
  <c r="D2915" i="3" a="1"/>
  <c r="D3289" i="3" a="1"/>
  <c r="D2921" i="3" a="1"/>
  <c r="D3415" i="3" a="1"/>
  <c r="D3405" i="3" a="1"/>
  <c r="D4463" i="3" a="1"/>
  <c r="D3059" i="3" a="1"/>
  <c r="D3955" i="3" a="1"/>
  <c r="D2830" i="3" a="1"/>
  <c r="D3679" i="3" a="1"/>
  <c r="D4639" i="3" a="1"/>
  <c r="D3305" i="3" a="1"/>
  <c r="D3915" i="3" a="1"/>
  <c r="D3671" i="3" a="1"/>
  <c r="D3097" i="3" a="1"/>
  <c r="D4212" i="3" a="1"/>
  <c r="D3102" i="3" a="1"/>
  <c r="D4189" i="3" a="1"/>
  <c r="D4514" i="3" a="1"/>
  <c r="D4491" i="3" a="1"/>
  <c r="D3178" i="3" a="1"/>
  <c r="D3129" i="3" a="1"/>
  <c r="D2913" i="3" a="1"/>
  <c r="D4044" i="3" a="1"/>
  <c r="D3210" i="3" a="1"/>
  <c r="D4404" i="3" a="1"/>
  <c r="D4635" i="3" a="1"/>
  <c r="D4095" i="3" a="1"/>
  <c r="D4531" i="3" a="1"/>
  <c r="D4205" i="3" a="1"/>
  <c r="D4363" i="3" a="1"/>
  <c r="D3013" i="3" a="1"/>
  <c r="D3080" i="3" a="1"/>
  <c r="D2834" i="3" a="1"/>
  <c r="D3202" i="3" a="1"/>
  <c r="D3931" i="3" a="1"/>
  <c r="D4102" i="3" a="1"/>
  <c r="D3424" i="3" a="1"/>
  <c r="D3302" i="3" a="1"/>
  <c r="D3947" i="3" a="1"/>
  <c r="D3284" i="3" a="1"/>
  <c r="D4548" i="3" a="1"/>
  <c r="D2985" i="3" a="1"/>
  <c r="D2980" i="3" a="1"/>
  <c r="D3122" i="3" a="1"/>
  <c r="D3292" i="3" a="1"/>
  <c r="D4159" i="3" a="1"/>
  <c r="D4609" i="3" a="1"/>
  <c r="D4615" i="3" a="1"/>
  <c r="D3213" i="3" a="1"/>
  <c r="D2412" i="3" a="1"/>
  <c r="D4418" i="3" a="1"/>
  <c r="D4521" i="3" a="1"/>
  <c r="D4025" i="3" a="1"/>
  <c r="D3250" i="3" a="1"/>
  <c r="D3926" i="3" a="1"/>
  <c r="D3693" i="3" a="1"/>
  <c r="D3417" i="3" a="1"/>
  <c r="D3204" i="3" a="1"/>
  <c r="D3148" i="3" a="1"/>
  <c r="D3914" i="3" a="1"/>
  <c r="D3207" i="3" a="1"/>
  <c r="D2332" i="3" a="1"/>
  <c r="D3918" i="3" a="1"/>
  <c r="D2095" i="3" a="1"/>
  <c r="D2338" i="3" a="1"/>
  <c r="D4274" i="3" a="1"/>
  <c r="D2411" i="3" a="1"/>
  <c r="D4194" i="3" a="1"/>
  <c r="D3031" i="3" a="1"/>
  <c r="D3435" i="3" a="1"/>
  <c r="D2905" i="3" a="1"/>
  <c r="D3683" i="3" a="1"/>
  <c r="D3084" i="3" a="1"/>
  <c r="D3181" i="3" a="1"/>
  <c r="D4375" i="3" a="1"/>
  <c r="D3419" i="3" a="1"/>
  <c r="D3051" i="3" a="1"/>
  <c r="D4362" i="3" a="1"/>
  <c r="D3217" i="3" a="1"/>
  <c r="D4428" i="3" a="1"/>
  <c r="D2987" i="3" a="1"/>
  <c r="D3520" i="3" a="1"/>
  <c r="D3120" i="3" a="1"/>
  <c r="D4493" i="3" a="1"/>
  <c r="D4618" i="3" a="1"/>
  <c r="D4601" i="3" a="1"/>
  <c r="D3085" i="3" a="1"/>
  <c r="D3911" i="3" a="1"/>
  <c r="D4213" i="3" a="1"/>
  <c r="D2826" i="3" a="1"/>
  <c r="D3498" i="3" a="1"/>
  <c r="D4226" i="3" a="1"/>
  <c r="D4458" i="3" a="1"/>
  <c r="D3115" i="3" a="1"/>
  <c r="D3341" i="3" a="1"/>
  <c r="D2908" i="3" a="1"/>
  <c r="D4373" i="3" a="1"/>
  <c r="D4417" i="3" a="1"/>
  <c r="D4096" i="3" a="1"/>
  <c r="D4642" i="3" a="1"/>
  <c r="D3676" i="3" a="1"/>
  <c r="D4266" i="3" a="1"/>
  <c r="D3408" i="3" a="1"/>
  <c r="D3226" i="3" a="1"/>
  <c r="D4406" i="3" a="1"/>
  <c r="D3261" i="3" a="1"/>
  <c r="D4590" i="3" a="1"/>
  <c r="D4281" i="3" a="1"/>
  <c r="D3113" i="3" a="1"/>
  <c r="D2220" i="3" a="1"/>
  <c r="D2835" i="3" a="1"/>
  <c r="D3401" i="3" a="1"/>
  <c r="D4026" i="3" a="1"/>
  <c r="D3239" i="3" a="1"/>
  <c r="D4378" i="3" a="1"/>
  <c r="D4478" i="3" a="1"/>
  <c r="D4573" i="3" a="1"/>
  <c r="D4006" i="3" a="1"/>
  <c r="D2833" i="3" a="1"/>
  <c r="D3030" i="3" a="1"/>
  <c r="D3711" i="3" a="1"/>
  <c r="D3253" i="3" a="1"/>
  <c r="D3786" i="3" a="1"/>
  <c r="D2694" i="3" a="1"/>
  <c r="D3065" i="3" a="1"/>
  <c r="D3443" i="3" a="1"/>
  <c r="D2960" i="3" a="1"/>
  <c r="D3622" i="3" a="1"/>
  <c r="D2916" i="3" a="1"/>
  <c r="D2343" i="3" a="1"/>
  <c r="D3766" i="3" a="1"/>
  <c r="D4477" i="3" a="1"/>
  <c r="D4224" i="3" a="1"/>
  <c r="D3023" i="3" a="1"/>
  <c r="D3600" i="3" a="1"/>
  <c r="D3943" i="3" a="1"/>
  <c r="D3929" i="3" a="1"/>
  <c r="D4011" i="3" a="1"/>
  <c r="D4009" i="3" a="1"/>
  <c r="D4169" i="3" a="1"/>
  <c r="D4592" i="3" a="1"/>
  <c r="D3700" i="3" a="1"/>
  <c r="D3764" i="3" a="1"/>
  <c r="D3022" i="3" a="1"/>
  <c r="D3593" i="3" a="1"/>
  <c r="D4467" i="3" a="1"/>
  <c r="D4035" i="3" a="1"/>
  <c r="D4420" i="3" a="1"/>
  <c r="D4438" i="3" a="1"/>
  <c r="D4526" i="3" a="1"/>
  <c r="D2340" i="3" a="1"/>
  <c r="D3219" i="3" a="1"/>
  <c r="D3090" i="3" a="1"/>
  <c r="D4437" i="3" a="1"/>
  <c r="D4132" i="3" a="1"/>
  <c r="D3037" i="3" a="1"/>
  <c r="D4596" i="3" a="1"/>
  <c r="D3321" i="3" a="1"/>
  <c r="D3264" i="3" a="1"/>
  <c r="D3431" i="3" a="1"/>
  <c r="D2408" i="3" a="1"/>
  <c r="D3802" i="3" a="1"/>
  <c r="D3920" i="3" a="1"/>
  <c r="D4232" i="3" a="1"/>
  <c r="D3442" i="3" a="1"/>
  <c r="D3353" i="3" a="1"/>
  <c r="D2909" i="3" a="1"/>
  <c r="D2330" i="3" a="1"/>
  <c r="D4242" i="3" a="1"/>
  <c r="D3197" i="3" a="1"/>
  <c r="D4525" i="3" a="1"/>
  <c r="D4627" i="3" a="1"/>
  <c r="D3218" i="3" a="1"/>
  <c r="D4619" i="3" a="1"/>
  <c r="D4104" i="3" a="1"/>
  <c r="D4201" i="3" a="1"/>
  <c r="D3413" i="3" a="1"/>
  <c r="D4197" i="3" a="1"/>
  <c r="D3307" i="3" a="1"/>
  <c r="D3237" i="3" a="1"/>
  <c r="D4380" i="3" a="1"/>
  <c r="D3790" i="3" a="1"/>
  <c r="D4217" i="3" a="1"/>
  <c r="D4519" i="3" a="1"/>
  <c r="D3624" i="3" a="1"/>
  <c r="D4542" i="3" a="1"/>
  <c r="D4138" i="3" a="1"/>
  <c r="D3205" i="3" a="1"/>
  <c r="D4275" i="3" a="1"/>
  <c r="D4608" i="3" a="1"/>
  <c r="D4017" i="3" a="1"/>
  <c r="D4112" i="3" a="1"/>
  <c r="D2414" i="3" a="1"/>
  <c r="D4576" i="3" a="1"/>
  <c r="D3437" i="3" a="1"/>
  <c r="D4393" i="3" a="1"/>
  <c r="D3298" i="3" a="1"/>
  <c r="D4398" i="3" a="1"/>
  <c r="D3706" i="3" a="1"/>
  <c r="D4582" i="3" a="1"/>
  <c r="D4223" i="3" a="1"/>
  <c r="D3788" i="3" a="1"/>
  <c r="D3687" i="3" a="1"/>
  <c r="D4016" i="3" a="1"/>
  <c r="D4269" i="3" a="1"/>
  <c r="D4612" i="3" a="1"/>
  <c r="D3511" i="3" a="1"/>
  <c r="D3441" i="3" a="1"/>
  <c r="D4225" i="3" a="1"/>
  <c r="D3184" i="3" a="1"/>
  <c r="D3521" i="3" a="1"/>
  <c r="D3922" i="3" a="1"/>
  <c r="D2571" i="3" a="1"/>
  <c r="D3674" i="3" a="1"/>
  <c r="D4230" i="3" a="1"/>
  <c r="D3527" i="3" a="1"/>
  <c r="D4019" i="3" a="1"/>
  <c r="D4270" i="3" a="1"/>
  <c r="D3409" i="3" a="1"/>
  <c r="D3053" i="3" a="1"/>
  <c r="D3021" i="3" a="1"/>
  <c r="D4021" i="3" a="1"/>
  <c r="D3173" i="3" a="1"/>
  <c r="D3591" i="3" a="1"/>
  <c r="D3602" i="3" a="1"/>
  <c r="D2983" i="3" a="1"/>
  <c r="D4621" i="3" a="1"/>
  <c r="D3256" i="3" a="1"/>
  <c r="D4168" i="3" a="1"/>
  <c r="D3186" i="3" a="1"/>
  <c r="D4259" i="3" a="1"/>
  <c r="D3112" i="3" a="1"/>
  <c r="D4497" i="3" a="1"/>
  <c r="D4377" i="3" a="1"/>
  <c r="D3277" i="3" a="1"/>
  <c r="D3518" i="3" a="1"/>
  <c r="D3607" i="3" a="1"/>
  <c r="D2971" i="3" a="1"/>
  <c r="D4510" i="3" a="1"/>
  <c r="D2901" i="3" a="1"/>
  <c r="D2979" i="3" a="1"/>
  <c r="D2405" i="3" a="1"/>
  <c r="D4549" i="3" a="1"/>
  <c r="D3168" i="3" a="1"/>
  <c r="D3086" i="3" a="1"/>
  <c r="D2825" i="3" a="1"/>
  <c r="D3428" i="3" a="1"/>
  <c r="D3681" i="3" a="1"/>
  <c r="D4540" i="3" a="1"/>
  <c r="D2690" i="3" a="1"/>
  <c r="D4261" i="3" a="1"/>
  <c r="D4384" i="3" a="1"/>
  <c r="D4633" i="3" a="1"/>
  <c r="D4175" i="3" a="1"/>
  <c r="D3345" i="3" a="1"/>
  <c r="D2961" i="3" a="1"/>
  <c r="D2407" i="3" a="1"/>
  <c r="D2975" i="3" a="1"/>
  <c r="D3274" i="3" a="1"/>
  <c r="D3685" i="3" a="1"/>
  <c r="D2959" i="3" a="1"/>
  <c r="D4644" i="3" a="1"/>
  <c r="D3426" i="3" a="1"/>
  <c r="D3497" i="3" a="1"/>
  <c r="D3081" i="3" a="1"/>
  <c r="D4532" i="3" a="1"/>
  <c r="D4390" i="3" a="1"/>
  <c r="D4272" i="3" a="1"/>
  <c r="D4613" i="3" a="1"/>
  <c r="D4178" i="3" a="1"/>
  <c r="D3500" i="3" a="1"/>
  <c r="D2210" i="3" a="1"/>
  <c r="D3510" i="3" a="1"/>
  <c r="D3513" i="3" a="1"/>
  <c r="D3308" i="3" a="1"/>
  <c r="D3157" i="3" a="1"/>
  <c r="D4566" i="3" a="1"/>
  <c r="D3613" i="3" a="1"/>
  <c r="D3286" i="3" a="1"/>
  <c r="D2416" i="3" a="1"/>
  <c r="D4413" i="3" a="1"/>
  <c r="D3444" i="3" a="1"/>
  <c r="D3138" i="3" a="1"/>
  <c r="D3212" i="3" a="1"/>
  <c r="D4033" i="3" a="1"/>
  <c r="D3805" i="3" a="1"/>
  <c r="D2573" i="3" a="1"/>
  <c r="D3291" i="3" a="1"/>
  <c r="D3200" i="3" a="1"/>
  <c r="D4538" i="3" a="1"/>
  <c r="D3951" i="3" a="1"/>
  <c r="D3921" i="3" a="1"/>
  <c r="D3063" i="3" a="1"/>
  <c r="D2103" i="3" a="1"/>
  <c r="D4099" i="3" a="1"/>
  <c r="D4115" i="3" a="1"/>
  <c r="D3937" i="3" a="1"/>
  <c r="D4481" i="3" a="1"/>
  <c r="D3156" i="3" a="1"/>
  <c r="D3694" i="3" a="1"/>
  <c r="D3193" i="3" a="1"/>
  <c r="D4585" i="3" a="1"/>
  <c r="D4200" i="3" a="1"/>
  <c r="D4507" i="3" a="1"/>
  <c r="D3355" i="3" a="1"/>
  <c r="D3260" i="3" a="1"/>
  <c r="D4523" i="3" a="1"/>
  <c r="D3133" i="3" a="1"/>
  <c r="D3088" i="3" a="1"/>
  <c r="D4262" i="3" a="1"/>
  <c r="D3499" i="3" a="1"/>
  <c r="D4258" i="3" a="1"/>
  <c r="D3523" i="3" a="1"/>
  <c r="D4170" i="3" a="1"/>
  <c r="D3098" i="3" a="1"/>
  <c r="D4476" i="3" a="1"/>
  <c r="D3288" i="3" a="1"/>
  <c r="D2218" i="3" a="1"/>
  <c r="D4171" i="3" a="1"/>
  <c r="D4442" i="3" a="1"/>
  <c r="D4235" i="3" a="1"/>
  <c r="D4146" i="3" a="1"/>
  <c r="D3248" i="3" a="1"/>
  <c r="D4599" i="3" a="1"/>
  <c r="D4607" i="3" a="1"/>
  <c r="D4547" i="3" a="1"/>
  <c r="D4251" i="3" a="1"/>
  <c r="D4038" i="3" a="1"/>
  <c r="D3585" i="3" a="1"/>
  <c r="D4211" i="3" a="1"/>
  <c r="D4473" i="3" a="1"/>
  <c r="D4233" i="3" a="1"/>
  <c r="D3110" i="3" a="1"/>
  <c r="D4184" i="3" a="1"/>
  <c r="D3167" i="3" a="1"/>
  <c r="D4410" i="3" a="1"/>
  <c r="D3774" i="3" a="1"/>
  <c r="D3106" i="3" a="1"/>
  <c r="D3522" i="3" a="1"/>
  <c r="D3095" i="3" a="1"/>
  <c r="D3290" i="3" a="1"/>
  <c r="D4513" i="3" a="1"/>
  <c r="D4186" i="3" a="1"/>
  <c r="D3216" i="3" a="1"/>
  <c r="D4383" i="3" a="1"/>
  <c r="D4552" i="3" a="1"/>
  <c r="D4179" i="3" a="1"/>
  <c r="D4367" i="3" a="1"/>
  <c r="D4414" i="3" a="1"/>
  <c r="D3235" i="3" a="1"/>
  <c r="D3079" i="3" a="1"/>
  <c r="D4518" i="3" a="1"/>
  <c r="D2583" i="3" a="1"/>
  <c r="D4003" i="3" a="1"/>
  <c r="D2214" i="3" a="1"/>
  <c r="D3928" i="3" a="1"/>
  <c r="D4114" i="3" a="1"/>
  <c r="D3621" i="3" a="1"/>
  <c r="D4426" i="3" a="1"/>
  <c r="D3582" i="3" a="1"/>
  <c r="D3283" i="3" a="1"/>
  <c r="D2832" i="3" a="1"/>
  <c r="D2703" i="3" a="1"/>
  <c r="D4578" i="3" a="1"/>
  <c r="D2926" i="3" a="1"/>
  <c r="D4150" i="3" a="1"/>
  <c r="D2831" i="3" a="1"/>
  <c r="D3087" i="3" a="1"/>
  <c r="D3688" i="3" a="1"/>
  <c r="D3100" i="3" a="1"/>
  <c r="D4421" i="3" a="1"/>
  <c r="D3058" i="3" a="1"/>
  <c r="D4257" i="3" a="1"/>
  <c r="D3093" i="3" a="1"/>
  <c r="D3285" i="3" a="1"/>
  <c r="D3932" i="3" a="1"/>
  <c r="D2096" i="3" a="1"/>
  <c r="D4525" i="3" l="1"/>
  <c r="D2221" i="3"/>
  <c r="D3105" i="3"/>
  <c r="D3129" i="3"/>
  <c r="D3244" i="3"/>
  <c r="D3605" i="3"/>
  <c r="D4576" i="3"/>
  <c r="D4425" i="3"/>
  <c r="D4482" i="3"/>
  <c r="D4278" i="3"/>
  <c r="D3089" i="3"/>
  <c r="D4635" i="3"/>
  <c r="D4636" i="3"/>
  <c r="D4623" i="3"/>
  <c r="D4169" i="3"/>
  <c r="D3504" i="3"/>
  <c r="D4386" i="3"/>
  <c r="D4142" i="3"/>
  <c r="D4021" i="3"/>
  <c r="D4467" i="3"/>
  <c r="D2339" i="3"/>
  <c r="D4509" i="3"/>
  <c r="D2092" i="3"/>
  <c r="D3519" i="3"/>
  <c r="D2922" i="3"/>
  <c r="D3268" i="3"/>
  <c r="D4468" i="3"/>
  <c r="D3787" i="3"/>
  <c r="D4220" i="3"/>
  <c r="D4196" i="3"/>
  <c r="D3143" i="3"/>
  <c r="D3183" i="3"/>
  <c r="D3184" i="3"/>
  <c r="D4605" i="3"/>
  <c r="D3250" i="3"/>
  <c r="D3025" i="3"/>
  <c r="D2690" i="3"/>
  <c r="D4612" i="3"/>
  <c r="D4155" i="3"/>
  <c r="D4162" i="3"/>
  <c r="D4110" i="3"/>
  <c r="D4572" i="3"/>
  <c r="D4211" i="3"/>
  <c r="D3175" i="3"/>
  <c r="D3416" i="3"/>
  <c r="D4131" i="3"/>
  <c r="D4125" i="3"/>
  <c r="D3300" i="3"/>
  <c r="D3950" i="3"/>
  <c r="D4371" i="3"/>
  <c r="D4178" i="3"/>
  <c r="D4592" i="3"/>
  <c r="D3518" i="3"/>
  <c r="D3676" i="3"/>
  <c r="D3153" i="3"/>
  <c r="D4560" i="3"/>
  <c r="D3589" i="3"/>
  <c r="D2102" i="3"/>
  <c r="D3232" i="3"/>
  <c r="D4230" i="3"/>
  <c r="D4457" i="3"/>
  <c r="D2693" i="3"/>
  <c r="D4192" i="3"/>
  <c r="D4387" i="3"/>
  <c r="D3522" i="3"/>
  <c r="D3684" i="3"/>
  <c r="D3237" i="3"/>
  <c r="D3069" i="3"/>
  <c r="D3610" i="3"/>
  <c r="D3208" i="3"/>
  <c r="D3031" i="3"/>
  <c r="D3535" i="3"/>
  <c r="D2700" i="3"/>
  <c r="D3924" i="3"/>
  <c r="D4618" i="3"/>
  <c r="D4513" i="3"/>
  <c r="D3615" i="3"/>
  <c r="D4139" i="3"/>
  <c r="D3532" i="3"/>
  <c r="D3068" i="3"/>
  <c r="D3947" i="3"/>
  <c r="D4244" i="3"/>
  <c r="D3024" i="3"/>
  <c r="D4213" i="3"/>
  <c r="D3138" i="3"/>
  <c r="D4534" i="3"/>
  <c r="D3792" i="3"/>
  <c r="D3599" i="3"/>
  <c r="D4613" i="3"/>
  <c r="D4184" i="3"/>
  <c r="D4556" i="3"/>
  <c r="D4144" i="3"/>
  <c r="D4379" i="3"/>
  <c r="D4276" i="3"/>
  <c r="D3238" i="3"/>
  <c r="D4495" i="3"/>
  <c r="D4545" i="3"/>
  <c r="D2405" i="3"/>
  <c r="D3152" i="3"/>
  <c r="D4001" i="3"/>
  <c r="D3506" i="3"/>
  <c r="D3274" i="3"/>
  <c r="D4149" i="3"/>
  <c r="D3419" i="3"/>
  <c r="D2924" i="3"/>
  <c r="D4115" i="3"/>
  <c r="D3526" i="3"/>
  <c r="D4547" i="3"/>
  <c r="D3282" i="3"/>
  <c r="D4204" i="3"/>
  <c r="D4134" i="3"/>
  <c r="D4452" i="3"/>
  <c r="D3094" i="3"/>
  <c r="D3594" i="3"/>
  <c r="D3412" i="3"/>
  <c r="D3276" i="3"/>
  <c r="D3955" i="3"/>
  <c r="D3224" i="3"/>
  <c r="D3765" i="3"/>
  <c r="D3587" i="3"/>
  <c r="D4135" i="3"/>
  <c r="D3415" i="3"/>
  <c r="D4282" i="3"/>
  <c r="D2985" i="3"/>
  <c r="D3601" i="3"/>
  <c r="D3712" i="3"/>
  <c r="D3709" i="3"/>
  <c r="D3430" i="3"/>
  <c r="D4175" i="3"/>
  <c r="D4189" i="3"/>
  <c r="D3513" i="3"/>
  <c r="D4609" i="3"/>
  <c r="D4372" i="3"/>
  <c r="D3711" i="3"/>
  <c r="D4628" i="3"/>
  <c r="D4207" i="3"/>
  <c r="D2702" i="3"/>
  <c r="D3052" i="3"/>
  <c r="D4024" i="3"/>
  <c r="D4182" i="3"/>
  <c r="D4519" i="3"/>
  <c r="D3497" i="3"/>
  <c r="D4199" i="3"/>
  <c r="D3287" i="3"/>
  <c r="D4186" i="3"/>
  <c r="D2578" i="3"/>
  <c r="D4227" i="3"/>
  <c r="D2334" i="3"/>
  <c r="D3916" i="3"/>
  <c r="D4250" i="3"/>
  <c r="D4470" i="3"/>
  <c r="D3285" i="3"/>
  <c r="D4214" i="3"/>
  <c r="D2220" i="3"/>
  <c r="D4237" i="3"/>
  <c r="D4141" i="3"/>
  <c r="D4552" i="3"/>
  <c r="D4277" i="3"/>
  <c r="D3305" i="3"/>
  <c r="D4272" i="3"/>
  <c r="D2974" i="3"/>
  <c r="D4567" i="3"/>
  <c r="D4458" i="3"/>
  <c r="D4608" i="3"/>
  <c r="D3952" i="3"/>
  <c r="D3926" i="3"/>
  <c r="D2954" i="3"/>
  <c r="D3940" i="3"/>
  <c r="D4029" i="3"/>
  <c r="D2975" i="3"/>
  <c r="D3155" i="3"/>
  <c r="D4042" i="3"/>
  <c r="D3156" i="3"/>
  <c r="D3427" i="3"/>
  <c r="D3226" i="3"/>
  <c r="D2987" i="3"/>
  <c r="D4217" i="3"/>
  <c r="D3193" i="3"/>
  <c r="D3935" i="3"/>
  <c r="D4374" i="3"/>
  <c r="D3051" i="3"/>
  <c r="D3196" i="3"/>
  <c r="D4023" i="3"/>
  <c r="D2332" i="3"/>
  <c r="D3781" i="3"/>
  <c r="D4223" i="3"/>
  <c r="D3127" i="3"/>
  <c r="D4600" i="3"/>
  <c r="D4508" i="3"/>
  <c r="D4441" i="3"/>
  <c r="D2341" i="3"/>
  <c r="D4542" i="3"/>
  <c r="D4370" i="3"/>
  <c r="D4153" i="3"/>
  <c r="D2410" i="3"/>
  <c r="D4526" i="3"/>
  <c r="D3613" i="3"/>
  <c r="D3043" i="3"/>
  <c r="D4205" i="3"/>
  <c r="D3106" i="3"/>
  <c r="D3932" i="3"/>
  <c r="D4431" i="3"/>
  <c r="D4507" i="3"/>
  <c r="D3438" i="3"/>
  <c r="D3067" i="3"/>
  <c r="D2967" i="3"/>
  <c r="D4263" i="3"/>
  <c r="D2901" i="3"/>
  <c r="D4418" i="3"/>
  <c r="D4554" i="3"/>
  <c r="D3064" i="3"/>
  <c r="D3036" i="3"/>
  <c r="D3229" i="3"/>
  <c r="D4479" i="3"/>
  <c r="D4028" i="3"/>
  <c r="D3058" i="3"/>
  <c r="D3111" i="3"/>
  <c r="D2571" i="3"/>
  <c r="D2223" i="3"/>
  <c r="D4109" i="3"/>
  <c r="D3279" i="3"/>
  <c r="D2222" i="3"/>
  <c r="D4256" i="3"/>
  <c r="D3598" i="3"/>
  <c r="D4562" i="3"/>
  <c r="D3954" i="3"/>
  <c r="D4437" i="3"/>
  <c r="D4120" i="3"/>
  <c r="D3514" i="3"/>
  <c r="D3035" i="3"/>
  <c r="D4128" i="3"/>
  <c r="D4571" i="3"/>
  <c r="D3422" i="3"/>
  <c r="D3275" i="3"/>
  <c r="D4407" i="3"/>
  <c r="D4630" i="3"/>
  <c r="D2219" i="3"/>
  <c r="D3166" i="3"/>
  <c r="D4498" i="3"/>
  <c r="D4520" i="3"/>
  <c r="D4483" i="3"/>
  <c r="D4157" i="3"/>
  <c r="D4461" i="3"/>
  <c r="D3915" i="3"/>
  <c r="D2217" i="3"/>
  <c r="D4500" i="3"/>
  <c r="D3083" i="3"/>
  <c r="D2909" i="3"/>
  <c r="D4094" i="3"/>
  <c r="D3298" i="3"/>
  <c r="D2972" i="3"/>
  <c r="D3529" i="3"/>
  <c r="D3048" i="3"/>
  <c r="D3771" i="3"/>
  <c r="D3216" i="3"/>
  <c r="D4193" i="3"/>
  <c r="D2101" i="3"/>
  <c r="D3289" i="3"/>
  <c r="D4574" i="3"/>
  <c r="D3295" i="3"/>
  <c r="D3130" i="3"/>
  <c r="D4408" i="3"/>
  <c r="D4285" i="3"/>
  <c r="D3617" i="3"/>
  <c r="D3776" i="3"/>
  <c r="D4376" i="3"/>
  <c r="D3767" i="3"/>
  <c r="D3109" i="3"/>
  <c r="D4533" i="3"/>
  <c r="D3235" i="3"/>
  <c r="D3065" i="3"/>
  <c r="D3597" i="3"/>
  <c r="D3593" i="3"/>
  <c r="D3108" i="3"/>
  <c r="D3503" i="3"/>
  <c r="D2575" i="3"/>
  <c r="D4538" i="3"/>
  <c r="D4234" i="3"/>
  <c r="D4123" i="3"/>
  <c r="D2921" i="3"/>
  <c r="D4152" i="3"/>
  <c r="D4516" i="3"/>
  <c r="D3600" i="3"/>
  <c r="D3509" i="3"/>
  <c r="D3045" i="3"/>
  <c r="D3066" i="3"/>
  <c r="D4496" i="3"/>
  <c r="D2906" i="3"/>
  <c r="D4124" i="3"/>
  <c r="D4012" i="3"/>
  <c r="D2343" i="3"/>
  <c r="D3190" i="3"/>
  <c r="D4222" i="3"/>
  <c r="D2986" i="3"/>
  <c r="D3188" i="3"/>
  <c r="D2968" i="3"/>
  <c r="D4019" i="3"/>
  <c r="D3596" i="3"/>
  <c r="D3042" i="3"/>
  <c r="D4009" i="3"/>
  <c r="D4280" i="3"/>
  <c r="D4174" i="3"/>
  <c r="D4416" i="3"/>
  <c r="D3207" i="3"/>
  <c r="D3030" i="3"/>
  <c r="D3346" i="3"/>
  <c r="D3618" i="3"/>
  <c r="D3354" i="3"/>
  <c r="D4640" i="3"/>
  <c r="D3953" i="3"/>
  <c r="D2916" i="3"/>
  <c r="D4158" i="3"/>
  <c r="D4382" i="3"/>
  <c r="D3197" i="3"/>
  <c r="D3180" i="3"/>
  <c r="D3133" i="3"/>
  <c r="D4529" i="3"/>
  <c r="D3502" i="3"/>
  <c r="D3118" i="3"/>
  <c r="D2923" i="3"/>
  <c r="D4185" i="3"/>
  <c r="D4198" i="3"/>
  <c r="D3078" i="3"/>
  <c r="D4466" i="3"/>
  <c r="D3088" i="3"/>
  <c r="D3917" i="3"/>
  <c r="D3683" i="3"/>
  <c r="D4022" i="3"/>
  <c r="D4430" i="3"/>
  <c r="D4039" i="3"/>
  <c r="D3271" i="3"/>
  <c r="D3423" i="3"/>
  <c r="D3417" i="3"/>
  <c r="D4167" i="3"/>
  <c r="D3342" i="3"/>
  <c r="D3607" i="3"/>
  <c r="D3414" i="3"/>
  <c r="D4438" i="3"/>
  <c r="D3074" i="3"/>
  <c r="D2973" i="3"/>
  <c r="D4406" i="3"/>
  <c r="D4225" i="3"/>
  <c r="D4206" i="3"/>
  <c r="D4594" i="3"/>
  <c r="D4104" i="3"/>
  <c r="D4170" i="3"/>
  <c r="D3192" i="3"/>
  <c r="D2570" i="3"/>
  <c r="D3167" i="3"/>
  <c r="D3621" i="3"/>
  <c r="D4032" i="3"/>
  <c r="D4243" i="3"/>
  <c r="D2918" i="3"/>
  <c r="D3231" i="3"/>
  <c r="D3062" i="3"/>
  <c r="D4627" i="3"/>
  <c r="D2902" i="3"/>
  <c r="D3112" i="3"/>
  <c r="D4093" i="3"/>
  <c r="D4493" i="3"/>
  <c r="D4187" i="3"/>
  <c r="D2911" i="3"/>
  <c r="D3408" i="3"/>
  <c r="D4454" i="3"/>
  <c r="D3799" i="3"/>
  <c r="D4396" i="3"/>
  <c r="D4268" i="3"/>
  <c r="D4202" i="3"/>
  <c r="D4404" i="3"/>
  <c r="D3411" i="3"/>
  <c r="D4006" i="3"/>
  <c r="D4480" i="3"/>
  <c r="D4143" i="3"/>
  <c r="D3766" i="3"/>
  <c r="D3699" i="3"/>
  <c r="D4465" i="3"/>
  <c r="D3186" i="3"/>
  <c r="D2988" i="3"/>
  <c r="D4637" i="3"/>
  <c r="D4381" i="3"/>
  <c r="D3033" i="3"/>
  <c r="D3444" i="3"/>
  <c r="D4146" i="3"/>
  <c r="D4485" i="3"/>
  <c r="D4528" i="3"/>
  <c r="D4003" i="3"/>
  <c r="D4411" i="3"/>
  <c r="D2955" i="3"/>
  <c r="D2331" i="3"/>
  <c r="D3302" i="3"/>
  <c r="D4099" i="3"/>
  <c r="D4194" i="3"/>
  <c r="D2701" i="3"/>
  <c r="D2989" i="3"/>
  <c r="D3581" i="3"/>
  <c r="D4631" i="3"/>
  <c r="D4172" i="3"/>
  <c r="D4517" i="3"/>
  <c r="D3222" i="3"/>
  <c r="D2338" i="3"/>
  <c r="D3240" i="3"/>
  <c r="D4368" i="3"/>
  <c r="D2920" i="3"/>
  <c r="D3267" i="3"/>
  <c r="D3316" i="3"/>
  <c r="D3293" i="3"/>
  <c r="D4622" i="3"/>
  <c r="D4515" i="3"/>
  <c r="D4111" i="3"/>
  <c r="D3290" i="3"/>
  <c r="D3198" i="3"/>
  <c r="D3021" i="3"/>
  <c r="D4506" i="3"/>
  <c r="D4555" i="3"/>
  <c r="D3102" i="3"/>
  <c r="D2692" i="3"/>
  <c r="D4436" i="3"/>
  <c r="D3432" i="3"/>
  <c r="D2408" i="3"/>
  <c r="D4561" i="3"/>
  <c r="D3301" i="3"/>
  <c r="D4617" i="3"/>
  <c r="D4373" i="3"/>
  <c r="D4389" i="3"/>
  <c r="D3132" i="3"/>
  <c r="D3059" i="3"/>
  <c r="D3426" i="3"/>
  <c r="D3692" i="3"/>
  <c r="D4603" i="3"/>
  <c r="D4421" i="3"/>
  <c r="D4422" i="3"/>
  <c r="D4254" i="3"/>
  <c r="D3698" i="3"/>
  <c r="D4218" i="3"/>
  <c r="D4478" i="3"/>
  <c r="D3585" i="3"/>
  <c r="D3619" i="3"/>
  <c r="D4633" i="3"/>
  <c r="D3620" i="3"/>
  <c r="D4137" i="3"/>
  <c r="D3911" i="3"/>
  <c r="D4126" i="3"/>
  <c r="D4366" i="3"/>
  <c r="D4639" i="3"/>
  <c r="D2995" i="3"/>
  <c r="D4113" i="3"/>
  <c r="D3016" i="3"/>
  <c r="D3029" i="3"/>
  <c r="D2090" i="3"/>
  <c r="D3174" i="3"/>
  <c r="D2957" i="3"/>
  <c r="D3510" i="3"/>
  <c r="D3425" i="3"/>
  <c r="D4383" i="3"/>
  <c r="D2915" i="3"/>
  <c r="D2407" i="3"/>
  <c r="D2333" i="3"/>
  <c r="D4548" i="3"/>
  <c r="D3135" i="3"/>
  <c r="D3307" i="3"/>
  <c r="D3241" i="3"/>
  <c r="D2416" i="3"/>
  <c r="D3780" i="3"/>
  <c r="D4252" i="3"/>
  <c r="D3606" i="3"/>
  <c r="D4119" i="3"/>
  <c r="D3314" i="3"/>
  <c r="D3685" i="3"/>
  <c r="D2958" i="3"/>
  <c r="D3245" i="3"/>
  <c r="D2965" i="3"/>
  <c r="D4511" i="3"/>
  <c r="D3803" i="3"/>
  <c r="D3162" i="3"/>
  <c r="D3800" i="3"/>
  <c r="D4587" i="3"/>
  <c r="D3017" i="3"/>
  <c r="D3429" i="3"/>
  <c r="D4606" i="3"/>
  <c r="D2097" i="3"/>
  <c r="D3178" i="3"/>
  <c r="D2091" i="3"/>
  <c r="D3270" i="3"/>
  <c r="D2218" i="3"/>
  <c r="D4428" i="3"/>
  <c r="D3774" i="3"/>
  <c r="D4239" i="3"/>
  <c r="D4159" i="3"/>
  <c r="D3624" i="3"/>
  <c r="D3113" i="3"/>
  <c r="D3695" i="3"/>
  <c r="D4400" i="3"/>
  <c r="D4390" i="3"/>
  <c r="D4002" i="3"/>
  <c r="D3128" i="3"/>
  <c r="D4004" i="3"/>
  <c r="D3492" i="3"/>
  <c r="D4501" i="3"/>
  <c r="D3177" i="3"/>
  <c r="D4160" i="3"/>
  <c r="D4200" i="3"/>
  <c r="D3060" i="3"/>
  <c r="D2572" i="3"/>
  <c r="D4564" i="3"/>
  <c r="D3091" i="3"/>
  <c r="D4481" i="3"/>
  <c r="D3534" i="3"/>
  <c r="D2907" i="3"/>
  <c r="D3228" i="3"/>
  <c r="D2976" i="3"/>
  <c r="D3512" i="3"/>
  <c r="D3420" i="3"/>
  <c r="D3215" i="3"/>
  <c r="D3704" i="3"/>
  <c r="D4092" i="3"/>
  <c r="D3681" i="3"/>
  <c r="D2983" i="3"/>
  <c r="D2406" i="3"/>
  <c r="D3223" i="3"/>
  <c r="D3805" i="3"/>
  <c r="D3158" i="3"/>
  <c r="D4221" i="3"/>
  <c r="D3434" i="3"/>
  <c r="D3018" i="3"/>
  <c r="D3090" i="3"/>
  <c r="D2414" i="3"/>
  <c r="D4377" i="3"/>
  <c r="D4238" i="3"/>
  <c r="D4005" i="3"/>
  <c r="D4566" i="3"/>
  <c r="D4283" i="3"/>
  <c r="D4626" i="3"/>
  <c r="D3049" i="3"/>
  <c r="D3353" i="3"/>
  <c r="D2695" i="3"/>
  <c r="D4130" i="3"/>
  <c r="D3297" i="3"/>
  <c r="D3144" i="3"/>
  <c r="D2964" i="3"/>
  <c r="D3299" i="3"/>
  <c r="D2835" i="3"/>
  <c r="D3516" i="3"/>
  <c r="D3179" i="3"/>
  <c r="D4026" i="3"/>
  <c r="D4499" i="3"/>
  <c r="D3139" i="3"/>
  <c r="D2827" i="3"/>
  <c r="D3705" i="3"/>
  <c r="D3769" i="3"/>
  <c r="D4512" i="3"/>
  <c r="D4449" i="3"/>
  <c r="D3922" i="3"/>
  <c r="D4471" i="3"/>
  <c r="D4226" i="3"/>
  <c r="D3249" i="3"/>
  <c r="D4558" i="3"/>
  <c r="D3583" i="3"/>
  <c r="D3402" i="3"/>
  <c r="D4180" i="3"/>
  <c r="D3046" i="3"/>
  <c r="D3080" i="3"/>
  <c r="D3200" i="3"/>
  <c r="D4402" i="3"/>
  <c r="D4527" i="3"/>
  <c r="D3690" i="3"/>
  <c r="D4117" i="3"/>
  <c r="D3219" i="3"/>
  <c r="D4448" i="3"/>
  <c r="D3023" i="3"/>
  <c r="D4259" i="3"/>
  <c r="D3923" i="3"/>
  <c r="D2977" i="3"/>
  <c r="D4472" i="3"/>
  <c r="D4208" i="3"/>
  <c r="D4270" i="3"/>
  <c r="D3169" i="3"/>
  <c r="D4610" i="3"/>
  <c r="D4582" i="3"/>
  <c r="D2216" i="3"/>
  <c r="D2694" i="3"/>
  <c r="D4417" i="3"/>
  <c r="D4154" i="3"/>
  <c r="D4229" i="3"/>
  <c r="D3114" i="3"/>
  <c r="D3696" i="3"/>
  <c r="D4616" i="3"/>
  <c r="D3195" i="3"/>
  <c r="D4581" i="3"/>
  <c r="D4385" i="3"/>
  <c r="D3185" i="3"/>
  <c r="D4414" i="3"/>
  <c r="D3677" i="3"/>
  <c r="D3075" i="3"/>
  <c r="D3022" i="3"/>
  <c r="D3595" i="3"/>
  <c r="D3527" i="3"/>
  <c r="D4444" i="3"/>
  <c r="D3622" i="3"/>
  <c r="D2330" i="3"/>
  <c r="D3410" i="3"/>
  <c r="D2833" i="3"/>
  <c r="D2412" i="3"/>
  <c r="D4036" i="3"/>
  <c r="D4040" i="3"/>
  <c r="D3785" i="3"/>
  <c r="D3214" i="3"/>
  <c r="D4607" i="3"/>
  <c r="D3784" i="3"/>
  <c r="D3671" i="3"/>
  <c r="D2214" i="3"/>
  <c r="D3614" i="3"/>
  <c r="D4580" i="3"/>
  <c r="D2691" i="3"/>
  <c r="D3278" i="3"/>
  <c r="D3145" i="3"/>
  <c r="D4540" i="3"/>
  <c r="D3351" i="3"/>
  <c r="D4105" i="3"/>
  <c r="D4553" i="3"/>
  <c r="D2337" i="3"/>
  <c r="D4176" i="3"/>
  <c r="D3951" i="3"/>
  <c r="D4565" i="3"/>
  <c r="D4488" i="3"/>
  <c r="D4018" i="3"/>
  <c r="D4156" i="3"/>
  <c r="D4275" i="3"/>
  <c r="D3701" i="3"/>
  <c r="D3441" i="3"/>
  <c r="D4041" i="3"/>
  <c r="D4245" i="3"/>
  <c r="D3693" i="3"/>
  <c r="D2583" i="3"/>
  <c r="D4097" i="3"/>
  <c r="D4588" i="3"/>
  <c r="D4011" i="3"/>
  <c r="D3508" i="3"/>
  <c r="D3401" i="3"/>
  <c r="D4523" i="3"/>
  <c r="D4440" i="3"/>
  <c r="D4435" i="3"/>
  <c r="D3418" i="3"/>
  <c r="D4604" i="3"/>
  <c r="D4619" i="3"/>
  <c r="D4629" i="3"/>
  <c r="D3243" i="3"/>
  <c r="D2213" i="3"/>
  <c r="D3928" i="3"/>
  <c r="D4242" i="3"/>
  <c r="D3439" i="3"/>
  <c r="D3163" i="3"/>
  <c r="D4433" i="3"/>
  <c r="D4101" i="3"/>
  <c r="D4632" i="3"/>
  <c r="D3103" i="3"/>
  <c r="D3242" i="3"/>
  <c r="D4233" i="3"/>
  <c r="D3608" i="3"/>
  <c r="D2828" i="3"/>
  <c r="D4489" i="3"/>
  <c r="D4108" i="3"/>
  <c r="D3149" i="3"/>
  <c r="D4596" i="3"/>
  <c r="D4598" i="3"/>
  <c r="D3038" i="3"/>
  <c r="D2926" i="3"/>
  <c r="D4462" i="3"/>
  <c r="D3210" i="3"/>
  <c r="D2095" i="3"/>
  <c r="D4235" i="3"/>
  <c r="D3294" i="3"/>
  <c r="D4401" i="3"/>
  <c r="D4420" i="3"/>
  <c r="D3941" i="3"/>
  <c r="D3686" i="3"/>
  <c r="D4103" i="3"/>
  <c r="D3424" i="3"/>
  <c r="D3107" i="3"/>
  <c r="D4551" i="3"/>
  <c r="D3126" i="3"/>
  <c r="D3499" i="3"/>
  <c r="D3086" i="3"/>
  <c r="D2837" i="3"/>
  <c r="D3789" i="3"/>
  <c r="D3256" i="3"/>
  <c r="D4424" i="3"/>
  <c r="D3936" i="3"/>
  <c r="D3582" i="3"/>
  <c r="D2994" i="3"/>
  <c r="D3779" i="3"/>
  <c r="D2699" i="3"/>
  <c r="D3317" i="3"/>
  <c r="D3246" i="3"/>
  <c r="D3433" i="3"/>
  <c r="D4122" i="3"/>
  <c r="D3120" i="3"/>
  <c r="D3528" i="3"/>
  <c r="D3678" i="3"/>
  <c r="D3012" i="3"/>
  <c r="D3136" i="3"/>
  <c r="D3227" i="3"/>
  <c r="D4505" i="3"/>
  <c r="D4392" i="3"/>
  <c r="D3141" i="3"/>
  <c r="D4455" i="3"/>
  <c r="D3431" i="3"/>
  <c r="D4492" i="3"/>
  <c r="D3125" i="3"/>
  <c r="D3071" i="3"/>
  <c r="D3403" i="3"/>
  <c r="D4241" i="3"/>
  <c r="D4165" i="3"/>
  <c r="D4463" i="3"/>
  <c r="D2103" i="3"/>
  <c r="D2980" i="3"/>
  <c r="D4504" i="3"/>
  <c r="D4236" i="3"/>
  <c r="D4409" i="3"/>
  <c r="D4161" i="3"/>
  <c r="D3093" i="3"/>
  <c r="D3602" i="3"/>
  <c r="D2905" i="3"/>
  <c r="D4258" i="3"/>
  <c r="D2415" i="3"/>
  <c r="D4384" i="3"/>
  <c r="D2698" i="3"/>
  <c r="D3280" i="3"/>
  <c r="D3763" i="3"/>
  <c r="D3697" i="3"/>
  <c r="D3323" i="3"/>
  <c r="D4171" i="3"/>
  <c r="D3708" i="3"/>
  <c r="D3930" i="3"/>
  <c r="D3778" i="3"/>
  <c r="D3053" i="3"/>
  <c r="D4044" i="3"/>
  <c r="D4447" i="3"/>
  <c r="D4212" i="3"/>
  <c r="D3352" i="3"/>
  <c r="D3085" i="3"/>
  <c r="D3682" i="3"/>
  <c r="D2917" i="3"/>
  <c r="D4589" i="3"/>
  <c r="D3170" i="3"/>
  <c r="D4116" i="3"/>
  <c r="D2336" i="3"/>
  <c r="D3782" i="3"/>
  <c r="D4375" i="3"/>
  <c r="D2340" i="3"/>
  <c r="D4393" i="3"/>
  <c r="D3948" i="3"/>
  <c r="D4114" i="3"/>
  <c r="D3603" i="3"/>
  <c r="D3945" i="3"/>
  <c r="D4611" i="3"/>
  <c r="D3134" i="3"/>
  <c r="D2953" i="3"/>
  <c r="D2903" i="3"/>
  <c r="D4361" i="3"/>
  <c r="D4147" i="3"/>
  <c r="D4403" i="3"/>
  <c r="D4284" i="3"/>
  <c r="D4578" i="3"/>
  <c r="D4173" i="3"/>
  <c r="D3032" i="3"/>
  <c r="D4216" i="3"/>
  <c r="D3312" i="3"/>
  <c r="D4405" i="3"/>
  <c r="D3914" i="3"/>
  <c r="D4181" i="3"/>
  <c r="D3217" i="3"/>
  <c r="D3057" i="3"/>
  <c r="D3117" i="3"/>
  <c r="D3770" i="3"/>
  <c r="D3591" i="3"/>
  <c r="D4539" i="3"/>
  <c r="D4398" i="3"/>
  <c r="D3679" i="3"/>
  <c r="D4249" i="3"/>
  <c r="D4168" i="3"/>
  <c r="D4197" i="3"/>
  <c r="D3404" i="3"/>
  <c r="D4429" i="3"/>
  <c r="D4543" i="3"/>
  <c r="D3239" i="3"/>
  <c r="D3292" i="3"/>
  <c r="D4645" i="3"/>
  <c r="D3524" i="3"/>
  <c r="D3942" i="3"/>
  <c r="D2961" i="3"/>
  <c r="D3284" i="3"/>
  <c r="D4593" i="3"/>
  <c r="D2969" i="3"/>
  <c r="D3288" i="3"/>
  <c r="D3211" i="3"/>
  <c r="D3713" i="3"/>
  <c r="D3096" i="3"/>
  <c r="D3407" i="3"/>
  <c r="D3687" i="3"/>
  <c r="D4365" i="3"/>
  <c r="D4583" i="3"/>
  <c r="D2928" i="3"/>
  <c r="D4246" i="3"/>
  <c r="D4531" i="3"/>
  <c r="D4231" i="3"/>
  <c r="D3793" i="3"/>
  <c r="D4410" i="3"/>
  <c r="D2210" i="3"/>
  <c r="D4391" i="3"/>
  <c r="D4133" i="3"/>
  <c r="D4112" i="3"/>
  <c r="D3674" i="3"/>
  <c r="D3802" i="3"/>
  <c r="D4491" i="3"/>
  <c r="D3523" i="3"/>
  <c r="D3259" i="3"/>
  <c r="D3257" i="3"/>
  <c r="D3350" i="3"/>
  <c r="D3925" i="3"/>
  <c r="D2899" i="3"/>
  <c r="D4399" i="3"/>
  <c r="D3790" i="3"/>
  <c r="D3949" i="3"/>
  <c r="D2579" i="3"/>
  <c r="D3672" i="3"/>
  <c r="D4532" i="3"/>
  <c r="D2703" i="3"/>
  <c r="D2696" i="3"/>
  <c r="D4033" i="3"/>
  <c r="D3938" i="3"/>
  <c r="D3531" i="3"/>
  <c r="D4145" i="3"/>
  <c r="D4020" i="3"/>
  <c r="D3710" i="3"/>
  <c r="D4027" i="3"/>
  <c r="D3777" i="3"/>
  <c r="D2991" i="3"/>
  <c r="D2971" i="3"/>
  <c r="D3154" i="3"/>
  <c r="D4015" i="3"/>
  <c r="D3104" i="3"/>
  <c r="D4010" i="3"/>
  <c r="D3092" i="3"/>
  <c r="D3318" i="3"/>
  <c r="D2574" i="3"/>
  <c r="D3209" i="3"/>
  <c r="D3013" i="3"/>
  <c r="D4544" i="3"/>
  <c r="D3182" i="3"/>
  <c r="D4497" i="3"/>
  <c r="D4546" i="3"/>
  <c r="D2912" i="3"/>
  <c r="D4502" i="3"/>
  <c r="D4129" i="3"/>
  <c r="D3442" i="3"/>
  <c r="D4419" i="3"/>
  <c r="D3689" i="3"/>
  <c r="D3804" i="3"/>
  <c r="D3073" i="3"/>
  <c r="D3165" i="3"/>
  <c r="D4434" i="3"/>
  <c r="D4210" i="3"/>
  <c r="D3714" i="3"/>
  <c r="D2838" i="3"/>
  <c r="D3309" i="3"/>
  <c r="D3786" i="3"/>
  <c r="D3076" i="3"/>
  <c r="D3715" i="3"/>
  <c r="D3055" i="3"/>
  <c r="D3273" i="3"/>
  <c r="D3931" i="3"/>
  <c r="D2215" i="3"/>
  <c r="D4591" i="3"/>
  <c r="D3691" i="3"/>
  <c r="D3498" i="3"/>
  <c r="D3171" i="3"/>
  <c r="D4100" i="3"/>
  <c r="D3611" i="3"/>
  <c r="D4446" i="3"/>
  <c r="D3019" i="3"/>
  <c r="D3762" i="3"/>
  <c r="D2211" i="3"/>
  <c r="D4037" i="3"/>
  <c r="D4453" i="3"/>
  <c r="D3095" i="3"/>
  <c r="D4427" i="3"/>
  <c r="D4166" i="3"/>
  <c r="D4460" i="3"/>
  <c r="D2978" i="3"/>
  <c r="D4644" i="3"/>
  <c r="D2411" i="3"/>
  <c r="D4369" i="3"/>
  <c r="D4634" i="3"/>
  <c r="D4394" i="3"/>
  <c r="D4150" i="3"/>
  <c r="D3291" i="3"/>
  <c r="D4550" i="3"/>
  <c r="D4248" i="3"/>
  <c r="D4038" i="3"/>
  <c r="D4367" i="3"/>
  <c r="D2096" i="3"/>
  <c r="D4621" i="3"/>
  <c r="D4541" i="3"/>
  <c r="D4599" i="3"/>
  <c r="D3343" i="3"/>
  <c r="D3311" i="3"/>
  <c r="D3199" i="3"/>
  <c r="D3440" i="3"/>
  <c r="D3673" i="3"/>
  <c r="D4034" i="3"/>
  <c r="D3797" i="3"/>
  <c r="D3147" i="3"/>
  <c r="D3262" i="3"/>
  <c r="D3783" i="3"/>
  <c r="D3310" i="3"/>
  <c r="D4253" i="3"/>
  <c r="D3341" i="3"/>
  <c r="D4518" i="3"/>
  <c r="D4364" i="3"/>
  <c r="D2418" i="3"/>
  <c r="D3077" i="3"/>
  <c r="D3157" i="3"/>
  <c r="D3213" i="3"/>
  <c r="D4595" i="3"/>
  <c r="D4008" i="3"/>
  <c r="D3142" i="3"/>
  <c r="D3283" i="3"/>
  <c r="D3445" i="3"/>
  <c r="D3707" i="3"/>
  <c r="D4183" i="3"/>
  <c r="D2960" i="3"/>
  <c r="D4188" i="3"/>
  <c r="D3087" i="3"/>
  <c r="D4579" i="3"/>
  <c r="D3205" i="3"/>
  <c r="D2990" i="3"/>
  <c r="D2952" i="3"/>
  <c r="D3530" i="3"/>
  <c r="D4014" i="3"/>
  <c r="D3181" i="3"/>
  <c r="D4473" i="3"/>
  <c r="D3015" i="3"/>
  <c r="D4257" i="3"/>
  <c r="D4030" i="3"/>
  <c r="D4569" i="3"/>
  <c r="D3944" i="3"/>
  <c r="D3260" i="3"/>
  <c r="D3220" i="3"/>
  <c r="D3511" i="3"/>
  <c r="D3764" i="3"/>
  <c r="D4602" i="3"/>
  <c r="D4563" i="3"/>
  <c r="D3918" i="3"/>
  <c r="D4140" i="3"/>
  <c r="D4490" i="3"/>
  <c r="D4530" i="3"/>
  <c r="D3306" i="3"/>
  <c r="D2979" i="3"/>
  <c r="D3027" i="3"/>
  <c r="D3609" i="3"/>
  <c r="D4469" i="3"/>
  <c r="D4510" i="3"/>
  <c r="D4642" i="3"/>
  <c r="D4025" i="3"/>
  <c r="D4262" i="3"/>
  <c r="D3515" i="3"/>
  <c r="D3929" i="3"/>
  <c r="D3110" i="3"/>
  <c r="D4412" i="3"/>
  <c r="D3037" i="3"/>
  <c r="D4475" i="3"/>
  <c r="D4624" i="3"/>
  <c r="D3795" i="3"/>
  <c r="D4484" i="3"/>
  <c r="D3168" i="3"/>
  <c r="D3794" i="3"/>
  <c r="D3047" i="3"/>
  <c r="D4247" i="3"/>
  <c r="D2581" i="3"/>
  <c r="D3304" i="3"/>
  <c r="D3495" i="3"/>
  <c r="D4586" i="3"/>
  <c r="D4559" i="3"/>
  <c r="D3344" i="3"/>
  <c r="D3122" i="3"/>
  <c r="D2992" i="3"/>
  <c r="D4045" i="3"/>
  <c r="D2963" i="3"/>
  <c r="D3943" i="3"/>
  <c r="D4432" i="3"/>
  <c r="D3194" i="3"/>
  <c r="D3612" i="3"/>
  <c r="D2576" i="3"/>
  <c r="D4177" i="3"/>
  <c r="D4568" i="3"/>
  <c r="D4102" i="3"/>
  <c r="D4597" i="3"/>
  <c r="D4573" i="3"/>
  <c r="D2697" i="3"/>
  <c r="D3039" i="3"/>
  <c r="D3204" i="3"/>
  <c r="D4442" i="3"/>
  <c r="D3277" i="3"/>
  <c r="D4524" i="3"/>
  <c r="D4016" i="3"/>
  <c r="D3121" i="3"/>
  <c r="D3680" i="3"/>
  <c r="D4638" i="3"/>
  <c r="D2580" i="3"/>
  <c r="D4163" i="3"/>
  <c r="D3269" i="3"/>
  <c r="D3775" i="3"/>
  <c r="D3172" i="3"/>
  <c r="D3946" i="3"/>
  <c r="D3525" i="3"/>
  <c r="D3050" i="3"/>
  <c r="D4265" i="3"/>
  <c r="D3137" i="3"/>
  <c r="D4450" i="3"/>
  <c r="D2413" i="3"/>
  <c r="D4190" i="3"/>
  <c r="D2094" i="3"/>
  <c r="D2100" i="3"/>
  <c r="D4575" i="3"/>
  <c r="D4043" i="3"/>
  <c r="D2098" i="3"/>
  <c r="D3521" i="3"/>
  <c r="D2836" i="3"/>
  <c r="D3507" i="3"/>
  <c r="D2910" i="3"/>
  <c r="D3319" i="3"/>
  <c r="D4224" i="3"/>
  <c r="D3201" i="3"/>
  <c r="D3592" i="3"/>
  <c r="D4474" i="3"/>
  <c r="D4273" i="3"/>
  <c r="D3272" i="3"/>
  <c r="D3264" i="3"/>
  <c r="D3588" i="3"/>
  <c r="D2925" i="3"/>
  <c r="D3706" i="3"/>
  <c r="D3409" i="3"/>
  <c r="D3933" i="3"/>
  <c r="D4261" i="3"/>
  <c r="D3501" i="3"/>
  <c r="D3437" i="3"/>
  <c r="D3234" i="3"/>
  <c r="D3020" i="3"/>
  <c r="D4487" i="3"/>
  <c r="D3406" i="3"/>
  <c r="D2825" i="3"/>
  <c r="D4423" i="3"/>
  <c r="D4522" i="3"/>
  <c r="D4267" i="3"/>
  <c r="D3218" i="3"/>
  <c r="D4209" i="3"/>
  <c r="D3772" i="3"/>
  <c r="D4118" i="3"/>
  <c r="D3173" i="3"/>
  <c r="D3505" i="3"/>
  <c r="D2970" i="3"/>
  <c r="D4191" i="3"/>
  <c r="D4035" i="3"/>
  <c r="D3230" i="3"/>
  <c r="D3261" i="3"/>
  <c r="D2577" i="3"/>
  <c r="D3070" i="3"/>
  <c r="D3063" i="3"/>
  <c r="D3616" i="3"/>
  <c r="D4503" i="3"/>
  <c r="D3151" i="3"/>
  <c r="D4269" i="3"/>
  <c r="D4464" i="3"/>
  <c r="D4195" i="3"/>
  <c r="D3675" i="3"/>
  <c r="D4215" i="3"/>
  <c r="D3148" i="3"/>
  <c r="D4476" i="3"/>
  <c r="D3761" i="3"/>
  <c r="D4614" i="3"/>
  <c r="D4549" i="3"/>
  <c r="D4203" i="3"/>
  <c r="D3788" i="3"/>
  <c r="D3801" i="3"/>
  <c r="D3202" i="3"/>
  <c r="D4266" i="3"/>
  <c r="D3040" i="3"/>
  <c r="D3034" i="3"/>
  <c r="D3413" i="3"/>
  <c r="D4459" i="3"/>
  <c r="D4362" i="3"/>
  <c r="D3097" i="3"/>
  <c r="D4007" i="3"/>
  <c r="D2409" i="3"/>
  <c r="D3494" i="3"/>
  <c r="D3321" i="3"/>
  <c r="D4443" i="3"/>
  <c r="D3313" i="3"/>
  <c r="D4151" i="3"/>
  <c r="D4426" i="3"/>
  <c r="D3773" i="3"/>
  <c r="D3768" i="3"/>
  <c r="D3347" i="3"/>
  <c r="D4096" i="3"/>
  <c r="D3500" i="3"/>
  <c r="D2335" i="3"/>
  <c r="D4380" i="3"/>
  <c r="D3703" i="3"/>
  <c r="D2582" i="3"/>
  <c r="D2830" i="3"/>
  <c r="D2908" i="3"/>
  <c r="D3119" i="3"/>
  <c r="D4095" i="3"/>
  <c r="D3212" i="3"/>
  <c r="D4451" i="3"/>
  <c r="D2831" i="3"/>
  <c r="D3491" i="3"/>
  <c r="D3625" i="3"/>
  <c r="D3322" i="3"/>
  <c r="D2914" i="3"/>
  <c r="D3345" i="3"/>
  <c r="D4260" i="3"/>
  <c r="D4537" i="3"/>
  <c r="D3586" i="3"/>
  <c r="D3099" i="3"/>
  <c r="D4577" i="3"/>
  <c r="D4536" i="3"/>
  <c r="D4388" i="3"/>
  <c r="D3315" i="3"/>
  <c r="D4107" i="3"/>
  <c r="D3493" i="3"/>
  <c r="D3428" i="3"/>
  <c r="D4127" i="3"/>
  <c r="D3303" i="3"/>
  <c r="D3123" i="3"/>
  <c r="D4415" i="3"/>
  <c r="D3014" i="3"/>
  <c r="D3252" i="3"/>
  <c r="D2956" i="3"/>
  <c r="D3189" i="3"/>
  <c r="D3286" i="3"/>
  <c r="D3247" i="3"/>
  <c r="D3044" i="3"/>
  <c r="D4017" i="3"/>
  <c r="D2834" i="3"/>
  <c r="D3258" i="3"/>
  <c r="D2829" i="3"/>
  <c r="D2417" i="3"/>
  <c r="D3054" i="3"/>
  <c r="D3100" i="3"/>
  <c r="D3939" i="3"/>
  <c r="D4486" i="3"/>
  <c r="D3604" i="3"/>
  <c r="D3265" i="3"/>
  <c r="D2904" i="3"/>
  <c r="D3791" i="3"/>
  <c r="D3160" i="3"/>
  <c r="D3164" i="3"/>
  <c r="D4494" i="3"/>
  <c r="D2832" i="3"/>
  <c r="D4585" i="3"/>
  <c r="D4164" i="3"/>
  <c r="D4590" i="3"/>
  <c r="D3187" i="3"/>
  <c r="D3324" i="3"/>
  <c r="D4228" i="3"/>
  <c r="D3124" i="3"/>
  <c r="D3061" i="3"/>
  <c r="D3520" i="3"/>
  <c r="D4620" i="3"/>
  <c r="D4279" i="3"/>
  <c r="D4219" i="3"/>
  <c r="D4281" i="3"/>
  <c r="D3405" i="3"/>
  <c r="D4013" i="3"/>
  <c r="D4445" i="3"/>
  <c r="D3921" i="3"/>
  <c r="D3920" i="3"/>
  <c r="D3098" i="3"/>
  <c r="D4363" i="3"/>
  <c r="D4395" i="3"/>
  <c r="D3937" i="3"/>
  <c r="D3435" i="3"/>
  <c r="D2826" i="3"/>
  <c r="D4179" i="3"/>
  <c r="D3253" i="3"/>
  <c r="D3421" i="3"/>
  <c r="D4274" i="3"/>
  <c r="D3254" i="3"/>
  <c r="D3248" i="3"/>
  <c r="D4456" i="3"/>
  <c r="D4535" i="3"/>
  <c r="D3796" i="3"/>
  <c r="D2927" i="3"/>
  <c r="D4397" i="3"/>
  <c r="D3028" i="3"/>
  <c r="D3798" i="3"/>
  <c r="D4601" i="3"/>
  <c r="D4255" i="3"/>
  <c r="D3320" i="3"/>
  <c r="D3912" i="3"/>
  <c r="D3115" i="3"/>
  <c r="D4477" i="3"/>
  <c r="D4584" i="3"/>
  <c r="D3150" i="3"/>
  <c r="D4514" i="3"/>
  <c r="D2984" i="3"/>
  <c r="D4251" i="3"/>
  <c r="D4439" i="3"/>
  <c r="D2913" i="3"/>
  <c r="D4232" i="3"/>
  <c r="D2962" i="3"/>
  <c r="D4264" i="3"/>
  <c r="D3225" i="3"/>
  <c r="D3934" i="3"/>
  <c r="D4240" i="3"/>
  <c r="D3081" i="3"/>
  <c r="D3517" i="3"/>
  <c r="D4570" i="3"/>
  <c r="D4138" i="3"/>
  <c r="D2093" i="3"/>
  <c r="D3159" i="3"/>
  <c r="D3349" i="3"/>
  <c r="D3623" i="3"/>
  <c r="D3084" i="3"/>
  <c r="D4641" i="3"/>
  <c r="D4098" i="3"/>
  <c r="D2573" i="3"/>
  <c r="D3263" i="3"/>
  <c r="D3233" i="3"/>
  <c r="D4615" i="3"/>
  <c r="D3355" i="3"/>
  <c r="D3348" i="3"/>
  <c r="D3927" i="3"/>
  <c r="D3533" i="3"/>
  <c r="D4031" i="3"/>
  <c r="D3919" i="3"/>
  <c r="D4201" i="3"/>
  <c r="D4148" i="3"/>
  <c r="D4643" i="3"/>
  <c r="D4413" i="3"/>
  <c r="D3308" i="3"/>
  <c r="D2342" i="3"/>
  <c r="D2900" i="3"/>
  <c r="D4557" i="3"/>
  <c r="D2959" i="3"/>
  <c r="D3700" i="3"/>
  <c r="D2993" i="3"/>
  <c r="D4521" i="3"/>
  <c r="D2099" i="3"/>
  <c r="D3079" i="3"/>
  <c r="D4625" i="3"/>
  <c r="D3140" i="3"/>
  <c r="D3913" i="3"/>
  <c r="D3496" i="3"/>
  <c r="D4132" i="3"/>
  <c r="D3325" i="3"/>
  <c r="D3072" i="3"/>
  <c r="D2212" i="3"/>
  <c r="D3694" i="3"/>
  <c r="D3082" i="3"/>
  <c r="D3436" i="3"/>
  <c r="D3590" i="3"/>
  <c r="D3443" i="3"/>
  <c r="D3255" i="3"/>
  <c r="D3702" i="3"/>
  <c r="D3688" i="3"/>
  <c r="D2919" i="3"/>
  <c r="D4378" i="3"/>
  <c r="D3203" i="3"/>
  <c r="D3584" i="3"/>
  <c r="D14" i="12"/>
  <c r="C17" i="12"/>
  <c r="B16" i="12"/>
  <c r="B15" i="12"/>
  <c r="H15" i="12" s="1"/>
  <c r="H13" i="12"/>
  <c r="B10" i="12"/>
  <c r="B9" i="12"/>
  <c r="B8" i="12"/>
  <c r="B16" i="195" l="1"/>
  <c r="D16" i="195" s="1"/>
  <c r="H16" i="12"/>
  <c r="B10" i="195"/>
  <c r="D10" i="195" s="1"/>
  <c r="H10" i="12"/>
  <c r="B9" i="195"/>
  <c r="D9" i="195" s="1"/>
  <c r="H9" i="12"/>
  <c r="B8" i="195"/>
  <c r="D8" i="195" s="1"/>
  <c r="H8" i="12"/>
  <c r="C18" i="195"/>
  <c r="D8096" i="3"/>
  <c r="B13" i="195"/>
  <c r="D13" i="195" s="1"/>
  <c r="B15" i="195"/>
  <c r="D28" i="76"/>
  <c r="D31" i="76"/>
  <c r="D22" i="76"/>
  <c r="B36" i="76"/>
  <c r="D15" i="195" l="1"/>
  <c r="I8096" i="3"/>
  <c r="H8096" i="3"/>
  <c r="J8096" i="3"/>
  <c r="G38" i="77"/>
  <c r="D36" i="76"/>
  <c r="D35" i="76"/>
  <c r="H36" i="76"/>
  <c r="D8" i="12" l="1"/>
  <c r="D9" i="12"/>
  <c r="D12" i="12"/>
  <c r="D10" i="12"/>
  <c r="D15" i="12"/>
  <c r="D16" i="12"/>
  <c r="B7" i="12"/>
  <c r="D8020" i="3" s="1"/>
  <c r="D13" i="12"/>
  <c r="B24" i="12"/>
  <c r="A5" i="12"/>
  <c r="D8101" i="3" l="1"/>
  <c r="J8101" i="3" s="1"/>
  <c r="B30" i="150"/>
  <c r="B32" i="150" s="1"/>
  <c r="D10430" i="3"/>
  <c r="B17" i="12"/>
  <c r="H7" i="12"/>
  <c r="B7" i="195"/>
  <c r="D7" i="195" s="1"/>
  <c r="D7" i="12"/>
  <c r="F7" i="7"/>
  <c r="F7" i="102"/>
  <c r="I8101" i="3" l="1"/>
  <c r="H8101" i="3"/>
  <c r="B18" i="195"/>
  <c r="D17" i="12"/>
  <c r="D18" i="195" l="1"/>
  <c r="J8020" i="3"/>
  <c r="D10" i="76"/>
  <c r="D11" i="76"/>
  <c r="C8013" i="3"/>
  <c r="C8014" i="3"/>
  <c r="C8015" i="3"/>
  <c r="C8016" i="3"/>
  <c r="C8017" i="3"/>
  <c r="C8012" i="3"/>
  <c r="B8016" i="3"/>
  <c r="B8017" i="3"/>
  <c r="B8015" i="3"/>
  <c r="B8013" i="3"/>
  <c r="B8014" i="3"/>
  <c r="B8012" i="3"/>
  <c r="C8007" i="3"/>
  <c r="C8008" i="3"/>
  <c r="C8009" i="3"/>
  <c r="C8010" i="3"/>
  <c r="C8011" i="3"/>
  <c r="C8006" i="3"/>
  <c r="B8007" i="3"/>
  <c r="B8008" i="3"/>
  <c r="B8010" i="3"/>
  <c r="B8011" i="3"/>
  <c r="B8009" i="3"/>
  <c r="B8006" i="3"/>
  <c r="B8004" i="3"/>
  <c r="B8005" i="3"/>
  <c r="B8003" i="3"/>
  <c r="C8001" i="3"/>
  <c r="C8002" i="3"/>
  <c r="C8003" i="3"/>
  <c r="C8004" i="3"/>
  <c r="C8005" i="3"/>
  <c r="B8001" i="3"/>
  <c r="B8002" i="3"/>
  <c r="C8000" i="3"/>
  <c r="B8000" i="3"/>
  <c r="C7989" i="3"/>
  <c r="C7990" i="3"/>
  <c r="C7991" i="3"/>
  <c r="C7992" i="3"/>
  <c r="C7993" i="3"/>
  <c r="C7988" i="3"/>
  <c r="C7995" i="3"/>
  <c r="C7996" i="3"/>
  <c r="C7997" i="3"/>
  <c r="C7998" i="3"/>
  <c r="C7999" i="3"/>
  <c r="C7994" i="3"/>
  <c r="B7998" i="3"/>
  <c r="B7999" i="3"/>
  <c r="B7997" i="3"/>
  <c r="B7995" i="3"/>
  <c r="B7996" i="3"/>
  <c r="B7994" i="3"/>
  <c r="B7992" i="3"/>
  <c r="B7993" i="3"/>
  <c r="B7989" i="3"/>
  <c r="B7990" i="3"/>
  <c r="B7991" i="3"/>
  <c r="B7988" i="3"/>
  <c r="C7983" i="3"/>
  <c r="C7984" i="3"/>
  <c r="C7985" i="3"/>
  <c r="C7986" i="3"/>
  <c r="C7987" i="3"/>
  <c r="C7982" i="3"/>
  <c r="B7986" i="3"/>
  <c r="B7987" i="3"/>
  <c r="B7985" i="3"/>
  <c r="B7983" i="3"/>
  <c r="B7984" i="3"/>
  <c r="B7982" i="3"/>
  <c r="C7977" i="3"/>
  <c r="C7978" i="3"/>
  <c r="C7979" i="3"/>
  <c r="C7980" i="3"/>
  <c r="C7981" i="3"/>
  <c r="C7976" i="3"/>
  <c r="B7980" i="3"/>
  <c r="B7981" i="3"/>
  <c r="B7979" i="3"/>
  <c r="F7977" i="3"/>
  <c r="G7977" i="3"/>
  <c r="F7978" i="3"/>
  <c r="G7978" i="3"/>
  <c r="F7979" i="3"/>
  <c r="G7979" i="3"/>
  <c r="F7980" i="3"/>
  <c r="G7980" i="3"/>
  <c r="F7981" i="3"/>
  <c r="G7981" i="3"/>
  <c r="F7982" i="3"/>
  <c r="G7982" i="3"/>
  <c r="F7983" i="3"/>
  <c r="G7983" i="3"/>
  <c r="F7984" i="3"/>
  <c r="G7984" i="3"/>
  <c r="F7985" i="3"/>
  <c r="G7985" i="3"/>
  <c r="F7986" i="3"/>
  <c r="G7986" i="3"/>
  <c r="F7987" i="3"/>
  <c r="G7987" i="3"/>
  <c r="F7988" i="3"/>
  <c r="G7988" i="3"/>
  <c r="F7989" i="3"/>
  <c r="G7989" i="3"/>
  <c r="F7990" i="3"/>
  <c r="G7990" i="3"/>
  <c r="F7991" i="3"/>
  <c r="G7991" i="3"/>
  <c r="F7992" i="3"/>
  <c r="G7992" i="3"/>
  <c r="F7993" i="3"/>
  <c r="G7993" i="3"/>
  <c r="F7994" i="3"/>
  <c r="G7994" i="3"/>
  <c r="F7995" i="3"/>
  <c r="G7995" i="3"/>
  <c r="F7996" i="3"/>
  <c r="G7996" i="3"/>
  <c r="F7997" i="3"/>
  <c r="G7997" i="3"/>
  <c r="F7998" i="3"/>
  <c r="G7998" i="3"/>
  <c r="F7999" i="3"/>
  <c r="G7999" i="3"/>
  <c r="F8000" i="3"/>
  <c r="G8000" i="3"/>
  <c r="F8001" i="3"/>
  <c r="G8001" i="3"/>
  <c r="F8002" i="3"/>
  <c r="G8002" i="3"/>
  <c r="F8003" i="3"/>
  <c r="G8003" i="3"/>
  <c r="F8004" i="3"/>
  <c r="G8004" i="3"/>
  <c r="F8005" i="3"/>
  <c r="G8005" i="3"/>
  <c r="F8006" i="3"/>
  <c r="G8006" i="3"/>
  <c r="F8007" i="3"/>
  <c r="G8007" i="3"/>
  <c r="F8008" i="3"/>
  <c r="G8008" i="3"/>
  <c r="F8009" i="3"/>
  <c r="G8009" i="3"/>
  <c r="F8010" i="3"/>
  <c r="G8010" i="3"/>
  <c r="F8011" i="3"/>
  <c r="G8011" i="3"/>
  <c r="F8012" i="3"/>
  <c r="G8012" i="3"/>
  <c r="F8013" i="3"/>
  <c r="G8013" i="3"/>
  <c r="F8014" i="3"/>
  <c r="G8014" i="3"/>
  <c r="F8015" i="3"/>
  <c r="G8015" i="3"/>
  <c r="F8016" i="3"/>
  <c r="G8016" i="3"/>
  <c r="F8017" i="3"/>
  <c r="G8017" i="3"/>
  <c r="F8523" i="3"/>
  <c r="G8523" i="3"/>
  <c r="F8524" i="3"/>
  <c r="G8524" i="3"/>
  <c r="F8525" i="3"/>
  <c r="G8525" i="3"/>
  <c r="F8527" i="3"/>
  <c r="G8527" i="3"/>
  <c r="F8528" i="3"/>
  <c r="G8528" i="3"/>
  <c r="F8529" i="3"/>
  <c r="G8529" i="3"/>
  <c r="F8115" i="3"/>
  <c r="H8115" i="3" s="1"/>
  <c r="G8115" i="3"/>
  <c r="J8115" i="3"/>
  <c r="F8116" i="3"/>
  <c r="G8116" i="3"/>
  <c r="J8116" i="3"/>
  <c r="F8117" i="3"/>
  <c r="H8117" i="3" s="1"/>
  <c r="G8117" i="3"/>
  <c r="J8117" i="3"/>
  <c r="F8118" i="3"/>
  <c r="G8118" i="3"/>
  <c r="J8118" i="3"/>
  <c r="F8119" i="3"/>
  <c r="H8119" i="3" s="1"/>
  <c r="G8119" i="3"/>
  <c r="J8119" i="3"/>
  <c r="F8120" i="3"/>
  <c r="H8120" i="3" s="1"/>
  <c r="G8120" i="3"/>
  <c r="J8120" i="3"/>
  <c r="F8121" i="3"/>
  <c r="H8121" i="3" s="1"/>
  <c r="G8121" i="3"/>
  <c r="J8121" i="3"/>
  <c r="F8123" i="3"/>
  <c r="H8123" i="3" s="1"/>
  <c r="G8123" i="3"/>
  <c r="I8123" i="3"/>
  <c r="J8123" i="3"/>
  <c r="F8124" i="3"/>
  <c r="H8124" i="3" s="1"/>
  <c r="G8124" i="3"/>
  <c r="I8124" i="3"/>
  <c r="J8124" i="3"/>
  <c r="F8125" i="3"/>
  <c r="H8125" i="3" s="1"/>
  <c r="G8125" i="3"/>
  <c r="I8125" i="3"/>
  <c r="J8125" i="3"/>
  <c r="F8126" i="3"/>
  <c r="H8126" i="3" s="1"/>
  <c r="G8126" i="3"/>
  <c r="I8126" i="3"/>
  <c r="J8126" i="3"/>
  <c r="F8127" i="3"/>
  <c r="H8127" i="3" s="1"/>
  <c r="G8127" i="3"/>
  <c r="I8127" i="3"/>
  <c r="J8127" i="3"/>
  <c r="F8128" i="3"/>
  <c r="H8128" i="3" s="1"/>
  <c r="G8128" i="3"/>
  <c r="I8128" i="3"/>
  <c r="J8128" i="3"/>
  <c r="F8129" i="3"/>
  <c r="H8129" i="3" s="1"/>
  <c r="G8129" i="3"/>
  <c r="J8129" i="3"/>
  <c r="F8130" i="3"/>
  <c r="H8130" i="3" s="1"/>
  <c r="G8130" i="3"/>
  <c r="I8130" i="3"/>
  <c r="J8130" i="3"/>
  <c r="F8131" i="3"/>
  <c r="H8131" i="3" s="1"/>
  <c r="G8131" i="3"/>
  <c r="I8131" i="3"/>
  <c r="J8131" i="3"/>
  <c r="F8132" i="3"/>
  <c r="H8132" i="3" s="1"/>
  <c r="G8132" i="3"/>
  <c r="I8132" i="3"/>
  <c r="J8132" i="3"/>
  <c r="F8133" i="3"/>
  <c r="H8133" i="3" s="1"/>
  <c r="G8133" i="3"/>
  <c r="I8133" i="3"/>
  <c r="J8133" i="3"/>
  <c r="F8134" i="3"/>
  <c r="H8134" i="3" s="1"/>
  <c r="G8134" i="3"/>
  <c r="I8134" i="3"/>
  <c r="J8134" i="3"/>
  <c r="F8135" i="3"/>
  <c r="H8135" i="3" s="1"/>
  <c r="G8135" i="3"/>
  <c r="I8135" i="3"/>
  <c r="J8135" i="3"/>
  <c r="F8136" i="3"/>
  <c r="H8136" i="3" s="1"/>
  <c r="G8136" i="3"/>
  <c r="I8136" i="3"/>
  <c r="J8136" i="3"/>
  <c r="F8137" i="3"/>
  <c r="H8137" i="3" s="1"/>
  <c r="G8137" i="3"/>
  <c r="I8137" i="3"/>
  <c r="J8137" i="3"/>
  <c r="F8138" i="3"/>
  <c r="H8138" i="3" s="1"/>
  <c r="G8138" i="3"/>
  <c r="I8138" i="3"/>
  <c r="J8138" i="3"/>
  <c r="F8139" i="3"/>
  <c r="H8139" i="3" s="1"/>
  <c r="G8139" i="3"/>
  <c r="I8139" i="3"/>
  <c r="J8139" i="3"/>
  <c r="F8140" i="3"/>
  <c r="H8140" i="3" s="1"/>
  <c r="G8140" i="3"/>
  <c r="I8140" i="3"/>
  <c r="J8140" i="3"/>
  <c r="F8141" i="3"/>
  <c r="H8141" i="3" s="1"/>
  <c r="G8141" i="3"/>
  <c r="J8141" i="3"/>
  <c r="F8143" i="3"/>
  <c r="H8143" i="3" s="1"/>
  <c r="G8143" i="3"/>
  <c r="J8143" i="3"/>
  <c r="F8144" i="3"/>
  <c r="H8144" i="3" s="1"/>
  <c r="G8144" i="3"/>
  <c r="I8144" i="3"/>
  <c r="J8144" i="3"/>
  <c r="F8145" i="3"/>
  <c r="H8145" i="3" s="1"/>
  <c r="G8145" i="3"/>
  <c r="I8145" i="3"/>
  <c r="J8145" i="3"/>
  <c r="F8146" i="3"/>
  <c r="H8146" i="3" s="1"/>
  <c r="G8146" i="3"/>
  <c r="J8146" i="3"/>
  <c r="F8147" i="3"/>
  <c r="H8147" i="3" s="1"/>
  <c r="G8147" i="3"/>
  <c r="J8147" i="3"/>
  <c r="F8148" i="3"/>
  <c r="H8148" i="3" s="1"/>
  <c r="G8148" i="3"/>
  <c r="J8148" i="3"/>
  <c r="F8149" i="3"/>
  <c r="H8149" i="3" s="1"/>
  <c r="G8149" i="3"/>
  <c r="J8149" i="3"/>
  <c r="F8150" i="3"/>
  <c r="H8150" i="3" s="1"/>
  <c r="G8150" i="3"/>
  <c r="I8150" i="3"/>
  <c r="J8150" i="3"/>
  <c r="F8151" i="3"/>
  <c r="H8151" i="3" s="1"/>
  <c r="G8151" i="3"/>
  <c r="J8151" i="3"/>
  <c r="F8152" i="3"/>
  <c r="H8152" i="3" s="1"/>
  <c r="G8152" i="3"/>
  <c r="I8152" i="3"/>
  <c r="J8152" i="3"/>
  <c r="F8153" i="3"/>
  <c r="H8153" i="3" s="1"/>
  <c r="G8153" i="3"/>
  <c r="I8153" i="3"/>
  <c r="J8153" i="3"/>
  <c r="F8154" i="3"/>
  <c r="H8154" i="3" s="1"/>
  <c r="G8154" i="3"/>
  <c r="I8154" i="3"/>
  <c r="J8154" i="3"/>
  <c r="F8155" i="3"/>
  <c r="H8155" i="3" s="1"/>
  <c r="G8155" i="3"/>
  <c r="I8155" i="3"/>
  <c r="J8155" i="3"/>
  <c r="F8156" i="3"/>
  <c r="H8156" i="3" s="1"/>
  <c r="G8156" i="3"/>
  <c r="I8156" i="3"/>
  <c r="J8156" i="3"/>
  <c r="F8157" i="3"/>
  <c r="H8157" i="3" s="1"/>
  <c r="G8157" i="3"/>
  <c r="I8157" i="3"/>
  <c r="J8157" i="3"/>
  <c r="F8158" i="3"/>
  <c r="H8158" i="3" s="1"/>
  <c r="G8158" i="3"/>
  <c r="I8158" i="3"/>
  <c r="J8158" i="3"/>
  <c r="F8159" i="3"/>
  <c r="H8159" i="3" s="1"/>
  <c r="G8159" i="3"/>
  <c r="I8159" i="3"/>
  <c r="J8159" i="3"/>
  <c r="F8160" i="3"/>
  <c r="H8160" i="3" s="1"/>
  <c r="G8160" i="3"/>
  <c r="I8160" i="3"/>
  <c r="J8160" i="3"/>
  <c r="F8161" i="3"/>
  <c r="H8161" i="3" s="1"/>
  <c r="G8161" i="3"/>
  <c r="I8161" i="3"/>
  <c r="J8161" i="3"/>
  <c r="F8162" i="3"/>
  <c r="H8162" i="3" s="1"/>
  <c r="G8162" i="3"/>
  <c r="I8162" i="3"/>
  <c r="J8162" i="3"/>
  <c r="F8163" i="3"/>
  <c r="H8163" i="3" s="1"/>
  <c r="G8163" i="3"/>
  <c r="I8163" i="3"/>
  <c r="J8163" i="3"/>
  <c r="F8187" i="3"/>
  <c r="G8187" i="3"/>
  <c r="F8188" i="3"/>
  <c r="G8188" i="3"/>
  <c r="F8189" i="3"/>
  <c r="G8189" i="3"/>
  <c r="F8190" i="3"/>
  <c r="G8190" i="3"/>
  <c r="F8191" i="3"/>
  <c r="G8191" i="3"/>
  <c r="F8192" i="3"/>
  <c r="G8192" i="3"/>
  <c r="F8193" i="3"/>
  <c r="G8193" i="3"/>
  <c r="F8194" i="3"/>
  <c r="G8194" i="3"/>
  <c r="F8195" i="3"/>
  <c r="G8195" i="3"/>
  <c r="F8196" i="3"/>
  <c r="G8196" i="3"/>
  <c r="F8197" i="3"/>
  <c r="G8197" i="3"/>
  <c r="F8198" i="3"/>
  <c r="G8198" i="3"/>
  <c r="F8199" i="3"/>
  <c r="G8199" i="3"/>
  <c r="F8200" i="3"/>
  <c r="G8200" i="3"/>
  <c r="F8201" i="3"/>
  <c r="G8201" i="3"/>
  <c r="F8202" i="3"/>
  <c r="G8202" i="3"/>
  <c r="F8203" i="3"/>
  <c r="G8203" i="3"/>
  <c r="F8204" i="3"/>
  <c r="G8204" i="3"/>
  <c r="F8205" i="3"/>
  <c r="G8205" i="3"/>
  <c r="F8206" i="3"/>
  <c r="G8206" i="3"/>
  <c r="F8207" i="3"/>
  <c r="G8207" i="3"/>
  <c r="F8208" i="3"/>
  <c r="G8208" i="3"/>
  <c r="F8209" i="3"/>
  <c r="G8209" i="3"/>
  <c r="F8210" i="3"/>
  <c r="G8210" i="3"/>
  <c r="F8211" i="3"/>
  <c r="G8211" i="3"/>
  <c r="F8212" i="3"/>
  <c r="G8212" i="3"/>
  <c r="F8213" i="3"/>
  <c r="G8213" i="3"/>
  <c r="F8214" i="3"/>
  <c r="G8214" i="3"/>
  <c r="F8215" i="3"/>
  <c r="G8215" i="3"/>
  <c r="F8216" i="3"/>
  <c r="G8216" i="3"/>
  <c r="F8217" i="3"/>
  <c r="G8217" i="3"/>
  <c r="F8218" i="3"/>
  <c r="G8218" i="3"/>
  <c r="F8219" i="3"/>
  <c r="G8219" i="3"/>
  <c r="F8220" i="3"/>
  <c r="G8220" i="3"/>
  <c r="F8221" i="3"/>
  <c r="G8221" i="3"/>
  <c r="F8222" i="3"/>
  <c r="G8222" i="3"/>
  <c r="F8223" i="3"/>
  <c r="G8223" i="3"/>
  <c r="F8224" i="3"/>
  <c r="G8224" i="3"/>
  <c r="F8225" i="3"/>
  <c r="G8225" i="3"/>
  <c r="F8226" i="3"/>
  <c r="G8226" i="3"/>
  <c r="F8227" i="3"/>
  <c r="G8227" i="3"/>
  <c r="F8228" i="3"/>
  <c r="G8228" i="3"/>
  <c r="F8229" i="3"/>
  <c r="G8229" i="3"/>
  <c r="F8230" i="3"/>
  <c r="G8230" i="3"/>
  <c r="F8231" i="3"/>
  <c r="G8231" i="3"/>
  <c r="F8232" i="3"/>
  <c r="G8232" i="3"/>
  <c r="F8233" i="3"/>
  <c r="G8233" i="3"/>
  <c r="F8234" i="3"/>
  <c r="G8234" i="3"/>
  <c r="F8235" i="3"/>
  <c r="G8235" i="3"/>
  <c r="F8236" i="3"/>
  <c r="G8236" i="3"/>
  <c r="F8237" i="3"/>
  <c r="G8237" i="3"/>
  <c r="F8238" i="3"/>
  <c r="G8238" i="3"/>
  <c r="F8239" i="3"/>
  <c r="G8239" i="3"/>
  <c r="F8240" i="3"/>
  <c r="G8240" i="3"/>
  <c r="F8241" i="3"/>
  <c r="G8241" i="3"/>
  <c r="F8242" i="3"/>
  <c r="G8242" i="3"/>
  <c r="F8243" i="3"/>
  <c r="G8243" i="3"/>
  <c r="F8244" i="3"/>
  <c r="G8244" i="3"/>
  <c r="F8245" i="3"/>
  <c r="G8245" i="3"/>
  <c r="F8246" i="3"/>
  <c r="G8246" i="3"/>
  <c r="F8247" i="3"/>
  <c r="G8247" i="3"/>
  <c r="B7978" i="3"/>
  <c r="B7977" i="3"/>
  <c r="B7976" i="3"/>
  <c r="D8" i="76"/>
  <c r="B28" i="78" s="1"/>
  <c r="D12" i="76"/>
  <c r="D13" i="76"/>
  <c r="D14" i="76"/>
  <c r="D7" i="76"/>
  <c r="B27" i="78" s="1"/>
  <c r="D9599" i="3" s="1"/>
  <c r="C15" i="76"/>
  <c r="C9" i="76"/>
  <c r="B9" i="76"/>
  <c r="F7976" i="3"/>
  <c r="G7976" i="3"/>
  <c r="I8117" i="3"/>
  <c r="I8119" i="3"/>
  <c r="I8141" i="3"/>
  <c r="I8151" i="3"/>
  <c r="I8129" i="3"/>
  <c r="I8149" i="3"/>
  <c r="I8143" i="3"/>
  <c r="I8148" i="3"/>
  <c r="I8146" i="3"/>
  <c r="I8147" i="3"/>
  <c r="I8121" i="3"/>
  <c r="I8120" i="3"/>
  <c r="I8116" i="3"/>
  <c r="I8115" i="3"/>
  <c r="H8116" i="3"/>
  <c r="I9599" i="3" l="1"/>
  <c r="H9599" i="3"/>
  <c r="J9599" i="3"/>
  <c r="D9" i="76"/>
  <c r="D15" i="76"/>
  <c r="I8118" i="3"/>
  <c r="H8118" i="3"/>
  <c r="I8484" i="3"/>
  <c r="H8484" i="3"/>
  <c r="B7" i="80" l="1"/>
  <c r="D8519" i="3"/>
  <c r="J8519" i="3" l="1"/>
  <c r="B12" i="80"/>
  <c r="B14" i="80" s="1"/>
  <c r="B8" i="80"/>
  <c r="A21" i="32"/>
  <c r="I8519" i="3"/>
  <c r="H8519" i="3"/>
  <c r="D2257" i="3" a="1"/>
  <c r="D2557" i="3" a="1"/>
  <c r="D8011" i="3" a="1"/>
  <c r="D2156" i="3" a="1"/>
  <c r="D2232" i="3" a="1"/>
  <c r="D363" i="3" a="1"/>
  <c r="D8298" i="3" a="1"/>
  <c r="D684" i="3" a="1"/>
  <c r="D524" i="3" a="1"/>
  <c r="D331" i="3" a="1"/>
  <c r="D2111" i="3" a="1"/>
  <c r="D647" i="3" a="1"/>
  <c r="D416" i="3" a="1"/>
  <c r="D8372" i="3" a="1"/>
  <c r="D554" i="3" a="1"/>
  <c r="D8423" i="3" a="1"/>
  <c r="D8279" i="3" a="1"/>
  <c r="D617" i="3" a="1"/>
  <c r="D8389" i="3" a="1"/>
  <c r="D2799" i="3" a="1"/>
  <c r="D8295" i="3" a="1"/>
  <c r="D8218" i="3" a="1"/>
  <c r="D2734" i="3" a="1"/>
  <c r="D560" i="3" a="1"/>
  <c r="D294" i="3" a="1"/>
  <c r="D8303" i="3" a="1"/>
  <c r="D2234" i="3" a="1"/>
  <c r="D2844" i="3" a="1"/>
  <c r="D671" i="3" a="1"/>
  <c r="D491" i="3" a="1"/>
  <c r="D2600" i="3" a="1"/>
  <c r="D644" i="3" a="1"/>
  <c r="D2645" i="3" a="1"/>
  <c r="D8200" i="3" a="1"/>
  <c r="D8071" i="3" a="1"/>
  <c r="D2683" i="3" a="1"/>
  <c r="D8375" i="3" a="1"/>
  <c r="D559" i="3" a="1"/>
  <c r="D2714" i="3" a="1"/>
  <c r="D2206" i="3" a="1"/>
  <c r="D2608" i="3" a="1"/>
  <c r="D2154" i="3" a="1"/>
  <c r="D8267" i="3" a="1"/>
  <c r="D8016" i="3" a="1"/>
  <c r="D8297" i="3" a="1"/>
  <c r="D8243" i="3" a="1"/>
  <c r="D8316" i="3" a="1"/>
  <c r="D2609" i="3" a="1"/>
  <c r="D2136" i="3" a="1"/>
  <c r="D252" i="3" a="1"/>
  <c r="D777" i="3" a="1"/>
  <c r="D8382" i="3" a="1"/>
  <c r="D2760" i="3" a="1"/>
  <c r="D2889" i="3" a="1"/>
  <c r="D8214" i="3" a="1"/>
  <c r="D2604" i="3" a="1"/>
  <c r="D8431" i="3" a="1"/>
  <c r="D2128" i="3" a="1"/>
  <c r="D2311" i="3" a="1"/>
  <c r="D600" i="3" a="1"/>
  <c r="D401" i="3" a="1"/>
  <c r="D2425" i="3" a="1"/>
  <c r="D281" i="3" a="1"/>
  <c r="D8209" i="3" a="1"/>
  <c r="D780" i="3" a="1"/>
  <c r="D2746" i="3" a="1"/>
  <c r="D2848" i="3" a="1"/>
  <c r="D2727" i="3" a="1"/>
  <c r="D816" i="3" a="1"/>
  <c r="D2663" i="3" a="1"/>
  <c r="D2556" i="3" a="1"/>
  <c r="D423" i="3" a="1"/>
  <c r="D2676" i="3" a="1"/>
  <c r="D299" i="3" a="1"/>
  <c r="D8010" i="3" a="1"/>
  <c r="D497" i="3" a="1"/>
  <c r="D8340" i="3" a="1"/>
  <c r="D615" i="3" a="1"/>
  <c r="D8414" i="3" a="1"/>
  <c r="D783" i="3" a="1"/>
  <c r="D8472" i="3" a="1"/>
  <c r="D2446" i="3" a="1"/>
  <c r="D7988" i="3" a="1"/>
  <c r="D2593" i="3" a="1"/>
  <c r="D535" i="3" a="1"/>
  <c r="D769" i="3" a="1"/>
  <c r="D2435" i="3" a="1"/>
  <c r="D463" i="3" a="1"/>
  <c r="D748" i="3" a="1"/>
  <c r="D2050" i="3" a="1"/>
  <c r="D2152" i="3" a="1"/>
  <c r="D2779" i="3" a="1"/>
  <c r="D8022" i="3" a="1"/>
  <c r="D2438" i="3" a="1"/>
  <c r="D2790" i="3" a="1"/>
  <c r="D583" i="3" a="1"/>
  <c r="D593" i="3" a="1"/>
  <c r="D8198" i="3" a="1"/>
  <c r="D8359" i="3" a="1"/>
  <c r="D2384" i="3" a="1"/>
  <c r="D257" i="3" a="1"/>
  <c r="D2077" i="3" a="1"/>
  <c r="D2115" i="3" a="1"/>
  <c r="D8430" i="3" a="1"/>
  <c r="D7990" i="3" a="1"/>
  <c r="D2757" i="3" a="1"/>
  <c r="D2542" i="3" a="1"/>
  <c r="D694" i="3" a="1"/>
  <c r="D8434" i="3" a="1"/>
  <c r="D542" i="3" a="1"/>
  <c r="D2772" i="3" a="1"/>
  <c r="D354" i="3" a="1"/>
  <c r="D483" i="3" a="1"/>
  <c r="D8015" i="3" a="1"/>
  <c r="D473" i="3" a="1"/>
  <c r="D2707" i="3" a="1"/>
  <c r="D2320" i="3" a="1"/>
  <c r="D2761" i="3" a="1"/>
  <c r="D8189" i="3" a="1"/>
  <c r="D301" i="3" a="1"/>
  <c r="D2088" i="3" a="1"/>
  <c r="D2235" i="3" a="1"/>
  <c r="D2668" i="3" a="1"/>
  <c r="D514" i="3" a="1"/>
  <c r="D2113" i="3" a="1"/>
  <c r="D666" i="3" a="1"/>
  <c r="D471" i="3" a="1"/>
  <c r="D537" i="3" a="1"/>
  <c r="D2740" i="3" a="1"/>
  <c r="D2878" i="3" a="1"/>
  <c r="D8288" i="3" a="1"/>
  <c r="D8322" i="3" a="1"/>
  <c r="D8004" i="3" a="1"/>
  <c r="D8392" i="3" a="1"/>
  <c r="D2248" i="3" a="1"/>
  <c r="D2650" i="3" a="1"/>
  <c r="D2723" i="3" a="1"/>
  <c r="D8343" i="3" a="1"/>
  <c r="D2709" i="3" a="1"/>
  <c r="D795" i="3" a="1"/>
  <c r="D2806" i="3" a="1"/>
  <c r="D419" i="3" a="1"/>
  <c r="D2322" i="3" a="1"/>
  <c r="D2768" i="3" a="1"/>
  <c r="D459" i="3" a="1"/>
  <c r="D2758" i="3" a="1"/>
  <c r="D599" i="3" a="1"/>
  <c r="D592" i="3" a="1"/>
  <c r="D8231" i="3" a="1"/>
  <c r="D2105" i="3" a="1"/>
  <c r="D2613" i="3" a="1"/>
  <c r="D2318" i="3" a="1"/>
  <c r="D8355" i="3" a="1"/>
  <c r="D8332" i="3" a="1"/>
  <c r="D455" i="3" a="1"/>
  <c r="D753" i="3" a="1"/>
  <c r="D8039" i="3" a="1"/>
  <c r="D8254" i="3" a="1"/>
  <c r="D2780" i="3" a="1"/>
  <c r="D2840" i="3" a="1"/>
  <c r="D770" i="3" a="1"/>
  <c r="D415" i="3" a="1"/>
  <c r="D458" i="3" a="1"/>
  <c r="D629" i="3" a="1"/>
  <c r="D2189" i="3" a="1"/>
  <c r="D2875" i="3" a="1"/>
  <c r="D8233" i="3" a="1"/>
  <c r="D2881" i="3" a="1"/>
  <c r="D8325" i="3" a="1"/>
  <c r="D8296" i="3" a="1"/>
  <c r="D8225" i="3" a="1"/>
  <c r="D464" i="3" a="1"/>
  <c r="D2686" i="3" a="1"/>
  <c r="D2162" i="3" a="1"/>
  <c r="D755" i="3" a="1"/>
  <c r="D8437" i="3" a="1"/>
  <c r="D696" i="3" a="1"/>
  <c r="D7991" i="3" a="1"/>
  <c r="D738" i="3" a="1"/>
  <c r="D511" i="3" a="1"/>
  <c r="D546" i="3" a="1"/>
  <c r="D8284" i="3" a="1"/>
  <c r="D2846" i="3" a="1"/>
  <c r="D8373" i="3" a="1"/>
  <c r="D2687" i="3" a="1"/>
  <c r="D2165" i="3" a="1"/>
  <c r="D2823" i="3" a="1"/>
  <c r="D8040" i="3" a="1"/>
  <c r="D8336" i="3" a="1"/>
  <c r="D8250" i="3" a="1"/>
  <c r="D467" i="3" a="1"/>
  <c r="D2424" i="3" a="1"/>
  <c r="D8053" i="3" a="1"/>
  <c r="D8447" i="3" a="1"/>
  <c r="D2271" i="3" a="1"/>
  <c r="D8052" i="3" a="1"/>
  <c r="D2778" i="3" a="1"/>
  <c r="D2432" i="3" a="1"/>
  <c r="D819" i="3" a="1"/>
  <c r="D8215" i="3" a="1"/>
  <c r="D665" i="3" a="1"/>
  <c r="D2653" i="3" a="1"/>
  <c r="D2563" i="3" a="1"/>
  <c r="D513" i="3" a="1"/>
  <c r="D539" i="3" a="1"/>
  <c r="D2789" i="3" a="1"/>
  <c r="D2785" i="3" a="1"/>
  <c r="D8051" i="3" a="1"/>
  <c r="D2896" i="3" a="1"/>
  <c r="D8390" i="3" a="1"/>
  <c r="D8444" i="3" a="1"/>
  <c r="D8378" i="3" a="1"/>
  <c r="D480" i="3" a="1"/>
  <c r="D8002" i="3" a="1"/>
  <c r="D2774" i="3" a="1"/>
  <c r="D2129" i="3" a="1"/>
  <c r="D2123" i="3" a="1"/>
  <c r="D361" i="3" a="1"/>
  <c r="D2278" i="3" a="1"/>
  <c r="D2726" i="3" a="1"/>
  <c r="D8191" i="3" a="1"/>
  <c r="D2225" i="3" a="1"/>
  <c r="D2675" i="3" a="1"/>
  <c r="D2348" i="3" a="1"/>
  <c r="D2431" i="3" a="1"/>
  <c r="D8402" i="3" a="1"/>
  <c r="D2776" i="3" a="1"/>
  <c r="D2109" i="3" a="1"/>
  <c r="D543" i="3" a="1"/>
  <c r="D8188" i="3" a="1"/>
  <c r="D2661" i="3" a="1"/>
  <c r="D410" i="3" a="1"/>
  <c r="D2140" i="3" a="1"/>
  <c r="D8396" i="3" a="1"/>
  <c r="D723" i="3" a="1"/>
  <c r="D8259" i="3" a="1"/>
  <c r="D2139" i="3" a="1"/>
  <c r="D2365" i="3" a="1"/>
  <c r="D319" i="3" a="1"/>
  <c r="D2781" i="3" a="1"/>
  <c r="D2155" i="3" a="1"/>
  <c r="D2072" i="3" a="1"/>
  <c r="D643" i="3" a="1"/>
  <c r="D2873" i="3" a="1"/>
  <c r="D2810" i="3" a="1"/>
  <c r="D2110" i="3" a="1"/>
  <c r="D2294" i="3" a="1"/>
  <c r="D712" i="3" a="1"/>
  <c r="D822" i="3" a="1"/>
  <c r="D254" i="3" a="1"/>
  <c r="D547" i="3" a="1"/>
  <c r="D2454" i="3" a="1"/>
  <c r="D642" i="3" a="1"/>
  <c r="D2751" i="3" a="1"/>
  <c r="D2715" i="3" a="1"/>
  <c r="D8227" i="3" a="1"/>
  <c r="D8001" i="3" a="1"/>
  <c r="D2769" i="3" a="1"/>
  <c r="D2145" i="3" a="1"/>
  <c r="D622" i="3" a="1"/>
  <c r="D8287" i="3" a="1"/>
  <c r="D2159" i="3" a="1"/>
  <c r="D8240" i="3" a="1"/>
  <c r="D750" i="3" a="1"/>
  <c r="D2756" i="3" a="1"/>
  <c r="D2735" i="3" a="1"/>
  <c r="D2422" i="3" a="1"/>
  <c r="D510" i="3" a="1"/>
  <c r="D791" i="3" a="1"/>
  <c r="D2347" i="3" a="1"/>
  <c r="D8347" i="3" a="1"/>
  <c r="D2448" i="3" a="1"/>
  <c r="D8400" i="3" a="1"/>
  <c r="D2631" i="3" a="1"/>
  <c r="D466" i="3" a="1"/>
  <c r="D2866" i="3" a="1"/>
  <c r="D249" i="3" a="1"/>
  <c r="D2315" i="3" a="1"/>
  <c r="D2321" i="3" a="1"/>
  <c r="D8300" i="3" a="1"/>
  <c r="D8371" i="3" a="1"/>
  <c r="D278" i="3" a="1"/>
  <c r="D2310" i="3" a="1"/>
  <c r="D280" i="3" a="1"/>
  <c r="D2817" i="3" a="1"/>
  <c r="D403" i="3" a="1"/>
  <c r="D8321" i="3" a="1"/>
  <c r="D500" i="3" a="1"/>
  <c r="D8350" i="3" a="1"/>
  <c r="D8283" i="3" a="1"/>
  <c r="D2388" i="3" a="1"/>
  <c r="D398" i="3" a="1"/>
  <c r="D8017" i="3" a="1"/>
  <c r="D8473" i="3" a="1"/>
  <c r="D8412" i="3" a="1"/>
  <c r="D2871" i="3" a="1"/>
  <c r="D8333" i="3" a="1"/>
  <c r="D8070" i="3" a="1"/>
  <c r="D737" i="3" a="1"/>
  <c r="D2373" i="3" a="1"/>
  <c r="D8344" i="3" a="1"/>
  <c r="D2811" i="3" a="1"/>
  <c r="D7977" i="3" a="1"/>
  <c r="D2605" i="3" a="1"/>
  <c r="D8408" i="3" a="1"/>
  <c r="D2205" i="3" a="1"/>
  <c r="D2603" i="3" a="1"/>
  <c r="D418" i="3" a="1"/>
  <c r="D8448" i="3" a="1"/>
  <c r="D2564" i="3" a="1"/>
  <c r="D2141" i="3" a="1"/>
  <c r="D8007" i="3" a="1"/>
  <c r="D776" i="3" a="1"/>
  <c r="D744" i="3" a="1"/>
  <c r="D8192" i="3" a="1"/>
  <c r="D2453" i="3" a="1"/>
  <c r="D2550" i="3" a="1"/>
  <c r="D2717" i="3" a="1"/>
  <c r="D2293" i="3" a="1"/>
  <c r="D2053" i="3" a="1"/>
  <c r="D529" i="3" a="1"/>
  <c r="D2597" i="3" a="1"/>
  <c r="D512" i="3" a="1"/>
  <c r="D2782" i="3" a="1"/>
  <c r="D2297" i="3" a="1"/>
  <c r="D286" i="3" a="1"/>
  <c r="D326" i="3" a="1"/>
  <c r="D8313" i="3" a="1"/>
  <c r="D2711" i="3" a="1"/>
  <c r="D701" i="3" a="1"/>
  <c r="D2186" i="3" a="1"/>
  <c r="D2252" i="3" a="1"/>
  <c r="D8012" i="3" a="1"/>
  <c r="D2134" i="3" a="1"/>
  <c r="D715" i="3" a="1"/>
  <c r="D2296" i="3" a="1"/>
  <c r="D2808" i="3" a="1"/>
  <c r="D8035" i="3" a="1"/>
  <c r="D630" i="3" a="1"/>
  <c r="D8006" i="3" a="1"/>
  <c r="D2870" i="3" a="1"/>
  <c r="D2269" i="3" a="1"/>
  <c r="D2172" i="3" a="1"/>
  <c r="D2125" i="3" a="1"/>
  <c r="D2199" i="3" a="1"/>
  <c r="D2229" i="3" a="1"/>
  <c r="D2291" i="3" a="1"/>
  <c r="D2658" i="3" a="1"/>
  <c r="D2051" i="3" a="1"/>
  <c r="D2160" i="3" a="1"/>
  <c r="D8027" i="3" a="1"/>
  <c r="D608" i="3" a="1"/>
  <c r="D525" i="3" a="1"/>
  <c r="D2596" i="3" a="1"/>
  <c r="D2087" i="3" a="1"/>
  <c r="D2236" i="3" a="1"/>
  <c r="D8203" i="3" a="1"/>
  <c r="D8005" i="3" a="1"/>
  <c r="D2584" i="3" a="1"/>
  <c r="D8307" i="3" a="1"/>
  <c r="D2704" i="3" a="1"/>
  <c r="D2775" i="3" a="1"/>
  <c r="D632" i="3" a="1"/>
  <c r="D8216" i="3" a="1"/>
  <c r="D740" i="3" a="1"/>
  <c r="D481" i="3" a="1"/>
  <c r="D2525" i="3" a="1"/>
  <c r="D256" i="3" a="1"/>
  <c r="D2743" i="3" a="1"/>
  <c r="D517" i="3" a="1"/>
  <c r="D2258" i="3" a="1"/>
  <c r="D8077" i="3" a="1"/>
  <c r="D469" i="3" a="1"/>
  <c r="D519" i="3" a="1"/>
  <c r="D8323" i="3" a="1"/>
  <c r="D2255" i="3" a="1"/>
  <c r="D2253" i="3" a="1"/>
  <c r="D2437" i="3" a="1"/>
  <c r="D2706" i="3" a="1"/>
  <c r="D7985" i="3" a="1"/>
  <c r="D7978" i="3" a="1"/>
  <c r="D2434" i="3" a="1"/>
  <c r="D2529" i="3" a="1"/>
  <c r="D2182" i="3" a="1"/>
  <c r="D353" i="3" a="1"/>
  <c r="D772" i="3" a="1"/>
  <c r="D2371" i="3" a="1"/>
  <c r="D2132" i="3" a="1"/>
  <c r="D2192" i="3" a="1"/>
  <c r="D2153" i="3" a="1"/>
  <c r="D2555" i="3" a="1"/>
  <c r="D2357" i="3" a="1"/>
  <c r="D549" i="3" a="1"/>
  <c r="D8208" i="3" a="1"/>
  <c r="D297" i="3" a="1"/>
  <c r="D8349" i="3" a="1"/>
  <c r="D553" i="3" a="1"/>
  <c r="D2354" i="3" a="1"/>
  <c r="D792" i="3" a="1"/>
  <c r="D2667" i="3" a="1"/>
  <c r="D2379" i="3" a="1"/>
  <c r="D681" i="3" a="1"/>
  <c r="D2535" i="3" a="1"/>
  <c r="D2078" i="3" a="1"/>
  <c r="D557" i="3" a="1"/>
  <c r="D2436" i="3" a="1"/>
  <c r="D321" i="3" a="1"/>
  <c r="D626" i="3" a="1"/>
  <c r="D745" i="3" a="1"/>
  <c r="D2673" i="3" a="1"/>
  <c r="D735" i="3" a="1"/>
  <c r="D2385" i="3" a="1"/>
  <c r="D493" i="3" a="1"/>
  <c r="D2679" i="3" a="1"/>
  <c r="D2561" i="3" a="1"/>
  <c r="D2185" i="3" a="1"/>
  <c r="D2227" i="3" a="1"/>
  <c r="D2720" i="3" a="1"/>
  <c r="D573" i="3" a="1"/>
  <c r="D2534" i="3" a="1"/>
  <c r="D8381" i="3" a="1"/>
  <c r="D351" i="3" a="1"/>
  <c r="D8386" i="3" a="1"/>
  <c r="D8443" i="3" a="1"/>
  <c r="D405" i="3" a="1"/>
  <c r="D2718" i="3" a="1"/>
  <c r="D814" i="3" a="1"/>
  <c r="D8361" i="3" a="1"/>
  <c r="D2894" i="3" a="1"/>
  <c r="D8394" i="3" a="1"/>
  <c r="D2168" i="3" a="1"/>
  <c r="D8345" i="3" a="1"/>
  <c r="D8528" i="3" a="1"/>
  <c r="D2642" i="3" a="1"/>
  <c r="D2116" i="3" a="1"/>
  <c r="D333" i="3" a="1"/>
  <c r="D2766" i="3" a="1"/>
  <c r="D2559" i="3" a="1"/>
  <c r="D2068" i="3" a="1"/>
  <c r="D456" i="3" a="1"/>
  <c r="D2197" i="3" a="1"/>
  <c r="D2304" i="3" a="1"/>
  <c r="D2372" i="3" a="1"/>
  <c r="D2274" i="3" a="1"/>
  <c r="D2148" i="3" a="1"/>
  <c r="D2764" i="3" a="1"/>
  <c r="D2773" i="3" a="1"/>
  <c r="D704" i="3" a="1"/>
  <c r="D303" i="3" a="1"/>
  <c r="D825" i="3" a="1"/>
  <c r="D8023" i="3" a="1"/>
  <c r="D2585" i="3" a="1"/>
  <c r="D417" i="3" a="1"/>
  <c r="D2638" i="3" a="1"/>
  <c r="D2287" i="3" a="1"/>
  <c r="D2263" i="3" a="1"/>
  <c r="D558" i="3" a="1"/>
  <c r="D2288" i="3" a="1"/>
  <c r="D413" i="3" a="1"/>
  <c r="D678" i="3" a="1"/>
  <c r="D2713" i="3" a="1"/>
  <c r="D710" i="3" a="1"/>
  <c r="D8278" i="3" a="1"/>
  <c r="D495" i="3" a="1"/>
  <c r="D796" i="3" a="1"/>
  <c r="D2809" i="3" a="1"/>
  <c r="D2226" i="3" a="1"/>
  <c r="D502" i="3" a="1"/>
  <c r="D478" i="3" a="1"/>
  <c r="D2656" i="3" a="1"/>
  <c r="D2130" i="3" a="1"/>
  <c r="D8285" i="3" a="1"/>
  <c r="D561" i="3" a="1"/>
  <c r="D2807" i="3" a="1"/>
  <c r="D2855" i="3" a="1"/>
  <c r="D8384" i="3" a="1"/>
  <c r="D8237" i="3" a="1"/>
  <c r="D763" i="3" a="1"/>
  <c r="D2606" i="3" a="1"/>
  <c r="D2819" i="3" a="1"/>
  <c r="D667" i="3" a="1"/>
  <c r="D8529" i="3" a="1"/>
  <c r="D2887" i="3" a="1"/>
  <c r="D2616" i="3" a="1"/>
  <c r="D2356" i="3" a="1"/>
  <c r="D2552" i="3" a="1"/>
  <c r="D2204" i="3" a="1"/>
  <c r="D2300" i="3" a="1"/>
  <c r="D2595" i="3" a="1"/>
  <c r="D2864" i="3" a="1"/>
  <c r="D8193" i="3" a="1"/>
  <c r="D627" i="3" a="1"/>
  <c r="D2368" i="3" a="1"/>
  <c r="D2463" i="3" a="1"/>
  <c r="D8221" i="3" a="1"/>
  <c r="D322" i="3" a="1"/>
  <c r="D2360" i="3" a="1"/>
  <c r="D577" i="3" a="1"/>
  <c r="D754" i="3" a="1"/>
  <c r="D2163" i="3" a="1"/>
  <c r="D8354" i="3" a="1"/>
  <c r="D8426" i="3" a="1"/>
  <c r="D7987" i="3" a="1"/>
  <c r="D2441" i="3" a="1"/>
  <c r="D2657" i="3" a="1"/>
  <c r="D2526" i="3" a="1"/>
  <c r="D457" i="3" a="1"/>
  <c r="D2124" i="3" a="1"/>
  <c r="D2566" i="3" a="1"/>
  <c r="D8374" i="3" a="1"/>
  <c r="D2276" i="3" a="1"/>
  <c r="D8370" i="3" a="1"/>
  <c r="D562" i="3" a="1"/>
  <c r="D601" i="3" a="1"/>
  <c r="D2843" i="3" a="1"/>
  <c r="D8358" i="3" a="1"/>
  <c r="D8395" i="3" a="1"/>
  <c r="D570" i="3" a="1"/>
  <c r="D706" i="3" a="1"/>
  <c r="D2868" i="3" a="1"/>
  <c r="D8353" i="3" a="1"/>
  <c r="D2261" i="3" a="1"/>
  <c r="D585" i="3" a="1"/>
  <c r="D253" i="3" a="1"/>
  <c r="D2712" i="3" a="1"/>
  <c r="D2202" i="3" a="1"/>
  <c r="D2895" i="3" a="1"/>
  <c r="D2319" i="3" a="1"/>
  <c r="D2632" i="3" a="1"/>
  <c r="D2649" i="3" a="1"/>
  <c r="D8401" i="3" a="1"/>
  <c r="D2682" i="3" a="1"/>
  <c r="D2063" i="3" a="1"/>
  <c r="D2191" i="3" a="1"/>
  <c r="D2818" i="3" a="1"/>
  <c r="D2228" i="3" a="1"/>
  <c r="D2450" i="3" a="1"/>
  <c r="D479" i="3" a="1"/>
  <c r="D2383" i="3" a="1"/>
  <c r="D408" i="3" a="1"/>
  <c r="D699" i="3" a="1"/>
  <c r="D404" i="3" a="1"/>
  <c r="D616" i="3" a="1"/>
  <c r="D320" i="3" a="1"/>
  <c r="D767" i="3" a="1"/>
  <c r="D8329" i="3" a="1"/>
  <c r="D8383" i="3" a="1"/>
  <c r="D784" i="3" a="1"/>
  <c r="D248" i="3" a="1"/>
  <c r="D618" i="3" a="1"/>
  <c r="D2268" i="3" a="1"/>
  <c r="D2859" i="3" a="1"/>
  <c r="D2244" i="3" a="1"/>
  <c r="D2171" i="3" a="1"/>
  <c r="D8244" i="3" a="1"/>
  <c r="D245" i="3" a="1"/>
  <c r="D697" i="3" a="1"/>
  <c r="D2083" i="3" a="1"/>
  <c r="D411" i="3" a="1"/>
  <c r="D8268" i="3" a="1"/>
  <c r="D2442" i="3" a="1"/>
  <c r="D2724" i="3" a="1"/>
  <c r="D578" i="3" a="1"/>
  <c r="D2241" i="3" a="1"/>
  <c r="D356" i="3" a="1"/>
  <c r="D773" i="3" a="1"/>
  <c r="D2652" i="3" a="1"/>
  <c r="D8075" i="3" a="1"/>
  <c r="D8076" i="3" a="1"/>
  <c r="D530" i="3" a="1"/>
  <c r="D461" i="3" a="1"/>
  <c r="D741" i="3" a="1"/>
  <c r="D603" i="3" a="1"/>
  <c r="D2327" i="3" a="1"/>
  <c r="D2625" i="3" a="1"/>
  <c r="D2387" i="3" a="1"/>
  <c r="D396" i="3" a="1"/>
  <c r="D8264" i="3" a="1"/>
  <c r="D2551" i="3" a="1"/>
  <c r="D8276" i="3" a="1"/>
  <c r="D682" i="3" a="1"/>
  <c r="D2081" i="3" a="1"/>
  <c r="D2558" i="3" a="1"/>
  <c r="D8475" i="3" a="1"/>
  <c r="D774" i="3" a="1"/>
  <c r="D8034" i="3" a="1"/>
  <c r="D2047" i="3" a="1"/>
  <c r="D2655" i="3" a="1"/>
  <c r="D8416" i="3" a="1"/>
  <c r="D2879" i="3" a="1"/>
  <c r="D2737" i="3" a="1"/>
  <c r="D8324" i="3" a="1"/>
  <c r="D621" i="3" a="1"/>
  <c r="D362" i="3" a="1"/>
  <c r="D2710" i="3" a="1"/>
  <c r="D2458" i="3" a="1"/>
  <c r="D612" i="3" a="1"/>
  <c r="D8197" i="3" a="1"/>
  <c r="D2754" i="3" a="1"/>
  <c r="D2208" i="3" a="1"/>
  <c r="D2802" i="3" a="1"/>
  <c r="D827" i="3" a="1"/>
  <c r="D614" i="3" a="1"/>
  <c r="D395" i="3" a="1"/>
  <c r="D7984" i="3" a="1"/>
  <c r="D2670" i="3" a="1"/>
  <c r="D526" i="3" a="1"/>
  <c r="D2622" i="3" a="1"/>
  <c r="D246" i="3" a="1"/>
  <c r="D680" i="3" a="1"/>
  <c r="C4" i="83" a="1"/>
  <c r="D579" i="3" a="1"/>
  <c r="D2792" i="3" a="1"/>
  <c r="D2075" i="3" a="1"/>
  <c r="D8422" i="3" a="1"/>
  <c r="D8417" i="3" a="1"/>
  <c r="D2062" i="3" a="1"/>
  <c r="D255" i="3" a="1"/>
  <c r="D2170" i="3" a="1"/>
  <c r="D2451" i="3" a="1"/>
  <c r="D2777" i="3" a="1"/>
  <c r="D8277" i="3" a="1"/>
  <c r="D2860" i="3" a="1"/>
  <c r="D400" i="3" a="1"/>
  <c r="D2747" i="3" a="1"/>
  <c r="D509" i="3" a="1"/>
  <c r="D2538" i="3" a="1"/>
  <c r="D8477" i="3" a="1"/>
  <c r="D470" i="3" a="1"/>
  <c r="D778" i="3" a="1"/>
  <c r="D727" i="3" a="1"/>
  <c r="D8266" i="3" a="1"/>
  <c r="D2800" i="3" a="1"/>
  <c r="D2376" i="3" a="1"/>
  <c r="D794" i="3" a="1"/>
  <c r="D8299" i="3" a="1"/>
  <c r="D8235" i="3" a="1"/>
  <c r="D2708" i="3" a="1"/>
  <c r="D2309" i="3" a="1"/>
  <c r="D775" i="3" a="1"/>
  <c r="D782" i="3" a="1"/>
  <c r="D527" i="3" a="1"/>
  <c r="D2147" i="3" a="1"/>
  <c r="D8309" i="3" a="1"/>
  <c r="D646" i="3" a="1"/>
  <c r="D2643" i="3" a="1"/>
  <c r="D702" i="3" a="1"/>
  <c r="D639" i="3" a="1"/>
  <c r="D689" i="3" a="1"/>
  <c r="D672" i="3" a="1"/>
  <c r="D2133" i="3" a="1"/>
  <c r="D683" i="3" a="1"/>
  <c r="D2805" i="3" a="1"/>
  <c r="D531" i="3" a="1"/>
  <c r="D7996" i="3" a="1"/>
  <c r="D422" i="3" a="1"/>
  <c r="D2856" i="3" a="1"/>
  <c r="D781" i="3" a="1"/>
  <c r="D2198" i="3" a="1"/>
  <c r="D2788" i="3" a="1"/>
  <c r="D2174" i="3" a="1"/>
  <c r="D728" i="3" a="1"/>
  <c r="D2242" i="3" a="1"/>
  <c r="D2104" i="3" a="1"/>
  <c r="I8020" i="3"/>
  <c r="D290" i="3" a="1"/>
  <c r="D2439" i="3" a="1"/>
  <c r="D635" i="3" a="1"/>
  <c r="D2195" i="3" a="1"/>
  <c r="D691" i="3" a="1"/>
  <c r="D586" i="3" a="1"/>
  <c r="D490" i="3" a="1"/>
  <c r="D2669" i="3" a="1"/>
  <c r="D2553" i="3" a="1"/>
  <c r="D2282" i="3" a="1"/>
  <c r="D8241" i="3" a="1"/>
  <c r="D2142" i="3" a="1"/>
  <c r="D2548" i="3" a="1"/>
  <c r="D2753" i="3" a="1"/>
  <c r="D8186" i="3" a="1"/>
  <c r="D787" i="3" a="1"/>
  <c r="D766" i="3" a="1"/>
  <c r="D2590" i="3" a="1"/>
  <c r="D2784" i="3" a="1"/>
  <c r="D302" i="3" a="1"/>
  <c r="D8334" i="3" a="1"/>
  <c r="D724" i="3" a="1"/>
  <c r="D8256" i="3" a="1"/>
  <c r="D2112" i="3" a="1"/>
  <c r="D826" i="3" a="1"/>
  <c r="D7982" i="3" a="1"/>
  <c r="D2841" i="3" a="1"/>
  <c r="D465" i="3" a="1"/>
  <c r="D730" i="3" a="1"/>
  <c r="D8230" i="3" a="1"/>
  <c r="D798" i="3" a="1"/>
  <c r="D2289" i="3" a="1"/>
  <c r="D534" i="3" a="1"/>
  <c r="D664" i="3" a="1"/>
  <c r="D2651" i="3" a="1"/>
  <c r="D581" i="3" a="1"/>
  <c r="D8274" i="3" a="1"/>
  <c r="D2634" i="3" a="1"/>
  <c r="D279" i="3" a="1"/>
  <c r="D2748" i="3" a="1"/>
  <c r="C4" i="117" a="1"/>
  <c r="D2344" i="3" a="1"/>
  <c r="D8326" i="3" a="1"/>
  <c r="D2061" i="3" a="1"/>
  <c r="D7997" i="3" a="1"/>
  <c r="D7994" i="3" a="1"/>
  <c r="D8474" i="3" a="1"/>
  <c r="D296" i="3" a="1"/>
  <c r="D8331" i="3" a="1"/>
  <c r="D8397" i="3" a="1"/>
  <c r="D2270" i="3" a="1"/>
  <c r="D2882" i="3" a="1"/>
  <c r="D2541" i="3" a="1"/>
  <c r="D2562" i="3" a="1"/>
  <c r="D8229" i="3" a="1"/>
  <c r="D677" i="3" a="1"/>
  <c r="D292" i="3" a="1"/>
  <c r="D2728" i="3" a="1"/>
  <c r="D8530" i="3" a="1"/>
  <c r="D474" i="3" a="1"/>
  <c r="D746" i="3" a="1"/>
  <c r="D2545" i="3" a="1"/>
  <c r="D789" i="3" a="1"/>
  <c r="D8479" i="3" a="1"/>
  <c r="D8393" i="3" a="1"/>
  <c r="D640" i="3" a="1"/>
  <c r="D2617" i="3" a="1"/>
  <c r="D2377" i="3" a="1"/>
  <c r="D8327" i="3" a="1"/>
  <c r="D7983" i="3" a="1"/>
  <c r="D8271" i="3" a="1"/>
  <c r="D707" i="3" a="1"/>
  <c r="D2325" i="3" a="1"/>
  <c r="D8238" i="3" a="1"/>
  <c r="D8421" i="3" a="1"/>
  <c r="D8292" i="3" a="1"/>
  <c r="D2131" i="3" a="1"/>
  <c r="D258" i="3" a="1"/>
  <c r="D328" i="3" a="1"/>
  <c r="D8342" i="3" a="1"/>
  <c r="D722" i="3" a="1"/>
  <c r="D274" i="3" a="1"/>
  <c r="D2537" i="3" a="1"/>
  <c r="D2324" i="3" a="1"/>
  <c r="D332" i="3" a="1"/>
  <c r="D2626" i="3" a="1"/>
  <c r="D739" i="3" a="1"/>
  <c r="D2076" i="3" a="1"/>
  <c r="D503" i="3" a="1"/>
  <c r="D8199" i="3" a="1"/>
  <c r="D8187" i="3" a="1"/>
  <c r="D8272" i="3" a="1"/>
  <c r="D2326" i="3" a="1"/>
  <c r="D8440" i="3" a="1"/>
  <c r="D815" i="3" a="1"/>
  <c r="D8314" i="3" a="1"/>
  <c r="D2378" i="3" a="1"/>
  <c r="D8362" i="3" a="1"/>
  <c r="D8318" i="3" a="1"/>
  <c r="D2531" i="3" a="1"/>
  <c r="D2664" i="3" a="1"/>
  <c r="D2256" i="3" a="1"/>
  <c r="D687" i="3" a="1"/>
  <c r="D8478" i="3" a="1"/>
  <c r="D8246" i="3" a="1"/>
  <c r="D7995" i="3" a="1"/>
  <c r="D2455" i="3" a="1"/>
  <c r="D2672" i="3" a="1"/>
  <c r="D2301" i="3" a="1"/>
  <c r="D2178" i="3" a="1"/>
  <c r="D733" i="3" a="1"/>
  <c r="D8442" i="3" a="1"/>
  <c r="D8275" i="3" a="1"/>
  <c r="D598" i="3" a="1"/>
  <c r="D669" i="3" a="1"/>
  <c r="D2262" i="3" a="1"/>
  <c r="D2079" i="3" a="1"/>
  <c r="D8217" i="3" a="1"/>
  <c r="D729" i="3" a="1"/>
  <c r="D359" i="3" a="1"/>
  <c r="D2295" i="3" a="1"/>
  <c r="D2530" i="3" a="1"/>
  <c r="D2546" i="3" a="1"/>
  <c r="D2736" i="3" a="1"/>
  <c r="D2665" i="3" a="1"/>
  <c r="D8202" i="3" a="1"/>
  <c r="D2536" i="3" a="1"/>
  <c r="D520" i="3" a="1"/>
  <c r="D2588" i="3" a="1"/>
  <c r="D2073" i="3" a="1"/>
  <c r="D2250" i="3" a="1"/>
  <c r="D2381" i="3" a="1"/>
  <c r="D2635" i="3" a="1"/>
  <c r="D8261" i="3" a="1"/>
  <c r="D323" i="3" a="1"/>
  <c r="D568" i="3" a="1"/>
  <c r="D2893" i="3" a="1"/>
  <c r="D414" i="3" a="1"/>
  <c r="D2161" i="3" a="1"/>
  <c r="D637" i="3" a="1"/>
  <c r="D8222" i="3" a="1"/>
  <c r="D2275" i="3" a="1"/>
  <c r="D2741" i="3" a="1"/>
  <c r="D462" i="3" a="1"/>
  <c r="D556" i="3" a="1"/>
  <c r="D2243" i="3" a="1"/>
  <c r="D2240" i="3" a="1"/>
  <c r="D8013" i="3" a="1"/>
  <c r="D2193" i="3" a="1"/>
  <c r="D2660" i="3" a="1"/>
  <c r="D8260" i="3" a="1"/>
  <c r="D516" i="3" a="1"/>
  <c r="D2786" i="3" a="1"/>
  <c r="D8356" i="3" a="1"/>
  <c r="D580" i="3" a="1"/>
  <c r="D2353" i="3" a="1"/>
  <c r="D2619" i="3" a="1"/>
  <c r="D785" i="3" a="1"/>
  <c r="D2049" i="3" a="1"/>
  <c r="D636" i="3" a="1"/>
  <c r="D8406" i="3" a="1"/>
  <c r="D8301" i="3" a="1"/>
  <c r="D293" i="3" a="1"/>
  <c r="D8206" i="3" a="1"/>
  <c r="D2567" i="3" a="1"/>
  <c r="D624" i="3" a="1"/>
  <c r="D8302" i="3" a="1"/>
  <c r="D761" i="3" a="1"/>
  <c r="D8190" i="3" a="1"/>
  <c r="D2888" i="3" a="1"/>
  <c r="D2067" i="3" a="1"/>
  <c r="D2279" i="3" a="1"/>
  <c r="D357" i="3" a="1"/>
  <c r="D797" i="3" a="1"/>
  <c r="D2750" i="3" a="1"/>
  <c r="D8201" i="3" a="1"/>
  <c r="D760" i="3" a="1"/>
  <c r="D2175" i="3" a="1"/>
  <c r="D2594" i="3" a="1"/>
  <c r="D8441" i="3" a="1"/>
  <c r="D572" i="3" a="1"/>
  <c r="D8338" i="3" a="1"/>
  <c r="D2151" i="3" a="1"/>
  <c r="D2167" i="3" a="1"/>
  <c r="D742" i="3" a="1"/>
  <c r="D2620" i="3" a="1"/>
  <c r="D2150" i="3" a="1"/>
  <c r="D8220" i="3" a="1"/>
  <c r="D676" i="3" a="1"/>
  <c r="D2863" i="3" a="1"/>
  <c r="D501" i="3" a="1"/>
  <c r="D2528" i="3" a="1"/>
  <c r="D743" i="3" a="1"/>
  <c r="D477" i="3" a="1"/>
  <c r="D2671" i="3" a="1"/>
  <c r="D251" i="3" a="1"/>
  <c r="D620" i="3" a="1"/>
  <c r="D716" i="3" a="1"/>
  <c r="D2126" i="3" a="1"/>
  <c r="D2048" i="3" a="1"/>
  <c r="D8420" i="3" a="1"/>
  <c r="D289" i="3" a="1"/>
  <c r="D8033" i="3" a="1"/>
  <c r="D8196" i="3" a="1"/>
  <c r="D2180" i="3" a="1"/>
  <c r="D756" i="3" a="1"/>
  <c r="D823" i="3" a="1"/>
  <c r="D2305" i="3" a="1"/>
  <c r="D576" i="3" a="1"/>
  <c r="D2886" i="3" a="1"/>
  <c r="D2565" i="3" a="1"/>
  <c r="D2443" i="3" a="1"/>
  <c r="D8219" i="3" a="1"/>
  <c r="D8232" i="3" a="1"/>
  <c r="D492" i="3" a="1"/>
  <c r="D421" i="3" a="1"/>
  <c r="D582" i="3" a="1"/>
  <c r="D2249" i="3" a="1"/>
  <c r="D2358" i="3" a="1"/>
  <c r="D2890" i="3" a="1"/>
  <c r="D2459" i="3" a="1"/>
  <c r="D2055" i="3" a="1"/>
  <c r="D2684" i="3" a="1"/>
  <c r="D584" i="3" a="1"/>
  <c r="D2744" i="3" a="1"/>
  <c r="D2462" i="3" a="1"/>
  <c r="D2366" i="3" a="1"/>
  <c r="D790" i="3" a="1"/>
  <c r="D2277" i="3" a="1"/>
  <c r="D771" i="3" a="1"/>
  <c r="D8311" i="3" a="1"/>
  <c r="D2290" i="3" a="1"/>
  <c r="D8445" i="3" a="1"/>
  <c r="D2430" i="3" a="1"/>
  <c r="D2601" i="3" a="1"/>
  <c r="D397" i="3" a="1"/>
  <c r="D563" i="3" a="1"/>
  <c r="D2666" i="3" a="1"/>
  <c r="D8369" i="3" a="1"/>
  <c r="D8411" i="3" a="1"/>
  <c r="D8435" i="3" a="1"/>
  <c r="D2363" i="3" a="1"/>
  <c r="D2328" i="3" a="1"/>
  <c r="D2739" i="3" a="1"/>
  <c r="D821" i="3" a="1"/>
  <c r="D2056" i="3" a="1"/>
  <c r="D818" i="3" a="1"/>
  <c r="D355" i="3" a="1"/>
  <c r="D2449" i="3" a="1"/>
  <c r="D2770" i="3" a="1"/>
  <c r="D674" i="3" a="1"/>
  <c r="D2120" i="3" a="1"/>
  <c r="D566" i="3" a="1"/>
  <c r="D8289" i="3" a="1"/>
  <c r="D277" i="3" a="1"/>
  <c r="D8398" i="3" a="1"/>
  <c r="D8059" i="3" a="1"/>
  <c r="D8236" i="3" a="1"/>
  <c r="D2058" i="3" a="1"/>
  <c r="D2730" i="3" a="1"/>
  <c r="D2633" i="3" a="1"/>
  <c r="D349" i="3" a="1"/>
  <c r="D8280" i="3" a="1"/>
  <c r="D2064" i="3" a="1"/>
  <c r="D2119" i="3" a="1"/>
  <c r="D597" i="3" a="1"/>
  <c r="D8226" i="3" a="1"/>
  <c r="D8028" i="3" a="1"/>
  <c r="D2814" i="3" a="1"/>
  <c r="D8317" i="3" a="1"/>
  <c r="D475" i="3" a="1"/>
  <c r="D8527" i="3" a="1"/>
  <c r="D532" i="3" a="1"/>
  <c r="D8057" i="3" a="1"/>
  <c r="D2801" i="3" a="1"/>
  <c r="D8419" i="3" a="1"/>
  <c r="D8306" i="3" a="1"/>
  <c r="D7998" i="3" a="1"/>
  <c r="D7976" i="3" a="1"/>
  <c r="D2793" i="3" a="1"/>
  <c r="D2421" i="3" a="1"/>
  <c r="D8204" i="3" a="1"/>
  <c r="D588" i="3" a="1"/>
  <c r="D2795" i="3" a="1"/>
  <c r="D633" i="3" a="1"/>
  <c r="D2267" i="3" a="1"/>
  <c r="D2374" i="3" a="1"/>
  <c r="D2592" i="3" a="1"/>
  <c r="D587" i="3" a="1"/>
  <c r="D2883" i="3" a="1"/>
  <c r="D2867" i="3" a="1"/>
  <c r="D460" i="3" a="1"/>
  <c r="D2382" i="3" a="1"/>
  <c r="D2725" i="3" a="1"/>
  <c r="D499" i="3" a="1"/>
  <c r="D2610" i="3" a="1"/>
  <c r="D2849" i="3" a="1"/>
  <c r="D725" i="3" a="1"/>
  <c r="D2071" i="3" a="1"/>
  <c r="D762" i="3" a="1"/>
  <c r="D8319" i="3" a="1"/>
  <c r="D2791" i="3" a="1"/>
  <c r="D2429" i="3" a="1"/>
  <c r="D2285" i="3" a="1"/>
  <c r="D508" i="3" a="1"/>
  <c r="D2237" i="3" a="1"/>
  <c r="D2060" i="3" a="1"/>
  <c r="D8258" i="3" a="1"/>
  <c r="D2118" i="3" a="1"/>
  <c r="D2865" i="3" a="1"/>
  <c r="D7979" i="3" a="1"/>
  <c r="D2876" i="3" a="1"/>
  <c r="D8368" i="3" a="1"/>
  <c r="D8425" i="3" a="1"/>
  <c r="D2885" i="3" a="1"/>
  <c r="D2641" i="3" a="1"/>
  <c r="D285" i="3" a="1"/>
  <c r="D828" i="3" a="1"/>
  <c r="D420" i="3" a="1"/>
  <c r="D8429" i="3" a="1"/>
  <c r="D2173" i="3" a="1"/>
  <c r="D8363" i="3" a="1"/>
  <c r="D2884" i="3" a="1"/>
  <c r="D2351" i="3" a="1"/>
  <c r="D7986" i="3" a="1"/>
  <c r="D8525" i="3" a="1"/>
  <c r="D352" i="3" a="1"/>
  <c r="D2264" i="3" a="1"/>
  <c r="D2745" i="3" a="1"/>
  <c r="D2380" i="3" a="1"/>
  <c r="D2527" i="3" a="1"/>
  <c r="D2738" i="3" a="1"/>
  <c r="D2847" i="3" a="1"/>
  <c r="D407" i="3" a="1"/>
  <c r="D2623" i="3" a="1"/>
  <c r="D596" i="3" a="1"/>
  <c r="D498" i="3" a="1"/>
  <c r="D550" i="3" a="1"/>
  <c r="D548" i="3" a="1"/>
  <c r="D2607" i="3" a="1"/>
  <c r="D2433" i="3" a="1"/>
  <c r="D8366" i="3" a="1"/>
  <c r="D2457" i="3" a="1"/>
  <c r="D8330" i="3" a="1"/>
  <c r="D8224" i="3" a="1"/>
  <c r="D545" i="3" a="1"/>
  <c r="D2839" i="3" a="1"/>
  <c r="D711" i="3" a="1"/>
  <c r="D2245" i="3" a="1"/>
  <c r="D8253" i="3" a="1"/>
  <c r="D7981" i="3" a="1"/>
  <c r="D595" i="3" a="1"/>
  <c r="D2842" i="3" a="1"/>
  <c r="D247" i="3" a="1"/>
  <c r="D8346" i="3" a="1"/>
  <c r="D2143" i="3" a="1"/>
  <c r="D2259" i="3" a="1"/>
  <c r="D2323" i="3" a="1"/>
  <c r="D590" i="3" a="1"/>
  <c r="D2266" i="3" a="1"/>
  <c r="D8293" i="3" a="1"/>
  <c r="D489" i="3" a="1"/>
  <c r="D8409" i="3" a="1"/>
  <c r="D2543" i="3" a="1"/>
  <c r="D2166" i="3" a="1"/>
  <c r="D2719" i="3" a="1"/>
  <c r="D325" i="3" a="1"/>
  <c r="D2898" i="3" a="1"/>
  <c r="D2853" i="3" a="1"/>
  <c r="D2272" i="3" a="1"/>
  <c r="D2680" i="3" a="1"/>
  <c r="D2046" i="3" a="1"/>
  <c r="D734" i="3" a="1"/>
  <c r="D2624" i="3" a="1"/>
  <c r="D327" i="3" a="1"/>
  <c r="D8337" i="3" a="1"/>
  <c r="D2121" i="3" a="1"/>
  <c r="D2812" i="3" a="1"/>
  <c r="D758" i="3" a="1"/>
  <c r="D2461" i="3" a="1"/>
  <c r="D7980" i="3" a="1"/>
  <c r="D705" i="3" a="1"/>
  <c r="D8523" i="3" a="1"/>
  <c r="D2080" i="3" a="1"/>
  <c r="D2815" i="3" a="1"/>
  <c r="D2874" i="3" a="1"/>
  <c r="D2440" i="3" a="1"/>
  <c r="D2547" i="3" a="1"/>
  <c r="D768" i="3" a="1"/>
  <c r="D2426" i="3" a="1"/>
  <c r="D623" i="3" a="1"/>
  <c r="D2850" i="3" a="1"/>
  <c r="D358" i="3" a="1"/>
  <c r="D2445" i="3" a="1"/>
  <c r="D2822" i="3" a="1"/>
  <c r="D2085" i="3" a="1"/>
  <c r="D399" i="3" a="1"/>
  <c r="D2146" i="3" a="1"/>
  <c r="D708" i="3" a="1"/>
  <c r="D2763" i="3" a="1"/>
  <c r="D8341" i="3" a="1"/>
  <c r="D634" i="3" a="1"/>
  <c r="D8410" i="3" a="1"/>
  <c r="D8312" i="3" a="1"/>
  <c r="D2880" i="3" a="1"/>
  <c r="D2647" i="3" a="1"/>
  <c r="D2108" i="3" a="1"/>
  <c r="D2721" i="3" a="1"/>
  <c r="D2307" i="3" a="1"/>
  <c r="D8213" i="3" a="1"/>
  <c r="D2106" i="3" a="1"/>
  <c r="D606" i="3" a="1"/>
  <c r="D2157" i="3" a="1"/>
  <c r="D8387" i="3" a="1"/>
  <c r="D564" i="3" a="1"/>
  <c r="D641" i="3" a="1"/>
  <c r="D476" i="3" a="1"/>
  <c r="D2281" i="3" a="1"/>
  <c r="D645" i="3" a="1"/>
  <c r="D8029" i="3" a="1"/>
  <c r="D8404" i="3" a="1"/>
  <c r="D2177" i="3" a="1"/>
  <c r="D544" i="3" a="1"/>
  <c r="D2560" i="3" a="1"/>
  <c r="D8294" i="3" a="1"/>
  <c r="D8263" i="3" a="1"/>
  <c r="D522" i="3" a="1"/>
  <c r="D2639" i="3" a="1"/>
  <c r="D298" i="3" a="1"/>
  <c r="D2729" i="3" a="1"/>
  <c r="D2587" i="3" a="1"/>
  <c r="D8003" i="3" a="1"/>
  <c r="D2303" i="3" a="1"/>
  <c r="D2636" i="3" a="1"/>
  <c r="D2452" i="3" a="1"/>
  <c r="D747" i="3" a="1"/>
  <c r="D2783" i="3" a="1"/>
  <c r="D8348" i="3" a="1"/>
  <c r="D628" i="3" a="1"/>
  <c r="D2362" i="3" a="1"/>
  <c r="D2306" i="3" a="1"/>
  <c r="D8194" i="3" a="1"/>
  <c r="D551" i="3" a="1"/>
  <c r="D8282" i="3" a="1"/>
  <c r="D693" i="3" a="1"/>
  <c r="D2127" i="3" a="1"/>
  <c r="D8379" i="3" a="1"/>
  <c r="D721" i="3" a="1"/>
  <c r="D820" i="3" a="1"/>
  <c r="D2428" i="3" a="1"/>
  <c r="D2722" i="3" a="1"/>
  <c r="D2239" i="3" a="1"/>
  <c r="D8365" i="3" a="1"/>
  <c r="D2794" i="3" a="1"/>
  <c r="D2897" i="3" a="1"/>
  <c r="D726" i="3" a="1"/>
  <c r="D8449" i="3" a="1"/>
  <c r="D692" i="3" a="1"/>
  <c r="D2346" i="3" a="1"/>
  <c r="D625" i="3" a="1"/>
  <c r="D2615" i="3" a="1"/>
  <c r="D714" i="3" a="1"/>
  <c r="D8427" i="3" a="1"/>
  <c r="D2233" i="3" a="1"/>
  <c r="D2599" i="3" a="1"/>
  <c r="D521" i="3" a="1"/>
  <c r="D555" i="3" a="1"/>
  <c r="D668" i="3" a="1"/>
  <c r="D2057" i="3" a="1"/>
  <c r="D2187" i="3" a="1"/>
  <c r="D2752" i="3" a="1"/>
  <c r="D709" i="3" a="1"/>
  <c r="D2302" i="3" a="1"/>
  <c r="D515" i="3" a="1"/>
  <c r="D8205" i="3" a="1"/>
  <c r="D2107" i="3" a="1"/>
  <c r="D8407" i="3" a="1"/>
  <c r="D2231" i="3" a="1"/>
  <c r="D276" i="3" a="1"/>
  <c r="D731" i="3" a="1"/>
  <c r="D2065" i="3" a="1"/>
  <c r="D2313" i="3" a="1"/>
  <c r="D2345" i="3" a="1"/>
  <c r="D541" i="3" a="1"/>
  <c r="D284" i="3" a="1"/>
  <c r="D496" i="3" a="1"/>
  <c r="D2316" i="3" a="1"/>
  <c r="D8257" i="3" a="1"/>
  <c r="D2611" i="3" a="1"/>
  <c r="D2589" i="3" a="1"/>
  <c r="D454" i="3" a="1"/>
  <c r="D2251" i="3" a="1"/>
  <c r="D2767" i="3" a="1"/>
  <c r="D2869" i="3" a="1"/>
  <c r="D8315" i="3" a="1"/>
  <c r="D8228" i="3" a="1"/>
  <c r="D8273" i="3" a="1"/>
  <c r="D8305" i="3" a="1"/>
  <c r="D2813" i="3" a="1"/>
  <c r="D2420" i="3" a="1"/>
  <c r="D688" i="3" a="1"/>
  <c r="D8234" i="3" a="1"/>
  <c r="D8418" i="3" a="1"/>
  <c r="D244" i="3" a="1"/>
  <c r="D540" i="3" a="1"/>
  <c r="D2265" i="3" a="1"/>
  <c r="D8291" i="3" a="1"/>
  <c r="D713" i="3" a="1"/>
  <c r="D690" i="3" a="1"/>
  <c r="D679" i="3" a="1"/>
  <c r="D8436" i="3" a="1"/>
  <c r="D2298" i="3" a="1"/>
  <c r="D8242" i="3" a="1"/>
  <c r="D8290" i="3" a="1"/>
  <c r="D8212" i="3" a="1"/>
  <c r="D2054" i="3" a="1"/>
  <c r="D291" i="3" a="1"/>
  <c r="D2549" i="3" a="1"/>
  <c r="D2082" i="3" a="1"/>
  <c r="D686" i="3" a="1"/>
  <c r="D607" i="3" a="1"/>
  <c r="D7993" i="3" a="1"/>
  <c r="D736" i="3" a="1"/>
  <c r="D485" i="3" a="1"/>
  <c r="D2122" i="3" a="1"/>
  <c r="D8251" i="3" a="1"/>
  <c r="D8021" i="3" a="1"/>
  <c r="D2280" i="3" a="1"/>
  <c r="D571" i="3" a="1"/>
  <c r="D2144" i="3" a="1"/>
  <c r="D8262" i="3" a="1"/>
  <c r="D2359" i="3" a="1"/>
  <c r="D2852" i="3" a="1"/>
  <c r="D8438" i="3" a="1"/>
  <c r="D2190" i="3" a="1"/>
  <c r="D2716" i="3" a="1"/>
  <c r="D2283" i="3" a="1"/>
  <c r="D2568" i="3" a="1"/>
  <c r="D2260" i="3" a="1"/>
  <c r="D8403" i="3" a="1"/>
  <c r="D698" i="3" a="1"/>
  <c r="D757" i="3" a="1"/>
  <c r="D759" i="3" a="1"/>
  <c r="D324" i="3" a="1"/>
  <c r="D2640" i="3" a="1"/>
  <c r="D2361" i="3" a="1"/>
  <c r="D2200" i="3" a="1"/>
  <c r="D764" i="3" a="1"/>
  <c r="D287" i="3" a="1"/>
  <c r="D2678" i="3" a="1"/>
  <c r="D2456" i="3" a="1"/>
  <c r="D2598" i="3" a="1"/>
  <c r="D295" i="3" a="1"/>
  <c r="D2176" i="3" a="1"/>
  <c r="D2705" i="3" a="1"/>
  <c r="D613" i="3" a="1"/>
  <c r="D2612" i="3" a="1"/>
  <c r="D8247" i="3" a="1"/>
  <c r="D765" i="3" a="1"/>
  <c r="D8069" i="3" a="1"/>
  <c r="D2045" i="3" a="1"/>
  <c r="D8428" i="3" a="1"/>
  <c r="D2862" i="3" a="1"/>
  <c r="D8265" i="3" a="1"/>
  <c r="D2201" i="3" a="1"/>
  <c r="D2386" i="3" a="1"/>
  <c r="D2731" i="3" a="1"/>
  <c r="D2086" i="3" a="1"/>
  <c r="D824" i="3" a="1"/>
  <c r="D2637" i="3" a="1"/>
  <c r="D720" i="3" a="1"/>
  <c r="D8310" i="3" a="1"/>
  <c r="D2169" i="3" a="1"/>
  <c r="D282" i="3" a="1"/>
  <c r="D7992" i="3" a="1"/>
  <c r="D8058" i="3" a="1"/>
  <c r="D2273" i="3" a="1"/>
  <c r="D2427" i="3" a="1"/>
  <c r="D2203" i="3" a="1"/>
  <c r="D673" i="3" a="1"/>
  <c r="D2614" i="3" a="1"/>
  <c r="D275" i="3" a="1"/>
  <c r="D8388" i="3" a="1"/>
  <c r="D719" i="3" a="1"/>
  <c r="D402" i="3" a="1"/>
  <c r="D567" i="3" a="1"/>
  <c r="D412" i="3" a="1"/>
  <c r="D749" i="3" a="1"/>
  <c r="D700" i="3" a="1"/>
  <c r="D2230" i="3" a="1"/>
  <c r="D565" i="3" a="1"/>
  <c r="D350" i="3" a="1"/>
  <c r="D504" i="3" a="1"/>
  <c r="D2765" i="3" a="1"/>
  <c r="D8415" i="3" a="1"/>
  <c r="D468" i="3" a="1"/>
  <c r="D8424" i="3" a="1"/>
  <c r="D817" i="3" a="1"/>
  <c r="D2052" i="3" a="1"/>
  <c r="D611" i="3" a="1"/>
  <c r="D751" i="3" a="1"/>
  <c r="D2628" i="3" a="1"/>
  <c r="D575" i="3" a="1"/>
  <c r="D8476" i="3" a="1"/>
  <c r="D8439" i="3" a="1"/>
  <c r="D8391" i="3" a="1"/>
  <c r="D703" i="3" a="1"/>
  <c r="D2138" i="3" a="1"/>
  <c r="D2733" i="3" a="1"/>
  <c r="D8405" i="3" a="1"/>
  <c r="D2312" i="3" a="1"/>
  <c r="D2135" i="3" a="1"/>
  <c r="D536" i="3" a="1"/>
  <c r="D2872" i="3" a="1"/>
  <c r="D2787" i="3" a="1"/>
  <c r="D8433" i="3" a="1"/>
  <c r="D7989" i="3" a="1"/>
  <c r="D507" i="3" a="1"/>
  <c r="D2821" i="3" a="1"/>
  <c r="D8304" i="3" a="1"/>
  <c r="D8223" i="3" a="1"/>
  <c r="D2803" i="3" a="1"/>
  <c r="D602" i="3" a="1"/>
  <c r="D594" i="3" a="1"/>
  <c r="D2350" i="3" a="1"/>
  <c r="D2117" i="3" a="1"/>
  <c r="D2891" i="3" a="1"/>
  <c r="D2349" i="3" a="1"/>
  <c r="D8008" i="3" a="1"/>
  <c r="D2355" i="3" a="1"/>
  <c r="D518" i="3" a="1"/>
  <c r="D2069" i="3" a="1"/>
  <c r="D484" i="3" a="1"/>
  <c r="D695" i="3" a="1"/>
  <c r="D7999" i="3" a="1"/>
  <c r="D2544" i="3" a="1"/>
  <c r="D631" i="3" a="1"/>
  <c r="D487" i="3" a="1"/>
  <c r="D8009" i="3" a="1"/>
  <c r="D2308" i="3" a="1"/>
  <c r="D2286" i="3" a="1"/>
  <c r="D2137" i="3" a="1"/>
  <c r="D8211" i="3" a="1"/>
  <c r="D2771" i="3" a="1"/>
  <c r="D2224" i="3" a="1"/>
  <c r="D2820" i="3" a="1"/>
  <c r="D788" i="3" a="1"/>
  <c r="D2618" i="3" a="1"/>
  <c r="D8195" i="3" a="1"/>
  <c r="D2532" i="3" a="1"/>
  <c r="D8014" i="3" a="1"/>
  <c r="D486" i="3" a="1"/>
  <c r="D786" i="3" a="1"/>
  <c r="D283" i="3" a="1"/>
  <c r="D2370" i="3" a="1"/>
  <c r="D8270" i="3" a="1"/>
  <c r="D300" i="3" a="1"/>
  <c r="D8248" i="3" a="1"/>
  <c r="D2755" i="3" a="1"/>
  <c r="D779" i="3" a="1"/>
  <c r="D8335" i="3" a="1"/>
  <c r="D2419" i="3" a="1"/>
  <c r="D2586" i="3" a="1"/>
  <c r="D2196" i="3" a="1"/>
  <c r="D2114" i="3" a="1"/>
  <c r="D552" i="3" a="1"/>
  <c r="D8352" i="3" a="1"/>
  <c r="D2367" i="3" a="1"/>
  <c r="D675" i="3" a="1"/>
  <c r="D8286" i="3" a="1"/>
  <c r="D8252" i="3" a="1"/>
  <c r="D2681" i="3" a="1"/>
  <c r="D8432" i="3" a="1"/>
  <c r="D2066" i="3" a="1"/>
  <c r="D8385" i="3" a="1"/>
  <c r="D250" i="3" a="1"/>
  <c r="D2798" i="3" a="1"/>
  <c r="D538" i="3" a="1"/>
  <c r="D8000" i="3" a="1"/>
  <c r="D8377" i="3" a="1"/>
  <c r="D2759" i="3" a="1"/>
  <c r="D2630" i="3" a="1"/>
  <c r="D2447" i="3" a="1"/>
  <c r="D2892" i="3" a="1"/>
  <c r="D2602" i="3" a="1"/>
  <c r="D569" i="3" a="1"/>
  <c r="D8308" i="3" a="1"/>
  <c r="D8399" i="3" a="1"/>
  <c r="D8339" i="3" a="1"/>
  <c r="D8480" i="3" a="1"/>
  <c r="D2184" i="3" a="1"/>
  <c r="D8413" i="3" a="1"/>
  <c r="D2804" i="3" a="1"/>
  <c r="D8524" i="3" a="1"/>
  <c r="D2851" i="3" a="1"/>
  <c r="D2533" i="3" a="1"/>
  <c r="D8328" i="3" a="1"/>
  <c r="D2460" i="3" a="1"/>
  <c r="D2662" i="3" a="1"/>
  <c r="D330" i="3" a="1"/>
  <c r="D2207" i="3" a="1"/>
  <c r="D2646" i="3" a="1"/>
  <c r="D505" i="3" a="1"/>
  <c r="D329" i="3" a="1"/>
  <c r="D793" i="3" a="1"/>
  <c r="D2854" i="3" a="1"/>
  <c r="D2858" i="3" a="1"/>
  <c r="D2540" i="3" a="1"/>
  <c r="D8245" i="3" a="1"/>
  <c r="D2238" i="3" a="1"/>
  <c r="D472" i="3" a="1"/>
  <c r="D8351" i="3" a="1"/>
  <c r="D8239" i="3" a="1"/>
  <c r="D2732" i="3" a="1"/>
  <c r="D670" i="3" a="1"/>
  <c r="D752" i="3" a="1"/>
  <c r="D2188" i="3" a="1"/>
  <c r="D406" i="3" a="1"/>
  <c r="D8367" i="3" a="1"/>
  <c r="D2762" i="3" a="1"/>
  <c r="D288" i="3" a="1"/>
  <c r="D2591" i="3" a="1"/>
  <c r="D610" i="3" a="1"/>
  <c r="D2861" i="3" a="1"/>
  <c r="D2877" i="3" a="1"/>
  <c r="D488" i="3" a="1"/>
  <c r="D2375" i="3" a="1"/>
  <c r="D8357" i="3" a="1"/>
  <c r="D605" i="3" a="1"/>
  <c r="D2364" i="3" a="1"/>
  <c r="D2292" i="3" a="1"/>
  <c r="D506" i="3" a="1"/>
  <c r="D2845" i="3" a="1"/>
  <c r="D2796" i="3" a="1"/>
  <c r="D8364" i="3" a="1"/>
  <c r="D732" i="3" a="1"/>
  <c r="D8249" i="3" a="1"/>
  <c r="D2688" i="3" a="1"/>
  <c r="D2857" i="3" a="1"/>
  <c r="D2423" i="3" a="1"/>
  <c r="D2246" i="3" a="1"/>
  <c r="D2158" i="3" a="1"/>
  <c r="D2247" i="3" a="1"/>
  <c r="D494" i="3" a="1"/>
  <c r="D523" i="3" a="1"/>
  <c r="D8210" i="3" a="1"/>
  <c r="D2749" i="3" a="1"/>
  <c r="D2648" i="3" a="1"/>
  <c r="D8269" i="3" a="1"/>
  <c r="D2352" i="3" a="1"/>
  <c r="D8380" i="3" a="1"/>
  <c r="D2677" i="3" a="1"/>
  <c r="D2369" i="3" a="1"/>
  <c r="D718" i="3" a="1"/>
  <c r="D533" i="3" a="1"/>
  <c r="D2742" i="3" a="1"/>
  <c r="D2183" i="3" a="1"/>
  <c r="D2070" i="3" a="1"/>
  <c r="D8207" i="3" a="1"/>
  <c r="D717" i="3" a="1"/>
  <c r="D591" i="3" a="1"/>
  <c r="D2084" i="3" a="1"/>
  <c r="D8376" i="3" a="1"/>
  <c r="D2181" i="3" a="1"/>
  <c r="D2654" i="3" a="1"/>
  <c r="D2444" i="3" a="1"/>
  <c r="D8281" i="3" a="1"/>
  <c r="D8320" i="3" a="1"/>
  <c r="D648" i="3" a="1"/>
  <c r="D360" i="3" a="1"/>
  <c r="D2816" i="3" a="1"/>
  <c r="D2621" i="3" a="1"/>
  <c r="D638" i="3" a="1"/>
  <c r="D482" i="3" a="1"/>
  <c r="D8446" i="3" a="1"/>
  <c r="D2797" i="3" a="1"/>
  <c r="D2317" i="3" a="1"/>
  <c r="D2254" i="3" a="1"/>
  <c r="D8041" i="3" a="1"/>
  <c r="D8360" i="3" a="1"/>
  <c r="D528" i="3" a="1"/>
  <c r="D685" i="3" a="1"/>
  <c r="D609" i="3" a="1"/>
  <c r="D2627" i="3" a="1"/>
  <c r="D2685" i="3" a="1"/>
  <c r="D8255" i="3" a="1"/>
  <c r="H8020" i="3"/>
  <c r="D554" i="3" l="1"/>
  <c r="D2869" i="3"/>
  <c r="D8326" i="3"/>
  <c r="H8326" i="3" s="1"/>
  <c r="D741" i="3"/>
  <c r="D2677" i="3"/>
  <c r="D822" i="3"/>
  <c r="D8412" i="3"/>
  <c r="H8412" i="3" s="1"/>
  <c r="D2533" i="3"/>
  <c r="D8302" i="3"/>
  <c r="I8302" i="3" s="1"/>
  <c r="D8297" i="3"/>
  <c r="D623" i="3"/>
  <c r="D2361" i="3"/>
  <c r="D8259" i="3"/>
  <c r="I8259" i="3" s="1"/>
  <c r="D2753" i="3"/>
  <c r="D2232" i="3"/>
  <c r="D2355" i="3"/>
  <c r="D776" i="3"/>
  <c r="D2198" i="3"/>
  <c r="D8250" i="3"/>
  <c r="D2173" i="3"/>
  <c r="D2684" i="3"/>
  <c r="D2156" i="3"/>
  <c r="D2819" i="3"/>
  <c r="D2621" i="3"/>
  <c r="D2076" i="3"/>
  <c r="D496" i="3"/>
  <c r="D2777" i="3"/>
  <c r="D772" i="3"/>
  <c r="D8296" i="3"/>
  <c r="D493" i="3"/>
  <c r="D2538" i="3"/>
  <c r="D8292" i="3"/>
  <c r="I8292" i="3" s="1"/>
  <c r="D8249" i="3"/>
  <c r="J8249" i="3" s="1"/>
  <c r="D2364" i="3"/>
  <c r="C4" i="83"/>
  <c r="D2668" i="3"/>
  <c r="D2682" i="3"/>
  <c r="D2590" i="3"/>
  <c r="D461" i="3"/>
  <c r="D2610" i="3"/>
  <c r="D714" i="3"/>
  <c r="D8332" i="3"/>
  <c r="D676" i="3"/>
  <c r="D2729" i="3"/>
  <c r="D2557" i="3"/>
  <c r="D2304" i="3"/>
  <c r="D2720" i="3"/>
  <c r="D559" i="3"/>
  <c r="D361" i="3"/>
  <c r="D2661" i="3"/>
  <c r="D683" i="3"/>
  <c r="D301" i="3"/>
  <c r="D2181" i="3"/>
  <c r="D2810" i="3"/>
  <c r="D8408" i="3"/>
  <c r="D8226" i="3"/>
  <c r="D8438" i="3"/>
  <c r="D2151" i="3"/>
  <c r="D821" i="3"/>
  <c r="D2889" i="3"/>
  <c r="D356" i="3"/>
  <c r="D2743" i="3"/>
  <c r="D2075" i="3"/>
  <c r="D628" i="3"/>
  <c r="D2856" i="3"/>
  <c r="D462" i="3"/>
  <c r="D2196" i="3"/>
  <c r="D2252" i="3"/>
  <c r="D8235" i="3"/>
  <c r="D2864" i="3"/>
  <c r="D8478" i="3"/>
  <c r="J8478" i="3" s="1"/>
  <c r="D2645" i="3"/>
  <c r="D640" i="3"/>
  <c r="D8004" i="3"/>
  <c r="H8004" i="3" s="1"/>
  <c r="D2808" i="3"/>
  <c r="D740" i="3"/>
  <c r="D2707" i="3"/>
  <c r="D8367" i="3"/>
  <c r="I8367" i="3" s="1"/>
  <c r="D2430" i="3"/>
  <c r="D2087" i="3"/>
  <c r="D8267" i="3"/>
  <c r="D2366" i="3"/>
  <c r="D758" i="3"/>
  <c r="D8409" i="3"/>
  <c r="D2752" i="3"/>
  <c r="D325" i="3"/>
  <c r="D592" i="3"/>
  <c r="D358" i="3"/>
  <c r="D700" i="3"/>
  <c r="D2730" i="3"/>
  <c r="D716" i="3"/>
  <c r="D349" i="3"/>
  <c r="D8205" i="3"/>
  <c r="D8335" i="3"/>
  <c r="H8335" i="3" s="1"/>
  <c r="D2744" i="3"/>
  <c r="D2840" i="3"/>
  <c r="D2872" i="3"/>
  <c r="D2626" i="3"/>
  <c r="D545" i="3"/>
  <c r="D2197" i="3"/>
  <c r="D643" i="3"/>
  <c r="D778" i="3"/>
  <c r="D8266" i="3"/>
  <c r="D2896" i="3"/>
  <c r="D2670" i="3"/>
  <c r="D8352" i="3"/>
  <c r="I8352" i="3" s="1"/>
  <c r="D2121" i="3"/>
  <c r="D8479" i="3"/>
  <c r="I8479" i="3" s="1"/>
  <c r="D2772" i="3"/>
  <c r="D492" i="3"/>
  <c r="D2803" i="3"/>
  <c r="D2599" i="3"/>
  <c r="D2635" i="3"/>
  <c r="D517" i="3"/>
  <c r="D2203" i="3"/>
  <c r="D8347" i="3"/>
  <c r="D283" i="3"/>
  <c r="D717" i="3"/>
  <c r="D2272" i="3"/>
  <c r="D796" i="3"/>
  <c r="D2060" i="3"/>
  <c r="D2652" i="3"/>
  <c r="D7997" i="3"/>
  <c r="D2734" i="3"/>
  <c r="D359" i="3"/>
  <c r="D2781" i="3"/>
  <c r="D8256" i="3"/>
  <c r="D2460" i="3"/>
  <c r="D2775" i="3"/>
  <c r="D2786" i="3"/>
  <c r="D797" i="3"/>
  <c r="D2890" i="3"/>
  <c r="D2187" i="3"/>
  <c r="D8258" i="3"/>
  <c r="D8344" i="3"/>
  <c r="D419" i="3"/>
  <c r="D2619" i="3"/>
  <c r="D8348" i="3"/>
  <c r="D2359" i="3"/>
  <c r="D2328" i="3"/>
  <c r="D2745" i="3"/>
  <c r="D8440" i="3"/>
  <c r="J8440" i="3" s="1"/>
  <c r="D2163" i="3"/>
  <c r="D719" i="3"/>
  <c r="D8257" i="3"/>
  <c r="D248" i="3"/>
  <c r="D2863" i="3"/>
  <c r="D2667" i="3"/>
  <c r="D551" i="3"/>
  <c r="D297" i="3"/>
  <c r="D495" i="3"/>
  <c r="D2885" i="3"/>
  <c r="D2756" i="3"/>
  <c r="D2288" i="3"/>
  <c r="D2792" i="3"/>
  <c r="D330" i="3"/>
  <c r="D416" i="3"/>
  <c r="D2818" i="3"/>
  <c r="D8008" i="3"/>
  <c r="D2636" i="3"/>
  <c r="D2759" i="3"/>
  <c r="D2665" i="3"/>
  <c r="D761" i="3"/>
  <c r="D8435" i="3"/>
  <c r="J8435" i="3" s="1"/>
  <c r="D2069" i="3"/>
  <c r="D2301" i="3"/>
  <c r="D2262" i="3"/>
  <c r="D788" i="3"/>
  <c r="D8254" i="3"/>
  <c r="C4" i="117"/>
  <c r="D8355" i="3"/>
  <c r="I8355" i="3" s="1"/>
  <c r="D575" i="3"/>
  <c r="D8433" i="3"/>
  <c r="D610" i="3"/>
  <c r="D292" i="3"/>
  <c r="D8378" i="3"/>
  <c r="D2280" i="3"/>
  <c r="D2798" i="3"/>
  <c r="D503" i="3"/>
  <c r="D277" i="3"/>
  <c r="D2613" i="3"/>
  <c r="D2654" i="3"/>
  <c r="D254" i="3"/>
  <c r="D2306" i="3"/>
  <c r="D275" i="3"/>
  <c r="D2382" i="3"/>
  <c r="D2716" i="3"/>
  <c r="D2437" i="3"/>
  <c r="D8211" i="3"/>
  <c r="D8288" i="3"/>
  <c r="I8288" i="3" s="1"/>
  <c r="D566" i="3"/>
  <c r="D514" i="3"/>
  <c r="D2384" i="3"/>
  <c r="D8312" i="3"/>
  <c r="J8312" i="3" s="1"/>
  <c r="D613" i="3"/>
  <c r="D8015" i="3"/>
  <c r="J8015" i="3" s="1"/>
  <c r="D2294" i="3"/>
  <c r="D288" i="3"/>
  <c r="D633" i="3"/>
  <c r="D2871" i="3"/>
  <c r="D8263" i="3"/>
  <c r="D8229" i="3"/>
  <c r="D2597" i="3"/>
  <c r="D2846" i="3"/>
  <c r="D620" i="3"/>
  <c r="D399" i="3"/>
  <c r="D2664" i="3"/>
  <c r="D2788" i="3"/>
  <c r="D333" i="3"/>
  <c r="D7976" i="3"/>
  <c r="I7976" i="3" s="1"/>
  <c r="D508" i="3"/>
  <c r="D8365" i="3"/>
  <c r="D403" i="3"/>
  <c r="D2600" i="3"/>
  <c r="D8382" i="3"/>
  <c r="D415" i="3"/>
  <c r="D2562" i="3"/>
  <c r="D8475" i="3"/>
  <c r="D8238" i="3"/>
  <c r="H8238" i="3" s="1"/>
  <c r="D794" i="3"/>
  <c r="D2683" i="3"/>
  <c r="D2787" i="3"/>
  <c r="D687" i="3"/>
  <c r="D295" i="3"/>
  <c r="D8305" i="3"/>
  <c r="D580" i="3"/>
  <c r="D2226" i="3"/>
  <c r="D8219" i="3"/>
  <c r="D2604" i="3"/>
  <c r="D582" i="3"/>
  <c r="D2842" i="3"/>
  <c r="D759" i="3"/>
  <c r="D2138" i="3"/>
  <c r="D8419" i="3"/>
  <c r="J8419" i="3" s="1"/>
  <c r="D2046" i="3"/>
  <c r="D2447" i="3"/>
  <c r="D8342" i="3"/>
  <c r="H8342" i="3" s="1"/>
  <c r="D825" i="3"/>
  <c r="D8293" i="3"/>
  <c r="D2802" i="3"/>
  <c r="D8212" i="3"/>
  <c r="H8212" i="3" s="1"/>
  <c r="D8071" i="3"/>
  <c r="J8071" i="3" s="1"/>
  <c r="D2251" i="3"/>
  <c r="D8011" i="3"/>
  <c r="I8011" i="3" s="1"/>
  <c r="D2192" i="3"/>
  <c r="D783" i="3"/>
  <c r="D483" i="3"/>
  <c r="D7995" i="3"/>
  <c r="I7995" i="3" s="1"/>
  <c r="D8357" i="3"/>
  <c r="J8357" i="3" s="1"/>
  <c r="D2327" i="3"/>
  <c r="D736" i="3"/>
  <c r="D2531" i="3"/>
  <c r="D8436" i="3"/>
  <c r="J8436" i="3" s="1"/>
  <c r="D398" i="3"/>
  <c r="D2552" i="3"/>
  <c r="D2731" i="3"/>
  <c r="D8443" i="3"/>
  <c r="H8443" i="3" s="1"/>
  <c r="D8395" i="3"/>
  <c r="H8395" i="3" s="1"/>
  <c r="D2790" i="3"/>
  <c r="D2556" i="3"/>
  <c r="D729" i="3"/>
  <c r="D2155" i="3"/>
  <c r="D2054" i="3"/>
  <c r="D2605" i="3"/>
  <c r="D2589" i="3"/>
  <c r="D2127" i="3"/>
  <c r="D8315" i="3"/>
  <c r="D362" i="3"/>
  <c r="D685" i="3"/>
  <c r="D8059" i="3"/>
  <c r="I8059" i="3" s="1"/>
  <c r="D2593" i="3"/>
  <c r="D2125" i="3"/>
  <c r="D539" i="3"/>
  <c r="D2816" i="3"/>
  <c r="D2381" i="3"/>
  <c r="D8333" i="3"/>
  <c r="J8333" i="3" s="1"/>
  <c r="D2768" i="3"/>
  <c r="D8304" i="3"/>
  <c r="I8304" i="3" s="1"/>
  <c r="D289" i="3"/>
  <c r="D468" i="3"/>
  <c r="D2434" i="3"/>
  <c r="D2857" i="3"/>
  <c r="D395" i="3"/>
  <c r="D2432" i="3"/>
  <c r="D469" i="3"/>
  <c r="D725" i="3"/>
  <c r="D8239" i="3"/>
  <c r="D2421" i="3"/>
  <c r="D2205" i="3"/>
  <c r="D7999" i="3"/>
  <c r="H7999" i="3" s="1"/>
  <c r="D8282" i="3"/>
  <c r="I8282" i="3" s="1"/>
  <c r="D734" i="3"/>
  <c r="D423" i="3"/>
  <c r="D7989" i="3"/>
  <c r="D410" i="3"/>
  <c r="D2651" i="3"/>
  <c r="D300" i="3"/>
  <c r="D8279" i="3"/>
  <c r="D2206" i="3"/>
  <c r="D8057" i="3"/>
  <c r="D2373" i="3"/>
  <c r="D737" i="3"/>
  <c r="D8269" i="3"/>
  <c r="I8269" i="3" s="1"/>
  <c r="D673" i="3"/>
  <c r="D733" i="3"/>
  <c r="D8527" i="3"/>
  <c r="D2453" i="3"/>
  <c r="D8052" i="3"/>
  <c r="D2742" i="3"/>
  <c r="D541" i="3"/>
  <c r="D321" i="3"/>
  <c r="D8420" i="3"/>
  <c r="D2784" i="3"/>
  <c r="D2367" i="3"/>
  <c r="D8077" i="3"/>
  <c r="H8077" i="3" s="1"/>
  <c r="D2176" i="3"/>
  <c r="D2458" i="3"/>
  <c r="D408" i="3"/>
  <c r="D2678" i="3"/>
  <c r="D2311" i="3"/>
  <c r="D2811" i="3"/>
  <c r="D720" i="3"/>
  <c r="D8278" i="3"/>
  <c r="D2687" i="3"/>
  <c r="D2891" i="3"/>
  <c r="D2771" i="3"/>
  <c r="D8425" i="3"/>
  <c r="D560" i="3"/>
  <c r="D2893" i="3"/>
  <c r="D298" i="3"/>
  <c r="D2755" i="3"/>
  <c r="D2234" i="3"/>
  <c r="D2814" i="3"/>
  <c r="D718" i="3"/>
  <c r="D768" i="3"/>
  <c r="D8523" i="3"/>
  <c r="I8523" i="3" s="1"/>
  <c r="D320" i="3"/>
  <c r="D2140" i="3"/>
  <c r="D8203" i="3"/>
  <c r="D2111" i="3"/>
  <c r="D549" i="3"/>
  <c r="D479" i="3"/>
  <c r="D287" i="3"/>
  <c r="D818" i="3"/>
  <c r="D2628" i="3"/>
  <c r="D2070" i="3"/>
  <c r="D478" i="3"/>
  <c r="D820" i="3"/>
  <c r="D2633" i="3"/>
  <c r="D634" i="3"/>
  <c r="D2113" i="3"/>
  <c r="D8244" i="3"/>
  <c r="J8244" i="3" s="1"/>
  <c r="D2688" i="3"/>
  <c r="D564" i="3"/>
  <c r="D586" i="3"/>
  <c r="D2602" i="3"/>
  <c r="D2263" i="3"/>
  <c r="D2601" i="3"/>
  <c r="D690" i="3"/>
  <c r="D614" i="3"/>
  <c r="D2321" i="3"/>
  <c r="D626" i="3"/>
  <c r="D2260" i="3"/>
  <c r="D527" i="3"/>
  <c r="D2555" i="3"/>
  <c r="D528" i="3"/>
  <c r="D2174" i="3"/>
  <c r="D2672" i="3"/>
  <c r="D2587" i="3"/>
  <c r="D2454" i="3"/>
  <c r="D2722" i="3"/>
  <c r="D2245" i="3"/>
  <c r="D8242" i="3"/>
  <c r="I8242" i="3" s="1"/>
  <c r="D2876" i="3"/>
  <c r="D2813" i="3"/>
  <c r="D670" i="3"/>
  <c r="D2867" i="3"/>
  <c r="D2281" i="3"/>
  <c r="D8444" i="3"/>
  <c r="I8444" i="3" s="1"/>
  <c r="D8441" i="3"/>
  <c r="I8441" i="3" s="1"/>
  <c r="D2168" i="3"/>
  <c r="D780" i="3"/>
  <c r="D752" i="3"/>
  <c r="D328" i="3"/>
  <c r="D2782" i="3"/>
  <c r="D629" i="3"/>
  <c r="D8474" i="3"/>
  <c r="J8474" i="3" s="1"/>
  <c r="D2347" i="3"/>
  <c r="D2627" i="3"/>
  <c r="D2106" i="3"/>
  <c r="D2372" i="3"/>
  <c r="D8426" i="3"/>
  <c r="J8426" i="3" s="1"/>
  <c r="D756" i="3"/>
  <c r="D2277" i="3"/>
  <c r="D2754" i="3"/>
  <c r="D2769" i="3"/>
  <c r="D7981" i="3"/>
  <c r="J7981" i="3" s="1"/>
  <c r="D2158" i="3"/>
  <c r="D635" i="3"/>
  <c r="D2380" i="3"/>
  <c r="D2422" i="3"/>
  <c r="D2242" i="3"/>
  <c r="D2732" i="3"/>
  <c r="D7980" i="3"/>
  <c r="H7980" i="3" s="1"/>
  <c r="D2199" i="3"/>
  <c r="D397" i="3"/>
  <c r="D2143" i="3"/>
  <c r="D484" i="3"/>
  <c r="D418" i="3"/>
  <c r="D2528" i="3"/>
  <c r="D2264" i="3"/>
  <c r="D535" i="3"/>
  <c r="D2374" i="3"/>
  <c r="D2082" i="3"/>
  <c r="D2171" i="3"/>
  <c r="D326" i="3"/>
  <c r="D8447" i="3"/>
  <c r="J8447" i="3" s="1"/>
  <c r="D2305" i="3"/>
  <c r="D8439" i="3"/>
  <c r="I8439" i="3" s="1"/>
  <c r="D2274" i="3"/>
  <c r="D8283" i="3"/>
  <c r="D2847" i="3"/>
  <c r="D331" i="3"/>
  <c r="D2356" i="3"/>
  <c r="D2632" i="3"/>
  <c r="D2243" i="3"/>
  <c r="D2317" i="3"/>
  <c r="D2122" i="3"/>
  <c r="D2439" i="3"/>
  <c r="D747" i="3"/>
  <c r="D2295" i="3"/>
  <c r="D471" i="3"/>
  <c r="D417" i="3"/>
  <c r="D8525" i="3"/>
  <c r="I8525" i="3" s="1"/>
  <c r="D2653" i="3"/>
  <c r="D767" i="3"/>
  <c r="D8012" i="3"/>
  <c r="D8430" i="3"/>
  <c r="D303" i="3"/>
  <c r="D2134" i="3"/>
  <c r="D247" i="3"/>
  <c r="D519" i="3"/>
  <c r="D8281" i="3"/>
  <c r="H8281" i="3" s="1"/>
  <c r="D664" i="3"/>
  <c r="D2323" i="3"/>
  <c r="D2764" i="3"/>
  <c r="D2126" i="3"/>
  <c r="D8392" i="3"/>
  <c r="H8392" i="3" s="1"/>
  <c r="D2423" i="3"/>
  <c r="D550" i="3"/>
  <c r="D2647" i="3"/>
  <c r="D2269" i="3"/>
  <c r="D2182" i="3"/>
  <c r="D671" i="3"/>
  <c r="D8414" i="3"/>
  <c r="D498" i="3"/>
  <c r="D8220" i="3"/>
  <c r="D583" i="3"/>
  <c r="D2147" i="3"/>
  <c r="D618" i="3"/>
  <c r="D404" i="3"/>
  <c r="D2077" i="3"/>
  <c r="D2741" i="3"/>
  <c r="D8040" i="3"/>
  <c r="D8301" i="3"/>
  <c r="H8301" i="3" s="1"/>
  <c r="D2116" i="3"/>
  <c r="D407" i="3"/>
  <c r="D2283" i="3"/>
  <c r="D2749" i="3"/>
  <c r="D363" i="3"/>
  <c r="D2806" i="3"/>
  <c r="D8186" i="3"/>
  <c r="H8186" i="3" s="1"/>
  <c r="D2795" i="3"/>
  <c r="D2862" i="3"/>
  <c r="D2898" i="3"/>
  <c r="D8294" i="3"/>
  <c r="H8294" i="3" s="1"/>
  <c r="D2585" i="3"/>
  <c r="D2078" i="3"/>
  <c r="D2711" i="3"/>
  <c r="D571" i="3"/>
  <c r="D476" i="3"/>
  <c r="D764" i="3"/>
  <c r="D8370" i="3"/>
  <c r="D2124" i="3"/>
  <c r="D2427" i="3"/>
  <c r="D490" i="3"/>
  <c r="D510" i="3"/>
  <c r="D2673" i="3"/>
  <c r="D2565" i="3"/>
  <c r="D8255" i="3"/>
  <c r="D2244" i="3"/>
  <c r="D8273" i="3"/>
  <c r="D8191" i="3"/>
  <c r="D609" i="3"/>
  <c r="D570" i="3"/>
  <c r="D798" i="3"/>
  <c r="D2878" i="3"/>
  <c r="D2169" i="3"/>
  <c r="D827" i="3"/>
  <c r="D8187" i="3"/>
  <c r="J8187" i="3" s="1"/>
  <c r="D8353" i="3"/>
  <c r="I8353" i="3" s="1"/>
  <c r="D8437" i="3"/>
  <c r="H8437" i="3" s="1"/>
  <c r="D2567" i="3"/>
  <c r="D2287" i="3"/>
  <c r="D2718" i="3"/>
  <c r="D2710" i="3"/>
  <c r="D2195" i="3"/>
  <c r="D637" i="3"/>
  <c r="D2609" i="3"/>
  <c r="D2676" i="3"/>
  <c r="D8308" i="3"/>
  <c r="I8308" i="3" s="1"/>
  <c r="D324" i="3"/>
  <c r="D255" i="3"/>
  <c r="D2136" i="3"/>
  <c r="D2681" i="3"/>
  <c r="D8295" i="3"/>
  <c r="I8295" i="3" s="1"/>
  <c r="D2186" i="3"/>
  <c r="D779" i="3"/>
  <c r="D2625" i="3"/>
  <c r="D2285" i="3"/>
  <c r="D522" i="3"/>
  <c r="D7985" i="3"/>
  <c r="D523" i="3"/>
  <c r="D8041" i="3"/>
  <c r="J8041" i="3" s="1"/>
  <c r="D322" i="3"/>
  <c r="D2302" i="3"/>
  <c r="D2296" i="3"/>
  <c r="D2047" i="3"/>
  <c r="D2130" i="3"/>
  <c r="D2379" i="3"/>
  <c r="D477" i="3"/>
  <c r="D2049" i="3"/>
  <c r="D769" i="3"/>
  <c r="D2175" i="3"/>
  <c r="D2884" i="3"/>
  <c r="D8299" i="3"/>
  <c r="J8299" i="3" s="1"/>
  <c r="D2108" i="3"/>
  <c r="D8274" i="3"/>
  <c r="D8023" i="3"/>
  <c r="D2114" i="3"/>
  <c r="D2068" i="3"/>
  <c r="D2257" i="3"/>
  <c r="D2853" i="3"/>
  <c r="D475" i="3"/>
  <c r="D2073" i="3"/>
  <c r="D2588" i="3"/>
  <c r="D274" i="3"/>
  <c r="D8021" i="3"/>
  <c r="D746" i="3"/>
  <c r="D2655" i="3"/>
  <c r="D8234" i="3"/>
  <c r="I8234" i="3" s="1"/>
  <c r="D2369" i="3"/>
  <c r="D631" i="3"/>
  <c r="D2183" i="3"/>
  <c r="D515" i="3"/>
  <c r="D8386" i="3"/>
  <c r="D2568" i="3"/>
  <c r="D2135" i="3"/>
  <c r="D2612" i="3"/>
  <c r="D8340" i="3"/>
  <c r="D8237" i="3"/>
  <c r="I8237" i="3" s="1"/>
  <c r="D2662" i="3"/>
  <c r="D750" i="3"/>
  <c r="D8227" i="3"/>
  <c r="H8227" i="3" s="1"/>
  <c r="D8415" i="3"/>
  <c r="J8415" i="3" s="1"/>
  <c r="D2081" i="3"/>
  <c r="D2709" i="3"/>
  <c r="D2679" i="3"/>
  <c r="D567" i="3"/>
  <c r="D2292" i="3"/>
  <c r="D2527" i="3"/>
  <c r="D8193" i="3"/>
  <c r="D2085" i="3"/>
  <c r="D8218" i="3"/>
  <c r="D765" i="3"/>
  <c r="D2794" i="3"/>
  <c r="D533" i="3"/>
  <c r="D8002" i="3"/>
  <c r="D2237" i="3"/>
  <c r="D2375" i="3"/>
  <c r="D636" i="3"/>
  <c r="D8356" i="3"/>
  <c r="D2308" i="3"/>
  <c r="D2595" i="3"/>
  <c r="D2894" i="3"/>
  <c r="D611" i="3"/>
  <c r="D8303" i="3"/>
  <c r="D8339" i="3"/>
  <c r="J8339" i="3" s="1"/>
  <c r="D244" i="3"/>
  <c r="D684" i="3"/>
  <c r="D2705" i="3"/>
  <c r="D2063" i="3"/>
  <c r="D355" i="3"/>
  <c r="D2273" i="3"/>
  <c r="D486" i="3"/>
  <c r="D8368" i="3"/>
  <c r="D8196" i="3"/>
  <c r="D2740" i="3"/>
  <c r="D2438" i="3"/>
  <c r="D2584" i="3"/>
  <c r="D2351" i="3"/>
  <c r="D8268" i="3"/>
  <c r="D2191" i="3"/>
  <c r="D2886" i="3"/>
  <c r="D8241" i="3"/>
  <c r="D516" i="3"/>
  <c r="D2255" i="3"/>
  <c r="D8424" i="3"/>
  <c r="D2142" i="3"/>
  <c r="D8366" i="3"/>
  <c r="I8366" i="3" s="1"/>
  <c r="D2658" i="3"/>
  <c r="D8190" i="3"/>
  <c r="H8190" i="3" s="1"/>
  <c r="D8264" i="3"/>
  <c r="D2083" i="3"/>
  <c r="D8309" i="3"/>
  <c r="D732" i="3"/>
  <c r="D2117" i="3"/>
  <c r="D8476" i="3"/>
  <c r="I8476" i="3" s="1"/>
  <c r="D2350" i="3"/>
  <c r="D8428" i="3"/>
  <c r="I8428" i="3" s="1"/>
  <c r="D2172" i="3"/>
  <c r="D2254" i="3"/>
  <c r="D8248" i="3"/>
  <c r="H8248" i="3" s="1"/>
  <c r="D7984" i="3"/>
  <c r="H7984" i="3" s="1"/>
  <c r="D2779" i="3"/>
  <c r="D2431" i="3"/>
  <c r="D2238" i="3"/>
  <c r="D2228" i="3"/>
  <c r="D2553" i="3"/>
  <c r="D543" i="3"/>
  <c r="D2800" i="3"/>
  <c r="D2157" i="3"/>
  <c r="D2346" i="3"/>
  <c r="D2309" i="3"/>
  <c r="D722" i="3"/>
  <c r="D2865" i="3"/>
  <c r="D8053" i="3"/>
  <c r="H8053" i="3" s="1"/>
  <c r="D2860" i="3"/>
  <c r="D2663" i="3"/>
  <c r="D2133" i="3"/>
  <c r="D7992" i="3"/>
  <c r="J7992" i="3" s="1"/>
  <c r="D285" i="3"/>
  <c r="D2119" i="3"/>
  <c r="D8325" i="3"/>
  <c r="H8325" i="3" s="1"/>
  <c r="D8385" i="3"/>
  <c r="J8385" i="3" s="1"/>
  <c r="D8477" i="3"/>
  <c r="I8477" i="3" s="1"/>
  <c r="D8383" i="3"/>
  <c r="D790" i="3"/>
  <c r="D8006" i="3"/>
  <c r="D8331" i="3"/>
  <c r="D630" i="3"/>
  <c r="D819" i="3"/>
  <c r="D8380" i="3"/>
  <c r="J8380" i="3" s="1"/>
  <c r="D2275" i="3"/>
  <c r="D598" i="3"/>
  <c r="D689" i="3"/>
  <c r="D8328" i="3"/>
  <c r="I8328" i="3" s="1"/>
  <c r="D2462" i="3"/>
  <c r="D8405" i="3"/>
  <c r="I8405" i="3" s="1"/>
  <c r="D763" i="3"/>
  <c r="D681" i="3"/>
  <c r="D8322" i="3"/>
  <c r="D2362" i="3"/>
  <c r="D473" i="3"/>
  <c r="D544" i="3"/>
  <c r="D2785" i="3"/>
  <c r="D2646" i="3"/>
  <c r="D8404" i="3"/>
  <c r="D2065" i="3"/>
  <c r="D2887" i="3"/>
  <c r="D8372" i="3"/>
  <c r="I8372" i="3" s="1"/>
  <c r="D2564" i="3"/>
  <c r="D8009" i="3"/>
  <c r="I8009" i="3" s="1"/>
  <c r="D8207" i="3"/>
  <c r="I8207" i="3" s="1"/>
  <c r="D569" i="3"/>
  <c r="D2774" i="3"/>
  <c r="D8287" i="3"/>
  <c r="D8472" i="3"/>
  <c r="J8472" i="3" s="1"/>
  <c r="D2190" i="3"/>
  <c r="D8446" i="3"/>
  <c r="J8446" i="3" s="1"/>
  <c r="D8442" i="3"/>
  <c r="H8442" i="3" s="1"/>
  <c r="D774" i="3"/>
  <c r="D721" i="3"/>
  <c r="D603" i="3"/>
  <c r="D2358" i="3"/>
  <c r="D8321" i="3"/>
  <c r="J8321" i="3" s="1"/>
  <c r="D8406" i="3"/>
  <c r="D8275" i="3"/>
  <c r="J8275" i="3" s="1"/>
  <c r="D2592" i="3"/>
  <c r="D2630" i="3"/>
  <c r="D2368" i="3"/>
  <c r="D2649" i="3"/>
  <c r="D2761" i="3"/>
  <c r="D482" i="3"/>
  <c r="D412" i="3"/>
  <c r="D8416" i="3"/>
  <c r="D8423" i="3"/>
  <c r="D499" i="3"/>
  <c r="D2713" i="3"/>
  <c r="D2770" i="3"/>
  <c r="D2353" i="3"/>
  <c r="D2596" i="3"/>
  <c r="D8210" i="3"/>
  <c r="D2451" i="3"/>
  <c r="D7986" i="3"/>
  <c r="D2895" i="3"/>
  <c r="D677" i="3"/>
  <c r="D7979" i="3"/>
  <c r="D474" i="3"/>
  <c r="D2425" i="3"/>
  <c r="D605" i="3"/>
  <c r="D8222" i="3"/>
  <c r="D2177" i="3"/>
  <c r="D2239" i="3"/>
  <c r="D2747" i="3"/>
  <c r="D8316" i="3"/>
  <c r="I8316" i="3" s="1"/>
  <c r="D2526" i="3"/>
  <c r="D735" i="3"/>
  <c r="D2348" i="3"/>
  <c r="D709" i="3"/>
  <c r="D2313" i="3"/>
  <c r="D2055" i="3"/>
  <c r="D246" i="3"/>
  <c r="D455" i="3"/>
  <c r="D2706" i="3"/>
  <c r="D777" i="3"/>
  <c r="D2062" i="3"/>
  <c r="D787" i="3"/>
  <c r="D8362" i="3"/>
  <c r="J8362" i="3" s="1"/>
  <c r="D8341" i="3"/>
  <c r="D2852" i="3"/>
  <c r="D8276" i="3"/>
  <c r="H8276" i="3" s="1"/>
  <c r="D2723" i="3"/>
  <c r="D2310" i="3"/>
  <c r="D505" i="3"/>
  <c r="D704" i="3"/>
  <c r="D2735" i="3"/>
  <c r="D507" i="3"/>
  <c r="D2131" i="3"/>
  <c r="D521" i="3"/>
  <c r="D2053" i="3"/>
  <c r="D8280" i="3"/>
  <c r="D8007" i="3"/>
  <c r="D2529" i="3"/>
  <c r="D784" i="3"/>
  <c r="D8329" i="3"/>
  <c r="H8329" i="3" s="1"/>
  <c r="D8270" i="3"/>
  <c r="I8270" i="3" s="1"/>
  <c r="D561" i="3"/>
  <c r="D2071" i="3"/>
  <c r="D2796" i="3"/>
  <c r="D2586" i="3"/>
  <c r="D762" i="3"/>
  <c r="D557" i="3"/>
  <c r="D2052" i="3"/>
  <c r="D579" i="3"/>
  <c r="D2248" i="3"/>
  <c r="D8371" i="3"/>
  <c r="I8371" i="3" s="1"/>
  <c r="D565" i="3"/>
  <c r="D405" i="3"/>
  <c r="D8189" i="3"/>
  <c r="D2591" i="3"/>
  <c r="D2326" i="3"/>
  <c r="D531" i="3"/>
  <c r="D7977" i="3"/>
  <c r="I7977" i="3" s="1"/>
  <c r="D738" i="3"/>
  <c r="D8429" i="3"/>
  <c r="I8429" i="3" s="1"/>
  <c r="D2537" i="3"/>
  <c r="D2050" i="3"/>
  <c r="D8213" i="3"/>
  <c r="J8213" i="3" s="1"/>
  <c r="D7978" i="3"/>
  <c r="H7978" i="3" s="1"/>
  <c r="D8198" i="3"/>
  <c r="D2545" i="3"/>
  <c r="D632" i="3"/>
  <c r="D641" i="3"/>
  <c r="D562" i="3"/>
  <c r="D666" i="3"/>
  <c r="D494" i="3"/>
  <c r="D8427" i="3"/>
  <c r="H8427" i="3" s="1"/>
  <c r="D678" i="3"/>
  <c r="D2675" i="3"/>
  <c r="D2778" i="3"/>
  <c r="D2278" i="3"/>
  <c r="D748" i="3"/>
  <c r="D692" i="3"/>
  <c r="D2762" i="3"/>
  <c r="D8265" i="3"/>
  <c r="H8265" i="3" s="1"/>
  <c r="D8192" i="3"/>
  <c r="I8192" i="3" s="1"/>
  <c r="D8432" i="3"/>
  <c r="D2607" i="3"/>
  <c r="D2170" i="3"/>
  <c r="D2543" i="3"/>
  <c r="D302" i="3"/>
  <c r="D251" i="3"/>
  <c r="D8397" i="3"/>
  <c r="D466" i="3"/>
  <c r="D2660" i="3"/>
  <c r="D706" i="3"/>
  <c r="D8376" i="3"/>
  <c r="J8376" i="3" s="1"/>
  <c r="D2067" i="3"/>
  <c r="D2804" i="3"/>
  <c r="D509" i="3"/>
  <c r="D8393" i="3"/>
  <c r="D8243" i="3"/>
  <c r="H8243" i="3" s="1"/>
  <c r="D2235" i="3"/>
  <c r="D2541" i="3"/>
  <c r="D2315" i="3"/>
  <c r="D2875" i="3"/>
  <c r="D730" i="3"/>
  <c r="D2256" i="3"/>
  <c r="D252" i="3"/>
  <c r="D8381" i="3"/>
  <c r="H8381" i="3" s="1"/>
  <c r="D2821" i="3"/>
  <c r="D463" i="3"/>
  <c r="D2797" i="3"/>
  <c r="D2322" i="3"/>
  <c r="D558" i="3"/>
  <c r="D2737" i="3"/>
  <c r="D2107" i="3"/>
  <c r="D530" i="3"/>
  <c r="D2139" i="3"/>
  <c r="D627" i="3"/>
  <c r="D8390" i="3"/>
  <c r="D8384" i="3"/>
  <c r="D2230" i="3"/>
  <c r="D646" i="3"/>
  <c r="D8230" i="3"/>
  <c r="D8014" i="3"/>
  <c r="D688" i="3"/>
  <c r="D576" i="3"/>
  <c r="D2642" i="3"/>
  <c r="D602" i="3"/>
  <c r="D2708" i="3"/>
  <c r="D2560" i="3"/>
  <c r="D753" i="3"/>
  <c r="D2066" i="3"/>
  <c r="D2638" i="3"/>
  <c r="D694" i="3"/>
  <c r="D8195" i="3"/>
  <c r="H8195" i="3" s="1"/>
  <c r="D2459" i="3"/>
  <c r="D2617" i="3"/>
  <c r="D350" i="3"/>
  <c r="D590" i="3"/>
  <c r="D2715" i="3"/>
  <c r="D2064" i="3"/>
  <c r="D2429" i="3"/>
  <c r="D8354" i="3"/>
  <c r="H8354" i="3" s="1"/>
  <c r="D2184" i="3"/>
  <c r="D8391" i="3"/>
  <c r="D686" i="3"/>
  <c r="D353" i="3"/>
  <c r="D648" i="3"/>
  <c r="D786" i="3"/>
  <c r="D2817" i="3"/>
  <c r="D2233" i="3"/>
  <c r="D2442" i="3"/>
  <c r="D2845" i="3"/>
  <c r="D2086" i="3"/>
  <c r="D675" i="3"/>
  <c r="D534" i="3"/>
  <c r="D2109" i="3"/>
  <c r="D578" i="3"/>
  <c r="D2161" i="3"/>
  <c r="D2376" i="3"/>
  <c r="D693" i="3"/>
  <c r="D2266" i="3"/>
  <c r="D593" i="3"/>
  <c r="D360" i="3"/>
  <c r="D8377" i="3"/>
  <c r="D2783" i="3"/>
  <c r="D511" i="3"/>
  <c r="D667" i="3"/>
  <c r="D2733" i="3"/>
  <c r="D8034" i="3"/>
  <c r="D526" i="3"/>
  <c r="D351" i="3"/>
  <c r="D2728" i="3"/>
  <c r="D2180" i="3"/>
  <c r="D8350" i="3"/>
  <c r="H8350" i="3" s="1"/>
  <c r="D2320" i="3"/>
  <c r="D249" i="3"/>
  <c r="D8351" i="3"/>
  <c r="D8236" i="3"/>
  <c r="I8236" i="3" s="1"/>
  <c r="D584" i="3"/>
  <c r="D2448" i="3"/>
  <c r="D2162" i="3"/>
  <c r="D2892" i="3"/>
  <c r="D413" i="3"/>
  <c r="D2318" i="3"/>
  <c r="D2349" i="3"/>
  <c r="D742" i="3"/>
  <c r="D2566" i="3"/>
  <c r="D8319" i="3"/>
  <c r="I8319" i="3" s="1"/>
  <c r="D253" i="3"/>
  <c r="D2822" i="3"/>
  <c r="D8422" i="3"/>
  <c r="I8422" i="3" s="1"/>
  <c r="D8389" i="3"/>
  <c r="J8389" i="3" s="1"/>
  <c r="D731" i="3"/>
  <c r="D250" i="3"/>
  <c r="D2714" i="3"/>
  <c r="D8033" i="3"/>
  <c r="H8033" i="3" s="1"/>
  <c r="D8361" i="3"/>
  <c r="J8361" i="3" s="1"/>
  <c r="D8307" i="3"/>
  <c r="D500" i="3"/>
  <c r="D712" i="3"/>
  <c r="D8363" i="3"/>
  <c r="D2746" i="3"/>
  <c r="D824" i="3"/>
  <c r="D2276" i="3"/>
  <c r="D2057" i="3"/>
  <c r="D8346" i="3"/>
  <c r="I8346" i="3" s="1"/>
  <c r="D2312" i="3"/>
  <c r="D2045" i="3"/>
  <c r="D723" i="3"/>
  <c r="D2202" i="3"/>
  <c r="D2776" i="3"/>
  <c r="D2535" i="3"/>
  <c r="D8374" i="3"/>
  <c r="D8306" i="3"/>
  <c r="D2456" i="3"/>
  <c r="D2525" i="3"/>
  <c r="D2193" i="3"/>
  <c r="D2760" i="3"/>
  <c r="D696" i="3"/>
  <c r="D826" i="3"/>
  <c r="D2598" i="3"/>
  <c r="D639" i="3"/>
  <c r="D488" i="3"/>
  <c r="D2357" i="3"/>
  <c r="D2167" i="3"/>
  <c r="D481" i="3"/>
  <c r="D2279" i="3"/>
  <c r="D457" i="3"/>
  <c r="D8206" i="3"/>
  <c r="H8206" i="3" s="1"/>
  <c r="D2378" i="3"/>
  <c r="D8232" i="3"/>
  <c r="D2286" i="3"/>
  <c r="D710" i="3"/>
  <c r="D2386" i="3"/>
  <c r="D8398" i="3"/>
  <c r="I8398" i="3" s="1"/>
  <c r="D8323" i="3"/>
  <c r="H8323" i="3" s="1"/>
  <c r="D2805" i="3"/>
  <c r="D727" i="3"/>
  <c r="D2536" i="3"/>
  <c r="D2883" i="3"/>
  <c r="D596" i="3"/>
  <c r="D2443" i="3"/>
  <c r="D2185" i="3"/>
  <c r="D2820" i="3"/>
  <c r="D2048" i="3"/>
  <c r="D2823" i="3"/>
  <c r="D420" i="3"/>
  <c r="D2153" i="3"/>
  <c r="D615" i="3"/>
  <c r="D2146" i="3"/>
  <c r="D8221" i="3"/>
  <c r="I8221" i="3" s="1"/>
  <c r="D2128" i="3"/>
  <c r="D8252" i="3"/>
  <c r="I8252" i="3" s="1"/>
  <c r="D8016" i="3"/>
  <c r="H8016" i="3" s="1"/>
  <c r="D8300" i="3"/>
  <c r="D771" i="3"/>
  <c r="D617" i="3"/>
  <c r="D599" i="3"/>
  <c r="D296" i="3"/>
  <c r="D8401" i="3"/>
  <c r="D622" i="3"/>
  <c r="D8358" i="3"/>
  <c r="D680" i="3"/>
  <c r="D280" i="3"/>
  <c r="D2618" i="3"/>
  <c r="D291" i="3"/>
  <c r="D2686" i="3"/>
  <c r="D760" i="3"/>
  <c r="D8224" i="3"/>
  <c r="D329" i="3"/>
  <c r="D789" i="3"/>
  <c r="D2300" i="3"/>
  <c r="D8247" i="3"/>
  <c r="D2897" i="3"/>
  <c r="D8246" i="3"/>
  <c r="D2420" i="3"/>
  <c r="D2370" i="3"/>
  <c r="D8225" i="3"/>
  <c r="D2259" i="3"/>
  <c r="D459" i="3"/>
  <c r="D8402" i="3"/>
  <c r="D2680" i="3"/>
  <c r="D2721" i="3"/>
  <c r="D2874" i="3"/>
  <c r="D697" i="3"/>
  <c r="D2547" i="3"/>
  <c r="D2789" i="3"/>
  <c r="D2639" i="3"/>
  <c r="D282" i="3"/>
  <c r="D2877" i="3"/>
  <c r="D2844" i="3"/>
  <c r="D823" i="3"/>
  <c r="D8345" i="3"/>
  <c r="D773" i="3"/>
  <c r="D2623" i="3"/>
  <c r="D279" i="3"/>
  <c r="D8445" i="3"/>
  <c r="J8445" i="3" s="1"/>
  <c r="D525" i="3"/>
  <c r="D489" i="3"/>
  <c r="D258" i="3"/>
  <c r="D8364" i="3"/>
  <c r="J8364" i="3" s="1"/>
  <c r="D2440" i="3"/>
  <c r="D537" i="3"/>
  <c r="D396" i="3"/>
  <c r="D2352" i="3"/>
  <c r="D2424" i="3"/>
  <c r="D286" i="3"/>
  <c r="D553" i="3"/>
  <c r="D8388" i="3"/>
  <c r="J8388" i="3" s="1"/>
  <c r="D2354" i="3"/>
  <c r="D8286" i="3"/>
  <c r="D2165" i="3"/>
  <c r="D8524" i="3"/>
  <c r="I8524" i="3" s="1"/>
  <c r="D332" i="3"/>
  <c r="D8209" i="3"/>
  <c r="I8209" i="3" s="1"/>
  <c r="D2615" i="3"/>
  <c r="D8394" i="3"/>
  <c r="I8394" i="3" s="1"/>
  <c r="D2241" i="3"/>
  <c r="D2110" i="3"/>
  <c r="D542" i="3"/>
  <c r="D555" i="3"/>
  <c r="D2848" i="3"/>
  <c r="D785" i="3"/>
  <c r="D792" i="3"/>
  <c r="D464" i="3"/>
  <c r="D8199" i="3"/>
  <c r="D591" i="3"/>
  <c r="D8070" i="3"/>
  <c r="J8070" i="3" s="1"/>
  <c r="D8240" i="3"/>
  <c r="I8240" i="3" s="1"/>
  <c r="D8262" i="3"/>
  <c r="H8262" i="3" s="1"/>
  <c r="D2051" i="3"/>
  <c r="D2725" i="3"/>
  <c r="D2643" i="3"/>
  <c r="D698" i="3"/>
  <c r="D2154" i="3"/>
  <c r="D728" i="3"/>
  <c r="D401" i="3"/>
  <c r="D2455" i="3"/>
  <c r="D2881" i="3"/>
  <c r="D548" i="3"/>
  <c r="D518" i="3"/>
  <c r="D691" i="3"/>
  <c r="D2873" i="3"/>
  <c r="D2861" i="3"/>
  <c r="D257" i="3"/>
  <c r="D2271" i="3"/>
  <c r="D2791" i="3"/>
  <c r="D695" i="3"/>
  <c r="D2540" i="3"/>
  <c r="D2056" i="3"/>
  <c r="D2719" i="3"/>
  <c r="D2858" i="3"/>
  <c r="D2253" i="3"/>
  <c r="D2160" i="3"/>
  <c r="D587" i="3"/>
  <c r="D2452" i="3"/>
  <c r="D2132" i="3"/>
  <c r="D2258" i="3"/>
  <c r="D2839" i="3"/>
  <c r="D2072" i="3"/>
  <c r="D2717" i="3"/>
  <c r="D679" i="3"/>
  <c r="D512" i="3"/>
  <c r="D745" i="3"/>
  <c r="D7988" i="3"/>
  <c r="J7988" i="3" s="1"/>
  <c r="D672" i="3"/>
  <c r="D2657" i="3"/>
  <c r="D668" i="3"/>
  <c r="D2435" i="3"/>
  <c r="D2449" i="3"/>
  <c r="D2112" i="3"/>
  <c r="D2324" i="3"/>
  <c r="D8311" i="3"/>
  <c r="J8311" i="3" s="1"/>
  <c r="D755" i="3"/>
  <c r="D2388" i="3"/>
  <c r="D2738" i="3"/>
  <c r="D319" i="3"/>
  <c r="D8233" i="3"/>
  <c r="I8233" i="3" s="1"/>
  <c r="D2851" i="3"/>
  <c r="D2261" i="3"/>
  <c r="D775" i="3"/>
  <c r="D2594" i="3"/>
  <c r="D8215" i="3"/>
  <c r="D2289" i="3"/>
  <c r="D754" i="3"/>
  <c r="D276" i="3"/>
  <c r="D644" i="3"/>
  <c r="D2444" i="3"/>
  <c r="D8000" i="3"/>
  <c r="D2767" i="3"/>
  <c r="D2530" i="3"/>
  <c r="D2450" i="3"/>
  <c r="D2079" i="3"/>
  <c r="D8399" i="3"/>
  <c r="J8399" i="3" s="1"/>
  <c r="D470" i="3"/>
  <c r="D2229" i="3"/>
  <c r="D2387" i="3"/>
  <c r="D2363" i="3"/>
  <c r="D540" i="3"/>
  <c r="D8327" i="3"/>
  <c r="D421" i="3"/>
  <c r="D8017" i="3"/>
  <c r="D294" i="3"/>
  <c r="D411" i="3"/>
  <c r="D7987" i="3"/>
  <c r="H7987" i="3" s="1"/>
  <c r="D8272" i="3"/>
  <c r="D2622" i="3"/>
  <c r="D2385" i="3"/>
  <c r="D624" i="3"/>
  <c r="D491" i="3"/>
  <c r="D8200" i="3"/>
  <c r="D8075" i="3"/>
  <c r="D2270" i="3"/>
  <c r="D2868" i="3"/>
  <c r="D814" i="3"/>
  <c r="D2640" i="3"/>
  <c r="D2207" i="3"/>
  <c r="D2120" i="3"/>
  <c r="D400" i="3"/>
  <c r="D8360" i="3"/>
  <c r="H8360" i="3" s="1"/>
  <c r="D2550" i="3"/>
  <c r="D2148" i="3"/>
  <c r="D8223" i="3"/>
  <c r="H8223" i="3" s="1"/>
  <c r="D467" i="3"/>
  <c r="D707" i="3"/>
  <c r="D645" i="3"/>
  <c r="D2763" i="3"/>
  <c r="D402" i="3"/>
  <c r="D8313" i="3"/>
  <c r="I8313" i="3" s="1"/>
  <c r="D536" i="3"/>
  <c r="D8069" i="3"/>
  <c r="D290" i="3"/>
  <c r="D726" i="3"/>
  <c r="D284" i="3"/>
  <c r="D2457" i="3"/>
  <c r="D2611" i="3"/>
  <c r="D8413" i="3"/>
  <c r="D2365" i="3"/>
  <c r="D2637" i="3"/>
  <c r="D8349" i="3"/>
  <c r="J8349" i="3" s="1"/>
  <c r="D816" i="3"/>
  <c r="D713" i="3"/>
  <c r="D278" i="3"/>
  <c r="D585" i="3"/>
  <c r="D782" i="3"/>
  <c r="D2866" i="3"/>
  <c r="D2773" i="3"/>
  <c r="D524" i="3"/>
  <c r="D739" i="3"/>
  <c r="D8003" i="3"/>
  <c r="D8029" i="3"/>
  <c r="I8029" i="3" s="1"/>
  <c r="D414" i="3"/>
  <c r="D751" i="3"/>
  <c r="D815" i="3"/>
  <c r="D2854" i="3"/>
  <c r="D497" i="3"/>
  <c r="D621" i="3"/>
  <c r="D8403" i="3"/>
  <c r="J8403" i="3" s="1"/>
  <c r="D2433" i="3"/>
  <c r="D2316" i="3"/>
  <c r="D2344" i="3"/>
  <c r="D2080" i="3"/>
  <c r="D8369" i="3"/>
  <c r="I8369" i="3" s="1"/>
  <c r="D2115" i="3"/>
  <c r="D757" i="3"/>
  <c r="D8336" i="3"/>
  <c r="D669" i="3"/>
  <c r="D8324" i="3"/>
  <c r="D563" i="3"/>
  <c r="D2799" i="3"/>
  <c r="D2648" i="3"/>
  <c r="D547" i="3"/>
  <c r="D2766" i="3"/>
  <c r="D2849" i="3"/>
  <c r="D2558" i="3"/>
  <c r="D2736" i="3"/>
  <c r="D8529" i="3"/>
  <c r="D8411" i="3"/>
  <c r="D8379" i="3"/>
  <c r="D2224" i="3"/>
  <c r="D8214" i="3"/>
  <c r="J8214" i="3" s="1"/>
  <c r="D607" i="3"/>
  <c r="D2724" i="3"/>
  <c r="D2549" i="3"/>
  <c r="D8013" i="3"/>
  <c r="D8318" i="3"/>
  <c r="H8318" i="3" s="1"/>
  <c r="D2634" i="3"/>
  <c r="D8188" i="3"/>
  <c r="H8188" i="3" s="1"/>
  <c r="D7993" i="3"/>
  <c r="H7993" i="3" s="1"/>
  <c r="D8058" i="3"/>
  <c r="H8058" i="3" s="1"/>
  <c r="D642" i="3"/>
  <c r="D8291" i="3"/>
  <c r="H8291" i="3" s="1"/>
  <c r="D705" i="3"/>
  <c r="D8373" i="3"/>
  <c r="H8373" i="3" s="1"/>
  <c r="D2267" i="3"/>
  <c r="D513" i="3"/>
  <c r="D245" i="3"/>
  <c r="D8194" i="3"/>
  <c r="H8194" i="3" s="1"/>
  <c r="D781" i="3"/>
  <c r="D556" i="3"/>
  <c r="D8396" i="3"/>
  <c r="D8410" i="3"/>
  <c r="D2188" i="3"/>
  <c r="D2712" i="3"/>
  <c r="D8253" i="3"/>
  <c r="D458" i="3"/>
  <c r="D8010" i="3"/>
  <c r="J8010" i="3" s="1"/>
  <c r="D601" i="3"/>
  <c r="D7996" i="3"/>
  <c r="D2534" i="3"/>
  <c r="D2669" i="3"/>
  <c r="D299" i="3"/>
  <c r="D606" i="3"/>
  <c r="D538" i="3"/>
  <c r="D506" i="3"/>
  <c r="D2620" i="3"/>
  <c r="D529" i="3"/>
  <c r="D2559" i="3"/>
  <c r="D2231" i="3"/>
  <c r="D766" i="3"/>
  <c r="D2297" i="3"/>
  <c r="D2446" i="3"/>
  <c r="D357" i="3"/>
  <c r="D8217" i="3"/>
  <c r="J8217" i="3" s="1"/>
  <c r="D8431" i="3"/>
  <c r="D327" i="3"/>
  <c r="D2436" i="3"/>
  <c r="D2371" i="3"/>
  <c r="D552" i="3"/>
  <c r="D502" i="3"/>
  <c r="D2200" i="3"/>
  <c r="D2189" i="3"/>
  <c r="D2765" i="3"/>
  <c r="D8201" i="3"/>
  <c r="I8201" i="3" s="1"/>
  <c r="D8359" i="3"/>
  <c r="J8359" i="3" s="1"/>
  <c r="D2793" i="3"/>
  <c r="D256" i="3"/>
  <c r="D2236" i="3"/>
  <c r="D581" i="3"/>
  <c r="D2882" i="3"/>
  <c r="D2293" i="3"/>
  <c r="D2268" i="3"/>
  <c r="D2298" i="3"/>
  <c r="D595" i="3"/>
  <c r="D2247" i="3"/>
  <c r="D744" i="3"/>
  <c r="D2250" i="3"/>
  <c r="D2870" i="3"/>
  <c r="D520" i="3"/>
  <c r="D572" i="3"/>
  <c r="D472" i="3"/>
  <c r="D828" i="3"/>
  <c r="D8418" i="3"/>
  <c r="D2809" i="3"/>
  <c r="D454" i="3"/>
  <c r="D7994" i="3"/>
  <c r="H7994" i="3" s="1"/>
  <c r="D743" i="3"/>
  <c r="D600" i="3"/>
  <c r="D8022" i="3"/>
  <c r="J8022" i="3" s="1"/>
  <c r="D2888" i="3"/>
  <c r="D2291" i="3"/>
  <c r="D8284" i="3"/>
  <c r="H8284" i="3" s="1"/>
  <c r="D2815" i="3"/>
  <c r="D7983" i="3"/>
  <c r="J7983" i="3" s="1"/>
  <c r="D8039" i="3"/>
  <c r="I8039" i="3" s="1"/>
  <c r="D2551" i="3"/>
  <c r="D2246" i="3"/>
  <c r="D2084" i="3"/>
  <c r="D2204" i="3"/>
  <c r="D711" i="3"/>
  <c r="D817" i="3"/>
  <c r="D8204" i="3"/>
  <c r="I8204" i="3" s="1"/>
  <c r="D2855" i="3"/>
  <c r="D2739" i="3"/>
  <c r="D2879" i="3"/>
  <c r="D2166" i="3"/>
  <c r="D8245" i="3"/>
  <c r="H8245" i="3" s="1"/>
  <c r="D2748" i="3"/>
  <c r="D770" i="3"/>
  <c r="D2061" i="3"/>
  <c r="D501" i="3"/>
  <c r="D8208" i="3"/>
  <c r="D2841" i="3"/>
  <c r="D616" i="3"/>
  <c r="D674" i="3"/>
  <c r="D612" i="3"/>
  <c r="D594" i="3"/>
  <c r="D708" i="3"/>
  <c r="D2685" i="3"/>
  <c r="D597" i="3"/>
  <c r="D682" i="3"/>
  <c r="D8449" i="3"/>
  <c r="I8449" i="3" s="1"/>
  <c r="D2058" i="3"/>
  <c r="D2265" i="3"/>
  <c r="D8317" i="3"/>
  <c r="D532" i="3"/>
  <c r="D8480" i="3"/>
  <c r="D2727" i="3"/>
  <c r="D2666" i="3"/>
  <c r="D406" i="3"/>
  <c r="D8271" i="3"/>
  <c r="J8271" i="3" s="1"/>
  <c r="D8338" i="3"/>
  <c r="D2780" i="3"/>
  <c r="D2118" i="3"/>
  <c r="D2704" i="3"/>
  <c r="D2383" i="3"/>
  <c r="D8421" i="3"/>
  <c r="D2726" i="3"/>
  <c r="D2445" i="3"/>
  <c r="D715" i="3"/>
  <c r="D422" i="3"/>
  <c r="D2377" i="3"/>
  <c r="D2178" i="3"/>
  <c r="D2249" i="3"/>
  <c r="D8298" i="3"/>
  <c r="H8298" i="3" s="1"/>
  <c r="D2650" i="3"/>
  <c r="D7991" i="3"/>
  <c r="H7991" i="3" s="1"/>
  <c r="D2303" i="3"/>
  <c r="D703" i="3"/>
  <c r="D8375" i="3"/>
  <c r="H8375" i="3" s="1"/>
  <c r="D8417" i="3"/>
  <c r="D8337" i="3"/>
  <c r="J8337" i="3" s="1"/>
  <c r="D638" i="3"/>
  <c r="D8473" i="3"/>
  <c r="D2426" i="3"/>
  <c r="D2144" i="3"/>
  <c r="D8035" i="3"/>
  <c r="D480" i="3"/>
  <c r="D2104" i="3"/>
  <c r="D2360" i="3"/>
  <c r="D2282" i="3"/>
  <c r="D8216" i="3"/>
  <c r="D8197" i="3"/>
  <c r="J8197" i="3" s="1"/>
  <c r="D577" i="3"/>
  <c r="D2123" i="3"/>
  <c r="D2859" i="3"/>
  <c r="D2656" i="3"/>
  <c r="D701" i="3"/>
  <c r="D2548" i="3"/>
  <c r="D2201" i="3"/>
  <c r="D8005" i="3"/>
  <c r="D749" i="3"/>
  <c r="D568" i="3"/>
  <c r="D460" i="3"/>
  <c r="D8027" i="3"/>
  <c r="D465" i="3"/>
  <c r="D2428" i="3"/>
  <c r="D2225" i="3"/>
  <c r="D8228" i="3"/>
  <c r="I8228" i="3" s="1"/>
  <c r="D8448" i="3"/>
  <c r="D281" i="3"/>
  <c r="D2319" i="3"/>
  <c r="D7982" i="3"/>
  <c r="H7982" i="3" s="1"/>
  <c r="D8202" i="3"/>
  <c r="I8202" i="3" s="1"/>
  <c r="D8260" i="3"/>
  <c r="D2563" i="3"/>
  <c r="D2843" i="3"/>
  <c r="D2290" i="3"/>
  <c r="D8400" i="3"/>
  <c r="D8330" i="3"/>
  <c r="D8251" i="3"/>
  <c r="J8251" i="3" s="1"/>
  <c r="D2105" i="3"/>
  <c r="D8231" i="3"/>
  <c r="I8231" i="3" s="1"/>
  <c r="D588" i="3"/>
  <c r="D2546" i="3"/>
  <c r="D608" i="3"/>
  <c r="D625" i="3"/>
  <c r="D8387" i="3"/>
  <c r="D2850" i="3"/>
  <c r="D2441" i="3"/>
  <c r="D2561" i="3"/>
  <c r="D2880" i="3"/>
  <c r="D2227" i="3"/>
  <c r="D2603" i="3"/>
  <c r="D8285" i="3"/>
  <c r="D2141" i="3"/>
  <c r="D2671" i="3"/>
  <c r="D354" i="3"/>
  <c r="D2129" i="3"/>
  <c r="D8277" i="3"/>
  <c r="H8277" i="3" s="1"/>
  <c r="D2608" i="3"/>
  <c r="D8289" i="3"/>
  <c r="D2542" i="3"/>
  <c r="D8076" i="3"/>
  <c r="H8076" i="3" s="1"/>
  <c r="D485" i="3"/>
  <c r="D8530" i="3"/>
  <c r="H8530" i="3" s="1"/>
  <c r="D724" i="3"/>
  <c r="D456" i="3"/>
  <c r="D2240" i="3"/>
  <c r="D8407" i="3"/>
  <c r="D7998" i="3"/>
  <c r="H7998" i="3" s="1"/>
  <c r="D2624" i="3"/>
  <c r="D2801" i="3"/>
  <c r="D665" i="3"/>
  <c r="D2641" i="3"/>
  <c r="D2758" i="3"/>
  <c r="D8334" i="3"/>
  <c r="I8334" i="3" s="1"/>
  <c r="D2208" i="3"/>
  <c r="D293" i="3"/>
  <c r="D487" i="3"/>
  <c r="D2807" i="3"/>
  <c r="D2419" i="3"/>
  <c r="D2152" i="3"/>
  <c r="D2159" i="3"/>
  <c r="D2463" i="3"/>
  <c r="D8001" i="3"/>
  <c r="H8001" i="3" s="1"/>
  <c r="D791" i="3"/>
  <c r="D8528" i="3"/>
  <c r="J8528" i="3" s="1"/>
  <c r="D504" i="3"/>
  <c r="D2532" i="3"/>
  <c r="D8320" i="3"/>
  <c r="J8320" i="3" s="1"/>
  <c r="D795" i="3"/>
  <c r="D2631" i="3"/>
  <c r="D647" i="3"/>
  <c r="D573" i="3"/>
  <c r="D8261" i="3"/>
  <c r="H8261" i="3" s="1"/>
  <c r="D2137" i="3"/>
  <c r="D2461" i="3"/>
  <c r="D2145" i="3"/>
  <c r="D8310" i="3"/>
  <c r="J8310" i="3" s="1"/>
  <c r="D702" i="3"/>
  <c r="D2150" i="3"/>
  <c r="D2751" i="3"/>
  <c r="D2544" i="3"/>
  <c r="D352" i="3"/>
  <c r="D699" i="3"/>
  <c r="D793" i="3"/>
  <c r="D7990" i="3"/>
  <c r="D546" i="3"/>
  <c r="D2616" i="3"/>
  <c r="D8051" i="3"/>
  <c r="D2606" i="3"/>
  <c r="D8028" i="3"/>
  <c r="H8028" i="3" s="1"/>
  <c r="D2750" i="3"/>
  <c r="D8343" i="3"/>
  <c r="H8343" i="3" s="1"/>
  <c r="D8434" i="3"/>
  <c r="D2088" i="3"/>
  <c r="D2614" i="3"/>
  <c r="D323" i="3"/>
  <c r="D2307" i="3"/>
  <c r="D8314" i="3"/>
  <c r="I8314" i="3" s="1"/>
  <c r="D2812" i="3"/>
  <c r="D2345" i="3"/>
  <c r="D2325" i="3"/>
  <c r="D8290" i="3"/>
  <c r="J8290" i="3" s="1"/>
  <c r="D2757" i="3"/>
  <c r="H8241" i="3"/>
  <c r="J8287" i="3"/>
  <c r="H8367" i="3"/>
  <c r="J8002" i="3"/>
  <c r="H8259" i="3"/>
  <c r="J8443" i="3"/>
  <c r="I8443" i="3"/>
  <c r="J8259" i="3"/>
  <c r="J8367" i="3"/>
  <c r="I8326" i="3"/>
  <c r="J8326" i="3"/>
  <c r="I8071" i="3"/>
  <c r="I8380" i="3"/>
  <c r="J8381" i="3"/>
  <c r="J8355" i="3"/>
  <c r="H8380" i="3"/>
  <c r="H7981" i="3"/>
  <c r="I7992" i="3"/>
  <c r="H7992" i="3"/>
  <c r="I8351" i="3"/>
  <c r="H8351" i="3"/>
  <c r="J8351" i="3"/>
  <c r="I8004" i="3"/>
  <c r="I8247" i="3"/>
  <c r="J8247" i="3"/>
  <c r="H8247" i="3"/>
  <c r="I8238" i="3"/>
  <c r="H8296" i="3"/>
  <c r="H8445" i="3"/>
  <c r="I8445" i="3"/>
  <c r="H8388" i="3"/>
  <c r="I8388" i="3"/>
  <c r="H8015" i="3"/>
  <c r="I8433" i="3"/>
  <c r="H8433" i="3"/>
  <c r="J8433" i="3"/>
  <c r="I7987" i="3"/>
  <c r="J7987" i="3"/>
  <c r="A2" i="150"/>
  <c r="A1" i="150"/>
  <c r="A11" i="32"/>
  <c r="J8011" i="3" l="1"/>
  <c r="H8474" i="3"/>
  <c r="I8015" i="3"/>
  <c r="J8269" i="3"/>
  <c r="J8238" i="3"/>
  <c r="H8011" i="3"/>
  <c r="I8474" i="3"/>
  <c r="J8476" i="3"/>
  <c r="H8244" i="3"/>
  <c r="H8376" i="3"/>
  <c r="H7976" i="3"/>
  <c r="I8354" i="3"/>
  <c r="J8004" i="3"/>
  <c r="J8525" i="3"/>
  <c r="H8321" i="3"/>
  <c r="J7999" i="3"/>
  <c r="H8282" i="3"/>
  <c r="H8207" i="3"/>
  <c r="J8236" i="3"/>
  <c r="H8304" i="3"/>
  <c r="I8244" i="3"/>
  <c r="I8275" i="3"/>
  <c r="J8304" i="3"/>
  <c r="J7976" i="3"/>
  <c r="J7978" i="3"/>
  <c r="J8422" i="3"/>
  <c r="H8192" i="3"/>
  <c r="I8412" i="3"/>
  <c r="H8221" i="3"/>
  <c r="J8412" i="3"/>
  <c r="H8308" i="3"/>
  <c r="H8292" i="3"/>
  <c r="J8428" i="3"/>
  <c r="J7995" i="3"/>
  <c r="H7995" i="3"/>
  <c r="J8194" i="3"/>
  <c r="H8071" i="3"/>
  <c r="J8221" i="3"/>
  <c r="H8422" i="3"/>
  <c r="J8192" i="3"/>
  <c r="J8318" i="3"/>
  <c r="I8381" i="3"/>
  <c r="I8321" i="3"/>
  <c r="I8323" i="3"/>
  <c r="J8308" i="3"/>
  <c r="J8059" i="3"/>
  <c r="H8233" i="3"/>
  <c r="J8262" i="3"/>
  <c r="I7999" i="3"/>
  <c r="H8476" i="3"/>
  <c r="H8355" i="3"/>
  <c r="H8269" i="3"/>
  <c r="J8395" i="3"/>
  <c r="J8207" i="3"/>
  <c r="H8275" i="3"/>
  <c r="J8319" i="3"/>
  <c r="H8319" i="3"/>
  <c r="H8236" i="3"/>
  <c r="I8265" i="3"/>
  <c r="H8270" i="3"/>
  <c r="J8186" i="3"/>
  <c r="I8376" i="3"/>
  <c r="I8284" i="3"/>
  <c r="J8001" i="3"/>
  <c r="J8270" i="3"/>
  <c r="J8282" i="3"/>
  <c r="J8354" i="3"/>
  <c r="I8058" i="3"/>
  <c r="I7978" i="3"/>
  <c r="J8265" i="3"/>
  <c r="H8059" i="3"/>
  <c r="I8350" i="3"/>
  <c r="J8350" i="3"/>
  <c r="I8186" i="3"/>
  <c r="I8395" i="3"/>
  <c r="J8284" i="3"/>
  <c r="I8194" i="3"/>
  <c r="J8323" i="3"/>
  <c r="H8525" i="3"/>
  <c r="H8371" i="3"/>
  <c r="I8041" i="3"/>
  <c r="I8389" i="3"/>
  <c r="I8325" i="3"/>
  <c r="J8325" i="3"/>
  <c r="I7980" i="3"/>
  <c r="I8187" i="3"/>
  <c r="J8294" i="3"/>
  <c r="H7977" i="3"/>
  <c r="J7977" i="3"/>
  <c r="H8310" i="3"/>
  <c r="J7980" i="3"/>
  <c r="I8294" i="3"/>
  <c r="H8428" i="3"/>
  <c r="J8292" i="3"/>
  <c r="H8187" i="3"/>
  <c r="I8528" i="3"/>
  <c r="H8299" i="3"/>
  <c r="H8041" i="3"/>
  <c r="I8291" i="3"/>
  <c r="H8389" i="3"/>
  <c r="I8299" i="3"/>
  <c r="H8357" i="3"/>
  <c r="H8251" i="3"/>
  <c r="H8217" i="3"/>
  <c r="I8217" i="3"/>
  <c r="J8212" i="3"/>
  <c r="H8213" i="3"/>
  <c r="J8240" i="3"/>
  <c r="I8212" i="3"/>
  <c r="H8240" i="3"/>
  <c r="J8053" i="3"/>
  <c r="H8415" i="3"/>
  <c r="J8233" i="3"/>
  <c r="J8242" i="3"/>
  <c r="I8415" i="3"/>
  <c r="I8213" i="3"/>
  <c r="J8371" i="3"/>
  <c r="I7981" i="3"/>
  <c r="H8009" i="3"/>
  <c r="H8242" i="3"/>
  <c r="I8053" i="3"/>
  <c r="J8009" i="3"/>
  <c r="H8313" i="3"/>
  <c r="J8313" i="3"/>
  <c r="I8310" i="3"/>
  <c r="J8261" i="3"/>
  <c r="I8375" i="3"/>
  <c r="J8277" i="3"/>
  <c r="I8261" i="3"/>
  <c r="I8277" i="3"/>
  <c r="J8204" i="3"/>
  <c r="H8204" i="3"/>
  <c r="H8394" i="3"/>
  <c r="J8394" i="3"/>
  <c r="H8398" i="3"/>
  <c r="J8398" i="3"/>
  <c r="I8251" i="3"/>
  <c r="I8357" i="3"/>
  <c r="H8249" i="3"/>
  <c r="J8328" i="3"/>
  <c r="I8249" i="3"/>
  <c r="H8372" i="3"/>
  <c r="J8237" i="3"/>
  <c r="H8439" i="3"/>
  <c r="I8290" i="3"/>
  <c r="I7988" i="3"/>
  <c r="I7991" i="3"/>
  <c r="H7988" i="3"/>
  <c r="J7991" i="3"/>
  <c r="I7998" i="3"/>
  <c r="H8369" i="3"/>
  <c r="J7998" i="3"/>
  <c r="J8369" i="3"/>
  <c r="J8029" i="3"/>
  <c r="H8029" i="3"/>
  <c r="I8022" i="3"/>
  <c r="H8022" i="3"/>
  <c r="J8439" i="3"/>
  <c r="I8478" i="3"/>
  <c r="J8343" i="3"/>
  <c r="H8010" i="3"/>
  <c r="H8478" i="3"/>
  <c r="I8248" i="3"/>
  <c r="J8372" i="3"/>
  <c r="J8248" i="3"/>
  <c r="J8405" i="3"/>
  <c r="I8320" i="3"/>
  <c r="I8298" i="3"/>
  <c r="J8298" i="3"/>
  <c r="H8320" i="3"/>
  <c r="J8243" i="3"/>
  <c r="I8343" i="3"/>
  <c r="H8234" i="3"/>
  <c r="J8234" i="3"/>
  <c r="I8243" i="3"/>
  <c r="H8405" i="3"/>
  <c r="H8209" i="3"/>
  <c r="I8010" i="3"/>
  <c r="J8209" i="3"/>
  <c r="H8271" i="3"/>
  <c r="J8524" i="3"/>
  <c r="H8290" i="3"/>
  <c r="H8364" i="3"/>
  <c r="I8337" i="3"/>
  <c r="I8364" i="3"/>
  <c r="J8252" i="3"/>
  <c r="J8442" i="3"/>
  <c r="H8337" i="3"/>
  <c r="H8311" i="3"/>
  <c r="H8353" i="3"/>
  <c r="I8335" i="3"/>
  <c r="J8334" i="3"/>
  <c r="H8237" i="3"/>
  <c r="J8353" i="3"/>
  <c r="I8311" i="3"/>
  <c r="I8001" i="3"/>
  <c r="I8447" i="3"/>
  <c r="H8328" i="3"/>
  <c r="I8318" i="3"/>
  <c r="H8385" i="3"/>
  <c r="I8442" i="3"/>
  <c r="H8039" i="3"/>
  <c r="H8362" i="3"/>
  <c r="J8058" i="3"/>
  <c r="H8252" i="3"/>
  <c r="H8524" i="3"/>
  <c r="I8362" i="3"/>
  <c r="J8427" i="3"/>
  <c r="H8447" i="3"/>
  <c r="I8271" i="3"/>
  <c r="I8385" i="3"/>
  <c r="J8028" i="3"/>
  <c r="I8360" i="3"/>
  <c r="H8349" i="3"/>
  <c r="J8039" i="3"/>
  <c r="H8334" i="3"/>
  <c r="H8528" i="3"/>
  <c r="H8479" i="3"/>
  <c r="I8028" i="3"/>
  <c r="J8360" i="3"/>
  <c r="J8375" i="3"/>
  <c r="J8479" i="3"/>
  <c r="H8070" i="3"/>
  <c r="I8227" i="3"/>
  <c r="I7984" i="3"/>
  <c r="J8449" i="3"/>
  <c r="J8227" i="3"/>
  <c r="H8449" i="3"/>
  <c r="I7994" i="3"/>
  <c r="J7984" i="3"/>
  <c r="J8190" i="3"/>
  <c r="I8190" i="3"/>
  <c r="J7994" i="3"/>
  <c r="J8291" i="3"/>
  <c r="I8262" i="3"/>
  <c r="H8333" i="3"/>
  <c r="I8349" i="3"/>
  <c r="I8333" i="3"/>
  <c r="I8070" i="3"/>
  <c r="J8297" i="3"/>
  <c r="I8297" i="3"/>
  <c r="H8297" i="3"/>
  <c r="I8195" i="3"/>
  <c r="J8335" i="3"/>
  <c r="J8373" i="3"/>
  <c r="J8434" i="3"/>
  <c r="H8434" i="3"/>
  <c r="I8434" i="3"/>
  <c r="H8075" i="3"/>
  <c r="J8075" i="3"/>
  <c r="I8075" i="3"/>
  <c r="I8327" i="3"/>
  <c r="H8327" i="3"/>
  <c r="J8327" i="3"/>
  <c r="I8033" i="3"/>
  <c r="J8033" i="3"/>
  <c r="J8276" i="3"/>
  <c r="I8276" i="3"/>
  <c r="H7979" i="3"/>
  <c r="I7979" i="3"/>
  <c r="J7979" i="3"/>
  <c r="H8416" i="3"/>
  <c r="J8416" i="3"/>
  <c r="I8416" i="3"/>
  <c r="I8339" i="3"/>
  <c r="H8339" i="3"/>
  <c r="H8295" i="3"/>
  <c r="J8295" i="3"/>
  <c r="J8273" i="3"/>
  <c r="H8273" i="3"/>
  <c r="I8273" i="3"/>
  <c r="J8523" i="3"/>
  <c r="H8523" i="3"/>
  <c r="H8420" i="3"/>
  <c r="I8420" i="3"/>
  <c r="J8420" i="3"/>
  <c r="J8057" i="3"/>
  <c r="H8057" i="3"/>
  <c r="I8057" i="3"/>
  <c r="I8219" i="3"/>
  <c r="H8219" i="3"/>
  <c r="J8219" i="3"/>
  <c r="J8409" i="3"/>
  <c r="H8409" i="3"/>
  <c r="I8409" i="3"/>
  <c r="I8225" i="3"/>
  <c r="J8225" i="3"/>
  <c r="J8230" i="3"/>
  <c r="I8230" i="3"/>
  <c r="H8230" i="3"/>
  <c r="I8341" i="3"/>
  <c r="J8341" i="3"/>
  <c r="H8341" i="3"/>
  <c r="J8195" i="3"/>
  <c r="I8427" i="3"/>
  <c r="J8285" i="3"/>
  <c r="I8285" i="3"/>
  <c r="H8285" i="3"/>
  <c r="J8231" i="3"/>
  <c r="H8231" i="3"/>
  <c r="J8035" i="3"/>
  <c r="I8035" i="3"/>
  <c r="H8035" i="3"/>
  <c r="I8223" i="3"/>
  <c r="J8223" i="3"/>
  <c r="J8200" i="3"/>
  <c r="I8200" i="3"/>
  <c r="H8200" i="3"/>
  <c r="I8300" i="3"/>
  <c r="J8300" i="3"/>
  <c r="H8300" i="3"/>
  <c r="J8232" i="3"/>
  <c r="H8232" i="3"/>
  <c r="I8232" i="3"/>
  <c r="H8014" i="3"/>
  <c r="I8014" i="3"/>
  <c r="J8014" i="3"/>
  <c r="J8007" i="3"/>
  <c r="H8007" i="3"/>
  <c r="I8007" i="3"/>
  <c r="J8383" i="3"/>
  <c r="H8383" i="3"/>
  <c r="I8383" i="3"/>
  <c r="J8303" i="3"/>
  <c r="H8303" i="3"/>
  <c r="I8303" i="3"/>
  <c r="J8023" i="3"/>
  <c r="I8023" i="3"/>
  <c r="H8023" i="3"/>
  <c r="H8414" i="3"/>
  <c r="I8414" i="3"/>
  <c r="J8414" i="3"/>
  <c r="J8281" i="3"/>
  <c r="I8281" i="3"/>
  <c r="J8278" i="3"/>
  <c r="H8278" i="3"/>
  <c r="I8278" i="3"/>
  <c r="I8239" i="3"/>
  <c r="H8239" i="3"/>
  <c r="J8239" i="3"/>
  <c r="H8293" i="3"/>
  <c r="I8293" i="3"/>
  <c r="J8293" i="3"/>
  <c r="I8382" i="3"/>
  <c r="H8382" i="3"/>
  <c r="J8382" i="3"/>
  <c r="J8016" i="3"/>
  <c r="I8016" i="3"/>
  <c r="H8279" i="3"/>
  <c r="J8279" i="3"/>
  <c r="I8279" i="3"/>
  <c r="H8403" i="3"/>
  <c r="I8530" i="3"/>
  <c r="J8228" i="3"/>
  <c r="H8228" i="3"/>
  <c r="I8245" i="3"/>
  <c r="J8245" i="3"/>
  <c r="H8418" i="3"/>
  <c r="J8418" i="3"/>
  <c r="I8418" i="3"/>
  <c r="I8253" i="3"/>
  <c r="J8253" i="3"/>
  <c r="H8253" i="3"/>
  <c r="I8214" i="3"/>
  <c r="H8214" i="3"/>
  <c r="J8206" i="3"/>
  <c r="I8206" i="3"/>
  <c r="I8034" i="3"/>
  <c r="J8034" i="3"/>
  <c r="H8034" i="3"/>
  <c r="J7986" i="3"/>
  <c r="I7986" i="3"/>
  <c r="H7986" i="3"/>
  <c r="I8196" i="3"/>
  <c r="J8196" i="3"/>
  <c r="H8196" i="3"/>
  <c r="J8301" i="3"/>
  <c r="I8301" i="3"/>
  <c r="J8342" i="3"/>
  <c r="I8342" i="3"/>
  <c r="I8305" i="3"/>
  <c r="J8305" i="3"/>
  <c r="H8305" i="3"/>
  <c r="H8263" i="3"/>
  <c r="I8263" i="3"/>
  <c r="J8263" i="3"/>
  <c r="I8211" i="3"/>
  <c r="J8211" i="3"/>
  <c r="H8211" i="3"/>
  <c r="I8205" i="3"/>
  <c r="J8205" i="3"/>
  <c r="H8205" i="3"/>
  <c r="H8267" i="3"/>
  <c r="J8267" i="3"/>
  <c r="I8267" i="3"/>
  <c r="I8235" i="3"/>
  <c r="H8235" i="3"/>
  <c r="J8235" i="3"/>
  <c r="H8438" i="3"/>
  <c r="J8438" i="3"/>
  <c r="I8438" i="3"/>
  <c r="J8302" i="3"/>
  <c r="H8302" i="3"/>
  <c r="J8255" i="3"/>
  <c r="H8255" i="3"/>
  <c r="I8255" i="3"/>
  <c r="J8288" i="3"/>
  <c r="H8288" i="3"/>
  <c r="H8225" i="3"/>
  <c r="H8429" i="3"/>
  <c r="J8076" i="3"/>
  <c r="I8076" i="3"/>
  <c r="H8330" i="3"/>
  <c r="J8330" i="3"/>
  <c r="I8330" i="3"/>
  <c r="J8473" i="3"/>
  <c r="H8473" i="3"/>
  <c r="I8473" i="3"/>
  <c r="H7983" i="3"/>
  <c r="I7983" i="3"/>
  <c r="J8324" i="3"/>
  <c r="I8324" i="3"/>
  <c r="H8324" i="3"/>
  <c r="I8391" i="3"/>
  <c r="J8391" i="3"/>
  <c r="H8391" i="3"/>
  <c r="H8432" i="3"/>
  <c r="I8432" i="3"/>
  <c r="J8432" i="3"/>
  <c r="J8316" i="3"/>
  <c r="H8316" i="3"/>
  <c r="I8446" i="3"/>
  <c r="H8446" i="3"/>
  <c r="H8404" i="3"/>
  <c r="J8404" i="3"/>
  <c r="I8404" i="3"/>
  <c r="J8424" i="3"/>
  <c r="H8424" i="3"/>
  <c r="I8424" i="3"/>
  <c r="J8368" i="3"/>
  <c r="I8368" i="3"/>
  <c r="H8368" i="3"/>
  <c r="I8193" i="3"/>
  <c r="H8193" i="3"/>
  <c r="J8193" i="3"/>
  <c r="I8340" i="3"/>
  <c r="H8340" i="3"/>
  <c r="J8340" i="3"/>
  <c r="H8021" i="3"/>
  <c r="J8021" i="3"/>
  <c r="I8021" i="3"/>
  <c r="J8040" i="3"/>
  <c r="I8040" i="3"/>
  <c r="H8040" i="3"/>
  <c r="H8426" i="3"/>
  <c r="I8426" i="3"/>
  <c r="H8441" i="3"/>
  <c r="J8441" i="3"/>
  <c r="J8052" i="3"/>
  <c r="I8052" i="3"/>
  <c r="H8052" i="3"/>
  <c r="J8365" i="3"/>
  <c r="H8365" i="3"/>
  <c r="I8365" i="3"/>
  <c r="H8378" i="3"/>
  <c r="I8378" i="3"/>
  <c r="J8378" i="3"/>
  <c r="I8435" i="3"/>
  <c r="H8435" i="3"/>
  <c r="H8347" i="3"/>
  <c r="J8347" i="3"/>
  <c r="I8347" i="3"/>
  <c r="I8226" i="3"/>
  <c r="H8226" i="3"/>
  <c r="J8226" i="3"/>
  <c r="J8218" i="3"/>
  <c r="I8218" i="3"/>
  <c r="H8218" i="3"/>
  <c r="I8229" i="3"/>
  <c r="H8229" i="3"/>
  <c r="J8229" i="3"/>
  <c r="H8352" i="3"/>
  <c r="J8352" i="3"/>
  <c r="H8440" i="3"/>
  <c r="I8051" i="3"/>
  <c r="J8051" i="3"/>
  <c r="H8051" i="3"/>
  <c r="J8400" i="3"/>
  <c r="H8400" i="3"/>
  <c r="I8400" i="3"/>
  <c r="H8379" i="3"/>
  <c r="J8379" i="3"/>
  <c r="I8379" i="3"/>
  <c r="I8069" i="3"/>
  <c r="H8069" i="3"/>
  <c r="J8069" i="3"/>
  <c r="I8215" i="3"/>
  <c r="H8215" i="3"/>
  <c r="J8215" i="3"/>
  <c r="J8286" i="3"/>
  <c r="H8286" i="3"/>
  <c r="I8286" i="3"/>
  <c r="J8246" i="3"/>
  <c r="I8246" i="3"/>
  <c r="H8246" i="3"/>
  <c r="J8384" i="3"/>
  <c r="H8384" i="3"/>
  <c r="I8384" i="3"/>
  <c r="J8210" i="3"/>
  <c r="I8210" i="3"/>
  <c r="H8210" i="3"/>
  <c r="H8444" i="3"/>
  <c r="J8444" i="3"/>
  <c r="H8256" i="3"/>
  <c r="J8256" i="3"/>
  <c r="I8256" i="3"/>
  <c r="J8266" i="3"/>
  <c r="H8266" i="3"/>
  <c r="I8266" i="3"/>
  <c r="I8408" i="3"/>
  <c r="H8408" i="3"/>
  <c r="J8408" i="3"/>
  <c r="H8250" i="3"/>
  <c r="J8250" i="3"/>
  <c r="I8250" i="3"/>
  <c r="J8346" i="3"/>
  <c r="I8373" i="3"/>
  <c r="J8289" i="3"/>
  <c r="I8289" i="3"/>
  <c r="H8289" i="3"/>
  <c r="J8410" i="3"/>
  <c r="H8410" i="3"/>
  <c r="I8410" i="3"/>
  <c r="I8411" i="3"/>
  <c r="J8411" i="3"/>
  <c r="H8411" i="3"/>
  <c r="J8336" i="3"/>
  <c r="I8336" i="3"/>
  <c r="H8336" i="3"/>
  <c r="H8272" i="3"/>
  <c r="J8272" i="3"/>
  <c r="I8272" i="3"/>
  <c r="H8399" i="3"/>
  <c r="I8399" i="3"/>
  <c r="H8358" i="3"/>
  <c r="I8358" i="3"/>
  <c r="J8358" i="3"/>
  <c r="I8306" i="3"/>
  <c r="H8306" i="3"/>
  <c r="J8306" i="3"/>
  <c r="H8390" i="3"/>
  <c r="I8390" i="3"/>
  <c r="J8390" i="3"/>
  <c r="I8472" i="3"/>
  <c r="H8472" i="3"/>
  <c r="H8356" i="3"/>
  <c r="J8356" i="3"/>
  <c r="I8356" i="3"/>
  <c r="H7985" i="3"/>
  <c r="I7985" i="3"/>
  <c r="J7985" i="3"/>
  <c r="H8430" i="3"/>
  <c r="I8430" i="3"/>
  <c r="J8430" i="3"/>
  <c r="I8527" i="3"/>
  <c r="H8527" i="3"/>
  <c r="J8527" i="3"/>
  <c r="J7989" i="3"/>
  <c r="H7989" i="3"/>
  <c r="I7989" i="3"/>
  <c r="I8419" i="3"/>
  <c r="H8419" i="3"/>
  <c r="H8348" i="3"/>
  <c r="I8348" i="3"/>
  <c r="J8348" i="3"/>
  <c r="H8332" i="3"/>
  <c r="I8332" i="3"/>
  <c r="J8332" i="3"/>
  <c r="I8448" i="3"/>
  <c r="H8448" i="3"/>
  <c r="J8448" i="3"/>
  <c r="J8437" i="3"/>
  <c r="I8437" i="3"/>
  <c r="J8314" i="3"/>
  <c r="H8314" i="3"/>
  <c r="I8027" i="3"/>
  <c r="H8027" i="3"/>
  <c r="J8027" i="3"/>
  <c r="I8197" i="3"/>
  <c r="H8197" i="3"/>
  <c r="J8417" i="3"/>
  <c r="I8417" i="3"/>
  <c r="H8417" i="3"/>
  <c r="J8480" i="3"/>
  <c r="I8480" i="3"/>
  <c r="H8480" i="3"/>
  <c r="H8431" i="3"/>
  <c r="I8431" i="3"/>
  <c r="J8431" i="3"/>
  <c r="I8396" i="3"/>
  <c r="J8396" i="3"/>
  <c r="H8396" i="3"/>
  <c r="J7993" i="3"/>
  <c r="I7993" i="3"/>
  <c r="I8529" i="3"/>
  <c r="H8529" i="3"/>
  <c r="J8529" i="3"/>
  <c r="I8374" i="3"/>
  <c r="H8374" i="3"/>
  <c r="J8374" i="3"/>
  <c r="H8363" i="3"/>
  <c r="J8363" i="3"/>
  <c r="I8363" i="3"/>
  <c r="I8287" i="3"/>
  <c r="H8287" i="3"/>
  <c r="J8241" i="3"/>
  <c r="I8241" i="3"/>
  <c r="H8012" i="3"/>
  <c r="J8012" i="3"/>
  <c r="I8012" i="3"/>
  <c r="J8296" i="3"/>
  <c r="I8296" i="3"/>
  <c r="J8393" i="3"/>
  <c r="H8393" i="3"/>
  <c r="I8393" i="3"/>
  <c r="J8477" i="3"/>
  <c r="H8477" i="3"/>
  <c r="J8366" i="3"/>
  <c r="J7990" i="3"/>
  <c r="H7990" i="3"/>
  <c r="I7990" i="3"/>
  <c r="J8387" i="3"/>
  <c r="H8387" i="3"/>
  <c r="I8387" i="3"/>
  <c r="J8216" i="3"/>
  <c r="H8216" i="3"/>
  <c r="I8216" i="3"/>
  <c r="I8188" i="3"/>
  <c r="J8188" i="3"/>
  <c r="J8401" i="3"/>
  <c r="I8401" i="3"/>
  <c r="H8401" i="3"/>
  <c r="I8377" i="3"/>
  <c r="H8377" i="3"/>
  <c r="J8377" i="3"/>
  <c r="J8189" i="3"/>
  <c r="H8189" i="3"/>
  <c r="I8189" i="3"/>
  <c r="I8222" i="3"/>
  <c r="H8222" i="3"/>
  <c r="J8222" i="3"/>
  <c r="J8386" i="3"/>
  <c r="H8386" i="3"/>
  <c r="I8386" i="3"/>
  <c r="J8392" i="3"/>
  <c r="I8392" i="3"/>
  <c r="H8199" i="3"/>
  <c r="I8199" i="3"/>
  <c r="J8199" i="3"/>
  <c r="H8280" i="3"/>
  <c r="J8280" i="3"/>
  <c r="I8280" i="3"/>
  <c r="J8274" i="3"/>
  <c r="I8274" i="3"/>
  <c r="H8274" i="3"/>
  <c r="H8366" i="3"/>
  <c r="J8530" i="3"/>
  <c r="H8260" i="3"/>
  <c r="I8260" i="3"/>
  <c r="J8260" i="3"/>
  <c r="J8421" i="3"/>
  <c r="H8421" i="3"/>
  <c r="I8421" i="3"/>
  <c r="I8317" i="3"/>
  <c r="H8317" i="3"/>
  <c r="J8317" i="3"/>
  <c r="H8359" i="3"/>
  <c r="I8359" i="3"/>
  <c r="I8198" i="3"/>
  <c r="H8198" i="3"/>
  <c r="J8198" i="3"/>
  <c r="I8406" i="3"/>
  <c r="J8406" i="3"/>
  <c r="H8406" i="3"/>
  <c r="I8309" i="3"/>
  <c r="J8309" i="3"/>
  <c r="H8309" i="3"/>
  <c r="H8370" i="3"/>
  <c r="J8370" i="3"/>
  <c r="I8370" i="3"/>
  <c r="J8203" i="3"/>
  <c r="H8203" i="3"/>
  <c r="I8203" i="3"/>
  <c r="J8425" i="3"/>
  <c r="I8425" i="3"/>
  <c r="H8425" i="3"/>
  <c r="J8077" i="3"/>
  <c r="I8077" i="3"/>
  <c r="H8315" i="3"/>
  <c r="J8315" i="3"/>
  <c r="I8315" i="3"/>
  <c r="I8008" i="3"/>
  <c r="J8008" i="3"/>
  <c r="H8008" i="3"/>
  <c r="J8344" i="3"/>
  <c r="H8344" i="3"/>
  <c r="I8344" i="3"/>
  <c r="I7997" i="3"/>
  <c r="J7997" i="3"/>
  <c r="H7997" i="3"/>
  <c r="H8346" i="3"/>
  <c r="J8429" i="3"/>
  <c r="I8440" i="3"/>
  <c r="I8407" i="3"/>
  <c r="H8407" i="3"/>
  <c r="J8407" i="3"/>
  <c r="J8202" i="3"/>
  <c r="H8202" i="3"/>
  <c r="I8208" i="3"/>
  <c r="H8208" i="3"/>
  <c r="J8208" i="3"/>
  <c r="J8201" i="3"/>
  <c r="H8201" i="3"/>
  <c r="I8003" i="3"/>
  <c r="H8003" i="3"/>
  <c r="J8003" i="3"/>
  <c r="J8017" i="3"/>
  <c r="H8017" i="3"/>
  <c r="I8017" i="3"/>
  <c r="H8307" i="3"/>
  <c r="J8307" i="3"/>
  <c r="I8307" i="3"/>
  <c r="J8397" i="3"/>
  <c r="H8397" i="3"/>
  <c r="I8397" i="3"/>
  <c r="J8329" i="3"/>
  <c r="I8329" i="3"/>
  <c r="I8322" i="3"/>
  <c r="J8322" i="3"/>
  <c r="H8322" i="3"/>
  <c r="I8331" i="3"/>
  <c r="J8331" i="3"/>
  <c r="H8331" i="3"/>
  <c r="J8268" i="3"/>
  <c r="I8268" i="3"/>
  <c r="H8268" i="3"/>
  <c r="H8002" i="3"/>
  <c r="I8002" i="3"/>
  <c r="J8475" i="3"/>
  <c r="I8475" i="3"/>
  <c r="H8475" i="3"/>
  <c r="H8312" i="3"/>
  <c r="I8312" i="3"/>
  <c r="J8258" i="3"/>
  <c r="H8258" i="3"/>
  <c r="I8258" i="3"/>
  <c r="J8338" i="3"/>
  <c r="H8338" i="3"/>
  <c r="I8338" i="3"/>
  <c r="I8403" i="3"/>
  <c r="J7982" i="3"/>
  <c r="I7982" i="3"/>
  <c r="J8005" i="3"/>
  <c r="H8005" i="3"/>
  <c r="I8005" i="3"/>
  <c r="H7996" i="3"/>
  <c r="J7996" i="3"/>
  <c r="I7996" i="3"/>
  <c r="J8013" i="3"/>
  <c r="H8013" i="3"/>
  <c r="I8013" i="3"/>
  <c r="H8413" i="3"/>
  <c r="I8413" i="3"/>
  <c r="J8413" i="3"/>
  <c r="J8000" i="3"/>
  <c r="I8000" i="3"/>
  <c r="H8000" i="3"/>
  <c r="I8345" i="3"/>
  <c r="J8345" i="3"/>
  <c r="H8345" i="3"/>
  <c r="H8402" i="3"/>
  <c r="I8402" i="3"/>
  <c r="J8402" i="3"/>
  <c r="J8224" i="3"/>
  <c r="I8224" i="3"/>
  <c r="H8224" i="3"/>
  <c r="H8361" i="3"/>
  <c r="I8361" i="3"/>
  <c r="H8423" i="3"/>
  <c r="J8423" i="3"/>
  <c r="I8423" i="3"/>
  <c r="J8006" i="3"/>
  <c r="H8006" i="3"/>
  <c r="I8006" i="3"/>
  <c r="I8264" i="3"/>
  <c r="H8264" i="3"/>
  <c r="J8264" i="3"/>
  <c r="I8191" i="3"/>
  <c r="H8191" i="3"/>
  <c r="J8191" i="3"/>
  <c r="I8220" i="3"/>
  <c r="J8220" i="3"/>
  <c r="H8220" i="3"/>
  <c r="I8283" i="3"/>
  <c r="H8283" i="3"/>
  <c r="J8283" i="3"/>
  <c r="I8436" i="3"/>
  <c r="H8436" i="3"/>
  <c r="J8254" i="3"/>
  <c r="I8254" i="3"/>
  <c r="H8254" i="3"/>
  <c r="J8257" i="3"/>
  <c r="H8257" i="3"/>
  <c r="I8257" i="3"/>
  <c r="F7855" i="3"/>
  <c r="G7855" i="3"/>
  <c r="F7856" i="3"/>
  <c r="G7856" i="3"/>
  <c r="F7857" i="3"/>
  <c r="G7857" i="3"/>
  <c r="F7858" i="3"/>
  <c r="G7858" i="3"/>
  <c r="F7859" i="3"/>
  <c r="G7859" i="3"/>
  <c r="F7860" i="3"/>
  <c r="G7860" i="3"/>
  <c r="F7861" i="3"/>
  <c r="G7861" i="3"/>
  <c r="F7862" i="3"/>
  <c r="G7862" i="3"/>
  <c r="F7863" i="3"/>
  <c r="G7863" i="3"/>
  <c r="F7864" i="3"/>
  <c r="G7864" i="3"/>
  <c r="F7865" i="3"/>
  <c r="G7865" i="3"/>
  <c r="F7866" i="3"/>
  <c r="G7866" i="3"/>
  <c r="F7867" i="3"/>
  <c r="G7867" i="3"/>
  <c r="F7868" i="3"/>
  <c r="G7868" i="3"/>
  <c r="F7869" i="3"/>
  <c r="G7869" i="3"/>
  <c r="F7870" i="3"/>
  <c r="G7870" i="3"/>
  <c r="F7871" i="3"/>
  <c r="G7871" i="3"/>
  <c r="F7872" i="3"/>
  <c r="G7872" i="3"/>
  <c r="F7873" i="3"/>
  <c r="G7873" i="3"/>
  <c r="F7874" i="3"/>
  <c r="G7874" i="3"/>
  <c r="F7875" i="3"/>
  <c r="G7875" i="3"/>
  <c r="F7876" i="3"/>
  <c r="G7876" i="3"/>
  <c r="F7877" i="3"/>
  <c r="G7877" i="3"/>
  <c r="F7878" i="3"/>
  <c r="G7878" i="3"/>
  <c r="F7879" i="3"/>
  <c r="G7879" i="3"/>
  <c r="F7880" i="3"/>
  <c r="G7880" i="3"/>
  <c r="F7881" i="3"/>
  <c r="G7881" i="3"/>
  <c r="F7882" i="3"/>
  <c r="G7882" i="3"/>
  <c r="F7883" i="3"/>
  <c r="G7883" i="3"/>
  <c r="F7884" i="3"/>
  <c r="G7884" i="3"/>
  <c r="F7885" i="3"/>
  <c r="G7885" i="3"/>
  <c r="F7886" i="3"/>
  <c r="G7886" i="3"/>
  <c r="F7887" i="3"/>
  <c r="G7887" i="3"/>
  <c r="F7888" i="3"/>
  <c r="G7888" i="3"/>
  <c r="F7889" i="3"/>
  <c r="G7889" i="3"/>
  <c r="F7890" i="3"/>
  <c r="G7890" i="3"/>
  <c r="F7891" i="3"/>
  <c r="G7891" i="3"/>
  <c r="F7892" i="3"/>
  <c r="G7892" i="3"/>
  <c r="F7893" i="3"/>
  <c r="G7893" i="3"/>
  <c r="F7894" i="3"/>
  <c r="G7894" i="3"/>
  <c r="F7895" i="3"/>
  <c r="G7895" i="3"/>
  <c r="F7896" i="3"/>
  <c r="G7896" i="3"/>
  <c r="F7897" i="3"/>
  <c r="G7897" i="3"/>
  <c r="F7898" i="3"/>
  <c r="G7898" i="3"/>
  <c r="F7899" i="3"/>
  <c r="G7899" i="3"/>
  <c r="F7900" i="3"/>
  <c r="G7900" i="3"/>
  <c r="F7901" i="3"/>
  <c r="G7901" i="3"/>
  <c r="F7902" i="3"/>
  <c r="G7902" i="3"/>
  <c r="F7903" i="3"/>
  <c r="G7903" i="3"/>
  <c r="F7904" i="3"/>
  <c r="G7904" i="3"/>
  <c r="F7905" i="3"/>
  <c r="G7905" i="3"/>
  <c r="F7906" i="3"/>
  <c r="G7906" i="3"/>
  <c r="F7907" i="3"/>
  <c r="G7907" i="3"/>
  <c r="F7908" i="3"/>
  <c r="G7908" i="3"/>
  <c r="F7909" i="3"/>
  <c r="G7909" i="3"/>
  <c r="F7910" i="3"/>
  <c r="G7910" i="3"/>
  <c r="F7911" i="3"/>
  <c r="G7911" i="3"/>
  <c r="F7912" i="3"/>
  <c r="G7912" i="3"/>
  <c r="F7913" i="3"/>
  <c r="G7913" i="3"/>
  <c r="F7914" i="3"/>
  <c r="G7914" i="3"/>
  <c r="F7915" i="3"/>
  <c r="G7915" i="3"/>
  <c r="F7916" i="3"/>
  <c r="G7916" i="3"/>
  <c r="F7917" i="3"/>
  <c r="G7917" i="3"/>
  <c r="F7918" i="3"/>
  <c r="G7918" i="3"/>
  <c r="F7919" i="3"/>
  <c r="G7919" i="3"/>
  <c r="F7920" i="3"/>
  <c r="G7920" i="3"/>
  <c r="F7921" i="3"/>
  <c r="G7921" i="3"/>
  <c r="F7922" i="3"/>
  <c r="G7922" i="3"/>
  <c r="F7923" i="3"/>
  <c r="G7923" i="3"/>
  <c r="F7924" i="3"/>
  <c r="G7924" i="3"/>
  <c r="F7925" i="3"/>
  <c r="G7925" i="3"/>
  <c r="F7926" i="3"/>
  <c r="G7926" i="3"/>
  <c r="F7927" i="3"/>
  <c r="G7927" i="3"/>
  <c r="F7928" i="3"/>
  <c r="G7928" i="3"/>
  <c r="F7929" i="3"/>
  <c r="G7929" i="3"/>
  <c r="F7930" i="3"/>
  <c r="G7930" i="3"/>
  <c r="F7931" i="3"/>
  <c r="G7931" i="3"/>
  <c r="F7932" i="3"/>
  <c r="G7932" i="3"/>
  <c r="F7933" i="3"/>
  <c r="G7933" i="3"/>
  <c r="F7934" i="3"/>
  <c r="G7934" i="3"/>
  <c r="F7935" i="3"/>
  <c r="G7935" i="3"/>
  <c r="F7936" i="3"/>
  <c r="G7936" i="3"/>
  <c r="F7937" i="3"/>
  <c r="G7937" i="3"/>
  <c r="F7938" i="3"/>
  <c r="G7938" i="3"/>
  <c r="F7939" i="3"/>
  <c r="G7939" i="3"/>
  <c r="F7940" i="3"/>
  <c r="G7940" i="3"/>
  <c r="F7941" i="3"/>
  <c r="G7941" i="3"/>
  <c r="F7942" i="3"/>
  <c r="G7942" i="3"/>
  <c r="F7943" i="3"/>
  <c r="G7943" i="3"/>
  <c r="F7944" i="3"/>
  <c r="G7944" i="3"/>
  <c r="B7901" i="3"/>
  <c r="C7901" i="3"/>
  <c r="B7902" i="3"/>
  <c r="C7902" i="3"/>
  <c r="B7903" i="3"/>
  <c r="C7903" i="3"/>
  <c r="B7904" i="3"/>
  <c r="C7904" i="3"/>
  <c r="B7905" i="3"/>
  <c r="C7905" i="3"/>
  <c r="B7906" i="3"/>
  <c r="C7906" i="3"/>
  <c r="B7907" i="3"/>
  <c r="C7907" i="3"/>
  <c r="B7908" i="3"/>
  <c r="C7908" i="3"/>
  <c r="B7909" i="3"/>
  <c r="C7909" i="3"/>
  <c r="B7910" i="3"/>
  <c r="C7910" i="3"/>
  <c r="B7911" i="3"/>
  <c r="C7911" i="3"/>
  <c r="B7912" i="3"/>
  <c r="C7912" i="3"/>
  <c r="B7913" i="3"/>
  <c r="C7913" i="3"/>
  <c r="B7914" i="3"/>
  <c r="C7914" i="3"/>
  <c r="B7915" i="3"/>
  <c r="C7915" i="3"/>
  <c r="B7916" i="3"/>
  <c r="C7916" i="3"/>
  <c r="B7917" i="3"/>
  <c r="C7917" i="3"/>
  <c r="B7918" i="3"/>
  <c r="C7918" i="3"/>
  <c r="B7919" i="3"/>
  <c r="C7919" i="3"/>
  <c r="B7920" i="3"/>
  <c r="C7920" i="3"/>
  <c r="B7921" i="3"/>
  <c r="C7921" i="3"/>
  <c r="B7922" i="3"/>
  <c r="C7922" i="3"/>
  <c r="B7923" i="3"/>
  <c r="C7923" i="3"/>
  <c r="B7924" i="3"/>
  <c r="C7924" i="3"/>
  <c r="B7925" i="3"/>
  <c r="C7925" i="3"/>
  <c r="B7926" i="3"/>
  <c r="C7926" i="3"/>
  <c r="B7927" i="3"/>
  <c r="C7927" i="3"/>
  <c r="B7928" i="3"/>
  <c r="C7928" i="3"/>
  <c r="B7929" i="3"/>
  <c r="C7929" i="3"/>
  <c r="B7930" i="3"/>
  <c r="C7930" i="3"/>
  <c r="B7931" i="3"/>
  <c r="C7931" i="3"/>
  <c r="B7932" i="3"/>
  <c r="C7932" i="3"/>
  <c r="B7933" i="3"/>
  <c r="C7933" i="3"/>
  <c r="B7934" i="3"/>
  <c r="C7934" i="3"/>
  <c r="B7935" i="3"/>
  <c r="C7935" i="3"/>
  <c r="B7936" i="3"/>
  <c r="C7936" i="3"/>
  <c r="B7937" i="3"/>
  <c r="C7937" i="3"/>
  <c r="B7938" i="3"/>
  <c r="C7938" i="3"/>
  <c r="B7939" i="3"/>
  <c r="C7939" i="3"/>
  <c r="B7940" i="3"/>
  <c r="C7940" i="3"/>
  <c r="B7941" i="3"/>
  <c r="C7941" i="3"/>
  <c r="B7942" i="3"/>
  <c r="C7942" i="3"/>
  <c r="B7943" i="3"/>
  <c r="C7943" i="3"/>
  <c r="B7944" i="3"/>
  <c r="C7944" i="3"/>
  <c r="C7900" i="3"/>
  <c r="B7900" i="3"/>
  <c r="B7856" i="3"/>
  <c r="C7856" i="3"/>
  <c r="B7857" i="3"/>
  <c r="C7857" i="3"/>
  <c r="B7858" i="3"/>
  <c r="C7858" i="3"/>
  <c r="B7859" i="3"/>
  <c r="C7859" i="3"/>
  <c r="B7860" i="3"/>
  <c r="C7860" i="3"/>
  <c r="B7861" i="3"/>
  <c r="C7861" i="3"/>
  <c r="B7862" i="3"/>
  <c r="C7862" i="3"/>
  <c r="B7863" i="3"/>
  <c r="C7863" i="3"/>
  <c r="B7864" i="3"/>
  <c r="C7864" i="3"/>
  <c r="B7865" i="3"/>
  <c r="C7865" i="3"/>
  <c r="B7866" i="3"/>
  <c r="C7866" i="3"/>
  <c r="B7867" i="3"/>
  <c r="C7867" i="3"/>
  <c r="B7868" i="3"/>
  <c r="C7868" i="3"/>
  <c r="B7869" i="3"/>
  <c r="C7869" i="3"/>
  <c r="B7870" i="3"/>
  <c r="C7870" i="3"/>
  <c r="B7871" i="3"/>
  <c r="C7871" i="3"/>
  <c r="B7872" i="3"/>
  <c r="C7872" i="3"/>
  <c r="B7873" i="3"/>
  <c r="C7873" i="3"/>
  <c r="B7874" i="3"/>
  <c r="C7874" i="3"/>
  <c r="B7875" i="3"/>
  <c r="C7875" i="3"/>
  <c r="B7876" i="3"/>
  <c r="C7876" i="3"/>
  <c r="B7877" i="3"/>
  <c r="C7877" i="3"/>
  <c r="B7878" i="3"/>
  <c r="C7878" i="3"/>
  <c r="B7879" i="3"/>
  <c r="C7879" i="3"/>
  <c r="B7880" i="3"/>
  <c r="C7880" i="3"/>
  <c r="B7881" i="3"/>
  <c r="C7881" i="3"/>
  <c r="B7882" i="3"/>
  <c r="C7882" i="3"/>
  <c r="B7883" i="3"/>
  <c r="C7883" i="3"/>
  <c r="B7884" i="3"/>
  <c r="C7884" i="3"/>
  <c r="B7885" i="3"/>
  <c r="C7885" i="3"/>
  <c r="B7886" i="3"/>
  <c r="C7886" i="3"/>
  <c r="B7887" i="3"/>
  <c r="C7887" i="3"/>
  <c r="B7888" i="3"/>
  <c r="C7888" i="3"/>
  <c r="B7889" i="3"/>
  <c r="C7889" i="3"/>
  <c r="B7890" i="3"/>
  <c r="C7890" i="3"/>
  <c r="B7891" i="3"/>
  <c r="C7891" i="3"/>
  <c r="B7892" i="3"/>
  <c r="C7892" i="3"/>
  <c r="B7893" i="3"/>
  <c r="C7893" i="3"/>
  <c r="B7894" i="3"/>
  <c r="C7894" i="3"/>
  <c r="B7895" i="3"/>
  <c r="C7895" i="3"/>
  <c r="B7896" i="3"/>
  <c r="C7896" i="3"/>
  <c r="B7897" i="3"/>
  <c r="C7897" i="3"/>
  <c r="B7898" i="3"/>
  <c r="C7898" i="3"/>
  <c r="B7899" i="3"/>
  <c r="C7899" i="3"/>
  <c r="C7855" i="3"/>
  <c r="B7855" i="3"/>
  <c r="B7811" i="3"/>
  <c r="C7811" i="3"/>
  <c r="B7812" i="3"/>
  <c r="C7812" i="3"/>
  <c r="B7813" i="3"/>
  <c r="C7813" i="3"/>
  <c r="B7814" i="3"/>
  <c r="C7814" i="3"/>
  <c r="B7815" i="3"/>
  <c r="C7815" i="3"/>
  <c r="B7816" i="3"/>
  <c r="C7816" i="3"/>
  <c r="B7817" i="3"/>
  <c r="C7817" i="3"/>
  <c r="B7818" i="3"/>
  <c r="C7818" i="3"/>
  <c r="B7819" i="3"/>
  <c r="C7819" i="3"/>
  <c r="B7820" i="3"/>
  <c r="C7820" i="3"/>
  <c r="B7821" i="3"/>
  <c r="C7821" i="3"/>
  <c r="B7822" i="3"/>
  <c r="C7822" i="3"/>
  <c r="B7823" i="3"/>
  <c r="C7823" i="3"/>
  <c r="B7824" i="3"/>
  <c r="C7824" i="3"/>
  <c r="B7825" i="3"/>
  <c r="C7825" i="3"/>
  <c r="B7826" i="3"/>
  <c r="C7826" i="3"/>
  <c r="B7827" i="3"/>
  <c r="C7827" i="3"/>
  <c r="B7828" i="3"/>
  <c r="C7828" i="3"/>
  <c r="B7829" i="3"/>
  <c r="C7829" i="3"/>
  <c r="B7830" i="3"/>
  <c r="C7830" i="3"/>
  <c r="B7831" i="3"/>
  <c r="C7831" i="3"/>
  <c r="B7832" i="3"/>
  <c r="C7832" i="3"/>
  <c r="B7833" i="3"/>
  <c r="C7833" i="3"/>
  <c r="B7834" i="3"/>
  <c r="C7834" i="3"/>
  <c r="B7835" i="3"/>
  <c r="C7835" i="3"/>
  <c r="B7836" i="3"/>
  <c r="C7836" i="3"/>
  <c r="B7837" i="3"/>
  <c r="C7837" i="3"/>
  <c r="B7838" i="3"/>
  <c r="C7838" i="3"/>
  <c r="B7839" i="3"/>
  <c r="C7839" i="3"/>
  <c r="B7840" i="3"/>
  <c r="C7840" i="3"/>
  <c r="B7841" i="3"/>
  <c r="C7841" i="3"/>
  <c r="B7842" i="3"/>
  <c r="C7842" i="3"/>
  <c r="B7843" i="3"/>
  <c r="C7843" i="3"/>
  <c r="B7844" i="3"/>
  <c r="C7844" i="3"/>
  <c r="B7845" i="3"/>
  <c r="C7845" i="3"/>
  <c r="B7846" i="3"/>
  <c r="C7846" i="3"/>
  <c r="B7847" i="3"/>
  <c r="C7847" i="3"/>
  <c r="B7848" i="3"/>
  <c r="C7848" i="3"/>
  <c r="B7849" i="3"/>
  <c r="C7849" i="3"/>
  <c r="B7850" i="3"/>
  <c r="C7850" i="3"/>
  <c r="B7851" i="3"/>
  <c r="C7851" i="3"/>
  <c r="B7852" i="3"/>
  <c r="C7852" i="3"/>
  <c r="B7853" i="3"/>
  <c r="C7853" i="3"/>
  <c r="B7854" i="3"/>
  <c r="C7854" i="3"/>
  <c r="C7810" i="3"/>
  <c r="B7810" i="3"/>
  <c r="B7751" i="3"/>
  <c r="C7751" i="3"/>
  <c r="B7752" i="3"/>
  <c r="C7752" i="3"/>
  <c r="B7753" i="3"/>
  <c r="C7753" i="3"/>
  <c r="B7754" i="3"/>
  <c r="C7754" i="3"/>
  <c r="B7755" i="3"/>
  <c r="C7755" i="3"/>
  <c r="B7756" i="3"/>
  <c r="C7756" i="3"/>
  <c r="B7757" i="3"/>
  <c r="C7757" i="3"/>
  <c r="B7758" i="3"/>
  <c r="C7758" i="3"/>
  <c r="B7759" i="3"/>
  <c r="C7759" i="3"/>
  <c r="B7760" i="3"/>
  <c r="C7760" i="3"/>
  <c r="B7761" i="3"/>
  <c r="C7761" i="3"/>
  <c r="B7762" i="3"/>
  <c r="C7762" i="3"/>
  <c r="B7763" i="3"/>
  <c r="C7763" i="3"/>
  <c r="B7764" i="3"/>
  <c r="C7764" i="3"/>
  <c r="B7765" i="3"/>
  <c r="C7765" i="3"/>
  <c r="B7766" i="3"/>
  <c r="C7766" i="3"/>
  <c r="B7767" i="3"/>
  <c r="C7767" i="3"/>
  <c r="B7768" i="3"/>
  <c r="C7768" i="3"/>
  <c r="B7769" i="3"/>
  <c r="C7769" i="3"/>
  <c r="B7770" i="3"/>
  <c r="C7770" i="3"/>
  <c r="B7771" i="3"/>
  <c r="C7771" i="3"/>
  <c r="B7772" i="3"/>
  <c r="C7772" i="3"/>
  <c r="B7773" i="3"/>
  <c r="C7773" i="3"/>
  <c r="B7774" i="3"/>
  <c r="C7774" i="3"/>
  <c r="B7775" i="3"/>
  <c r="C7775" i="3"/>
  <c r="B7776" i="3"/>
  <c r="C7776" i="3"/>
  <c r="B7777" i="3"/>
  <c r="C7777" i="3"/>
  <c r="B7778" i="3"/>
  <c r="C7778" i="3"/>
  <c r="B7779" i="3"/>
  <c r="C7779" i="3"/>
  <c r="B7780" i="3"/>
  <c r="C7780" i="3"/>
  <c r="B7781" i="3"/>
  <c r="C7781" i="3"/>
  <c r="B7782" i="3"/>
  <c r="C7782" i="3"/>
  <c r="B7783" i="3"/>
  <c r="C7783" i="3"/>
  <c r="B7784" i="3"/>
  <c r="C7784" i="3"/>
  <c r="B7785" i="3"/>
  <c r="C7785" i="3"/>
  <c r="B7786" i="3"/>
  <c r="C7786" i="3"/>
  <c r="B7787" i="3"/>
  <c r="C7787" i="3"/>
  <c r="B7788" i="3"/>
  <c r="C7788" i="3"/>
  <c r="B7789" i="3"/>
  <c r="C7789" i="3"/>
  <c r="B7790" i="3"/>
  <c r="C7790" i="3"/>
  <c r="B7791" i="3"/>
  <c r="C7791" i="3"/>
  <c r="B7792" i="3"/>
  <c r="C7792" i="3"/>
  <c r="B7793" i="3"/>
  <c r="C7793" i="3"/>
  <c r="B7794" i="3"/>
  <c r="C7794" i="3"/>
  <c r="B7795" i="3"/>
  <c r="C7795" i="3"/>
  <c r="B7796" i="3"/>
  <c r="C7796" i="3"/>
  <c r="B7797" i="3"/>
  <c r="C7797" i="3"/>
  <c r="B7798" i="3"/>
  <c r="C7798" i="3"/>
  <c r="B7799" i="3"/>
  <c r="C7799" i="3"/>
  <c r="B7800" i="3"/>
  <c r="C7800" i="3"/>
  <c r="B7801" i="3"/>
  <c r="C7801" i="3"/>
  <c r="B7802" i="3"/>
  <c r="C7802" i="3"/>
  <c r="B7803" i="3"/>
  <c r="C7803" i="3"/>
  <c r="B7804" i="3"/>
  <c r="C7804" i="3"/>
  <c r="B7805" i="3"/>
  <c r="C7805" i="3"/>
  <c r="B7806" i="3"/>
  <c r="C7806" i="3"/>
  <c r="B7807" i="3"/>
  <c r="C7807" i="3"/>
  <c r="B7808" i="3"/>
  <c r="C7808" i="3"/>
  <c r="B7809" i="3"/>
  <c r="C7809" i="3"/>
  <c r="C7750" i="3"/>
  <c r="B7750" i="3"/>
  <c r="B7736" i="3"/>
  <c r="C7736" i="3"/>
  <c r="B7737" i="3"/>
  <c r="C7737" i="3"/>
  <c r="B7738" i="3"/>
  <c r="C7738" i="3"/>
  <c r="B7739" i="3"/>
  <c r="C7739" i="3"/>
  <c r="B7740" i="3"/>
  <c r="C7740" i="3"/>
  <c r="B7741" i="3"/>
  <c r="C7741" i="3"/>
  <c r="B7742" i="3"/>
  <c r="C7742" i="3"/>
  <c r="B7743" i="3"/>
  <c r="C7743" i="3"/>
  <c r="B7744" i="3"/>
  <c r="C7744" i="3"/>
  <c r="B7745" i="3"/>
  <c r="C7745" i="3"/>
  <c r="B7746" i="3"/>
  <c r="C7746" i="3"/>
  <c r="B7747" i="3"/>
  <c r="C7747" i="3"/>
  <c r="B7748" i="3"/>
  <c r="C7748" i="3"/>
  <c r="B7749" i="3"/>
  <c r="C7749" i="3"/>
  <c r="C7735" i="3"/>
  <c r="B7735" i="3"/>
  <c r="B7706" i="3"/>
  <c r="C7706" i="3"/>
  <c r="B7707" i="3"/>
  <c r="C7707" i="3"/>
  <c r="B7708" i="3"/>
  <c r="C7708" i="3"/>
  <c r="B7709" i="3"/>
  <c r="C7709" i="3"/>
  <c r="B7710" i="3"/>
  <c r="C7710" i="3"/>
  <c r="B7711" i="3"/>
  <c r="C7711" i="3"/>
  <c r="B7712" i="3"/>
  <c r="C7712" i="3"/>
  <c r="B7713" i="3"/>
  <c r="C7713" i="3"/>
  <c r="B7714" i="3"/>
  <c r="C7714" i="3"/>
  <c r="B7715" i="3"/>
  <c r="C7715" i="3"/>
  <c r="B7716" i="3"/>
  <c r="C7716" i="3"/>
  <c r="B7717" i="3"/>
  <c r="C7717" i="3"/>
  <c r="B7718" i="3"/>
  <c r="C7718" i="3"/>
  <c r="B7719" i="3"/>
  <c r="C7719" i="3"/>
  <c r="B7720" i="3"/>
  <c r="C7720" i="3"/>
  <c r="B7721" i="3"/>
  <c r="C7721" i="3"/>
  <c r="B7722" i="3"/>
  <c r="C7722" i="3"/>
  <c r="B7723" i="3"/>
  <c r="C7723" i="3"/>
  <c r="B7724" i="3"/>
  <c r="C7724" i="3"/>
  <c r="B7725" i="3"/>
  <c r="C7725" i="3"/>
  <c r="B7726" i="3"/>
  <c r="C7726" i="3"/>
  <c r="B7727" i="3"/>
  <c r="C7727" i="3"/>
  <c r="B7728" i="3"/>
  <c r="C7728" i="3"/>
  <c r="B7729" i="3"/>
  <c r="C7729" i="3"/>
  <c r="B7730" i="3"/>
  <c r="C7730" i="3"/>
  <c r="B7731" i="3"/>
  <c r="C7731" i="3"/>
  <c r="B7732" i="3"/>
  <c r="C7732" i="3"/>
  <c r="B7733" i="3"/>
  <c r="C7733" i="3"/>
  <c r="B7734" i="3"/>
  <c r="C7734" i="3"/>
  <c r="C7705" i="3"/>
  <c r="B7705" i="3"/>
  <c r="B7676" i="3"/>
  <c r="C7676" i="3"/>
  <c r="B7677" i="3"/>
  <c r="C7677" i="3"/>
  <c r="B7678" i="3"/>
  <c r="C7678" i="3"/>
  <c r="B7679" i="3"/>
  <c r="C7679" i="3"/>
  <c r="B7680" i="3"/>
  <c r="C7680" i="3"/>
  <c r="B7681" i="3"/>
  <c r="C7681" i="3"/>
  <c r="B7682" i="3"/>
  <c r="C7682" i="3"/>
  <c r="B7683" i="3"/>
  <c r="C7683" i="3"/>
  <c r="B7684" i="3"/>
  <c r="C7684" i="3"/>
  <c r="B7685" i="3"/>
  <c r="C7685" i="3"/>
  <c r="B7686" i="3"/>
  <c r="C7686" i="3"/>
  <c r="B7687" i="3"/>
  <c r="C7687" i="3"/>
  <c r="B7688" i="3"/>
  <c r="C7688" i="3"/>
  <c r="B7689" i="3"/>
  <c r="C7689" i="3"/>
  <c r="B7690" i="3"/>
  <c r="C7690" i="3"/>
  <c r="B7691" i="3"/>
  <c r="C7691" i="3"/>
  <c r="B7692" i="3"/>
  <c r="C7692" i="3"/>
  <c r="B7693" i="3"/>
  <c r="C7693" i="3"/>
  <c r="B7694" i="3"/>
  <c r="C7694" i="3"/>
  <c r="B7695" i="3"/>
  <c r="C7695" i="3"/>
  <c r="B7696" i="3"/>
  <c r="C7696" i="3"/>
  <c r="B7697" i="3"/>
  <c r="C7697" i="3"/>
  <c r="B7698" i="3"/>
  <c r="C7698" i="3"/>
  <c r="B7699" i="3"/>
  <c r="C7699" i="3"/>
  <c r="B7700" i="3"/>
  <c r="C7700" i="3"/>
  <c r="B7701" i="3"/>
  <c r="C7701" i="3"/>
  <c r="B7702" i="3"/>
  <c r="C7702" i="3"/>
  <c r="B7703" i="3"/>
  <c r="C7703" i="3"/>
  <c r="B7704" i="3"/>
  <c r="C7704" i="3"/>
  <c r="C7675" i="3"/>
  <c r="B7675" i="3"/>
  <c r="B7631" i="3"/>
  <c r="C7631" i="3"/>
  <c r="B7632" i="3"/>
  <c r="C7632" i="3"/>
  <c r="B7633" i="3"/>
  <c r="C7633" i="3"/>
  <c r="B7634" i="3"/>
  <c r="C7634" i="3"/>
  <c r="B7635" i="3"/>
  <c r="C7635" i="3"/>
  <c r="B7636" i="3"/>
  <c r="C7636" i="3"/>
  <c r="B7637" i="3"/>
  <c r="C7637" i="3"/>
  <c r="B7638" i="3"/>
  <c r="C7638" i="3"/>
  <c r="B7639" i="3"/>
  <c r="C7639" i="3"/>
  <c r="B7640" i="3"/>
  <c r="C7640" i="3"/>
  <c r="B7641" i="3"/>
  <c r="C7641" i="3"/>
  <c r="B7642" i="3"/>
  <c r="C7642" i="3"/>
  <c r="B7643" i="3"/>
  <c r="C7643" i="3"/>
  <c r="B7644" i="3"/>
  <c r="C7644" i="3"/>
  <c r="B7645" i="3"/>
  <c r="C7645" i="3"/>
  <c r="B7646" i="3"/>
  <c r="C7646" i="3"/>
  <c r="B7647" i="3"/>
  <c r="C7647" i="3"/>
  <c r="B7648" i="3"/>
  <c r="C7648" i="3"/>
  <c r="B7649" i="3"/>
  <c r="C7649" i="3"/>
  <c r="B7650" i="3"/>
  <c r="C7650" i="3"/>
  <c r="B7651" i="3"/>
  <c r="C7651" i="3"/>
  <c r="B7652" i="3"/>
  <c r="C7652" i="3"/>
  <c r="B7653" i="3"/>
  <c r="C7653" i="3"/>
  <c r="B7654" i="3"/>
  <c r="C7654" i="3"/>
  <c r="B7655" i="3"/>
  <c r="C7655" i="3"/>
  <c r="B7656" i="3"/>
  <c r="C7656" i="3"/>
  <c r="B7657" i="3"/>
  <c r="C7657" i="3"/>
  <c r="B7658" i="3"/>
  <c r="C7658" i="3"/>
  <c r="B7659" i="3"/>
  <c r="C7659" i="3"/>
  <c r="B7660" i="3"/>
  <c r="C7660" i="3"/>
  <c r="B7661" i="3"/>
  <c r="C7661" i="3"/>
  <c r="B7662" i="3"/>
  <c r="C7662" i="3"/>
  <c r="B7663" i="3"/>
  <c r="C7663" i="3"/>
  <c r="B7664" i="3"/>
  <c r="C7664" i="3"/>
  <c r="B7665" i="3"/>
  <c r="C7665" i="3"/>
  <c r="B7666" i="3"/>
  <c r="C7666" i="3"/>
  <c r="B7667" i="3"/>
  <c r="C7667" i="3"/>
  <c r="B7668" i="3"/>
  <c r="C7668" i="3"/>
  <c r="B7669" i="3"/>
  <c r="C7669" i="3"/>
  <c r="B7670" i="3"/>
  <c r="C7670" i="3"/>
  <c r="B7671" i="3"/>
  <c r="C7671" i="3"/>
  <c r="B7672" i="3"/>
  <c r="C7672" i="3"/>
  <c r="B7673" i="3"/>
  <c r="C7673" i="3"/>
  <c r="B7674" i="3"/>
  <c r="C7674" i="3"/>
  <c r="C7630" i="3"/>
  <c r="B7630" i="3"/>
  <c r="B7586" i="3"/>
  <c r="C7586" i="3"/>
  <c r="B7587" i="3"/>
  <c r="C7587" i="3"/>
  <c r="B7588" i="3"/>
  <c r="C7588" i="3"/>
  <c r="B7589" i="3"/>
  <c r="C7589" i="3"/>
  <c r="B7590" i="3"/>
  <c r="C7590" i="3"/>
  <c r="B7591" i="3"/>
  <c r="C7591" i="3"/>
  <c r="B7592" i="3"/>
  <c r="C7592" i="3"/>
  <c r="B7593" i="3"/>
  <c r="C7593" i="3"/>
  <c r="B7594" i="3"/>
  <c r="C7594" i="3"/>
  <c r="B7595" i="3"/>
  <c r="C7595" i="3"/>
  <c r="B7596" i="3"/>
  <c r="C7596" i="3"/>
  <c r="B7597" i="3"/>
  <c r="C7597" i="3"/>
  <c r="B7598" i="3"/>
  <c r="C7598" i="3"/>
  <c r="B7599" i="3"/>
  <c r="C7599" i="3"/>
  <c r="B7600" i="3"/>
  <c r="C7600" i="3"/>
  <c r="B7601" i="3"/>
  <c r="C7601" i="3"/>
  <c r="B7602" i="3"/>
  <c r="C7602" i="3"/>
  <c r="B7603" i="3"/>
  <c r="C7603" i="3"/>
  <c r="B7604" i="3"/>
  <c r="C7604" i="3"/>
  <c r="B7605" i="3"/>
  <c r="C7605" i="3"/>
  <c r="B7606" i="3"/>
  <c r="C7606" i="3"/>
  <c r="B7607" i="3"/>
  <c r="C7607" i="3"/>
  <c r="B7608" i="3"/>
  <c r="C7608" i="3"/>
  <c r="B7609" i="3"/>
  <c r="C7609" i="3"/>
  <c r="B7610" i="3"/>
  <c r="C7610" i="3"/>
  <c r="B7611" i="3"/>
  <c r="C7611" i="3"/>
  <c r="B7612" i="3"/>
  <c r="C7612" i="3"/>
  <c r="B7613" i="3"/>
  <c r="C7613" i="3"/>
  <c r="B7614" i="3"/>
  <c r="C7614" i="3"/>
  <c r="B7615" i="3"/>
  <c r="C7615" i="3"/>
  <c r="B7616" i="3"/>
  <c r="C7616" i="3"/>
  <c r="B7617" i="3"/>
  <c r="C7617" i="3"/>
  <c r="B7618" i="3"/>
  <c r="C7618" i="3"/>
  <c r="B7619" i="3"/>
  <c r="C7619" i="3"/>
  <c r="B7620" i="3"/>
  <c r="C7620" i="3"/>
  <c r="B7621" i="3"/>
  <c r="C7621" i="3"/>
  <c r="B7622" i="3"/>
  <c r="C7622" i="3"/>
  <c r="B7623" i="3"/>
  <c r="C7623" i="3"/>
  <c r="B7624" i="3"/>
  <c r="C7624" i="3"/>
  <c r="B7625" i="3"/>
  <c r="C7625" i="3"/>
  <c r="B7626" i="3"/>
  <c r="C7626" i="3"/>
  <c r="B7627" i="3"/>
  <c r="C7627" i="3"/>
  <c r="B7628" i="3"/>
  <c r="C7628" i="3"/>
  <c r="B7629" i="3"/>
  <c r="C7629" i="3"/>
  <c r="C7585" i="3"/>
  <c r="B7585" i="3"/>
  <c r="B7571" i="3"/>
  <c r="C7571" i="3"/>
  <c r="B7572" i="3"/>
  <c r="C7572" i="3"/>
  <c r="B7573" i="3"/>
  <c r="C7573" i="3"/>
  <c r="B7574" i="3"/>
  <c r="C7574" i="3"/>
  <c r="B7575" i="3"/>
  <c r="C7575" i="3"/>
  <c r="B7576" i="3"/>
  <c r="C7576" i="3"/>
  <c r="B7577" i="3"/>
  <c r="C7577" i="3"/>
  <c r="B7578" i="3"/>
  <c r="C7578" i="3"/>
  <c r="B7579" i="3"/>
  <c r="C7579" i="3"/>
  <c r="B7580" i="3"/>
  <c r="C7580" i="3"/>
  <c r="B7581" i="3"/>
  <c r="C7581" i="3"/>
  <c r="B7582" i="3"/>
  <c r="C7582" i="3"/>
  <c r="B7583" i="3"/>
  <c r="C7583" i="3"/>
  <c r="B7584" i="3"/>
  <c r="C7584" i="3"/>
  <c r="C7570" i="3"/>
  <c r="B7570" i="3"/>
  <c r="B7526" i="3"/>
  <c r="C7526" i="3"/>
  <c r="B7527" i="3"/>
  <c r="C7527" i="3"/>
  <c r="B7528" i="3"/>
  <c r="C7528" i="3"/>
  <c r="B7529" i="3"/>
  <c r="C7529" i="3"/>
  <c r="B7530" i="3"/>
  <c r="C7530" i="3"/>
  <c r="B7531" i="3"/>
  <c r="C7531" i="3"/>
  <c r="B7532" i="3"/>
  <c r="C7532" i="3"/>
  <c r="B7533" i="3"/>
  <c r="C7533" i="3"/>
  <c r="B7534" i="3"/>
  <c r="C7534" i="3"/>
  <c r="B7535" i="3"/>
  <c r="C7535" i="3"/>
  <c r="B7536" i="3"/>
  <c r="C7536" i="3"/>
  <c r="B7537" i="3"/>
  <c r="C7537" i="3"/>
  <c r="B7538" i="3"/>
  <c r="C7538" i="3"/>
  <c r="B7539" i="3"/>
  <c r="C7539" i="3"/>
  <c r="B7540" i="3"/>
  <c r="C7540" i="3"/>
  <c r="B7541" i="3"/>
  <c r="C7541" i="3"/>
  <c r="B7542" i="3"/>
  <c r="C7542" i="3"/>
  <c r="B7543" i="3"/>
  <c r="C7543" i="3"/>
  <c r="B7544" i="3"/>
  <c r="C7544" i="3"/>
  <c r="B7545" i="3"/>
  <c r="C7545" i="3"/>
  <c r="B7546" i="3"/>
  <c r="C7546" i="3"/>
  <c r="B7547" i="3"/>
  <c r="C7547" i="3"/>
  <c r="B7548" i="3"/>
  <c r="C7548" i="3"/>
  <c r="B7549" i="3"/>
  <c r="C7549" i="3"/>
  <c r="B7550" i="3"/>
  <c r="C7550" i="3"/>
  <c r="B7551" i="3"/>
  <c r="C7551" i="3"/>
  <c r="B7552" i="3"/>
  <c r="C7552" i="3"/>
  <c r="B7553" i="3"/>
  <c r="C7553" i="3"/>
  <c r="B7554" i="3"/>
  <c r="C7554" i="3"/>
  <c r="B7555" i="3"/>
  <c r="C7555" i="3"/>
  <c r="B7556" i="3"/>
  <c r="C7556" i="3"/>
  <c r="B7557" i="3"/>
  <c r="C7557" i="3"/>
  <c r="B7558" i="3"/>
  <c r="C7558" i="3"/>
  <c r="B7559" i="3"/>
  <c r="C7559" i="3"/>
  <c r="B7560" i="3"/>
  <c r="C7560" i="3"/>
  <c r="B7561" i="3"/>
  <c r="C7561" i="3"/>
  <c r="B7562" i="3"/>
  <c r="C7562" i="3"/>
  <c r="B7563" i="3"/>
  <c r="C7563" i="3"/>
  <c r="B7564" i="3"/>
  <c r="C7564" i="3"/>
  <c r="B7565" i="3"/>
  <c r="C7565" i="3"/>
  <c r="B7566" i="3"/>
  <c r="C7566" i="3"/>
  <c r="B7567" i="3"/>
  <c r="C7567" i="3"/>
  <c r="B7568" i="3"/>
  <c r="C7568" i="3"/>
  <c r="B7569" i="3"/>
  <c r="C7569" i="3"/>
  <c r="C7525" i="3"/>
  <c r="B7525" i="3"/>
  <c r="B7481" i="3"/>
  <c r="C7481" i="3"/>
  <c r="B7482" i="3"/>
  <c r="C7482" i="3"/>
  <c r="B7483" i="3"/>
  <c r="C7483" i="3"/>
  <c r="B7484" i="3"/>
  <c r="C7484" i="3"/>
  <c r="B7485" i="3"/>
  <c r="C7485" i="3"/>
  <c r="B7486" i="3"/>
  <c r="C7486" i="3"/>
  <c r="B7487" i="3"/>
  <c r="C7487" i="3"/>
  <c r="B7488" i="3"/>
  <c r="C7488" i="3"/>
  <c r="B7489" i="3"/>
  <c r="C7489" i="3"/>
  <c r="B7490" i="3"/>
  <c r="C7490" i="3"/>
  <c r="B7491" i="3"/>
  <c r="C7491" i="3"/>
  <c r="B7492" i="3"/>
  <c r="C7492" i="3"/>
  <c r="B7493" i="3"/>
  <c r="C7493" i="3"/>
  <c r="B7494" i="3"/>
  <c r="C7494" i="3"/>
  <c r="B7495" i="3"/>
  <c r="C7495" i="3"/>
  <c r="B7496" i="3"/>
  <c r="C7496" i="3"/>
  <c r="B7497" i="3"/>
  <c r="C7497" i="3"/>
  <c r="B7498" i="3"/>
  <c r="C7498" i="3"/>
  <c r="B7499" i="3"/>
  <c r="C7499" i="3"/>
  <c r="B7500" i="3"/>
  <c r="C7500" i="3"/>
  <c r="B7501" i="3"/>
  <c r="C7501" i="3"/>
  <c r="B7502" i="3"/>
  <c r="C7502" i="3"/>
  <c r="B7503" i="3"/>
  <c r="C7503" i="3"/>
  <c r="B7504" i="3"/>
  <c r="C7504" i="3"/>
  <c r="B7505" i="3"/>
  <c r="C7505" i="3"/>
  <c r="B7506" i="3"/>
  <c r="C7506" i="3"/>
  <c r="B7507" i="3"/>
  <c r="C7507" i="3"/>
  <c r="B7508" i="3"/>
  <c r="C7508" i="3"/>
  <c r="B7509" i="3"/>
  <c r="C7509" i="3"/>
  <c r="B7510" i="3"/>
  <c r="C7510" i="3"/>
  <c r="B7511" i="3"/>
  <c r="C7511" i="3"/>
  <c r="B7512" i="3"/>
  <c r="C7512" i="3"/>
  <c r="B7513" i="3"/>
  <c r="C7513" i="3"/>
  <c r="B7514" i="3"/>
  <c r="C7514" i="3"/>
  <c r="B7515" i="3"/>
  <c r="C7515" i="3"/>
  <c r="B7516" i="3"/>
  <c r="C7516" i="3"/>
  <c r="B7517" i="3"/>
  <c r="C7517" i="3"/>
  <c r="B7518" i="3"/>
  <c r="C7518" i="3"/>
  <c r="B7519" i="3"/>
  <c r="C7519" i="3"/>
  <c r="B7520" i="3"/>
  <c r="C7520" i="3"/>
  <c r="B7521" i="3"/>
  <c r="C7521" i="3"/>
  <c r="B7522" i="3"/>
  <c r="C7522" i="3"/>
  <c r="B7523" i="3"/>
  <c r="C7523" i="3"/>
  <c r="B7524" i="3"/>
  <c r="C7524" i="3"/>
  <c r="C7480" i="3"/>
  <c r="B7480" i="3"/>
  <c r="F7600" i="3"/>
  <c r="G7600" i="3"/>
  <c r="F7601" i="3"/>
  <c r="G7601" i="3"/>
  <c r="F7602" i="3"/>
  <c r="G7602" i="3"/>
  <c r="F7603" i="3"/>
  <c r="G7603" i="3"/>
  <c r="F7604" i="3"/>
  <c r="G7604" i="3"/>
  <c r="F7605" i="3"/>
  <c r="G7605" i="3"/>
  <c r="F7606" i="3"/>
  <c r="G7606" i="3"/>
  <c r="F7607" i="3"/>
  <c r="G7607" i="3"/>
  <c r="F7608" i="3"/>
  <c r="G7608" i="3"/>
  <c r="F7609" i="3"/>
  <c r="G7609" i="3"/>
  <c r="F7610" i="3"/>
  <c r="G7610" i="3"/>
  <c r="F7611" i="3"/>
  <c r="G7611" i="3"/>
  <c r="F7612" i="3"/>
  <c r="G7612" i="3"/>
  <c r="F7613" i="3"/>
  <c r="G7613" i="3"/>
  <c r="F7614" i="3"/>
  <c r="G7614" i="3"/>
  <c r="F7615" i="3"/>
  <c r="G7615" i="3"/>
  <c r="F7616" i="3"/>
  <c r="G7616" i="3"/>
  <c r="F7617" i="3"/>
  <c r="G7617" i="3"/>
  <c r="F7618" i="3"/>
  <c r="G7618" i="3"/>
  <c r="F7619" i="3"/>
  <c r="G7619" i="3"/>
  <c r="F7620" i="3"/>
  <c r="G7620" i="3"/>
  <c r="F7621" i="3"/>
  <c r="G7621" i="3"/>
  <c r="F7622" i="3"/>
  <c r="G7622" i="3"/>
  <c r="F7623" i="3"/>
  <c r="G7623" i="3"/>
  <c r="F7624" i="3"/>
  <c r="G7624" i="3"/>
  <c r="F7625" i="3"/>
  <c r="G7625" i="3"/>
  <c r="F7626" i="3"/>
  <c r="G7626" i="3"/>
  <c r="F7627" i="3"/>
  <c r="G7627" i="3"/>
  <c r="F7628" i="3"/>
  <c r="G7628" i="3"/>
  <c r="F7629" i="3"/>
  <c r="G7629" i="3"/>
  <c r="F7630" i="3"/>
  <c r="G7630" i="3"/>
  <c r="F7631" i="3"/>
  <c r="G7631" i="3"/>
  <c r="F7632" i="3"/>
  <c r="G7632" i="3"/>
  <c r="F7633" i="3"/>
  <c r="G7633" i="3"/>
  <c r="F7634" i="3"/>
  <c r="G7634" i="3"/>
  <c r="F7635" i="3"/>
  <c r="G7635" i="3"/>
  <c r="F7636" i="3"/>
  <c r="G7636" i="3"/>
  <c r="F7637" i="3"/>
  <c r="G7637" i="3"/>
  <c r="F7638" i="3"/>
  <c r="G7638" i="3"/>
  <c r="F7639" i="3"/>
  <c r="G7639" i="3"/>
  <c r="F7640" i="3"/>
  <c r="G7640" i="3"/>
  <c r="F7641" i="3"/>
  <c r="G7641" i="3"/>
  <c r="F7642" i="3"/>
  <c r="G7642" i="3"/>
  <c r="F7643" i="3"/>
  <c r="G7643" i="3"/>
  <c r="F7644" i="3"/>
  <c r="G7644" i="3"/>
  <c r="F7645" i="3"/>
  <c r="G7645" i="3"/>
  <c r="F7646" i="3"/>
  <c r="G7646" i="3"/>
  <c r="F7647" i="3"/>
  <c r="G7647" i="3"/>
  <c r="F7648" i="3"/>
  <c r="G7648" i="3"/>
  <c r="F7649" i="3"/>
  <c r="G7649" i="3"/>
  <c r="F7650" i="3"/>
  <c r="G7650" i="3"/>
  <c r="F7651" i="3"/>
  <c r="G7651" i="3"/>
  <c r="F7652" i="3"/>
  <c r="G7652" i="3"/>
  <c r="F7653" i="3"/>
  <c r="G7653" i="3"/>
  <c r="F7654" i="3"/>
  <c r="G7654" i="3"/>
  <c r="F7655" i="3"/>
  <c r="G7655" i="3"/>
  <c r="F7656" i="3"/>
  <c r="G7656" i="3"/>
  <c r="F7657" i="3"/>
  <c r="G7657" i="3"/>
  <c r="F7658" i="3"/>
  <c r="G7658" i="3"/>
  <c r="F7659" i="3"/>
  <c r="G7659" i="3"/>
  <c r="F7660" i="3"/>
  <c r="G7660" i="3"/>
  <c r="F7661" i="3"/>
  <c r="G7661" i="3"/>
  <c r="F7662" i="3"/>
  <c r="G7662" i="3"/>
  <c r="F7663" i="3"/>
  <c r="G7663" i="3"/>
  <c r="F7664" i="3"/>
  <c r="G7664" i="3"/>
  <c r="F7665" i="3"/>
  <c r="G7665" i="3"/>
  <c r="F7666" i="3"/>
  <c r="G7666" i="3"/>
  <c r="F7667" i="3"/>
  <c r="G7667" i="3"/>
  <c r="F7668" i="3"/>
  <c r="G7668" i="3"/>
  <c r="F7669" i="3"/>
  <c r="G7669" i="3"/>
  <c r="F7670" i="3"/>
  <c r="G7670" i="3"/>
  <c r="F7671" i="3"/>
  <c r="G7671" i="3"/>
  <c r="F7672" i="3"/>
  <c r="G7672" i="3"/>
  <c r="F7673" i="3"/>
  <c r="G7673" i="3"/>
  <c r="F7674" i="3"/>
  <c r="G7674" i="3"/>
  <c r="F7675" i="3"/>
  <c r="G7675" i="3"/>
  <c r="F7676" i="3"/>
  <c r="G7676" i="3"/>
  <c r="F7677" i="3"/>
  <c r="G7677" i="3"/>
  <c r="F7678" i="3"/>
  <c r="G7678" i="3"/>
  <c r="F7679" i="3"/>
  <c r="G7679" i="3"/>
  <c r="F7680" i="3"/>
  <c r="G7680" i="3"/>
  <c r="F7681" i="3"/>
  <c r="G7681" i="3"/>
  <c r="F7682" i="3"/>
  <c r="G7682" i="3"/>
  <c r="F7683" i="3"/>
  <c r="G7683" i="3"/>
  <c r="F7684" i="3"/>
  <c r="G7684" i="3"/>
  <c r="F7685" i="3"/>
  <c r="G7685" i="3"/>
  <c r="F7686" i="3"/>
  <c r="G7686" i="3"/>
  <c r="F7687" i="3"/>
  <c r="G7687" i="3"/>
  <c r="F7688" i="3"/>
  <c r="G7688" i="3"/>
  <c r="F7689" i="3"/>
  <c r="G7689" i="3"/>
  <c r="F7690" i="3"/>
  <c r="G7690" i="3"/>
  <c r="F7691" i="3"/>
  <c r="G7691" i="3"/>
  <c r="F7692" i="3"/>
  <c r="G7692" i="3"/>
  <c r="F7693" i="3"/>
  <c r="G7693" i="3"/>
  <c r="F7694" i="3"/>
  <c r="G7694" i="3"/>
  <c r="F7695" i="3"/>
  <c r="G7695" i="3"/>
  <c r="F7696" i="3"/>
  <c r="G7696" i="3"/>
  <c r="F7697" i="3"/>
  <c r="G7697" i="3"/>
  <c r="F7698" i="3"/>
  <c r="G7698" i="3"/>
  <c r="F7699" i="3"/>
  <c r="G7699" i="3"/>
  <c r="F7700" i="3"/>
  <c r="G7700" i="3"/>
  <c r="F7701" i="3"/>
  <c r="G7701" i="3"/>
  <c r="F7702" i="3"/>
  <c r="G7702" i="3"/>
  <c r="F7703" i="3"/>
  <c r="G7703" i="3"/>
  <c r="F7704" i="3"/>
  <c r="G7704" i="3"/>
  <c r="F7705" i="3"/>
  <c r="G7705" i="3"/>
  <c r="F7706" i="3"/>
  <c r="G7706" i="3"/>
  <c r="F7707" i="3"/>
  <c r="G7707" i="3"/>
  <c r="F7708" i="3"/>
  <c r="G7708" i="3"/>
  <c r="F7709" i="3"/>
  <c r="G7709" i="3"/>
  <c r="F7710" i="3"/>
  <c r="G7710" i="3"/>
  <c r="F7711" i="3"/>
  <c r="G7711" i="3"/>
  <c r="F7712" i="3"/>
  <c r="G7712" i="3"/>
  <c r="F7713" i="3"/>
  <c r="G7713" i="3"/>
  <c r="F7714" i="3"/>
  <c r="G7714" i="3"/>
  <c r="F7715" i="3"/>
  <c r="G7715" i="3"/>
  <c r="F7716" i="3"/>
  <c r="G7716" i="3"/>
  <c r="F7717" i="3"/>
  <c r="G7717" i="3"/>
  <c r="F7718" i="3"/>
  <c r="G7718" i="3"/>
  <c r="F7719" i="3"/>
  <c r="G7719" i="3"/>
  <c r="F7720" i="3"/>
  <c r="G7720" i="3"/>
  <c r="F7721" i="3"/>
  <c r="G7721" i="3"/>
  <c r="F7722" i="3"/>
  <c r="G7722" i="3"/>
  <c r="F7723" i="3"/>
  <c r="G7723" i="3"/>
  <c r="F7724" i="3"/>
  <c r="G7724" i="3"/>
  <c r="F7725" i="3"/>
  <c r="G7725" i="3"/>
  <c r="F7726" i="3"/>
  <c r="G7726" i="3"/>
  <c r="F7727" i="3"/>
  <c r="G7727" i="3"/>
  <c r="F7728" i="3"/>
  <c r="G7728" i="3"/>
  <c r="F7729" i="3"/>
  <c r="G7729" i="3"/>
  <c r="F7730" i="3"/>
  <c r="G7730" i="3"/>
  <c r="F7731" i="3"/>
  <c r="G7731" i="3"/>
  <c r="F7732" i="3"/>
  <c r="G7732" i="3"/>
  <c r="F7733" i="3"/>
  <c r="G7733" i="3"/>
  <c r="F7734" i="3"/>
  <c r="G7734" i="3"/>
  <c r="F7735" i="3"/>
  <c r="G7735" i="3"/>
  <c r="F7736" i="3"/>
  <c r="G7736" i="3"/>
  <c r="F7737" i="3"/>
  <c r="G7737" i="3"/>
  <c r="F7738" i="3"/>
  <c r="G7738" i="3"/>
  <c r="F7739" i="3"/>
  <c r="G7739" i="3"/>
  <c r="F7740" i="3"/>
  <c r="G7740" i="3"/>
  <c r="F7741" i="3"/>
  <c r="G7741" i="3"/>
  <c r="F7742" i="3"/>
  <c r="G7742" i="3"/>
  <c r="F7743" i="3"/>
  <c r="G7743" i="3"/>
  <c r="F7744" i="3"/>
  <c r="G7744" i="3"/>
  <c r="F7745" i="3"/>
  <c r="G7745" i="3"/>
  <c r="F7746" i="3"/>
  <c r="G7746" i="3"/>
  <c r="F7747" i="3"/>
  <c r="G7747" i="3"/>
  <c r="F7748" i="3"/>
  <c r="G7748" i="3"/>
  <c r="F7749" i="3"/>
  <c r="G7749" i="3"/>
  <c r="F7750" i="3"/>
  <c r="G7750" i="3"/>
  <c r="F7751" i="3"/>
  <c r="G7751" i="3"/>
  <c r="F7752" i="3"/>
  <c r="G7752" i="3"/>
  <c r="F7753" i="3"/>
  <c r="G7753" i="3"/>
  <c r="F7754" i="3"/>
  <c r="G7754" i="3"/>
  <c r="F7755" i="3"/>
  <c r="G7755" i="3"/>
  <c r="F7756" i="3"/>
  <c r="G7756" i="3"/>
  <c r="F7757" i="3"/>
  <c r="G7757" i="3"/>
  <c r="F7758" i="3"/>
  <c r="G7758" i="3"/>
  <c r="F7759" i="3"/>
  <c r="G7759" i="3"/>
  <c r="F7760" i="3"/>
  <c r="G7760" i="3"/>
  <c r="F7761" i="3"/>
  <c r="G7761" i="3"/>
  <c r="F7762" i="3"/>
  <c r="G7762" i="3"/>
  <c r="F7763" i="3"/>
  <c r="G7763" i="3"/>
  <c r="F7764" i="3"/>
  <c r="G7764" i="3"/>
  <c r="F7765" i="3"/>
  <c r="G7765" i="3"/>
  <c r="F7766" i="3"/>
  <c r="G7766" i="3"/>
  <c r="F7767" i="3"/>
  <c r="G7767" i="3"/>
  <c r="F7768" i="3"/>
  <c r="G7768" i="3"/>
  <c r="F7769" i="3"/>
  <c r="G7769" i="3"/>
  <c r="F7770" i="3"/>
  <c r="G7770" i="3"/>
  <c r="F7771" i="3"/>
  <c r="G7771" i="3"/>
  <c r="F7772" i="3"/>
  <c r="G7772" i="3"/>
  <c r="F7773" i="3"/>
  <c r="G7773" i="3"/>
  <c r="F7774" i="3"/>
  <c r="G7774" i="3"/>
  <c r="F7775" i="3"/>
  <c r="G7775" i="3"/>
  <c r="F7776" i="3"/>
  <c r="G7776" i="3"/>
  <c r="F7777" i="3"/>
  <c r="G7777" i="3"/>
  <c r="F7778" i="3"/>
  <c r="G7778" i="3"/>
  <c r="F7779" i="3"/>
  <c r="G7779" i="3"/>
  <c r="F7780" i="3"/>
  <c r="G7780" i="3"/>
  <c r="F7781" i="3"/>
  <c r="G7781" i="3"/>
  <c r="F7782" i="3"/>
  <c r="G7782" i="3"/>
  <c r="F7783" i="3"/>
  <c r="G7783" i="3"/>
  <c r="F7784" i="3"/>
  <c r="G7784" i="3"/>
  <c r="F7785" i="3"/>
  <c r="G7785" i="3"/>
  <c r="F7786" i="3"/>
  <c r="G7786" i="3"/>
  <c r="F7787" i="3"/>
  <c r="G7787" i="3"/>
  <c r="F7788" i="3"/>
  <c r="G7788" i="3"/>
  <c r="F7789" i="3"/>
  <c r="G7789" i="3"/>
  <c r="F7790" i="3"/>
  <c r="G7790" i="3"/>
  <c r="F7791" i="3"/>
  <c r="G7791" i="3"/>
  <c r="F7792" i="3"/>
  <c r="G7792" i="3"/>
  <c r="F7793" i="3"/>
  <c r="G7793" i="3"/>
  <c r="F7794" i="3"/>
  <c r="G7794" i="3"/>
  <c r="F7795" i="3"/>
  <c r="G7795" i="3"/>
  <c r="F7796" i="3"/>
  <c r="G7796" i="3"/>
  <c r="F7797" i="3"/>
  <c r="G7797" i="3"/>
  <c r="F7798" i="3"/>
  <c r="G7798" i="3"/>
  <c r="F7799" i="3"/>
  <c r="G7799" i="3"/>
  <c r="F7800" i="3"/>
  <c r="G7800" i="3"/>
  <c r="F7801" i="3"/>
  <c r="G7801" i="3"/>
  <c r="F7802" i="3"/>
  <c r="G7802" i="3"/>
  <c r="F7803" i="3"/>
  <c r="G7803" i="3"/>
  <c r="F7804" i="3"/>
  <c r="G7804" i="3"/>
  <c r="F7805" i="3"/>
  <c r="G7805" i="3"/>
  <c r="F7806" i="3"/>
  <c r="G7806" i="3"/>
  <c r="F7807" i="3"/>
  <c r="G7807" i="3"/>
  <c r="F7808" i="3"/>
  <c r="G7808" i="3"/>
  <c r="F7809" i="3"/>
  <c r="G7809" i="3"/>
  <c r="F7810" i="3"/>
  <c r="G7810" i="3"/>
  <c r="F7811" i="3"/>
  <c r="G7811" i="3"/>
  <c r="F7812" i="3"/>
  <c r="G7812" i="3"/>
  <c r="F7813" i="3"/>
  <c r="G7813" i="3"/>
  <c r="F7814" i="3"/>
  <c r="G7814" i="3"/>
  <c r="F7815" i="3"/>
  <c r="G7815" i="3"/>
  <c r="F7816" i="3"/>
  <c r="G7816" i="3"/>
  <c r="F7817" i="3"/>
  <c r="G7817" i="3"/>
  <c r="F7818" i="3"/>
  <c r="G7818" i="3"/>
  <c r="F7819" i="3"/>
  <c r="G7819" i="3"/>
  <c r="F7820" i="3"/>
  <c r="G7820" i="3"/>
  <c r="F7821" i="3"/>
  <c r="G7821" i="3"/>
  <c r="F7822" i="3"/>
  <c r="G7822" i="3"/>
  <c r="F7823" i="3"/>
  <c r="G7823" i="3"/>
  <c r="F7824" i="3"/>
  <c r="G7824" i="3"/>
  <c r="F7825" i="3"/>
  <c r="G7825" i="3"/>
  <c r="F7826" i="3"/>
  <c r="G7826" i="3"/>
  <c r="F7827" i="3"/>
  <c r="G7827" i="3"/>
  <c r="F7828" i="3"/>
  <c r="G7828" i="3"/>
  <c r="F7829" i="3"/>
  <c r="G7829" i="3"/>
  <c r="F7830" i="3"/>
  <c r="G7830" i="3"/>
  <c r="F7831" i="3"/>
  <c r="G7831" i="3"/>
  <c r="F7832" i="3"/>
  <c r="G7832" i="3"/>
  <c r="F7833" i="3"/>
  <c r="G7833" i="3"/>
  <c r="F7834" i="3"/>
  <c r="G7834" i="3"/>
  <c r="F7835" i="3"/>
  <c r="G7835" i="3"/>
  <c r="F7836" i="3"/>
  <c r="G7836" i="3"/>
  <c r="F7837" i="3"/>
  <c r="G7837" i="3"/>
  <c r="F7838" i="3"/>
  <c r="G7838" i="3"/>
  <c r="F7839" i="3"/>
  <c r="G7839" i="3"/>
  <c r="F7840" i="3"/>
  <c r="G7840" i="3"/>
  <c r="F7841" i="3"/>
  <c r="G7841" i="3"/>
  <c r="F7842" i="3"/>
  <c r="G7842" i="3"/>
  <c r="F7843" i="3"/>
  <c r="G7843" i="3"/>
  <c r="F7844" i="3"/>
  <c r="G7844" i="3"/>
  <c r="F7845" i="3"/>
  <c r="G7845" i="3"/>
  <c r="F7846" i="3"/>
  <c r="G7846" i="3"/>
  <c r="F7847" i="3"/>
  <c r="G7847" i="3"/>
  <c r="F7848" i="3"/>
  <c r="G7848" i="3"/>
  <c r="F7849" i="3"/>
  <c r="G7849" i="3"/>
  <c r="F7850" i="3"/>
  <c r="G7850" i="3"/>
  <c r="F7851" i="3"/>
  <c r="G7851" i="3"/>
  <c r="F7852" i="3"/>
  <c r="G7852" i="3"/>
  <c r="F7853" i="3"/>
  <c r="G7853" i="3"/>
  <c r="F7854" i="3"/>
  <c r="G7854" i="3"/>
  <c r="F7435" i="3"/>
  <c r="G7435" i="3"/>
  <c r="F7436" i="3"/>
  <c r="G7436" i="3"/>
  <c r="F7437" i="3"/>
  <c r="G7437" i="3"/>
  <c r="F7438" i="3"/>
  <c r="G7438" i="3"/>
  <c r="F7439" i="3"/>
  <c r="G7439" i="3"/>
  <c r="F7440" i="3"/>
  <c r="G7440" i="3"/>
  <c r="F7441" i="3"/>
  <c r="G7441" i="3"/>
  <c r="F7442" i="3"/>
  <c r="G7442" i="3"/>
  <c r="F7443" i="3"/>
  <c r="G7443" i="3"/>
  <c r="F7444" i="3"/>
  <c r="G7444" i="3"/>
  <c r="F7445" i="3"/>
  <c r="G7445" i="3"/>
  <c r="F7446" i="3"/>
  <c r="G7446" i="3"/>
  <c r="F7447" i="3"/>
  <c r="G7447" i="3"/>
  <c r="F7448" i="3"/>
  <c r="G7448" i="3"/>
  <c r="F7449" i="3"/>
  <c r="G7449" i="3"/>
  <c r="F7450" i="3"/>
  <c r="G7450" i="3"/>
  <c r="F7451" i="3"/>
  <c r="G7451" i="3"/>
  <c r="F7452" i="3"/>
  <c r="G7452" i="3"/>
  <c r="F7453" i="3"/>
  <c r="G7453" i="3"/>
  <c r="F7454" i="3"/>
  <c r="G7454" i="3"/>
  <c r="F7455" i="3"/>
  <c r="G7455" i="3"/>
  <c r="F7456" i="3"/>
  <c r="G7456" i="3"/>
  <c r="F7457" i="3"/>
  <c r="G7457" i="3"/>
  <c r="F7458" i="3"/>
  <c r="G7458" i="3"/>
  <c r="F7459" i="3"/>
  <c r="G7459" i="3"/>
  <c r="F7460" i="3"/>
  <c r="G7460" i="3"/>
  <c r="F7461" i="3"/>
  <c r="G7461" i="3"/>
  <c r="F7462" i="3"/>
  <c r="G7462" i="3"/>
  <c r="F7463" i="3"/>
  <c r="G7463" i="3"/>
  <c r="F7464" i="3"/>
  <c r="G7464" i="3"/>
  <c r="F7465" i="3"/>
  <c r="G7465" i="3"/>
  <c r="F7466" i="3"/>
  <c r="G7466" i="3"/>
  <c r="F7467" i="3"/>
  <c r="G7467" i="3"/>
  <c r="F7468" i="3"/>
  <c r="G7468" i="3"/>
  <c r="F7469" i="3"/>
  <c r="G7469" i="3"/>
  <c r="F7470" i="3"/>
  <c r="G7470" i="3"/>
  <c r="F7471" i="3"/>
  <c r="G7471" i="3"/>
  <c r="F7472" i="3"/>
  <c r="G7472" i="3"/>
  <c r="F7473" i="3"/>
  <c r="G7473" i="3"/>
  <c r="F7474" i="3"/>
  <c r="G7474" i="3"/>
  <c r="F7475" i="3"/>
  <c r="G7475" i="3"/>
  <c r="F7476" i="3"/>
  <c r="G7476" i="3"/>
  <c r="F7477" i="3"/>
  <c r="G7477" i="3"/>
  <c r="F7478" i="3"/>
  <c r="G7478" i="3"/>
  <c r="F7479" i="3"/>
  <c r="G7479" i="3"/>
  <c r="F7480" i="3"/>
  <c r="G7480" i="3"/>
  <c r="F7481" i="3"/>
  <c r="G7481" i="3"/>
  <c r="F7482" i="3"/>
  <c r="G7482" i="3"/>
  <c r="F7483" i="3"/>
  <c r="G7483" i="3"/>
  <c r="F7484" i="3"/>
  <c r="G7484" i="3"/>
  <c r="F7485" i="3"/>
  <c r="G7485" i="3"/>
  <c r="F7486" i="3"/>
  <c r="G7486" i="3"/>
  <c r="F7487" i="3"/>
  <c r="G7487" i="3"/>
  <c r="F7488" i="3"/>
  <c r="G7488" i="3"/>
  <c r="F7489" i="3"/>
  <c r="G7489" i="3"/>
  <c r="F7490" i="3"/>
  <c r="G7490" i="3"/>
  <c r="F7491" i="3"/>
  <c r="G7491" i="3"/>
  <c r="F7492" i="3"/>
  <c r="G7492" i="3"/>
  <c r="F7493" i="3"/>
  <c r="G7493" i="3"/>
  <c r="F7494" i="3"/>
  <c r="G7494" i="3"/>
  <c r="F7495" i="3"/>
  <c r="G7495" i="3"/>
  <c r="F7496" i="3"/>
  <c r="G7496" i="3"/>
  <c r="F7497" i="3"/>
  <c r="G7497" i="3"/>
  <c r="F7498" i="3"/>
  <c r="G7498" i="3"/>
  <c r="F7499" i="3"/>
  <c r="G7499" i="3"/>
  <c r="F7500" i="3"/>
  <c r="G7500" i="3"/>
  <c r="F7501" i="3"/>
  <c r="G7501" i="3"/>
  <c r="F7502" i="3"/>
  <c r="G7502" i="3"/>
  <c r="F7503" i="3"/>
  <c r="G7503" i="3"/>
  <c r="F7504" i="3"/>
  <c r="G7504" i="3"/>
  <c r="F7505" i="3"/>
  <c r="G7505" i="3"/>
  <c r="F7506" i="3"/>
  <c r="G7506" i="3"/>
  <c r="F7507" i="3"/>
  <c r="G7507" i="3"/>
  <c r="F7508" i="3"/>
  <c r="G7508" i="3"/>
  <c r="F7509" i="3"/>
  <c r="G7509" i="3"/>
  <c r="F7510" i="3"/>
  <c r="G7510" i="3"/>
  <c r="F7511" i="3"/>
  <c r="G7511" i="3"/>
  <c r="F7512" i="3"/>
  <c r="G7512" i="3"/>
  <c r="F7513" i="3"/>
  <c r="G7513" i="3"/>
  <c r="F7514" i="3"/>
  <c r="G7514" i="3"/>
  <c r="F7515" i="3"/>
  <c r="G7515" i="3"/>
  <c r="F7516" i="3"/>
  <c r="G7516" i="3"/>
  <c r="F7517" i="3"/>
  <c r="G7517" i="3"/>
  <c r="F7518" i="3"/>
  <c r="G7518" i="3"/>
  <c r="F7519" i="3"/>
  <c r="G7519" i="3"/>
  <c r="F7520" i="3"/>
  <c r="G7520" i="3"/>
  <c r="F7521" i="3"/>
  <c r="G7521" i="3"/>
  <c r="F7522" i="3"/>
  <c r="G7522" i="3"/>
  <c r="F7523" i="3"/>
  <c r="G7523" i="3"/>
  <c r="F7524" i="3"/>
  <c r="G7524" i="3"/>
  <c r="F7525" i="3"/>
  <c r="G7525" i="3"/>
  <c r="F7526" i="3"/>
  <c r="G7526" i="3"/>
  <c r="F7527" i="3"/>
  <c r="G7527" i="3"/>
  <c r="F7528" i="3"/>
  <c r="G7528" i="3"/>
  <c r="F7529" i="3"/>
  <c r="G7529" i="3"/>
  <c r="F7530" i="3"/>
  <c r="G7530" i="3"/>
  <c r="F7531" i="3"/>
  <c r="G7531" i="3"/>
  <c r="F7532" i="3"/>
  <c r="G7532" i="3"/>
  <c r="F7533" i="3"/>
  <c r="G7533" i="3"/>
  <c r="F7534" i="3"/>
  <c r="G7534" i="3"/>
  <c r="F7535" i="3"/>
  <c r="G7535" i="3"/>
  <c r="F7536" i="3"/>
  <c r="G7536" i="3"/>
  <c r="F7537" i="3"/>
  <c r="G7537" i="3"/>
  <c r="F7538" i="3"/>
  <c r="G7538" i="3"/>
  <c r="F7539" i="3"/>
  <c r="G7539" i="3"/>
  <c r="F7540" i="3"/>
  <c r="G7540" i="3"/>
  <c r="F7541" i="3"/>
  <c r="G7541" i="3"/>
  <c r="F7542" i="3"/>
  <c r="G7542" i="3"/>
  <c r="F7543" i="3"/>
  <c r="G7543" i="3"/>
  <c r="F7544" i="3"/>
  <c r="G7544" i="3"/>
  <c r="F7545" i="3"/>
  <c r="G7545" i="3"/>
  <c r="F7546" i="3"/>
  <c r="G7546" i="3"/>
  <c r="F7547" i="3"/>
  <c r="G7547" i="3"/>
  <c r="F7548" i="3"/>
  <c r="G7548" i="3"/>
  <c r="F7549" i="3"/>
  <c r="G7549" i="3"/>
  <c r="F7550" i="3"/>
  <c r="G7550" i="3"/>
  <c r="F7551" i="3"/>
  <c r="G7551" i="3"/>
  <c r="F7552" i="3"/>
  <c r="G7552" i="3"/>
  <c r="F7553" i="3"/>
  <c r="G7553" i="3"/>
  <c r="F7554" i="3"/>
  <c r="G7554" i="3"/>
  <c r="F7555" i="3"/>
  <c r="G7555" i="3"/>
  <c r="F7556" i="3"/>
  <c r="G7556" i="3"/>
  <c r="F7557" i="3"/>
  <c r="G7557" i="3"/>
  <c r="F7558" i="3"/>
  <c r="G7558" i="3"/>
  <c r="F7559" i="3"/>
  <c r="G7559" i="3"/>
  <c r="F7560" i="3"/>
  <c r="G7560" i="3"/>
  <c r="F7561" i="3"/>
  <c r="G7561" i="3"/>
  <c r="F7562" i="3"/>
  <c r="G7562" i="3"/>
  <c r="F7563" i="3"/>
  <c r="G7563" i="3"/>
  <c r="F7564" i="3"/>
  <c r="G7564" i="3"/>
  <c r="F7565" i="3"/>
  <c r="G7565" i="3"/>
  <c r="F7566" i="3"/>
  <c r="G7566" i="3"/>
  <c r="F7567" i="3"/>
  <c r="G7567" i="3"/>
  <c r="F7568" i="3"/>
  <c r="G7568" i="3"/>
  <c r="F7569" i="3"/>
  <c r="G7569" i="3"/>
  <c r="F7570" i="3"/>
  <c r="G7570" i="3"/>
  <c r="F7571" i="3"/>
  <c r="G7571" i="3"/>
  <c r="F7572" i="3"/>
  <c r="G7572" i="3"/>
  <c r="F7573" i="3"/>
  <c r="G7573" i="3"/>
  <c r="F7574" i="3"/>
  <c r="G7574" i="3"/>
  <c r="F7575" i="3"/>
  <c r="G7575" i="3"/>
  <c r="F7576" i="3"/>
  <c r="G7576" i="3"/>
  <c r="F7577" i="3"/>
  <c r="G7577" i="3"/>
  <c r="F7578" i="3"/>
  <c r="G7578" i="3"/>
  <c r="F7579" i="3"/>
  <c r="G7579" i="3"/>
  <c r="F7580" i="3"/>
  <c r="G7580" i="3"/>
  <c r="F7581" i="3"/>
  <c r="G7581" i="3"/>
  <c r="F7582" i="3"/>
  <c r="G7582" i="3"/>
  <c r="F7583" i="3"/>
  <c r="G7583" i="3"/>
  <c r="F7584" i="3"/>
  <c r="G7584" i="3"/>
  <c r="F7585" i="3"/>
  <c r="G7585" i="3"/>
  <c r="F7586" i="3"/>
  <c r="G7586" i="3"/>
  <c r="F7587" i="3"/>
  <c r="G7587" i="3"/>
  <c r="F7588" i="3"/>
  <c r="G7588" i="3"/>
  <c r="F7589" i="3"/>
  <c r="G7589" i="3"/>
  <c r="F7590" i="3"/>
  <c r="G7590" i="3"/>
  <c r="F7591" i="3"/>
  <c r="G7591" i="3"/>
  <c r="F7592" i="3"/>
  <c r="G7592" i="3"/>
  <c r="F7593" i="3"/>
  <c r="G7593" i="3"/>
  <c r="F7594" i="3"/>
  <c r="G7594" i="3"/>
  <c r="F7595" i="3"/>
  <c r="G7595" i="3"/>
  <c r="F7596" i="3"/>
  <c r="G7596" i="3"/>
  <c r="F7597" i="3"/>
  <c r="G7597" i="3"/>
  <c r="F7598" i="3"/>
  <c r="G7598" i="3"/>
  <c r="F7599" i="3"/>
  <c r="G7599" i="3"/>
  <c r="B7436" i="3"/>
  <c r="C7436" i="3"/>
  <c r="B7437" i="3"/>
  <c r="C7437" i="3"/>
  <c r="B7438" i="3"/>
  <c r="C7438" i="3"/>
  <c r="B7439" i="3"/>
  <c r="C7439" i="3"/>
  <c r="B7440" i="3"/>
  <c r="C7440" i="3"/>
  <c r="B7441" i="3"/>
  <c r="C7441" i="3"/>
  <c r="B7442" i="3"/>
  <c r="C7442" i="3"/>
  <c r="B7443" i="3"/>
  <c r="C7443" i="3"/>
  <c r="B7444" i="3"/>
  <c r="C7444" i="3"/>
  <c r="B7445" i="3"/>
  <c r="C7445" i="3"/>
  <c r="B7446" i="3"/>
  <c r="C7446" i="3"/>
  <c r="B7447" i="3"/>
  <c r="C7447" i="3"/>
  <c r="B7448" i="3"/>
  <c r="C7448" i="3"/>
  <c r="B7449" i="3"/>
  <c r="C7449" i="3"/>
  <c r="B7450" i="3"/>
  <c r="C7450" i="3"/>
  <c r="B7451" i="3"/>
  <c r="C7451" i="3"/>
  <c r="B7452" i="3"/>
  <c r="C7452" i="3"/>
  <c r="B7453" i="3"/>
  <c r="C7453" i="3"/>
  <c r="B7454" i="3"/>
  <c r="C7454" i="3"/>
  <c r="B7455" i="3"/>
  <c r="C7455" i="3"/>
  <c r="B7456" i="3"/>
  <c r="C7456" i="3"/>
  <c r="B7457" i="3"/>
  <c r="C7457" i="3"/>
  <c r="B7458" i="3"/>
  <c r="C7458" i="3"/>
  <c r="B7459" i="3"/>
  <c r="C7459" i="3"/>
  <c r="B7460" i="3"/>
  <c r="C7460" i="3"/>
  <c r="B7461" i="3"/>
  <c r="C7461" i="3"/>
  <c r="B7462" i="3"/>
  <c r="C7462" i="3"/>
  <c r="B7463" i="3"/>
  <c r="C7463" i="3"/>
  <c r="B7464" i="3"/>
  <c r="C7464" i="3"/>
  <c r="B7465" i="3"/>
  <c r="C7465" i="3"/>
  <c r="B7466" i="3"/>
  <c r="C7466" i="3"/>
  <c r="B7467" i="3"/>
  <c r="C7467" i="3"/>
  <c r="B7468" i="3"/>
  <c r="C7468" i="3"/>
  <c r="B7469" i="3"/>
  <c r="C7469" i="3"/>
  <c r="B7470" i="3"/>
  <c r="C7470" i="3"/>
  <c r="B7471" i="3"/>
  <c r="C7471" i="3"/>
  <c r="B7472" i="3"/>
  <c r="C7472" i="3"/>
  <c r="B7473" i="3"/>
  <c r="C7473" i="3"/>
  <c r="B7474" i="3"/>
  <c r="C7474" i="3"/>
  <c r="B7475" i="3"/>
  <c r="C7475" i="3"/>
  <c r="B7476" i="3"/>
  <c r="C7476" i="3"/>
  <c r="B7477" i="3"/>
  <c r="C7477" i="3"/>
  <c r="B7478" i="3"/>
  <c r="C7478" i="3"/>
  <c r="B7479" i="3"/>
  <c r="C7479" i="3"/>
  <c r="C7435" i="3"/>
  <c r="B7435" i="3"/>
  <c r="F7222" i="3"/>
  <c r="G7222" i="3"/>
  <c r="F7223" i="3"/>
  <c r="G7223" i="3"/>
  <c r="F7224" i="3"/>
  <c r="G7224" i="3"/>
  <c r="F7225" i="3"/>
  <c r="G7225" i="3"/>
  <c r="F7226" i="3"/>
  <c r="G7226" i="3"/>
  <c r="F7227" i="3"/>
  <c r="G7227" i="3"/>
  <c r="F7228" i="3"/>
  <c r="G7228" i="3"/>
  <c r="F7229" i="3"/>
  <c r="G7229" i="3"/>
  <c r="F7230" i="3"/>
  <c r="G7230" i="3"/>
  <c r="F7231" i="3"/>
  <c r="G7231" i="3"/>
  <c r="F7232" i="3"/>
  <c r="G7232" i="3"/>
  <c r="F7233" i="3"/>
  <c r="G7233" i="3"/>
  <c r="F7234" i="3"/>
  <c r="G7234" i="3"/>
  <c r="F7235" i="3"/>
  <c r="G7235" i="3"/>
  <c r="F7236" i="3"/>
  <c r="G7236" i="3"/>
  <c r="F7237" i="3"/>
  <c r="G7237" i="3"/>
  <c r="F7238" i="3"/>
  <c r="G7238" i="3"/>
  <c r="F7239" i="3"/>
  <c r="G7239" i="3"/>
  <c r="F7240" i="3"/>
  <c r="F7241" i="3"/>
  <c r="F7242" i="3"/>
  <c r="F7243" i="3"/>
  <c r="F7244" i="3"/>
  <c r="F7245" i="3"/>
  <c r="F7246" i="3"/>
  <c r="F7247" i="3"/>
  <c r="F7248" i="3"/>
  <c r="F7249" i="3"/>
  <c r="F7250" i="3"/>
  <c r="F7251" i="3"/>
  <c r="F7252" i="3"/>
  <c r="F7253" i="3"/>
  <c r="F7254" i="3"/>
  <c r="F7255" i="3"/>
  <c r="G7255" i="3"/>
  <c r="F7256" i="3"/>
  <c r="G7256" i="3"/>
  <c r="F7257" i="3"/>
  <c r="G7257" i="3"/>
  <c r="F7258" i="3"/>
  <c r="G7258" i="3"/>
  <c r="F7259" i="3"/>
  <c r="G7259" i="3"/>
  <c r="F7260" i="3"/>
  <c r="G7260" i="3"/>
  <c r="F7261" i="3"/>
  <c r="G7261" i="3"/>
  <c r="F7262" i="3"/>
  <c r="G7262" i="3"/>
  <c r="F7263" i="3"/>
  <c r="G7263" i="3"/>
  <c r="F7264" i="3"/>
  <c r="G7264" i="3"/>
  <c r="F7265" i="3"/>
  <c r="G7265" i="3"/>
  <c r="F7266" i="3"/>
  <c r="G7266" i="3"/>
  <c r="F7267" i="3"/>
  <c r="G7267" i="3"/>
  <c r="F7268" i="3"/>
  <c r="G7268" i="3"/>
  <c r="F7269" i="3"/>
  <c r="G7269" i="3"/>
  <c r="F7270" i="3"/>
  <c r="G7270" i="3"/>
  <c r="F7271" i="3"/>
  <c r="G7271" i="3"/>
  <c r="F7272" i="3"/>
  <c r="G7272" i="3"/>
  <c r="F7273" i="3"/>
  <c r="G7273" i="3"/>
  <c r="F7274" i="3"/>
  <c r="G7274" i="3"/>
  <c r="F7275" i="3"/>
  <c r="G7275" i="3"/>
  <c r="F7276" i="3"/>
  <c r="G7276" i="3"/>
  <c r="F7277" i="3"/>
  <c r="G7277" i="3"/>
  <c r="F7278" i="3"/>
  <c r="G7278" i="3"/>
  <c r="F7279" i="3"/>
  <c r="G7279" i="3"/>
  <c r="F7280" i="3"/>
  <c r="G7280" i="3"/>
  <c r="F7281" i="3"/>
  <c r="G7281" i="3"/>
  <c r="F7282" i="3"/>
  <c r="G7282" i="3"/>
  <c r="F7283" i="3"/>
  <c r="G7283" i="3"/>
  <c r="F7284" i="3"/>
  <c r="G7284" i="3"/>
  <c r="F7285" i="3"/>
  <c r="G7285" i="3"/>
  <c r="F7286" i="3"/>
  <c r="G7286" i="3"/>
  <c r="F7287" i="3"/>
  <c r="G7287" i="3"/>
  <c r="F7288" i="3"/>
  <c r="G7288" i="3"/>
  <c r="F7289" i="3"/>
  <c r="G7289" i="3"/>
  <c r="F7290" i="3"/>
  <c r="G7290" i="3"/>
  <c r="F7291" i="3"/>
  <c r="G7291" i="3"/>
  <c r="F7292" i="3"/>
  <c r="G7292" i="3"/>
  <c r="F7293" i="3"/>
  <c r="G7293" i="3"/>
  <c r="F7294" i="3"/>
  <c r="G7294" i="3"/>
  <c r="F7295" i="3"/>
  <c r="G7295" i="3"/>
  <c r="F7296" i="3"/>
  <c r="G7296" i="3"/>
  <c r="F7297" i="3"/>
  <c r="G7297" i="3"/>
  <c r="F7298" i="3"/>
  <c r="G7298" i="3"/>
  <c r="F7299" i="3"/>
  <c r="G7299" i="3"/>
  <c r="F7300" i="3"/>
  <c r="G7300" i="3"/>
  <c r="F7301" i="3"/>
  <c r="G7301" i="3"/>
  <c r="F7302" i="3"/>
  <c r="G7302" i="3"/>
  <c r="F7303" i="3"/>
  <c r="G7303" i="3"/>
  <c r="F7304" i="3"/>
  <c r="G7304" i="3"/>
  <c r="F7305" i="3"/>
  <c r="G7305" i="3"/>
  <c r="F7306" i="3"/>
  <c r="G7306" i="3"/>
  <c r="F7307" i="3"/>
  <c r="G7307" i="3"/>
  <c r="F7308" i="3"/>
  <c r="G7308" i="3"/>
  <c r="F7309" i="3"/>
  <c r="G7309" i="3"/>
  <c r="F7310" i="3"/>
  <c r="G7310" i="3"/>
  <c r="F7311" i="3"/>
  <c r="G7311" i="3"/>
  <c r="F7312" i="3"/>
  <c r="G7312" i="3"/>
  <c r="F7313" i="3"/>
  <c r="G7313" i="3"/>
  <c r="F7314" i="3"/>
  <c r="G7314" i="3"/>
  <c r="F7315" i="3"/>
  <c r="G7315" i="3"/>
  <c r="F7316" i="3"/>
  <c r="G7316" i="3"/>
  <c r="F7317" i="3"/>
  <c r="G7317" i="3"/>
  <c r="F7318" i="3"/>
  <c r="G7318" i="3"/>
  <c r="F7319" i="3"/>
  <c r="G7319" i="3"/>
  <c r="F7320" i="3"/>
  <c r="G7320" i="3"/>
  <c r="F7321" i="3"/>
  <c r="G7321" i="3"/>
  <c r="F7322" i="3"/>
  <c r="G7322" i="3"/>
  <c r="F7323" i="3"/>
  <c r="G7323" i="3"/>
  <c r="F7324" i="3"/>
  <c r="G7324" i="3"/>
  <c r="F7325" i="3"/>
  <c r="G7325" i="3"/>
  <c r="F7326" i="3"/>
  <c r="G7326" i="3"/>
  <c r="F7327" i="3"/>
  <c r="G7327" i="3"/>
  <c r="F7328" i="3"/>
  <c r="G7328" i="3"/>
  <c r="F7329" i="3"/>
  <c r="G7329" i="3"/>
  <c r="F7330" i="3"/>
  <c r="G7330" i="3"/>
  <c r="F7331" i="3"/>
  <c r="G7331" i="3"/>
  <c r="F7332" i="3"/>
  <c r="G7332" i="3"/>
  <c r="F7333" i="3"/>
  <c r="G7333" i="3"/>
  <c r="F7334" i="3"/>
  <c r="G7334" i="3"/>
  <c r="F7335" i="3"/>
  <c r="G7335" i="3"/>
  <c r="F7336" i="3"/>
  <c r="G7336" i="3"/>
  <c r="F7337" i="3"/>
  <c r="G7337" i="3"/>
  <c r="F7338" i="3"/>
  <c r="G7338" i="3"/>
  <c r="F7339" i="3"/>
  <c r="G7339" i="3"/>
  <c r="F7340" i="3"/>
  <c r="G7340" i="3"/>
  <c r="F7341" i="3"/>
  <c r="G7341" i="3"/>
  <c r="F7342" i="3"/>
  <c r="G7342" i="3"/>
  <c r="F7343" i="3"/>
  <c r="G7343" i="3"/>
  <c r="F7344" i="3"/>
  <c r="G7344" i="3"/>
  <c r="F7345" i="3"/>
  <c r="G7345" i="3"/>
  <c r="F7346" i="3"/>
  <c r="G7346" i="3"/>
  <c r="F7347" i="3"/>
  <c r="G7347" i="3"/>
  <c r="F7348" i="3"/>
  <c r="G7348" i="3"/>
  <c r="F7349" i="3"/>
  <c r="G7349" i="3"/>
  <c r="F7350" i="3"/>
  <c r="G7350" i="3"/>
  <c r="F7351" i="3"/>
  <c r="G7351" i="3"/>
  <c r="F7352" i="3"/>
  <c r="G7352" i="3"/>
  <c r="F7353" i="3"/>
  <c r="G7353" i="3"/>
  <c r="F7354" i="3"/>
  <c r="G7354" i="3"/>
  <c r="F7355" i="3"/>
  <c r="G7355" i="3"/>
  <c r="F7356" i="3"/>
  <c r="G7356" i="3"/>
  <c r="F7357" i="3"/>
  <c r="G7357" i="3"/>
  <c r="F7358" i="3"/>
  <c r="G7358" i="3"/>
  <c r="F7359" i="3"/>
  <c r="G7359" i="3"/>
  <c r="F7360" i="3"/>
  <c r="G7360" i="3"/>
  <c r="F7361" i="3"/>
  <c r="G7361" i="3"/>
  <c r="F7362" i="3"/>
  <c r="G7362" i="3"/>
  <c r="F7363" i="3"/>
  <c r="G7363" i="3"/>
  <c r="F7364" i="3"/>
  <c r="G7364" i="3"/>
  <c r="F7365" i="3"/>
  <c r="G7365" i="3"/>
  <c r="F7366" i="3"/>
  <c r="G7366" i="3"/>
  <c r="F7367" i="3"/>
  <c r="G7367" i="3"/>
  <c r="F7368" i="3"/>
  <c r="G7368" i="3"/>
  <c r="F7369" i="3"/>
  <c r="G7369" i="3"/>
  <c r="F7370" i="3"/>
  <c r="G7370" i="3"/>
  <c r="F7371" i="3"/>
  <c r="G7371" i="3"/>
  <c r="F7372" i="3"/>
  <c r="G7372" i="3"/>
  <c r="F7373" i="3"/>
  <c r="G7373" i="3"/>
  <c r="F7374" i="3"/>
  <c r="G7374" i="3"/>
  <c r="F7375" i="3"/>
  <c r="G7375" i="3"/>
  <c r="F7376" i="3"/>
  <c r="G7376" i="3"/>
  <c r="F7377" i="3"/>
  <c r="G7377" i="3"/>
  <c r="F7378" i="3"/>
  <c r="G7378" i="3"/>
  <c r="F7379" i="3"/>
  <c r="G7379" i="3"/>
  <c r="F7380" i="3"/>
  <c r="G7380" i="3"/>
  <c r="F7381" i="3"/>
  <c r="G7381" i="3"/>
  <c r="F7382" i="3"/>
  <c r="G7382" i="3"/>
  <c r="F7383" i="3"/>
  <c r="G7383" i="3"/>
  <c r="F7384" i="3"/>
  <c r="G7384" i="3"/>
  <c r="F7385" i="3"/>
  <c r="G7385" i="3"/>
  <c r="F7386" i="3"/>
  <c r="G7386" i="3"/>
  <c r="F7387" i="3"/>
  <c r="G7387" i="3"/>
  <c r="F7388" i="3"/>
  <c r="G7388" i="3"/>
  <c r="F7389" i="3"/>
  <c r="G7389" i="3"/>
  <c r="F7390" i="3"/>
  <c r="G7390" i="3"/>
  <c r="F7391" i="3"/>
  <c r="G7391" i="3"/>
  <c r="F7392" i="3"/>
  <c r="G7392" i="3"/>
  <c r="F7393" i="3"/>
  <c r="G7393" i="3"/>
  <c r="F7394" i="3"/>
  <c r="G7394" i="3"/>
  <c r="F7395" i="3"/>
  <c r="G7395" i="3"/>
  <c r="F7396" i="3"/>
  <c r="G7396" i="3"/>
  <c r="F7397" i="3"/>
  <c r="G7397" i="3"/>
  <c r="F7398" i="3"/>
  <c r="G7398" i="3"/>
  <c r="F7399" i="3"/>
  <c r="G7399" i="3"/>
  <c r="F7400" i="3"/>
  <c r="G7400" i="3"/>
  <c r="F7401" i="3"/>
  <c r="G7401" i="3"/>
  <c r="F7402" i="3"/>
  <c r="G7402" i="3"/>
  <c r="F7403" i="3"/>
  <c r="G7403" i="3"/>
  <c r="F7404" i="3"/>
  <c r="G7404" i="3"/>
  <c r="F7405" i="3"/>
  <c r="G7405" i="3"/>
  <c r="F7406" i="3"/>
  <c r="G7406" i="3"/>
  <c r="F7407" i="3"/>
  <c r="G7407" i="3"/>
  <c r="F7408" i="3"/>
  <c r="G7408" i="3"/>
  <c r="F7409" i="3"/>
  <c r="G7409" i="3"/>
  <c r="F7410" i="3"/>
  <c r="G7410" i="3"/>
  <c r="F7411" i="3"/>
  <c r="G7411" i="3"/>
  <c r="F7412" i="3"/>
  <c r="G7412" i="3"/>
  <c r="F7413" i="3"/>
  <c r="G7413" i="3"/>
  <c r="F7414" i="3"/>
  <c r="G7414" i="3"/>
  <c r="F7415" i="3"/>
  <c r="G7415" i="3"/>
  <c r="F7416" i="3"/>
  <c r="G7416" i="3"/>
  <c r="F7417" i="3"/>
  <c r="G7417" i="3"/>
  <c r="F7418" i="3"/>
  <c r="G7418" i="3"/>
  <c r="F7419" i="3"/>
  <c r="G7419" i="3"/>
  <c r="F7420" i="3"/>
  <c r="G7420" i="3"/>
  <c r="F7421" i="3"/>
  <c r="G7421" i="3"/>
  <c r="F7422" i="3"/>
  <c r="G7422" i="3"/>
  <c r="F7423" i="3"/>
  <c r="G7423" i="3"/>
  <c r="F7424" i="3"/>
  <c r="G7424" i="3"/>
  <c r="F7425" i="3"/>
  <c r="G7425" i="3"/>
  <c r="F7426" i="3"/>
  <c r="G7426" i="3"/>
  <c r="F7427" i="3"/>
  <c r="G7427" i="3"/>
  <c r="F7428" i="3"/>
  <c r="G7428" i="3"/>
  <c r="F7429" i="3"/>
  <c r="G7429" i="3"/>
  <c r="F7430" i="3"/>
  <c r="G7430" i="3"/>
  <c r="F7431" i="3"/>
  <c r="G7431" i="3"/>
  <c r="F7432" i="3"/>
  <c r="G7432" i="3"/>
  <c r="F7433" i="3"/>
  <c r="G7433" i="3"/>
  <c r="F7434" i="3"/>
  <c r="G7434" i="3"/>
  <c r="B7376" i="3"/>
  <c r="C7376" i="3"/>
  <c r="B7377" i="3"/>
  <c r="C7377" i="3"/>
  <c r="B7378" i="3"/>
  <c r="C7378" i="3"/>
  <c r="B7379" i="3"/>
  <c r="C7379" i="3"/>
  <c r="B7380" i="3"/>
  <c r="C7380" i="3"/>
  <c r="B7381" i="3"/>
  <c r="C7381" i="3"/>
  <c r="B7382" i="3"/>
  <c r="C7382" i="3"/>
  <c r="B7383" i="3"/>
  <c r="C7383" i="3"/>
  <c r="B7384" i="3"/>
  <c r="C7384" i="3"/>
  <c r="B7385" i="3"/>
  <c r="C7385" i="3"/>
  <c r="B7386" i="3"/>
  <c r="C7386" i="3"/>
  <c r="B7387" i="3"/>
  <c r="C7387" i="3"/>
  <c r="B7388" i="3"/>
  <c r="C7388" i="3"/>
  <c r="B7389" i="3"/>
  <c r="C7389" i="3"/>
  <c r="B7390" i="3"/>
  <c r="C7390" i="3"/>
  <c r="B7391" i="3"/>
  <c r="C7391" i="3"/>
  <c r="B7392" i="3"/>
  <c r="C7392" i="3"/>
  <c r="B7393" i="3"/>
  <c r="C7393" i="3"/>
  <c r="B7394" i="3"/>
  <c r="C7394" i="3"/>
  <c r="B7395" i="3"/>
  <c r="C7395" i="3"/>
  <c r="B7396" i="3"/>
  <c r="C7396" i="3"/>
  <c r="B7397" i="3"/>
  <c r="C7397" i="3"/>
  <c r="B7398" i="3"/>
  <c r="C7398" i="3"/>
  <c r="B7399" i="3"/>
  <c r="C7399" i="3"/>
  <c r="B7400" i="3"/>
  <c r="C7400" i="3"/>
  <c r="B7401" i="3"/>
  <c r="C7401" i="3"/>
  <c r="B7402" i="3"/>
  <c r="C7402" i="3"/>
  <c r="B7403" i="3"/>
  <c r="C7403" i="3"/>
  <c r="B7404" i="3"/>
  <c r="C7404" i="3"/>
  <c r="B7405" i="3"/>
  <c r="C7405" i="3"/>
  <c r="B7406" i="3"/>
  <c r="C7406" i="3"/>
  <c r="B7407" i="3"/>
  <c r="C7407" i="3"/>
  <c r="B7408" i="3"/>
  <c r="C7408" i="3"/>
  <c r="B7409" i="3"/>
  <c r="C7409" i="3"/>
  <c r="B7410" i="3"/>
  <c r="C7410" i="3"/>
  <c r="B7411" i="3"/>
  <c r="C7411" i="3"/>
  <c r="B7412" i="3"/>
  <c r="C7412" i="3"/>
  <c r="B7413" i="3"/>
  <c r="C7413" i="3"/>
  <c r="B7414" i="3"/>
  <c r="C7414" i="3"/>
  <c r="B7415" i="3"/>
  <c r="C7415" i="3"/>
  <c r="B7416" i="3"/>
  <c r="C7416" i="3"/>
  <c r="B7417" i="3"/>
  <c r="C7417" i="3"/>
  <c r="B7418" i="3"/>
  <c r="C7418" i="3"/>
  <c r="B7419" i="3"/>
  <c r="C7419" i="3"/>
  <c r="B7420" i="3"/>
  <c r="C7420" i="3"/>
  <c r="B7421" i="3"/>
  <c r="C7421" i="3"/>
  <c r="B7422" i="3"/>
  <c r="C7422" i="3"/>
  <c r="B7423" i="3"/>
  <c r="C7423" i="3"/>
  <c r="B7424" i="3"/>
  <c r="C7424" i="3"/>
  <c r="B7425" i="3"/>
  <c r="C7425" i="3"/>
  <c r="B7426" i="3"/>
  <c r="C7426" i="3"/>
  <c r="B7427" i="3"/>
  <c r="C7427" i="3"/>
  <c r="B7428" i="3"/>
  <c r="C7428" i="3"/>
  <c r="B7429" i="3"/>
  <c r="C7429" i="3"/>
  <c r="B7430" i="3"/>
  <c r="C7430" i="3"/>
  <c r="B7431" i="3"/>
  <c r="C7431" i="3"/>
  <c r="B7432" i="3"/>
  <c r="C7432" i="3"/>
  <c r="B7433" i="3"/>
  <c r="C7433" i="3"/>
  <c r="B7434" i="3"/>
  <c r="C7434" i="3"/>
  <c r="C7375" i="3"/>
  <c r="B7375" i="3"/>
  <c r="B7316" i="3"/>
  <c r="C7316" i="3"/>
  <c r="B7317" i="3"/>
  <c r="C7317" i="3"/>
  <c r="B7318" i="3"/>
  <c r="C7318" i="3"/>
  <c r="B7319" i="3"/>
  <c r="C7319" i="3"/>
  <c r="B7320" i="3"/>
  <c r="C7320" i="3"/>
  <c r="B7321" i="3"/>
  <c r="C7321" i="3"/>
  <c r="B7322" i="3"/>
  <c r="C7322" i="3"/>
  <c r="B7323" i="3"/>
  <c r="C7323" i="3"/>
  <c r="B7324" i="3"/>
  <c r="C7324" i="3"/>
  <c r="B7325" i="3"/>
  <c r="C7325" i="3"/>
  <c r="B7326" i="3"/>
  <c r="C7326" i="3"/>
  <c r="B7327" i="3"/>
  <c r="C7327" i="3"/>
  <c r="B7328" i="3"/>
  <c r="C7328" i="3"/>
  <c r="B7329" i="3"/>
  <c r="C7329" i="3"/>
  <c r="B7330" i="3"/>
  <c r="C7330" i="3"/>
  <c r="B7331" i="3"/>
  <c r="C7331" i="3"/>
  <c r="B7332" i="3"/>
  <c r="C7332" i="3"/>
  <c r="B7333" i="3"/>
  <c r="C7333" i="3"/>
  <c r="B7334" i="3"/>
  <c r="C7334" i="3"/>
  <c r="B7335" i="3"/>
  <c r="C7335" i="3"/>
  <c r="B7336" i="3"/>
  <c r="C7336" i="3"/>
  <c r="B7337" i="3"/>
  <c r="C7337" i="3"/>
  <c r="B7338" i="3"/>
  <c r="C7338" i="3"/>
  <c r="B7339" i="3"/>
  <c r="C7339" i="3"/>
  <c r="B7340" i="3"/>
  <c r="C7340" i="3"/>
  <c r="B7341" i="3"/>
  <c r="C7341" i="3"/>
  <c r="B7342" i="3"/>
  <c r="C7342" i="3"/>
  <c r="B7343" i="3"/>
  <c r="C7343" i="3"/>
  <c r="B7344" i="3"/>
  <c r="C7344" i="3"/>
  <c r="B7345" i="3"/>
  <c r="C7345" i="3"/>
  <c r="B7346" i="3"/>
  <c r="C7346" i="3"/>
  <c r="B7347" i="3"/>
  <c r="C7347" i="3"/>
  <c r="B7348" i="3"/>
  <c r="C7348" i="3"/>
  <c r="B7349" i="3"/>
  <c r="C7349" i="3"/>
  <c r="B7350" i="3"/>
  <c r="C7350" i="3"/>
  <c r="B7351" i="3"/>
  <c r="C7351" i="3"/>
  <c r="B7352" i="3"/>
  <c r="C7352" i="3"/>
  <c r="B7353" i="3"/>
  <c r="C7353" i="3"/>
  <c r="B7354" i="3"/>
  <c r="C7354" i="3"/>
  <c r="B7355" i="3"/>
  <c r="C7355" i="3"/>
  <c r="B7356" i="3"/>
  <c r="C7356" i="3"/>
  <c r="B7357" i="3"/>
  <c r="C7357" i="3"/>
  <c r="B7358" i="3"/>
  <c r="C7358" i="3"/>
  <c r="B7359" i="3"/>
  <c r="C7359" i="3"/>
  <c r="B7360" i="3"/>
  <c r="C7360" i="3"/>
  <c r="B7361" i="3"/>
  <c r="C7361" i="3"/>
  <c r="B7362" i="3"/>
  <c r="C7362" i="3"/>
  <c r="B7363" i="3"/>
  <c r="C7363" i="3"/>
  <c r="B7364" i="3"/>
  <c r="C7364" i="3"/>
  <c r="B7365" i="3"/>
  <c r="C7365" i="3"/>
  <c r="B7366" i="3"/>
  <c r="C7366" i="3"/>
  <c r="B7367" i="3"/>
  <c r="C7367" i="3"/>
  <c r="B7368" i="3"/>
  <c r="C7368" i="3"/>
  <c r="B7369" i="3"/>
  <c r="C7369" i="3"/>
  <c r="B7370" i="3"/>
  <c r="C7370" i="3"/>
  <c r="B7371" i="3"/>
  <c r="C7371" i="3"/>
  <c r="B7372" i="3"/>
  <c r="C7372" i="3"/>
  <c r="B7373" i="3"/>
  <c r="C7373" i="3"/>
  <c r="B7374" i="3"/>
  <c r="C7374" i="3"/>
  <c r="C7315" i="3"/>
  <c r="B7315" i="3"/>
  <c r="B7256" i="3"/>
  <c r="C7256" i="3"/>
  <c r="B7257" i="3"/>
  <c r="C7257" i="3"/>
  <c r="B7258" i="3"/>
  <c r="C7258" i="3"/>
  <c r="B7259" i="3"/>
  <c r="C7259" i="3"/>
  <c r="B7260" i="3"/>
  <c r="C7260" i="3"/>
  <c r="B7261" i="3"/>
  <c r="C7261" i="3"/>
  <c r="B7262" i="3"/>
  <c r="C7262" i="3"/>
  <c r="B7263" i="3"/>
  <c r="C7263" i="3"/>
  <c r="B7264" i="3"/>
  <c r="C7264" i="3"/>
  <c r="B7265" i="3"/>
  <c r="C7265" i="3"/>
  <c r="B7266" i="3"/>
  <c r="C7266" i="3"/>
  <c r="B7267" i="3"/>
  <c r="C7267" i="3"/>
  <c r="B7268" i="3"/>
  <c r="C7268" i="3"/>
  <c r="B7269" i="3"/>
  <c r="C7269" i="3"/>
  <c r="B7270" i="3"/>
  <c r="C7270" i="3"/>
  <c r="B7271" i="3"/>
  <c r="C7271" i="3"/>
  <c r="B7272" i="3"/>
  <c r="C7272" i="3"/>
  <c r="B7273" i="3"/>
  <c r="C7273" i="3"/>
  <c r="B7274" i="3"/>
  <c r="C7274" i="3"/>
  <c r="B7275" i="3"/>
  <c r="C7275" i="3"/>
  <c r="B7276" i="3"/>
  <c r="C7276" i="3"/>
  <c r="B7277" i="3"/>
  <c r="C7277" i="3"/>
  <c r="B7278" i="3"/>
  <c r="C7278" i="3"/>
  <c r="B7279" i="3"/>
  <c r="C7279" i="3"/>
  <c r="B7280" i="3"/>
  <c r="C7280" i="3"/>
  <c r="B7281" i="3"/>
  <c r="C7281" i="3"/>
  <c r="B7282" i="3"/>
  <c r="C7282" i="3"/>
  <c r="B7283" i="3"/>
  <c r="C7283" i="3"/>
  <c r="B7284" i="3"/>
  <c r="C7284" i="3"/>
  <c r="B7285" i="3"/>
  <c r="C7285" i="3"/>
  <c r="B7286" i="3"/>
  <c r="C7286" i="3"/>
  <c r="B7287" i="3"/>
  <c r="C7287" i="3"/>
  <c r="B7288" i="3"/>
  <c r="C7288" i="3"/>
  <c r="B7289" i="3"/>
  <c r="C7289" i="3"/>
  <c r="B7290" i="3"/>
  <c r="C7290" i="3"/>
  <c r="B7291" i="3"/>
  <c r="C7291" i="3"/>
  <c r="B7292" i="3"/>
  <c r="C7292" i="3"/>
  <c r="B7293" i="3"/>
  <c r="C7293" i="3"/>
  <c r="B7294" i="3"/>
  <c r="C7294" i="3"/>
  <c r="B7295" i="3"/>
  <c r="C7295" i="3"/>
  <c r="B7296" i="3"/>
  <c r="C7296" i="3"/>
  <c r="B7297" i="3"/>
  <c r="C7297" i="3"/>
  <c r="B7298" i="3"/>
  <c r="C7298" i="3"/>
  <c r="B7299" i="3"/>
  <c r="C7299" i="3"/>
  <c r="B7300" i="3"/>
  <c r="C7300" i="3"/>
  <c r="B7301" i="3"/>
  <c r="C7301" i="3"/>
  <c r="B7302" i="3"/>
  <c r="C7302" i="3"/>
  <c r="B7303" i="3"/>
  <c r="C7303" i="3"/>
  <c r="B7304" i="3"/>
  <c r="C7304" i="3"/>
  <c r="B7305" i="3"/>
  <c r="C7305" i="3"/>
  <c r="B7306" i="3"/>
  <c r="C7306" i="3"/>
  <c r="B7307" i="3"/>
  <c r="C7307" i="3"/>
  <c r="B7308" i="3"/>
  <c r="C7308" i="3"/>
  <c r="B7309" i="3"/>
  <c r="C7309" i="3"/>
  <c r="B7310" i="3"/>
  <c r="C7310" i="3"/>
  <c r="B7311" i="3"/>
  <c r="C7311" i="3"/>
  <c r="B7312" i="3"/>
  <c r="C7312" i="3"/>
  <c r="B7313" i="3"/>
  <c r="C7313" i="3"/>
  <c r="B7314" i="3"/>
  <c r="C7314" i="3"/>
  <c r="C7255" i="3"/>
  <c r="B7255" i="3"/>
  <c r="B7211" i="3"/>
  <c r="C7211" i="3"/>
  <c r="B7212" i="3"/>
  <c r="C7212" i="3"/>
  <c r="B7213" i="3"/>
  <c r="C7213" i="3"/>
  <c r="B7214" i="3"/>
  <c r="C7214" i="3"/>
  <c r="B7215" i="3"/>
  <c r="C7215" i="3"/>
  <c r="B7216" i="3"/>
  <c r="C7216" i="3"/>
  <c r="B7217" i="3"/>
  <c r="C7217" i="3"/>
  <c r="B7218" i="3"/>
  <c r="C7218" i="3"/>
  <c r="B7219" i="3"/>
  <c r="C7219" i="3"/>
  <c r="B7220" i="3"/>
  <c r="C7220" i="3"/>
  <c r="B7221" i="3"/>
  <c r="C7221" i="3"/>
  <c r="B7222" i="3"/>
  <c r="C7222" i="3"/>
  <c r="B7223" i="3"/>
  <c r="C7223" i="3"/>
  <c r="B7224" i="3"/>
  <c r="C7224" i="3"/>
  <c r="B7225" i="3"/>
  <c r="C7225" i="3"/>
  <c r="B7226" i="3"/>
  <c r="C7226" i="3"/>
  <c r="B7227" i="3"/>
  <c r="C7227" i="3"/>
  <c r="B7228" i="3"/>
  <c r="C7228" i="3"/>
  <c r="B7229" i="3"/>
  <c r="C7229" i="3"/>
  <c r="B7230" i="3"/>
  <c r="C7230" i="3"/>
  <c r="B7231" i="3"/>
  <c r="C7231" i="3"/>
  <c r="B7232" i="3"/>
  <c r="C7232" i="3"/>
  <c r="B7233" i="3"/>
  <c r="C7233" i="3"/>
  <c r="B7234" i="3"/>
  <c r="C7234" i="3"/>
  <c r="B7235" i="3"/>
  <c r="C7235" i="3"/>
  <c r="B7236" i="3"/>
  <c r="C7236" i="3"/>
  <c r="B7237" i="3"/>
  <c r="C7237" i="3"/>
  <c r="B7238" i="3"/>
  <c r="C7238" i="3"/>
  <c r="B7239" i="3"/>
  <c r="C7239" i="3"/>
  <c r="B7240" i="3"/>
  <c r="C7240" i="3"/>
  <c r="B7241" i="3"/>
  <c r="C7241" i="3"/>
  <c r="B7242" i="3"/>
  <c r="C7242" i="3"/>
  <c r="B7243" i="3"/>
  <c r="C7243" i="3"/>
  <c r="B7244" i="3"/>
  <c r="C7244" i="3"/>
  <c r="B7245" i="3"/>
  <c r="C7245" i="3"/>
  <c r="B7246" i="3"/>
  <c r="C7246" i="3"/>
  <c r="B7247" i="3"/>
  <c r="C7247" i="3"/>
  <c r="B7248" i="3"/>
  <c r="C7248" i="3"/>
  <c r="B7249" i="3"/>
  <c r="C7249" i="3"/>
  <c r="B7250" i="3"/>
  <c r="C7250" i="3"/>
  <c r="B7251" i="3"/>
  <c r="C7251" i="3"/>
  <c r="B7252" i="3"/>
  <c r="C7252" i="3"/>
  <c r="B7253" i="3"/>
  <c r="C7253" i="3"/>
  <c r="B7254" i="3"/>
  <c r="C7254" i="3"/>
  <c r="C7210" i="3"/>
  <c r="B7210" i="3"/>
  <c r="B7136" i="3"/>
  <c r="C7136" i="3"/>
  <c r="B7137" i="3"/>
  <c r="C7137" i="3"/>
  <c r="B7138" i="3"/>
  <c r="C7138" i="3"/>
  <c r="B7139" i="3"/>
  <c r="C7139" i="3"/>
  <c r="B7140" i="3"/>
  <c r="C7140" i="3"/>
  <c r="B7141" i="3"/>
  <c r="C7141" i="3"/>
  <c r="B7142" i="3"/>
  <c r="C7142" i="3"/>
  <c r="B7143" i="3"/>
  <c r="C7143" i="3"/>
  <c r="B7144" i="3"/>
  <c r="C7144" i="3"/>
  <c r="B7145" i="3"/>
  <c r="C7145" i="3"/>
  <c r="B7146" i="3"/>
  <c r="C7146" i="3"/>
  <c r="B7147" i="3"/>
  <c r="C7147" i="3"/>
  <c r="B7148" i="3"/>
  <c r="C7148" i="3"/>
  <c r="B7149" i="3"/>
  <c r="C7149" i="3"/>
  <c r="B7150" i="3"/>
  <c r="C7150" i="3"/>
  <c r="B7151" i="3"/>
  <c r="C7151" i="3"/>
  <c r="B7152" i="3"/>
  <c r="C7152" i="3"/>
  <c r="B7153" i="3"/>
  <c r="C7153" i="3"/>
  <c r="B7154" i="3"/>
  <c r="C7154" i="3"/>
  <c r="B7155" i="3"/>
  <c r="C7155" i="3"/>
  <c r="B7156" i="3"/>
  <c r="C7156" i="3"/>
  <c r="B7157" i="3"/>
  <c r="C7157" i="3"/>
  <c r="B7158" i="3"/>
  <c r="C7158" i="3"/>
  <c r="B7159" i="3"/>
  <c r="C7159" i="3"/>
  <c r="B7160" i="3"/>
  <c r="C7160" i="3"/>
  <c r="B7161" i="3"/>
  <c r="C7161" i="3"/>
  <c r="B7162" i="3"/>
  <c r="C7162" i="3"/>
  <c r="B7163" i="3"/>
  <c r="C7163" i="3"/>
  <c r="B7164" i="3"/>
  <c r="C7164" i="3"/>
  <c r="B7165" i="3"/>
  <c r="C7165" i="3"/>
  <c r="B7166" i="3"/>
  <c r="C7166" i="3"/>
  <c r="B7167" i="3"/>
  <c r="C7167" i="3"/>
  <c r="B7168" i="3"/>
  <c r="C7168" i="3"/>
  <c r="B7169" i="3"/>
  <c r="C7169" i="3"/>
  <c r="B7170" i="3"/>
  <c r="C7170" i="3"/>
  <c r="B7171" i="3"/>
  <c r="C7171" i="3"/>
  <c r="B7172" i="3"/>
  <c r="C7172" i="3"/>
  <c r="B7173" i="3"/>
  <c r="C7173" i="3"/>
  <c r="B7174" i="3"/>
  <c r="C7174" i="3"/>
  <c r="B7175" i="3"/>
  <c r="C7175" i="3"/>
  <c r="B7176" i="3"/>
  <c r="C7176" i="3"/>
  <c r="B7177" i="3"/>
  <c r="C7177" i="3"/>
  <c r="B7178" i="3"/>
  <c r="C7178" i="3"/>
  <c r="B7179" i="3"/>
  <c r="C7179" i="3"/>
  <c r="B7180" i="3"/>
  <c r="C7180" i="3"/>
  <c r="B7181" i="3"/>
  <c r="C7181" i="3"/>
  <c r="B7182" i="3"/>
  <c r="C7182" i="3"/>
  <c r="B7183" i="3"/>
  <c r="C7183" i="3"/>
  <c r="B7184" i="3"/>
  <c r="C7184" i="3"/>
  <c r="B7185" i="3"/>
  <c r="C7185" i="3"/>
  <c r="B7186" i="3"/>
  <c r="C7186" i="3"/>
  <c r="B7187" i="3"/>
  <c r="C7187" i="3"/>
  <c r="B7188" i="3"/>
  <c r="C7188" i="3"/>
  <c r="B7189" i="3"/>
  <c r="C7189" i="3"/>
  <c r="B7190" i="3"/>
  <c r="C7190" i="3"/>
  <c r="B7191" i="3"/>
  <c r="C7191" i="3"/>
  <c r="B7192" i="3"/>
  <c r="C7192" i="3"/>
  <c r="B7193" i="3"/>
  <c r="C7193" i="3"/>
  <c r="B7194" i="3"/>
  <c r="C7194" i="3"/>
  <c r="B7195" i="3"/>
  <c r="C7195" i="3"/>
  <c r="B7196" i="3"/>
  <c r="C7196" i="3"/>
  <c r="B7197" i="3"/>
  <c r="C7197" i="3"/>
  <c r="B7198" i="3"/>
  <c r="C7198" i="3"/>
  <c r="B7199" i="3"/>
  <c r="C7199" i="3"/>
  <c r="B7200" i="3"/>
  <c r="C7200" i="3"/>
  <c r="B7201" i="3"/>
  <c r="C7201" i="3"/>
  <c r="B7202" i="3"/>
  <c r="C7202" i="3"/>
  <c r="B7203" i="3"/>
  <c r="C7203" i="3"/>
  <c r="B7204" i="3"/>
  <c r="C7204" i="3"/>
  <c r="B7205" i="3"/>
  <c r="C7205" i="3"/>
  <c r="B7206" i="3"/>
  <c r="C7206" i="3"/>
  <c r="B7207" i="3"/>
  <c r="C7207" i="3"/>
  <c r="B7208" i="3"/>
  <c r="C7208" i="3"/>
  <c r="B7209" i="3"/>
  <c r="C7209" i="3"/>
  <c r="C7135" i="3"/>
  <c r="B7135" i="3"/>
  <c r="F7104" i="3"/>
  <c r="G7104" i="3"/>
  <c r="F7105" i="3"/>
  <c r="G7105" i="3"/>
  <c r="F7106" i="3"/>
  <c r="G7106" i="3"/>
  <c r="F7107" i="3"/>
  <c r="G7107" i="3"/>
  <c r="F7108" i="3"/>
  <c r="G7108" i="3"/>
  <c r="F7109" i="3"/>
  <c r="G7109" i="3"/>
  <c r="F7110" i="3"/>
  <c r="G7110" i="3"/>
  <c r="F7111" i="3"/>
  <c r="G7111" i="3"/>
  <c r="F7112" i="3"/>
  <c r="G7112" i="3"/>
  <c r="F7113" i="3"/>
  <c r="G7113" i="3"/>
  <c r="F7114" i="3"/>
  <c r="G7114" i="3"/>
  <c r="F7115" i="3"/>
  <c r="G7115" i="3"/>
  <c r="F7116" i="3"/>
  <c r="G7116" i="3"/>
  <c r="F7117" i="3"/>
  <c r="G7117" i="3"/>
  <c r="F7118" i="3"/>
  <c r="G7118" i="3"/>
  <c r="F7119" i="3"/>
  <c r="G7119" i="3"/>
  <c r="F7120" i="3"/>
  <c r="G7120" i="3"/>
  <c r="F7121" i="3"/>
  <c r="G7121" i="3"/>
  <c r="F7122" i="3"/>
  <c r="G7122" i="3"/>
  <c r="F7123" i="3"/>
  <c r="G7123" i="3"/>
  <c r="F7124" i="3"/>
  <c r="G7124" i="3"/>
  <c r="F7125" i="3"/>
  <c r="G7125" i="3"/>
  <c r="F7126" i="3"/>
  <c r="G7126" i="3"/>
  <c r="F7127" i="3"/>
  <c r="G7127" i="3"/>
  <c r="F7128" i="3"/>
  <c r="G7128" i="3"/>
  <c r="F7129" i="3"/>
  <c r="G7129" i="3"/>
  <c r="F7130" i="3"/>
  <c r="G7130" i="3"/>
  <c r="F7131" i="3"/>
  <c r="G7131" i="3"/>
  <c r="F7132" i="3"/>
  <c r="G7132" i="3"/>
  <c r="F7133" i="3"/>
  <c r="G7133" i="3"/>
  <c r="F7134" i="3"/>
  <c r="G7134" i="3"/>
  <c r="F7135" i="3"/>
  <c r="G7135" i="3"/>
  <c r="F7136" i="3"/>
  <c r="G7136" i="3"/>
  <c r="F7137" i="3"/>
  <c r="G7137" i="3"/>
  <c r="F7138" i="3"/>
  <c r="G7138" i="3"/>
  <c r="F7139" i="3"/>
  <c r="G7139" i="3"/>
  <c r="F7140" i="3"/>
  <c r="G7140" i="3"/>
  <c r="F7141" i="3"/>
  <c r="G7141" i="3"/>
  <c r="F7142" i="3"/>
  <c r="G7142" i="3"/>
  <c r="F7143" i="3"/>
  <c r="G7143" i="3"/>
  <c r="F7144" i="3"/>
  <c r="G7144" i="3"/>
  <c r="F7145" i="3"/>
  <c r="G7145" i="3"/>
  <c r="F7146" i="3"/>
  <c r="G7146" i="3"/>
  <c r="F7147" i="3"/>
  <c r="G7147" i="3"/>
  <c r="F7148" i="3"/>
  <c r="G7148" i="3"/>
  <c r="F7149" i="3"/>
  <c r="G7149" i="3"/>
  <c r="F7150" i="3"/>
  <c r="G7150" i="3"/>
  <c r="F7151" i="3"/>
  <c r="G7151" i="3"/>
  <c r="F7152" i="3"/>
  <c r="G7152" i="3"/>
  <c r="F7153" i="3"/>
  <c r="G7153" i="3"/>
  <c r="F7154" i="3"/>
  <c r="G7154" i="3"/>
  <c r="F7155" i="3"/>
  <c r="G7155" i="3"/>
  <c r="F7156" i="3"/>
  <c r="G7156" i="3"/>
  <c r="F7157" i="3"/>
  <c r="G7157" i="3"/>
  <c r="F7158" i="3"/>
  <c r="G7158" i="3"/>
  <c r="F7159" i="3"/>
  <c r="G7159" i="3"/>
  <c r="F7160" i="3"/>
  <c r="G7160" i="3"/>
  <c r="F7161" i="3"/>
  <c r="G7161" i="3"/>
  <c r="F7162" i="3"/>
  <c r="G7162" i="3"/>
  <c r="F7163" i="3"/>
  <c r="G7163" i="3"/>
  <c r="F7164" i="3"/>
  <c r="G7164" i="3"/>
  <c r="F7165" i="3"/>
  <c r="G7165" i="3"/>
  <c r="F7166" i="3"/>
  <c r="G7166" i="3"/>
  <c r="F7167" i="3"/>
  <c r="G7167" i="3"/>
  <c r="F7168" i="3"/>
  <c r="G7168" i="3"/>
  <c r="F7169" i="3"/>
  <c r="G7169" i="3"/>
  <c r="F7170" i="3"/>
  <c r="G7170" i="3"/>
  <c r="F7171" i="3"/>
  <c r="G7171" i="3"/>
  <c r="F7172" i="3"/>
  <c r="G7172" i="3"/>
  <c r="F7173" i="3"/>
  <c r="G7173" i="3"/>
  <c r="F7174" i="3"/>
  <c r="G7174" i="3"/>
  <c r="F7175" i="3"/>
  <c r="G7175" i="3"/>
  <c r="F7176" i="3"/>
  <c r="G7176" i="3"/>
  <c r="F7177" i="3"/>
  <c r="G7177" i="3"/>
  <c r="F7178" i="3"/>
  <c r="G7178" i="3"/>
  <c r="F7179" i="3"/>
  <c r="G7179" i="3"/>
  <c r="F7180" i="3"/>
  <c r="G7180" i="3"/>
  <c r="F7181" i="3"/>
  <c r="G7181" i="3"/>
  <c r="F7182" i="3"/>
  <c r="G7182" i="3"/>
  <c r="F7183" i="3"/>
  <c r="G7183" i="3"/>
  <c r="F7184" i="3"/>
  <c r="G7184" i="3"/>
  <c r="F7185" i="3"/>
  <c r="G7185" i="3"/>
  <c r="F7186" i="3"/>
  <c r="G7186" i="3"/>
  <c r="F7187" i="3"/>
  <c r="G7187" i="3"/>
  <c r="F7188" i="3"/>
  <c r="G7188" i="3"/>
  <c r="F7189" i="3"/>
  <c r="G7189" i="3"/>
  <c r="F7190" i="3"/>
  <c r="G7190" i="3"/>
  <c r="F7191" i="3"/>
  <c r="G7191" i="3"/>
  <c r="F7192" i="3"/>
  <c r="G7192" i="3"/>
  <c r="F7193" i="3"/>
  <c r="G7193" i="3"/>
  <c r="F7194" i="3"/>
  <c r="G7194" i="3"/>
  <c r="F7195" i="3"/>
  <c r="G7195" i="3"/>
  <c r="F7196" i="3"/>
  <c r="G7196" i="3"/>
  <c r="F7197" i="3"/>
  <c r="G7197" i="3"/>
  <c r="F7198" i="3"/>
  <c r="G7198" i="3"/>
  <c r="F7199" i="3"/>
  <c r="G7199" i="3"/>
  <c r="F7200" i="3"/>
  <c r="G7200" i="3"/>
  <c r="F7201" i="3"/>
  <c r="G7201" i="3"/>
  <c r="F7202" i="3"/>
  <c r="G7202" i="3"/>
  <c r="F7203" i="3"/>
  <c r="G7203" i="3"/>
  <c r="F7204" i="3"/>
  <c r="G7204" i="3"/>
  <c r="F7205" i="3"/>
  <c r="G7205" i="3"/>
  <c r="F7206" i="3"/>
  <c r="G7206" i="3"/>
  <c r="F7207" i="3"/>
  <c r="G7207" i="3"/>
  <c r="F7208" i="3"/>
  <c r="G7208" i="3"/>
  <c r="F7209" i="3"/>
  <c r="G7209" i="3"/>
  <c r="F7210" i="3"/>
  <c r="G7210" i="3"/>
  <c r="F7211" i="3"/>
  <c r="G7211" i="3"/>
  <c r="F7212" i="3"/>
  <c r="G7212" i="3"/>
  <c r="F7213" i="3"/>
  <c r="G7213" i="3"/>
  <c r="F7214" i="3"/>
  <c r="G7214" i="3"/>
  <c r="F7215" i="3"/>
  <c r="G7215" i="3"/>
  <c r="F7216" i="3"/>
  <c r="G7216" i="3"/>
  <c r="F7217" i="3"/>
  <c r="G7217" i="3"/>
  <c r="F7218" i="3"/>
  <c r="G7218" i="3"/>
  <c r="F7219" i="3"/>
  <c r="G7219" i="3"/>
  <c r="F7220" i="3"/>
  <c r="G7220" i="3"/>
  <c r="F7221" i="3"/>
  <c r="G7221" i="3"/>
  <c r="B7090" i="3"/>
  <c r="C7090" i="3"/>
  <c r="B7091" i="3"/>
  <c r="C7091" i="3"/>
  <c r="B7092" i="3"/>
  <c r="C7092" i="3"/>
  <c r="B7093" i="3"/>
  <c r="C7093" i="3"/>
  <c r="B7094" i="3"/>
  <c r="C7094" i="3"/>
  <c r="B7095" i="3"/>
  <c r="C7095" i="3"/>
  <c r="B7096" i="3"/>
  <c r="C7096" i="3"/>
  <c r="B7097" i="3"/>
  <c r="C7097" i="3"/>
  <c r="B7098" i="3"/>
  <c r="C7098" i="3"/>
  <c r="B7099" i="3"/>
  <c r="C7099" i="3"/>
  <c r="B7100" i="3"/>
  <c r="C7100" i="3"/>
  <c r="B7101" i="3"/>
  <c r="C7101" i="3"/>
  <c r="B7102" i="3"/>
  <c r="C7102" i="3"/>
  <c r="B7103" i="3"/>
  <c r="C7103" i="3"/>
  <c r="B7104" i="3"/>
  <c r="C7104" i="3"/>
  <c r="B7105" i="3"/>
  <c r="C7105" i="3"/>
  <c r="B7106" i="3"/>
  <c r="C7106" i="3"/>
  <c r="B7107" i="3"/>
  <c r="C7107" i="3"/>
  <c r="B7108" i="3"/>
  <c r="C7108" i="3"/>
  <c r="B7109" i="3"/>
  <c r="C7109" i="3"/>
  <c r="B7110" i="3"/>
  <c r="C7110" i="3"/>
  <c r="B7111" i="3"/>
  <c r="C7111" i="3"/>
  <c r="B7112" i="3"/>
  <c r="C7112" i="3"/>
  <c r="B7113" i="3"/>
  <c r="C7113" i="3"/>
  <c r="B7114" i="3"/>
  <c r="C7114" i="3"/>
  <c r="B7115" i="3"/>
  <c r="C7115" i="3"/>
  <c r="B7116" i="3"/>
  <c r="C7116" i="3"/>
  <c r="B7117" i="3"/>
  <c r="C7117" i="3"/>
  <c r="B7118" i="3"/>
  <c r="C7118" i="3"/>
  <c r="B7119" i="3"/>
  <c r="C7119" i="3"/>
  <c r="B7120" i="3"/>
  <c r="C7120" i="3"/>
  <c r="B7121" i="3"/>
  <c r="C7121" i="3"/>
  <c r="B7122" i="3"/>
  <c r="C7122" i="3"/>
  <c r="B7123" i="3"/>
  <c r="C7123" i="3"/>
  <c r="B7124" i="3"/>
  <c r="C7124" i="3"/>
  <c r="B7125" i="3"/>
  <c r="C7125" i="3"/>
  <c r="B7126" i="3"/>
  <c r="C7126" i="3"/>
  <c r="B7127" i="3"/>
  <c r="C7127" i="3"/>
  <c r="B7128" i="3"/>
  <c r="C7128" i="3"/>
  <c r="B7129" i="3"/>
  <c r="C7129" i="3"/>
  <c r="B7130" i="3"/>
  <c r="C7130" i="3"/>
  <c r="B7131" i="3"/>
  <c r="C7131" i="3"/>
  <c r="B7132" i="3"/>
  <c r="C7132" i="3"/>
  <c r="B7133" i="3"/>
  <c r="C7133" i="3"/>
  <c r="B7134" i="3"/>
  <c r="C7134" i="3"/>
  <c r="B7076" i="3"/>
  <c r="C7076" i="3"/>
  <c r="B7077" i="3"/>
  <c r="C7077" i="3"/>
  <c r="B7078" i="3"/>
  <c r="C7078" i="3"/>
  <c r="B7079" i="3"/>
  <c r="C7079" i="3"/>
  <c r="B7080" i="3"/>
  <c r="C7080" i="3"/>
  <c r="B7081" i="3"/>
  <c r="C7081" i="3"/>
  <c r="B7082" i="3"/>
  <c r="C7082" i="3"/>
  <c r="B7083" i="3"/>
  <c r="C7083" i="3"/>
  <c r="B7084" i="3"/>
  <c r="C7084" i="3"/>
  <c r="B7085" i="3"/>
  <c r="C7085" i="3"/>
  <c r="B7086" i="3"/>
  <c r="C7086" i="3"/>
  <c r="B7087" i="3"/>
  <c r="C7087" i="3"/>
  <c r="B7088" i="3"/>
  <c r="C7088" i="3"/>
  <c r="B7089" i="3"/>
  <c r="C7089" i="3"/>
  <c r="C7075" i="3"/>
  <c r="B7075" i="3"/>
  <c r="B7061" i="3"/>
  <c r="C7061" i="3"/>
  <c r="B7062" i="3"/>
  <c r="C7062" i="3"/>
  <c r="B7063" i="3"/>
  <c r="C7063" i="3"/>
  <c r="B7064" i="3"/>
  <c r="C7064" i="3"/>
  <c r="B7065" i="3"/>
  <c r="C7065" i="3"/>
  <c r="B7066" i="3"/>
  <c r="C7066" i="3"/>
  <c r="B7067" i="3"/>
  <c r="C7067" i="3"/>
  <c r="B7068" i="3"/>
  <c r="C7068" i="3"/>
  <c r="B7069" i="3"/>
  <c r="C7069" i="3"/>
  <c r="B7070" i="3"/>
  <c r="C7070" i="3"/>
  <c r="B7071" i="3"/>
  <c r="C7071" i="3"/>
  <c r="B7072" i="3"/>
  <c r="C7072" i="3"/>
  <c r="B7073" i="3"/>
  <c r="C7073" i="3"/>
  <c r="B7074" i="3"/>
  <c r="C7074" i="3"/>
  <c r="B7060" i="3"/>
  <c r="C7060" i="3"/>
  <c r="C7052" i="3"/>
  <c r="B7052" i="3"/>
  <c r="C7051" i="3"/>
  <c r="B7051" i="3"/>
  <c r="C7050" i="3"/>
  <c r="B7050" i="3"/>
  <c r="C7049" i="3"/>
  <c r="B7049" i="3"/>
  <c r="C7048" i="3"/>
  <c r="B7048" i="3"/>
  <c r="C7047" i="3"/>
  <c r="B7047" i="3"/>
  <c r="C7046" i="3"/>
  <c r="B7046" i="3"/>
  <c r="C7045" i="3"/>
  <c r="B7045" i="3"/>
  <c r="C7044" i="3"/>
  <c r="B7044" i="3"/>
  <c r="C7043" i="3"/>
  <c r="B7043" i="3"/>
  <c r="C7042" i="3"/>
  <c r="B7042" i="3"/>
  <c r="C7041" i="3"/>
  <c r="B7041" i="3"/>
  <c r="C7040" i="3"/>
  <c r="B7040" i="3"/>
  <c r="C7039" i="3"/>
  <c r="B7039" i="3"/>
  <c r="C7038" i="3"/>
  <c r="B7038" i="3"/>
  <c r="C7037" i="3"/>
  <c r="B7037" i="3"/>
  <c r="C7036" i="3"/>
  <c r="B7036" i="3"/>
  <c r="C7035" i="3"/>
  <c r="B7035" i="3"/>
  <c r="C7034" i="3"/>
  <c r="B7034" i="3"/>
  <c r="C7033" i="3"/>
  <c r="B7033" i="3"/>
  <c r="C7032" i="3"/>
  <c r="B7032" i="3"/>
  <c r="C7031" i="3"/>
  <c r="B7031" i="3"/>
  <c r="C7030" i="3"/>
  <c r="B7030" i="3"/>
  <c r="C7029" i="3"/>
  <c r="B7029" i="3"/>
  <c r="C7028" i="3"/>
  <c r="B7028" i="3"/>
  <c r="C7027" i="3"/>
  <c r="B7027" i="3"/>
  <c r="C7026" i="3"/>
  <c r="B7026" i="3"/>
  <c r="C7025" i="3"/>
  <c r="B7025" i="3"/>
  <c r="C7024" i="3"/>
  <c r="B7024" i="3"/>
  <c r="C7023" i="3"/>
  <c r="B7023" i="3"/>
  <c r="C7022" i="3"/>
  <c r="B7022" i="3"/>
  <c r="C7021" i="3"/>
  <c r="B7021" i="3"/>
  <c r="C7020" i="3"/>
  <c r="B7020" i="3"/>
  <c r="C7019" i="3"/>
  <c r="B7019" i="3"/>
  <c r="C7018" i="3"/>
  <c r="B7018" i="3"/>
  <c r="C7017" i="3"/>
  <c r="B7017" i="3"/>
  <c r="C7016" i="3"/>
  <c r="B7016" i="3"/>
  <c r="C7015" i="3"/>
  <c r="B7015" i="3"/>
  <c r="C7014" i="3"/>
  <c r="B7014" i="3"/>
  <c r="C7013" i="3"/>
  <c r="B7013" i="3"/>
  <c r="C7012" i="3"/>
  <c r="B7012" i="3"/>
  <c r="C7011" i="3"/>
  <c r="B7011" i="3"/>
  <c r="C7010" i="3"/>
  <c r="B7010" i="3"/>
  <c r="C7009" i="3"/>
  <c r="B7009" i="3"/>
  <c r="C7008" i="3"/>
  <c r="B7008" i="3"/>
  <c r="C7007" i="3"/>
  <c r="B7007" i="3"/>
  <c r="C7006" i="3"/>
  <c r="B7006" i="3"/>
  <c r="C7005" i="3"/>
  <c r="B7005" i="3"/>
  <c r="C7004" i="3"/>
  <c r="B7004" i="3"/>
  <c r="C7003" i="3"/>
  <c r="B7003" i="3"/>
  <c r="C7002" i="3"/>
  <c r="B7002" i="3"/>
  <c r="C7001" i="3"/>
  <c r="B7001" i="3"/>
  <c r="C7000" i="3"/>
  <c r="B7000" i="3"/>
  <c r="C6999" i="3"/>
  <c r="B6999" i="3"/>
  <c r="C6998" i="3"/>
  <c r="B6998" i="3"/>
  <c r="C6997" i="3"/>
  <c r="B6997" i="3"/>
  <c r="C6996" i="3"/>
  <c r="B6996" i="3"/>
  <c r="C6995" i="3"/>
  <c r="B6995" i="3"/>
  <c r="C6994" i="3"/>
  <c r="B6994" i="3"/>
  <c r="C6993" i="3"/>
  <c r="B6993" i="3"/>
  <c r="C6992" i="3"/>
  <c r="B6992" i="3"/>
  <c r="C6991" i="3"/>
  <c r="B6991" i="3"/>
  <c r="C6990" i="3"/>
  <c r="B6990" i="3"/>
  <c r="C6989" i="3"/>
  <c r="B6989" i="3"/>
  <c r="C6988" i="3"/>
  <c r="B6988" i="3"/>
  <c r="C6987" i="3"/>
  <c r="B6987" i="3"/>
  <c r="C6986" i="3"/>
  <c r="B6986" i="3"/>
  <c r="C6985" i="3"/>
  <c r="B6985" i="3"/>
  <c r="C6984" i="3"/>
  <c r="B6984" i="3"/>
  <c r="C6983" i="3"/>
  <c r="B6983" i="3"/>
  <c r="C6982" i="3"/>
  <c r="B6982" i="3"/>
  <c r="C6981" i="3"/>
  <c r="B6981" i="3"/>
  <c r="C6980" i="3"/>
  <c r="B6980" i="3"/>
  <c r="C6979" i="3"/>
  <c r="B6979" i="3"/>
  <c r="C6978" i="3"/>
  <c r="B6978" i="3"/>
  <c r="B6917" i="3"/>
  <c r="B6916" i="3"/>
  <c r="B6915" i="3"/>
  <c r="B6914" i="3"/>
  <c r="B6913" i="3"/>
  <c r="B6912" i="3"/>
  <c r="B6911" i="3"/>
  <c r="B6910" i="3"/>
  <c r="B6909" i="3"/>
  <c r="B6908" i="3"/>
  <c r="B6907" i="3"/>
  <c r="B6906" i="3"/>
  <c r="B6905" i="3"/>
  <c r="B6904" i="3"/>
  <c r="B6903" i="3"/>
  <c r="B6902" i="3"/>
  <c r="B6901" i="3"/>
  <c r="B6900" i="3"/>
  <c r="B6899" i="3"/>
  <c r="B6898" i="3"/>
  <c r="B6897" i="3"/>
  <c r="B6896" i="3"/>
  <c r="B6895" i="3"/>
  <c r="B6894" i="3"/>
  <c r="B6893" i="3"/>
  <c r="B6892" i="3"/>
  <c r="B6891" i="3"/>
  <c r="B6890" i="3"/>
  <c r="B6889" i="3"/>
  <c r="B6888" i="3"/>
  <c r="B6887" i="3"/>
  <c r="B6886" i="3"/>
  <c r="B6885" i="3"/>
  <c r="B6884" i="3"/>
  <c r="B6883" i="3"/>
  <c r="B6882" i="3"/>
  <c r="B6881" i="3"/>
  <c r="B6880" i="3"/>
  <c r="B6879" i="3"/>
  <c r="B6878" i="3"/>
  <c r="B6877" i="3"/>
  <c r="B6876" i="3"/>
  <c r="B6875" i="3"/>
  <c r="B6874" i="3"/>
  <c r="B6873" i="3"/>
  <c r="B6827" i="3"/>
  <c r="B6826" i="3"/>
  <c r="B6825" i="3"/>
  <c r="B6824" i="3"/>
  <c r="B6823" i="3"/>
  <c r="B6822" i="3"/>
  <c r="B6821" i="3"/>
  <c r="B6820" i="3"/>
  <c r="B6819" i="3"/>
  <c r="B6818" i="3"/>
  <c r="B6817" i="3"/>
  <c r="B6816" i="3"/>
  <c r="B6815" i="3"/>
  <c r="B6814" i="3"/>
  <c r="B6813" i="3"/>
  <c r="B6812" i="3"/>
  <c r="B6811" i="3"/>
  <c r="B6810" i="3"/>
  <c r="B6809" i="3"/>
  <c r="B6808" i="3"/>
  <c r="B6807" i="3"/>
  <c r="B6806" i="3"/>
  <c r="B6805" i="3"/>
  <c r="B6804" i="3"/>
  <c r="B6803" i="3"/>
  <c r="B6802" i="3"/>
  <c r="B6801" i="3"/>
  <c r="B6800" i="3"/>
  <c r="B6799" i="3"/>
  <c r="B6798" i="3"/>
  <c r="B6797" i="3"/>
  <c r="B6796" i="3"/>
  <c r="B6795" i="3"/>
  <c r="B6794" i="3"/>
  <c r="B6793" i="3"/>
  <c r="B6792" i="3"/>
  <c r="B6791" i="3"/>
  <c r="B6790" i="3"/>
  <c r="B6789" i="3"/>
  <c r="B6788" i="3"/>
  <c r="B6787" i="3"/>
  <c r="B6786" i="3"/>
  <c r="B6785" i="3"/>
  <c r="B6784" i="3"/>
  <c r="B6783" i="3"/>
  <c r="C6872" i="3"/>
  <c r="B6872" i="3"/>
  <c r="C6871" i="3"/>
  <c r="B6871" i="3"/>
  <c r="C6870" i="3"/>
  <c r="B6870" i="3"/>
  <c r="C6869" i="3"/>
  <c r="B6869" i="3"/>
  <c r="C6868" i="3"/>
  <c r="B6868" i="3"/>
  <c r="C6867" i="3"/>
  <c r="B6867" i="3"/>
  <c r="C6866" i="3"/>
  <c r="B6866" i="3"/>
  <c r="C6865" i="3"/>
  <c r="B6865" i="3"/>
  <c r="C6864" i="3"/>
  <c r="B6864" i="3"/>
  <c r="C6863" i="3"/>
  <c r="B6863" i="3"/>
  <c r="C6862" i="3"/>
  <c r="B6862" i="3"/>
  <c r="C6861" i="3"/>
  <c r="B6861" i="3"/>
  <c r="C6860" i="3"/>
  <c r="B6860" i="3"/>
  <c r="C6859" i="3"/>
  <c r="B6859" i="3"/>
  <c r="C6858" i="3"/>
  <c r="B6858" i="3"/>
  <c r="C6857" i="3"/>
  <c r="B6857" i="3"/>
  <c r="C6856" i="3"/>
  <c r="B6856" i="3"/>
  <c r="C6855" i="3"/>
  <c r="B6855" i="3"/>
  <c r="C6854" i="3"/>
  <c r="B6854" i="3"/>
  <c r="C6853" i="3"/>
  <c r="B6853" i="3"/>
  <c r="C6852" i="3"/>
  <c r="B6852" i="3"/>
  <c r="C6851" i="3"/>
  <c r="B6851" i="3"/>
  <c r="C6850" i="3"/>
  <c r="B6850" i="3"/>
  <c r="C6849" i="3"/>
  <c r="B6849" i="3"/>
  <c r="C6848" i="3"/>
  <c r="B6848" i="3"/>
  <c r="C6847" i="3"/>
  <c r="B6847" i="3"/>
  <c r="C6846" i="3"/>
  <c r="B6846" i="3"/>
  <c r="C6845" i="3"/>
  <c r="B6845" i="3"/>
  <c r="C6844" i="3"/>
  <c r="B6844" i="3"/>
  <c r="C6843" i="3"/>
  <c r="B6843" i="3"/>
  <c r="C6842" i="3"/>
  <c r="B6842" i="3"/>
  <c r="C6841" i="3"/>
  <c r="B6841" i="3"/>
  <c r="C6840" i="3"/>
  <c r="B6840" i="3"/>
  <c r="C6839" i="3"/>
  <c r="B6839" i="3"/>
  <c r="C6838" i="3"/>
  <c r="B6838" i="3"/>
  <c r="C6837" i="3"/>
  <c r="B6837" i="3"/>
  <c r="C6836" i="3"/>
  <c r="B6836" i="3"/>
  <c r="C6835" i="3"/>
  <c r="B6835" i="3"/>
  <c r="C6834" i="3"/>
  <c r="B6834" i="3"/>
  <c r="C6833" i="3"/>
  <c r="B6833" i="3"/>
  <c r="C6832" i="3"/>
  <c r="B6832" i="3"/>
  <c r="C6831" i="3"/>
  <c r="B6831" i="3"/>
  <c r="C6830" i="3"/>
  <c r="B6830" i="3"/>
  <c r="C6829" i="3"/>
  <c r="B6829" i="3"/>
  <c r="C6828" i="3"/>
  <c r="B6828" i="3"/>
  <c r="C6782" i="3"/>
  <c r="B6782" i="3"/>
  <c r="C6781" i="3"/>
  <c r="B6781" i="3"/>
  <c r="C6780" i="3"/>
  <c r="B6780" i="3"/>
  <c r="C6779" i="3"/>
  <c r="B6779" i="3"/>
  <c r="C6778" i="3"/>
  <c r="B6778" i="3"/>
  <c r="C6777" i="3"/>
  <c r="B6777" i="3"/>
  <c r="C6776" i="3"/>
  <c r="B6776" i="3"/>
  <c r="C6775" i="3"/>
  <c r="B6775" i="3"/>
  <c r="C6774" i="3"/>
  <c r="B6774" i="3"/>
  <c r="C6773" i="3"/>
  <c r="B6773" i="3"/>
  <c r="C6772" i="3"/>
  <c r="B6772" i="3"/>
  <c r="C6771" i="3"/>
  <c r="B6771" i="3"/>
  <c r="C6770" i="3"/>
  <c r="B6770" i="3"/>
  <c r="C6769" i="3"/>
  <c r="B6769" i="3"/>
  <c r="C6768" i="3"/>
  <c r="B6768" i="3"/>
  <c r="C6767" i="3"/>
  <c r="B6767" i="3"/>
  <c r="C6766" i="3"/>
  <c r="B6766" i="3"/>
  <c r="C6765" i="3"/>
  <c r="B6765" i="3"/>
  <c r="C6764" i="3"/>
  <c r="B6764" i="3"/>
  <c r="C6763" i="3"/>
  <c r="B6763" i="3"/>
  <c r="C6762" i="3"/>
  <c r="B6762" i="3"/>
  <c r="C6761" i="3"/>
  <c r="B6761" i="3"/>
  <c r="C6760" i="3"/>
  <c r="B6760" i="3"/>
  <c r="C6759" i="3"/>
  <c r="B6759" i="3"/>
  <c r="C6758" i="3"/>
  <c r="B6758" i="3"/>
  <c r="C6757" i="3"/>
  <c r="B6757" i="3"/>
  <c r="C6756" i="3"/>
  <c r="B6756" i="3"/>
  <c r="C6755" i="3"/>
  <c r="B6755" i="3"/>
  <c r="C6754" i="3"/>
  <c r="B6754" i="3"/>
  <c r="C6753" i="3"/>
  <c r="B6753" i="3"/>
  <c r="C6752" i="3"/>
  <c r="B6752" i="3"/>
  <c r="C6751" i="3"/>
  <c r="B6751" i="3"/>
  <c r="C6750" i="3"/>
  <c r="B6750" i="3"/>
  <c r="C6749" i="3"/>
  <c r="B6749" i="3"/>
  <c r="C6748" i="3"/>
  <c r="B6748" i="3"/>
  <c r="C6747" i="3"/>
  <c r="B6747" i="3"/>
  <c r="C6746" i="3"/>
  <c r="B6746" i="3"/>
  <c r="C6745" i="3"/>
  <c r="B6745" i="3"/>
  <c r="C6744" i="3"/>
  <c r="B6744" i="3"/>
  <c r="C6743" i="3"/>
  <c r="B6743" i="3"/>
  <c r="C6742" i="3"/>
  <c r="B6742" i="3"/>
  <c r="C6741" i="3"/>
  <c r="B6741" i="3"/>
  <c r="C6740" i="3"/>
  <c r="B6740" i="3"/>
  <c r="C6739" i="3"/>
  <c r="B6739" i="3"/>
  <c r="C6738" i="3"/>
  <c r="B6738" i="3"/>
  <c r="C6692" i="3"/>
  <c r="B6692" i="3"/>
  <c r="C6691" i="3"/>
  <c r="B6691" i="3"/>
  <c r="C6690" i="3"/>
  <c r="B6690" i="3"/>
  <c r="C6689" i="3"/>
  <c r="B6689" i="3"/>
  <c r="C6688" i="3"/>
  <c r="B6688" i="3"/>
  <c r="C6687" i="3"/>
  <c r="B6687" i="3"/>
  <c r="C6686" i="3"/>
  <c r="B6686" i="3"/>
  <c r="C6685" i="3"/>
  <c r="B6685" i="3"/>
  <c r="C6684" i="3"/>
  <c r="B6684" i="3"/>
  <c r="C6683" i="3"/>
  <c r="B6683" i="3"/>
  <c r="C6682" i="3"/>
  <c r="B6682" i="3"/>
  <c r="C6681" i="3"/>
  <c r="B6681" i="3"/>
  <c r="C6680" i="3"/>
  <c r="B6680" i="3"/>
  <c r="C6679" i="3"/>
  <c r="B6679" i="3"/>
  <c r="C6678" i="3"/>
  <c r="B6678" i="3"/>
  <c r="C6677" i="3"/>
  <c r="B6677" i="3"/>
  <c r="C6676" i="3"/>
  <c r="B6676" i="3"/>
  <c r="C6675" i="3"/>
  <c r="B6675" i="3"/>
  <c r="C6674" i="3"/>
  <c r="B6674" i="3"/>
  <c r="C6673" i="3"/>
  <c r="B6673" i="3"/>
  <c r="C6672" i="3"/>
  <c r="B6672" i="3"/>
  <c r="C6671" i="3"/>
  <c r="B6671" i="3"/>
  <c r="C6670" i="3"/>
  <c r="B6670" i="3"/>
  <c r="C6669" i="3"/>
  <c r="B6669" i="3"/>
  <c r="C6668" i="3"/>
  <c r="B6668" i="3"/>
  <c r="C6667" i="3"/>
  <c r="B6667" i="3"/>
  <c r="C6666" i="3"/>
  <c r="B6666" i="3"/>
  <c r="C6665" i="3"/>
  <c r="B6665" i="3"/>
  <c r="C6664" i="3"/>
  <c r="B6664" i="3"/>
  <c r="C6663" i="3"/>
  <c r="B6663" i="3"/>
  <c r="C6662" i="3"/>
  <c r="B6662" i="3"/>
  <c r="C6661" i="3"/>
  <c r="B6661" i="3"/>
  <c r="C6660" i="3"/>
  <c r="B6660" i="3"/>
  <c r="C6659" i="3"/>
  <c r="B6659" i="3"/>
  <c r="C6658" i="3"/>
  <c r="B6658" i="3"/>
  <c r="C6657" i="3"/>
  <c r="B6657" i="3"/>
  <c r="C6656" i="3"/>
  <c r="B6656" i="3"/>
  <c r="C6655" i="3"/>
  <c r="B6655" i="3"/>
  <c r="C6654" i="3"/>
  <c r="B6654" i="3"/>
  <c r="C6653" i="3"/>
  <c r="B6653" i="3"/>
  <c r="C6652" i="3"/>
  <c r="B6652" i="3"/>
  <c r="C6651" i="3"/>
  <c r="B6651" i="3"/>
  <c r="C6650" i="3"/>
  <c r="B6650" i="3"/>
  <c r="C6649" i="3"/>
  <c r="B6649" i="3"/>
  <c r="C6648" i="3"/>
  <c r="B6648" i="3"/>
  <c r="C6977" i="3"/>
  <c r="B6977" i="3"/>
  <c r="C6976" i="3"/>
  <c r="B6976" i="3"/>
  <c r="C6975" i="3"/>
  <c r="B6975" i="3"/>
  <c r="C6974" i="3"/>
  <c r="B6974" i="3"/>
  <c r="C6973" i="3"/>
  <c r="B6973" i="3"/>
  <c r="C6972" i="3"/>
  <c r="B6972" i="3"/>
  <c r="C6971" i="3"/>
  <c r="B6971" i="3"/>
  <c r="C6970" i="3"/>
  <c r="B6970" i="3"/>
  <c r="C6969" i="3"/>
  <c r="B6969" i="3"/>
  <c r="C6968" i="3"/>
  <c r="B6968" i="3"/>
  <c r="C6967" i="3"/>
  <c r="B6967" i="3"/>
  <c r="C6966" i="3"/>
  <c r="B6966" i="3"/>
  <c r="C6965" i="3"/>
  <c r="B6965" i="3"/>
  <c r="C6964" i="3"/>
  <c r="B6964" i="3"/>
  <c r="C6963" i="3"/>
  <c r="B6963" i="3"/>
  <c r="C6962" i="3"/>
  <c r="B6962" i="3"/>
  <c r="C6961" i="3"/>
  <c r="B6961" i="3"/>
  <c r="C6960" i="3"/>
  <c r="B6960" i="3"/>
  <c r="C6959" i="3"/>
  <c r="B6959" i="3"/>
  <c r="C6958" i="3"/>
  <c r="B6958" i="3"/>
  <c r="C6957" i="3"/>
  <c r="B6957" i="3"/>
  <c r="C6956" i="3"/>
  <c r="B6956" i="3"/>
  <c r="C6955" i="3"/>
  <c r="B6955" i="3"/>
  <c r="C6954" i="3"/>
  <c r="B6954" i="3"/>
  <c r="C6953" i="3"/>
  <c r="B6953" i="3"/>
  <c r="C6952" i="3"/>
  <c r="B6952" i="3"/>
  <c r="C6951" i="3"/>
  <c r="B6951" i="3"/>
  <c r="C6950" i="3"/>
  <c r="B6950" i="3"/>
  <c r="C6949" i="3"/>
  <c r="B6949" i="3"/>
  <c r="C6948" i="3"/>
  <c r="B6948" i="3"/>
  <c r="C6947" i="3"/>
  <c r="B6947" i="3"/>
  <c r="C6946" i="3"/>
  <c r="B6946" i="3"/>
  <c r="C6945" i="3"/>
  <c r="B6945" i="3"/>
  <c r="C6944" i="3"/>
  <c r="B6944" i="3"/>
  <c r="C6943" i="3"/>
  <c r="B6943" i="3"/>
  <c r="C6942" i="3"/>
  <c r="B6942" i="3"/>
  <c r="C6941" i="3"/>
  <c r="B6941" i="3"/>
  <c r="C6940" i="3"/>
  <c r="B6940" i="3"/>
  <c r="C6939" i="3"/>
  <c r="B6939" i="3"/>
  <c r="C6938" i="3"/>
  <c r="B6938" i="3"/>
  <c r="C6937" i="3"/>
  <c r="B6937" i="3"/>
  <c r="C6936" i="3"/>
  <c r="B6936" i="3"/>
  <c r="C6935" i="3"/>
  <c r="B6935" i="3"/>
  <c r="C6934" i="3"/>
  <c r="B6934" i="3"/>
  <c r="C6933" i="3"/>
  <c r="B6933" i="3"/>
  <c r="C6932" i="3"/>
  <c r="B6932" i="3"/>
  <c r="C6931" i="3"/>
  <c r="B6931" i="3"/>
  <c r="C6930" i="3"/>
  <c r="B6930" i="3"/>
  <c r="C6929" i="3"/>
  <c r="B6929" i="3"/>
  <c r="C6928" i="3"/>
  <c r="B6928" i="3"/>
  <c r="C6927" i="3"/>
  <c r="B6927" i="3"/>
  <c r="C6926" i="3"/>
  <c r="B6926" i="3"/>
  <c r="C6925" i="3"/>
  <c r="B6925" i="3"/>
  <c r="C6924" i="3"/>
  <c r="B6924" i="3"/>
  <c r="C6923" i="3"/>
  <c r="B6923" i="3"/>
  <c r="C6922" i="3"/>
  <c r="B6922" i="3"/>
  <c r="C6921" i="3"/>
  <c r="B6921" i="3"/>
  <c r="C6920" i="3"/>
  <c r="B6920" i="3"/>
  <c r="C6919" i="3"/>
  <c r="B6919" i="3"/>
  <c r="C6918" i="3"/>
  <c r="B6918" i="3"/>
  <c r="C6632" i="3"/>
  <c r="B6632" i="3"/>
  <c r="C6631" i="3"/>
  <c r="B6631" i="3"/>
  <c r="C6630" i="3"/>
  <c r="B6630" i="3"/>
  <c r="C6629" i="3"/>
  <c r="B6629" i="3"/>
  <c r="C6628" i="3"/>
  <c r="B6628" i="3"/>
  <c r="C6627" i="3"/>
  <c r="B6627" i="3"/>
  <c r="C6626" i="3"/>
  <c r="B6626" i="3"/>
  <c r="C6625" i="3"/>
  <c r="B6625" i="3"/>
  <c r="C6624" i="3"/>
  <c r="B6624" i="3"/>
  <c r="C6623" i="3"/>
  <c r="B6623" i="3"/>
  <c r="C6622" i="3"/>
  <c r="B6622" i="3"/>
  <c r="C6621" i="3"/>
  <c r="B6621" i="3"/>
  <c r="C6620" i="3"/>
  <c r="B6620" i="3"/>
  <c r="C6619" i="3"/>
  <c r="B6619" i="3"/>
  <c r="C6618" i="3"/>
  <c r="B6618" i="3"/>
  <c r="B6617" i="3"/>
  <c r="B6616" i="3"/>
  <c r="B6615" i="3"/>
  <c r="B6614" i="3"/>
  <c r="B6613" i="3"/>
  <c r="B6612" i="3"/>
  <c r="B6611" i="3"/>
  <c r="B6610" i="3"/>
  <c r="B6609" i="3"/>
  <c r="B6608" i="3"/>
  <c r="B6607" i="3"/>
  <c r="B6606" i="3"/>
  <c r="B6605" i="3"/>
  <c r="B6604" i="3"/>
  <c r="B6603" i="3"/>
  <c r="B6602" i="3"/>
  <c r="B6601" i="3"/>
  <c r="B6600" i="3"/>
  <c r="B6599" i="3"/>
  <c r="B6598" i="3"/>
  <c r="B6597" i="3"/>
  <c r="B6596" i="3"/>
  <c r="B6595" i="3"/>
  <c r="B6594" i="3"/>
  <c r="B6593" i="3"/>
  <c r="B6592" i="3"/>
  <c r="B6591" i="3"/>
  <c r="B6590" i="3"/>
  <c r="B6589" i="3"/>
  <c r="B6588" i="3"/>
  <c r="C6587" i="3"/>
  <c r="B6587" i="3"/>
  <c r="C6586" i="3"/>
  <c r="B6586" i="3"/>
  <c r="C6585" i="3"/>
  <c r="B6585" i="3"/>
  <c r="C6584" i="3"/>
  <c r="B6584" i="3"/>
  <c r="C6583" i="3"/>
  <c r="B6583" i="3"/>
  <c r="C6582" i="3"/>
  <c r="B6582" i="3"/>
  <c r="C6581" i="3"/>
  <c r="B6581" i="3"/>
  <c r="C6580" i="3"/>
  <c r="B6580" i="3"/>
  <c r="C6579" i="3"/>
  <c r="B6579" i="3"/>
  <c r="C6578" i="3"/>
  <c r="B6578" i="3"/>
  <c r="C6577" i="3"/>
  <c r="B6577" i="3"/>
  <c r="C6576" i="3"/>
  <c r="B6576" i="3"/>
  <c r="C6575" i="3"/>
  <c r="B6575" i="3"/>
  <c r="C6574" i="3"/>
  <c r="B6574" i="3"/>
  <c r="C6573" i="3"/>
  <c r="B6573" i="3"/>
  <c r="C6572" i="3"/>
  <c r="B6572" i="3"/>
  <c r="C6571" i="3"/>
  <c r="B6571" i="3"/>
  <c r="C6570" i="3"/>
  <c r="B6570" i="3"/>
  <c r="C6569" i="3"/>
  <c r="B6569" i="3"/>
  <c r="C6568" i="3"/>
  <c r="B6568" i="3"/>
  <c r="C6567" i="3"/>
  <c r="B6567" i="3"/>
  <c r="C6566" i="3"/>
  <c r="B6566" i="3"/>
  <c r="C6565" i="3"/>
  <c r="B6565" i="3"/>
  <c r="C6564" i="3"/>
  <c r="B6564" i="3"/>
  <c r="C6563" i="3"/>
  <c r="B6563" i="3"/>
  <c r="C6562" i="3"/>
  <c r="B6562" i="3"/>
  <c r="C6561" i="3"/>
  <c r="B6561" i="3"/>
  <c r="C6560" i="3"/>
  <c r="B6560" i="3"/>
  <c r="C6559" i="3"/>
  <c r="B6559" i="3"/>
  <c r="C6558" i="3"/>
  <c r="B6558" i="3"/>
  <c r="B6557" i="3"/>
  <c r="B6556" i="3"/>
  <c r="B6555" i="3"/>
  <c r="B6554" i="3"/>
  <c r="B6553" i="3"/>
  <c r="B6552" i="3"/>
  <c r="B6551" i="3"/>
  <c r="B6550" i="3"/>
  <c r="B6549" i="3"/>
  <c r="B6548" i="3"/>
  <c r="B6547" i="3"/>
  <c r="B6546" i="3"/>
  <c r="B6545" i="3"/>
  <c r="B6544" i="3"/>
  <c r="B6543" i="3"/>
  <c r="B6542" i="3"/>
  <c r="B6541" i="3"/>
  <c r="B6540" i="3"/>
  <c r="B6539" i="3"/>
  <c r="B6538" i="3"/>
  <c r="B6537" i="3"/>
  <c r="B6536" i="3"/>
  <c r="B6535" i="3"/>
  <c r="B6534" i="3"/>
  <c r="B6533" i="3"/>
  <c r="B6532" i="3"/>
  <c r="B6531" i="3"/>
  <c r="B6530" i="3"/>
  <c r="B6529" i="3"/>
  <c r="B6528" i="3"/>
  <c r="B6527" i="3"/>
  <c r="B6526" i="3"/>
  <c r="B6525" i="3"/>
  <c r="B6524" i="3"/>
  <c r="B6523" i="3"/>
  <c r="B6522" i="3"/>
  <c r="B6521" i="3"/>
  <c r="B6520" i="3"/>
  <c r="B6519" i="3"/>
  <c r="B6518" i="3"/>
  <c r="B6517" i="3"/>
  <c r="B6516" i="3"/>
  <c r="B6515" i="3"/>
  <c r="B6514" i="3"/>
  <c r="B6513" i="3"/>
  <c r="B6467" i="3"/>
  <c r="B6466" i="3"/>
  <c r="B6465" i="3"/>
  <c r="B6464" i="3"/>
  <c r="B6463" i="3"/>
  <c r="B6462" i="3"/>
  <c r="B6461" i="3"/>
  <c r="B6460" i="3"/>
  <c r="B6459" i="3"/>
  <c r="B6458" i="3"/>
  <c r="B6457" i="3"/>
  <c r="B6456" i="3"/>
  <c r="B6455" i="3"/>
  <c r="B6454" i="3"/>
  <c r="B6453" i="3"/>
  <c r="B6452" i="3"/>
  <c r="B6451" i="3"/>
  <c r="B6450" i="3"/>
  <c r="B6449" i="3"/>
  <c r="B6448" i="3"/>
  <c r="B6447" i="3"/>
  <c r="B6446" i="3"/>
  <c r="B6445" i="3"/>
  <c r="B6444" i="3"/>
  <c r="B6443" i="3"/>
  <c r="B6442" i="3"/>
  <c r="B6441" i="3"/>
  <c r="B6440" i="3"/>
  <c r="B6439" i="3"/>
  <c r="B6438" i="3"/>
  <c r="B6437" i="3"/>
  <c r="B6436" i="3"/>
  <c r="B6435" i="3"/>
  <c r="B6434" i="3"/>
  <c r="B6433" i="3"/>
  <c r="B6432" i="3"/>
  <c r="B6431" i="3"/>
  <c r="B6430" i="3"/>
  <c r="B6429" i="3"/>
  <c r="B6428" i="3"/>
  <c r="B6427" i="3"/>
  <c r="B6426" i="3"/>
  <c r="B6425" i="3"/>
  <c r="B6424" i="3"/>
  <c r="B6423" i="3"/>
  <c r="C6512" i="3"/>
  <c r="B6512" i="3"/>
  <c r="C6511" i="3"/>
  <c r="B6511" i="3"/>
  <c r="C6510" i="3"/>
  <c r="B6510" i="3"/>
  <c r="C6509" i="3"/>
  <c r="B6509" i="3"/>
  <c r="C6508" i="3"/>
  <c r="B6508" i="3"/>
  <c r="C6507" i="3"/>
  <c r="B6507" i="3"/>
  <c r="C6506" i="3"/>
  <c r="B6506" i="3"/>
  <c r="C6505" i="3"/>
  <c r="B6505" i="3"/>
  <c r="C6504" i="3"/>
  <c r="B6504" i="3"/>
  <c r="C6503" i="3"/>
  <c r="B6503" i="3"/>
  <c r="C6502" i="3"/>
  <c r="B6502" i="3"/>
  <c r="C6501" i="3"/>
  <c r="B6501" i="3"/>
  <c r="C6500" i="3"/>
  <c r="B6500" i="3"/>
  <c r="C6499" i="3"/>
  <c r="B6499" i="3"/>
  <c r="C6498" i="3"/>
  <c r="B6498" i="3"/>
  <c r="C6497" i="3"/>
  <c r="B6497" i="3"/>
  <c r="C6496" i="3"/>
  <c r="B6496" i="3"/>
  <c r="C6495" i="3"/>
  <c r="B6495" i="3"/>
  <c r="C6494" i="3"/>
  <c r="B6494" i="3"/>
  <c r="C6493" i="3"/>
  <c r="B6493" i="3"/>
  <c r="C6492" i="3"/>
  <c r="B6492" i="3"/>
  <c r="C6491" i="3"/>
  <c r="B6491" i="3"/>
  <c r="C6490" i="3"/>
  <c r="B6490" i="3"/>
  <c r="C6489" i="3"/>
  <c r="B6489" i="3"/>
  <c r="C6488" i="3"/>
  <c r="B6488" i="3"/>
  <c r="C6487" i="3"/>
  <c r="B6487" i="3"/>
  <c r="C6486" i="3"/>
  <c r="B6486" i="3"/>
  <c r="C6485" i="3"/>
  <c r="B6485" i="3"/>
  <c r="C6484" i="3"/>
  <c r="B6484" i="3"/>
  <c r="C6483" i="3"/>
  <c r="B6483" i="3"/>
  <c r="C6482" i="3"/>
  <c r="B6482" i="3"/>
  <c r="C6481" i="3"/>
  <c r="B6481" i="3"/>
  <c r="C6480" i="3"/>
  <c r="B6480" i="3"/>
  <c r="C6479" i="3"/>
  <c r="B6479" i="3"/>
  <c r="C6478" i="3"/>
  <c r="B6478" i="3"/>
  <c r="C6477" i="3"/>
  <c r="B6477" i="3"/>
  <c r="C6476" i="3"/>
  <c r="B6476" i="3"/>
  <c r="C6475" i="3"/>
  <c r="B6475" i="3"/>
  <c r="C6474" i="3"/>
  <c r="B6474" i="3"/>
  <c r="C6473" i="3"/>
  <c r="B6473" i="3"/>
  <c r="C6472" i="3"/>
  <c r="B6472" i="3"/>
  <c r="C6471" i="3"/>
  <c r="B6471" i="3"/>
  <c r="C6470" i="3"/>
  <c r="B6470" i="3"/>
  <c r="C6469" i="3"/>
  <c r="B6469" i="3"/>
  <c r="C6468" i="3"/>
  <c r="B6468" i="3"/>
  <c r="C6422" i="3"/>
  <c r="B6422" i="3"/>
  <c r="C6421" i="3"/>
  <c r="B6421" i="3"/>
  <c r="C6420" i="3"/>
  <c r="B6420" i="3"/>
  <c r="C6419" i="3"/>
  <c r="B6419" i="3"/>
  <c r="C6418" i="3"/>
  <c r="B6418" i="3"/>
  <c r="C6417" i="3"/>
  <c r="B6417" i="3"/>
  <c r="C6416" i="3"/>
  <c r="B6416" i="3"/>
  <c r="C6415" i="3"/>
  <c r="B6415" i="3"/>
  <c r="C6414" i="3"/>
  <c r="B6414" i="3"/>
  <c r="C6413" i="3"/>
  <c r="B6413" i="3"/>
  <c r="C6412" i="3"/>
  <c r="B6412" i="3"/>
  <c r="C6411" i="3"/>
  <c r="B6411" i="3"/>
  <c r="C6410" i="3"/>
  <c r="B6410" i="3"/>
  <c r="C6409" i="3"/>
  <c r="B6409" i="3"/>
  <c r="C6408" i="3"/>
  <c r="B6408" i="3"/>
  <c r="C6407" i="3"/>
  <c r="B6407" i="3"/>
  <c r="C6406" i="3"/>
  <c r="B6406" i="3"/>
  <c r="C6405" i="3"/>
  <c r="B6405" i="3"/>
  <c r="C6404" i="3"/>
  <c r="B6404" i="3"/>
  <c r="C6403" i="3"/>
  <c r="B6403" i="3"/>
  <c r="C6402" i="3"/>
  <c r="B6402" i="3"/>
  <c r="C6401" i="3"/>
  <c r="B6401" i="3"/>
  <c r="C6400" i="3"/>
  <c r="B6400" i="3"/>
  <c r="C6399" i="3"/>
  <c r="B6399" i="3"/>
  <c r="C6398" i="3"/>
  <c r="B6398" i="3"/>
  <c r="C6397" i="3"/>
  <c r="B6397" i="3"/>
  <c r="C6396" i="3"/>
  <c r="B6396" i="3"/>
  <c r="C6395" i="3"/>
  <c r="B6395" i="3"/>
  <c r="C6394" i="3"/>
  <c r="B6394" i="3"/>
  <c r="C6393" i="3"/>
  <c r="B6393" i="3"/>
  <c r="C6392" i="3"/>
  <c r="B6392" i="3"/>
  <c r="C6391" i="3"/>
  <c r="B6391" i="3"/>
  <c r="C6390" i="3"/>
  <c r="B6390" i="3"/>
  <c r="C6389" i="3"/>
  <c r="B6389" i="3"/>
  <c r="C6388" i="3"/>
  <c r="B6388" i="3"/>
  <c r="C6387" i="3"/>
  <c r="B6387" i="3"/>
  <c r="C6386" i="3"/>
  <c r="B6386" i="3"/>
  <c r="C6385" i="3"/>
  <c r="B6385" i="3"/>
  <c r="C6384" i="3"/>
  <c r="B6384" i="3"/>
  <c r="C6383" i="3"/>
  <c r="B6383" i="3"/>
  <c r="C6382" i="3"/>
  <c r="B6382" i="3"/>
  <c r="C6381" i="3"/>
  <c r="B6381" i="3"/>
  <c r="C6380" i="3"/>
  <c r="B6380" i="3"/>
  <c r="C6379" i="3"/>
  <c r="B6379" i="3"/>
  <c r="C6378" i="3"/>
  <c r="B6378" i="3"/>
  <c r="B6362" i="3"/>
  <c r="B6361" i="3"/>
  <c r="B6360" i="3"/>
  <c r="B6359" i="3"/>
  <c r="B6358" i="3"/>
  <c r="B6357" i="3"/>
  <c r="B6356" i="3"/>
  <c r="B6355" i="3"/>
  <c r="B6354" i="3"/>
  <c r="B6353" i="3"/>
  <c r="B6352" i="3"/>
  <c r="B6351" i="3"/>
  <c r="B6350" i="3"/>
  <c r="B6349" i="3"/>
  <c r="B6348" i="3"/>
  <c r="B6347" i="3"/>
  <c r="B6346" i="3"/>
  <c r="B6345" i="3"/>
  <c r="B6344" i="3"/>
  <c r="B6343" i="3"/>
  <c r="B6342" i="3"/>
  <c r="B6341" i="3"/>
  <c r="B6340" i="3"/>
  <c r="B6339" i="3"/>
  <c r="B6338" i="3"/>
  <c r="B6337" i="3"/>
  <c r="B6336" i="3"/>
  <c r="B6335" i="3"/>
  <c r="B6334" i="3"/>
  <c r="B6333" i="3"/>
  <c r="B6332" i="3"/>
  <c r="B6331" i="3"/>
  <c r="B6330" i="3"/>
  <c r="B6329" i="3"/>
  <c r="B6328" i="3"/>
  <c r="B6327" i="3"/>
  <c r="B6326" i="3"/>
  <c r="B6325" i="3"/>
  <c r="B6324" i="3"/>
  <c r="B6323" i="3"/>
  <c r="B6322" i="3"/>
  <c r="B6321" i="3"/>
  <c r="B6320" i="3"/>
  <c r="B6319" i="3"/>
  <c r="B6318" i="3"/>
  <c r="C6317" i="3"/>
  <c r="B6317" i="3"/>
  <c r="C6316" i="3"/>
  <c r="B6316" i="3"/>
  <c r="C6315" i="3"/>
  <c r="B6315" i="3"/>
  <c r="C6314" i="3"/>
  <c r="B6314" i="3"/>
  <c r="C6313" i="3"/>
  <c r="B6313" i="3"/>
  <c r="C6312" i="3"/>
  <c r="B6312" i="3"/>
  <c r="C6311" i="3"/>
  <c r="B6311" i="3"/>
  <c r="C6310" i="3"/>
  <c r="B6310" i="3"/>
  <c r="C6309" i="3"/>
  <c r="B6309" i="3"/>
  <c r="C6308" i="3"/>
  <c r="B6308" i="3"/>
  <c r="C6307" i="3"/>
  <c r="B6307" i="3"/>
  <c r="C6306" i="3"/>
  <c r="B6306" i="3"/>
  <c r="C6305" i="3"/>
  <c r="B6305" i="3"/>
  <c r="C6304" i="3"/>
  <c r="B6304" i="3"/>
  <c r="C6303" i="3"/>
  <c r="B6303" i="3"/>
  <c r="C6302" i="3"/>
  <c r="B6302" i="3"/>
  <c r="C6301" i="3"/>
  <c r="B6301" i="3"/>
  <c r="C6300" i="3"/>
  <c r="B6300" i="3"/>
  <c r="C6299" i="3"/>
  <c r="B6299" i="3"/>
  <c r="C6298" i="3"/>
  <c r="B6298" i="3"/>
  <c r="C6297" i="3"/>
  <c r="B6297" i="3"/>
  <c r="C6296" i="3"/>
  <c r="B6296" i="3"/>
  <c r="C6295" i="3"/>
  <c r="B6295" i="3"/>
  <c r="C6294" i="3"/>
  <c r="B6294" i="3"/>
  <c r="C6293" i="3"/>
  <c r="B6293" i="3"/>
  <c r="C6292" i="3"/>
  <c r="B6292" i="3"/>
  <c r="C6291" i="3"/>
  <c r="B6291" i="3"/>
  <c r="C6290" i="3"/>
  <c r="B6290" i="3"/>
  <c r="C6289" i="3"/>
  <c r="B6289" i="3"/>
  <c r="C6288" i="3"/>
  <c r="B6288" i="3"/>
  <c r="C6287" i="3"/>
  <c r="B6287" i="3"/>
  <c r="C6286" i="3"/>
  <c r="B6286" i="3"/>
  <c r="C6285" i="3"/>
  <c r="B6285" i="3"/>
  <c r="C6284" i="3"/>
  <c r="B6284" i="3"/>
  <c r="C6283" i="3"/>
  <c r="B6283" i="3"/>
  <c r="C6282" i="3"/>
  <c r="B6282" i="3"/>
  <c r="C6281" i="3"/>
  <c r="B6281" i="3"/>
  <c r="C6280" i="3"/>
  <c r="B6280" i="3"/>
  <c r="C6279" i="3"/>
  <c r="B6279" i="3"/>
  <c r="C6278" i="3"/>
  <c r="B6278" i="3"/>
  <c r="C6277" i="3"/>
  <c r="B6277" i="3"/>
  <c r="C6276" i="3"/>
  <c r="B6276" i="3"/>
  <c r="C6275" i="3"/>
  <c r="B6275" i="3"/>
  <c r="C6274" i="3"/>
  <c r="B6274" i="3"/>
  <c r="C6273" i="3"/>
  <c r="B6273" i="3"/>
  <c r="C5102" i="3"/>
  <c r="B5102" i="3"/>
  <c r="C5101" i="3"/>
  <c r="B5101" i="3"/>
  <c r="C5100" i="3"/>
  <c r="B5100" i="3"/>
  <c r="C5099" i="3"/>
  <c r="B5099" i="3"/>
  <c r="C5098" i="3"/>
  <c r="B5098" i="3"/>
  <c r="C5097" i="3"/>
  <c r="B5097" i="3"/>
  <c r="C5096" i="3"/>
  <c r="B5096" i="3"/>
  <c r="C5095" i="3"/>
  <c r="B5095" i="3"/>
  <c r="C5094" i="3"/>
  <c r="B5094" i="3"/>
  <c r="C5093" i="3"/>
  <c r="B5093" i="3"/>
  <c r="C5092" i="3"/>
  <c r="B5092" i="3"/>
  <c r="C5091" i="3"/>
  <c r="B5091" i="3"/>
  <c r="C5090" i="3"/>
  <c r="B5090" i="3"/>
  <c r="C5089" i="3"/>
  <c r="B5089" i="3"/>
  <c r="C5088" i="3"/>
  <c r="B5088" i="3"/>
  <c r="C5087" i="3"/>
  <c r="B5087" i="3"/>
  <c r="C5086" i="3"/>
  <c r="B5086" i="3"/>
  <c r="C5085" i="3"/>
  <c r="B5085" i="3"/>
  <c r="C5084" i="3"/>
  <c r="B5084" i="3"/>
  <c r="C5083" i="3"/>
  <c r="B5083" i="3"/>
  <c r="C5082" i="3"/>
  <c r="B5082" i="3"/>
  <c r="C5081" i="3"/>
  <c r="B5081" i="3"/>
  <c r="C5080" i="3"/>
  <c r="B5080" i="3"/>
  <c r="C5079" i="3"/>
  <c r="B5079" i="3"/>
  <c r="C5078" i="3"/>
  <c r="B5078" i="3"/>
  <c r="C5077" i="3"/>
  <c r="B5077" i="3"/>
  <c r="C5076" i="3"/>
  <c r="B5076" i="3"/>
  <c r="C5075" i="3"/>
  <c r="B5075" i="3"/>
  <c r="C5074" i="3"/>
  <c r="B5074" i="3"/>
  <c r="C5073" i="3"/>
  <c r="B5073" i="3"/>
  <c r="C5072" i="3"/>
  <c r="B5072" i="3"/>
  <c r="C5071" i="3"/>
  <c r="B5071" i="3"/>
  <c r="C5070" i="3"/>
  <c r="B5070" i="3"/>
  <c r="C5069" i="3"/>
  <c r="B5069" i="3"/>
  <c r="C5068" i="3"/>
  <c r="B5068" i="3"/>
  <c r="C5067" i="3"/>
  <c r="B5067" i="3"/>
  <c r="C5066" i="3"/>
  <c r="B5066" i="3"/>
  <c r="C5065" i="3"/>
  <c r="B5065" i="3"/>
  <c r="C5064" i="3"/>
  <c r="B5064" i="3"/>
  <c r="C5063" i="3"/>
  <c r="B5063" i="3"/>
  <c r="C5062" i="3"/>
  <c r="B5062" i="3"/>
  <c r="C5061" i="3"/>
  <c r="B5061" i="3"/>
  <c r="C5060" i="3"/>
  <c r="B5060" i="3"/>
  <c r="C5059" i="3"/>
  <c r="B5059" i="3"/>
  <c r="C5058" i="3"/>
  <c r="B5058" i="3"/>
  <c r="C5057" i="3"/>
  <c r="B5057" i="3"/>
  <c r="C5056" i="3"/>
  <c r="B5056" i="3"/>
  <c r="C5055" i="3"/>
  <c r="B5055" i="3"/>
  <c r="C5054" i="3"/>
  <c r="B5054" i="3"/>
  <c r="C5053" i="3"/>
  <c r="B5053" i="3"/>
  <c r="C5052" i="3"/>
  <c r="B5052" i="3"/>
  <c r="C5051" i="3"/>
  <c r="B5051" i="3"/>
  <c r="C5050" i="3"/>
  <c r="B5050" i="3"/>
  <c r="C5049" i="3"/>
  <c r="B5049" i="3"/>
  <c r="C5048" i="3"/>
  <c r="B5048" i="3"/>
  <c r="C5047" i="3"/>
  <c r="B5047" i="3"/>
  <c r="C5046" i="3"/>
  <c r="B5046" i="3"/>
  <c r="C5045" i="3"/>
  <c r="B5045" i="3"/>
  <c r="C5044" i="3"/>
  <c r="B5044" i="3"/>
  <c r="C5043" i="3"/>
  <c r="B5043" i="3"/>
  <c r="C5042" i="3"/>
  <c r="B5042" i="3"/>
  <c r="C5041" i="3"/>
  <c r="B5041" i="3"/>
  <c r="C5040" i="3"/>
  <c r="B5040" i="3"/>
  <c r="C5039" i="3"/>
  <c r="B5039" i="3"/>
  <c r="C5038" i="3"/>
  <c r="B5038" i="3"/>
  <c r="C5037" i="3"/>
  <c r="B5037" i="3"/>
  <c r="C5036" i="3"/>
  <c r="B5036" i="3"/>
  <c r="C5035" i="3"/>
  <c r="B5035" i="3"/>
  <c r="C5034" i="3"/>
  <c r="B5034" i="3"/>
  <c r="C5033" i="3"/>
  <c r="B5033" i="3"/>
  <c r="C5032" i="3"/>
  <c r="B5032" i="3"/>
  <c r="C5031" i="3"/>
  <c r="B5031" i="3"/>
  <c r="C5030" i="3"/>
  <c r="B5030" i="3"/>
  <c r="C5029" i="3"/>
  <c r="B5029" i="3"/>
  <c r="C5028" i="3"/>
  <c r="B5028" i="3"/>
  <c r="C5027" i="3"/>
  <c r="B5027" i="3"/>
  <c r="C5026" i="3"/>
  <c r="B5026" i="3"/>
  <c r="C5025" i="3"/>
  <c r="B5025" i="3"/>
  <c r="C5024" i="3"/>
  <c r="B5024" i="3"/>
  <c r="C5023" i="3"/>
  <c r="B5023" i="3"/>
  <c r="C5022" i="3"/>
  <c r="B5022" i="3"/>
  <c r="C5021" i="3"/>
  <c r="B5021" i="3"/>
  <c r="C5020" i="3"/>
  <c r="B5020" i="3"/>
  <c r="C5019" i="3"/>
  <c r="B5019" i="3"/>
  <c r="C5018" i="3"/>
  <c r="B5018" i="3"/>
  <c r="C5017" i="3"/>
  <c r="B5017" i="3"/>
  <c r="C5016" i="3"/>
  <c r="B5016" i="3"/>
  <c r="C5015" i="3"/>
  <c r="B5015" i="3"/>
  <c r="C5014" i="3"/>
  <c r="B5014" i="3"/>
  <c r="C5013" i="3"/>
  <c r="B5013" i="3"/>
  <c r="C5012" i="3"/>
  <c r="B5012" i="3"/>
  <c r="C5011" i="3"/>
  <c r="B5011" i="3"/>
  <c r="C5010" i="3"/>
  <c r="B5010" i="3"/>
  <c r="C5009" i="3"/>
  <c r="B5009" i="3"/>
  <c r="C5008" i="3"/>
  <c r="B5008" i="3"/>
  <c r="C5007" i="3"/>
  <c r="B5007" i="3"/>
  <c r="C5006" i="3"/>
  <c r="B5006" i="3"/>
  <c r="C5005" i="3"/>
  <c r="B5005" i="3"/>
  <c r="C5004" i="3"/>
  <c r="B5004" i="3"/>
  <c r="C5003" i="3"/>
  <c r="B5003" i="3"/>
  <c r="C5002" i="3"/>
  <c r="B5002" i="3"/>
  <c r="C5001" i="3"/>
  <c r="B5001" i="3"/>
  <c r="C5000" i="3"/>
  <c r="B5000" i="3"/>
  <c r="C4999" i="3"/>
  <c r="B4999" i="3"/>
  <c r="C4998" i="3"/>
  <c r="B4998" i="3"/>
  <c r="C4997" i="3"/>
  <c r="B4997" i="3"/>
  <c r="C4996" i="3"/>
  <c r="B4996" i="3"/>
  <c r="C4995" i="3"/>
  <c r="B4995" i="3"/>
  <c r="C4994" i="3"/>
  <c r="B4994" i="3"/>
  <c r="C4993" i="3"/>
  <c r="B4993" i="3"/>
  <c r="C4992" i="3"/>
  <c r="B4992" i="3"/>
  <c r="C4991" i="3"/>
  <c r="B4991" i="3"/>
  <c r="C4990" i="3"/>
  <c r="B4990" i="3"/>
  <c r="C4989" i="3"/>
  <c r="B4989" i="3"/>
  <c r="C4988" i="3"/>
  <c r="B4988" i="3"/>
  <c r="C4987" i="3"/>
  <c r="B4987" i="3"/>
  <c r="C4986" i="3"/>
  <c r="B4986" i="3"/>
  <c r="C4985" i="3"/>
  <c r="B4985" i="3"/>
  <c r="C4984" i="3"/>
  <c r="B4984" i="3"/>
  <c r="C4983" i="3"/>
  <c r="B4983" i="3"/>
  <c r="C4982" i="3"/>
  <c r="B4982" i="3"/>
  <c r="C4981" i="3"/>
  <c r="B4981" i="3"/>
  <c r="C4980" i="3"/>
  <c r="B4980" i="3"/>
  <c r="C4979" i="3"/>
  <c r="B4979" i="3"/>
  <c r="C4978" i="3"/>
  <c r="B4978" i="3"/>
  <c r="C4977" i="3"/>
  <c r="B4977" i="3"/>
  <c r="C4976" i="3"/>
  <c r="B4976" i="3"/>
  <c r="C4975" i="3"/>
  <c r="B4975" i="3"/>
  <c r="C4974" i="3"/>
  <c r="B4974" i="3"/>
  <c r="C4973" i="3"/>
  <c r="B4973" i="3"/>
  <c r="C4972" i="3"/>
  <c r="B4972" i="3"/>
  <c r="C4971" i="3"/>
  <c r="B4971" i="3"/>
  <c r="C4970" i="3"/>
  <c r="B4970" i="3"/>
  <c r="C4969" i="3"/>
  <c r="B4969" i="3"/>
  <c r="C4968" i="3"/>
  <c r="B4968" i="3"/>
  <c r="C4967" i="3"/>
  <c r="B4967" i="3"/>
  <c r="C4966" i="3"/>
  <c r="B4966" i="3"/>
  <c r="C4965" i="3"/>
  <c r="B4965" i="3"/>
  <c r="C4964" i="3"/>
  <c r="B4964" i="3"/>
  <c r="C4963" i="3"/>
  <c r="B4963" i="3"/>
  <c r="C4962" i="3"/>
  <c r="B4962" i="3"/>
  <c r="C4961" i="3"/>
  <c r="B4961" i="3"/>
  <c r="C4960" i="3"/>
  <c r="B4960" i="3"/>
  <c r="C4959" i="3"/>
  <c r="B4959" i="3"/>
  <c r="C4958" i="3"/>
  <c r="B4958" i="3"/>
  <c r="C4957" i="3"/>
  <c r="B4957" i="3"/>
  <c r="C4956" i="3"/>
  <c r="B4956" i="3"/>
  <c r="C4955" i="3"/>
  <c r="B4955" i="3"/>
  <c r="C4954" i="3"/>
  <c r="B4954" i="3"/>
  <c r="C4953" i="3"/>
  <c r="B4953" i="3"/>
  <c r="C4952" i="3"/>
  <c r="B4952" i="3"/>
  <c r="C4951" i="3"/>
  <c r="B4951" i="3"/>
  <c r="C4950" i="3"/>
  <c r="B4950" i="3"/>
  <c r="C4949" i="3"/>
  <c r="B4949" i="3"/>
  <c r="C4948" i="3"/>
  <c r="B4948" i="3"/>
  <c r="C4947" i="3"/>
  <c r="B4947" i="3"/>
  <c r="C4946" i="3"/>
  <c r="B4946" i="3"/>
  <c r="C4945" i="3"/>
  <c r="B4945" i="3"/>
  <c r="C4944" i="3"/>
  <c r="B4944" i="3"/>
  <c r="C4943" i="3"/>
  <c r="B4943" i="3"/>
  <c r="C4942" i="3"/>
  <c r="B4942" i="3"/>
  <c r="C4941" i="3"/>
  <c r="B4941" i="3"/>
  <c r="C4940" i="3"/>
  <c r="B4940" i="3"/>
  <c r="C4939" i="3"/>
  <c r="B4939" i="3"/>
  <c r="C4938" i="3"/>
  <c r="B4938" i="3"/>
  <c r="C4937" i="3"/>
  <c r="B4937" i="3"/>
  <c r="C4936" i="3"/>
  <c r="B4936" i="3"/>
  <c r="C4935" i="3"/>
  <c r="B4935" i="3"/>
  <c r="C4934" i="3"/>
  <c r="B4934" i="3"/>
  <c r="C4933" i="3"/>
  <c r="B4933" i="3"/>
  <c r="C4932" i="3"/>
  <c r="B4932" i="3"/>
  <c r="C4931" i="3"/>
  <c r="B4931" i="3"/>
  <c r="C4930" i="3"/>
  <c r="B4930" i="3"/>
  <c r="C4929" i="3"/>
  <c r="B4929" i="3"/>
  <c r="C4928" i="3"/>
  <c r="B4928" i="3"/>
  <c r="C4927" i="3"/>
  <c r="B4927" i="3"/>
  <c r="C4926" i="3"/>
  <c r="B4926" i="3"/>
  <c r="C4925" i="3"/>
  <c r="B4925" i="3"/>
  <c r="C4924" i="3"/>
  <c r="B4924" i="3"/>
  <c r="C4923" i="3"/>
  <c r="B4923" i="3"/>
  <c r="C4922" i="3"/>
  <c r="B4922" i="3"/>
  <c r="C4921" i="3"/>
  <c r="B4921" i="3"/>
  <c r="C4920" i="3"/>
  <c r="B4920" i="3"/>
  <c r="C4919" i="3"/>
  <c r="B4919" i="3"/>
  <c r="C4918" i="3"/>
  <c r="B4918" i="3"/>
  <c r="C4917" i="3"/>
  <c r="B4917" i="3"/>
  <c r="C4916" i="3"/>
  <c r="B4916" i="3"/>
  <c r="C4915" i="3"/>
  <c r="B4915" i="3"/>
  <c r="C4914" i="3"/>
  <c r="B4914" i="3"/>
  <c r="C4913" i="3"/>
  <c r="B4913" i="3"/>
  <c r="C4912" i="3"/>
  <c r="B4912" i="3"/>
  <c r="C4911" i="3"/>
  <c r="B4911" i="3"/>
  <c r="C4910" i="3"/>
  <c r="B4910" i="3"/>
  <c r="C4909" i="3"/>
  <c r="B4909" i="3"/>
  <c r="C4908" i="3"/>
  <c r="B4908" i="3"/>
  <c r="C4907" i="3"/>
  <c r="B4907" i="3"/>
  <c r="C4906" i="3"/>
  <c r="B4906" i="3"/>
  <c r="C4905" i="3"/>
  <c r="B4905" i="3"/>
  <c r="C4904" i="3"/>
  <c r="B4904" i="3"/>
  <c r="C4903" i="3"/>
  <c r="B4903" i="3"/>
  <c r="C4902" i="3"/>
  <c r="B4902" i="3"/>
  <c r="C4901" i="3"/>
  <c r="B4901" i="3"/>
  <c r="C4900" i="3"/>
  <c r="B4900" i="3"/>
  <c r="C4899" i="3"/>
  <c r="B4899" i="3"/>
  <c r="C4898" i="3"/>
  <c r="B4898" i="3"/>
  <c r="C4897" i="3"/>
  <c r="B4897" i="3"/>
  <c r="C4896" i="3"/>
  <c r="B4896" i="3"/>
  <c r="C4895" i="3"/>
  <c r="B4895" i="3"/>
  <c r="C4894" i="3"/>
  <c r="B4894" i="3"/>
  <c r="C4893" i="3"/>
  <c r="B4893" i="3"/>
  <c r="C4892" i="3"/>
  <c r="B4892" i="3"/>
  <c r="C4891" i="3"/>
  <c r="B4891" i="3"/>
  <c r="C4890" i="3"/>
  <c r="B4890" i="3"/>
  <c r="C4889" i="3"/>
  <c r="B4889" i="3"/>
  <c r="C4888" i="3"/>
  <c r="B4888" i="3"/>
  <c r="C4887" i="3"/>
  <c r="B4887" i="3"/>
  <c r="C4886" i="3"/>
  <c r="B4886" i="3"/>
  <c r="C4885" i="3"/>
  <c r="B4885" i="3"/>
  <c r="C4884" i="3"/>
  <c r="B4884" i="3"/>
  <c r="C4883" i="3"/>
  <c r="B4883" i="3"/>
  <c r="C4882" i="3"/>
  <c r="B4882" i="3"/>
  <c r="C4881" i="3"/>
  <c r="B4881" i="3"/>
  <c r="C4880" i="3"/>
  <c r="B4880" i="3"/>
  <c r="C4879" i="3"/>
  <c r="B4879" i="3"/>
  <c r="C4878" i="3"/>
  <c r="B4878" i="3"/>
  <c r="C4877" i="3"/>
  <c r="B4877" i="3"/>
  <c r="C4876" i="3"/>
  <c r="B4876" i="3"/>
  <c r="C4875" i="3"/>
  <c r="B4875" i="3"/>
  <c r="C4874" i="3"/>
  <c r="B4874" i="3"/>
  <c r="C4873" i="3"/>
  <c r="B4873" i="3"/>
  <c r="C4872" i="3"/>
  <c r="B4872" i="3"/>
  <c r="C4871" i="3"/>
  <c r="B4871" i="3"/>
  <c r="C4870" i="3"/>
  <c r="B4870" i="3"/>
  <c r="C4869" i="3"/>
  <c r="B4869" i="3"/>
  <c r="C4868" i="3"/>
  <c r="B4868" i="3"/>
  <c r="C4867" i="3"/>
  <c r="B4867" i="3"/>
  <c r="C4866" i="3"/>
  <c r="B4866" i="3"/>
  <c r="C4865" i="3"/>
  <c r="B4865" i="3"/>
  <c r="C4864" i="3"/>
  <c r="B4864" i="3"/>
  <c r="C4863" i="3"/>
  <c r="B4863" i="3"/>
  <c r="C4862" i="3"/>
  <c r="B4862" i="3"/>
  <c r="C4861" i="3"/>
  <c r="B4861" i="3"/>
  <c r="C4860" i="3"/>
  <c r="B4860" i="3"/>
  <c r="C4859" i="3"/>
  <c r="B4859" i="3"/>
  <c r="C4858" i="3"/>
  <c r="B4858" i="3"/>
  <c r="C4857" i="3"/>
  <c r="B4857" i="3"/>
  <c r="C4856" i="3"/>
  <c r="B4856" i="3"/>
  <c r="C4855" i="3"/>
  <c r="B4855" i="3"/>
  <c r="C4854" i="3"/>
  <c r="B4854" i="3"/>
  <c r="C4853" i="3"/>
  <c r="B4853" i="3"/>
  <c r="C4852" i="3"/>
  <c r="B4852" i="3"/>
  <c r="C4851" i="3"/>
  <c r="B4851" i="3"/>
  <c r="C4850" i="3"/>
  <c r="B4850" i="3"/>
  <c r="C4849" i="3"/>
  <c r="B4849" i="3"/>
  <c r="C4848" i="3"/>
  <c r="B4848" i="3"/>
  <c r="C4847" i="3"/>
  <c r="B4847" i="3"/>
  <c r="C4846" i="3"/>
  <c r="B4846" i="3"/>
  <c r="C4845" i="3"/>
  <c r="B4845" i="3"/>
  <c r="C4844" i="3"/>
  <c r="B4844" i="3"/>
  <c r="C4843" i="3"/>
  <c r="B4843" i="3"/>
  <c r="C4842" i="3"/>
  <c r="B4842" i="3"/>
  <c r="C4841" i="3"/>
  <c r="B4841" i="3"/>
  <c r="C4840" i="3"/>
  <c r="B4840" i="3"/>
  <c r="C4839" i="3"/>
  <c r="B4839" i="3"/>
  <c r="C4838" i="3"/>
  <c r="B4838" i="3"/>
  <c r="C4837" i="3"/>
  <c r="B4837" i="3"/>
  <c r="C4836" i="3"/>
  <c r="B4836" i="3"/>
  <c r="C4835" i="3"/>
  <c r="B4835" i="3"/>
  <c r="C4834" i="3"/>
  <c r="B4834" i="3"/>
  <c r="C4833" i="3"/>
  <c r="B4833" i="3"/>
  <c r="C4832" i="3"/>
  <c r="B4832" i="3"/>
  <c r="C4831" i="3"/>
  <c r="B4831" i="3"/>
  <c r="C4830" i="3"/>
  <c r="B4830" i="3"/>
  <c r="C4829" i="3"/>
  <c r="B4829" i="3"/>
  <c r="C4828" i="3"/>
  <c r="B4828" i="3"/>
  <c r="C4827" i="3"/>
  <c r="B4827" i="3"/>
  <c r="C4826" i="3"/>
  <c r="B4826" i="3"/>
  <c r="C4825" i="3"/>
  <c r="B4825" i="3"/>
  <c r="C4824" i="3"/>
  <c r="B4824" i="3"/>
  <c r="C4823" i="3"/>
  <c r="B4823" i="3"/>
  <c r="C4822" i="3"/>
  <c r="B4822" i="3"/>
  <c r="C4821" i="3"/>
  <c r="B4821" i="3"/>
  <c r="C4820" i="3"/>
  <c r="B4820" i="3"/>
  <c r="C4819" i="3"/>
  <c r="B4819" i="3"/>
  <c r="C4818" i="3"/>
  <c r="B4818" i="3"/>
  <c r="C4817" i="3"/>
  <c r="B4817" i="3"/>
  <c r="C4816" i="3"/>
  <c r="B4816" i="3"/>
  <c r="C4815" i="3"/>
  <c r="B4815" i="3"/>
  <c r="C4814" i="3"/>
  <c r="B4814" i="3"/>
  <c r="C4813" i="3"/>
  <c r="B4813" i="3"/>
  <c r="C4812" i="3"/>
  <c r="B4812" i="3"/>
  <c r="C4811" i="3"/>
  <c r="B4811" i="3"/>
  <c r="C4810" i="3"/>
  <c r="B4810" i="3"/>
  <c r="C4809" i="3"/>
  <c r="B4809" i="3"/>
  <c r="C4808" i="3"/>
  <c r="B4808" i="3"/>
  <c r="C4807" i="3"/>
  <c r="B4807" i="3"/>
  <c r="C4806" i="3"/>
  <c r="B4806" i="3"/>
  <c r="C4805" i="3"/>
  <c r="B4805" i="3"/>
  <c r="C4804" i="3"/>
  <c r="B4804" i="3"/>
  <c r="C4803" i="3"/>
  <c r="B4803" i="3"/>
  <c r="C4802" i="3"/>
  <c r="B4802" i="3"/>
  <c r="C4801" i="3"/>
  <c r="B4801" i="3"/>
  <c r="C4800" i="3"/>
  <c r="B4800" i="3"/>
  <c r="C4799" i="3"/>
  <c r="B4799" i="3"/>
  <c r="C4798" i="3"/>
  <c r="B4798" i="3"/>
  <c r="C4797" i="3"/>
  <c r="B4797" i="3"/>
  <c r="C4796" i="3"/>
  <c r="B4796" i="3"/>
  <c r="C4795" i="3"/>
  <c r="B4795" i="3"/>
  <c r="C4794" i="3"/>
  <c r="B4794" i="3"/>
  <c r="C4793" i="3"/>
  <c r="B4793" i="3"/>
  <c r="C4792" i="3"/>
  <c r="B4792" i="3"/>
  <c r="C4791" i="3"/>
  <c r="B4791" i="3"/>
  <c r="C4790" i="3"/>
  <c r="B4790" i="3"/>
  <c r="C4789" i="3"/>
  <c r="B4789" i="3"/>
  <c r="C4788" i="3"/>
  <c r="B4788" i="3"/>
  <c r="C4787" i="3"/>
  <c r="B4787" i="3"/>
  <c r="C4786" i="3"/>
  <c r="B4786" i="3"/>
  <c r="C4785" i="3"/>
  <c r="B4785" i="3"/>
  <c r="C4784" i="3"/>
  <c r="B4784" i="3"/>
  <c r="C4783" i="3"/>
  <c r="B4783" i="3"/>
  <c r="C4782" i="3"/>
  <c r="B4782" i="3"/>
  <c r="C4781" i="3"/>
  <c r="B4781" i="3"/>
  <c r="C4780" i="3"/>
  <c r="B4780" i="3"/>
  <c r="C4779" i="3"/>
  <c r="B4779" i="3"/>
  <c r="C4778" i="3"/>
  <c r="B4778" i="3"/>
  <c r="C4777" i="3"/>
  <c r="B4777" i="3"/>
  <c r="C4776" i="3"/>
  <c r="B4776" i="3"/>
  <c r="C4775" i="3"/>
  <c r="B4775" i="3"/>
  <c r="C4774" i="3"/>
  <c r="B4774" i="3"/>
  <c r="C4773" i="3"/>
  <c r="B4773" i="3"/>
  <c r="C4772" i="3"/>
  <c r="B4772" i="3"/>
  <c r="C4771" i="3"/>
  <c r="B4771" i="3"/>
  <c r="C4770" i="3"/>
  <c r="B4770" i="3"/>
  <c r="C4769" i="3"/>
  <c r="B4769" i="3"/>
  <c r="C4768" i="3"/>
  <c r="B4768" i="3"/>
  <c r="C4767" i="3"/>
  <c r="B4767" i="3"/>
  <c r="C4766" i="3"/>
  <c r="B4766" i="3"/>
  <c r="C4765" i="3"/>
  <c r="B4765" i="3"/>
  <c r="C4764" i="3"/>
  <c r="B4764" i="3"/>
  <c r="C4763" i="3"/>
  <c r="B4763" i="3"/>
  <c r="C4762" i="3"/>
  <c r="B4762" i="3"/>
  <c r="C4761" i="3"/>
  <c r="B4761" i="3"/>
  <c r="C4760" i="3"/>
  <c r="B4760" i="3"/>
  <c r="C4759" i="3"/>
  <c r="B4759" i="3"/>
  <c r="C4758" i="3"/>
  <c r="B4758" i="3"/>
  <c r="C4757" i="3"/>
  <c r="B4757" i="3"/>
  <c r="C4756" i="3"/>
  <c r="B4756" i="3"/>
  <c r="C4755" i="3"/>
  <c r="B4755" i="3"/>
  <c r="C4754" i="3"/>
  <c r="B4754" i="3"/>
  <c r="C4753" i="3"/>
  <c r="B4753" i="3"/>
  <c r="C4752" i="3"/>
  <c r="B4752" i="3"/>
  <c r="C4751" i="3"/>
  <c r="B4751" i="3"/>
  <c r="C4750" i="3"/>
  <c r="B4750" i="3"/>
  <c r="C4749" i="3"/>
  <c r="B4749" i="3"/>
  <c r="C4748" i="3"/>
  <c r="B4748" i="3"/>
  <c r="C4747" i="3"/>
  <c r="B4747" i="3"/>
  <c r="C4746" i="3"/>
  <c r="B4746" i="3"/>
  <c r="C4745" i="3"/>
  <c r="B4745" i="3"/>
  <c r="C4744" i="3"/>
  <c r="B4744" i="3"/>
  <c r="C4743" i="3"/>
  <c r="B4743" i="3"/>
  <c r="C4742" i="3"/>
  <c r="B4742" i="3"/>
  <c r="C4741" i="3"/>
  <c r="B4741" i="3"/>
  <c r="C4740" i="3"/>
  <c r="B4740" i="3"/>
  <c r="C4739" i="3"/>
  <c r="B4739" i="3"/>
  <c r="C4738" i="3"/>
  <c r="B4738" i="3"/>
  <c r="C4737" i="3"/>
  <c r="B4737" i="3"/>
  <c r="C4736" i="3"/>
  <c r="B4736" i="3"/>
  <c r="C4735" i="3"/>
  <c r="B4735" i="3"/>
  <c r="C4734" i="3"/>
  <c r="B4734" i="3"/>
  <c r="C4733" i="3"/>
  <c r="B4733" i="3"/>
  <c r="C4732" i="3"/>
  <c r="B4732" i="3"/>
  <c r="C4731" i="3"/>
  <c r="B4731" i="3"/>
  <c r="C4730" i="3"/>
  <c r="B4730" i="3"/>
  <c r="C4729" i="3"/>
  <c r="B4729" i="3"/>
  <c r="C4728" i="3"/>
  <c r="B4728" i="3"/>
  <c r="C4727" i="3"/>
  <c r="B4727" i="3"/>
  <c r="C4726" i="3"/>
  <c r="B4726" i="3"/>
  <c r="C4725" i="3"/>
  <c r="B4725" i="3"/>
  <c r="C4724" i="3"/>
  <c r="B4724" i="3"/>
  <c r="C4723" i="3"/>
  <c r="B4723" i="3"/>
  <c r="C4722" i="3"/>
  <c r="B4722" i="3"/>
  <c r="C4721" i="3"/>
  <c r="B4721" i="3"/>
  <c r="C4720" i="3"/>
  <c r="B4720" i="3"/>
  <c r="C4719" i="3"/>
  <c r="B4719" i="3"/>
  <c r="C4718" i="3"/>
  <c r="B4718" i="3"/>
  <c r="C4717" i="3"/>
  <c r="B4717" i="3"/>
  <c r="C4716" i="3"/>
  <c r="B4716" i="3"/>
  <c r="C4715" i="3"/>
  <c r="B4715" i="3"/>
  <c r="C4714" i="3"/>
  <c r="B4714" i="3"/>
  <c r="C4713" i="3"/>
  <c r="B4713" i="3"/>
  <c r="C4712" i="3"/>
  <c r="B4712" i="3"/>
  <c r="C4711" i="3"/>
  <c r="B4711" i="3"/>
  <c r="C4710" i="3"/>
  <c r="B4710" i="3"/>
  <c r="C4709" i="3"/>
  <c r="B4709" i="3"/>
  <c r="C4708" i="3"/>
  <c r="B4708" i="3"/>
  <c r="C4707" i="3"/>
  <c r="B4707" i="3"/>
  <c r="C4706" i="3"/>
  <c r="B4706" i="3"/>
  <c r="C4705" i="3"/>
  <c r="B4705" i="3"/>
  <c r="C4704" i="3"/>
  <c r="B4704" i="3"/>
  <c r="C4703" i="3"/>
  <c r="B4703" i="3"/>
  <c r="C4702" i="3"/>
  <c r="B4702" i="3"/>
  <c r="C4701" i="3"/>
  <c r="B4701" i="3"/>
  <c r="C4700" i="3"/>
  <c r="B4700" i="3"/>
  <c r="C4699" i="3"/>
  <c r="B4699" i="3"/>
  <c r="C4698" i="3"/>
  <c r="B4698" i="3"/>
  <c r="C4697" i="3"/>
  <c r="B4697" i="3"/>
  <c r="C4696" i="3"/>
  <c r="B4696" i="3"/>
  <c r="C4695" i="3"/>
  <c r="B4695" i="3"/>
  <c r="C4694" i="3"/>
  <c r="B4694" i="3"/>
  <c r="C4693" i="3"/>
  <c r="B4693" i="3"/>
  <c r="C4692" i="3"/>
  <c r="B4692" i="3"/>
  <c r="C4691" i="3"/>
  <c r="B4691" i="3"/>
  <c r="C4690" i="3"/>
  <c r="B4690" i="3"/>
  <c r="C4689" i="3"/>
  <c r="B4689" i="3"/>
  <c r="C4688" i="3"/>
  <c r="B4688" i="3"/>
  <c r="C4687" i="3"/>
  <c r="B4687" i="3"/>
  <c r="C4686" i="3"/>
  <c r="B4686" i="3"/>
  <c r="C4685" i="3"/>
  <c r="B4685" i="3"/>
  <c r="C4684" i="3"/>
  <c r="B4684" i="3"/>
  <c r="C4683" i="3"/>
  <c r="B4683" i="3"/>
  <c r="C4682" i="3"/>
  <c r="B4682" i="3"/>
  <c r="C4681" i="3"/>
  <c r="B4681" i="3"/>
  <c r="C4680" i="3"/>
  <c r="B4680" i="3"/>
  <c r="C4679" i="3"/>
  <c r="B4679" i="3"/>
  <c r="C4678" i="3"/>
  <c r="B4678" i="3"/>
  <c r="C4677" i="3"/>
  <c r="B4677" i="3"/>
  <c r="C4676" i="3"/>
  <c r="B4676" i="3"/>
  <c r="C4675" i="3"/>
  <c r="B4675" i="3"/>
  <c r="C4674" i="3"/>
  <c r="B4674" i="3"/>
  <c r="C4673" i="3"/>
  <c r="B4673" i="3"/>
  <c r="C4672" i="3"/>
  <c r="B4672" i="3"/>
  <c r="C4671" i="3"/>
  <c r="B4671" i="3"/>
  <c r="C4670" i="3"/>
  <c r="B4670" i="3"/>
  <c r="C4669" i="3"/>
  <c r="B4669" i="3"/>
  <c r="C4668" i="3"/>
  <c r="B6" i="10"/>
  <c r="D7054" i="3" s="1"/>
  <c r="J7054" i="3" s="1"/>
  <c r="B7054" i="3"/>
  <c r="B7055" i="3"/>
  <c r="B7056" i="3"/>
  <c r="B7057" i="3"/>
  <c r="B7053" i="3"/>
  <c r="C7053" i="3"/>
  <c r="C7054" i="3"/>
  <c r="C7055" i="3"/>
  <c r="C7056" i="3"/>
  <c r="C7057" i="3"/>
  <c r="F7064" i="3"/>
  <c r="G7064" i="3"/>
  <c r="F7065" i="3"/>
  <c r="G7065" i="3"/>
  <c r="F7066" i="3"/>
  <c r="G7066" i="3"/>
  <c r="F7067" i="3"/>
  <c r="G7067" i="3"/>
  <c r="F7068" i="3"/>
  <c r="G7068" i="3"/>
  <c r="F7069" i="3"/>
  <c r="G7069" i="3"/>
  <c r="F7070" i="3"/>
  <c r="G7070" i="3"/>
  <c r="F7071" i="3"/>
  <c r="G7071" i="3"/>
  <c r="F7072" i="3"/>
  <c r="G7072" i="3"/>
  <c r="F7073" i="3"/>
  <c r="G7073" i="3"/>
  <c r="F7074" i="3"/>
  <c r="G7074" i="3"/>
  <c r="F7075" i="3"/>
  <c r="G7075" i="3"/>
  <c r="F7076" i="3"/>
  <c r="G7076" i="3"/>
  <c r="F7077" i="3"/>
  <c r="G7077" i="3"/>
  <c r="F7078" i="3"/>
  <c r="G7078" i="3"/>
  <c r="F7079" i="3"/>
  <c r="G7079" i="3"/>
  <c r="F7080" i="3"/>
  <c r="G7080" i="3"/>
  <c r="F7081" i="3"/>
  <c r="G7081" i="3"/>
  <c r="F7082" i="3"/>
  <c r="G7082" i="3"/>
  <c r="F7083" i="3"/>
  <c r="G7083" i="3"/>
  <c r="F7084" i="3"/>
  <c r="G7084" i="3"/>
  <c r="F7085" i="3"/>
  <c r="G7085" i="3"/>
  <c r="F7086" i="3"/>
  <c r="G7086" i="3"/>
  <c r="F7087" i="3"/>
  <c r="G7087" i="3"/>
  <c r="F7088" i="3"/>
  <c r="G7088" i="3"/>
  <c r="F7089" i="3"/>
  <c r="G7089" i="3"/>
  <c r="F7090" i="3"/>
  <c r="G7090" i="3"/>
  <c r="F7091" i="3"/>
  <c r="G7091" i="3"/>
  <c r="F7092" i="3"/>
  <c r="G7092" i="3"/>
  <c r="F7093" i="3"/>
  <c r="G7093" i="3"/>
  <c r="F7094" i="3"/>
  <c r="G7094" i="3"/>
  <c r="F7095" i="3"/>
  <c r="G7095" i="3"/>
  <c r="F7096" i="3"/>
  <c r="G7096" i="3"/>
  <c r="F7097" i="3"/>
  <c r="G7097" i="3"/>
  <c r="F7098" i="3"/>
  <c r="G7098" i="3"/>
  <c r="F7099" i="3"/>
  <c r="G7099" i="3"/>
  <c r="F7100" i="3"/>
  <c r="G7100" i="3"/>
  <c r="F7101" i="3"/>
  <c r="G7101" i="3"/>
  <c r="F7102" i="3"/>
  <c r="G7102" i="3"/>
  <c r="F7103" i="3"/>
  <c r="G7103" i="3"/>
  <c r="G7037" i="3"/>
  <c r="F7037" i="3"/>
  <c r="G7036" i="3"/>
  <c r="F7036" i="3"/>
  <c r="G7035" i="3"/>
  <c r="F7035" i="3"/>
  <c r="G7034" i="3"/>
  <c r="F7034" i="3"/>
  <c r="G7033" i="3"/>
  <c r="F7033" i="3"/>
  <c r="G7032" i="3"/>
  <c r="F7032" i="3"/>
  <c r="G7031" i="3"/>
  <c r="F7031" i="3"/>
  <c r="G7030" i="3"/>
  <c r="F7030" i="3"/>
  <c r="G7029" i="3"/>
  <c r="F7029" i="3"/>
  <c r="G7028" i="3"/>
  <c r="F7028" i="3"/>
  <c r="G7027" i="3"/>
  <c r="F7027" i="3"/>
  <c r="G7026" i="3"/>
  <c r="F7026" i="3"/>
  <c r="G7025" i="3"/>
  <c r="F7025" i="3"/>
  <c r="G7024" i="3"/>
  <c r="F7024" i="3"/>
  <c r="G7022" i="3"/>
  <c r="F7022" i="3"/>
  <c r="G7021" i="3"/>
  <c r="F7021" i="3"/>
  <c r="G7020" i="3"/>
  <c r="F7020" i="3"/>
  <c r="G7019" i="3"/>
  <c r="F7019" i="3"/>
  <c r="G7018" i="3"/>
  <c r="F7018" i="3"/>
  <c r="G7017" i="3"/>
  <c r="F7017" i="3"/>
  <c r="G7016" i="3"/>
  <c r="F7016" i="3"/>
  <c r="G7015" i="3"/>
  <c r="F7015" i="3"/>
  <c r="G7014" i="3"/>
  <c r="F7014" i="3"/>
  <c r="G7013" i="3"/>
  <c r="F7013" i="3"/>
  <c r="G7012" i="3"/>
  <c r="F7012" i="3"/>
  <c r="G7011" i="3"/>
  <c r="F7011" i="3"/>
  <c r="G7010" i="3"/>
  <c r="F7010" i="3"/>
  <c r="G7009" i="3"/>
  <c r="F7009" i="3"/>
  <c r="G7007" i="3"/>
  <c r="F7007" i="3"/>
  <c r="G7006" i="3"/>
  <c r="F7006" i="3"/>
  <c r="G7005" i="3"/>
  <c r="F7005" i="3"/>
  <c r="G7004" i="3"/>
  <c r="F7004" i="3"/>
  <c r="G7003" i="3"/>
  <c r="F7003" i="3"/>
  <c r="G7002" i="3"/>
  <c r="F7002" i="3"/>
  <c r="G7001" i="3"/>
  <c r="F7001" i="3"/>
  <c r="G7000" i="3"/>
  <c r="F7000" i="3"/>
  <c r="G6999" i="3"/>
  <c r="F6999" i="3"/>
  <c r="G6998" i="3"/>
  <c r="F6998" i="3"/>
  <c r="G6997" i="3"/>
  <c r="F6997" i="3"/>
  <c r="G6996" i="3"/>
  <c r="F6996" i="3"/>
  <c r="G6995" i="3"/>
  <c r="F6995" i="3"/>
  <c r="G6994" i="3"/>
  <c r="F6994" i="3"/>
  <c r="G6992" i="3"/>
  <c r="F6992" i="3"/>
  <c r="G6991" i="3"/>
  <c r="F6991" i="3"/>
  <c r="G6990" i="3"/>
  <c r="F6990" i="3"/>
  <c r="G6989" i="3"/>
  <c r="F6989" i="3"/>
  <c r="G6988" i="3"/>
  <c r="F6988" i="3"/>
  <c r="G6987" i="3"/>
  <c r="F6987" i="3"/>
  <c r="G6986" i="3"/>
  <c r="F6986" i="3"/>
  <c r="G6985" i="3"/>
  <c r="F6985" i="3"/>
  <c r="G6984" i="3"/>
  <c r="F6984" i="3"/>
  <c r="G6983" i="3"/>
  <c r="F6983" i="3"/>
  <c r="G6982" i="3"/>
  <c r="F6982" i="3"/>
  <c r="G6981" i="3"/>
  <c r="F6981" i="3"/>
  <c r="G6980" i="3"/>
  <c r="F6980" i="3"/>
  <c r="G6979" i="3"/>
  <c r="F6979" i="3"/>
  <c r="G6917" i="3"/>
  <c r="F6917" i="3"/>
  <c r="G6916" i="3"/>
  <c r="F6916" i="3"/>
  <c r="G6915" i="3"/>
  <c r="F6915" i="3"/>
  <c r="G6914" i="3"/>
  <c r="F6914" i="3"/>
  <c r="G6913" i="3"/>
  <c r="F6913" i="3"/>
  <c r="G6912" i="3"/>
  <c r="F6912" i="3"/>
  <c r="G6911" i="3"/>
  <c r="F6911" i="3"/>
  <c r="G6910" i="3"/>
  <c r="F6910" i="3"/>
  <c r="G6909" i="3"/>
  <c r="F6909" i="3"/>
  <c r="G6908" i="3"/>
  <c r="F6908" i="3"/>
  <c r="G6907" i="3"/>
  <c r="F6907" i="3"/>
  <c r="G6906" i="3"/>
  <c r="F6906" i="3"/>
  <c r="G6905" i="3"/>
  <c r="F6905" i="3"/>
  <c r="G6904" i="3"/>
  <c r="F6904" i="3"/>
  <c r="G6902" i="3"/>
  <c r="F6902" i="3"/>
  <c r="G6901" i="3"/>
  <c r="F6901" i="3"/>
  <c r="G6900" i="3"/>
  <c r="F6900" i="3"/>
  <c r="G6899" i="3"/>
  <c r="F6899" i="3"/>
  <c r="G6898" i="3"/>
  <c r="F6898" i="3"/>
  <c r="G6897" i="3"/>
  <c r="F6897" i="3"/>
  <c r="G6896" i="3"/>
  <c r="F6896" i="3"/>
  <c r="G6895" i="3"/>
  <c r="F6895" i="3"/>
  <c r="G6894" i="3"/>
  <c r="F6894" i="3"/>
  <c r="G6893" i="3"/>
  <c r="F6893" i="3"/>
  <c r="G6892" i="3"/>
  <c r="F6892" i="3"/>
  <c r="G6891" i="3"/>
  <c r="F6891" i="3"/>
  <c r="G6890" i="3"/>
  <c r="F6890" i="3"/>
  <c r="G6889" i="3"/>
  <c r="F6889" i="3"/>
  <c r="G6887" i="3"/>
  <c r="F6887" i="3"/>
  <c r="G6886" i="3"/>
  <c r="F6886" i="3"/>
  <c r="G6885" i="3"/>
  <c r="F6885" i="3"/>
  <c r="G6884" i="3"/>
  <c r="F6884" i="3"/>
  <c r="G6883" i="3"/>
  <c r="F6883" i="3"/>
  <c r="G6882" i="3"/>
  <c r="F6882" i="3"/>
  <c r="G6881" i="3"/>
  <c r="F6881" i="3"/>
  <c r="G6880" i="3"/>
  <c r="F6880" i="3"/>
  <c r="G6879" i="3"/>
  <c r="F6879" i="3"/>
  <c r="G6878" i="3"/>
  <c r="F6878" i="3"/>
  <c r="G6877" i="3"/>
  <c r="F6877" i="3"/>
  <c r="G6876" i="3"/>
  <c r="F6876" i="3"/>
  <c r="G6875" i="3"/>
  <c r="F6875" i="3"/>
  <c r="G6874" i="3"/>
  <c r="F6874" i="3"/>
  <c r="G6827" i="3"/>
  <c r="F6827" i="3"/>
  <c r="G6826" i="3"/>
  <c r="F6826" i="3"/>
  <c r="G6825" i="3"/>
  <c r="F6825" i="3"/>
  <c r="G6824" i="3"/>
  <c r="F6824" i="3"/>
  <c r="G6823" i="3"/>
  <c r="F6823" i="3"/>
  <c r="G6822" i="3"/>
  <c r="F6822" i="3"/>
  <c r="G6821" i="3"/>
  <c r="F6821" i="3"/>
  <c r="G6820" i="3"/>
  <c r="F6820" i="3"/>
  <c r="G6819" i="3"/>
  <c r="F6819" i="3"/>
  <c r="G6818" i="3"/>
  <c r="F6818" i="3"/>
  <c r="G6817" i="3"/>
  <c r="F6817" i="3"/>
  <c r="G6816" i="3"/>
  <c r="F6816" i="3"/>
  <c r="G6815" i="3"/>
  <c r="F6815" i="3"/>
  <c r="G6814" i="3"/>
  <c r="F6814" i="3"/>
  <c r="G6812" i="3"/>
  <c r="F6812" i="3"/>
  <c r="G6811" i="3"/>
  <c r="F6811" i="3"/>
  <c r="G6810" i="3"/>
  <c r="F6810" i="3"/>
  <c r="G6809" i="3"/>
  <c r="F6809" i="3"/>
  <c r="G6808" i="3"/>
  <c r="F6808" i="3"/>
  <c r="G6807" i="3"/>
  <c r="F6807" i="3"/>
  <c r="G6806" i="3"/>
  <c r="F6806" i="3"/>
  <c r="G6805" i="3"/>
  <c r="F6805" i="3"/>
  <c r="G6804" i="3"/>
  <c r="F6804" i="3"/>
  <c r="G6803" i="3"/>
  <c r="F6803" i="3"/>
  <c r="G6802" i="3"/>
  <c r="F6802" i="3"/>
  <c r="G6801" i="3"/>
  <c r="F6801" i="3"/>
  <c r="G6800" i="3"/>
  <c r="F6800" i="3"/>
  <c r="G6799" i="3"/>
  <c r="F6799" i="3"/>
  <c r="G6797" i="3"/>
  <c r="F6797" i="3"/>
  <c r="G6796" i="3"/>
  <c r="F6796" i="3"/>
  <c r="G6795" i="3"/>
  <c r="F6795" i="3"/>
  <c r="G6794" i="3"/>
  <c r="F6794" i="3"/>
  <c r="G6793" i="3"/>
  <c r="F6793" i="3"/>
  <c r="G6792" i="3"/>
  <c r="F6792" i="3"/>
  <c r="G6791" i="3"/>
  <c r="F6791" i="3"/>
  <c r="G6790" i="3"/>
  <c r="F6790" i="3"/>
  <c r="G6789" i="3"/>
  <c r="F6789" i="3"/>
  <c r="G6788" i="3"/>
  <c r="F6788" i="3"/>
  <c r="G6787" i="3"/>
  <c r="F6787" i="3"/>
  <c r="G6786" i="3"/>
  <c r="F6786" i="3"/>
  <c r="G6785" i="3"/>
  <c r="F6785" i="3"/>
  <c r="G6784" i="3"/>
  <c r="F6784" i="3"/>
  <c r="G6872" i="3"/>
  <c r="F6872" i="3"/>
  <c r="G6871" i="3"/>
  <c r="F6871" i="3"/>
  <c r="G6870" i="3"/>
  <c r="F6870" i="3"/>
  <c r="G6869" i="3"/>
  <c r="F6869" i="3"/>
  <c r="G6868" i="3"/>
  <c r="F6868" i="3"/>
  <c r="G6867" i="3"/>
  <c r="F6867" i="3"/>
  <c r="G6866" i="3"/>
  <c r="F6866" i="3"/>
  <c r="G6865" i="3"/>
  <c r="F6865" i="3"/>
  <c r="G6864" i="3"/>
  <c r="F6864" i="3"/>
  <c r="G6863" i="3"/>
  <c r="F6863" i="3"/>
  <c r="G6862" i="3"/>
  <c r="F6862" i="3"/>
  <c r="G6861" i="3"/>
  <c r="F6861" i="3"/>
  <c r="G6860" i="3"/>
  <c r="F6860" i="3"/>
  <c r="G6859" i="3"/>
  <c r="F6859" i="3"/>
  <c r="G6857" i="3"/>
  <c r="F6857" i="3"/>
  <c r="G6856" i="3"/>
  <c r="F6856" i="3"/>
  <c r="G6855" i="3"/>
  <c r="F6855" i="3"/>
  <c r="G6854" i="3"/>
  <c r="F6854" i="3"/>
  <c r="G6853" i="3"/>
  <c r="F6853" i="3"/>
  <c r="G6852" i="3"/>
  <c r="F6852" i="3"/>
  <c r="G6851" i="3"/>
  <c r="F6851" i="3"/>
  <c r="G6850" i="3"/>
  <c r="F6850" i="3"/>
  <c r="G6849" i="3"/>
  <c r="F6849" i="3"/>
  <c r="G6848" i="3"/>
  <c r="F6848" i="3"/>
  <c r="G6847" i="3"/>
  <c r="F6847" i="3"/>
  <c r="G6846" i="3"/>
  <c r="F6846" i="3"/>
  <c r="G6845" i="3"/>
  <c r="F6845" i="3"/>
  <c r="G6844" i="3"/>
  <c r="F6844" i="3"/>
  <c r="G6842" i="3"/>
  <c r="F6842" i="3"/>
  <c r="G6841" i="3"/>
  <c r="F6841" i="3"/>
  <c r="G6840" i="3"/>
  <c r="F6840" i="3"/>
  <c r="G6839" i="3"/>
  <c r="F6839" i="3"/>
  <c r="G6838" i="3"/>
  <c r="F6838" i="3"/>
  <c r="G6837" i="3"/>
  <c r="F6837" i="3"/>
  <c r="G6836" i="3"/>
  <c r="F6836" i="3"/>
  <c r="G6835" i="3"/>
  <c r="F6835" i="3"/>
  <c r="G6834" i="3"/>
  <c r="F6834" i="3"/>
  <c r="G6833" i="3"/>
  <c r="F6833" i="3"/>
  <c r="G6832" i="3"/>
  <c r="F6832" i="3"/>
  <c r="G6831" i="3"/>
  <c r="F6831" i="3"/>
  <c r="G6830" i="3"/>
  <c r="F6830" i="3"/>
  <c r="G6829" i="3"/>
  <c r="F6829" i="3"/>
  <c r="G6782" i="3"/>
  <c r="F6782" i="3"/>
  <c r="G6781" i="3"/>
  <c r="F6781" i="3"/>
  <c r="G6780" i="3"/>
  <c r="F6780" i="3"/>
  <c r="G6779" i="3"/>
  <c r="F6779" i="3"/>
  <c r="G6778" i="3"/>
  <c r="F6778" i="3"/>
  <c r="G6777" i="3"/>
  <c r="F6777" i="3"/>
  <c r="G6776" i="3"/>
  <c r="F6776" i="3"/>
  <c r="G6775" i="3"/>
  <c r="F6775" i="3"/>
  <c r="G6774" i="3"/>
  <c r="F6774" i="3"/>
  <c r="G6773" i="3"/>
  <c r="F6773" i="3"/>
  <c r="G6772" i="3"/>
  <c r="F6772" i="3"/>
  <c r="G6771" i="3"/>
  <c r="F6771" i="3"/>
  <c r="G6770" i="3"/>
  <c r="F6770" i="3"/>
  <c r="G6769" i="3"/>
  <c r="F6769" i="3"/>
  <c r="G6767" i="3"/>
  <c r="F6767" i="3"/>
  <c r="G6766" i="3"/>
  <c r="F6766" i="3"/>
  <c r="G6765" i="3"/>
  <c r="F6765" i="3"/>
  <c r="G6764" i="3"/>
  <c r="F6764" i="3"/>
  <c r="G6763" i="3"/>
  <c r="F6763" i="3"/>
  <c r="G6762" i="3"/>
  <c r="F6762" i="3"/>
  <c r="G6761" i="3"/>
  <c r="F6761" i="3"/>
  <c r="G6760" i="3"/>
  <c r="F6760" i="3"/>
  <c r="G6759" i="3"/>
  <c r="F6759" i="3"/>
  <c r="G6758" i="3"/>
  <c r="F6758" i="3"/>
  <c r="G6757" i="3"/>
  <c r="F6757" i="3"/>
  <c r="G6756" i="3"/>
  <c r="F6756" i="3"/>
  <c r="G6755" i="3"/>
  <c r="F6755" i="3"/>
  <c r="G6754" i="3"/>
  <c r="F6754" i="3"/>
  <c r="G6752" i="3"/>
  <c r="F6752" i="3"/>
  <c r="G6751" i="3"/>
  <c r="F6751" i="3"/>
  <c r="G6750" i="3"/>
  <c r="F6750" i="3"/>
  <c r="G6749" i="3"/>
  <c r="F6749" i="3"/>
  <c r="G6748" i="3"/>
  <c r="F6748" i="3"/>
  <c r="G6747" i="3"/>
  <c r="F6747" i="3"/>
  <c r="G6746" i="3"/>
  <c r="F6746" i="3"/>
  <c r="G6745" i="3"/>
  <c r="F6745" i="3"/>
  <c r="G6744" i="3"/>
  <c r="F6744" i="3"/>
  <c r="G6743" i="3"/>
  <c r="F6743" i="3"/>
  <c r="G6742" i="3"/>
  <c r="F6742" i="3"/>
  <c r="G6741" i="3"/>
  <c r="F6741" i="3"/>
  <c r="G6740" i="3"/>
  <c r="F6740" i="3"/>
  <c r="G6739" i="3"/>
  <c r="F6739" i="3"/>
  <c r="G6692" i="3"/>
  <c r="F6692" i="3"/>
  <c r="G6691" i="3"/>
  <c r="F6691" i="3"/>
  <c r="G6690" i="3"/>
  <c r="F6690" i="3"/>
  <c r="G6689" i="3"/>
  <c r="F6689" i="3"/>
  <c r="G6688" i="3"/>
  <c r="F6688" i="3"/>
  <c r="G6687" i="3"/>
  <c r="F6687" i="3"/>
  <c r="G6686" i="3"/>
  <c r="F6686" i="3"/>
  <c r="G6685" i="3"/>
  <c r="F6685" i="3"/>
  <c r="G6684" i="3"/>
  <c r="F6684" i="3"/>
  <c r="G6683" i="3"/>
  <c r="F6683" i="3"/>
  <c r="G6682" i="3"/>
  <c r="F6682" i="3"/>
  <c r="G6681" i="3"/>
  <c r="F6681" i="3"/>
  <c r="G6680" i="3"/>
  <c r="F6680" i="3"/>
  <c r="G6679" i="3"/>
  <c r="F6679" i="3"/>
  <c r="G6677" i="3"/>
  <c r="F6677" i="3"/>
  <c r="G6676" i="3"/>
  <c r="F6676" i="3"/>
  <c r="G6675" i="3"/>
  <c r="F6675" i="3"/>
  <c r="G6674" i="3"/>
  <c r="F6674" i="3"/>
  <c r="G6673" i="3"/>
  <c r="F6673" i="3"/>
  <c r="G6672" i="3"/>
  <c r="F6672" i="3"/>
  <c r="G6671" i="3"/>
  <c r="F6671" i="3"/>
  <c r="G6670" i="3"/>
  <c r="F6670" i="3"/>
  <c r="G6669" i="3"/>
  <c r="F6669" i="3"/>
  <c r="G6668" i="3"/>
  <c r="F6668" i="3"/>
  <c r="G6667" i="3"/>
  <c r="F6667" i="3"/>
  <c r="G6666" i="3"/>
  <c r="F6666" i="3"/>
  <c r="G6665" i="3"/>
  <c r="F6665" i="3"/>
  <c r="G6664" i="3"/>
  <c r="F6664" i="3"/>
  <c r="G6662" i="3"/>
  <c r="F6662" i="3"/>
  <c r="G6661" i="3"/>
  <c r="F6661" i="3"/>
  <c r="G6660" i="3"/>
  <c r="F6660" i="3"/>
  <c r="G6659" i="3"/>
  <c r="F6659" i="3"/>
  <c r="G6658" i="3"/>
  <c r="F6658" i="3"/>
  <c r="G6657" i="3"/>
  <c r="F6657" i="3"/>
  <c r="G6656" i="3"/>
  <c r="F6656" i="3"/>
  <c r="G6655" i="3"/>
  <c r="F6655" i="3"/>
  <c r="G6654" i="3"/>
  <c r="F6654" i="3"/>
  <c r="G6653" i="3"/>
  <c r="F6653" i="3"/>
  <c r="G6652" i="3"/>
  <c r="F6652" i="3"/>
  <c r="G6651" i="3"/>
  <c r="F6651" i="3"/>
  <c r="G6650" i="3"/>
  <c r="F6650" i="3"/>
  <c r="G6649" i="3"/>
  <c r="F6649" i="3"/>
  <c r="G6977" i="3"/>
  <c r="F6977" i="3"/>
  <c r="G6976" i="3"/>
  <c r="F6976" i="3"/>
  <c r="G6975" i="3"/>
  <c r="F6975" i="3"/>
  <c r="G6974" i="3"/>
  <c r="F6974" i="3"/>
  <c r="G6973" i="3"/>
  <c r="F6973" i="3"/>
  <c r="G6972" i="3"/>
  <c r="F6972" i="3"/>
  <c r="G6971" i="3"/>
  <c r="F6971" i="3"/>
  <c r="G6970" i="3"/>
  <c r="F6970" i="3"/>
  <c r="G6969" i="3"/>
  <c r="F6969" i="3"/>
  <c r="G6968" i="3"/>
  <c r="F6968" i="3"/>
  <c r="G6967" i="3"/>
  <c r="F6967" i="3"/>
  <c r="G6966" i="3"/>
  <c r="F6966" i="3"/>
  <c r="G6965" i="3"/>
  <c r="F6965" i="3"/>
  <c r="G6964" i="3"/>
  <c r="F6964" i="3"/>
  <c r="G6962" i="3"/>
  <c r="F6962" i="3"/>
  <c r="G6961" i="3"/>
  <c r="F6961" i="3"/>
  <c r="G6960" i="3"/>
  <c r="F6960" i="3"/>
  <c r="G6959" i="3"/>
  <c r="F6959" i="3"/>
  <c r="G6958" i="3"/>
  <c r="F6958" i="3"/>
  <c r="G6957" i="3"/>
  <c r="F6957" i="3"/>
  <c r="G6956" i="3"/>
  <c r="F6956" i="3"/>
  <c r="G6955" i="3"/>
  <c r="F6955" i="3"/>
  <c r="G6954" i="3"/>
  <c r="F6954" i="3"/>
  <c r="G6953" i="3"/>
  <c r="F6953" i="3"/>
  <c r="G6952" i="3"/>
  <c r="F6952" i="3"/>
  <c r="G6951" i="3"/>
  <c r="F6951" i="3"/>
  <c r="G6950" i="3"/>
  <c r="F6950" i="3"/>
  <c r="G6949" i="3"/>
  <c r="F6949" i="3"/>
  <c r="G6947" i="3"/>
  <c r="F6947" i="3"/>
  <c r="G6946" i="3"/>
  <c r="F6946" i="3"/>
  <c r="G6945" i="3"/>
  <c r="F6945" i="3"/>
  <c r="G6944" i="3"/>
  <c r="F6944" i="3"/>
  <c r="G6943" i="3"/>
  <c r="F6943" i="3"/>
  <c r="G6942" i="3"/>
  <c r="F6942" i="3"/>
  <c r="G6941" i="3"/>
  <c r="F6941" i="3"/>
  <c r="G6940" i="3"/>
  <c r="F6940" i="3"/>
  <c r="G6939" i="3"/>
  <c r="F6939" i="3"/>
  <c r="G6938" i="3"/>
  <c r="F6938" i="3"/>
  <c r="G6937" i="3"/>
  <c r="F6937" i="3"/>
  <c r="G6936" i="3"/>
  <c r="F6936" i="3"/>
  <c r="G6935" i="3"/>
  <c r="F6935" i="3"/>
  <c r="G6934" i="3"/>
  <c r="F6934" i="3"/>
  <c r="G6932" i="3"/>
  <c r="F6932" i="3"/>
  <c r="G6931" i="3"/>
  <c r="F6931" i="3"/>
  <c r="G6930" i="3"/>
  <c r="F6930" i="3"/>
  <c r="G6929" i="3"/>
  <c r="F6929" i="3"/>
  <c r="G6928" i="3"/>
  <c r="F6928" i="3"/>
  <c r="G6927" i="3"/>
  <c r="F6927" i="3"/>
  <c r="G6926" i="3"/>
  <c r="F6926" i="3"/>
  <c r="G6925" i="3"/>
  <c r="F6925" i="3"/>
  <c r="G6924" i="3"/>
  <c r="F6924" i="3"/>
  <c r="G6923" i="3"/>
  <c r="F6923" i="3"/>
  <c r="G6922" i="3"/>
  <c r="F6922" i="3"/>
  <c r="G6921" i="3"/>
  <c r="F6921" i="3"/>
  <c r="G6920" i="3"/>
  <c r="F6920" i="3"/>
  <c r="G6919" i="3"/>
  <c r="F6919" i="3"/>
  <c r="G6632" i="3"/>
  <c r="F6632" i="3"/>
  <c r="G6631" i="3"/>
  <c r="F6631" i="3"/>
  <c r="G6630" i="3"/>
  <c r="F6630" i="3"/>
  <c r="G6629" i="3"/>
  <c r="F6629" i="3"/>
  <c r="G6628" i="3"/>
  <c r="F6628" i="3"/>
  <c r="G6627" i="3"/>
  <c r="F6627" i="3"/>
  <c r="G6626" i="3"/>
  <c r="F6626" i="3"/>
  <c r="G6625" i="3"/>
  <c r="F6625" i="3"/>
  <c r="G6624" i="3"/>
  <c r="F6624" i="3"/>
  <c r="G6623" i="3"/>
  <c r="F6623" i="3"/>
  <c r="G6622" i="3"/>
  <c r="F6622" i="3"/>
  <c r="G6621" i="3"/>
  <c r="F6621" i="3"/>
  <c r="G6620" i="3"/>
  <c r="F6620" i="3"/>
  <c r="G6619" i="3"/>
  <c r="F6619" i="3"/>
  <c r="G6617" i="3"/>
  <c r="F6617" i="3"/>
  <c r="G6616" i="3"/>
  <c r="F6616" i="3"/>
  <c r="G6615" i="3"/>
  <c r="F6615" i="3"/>
  <c r="G6614" i="3"/>
  <c r="F6614" i="3"/>
  <c r="G6613" i="3"/>
  <c r="F6613" i="3"/>
  <c r="G6612" i="3"/>
  <c r="F6612" i="3"/>
  <c r="G6611" i="3"/>
  <c r="F6611" i="3"/>
  <c r="G6610" i="3"/>
  <c r="F6610" i="3"/>
  <c r="G6609" i="3"/>
  <c r="F6609" i="3"/>
  <c r="G6608" i="3"/>
  <c r="F6608" i="3"/>
  <c r="G6607" i="3"/>
  <c r="F6607" i="3"/>
  <c r="G6606" i="3"/>
  <c r="F6606" i="3"/>
  <c r="G6605" i="3"/>
  <c r="F6605" i="3"/>
  <c r="G6604" i="3"/>
  <c r="F6604" i="3"/>
  <c r="G6602" i="3"/>
  <c r="F6602" i="3"/>
  <c r="G6601" i="3"/>
  <c r="F6601" i="3"/>
  <c r="G6600" i="3"/>
  <c r="F6600" i="3"/>
  <c r="G6599" i="3"/>
  <c r="F6599" i="3"/>
  <c r="G6598" i="3"/>
  <c r="F6598" i="3"/>
  <c r="G6597" i="3"/>
  <c r="F6597" i="3"/>
  <c r="G6596" i="3"/>
  <c r="F6596" i="3"/>
  <c r="G6595" i="3"/>
  <c r="F6595" i="3"/>
  <c r="G6594" i="3"/>
  <c r="F6594" i="3"/>
  <c r="G6593" i="3"/>
  <c r="F6593" i="3"/>
  <c r="G6592" i="3"/>
  <c r="F6592" i="3"/>
  <c r="G6591" i="3"/>
  <c r="F6591" i="3"/>
  <c r="G6590" i="3"/>
  <c r="F6590" i="3"/>
  <c r="G6589" i="3"/>
  <c r="F6589" i="3"/>
  <c r="G6587" i="3"/>
  <c r="F6587" i="3"/>
  <c r="G6586" i="3"/>
  <c r="F6586" i="3"/>
  <c r="G6585" i="3"/>
  <c r="F6585" i="3"/>
  <c r="G6584" i="3"/>
  <c r="F6584" i="3"/>
  <c r="G6583" i="3"/>
  <c r="F6583" i="3"/>
  <c r="G6582" i="3"/>
  <c r="F6582" i="3"/>
  <c r="G6581" i="3"/>
  <c r="F6581" i="3"/>
  <c r="G6580" i="3"/>
  <c r="F6580" i="3"/>
  <c r="G6579" i="3"/>
  <c r="F6579" i="3"/>
  <c r="G6578" i="3"/>
  <c r="F6578" i="3"/>
  <c r="G6577" i="3"/>
  <c r="F6577" i="3"/>
  <c r="G6576" i="3"/>
  <c r="F6576" i="3"/>
  <c r="G6575" i="3"/>
  <c r="F6575" i="3"/>
  <c r="G6574" i="3"/>
  <c r="F6574" i="3"/>
  <c r="G6572" i="3"/>
  <c r="F6572" i="3"/>
  <c r="G6571" i="3"/>
  <c r="F6571" i="3"/>
  <c r="G6570" i="3"/>
  <c r="F6570" i="3"/>
  <c r="G6569" i="3"/>
  <c r="F6569" i="3"/>
  <c r="G6568" i="3"/>
  <c r="F6568" i="3"/>
  <c r="G6567" i="3"/>
  <c r="F6567" i="3"/>
  <c r="G6566" i="3"/>
  <c r="F6566" i="3"/>
  <c r="G6565" i="3"/>
  <c r="F6565" i="3"/>
  <c r="G6564" i="3"/>
  <c r="F6564" i="3"/>
  <c r="G6563" i="3"/>
  <c r="F6563" i="3"/>
  <c r="G6562" i="3"/>
  <c r="F6562" i="3"/>
  <c r="G6561" i="3"/>
  <c r="F6561" i="3"/>
  <c r="G6560" i="3"/>
  <c r="F6560" i="3"/>
  <c r="G6559" i="3"/>
  <c r="F6559" i="3"/>
  <c r="G6557" i="3"/>
  <c r="F6557" i="3"/>
  <c r="G6556" i="3"/>
  <c r="F6556" i="3"/>
  <c r="G6555" i="3"/>
  <c r="F6555" i="3"/>
  <c r="G6554" i="3"/>
  <c r="F6554" i="3"/>
  <c r="G6553" i="3"/>
  <c r="F6553" i="3"/>
  <c r="G6552" i="3"/>
  <c r="F6552" i="3"/>
  <c r="G6551" i="3"/>
  <c r="F6551" i="3"/>
  <c r="G6550" i="3"/>
  <c r="F6550" i="3"/>
  <c r="G6549" i="3"/>
  <c r="F6549" i="3"/>
  <c r="G6548" i="3"/>
  <c r="F6548" i="3"/>
  <c r="G6547" i="3"/>
  <c r="F6547" i="3"/>
  <c r="G6546" i="3"/>
  <c r="F6546" i="3"/>
  <c r="G6545" i="3"/>
  <c r="F6545" i="3"/>
  <c r="G6544" i="3"/>
  <c r="F6544" i="3"/>
  <c r="G6542" i="3"/>
  <c r="F6542" i="3"/>
  <c r="G6541" i="3"/>
  <c r="F6541" i="3"/>
  <c r="G6540" i="3"/>
  <c r="F6540" i="3"/>
  <c r="G6539" i="3"/>
  <c r="F6539" i="3"/>
  <c r="G6538" i="3"/>
  <c r="F6538" i="3"/>
  <c r="G6537" i="3"/>
  <c r="F6537" i="3"/>
  <c r="G6536" i="3"/>
  <c r="F6536" i="3"/>
  <c r="G6535" i="3"/>
  <c r="F6535" i="3"/>
  <c r="G6534" i="3"/>
  <c r="F6534" i="3"/>
  <c r="G6533" i="3"/>
  <c r="F6533" i="3"/>
  <c r="G6532" i="3"/>
  <c r="F6532" i="3"/>
  <c r="G6531" i="3"/>
  <c r="F6531" i="3"/>
  <c r="G6530" i="3"/>
  <c r="F6530" i="3"/>
  <c r="G6529" i="3"/>
  <c r="F6529" i="3"/>
  <c r="G6527" i="3"/>
  <c r="F6527" i="3"/>
  <c r="G6526" i="3"/>
  <c r="F6526" i="3"/>
  <c r="G6525" i="3"/>
  <c r="F6525" i="3"/>
  <c r="G6524" i="3"/>
  <c r="F6524" i="3"/>
  <c r="G6523" i="3"/>
  <c r="F6523" i="3"/>
  <c r="G6522" i="3"/>
  <c r="F6522" i="3"/>
  <c r="G6521" i="3"/>
  <c r="F6521" i="3"/>
  <c r="G6520" i="3"/>
  <c r="F6520" i="3"/>
  <c r="G6519" i="3"/>
  <c r="F6519" i="3"/>
  <c r="G6518" i="3"/>
  <c r="F6518" i="3"/>
  <c r="G6517" i="3"/>
  <c r="F6517" i="3"/>
  <c r="G6516" i="3"/>
  <c r="F6516" i="3"/>
  <c r="G6515" i="3"/>
  <c r="F6515" i="3"/>
  <c r="G6514" i="3"/>
  <c r="F6514" i="3"/>
  <c r="G6467" i="3"/>
  <c r="F6467" i="3"/>
  <c r="G6466" i="3"/>
  <c r="F6466" i="3"/>
  <c r="G6465" i="3"/>
  <c r="F6465" i="3"/>
  <c r="G6464" i="3"/>
  <c r="F6464" i="3"/>
  <c r="G6463" i="3"/>
  <c r="F6463" i="3"/>
  <c r="G6462" i="3"/>
  <c r="F6462" i="3"/>
  <c r="G6461" i="3"/>
  <c r="F6461" i="3"/>
  <c r="G6460" i="3"/>
  <c r="F6460" i="3"/>
  <c r="G6459" i="3"/>
  <c r="F6459" i="3"/>
  <c r="G6458" i="3"/>
  <c r="F6458" i="3"/>
  <c r="G6457" i="3"/>
  <c r="F6457" i="3"/>
  <c r="G6456" i="3"/>
  <c r="F6456" i="3"/>
  <c r="G6455" i="3"/>
  <c r="F6455" i="3"/>
  <c r="G6454" i="3"/>
  <c r="F6454" i="3"/>
  <c r="G6452" i="3"/>
  <c r="F6452" i="3"/>
  <c r="G6451" i="3"/>
  <c r="F6451" i="3"/>
  <c r="G6450" i="3"/>
  <c r="F6450" i="3"/>
  <c r="G6449" i="3"/>
  <c r="F6449" i="3"/>
  <c r="G6448" i="3"/>
  <c r="F6448" i="3"/>
  <c r="G6447" i="3"/>
  <c r="F6447" i="3"/>
  <c r="G6446" i="3"/>
  <c r="F6446" i="3"/>
  <c r="G6445" i="3"/>
  <c r="F6445" i="3"/>
  <c r="G6444" i="3"/>
  <c r="F6444" i="3"/>
  <c r="G6443" i="3"/>
  <c r="F6443" i="3"/>
  <c r="G6442" i="3"/>
  <c r="F6442" i="3"/>
  <c r="G6441" i="3"/>
  <c r="F6441" i="3"/>
  <c r="G6440" i="3"/>
  <c r="F6440" i="3"/>
  <c r="G6439" i="3"/>
  <c r="F6439" i="3"/>
  <c r="G6437" i="3"/>
  <c r="F6437" i="3"/>
  <c r="G6436" i="3"/>
  <c r="F6436" i="3"/>
  <c r="G6435" i="3"/>
  <c r="F6435" i="3"/>
  <c r="G6434" i="3"/>
  <c r="F6434" i="3"/>
  <c r="G6433" i="3"/>
  <c r="F6433" i="3"/>
  <c r="G6432" i="3"/>
  <c r="F6432" i="3"/>
  <c r="G6431" i="3"/>
  <c r="F6431" i="3"/>
  <c r="G6430" i="3"/>
  <c r="F6430" i="3"/>
  <c r="G6429" i="3"/>
  <c r="F6429" i="3"/>
  <c r="G6428" i="3"/>
  <c r="F6428" i="3"/>
  <c r="G6427" i="3"/>
  <c r="F6427" i="3"/>
  <c r="G6426" i="3"/>
  <c r="F6426" i="3"/>
  <c r="G6425" i="3"/>
  <c r="F6425" i="3"/>
  <c r="G6424" i="3"/>
  <c r="F6424" i="3"/>
  <c r="G6512" i="3"/>
  <c r="F6512" i="3"/>
  <c r="G6511" i="3"/>
  <c r="F6511" i="3"/>
  <c r="G6510" i="3"/>
  <c r="F6510" i="3"/>
  <c r="G6509" i="3"/>
  <c r="F6509" i="3"/>
  <c r="G6508" i="3"/>
  <c r="F6508" i="3"/>
  <c r="G6507" i="3"/>
  <c r="F6507" i="3"/>
  <c r="G6506" i="3"/>
  <c r="F6506" i="3"/>
  <c r="G6505" i="3"/>
  <c r="F6505" i="3"/>
  <c r="G6504" i="3"/>
  <c r="F6504" i="3"/>
  <c r="G6503" i="3"/>
  <c r="F6503" i="3"/>
  <c r="G6502" i="3"/>
  <c r="F6502" i="3"/>
  <c r="G6501" i="3"/>
  <c r="F6501" i="3"/>
  <c r="G6500" i="3"/>
  <c r="F6500" i="3"/>
  <c r="G6499" i="3"/>
  <c r="F6499" i="3"/>
  <c r="G6497" i="3"/>
  <c r="F6497" i="3"/>
  <c r="G6496" i="3"/>
  <c r="F6496" i="3"/>
  <c r="G6495" i="3"/>
  <c r="F6495" i="3"/>
  <c r="G6494" i="3"/>
  <c r="F6494" i="3"/>
  <c r="G6493" i="3"/>
  <c r="F6493" i="3"/>
  <c r="G6492" i="3"/>
  <c r="F6492" i="3"/>
  <c r="G6491" i="3"/>
  <c r="F6491" i="3"/>
  <c r="G6490" i="3"/>
  <c r="F6490" i="3"/>
  <c r="G6489" i="3"/>
  <c r="F6489" i="3"/>
  <c r="G6488" i="3"/>
  <c r="F6488" i="3"/>
  <c r="G6487" i="3"/>
  <c r="F6487" i="3"/>
  <c r="G6486" i="3"/>
  <c r="F6486" i="3"/>
  <c r="G6485" i="3"/>
  <c r="F6485" i="3"/>
  <c r="G6484" i="3"/>
  <c r="F6484" i="3"/>
  <c r="G6482" i="3"/>
  <c r="F6482" i="3"/>
  <c r="G6481" i="3"/>
  <c r="F6481" i="3"/>
  <c r="G6480" i="3"/>
  <c r="F6480" i="3"/>
  <c r="G6479" i="3"/>
  <c r="F6479" i="3"/>
  <c r="G6478" i="3"/>
  <c r="F6478" i="3"/>
  <c r="G6477" i="3"/>
  <c r="F6477" i="3"/>
  <c r="G6476" i="3"/>
  <c r="F6476" i="3"/>
  <c r="G6475" i="3"/>
  <c r="F6475" i="3"/>
  <c r="G6474" i="3"/>
  <c r="F6474" i="3"/>
  <c r="G6473" i="3"/>
  <c r="F6473" i="3"/>
  <c r="G6472" i="3"/>
  <c r="F6472" i="3"/>
  <c r="G6471" i="3"/>
  <c r="F6471" i="3"/>
  <c r="G6470" i="3"/>
  <c r="F6470" i="3"/>
  <c r="G6469" i="3"/>
  <c r="F6469" i="3"/>
  <c r="G6422" i="3"/>
  <c r="F6422" i="3"/>
  <c r="G6421" i="3"/>
  <c r="F6421" i="3"/>
  <c r="G6420" i="3"/>
  <c r="F6420" i="3"/>
  <c r="G6419" i="3"/>
  <c r="F6419" i="3"/>
  <c r="G6418" i="3"/>
  <c r="F6418" i="3"/>
  <c r="G6417" i="3"/>
  <c r="F6417" i="3"/>
  <c r="G6416" i="3"/>
  <c r="F6416" i="3"/>
  <c r="G6415" i="3"/>
  <c r="F6415" i="3"/>
  <c r="G6414" i="3"/>
  <c r="F6414" i="3"/>
  <c r="G6413" i="3"/>
  <c r="F6413" i="3"/>
  <c r="G6412" i="3"/>
  <c r="F6412" i="3"/>
  <c r="G6411" i="3"/>
  <c r="F6411" i="3"/>
  <c r="G6410" i="3"/>
  <c r="F6410" i="3"/>
  <c r="G6409" i="3"/>
  <c r="F6409" i="3"/>
  <c r="G6407" i="3"/>
  <c r="F6407" i="3"/>
  <c r="G6406" i="3"/>
  <c r="F6406" i="3"/>
  <c r="G6405" i="3"/>
  <c r="F6405" i="3"/>
  <c r="G6404" i="3"/>
  <c r="F6404" i="3"/>
  <c r="G6403" i="3"/>
  <c r="F6403" i="3"/>
  <c r="G6402" i="3"/>
  <c r="F6402" i="3"/>
  <c r="G6401" i="3"/>
  <c r="F6401" i="3"/>
  <c r="G6400" i="3"/>
  <c r="F6400" i="3"/>
  <c r="G6399" i="3"/>
  <c r="F6399" i="3"/>
  <c r="G6398" i="3"/>
  <c r="F6398" i="3"/>
  <c r="G6397" i="3"/>
  <c r="F6397" i="3"/>
  <c r="G6396" i="3"/>
  <c r="F6396" i="3"/>
  <c r="G6395" i="3"/>
  <c r="F6395" i="3"/>
  <c r="G6394" i="3"/>
  <c r="F6394" i="3"/>
  <c r="G6392" i="3"/>
  <c r="F6392" i="3"/>
  <c r="G6391" i="3"/>
  <c r="F6391" i="3"/>
  <c r="G6390" i="3"/>
  <c r="F6390" i="3"/>
  <c r="G6389" i="3"/>
  <c r="F6389" i="3"/>
  <c r="G6388" i="3"/>
  <c r="F6388" i="3"/>
  <c r="G6387" i="3"/>
  <c r="F6387" i="3"/>
  <c r="G6386" i="3"/>
  <c r="F6386" i="3"/>
  <c r="G6385" i="3"/>
  <c r="F6385" i="3"/>
  <c r="G6384" i="3"/>
  <c r="F6384" i="3"/>
  <c r="G6383" i="3"/>
  <c r="F6383" i="3"/>
  <c r="G6382" i="3"/>
  <c r="F6382" i="3"/>
  <c r="G6381" i="3"/>
  <c r="F6381" i="3"/>
  <c r="G6380" i="3"/>
  <c r="F6380" i="3"/>
  <c r="G6379" i="3"/>
  <c r="F6379" i="3"/>
  <c r="G6377" i="3"/>
  <c r="F6377" i="3"/>
  <c r="G6376" i="3"/>
  <c r="F6376" i="3"/>
  <c r="G6375" i="3"/>
  <c r="F6375" i="3"/>
  <c r="G6374" i="3"/>
  <c r="F6374" i="3"/>
  <c r="G6373" i="3"/>
  <c r="F6373" i="3"/>
  <c r="G6372" i="3"/>
  <c r="F6372" i="3"/>
  <c r="G6371" i="3"/>
  <c r="F6371" i="3"/>
  <c r="G6370" i="3"/>
  <c r="F6370" i="3"/>
  <c r="G6369" i="3"/>
  <c r="F6369" i="3"/>
  <c r="G6368" i="3"/>
  <c r="F6368" i="3"/>
  <c r="G6367" i="3"/>
  <c r="F6367" i="3"/>
  <c r="G6366" i="3"/>
  <c r="F6366" i="3"/>
  <c r="G6365" i="3"/>
  <c r="F6365" i="3"/>
  <c r="G6364" i="3"/>
  <c r="F6364" i="3"/>
  <c r="G6362" i="3"/>
  <c r="F6362" i="3"/>
  <c r="G6361" i="3"/>
  <c r="F6361" i="3"/>
  <c r="G6360" i="3"/>
  <c r="F6360" i="3"/>
  <c r="G6359" i="3"/>
  <c r="F6359" i="3"/>
  <c r="G6358" i="3"/>
  <c r="F6358" i="3"/>
  <c r="G6357" i="3"/>
  <c r="F6357" i="3"/>
  <c r="G6356" i="3"/>
  <c r="F6356" i="3"/>
  <c r="G6355" i="3"/>
  <c r="F6355" i="3"/>
  <c r="G6354" i="3"/>
  <c r="F6354" i="3"/>
  <c r="G6353" i="3"/>
  <c r="F6353" i="3"/>
  <c r="G6352" i="3"/>
  <c r="F6352" i="3"/>
  <c r="G6351" i="3"/>
  <c r="F6351" i="3"/>
  <c r="G6350" i="3"/>
  <c r="F6350" i="3"/>
  <c r="G6349" i="3"/>
  <c r="F6349" i="3"/>
  <c r="G6347" i="3"/>
  <c r="F6347" i="3"/>
  <c r="G6346" i="3"/>
  <c r="F6346" i="3"/>
  <c r="G6345" i="3"/>
  <c r="F6345" i="3"/>
  <c r="G6344" i="3"/>
  <c r="F6344" i="3"/>
  <c r="G6343" i="3"/>
  <c r="F6343" i="3"/>
  <c r="G6342" i="3"/>
  <c r="F6342" i="3"/>
  <c r="G6341" i="3"/>
  <c r="F6341" i="3"/>
  <c r="G6340" i="3"/>
  <c r="F6340" i="3"/>
  <c r="G6339" i="3"/>
  <c r="F6339" i="3"/>
  <c r="G6338" i="3"/>
  <c r="F6338" i="3"/>
  <c r="G6337" i="3"/>
  <c r="F6337" i="3"/>
  <c r="G6336" i="3"/>
  <c r="F6336" i="3"/>
  <c r="G6335" i="3"/>
  <c r="F6335" i="3"/>
  <c r="G6334" i="3"/>
  <c r="F6334" i="3"/>
  <c r="G6332" i="3"/>
  <c r="F6332" i="3"/>
  <c r="G6331" i="3"/>
  <c r="F6331" i="3"/>
  <c r="G6330" i="3"/>
  <c r="F6330" i="3"/>
  <c r="G6329" i="3"/>
  <c r="F6329" i="3"/>
  <c r="G6328" i="3"/>
  <c r="F6328" i="3"/>
  <c r="G6327" i="3"/>
  <c r="F6327" i="3"/>
  <c r="G6326" i="3"/>
  <c r="F6326" i="3"/>
  <c r="G6325" i="3"/>
  <c r="F6325" i="3"/>
  <c r="G6324" i="3"/>
  <c r="F6324" i="3"/>
  <c r="G6323" i="3"/>
  <c r="F6323" i="3"/>
  <c r="G6322" i="3"/>
  <c r="F6322" i="3"/>
  <c r="G6321" i="3"/>
  <c r="F6321" i="3"/>
  <c r="G6320" i="3"/>
  <c r="F6320" i="3"/>
  <c r="G6319" i="3"/>
  <c r="F6319" i="3"/>
  <c r="G6317" i="3"/>
  <c r="F6317" i="3"/>
  <c r="G6316" i="3"/>
  <c r="F6316" i="3"/>
  <c r="G6315" i="3"/>
  <c r="F6315" i="3"/>
  <c r="G6314" i="3"/>
  <c r="F6314" i="3"/>
  <c r="G6313" i="3"/>
  <c r="F6313" i="3"/>
  <c r="G6312" i="3"/>
  <c r="F6312" i="3"/>
  <c r="G6311" i="3"/>
  <c r="F6311" i="3"/>
  <c r="G6310" i="3"/>
  <c r="F6310" i="3"/>
  <c r="G6309" i="3"/>
  <c r="F6309" i="3"/>
  <c r="G6308" i="3"/>
  <c r="F6308" i="3"/>
  <c r="G6307" i="3"/>
  <c r="F6307" i="3"/>
  <c r="G6306" i="3"/>
  <c r="F6306" i="3"/>
  <c r="G6305" i="3"/>
  <c r="F6305" i="3"/>
  <c r="G6304" i="3"/>
  <c r="F6304" i="3"/>
  <c r="G6302" i="3"/>
  <c r="F6302" i="3"/>
  <c r="G6301" i="3"/>
  <c r="F6301" i="3"/>
  <c r="G6300" i="3"/>
  <c r="F6300" i="3"/>
  <c r="G6299" i="3"/>
  <c r="F6299" i="3"/>
  <c r="G6298" i="3"/>
  <c r="F6298" i="3"/>
  <c r="G6297" i="3"/>
  <c r="F6297" i="3"/>
  <c r="G6296" i="3"/>
  <c r="F6296" i="3"/>
  <c r="G6295" i="3"/>
  <c r="F6295" i="3"/>
  <c r="G6294" i="3"/>
  <c r="F6294" i="3"/>
  <c r="G6293" i="3"/>
  <c r="F6293" i="3"/>
  <c r="G6292" i="3"/>
  <c r="F6292" i="3"/>
  <c r="G6291" i="3"/>
  <c r="F6291" i="3"/>
  <c r="G6290" i="3"/>
  <c r="F6290" i="3"/>
  <c r="G6289" i="3"/>
  <c r="F6289" i="3"/>
  <c r="G6287" i="3"/>
  <c r="F6287" i="3"/>
  <c r="G6286" i="3"/>
  <c r="F6286" i="3"/>
  <c r="G6285" i="3"/>
  <c r="F6285" i="3"/>
  <c r="G6284" i="3"/>
  <c r="F6284" i="3"/>
  <c r="G6283" i="3"/>
  <c r="F6283" i="3"/>
  <c r="G6282" i="3"/>
  <c r="F6282" i="3"/>
  <c r="G6281" i="3"/>
  <c r="F6281" i="3"/>
  <c r="G6280" i="3"/>
  <c r="F6280" i="3"/>
  <c r="G6279" i="3"/>
  <c r="F6279" i="3"/>
  <c r="G6278" i="3"/>
  <c r="F6278" i="3"/>
  <c r="G6277" i="3"/>
  <c r="F6277" i="3"/>
  <c r="G6276" i="3"/>
  <c r="F6276" i="3"/>
  <c r="G6275" i="3"/>
  <c r="F6275" i="3"/>
  <c r="G6274" i="3"/>
  <c r="F6274" i="3"/>
  <c r="G5102" i="3"/>
  <c r="F5102" i="3"/>
  <c r="G5101" i="3"/>
  <c r="F5101" i="3"/>
  <c r="G5100" i="3"/>
  <c r="F5100" i="3"/>
  <c r="G5099" i="3"/>
  <c r="F5099" i="3"/>
  <c r="G5098" i="3"/>
  <c r="F5098" i="3"/>
  <c r="G5097" i="3"/>
  <c r="F5097" i="3"/>
  <c r="G5096" i="3"/>
  <c r="F5096" i="3"/>
  <c r="G5095" i="3"/>
  <c r="F5095" i="3"/>
  <c r="G5094" i="3"/>
  <c r="F5094" i="3"/>
  <c r="G5093" i="3"/>
  <c r="F5093" i="3"/>
  <c r="G5092" i="3"/>
  <c r="F5092" i="3"/>
  <c r="G5091" i="3"/>
  <c r="F5091" i="3"/>
  <c r="G5090" i="3"/>
  <c r="F5090" i="3"/>
  <c r="G5089" i="3"/>
  <c r="F5089" i="3"/>
  <c r="G5087" i="3"/>
  <c r="F5087" i="3"/>
  <c r="G5086" i="3"/>
  <c r="F5086" i="3"/>
  <c r="G5085" i="3"/>
  <c r="F5085" i="3"/>
  <c r="G5084" i="3"/>
  <c r="F5084" i="3"/>
  <c r="G5083" i="3"/>
  <c r="F5083" i="3"/>
  <c r="G5082" i="3"/>
  <c r="F5082" i="3"/>
  <c r="G5081" i="3"/>
  <c r="F5081" i="3"/>
  <c r="G5080" i="3"/>
  <c r="F5080" i="3"/>
  <c r="G5079" i="3"/>
  <c r="F5079" i="3"/>
  <c r="G5078" i="3"/>
  <c r="F5078" i="3"/>
  <c r="G5077" i="3"/>
  <c r="F5077" i="3"/>
  <c r="G5076" i="3"/>
  <c r="F5076" i="3"/>
  <c r="G5075" i="3"/>
  <c r="F5075" i="3"/>
  <c r="G5074" i="3"/>
  <c r="F5074" i="3"/>
  <c r="G5072" i="3"/>
  <c r="F5072" i="3"/>
  <c r="G5071" i="3"/>
  <c r="F5071" i="3"/>
  <c r="G5070" i="3"/>
  <c r="F5070" i="3"/>
  <c r="G5069" i="3"/>
  <c r="F5069" i="3"/>
  <c r="G5068" i="3"/>
  <c r="F5068" i="3"/>
  <c r="G5067" i="3"/>
  <c r="F5067" i="3"/>
  <c r="G5066" i="3"/>
  <c r="F5066" i="3"/>
  <c r="G5065" i="3"/>
  <c r="F5065" i="3"/>
  <c r="G5064" i="3"/>
  <c r="F5064" i="3"/>
  <c r="G5063" i="3"/>
  <c r="F5063" i="3"/>
  <c r="G5062" i="3"/>
  <c r="F5062" i="3"/>
  <c r="G5061" i="3"/>
  <c r="F5061" i="3"/>
  <c r="G5060" i="3"/>
  <c r="F5060" i="3"/>
  <c r="G5059" i="3"/>
  <c r="F5059" i="3"/>
  <c r="G5057" i="3"/>
  <c r="F5057" i="3"/>
  <c r="G5056" i="3"/>
  <c r="F5056" i="3"/>
  <c r="G5055" i="3"/>
  <c r="F5055" i="3"/>
  <c r="G5054" i="3"/>
  <c r="F5054" i="3"/>
  <c r="G5053" i="3"/>
  <c r="F5053" i="3"/>
  <c r="G5052" i="3"/>
  <c r="F5052" i="3"/>
  <c r="G5051" i="3"/>
  <c r="F5051" i="3"/>
  <c r="G5050" i="3"/>
  <c r="F5050" i="3"/>
  <c r="G5049" i="3"/>
  <c r="F5049" i="3"/>
  <c r="G5048" i="3"/>
  <c r="F5048" i="3"/>
  <c r="G5047" i="3"/>
  <c r="F5047" i="3"/>
  <c r="G5046" i="3"/>
  <c r="F5046" i="3"/>
  <c r="G5045" i="3"/>
  <c r="F5045" i="3"/>
  <c r="G5044" i="3"/>
  <c r="F5044" i="3"/>
  <c r="G5042" i="3"/>
  <c r="F5042" i="3"/>
  <c r="G5041" i="3"/>
  <c r="F5041" i="3"/>
  <c r="G5040" i="3"/>
  <c r="F5040" i="3"/>
  <c r="G5039" i="3"/>
  <c r="F5039" i="3"/>
  <c r="G5038" i="3"/>
  <c r="F5038" i="3"/>
  <c r="G5037" i="3"/>
  <c r="F5037" i="3"/>
  <c r="G5036" i="3"/>
  <c r="F5036" i="3"/>
  <c r="G5035" i="3"/>
  <c r="F5035" i="3"/>
  <c r="G5034" i="3"/>
  <c r="F5034" i="3"/>
  <c r="G5033" i="3"/>
  <c r="F5033" i="3"/>
  <c r="G5032" i="3"/>
  <c r="F5032" i="3"/>
  <c r="G5031" i="3"/>
  <c r="F5031" i="3"/>
  <c r="G5030" i="3"/>
  <c r="F5030" i="3"/>
  <c r="G5029" i="3"/>
  <c r="F5029" i="3"/>
  <c r="G5027" i="3"/>
  <c r="F5027" i="3"/>
  <c r="G5026" i="3"/>
  <c r="F5026" i="3"/>
  <c r="G5025" i="3"/>
  <c r="F5025" i="3"/>
  <c r="G5024" i="3"/>
  <c r="F5024" i="3"/>
  <c r="G5023" i="3"/>
  <c r="F5023" i="3"/>
  <c r="G5022" i="3"/>
  <c r="F5022" i="3"/>
  <c r="G5021" i="3"/>
  <c r="F5021" i="3"/>
  <c r="G5020" i="3"/>
  <c r="F5020" i="3"/>
  <c r="G5019" i="3"/>
  <c r="F5019" i="3"/>
  <c r="G5018" i="3"/>
  <c r="F5018" i="3"/>
  <c r="G5017" i="3"/>
  <c r="F5017" i="3"/>
  <c r="G5016" i="3"/>
  <c r="F5016" i="3"/>
  <c r="G5015" i="3"/>
  <c r="F5015" i="3"/>
  <c r="G5014" i="3"/>
  <c r="F5014" i="3"/>
  <c r="G5012" i="3"/>
  <c r="F5012" i="3"/>
  <c r="G5011" i="3"/>
  <c r="F5011" i="3"/>
  <c r="G5010" i="3"/>
  <c r="F5010" i="3"/>
  <c r="G5009" i="3"/>
  <c r="F5009" i="3"/>
  <c r="G5008" i="3"/>
  <c r="F5008" i="3"/>
  <c r="G5007" i="3"/>
  <c r="F5007" i="3"/>
  <c r="G5006" i="3"/>
  <c r="F5006" i="3"/>
  <c r="G5005" i="3"/>
  <c r="F5005" i="3"/>
  <c r="G5004" i="3"/>
  <c r="F5004" i="3"/>
  <c r="G5003" i="3"/>
  <c r="F5003" i="3"/>
  <c r="G5002" i="3"/>
  <c r="F5002" i="3"/>
  <c r="G5001" i="3"/>
  <c r="F5001" i="3"/>
  <c r="G5000" i="3"/>
  <c r="F5000" i="3"/>
  <c r="G4999" i="3"/>
  <c r="F4999" i="3"/>
  <c r="G4997" i="3"/>
  <c r="F4997" i="3"/>
  <c r="G4996" i="3"/>
  <c r="F4996" i="3"/>
  <c r="G4995" i="3"/>
  <c r="F4995" i="3"/>
  <c r="G4994" i="3"/>
  <c r="F4994" i="3"/>
  <c r="G4993" i="3"/>
  <c r="F4993" i="3"/>
  <c r="G4992" i="3"/>
  <c r="F4992" i="3"/>
  <c r="G4991" i="3"/>
  <c r="F4991" i="3"/>
  <c r="G4990" i="3"/>
  <c r="F4990" i="3"/>
  <c r="G4989" i="3"/>
  <c r="F4989" i="3"/>
  <c r="G4988" i="3"/>
  <c r="F4988" i="3"/>
  <c r="G4987" i="3"/>
  <c r="F4987" i="3"/>
  <c r="G4986" i="3"/>
  <c r="F4986" i="3"/>
  <c r="G4985" i="3"/>
  <c r="F4985" i="3"/>
  <c r="G4984" i="3"/>
  <c r="F4984" i="3"/>
  <c r="G4982" i="3"/>
  <c r="F4982" i="3"/>
  <c r="G4981" i="3"/>
  <c r="F4981" i="3"/>
  <c r="G4980" i="3"/>
  <c r="F4980" i="3"/>
  <c r="G4979" i="3"/>
  <c r="F4979" i="3"/>
  <c r="G4978" i="3"/>
  <c r="F4978" i="3"/>
  <c r="G4977" i="3"/>
  <c r="F4977" i="3"/>
  <c r="G4976" i="3"/>
  <c r="F4976" i="3"/>
  <c r="G4975" i="3"/>
  <c r="F4975" i="3"/>
  <c r="G4974" i="3"/>
  <c r="F4974" i="3"/>
  <c r="G4973" i="3"/>
  <c r="F4973" i="3"/>
  <c r="G4972" i="3"/>
  <c r="F4972" i="3"/>
  <c r="G4971" i="3"/>
  <c r="F4971" i="3"/>
  <c r="G4970" i="3"/>
  <c r="F4970" i="3"/>
  <c r="G4969" i="3"/>
  <c r="F4969" i="3"/>
  <c r="G4967" i="3"/>
  <c r="F4967" i="3"/>
  <c r="G4966" i="3"/>
  <c r="F4966" i="3"/>
  <c r="G4965" i="3"/>
  <c r="F4965" i="3"/>
  <c r="G4964" i="3"/>
  <c r="F4964" i="3"/>
  <c r="G4963" i="3"/>
  <c r="F4963" i="3"/>
  <c r="G4962" i="3"/>
  <c r="F4962" i="3"/>
  <c r="G4961" i="3"/>
  <c r="F4961" i="3"/>
  <c r="G4960" i="3"/>
  <c r="F4960" i="3"/>
  <c r="G4959" i="3"/>
  <c r="F4959" i="3"/>
  <c r="G4958" i="3"/>
  <c r="F4958" i="3"/>
  <c r="G4957" i="3"/>
  <c r="F4957" i="3"/>
  <c r="G4956" i="3"/>
  <c r="F4956" i="3"/>
  <c r="G4955" i="3"/>
  <c r="F4955" i="3"/>
  <c r="G4954" i="3"/>
  <c r="F4954" i="3"/>
  <c r="G4952" i="3"/>
  <c r="F4952" i="3"/>
  <c r="G4951" i="3"/>
  <c r="F4951" i="3"/>
  <c r="G4950" i="3"/>
  <c r="F4950" i="3"/>
  <c r="G4949" i="3"/>
  <c r="F4949" i="3"/>
  <c r="G4948" i="3"/>
  <c r="F4948" i="3"/>
  <c r="G4947" i="3"/>
  <c r="F4947" i="3"/>
  <c r="G4946" i="3"/>
  <c r="F4946" i="3"/>
  <c r="G4945" i="3"/>
  <c r="F4945" i="3"/>
  <c r="G4944" i="3"/>
  <c r="F4944" i="3"/>
  <c r="G4943" i="3"/>
  <c r="F4943" i="3"/>
  <c r="G4942" i="3"/>
  <c r="F4942" i="3"/>
  <c r="G4941" i="3"/>
  <c r="F4941" i="3"/>
  <c r="G4940" i="3"/>
  <c r="F4940" i="3"/>
  <c r="G4939" i="3"/>
  <c r="F4939" i="3"/>
  <c r="G4937" i="3"/>
  <c r="F4937" i="3"/>
  <c r="G4936" i="3"/>
  <c r="F4936" i="3"/>
  <c r="G4935" i="3"/>
  <c r="F4935" i="3"/>
  <c r="G4934" i="3"/>
  <c r="F4934" i="3"/>
  <c r="G4933" i="3"/>
  <c r="F4933" i="3"/>
  <c r="G4932" i="3"/>
  <c r="F4932" i="3"/>
  <c r="G4931" i="3"/>
  <c r="F4931" i="3"/>
  <c r="G4930" i="3"/>
  <c r="F4930" i="3"/>
  <c r="G4929" i="3"/>
  <c r="F4929" i="3"/>
  <c r="G4928" i="3"/>
  <c r="F4928" i="3"/>
  <c r="G4927" i="3"/>
  <c r="F4927" i="3"/>
  <c r="G4926" i="3"/>
  <c r="F4926" i="3"/>
  <c r="G4925" i="3"/>
  <c r="F4925" i="3"/>
  <c r="G4924" i="3"/>
  <c r="F4924" i="3"/>
  <c r="G4922" i="3"/>
  <c r="F4922" i="3"/>
  <c r="G4921" i="3"/>
  <c r="F4921" i="3"/>
  <c r="G4920" i="3"/>
  <c r="F4920" i="3"/>
  <c r="G4919" i="3"/>
  <c r="F4919" i="3"/>
  <c r="G4918" i="3"/>
  <c r="F4918" i="3"/>
  <c r="G4917" i="3"/>
  <c r="F4917" i="3"/>
  <c r="G4916" i="3"/>
  <c r="F4916" i="3"/>
  <c r="G4915" i="3"/>
  <c r="F4915" i="3"/>
  <c r="G4914" i="3"/>
  <c r="F4914" i="3"/>
  <c r="G4913" i="3"/>
  <c r="F4913" i="3"/>
  <c r="G4912" i="3"/>
  <c r="F4912" i="3"/>
  <c r="G4911" i="3"/>
  <c r="F4911" i="3"/>
  <c r="G4910" i="3"/>
  <c r="F4910" i="3"/>
  <c r="G4909" i="3"/>
  <c r="F4909" i="3"/>
  <c r="G4907" i="3"/>
  <c r="F4907" i="3"/>
  <c r="G4906" i="3"/>
  <c r="F4906" i="3"/>
  <c r="G4905" i="3"/>
  <c r="F4905" i="3"/>
  <c r="G4904" i="3"/>
  <c r="F4904" i="3"/>
  <c r="G4903" i="3"/>
  <c r="F4903" i="3"/>
  <c r="G4902" i="3"/>
  <c r="F4902" i="3"/>
  <c r="G4901" i="3"/>
  <c r="F4901" i="3"/>
  <c r="G4900" i="3"/>
  <c r="F4900" i="3"/>
  <c r="G4899" i="3"/>
  <c r="F4899" i="3"/>
  <c r="G4898" i="3"/>
  <c r="F4898" i="3"/>
  <c r="G4897" i="3"/>
  <c r="F4897" i="3"/>
  <c r="G4896" i="3"/>
  <c r="F4896" i="3"/>
  <c r="G4895" i="3"/>
  <c r="F4895" i="3"/>
  <c r="G4894" i="3"/>
  <c r="F4894" i="3"/>
  <c r="G4892" i="3"/>
  <c r="F4892" i="3"/>
  <c r="G4891" i="3"/>
  <c r="F4891" i="3"/>
  <c r="G4890" i="3"/>
  <c r="F4890" i="3"/>
  <c r="G4889" i="3"/>
  <c r="F4889" i="3"/>
  <c r="G4888" i="3"/>
  <c r="F4888" i="3"/>
  <c r="G4887" i="3"/>
  <c r="F4887" i="3"/>
  <c r="G4886" i="3"/>
  <c r="F4886" i="3"/>
  <c r="G4885" i="3"/>
  <c r="F4885" i="3"/>
  <c r="G4884" i="3"/>
  <c r="F4884" i="3"/>
  <c r="G4883" i="3"/>
  <c r="F4883" i="3"/>
  <c r="G4882" i="3"/>
  <c r="F4882" i="3"/>
  <c r="G4881" i="3"/>
  <c r="F4881" i="3"/>
  <c r="G4880" i="3"/>
  <c r="F4880" i="3"/>
  <c r="G4879" i="3"/>
  <c r="F4879" i="3"/>
  <c r="G4877" i="3"/>
  <c r="F4877" i="3"/>
  <c r="G4876" i="3"/>
  <c r="F4876" i="3"/>
  <c r="G4875" i="3"/>
  <c r="F4875" i="3"/>
  <c r="G4874" i="3"/>
  <c r="F4874" i="3"/>
  <c r="G4873" i="3"/>
  <c r="F4873" i="3"/>
  <c r="G4872" i="3"/>
  <c r="F4872" i="3"/>
  <c r="G4871" i="3"/>
  <c r="F4871" i="3"/>
  <c r="G4870" i="3"/>
  <c r="F4870" i="3"/>
  <c r="G4869" i="3"/>
  <c r="F4869" i="3"/>
  <c r="G4868" i="3"/>
  <c r="F4868" i="3"/>
  <c r="G4867" i="3"/>
  <c r="F4867" i="3"/>
  <c r="G4866" i="3"/>
  <c r="F4866" i="3"/>
  <c r="G4865" i="3"/>
  <c r="F4865" i="3"/>
  <c r="G4864" i="3"/>
  <c r="F4864" i="3"/>
  <c r="G4862" i="3"/>
  <c r="F4862" i="3"/>
  <c r="G4861" i="3"/>
  <c r="F4861" i="3"/>
  <c r="G4860" i="3"/>
  <c r="F4860" i="3"/>
  <c r="G4859" i="3"/>
  <c r="F4859" i="3"/>
  <c r="G4858" i="3"/>
  <c r="F4858" i="3"/>
  <c r="G4857" i="3"/>
  <c r="F4857" i="3"/>
  <c r="G4856" i="3"/>
  <c r="F4856" i="3"/>
  <c r="G4855" i="3"/>
  <c r="F4855" i="3"/>
  <c r="G4854" i="3"/>
  <c r="F4854" i="3"/>
  <c r="G4853" i="3"/>
  <c r="F4853" i="3"/>
  <c r="G4852" i="3"/>
  <c r="F4852" i="3"/>
  <c r="G4851" i="3"/>
  <c r="F4851" i="3"/>
  <c r="G4850" i="3"/>
  <c r="F4850" i="3"/>
  <c r="G4849" i="3"/>
  <c r="F4849" i="3"/>
  <c r="F4847" i="3"/>
  <c r="F4846" i="3"/>
  <c r="F4845" i="3"/>
  <c r="F4844" i="3"/>
  <c r="F4843" i="3"/>
  <c r="F4842" i="3"/>
  <c r="F4841" i="3"/>
  <c r="F4840" i="3"/>
  <c r="F4839" i="3"/>
  <c r="F4838" i="3"/>
  <c r="F4837" i="3"/>
  <c r="F4836" i="3"/>
  <c r="F4835" i="3"/>
  <c r="F4834" i="3"/>
  <c r="G4832" i="3"/>
  <c r="F4832" i="3"/>
  <c r="G4831" i="3"/>
  <c r="F4831" i="3"/>
  <c r="G4830" i="3"/>
  <c r="F4830" i="3"/>
  <c r="G4829" i="3"/>
  <c r="F4829" i="3"/>
  <c r="G4828" i="3"/>
  <c r="F4828" i="3"/>
  <c r="G4827" i="3"/>
  <c r="F4827" i="3"/>
  <c r="G4826" i="3"/>
  <c r="F4826" i="3"/>
  <c r="G4825" i="3"/>
  <c r="F4825" i="3"/>
  <c r="G4824" i="3"/>
  <c r="F4824" i="3"/>
  <c r="G4823" i="3"/>
  <c r="F4823" i="3"/>
  <c r="G4822" i="3"/>
  <c r="F4822" i="3"/>
  <c r="G4821" i="3"/>
  <c r="F4821" i="3"/>
  <c r="G4820" i="3"/>
  <c r="F4820" i="3"/>
  <c r="G4819" i="3"/>
  <c r="F4819" i="3"/>
  <c r="G4817" i="3"/>
  <c r="F4817" i="3"/>
  <c r="G4816" i="3"/>
  <c r="F4816" i="3"/>
  <c r="G4815" i="3"/>
  <c r="F4815" i="3"/>
  <c r="G4814" i="3"/>
  <c r="F4814" i="3"/>
  <c r="G4813" i="3"/>
  <c r="F4813" i="3"/>
  <c r="G4812" i="3"/>
  <c r="F4812" i="3"/>
  <c r="G4811" i="3"/>
  <c r="F4811" i="3"/>
  <c r="G4810" i="3"/>
  <c r="F4810" i="3"/>
  <c r="G4809" i="3"/>
  <c r="F4809" i="3"/>
  <c r="G4808" i="3"/>
  <c r="F4808" i="3"/>
  <c r="G4807" i="3"/>
  <c r="F4807" i="3"/>
  <c r="G4806" i="3"/>
  <c r="F4806" i="3"/>
  <c r="G4805" i="3"/>
  <c r="F4805" i="3"/>
  <c r="G4804" i="3"/>
  <c r="F4804" i="3"/>
  <c r="G4802" i="3"/>
  <c r="F4802" i="3"/>
  <c r="G4801" i="3"/>
  <c r="F4801" i="3"/>
  <c r="G4800" i="3"/>
  <c r="F4800" i="3"/>
  <c r="G4799" i="3"/>
  <c r="F4799" i="3"/>
  <c r="G4798" i="3"/>
  <c r="F4798" i="3"/>
  <c r="G4797" i="3"/>
  <c r="F4797" i="3"/>
  <c r="G4796" i="3"/>
  <c r="F4796" i="3"/>
  <c r="G4795" i="3"/>
  <c r="F4795" i="3"/>
  <c r="G4794" i="3"/>
  <c r="F4794" i="3"/>
  <c r="G4793" i="3"/>
  <c r="F4793" i="3"/>
  <c r="G4792" i="3"/>
  <c r="F4792" i="3"/>
  <c r="G4791" i="3"/>
  <c r="F4791" i="3"/>
  <c r="G4790" i="3"/>
  <c r="F4790" i="3"/>
  <c r="G4789" i="3"/>
  <c r="F4789" i="3"/>
  <c r="G4787" i="3"/>
  <c r="F4787" i="3"/>
  <c r="G4786" i="3"/>
  <c r="F4786" i="3"/>
  <c r="G4785" i="3"/>
  <c r="F4785" i="3"/>
  <c r="G4784" i="3"/>
  <c r="F4784" i="3"/>
  <c r="G4783" i="3"/>
  <c r="F4783" i="3"/>
  <c r="G4782" i="3"/>
  <c r="F4782" i="3"/>
  <c r="G4781" i="3"/>
  <c r="F4781" i="3"/>
  <c r="G4780" i="3"/>
  <c r="F4780" i="3"/>
  <c r="G4779" i="3"/>
  <c r="F4779" i="3"/>
  <c r="G4778" i="3"/>
  <c r="F4778" i="3"/>
  <c r="G4777" i="3"/>
  <c r="F4777" i="3"/>
  <c r="G4776" i="3"/>
  <c r="F4776" i="3"/>
  <c r="G4775" i="3"/>
  <c r="F4775" i="3"/>
  <c r="G4774" i="3"/>
  <c r="F4774" i="3"/>
  <c r="G4772" i="3"/>
  <c r="F4772" i="3"/>
  <c r="G4771" i="3"/>
  <c r="F4771" i="3"/>
  <c r="G4770" i="3"/>
  <c r="F4770" i="3"/>
  <c r="G4769" i="3"/>
  <c r="F4769" i="3"/>
  <c r="G4768" i="3"/>
  <c r="F4768" i="3"/>
  <c r="G4767" i="3"/>
  <c r="F4767" i="3"/>
  <c r="G4766" i="3"/>
  <c r="F4766" i="3"/>
  <c r="G4765" i="3"/>
  <c r="F4765" i="3"/>
  <c r="G4764" i="3"/>
  <c r="F4764" i="3"/>
  <c r="G4763" i="3"/>
  <c r="F4763" i="3"/>
  <c r="G4762" i="3"/>
  <c r="F4762" i="3"/>
  <c r="G4761" i="3"/>
  <c r="F4761" i="3"/>
  <c r="G4760" i="3"/>
  <c r="F4760" i="3"/>
  <c r="G4759" i="3"/>
  <c r="F4759" i="3"/>
  <c r="G4757" i="3"/>
  <c r="F4757" i="3"/>
  <c r="G4756" i="3"/>
  <c r="F4756" i="3"/>
  <c r="G4755" i="3"/>
  <c r="F4755" i="3"/>
  <c r="G4754" i="3"/>
  <c r="F4754" i="3"/>
  <c r="G4753" i="3"/>
  <c r="F4753" i="3"/>
  <c r="G4752" i="3"/>
  <c r="F4752" i="3"/>
  <c r="G4751" i="3"/>
  <c r="F4751" i="3"/>
  <c r="G4750" i="3"/>
  <c r="F4750" i="3"/>
  <c r="G4749" i="3"/>
  <c r="F4749" i="3"/>
  <c r="G4748" i="3"/>
  <c r="F4748" i="3"/>
  <c r="G4747" i="3"/>
  <c r="F4747" i="3"/>
  <c r="G4746" i="3"/>
  <c r="F4746" i="3"/>
  <c r="G4745" i="3"/>
  <c r="F4745" i="3"/>
  <c r="G4744" i="3"/>
  <c r="F4744" i="3"/>
  <c r="G4742" i="3"/>
  <c r="F4742" i="3"/>
  <c r="G4741" i="3"/>
  <c r="F4741" i="3"/>
  <c r="G4740" i="3"/>
  <c r="F4740" i="3"/>
  <c r="G4739" i="3"/>
  <c r="F4739" i="3"/>
  <c r="G4738" i="3"/>
  <c r="F4738" i="3"/>
  <c r="G4737" i="3"/>
  <c r="F4737" i="3"/>
  <c r="G4736" i="3"/>
  <c r="F4736" i="3"/>
  <c r="G4735" i="3"/>
  <c r="F4735" i="3"/>
  <c r="G4734" i="3"/>
  <c r="F4734" i="3"/>
  <c r="G4733" i="3"/>
  <c r="F4733" i="3"/>
  <c r="G4732" i="3"/>
  <c r="F4732" i="3"/>
  <c r="G4731" i="3"/>
  <c r="F4731" i="3"/>
  <c r="G4730" i="3"/>
  <c r="F4730" i="3"/>
  <c r="G4729" i="3"/>
  <c r="F4729" i="3"/>
  <c r="G4727" i="3"/>
  <c r="F4727" i="3"/>
  <c r="G4726" i="3"/>
  <c r="F4726" i="3"/>
  <c r="G4725" i="3"/>
  <c r="F4725" i="3"/>
  <c r="G4724" i="3"/>
  <c r="F4724" i="3"/>
  <c r="G4723" i="3"/>
  <c r="F4723" i="3"/>
  <c r="G4722" i="3"/>
  <c r="F4722" i="3"/>
  <c r="G4721" i="3"/>
  <c r="F4721" i="3"/>
  <c r="G4720" i="3"/>
  <c r="F4720" i="3"/>
  <c r="G4719" i="3"/>
  <c r="F4719" i="3"/>
  <c r="G4718" i="3"/>
  <c r="F4718" i="3"/>
  <c r="G4717" i="3"/>
  <c r="F4717" i="3"/>
  <c r="G4716" i="3"/>
  <c r="F4716" i="3"/>
  <c r="G4715" i="3"/>
  <c r="F4715" i="3"/>
  <c r="G4714" i="3"/>
  <c r="F4714" i="3"/>
  <c r="G4712" i="3"/>
  <c r="F4712" i="3"/>
  <c r="G4711" i="3"/>
  <c r="F4711" i="3"/>
  <c r="G4710" i="3"/>
  <c r="F4710" i="3"/>
  <c r="G4709" i="3"/>
  <c r="F4709" i="3"/>
  <c r="G4708" i="3"/>
  <c r="F4708" i="3"/>
  <c r="G4707" i="3"/>
  <c r="F4707" i="3"/>
  <c r="G4706" i="3"/>
  <c r="F4706" i="3"/>
  <c r="G4705" i="3"/>
  <c r="F4705" i="3"/>
  <c r="G4704" i="3"/>
  <c r="F4704" i="3"/>
  <c r="G4703" i="3"/>
  <c r="F4703" i="3"/>
  <c r="G4702" i="3"/>
  <c r="F4702" i="3"/>
  <c r="G4701" i="3"/>
  <c r="F4701" i="3"/>
  <c r="G4700" i="3"/>
  <c r="F4700" i="3"/>
  <c r="G4699" i="3"/>
  <c r="F4699" i="3"/>
  <c r="G4697" i="3"/>
  <c r="F4697" i="3"/>
  <c r="G4696" i="3"/>
  <c r="F4696" i="3"/>
  <c r="G4695" i="3"/>
  <c r="F4695" i="3"/>
  <c r="G4694" i="3"/>
  <c r="F4694" i="3"/>
  <c r="G4693" i="3"/>
  <c r="F4693" i="3"/>
  <c r="G4692" i="3"/>
  <c r="F4692" i="3"/>
  <c r="G4691" i="3"/>
  <c r="F4691" i="3"/>
  <c r="G4690" i="3"/>
  <c r="F4690" i="3"/>
  <c r="G4689" i="3"/>
  <c r="F4689" i="3"/>
  <c r="G4688" i="3"/>
  <c r="F4688" i="3"/>
  <c r="G4687" i="3"/>
  <c r="F4687" i="3"/>
  <c r="G4686" i="3"/>
  <c r="F4686" i="3"/>
  <c r="G4685" i="3"/>
  <c r="F4685" i="3"/>
  <c r="G4684" i="3"/>
  <c r="F4684" i="3"/>
  <c r="G4682" i="3"/>
  <c r="F4682" i="3"/>
  <c r="G4681" i="3"/>
  <c r="F4681" i="3"/>
  <c r="G4680" i="3"/>
  <c r="F4680" i="3"/>
  <c r="G4679" i="3"/>
  <c r="F4679" i="3"/>
  <c r="G4678" i="3"/>
  <c r="F4678" i="3"/>
  <c r="G4677" i="3"/>
  <c r="F4677" i="3"/>
  <c r="G4676" i="3"/>
  <c r="F4676" i="3"/>
  <c r="G4675" i="3"/>
  <c r="F4675" i="3"/>
  <c r="G4674" i="3"/>
  <c r="F4674" i="3"/>
  <c r="G4673" i="3"/>
  <c r="F4673" i="3"/>
  <c r="G4672" i="3"/>
  <c r="F4672" i="3"/>
  <c r="G4671" i="3"/>
  <c r="F4671" i="3"/>
  <c r="G4670" i="3"/>
  <c r="F4670" i="3"/>
  <c r="G4669" i="3"/>
  <c r="F4669" i="3"/>
  <c r="G4667" i="3"/>
  <c r="F4667" i="3"/>
  <c r="G4666" i="3"/>
  <c r="F4666" i="3"/>
  <c r="G4665" i="3"/>
  <c r="F4665" i="3"/>
  <c r="G4664" i="3"/>
  <c r="F4664" i="3"/>
  <c r="G4663" i="3"/>
  <c r="F4663" i="3"/>
  <c r="G4662" i="3"/>
  <c r="F4662" i="3"/>
  <c r="G4661" i="3"/>
  <c r="F4661" i="3"/>
  <c r="G4660" i="3"/>
  <c r="F4660" i="3"/>
  <c r="G4659" i="3"/>
  <c r="F4659" i="3"/>
  <c r="G4658" i="3"/>
  <c r="F4658" i="3"/>
  <c r="G4657" i="3"/>
  <c r="F4657" i="3"/>
  <c r="G4656" i="3"/>
  <c r="F4656" i="3"/>
  <c r="G4655" i="3"/>
  <c r="F4655" i="3"/>
  <c r="G4654" i="3"/>
  <c r="F4654" i="3"/>
  <c r="F7048" i="3"/>
  <c r="G7048" i="3"/>
  <c r="F7049" i="3"/>
  <c r="G7049" i="3"/>
  <c r="F7050" i="3"/>
  <c r="G7050" i="3"/>
  <c r="F7051" i="3"/>
  <c r="G7051" i="3"/>
  <c r="F7052" i="3"/>
  <c r="G7052" i="3"/>
  <c r="F7053" i="3"/>
  <c r="G7053" i="3"/>
  <c r="F7054" i="3"/>
  <c r="G7054" i="3"/>
  <c r="F7055" i="3"/>
  <c r="G7055" i="3"/>
  <c r="F7056" i="3"/>
  <c r="G7056" i="3"/>
  <c r="F7057" i="3"/>
  <c r="G7057" i="3"/>
  <c r="F7060" i="3"/>
  <c r="G7060" i="3"/>
  <c r="F7061" i="3"/>
  <c r="G7061" i="3"/>
  <c r="F7062" i="3"/>
  <c r="G7062" i="3"/>
  <c r="F7063" i="3"/>
  <c r="G7063" i="3"/>
  <c r="D6972" i="3" a="1"/>
  <c r="D6964" i="3" a="1"/>
  <c r="D6973" i="3" a="1"/>
  <c r="D6971" i="3" a="1"/>
  <c r="D6963" i="3" a="1"/>
  <c r="D6969" i="3" a="1"/>
  <c r="D6975" i="3" a="1"/>
  <c r="D7900" i="3" a="1"/>
  <c r="D6977" i="3" a="1"/>
  <c r="D6974" i="3" a="1"/>
  <c r="D6976" i="3" a="1"/>
  <c r="D6966" i="3" a="1"/>
  <c r="D6965" i="3" a="1"/>
  <c r="D6970" i="3" a="1"/>
  <c r="D6967" i="3" a="1"/>
  <c r="D6968" i="3" a="1"/>
  <c r="D6966" i="3" l="1"/>
  <c r="D6972" i="3"/>
  <c r="D6967" i="3"/>
  <c r="D6973" i="3"/>
  <c r="D6968" i="3"/>
  <c r="D6974" i="3"/>
  <c r="D6963" i="3"/>
  <c r="D6969" i="3"/>
  <c r="D6975" i="3"/>
  <c r="D6964" i="3"/>
  <c r="D6970" i="3"/>
  <c r="D6976" i="3"/>
  <c r="D6965" i="3"/>
  <c r="D6971" i="3"/>
  <c r="D6977" i="3"/>
  <c r="I7054" i="3"/>
  <c r="H7054" i="3"/>
  <c r="D7900" i="3"/>
  <c r="D7057" i="3"/>
  <c r="J7057" i="3" s="1"/>
  <c r="D7053" i="3"/>
  <c r="H7053" i="3"/>
  <c r="I7057" i="3" l="1"/>
  <c r="H7057" i="3"/>
  <c r="J7053" i="3"/>
  <c r="F7023" i="3"/>
  <c r="G7023" i="3"/>
  <c r="F7038" i="3"/>
  <c r="G7038" i="3"/>
  <c r="F4653" i="3"/>
  <c r="G4653" i="3"/>
  <c r="F7039" i="3"/>
  <c r="G7039" i="3"/>
  <c r="F7040" i="3"/>
  <c r="G7040" i="3"/>
  <c r="F7041" i="3"/>
  <c r="G7041" i="3"/>
  <c r="F7042" i="3"/>
  <c r="G7042" i="3"/>
  <c r="F7043" i="3"/>
  <c r="G7043" i="3"/>
  <c r="F7044" i="3"/>
  <c r="G7044" i="3"/>
  <c r="F7045" i="3"/>
  <c r="G7045" i="3"/>
  <c r="F7046" i="3"/>
  <c r="G7046" i="3"/>
  <c r="F7047" i="3"/>
  <c r="G7047" i="3"/>
  <c r="F6963" i="3"/>
  <c r="G6963" i="3"/>
  <c r="F6678" i="3"/>
  <c r="G6678" i="3"/>
  <c r="F6738" i="3"/>
  <c r="G6738" i="3"/>
  <c r="F6753" i="3"/>
  <c r="G6753" i="3"/>
  <c r="F6768" i="3"/>
  <c r="G6768" i="3"/>
  <c r="F6828" i="3"/>
  <c r="G6828" i="3"/>
  <c r="F6843" i="3"/>
  <c r="G6843" i="3"/>
  <c r="F6858" i="3"/>
  <c r="G6858" i="3"/>
  <c r="F6783" i="3"/>
  <c r="G6783" i="3"/>
  <c r="F6798" i="3"/>
  <c r="G6798" i="3"/>
  <c r="F6813" i="3"/>
  <c r="G6813" i="3"/>
  <c r="F6873" i="3"/>
  <c r="G6873" i="3"/>
  <c r="F6888" i="3"/>
  <c r="G6888" i="3"/>
  <c r="F6903" i="3"/>
  <c r="G6903" i="3"/>
  <c r="F6978" i="3"/>
  <c r="G6978" i="3"/>
  <c r="F6993" i="3"/>
  <c r="G6993" i="3"/>
  <c r="F7008" i="3"/>
  <c r="G7008" i="3"/>
  <c r="F6618" i="3"/>
  <c r="F6558" i="3"/>
  <c r="G6558" i="3"/>
  <c r="F6573" i="3"/>
  <c r="G6573" i="3"/>
  <c r="F6588" i="3"/>
  <c r="G6588" i="3"/>
  <c r="F6603" i="3"/>
  <c r="G6603" i="3"/>
  <c r="F6918" i="3"/>
  <c r="G6918" i="3"/>
  <c r="F6933" i="3"/>
  <c r="G6933" i="3"/>
  <c r="F6948" i="3"/>
  <c r="G6948" i="3"/>
  <c r="F6648" i="3"/>
  <c r="G6648" i="3"/>
  <c r="F6663" i="3"/>
  <c r="G6663" i="3"/>
  <c r="F6453" i="3"/>
  <c r="G6453" i="3"/>
  <c r="F6513" i="3"/>
  <c r="G6513" i="3"/>
  <c r="F6528" i="3"/>
  <c r="G6528" i="3"/>
  <c r="F6543" i="3"/>
  <c r="G6543" i="3"/>
  <c r="I7053" i="3"/>
  <c r="J7900" i="3" l="1"/>
  <c r="H7900" i="3"/>
  <c r="F6408" i="3"/>
  <c r="G6408" i="3"/>
  <c r="F6468" i="3"/>
  <c r="G6468" i="3"/>
  <c r="F6483" i="3"/>
  <c r="G6483" i="3"/>
  <c r="F6498" i="3"/>
  <c r="G6498" i="3"/>
  <c r="F6423" i="3"/>
  <c r="G6423" i="3"/>
  <c r="F6438" i="3"/>
  <c r="G6438" i="3"/>
  <c r="F6303" i="3"/>
  <c r="G6303" i="3"/>
  <c r="F6318" i="3"/>
  <c r="G6318" i="3"/>
  <c r="F6333" i="3"/>
  <c r="G6333" i="3"/>
  <c r="F6348" i="3"/>
  <c r="G6348" i="3"/>
  <c r="F5088" i="3"/>
  <c r="G5088" i="3"/>
  <c r="F6363" i="3"/>
  <c r="G6363" i="3"/>
  <c r="F6378" i="3"/>
  <c r="G6378" i="3"/>
  <c r="F6393" i="3"/>
  <c r="G6393" i="3"/>
  <c r="F5028" i="3"/>
  <c r="G5028" i="3"/>
  <c r="F6273" i="3"/>
  <c r="G6273" i="3"/>
  <c r="F6288" i="3"/>
  <c r="G6288" i="3"/>
  <c r="F4968" i="3"/>
  <c r="G4968" i="3"/>
  <c r="F4983" i="3"/>
  <c r="G4983" i="3"/>
  <c r="F4998" i="3"/>
  <c r="G4998" i="3"/>
  <c r="F5013" i="3"/>
  <c r="G5013" i="3"/>
  <c r="F5043" i="3"/>
  <c r="G5043" i="3"/>
  <c r="F5058" i="3"/>
  <c r="G5058" i="3"/>
  <c r="F5073" i="3"/>
  <c r="G5073" i="3"/>
  <c r="F4848" i="3"/>
  <c r="F4773" i="3"/>
  <c r="G4773" i="3"/>
  <c r="F4788" i="3"/>
  <c r="G4788" i="3"/>
  <c r="F4803" i="3"/>
  <c r="G4803" i="3"/>
  <c r="F4818" i="3"/>
  <c r="G4818" i="3"/>
  <c r="F4833" i="3"/>
  <c r="G4848" i="3"/>
  <c r="F4878" i="3"/>
  <c r="G4878" i="3"/>
  <c r="F4893" i="3"/>
  <c r="G4893" i="3"/>
  <c r="F4863" i="3"/>
  <c r="G4863" i="3"/>
  <c r="F4908" i="3"/>
  <c r="G4908" i="3"/>
  <c r="F4923" i="3"/>
  <c r="G4923" i="3"/>
  <c r="F4938" i="3"/>
  <c r="G4938" i="3"/>
  <c r="F4953" i="3"/>
  <c r="G4953" i="3"/>
  <c r="F4683" i="3"/>
  <c r="G4683" i="3"/>
  <c r="F4728" i="3"/>
  <c r="G4728" i="3"/>
  <c r="G4758" i="3"/>
  <c r="F4758" i="3"/>
  <c r="G4713" i="3"/>
  <c r="F4713" i="3"/>
  <c r="F4743" i="3"/>
  <c r="G4743" i="3"/>
  <c r="F4698" i="3"/>
  <c r="G4698" i="3"/>
  <c r="F4668" i="3"/>
  <c r="G4668" i="3"/>
  <c r="I7900" i="3" l="1"/>
  <c r="C72" i="134" a="1"/>
  <c r="C72" i="134" s="1"/>
  <c r="C65" i="134" a="1"/>
  <c r="C65" i="134" s="1"/>
  <c r="D4650" i="3" l="1"/>
  <c r="D4647" i="3"/>
  <c r="F6" i="20"/>
  <c r="D4646" i="3"/>
  <c r="G4650" i="3" l="1"/>
  <c r="F4650" i="3"/>
  <c r="J4650" i="3"/>
  <c r="G4649" i="3"/>
  <c r="F4649" i="3"/>
  <c r="G4648" i="3"/>
  <c r="F4648" i="3"/>
  <c r="G4647" i="3"/>
  <c r="F4647" i="3"/>
  <c r="J4647" i="3"/>
  <c r="G4646" i="3"/>
  <c r="F4646" i="3"/>
  <c r="J4646" i="3"/>
  <c r="H4650" i="3" l="1"/>
  <c r="I4646" i="3"/>
  <c r="H4646" i="3"/>
  <c r="H4647" i="3"/>
  <c r="I4650" i="3"/>
  <c r="I4647" i="3"/>
  <c r="A27" i="149" l="1"/>
  <c r="A26" i="149"/>
  <c r="A24" i="149"/>
  <c r="A22" i="149"/>
  <c r="A20" i="149"/>
  <c r="A17" i="149"/>
  <c r="A2" i="149"/>
  <c r="A1" i="149"/>
  <c r="A27" i="148"/>
  <c r="A26" i="148"/>
  <c r="A24" i="148"/>
  <c r="A22" i="148"/>
  <c r="A20" i="148"/>
  <c r="A17" i="148"/>
  <c r="A2" i="148"/>
  <c r="A1" i="148"/>
  <c r="A27" i="147"/>
  <c r="A26" i="147"/>
  <c r="A24" i="147"/>
  <c r="A22" i="147"/>
  <c r="A20" i="147"/>
  <c r="A17" i="147"/>
  <c r="A2" i="147"/>
  <c r="A1" i="147"/>
  <c r="A27" i="146"/>
  <c r="A26" i="146"/>
  <c r="A24" i="146"/>
  <c r="A22" i="146"/>
  <c r="A20" i="146"/>
  <c r="A17" i="146"/>
  <c r="A2" i="146"/>
  <c r="A1" i="146"/>
  <c r="A27" i="145"/>
  <c r="A26" i="145"/>
  <c r="A24" i="145"/>
  <c r="A22" i="145"/>
  <c r="A20" i="145"/>
  <c r="A17" i="145"/>
  <c r="A2" i="145"/>
  <c r="A1" i="145"/>
  <c r="A27" i="144"/>
  <c r="A26" i="144"/>
  <c r="A24" i="144"/>
  <c r="A22" i="144"/>
  <c r="A20" i="144"/>
  <c r="A17" i="144"/>
  <c r="A2" i="144"/>
  <c r="A1" i="144"/>
  <c r="A27" i="143"/>
  <c r="A26" i="143"/>
  <c r="A24" i="143"/>
  <c r="A22" i="143"/>
  <c r="A20" i="143"/>
  <c r="A17" i="143"/>
  <c r="A2" i="143"/>
  <c r="A1" i="143"/>
  <c r="A27" i="142"/>
  <c r="A26" i="142"/>
  <c r="A24" i="142"/>
  <c r="A22" i="142"/>
  <c r="A20" i="142"/>
  <c r="A17" i="142"/>
  <c r="A2" i="142"/>
  <c r="A1" i="142"/>
  <c r="A27" i="141"/>
  <c r="A26" i="141"/>
  <c r="A24" i="141"/>
  <c r="A22" i="141"/>
  <c r="A20" i="141"/>
  <c r="A17" i="141"/>
  <c r="A2" i="141"/>
  <c r="A1" i="141"/>
  <c r="A27" i="140"/>
  <c r="A26" i="140"/>
  <c r="A24" i="140"/>
  <c r="A22" i="140"/>
  <c r="A20" i="140"/>
  <c r="A17" i="140"/>
  <c r="A2" i="140"/>
  <c r="A1" i="140"/>
  <c r="A27" i="139"/>
  <c r="A26" i="139"/>
  <c r="A24" i="139"/>
  <c r="A22" i="139"/>
  <c r="A20" i="139"/>
  <c r="A17" i="139"/>
  <c r="A2" i="139"/>
  <c r="A1" i="139"/>
  <c r="A27" i="138"/>
  <c r="A26" i="138"/>
  <c r="A24" i="138"/>
  <c r="A22" i="138"/>
  <c r="A20" i="138"/>
  <c r="A17" i="138"/>
  <c r="A2" i="138"/>
  <c r="A1" i="138"/>
  <c r="A27" i="137"/>
  <c r="A26" i="137"/>
  <c r="A24" i="137"/>
  <c r="A22" i="137"/>
  <c r="A20" i="137"/>
  <c r="A17" i="137"/>
  <c r="A2" i="137"/>
  <c r="A1" i="137"/>
  <c r="A27" i="136"/>
  <c r="A26" i="136"/>
  <c r="A24" i="136"/>
  <c r="A22" i="136"/>
  <c r="A20" i="136"/>
  <c r="A17" i="136"/>
  <c r="A2" i="136"/>
  <c r="A1" i="136"/>
  <c r="A17" i="9"/>
  <c r="E3" i="135"/>
  <c r="E4" i="135" s="1"/>
  <c r="E7" i="137" s="1"/>
  <c r="F3" i="135"/>
  <c r="F4" i="135" s="1"/>
  <c r="E7" i="138" s="1"/>
  <c r="G3" i="135"/>
  <c r="G4" i="135" s="1"/>
  <c r="E7" i="139" s="1"/>
  <c r="H3" i="135"/>
  <c r="I3" i="135"/>
  <c r="J3" i="135"/>
  <c r="K3" i="135"/>
  <c r="K4" i="135" s="1"/>
  <c r="E7" i="143" s="1"/>
  <c r="L3" i="135"/>
  <c r="M3" i="135"/>
  <c r="N3" i="135"/>
  <c r="O3" i="135"/>
  <c r="O4" i="135" s="1"/>
  <c r="E7" i="147" s="1"/>
  <c r="P3" i="135"/>
  <c r="Q3" i="135"/>
  <c r="G3" i="118"/>
  <c r="H3" i="118"/>
  <c r="I3" i="118"/>
  <c r="J3" i="118"/>
  <c r="K3" i="118"/>
  <c r="L3" i="118"/>
  <c r="M3" i="118"/>
  <c r="N3" i="118"/>
  <c r="O3" i="118"/>
  <c r="P3" i="118"/>
  <c r="Q3" i="118"/>
  <c r="C3" i="118"/>
  <c r="C30" i="118" s="1"/>
  <c r="A20" i="9"/>
  <c r="A22" i="9"/>
  <c r="A24" i="9"/>
  <c r="A27" i="9"/>
  <c r="A26" i="9"/>
  <c r="A17" i="16"/>
  <c r="A44" i="16"/>
  <c r="A43" i="16"/>
  <c r="A32" i="102"/>
  <c r="A31" i="102"/>
  <c r="L55" i="118" l="1"/>
  <c r="L41" i="118"/>
  <c r="L43" i="118"/>
  <c r="L24" i="118"/>
  <c r="L34" i="118"/>
  <c r="L16" i="118"/>
  <c r="L18" i="118"/>
  <c r="L20" i="118"/>
  <c r="L22" i="118"/>
  <c r="L26" i="118"/>
  <c r="L28" i="118"/>
  <c r="L32" i="118"/>
  <c r="K55" i="118"/>
  <c r="K43" i="118"/>
  <c r="K16" i="118"/>
  <c r="K18" i="118"/>
  <c r="K26" i="118"/>
  <c r="K20" i="118"/>
  <c r="K22" i="118"/>
  <c r="K41" i="118"/>
  <c r="K24" i="118"/>
  <c r="K28" i="118"/>
  <c r="K32" i="118"/>
  <c r="K34" i="118"/>
  <c r="J55" i="118"/>
  <c r="J16" i="118"/>
  <c r="J43" i="118"/>
  <c r="J18" i="118"/>
  <c r="J20" i="118"/>
  <c r="J22" i="118"/>
  <c r="J24" i="118"/>
  <c r="J28" i="118"/>
  <c r="J26" i="118"/>
  <c r="J32" i="118"/>
  <c r="J34" i="118"/>
  <c r="J41" i="118"/>
  <c r="I55" i="118"/>
  <c r="I16" i="118"/>
  <c r="I18" i="118"/>
  <c r="I32" i="118"/>
  <c r="I20" i="118"/>
  <c r="I22" i="118"/>
  <c r="I24" i="118"/>
  <c r="I26" i="118"/>
  <c r="I28" i="118"/>
  <c r="I34" i="118"/>
  <c r="I41" i="118"/>
  <c r="I43" i="118"/>
  <c r="Q55" i="118"/>
  <c r="Q24" i="118"/>
  <c r="Q26" i="118"/>
  <c r="Q28" i="118"/>
  <c r="Q32" i="118"/>
  <c r="Q34" i="118"/>
  <c r="Q22" i="118"/>
  <c r="Q41" i="118"/>
  <c r="Q43" i="118"/>
  <c r="Q16" i="118"/>
  <c r="Q18" i="118"/>
  <c r="Q20" i="118"/>
  <c r="H55" i="118"/>
  <c r="H18" i="118"/>
  <c r="H34" i="118"/>
  <c r="H20" i="118"/>
  <c r="H22" i="118"/>
  <c r="H24" i="118"/>
  <c r="H26" i="118"/>
  <c r="H28" i="118"/>
  <c r="H32" i="118"/>
  <c r="H16" i="118"/>
  <c r="H41" i="118"/>
  <c r="H43" i="118"/>
  <c r="G55" i="118"/>
  <c r="G20" i="118"/>
  <c r="G22" i="118"/>
  <c r="G24" i="118"/>
  <c r="G41" i="118"/>
  <c r="G18" i="118"/>
  <c r="G26" i="118"/>
  <c r="G28" i="118"/>
  <c r="G32" i="118"/>
  <c r="G34" i="118"/>
  <c r="G43" i="118"/>
  <c r="G16" i="118"/>
  <c r="P55" i="118"/>
  <c r="P26" i="118"/>
  <c r="P28" i="118"/>
  <c r="P24" i="118"/>
  <c r="P32" i="118"/>
  <c r="P34" i="118"/>
  <c r="P41" i="118"/>
  <c r="P43" i="118"/>
  <c r="P16" i="118"/>
  <c r="P18" i="118"/>
  <c r="P20" i="118"/>
  <c r="P22" i="118"/>
  <c r="O55" i="118"/>
  <c r="O28" i="118"/>
  <c r="O32" i="118"/>
  <c r="O34" i="118"/>
  <c r="O41" i="118"/>
  <c r="O26" i="118"/>
  <c r="O43" i="118"/>
  <c r="O16" i="118"/>
  <c r="O18" i="118"/>
  <c r="O20" i="118"/>
  <c r="O22" i="118"/>
  <c r="O24" i="118"/>
  <c r="N55" i="118"/>
  <c r="N32" i="118"/>
  <c r="N34" i="118"/>
  <c r="N41" i="118"/>
  <c r="N43" i="118"/>
  <c r="N20" i="118"/>
  <c r="N16" i="118"/>
  <c r="N18" i="118"/>
  <c r="N22" i="118"/>
  <c r="N24" i="118"/>
  <c r="N26" i="118"/>
  <c r="N28" i="118"/>
  <c r="M55" i="118"/>
  <c r="M34" i="118"/>
  <c r="M32" i="118"/>
  <c r="M41" i="118"/>
  <c r="M22" i="118"/>
  <c r="M43" i="118"/>
  <c r="M16" i="118"/>
  <c r="M18" i="118"/>
  <c r="M20" i="118"/>
  <c r="M24" i="118"/>
  <c r="M26" i="118"/>
  <c r="M28" i="118"/>
  <c r="C55" i="118"/>
  <c r="C43" i="118"/>
  <c r="C28" i="118"/>
  <c r="C20" i="118"/>
  <c r="C41" i="118"/>
  <c r="C26" i="118"/>
  <c r="C18" i="118"/>
  <c r="C34" i="118"/>
  <c r="C24" i="118"/>
  <c r="C16" i="118"/>
  <c r="C32" i="118"/>
  <c r="C22" i="118"/>
  <c r="N7" i="118"/>
  <c r="N4" i="118"/>
  <c r="F7" i="191" s="1"/>
  <c r="K8" i="118"/>
  <c r="K4" i="118"/>
  <c r="F7" i="188" s="1"/>
  <c r="J18" i="135"/>
  <c r="J4" i="135"/>
  <c r="E7" i="142" s="1"/>
  <c r="L9" i="118"/>
  <c r="L4" i="118"/>
  <c r="F7" i="189" s="1"/>
  <c r="J7" i="118"/>
  <c r="J4" i="118"/>
  <c r="F7" i="187" s="1"/>
  <c r="I13" i="135"/>
  <c r="I4" i="135"/>
  <c r="E7" i="141" s="1"/>
  <c r="I8" i="118"/>
  <c r="I4" i="118"/>
  <c r="F7" i="186" s="1"/>
  <c r="H6" i="135"/>
  <c r="H4" i="135"/>
  <c r="E7" i="140" s="1"/>
  <c r="G8" i="118"/>
  <c r="G4" i="118"/>
  <c r="F7" i="184" s="1"/>
  <c r="H9" i="118"/>
  <c r="H4" i="118"/>
  <c r="F7" i="185" s="1"/>
  <c r="Q11" i="135"/>
  <c r="Q4" i="135"/>
  <c r="E7" i="149" s="1"/>
  <c r="Q8" i="118"/>
  <c r="Q4" i="118"/>
  <c r="F7" i="194" s="1"/>
  <c r="P18" i="135"/>
  <c r="P4" i="135"/>
  <c r="E7" i="148" s="1"/>
  <c r="P9" i="118"/>
  <c r="P4" i="118"/>
  <c r="F7" i="193" s="1"/>
  <c r="O8" i="118"/>
  <c r="O4" i="118"/>
  <c r="F7" i="192" s="1"/>
  <c r="N18" i="135"/>
  <c r="N4" i="135"/>
  <c r="E7" i="146" s="1"/>
  <c r="M7" i="135"/>
  <c r="M4" i="135"/>
  <c r="E7" i="145" s="1"/>
  <c r="M8" i="118"/>
  <c r="M4" i="118"/>
  <c r="F7" i="190" s="1"/>
  <c r="L18" i="135"/>
  <c r="L4" i="135"/>
  <c r="E7" i="144" s="1"/>
  <c r="C57" i="118"/>
  <c r="C4" i="118"/>
  <c r="I5" i="118"/>
  <c r="Q51" i="118"/>
  <c r="I51" i="118"/>
  <c r="Q44" i="118"/>
  <c r="K13" i="118"/>
  <c r="O59" i="118"/>
  <c r="M49" i="118"/>
  <c r="M11" i="118"/>
  <c r="G59" i="118"/>
  <c r="G49" i="118"/>
  <c r="M10" i="118"/>
  <c r="Q5" i="118"/>
  <c r="B26" i="194" s="1"/>
  <c r="P6" i="118"/>
  <c r="H6" i="118"/>
  <c r="K59" i="118"/>
  <c r="M56" i="118"/>
  <c r="M51" i="118"/>
  <c r="Q49" i="118"/>
  <c r="I49" i="118"/>
  <c r="I44" i="118"/>
  <c r="L14" i="118"/>
  <c r="B16" i="189" s="1"/>
  <c r="O13" i="118"/>
  <c r="G13" i="118"/>
  <c r="Q10" i="118"/>
  <c r="B12" i="194" s="1"/>
  <c r="I10" i="118"/>
  <c r="B12" i="186" s="1"/>
  <c r="I9" i="118"/>
  <c r="B11" i="186" s="1"/>
  <c r="M5" i="118"/>
  <c r="M6" i="118"/>
  <c r="Q59" i="118"/>
  <c r="I59" i="118"/>
  <c r="B41" i="186" s="1"/>
  <c r="I56" i="118"/>
  <c r="L51" i="118"/>
  <c r="O49" i="118"/>
  <c r="Q14" i="118"/>
  <c r="B16" i="194" s="1"/>
  <c r="I14" i="118"/>
  <c r="B16" i="186" s="1"/>
  <c r="M13" i="118"/>
  <c r="Q11" i="118"/>
  <c r="P10" i="118"/>
  <c r="H10" i="118"/>
  <c r="Q7" i="118"/>
  <c r="L6" i="118"/>
  <c r="P14" i="118"/>
  <c r="B16" i="193" s="1"/>
  <c r="H14" i="118"/>
  <c r="B16" i="185" s="1"/>
  <c r="Q9" i="118"/>
  <c r="M7" i="118"/>
  <c r="Q6" i="118"/>
  <c r="I6" i="118"/>
  <c r="B8" i="186" s="1"/>
  <c r="M59" i="118"/>
  <c r="B41" i="190" s="1"/>
  <c r="Q56" i="118"/>
  <c r="P51" i="118"/>
  <c r="H51" i="118"/>
  <c r="K49" i="118"/>
  <c r="M44" i="118"/>
  <c r="M14" i="118"/>
  <c r="B16" i="190" s="1"/>
  <c r="Q13" i="118"/>
  <c r="I13" i="118"/>
  <c r="B15" i="186" s="1"/>
  <c r="I11" i="118"/>
  <c r="B13" i="186" s="1"/>
  <c r="L10" i="118"/>
  <c r="M9" i="118"/>
  <c r="I7" i="118"/>
  <c r="B9" i="186" s="1"/>
  <c r="J57" i="118"/>
  <c r="N57" i="118"/>
  <c r="N47" i="118"/>
  <c r="J47" i="118"/>
  <c r="N12" i="118"/>
  <c r="J12" i="118"/>
  <c r="O9" i="118"/>
  <c r="K9" i="118"/>
  <c r="G9" i="118"/>
  <c r="N8" i="118"/>
  <c r="J8" i="118"/>
  <c r="P5" i="118"/>
  <c r="B26" i="193" s="1"/>
  <c r="L5" i="118"/>
  <c r="H5" i="118"/>
  <c r="O6" i="118"/>
  <c r="K6" i="118"/>
  <c r="G6" i="118"/>
  <c r="N59" i="118"/>
  <c r="J59" i="118"/>
  <c r="Q57" i="118"/>
  <c r="M57" i="118"/>
  <c r="I57" i="118"/>
  <c r="B40" i="186" s="1"/>
  <c r="P56" i="118"/>
  <c r="L56" i="118"/>
  <c r="H56" i="118"/>
  <c r="O51" i="118"/>
  <c r="K51" i="118"/>
  <c r="G51" i="118"/>
  <c r="N49" i="118"/>
  <c r="J49" i="118"/>
  <c r="Q47" i="118"/>
  <c r="M47" i="118"/>
  <c r="I47" i="118"/>
  <c r="B35" i="186" s="1"/>
  <c r="P44" i="118"/>
  <c r="L44" i="118"/>
  <c r="B34" i="189" s="1"/>
  <c r="H44" i="118"/>
  <c r="O14" i="118"/>
  <c r="B16" i="192" s="1"/>
  <c r="K14" i="118"/>
  <c r="B16" i="188" s="1"/>
  <c r="G14" i="118"/>
  <c r="B16" i="184" s="1"/>
  <c r="N13" i="118"/>
  <c r="J13" i="118"/>
  <c r="Q12" i="118"/>
  <c r="M12" i="118"/>
  <c r="I12" i="118"/>
  <c r="B14" i="186" s="1"/>
  <c r="P11" i="118"/>
  <c r="L11" i="118"/>
  <c r="H11" i="118"/>
  <c r="O10" i="118"/>
  <c r="K10" i="118"/>
  <c r="G10" i="118"/>
  <c r="N9" i="118"/>
  <c r="J9" i="118"/>
  <c r="P7" i="118"/>
  <c r="L7" i="118"/>
  <c r="B9" i="189" s="1"/>
  <c r="H7" i="118"/>
  <c r="O5" i="118"/>
  <c r="B39" i="192" s="1"/>
  <c r="K5" i="118"/>
  <c r="G5" i="118"/>
  <c r="B39" i="184" s="1"/>
  <c r="N6" i="118"/>
  <c r="J6" i="118"/>
  <c r="P57" i="118"/>
  <c r="L57" i="118"/>
  <c r="B40" i="189" s="1"/>
  <c r="H57" i="118"/>
  <c r="O56" i="118"/>
  <c r="K56" i="118"/>
  <c r="G56" i="118"/>
  <c r="N51" i="118"/>
  <c r="J51" i="118"/>
  <c r="P47" i="118"/>
  <c r="L47" i="118"/>
  <c r="B35" i="189" s="1"/>
  <c r="H47" i="118"/>
  <c r="O44" i="118"/>
  <c r="K44" i="118"/>
  <c r="G44" i="118"/>
  <c r="N14" i="118"/>
  <c r="B16" i="191" s="1"/>
  <c r="J14" i="118"/>
  <c r="B16" i="187" s="1"/>
  <c r="P12" i="118"/>
  <c r="L12" i="118"/>
  <c r="B14" i="189" s="1"/>
  <c r="H12" i="118"/>
  <c r="O11" i="118"/>
  <c r="B13" i="192" s="1"/>
  <c r="K11" i="118"/>
  <c r="B13" i="188" s="1"/>
  <c r="G11" i="118"/>
  <c r="N10" i="118"/>
  <c r="J10" i="118"/>
  <c r="P8" i="118"/>
  <c r="L8" i="118"/>
  <c r="B10" i="189" s="1"/>
  <c r="H8" i="118"/>
  <c r="O7" i="118"/>
  <c r="K7" i="118"/>
  <c r="G7" i="118"/>
  <c r="N5" i="118"/>
  <c r="B39" i="191" s="1"/>
  <c r="J5" i="118"/>
  <c r="B39" i="187" s="1"/>
  <c r="P59" i="118"/>
  <c r="L59" i="118"/>
  <c r="B41" i="189" s="1"/>
  <c r="H59" i="118"/>
  <c r="O57" i="118"/>
  <c r="K57" i="118"/>
  <c r="G57" i="118"/>
  <c r="N56" i="118"/>
  <c r="J56" i="118"/>
  <c r="P49" i="118"/>
  <c r="L49" i="118"/>
  <c r="B36" i="189" s="1"/>
  <c r="H49" i="118"/>
  <c r="O47" i="118"/>
  <c r="B35" i="192" s="1"/>
  <c r="K47" i="118"/>
  <c r="B35" i="188" s="1"/>
  <c r="G47" i="118"/>
  <c r="N44" i="118"/>
  <c r="J44" i="118"/>
  <c r="P13" i="118"/>
  <c r="L13" i="118"/>
  <c r="B15" i="189" s="1"/>
  <c r="H13" i="118"/>
  <c r="O12" i="118"/>
  <c r="K12" i="118"/>
  <c r="G12" i="118"/>
  <c r="N11" i="118"/>
  <c r="B13" i="191" s="1"/>
  <c r="J11" i="118"/>
  <c r="B13" i="187" s="1"/>
  <c r="I7" i="135"/>
  <c r="C3" i="135"/>
  <c r="C4" i="135" s="1"/>
  <c r="E7" i="9" s="1"/>
  <c r="D3" i="135"/>
  <c r="D4" i="135" s="1"/>
  <c r="E7" i="136" s="1"/>
  <c r="I11" i="135"/>
  <c r="M13" i="135"/>
  <c r="P6" i="135"/>
  <c r="H18" i="135"/>
  <c r="P22" i="135"/>
  <c r="H10" i="135"/>
  <c r="L22" i="135"/>
  <c r="L6" i="135"/>
  <c r="P10" i="135"/>
  <c r="H22" i="135"/>
  <c r="G5" i="135"/>
  <c r="B7" i="139" s="1"/>
  <c r="Q7" i="135"/>
  <c r="M11" i="135"/>
  <c r="Q13" i="135"/>
  <c r="L10" i="135"/>
  <c r="G12" i="135"/>
  <c r="K9" i="135"/>
  <c r="K5" i="135"/>
  <c r="B7" i="143" s="1"/>
  <c r="K6" i="135"/>
  <c r="O9" i="135"/>
  <c r="K12" i="135"/>
  <c r="O5" i="135"/>
  <c r="B7" i="147" s="1"/>
  <c r="O12" i="135"/>
  <c r="G6" i="135"/>
  <c r="G9" i="135"/>
  <c r="J5" i="135"/>
  <c r="B7" i="142" s="1"/>
  <c r="N5" i="135"/>
  <c r="B7" i="146" s="1"/>
  <c r="O6" i="135"/>
  <c r="H7" i="135"/>
  <c r="L7" i="135"/>
  <c r="P7" i="135"/>
  <c r="I8" i="135"/>
  <c r="M8" i="135"/>
  <c r="Q8" i="135"/>
  <c r="J9" i="135"/>
  <c r="N9" i="135"/>
  <c r="G10" i="135"/>
  <c r="K10" i="135"/>
  <c r="O10" i="135"/>
  <c r="H11" i="135"/>
  <c r="L11" i="135"/>
  <c r="P11" i="135"/>
  <c r="J12" i="135"/>
  <c r="N12" i="135"/>
  <c r="H13" i="135"/>
  <c r="L13" i="135"/>
  <c r="P13" i="135"/>
  <c r="I16" i="135"/>
  <c r="M16" i="135"/>
  <c r="Q16" i="135"/>
  <c r="G18" i="135"/>
  <c r="K18" i="135"/>
  <c r="O18" i="135"/>
  <c r="I22" i="135"/>
  <c r="M22" i="135"/>
  <c r="Q22" i="135"/>
  <c r="J8" i="135"/>
  <c r="N8" i="135"/>
  <c r="J16" i="135"/>
  <c r="N16" i="135"/>
  <c r="J22" i="135"/>
  <c r="N22" i="135"/>
  <c r="H5" i="135"/>
  <c r="B7" i="140" s="1"/>
  <c r="L5" i="135"/>
  <c r="B7" i="144" s="1"/>
  <c r="P5" i="135"/>
  <c r="B7" i="148" s="1"/>
  <c r="I6" i="135"/>
  <c r="M6" i="135"/>
  <c r="Q6" i="135"/>
  <c r="J7" i="135"/>
  <c r="N7" i="135"/>
  <c r="G8" i="135"/>
  <c r="K8" i="135"/>
  <c r="O8" i="135"/>
  <c r="H9" i="135"/>
  <c r="L9" i="135"/>
  <c r="P9" i="135"/>
  <c r="I10" i="135"/>
  <c r="M10" i="135"/>
  <c r="Q10" i="135"/>
  <c r="J11" i="135"/>
  <c r="N11" i="135"/>
  <c r="H12" i="135"/>
  <c r="L12" i="135"/>
  <c r="P12" i="135"/>
  <c r="J13" i="135"/>
  <c r="N13" i="135"/>
  <c r="G16" i="135"/>
  <c r="K16" i="135"/>
  <c r="O16" i="135"/>
  <c r="I18" i="135"/>
  <c r="M18" i="135"/>
  <c r="Q18" i="135"/>
  <c r="G22" i="135"/>
  <c r="K22" i="135"/>
  <c r="O22" i="135"/>
  <c r="I5" i="135"/>
  <c r="B7" i="141" s="1"/>
  <c r="M5" i="135"/>
  <c r="B7" i="145" s="1"/>
  <c r="Q5" i="135"/>
  <c r="B7" i="149" s="1"/>
  <c r="J6" i="135"/>
  <c r="N6" i="135"/>
  <c r="G7" i="135"/>
  <c r="K7" i="135"/>
  <c r="O7" i="135"/>
  <c r="H8" i="135"/>
  <c r="L8" i="135"/>
  <c r="P8" i="135"/>
  <c r="I9" i="135"/>
  <c r="M9" i="135"/>
  <c r="Q9" i="135"/>
  <c r="J10" i="135"/>
  <c r="N10" i="135"/>
  <c r="G11" i="135"/>
  <c r="K11" i="135"/>
  <c r="O11" i="135"/>
  <c r="I12" i="135"/>
  <c r="M12" i="135"/>
  <c r="Q12" i="135"/>
  <c r="G13" i="135"/>
  <c r="K13" i="135"/>
  <c r="O13" i="135"/>
  <c r="H16" i="135"/>
  <c r="L16" i="135"/>
  <c r="P16" i="135"/>
  <c r="C6" i="118"/>
  <c r="C8" i="118"/>
  <c r="C12" i="118"/>
  <c r="C49" i="118"/>
  <c r="C59" i="118"/>
  <c r="C5" i="118"/>
  <c r="C9" i="118"/>
  <c r="C13" i="118"/>
  <c r="C51" i="118"/>
  <c r="C44" i="118"/>
  <c r="C10" i="118"/>
  <c r="C14" i="118"/>
  <c r="B16" i="16" s="1"/>
  <c r="C56" i="118"/>
  <c r="C7" i="118"/>
  <c r="C11" i="118"/>
  <c r="C47" i="118"/>
  <c r="D3" i="118"/>
  <c r="D30" i="118" s="1"/>
  <c r="F3" i="118"/>
  <c r="F30" i="118" s="1"/>
  <c r="E3" i="118"/>
  <c r="E30" i="118" s="1"/>
  <c r="B26" i="181" l="1"/>
  <c r="B13" i="189"/>
  <c r="B12" i="189"/>
  <c r="B26" i="183"/>
  <c r="B9" i="143"/>
  <c r="B35" i="190"/>
  <c r="B40" i="194"/>
  <c r="B11" i="194"/>
  <c r="B36" i="186"/>
  <c r="B35" i="184"/>
  <c r="B13" i="184"/>
  <c r="B8" i="194"/>
  <c r="B40" i="190"/>
  <c r="B39" i="185"/>
  <c r="B14" i="190"/>
  <c r="B34" i="193"/>
  <c r="B26" i="182"/>
  <c r="B26" i="185"/>
  <c r="B26" i="184"/>
  <c r="B26" i="192"/>
  <c r="B26" i="191"/>
  <c r="B26" i="190"/>
  <c r="B26" i="188"/>
  <c r="B26" i="189"/>
  <c r="B26" i="187"/>
  <c r="B26" i="186"/>
  <c r="B26" i="16"/>
  <c r="B14" i="194"/>
  <c r="B36" i="194"/>
  <c r="B14" i="188"/>
  <c r="B34" i="190"/>
  <c r="B41" i="185"/>
  <c r="B11" i="190"/>
  <c r="B9" i="188"/>
  <c r="B40" i="188"/>
  <c r="B36" i="185"/>
  <c r="B35" i="194"/>
  <c r="B15" i="194"/>
  <c r="B36" i="193"/>
  <c r="B14" i="193"/>
  <c r="B9" i="193"/>
  <c r="B41" i="194"/>
  <c r="B9" i="194"/>
  <c r="B15" i="185"/>
  <c r="B15" i="193"/>
  <c r="B10" i="193"/>
  <c r="P66" i="133" s="1"/>
  <c r="B40" i="193"/>
  <c r="B13" i="194"/>
  <c r="B41" i="193"/>
  <c r="B35" i="193"/>
  <c r="B13" i="193"/>
  <c r="B9" i="190"/>
  <c r="B15" i="190"/>
  <c r="B8" i="190"/>
  <c r="B34" i="186"/>
  <c r="B14" i="184"/>
  <c r="B9" i="184"/>
  <c r="B36" i="187"/>
  <c r="B41" i="191"/>
  <c r="B14" i="192"/>
  <c r="B9" i="192"/>
  <c r="B40" i="184"/>
  <c r="L66" i="133"/>
  <c r="D6252" i="3"/>
  <c r="D6267" i="3"/>
  <c r="B34" i="184"/>
  <c r="B37" i="192"/>
  <c r="B37" i="193"/>
  <c r="B12" i="193"/>
  <c r="B37" i="194"/>
  <c r="B34" i="188"/>
  <c r="B34" i="187"/>
  <c r="B40" i="192"/>
  <c r="B34" i="192"/>
  <c r="B34" i="191"/>
  <c r="B7" i="188"/>
  <c r="B20" i="188"/>
  <c r="B27" i="188"/>
  <c r="B25" i="188"/>
  <c r="B28" i="188"/>
  <c r="B22" i="188"/>
  <c r="B31" i="188"/>
  <c r="B23" i="188"/>
  <c r="B24" i="188"/>
  <c r="B19" i="188"/>
  <c r="B32" i="188"/>
  <c r="B21" i="188"/>
  <c r="B12" i="188"/>
  <c r="B15" i="187"/>
  <c r="B36" i="191"/>
  <c r="B8" i="184"/>
  <c r="B7" i="189"/>
  <c r="B23" i="189"/>
  <c r="B32" i="189"/>
  <c r="B31" i="189"/>
  <c r="B19" i="189"/>
  <c r="B27" i="189"/>
  <c r="B21" i="189"/>
  <c r="B20" i="189"/>
  <c r="B28" i="189"/>
  <c r="B22" i="189"/>
  <c r="B25" i="189"/>
  <c r="B24" i="189"/>
  <c r="B11" i="184"/>
  <c r="B14" i="191"/>
  <c r="B40" i="187"/>
  <c r="B8" i="189"/>
  <c r="B36" i="192"/>
  <c r="B37" i="190"/>
  <c r="B8" i="193"/>
  <c r="B41" i="184"/>
  <c r="B15" i="188"/>
  <c r="B7" i="186"/>
  <c r="B25" i="186"/>
  <c r="B20" i="186"/>
  <c r="B19" i="186"/>
  <c r="B27" i="186"/>
  <c r="B21" i="186"/>
  <c r="B22" i="186"/>
  <c r="B31" i="186"/>
  <c r="B28" i="186"/>
  <c r="B32" i="186"/>
  <c r="B24" i="186"/>
  <c r="B23" i="186"/>
  <c r="B10" i="192"/>
  <c r="B10" i="184"/>
  <c r="B10" i="186"/>
  <c r="B9" i="187"/>
  <c r="B9" i="191"/>
  <c r="B7" i="187"/>
  <c r="B31" i="187"/>
  <c r="B23" i="187"/>
  <c r="B22" i="187"/>
  <c r="B32" i="187"/>
  <c r="B24" i="187"/>
  <c r="B19" i="187"/>
  <c r="B25" i="187"/>
  <c r="B20" i="187"/>
  <c r="B21" i="187"/>
  <c r="B28" i="187"/>
  <c r="B27" i="187"/>
  <c r="B12" i="187"/>
  <c r="B37" i="187"/>
  <c r="B8" i="187"/>
  <c r="B7" i="192"/>
  <c r="B28" i="192"/>
  <c r="B22" i="192"/>
  <c r="B21" i="192"/>
  <c r="B31" i="192"/>
  <c r="B23" i="192"/>
  <c r="B24" i="192"/>
  <c r="B19" i="192"/>
  <c r="B32" i="192"/>
  <c r="B20" i="192"/>
  <c r="B27" i="192"/>
  <c r="B25" i="192"/>
  <c r="B11" i="187"/>
  <c r="B12" i="192"/>
  <c r="B15" i="191"/>
  <c r="B34" i="185"/>
  <c r="B37" i="184"/>
  <c r="B8" i="188"/>
  <c r="B7" i="193"/>
  <c r="B19" i="193"/>
  <c r="B25" i="193"/>
  <c r="B24" i="193"/>
  <c r="B27" i="193"/>
  <c r="B21" i="193"/>
  <c r="B28" i="193"/>
  <c r="B22" i="193"/>
  <c r="B23" i="193"/>
  <c r="B32" i="193"/>
  <c r="B31" i="193"/>
  <c r="B20" i="193"/>
  <c r="B11" i="188"/>
  <c r="B35" i="187"/>
  <c r="B36" i="188"/>
  <c r="B37" i="189"/>
  <c r="B7" i="194"/>
  <c r="B22" i="194"/>
  <c r="B31" i="194"/>
  <c r="B28" i="194"/>
  <c r="B32" i="194"/>
  <c r="B24" i="194"/>
  <c r="B25" i="194"/>
  <c r="B20" i="194"/>
  <c r="B19" i="194"/>
  <c r="B27" i="194"/>
  <c r="B21" i="194"/>
  <c r="B23" i="194"/>
  <c r="B13" i="190"/>
  <c r="B34" i="194"/>
  <c r="B39" i="186"/>
  <c r="B7" i="191"/>
  <c r="B32" i="191"/>
  <c r="B24" i="191"/>
  <c r="B19" i="191"/>
  <c r="B25" i="191"/>
  <c r="B20" i="191"/>
  <c r="B21" i="191"/>
  <c r="B28" i="191"/>
  <c r="B27" i="191"/>
  <c r="B31" i="191"/>
  <c r="B23" i="191"/>
  <c r="B22" i="191"/>
  <c r="B10" i="185"/>
  <c r="B12" i="191"/>
  <c r="B14" i="185"/>
  <c r="B35" i="185"/>
  <c r="B37" i="191"/>
  <c r="B40" i="185"/>
  <c r="B8" i="191"/>
  <c r="B9" i="185"/>
  <c r="B11" i="191"/>
  <c r="B13" i="185"/>
  <c r="B37" i="188"/>
  <c r="B41" i="187"/>
  <c r="B8" i="192"/>
  <c r="B10" i="187"/>
  <c r="B11" i="192"/>
  <c r="B35" i="191"/>
  <c r="B37" i="185"/>
  <c r="B12" i="185"/>
  <c r="B7" i="190"/>
  <c r="B27" i="190"/>
  <c r="B21" i="190"/>
  <c r="B22" i="190"/>
  <c r="B32" i="190"/>
  <c r="B24" i="190"/>
  <c r="B23" i="190"/>
  <c r="B25" i="190"/>
  <c r="B20" i="190"/>
  <c r="B19" i="190"/>
  <c r="B28" i="190"/>
  <c r="B31" i="190"/>
  <c r="B15" i="184"/>
  <c r="B41" i="188"/>
  <c r="B12" i="190"/>
  <c r="B36" i="190"/>
  <c r="B37" i="186"/>
  <c r="B10" i="190"/>
  <c r="B11" i="193"/>
  <c r="B10" i="194"/>
  <c r="B11" i="185"/>
  <c r="B11" i="189"/>
  <c r="B10" i="188"/>
  <c r="B39" i="190"/>
  <c r="B39" i="189"/>
  <c r="B7" i="184"/>
  <c r="B24" i="184"/>
  <c r="B19" i="184"/>
  <c r="B32" i="184"/>
  <c r="B20" i="184"/>
  <c r="B28" i="184"/>
  <c r="B22" i="184"/>
  <c r="B21" i="184"/>
  <c r="B31" i="184"/>
  <c r="B23" i="184"/>
  <c r="B25" i="184"/>
  <c r="B27" i="184"/>
  <c r="B12" i="184"/>
  <c r="B7" i="185"/>
  <c r="B28" i="185"/>
  <c r="B22" i="185"/>
  <c r="B23" i="185"/>
  <c r="B19" i="185"/>
  <c r="B25" i="185"/>
  <c r="B24" i="185"/>
  <c r="B27" i="185"/>
  <c r="B21" i="185"/>
  <c r="B20" i="185"/>
  <c r="B31" i="185"/>
  <c r="B32" i="185"/>
  <c r="B10" i="191"/>
  <c r="B14" i="187"/>
  <c r="B40" i="191"/>
  <c r="B15" i="192"/>
  <c r="B8" i="185"/>
  <c r="B36" i="184"/>
  <c r="B41" i="192"/>
  <c r="B39" i="194"/>
  <c r="B39" i="188"/>
  <c r="B39" i="193"/>
  <c r="B22" i="16"/>
  <c r="D41" i="118"/>
  <c r="D26" i="118"/>
  <c r="D18" i="118"/>
  <c r="D16" i="118"/>
  <c r="D34" i="118"/>
  <c r="D24" i="118"/>
  <c r="D32" i="118"/>
  <c r="D22" i="118"/>
  <c r="D43" i="118"/>
  <c r="D28" i="118"/>
  <c r="D20" i="118"/>
  <c r="B27" i="16"/>
  <c r="B19" i="16"/>
  <c r="B23" i="16"/>
  <c r="B28" i="16"/>
  <c r="B20" i="16"/>
  <c r="B7" i="16"/>
  <c r="B24" i="16"/>
  <c r="B31" i="16"/>
  <c r="F7" i="16"/>
  <c r="B21" i="16"/>
  <c r="F43" i="118"/>
  <c r="F28" i="118"/>
  <c r="F20" i="118"/>
  <c r="F41" i="118"/>
  <c r="F26" i="118"/>
  <c r="F18" i="118"/>
  <c r="F34" i="118"/>
  <c r="F24" i="118"/>
  <c r="F16" i="118"/>
  <c r="F32" i="118"/>
  <c r="F22" i="118"/>
  <c r="B25" i="16"/>
  <c r="B32" i="16"/>
  <c r="E41" i="118"/>
  <c r="E26" i="118"/>
  <c r="E18" i="118"/>
  <c r="E34" i="118"/>
  <c r="E24" i="118"/>
  <c r="E16" i="118"/>
  <c r="E32" i="118"/>
  <c r="E22" i="118"/>
  <c r="E28" i="118"/>
  <c r="E20" i="118"/>
  <c r="E43" i="118"/>
  <c r="B39" i="16"/>
  <c r="D4" i="118"/>
  <c r="F7" i="181" s="1"/>
  <c r="D55" i="118"/>
  <c r="F4" i="118"/>
  <c r="F7" i="183" s="1"/>
  <c r="F55" i="118"/>
  <c r="E4" i="118"/>
  <c r="F7" i="182" s="1"/>
  <c r="E55" i="118"/>
  <c r="B11" i="16"/>
  <c r="B35" i="16"/>
  <c r="B13" i="16"/>
  <c r="B8" i="16"/>
  <c r="B14" i="16"/>
  <c r="B34" i="16"/>
  <c r="B37" i="16"/>
  <c r="B41" i="16"/>
  <c r="B16" i="147"/>
  <c r="B18" i="147" s="1"/>
  <c r="B36" i="16"/>
  <c r="B8" i="139"/>
  <c r="D7069" i="3"/>
  <c r="B12" i="16"/>
  <c r="D7074" i="3"/>
  <c r="D7067" i="3"/>
  <c r="D7070" i="3"/>
  <c r="B40" i="16"/>
  <c r="D7066" i="3"/>
  <c r="B15" i="16"/>
  <c r="B25" i="147"/>
  <c r="D7064" i="3"/>
  <c r="D7072" i="3"/>
  <c r="D7065" i="3"/>
  <c r="D7071" i="3"/>
  <c r="B12" i="146"/>
  <c r="D7068" i="3"/>
  <c r="B9" i="16"/>
  <c r="B10" i="16"/>
  <c r="D7073" i="3"/>
  <c r="B12" i="143"/>
  <c r="B8" i="146"/>
  <c r="B10" i="143"/>
  <c r="B16" i="143"/>
  <c r="B19" i="143"/>
  <c r="B25" i="143"/>
  <c r="B19" i="148"/>
  <c r="B10" i="147"/>
  <c r="B16" i="146"/>
  <c r="B14" i="144"/>
  <c r="B10" i="148"/>
  <c r="B9" i="146"/>
  <c r="B10" i="146"/>
  <c r="B13" i="146"/>
  <c r="B25" i="146"/>
  <c r="B19" i="144"/>
  <c r="B19" i="146"/>
  <c r="B11" i="146"/>
  <c r="B16" i="142"/>
  <c r="B14" i="146"/>
  <c r="B12" i="139"/>
  <c r="B11" i="139"/>
  <c r="B12" i="142"/>
  <c r="B13" i="142"/>
  <c r="B14" i="141"/>
  <c r="B9" i="147"/>
  <c r="B13" i="143"/>
  <c r="B8" i="142"/>
  <c r="B25" i="142"/>
  <c r="B25" i="139"/>
  <c r="B9" i="142"/>
  <c r="B14" i="145"/>
  <c r="B10" i="139"/>
  <c r="B13" i="147"/>
  <c r="B16" i="139"/>
  <c r="B9" i="139"/>
  <c r="B19" i="147"/>
  <c r="B13" i="139"/>
  <c r="B21" i="143"/>
  <c r="B19" i="139"/>
  <c r="B21" i="139"/>
  <c r="B11" i="145"/>
  <c r="B14" i="148"/>
  <c r="B11" i="148"/>
  <c r="B10" i="142"/>
  <c r="B21" i="147"/>
  <c r="B14" i="139"/>
  <c r="B11" i="144"/>
  <c r="B19" i="140"/>
  <c r="B14" i="149"/>
  <c r="B11" i="149"/>
  <c r="B10" i="144"/>
  <c r="B14" i="140"/>
  <c r="B11" i="140"/>
  <c r="B19" i="142"/>
  <c r="B12" i="147"/>
  <c r="B10" i="140"/>
  <c r="B21" i="149"/>
  <c r="B21" i="145"/>
  <c r="B12" i="149"/>
  <c r="B8" i="145"/>
  <c r="B25" i="149"/>
  <c r="B19" i="141"/>
  <c r="B13" i="140"/>
  <c r="B10" i="141"/>
  <c r="B8" i="147"/>
  <c r="B11" i="147"/>
  <c r="B9" i="149"/>
  <c r="B8" i="144"/>
  <c r="B21" i="140"/>
  <c r="B21" i="144"/>
  <c r="B9" i="145"/>
  <c r="B21" i="141"/>
  <c r="B12" i="145"/>
  <c r="B8" i="141"/>
  <c r="B25" i="145"/>
  <c r="B16" i="148"/>
  <c r="B14" i="142"/>
  <c r="B11" i="142"/>
  <c r="B9" i="148"/>
  <c r="B14" i="147"/>
  <c r="B8" i="143"/>
  <c r="B12" i="144"/>
  <c r="B25" i="144"/>
  <c r="B8" i="148"/>
  <c r="B21" i="148"/>
  <c r="B13" i="149"/>
  <c r="B12" i="141"/>
  <c r="B25" i="141"/>
  <c r="B19" i="149"/>
  <c r="B16" i="144"/>
  <c r="B13" i="148"/>
  <c r="B10" i="149"/>
  <c r="B9" i="144"/>
  <c r="B16" i="149"/>
  <c r="B25" i="140"/>
  <c r="B12" i="140"/>
  <c r="B16" i="145"/>
  <c r="B21" i="142"/>
  <c r="B21" i="146"/>
  <c r="B11" i="141"/>
  <c r="B8" i="149"/>
  <c r="B19" i="145"/>
  <c r="B16" i="140"/>
  <c r="B13" i="144"/>
  <c r="B10" i="145"/>
  <c r="B9" i="140"/>
  <c r="B14" i="143"/>
  <c r="B11" i="143"/>
  <c r="B13" i="145"/>
  <c r="B12" i="148"/>
  <c r="B25" i="148"/>
  <c r="B13" i="141"/>
  <c r="B8" i="140"/>
  <c r="B16" i="141"/>
  <c r="B9" i="141"/>
  <c r="F18" i="135"/>
  <c r="F10" i="135"/>
  <c r="F6" i="135"/>
  <c r="F13" i="135"/>
  <c r="F11" i="135"/>
  <c r="F7" i="135"/>
  <c r="F22" i="135"/>
  <c r="F16" i="135"/>
  <c r="F8" i="135"/>
  <c r="F12" i="135"/>
  <c r="F9" i="135"/>
  <c r="F5" i="135"/>
  <c r="B7" i="138" s="1"/>
  <c r="D22" i="135"/>
  <c r="D16" i="135"/>
  <c r="D8" i="135"/>
  <c r="D12" i="135"/>
  <c r="D9" i="135"/>
  <c r="D5" i="135"/>
  <c r="B7" i="136" s="1"/>
  <c r="D18" i="135"/>
  <c r="D10" i="135"/>
  <c r="D6" i="135"/>
  <c r="D13" i="135"/>
  <c r="D11" i="135"/>
  <c r="D7" i="135"/>
  <c r="E12" i="135"/>
  <c r="E9" i="135"/>
  <c r="E5" i="135"/>
  <c r="B7" i="137" s="1"/>
  <c r="E18" i="135"/>
  <c r="E10" i="135"/>
  <c r="E6" i="135"/>
  <c r="E13" i="135"/>
  <c r="E11" i="135"/>
  <c r="E7" i="135"/>
  <c r="E22" i="135"/>
  <c r="E16" i="135"/>
  <c r="E8" i="135"/>
  <c r="C13" i="135"/>
  <c r="C11" i="135"/>
  <c r="C7" i="135"/>
  <c r="C22" i="135"/>
  <c r="C16" i="135"/>
  <c r="C8" i="135"/>
  <c r="C12" i="135"/>
  <c r="C9" i="135"/>
  <c r="C5" i="135"/>
  <c r="B7" i="9" s="1"/>
  <c r="C18" i="135"/>
  <c r="C10" i="135"/>
  <c r="C6" i="135"/>
  <c r="D7" i="118"/>
  <c r="D9" i="118"/>
  <c r="D11" i="118"/>
  <c r="D13" i="118"/>
  <c r="D44" i="118"/>
  <c r="D49" i="118"/>
  <c r="D56" i="118"/>
  <c r="D59" i="118"/>
  <c r="D5" i="118"/>
  <c r="B7" i="181" s="1"/>
  <c r="D6" i="118"/>
  <c r="D8" i="118"/>
  <c r="D10" i="118"/>
  <c r="D12" i="118"/>
  <c r="D14" i="118"/>
  <c r="B16" i="181" s="1"/>
  <c r="D47" i="118"/>
  <c r="D51" i="118"/>
  <c r="D57" i="118"/>
  <c r="E7" i="118"/>
  <c r="E9" i="118"/>
  <c r="E11" i="118"/>
  <c r="E13" i="118"/>
  <c r="E44" i="118"/>
  <c r="E49" i="118"/>
  <c r="E56" i="118"/>
  <c r="E59" i="118"/>
  <c r="E5" i="118"/>
  <c r="B7" i="182" s="1"/>
  <c r="E6" i="118"/>
  <c r="E8" i="118"/>
  <c r="E10" i="118"/>
  <c r="E12" i="118"/>
  <c r="E14" i="118"/>
  <c r="B16" i="182" s="1"/>
  <c r="E47" i="118"/>
  <c r="E51" i="118"/>
  <c r="E57" i="118"/>
  <c r="F8" i="118"/>
  <c r="F10" i="118"/>
  <c r="F12" i="118"/>
  <c r="F14" i="118"/>
  <c r="B16" i="183" s="1"/>
  <c r="F47" i="118"/>
  <c r="F51" i="118"/>
  <c r="F57" i="118"/>
  <c r="F7" i="118"/>
  <c r="F9" i="118"/>
  <c r="F11" i="118"/>
  <c r="F13" i="118"/>
  <c r="F44" i="118"/>
  <c r="F49" i="118"/>
  <c r="F56" i="118"/>
  <c r="F59" i="118"/>
  <c r="F5" i="118"/>
  <c r="B7" i="183" s="1"/>
  <c r="F6" i="118"/>
  <c r="D5957" i="3" a="1"/>
  <c r="D5245" i="3" a="1"/>
  <c r="D5787" i="3" a="1"/>
  <c r="D5322" i="3" a="1"/>
  <c r="D6105" i="3" a="1"/>
  <c r="D6182" i="3" a="1"/>
  <c r="D5212" i="3" a="1"/>
  <c r="D5792" i="3" a="1"/>
  <c r="D5400" i="3" a="1"/>
  <c r="D5232" i="3" a="1"/>
  <c r="D5964" i="3" a="1"/>
  <c r="D6087" i="3" a="1"/>
  <c r="D5504" i="3" a="1"/>
  <c r="D5932" i="3" a="1"/>
  <c r="D5327" i="3" a="1"/>
  <c r="D5785" i="3" a="1"/>
  <c r="D6168" i="3" a="1"/>
  <c r="D5333" i="3" a="1"/>
  <c r="D6194" i="3" a="1"/>
  <c r="D5139" i="3" a="1"/>
  <c r="D5484" i="3" a="1"/>
  <c r="D5248" i="3" a="1"/>
  <c r="D5694" i="3" a="1"/>
  <c r="D5235" i="3" a="1"/>
  <c r="D5246" i="3" a="1"/>
  <c r="D5308" i="3" a="1"/>
  <c r="D5307" i="3" a="1"/>
  <c r="D6167" i="3" a="1"/>
  <c r="D5597" i="3" a="1"/>
  <c r="D6175" i="3" a="1"/>
  <c r="D5608" i="3" a="1"/>
  <c r="D5687" i="3" a="1"/>
  <c r="D5950" i="3" a="1"/>
  <c r="D5311" i="3" a="1"/>
  <c r="D5942" i="3" a="1"/>
  <c r="D5216" i="3" a="1"/>
  <c r="D5664" i="3" a="1"/>
  <c r="D5668" i="3" a="1"/>
  <c r="D5106" i="3" a="1"/>
  <c r="D5969" i="3" a="1"/>
  <c r="D5392" i="3" a="1"/>
  <c r="D5145" i="3" a="1"/>
  <c r="D5133" i="3" a="1"/>
  <c r="D5498" i="3" a="1"/>
  <c r="D5223" i="3" a="1"/>
  <c r="D5665" i="3" a="1"/>
  <c r="D5319" i="3" a="1"/>
  <c r="D5107" i="3" a="1"/>
  <c r="D5410" i="3" a="1"/>
  <c r="D6191" i="3" a="1"/>
  <c r="D6097" i="3" a="1"/>
  <c r="D5501" i="3" a="1"/>
  <c r="D5111" i="3" a="1"/>
  <c r="D5951" i="3" a="1"/>
  <c r="D6089" i="3" a="1"/>
  <c r="D5788" i="3" a="1"/>
  <c r="D5762" i="3" a="1"/>
  <c r="D5414" i="3" a="1"/>
  <c r="D5867" i="3" a="1"/>
  <c r="D5939" i="3" a="1"/>
  <c r="D6077" i="3" a="1"/>
  <c r="D5581" i="3" a="1"/>
  <c r="D5953" i="3" a="1"/>
  <c r="D5760" i="3" a="1"/>
  <c r="D5769" i="3" a="1"/>
  <c r="D5339" i="3" a="1"/>
  <c r="D5302" i="3" a="1"/>
  <c r="D5754" i="3" a="1"/>
  <c r="D5757" i="3" a="1"/>
  <c r="D5577" i="3" a="1"/>
  <c r="D5236" i="3" a="1"/>
  <c r="D5763" i="3" a="1"/>
  <c r="D5305" i="3" a="1"/>
  <c r="D6164" i="3" a="1"/>
  <c r="D5582" i="3" a="1"/>
  <c r="D5580" i="3" a="1"/>
  <c r="D6160" i="3" a="1"/>
  <c r="D5137" i="3" a="1"/>
  <c r="D5956" i="3" a="1"/>
  <c r="D5759" i="3" a="1"/>
  <c r="D5679" i="3" a="1"/>
  <c r="D6189" i="3" a="1"/>
  <c r="D5146" i="3" a="1"/>
  <c r="D5775" i="3" a="1"/>
  <c r="D5156" i="3" a="1"/>
  <c r="D5415" i="3" a="1"/>
  <c r="D5838" i="3" a="1"/>
  <c r="D5602" i="3" a="1"/>
  <c r="D5862" i="3" a="1"/>
  <c r="D5789" i="3" a="1"/>
  <c r="D5928" i="3" a="1"/>
  <c r="D5521" i="3" a="1"/>
  <c r="D5103" i="3" a="1"/>
  <c r="D5318" i="3" a="1"/>
  <c r="D5105" i="3" a="1"/>
  <c r="D5313" i="3" a="1"/>
  <c r="D5394" i="3" a="1"/>
  <c r="D5408" i="3" a="1"/>
  <c r="D5147" i="3" a="1"/>
  <c r="D5967" i="3" a="1"/>
  <c r="D5515" i="3" a="1"/>
  <c r="D6103" i="3" a="1"/>
  <c r="D5519" i="3" a="1"/>
  <c r="D6104" i="3" a="1"/>
  <c r="D6076" i="3" a="1"/>
  <c r="D5141" i="3" a="1"/>
  <c r="D5879" i="3" a="1"/>
  <c r="D5568" i="3" a="1"/>
  <c r="D5938" i="3" a="1"/>
  <c r="D5970" i="3" a="1"/>
  <c r="D5516" i="3" a="1"/>
  <c r="D5337" i="3" a="1"/>
  <c r="D5115" i="3" a="1"/>
  <c r="D5428" i="3" a="1"/>
  <c r="D5692" i="3" a="1"/>
  <c r="D5323" i="3" a="1"/>
  <c r="D5609" i="3" a="1"/>
  <c r="D5778" i="3" a="1"/>
  <c r="D5768" i="3" a="1"/>
  <c r="D5876" i="3" a="1"/>
  <c r="D6158" i="3" a="1"/>
  <c r="D5162" i="3" a="1"/>
  <c r="D5395" i="3" a="1"/>
  <c r="D6179" i="3" a="1"/>
  <c r="D5752" i="3" a="1"/>
  <c r="D5591" i="3" a="1"/>
  <c r="D5596" i="3" a="1"/>
  <c r="D5116" i="3" a="1"/>
  <c r="D6086" i="3" a="1"/>
  <c r="D5936" i="3" a="1"/>
  <c r="D5693" i="3" a="1"/>
  <c r="D5583" i="3" a="1"/>
  <c r="D5429" i="3" a="1"/>
  <c r="D6192" i="3" a="1"/>
  <c r="D5699" i="3" a="1"/>
  <c r="D5881" i="3" a="1"/>
  <c r="D5573" i="3" a="1"/>
  <c r="D5572" i="3" a="1"/>
  <c r="D5409" i="3" a="1"/>
  <c r="D5326" i="3" a="1"/>
  <c r="D5506" i="3" a="1"/>
  <c r="D5610" i="3" a="1"/>
  <c r="D5143" i="3" a="1"/>
  <c r="D5231" i="3" a="1"/>
  <c r="D5334" i="3" a="1"/>
  <c r="D5252" i="3" a="1"/>
  <c r="D5972" i="3" a="1"/>
  <c r="D6153" i="3" a="1"/>
  <c r="D5396" i="3" a="1"/>
  <c r="D5243" i="3" a="1"/>
  <c r="D5612" i="3" a="1"/>
  <c r="D5325" i="3" a="1"/>
  <c r="D5423" i="3" a="1"/>
  <c r="D5221" i="3" a="1"/>
  <c r="D5755" i="3" a="1"/>
  <c r="D5482" i="3" a="1"/>
  <c r="D5422" i="3" a="1"/>
  <c r="D5865" i="3" a="1"/>
  <c r="D5113" i="3" a="1"/>
  <c r="D5594" i="3" a="1"/>
  <c r="D5587" i="3" a="1"/>
  <c r="D5229" i="3" a="1"/>
  <c r="D5850" i="3" a="1"/>
  <c r="D5874" i="3" a="1"/>
  <c r="D5593" i="3" a="1"/>
  <c r="D5849" i="3" a="1"/>
  <c r="D5522" i="3" a="1"/>
  <c r="D5948" i="3" a="1"/>
  <c r="D6078" i="3" a="1"/>
  <c r="D5678" i="3" a="1"/>
  <c r="D5503" i="3" a="1"/>
  <c r="D5934" i="3" a="1"/>
  <c r="D5219" i="3" a="1"/>
  <c r="D5430" i="3" a="1"/>
  <c r="D5310" i="3" a="1"/>
  <c r="D5669" i="3" a="1"/>
  <c r="D5933" i="3" a="1"/>
  <c r="D5342" i="3" a="1"/>
  <c r="D5317" i="3" a="1"/>
  <c r="D5962" i="3" a="1"/>
  <c r="D5298" i="3" a="1"/>
  <c r="D5688" i="3" a="1"/>
  <c r="D5791" i="3" a="1"/>
  <c r="D5160" i="3" a="1"/>
  <c r="D6084" i="3" a="1"/>
  <c r="D5321" i="3" a="1"/>
  <c r="D5215" i="3" a="1"/>
  <c r="D5507" i="3" a="1"/>
  <c r="D6193" i="3" a="1"/>
  <c r="D5774" i="3" a="1"/>
  <c r="D6178" i="3" a="1"/>
  <c r="D5666" i="3" a="1"/>
  <c r="D5753" i="3" a="1"/>
  <c r="D5748" i="3" a="1"/>
  <c r="D5873" i="3" a="1"/>
  <c r="D5304" i="3" a="1"/>
  <c r="D5416" i="3" a="1"/>
  <c r="D5117" i="3" a="1"/>
  <c r="D5508" i="3" a="1"/>
  <c r="D6165" i="3" a="1"/>
  <c r="D5770" i="3" a="1"/>
  <c r="D5324" i="3" a="1"/>
  <c r="D5108" i="3" a="1"/>
  <c r="D6161" i="3" a="1"/>
  <c r="D5861" i="3" a="1"/>
  <c r="D5234" i="3" a="1"/>
  <c r="D5491" i="3" a="1"/>
  <c r="D5604" i="3" a="1"/>
  <c r="D5109" i="3" a="1"/>
  <c r="D5513" i="3" a="1"/>
  <c r="D5968" i="3" a="1"/>
  <c r="D5685" i="3" a="1"/>
  <c r="D5140" i="3" a="1"/>
  <c r="D6073" i="3" a="1"/>
  <c r="D5487" i="3" a="1"/>
  <c r="D5131" i="3" a="1"/>
  <c r="D5157" i="3" a="1"/>
  <c r="D5490" i="3" a="1"/>
  <c r="D5864" i="3" a="1"/>
  <c r="D6083" i="3" a="1"/>
  <c r="D5846" i="3" a="1"/>
  <c r="D5492" i="3" a="1"/>
  <c r="D6099" i="3" a="1"/>
  <c r="D5590" i="3" a="1"/>
  <c r="D6070" i="3" a="1"/>
  <c r="D5502" i="3" a="1"/>
  <c r="D5700" i="3" a="1"/>
  <c r="D5125" i="3" a="1"/>
  <c r="D5698" i="3" a="1"/>
  <c r="D5684" i="3" a="1"/>
  <c r="D5152" i="3" a="1"/>
  <c r="D5880" i="3" a="1"/>
  <c r="D5761" i="3" a="1"/>
  <c r="D5486" i="3" a="1"/>
  <c r="D5418" i="3" a="1"/>
  <c r="D5517" i="3" a="1"/>
  <c r="D5952" i="3" a="1"/>
  <c r="D5859" i="3" a="1"/>
  <c r="D5303" i="3" a="1"/>
  <c r="D5132" i="3" a="1"/>
  <c r="D5847" i="3" a="1"/>
  <c r="D5505" i="3" a="1"/>
  <c r="D5777" i="3" a="1"/>
  <c r="D6102" i="3" a="1"/>
  <c r="D5605" i="3" a="1"/>
  <c r="D6173" i="3" a="1"/>
  <c r="D6068" i="3" a="1"/>
  <c r="D5662" i="3" a="1"/>
  <c r="D6162" i="3" a="1"/>
  <c r="D6190" i="3" a="1"/>
  <c r="D5772" i="3" a="1"/>
  <c r="D5320" i="3" a="1"/>
  <c r="D5783" i="3" a="1"/>
  <c r="D5213" i="3" a="1"/>
  <c r="D5851" i="3" a="1"/>
  <c r="D5144" i="3" a="1"/>
  <c r="D5483" i="3" a="1"/>
  <c r="D5520" i="3" a="1"/>
  <c r="D5122" i="3" a="1"/>
  <c r="D5158" i="3" a="1"/>
  <c r="D5402" i="3" a="1"/>
  <c r="D5518" i="3" a="1"/>
  <c r="D6157" i="3" a="1"/>
  <c r="D5784" i="3" a="1"/>
  <c r="D5393" i="3" a="1"/>
  <c r="D5575" i="3" a="1"/>
  <c r="D5148" i="3" a="1"/>
  <c r="D5340" i="3" a="1"/>
  <c r="D5858" i="3" a="1"/>
  <c r="D5126" i="3" a="1"/>
  <c r="D5208" i="3" a="1"/>
  <c r="D5845" i="3" a="1"/>
  <c r="D6092" i="3" a="1"/>
  <c r="D5412" i="3" a="1"/>
  <c r="D6197" i="3" a="1"/>
  <c r="D5592" i="3" a="1"/>
  <c r="D5588" i="3" a="1"/>
  <c r="D5424" i="3" a="1"/>
  <c r="D5701" i="3" a="1"/>
  <c r="D6074" i="3" a="1"/>
  <c r="D5159" i="3" a="1"/>
  <c r="D6181" i="3" a="1"/>
  <c r="D5251" i="3" a="1"/>
  <c r="D5127" i="3" a="1"/>
  <c r="D5667" i="3" a="1"/>
  <c r="D6085" i="3" a="1"/>
  <c r="D6163" i="3" a="1"/>
  <c r="D5489" i="3" a="1"/>
  <c r="D5574" i="3" a="1"/>
  <c r="D5943" i="3" a="1"/>
  <c r="D5399" i="3" a="1"/>
  <c r="D5589" i="3" a="1"/>
  <c r="D6072" i="3" a="1"/>
  <c r="D6091" i="3" a="1"/>
  <c r="D5966" i="3" a="1"/>
  <c r="D5129" i="3" a="1"/>
  <c r="D5702" i="3" a="1"/>
  <c r="D5603" i="3" a="1"/>
  <c r="D5250" i="3" a="1"/>
  <c r="D5696" i="3" a="1"/>
  <c r="D5124" i="3" a="1"/>
  <c r="D5499" i="3" a="1"/>
  <c r="D5407" i="3" a="1"/>
  <c r="D5937" i="3" a="1"/>
  <c r="D5576" i="3" a="1"/>
  <c r="D5579" i="3" a="1"/>
  <c r="D5413" i="3" a="1"/>
  <c r="D6166" i="3" a="1"/>
  <c r="D5341" i="3" a="1"/>
  <c r="D5671" i="3" a="1"/>
  <c r="D5214" i="3" a="1"/>
  <c r="D5312" i="3" a="1"/>
  <c r="D5786" i="3" a="1"/>
  <c r="D5154" i="3" a="1"/>
  <c r="D5233" i="3" a="1"/>
  <c r="D5493" i="3" a="1"/>
  <c r="D5776" i="3" a="1"/>
  <c r="D5249" i="3" a="1"/>
  <c r="D6196" i="3" a="1"/>
  <c r="D5683" i="3" a="1"/>
  <c r="D5220" i="3" a="1"/>
  <c r="D5328" i="3" a="1"/>
  <c r="D5949" i="3" a="1"/>
  <c r="D5767" i="3" a="1"/>
  <c r="D5860" i="3" a="1"/>
  <c r="D5658" i="3" a="1"/>
  <c r="D5878" i="3" a="1"/>
  <c r="D5488" i="3" a="1"/>
  <c r="D5955" i="3" a="1"/>
  <c r="D5309" i="3" a="1"/>
  <c r="D5595" i="3" a="1"/>
  <c r="D5478" i="3" a="1"/>
  <c r="D6098" i="3" a="1"/>
  <c r="D5153" i="3" a="1"/>
  <c r="D5427" i="3" a="1"/>
  <c r="D5877" i="3" a="1"/>
  <c r="D5238" i="3" a="1"/>
  <c r="D5227" i="3" a="1"/>
  <c r="D5947" i="3" a="1"/>
  <c r="D5138" i="3" a="1"/>
  <c r="D5697" i="3" a="1"/>
  <c r="D5417" i="3" a="1"/>
  <c r="D5112" i="3" a="1"/>
  <c r="D6088" i="3" a="1"/>
  <c r="D6101" i="3" a="1"/>
  <c r="D5500" i="3" a="1"/>
  <c r="D5217" i="3" a="1"/>
  <c r="D5130" i="3" a="1"/>
  <c r="D6075" i="3" a="1"/>
  <c r="D5875" i="3" a="1"/>
  <c r="D5935" i="3" a="1"/>
  <c r="D6107" i="3" a="1"/>
  <c r="D6195" i="3" a="1"/>
  <c r="D5497" i="3" a="1"/>
  <c r="D5218" i="3" a="1"/>
  <c r="D5237" i="3" a="1"/>
  <c r="D5857" i="3" a="1"/>
  <c r="D5673" i="3" a="1"/>
  <c r="D6090" i="3" a="1"/>
  <c r="D6183" i="3" a="1"/>
  <c r="D5128" i="3" a="1"/>
  <c r="D5335" i="3" a="1"/>
  <c r="D5842" i="3" a="1"/>
  <c r="D5863" i="3" a="1"/>
  <c r="D5142" i="3" a="1"/>
  <c r="D5853" i="3" a="1"/>
  <c r="D5401" i="3" a="1"/>
  <c r="D5941" i="3" a="1"/>
  <c r="D5411" i="3" a="1"/>
  <c r="D6071" i="3" a="1"/>
  <c r="D5432" i="3" a="1"/>
  <c r="D5782" i="3" a="1"/>
  <c r="D5606" i="3" a="1"/>
  <c r="D6159" i="3" a="1"/>
  <c r="D5940" i="3" a="1"/>
  <c r="D5670" i="3" a="1"/>
  <c r="D5681" i="3" a="1"/>
  <c r="D5123" i="3" a="1"/>
  <c r="D5958" i="3" a="1"/>
  <c r="D5866" i="3" a="1"/>
  <c r="D5118" i="3" a="1"/>
  <c r="D5607" i="3" a="1"/>
  <c r="D5222" i="3" a="1"/>
  <c r="D6180" i="3" a="1"/>
  <c r="D6100" i="3" a="1"/>
  <c r="D5663" i="3" a="1"/>
  <c r="D5242" i="3" a="1"/>
  <c r="D6172" i="3" a="1"/>
  <c r="D6188" i="3" a="1"/>
  <c r="D6177" i="3" a="1"/>
  <c r="D5247" i="3" a="1"/>
  <c r="D5244" i="3" a="1"/>
  <c r="D5230" i="3" a="1"/>
  <c r="D5758" i="3" a="1"/>
  <c r="D5425" i="3" a="1"/>
  <c r="D5686" i="3" a="1"/>
  <c r="D6187" i="3" a="1"/>
  <c r="D5431" i="3" a="1"/>
  <c r="D5598" i="3" a="1"/>
  <c r="D5104" i="3" a="1"/>
  <c r="D5954" i="3" a="1"/>
  <c r="D5852" i="3" a="1"/>
  <c r="D5672" i="3" a="1"/>
  <c r="D5114" i="3" a="1"/>
  <c r="D5155" i="3" a="1"/>
  <c r="D5403" i="3" a="1"/>
  <c r="D5228" i="3" a="1"/>
  <c r="D5680" i="3" a="1"/>
  <c r="D6174" i="3" a="1"/>
  <c r="D5790" i="3" a="1"/>
  <c r="D5398" i="3" a="1"/>
  <c r="D5868" i="3" a="1"/>
  <c r="D5485" i="3" a="1"/>
  <c r="D5514" i="3" a="1"/>
  <c r="D5965" i="3" a="1"/>
  <c r="D5971" i="3" a="1"/>
  <c r="D5161" i="3" a="1"/>
  <c r="D5872" i="3" a="1"/>
  <c r="D6069" i="3" a="1"/>
  <c r="D6063" i="3" a="1"/>
  <c r="D6176" i="3" a="1"/>
  <c r="D5695" i="3" a="1"/>
  <c r="D5771" i="3" a="1"/>
  <c r="D5843" i="3" a="1"/>
  <c r="D6082" i="3" a="1"/>
  <c r="D5397" i="3" a="1"/>
  <c r="D5682" i="3" a="1"/>
  <c r="D5578" i="3" a="1"/>
  <c r="D5338" i="3" a="1"/>
  <c r="D5844" i="3" a="1"/>
  <c r="D5963" i="3" a="1"/>
  <c r="D5848" i="3" a="1"/>
  <c r="D5512" i="3" a="1"/>
  <c r="D5426" i="3" a="1"/>
  <c r="D5332" i="3" a="1"/>
  <c r="D5611" i="3" a="1"/>
  <c r="D5773" i="3" a="1"/>
  <c r="D6106" i="3" a="1"/>
  <c r="D6067" i="3" a="1"/>
  <c r="D5677" i="3" a="1"/>
  <c r="D5306" i="3" a="1"/>
  <c r="D5882" i="3" a="1"/>
  <c r="D5756" i="3" a="1"/>
  <c r="D6093" i="3" a="1"/>
  <c r="D5336" i="3" a="1"/>
  <c r="D5110" i="3" a="1"/>
  <c r="D5388" i="3" a="1"/>
  <c r="D5665" i="3" l="1"/>
  <c r="D5695" i="3"/>
  <c r="D5680" i="3"/>
  <c r="D5697" i="3"/>
  <c r="D5682" i="3"/>
  <c r="D5667" i="3"/>
  <c r="D5681" i="3"/>
  <c r="D5666" i="3"/>
  <c r="D5696" i="3"/>
  <c r="D5702" i="3"/>
  <c r="D5687" i="3"/>
  <c r="D5672" i="3"/>
  <c r="D5685" i="3"/>
  <c r="D5670" i="3"/>
  <c r="D5700" i="3"/>
  <c r="D5677" i="3"/>
  <c r="D5662" i="3"/>
  <c r="D5692" i="3"/>
  <c r="D5694" i="3"/>
  <c r="D5679" i="3"/>
  <c r="D5664" i="3"/>
  <c r="D5701" i="3"/>
  <c r="D5686" i="3"/>
  <c r="D5671" i="3"/>
  <c r="D5693" i="3"/>
  <c r="D5678" i="3"/>
  <c r="D5663" i="3"/>
  <c r="D5698" i="3"/>
  <c r="D5683" i="3"/>
  <c r="D5668" i="3"/>
  <c r="D5669" i="3"/>
  <c r="D5699" i="3"/>
  <c r="D5684" i="3"/>
  <c r="D5673" i="3"/>
  <c r="D5658" i="3"/>
  <c r="D5688" i="3"/>
  <c r="D6271" i="3"/>
  <c r="J6271" i="3" s="1"/>
  <c r="D6256" i="3"/>
  <c r="J6256" i="3" s="1"/>
  <c r="B14" i="182"/>
  <c r="B35" i="181"/>
  <c r="B14" i="181"/>
  <c r="B40" i="181"/>
  <c r="B13" i="181"/>
  <c r="B36" i="181"/>
  <c r="B12" i="181"/>
  <c r="J6267" i="3"/>
  <c r="I6267" i="3"/>
  <c r="H6267" i="3"/>
  <c r="B37" i="181"/>
  <c r="K66" i="133"/>
  <c r="D6266" i="3"/>
  <c r="D6251" i="3"/>
  <c r="I6252" i="3"/>
  <c r="H6252" i="3"/>
  <c r="J6252" i="3"/>
  <c r="B11" i="181"/>
  <c r="Q66" i="133"/>
  <c r="D6257" i="3"/>
  <c r="D6272" i="3"/>
  <c r="I66" i="133"/>
  <c r="D6249" i="3"/>
  <c r="D6264" i="3"/>
  <c r="J66" i="133"/>
  <c r="D6250" i="3"/>
  <c r="D6265" i="3"/>
  <c r="G66" i="133"/>
  <c r="D6262" i="3"/>
  <c r="D6247" i="3"/>
  <c r="B10" i="181"/>
  <c r="M66" i="133"/>
  <c r="D6253" i="3"/>
  <c r="D6268" i="3"/>
  <c r="O66" i="133"/>
  <c r="D6255" i="3"/>
  <c r="D6270" i="3"/>
  <c r="B40" i="182"/>
  <c r="B8" i="181"/>
  <c r="H66" i="133"/>
  <c r="D6248" i="3"/>
  <c r="D6263" i="3"/>
  <c r="N66" i="133"/>
  <c r="D6254" i="3"/>
  <c r="D6269" i="3"/>
  <c r="D5106" i="3"/>
  <c r="H5106" i="3" s="1"/>
  <c r="D5105" i="3"/>
  <c r="I5105" i="3" s="1"/>
  <c r="D5104" i="3"/>
  <c r="I5104" i="3" s="1"/>
  <c r="D6093" i="3"/>
  <c r="D6063" i="3"/>
  <c r="D6078" i="3"/>
  <c r="D5958" i="3"/>
  <c r="D5943" i="3"/>
  <c r="D5928" i="3"/>
  <c r="D5213" i="3"/>
  <c r="D5243" i="3"/>
  <c r="D5228" i="3"/>
  <c r="D5768" i="3"/>
  <c r="D5753" i="3"/>
  <c r="D5783" i="3"/>
  <c r="D5948" i="3"/>
  <c r="D5933" i="3"/>
  <c r="D5963" i="3"/>
  <c r="D6082" i="3"/>
  <c r="D6097" i="3"/>
  <c r="D6067" i="3"/>
  <c r="D5212" i="3"/>
  <c r="D5227" i="3"/>
  <c r="D5242" i="3"/>
  <c r="D5107" i="3"/>
  <c r="D6088" i="3"/>
  <c r="D6103" i="3"/>
  <c r="D6073" i="3"/>
  <c r="D5758" i="3"/>
  <c r="D5773" i="3"/>
  <c r="D5788" i="3"/>
  <c r="D5428" i="3"/>
  <c r="D5398" i="3"/>
  <c r="D5413" i="3"/>
  <c r="D5504" i="3"/>
  <c r="D5519" i="3"/>
  <c r="D5489" i="3"/>
  <c r="D5339" i="3"/>
  <c r="D5309" i="3"/>
  <c r="D5324" i="3"/>
  <c r="D5594" i="3"/>
  <c r="D5579" i="3"/>
  <c r="D5609" i="3"/>
  <c r="D5507" i="3"/>
  <c r="D5492" i="3"/>
  <c r="D5522" i="3"/>
  <c r="D5252" i="3"/>
  <c r="D5237" i="3"/>
  <c r="D5222" i="3"/>
  <c r="D5972" i="3"/>
  <c r="D5957" i="3"/>
  <c r="D5942" i="3"/>
  <c r="D6196" i="3"/>
  <c r="D6181" i="3"/>
  <c r="D6166" i="3"/>
  <c r="D5326" i="3"/>
  <c r="D5311" i="3"/>
  <c r="D5341" i="3"/>
  <c r="D5146" i="3"/>
  <c r="D5131" i="3"/>
  <c r="D5161" i="3"/>
  <c r="D5790" i="3"/>
  <c r="D5760" i="3"/>
  <c r="D5775" i="3"/>
  <c r="D5130" i="3"/>
  <c r="D5145" i="3"/>
  <c r="D5160" i="3"/>
  <c r="D5325" i="3"/>
  <c r="D5340" i="3"/>
  <c r="D5310" i="3"/>
  <c r="D5335" i="3"/>
  <c r="D5320" i="3"/>
  <c r="D5305" i="3"/>
  <c r="D5605" i="3"/>
  <c r="D5575" i="3"/>
  <c r="D5590" i="3"/>
  <c r="D6100" i="3"/>
  <c r="D6085" i="3"/>
  <c r="D6070" i="3"/>
  <c r="D5934" i="3"/>
  <c r="D5964" i="3"/>
  <c r="D5949" i="3"/>
  <c r="D5874" i="3"/>
  <c r="D5859" i="3"/>
  <c r="D5844" i="3"/>
  <c r="D5109" i="3"/>
  <c r="D5967" i="3"/>
  <c r="D5952" i="3"/>
  <c r="D5937" i="3"/>
  <c r="D5157" i="3"/>
  <c r="D5127" i="3"/>
  <c r="D5142" i="3"/>
  <c r="D5112" i="3"/>
  <c r="D5156" i="3"/>
  <c r="D5141" i="3"/>
  <c r="D5126" i="3"/>
  <c r="D5426" i="3"/>
  <c r="D5396" i="3"/>
  <c r="D5411" i="3"/>
  <c r="D5231" i="3"/>
  <c r="D5246" i="3"/>
  <c r="D5216" i="3"/>
  <c r="D6153" i="3"/>
  <c r="D6168" i="3"/>
  <c r="D6183" i="3"/>
  <c r="D5583" i="3"/>
  <c r="D5598" i="3"/>
  <c r="D5568" i="3"/>
  <c r="D5508" i="3"/>
  <c r="D5478" i="3"/>
  <c r="D5493" i="3"/>
  <c r="D5303" i="3"/>
  <c r="D5333" i="3"/>
  <c r="D5318" i="3"/>
  <c r="D5153" i="3"/>
  <c r="D5138" i="3"/>
  <c r="D5123" i="3"/>
  <c r="D5108" i="3"/>
  <c r="D5857" i="3"/>
  <c r="D5842" i="3"/>
  <c r="D5872" i="3"/>
  <c r="D5302" i="3"/>
  <c r="D5332" i="3"/>
  <c r="D5317" i="3"/>
  <c r="D6172" i="3"/>
  <c r="D6157" i="3"/>
  <c r="D6187" i="3"/>
  <c r="D5953" i="3"/>
  <c r="D5968" i="3"/>
  <c r="D5938" i="3"/>
  <c r="D5503" i="3"/>
  <c r="D5518" i="3"/>
  <c r="D5488" i="3"/>
  <c r="D5323" i="3"/>
  <c r="D5308" i="3"/>
  <c r="D5338" i="3"/>
  <c r="D6074" i="3"/>
  <c r="D6104" i="3"/>
  <c r="D6089" i="3"/>
  <c r="D5234" i="3"/>
  <c r="D5219" i="3"/>
  <c r="D5249" i="3"/>
  <c r="D6194" i="3"/>
  <c r="D6164" i="3"/>
  <c r="D6179" i="3"/>
  <c r="D5342" i="3"/>
  <c r="D5327" i="3"/>
  <c r="D5312" i="3"/>
  <c r="D5792" i="3"/>
  <c r="D5777" i="3"/>
  <c r="D5762" i="3"/>
  <c r="D6077" i="3"/>
  <c r="D6107" i="3"/>
  <c r="D6092" i="3"/>
  <c r="D5521" i="3"/>
  <c r="D5506" i="3"/>
  <c r="D5491" i="3"/>
  <c r="D5881" i="3"/>
  <c r="D5851" i="3"/>
  <c r="D5866" i="3"/>
  <c r="D5116" i="3"/>
  <c r="D5865" i="3"/>
  <c r="D5880" i="3"/>
  <c r="D5850" i="3"/>
  <c r="D5580" i="3"/>
  <c r="D5595" i="3"/>
  <c r="D5610" i="3"/>
  <c r="D5415" i="3"/>
  <c r="D5400" i="3"/>
  <c r="D5430" i="3"/>
  <c r="D5245" i="3"/>
  <c r="D5230" i="3"/>
  <c r="D5215" i="3"/>
  <c r="D6160" i="3"/>
  <c r="D6175" i="3"/>
  <c r="D6190" i="3"/>
  <c r="D5110" i="3"/>
  <c r="D5484" i="3"/>
  <c r="D5514" i="3"/>
  <c r="D5499" i="3"/>
  <c r="D6069" i="3"/>
  <c r="D6084" i="3"/>
  <c r="D6099" i="3"/>
  <c r="D5124" i="3"/>
  <c r="D5154" i="3"/>
  <c r="D5139" i="3"/>
  <c r="D5607" i="3"/>
  <c r="D5592" i="3"/>
  <c r="D5577" i="3"/>
  <c r="D5247" i="3"/>
  <c r="D5217" i="3"/>
  <c r="D5232" i="3"/>
  <c r="D6087" i="3"/>
  <c r="D6102" i="3"/>
  <c r="D6072" i="3"/>
  <c r="D5606" i="3"/>
  <c r="D5591" i="3"/>
  <c r="D5576" i="3"/>
  <c r="D5951" i="3"/>
  <c r="D5936" i="3"/>
  <c r="D5966" i="3"/>
  <c r="D5111" i="3"/>
  <c r="D5763" i="3"/>
  <c r="D5748" i="3"/>
  <c r="D5778" i="3"/>
  <c r="D5328" i="3"/>
  <c r="D5298" i="3"/>
  <c r="D5313" i="3"/>
  <c r="D5103" i="3"/>
  <c r="D5118" i="3"/>
  <c r="D5133" i="3"/>
  <c r="D5148" i="3"/>
  <c r="D6173" i="3"/>
  <c r="D6188" i="3"/>
  <c r="D6158" i="3"/>
  <c r="D5843" i="3"/>
  <c r="D5873" i="3"/>
  <c r="D5858" i="3"/>
  <c r="D5513" i="3"/>
  <c r="D5483" i="3"/>
  <c r="D5498" i="3"/>
  <c r="D5752" i="3"/>
  <c r="D5782" i="3"/>
  <c r="D5767" i="3"/>
  <c r="D5407" i="3"/>
  <c r="D5422" i="3"/>
  <c r="D5392" i="3"/>
  <c r="D5137" i="3"/>
  <c r="D5152" i="3"/>
  <c r="D5122" i="3"/>
  <c r="D5128" i="3"/>
  <c r="D5143" i="3"/>
  <c r="D5158" i="3"/>
  <c r="D5608" i="3"/>
  <c r="D5593" i="3"/>
  <c r="D5578" i="3"/>
  <c r="D5878" i="3"/>
  <c r="D5863" i="3"/>
  <c r="D5848" i="3"/>
  <c r="D5849" i="3"/>
  <c r="D5864" i="3"/>
  <c r="D5879" i="3"/>
  <c r="D5774" i="3"/>
  <c r="D5759" i="3"/>
  <c r="D5789" i="3"/>
  <c r="D5114" i="3"/>
  <c r="D5867" i="3"/>
  <c r="D5882" i="3"/>
  <c r="D5852" i="3"/>
  <c r="D5612" i="3"/>
  <c r="D5582" i="3"/>
  <c r="D5597" i="3"/>
  <c r="D5432" i="3"/>
  <c r="D5417" i="3"/>
  <c r="D5402" i="3"/>
  <c r="D5236" i="3"/>
  <c r="D5221" i="3"/>
  <c r="D5251" i="3"/>
  <c r="D5431" i="3"/>
  <c r="D5401" i="3"/>
  <c r="D5416" i="3"/>
  <c r="D5596" i="3"/>
  <c r="D5611" i="3"/>
  <c r="D5581" i="3"/>
  <c r="D5235" i="3"/>
  <c r="D5220" i="3"/>
  <c r="D5250" i="3"/>
  <c r="D5490" i="3"/>
  <c r="D5520" i="3"/>
  <c r="D5505" i="3"/>
  <c r="D5940" i="3"/>
  <c r="D5955" i="3"/>
  <c r="D5970" i="3"/>
  <c r="D5845" i="3"/>
  <c r="D5875" i="3"/>
  <c r="D5860" i="3"/>
  <c r="D5755" i="3"/>
  <c r="D5785" i="3"/>
  <c r="D5770" i="3"/>
  <c r="D5425" i="3"/>
  <c r="D5395" i="3"/>
  <c r="D5410" i="3"/>
  <c r="D5604" i="3"/>
  <c r="D5574" i="3"/>
  <c r="D5589" i="3"/>
  <c r="D5409" i="3"/>
  <c r="D5394" i="3"/>
  <c r="D5424" i="3"/>
  <c r="D5244" i="3"/>
  <c r="D5229" i="3"/>
  <c r="D5214" i="3"/>
  <c r="D5787" i="3"/>
  <c r="D5772" i="3"/>
  <c r="D5757" i="3"/>
  <c r="D5307" i="3"/>
  <c r="D5322" i="3"/>
  <c r="D5337" i="3"/>
  <c r="D6192" i="3"/>
  <c r="D6162" i="3"/>
  <c r="D6177" i="3"/>
  <c r="D5306" i="3"/>
  <c r="D5321" i="3"/>
  <c r="D5336" i="3"/>
  <c r="D5516" i="3"/>
  <c r="D5486" i="3"/>
  <c r="D5501" i="3"/>
  <c r="D5756" i="3"/>
  <c r="D5786" i="3"/>
  <c r="D5771" i="3"/>
  <c r="D5208" i="3"/>
  <c r="D5238" i="3"/>
  <c r="D5223" i="3"/>
  <c r="D5853" i="3"/>
  <c r="D5868" i="3"/>
  <c r="D5838" i="3"/>
  <c r="D5388" i="3"/>
  <c r="D5418" i="3"/>
  <c r="D5403" i="3"/>
  <c r="D6068" i="3"/>
  <c r="D6098" i="3"/>
  <c r="D6083" i="3"/>
  <c r="D5603" i="3"/>
  <c r="D5588" i="3"/>
  <c r="D5573" i="3"/>
  <c r="D5393" i="3"/>
  <c r="D5423" i="3"/>
  <c r="D5408" i="3"/>
  <c r="D5512" i="3"/>
  <c r="D5497" i="3"/>
  <c r="D5482" i="3"/>
  <c r="D5932" i="3"/>
  <c r="D5947" i="3"/>
  <c r="D5962" i="3"/>
  <c r="D5572" i="3"/>
  <c r="D5602" i="3"/>
  <c r="D5587" i="3"/>
  <c r="D5248" i="3"/>
  <c r="D5233" i="3"/>
  <c r="D5218" i="3"/>
  <c r="D6178" i="3"/>
  <c r="D6193" i="3"/>
  <c r="D6163" i="3"/>
  <c r="D5113" i="3"/>
  <c r="D5399" i="3"/>
  <c r="D5414" i="3"/>
  <c r="D5429" i="3"/>
  <c r="D5939" i="3"/>
  <c r="D5969" i="3"/>
  <c r="D5954" i="3"/>
  <c r="D5159" i="3"/>
  <c r="D5144" i="3"/>
  <c r="D5129" i="3"/>
  <c r="D5147" i="3"/>
  <c r="D5162" i="3"/>
  <c r="D5132" i="3"/>
  <c r="D6197" i="3"/>
  <c r="D6182" i="3"/>
  <c r="D6167" i="3"/>
  <c r="D5117" i="3"/>
  <c r="D6076" i="3"/>
  <c r="D6091" i="3"/>
  <c r="D6106" i="3"/>
  <c r="D5971" i="3"/>
  <c r="D5956" i="3"/>
  <c r="D5941" i="3"/>
  <c r="D5791" i="3"/>
  <c r="D5776" i="3"/>
  <c r="D5761" i="3"/>
  <c r="D6180" i="3"/>
  <c r="D6195" i="3"/>
  <c r="D6165" i="3"/>
  <c r="D6105" i="3"/>
  <c r="D6075" i="3"/>
  <c r="D6090" i="3"/>
  <c r="D5115" i="3"/>
  <c r="D5965" i="3"/>
  <c r="D5935" i="3"/>
  <c r="D5950" i="3"/>
  <c r="D5140" i="3"/>
  <c r="D5125" i="3"/>
  <c r="D5155" i="3"/>
  <c r="D5515" i="3"/>
  <c r="D5500" i="3"/>
  <c r="D5485" i="3"/>
  <c r="D6189" i="3"/>
  <c r="D6159" i="3"/>
  <c r="D6174" i="3"/>
  <c r="D5319" i="3"/>
  <c r="D5304" i="3"/>
  <c r="D5334" i="3"/>
  <c r="D5754" i="3"/>
  <c r="D5784" i="3"/>
  <c r="D5769" i="3"/>
  <c r="D5427" i="3"/>
  <c r="D5412" i="3"/>
  <c r="D5397" i="3"/>
  <c r="D5862" i="3"/>
  <c r="D5847" i="3"/>
  <c r="D5877" i="3"/>
  <c r="D5487" i="3"/>
  <c r="D5502" i="3"/>
  <c r="D5517" i="3"/>
  <c r="D6191" i="3"/>
  <c r="D6161" i="3"/>
  <c r="D6176" i="3"/>
  <c r="D6071" i="3"/>
  <c r="D6101" i="3"/>
  <c r="D6086" i="3"/>
  <c r="D5876" i="3"/>
  <c r="D5861" i="3"/>
  <c r="D5846" i="3"/>
  <c r="B9" i="182"/>
  <c r="B15" i="183"/>
  <c r="B14" i="183"/>
  <c r="B37" i="182"/>
  <c r="B12" i="182"/>
  <c r="B41" i="182"/>
  <c r="B15" i="182"/>
  <c r="B34" i="181"/>
  <c r="B9" i="181"/>
  <c r="B25" i="182"/>
  <c r="B23" i="182"/>
  <c r="B31" i="182"/>
  <c r="B27" i="183"/>
  <c r="B20" i="183"/>
  <c r="B25" i="183"/>
  <c r="B21" i="181"/>
  <c r="B27" i="181"/>
  <c r="B20" i="181"/>
  <c r="D4657" i="3"/>
  <c r="D4659" i="3"/>
  <c r="D4662" i="3"/>
  <c r="B8" i="183"/>
  <c r="B9" i="183"/>
  <c r="B41" i="183"/>
  <c r="B40" i="183"/>
  <c r="B13" i="183"/>
  <c r="B37" i="183"/>
  <c r="B12" i="183"/>
  <c r="B35" i="182"/>
  <c r="B10" i="182"/>
  <c r="B13" i="182"/>
  <c r="B41" i="181"/>
  <c r="B15" i="181"/>
  <c r="B39" i="183"/>
  <c r="B22" i="182"/>
  <c r="B28" i="182"/>
  <c r="B19" i="183"/>
  <c r="B24" i="183"/>
  <c r="B32" i="183"/>
  <c r="B25" i="181"/>
  <c r="B23" i="181"/>
  <c r="B24" i="181"/>
  <c r="D4658" i="3"/>
  <c r="D4666" i="3"/>
  <c r="D4660" i="3"/>
  <c r="D4661" i="3"/>
  <c r="I4661" i="3" s="1"/>
  <c r="B36" i="183"/>
  <c r="B11" i="183"/>
  <c r="B35" i="183"/>
  <c r="B10" i="183"/>
  <c r="B8" i="182"/>
  <c r="B36" i="182"/>
  <c r="B11" i="182"/>
  <c r="B32" i="182"/>
  <c r="B27" i="182"/>
  <c r="B20" i="182"/>
  <c r="B23" i="183"/>
  <c r="B31" i="183"/>
  <c r="D4649" i="3"/>
  <c r="D4653" i="3"/>
  <c r="J4653" i="3" s="1"/>
  <c r="B32" i="181"/>
  <c r="B28" i="181"/>
  <c r="B31" i="181"/>
  <c r="D4664" i="3"/>
  <c r="B34" i="183"/>
  <c r="B34" i="182"/>
  <c r="B39" i="182"/>
  <c r="B39" i="181"/>
  <c r="B21" i="182"/>
  <c r="B19" i="182"/>
  <c r="B24" i="182"/>
  <c r="B22" i="183"/>
  <c r="B28" i="183"/>
  <c r="B21" i="183"/>
  <c r="B22" i="181"/>
  <c r="B19" i="181"/>
  <c r="D4663" i="3"/>
  <c r="D4667" i="3"/>
  <c r="D4665" i="3"/>
  <c r="B29" i="193"/>
  <c r="C38" i="188"/>
  <c r="B38" i="188"/>
  <c r="C38" i="191"/>
  <c r="B38" i="191"/>
  <c r="C38" i="194"/>
  <c r="B38" i="194"/>
  <c r="B29" i="189"/>
  <c r="C38" i="190"/>
  <c r="B38" i="190"/>
  <c r="B29" i="192"/>
  <c r="C38" i="193"/>
  <c r="B38" i="193"/>
  <c r="B29" i="190"/>
  <c r="C38" i="189"/>
  <c r="B38" i="189"/>
  <c r="B29" i="188"/>
  <c r="C38" i="192"/>
  <c r="B38" i="192"/>
  <c r="B29" i="191"/>
  <c r="B29" i="194"/>
  <c r="B38" i="187"/>
  <c r="C38" i="187"/>
  <c r="C38" i="186"/>
  <c r="B38" i="186"/>
  <c r="B29" i="186"/>
  <c r="B29" i="185"/>
  <c r="B29" i="184"/>
  <c r="C38" i="185"/>
  <c r="B38" i="185"/>
  <c r="B29" i="187"/>
  <c r="B38" i="184"/>
  <c r="C38" i="184"/>
  <c r="D4648" i="3"/>
  <c r="B29" i="16"/>
  <c r="B38" i="16"/>
  <c r="C38" i="16"/>
  <c r="B21" i="9"/>
  <c r="B9" i="136"/>
  <c r="B8" i="137"/>
  <c r="O67" i="133"/>
  <c r="D7055" i="3"/>
  <c r="D7056" i="3"/>
  <c r="B9" i="137"/>
  <c r="B18" i="148"/>
  <c r="I67" i="133"/>
  <c r="B18" i="142"/>
  <c r="B18" i="141"/>
  <c r="L67" i="133"/>
  <c r="B18" i="145"/>
  <c r="B18" i="143"/>
  <c r="G67" i="133"/>
  <c r="B11" i="136"/>
  <c r="K67" i="133"/>
  <c r="D7062" i="3"/>
  <c r="B18" i="149"/>
  <c r="N67" i="133"/>
  <c r="M67" i="133"/>
  <c r="B18" i="139"/>
  <c r="B18" i="144"/>
  <c r="Q67" i="133"/>
  <c r="H67" i="133"/>
  <c r="J67" i="133"/>
  <c r="P67" i="133"/>
  <c r="B18" i="146"/>
  <c r="J7071" i="3"/>
  <c r="I7071" i="3"/>
  <c r="H7071" i="3"/>
  <c r="D7063" i="3"/>
  <c r="B18" i="140"/>
  <c r="J7070" i="3"/>
  <c r="I7070" i="3"/>
  <c r="H7070" i="3"/>
  <c r="J7064" i="3"/>
  <c r="I7064" i="3"/>
  <c r="H7064" i="3"/>
  <c r="J7067" i="3"/>
  <c r="I7067" i="3"/>
  <c r="H7067" i="3"/>
  <c r="J7073" i="3"/>
  <c r="I7073" i="3"/>
  <c r="H7073" i="3"/>
  <c r="I7074" i="3"/>
  <c r="J7074" i="3"/>
  <c r="H7074" i="3"/>
  <c r="H7065" i="3"/>
  <c r="J7065" i="3"/>
  <c r="I7065" i="3"/>
  <c r="J7066" i="3"/>
  <c r="I7066" i="3"/>
  <c r="H7066" i="3"/>
  <c r="I7069" i="3"/>
  <c r="H7069" i="3"/>
  <c r="J7069" i="3"/>
  <c r="I7068" i="3"/>
  <c r="J7068" i="3"/>
  <c r="H7068" i="3"/>
  <c r="B23" i="147"/>
  <c r="I7072" i="3"/>
  <c r="H7072" i="3"/>
  <c r="J7072" i="3"/>
  <c r="B19" i="137"/>
  <c r="B16" i="136"/>
  <c r="B11" i="137"/>
  <c r="B10" i="137"/>
  <c r="B25" i="137"/>
  <c r="B16" i="137"/>
  <c r="B11" i="138"/>
  <c r="B25" i="138"/>
  <c r="B8" i="138"/>
  <c r="B14" i="138"/>
  <c r="B9" i="138"/>
  <c r="B12" i="138"/>
  <c r="B10" i="138"/>
  <c r="B12" i="137"/>
  <c r="B14" i="137"/>
  <c r="B8" i="136"/>
  <c r="B25" i="136"/>
  <c r="B13" i="138"/>
  <c r="B21" i="138"/>
  <c r="B19" i="136"/>
  <c r="B13" i="137"/>
  <c r="B21" i="137"/>
  <c r="B12" i="136"/>
  <c r="B14" i="136"/>
  <c r="B19" i="138"/>
  <c r="B16" i="138"/>
  <c r="B13" i="136"/>
  <c r="B21" i="136"/>
  <c r="B10" i="136"/>
  <c r="B25" i="9"/>
  <c r="B14" i="9"/>
  <c r="B19" i="9"/>
  <c r="B16" i="9"/>
  <c r="B10" i="9"/>
  <c r="B13" i="9"/>
  <c r="B11" i="9"/>
  <c r="B12" i="9"/>
  <c r="B8" i="9"/>
  <c r="B9" i="9"/>
  <c r="C66" i="133"/>
  <c r="D7666" i="3" a="1"/>
  <c r="D7931" i="3" a="1"/>
  <c r="D7793" i="3" a="1"/>
  <c r="D7169" i="3" a="1"/>
  <c r="D7809" i="3" a="1"/>
  <c r="D5571" i="3" a="1"/>
  <c r="D7778" i="3" a="1"/>
  <c r="D7001" i="3" a="1"/>
  <c r="D5151" i="3" a="1"/>
  <c r="D6423" i="3" a="1"/>
  <c r="D6798" i="3" a="1"/>
  <c r="D7763" i="3" a="1"/>
  <c r="D7930" i="3" a="1"/>
  <c r="D5509" i="3" a="1"/>
  <c r="D6813" i="3" a="1"/>
  <c r="D7634" i="3" a="1"/>
  <c r="D6907" i="3" a="1"/>
  <c r="D7657" i="3" a="1"/>
  <c r="D7912" i="3" a="1"/>
  <c r="D7867" i="3" a="1"/>
  <c r="D5019" i="3" a="1"/>
  <c r="D5601" i="3" a="1"/>
  <c r="D7859" i="3" a="1"/>
  <c r="D5961" i="3" a="1"/>
  <c r="D7801" i="3" a="1"/>
  <c r="D7800" i="3" a="1"/>
  <c r="D6955" i="3" a="1"/>
  <c r="D6791" i="3" a="1"/>
  <c r="D5119" i="3" a="1"/>
  <c r="D6991" i="3" a="1"/>
  <c r="D7944" i="3" a="1"/>
  <c r="D7638" i="3" a="1"/>
  <c r="D6959" i="3" a="1"/>
  <c r="D7650" i="3" a="1"/>
  <c r="D6823" i="3" a="1"/>
  <c r="D5856" i="3" a="1"/>
  <c r="D5481" i="3" a="1"/>
  <c r="D5135" i="3" a="1"/>
  <c r="D7051" i="3" a="1"/>
  <c r="D6603" i="3" a="1"/>
  <c r="D7873" i="3" a="1"/>
  <c r="D6047" i="3" a="1"/>
  <c r="D4766" i="3" a="1"/>
  <c r="D7728" i="3" a="1"/>
  <c r="D6028" i="3" a="1"/>
  <c r="D7028" i="3" a="1"/>
  <c r="D7021" i="3" a="1"/>
  <c r="D4882" i="3" a="1"/>
  <c r="D7179" i="3" a="1"/>
  <c r="D7713" i="3" a="1"/>
  <c r="D7630" i="3" a="1"/>
  <c r="D6946" i="3" a="1"/>
  <c r="D6933" i="3" a="1"/>
  <c r="D7659" i="3" a="1"/>
  <c r="D6887" i="3" a="1"/>
  <c r="D6935" i="3" a="1"/>
  <c r="D6873" i="3" a="1"/>
  <c r="D6808" i="3" a="1"/>
  <c r="D6788" i="3" a="1"/>
  <c r="D5134" i="3" a="1"/>
  <c r="D6936" i="3" a="1"/>
  <c r="D6939" i="3" a="1"/>
  <c r="D7725" i="3" a="1"/>
  <c r="D7880" i="3" a="1"/>
  <c r="D6543" i="3" a="1"/>
  <c r="D7004" i="3" a="1"/>
  <c r="D7770" i="3" a="1"/>
  <c r="D5764" i="3" a="1"/>
  <c r="D6899" i="3" a="1"/>
  <c r="D7760" i="3" a="1"/>
  <c r="D5599" i="3" a="1"/>
  <c r="D7779" i="3" a="1"/>
  <c r="D4721" i="3" a="1"/>
  <c r="D5585" i="3" a="1"/>
  <c r="D7003" i="3" a="1"/>
  <c r="D4867" i="3" a="1"/>
  <c r="D5765" i="3" a="1"/>
  <c r="D6095" i="3" a="1"/>
  <c r="D7727" i="3" a="1"/>
  <c r="D7636" i="3" a="1"/>
  <c r="D7916" i="3" a="1"/>
  <c r="D6079" i="3" a="1"/>
  <c r="D6643" i="3" a="1"/>
  <c r="D6646" i="3" a="1"/>
  <c r="D6018" i="3" a="1"/>
  <c r="H5103" i="3"/>
  <c r="D6929" i="3" a="1"/>
  <c r="D7712" i="3" a="1"/>
  <c r="D6032" i="3" a="1"/>
  <c r="D6801" i="3" a="1"/>
  <c r="D7805" i="3" a="1"/>
  <c r="D6882" i="3" a="1"/>
  <c r="D7529" i="3" a="1"/>
  <c r="D7027" i="3" a="1"/>
  <c r="D6828" i="3" a="1"/>
  <c r="D6789" i="3" a="1"/>
  <c r="D5211" i="3" a="1"/>
  <c r="D7170" i="3" a="1"/>
  <c r="D7671" i="3" a="1"/>
  <c r="D7175" i="3" a="1"/>
  <c r="D7549" i="3" a="1"/>
  <c r="D7667" i="3" a="1"/>
  <c r="D7887" i="3" a="1"/>
  <c r="D6663" i="3" a="1"/>
  <c r="D6957" i="3" a="1"/>
  <c r="D7134" i="3" a="1"/>
  <c r="D7708" i="3" a="1"/>
  <c r="D7942" i="3" a="1"/>
  <c r="D6923" i="3" a="1"/>
  <c r="D7203" i="3" a="1"/>
  <c r="D7711" i="3" a="1"/>
  <c r="D6918" i="3" a="1"/>
  <c r="D6043" i="3" a="1"/>
  <c r="D7009" i="3" a="1"/>
  <c r="D6912" i="3" a="1"/>
  <c r="D7668" i="3" a="1"/>
  <c r="D6154" i="3" a="1"/>
  <c r="D7660" i="3" a="1"/>
  <c r="D6080" i="3" a="1"/>
  <c r="D6513" i="3" a="1"/>
  <c r="D6921" i="3" a="1"/>
  <c r="D7044" i="3" a="1"/>
  <c r="D6794" i="3" a="1"/>
  <c r="D6025" i="3" a="1"/>
  <c r="D6956" i="3" a="1"/>
  <c r="D6787" i="3" a="1"/>
  <c r="D7806" i="3" a="1"/>
  <c r="D6648" i="3" a="1"/>
  <c r="D7767" i="3" a="1"/>
  <c r="D5569" i="3" a="1"/>
  <c r="D6045" i="3" a="1"/>
  <c r="D7895" i="3" a="1"/>
  <c r="D7782" i="3" a="1"/>
  <c r="D5855" i="3" a="1"/>
  <c r="D7750" i="3" a="1"/>
  <c r="D6947" i="3" a="1"/>
  <c r="D6797" i="3" a="1"/>
  <c r="D6989" i="3" a="1"/>
  <c r="D7732" i="3" a="1"/>
  <c r="D7546" i="3" a="1"/>
  <c r="D5600" i="3" a="1"/>
  <c r="D6029" i="3" a="1"/>
  <c r="D7922" i="3" a="1"/>
  <c r="D7718" i="3" a="1"/>
  <c r="D6185" i="3" a="1"/>
  <c r="D7036" i="3" a="1"/>
  <c r="D6996" i="3" a="1"/>
  <c r="D6806" i="3" a="1"/>
  <c r="D5840" i="3" a="1"/>
  <c r="D7938" i="3" a="1"/>
  <c r="D7716" i="3" a="1"/>
  <c r="D5751" i="3" a="1"/>
  <c r="D7049" i="3" a="1"/>
  <c r="D7789" i="3" a="1"/>
  <c r="D7729" i="3" a="1"/>
  <c r="D5330" i="3" a="1"/>
  <c r="D6044" i="3" a="1"/>
  <c r="D7891" i="3" a="1"/>
  <c r="D7756" i="3" a="1"/>
  <c r="D7050" i="3" a="1"/>
  <c r="D7639" i="3" a="1"/>
  <c r="D7724" i="3" a="1"/>
  <c r="D7908" i="3" a="1"/>
  <c r="D6038" i="3" a="1"/>
  <c r="D5570" i="3" a="1"/>
  <c r="D5854" i="3" a="1"/>
  <c r="D7033" i="3" a="1"/>
  <c r="D6983" i="3" a="1"/>
  <c r="D5315" i="3" a="1"/>
  <c r="D5929" i="3" a="1"/>
  <c r="D7544" i="3" a="1"/>
  <c r="D7035" i="3" a="1"/>
  <c r="D6894" i="3" a="1"/>
  <c r="D7710" i="3" a="1"/>
  <c r="D5224" i="3" a="1"/>
  <c r="D7857" i="3" a="1"/>
  <c r="D7034" i="3" a="1"/>
  <c r="D7109" i="3" a="1"/>
  <c r="D7006" i="3" a="1"/>
  <c r="D7188" i="3" a="1"/>
  <c r="D5495" i="3" a="1"/>
  <c r="D7886" i="3" a="1"/>
  <c r="D6826" i="3" a="1"/>
  <c r="D6796" i="3" a="1"/>
  <c r="D7042" i="3" a="1"/>
  <c r="D6642" i="3" a="1"/>
  <c r="D7047" i="3" a="1"/>
  <c r="D4852" i="3" a="1"/>
  <c r="D6647" i="3" a="1"/>
  <c r="D7771" i="3" a="1"/>
  <c r="D6288" i="3" a="1"/>
  <c r="D7921" i="3" a="1"/>
  <c r="D7558" i="3" a="1"/>
  <c r="D6793" i="3" a="1"/>
  <c r="D7726" i="3" a="1"/>
  <c r="D7783" i="3" a="1"/>
  <c r="D7633" i="3" a="1"/>
  <c r="D5150" i="3" a="1"/>
  <c r="D6937" i="3" a="1"/>
  <c r="D5494" i="3" a="1"/>
  <c r="D7005" i="3" a="1"/>
  <c r="D4809" i="3" a="1"/>
  <c r="D5946" i="3" a="1"/>
  <c r="D6393" i="3" a="1"/>
  <c r="D7941" i="3" a="1"/>
  <c r="D5944" i="3" a="1"/>
  <c r="D5241" i="3" a="1"/>
  <c r="D4848" i="3" a="1"/>
  <c r="D7785" i="3" a="1"/>
  <c r="D7046" i="3" a="1"/>
  <c r="D6081" i="3" a="1"/>
  <c r="D7918" i="3" a="1"/>
  <c r="D7563" i="3" a="1"/>
  <c r="D7014" i="3" a="1"/>
  <c r="D6156" i="3" a="1"/>
  <c r="D7802" i="3" a="1"/>
  <c r="D7025" i="3" a="1"/>
  <c r="D7762" i="3" a="1"/>
  <c r="D7020" i="3" a="1"/>
  <c r="D7552" i="3" a="1"/>
  <c r="D5421" i="3" a="1"/>
  <c r="D5405" i="3" a="1"/>
  <c r="D5781" i="3" a="1"/>
  <c r="D7543" i="3" a="1"/>
  <c r="D7752" i="3" a="1"/>
  <c r="D4777" i="3" a="1"/>
  <c r="D6954" i="3" a="1"/>
  <c r="D7553" i="3" a="1"/>
  <c r="D6992" i="3" a="1"/>
  <c r="D5420" i="3" a="1"/>
  <c r="D5930" i="3" a="1"/>
  <c r="D6031" i="3" a="1"/>
  <c r="D7670" i="3" a="1"/>
  <c r="D7755" i="3" a="1"/>
  <c r="D5239" i="3" a="1"/>
  <c r="D7039" i="3" a="1"/>
  <c r="D7127" i="3" a="1"/>
  <c r="D6783" i="3" a="1"/>
  <c r="D7016" i="3" a="1"/>
  <c r="D7565" i="3" a="1"/>
  <c r="D7673" i="3" a="1"/>
  <c r="D6408" i="3" a="1"/>
  <c r="D6588" i="3" a="1"/>
  <c r="D5841" i="3" a="1"/>
  <c r="D6807" i="3" a="1"/>
  <c r="D7799" i="3" a="1"/>
  <c r="D7548" i="3" a="1"/>
  <c r="D7654" i="3" a="1"/>
  <c r="D4897" i="3" a="1"/>
  <c r="D6040" i="3" a="1"/>
  <c r="D7772" i="3" a="1"/>
  <c r="D7797" i="3" a="1"/>
  <c r="D6993" i="3" a="1"/>
  <c r="D6927" i="3" a="1"/>
  <c r="D5659" i="3" a="1"/>
  <c r="D7652" i="3" a="1"/>
  <c r="D7888" i="3" a="1"/>
  <c r="D7664" i="3" a="1"/>
  <c r="D7861" i="3" a="1"/>
  <c r="D6886" i="3" a="1"/>
  <c r="D6827" i="3" a="1"/>
  <c r="D7554" i="3" a="1"/>
  <c r="D6858" i="3" a="1"/>
  <c r="D5013" i="3" a="1"/>
  <c r="D7733" i="3" a="1"/>
  <c r="D7010" i="3" a="1"/>
  <c r="D6817" i="3" a="1"/>
  <c r="D6171" i="3" a="1"/>
  <c r="D7731" i="3" a="1"/>
  <c r="D7665" i="3" a="1"/>
  <c r="D7878" i="3" a="1"/>
  <c r="D6961" i="3" a="1"/>
  <c r="D6878" i="3" a="1"/>
  <c r="D6986" i="3" a="1"/>
  <c r="D7894" i="3" a="1"/>
  <c r="D4998" i="3" a="1"/>
  <c r="D5584" i="3" a="1"/>
  <c r="D7171" i="3" a="1"/>
  <c r="D6884" i="3" a="1"/>
  <c r="D7038" i="3" a="1"/>
  <c r="D7023" i="3" a="1"/>
  <c r="D7927" i="3" a="1"/>
  <c r="D7892" i="3" a="1"/>
  <c r="D7919" i="3" a="1"/>
  <c r="D7874" i="3" a="1"/>
  <c r="D7129" i="3" a="1"/>
  <c r="D6932" i="3" a="1"/>
  <c r="D7043" i="3" a="1"/>
  <c r="D7871" i="3" a="1"/>
  <c r="D7551" i="3" a="1"/>
  <c r="D4668" i="3" a="1"/>
  <c r="D5314" i="3" a="1"/>
  <c r="D7132" i="3" a="1"/>
  <c r="D7655" i="3" a="1"/>
  <c r="D6994" i="3" a="1"/>
  <c r="D6926" i="3" a="1"/>
  <c r="D7757" i="3" a="1"/>
  <c r="D7768" i="3" a="1"/>
  <c r="D7644" i="3" a="1"/>
  <c r="D6318" i="3" a="1"/>
  <c r="D5389" i="3" a="1"/>
  <c r="D6908" i="3" a="1"/>
  <c r="D6890" i="3" a="1"/>
  <c r="D6805" i="3" a="1"/>
  <c r="D7645" i="3" a="1"/>
  <c r="D5839" i="3" a="1"/>
  <c r="D6804" i="3" a="1"/>
  <c r="D6980" i="3" a="1"/>
  <c r="D6876" i="3" a="1"/>
  <c r="D7935" i="3" a="1"/>
  <c r="D6024" i="3" a="1"/>
  <c r="D5121" i="3" a="1"/>
  <c r="D7528" i="3" a="1"/>
  <c r="D7643" i="3" a="1"/>
  <c r="D7525" i="3" a="1"/>
  <c r="D6843" i="3" a="1"/>
  <c r="D6170" i="3" a="1"/>
  <c r="D7784" i="3" a="1"/>
  <c r="D6940" i="3" a="1"/>
  <c r="D7017" i="3" a="1"/>
  <c r="D7775" i="3" a="1"/>
  <c r="D5750" i="3" a="1"/>
  <c r="D7507" i="3" a="1"/>
  <c r="D6949" i="3" a="1"/>
  <c r="D6186" i="3" a="1"/>
  <c r="D6998" i="3" a="1"/>
  <c r="D7545" i="3" a="1"/>
  <c r="D7910" i="3" a="1"/>
  <c r="D5675" i="3" a="1"/>
  <c r="D7013" i="3" a="1"/>
  <c r="D7807" i="3" a="1"/>
  <c r="D5766" i="3" a="1"/>
  <c r="D7024" i="3" a="1"/>
  <c r="D7794" i="3" a="1"/>
  <c r="D7002" i="3" a="1"/>
  <c r="D7860" i="3" a="1"/>
  <c r="D7635" i="3" a="1"/>
  <c r="D7876" i="3" a="1"/>
  <c r="D7929" i="3" a="1"/>
  <c r="D6905" i="3" a="1"/>
  <c r="D4698" i="3" a="1"/>
  <c r="D6960" i="3" a="1"/>
  <c r="D6815" i="3" a="1"/>
  <c r="D7883" i="3" a="1"/>
  <c r="D6799" i="3" a="1"/>
  <c r="D7924" i="3" a="1"/>
  <c r="D6879" i="3" a="1"/>
  <c r="D7890" i="3" a="1"/>
  <c r="D7787" i="3" a="1"/>
  <c r="D6638" i="3" a="1"/>
  <c r="D6023" i="3" a="1"/>
  <c r="D7045" i="3" a="1"/>
  <c r="D6990" i="3" a="1"/>
  <c r="D6982" i="3" a="1"/>
  <c r="D6816" i="3" a="1"/>
  <c r="D6943" i="3" a="1"/>
  <c r="D7658" i="3" a="1"/>
  <c r="D6889" i="3" a="1"/>
  <c r="D7124" i="3" a="1"/>
  <c r="D7008" i="3" a="1"/>
  <c r="D7030" i="3" a="1"/>
  <c r="D7012" i="3" a="1"/>
  <c r="D7007" i="3" a="1"/>
  <c r="D5004" i="3" a="1"/>
  <c r="D7776" i="3" a="1"/>
  <c r="D5780" i="3" a="1"/>
  <c r="D5661" i="3" a="1"/>
  <c r="D7026" i="3" a="1"/>
  <c r="D7559" i="3" a="1"/>
  <c r="D5479" i="3" a="1"/>
  <c r="D7765" i="3" a="1"/>
  <c r="D7534" i="3" a="1"/>
  <c r="D7862" i="3" a="1"/>
  <c r="D7866" i="3" a="1"/>
  <c r="D7022" i="3" a="1"/>
  <c r="D5210" i="3" a="1"/>
  <c r="D7542" i="3" a="1"/>
  <c r="D6909" i="3" a="1"/>
  <c r="D6941" i="3" a="1"/>
  <c r="D6639" i="3" a="1"/>
  <c r="D7869" i="3" a="1"/>
  <c r="D6027" i="3" a="1"/>
  <c r="D7178" i="3" a="1"/>
  <c r="D6880" i="3" a="1"/>
  <c r="D5299" i="3" a="1"/>
  <c r="D7569" i="3" a="1"/>
  <c r="D7647" i="3" a="1"/>
  <c r="D6924" i="3" a="1"/>
  <c r="D6919" i="3" a="1"/>
  <c r="D6155" i="3" a="1"/>
  <c r="D6528" i="3" a="1"/>
  <c r="D7928" i="3" a="1"/>
  <c r="D6821" i="3" a="1"/>
  <c r="D7863" i="3" a="1"/>
  <c r="D7126" i="3" a="1"/>
  <c r="D7898" i="3" a="1"/>
  <c r="D7780" i="3" a="1"/>
  <c r="D4824" i="3" a="1"/>
  <c r="D7858" i="3" a="1"/>
  <c r="D6810" i="3" a="1"/>
  <c r="D6096" i="3" a="1"/>
  <c r="D7925" i="3" a="1"/>
  <c r="D6999" i="3" a="1"/>
  <c r="D7796" i="3" a="1"/>
  <c r="D7130" i="3" a="1"/>
  <c r="D6883" i="3" a="1"/>
  <c r="D7662" i="3" a="1"/>
  <c r="D7567" i="3" a="1"/>
  <c r="D7754" i="3" a="1"/>
  <c r="D7557" i="3" a="1"/>
  <c r="D7870" i="3" a="1"/>
  <c r="D6897" i="3" a="1"/>
  <c r="D7730" i="3" a="1"/>
  <c r="D6877" i="3" a="1"/>
  <c r="D7790" i="3" a="1"/>
  <c r="D7637" i="3" a="1"/>
  <c r="D5240" i="3" a="1"/>
  <c r="D5225" i="3" a="1"/>
  <c r="D7764" i="3" a="1"/>
  <c r="D7174" i="3" a="1"/>
  <c r="D6065" i="3" a="1"/>
  <c r="D5496" i="3" a="1"/>
  <c r="D6169" i="3" a="1"/>
  <c r="D7889" i="3" a="1"/>
  <c r="D7538" i="3" a="1"/>
  <c r="D6802" i="3" a="1"/>
  <c r="D7884" i="3" a="1"/>
  <c r="D7539" i="3" a="1"/>
  <c r="D6809" i="3" a="1"/>
  <c r="D6333" i="3" a="1"/>
  <c r="D5301" i="3" a="1"/>
  <c r="D6037" i="3" a="1"/>
  <c r="D6902" i="3" a="1"/>
  <c r="D7531" i="3" a="1"/>
  <c r="D6498" i="3" a="1"/>
  <c r="D7172" i="3" a="1"/>
  <c r="D7734" i="3" a="1"/>
  <c r="D7915" i="3" a="1"/>
  <c r="D7641" i="3" a="1"/>
  <c r="D6911" i="3" a="1"/>
  <c r="D5689" i="3" a="1"/>
  <c r="D5480" i="3" a="1"/>
  <c r="D7934" i="3" a="1"/>
  <c r="D5136" i="3" a="1"/>
  <c r="D7656" i="3" a="1"/>
  <c r="D6910" i="3" a="1"/>
  <c r="D6930" i="3" a="1"/>
  <c r="D5749" i="3" a="1"/>
  <c r="D5149" i="3" a="1"/>
  <c r="D6033" i="3" a="1"/>
  <c r="D6812" i="3" a="1"/>
  <c r="D7893" i="3" a="1"/>
  <c r="D7705" i="3" a="1"/>
  <c r="D7672" i="3" a="1"/>
  <c r="D7897" i="3" a="1"/>
  <c r="D6917" i="3" a="1"/>
  <c r="D5945" i="3" a="1"/>
  <c r="D7896" i="3" a="1"/>
  <c r="D7715" i="3" a="1"/>
  <c r="D6895" i="3" a="1"/>
  <c r="D7773" i="3" a="1"/>
  <c r="D6948" i="3" a="1"/>
  <c r="D7932" i="3" a="1"/>
  <c r="D7019" i="3" a="1"/>
  <c r="D6046" i="3" a="1"/>
  <c r="D7864" i="3" a="1"/>
  <c r="D5300" i="3" a="1"/>
  <c r="D6640" i="3" a="1"/>
  <c r="D6822" i="3" a="1"/>
  <c r="D7653" i="3" a="1"/>
  <c r="D7177" i="3" a="1"/>
  <c r="D7526" i="3" a="1"/>
  <c r="D7769" i="3" a="1"/>
  <c r="D7015" i="3" a="1"/>
  <c r="D6039" i="3" a="1"/>
  <c r="D7555" i="3" a="1"/>
  <c r="D6893" i="3" a="1"/>
  <c r="D7720" i="3" a="1"/>
  <c r="D6987" i="3" a="1"/>
  <c r="D7560" i="3" a="1"/>
  <c r="D6988" i="3" a="1"/>
  <c r="D7902" i="3" a="1"/>
  <c r="D6958" i="3" a="1"/>
  <c r="D6030" i="3" a="1"/>
  <c r="D7937" i="3" a="1"/>
  <c r="D6378" i="3" a="1"/>
  <c r="D7669" i="3" a="1"/>
  <c r="D6803" i="3" a="1"/>
  <c r="D5511" i="3" a="1"/>
  <c r="D7781" i="3" a="1"/>
  <c r="D7640" i="3" a="1"/>
  <c r="D7868" i="3" a="1"/>
  <c r="D5869" i="3" a="1"/>
  <c r="D6997" i="3" a="1"/>
  <c r="D7913" i="3" a="1"/>
  <c r="D6790" i="3" a="1"/>
  <c r="D7533" i="3" a="1"/>
  <c r="D7865" i="3" a="1"/>
  <c r="D7128" i="3" a="1"/>
  <c r="D7872" i="3" a="1"/>
  <c r="D7792" i="3" a="1"/>
  <c r="D4839" i="3" a="1"/>
  <c r="D6066" i="3" a="1"/>
  <c r="D7758" i="3" a="1"/>
  <c r="D5331" i="3" a="1"/>
  <c r="D6022" i="3" a="1"/>
  <c r="D5779" i="3" a="1"/>
  <c r="D6874" i="3" a="1"/>
  <c r="D7777" i="3" a="1"/>
  <c r="D5088" i="3" a="1"/>
  <c r="D7788" i="3" a="1"/>
  <c r="D5510" i="3" a="1"/>
  <c r="D6453" i="3" a="1"/>
  <c r="D7761" i="3" a="1"/>
  <c r="D6922" i="3" a="1"/>
  <c r="D7040" i="3" a="1"/>
  <c r="D6984" i="3" a="1"/>
  <c r="D7856" i="3" a="1"/>
  <c r="D4974" i="3" a="1"/>
  <c r="D6942" i="3" a="1"/>
  <c r="D6792" i="3" a="1"/>
  <c r="D6645" i="3" a="1"/>
  <c r="D6273" i="3" a="1"/>
  <c r="D5691" i="3" a="1"/>
  <c r="D7125" i="3" a="1"/>
  <c r="D6875" i="3" a="1"/>
  <c r="D7158" i="3" a="1"/>
  <c r="D7131" i="3" a="1"/>
  <c r="D6483" i="3" a="1"/>
  <c r="D7094" i="3" a="1"/>
  <c r="D7052" i="3" a="1"/>
  <c r="D7133" i="3" a="1"/>
  <c r="D6945" i="3" a="1"/>
  <c r="D7774" i="3" a="1"/>
  <c r="D5660" i="3" a="1"/>
  <c r="D7532" i="3" a="1"/>
  <c r="D7798" i="3" a="1"/>
  <c r="D6041" i="3" a="1"/>
  <c r="D7914" i="3" a="1"/>
  <c r="D5871" i="3" a="1"/>
  <c r="D7923" i="3" a="1"/>
  <c r="D7791" i="3" a="1"/>
  <c r="D7079" i="3" a="1"/>
  <c r="D4792" i="3" a="1"/>
  <c r="D6184" i="3" a="1"/>
  <c r="D7709" i="3" a="1"/>
  <c r="D6348" i="3" a="1"/>
  <c r="D6633" i="3" a="1"/>
  <c r="D6904" i="3" a="1"/>
  <c r="D6979" i="3" a="1"/>
  <c r="D6944" i="3" a="1"/>
  <c r="D5676" i="3" a="1"/>
  <c r="D7649" i="3" a="1"/>
  <c r="D7936" i="3" a="1"/>
  <c r="D7537" i="3" a="1"/>
  <c r="D7786" i="3" a="1"/>
  <c r="D7706" i="3" a="1"/>
  <c r="D7899" i="3" a="1"/>
  <c r="D6558" i="3" a="1"/>
  <c r="D7037" i="3" a="1"/>
  <c r="D7562" i="3" a="1"/>
  <c r="D7556" i="3" a="1"/>
  <c r="D7648" i="3" a="1"/>
  <c r="D6573" i="3" a="1"/>
  <c r="D7879" i="3" a="1"/>
  <c r="D6891" i="3" a="1"/>
  <c r="D7753" i="3" a="1"/>
  <c r="D6951" i="3" a="1"/>
  <c r="D6934" i="3" a="1"/>
  <c r="D7933" i="3" a="1"/>
  <c r="D7901" i="3" a="1"/>
  <c r="D6026" i="3" a="1"/>
  <c r="D6953" i="3" a="1"/>
  <c r="D7766" i="3" a="1"/>
  <c r="D7808" i="3" a="1"/>
  <c r="D7143" i="3" a="1"/>
  <c r="D6785" i="3" a="1"/>
  <c r="D7882" i="3" a="1"/>
  <c r="D7926" i="3" a="1"/>
  <c r="D7048" i="3" a="1"/>
  <c r="D7550" i="3" a="1"/>
  <c r="D4683" i="3" a="1"/>
  <c r="D4713" i="3" a="1"/>
  <c r="D7173" i="3" a="1"/>
  <c r="D7795" i="3" a="1"/>
  <c r="D7751" i="3" a="1"/>
  <c r="D7881" i="3" a="1"/>
  <c r="D7031" i="3" a="1"/>
  <c r="D6978" i="3" a="1"/>
  <c r="D7663" i="3" a="1"/>
  <c r="D6914" i="3" a="1"/>
  <c r="D5329" i="3" a="1"/>
  <c r="D5391" i="3" a="1"/>
  <c r="D7855" i="3" a="1"/>
  <c r="D7535" i="3" a="1"/>
  <c r="D6962" i="3" a="1"/>
  <c r="D7906" i="3" a="1"/>
  <c r="D7632" i="3" a="1"/>
  <c r="D5931" i="3" a="1"/>
  <c r="D6818" i="3" a="1"/>
  <c r="D6824" i="3" a="1"/>
  <c r="D7911" i="3" a="1"/>
  <c r="D7530" i="3" a="1"/>
  <c r="D5870" i="3" a="1"/>
  <c r="D7176" i="3" a="1"/>
  <c r="D7041" i="3" a="1"/>
  <c r="D7804" i="3" a="1"/>
  <c r="D7000" i="3" a="1"/>
  <c r="D5120" i="3" a="1"/>
  <c r="D7905" i="3" a="1"/>
  <c r="D6094" i="3" a="1"/>
  <c r="D6881" i="3" a="1"/>
  <c r="D6784" i="3" a="1"/>
  <c r="D7717" i="3" a="1"/>
  <c r="D7564" i="3" a="1"/>
  <c r="D6913" i="3" a="1"/>
  <c r="D6892" i="3" a="1"/>
  <c r="D7721" i="3" a="1"/>
  <c r="D7536" i="3" a="1"/>
  <c r="D6814" i="3" a="1"/>
  <c r="D6950" i="3" a="1"/>
  <c r="D7646" i="3" a="1"/>
  <c r="D7541" i="3" a="1"/>
  <c r="D7714" i="3" a="1"/>
  <c r="D7719" i="3" a="1"/>
  <c r="D7527" i="3" a="1"/>
  <c r="D6064" i="3" a="1"/>
  <c r="D6303" i="3" a="1"/>
  <c r="D6925" i="3" a="1"/>
  <c r="D4968" i="3" a="1"/>
  <c r="D7877" i="3" a="1"/>
  <c r="D7661" i="3" a="1"/>
  <c r="D7018" i="3" a="1"/>
  <c r="D6641" i="3" a="1"/>
  <c r="D7674" i="3" a="1"/>
  <c r="D5674" i="3" a="1"/>
  <c r="D7920" i="3" a="1"/>
  <c r="D7943" i="3" a="1"/>
  <c r="D6825" i="3" a="1"/>
  <c r="D7568" i="3" a="1"/>
  <c r="D7723" i="3" a="1"/>
  <c r="D4758" i="3" a="1"/>
  <c r="D6938" i="3" a="1"/>
  <c r="D6915" i="3" a="1"/>
  <c r="D6898" i="3" a="1"/>
  <c r="D7492" i="3" a="1"/>
  <c r="D7939" i="3" a="1"/>
  <c r="D6901" i="3" a="1"/>
  <c r="D4989" i="3" a="1"/>
  <c r="D7561" i="3" a="1"/>
  <c r="D7651" i="3" a="1"/>
  <c r="D5960" i="3" a="1"/>
  <c r="D7522" i="3" a="1"/>
  <c r="D7940" i="3" a="1"/>
  <c r="D7707" i="3" a="1"/>
  <c r="D7907" i="3" a="1"/>
  <c r="D6819" i="3" a="1"/>
  <c r="D6042" i="3" a="1"/>
  <c r="D6981" i="3" a="1"/>
  <c r="D6931" i="3" a="1"/>
  <c r="D6920" i="3" a="1"/>
  <c r="D6644" i="3" a="1"/>
  <c r="D7904" i="3" a="1"/>
  <c r="D6811" i="3" a="1"/>
  <c r="D7642" i="3" a="1"/>
  <c r="D5419" i="3" a="1"/>
  <c r="D7029" i="3" a="1"/>
  <c r="D7885" i="3" a="1"/>
  <c r="D7917" i="3" a="1"/>
  <c r="D7032" i="3" a="1"/>
  <c r="D5586" i="3" a="1"/>
  <c r="D6820" i="3" a="1"/>
  <c r="D7547" i="3" a="1"/>
  <c r="D5959" i="3" a="1"/>
  <c r="D6678" i="3" a="1"/>
  <c r="D6896" i="3" a="1"/>
  <c r="D6438" i="3" a="1"/>
  <c r="D6995" i="3" a="1"/>
  <c r="D5406" i="3" a="1"/>
  <c r="D6800" i="3" a="1"/>
  <c r="D7875" i="3" a="1"/>
  <c r="D6795" i="3" a="1"/>
  <c r="D5209" i="3" a="1"/>
  <c r="D7566" i="3" a="1"/>
  <c r="D7903" i="3" a="1"/>
  <c r="D6916" i="3" a="1"/>
  <c r="D6900" i="3" a="1"/>
  <c r="D5690" i="3" a="1"/>
  <c r="D7540" i="3" a="1"/>
  <c r="D7722" i="3" a="1"/>
  <c r="D7011" i="3" a="1"/>
  <c r="D7803" i="3" a="1"/>
  <c r="D6637" i="3" a="1"/>
  <c r="D6888" i="3" a="1"/>
  <c r="D7759" i="3" a="1"/>
  <c r="D6928" i="3" a="1"/>
  <c r="D5390" i="3" a="1"/>
  <c r="D6786" i="3" a="1"/>
  <c r="D6985" i="3" a="1"/>
  <c r="D6468" i="3" a="1"/>
  <c r="D6885" i="3" a="1"/>
  <c r="D5316" i="3" a="1"/>
  <c r="D6952" i="3" a="1"/>
  <c r="D7909" i="3" a="1"/>
  <c r="D5226" i="3" a="1"/>
  <c r="D6903" i="3" a="1"/>
  <c r="D6906" i="3" a="1"/>
  <c r="D7631" i="3" a="1"/>
  <c r="D5404" i="3" a="1"/>
  <c r="D6047" i="3" l="1"/>
  <c r="D6032" i="3"/>
  <c r="D6046" i="3"/>
  <c r="D6031" i="3"/>
  <c r="J5672" i="3"/>
  <c r="H5672" i="3"/>
  <c r="I5672" i="3"/>
  <c r="H5686" i="3"/>
  <c r="I5686" i="3"/>
  <c r="J5686" i="3"/>
  <c r="J5687" i="3"/>
  <c r="I5687" i="3"/>
  <c r="H5687" i="3"/>
  <c r="H5671" i="3"/>
  <c r="J5671" i="3"/>
  <c r="I5671" i="3"/>
  <c r="H5701" i="3"/>
  <c r="J5701" i="3"/>
  <c r="I5701" i="3"/>
  <c r="I5702" i="3"/>
  <c r="H5702" i="3"/>
  <c r="J5702" i="3"/>
  <c r="I5684" i="3"/>
  <c r="J5684" i="3"/>
  <c r="H5684" i="3"/>
  <c r="H5664" i="3"/>
  <c r="I5664" i="3"/>
  <c r="J5664" i="3"/>
  <c r="J5696" i="3"/>
  <c r="I5696" i="3"/>
  <c r="H5696" i="3"/>
  <c r="J5699" i="3"/>
  <c r="I5699" i="3"/>
  <c r="H5699" i="3"/>
  <c r="J5679" i="3"/>
  <c r="I5679" i="3"/>
  <c r="H5679" i="3"/>
  <c r="I5666" i="3"/>
  <c r="J5666" i="3"/>
  <c r="H5666" i="3"/>
  <c r="J5669" i="3"/>
  <c r="H5669" i="3"/>
  <c r="I5669" i="3"/>
  <c r="H5694" i="3"/>
  <c r="J5694" i="3"/>
  <c r="I5694" i="3"/>
  <c r="J5681" i="3"/>
  <c r="H5681" i="3"/>
  <c r="I5681" i="3"/>
  <c r="J5668" i="3"/>
  <c r="I5668" i="3"/>
  <c r="H5668" i="3"/>
  <c r="J5692" i="3"/>
  <c r="I5692" i="3"/>
  <c r="H5692" i="3"/>
  <c r="H5667" i="3"/>
  <c r="J5667" i="3"/>
  <c r="I5667" i="3"/>
  <c r="J5683" i="3"/>
  <c r="I5683" i="3"/>
  <c r="H5683" i="3"/>
  <c r="J5662" i="3"/>
  <c r="H5662" i="3"/>
  <c r="I5662" i="3"/>
  <c r="J5682" i="3"/>
  <c r="I5682" i="3"/>
  <c r="H5682" i="3"/>
  <c r="H5698" i="3"/>
  <c r="I5698" i="3"/>
  <c r="J5698" i="3"/>
  <c r="J5677" i="3"/>
  <c r="I5677" i="3"/>
  <c r="H5677" i="3"/>
  <c r="J5697" i="3"/>
  <c r="I5697" i="3"/>
  <c r="H5697" i="3"/>
  <c r="J5663" i="3"/>
  <c r="I5663" i="3"/>
  <c r="H5663" i="3"/>
  <c r="H5700" i="3"/>
  <c r="J5700" i="3"/>
  <c r="I5700" i="3"/>
  <c r="I5680" i="3"/>
  <c r="J5680" i="3"/>
  <c r="H5680" i="3"/>
  <c r="J5678" i="3"/>
  <c r="H5678" i="3"/>
  <c r="I5678" i="3"/>
  <c r="J5670" i="3"/>
  <c r="H5670" i="3"/>
  <c r="I5670" i="3"/>
  <c r="J5695" i="3"/>
  <c r="H5695" i="3"/>
  <c r="I5695" i="3"/>
  <c r="J5693" i="3"/>
  <c r="I5693" i="3"/>
  <c r="H5693" i="3"/>
  <c r="I5685" i="3"/>
  <c r="H5685" i="3"/>
  <c r="J5685" i="3"/>
  <c r="J5665" i="3"/>
  <c r="I5665" i="3"/>
  <c r="H5665" i="3"/>
  <c r="C38" i="181"/>
  <c r="D6029" i="3"/>
  <c r="D6044" i="3"/>
  <c r="D6027" i="3"/>
  <c r="D6042" i="3"/>
  <c r="D5689" i="3"/>
  <c r="D5674" i="3"/>
  <c r="D5659" i="3"/>
  <c r="D5661" i="3"/>
  <c r="D5691" i="3"/>
  <c r="D5676" i="3"/>
  <c r="D6022" i="3"/>
  <c r="D6037" i="3"/>
  <c r="D6023" i="3"/>
  <c r="D6038" i="3"/>
  <c r="D6024" i="3"/>
  <c r="D6039" i="3"/>
  <c r="D6028" i="3"/>
  <c r="D6043" i="3"/>
  <c r="D5690" i="3"/>
  <c r="D5675" i="3"/>
  <c r="D5660" i="3"/>
  <c r="D6025" i="3"/>
  <c r="D6040" i="3"/>
  <c r="D6026" i="3"/>
  <c r="D6041" i="3"/>
  <c r="D6018" i="3"/>
  <c r="D6033" i="3"/>
  <c r="D6030" i="3"/>
  <c r="D6045" i="3"/>
  <c r="I5688" i="3"/>
  <c r="H5688" i="3"/>
  <c r="J5688" i="3"/>
  <c r="H5658" i="3"/>
  <c r="J5658" i="3"/>
  <c r="I5658" i="3"/>
  <c r="J5673" i="3"/>
  <c r="I5673" i="3"/>
  <c r="H5673" i="3"/>
  <c r="I6271" i="3"/>
  <c r="I6256" i="3"/>
  <c r="H6256" i="3"/>
  <c r="H6271" i="3"/>
  <c r="B38" i="181"/>
  <c r="B38" i="183"/>
  <c r="B29" i="183"/>
  <c r="C38" i="183"/>
  <c r="C38" i="182"/>
  <c r="B29" i="182"/>
  <c r="D4654" i="3"/>
  <c r="J6268" i="3"/>
  <c r="H6268" i="3"/>
  <c r="I6268" i="3"/>
  <c r="J6269" i="3"/>
  <c r="H6269" i="3"/>
  <c r="I6269" i="3"/>
  <c r="J6253" i="3"/>
  <c r="I6253" i="3"/>
  <c r="H6253" i="3"/>
  <c r="J6264" i="3"/>
  <c r="I6264" i="3"/>
  <c r="H6264" i="3"/>
  <c r="I6254" i="3"/>
  <c r="J6254" i="3"/>
  <c r="H6254" i="3"/>
  <c r="I6249" i="3"/>
  <c r="H6249" i="3"/>
  <c r="J6249" i="3"/>
  <c r="E66" i="133"/>
  <c r="D66" i="133"/>
  <c r="J6263" i="3"/>
  <c r="I6263" i="3"/>
  <c r="H6263" i="3"/>
  <c r="J6247" i="3"/>
  <c r="H6247" i="3"/>
  <c r="I6247" i="3"/>
  <c r="J6272" i="3"/>
  <c r="I6272" i="3"/>
  <c r="H6272" i="3"/>
  <c r="J6251" i="3"/>
  <c r="I6251" i="3"/>
  <c r="H6251" i="3"/>
  <c r="B29" i="181"/>
  <c r="I6248" i="3"/>
  <c r="H6248" i="3"/>
  <c r="J6248" i="3"/>
  <c r="J6262" i="3"/>
  <c r="H6262" i="3"/>
  <c r="I6262" i="3"/>
  <c r="J6257" i="3"/>
  <c r="I6257" i="3"/>
  <c r="H6257" i="3"/>
  <c r="J6266" i="3"/>
  <c r="H6266" i="3"/>
  <c r="I6266" i="3"/>
  <c r="F66" i="133"/>
  <c r="J6265" i="3"/>
  <c r="H6265" i="3"/>
  <c r="I6265" i="3"/>
  <c r="J6250" i="3"/>
  <c r="H6250" i="3"/>
  <c r="I6250" i="3"/>
  <c r="J6270" i="3"/>
  <c r="I6270" i="3"/>
  <c r="H6270" i="3"/>
  <c r="I6255" i="3"/>
  <c r="J6255" i="3"/>
  <c r="H6255" i="3"/>
  <c r="J4661" i="3"/>
  <c r="H4661" i="3"/>
  <c r="D6640" i="3"/>
  <c r="D6642" i="3"/>
  <c r="D5316" i="3"/>
  <c r="D5301" i="3"/>
  <c r="D5331" i="3"/>
  <c r="D5150" i="3"/>
  <c r="D5120" i="3"/>
  <c r="D5135" i="3"/>
  <c r="D5225" i="3"/>
  <c r="D5210" i="3"/>
  <c r="D5240" i="3"/>
  <c r="D5494" i="3"/>
  <c r="D5479" i="3"/>
  <c r="D5509" i="3"/>
  <c r="D5121" i="3"/>
  <c r="D5136" i="3"/>
  <c r="D5151" i="3"/>
  <c r="D5751" i="3"/>
  <c r="D5766" i="3"/>
  <c r="D5781" i="3"/>
  <c r="D5495" i="3"/>
  <c r="D5510" i="3"/>
  <c r="D5480" i="3"/>
  <c r="D6645" i="3"/>
  <c r="D6647" i="3"/>
  <c r="D6641" i="3"/>
  <c r="D5946" i="3"/>
  <c r="D5961" i="3"/>
  <c r="D5931" i="3"/>
  <c r="D5330" i="3"/>
  <c r="D5315" i="3"/>
  <c r="D5300" i="3"/>
  <c r="D6094" i="3"/>
  <c r="D6079" i="3"/>
  <c r="D6064" i="3"/>
  <c r="D5855" i="3"/>
  <c r="D5870" i="3"/>
  <c r="D5840" i="3"/>
  <c r="D5779" i="3"/>
  <c r="D5749" i="3"/>
  <c r="D5764" i="3"/>
  <c r="D5930" i="3"/>
  <c r="D5960" i="3"/>
  <c r="D5945" i="3"/>
  <c r="D5224" i="3"/>
  <c r="D5239" i="3"/>
  <c r="D5209" i="3"/>
  <c r="D5211" i="3"/>
  <c r="D5241" i="3"/>
  <c r="D5226" i="3"/>
  <c r="D5780" i="3"/>
  <c r="D5750" i="3"/>
  <c r="D5765" i="3"/>
  <c r="D6637" i="3"/>
  <c r="D6638" i="3"/>
  <c r="D6643" i="3"/>
  <c r="D5134" i="3"/>
  <c r="D5119" i="3"/>
  <c r="D5149" i="3"/>
  <c r="D5391" i="3"/>
  <c r="D5406" i="3"/>
  <c r="D5421" i="3"/>
  <c r="D5959" i="3"/>
  <c r="D5929" i="3"/>
  <c r="D5944" i="3"/>
  <c r="D6096" i="3"/>
  <c r="D6066" i="3"/>
  <c r="D6081" i="3"/>
  <c r="D6170" i="3"/>
  <c r="D6185" i="3"/>
  <c r="D6155" i="3"/>
  <c r="D6156" i="3"/>
  <c r="D6186" i="3"/>
  <c r="D6171" i="3"/>
  <c r="D5405" i="3"/>
  <c r="D5390" i="3"/>
  <c r="D5420" i="3"/>
  <c r="D5869" i="3"/>
  <c r="D5854" i="3"/>
  <c r="D5839" i="3"/>
  <c r="D5871" i="3"/>
  <c r="D5856" i="3"/>
  <c r="D5841" i="3"/>
  <c r="D6633" i="3"/>
  <c r="D6639" i="3"/>
  <c r="D6646" i="3"/>
  <c r="D6644" i="3"/>
  <c r="D5404" i="3"/>
  <c r="D5389" i="3"/>
  <c r="D5419" i="3"/>
  <c r="D5570" i="3"/>
  <c r="D5585" i="3"/>
  <c r="D5600" i="3"/>
  <c r="D6169" i="3"/>
  <c r="D6184" i="3"/>
  <c r="D6154" i="3"/>
  <c r="D5481" i="3"/>
  <c r="D5511" i="3"/>
  <c r="D5496" i="3"/>
  <c r="D5599" i="3"/>
  <c r="D5569" i="3"/>
  <c r="D5584" i="3"/>
  <c r="D5586" i="3"/>
  <c r="D5601" i="3"/>
  <c r="D5571" i="3"/>
  <c r="D5329" i="3"/>
  <c r="D5314" i="3"/>
  <c r="D5299" i="3"/>
  <c r="D6080" i="3"/>
  <c r="D6065" i="3"/>
  <c r="D6095" i="3"/>
  <c r="C30" i="187"/>
  <c r="B30" i="187"/>
  <c r="C30" i="192"/>
  <c r="B30" i="192"/>
  <c r="D4656" i="3"/>
  <c r="J6086" i="3"/>
  <c r="I6086" i="3"/>
  <c r="H6086" i="3"/>
  <c r="J6161" i="3"/>
  <c r="I5487" i="3"/>
  <c r="H5487" i="3"/>
  <c r="J5487" i="3"/>
  <c r="J5397" i="3"/>
  <c r="I5397" i="3"/>
  <c r="H5397" i="3"/>
  <c r="J5784" i="3"/>
  <c r="I5784" i="3"/>
  <c r="H5784" i="3"/>
  <c r="I5319" i="3"/>
  <c r="H5319" i="3"/>
  <c r="J5319" i="3"/>
  <c r="H5485" i="3"/>
  <c r="J5485" i="3"/>
  <c r="I5485" i="3"/>
  <c r="H5125" i="3"/>
  <c r="J5125" i="3"/>
  <c r="I5125" i="3"/>
  <c r="J5965" i="3"/>
  <c r="I5965" i="3"/>
  <c r="H5965" i="3"/>
  <c r="I6105" i="3"/>
  <c r="H6105" i="3"/>
  <c r="J6105" i="3"/>
  <c r="H5761" i="3"/>
  <c r="J5761" i="3"/>
  <c r="I5761" i="3"/>
  <c r="J5956" i="3"/>
  <c r="I5956" i="3"/>
  <c r="H5956" i="3"/>
  <c r="H6076" i="3"/>
  <c r="J6076" i="3"/>
  <c r="I6076" i="3"/>
  <c r="H6197" i="3"/>
  <c r="J6197" i="3"/>
  <c r="I6197" i="3"/>
  <c r="H5129" i="3"/>
  <c r="I5129" i="3"/>
  <c r="J5129" i="3"/>
  <c r="I5969" i="3"/>
  <c r="H5969" i="3"/>
  <c r="J5969" i="3"/>
  <c r="I5399" i="3"/>
  <c r="H5399" i="3"/>
  <c r="J5399" i="3"/>
  <c r="J6178" i="3"/>
  <c r="I6178" i="3"/>
  <c r="H6178" i="3"/>
  <c r="J5587" i="3"/>
  <c r="I5587" i="3"/>
  <c r="H5587" i="3"/>
  <c r="I5947" i="3"/>
  <c r="J5947" i="3"/>
  <c r="H5947" i="3"/>
  <c r="I5512" i="3"/>
  <c r="H5512" i="3"/>
  <c r="J5512" i="3"/>
  <c r="J5573" i="3"/>
  <c r="I5573" i="3"/>
  <c r="H5573" i="3"/>
  <c r="I6098" i="3"/>
  <c r="H6098" i="3"/>
  <c r="J6098" i="3"/>
  <c r="J5388" i="3"/>
  <c r="I5388" i="3"/>
  <c r="H5388" i="3"/>
  <c r="H5223" i="3"/>
  <c r="I5223" i="3"/>
  <c r="J5223" i="3"/>
  <c r="I5786" i="3"/>
  <c r="H5786" i="3"/>
  <c r="J5786" i="3"/>
  <c r="I5516" i="3"/>
  <c r="H5516" i="3"/>
  <c r="J5516" i="3"/>
  <c r="J6177" i="3"/>
  <c r="I6177" i="3"/>
  <c r="H6177" i="3"/>
  <c r="H5322" i="3"/>
  <c r="J5322" i="3"/>
  <c r="I5322" i="3"/>
  <c r="I5787" i="3"/>
  <c r="H5787" i="3"/>
  <c r="J5787" i="3"/>
  <c r="J5424" i="3"/>
  <c r="I5424" i="3"/>
  <c r="H5424" i="3"/>
  <c r="J5574" i="3"/>
  <c r="H5574" i="3"/>
  <c r="I5574" i="3"/>
  <c r="H5425" i="3"/>
  <c r="J5425" i="3"/>
  <c r="I5425" i="3"/>
  <c r="I5860" i="3"/>
  <c r="J5860" i="3"/>
  <c r="H5860" i="3"/>
  <c r="H5955" i="3"/>
  <c r="J5955" i="3"/>
  <c r="I5955" i="3"/>
  <c r="J5490" i="3"/>
  <c r="I5490" i="3"/>
  <c r="H5490" i="3"/>
  <c r="H5581" i="3"/>
  <c r="J5581" i="3"/>
  <c r="I5581" i="3"/>
  <c r="I5401" i="3"/>
  <c r="H5401" i="3"/>
  <c r="J5401" i="3"/>
  <c r="J5236" i="3"/>
  <c r="I5236" i="3"/>
  <c r="H5236" i="3"/>
  <c r="J5597" i="3"/>
  <c r="I5597" i="3"/>
  <c r="H5597" i="3"/>
  <c r="H5882" i="3"/>
  <c r="J5882" i="3"/>
  <c r="I5882" i="3"/>
  <c r="I5759" i="3"/>
  <c r="H5759" i="3"/>
  <c r="J5759" i="3"/>
  <c r="H5849" i="3"/>
  <c r="I5849" i="3"/>
  <c r="J5849" i="3"/>
  <c r="J5578" i="3"/>
  <c r="H5578" i="3"/>
  <c r="I5578" i="3"/>
  <c r="H5143" i="3"/>
  <c r="J5143" i="3"/>
  <c r="I5143" i="3"/>
  <c r="I5137" i="3"/>
  <c r="J5137" i="3"/>
  <c r="H5137" i="3"/>
  <c r="J5767" i="3"/>
  <c r="I5767" i="3"/>
  <c r="H5767" i="3"/>
  <c r="J5483" i="3"/>
  <c r="I5483" i="3"/>
  <c r="H5483" i="3"/>
  <c r="I5843" i="3"/>
  <c r="H5843" i="3"/>
  <c r="J5843" i="3"/>
  <c r="I5148" i="3"/>
  <c r="H5148" i="3"/>
  <c r="J5148" i="3"/>
  <c r="I5313" i="3"/>
  <c r="H5313" i="3"/>
  <c r="J5313" i="3"/>
  <c r="J5748" i="3"/>
  <c r="I5748" i="3"/>
  <c r="H5748" i="3"/>
  <c r="J5936" i="3"/>
  <c r="I5936" i="3"/>
  <c r="H5936" i="3"/>
  <c r="I5606" i="3"/>
  <c r="H5606" i="3"/>
  <c r="J5606" i="3"/>
  <c r="J5232" i="3"/>
  <c r="H5232" i="3"/>
  <c r="I5232" i="3"/>
  <c r="I5592" i="3"/>
  <c r="J5592" i="3"/>
  <c r="H5592" i="3"/>
  <c r="J5124" i="3"/>
  <c r="H5124" i="3"/>
  <c r="I5124" i="3"/>
  <c r="I5499" i="3"/>
  <c r="H5499" i="3"/>
  <c r="J5499" i="3"/>
  <c r="J6190" i="3"/>
  <c r="I6190" i="3"/>
  <c r="H6190" i="3"/>
  <c r="H5230" i="3"/>
  <c r="I5230" i="3"/>
  <c r="J5230" i="3"/>
  <c r="J5415" i="3"/>
  <c r="I5415" i="3"/>
  <c r="H5415" i="3"/>
  <c r="J5850" i="3"/>
  <c r="I5850" i="3"/>
  <c r="H5850" i="3"/>
  <c r="I5866" i="3"/>
  <c r="H5866" i="3"/>
  <c r="J5866" i="3"/>
  <c r="I5506" i="3"/>
  <c r="H5506" i="3"/>
  <c r="J5506" i="3"/>
  <c r="H6077" i="3"/>
  <c r="J6077" i="3"/>
  <c r="I6077" i="3"/>
  <c r="J5312" i="3"/>
  <c r="I5312" i="3"/>
  <c r="H5312" i="3"/>
  <c r="J6164" i="3"/>
  <c r="I5234" i="3"/>
  <c r="H5234" i="3"/>
  <c r="J5234" i="3"/>
  <c r="I5338" i="3"/>
  <c r="H5338" i="3"/>
  <c r="J5338" i="3"/>
  <c r="J5518" i="3"/>
  <c r="I5518" i="3"/>
  <c r="H5518" i="3"/>
  <c r="H5953" i="3"/>
  <c r="J5953" i="3"/>
  <c r="I5953" i="3"/>
  <c r="J5317" i="3"/>
  <c r="I5317" i="3"/>
  <c r="H5317" i="3"/>
  <c r="J5842" i="3"/>
  <c r="I5842" i="3"/>
  <c r="H5842" i="3"/>
  <c r="J5138" i="3"/>
  <c r="I5138" i="3"/>
  <c r="H5138" i="3"/>
  <c r="I5303" i="3"/>
  <c r="H5303" i="3"/>
  <c r="J5303" i="3"/>
  <c r="J5568" i="3"/>
  <c r="I5568" i="3"/>
  <c r="H5568" i="3"/>
  <c r="I6168" i="3"/>
  <c r="H6168" i="3"/>
  <c r="J6168" i="3"/>
  <c r="J5231" i="3"/>
  <c r="H5231" i="3"/>
  <c r="I5231" i="3"/>
  <c r="I5126" i="3"/>
  <c r="H5126" i="3"/>
  <c r="J5126" i="3"/>
  <c r="J5142" i="3"/>
  <c r="I5142" i="3"/>
  <c r="H5142" i="3"/>
  <c r="J5952" i="3"/>
  <c r="I5952" i="3"/>
  <c r="H5952" i="3"/>
  <c r="I5859" i="3"/>
  <c r="J5859" i="3"/>
  <c r="H5859" i="3"/>
  <c r="H5934" i="3"/>
  <c r="I5934" i="3"/>
  <c r="J5934" i="3"/>
  <c r="H5590" i="3"/>
  <c r="J5590" i="3"/>
  <c r="I5590" i="3"/>
  <c r="H5320" i="3"/>
  <c r="I5320" i="3"/>
  <c r="J5320" i="3"/>
  <c r="I5325" i="3"/>
  <c r="H5325" i="3"/>
  <c r="J5325" i="3"/>
  <c r="H5775" i="3"/>
  <c r="J5775" i="3"/>
  <c r="I5775" i="3"/>
  <c r="J5131" i="3"/>
  <c r="I5131" i="3"/>
  <c r="H5131" i="3"/>
  <c r="I5326" i="3"/>
  <c r="H5326" i="3"/>
  <c r="J5326" i="3"/>
  <c r="J5942" i="3"/>
  <c r="H5942" i="3"/>
  <c r="I5942" i="3"/>
  <c r="J5237" i="3"/>
  <c r="I5237" i="3"/>
  <c r="H5237" i="3"/>
  <c r="J5507" i="3"/>
  <c r="I5507" i="3"/>
  <c r="H5507" i="3"/>
  <c r="I5324" i="3"/>
  <c r="J5324" i="3"/>
  <c r="H5324" i="3"/>
  <c r="I5519" i="3"/>
  <c r="H5519" i="3"/>
  <c r="J5519" i="3"/>
  <c r="H5428" i="3"/>
  <c r="J5428" i="3"/>
  <c r="I5428" i="3"/>
  <c r="J6073" i="3"/>
  <c r="I6073" i="3"/>
  <c r="H6073" i="3"/>
  <c r="I5242" i="3"/>
  <c r="H5242" i="3"/>
  <c r="J5242" i="3"/>
  <c r="I6097" i="3"/>
  <c r="H6097" i="3"/>
  <c r="J6097" i="3"/>
  <c r="H5948" i="3"/>
  <c r="J5948" i="3"/>
  <c r="I5948" i="3"/>
  <c r="H5228" i="3"/>
  <c r="J5228" i="3"/>
  <c r="I5228" i="3"/>
  <c r="I5943" i="3"/>
  <c r="J5943" i="3"/>
  <c r="H5943" i="3"/>
  <c r="I6093" i="3"/>
  <c r="H6093" i="3"/>
  <c r="J6093" i="3"/>
  <c r="B38" i="182"/>
  <c r="C30" i="186"/>
  <c r="B30" i="186"/>
  <c r="C30" i="190"/>
  <c r="B30" i="190"/>
  <c r="C30" i="183"/>
  <c r="D6261" i="3" s="1"/>
  <c r="H5846" i="3"/>
  <c r="J5846" i="3"/>
  <c r="I5846" i="3"/>
  <c r="H6101" i="3"/>
  <c r="J6101" i="3"/>
  <c r="I6101" i="3"/>
  <c r="I6191" i="3"/>
  <c r="H6191" i="3"/>
  <c r="J6191" i="3"/>
  <c r="H5877" i="3"/>
  <c r="J5877" i="3"/>
  <c r="I5877" i="3"/>
  <c r="I5412" i="3"/>
  <c r="J5412" i="3"/>
  <c r="H5412" i="3"/>
  <c r="H5754" i="3"/>
  <c r="J5754" i="3"/>
  <c r="I5754" i="3"/>
  <c r="H6174" i="3"/>
  <c r="J6174" i="3"/>
  <c r="I6174" i="3"/>
  <c r="I5500" i="3"/>
  <c r="H5500" i="3"/>
  <c r="J5500" i="3"/>
  <c r="J5140" i="3"/>
  <c r="I5140" i="3"/>
  <c r="H5140" i="3"/>
  <c r="H5115" i="3"/>
  <c r="J5115" i="3"/>
  <c r="I5115" i="3"/>
  <c r="J6165" i="3"/>
  <c r="J5776" i="3"/>
  <c r="I5776" i="3"/>
  <c r="H5776" i="3"/>
  <c r="I5971" i="3"/>
  <c r="H5971" i="3"/>
  <c r="J5971" i="3"/>
  <c r="J5117" i="3"/>
  <c r="I5117" i="3"/>
  <c r="H5117" i="3"/>
  <c r="H5132" i="3"/>
  <c r="I5132" i="3"/>
  <c r="J5132" i="3"/>
  <c r="J5144" i="3"/>
  <c r="H5144" i="3"/>
  <c r="I5144" i="3"/>
  <c r="H5939" i="3"/>
  <c r="I5939" i="3"/>
  <c r="J5939" i="3"/>
  <c r="H5113" i="3"/>
  <c r="J5113" i="3"/>
  <c r="I5113" i="3"/>
  <c r="I5218" i="3"/>
  <c r="H5218" i="3"/>
  <c r="J5218" i="3"/>
  <c r="J5602" i="3"/>
  <c r="I5602" i="3"/>
  <c r="H5602" i="3"/>
  <c r="J5932" i="3"/>
  <c r="I5932" i="3"/>
  <c r="H5932" i="3"/>
  <c r="J5408" i="3"/>
  <c r="I5408" i="3"/>
  <c r="H5408" i="3"/>
  <c r="H5588" i="3"/>
  <c r="J5588" i="3"/>
  <c r="I5588" i="3"/>
  <c r="H6068" i="3"/>
  <c r="J6068" i="3"/>
  <c r="I6068" i="3"/>
  <c r="H5838" i="3"/>
  <c r="J5838" i="3"/>
  <c r="I5838" i="3"/>
  <c r="I5238" i="3"/>
  <c r="H5238" i="3"/>
  <c r="J5238" i="3"/>
  <c r="I5756" i="3"/>
  <c r="H5756" i="3"/>
  <c r="J5756" i="3"/>
  <c r="I5336" i="3"/>
  <c r="J5336" i="3"/>
  <c r="H5336" i="3"/>
  <c r="J6162" i="3"/>
  <c r="J5307" i="3"/>
  <c r="I5307" i="3"/>
  <c r="H5307" i="3"/>
  <c r="I5214" i="3"/>
  <c r="H5214" i="3"/>
  <c r="J5214" i="3"/>
  <c r="I5394" i="3"/>
  <c r="H5394" i="3"/>
  <c r="J5394" i="3"/>
  <c r="H5604" i="3"/>
  <c r="J5604" i="3"/>
  <c r="I5604" i="3"/>
  <c r="J5770" i="3"/>
  <c r="H5770" i="3"/>
  <c r="I5770" i="3"/>
  <c r="H5875" i="3"/>
  <c r="J5875" i="3"/>
  <c r="I5875" i="3"/>
  <c r="H5940" i="3"/>
  <c r="J5940" i="3"/>
  <c r="I5940" i="3"/>
  <c r="J5250" i="3"/>
  <c r="I5250" i="3"/>
  <c r="H5250" i="3"/>
  <c r="H5611" i="3"/>
  <c r="J5611" i="3"/>
  <c r="I5611" i="3"/>
  <c r="H5431" i="3"/>
  <c r="J5431" i="3"/>
  <c r="I5431" i="3"/>
  <c r="J5402" i="3"/>
  <c r="I5402" i="3"/>
  <c r="H5402" i="3"/>
  <c r="J5582" i="3"/>
  <c r="I5582" i="3"/>
  <c r="H5582" i="3"/>
  <c r="I5867" i="3"/>
  <c r="H5867" i="3"/>
  <c r="J5867" i="3"/>
  <c r="H5774" i="3"/>
  <c r="J5774" i="3"/>
  <c r="I5774" i="3"/>
  <c r="H5848" i="3"/>
  <c r="J5848" i="3"/>
  <c r="I5848" i="3"/>
  <c r="J5593" i="3"/>
  <c r="H5593" i="3"/>
  <c r="I5593" i="3"/>
  <c r="H5128" i="3"/>
  <c r="J5128" i="3"/>
  <c r="I5128" i="3"/>
  <c r="J5392" i="3"/>
  <c r="I5392" i="3"/>
  <c r="H5392" i="3"/>
  <c r="H5782" i="3"/>
  <c r="J5782" i="3"/>
  <c r="I5782" i="3"/>
  <c r="J5513" i="3"/>
  <c r="I5513" i="3"/>
  <c r="H5513" i="3"/>
  <c r="J6158" i="3"/>
  <c r="I5133" i="3"/>
  <c r="J5133" i="3"/>
  <c r="H5133" i="3"/>
  <c r="J5298" i="3"/>
  <c r="I5298" i="3"/>
  <c r="H5298" i="3"/>
  <c r="J5763" i="3"/>
  <c r="H5763" i="3"/>
  <c r="I5763" i="3"/>
  <c r="J5951" i="3"/>
  <c r="H5951" i="3"/>
  <c r="I5951" i="3"/>
  <c r="J6072" i="3"/>
  <c r="I6072" i="3"/>
  <c r="H6072" i="3"/>
  <c r="J5217" i="3"/>
  <c r="I5217" i="3"/>
  <c r="H5217" i="3"/>
  <c r="H5607" i="3"/>
  <c r="J5607" i="3"/>
  <c r="I5607" i="3"/>
  <c r="J6099" i="3"/>
  <c r="I6099" i="3"/>
  <c r="H6099" i="3"/>
  <c r="J5514" i="3"/>
  <c r="I5514" i="3"/>
  <c r="H5514" i="3"/>
  <c r="I6175" i="3"/>
  <c r="H6175" i="3"/>
  <c r="J6175" i="3"/>
  <c r="J5245" i="3"/>
  <c r="I5245" i="3"/>
  <c r="H5245" i="3"/>
  <c r="J5610" i="3"/>
  <c r="I5610" i="3"/>
  <c r="H5610" i="3"/>
  <c r="J5880" i="3"/>
  <c r="I5880" i="3"/>
  <c r="H5880" i="3"/>
  <c r="J5851" i="3"/>
  <c r="H5851" i="3"/>
  <c r="I5851" i="3"/>
  <c r="H5521" i="3"/>
  <c r="J5521" i="3"/>
  <c r="I5521" i="3"/>
  <c r="H5762" i="3"/>
  <c r="I5762" i="3"/>
  <c r="J5762" i="3"/>
  <c r="J5327" i="3"/>
  <c r="I5327" i="3"/>
  <c r="H5327" i="3"/>
  <c r="J6194" i="3"/>
  <c r="I6194" i="3"/>
  <c r="H6194" i="3"/>
  <c r="J6089" i="3"/>
  <c r="H6089" i="3"/>
  <c r="I6089" i="3"/>
  <c r="J5308" i="3"/>
  <c r="I5308" i="3"/>
  <c r="H5308" i="3"/>
  <c r="J5503" i="3"/>
  <c r="I5503" i="3"/>
  <c r="H5503" i="3"/>
  <c r="J6187" i="3"/>
  <c r="I6187" i="3"/>
  <c r="H6187" i="3"/>
  <c r="J5332" i="3"/>
  <c r="I5332" i="3"/>
  <c r="H5332" i="3"/>
  <c r="J5857" i="3"/>
  <c r="H5857" i="3"/>
  <c r="I5857" i="3"/>
  <c r="H5153" i="3"/>
  <c r="I5153" i="3"/>
  <c r="J5153" i="3"/>
  <c r="I5493" i="3"/>
  <c r="H5493" i="3"/>
  <c r="J5493" i="3"/>
  <c r="I5598" i="3"/>
  <c r="H5598" i="3"/>
  <c r="J5598" i="3"/>
  <c r="I6153" i="3"/>
  <c r="H6153" i="3"/>
  <c r="J6153" i="3"/>
  <c r="J5411" i="3"/>
  <c r="H5411" i="3"/>
  <c r="I5411" i="3"/>
  <c r="J5141" i="3"/>
  <c r="I5141" i="3"/>
  <c r="H5141" i="3"/>
  <c r="J5127" i="3"/>
  <c r="I5127" i="3"/>
  <c r="H5127" i="3"/>
  <c r="J5967" i="3"/>
  <c r="I5967" i="3"/>
  <c r="H5967" i="3"/>
  <c r="J5874" i="3"/>
  <c r="I5874" i="3"/>
  <c r="H5874" i="3"/>
  <c r="J6070" i="3"/>
  <c r="I6070" i="3"/>
  <c r="H6070" i="3"/>
  <c r="I5575" i="3"/>
  <c r="H5575" i="3"/>
  <c r="J5575" i="3"/>
  <c r="J5335" i="3"/>
  <c r="H5335" i="3"/>
  <c r="I5335" i="3"/>
  <c r="I5160" i="3"/>
  <c r="J5160" i="3"/>
  <c r="H5160" i="3"/>
  <c r="J5760" i="3"/>
  <c r="I5760" i="3"/>
  <c r="H5760" i="3"/>
  <c r="I5146" i="3"/>
  <c r="H5146" i="3"/>
  <c r="J5146" i="3"/>
  <c r="J6166" i="3"/>
  <c r="I5957" i="3"/>
  <c r="H5957" i="3"/>
  <c r="J5957" i="3"/>
  <c r="H5252" i="3"/>
  <c r="J5252" i="3"/>
  <c r="I5252" i="3"/>
  <c r="J5609" i="3"/>
  <c r="I5609" i="3"/>
  <c r="H5609" i="3"/>
  <c r="H5309" i="3"/>
  <c r="J5309" i="3"/>
  <c r="I5309" i="3"/>
  <c r="I5504" i="3"/>
  <c r="H5504" i="3"/>
  <c r="J5504" i="3"/>
  <c r="H5788" i="3"/>
  <c r="J5788" i="3"/>
  <c r="I5788" i="3"/>
  <c r="J6103" i="3"/>
  <c r="I6103" i="3"/>
  <c r="H6103" i="3"/>
  <c r="J5227" i="3"/>
  <c r="I5227" i="3"/>
  <c r="H5227" i="3"/>
  <c r="H6082" i="3"/>
  <c r="J6082" i="3"/>
  <c r="I6082" i="3"/>
  <c r="J5783" i="3"/>
  <c r="I5783" i="3"/>
  <c r="H5783" i="3"/>
  <c r="J5243" i="3"/>
  <c r="I5243" i="3"/>
  <c r="H5243" i="3"/>
  <c r="H5958" i="3"/>
  <c r="J5958" i="3"/>
  <c r="I5958" i="3"/>
  <c r="J5104" i="3"/>
  <c r="C30" i="188"/>
  <c r="B30" i="188"/>
  <c r="C30" i="193"/>
  <c r="B30" i="193"/>
  <c r="B30" i="194"/>
  <c r="B30" i="185"/>
  <c r="B30" i="16"/>
  <c r="D6243" i="3" s="1"/>
  <c r="D4655" i="3"/>
  <c r="I5861" i="3"/>
  <c r="J5861" i="3"/>
  <c r="H5861" i="3"/>
  <c r="J6071" i="3"/>
  <c r="I6071" i="3"/>
  <c r="H6071" i="3"/>
  <c r="I5517" i="3"/>
  <c r="H5517" i="3"/>
  <c r="J5517" i="3"/>
  <c r="J5847" i="3"/>
  <c r="I5847" i="3"/>
  <c r="H5847" i="3"/>
  <c r="H5427" i="3"/>
  <c r="J5427" i="3"/>
  <c r="I5427" i="3"/>
  <c r="I5334" i="3"/>
  <c r="H5334" i="3"/>
  <c r="J5334" i="3"/>
  <c r="J6159" i="3"/>
  <c r="I5515" i="3"/>
  <c r="H5515" i="3"/>
  <c r="J5515" i="3"/>
  <c r="I5950" i="3"/>
  <c r="J5950" i="3"/>
  <c r="H5950" i="3"/>
  <c r="J6090" i="3"/>
  <c r="I6090" i="3"/>
  <c r="H6090" i="3"/>
  <c r="I6195" i="3"/>
  <c r="H6195" i="3"/>
  <c r="J6195" i="3"/>
  <c r="H5791" i="3"/>
  <c r="J5791" i="3"/>
  <c r="I5791" i="3"/>
  <c r="H6106" i="3"/>
  <c r="J6106" i="3"/>
  <c r="I6106" i="3"/>
  <c r="J6167" i="3"/>
  <c r="J5162" i="3"/>
  <c r="I5162" i="3"/>
  <c r="H5162" i="3"/>
  <c r="I5159" i="3"/>
  <c r="H5159" i="3"/>
  <c r="J5159" i="3"/>
  <c r="H5429" i="3"/>
  <c r="J5429" i="3"/>
  <c r="I5429" i="3"/>
  <c r="J6163" i="3"/>
  <c r="J5233" i="3"/>
  <c r="I5233" i="3"/>
  <c r="H5233" i="3"/>
  <c r="I5572" i="3"/>
  <c r="J5572" i="3"/>
  <c r="H5572" i="3"/>
  <c r="I5482" i="3"/>
  <c r="H5482" i="3"/>
  <c r="J5482" i="3"/>
  <c r="H5423" i="3"/>
  <c r="J5423" i="3"/>
  <c r="I5423" i="3"/>
  <c r="H5603" i="3"/>
  <c r="J5603" i="3"/>
  <c r="I5603" i="3"/>
  <c r="H5403" i="3"/>
  <c r="J5403" i="3"/>
  <c r="I5403" i="3"/>
  <c r="I5868" i="3"/>
  <c r="H5868" i="3"/>
  <c r="J5868" i="3"/>
  <c r="H5208" i="3"/>
  <c r="I5208" i="3"/>
  <c r="J5208" i="3"/>
  <c r="I5501" i="3"/>
  <c r="H5501" i="3"/>
  <c r="J5501" i="3"/>
  <c r="H5321" i="3"/>
  <c r="J5321" i="3"/>
  <c r="I5321" i="3"/>
  <c r="J6192" i="3"/>
  <c r="I6192" i="3"/>
  <c r="H6192" i="3"/>
  <c r="I5757" i="3"/>
  <c r="H5757" i="3"/>
  <c r="J5757" i="3"/>
  <c r="H5229" i="3"/>
  <c r="J5229" i="3"/>
  <c r="I5229" i="3"/>
  <c r="H5409" i="3"/>
  <c r="J5409" i="3"/>
  <c r="I5409" i="3"/>
  <c r="H5410" i="3"/>
  <c r="J5410" i="3"/>
  <c r="I5410" i="3"/>
  <c r="I5785" i="3"/>
  <c r="H5785" i="3"/>
  <c r="J5785" i="3"/>
  <c r="J5845" i="3"/>
  <c r="H5845" i="3"/>
  <c r="I5845" i="3"/>
  <c r="H5505" i="3"/>
  <c r="J5505" i="3"/>
  <c r="I5505" i="3"/>
  <c r="J5220" i="3"/>
  <c r="I5220" i="3"/>
  <c r="H5220" i="3"/>
  <c r="I5596" i="3"/>
  <c r="H5596" i="3"/>
  <c r="J5596" i="3"/>
  <c r="I5251" i="3"/>
  <c r="H5251" i="3"/>
  <c r="J5251" i="3"/>
  <c r="J5417" i="3"/>
  <c r="I5417" i="3"/>
  <c r="H5417" i="3"/>
  <c r="J5612" i="3"/>
  <c r="I5612" i="3"/>
  <c r="H5612" i="3"/>
  <c r="H5114" i="3"/>
  <c r="J5114" i="3"/>
  <c r="I5114" i="3"/>
  <c r="J5879" i="3"/>
  <c r="I5879" i="3"/>
  <c r="H5879" i="3"/>
  <c r="I5863" i="3"/>
  <c r="H5863" i="3"/>
  <c r="J5863" i="3"/>
  <c r="I5608" i="3"/>
  <c r="H5608" i="3"/>
  <c r="J5608" i="3"/>
  <c r="I5122" i="3"/>
  <c r="H5122" i="3"/>
  <c r="J5122" i="3"/>
  <c r="J5422" i="3"/>
  <c r="I5422" i="3"/>
  <c r="H5422" i="3"/>
  <c r="J5752" i="3"/>
  <c r="I5752" i="3"/>
  <c r="H5752" i="3"/>
  <c r="J5858" i="3"/>
  <c r="I5858" i="3"/>
  <c r="H5858" i="3"/>
  <c r="H6188" i="3"/>
  <c r="J6188" i="3"/>
  <c r="I6188" i="3"/>
  <c r="I5118" i="3"/>
  <c r="H5118" i="3"/>
  <c r="J5118" i="3"/>
  <c r="I5328" i="3"/>
  <c r="H5328" i="3"/>
  <c r="J5328" i="3"/>
  <c r="H5111" i="3"/>
  <c r="J5111" i="3"/>
  <c r="I5111" i="3"/>
  <c r="H5576" i="3"/>
  <c r="J5576" i="3"/>
  <c r="I5576" i="3"/>
  <c r="H6102" i="3"/>
  <c r="J6102" i="3"/>
  <c r="I6102" i="3"/>
  <c r="J5247" i="3"/>
  <c r="H5247" i="3"/>
  <c r="I5247" i="3"/>
  <c r="I5139" i="3"/>
  <c r="H5139" i="3"/>
  <c r="J5139" i="3"/>
  <c r="H6084" i="3"/>
  <c r="J6084" i="3"/>
  <c r="I6084" i="3"/>
  <c r="H5484" i="3"/>
  <c r="J5484" i="3"/>
  <c r="I5484" i="3"/>
  <c r="J6160" i="3"/>
  <c r="I5430" i="3"/>
  <c r="H5430" i="3"/>
  <c r="J5430" i="3"/>
  <c r="H5595" i="3"/>
  <c r="J5595" i="3"/>
  <c r="I5595" i="3"/>
  <c r="H5865" i="3"/>
  <c r="J5865" i="3"/>
  <c r="I5865" i="3"/>
  <c r="I5881" i="3"/>
  <c r="H5881" i="3"/>
  <c r="J5881" i="3"/>
  <c r="H6092" i="3"/>
  <c r="J6092" i="3"/>
  <c r="I6092" i="3"/>
  <c r="H5777" i="3"/>
  <c r="J5777" i="3"/>
  <c r="I5777" i="3"/>
  <c r="J5342" i="3"/>
  <c r="I5342" i="3"/>
  <c r="H5342" i="3"/>
  <c r="H5249" i="3"/>
  <c r="J5249" i="3"/>
  <c r="I5249" i="3"/>
  <c r="I6104" i="3"/>
  <c r="H6104" i="3"/>
  <c r="J6104" i="3"/>
  <c r="J5323" i="3"/>
  <c r="I5323" i="3"/>
  <c r="H5323" i="3"/>
  <c r="H5938" i="3"/>
  <c r="I5938" i="3"/>
  <c r="J5938" i="3"/>
  <c r="J6157" i="3"/>
  <c r="I5302" i="3"/>
  <c r="J5302" i="3"/>
  <c r="H5302" i="3"/>
  <c r="H5108" i="3"/>
  <c r="J5108" i="3"/>
  <c r="I5108" i="3"/>
  <c r="J5318" i="3"/>
  <c r="I5318" i="3"/>
  <c r="H5318" i="3"/>
  <c r="J5478" i="3"/>
  <c r="I5478" i="3"/>
  <c r="H5478" i="3"/>
  <c r="H5583" i="3"/>
  <c r="J5583" i="3"/>
  <c r="I5583" i="3"/>
  <c r="H5216" i="3"/>
  <c r="I5216" i="3"/>
  <c r="J5216" i="3"/>
  <c r="H5396" i="3"/>
  <c r="J5396" i="3"/>
  <c r="I5396" i="3"/>
  <c r="H5156" i="3"/>
  <c r="I5156" i="3"/>
  <c r="J5156" i="3"/>
  <c r="H5157" i="3"/>
  <c r="J5157" i="3"/>
  <c r="I5157" i="3"/>
  <c r="I5109" i="3"/>
  <c r="H5109" i="3"/>
  <c r="J5109" i="3"/>
  <c r="I5949" i="3"/>
  <c r="H5949" i="3"/>
  <c r="J5949" i="3"/>
  <c r="H6085" i="3"/>
  <c r="J6085" i="3"/>
  <c r="I6085" i="3"/>
  <c r="H5605" i="3"/>
  <c r="J5605" i="3"/>
  <c r="I5605" i="3"/>
  <c r="J5310" i="3"/>
  <c r="I5310" i="3"/>
  <c r="H5310" i="3"/>
  <c r="H5145" i="3"/>
  <c r="J5145" i="3"/>
  <c r="I5145" i="3"/>
  <c r="J5790" i="3"/>
  <c r="I5790" i="3"/>
  <c r="H5790" i="3"/>
  <c r="H5341" i="3"/>
  <c r="J5341" i="3"/>
  <c r="I5341" i="3"/>
  <c r="J6181" i="3"/>
  <c r="I6181" i="3"/>
  <c r="H6181" i="3"/>
  <c r="I5972" i="3"/>
  <c r="H5972" i="3"/>
  <c r="J5972" i="3"/>
  <c r="J5522" i="3"/>
  <c r="I5522" i="3"/>
  <c r="H5522" i="3"/>
  <c r="I5579" i="3"/>
  <c r="H5579" i="3"/>
  <c r="J5579" i="3"/>
  <c r="H5339" i="3"/>
  <c r="J5339" i="3"/>
  <c r="I5339" i="3"/>
  <c r="I5413" i="3"/>
  <c r="H5413" i="3"/>
  <c r="J5413" i="3"/>
  <c r="J5773" i="3"/>
  <c r="I5773" i="3"/>
  <c r="H5773" i="3"/>
  <c r="I6088" i="3"/>
  <c r="H6088" i="3"/>
  <c r="J6088" i="3"/>
  <c r="J5212" i="3"/>
  <c r="I5212" i="3"/>
  <c r="H5212" i="3"/>
  <c r="H5963" i="3"/>
  <c r="I5963" i="3"/>
  <c r="J5963" i="3"/>
  <c r="J5753" i="3"/>
  <c r="I5753" i="3"/>
  <c r="H5753" i="3"/>
  <c r="J5213" i="3"/>
  <c r="I5213" i="3"/>
  <c r="H5213" i="3"/>
  <c r="I6078" i="3"/>
  <c r="H6078" i="3"/>
  <c r="J6078" i="3"/>
  <c r="J5105" i="3"/>
  <c r="C30" i="184"/>
  <c r="B30" i="184"/>
  <c r="B30" i="191"/>
  <c r="C30" i="191"/>
  <c r="C30" i="189"/>
  <c r="B30" i="189"/>
  <c r="C30" i="194"/>
  <c r="C30" i="185"/>
  <c r="C30" i="16"/>
  <c r="D6258" i="3" s="1"/>
  <c r="I5876" i="3"/>
  <c r="H5876" i="3"/>
  <c r="J5876" i="3"/>
  <c r="H6176" i="3"/>
  <c r="I6176" i="3"/>
  <c r="J6176" i="3"/>
  <c r="H5502" i="3"/>
  <c r="J5502" i="3"/>
  <c r="I5502" i="3"/>
  <c r="I5862" i="3"/>
  <c r="H5862" i="3"/>
  <c r="J5862" i="3"/>
  <c r="I5769" i="3"/>
  <c r="H5769" i="3"/>
  <c r="J5769" i="3"/>
  <c r="H5304" i="3"/>
  <c r="I5304" i="3"/>
  <c r="J5304" i="3"/>
  <c r="J6189" i="3"/>
  <c r="I6189" i="3"/>
  <c r="H6189" i="3"/>
  <c r="I5155" i="3"/>
  <c r="J5155" i="3"/>
  <c r="H5155" i="3"/>
  <c r="H5935" i="3"/>
  <c r="J5935" i="3"/>
  <c r="I5935" i="3"/>
  <c r="J6075" i="3"/>
  <c r="I6075" i="3"/>
  <c r="H6075" i="3"/>
  <c r="J6180" i="3"/>
  <c r="I6180" i="3"/>
  <c r="H6180" i="3"/>
  <c r="I5941" i="3"/>
  <c r="H5941" i="3"/>
  <c r="J5941" i="3"/>
  <c r="I6091" i="3"/>
  <c r="H6091" i="3"/>
  <c r="J6091" i="3"/>
  <c r="H6182" i="3"/>
  <c r="J6182" i="3"/>
  <c r="I6182" i="3"/>
  <c r="J5147" i="3"/>
  <c r="I5147" i="3"/>
  <c r="H5147" i="3"/>
  <c r="I5954" i="3"/>
  <c r="H5954" i="3"/>
  <c r="J5954" i="3"/>
  <c r="H5414" i="3"/>
  <c r="J5414" i="3"/>
  <c r="I5414" i="3"/>
  <c r="H6193" i="3"/>
  <c r="J6193" i="3"/>
  <c r="I6193" i="3"/>
  <c r="I5248" i="3"/>
  <c r="J5248" i="3"/>
  <c r="H5248" i="3"/>
  <c r="I5962" i="3"/>
  <c r="H5962" i="3"/>
  <c r="J5962" i="3"/>
  <c r="J5497" i="3"/>
  <c r="I5497" i="3"/>
  <c r="H5497" i="3"/>
  <c r="J5393" i="3"/>
  <c r="I5393" i="3"/>
  <c r="H5393" i="3"/>
  <c r="H6083" i="3"/>
  <c r="J6083" i="3"/>
  <c r="I6083" i="3"/>
  <c r="I5418" i="3"/>
  <c r="H5418" i="3"/>
  <c r="J5418" i="3"/>
  <c r="J5853" i="3"/>
  <c r="I5853" i="3"/>
  <c r="H5853" i="3"/>
  <c r="J5771" i="3"/>
  <c r="H5771" i="3"/>
  <c r="I5771" i="3"/>
  <c r="H5486" i="3"/>
  <c r="J5486" i="3"/>
  <c r="I5486" i="3"/>
  <c r="H5306" i="3"/>
  <c r="J5306" i="3"/>
  <c r="I5306" i="3"/>
  <c r="H5337" i="3"/>
  <c r="J5337" i="3"/>
  <c r="I5337" i="3"/>
  <c r="J5772" i="3"/>
  <c r="I5772" i="3"/>
  <c r="H5772" i="3"/>
  <c r="J5244" i="3"/>
  <c r="I5244" i="3"/>
  <c r="H5244" i="3"/>
  <c r="H5589" i="3"/>
  <c r="J5589" i="3"/>
  <c r="I5589" i="3"/>
  <c r="J5395" i="3"/>
  <c r="I5395" i="3"/>
  <c r="H5395" i="3"/>
  <c r="J5755" i="3"/>
  <c r="I5755" i="3"/>
  <c r="H5755" i="3"/>
  <c r="I5970" i="3"/>
  <c r="H5970" i="3"/>
  <c r="J5970" i="3"/>
  <c r="I5520" i="3"/>
  <c r="H5520" i="3"/>
  <c r="J5520" i="3"/>
  <c r="H5235" i="3"/>
  <c r="J5235" i="3"/>
  <c r="I5235" i="3"/>
  <c r="H5416" i="3"/>
  <c r="J5416" i="3"/>
  <c r="I5416" i="3"/>
  <c r="J5221" i="3"/>
  <c r="I5221" i="3"/>
  <c r="H5221" i="3"/>
  <c r="I5432" i="3"/>
  <c r="H5432" i="3"/>
  <c r="J5432" i="3"/>
  <c r="I5852" i="3"/>
  <c r="J5852" i="3"/>
  <c r="H5852" i="3"/>
  <c r="H5789" i="3"/>
  <c r="J5789" i="3"/>
  <c r="I5789" i="3"/>
  <c r="I5864" i="3"/>
  <c r="H5864" i="3"/>
  <c r="J5864" i="3"/>
  <c r="I5878" i="3"/>
  <c r="H5878" i="3"/>
  <c r="J5878" i="3"/>
  <c r="J5158" i="3"/>
  <c r="I5158" i="3"/>
  <c r="H5158" i="3"/>
  <c r="H5152" i="3"/>
  <c r="I5152" i="3"/>
  <c r="J5152" i="3"/>
  <c r="J5407" i="3"/>
  <c r="I5407" i="3"/>
  <c r="H5407" i="3"/>
  <c r="J5498" i="3"/>
  <c r="I5498" i="3"/>
  <c r="H5498" i="3"/>
  <c r="J5873" i="3"/>
  <c r="I5873" i="3"/>
  <c r="H5873" i="3"/>
  <c r="I6173" i="3"/>
  <c r="H6173" i="3"/>
  <c r="J6173" i="3"/>
  <c r="J5103" i="3"/>
  <c r="H5778" i="3"/>
  <c r="J5778" i="3"/>
  <c r="I5778" i="3"/>
  <c r="I5966" i="3"/>
  <c r="H5966" i="3"/>
  <c r="J5966" i="3"/>
  <c r="J5591" i="3"/>
  <c r="I5591" i="3"/>
  <c r="H5591" i="3"/>
  <c r="I6087" i="3"/>
  <c r="H6087" i="3"/>
  <c r="J6087" i="3"/>
  <c r="J5577" i="3"/>
  <c r="I5577" i="3"/>
  <c r="H5577" i="3"/>
  <c r="H5154" i="3"/>
  <c r="J5154" i="3"/>
  <c r="I5154" i="3"/>
  <c r="J6069" i="3"/>
  <c r="I6069" i="3"/>
  <c r="H6069" i="3"/>
  <c r="I5110" i="3"/>
  <c r="H5110" i="3"/>
  <c r="J5110" i="3"/>
  <c r="H5215" i="3"/>
  <c r="I5215" i="3"/>
  <c r="J5215" i="3"/>
  <c r="H5400" i="3"/>
  <c r="J5400" i="3"/>
  <c r="I5400" i="3"/>
  <c r="J5580" i="3"/>
  <c r="I5580" i="3"/>
  <c r="H5580" i="3"/>
  <c r="J5116" i="3"/>
  <c r="I5116" i="3"/>
  <c r="H5116" i="3"/>
  <c r="H5491" i="3"/>
  <c r="J5491" i="3"/>
  <c r="I5491" i="3"/>
  <c r="J6107" i="3"/>
  <c r="I6107" i="3"/>
  <c r="H6107" i="3"/>
  <c r="H5792" i="3"/>
  <c r="J5792" i="3"/>
  <c r="I5792" i="3"/>
  <c r="H6179" i="3"/>
  <c r="J6179" i="3"/>
  <c r="I6179" i="3"/>
  <c r="I5219" i="3"/>
  <c r="H5219" i="3"/>
  <c r="J5219" i="3"/>
  <c r="H6074" i="3"/>
  <c r="J6074" i="3"/>
  <c r="I6074" i="3"/>
  <c r="H5488" i="3"/>
  <c r="J5488" i="3"/>
  <c r="I5488" i="3"/>
  <c r="J5968" i="3"/>
  <c r="I5968" i="3"/>
  <c r="H5968" i="3"/>
  <c r="I6172" i="3"/>
  <c r="H6172" i="3"/>
  <c r="J6172" i="3"/>
  <c r="I5872" i="3"/>
  <c r="H5872" i="3"/>
  <c r="J5872" i="3"/>
  <c r="I5123" i="3"/>
  <c r="H5123" i="3"/>
  <c r="J5123" i="3"/>
  <c r="J5333" i="3"/>
  <c r="I5333" i="3"/>
  <c r="H5333" i="3"/>
  <c r="J5508" i="3"/>
  <c r="I5508" i="3"/>
  <c r="H5508" i="3"/>
  <c r="H6183" i="3"/>
  <c r="J6183" i="3"/>
  <c r="I6183" i="3"/>
  <c r="J5246" i="3"/>
  <c r="I5246" i="3"/>
  <c r="H5246" i="3"/>
  <c r="I5426" i="3"/>
  <c r="H5426" i="3"/>
  <c r="J5426" i="3"/>
  <c r="J5112" i="3"/>
  <c r="I5112" i="3"/>
  <c r="H5112" i="3"/>
  <c r="I5937" i="3"/>
  <c r="H5937" i="3"/>
  <c r="J5937" i="3"/>
  <c r="H5844" i="3"/>
  <c r="J5844" i="3"/>
  <c r="I5844" i="3"/>
  <c r="H5964" i="3"/>
  <c r="J5964" i="3"/>
  <c r="I5964" i="3"/>
  <c r="H6100" i="3"/>
  <c r="J6100" i="3"/>
  <c r="I6100" i="3"/>
  <c r="H5305" i="3"/>
  <c r="J5305" i="3"/>
  <c r="I5305" i="3"/>
  <c r="H5340" i="3"/>
  <c r="I5340" i="3"/>
  <c r="J5340" i="3"/>
  <c r="J5130" i="3"/>
  <c r="I5130" i="3"/>
  <c r="H5130" i="3"/>
  <c r="H5161" i="3"/>
  <c r="J5161" i="3"/>
  <c r="I5161" i="3"/>
  <c r="I5311" i="3"/>
  <c r="H5311" i="3"/>
  <c r="J5311" i="3"/>
  <c r="I6196" i="3"/>
  <c r="H6196" i="3"/>
  <c r="J6196" i="3"/>
  <c r="J5222" i="3"/>
  <c r="I5222" i="3"/>
  <c r="H5222" i="3"/>
  <c r="H5492" i="3"/>
  <c r="J5492" i="3"/>
  <c r="I5492" i="3"/>
  <c r="I5594" i="3"/>
  <c r="H5594" i="3"/>
  <c r="J5594" i="3"/>
  <c r="J5489" i="3"/>
  <c r="I5489" i="3"/>
  <c r="H5489" i="3"/>
  <c r="H5398" i="3"/>
  <c r="J5398" i="3"/>
  <c r="I5398" i="3"/>
  <c r="H5758" i="3"/>
  <c r="I5758" i="3"/>
  <c r="J5758" i="3"/>
  <c r="H5107" i="3"/>
  <c r="J5107" i="3"/>
  <c r="I5107" i="3"/>
  <c r="I6067" i="3"/>
  <c r="H6067" i="3"/>
  <c r="J6067" i="3"/>
  <c r="H5933" i="3"/>
  <c r="J5933" i="3"/>
  <c r="I5933" i="3"/>
  <c r="J5768" i="3"/>
  <c r="I5768" i="3"/>
  <c r="H5768" i="3"/>
  <c r="J5928" i="3"/>
  <c r="I5928" i="3"/>
  <c r="H5928" i="3"/>
  <c r="H6063" i="3"/>
  <c r="J6063" i="3"/>
  <c r="I6063" i="3"/>
  <c r="J5106" i="3"/>
  <c r="D7060" i="3"/>
  <c r="J7060" i="3" s="1"/>
  <c r="D7903" i="3"/>
  <c r="H7903" i="3" s="1"/>
  <c r="D7006" i="3"/>
  <c r="J7006" i="3" s="1"/>
  <c r="D7052" i="3"/>
  <c r="J7052" i="3" s="1"/>
  <c r="D7650" i="3"/>
  <c r="H7650" i="3" s="1"/>
  <c r="D7558" i="3"/>
  <c r="D7942" i="3"/>
  <c r="I7942" i="3" s="1"/>
  <c r="D6802" i="3"/>
  <c r="J6802" i="3" s="1"/>
  <c r="D7032" i="3"/>
  <c r="D7043" i="3"/>
  <c r="I7043" i="3" s="1"/>
  <c r="D6817" i="3"/>
  <c r="J6817" i="3" s="1"/>
  <c r="D6876" i="3"/>
  <c r="D7124" i="3"/>
  <c r="D6956" i="3"/>
  <c r="H6956" i="3" s="1"/>
  <c r="D7717" i="3"/>
  <c r="I7717" i="3" s="1"/>
  <c r="D7808" i="3"/>
  <c r="D7929" i="3"/>
  <c r="I7929" i="3" s="1"/>
  <c r="D6543" i="3"/>
  <c r="I6543" i="3" s="1"/>
  <c r="D6998" i="3"/>
  <c r="D6888" i="3"/>
  <c r="J6888" i="3" s="1"/>
  <c r="D7014" i="3"/>
  <c r="I7014" i="3" s="1"/>
  <c r="D7791" i="3"/>
  <c r="I7791" i="3" s="1"/>
  <c r="D7669" i="3"/>
  <c r="D6874" i="3"/>
  <c r="I6874" i="3" s="1"/>
  <c r="D7920" i="3"/>
  <c r="I7920" i="3" s="1"/>
  <c r="D7651" i="3"/>
  <c r="D7877" i="3"/>
  <c r="H7877" i="3" s="1"/>
  <c r="D7562" i="3"/>
  <c r="J7562" i="3" s="1"/>
  <c r="I6963" i="3"/>
  <c r="D6930" i="3"/>
  <c r="D6273" i="3"/>
  <c r="I6273" i="3" s="1"/>
  <c r="D7880" i="3"/>
  <c r="J7880" i="3" s="1"/>
  <c r="D7024" i="3"/>
  <c r="I7024" i="3" s="1"/>
  <c r="D6816" i="3"/>
  <c r="H6816" i="3" s="1"/>
  <c r="D7542" i="3"/>
  <c r="H7542" i="3" s="1"/>
  <c r="D7805" i="3"/>
  <c r="I7805" i="3" s="1"/>
  <c r="D6875" i="3"/>
  <c r="J6875" i="3" s="1"/>
  <c r="D7780" i="3"/>
  <c r="D6908" i="3"/>
  <c r="H6908" i="3" s="1"/>
  <c r="D6801" i="3"/>
  <c r="H6801" i="3" s="1"/>
  <c r="D7158" i="3"/>
  <c r="D6903" i="3"/>
  <c r="D7913" i="3"/>
  <c r="H7913" i="3" s="1"/>
  <c r="D7926" i="3"/>
  <c r="I7926" i="3" s="1"/>
  <c r="D7761" i="3"/>
  <c r="I7761" i="3" s="1"/>
  <c r="D4809" i="3"/>
  <c r="H4809" i="3" s="1"/>
  <c r="D6906" i="3"/>
  <c r="H6906" i="3" s="1"/>
  <c r="D7178" i="3"/>
  <c r="J7178" i="3" s="1"/>
  <c r="D6932" i="3"/>
  <c r="H6932" i="3" s="1"/>
  <c r="D7507" i="3"/>
  <c r="J7507" i="3" s="1"/>
  <c r="D6917" i="3"/>
  <c r="H6917" i="3" s="1"/>
  <c r="D6880" i="3"/>
  <c r="J6880" i="3" s="1"/>
  <c r="D7928" i="3"/>
  <c r="I7928" i="3" s="1"/>
  <c r="D6820" i="3"/>
  <c r="H6820" i="3" s="1"/>
  <c r="D7663" i="3"/>
  <c r="J7663" i="3" s="1"/>
  <c r="D7731" i="3"/>
  <c r="J7731" i="3" s="1"/>
  <c r="D7169" i="3"/>
  <c r="H7169" i="3" s="1"/>
  <c r="D6879" i="3"/>
  <c r="H6879" i="3" s="1"/>
  <c r="D7771" i="3"/>
  <c r="D7866" i="3"/>
  <c r="J7866" i="3" s="1"/>
  <c r="D7659" i="3"/>
  <c r="I7659" i="3" s="1"/>
  <c r="D7546" i="3"/>
  <c r="H7546" i="3" s="1"/>
  <c r="J6965" i="3"/>
  <c r="D7569" i="3"/>
  <c r="I7569" i="3" s="1"/>
  <c r="D4989" i="3"/>
  <c r="J4989" i="3" s="1"/>
  <c r="D6895" i="3"/>
  <c r="H6895" i="3" s="1"/>
  <c r="D7555" i="3"/>
  <c r="J7555" i="3" s="1"/>
  <c r="D5013" i="3"/>
  <c r="H5013" i="3" s="1"/>
  <c r="D7664" i="3"/>
  <c r="D7554" i="3"/>
  <c r="D7865" i="3"/>
  <c r="H7865" i="3" s="1"/>
  <c r="D7868" i="3"/>
  <c r="J7868" i="3" s="1"/>
  <c r="D6948" i="3"/>
  <c r="D7094" i="3"/>
  <c r="J7094" i="3" s="1"/>
  <c r="D6785" i="3"/>
  <c r="J6785" i="3" s="1"/>
  <c r="D7751" i="3"/>
  <c r="D7876" i="3"/>
  <c r="H7876" i="3" s="1"/>
  <c r="D6663" i="3"/>
  <c r="I6663" i="3" s="1"/>
  <c r="D7525" i="3"/>
  <c r="H7525" i="3" s="1"/>
  <c r="D7637" i="3"/>
  <c r="I7637" i="3" s="1"/>
  <c r="D7018" i="3"/>
  <c r="J7018" i="3" s="1"/>
  <c r="D6935" i="3"/>
  <c r="I6935" i="3" s="1"/>
  <c r="D7720" i="3"/>
  <c r="I7720" i="3" s="1"/>
  <c r="D7860" i="3"/>
  <c r="H7860" i="3" s="1"/>
  <c r="D7036" i="3"/>
  <c r="I7036" i="3" s="1"/>
  <c r="D7050" i="3"/>
  <c r="J7050" i="3" s="1"/>
  <c r="D7910" i="3"/>
  <c r="I7910" i="3" s="1"/>
  <c r="D6873" i="3"/>
  <c r="I6873" i="3" s="1"/>
  <c r="D7755" i="3"/>
  <c r="H7755" i="3" s="1"/>
  <c r="D7799" i="3"/>
  <c r="H7799" i="3" s="1"/>
  <c r="D7904" i="3"/>
  <c r="I7904" i="3" s="1"/>
  <c r="D7930" i="3"/>
  <c r="I7930" i="3" s="1"/>
  <c r="D6938" i="3"/>
  <c r="D7170" i="3"/>
  <c r="H7170" i="3" s="1"/>
  <c r="D7646" i="3"/>
  <c r="D7882" i="3"/>
  <c r="H7882" i="3" s="1"/>
  <c r="D7783" i="3"/>
  <c r="H7783" i="3" s="1"/>
  <c r="D7907" i="3"/>
  <c r="I7907" i="3" s="1"/>
  <c r="D6949" i="3"/>
  <c r="I6949" i="3" s="1"/>
  <c r="D4852" i="3"/>
  <c r="I4852" i="3" s="1"/>
  <c r="D6803" i="3"/>
  <c r="J6803" i="3" s="1"/>
  <c r="D6962" i="3"/>
  <c r="J6962" i="3" s="1"/>
  <c r="D7715" i="3"/>
  <c r="H7715" i="3" s="1"/>
  <c r="D7040" i="3"/>
  <c r="H7040" i="3" s="1"/>
  <c r="D7734" i="3"/>
  <c r="H7734" i="3" s="1"/>
  <c r="D7778" i="3"/>
  <c r="H7778" i="3" s="1"/>
  <c r="D7000" i="3"/>
  <c r="J7000" i="3" s="1"/>
  <c r="D7041" i="3"/>
  <c r="H7041" i="3" s="1"/>
  <c r="D7757" i="3"/>
  <c r="H7757" i="3" s="1"/>
  <c r="D7917" i="3"/>
  <c r="I7917" i="3" s="1"/>
  <c r="D6893" i="3"/>
  <c r="I6893" i="3" s="1"/>
  <c r="D7728" i="3"/>
  <c r="H7728" i="3" s="1"/>
  <c r="D7633" i="3"/>
  <c r="H7633" i="3" s="1"/>
  <c r="D6919" i="3"/>
  <c r="I6919" i="3" s="1"/>
  <c r="D6786" i="3"/>
  <c r="D6937" i="3"/>
  <c r="I6937" i="3" s="1"/>
  <c r="D7527" i="3"/>
  <c r="I7527" i="3" s="1"/>
  <c r="I6970" i="3"/>
  <c r="D6988" i="3"/>
  <c r="D6897" i="3"/>
  <c r="I6897" i="3" s="1"/>
  <c r="D7921" i="3"/>
  <c r="I7921" i="3" s="1"/>
  <c r="D6787" i="3"/>
  <c r="H6787" i="3" s="1"/>
  <c r="D6909" i="3"/>
  <c r="D6946" i="3"/>
  <c r="I6946" i="3" s="1"/>
  <c r="J6969" i="3"/>
  <c r="D6955" i="3"/>
  <c r="H6955" i="3" s="1"/>
  <c r="D6902" i="3"/>
  <c r="H6902" i="3" s="1"/>
  <c r="D7925" i="3"/>
  <c r="H7925" i="3" s="1"/>
  <c r="D7128" i="3"/>
  <c r="H7128" i="3" s="1"/>
  <c r="D7886" i="3"/>
  <c r="I7886" i="3" s="1"/>
  <c r="D7013" i="3"/>
  <c r="D6648" i="3"/>
  <c r="D7654" i="3"/>
  <c r="H7654" i="3" s="1"/>
  <c r="D6828" i="3"/>
  <c r="H6828" i="3" s="1"/>
  <c r="D6899" i="3"/>
  <c r="J6899" i="3" s="1"/>
  <c r="D7130" i="3"/>
  <c r="I7130" i="3" s="1"/>
  <c r="D7543" i="3"/>
  <c r="H7543" i="3" s="1"/>
  <c r="D7786" i="3"/>
  <c r="I7786" i="3" s="1"/>
  <c r="D7707" i="3"/>
  <c r="J7707" i="3" s="1"/>
  <c r="D5088" i="3"/>
  <c r="D6588" i="3"/>
  <c r="J6588" i="3" s="1"/>
  <c r="D7768" i="3"/>
  <c r="J7768" i="3" s="1"/>
  <c r="D7769" i="3"/>
  <c r="I7769" i="3" s="1"/>
  <c r="D7037" i="3"/>
  <c r="J7037" i="3" s="1"/>
  <c r="D7049" i="3"/>
  <c r="J7049" i="3" s="1"/>
  <c r="D6910" i="3"/>
  <c r="I6910" i="3" s="1"/>
  <c r="D6990" i="3"/>
  <c r="J6990" i="3" s="1"/>
  <c r="D6890" i="3"/>
  <c r="J6890" i="3" s="1"/>
  <c r="D6918" i="3"/>
  <c r="I6918" i="3" s="1"/>
  <c r="D6933" i="3"/>
  <c r="H6933" i="3" s="1"/>
  <c r="D6979" i="3"/>
  <c r="H6979" i="3" s="1"/>
  <c r="D7861" i="3"/>
  <c r="H7861" i="3" s="1"/>
  <c r="D7019" i="3"/>
  <c r="D6951" i="3"/>
  <c r="I6951" i="3" s="1"/>
  <c r="D7174" i="3"/>
  <c r="J7174" i="3" s="1"/>
  <c r="D7033" i="3"/>
  <c r="J7033" i="3" s="1"/>
  <c r="D7046" i="3"/>
  <c r="I7046" i="3" s="1"/>
  <c r="D6983" i="3"/>
  <c r="I6983" i="3" s="1"/>
  <c r="D6950" i="3"/>
  <c r="H6950" i="3" s="1"/>
  <c r="D4766" i="3"/>
  <c r="H4766" i="3" s="1"/>
  <c r="D6822" i="3"/>
  <c r="H6822" i="3" s="1"/>
  <c r="D7171" i="3"/>
  <c r="D7564" i="3"/>
  <c r="J7564" i="3" s="1"/>
  <c r="D7079" i="3"/>
  <c r="J7079" i="3" s="1"/>
  <c r="D7667" i="3"/>
  <c r="I7667" i="3" s="1"/>
  <c r="D7711" i="3"/>
  <c r="H7711" i="3" s="1"/>
  <c r="D7803" i="3"/>
  <c r="J7803" i="3" s="1"/>
  <c r="D7924" i="3"/>
  <c r="I7924" i="3" s="1"/>
  <c r="D7134" i="3"/>
  <c r="J7134" i="3" s="1"/>
  <c r="D6824" i="3"/>
  <c r="I6824" i="3" s="1"/>
  <c r="D6800" i="3"/>
  <c r="I6800" i="3" s="1"/>
  <c r="D7797" i="3"/>
  <c r="I7797" i="3" s="1"/>
  <c r="D7872" i="3"/>
  <c r="H7872" i="3" s="1"/>
  <c r="D6921" i="3"/>
  <c r="D7712" i="3"/>
  <c r="J7712" i="3" s="1"/>
  <c r="D7774" i="3"/>
  <c r="D6940" i="3"/>
  <c r="I6940" i="3" s="1"/>
  <c r="D7660" i="3"/>
  <c r="H7660" i="3" s="1"/>
  <c r="D7890" i="3"/>
  <c r="H7890" i="3" s="1"/>
  <c r="D7796" i="3"/>
  <c r="I7796" i="3" s="1"/>
  <c r="D7721" i="3"/>
  <c r="J7721" i="3" s="1"/>
  <c r="D7010" i="3"/>
  <c r="H7010" i="3" s="1"/>
  <c r="D7864" i="3"/>
  <c r="I7864" i="3" s="1"/>
  <c r="D7526" i="3"/>
  <c r="I7526" i="3" s="1"/>
  <c r="D7021" i="3"/>
  <c r="D6791" i="3"/>
  <c r="J6791" i="3" s="1"/>
  <c r="D7858" i="3"/>
  <c r="H7858" i="3" s="1"/>
  <c r="D6943" i="3"/>
  <c r="H6943" i="3" s="1"/>
  <c r="D4777" i="3"/>
  <c r="H4777" i="3" s="1"/>
  <c r="D7534" i="3"/>
  <c r="I7534" i="3" s="1"/>
  <c r="D4668" i="3"/>
  <c r="J4668" i="3" s="1"/>
  <c r="D7906" i="3"/>
  <c r="J7906" i="3" s="1"/>
  <c r="D7918" i="3"/>
  <c r="J7918" i="3" s="1"/>
  <c r="D7635" i="3"/>
  <c r="H7635" i="3" s="1"/>
  <c r="D6925" i="3"/>
  <c r="D7708" i="3"/>
  <c r="I7708" i="3" s="1"/>
  <c r="D7012" i="3"/>
  <c r="I7012" i="3" s="1"/>
  <c r="D6858" i="3"/>
  <c r="H6858" i="3" s="1"/>
  <c r="D7705" i="3"/>
  <c r="J7705" i="3" s="1"/>
  <c r="D7015" i="3"/>
  <c r="H7015" i="3" s="1"/>
  <c r="D6882" i="3"/>
  <c r="I6882" i="3" s="1"/>
  <c r="D6934" i="3"/>
  <c r="I6934" i="3" s="1"/>
  <c r="D7733" i="3"/>
  <c r="I7733" i="3" s="1"/>
  <c r="D7933" i="3"/>
  <c r="I7933" i="3" s="1"/>
  <c r="D7649" i="3"/>
  <c r="I7649" i="3" s="1"/>
  <c r="D7553" i="3"/>
  <c r="H7553" i="3" s="1"/>
  <c r="D7655" i="3"/>
  <c r="I7655" i="3" s="1"/>
  <c r="D7939" i="3"/>
  <c r="J7939" i="3" s="1"/>
  <c r="D7545" i="3"/>
  <c r="H7545" i="3" s="1"/>
  <c r="D4998" i="3"/>
  <c r="H4998" i="3" s="1"/>
  <c r="D7565" i="3"/>
  <c r="J7565" i="3" s="1"/>
  <c r="D7530" i="3"/>
  <c r="I7530" i="3" s="1"/>
  <c r="D6957" i="3"/>
  <c r="J6957" i="3" s="1"/>
  <c r="D6985" i="3"/>
  <c r="I6985" i="3" s="1"/>
  <c r="D7535" i="3"/>
  <c r="I7535" i="3" s="1"/>
  <c r="D7023" i="3"/>
  <c r="H7023" i="3" s="1"/>
  <c r="D6947" i="3"/>
  <c r="J6947" i="3" s="1"/>
  <c r="D7775" i="3"/>
  <c r="H7775" i="3" s="1"/>
  <c r="D7706" i="3"/>
  <c r="D7716" i="3"/>
  <c r="D6905" i="3"/>
  <c r="H6905" i="3" s="1"/>
  <c r="D4721" i="3"/>
  <c r="I4721" i="3" s="1"/>
  <c r="D7047" i="3"/>
  <c r="I7047" i="3" s="1"/>
  <c r="D6378" i="3"/>
  <c r="I6378" i="3" s="1"/>
  <c r="D7632" i="3"/>
  <c r="I7632" i="3" s="1"/>
  <c r="D7923" i="3"/>
  <c r="H7923" i="3" s="1"/>
  <c r="D7725" i="3"/>
  <c r="H7725" i="3" s="1"/>
  <c r="D7784" i="3"/>
  <c r="I7784" i="3" s="1"/>
  <c r="D7538" i="3"/>
  <c r="H7538" i="3" s="1"/>
  <c r="D7030" i="3"/>
  <c r="I7030" i="3" s="1"/>
  <c r="D7549" i="3"/>
  <c r="I7549" i="3" s="1"/>
  <c r="D6999" i="3"/>
  <c r="I6999" i="3" s="1"/>
  <c r="D7634" i="3"/>
  <c r="I7634" i="3" s="1"/>
  <c r="D6513" i="3"/>
  <c r="I6513" i="3" s="1"/>
  <c r="D7173" i="3"/>
  <c r="H7173" i="3" s="1"/>
  <c r="D7901" i="3"/>
  <c r="I7901" i="3" s="1"/>
  <c r="D6989" i="3"/>
  <c r="J6989" i="3" s="1"/>
  <c r="D6468" i="3"/>
  <c r="J6468" i="3" s="1"/>
  <c r="D7492" i="3"/>
  <c r="I7492" i="3" s="1"/>
  <c r="D7544" i="3"/>
  <c r="H7544" i="3" s="1"/>
  <c r="D7547" i="3"/>
  <c r="H7547" i="3" s="1"/>
  <c r="D7729" i="3"/>
  <c r="J7729" i="3" s="1"/>
  <c r="D7536" i="3"/>
  <c r="J7536" i="3" s="1"/>
  <c r="D7801" i="3"/>
  <c r="D7897" i="3"/>
  <c r="D7657" i="3"/>
  <c r="I7657" i="3" s="1"/>
  <c r="D7636" i="3"/>
  <c r="D7641" i="3"/>
  <c r="D7889" i="3"/>
  <c r="H7889" i="3" s="1"/>
  <c r="D6788" i="3"/>
  <c r="J6788" i="3" s="1"/>
  <c r="D7879" i="3"/>
  <c r="D6819" i="3"/>
  <c r="H6819" i="3" s="1"/>
  <c r="D6877" i="3"/>
  <c r="I6877" i="3" s="1"/>
  <c r="D7007" i="3"/>
  <c r="I7007" i="3" s="1"/>
  <c r="D7727" i="3"/>
  <c r="H7727" i="3" s="1"/>
  <c r="D4897" i="3"/>
  <c r="D7899" i="3"/>
  <c r="J7899" i="3" s="1"/>
  <c r="D7129" i="3"/>
  <c r="I7129" i="3" s="1"/>
  <c r="D7127" i="3"/>
  <c r="H7127" i="3" s="1"/>
  <c r="D7563" i="3"/>
  <c r="H7563" i="3" s="1"/>
  <c r="D7044" i="3"/>
  <c r="J7044" i="3" s="1"/>
  <c r="D6954" i="3"/>
  <c r="D7887" i="3"/>
  <c r="I7887" i="3" s="1"/>
  <c r="D6806" i="3"/>
  <c r="J6806" i="3" s="1"/>
  <c r="D7762" i="3"/>
  <c r="J7762" i="3" s="1"/>
  <c r="D5004" i="3"/>
  <c r="D6936" i="3"/>
  <c r="H6936" i="3" s="1"/>
  <c r="D6573" i="3"/>
  <c r="I6573" i="3" s="1"/>
  <c r="D7782" i="3"/>
  <c r="J7782" i="3" s="1"/>
  <c r="D6913" i="3"/>
  <c r="J6913" i="3" s="1"/>
  <c r="D6923" i="3"/>
  <c r="H6923" i="3" s="1"/>
  <c r="D7568" i="3"/>
  <c r="J7568" i="3" s="1"/>
  <c r="D6953" i="3"/>
  <c r="J6953" i="3" s="1"/>
  <c r="D7026" i="3"/>
  <c r="I7026" i="3" s="1"/>
  <c r="D6558" i="3"/>
  <c r="H6558" i="3" s="1"/>
  <c r="D6790" i="3"/>
  <c r="J6790" i="3" s="1"/>
  <c r="D7671" i="3"/>
  <c r="I7671" i="3" s="1"/>
  <c r="D7915" i="3"/>
  <c r="J7915" i="3" s="1"/>
  <c r="D7869" i="3"/>
  <c r="D7004" i="3"/>
  <c r="H7004" i="3" s="1"/>
  <c r="D6821" i="3"/>
  <c r="H6821" i="3" s="1"/>
  <c r="D6927" i="3"/>
  <c r="H6927" i="3" s="1"/>
  <c r="D7125" i="3"/>
  <c r="J7125" i="3" s="1"/>
  <c r="D4698" i="3"/>
  <c r="J4698" i="3" s="1"/>
  <c r="D6826" i="3"/>
  <c r="I6826" i="3" s="1"/>
  <c r="D7770" i="3"/>
  <c r="I7770" i="3" s="1"/>
  <c r="D6920" i="3"/>
  <c r="H6974" i="3"/>
  <c r="D7927" i="3"/>
  <c r="J7927" i="3" s="1"/>
  <c r="D7943" i="3"/>
  <c r="J7943" i="3" s="1"/>
  <c r="D6922" i="3"/>
  <c r="J6922" i="3" s="1"/>
  <c r="D6814" i="3"/>
  <c r="D7673" i="3"/>
  <c r="I7673" i="3" s="1"/>
  <c r="D6793" i="3"/>
  <c r="I6793" i="3" s="1"/>
  <c r="D7556" i="3"/>
  <c r="D7788" i="3"/>
  <c r="I7788" i="3" s="1"/>
  <c r="D6812" i="3"/>
  <c r="J6812" i="3" s="1"/>
  <c r="D7561" i="3"/>
  <c r="H7561" i="3" s="1"/>
  <c r="D7539" i="3"/>
  <c r="D4683" i="3"/>
  <c r="I4683" i="3" s="1"/>
  <c r="D6987" i="3"/>
  <c r="H6987" i="3" s="1"/>
  <c r="D7756" i="3"/>
  <c r="I7756" i="3" s="1"/>
  <c r="D6941" i="3"/>
  <c r="J6941" i="3" s="1"/>
  <c r="D6907" i="3"/>
  <c r="H6907" i="3" s="1"/>
  <c r="D7787" i="3"/>
  <c r="H7787" i="3" s="1"/>
  <c r="D7039" i="3"/>
  <c r="H7039" i="3" s="1"/>
  <c r="D6884" i="3"/>
  <c r="D7645" i="3"/>
  <c r="I7645" i="3" s="1"/>
  <c r="D7773" i="3"/>
  <c r="J7773" i="3" s="1"/>
  <c r="D6980" i="3"/>
  <c r="D7133" i="3"/>
  <c r="D4848" i="3"/>
  <c r="H4848" i="3" s="1"/>
  <c r="D6994" i="3"/>
  <c r="I6994" i="3" s="1"/>
  <c r="D6993" i="3"/>
  <c r="I6993" i="3" s="1"/>
  <c r="D7529" i="3"/>
  <c r="H7529" i="3" s="1"/>
  <c r="D7531" i="3"/>
  <c r="H7531" i="3" s="1"/>
  <c r="D7631" i="3"/>
  <c r="J7631" i="3" s="1"/>
  <c r="D7883" i="3"/>
  <c r="J7883" i="3" s="1"/>
  <c r="D7550" i="3"/>
  <c r="J7550" i="3" s="1"/>
  <c r="D6894" i="3"/>
  <c r="H6894" i="3" s="1"/>
  <c r="D6931" i="3"/>
  <c r="I6931" i="3" s="1"/>
  <c r="D7932" i="3"/>
  <c r="D7909" i="3"/>
  <c r="H7909" i="3" s="1"/>
  <c r="D6794" i="3"/>
  <c r="I6794" i="3" s="1"/>
  <c r="D6393" i="3"/>
  <c r="I6393" i="3" s="1"/>
  <c r="D4968" i="3"/>
  <c r="J4968" i="3" s="1"/>
  <c r="D7912" i="3"/>
  <c r="I7912" i="3" s="1"/>
  <c r="D4792" i="3"/>
  <c r="I4792" i="3" s="1"/>
  <c r="D7668" i="3"/>
  <c r="I7668" i="3" s="1"/>
  <c r="D6889" i="3"/>
  <c r="J6889" i="3" s="1"/>
  <c r="D7051" i="3"/>
  <c r="H7051" i="3" s="1"/>
  <c r="D7034" i="3"/>
  <c r="J7034" i="3" s="1"/>
  <c r="D7776" i="3"/>
  <c r="I7776" i="3" s="1"/>
  <c r="D7875" i="3"/>
  <c r="I7875" i="3" s="1"/>
  <c r="D7522" i="3"/>
  <c r="I7522" i="3" s="1"/>
  <c r="I6976" i="3"/>
  <c r="D6960" i="3"/>
  <c r="H6960" i="3" s="1"/>
  <c r="D6825" i="3"/>
  <c r="I6825" i="3" s="1"/>
  <c r="D7566" i="3"/>
  <c r="H7566" i="3" s="1"/>
  <c r="D7640" i="3"/>
  <c r="I7640" i="3" s="1"/>
  <c r="D6813" i="3"/>
  <c r="H6813" i="3" s="1"/>
  <c r="D6924" i="3"/>
  <c r="I6924" i="3" s="1"/>
  <c r="D7802" i="3"/>
  <c r="H7802" i="3" s="1"/>
  <c r="D7809" i="3"/>
  <c r="H7809" i="3" s="1"/>
  <c r="D7559" i="3"/>
  <c r="J7559" i="3" s="1"/>
  <c r="D7856" i="3"/>
  <c r="D7764" i="3"/>
  <c r="I7764" i="3" s="1"/>
  <c r="D6796" i="3"/>
  <c r="I6796" i="3" s="1"/>
  <c r="D7175" i="3"/>
  <c r="D7533" i="3"/>
  <c r="J7533" i="3" s="1"/>
  <c r="D6997" i="3"/>
  <c r="H6997" i="3" s="1"/>
  <c r="D7931" i="3"/>
  <c r="D7781" i="3"/>
  <c r="I7781" i="3" s="1"/>
  <c r="D7891" i="3"/>
  <c r="I7891" i="3" s="1"/>
  <c r="D6891" i="3"/>
  <c r="H6891" i="3" s="1"/>
  <c r="D7919" i="3"/>
  <c r="H7919" i="3" s="1"/>
  <c r="D7661" i="3"/>
  <c r="J7661" i="3" s="1"/>
  <c r="D7528" i="3"/>
  <c r="J7528" i="3" s="1"/>
  <c r="D7132" i="3"/>
  <c r="J7132" i="3" s="1"/>
  <c r="D7857" i="3"/>
  <c r="J7857" i="3" s="1"/>
  <c r="D7718" i="3"/>
  <c r="D7027" i="3"/>
  <c r="H7027" i="3" s="1"/>
  <c r="D7002" i="3"/>
  <c r="H7002" i="3" s="1"/>
  <c r="D6926" i="3"/>
  <c r="H6926" i="3" s="1"/>
  <c r="D6438" i="3"/>
  <c r="I6438" i="3" s="1"/>
  <c r="D7045" i="3"/>
  <c r="H7045" i="3" s="1"/>
  <c r="D7944" i="3"/>
  <c r="I7944" i="3" s="1"/>
  <c r="D7567" i="3"/>
  <c r="J7567" i="3" s="1"/>
  <c r="D5019" i="3"/>
  <c r="I5019" i="3" s="1"/>
  <c r="D7730" i="3"/>
  <c r="D7940" i="3"/>
  <c r="H7940" i="3" s="1"/>
  <c r="D7908" i="3"/>
  <c r="I7908" i="3" s="1"/>
  <c r="I6975" i="3"/>
  <c r="D6795" i="3"/>
  <c r="J6795" i="3" s="1"/>
  <c r="D7898" i="3"/>
  <c r="H7898" i="3" s="1"/>
  <c r="D4882" i="3"/>
  <c r="J4882" i="3" s="1"/>
  <c r="D6942" i="3"/>
  <c r="I6942" i="3" s="1"/>
  <c r="D6904" i="3"/>
  <c r="J6904" i="3" s="1"/>
  <c r="D7143" i="3"/>
  <c r="H7143" i="3" s="1"/>
  <c r="D7653" i="3"/>
  <c r="J7653" i="3" s="1"/>
  <c r="D7188" i="3"/>
  <c r="I7188" i="3" s="1"/>
  <c r="D6898" i="3"/>
  <c r="J6898" i="3" s="1"/>
  <c r="D7131" i="3"/>
  <c r="J7131" i="3" s="1"/>
  <c r="D6678" i="3"/>
  <c r="I6678" i="3" s="1"/>
  <c r="D7884" i="3"/>
  <c r="I7884" i="3" s="1"/>
  <c r="I6967" i="3"/>
  <c r="D7648" i="3"/>
  <c r="I7648" i="3" s="1"/>
  <c r="D7008" i="3"/>
  <c r="J7008" i="3" s="1"/>
  <c r="D6887" i="3"/>
  <c r="I6887" i="3" s="1"/>
  <c r="D7779" i="3"/>
  <c r="J7779" i="3" s="1"/>
  <c r="D7674" i="3"/>
  <c r="H7674" i="3" s="1"/>
  <c r="D6878" i="3"/>
  <c r="J6878" i="3" s="1"/>
  <c r="D7885" i="3"/>
  <c r="I7885" i="3" s="1"/>
  <c r="D6799" i="3"/>
  <c r="D7639" i="3"/>
  <c r="I7639" i="3" s="1"/>
  <c r="D7732" i="3"/>
  <c r="I7732" i="3" s="1"/>
  <c r="D7867" i="3"/>
  <c r="D7028" i="3"/>
  <c r="D7892" i="3"/>
  <c r="J7892" i="3" s="1"/>
  <c r="D6288" i="3"/>
  <c r="J6288" i="3" s="1"/>
  <c r="D7936" i="3"/>
  <c r="H7936" i="3" s="1"/>
  <c r="H6972" i="3"/>
  <c r="D7710" i="3"/>
  <c r="H7710" i="3" s="1"/>
  <c r="D7893" i="3"/>
  <c r="D6984" i="3"/>
  <c r="I6984" i="3" s="1"/>
  <c r="D6498" i="3"/>
  <c r="J6498" i="3" s="1"/>
  <c r="D7795" i="3"/>
  <c r="I7795" i="3" s="1"/>
  <c r="D6815" i="3"/>
  <c r="J6815" i="3" s="1"/>
  <c r="D7938" i="3"/>
  <c r="I7938" i="3" s="1"/>
  <c r="D6944" i="3"/>
  <c r="D7177" i="3"/>
  <c r="J7177" i="3" s="1"/>
  <c r="D7016" i="3"/>
  <c r="I7016" i="3" s="1"/>
  <c r="D7888" i="3"/>
  <c r="I7888" i="3" s="1"/>
  <c r="D6843" i="3"/>
  <c r="J6843" i="3" s="1"/>
  <c r="D7806" i="3"/>
  <c r="H7806" i="3" s="1"/>
  <c r="D7881" i="3"/>
  <c r="H7881" i="3" s="1"/>
  <c r="D7541" i="3"/>
  <c r="J7541" i="3" s="1"/>
  <c r="D4974" i="3"/>
  <c r="H4974" i="3" s="1"/>
  <c r="D6916" i="3"/>
  <c r="H6916" i="3" s="1"/>
  <c r="D6805" i="3"/>
  <c r="I6805" i="3" s="1"/>
  <c r="D6901" i="3"/>
  <c r="I6901" i="3" s="1"/>
  <c r="H6968" i="3"/>
  <c r="D4839" i="3"/>
  <c r="J4839" i="3" s="1"/>
  <c r="D6986" i="3"/>
  <c r="I6986" i="3" s="1"/>
  <c r="D7001" i="3"/>
  <c r="J7001" i="3" s="1"/>
  <c r="D6823" i="3"/>
  <c r="I6823" i="3" s="1"/>
  <c r="D7179" i="3"/>
  <c r="I7179" i="3" s="1"/>
  <c r="D6961" i="3"/>
  <c r="H6961" i="3" s="1"/>
  <c r="D6811" i="3"/>
  <c r="H6811" i="3" s="1"/>
  <c r="D6784" i="3"/>
  <c r="J6784" i="3" s="1"/>
  <c r="D7752" i="3"/>
  <c r="D7540" i="3"/>
  <c r="D7630" i="3"/>
  <c r="J7630" i="3" s="1"/>
  <c r="D6318" i="3"/>
  <c r="I6318" i="3" s="1"/>
  <c r="D7029" i="3"/>
  <c r="I7029" i="3" s="1"/>
  <c r="D6885" i="3"/>
  <c r="D7011" i="3"/>
  <c r="I7011" i="3" s="1"/>
  <c r="D7724" i="3"/>
  <c r="H7724" i="3" s="1"/>
  <c r="D7792" i="3"/>
  <c r="J7792" i="3" s="1"/>
  <c r="D6783" i="3"/>
  <c r="I6783" i="3" s="1"/>
  <c r="D6333" i="3"/>
  <c r="D7709" i="3"/>
  <c r="J7709" i="3" s="1"/>
  <c r="H6973" i="3"/>
  <c r="D7941" i="3"/>
  <c r="J7941" i="3" s="1"/>
  <c r="D7935" i="3"/>
  <c r="I7935" i="3" s="1"/>
  <c r="D7003" i="3"/>
  <c r="J7003" i="3" s="1"/>
  <c r="D7874" i="3"/>
  <c r="D7560" i="3"/>
  <c r="J7560" i="3" s="1"/>
  <c r="D6896" i="3"/>
  <c r="I6896" i="3" s="1"/>
  <c r="D7934" i="3"/>
  <c r="D7723" i="3"/>
  <c r="J7723" i="3" s="1"/>
  <c r="D7670" i="3"/>
  <c r="D7922" i="3"/>
  <c r="I7922" i="3" s="1"/>
  <c r="D7804" i="3"/>
  <c r="J7804" i="3" s="1"/>
  <c r="D6808" i="3"/>
  <c r="I6808" i="3" s="1"/>
  <c r="D7035" i="3"/>
  <c r="D6995" i="3"/>
  <c r="J6995" i="3" s="1"/>
  <c r="D7017" i="3"/>
  <c r="J7017" i="3" s="1"/>
  <c r="D7798" i="3"/>
  <c r="J7798" i="3" s="1"/>
  <c r="D7863" i="3"/>
  <c r="H7863" i="3" s="1"/>
  <c r="D6408" i="3"/>
  <c r="J6408" i="3" s="1"/>
  <c r="D7767" i="3"/>
  <c r="D7532" i="3"/>
  <c r="J7532" i="3" s="1"/>
  <c r="D4713" i="3"/>
  <c r="H4713" i="3" s="1"/>
  <c r="D7203" i="3"/>
  <c r="I7203" i="3" s="1"/>
  <c r="D6915" i="3"/>
  <c r="I6915" i="3" s="1"/>
  <c r="D7766" i="3"/>
  <c r="J7766" i="3" s="1"/>
  <c r="D6792" i="3"/>
  <c r="I6792" i="3" s="1"/>
  <c r="D7042" i="3"/>
  <c r="D6818" i="3"/>
  <c r="I6818" i="3" s="1"/>
  <c r="D6883" i="3"/>
  <c r="J6883" i="3" s="1"/>
  <c r="D7652" i="3"/>
  <c r="D6978" i="3"/>
  <c r="I6978" i="3" s="1"/>
  <c r="D6603" i="3"/>
  <c r="J6603" i="3" s="1"/>
  <c r="D6827" i="3"/>
  <c r="D7759" i="3"/>
  <c r="J7759" i="3" s="1"/>
  <c r="D7760" i="3"/>
  <c r="H7760" i="3" s="1"/>
  <c r="D6886" i="3"/>
  <c r="D6900" i="3"/>
  <c r="I6900" i="3" s="1"/>
  <c r="D7009" i="3"/>
  <c r="H7009" i="3" s="1"/>
  <c r="D7638" i="3"/>
  <c r="H7638" i="3" s="1"/>
  <c r="D7172" i="3"/>
  <c r="J7172" i="3" s="1"/>
  <c r="D6809" i="3"/>
  <c r="I6809" i="3" s="1"/>
  <c r="D7870" i="3"/>
  <c r="D6807" i="3"/>
  <c r="J6807" i="3" s="1"/>
  <c r="D7905" i="3"/>
  <c r="J7905" i="3" s="1"/>
  <c r="D6992" i="3"/>
  <c r="H6992" i="3" s="1"/>
  <c r="D6804" i="3"/>
  <c r="J6804" i="3" s="1"/>
  <c r="D6797" i="3"/>
  <c r="H6797" i="3" s="1"/>
  <c r="D7726" i="3"/>
  <c r="J7726" i="3" s="1"/>
  <c r="H6971" i="3"/>
  <c r="D7914" i="3"/>
  <c r="I7914" i="3" s="1"/>
  <c r="D6912" i="3"/>
  <c r="I6912" i="3" s="1"/>
  <c r="D6945" i="3"/>
  <c r="H6945" i="3" s="1"/>
  <c r="D7552" i="3"/>
  <c r="D6991" i="3"/>
  <c r="I6991" i="3" s="1"/>
  <c r="D6881" i="3"/>
  <c r="J6881" i="3" s="1"/>
  <c r="D7020" i="3"/>
  <c r="D7765" i="3"/>
  <c r="H7765" i="3" s="1"/>
  <c r="D7873" i="3"/>
  <c r="J7873" i="3" s="1"/>
  <c r="D7551" i="3"/>
  <c r="H7551" i="3" s="1"/>
  <c r="D6959" i="3"/>
  <c r="D7777" i="3"/>
  <c r="J7777" i="3" s="1"/>
  <c r="D7772" i="3"/>
  <c r="H7772" i="3" s="1"/>
  <c r="D6483" i="3"/>
  <c r="D7862" i="3"/>
  <c r="I7862" i="3" s="1"/>
  <c r="D7871" i="3"/>
  <c r="J7871" i="3" s="1"/>
  <c r="D4758" i="3"/>
  <c r="I4758" i="3" s="1"/>
  <c r="D7937" i="3"/>
  <c r="I7937" i="3" s="1"/>
  <c r="D6928" i="3"/>
  <c r="I6928" i="3" s="1"/>
  <c r="D7005" i="3"/>
  <c r="H7005" i="3" s="1"/>
  <c r="D6348" i="3"/>
  <c r="H6348" i="3" s="1"/>
  <c r="I6964" i="3"/>
  <c r="D7647" i="3"/>
  <c r="H7647" i="3" s="1"/>
  <c r="D7902" i="3"/>
  <c r="I7902" i="3" s="1"/>
  <c r="D6914" i="3"/>
  <c r="I6914" i="3" s="1"/>
  <c r="D7537" i="3"/>
  <c r="J7537" i="3" s="1"/>
  <c r="D7895" i="3"/>
  <c r="H7895" i="3" s="1"/>
  <c r="D7672" i="3"/>
  <c r="H7672" i="3" s="1"/>
  <c r="D6952" i="3"/>
  <c r="H6952" i="3" s="1"/>
  <c r="D7790" i="3"/>
  <c r="I7790" i="3" s="1"/>
  <c r="D6929" i="3"/>
  <c r="I6929" i="3" s="1"/>
  <c r="D7665" i="3"/>
  <c r="H7665" i="3" s="1"/>
  <c r="D7557" i="3"/>
  <c r="D7548" i="3"/>
  <c r="H7548" i="3" s="1"/>
  <c r="D6892" i="3"/>
  <c r="D4824" i="3"/>
  <c r="D6982" i="3"/>
  <c r="I6982" i="3" s="1"/>
  <c r="D7859" i="3"/>
  <c r="J7859" i="3" s="1"/>
  <c r="D6911" i="3"/>
  <c r="D7750" i="3"/>
  <c r="H7750" i="3" s="1"/>
  <c r="D7785" i="3"/>
  <c r="J7785" i="3" s="1"/>
  <c r="D7666" i="3"/>
  <c r="H7666" i="3" s="1"/>
  <c r="D7878" i="3"/>
  <c r="I7878" i="3" s="1"/>
  <c r="D6996" i="3"/>
  <c r="J6996" i="3" s="1"/>
  <c r="D6453" i="3"/>
  <c r="J6453" i="3" s="1"/>
  <c r="D7916" i="3"/>
  <c r="I7916" i="3" s="1"/>
  <c r="D7855" i="3"/>
  <c r="H7855" i="3" s="1"/>
  <c r="D7644" i="3"/>
  <c r="H7644" i="3" s="1"/>
  <c r="D7713" i="3"/>
  <c r="J7713" i="3" s="1"/>
  <c r="D7896" i="3"/>
  <c r="H6977" i="3"/>
  <c r="D7722" i="3"/>
  <c r="H7722" i="3" s="1"/>
  <c r="D7038" i="3"/>
  <c r="I7038" i="3" s="1"/>
  <c r="D7789" i="3"/>
  <c r="I7789" i="3" s="1"/>
  <c r="D7126" i="3"/>
  <c r="I7126" i="3" s="1"/>
  <c r="D7643" i="3"/>
  <c r="I7643" i="3" s="1"/>
  <c r="D6789" i="3"/>
  <c r="D7642" i="3"/>
  <c r="I7642" i="3" s="1"/>
  <c r="D7894" i="3"/>
  <c r="J7894" i="3" s="1"/>
  <c r="D7807" i="3"/>
  <c r="J7807" i="3" s="1"/>
  <c r="D7763" i="3"/>
  <c r="H7763" i="3" s="1"/>
  <c r="D7662" i="3"/>
  <c r="I7662" i="3" s="1"/>
  <c r="D7719" i="3"/>
  <c r="J7719" i="3" s="1"/>
  <c r="D7025" i="3"/>
  <c r="H7025" i="3" s="1"/>
  <c r="D7911" i="3"/>
  <c r="D7714" i="3"/>
  <c r="H7714" i="3" s="1"/>
  <c r="D7758" i="3"/>
  <c r="I7758" i="3" s="1"/>
  <c r="D7658" i="3"/>
  <c r="H7658" i="3" s="1"/>
  <c r="D7794" i="3"/>
  <c r="D6810" i="3"/>
  <c r="I6810" i="3" s="1"/>
  <c r="D6303" i="3"/>
  <c r="J6303" i="3" s="1"/>
  <c r="D7800" i="3"/>
  <c r="D6528" i="3"/>
  <c r="D7048" i="3"/>
  <c r="I7048" i="3" s="1"/>
  <c r="D6958" i="3"/>
  <c r="I6958" i="3" s="1"/>
  <c r="D6981" i="3"/>
  <c r="I6981" i="3" s="1"/>
  <c r="D7793" i="3"/>
  <c r="D7753" i="3"/>
  <c r="I7753" i="3" s="1"/>
  <c r="D4867" i="3"/>
  <c r="I4867" i="3" s="1"/>
  <c r="D7031" i="3"/>
  <c r="J7031" i="3" s="1"/>
  <c r="D6798" i="3"/>
  <c r="D7656" i="3"/>
  <c r="H7656" i="3" s="1"/>
  <c r="D7022" i="3"/>
  <c r="I7022" i="3" s="1"/>
  <c r="D7176" i="3"/>
  <c r="I7176" i="3" s="1"/>
  <c r="D6423" i="3"/>
  <c r="D7109" i="3"/>
  <c r="H7109" i="3" s="1"/>
  <c r="D6939" i="3"/>
  <c r="I6939" i="3" s="1"/>
  <c r="D7754" i="3"/>
  <c r="C67" i="133"/>
  <c r="J7055" i="3"/>
  <c r="B18" i="9"/>
  <c r="B18" i="137"/>
  <c r="B23" i="144"/>
  <c r="D67" i="133"/>
  <c r="J4657" i="3"/>
  <c r="B23" i="140"/>
  <c r="B23" i="141"/>
  <c r="E67" i="133"/>
  <c r="I7063" i="3"/>
  <c r="J7063" i="3"/>
  <c r="H7063" i="3"/>
  <c r="B23" i="139"/>
  <c r="B23" i="142"/>
  <c r="J4659" i="3"/>
  <c r="B23" i="143"/>
  <c r="B18" i="138"/>
  <c r="B18" i="136"/>
  <c r="B23" i="145"/>
  <c r="B23" i="148"/>
  <c r="F67" i="133"/>
  <c r="B23" i="149"/>
  <c r="D7061" i="3"/>
  <c r="J4658" i="3"/>
  <c r="B23" i="146"/>
  <c r="J7062" i="3"/>
  <c r="I7062" i="3"/>
  <c r="H7062" i="3"/>
  <c r="I7056" i="3"/>
  <c r="H7056" i="3"/>
  <c r="J7056" i="3"/>
  <c r="B20" i="2"/>
  <c r="B21" i="2"/>
  <c r="I4649" i="3"/>
  <c r="I4659" i="3"/>
  <c r="I4658" i="3"/>
  <c r="H4658" i="3"/>
  <c r="I4657" i="3"/>
  <c r="H4659" i="3"/>
  <c r="H4657" i="3"/>
  <c r="H6966" i="3"/>
  <c r="I6161" i="3"/>
  <c r="I6158" i="3"/>
  <c r="H6166" i="3"/>
  <c r="H6161" i="3"/>
  <c r="H6158" i="3"/>
  <c r="H6164" i="3"/>
  <c r="I6167" i="3"/>
  <c r="I6165" i="3"/>
  <c r="H6167" i="3"/>
  <c r="I6163" i="3"/>
  <c r="I6166" i="3"/>
  <c r="I6164" i="3"/>
  <c r="H6165" i="3"/>
  <c r="H6163" i="3"/>
  <c r="H6159" i="3"/>
  <c r="I6159" i="3"/>
  <c r="H6160" i="3"/>
  <c r="H6157" i="3"/>
  <c r="I6162" i="3"/>
  <c r="H6162" i="3"/>
  <c r="I6160" i="3"/>
  <c r="I6157" i="3"/>
  <c r="H6261" i="3"/>
  <c r="I6261" i="3"/>
  <c r="I5106" i="3"/>
  <c r="H5105" i="3"/>
  <c r="I4648" i="3"/>
  <c r="I7055" i="3"/>
  <c r="H7055" i="3"/>
  <c r="H5104" i="3"/>
  <c r="D6053" i="3" a="1"/>
  <c r="H6258" i="3"/>
  <c r="D6020" i="3" a="1"/>
  <c r="D6021" i="3" a="1"/>
  <c r="D6635" i="3" a="1"/>
  <c r="D6062" i="3" a="1"/>
  <c r="D6055" i="3" a="1"/>
  <c r="D6060" i="3" a="1"/>
  <c r="D6056" i="3" a="1"/>
  <c r="D6035" i="3" a="1"/>
  <c r="D6058" i="3" a="1"/>
  <c r="I5103" i="3"/>
  <c r="H6243" i="3"/>
  <c r="D6061" i="3" a="1"/>
  <c r="D6636" i="3" a="1"/>
  <c r="I6243" i="3"/>
  <c r="D6059" i="3" a="1"/>
  <c r="D6049" i="3" a="1"/>
  <c r="D6036" i="3" a="1"/>
  <c r="D6057" i="3" a="1"/>
  <c r="D6048" i="3" a="1"/>
  <c r="D6034" i="3" a="1"/>
  <c r="D6019" i="3" a="1"/>
  <c r="D6051" i="3" a="1"/>
  <c r="D6634" i="3" a="1"/>
  <c r="D6054" i="3" a="1"/>
  <c r="D6052" i="3" a="1"/>
  <c r="D6050" i="3" a="1"/>
  <c r="J6046" i="3" l="1"/>
  <c r="H6046" i="3"/>
  <c r="I6046" i="3"/>
  <c r="J6047" i="3"/>
  <c r="I6047" i="3"/>
  <c r="H6047" i="3"/>
  <c r="D6634" i="3"/>
  <c r="H6634" i="3" s="1"/>
  <c r="D6020" i="3"/>
  <c r="I6020" i="3" s="1"/>
  <c r="D6035" i="3"/>
  <c r="D6019" i="3"/>
  <c r="H6019" i="3" s="1"/>
  <c r="D6034" i="3"/>
  <c r="D6021" i="3"/>
  <c r="I6021" i="3" s="1"/>
  <c r="D6036" i="3"/>
  <c r="C30" i="182"/>
  <c r="D6260" i="3" s="1"/>
  <c r="J6260" i="3" s="1"/>
  <c r="J6037" i="3"/>
  <c r="I6037" i="3"/>
  <c r="H6037" i="3"/>
  <c r="J6040" i="3"/>
  <c r="I6040" i="3"/>
  <c r="H6040" i="3"/>
  <c r="B30" i="182"/>
  <c r="D6245" i="3" s="1"/>
  <c r="J6245" i="3" s="1"/>
  <c r="C30" i="181"/>
  <c r="D6259" i="3" s="1"/>
  <c r="J6259" i="3" s="1"/>
  <c r="H5676" i="3"/>
  <c r="I5676" i="3"/>
  <c r="J5676" i="3"/>
  <c r="B30" i="183"/>
  <c r="D6246" i="3" s="1"/>
  <c r="J6246" i="3" s="1"/>
  <c r="I5660" i="3"/>
  <c r="J5660" i="3"/>
  <c r="H5660" i="3"/>
  <c r="J5691" i="3"/>
  <c r="I5691" i="3"/>
  <c r="H5691" i="3"/>
  <c r="J5675" i="3"/>
  <c r="I5675" i="3"/>
  <c r="H5675" i="3"/>
  <c r="I5661" i="3"/>
  <c r="J5661" i="3"/>
  <c r="H5661" i="3"/>
  <c r="J5690" i="3"/>
  <c r="I5690" i="3"/>
  <c r="H5690" i="3"/>
  <c r="H5659" i="3"/>
  <c r="J5659" i="3"/>
  <c r="I5659" i="3"/>
  <c r="I6043" i="3"/>
  <c r="H6043" i="3"/>
  <c r="J6043" i="3"/>
  <c r="H5674" i="3"/>
  <c r="I5674" i="3"/>
  <c r="J5674" i="3"/>
  <c r="I6045" i="3"/>
  <c r="J6045" i="3"/>
  <c r="H6045" i="3"/>
  <c r="J5689" i="3"/>
  <c r="I5689" i="3"/>
  <c r="H5689" i="3"/>
  <c r="H6039" i="3"/>
  <c r="J6039" i="3"/>
  <c r="I6039" i="3"/>
  <c r="I6042" i="3"/>
  <c r="J6042" i="3"/>
  <c r="H6042" i="3"/>
  <c r="J6033" i="3"/>
  <c r="I6033" i="3"/>
  <c r="H6033" i="3"/>
  <c r="I6038" i="3"/>
  <c r="J6038" i="3"/>
  <c r="H6038" i="3"/>
  <c r="I6044" i="3"/>
  <c r="J6044" i="3"/>
  <c r="H6044" i="3"/>
  <c r="H6041" i="3"/>
  <c r="J6041" i="3"/>
  <c r="I6041" i="3"/>
  <c r="B30" i="181"/>
  <c r="D6244" i="3" s="1"/>
  <c r="J6244" i="3" s="1"/>
  <c r="D6635" i="3"/>
  <c r="J6635" i="3" s="1"/>
  <c r="D6636" i="3"/>
  <c r="J6636" i="3" s="1"/>
  <c r="J6261" i="3"/>
  <c r="J6258" i="3"/>
  <c r="J6243" i="3"/>
  <c r="D6062" i="3"/>
  <c r="D6051" i="3"/>
  <c r="D6054" i="3"/>
  <c r="D6060" i="3"/>
  <c r="D6056" i="3"/>
  <c r="D6048" i="3"/>
  <c r="D6057" i="3"/>
  <c r="D6052" i="3"/>
  <c r="D6049" i="3"/>
  <c r="D6058" i="3"/>
  <c r="D6050" i="3"/>
  <c r="D6055" i="3"/>
  <c r="D6053" i="3"/>
  <c r="D6059" i="3"/>
  <c r="D6061" i="3"/>
  <c r="H6065" i="3"/>
  <c r="J6065" i="3"/>
  <c r="I6065" i="3"/>
  <c r="H5329" i="3"/>
  <c r="I5329" i="3"/>
  <c r="J5329" i="3"/>
  <c r="I5584" i="3"/>
  <c r="H5584" i="3"/>
  <c r="J5584" i="3"/>
  <c r="J5511" i="3"/>
  <c r="I5511" i="3"/>
  <c r="H5511" i="3"/>
  <c r="J6169" i="3"/>
  <c r="I6169" i="3"/>
  <c r="H6169" i="3"/>
  <c r="H5419" i="3"/>
  <c r="J5419" i="3"/>
  <c r="I5419" i="3"/>
  <c r="I6027" i="3"/>
  <c r="H6027" i="3"/>
  <c r="J6027" i="3"/>
  <c r="J6022" i="3"/>
  <c r="I6022" i="3"/>
  <c r="H6022" i="3"/>
  <c r="I5841" i="3"/>
  <c r="H5841" i="3"/>
  <c r="J5841" i="3"/>
  <c r="I5854" i="3"/>
  <c r="H5854" i="3"/>
  <c r="J5854" i="3"/>
  <c r="I5405" i="3"/>
  <c r="H5405" i="3"/>
  <c r="J5405" i="3"/>
  <c r="J6155" i="3"/>
  <c r="J6066" i="3"/>
  <c r="I6066" i="3"/>
  <c r="H6066" i="3"/>
  <c r="J5959" i="3"/>
  <c r="I5959" i="3"/>
  <c r="H5959" i="3"/>
  <c r="J5149" i="3"/>
  <c r="H5149" i="3"/>
  <c r="I5149" i="3"/>
  <c r="J6643" i="3"/>
  <c r="I6643" i="3"/>
  <c r="H6643" i="3"/>
  <c r="J6637" i="3"/>
  <c r="H6637" i="3"/>
  <c r="I6637" i="3"/>
  <c r="J5765" i="3"/>
  <c r="I5765" i="3"/>
  <c r="H5765" i="3"/>
  <c r="I5241" i="3"/>
  <c r="H5241" i="3"/>
  <c r="J5241" i="3"/>
  <c r="J5224" i="3"/>
  <c r="H5224" i="3"/>
  <c r="I5224" i="3"/>
  <c r="H5764" i="3"/>
  <c r="J5764" i="3"/>
  <c r="I5764" i="3"/>
  <c r="J5870" i="3"/>
  <c r="I5870" i="3"/>
  <c r="H5870" i="3"/>
  <c r="H6094" i="3"/>
  <c r="J6094" i="3"/>
  <c r="I6094" i="3"/>
  <c r="H5931" i="3"/>
  <c r="J5931" i="3"/>
  <c r="I5931" i="3"/>
  <c r="I6647" i="3"/>
  <c r="H6647" i="3"/>
  <c r="J6647" i="3"/>
  <c r="J5480" i="3"/>
  <c r="I5480" i="3"/>
  <c r="H5480" i="3"/>
  <c r="H5766" i="3"/>
  <c r="I5766" i="3"/>
  <c r="J5766" i="3"/>
  <c r="J5121" i="3"/>
  <c r="I5121" i="3"/>
  <c r="H5121" i="3"/>
  <c r="I5240" i="3"/>
  <c r="H5240" i="3"/>
  <c r="J5240" i="3"/>
  <c r="I5120" i="3"/>
  <c r="J5120" i="3"/>
  <c r="H5120" i="3"/>
  <c r="I5316" i="3"/>
  <c r="H5316" i="3"/>
  <c r="J5316" i="3"/>
  <c r="I6023" i="3"/>
  <c r="H6023" i="3"/>
  <c r="J6023" i="3"/>
  <c r="H6080" i="3"/>
  <c r="J6080" i="3"/>
  <c r="I6080" i="3"/>
  <c r="I5571" i="3"/>
  <c r="H5571" i="3"/>
  <c r="J5571" i="3"/>
  <c r="J5569" i="3"/>
  <c r="H5569" i="3"/>
  <c r="I5569" i="3"/>
  <c r="I5481" i="3"/>
  <c r="H5481" i="3"/>
  <c r="J5481" i="3"/>
  <c r="H5600" i="3"/>
  <c r="J5600" i="3"/>
  <c r="I5600" i="3"/>
  <c r="H5389" i="3"/>
  <c r="J5389" i="3"/>
  <c r="I5389" i="3"/>
  <c r="I6646" i="3"/>
  <c r="H6646" i="3"/>
  <c r="J6646" i="3"/>
  <c r="J5856" i="3"/>
  <c r="H5856" i="3"/>
  <c r="I5856" i="3"/>
  <c r="H5869" i="3"/>
  <c r="J5869" i="3"/>
  <c r="I5869" i="3"/>
  <c r="H6171" i="3"/>
  <c r="J6171" i="3"/>
  <c r="I6171" i="3"/>
  <c r="I6185" i="3"/>
  <c r="H6185" i="3"/>
  <c r="J6185" i="3"/>
  <c r="I6096" i="3"/>
  <c r="H6096" i="3"/>
  <c r="J6096" i="3"/>
  <c r="I5421" i="3"/>
  <c r="H5421" i="3"/>
  <c r="J5421" i="3"/>
  <c r="I5119" i="3"/>
  <c r="J5119" i="3"/>
  <c r="H5119" i="3"/>
  <c r="I6026" i="3"/>
  <c r="J6026" i="3"/>
  <c r="H6026" i="3"/>
  <c r="I5750" i="3"/>
  <c r="J5750" i="3"/>
  <c r="H5750" i="3"/>
  <c r="I5211" i="3"/>
  <c r="H5211" i="3"/>
  <c r="J5211" i="3"/>
  <c r="H5945" i="3"/>
  <c r="I5945" i="3"/>
  <c r="J5945" i="3"/>
  <c r="I5749" i="3"/>
  <c r="H5749" i="3"/>
  <c r="J5749" i="3"/>
  <c r="I5855" i="3"/>
  <c r="H5855" i="3"/>
  <c r="J5855" i="3"/>
  <c r="H5300" i="3"/>
  <c r="J5300" i="3"/>
  <c r="I5300" i="3"/>
  <c r="J5961" i="3"/>
  <c r="I5961" i="3"/>
  <c r="H5961" i="3"/>
  <c r="I6028" i="3"/>
  <c r="J6028" i="3"/>
  <c r="H6028" i="3"/>
  <c r="H5510" i="3"/>
  <c r="J5510" i="3"/>
  <c r="I5510" i="3"/>
  <c r="I5751" i="3"/>
  <c r="J5751" i="3"/>
  <c r="H5751" i="3"/>
  <c r="I5509" i="3"/>
  <c r="H5509" i="3"/>
  <c r="J5509" i="3"/>
  <c r="H5210" i="3"/>
  <c r="J5210" i="3"/>
  <c r="I5210" i="3"/>
  <c r="H5150" i="3"/>
  <c r="J5150" i="3"/>
  <c r="I5150" i="3"/>
  <c r="H6030" i="3"/>
  <c r="J6030" i="3"/>
  <c r="I6030" i="3"/>
  <c r="J6025" i="3"/>
  <c r="H6025" i="3"/>
  <c r="I6025" i="3"/>
  <c r="H5299" i="3"/>
  <c r="J5299" i="3"/>
  <c r="I5299" i="3"/>
  <c r="H5601" i="3"/>
  <c r="J5601" i="3"/>
  <c r="I5601" i="3"/>
  <c r="H5599" i="3"/>
  <c r="J5599" i="3"/>
  <c r="I5599" i="3"/>
  <c r="J6154" i="3"/>
  <c r="H5585" i="3"/>
  <c r="I5585" i="3"/>
  <c r="J5585" i="3"/>
  <c r="J5404" i="3"/>
  <c r="I5404" i="3"/>
  <c r="H5404" i="3"/>
  <c r="I6029" i="3"/>
  <c r="H6029" i="3"/>
  <c r="J6029" i="3"/>
  <c r="I5871" i="3"/>
  <c r="H5871" i="3"/>
  <c r="J5871" i="3"/>
  <c r="J5420" i="3"/>
  <c r="I5420" i="3"/>
  <c r="H5420" i="3"/>
  <c r="J6186" i="3"/>
  <c r="I6186" i="3"/>
  <c r="H6186" i="3"/>
  <c r="J6170" i="3"/>
  <c r="I6170" i="3"/>
  <c r="H6170" i="3"/>
  <c r="H5944" i="3"/>
  <c r="J5944" i="3"/>
  <c r="I5944" i="3"/>
  <c r="I5406" i="3"/>
  <c r="H5406" i="3"/>
  <c r="J5406" i="3"/>
  <c r="J5134" i="3"/>
  <c r="I5134" i="3"/>
  <c r="H5134" i="3"/>
  <c r="I6032" i="3"/>
  <c r="J6032" i="3"/>
  <c r="H6032" i="3"/>
  <c r="J6018" i="3"/>
  <c r="I6018" i="3"/>
  <c r="H6018" i="3"/>
  <c r="H5780" i="3"/>
  <c r="J5780" i="3"/>
  <c r="I5780" i="3"/>
  <c r="I5209" i="3"/>
  <c r="H5209" i="3"/>
  <c r="J5209" i="3"/>
  <c r="H5960" i="3"/>
  <c r="J5960" i="3"/>
  <c r="I5960" i="3"/>
  <c r="I5779" i="3"/>
  <c r="H5779" i="3"/>
  <c r="J5779" i="3"/>
  <c r="J6064" i="3"/>
  <c r="I6064" i="3"/>
  <c r="H6064" i="3"/>
  <c r="I5315" i="3"/>
  <c r="H5315" i="3"/>
  <c r="J5315" i="3"/>
  <c r="J5946" i="3"/>
  <c r="H5946" i="3"/>
  <c r="I5946" i="3"/>
  <c r="H6645" i="3"/>
  <c r="I6645" i="3"/>
  <c r="J6645" i="3"/>
  <c r="J5495" i="3"/>
  <c r="I5495" i="3"/>
  <c r="H5495" i="3"/>
  <c r="I5151" i="3"/>
  <c r="H5151" i="3"/>
  <c r="J5151" i="3"/>
  <c r="I5479" i="3"/>
  <c r="H5479" i="3"/>
  <c r="J5479" i="3"/>
  <c r="J5225" i="3"/>
  <c r="I5225" i="3"/>
  <c r="H5225" i="3"/>
  <c r="I5331" i="3"/>
  <c r="H5331" i="3"/>
  <c r="J5331" i="3"/>
  <c r="H6642" i="3"/>
  <c r="I6642" i="3"/>
  <c r="J6642" i="3"/>
  <c r="J6095" i="3"/>
  <c r="I6095" i="3"/>
  <c r="H6095" i="3"/>
  <c r="H5314" i="3"/>
  <c r="J5314" i="3"/>
  <c r="I5314" i="3"/>
  <c r="J5586" i="3"/>
  <c r="H5586" i="3"/>
  <c r="I5586" i="3"/>
  <c r="H5496" i="3"/>
  <c r="J5496" i="3"/>
  <c r="I5496" i="3"/>
  <c r="J6184" i="3"/>
  <c r="I6184" i="3"/>
  <c r="H6184" i="3"/>
  <c r="J5570" i="3"/>
  <c r="I5570" i="3"/>
  <c r="H5570" i="3"/>
  <c r="J6644" i="3"/>
  <c r="I6644" i="3"/>
  <c r="H6644" i="3"/>
  <c r="J6639" i="3"/>
  <c r="H6639" i="3"/>
  <c r="I6639" i="3"/>
  <c r="J6633" i="3"/>
  <c r="J5839" i="3"/>
  <c r="I5839" i="3"/>
  <c r="H5839" i="3"/>
  <c r="J5390" i="3"/>
  <c r="I5390" i="3"/>
  <c r="H5390" i="3"/>
  <c r="J6156" i="3"/>
  <c r="I6081" i="3"/>
  <c r="H6081" i="3"/>
  <c r="J6081" i="3"/>
  <c r="I5929" i="3"/>
  <c r="H5929" i="3"/>
  <c r="J5929" i="3"/>
  <c r="H5391" i="3"/>
  <c r="J5391" i="3"/>
  <c r="I5391" i="3"/>
  <c r="J6031" i="3"/>
  <c r="I6031" i="3"/>
  <c r="H6031" i="3"/>
  <c r="J6638" i="3"/>
  <c r="I6638" i="3"/>
  <c r="H6638" i="3"/>
  <c r="I5226" i="3"/>
  <c r="H5226" i="3"/>
  <c r="J5226" i="3"/>
  <c r="J5239" i="3"/>
  <c r="I5239" i="3"/>
  <c r="H5239" i="3"/>
  <c r="H5930" i="3"/>
  <c r="J5930" i="3"/>
  <c r="I5930" i="3"/>
  <c r="H5840" i="3"/>
  <c r="J5840" i="3"/>
  <c r="I5840" i="3"/>
  <c r="I6079" i="3"/>
  <c r="H6079" i="3"/>
  <c r="J6079" i="3"/>
  <c r="H5330" i="3"/>
  <c r="I5330" i="3"/>
  <c r="J5330" i="3"/>
  <c r="I6641" i="3"/>
  <c r="J6641" i="3"/>
  <c r="H6641" i="3"/>
  <c r="I6024" i="3"/>
  <c r="H6024" i="3"/>
  <c r="J6024" i="3"/>
  <c r="J5781" i="3"/>
  <c r="I5781" i="3"/>
  <c r="H5781" i="3"/>
  <c r="H5136" i="3"/>
  <c r="I5136" i="3"/>
  <c r="J5136" i="3"/>
  <c r="J5494" i="3"/>
  <c r="I5494" i="3"/>
  <c r="H5494" i="3"/>
  <c r="I5135" i="3"/>
  <c r="J5135" i="3"/>
  <c r="H5135" i="3"/>
  <c r="H5301" i="3"/>
  <c r="J5301" i="3"/>
  <c r="I5301" i="3"/>
  <c r="I6640" i="3"/>
  <c r="J6640" i="3"/>
  <c r="H6640" i="3"/>
  <c r="H7926" i="3"/>
  <c r="J6874" i="3"/>
  <c r="I6888" i="3"/>
  <c r="H7094" i="3"/>
  <c r="J6273" i="3"/>
  <c r="H7797" i="3"/>
  <c r="J7913" i="3"/>
  <c r="H7043" i="3"/>
  <c r="I7778" i="3"/>
  <c r="I7880" i="3"/>
  <c r="J7926" i="3"/>
  <c r="I6803" i="3"/>
  <c r="J6906" i="3"/>
  <c r="I6956" i="3"/>
  <c r="J7014" i="3"/>
  <c r="H7928" i="3"/>
  <c r="H6888" i="3"/>
  <c r="J7043" i="3"/>
  <c r="I7925" i="3"/>
  <c r="J7796" i="3"/>
  <c r="I7913" i="3"/>
  <c r="J6979" i="3"/>
  <c r="I7169" i="3"/>
  <c r="J7928" i="3"/>
  <c r="H6937" i="3"/>
  <c r="I7860" i="3"/>
  <c r="J7876" i="3"/>
  <c r="I7876" i="3"/>
  <c r="H7049" i="3"/>
  <c r="J7904" i="3"/>
  <c r="H7904" i="3"/>
  <c r="J7925" i="3"/>
  <c r="J7778" i="3"/>
  <c r="H4989" i="3"/>
  <c r="J7861" i="3"/>
  <c r="H7880" i="3"/>
  <c r="J7920" i="3"/>
  <c r="H7014" i="3"/>
  <c r="I6906" i="3"/>
  <c r="J6956" i="3"/>
  <c r="H7000" i="3"/>
  <c r="H7805" i="3"/>
  <c r="I6817" i="3"/>
  <c r="J7930" i="3"/>
  <c r="J7860" i="3"/>
  <c r="I4989" i="3"/>
  <c r="J7912" i="3"/>
  <c r="H6806" i="3"/>
  <c r="J7775" i="3"/>
  <c r="I7023" i="3"/>
  <c r="I4698" i="3"/>
  <c r="H4698" i="3"/>
  <c r="I6806" i="3"/>
  <c r="H6513" i="3"/>
  <c r="H7917" i="3"/>
  <c r="H7527" i="3"/>
  <c r="J7797" i="3"/>
  <c r="I7079" i="3"/>
  <c r="I7861" i="3"/>
  <c r="H6951" i="3"/>
  <c r="I7543" i="3"/>
  <c r="I7094" i="3"/>
  <c r="I4809" i="3"/>
  <c r="I7049" i="3"/>
  <c r="J6897" i="3"/>
  <c r="J7542" i="3"/>
  <c r="J6820" i="3"/>
  <c r="I7000" i="3"/>
  <c r="J7903" i="3"/>
  <c r="H7864" i="3"/>
  <c r="H7930" i="3"/>
  <c r="H7012" i="3"/>
  <c r="H6947" i="3"/>
  <c r="J7655" i="3"/>
  <c r="H7657" i="3"/>
  <c r="J7545" i="3"/>
  <c r="H6438" i="3"/>
  <c r="J6936" i="3"/>
  <c r="H7533" i="3"/>
  <c r="H6826" i="3"/>
  <c r="I7915" i="3"/>
  <c r="J7787" i="3"/>
  <c r="J6826" i="3"/>
  <c r="J7128" i="3"/>
  <c r="H6803" i="3"/>
  <c r="J7012" i="3"/>
  <c r="J7864" i="3"/>
  <c r="J7527" i="3"/>
  <c r="J6858" i="3"/>
  <c r="I7705" i="3"/>
  <c r="J6438" i="3"/>
  <c r="H7912" i="3"/>
  <c r="I7727" i="3"/>
  <c r="I7923" i="3"/>
  <c r="H7528" i="3"/>
  <c r="H6663" i="3"/>
  <c r="J7805" i="3"/>
  <c r="H7050" i="3"/>
  <c r="H6893" i="3"/>
  <c r="J7921" i="3"/>
  <c r="I7857" i="3"/>
  <c r="H7786" i="3"/>
  <c r="I7725" i="3"/>
  <c r="J7015" i="3"/>
  <c r="H7885" i="3"/>
  <c r="I7787" i="3"/>
  <c r="I7528" i="3"/>
  <c r="J4766" i="3"/>
  <c r="I7630" i="3"/>
  <c r="J7923" i="3"/>
  <c r="H7534" i="3"/>
  <c r="J7543" i="3"/>
  <c r="J7885" i="3"/>
  <c r="H7726" i="3"/>
  <c r="H7915" i="3"/>
  <c r="J7534" i="3"/>
  <c r="I6822" i="3"/>
  <c r="J6822" i="3"/>
  <c r="I7542" i="3"/>
  <c r="I6820" i="3"/>
  <c r="J5013" i="3"/>
  <c r="H6817" i="3"/>
  <c r="J4809" i="3"/>
  <c r="H6897" i="3"/>
  <c r="J7169" i="3"/>
  <c r="I7173" i="3"/>
  <c r="J6951" i="3"/>
  <c r="H7631" i="3"/>
  <c r="I7128" i="3"/>
  <c r="H7705" i="3"/>
  <c r="J4852" i="3"/>
  <c r="H6273" i="3"/>
  <c r="H4852" i="3"/>
  <c r="I7903" i="3"/>
  <c r="I7726" i="3"/>
  <c r="I7631" i="3"/>
  <c r="I5013" i="3"/>
  <c r="I4766" i="3"/>
  <c r="J6513" i="3"/>
  <c r="H4683" i="3"/>
  <c r="J6873" i="3"/>
  <c r="I6890" i="3"/>
  <c r="I7882" i="3"/>
  <c r="H6890" i="3"/>
  <c r="J7865" i="3"/>
  <c r="H6940" i="3"/>
  <c r="H7562" i="3"/>
  <c r="J6908" i="3"/>
  <c r="J7654" i="3"/>
  <c r="J6940" i="3"/>
  <c r="I7562" i="3"/>
  <c r="J7733" i="3"/>
  <c r="H6873" i="3"/>
  <c r="J7046" i="3"/>
  <c r="H6815" i="3"/>
  <c r="J7940" i="3"/>
  <c r="I6905" i="3"/>
  <c r="J7530" i="3"/>
  <c r="J6905" i="3"/>
  <c r="J6819" i="3"/>
  <c r="H7530" i="3"/>
  <c r="H7803" i="3"/>
  <c r="I7865" i="3"/>
  <c r="I7018" i="3"/>
  <c r="J4683" i="3"/>
  <c r="H7018" i="3"/>
  <c r="I7654" i="3"/>
  <c r="J6821" i="3"/>
  <c r="J7659" i="3"/>
  <c r="H7659" i="3"/>
  <c r="H7030" i="3"/>
  <c r="I7734" i="3"/>
  <c r="I6588" i="3"/>
  <c r="I6908" i="3"/>
  <c r="J7882" i="3"/>
  <c r="I7017" i="3"/>
  <c r="I6997" i="3"/>
  <c r="J7916" i="3"/>
  <c r="J6968" i="3"/>
  <c r="H6996" i="3"/>
  <c r="J6797" i="3"/>
  <c r="J6811" i="3"/>
  <c r="H7560" i="3"/>
  <c r="H7188" i="3"/>
  <c r="H7764" i="3"/>
  <c r="I6947" i="3"/>
  <c r="H6588" i="3"/>
  <c r="J7758" i="3"/>
  <c r="H7773" i="3"/>
  <c r="H7732" i="3"/>
  <c r="J6997" i="3"/>
  <c r="H7910" i="3"/>
  <c r="I7927" i="3"/>
  <c r="H5019" i="3"/>
  <c r="I7561" i="3"/>
  <c r="I7525" i="3"/>
  <c r="I7544" i="3"/>
  <c r="I7773" i="3"/>
  <c r="J7732" i="3"/>
  <c r="H6910" i="3"/>
  <c r="H7052" i="3"/>
  <c r="H7857" i="3"/>
  <c r="H7906" i="3"/>
  <c r="I7050" i="3"/>
  <c r="I4839" i="3"/>
  <c r="I7567" i="3"/>
  <c r="H7859" i="3"/>
  <c r="H7920" i="3"/>
  <c r="J7170" i="3"/>
  <c r="J7667" i="3"/>
  <c r="I7174" i="3"/>
  <c r="J6974" i="3"/>
  <c r="H7017" i="3"/>
  <c r="H7567" i="3"/>
  <c r="J7725" i="3"/>
  <c r="J6893" i="3"/>
  <c r="I7170" i="3"/>
  <c r="J6663" i="3"/>
  <c r="H6812" i="3"/>
  <c r="H7921" i="3"/>
  <c r="J4998" i="3"/>
  <c r="I7906" i="3"/>
  <c r="I7644" i="3"/>
  <c r="I7015" i="3"/>
  <c r="J7884" i="3"/>
  <c r="H7526" i="3"/>
  <c r="J7786" i="3"/>
  <c r="J7644" i="3"/>
  <c r="H7884" i="3"/>
  <c r="J7526" i="3"/>
  <c r="H7174" i="3"/>
  <c r="H7667" i="3"/>
  <c r="J6813" i="3"/>
  <c r="I4998" i="3"/>
  <c r="I7052" i="3"/>
  <c r="I7859" i="3"/>
  <c r="J6879" i="3"/>
  <c r="J7188" i="3"/>
  <c r="J6939" i="3"/>
  <c r="J7772" i="3"/>
  <c r="I7894" i="3"/>
  <c r="J6796" i="3"/>
  <c r="H6939" i="3"/>
  <c r="H6808" i="3"/>
  <c r="H7016" i="3"/>
  <c r="H7029" i="3"/>
  <c r="J7907" i="3"/>
  <c r="J6943" i="3"/>
  <c r="I7666" i="3"/>
  <c r="J6917" i="3"/>
  <c r="I7919" i="3"/>
  <c r="H7649" i="3"/>
  <c r="J7011" i="3"/>
  <c r="H7723" i="3"/>
  <c r="J7722" i="3"/>
  <c r="H7929" i="3"/>
  <c r="I7635" i="3"/>
  <c r="H6453" i="3"/>
  <c r="H6901" i="3"/>
  <c r="H7753" i="3"/>
  <c r="J7633" i="3"/>
  <c r="J7929" i="3"/>
  <c r="H7868" i="3"/>
  <c r="I7536" i="3"/>
  <c r="I6957" i="3"/>
  <c r="I7868" i="3"/>
  <c r="J7635" i="3"/>
  <c r="J7549" i="3"/>
  <c r="J7858" i="3"/>
  <c r="I7722" i="3"/>
  <c r="H7942" i="3"/>
  <c r="H6963" i="3"/>
  <c r="J6927" i="3"/>
  <c r="J7908" i="3"/>
  <c r="J7942" i="3"/>
  <c r="H6957" i="3"/>
  <c r="H7924" i="3"/>
  <c r="I6801" i="3"/>
  <c r="H6918" i="3"/>
  <c r="J6935" i="3"/>
  <c r="J7647" i="3"/>
  <c r="H7549" i="3"/>
  <c r="H7536" i="3"/>
  <c r="J6828" i="3"/>
  <c r="I7647" i="3"/>
  <c r="J7660" i="3"/>
  <c r="J7546" i="3"/>
  <c r="H7507" i="3"/>
  <c r="I7783" i="3"/>
  <c r="J6958" i="3"/>
  <c r="H7568" i="3"/>
  <c r="I7660" i="3"/>
  <c r="I6891" i="3"/>
  <c r="J7783" i="3"/>
  <c r="H6935" i="3"/>
  <c r="H7044" i="3"/>
  <c r="H6958" i="3"/>
  <c r="I7002" i="3"/>
  <c r="I7568" i="3"/>
  <c r="H6288" i="3"/>
  <c r="J6823" i="3"/>
  <c r="J6994" i="3"/>
  <c r="J6891" i="3"/>
  <c r="J7924" i="3"/>
  <c r="H7768" i="3"/>
  <c r="J7002" i="3"/>
  <c r="I7633" i="3"/>
  <c r="J6963" i="3"/>
  <c r="H6823" i="3"/>
  <c r="H6994" i="3"/>
  <c r="H7933" i="3"/>
  <c r="I7546" i="3"/>
  <c r="J6983" i="3"/>
  <c r="I7858" i="3"/>
  <c r="J6801" i="3"/>
  <c r="I7507" i="3"/>
  <c r="J7933" i="3"/>
  <c r="I7541" i="3"/>
  <c r="I6828" i="3"/>
  <c r="J6877" i="3"/>
  <c r="I7044" i="3"/>
  <c r="J6977" i="3"/>
  <c r="H7891" i="3"/>
  <c r="J7944" i="3"/>
  <c r="H7922" i="3"/>
  <c r="I7001" i="3"/>
  <c r="J6923" i="3"/>
  <c r="H7796" i="3"/>
  <c r="J6794" i="3"/>
  <c r="H7079" i="3"/>
  <c r="J6972" i="3"/>
  <c r="J7727" i="3"/>
  <c r="I7723" i="3"/>
  <c r="J6946" i="3"/>
  <c r="J6937" i="3"/>
  <c r="I6819" i="3"/>
  <c r="J7639" i="3"/>
  <c r="H7733" i="3"/>
  <c r="I7889" i="3"/>
  <c r="H6800" i="3"/>
  <c r="I7545" i="3"/>
  <c r="H6468" i="3"/>
  <c r="J7922" i="3"/>
  <c r="I7008" i="3"/>
  <c r="H7001" i="3"/>
  <c r="I7109" i="3"/>
  <c r="I7792" i="3"/>
  <c r="H7759" i="3"/>
  <c r="J6978" i="3"/>
  <c r="J7888" i="3"/>
  <c r="J7708" i="3"/>
  <c r="J7030" i="3"/>
  <c r="H7729" i="3"/>
  <c r="H7708" i="3"/>
  <c r="I6558" i="3"/>
  <c r="I7729" i="3"/>
  <c r="J7734" i="3"/>
  <c r="I6936" i="3"/>
  <c r="H7047" i="3"/>
  <c r="I6996" i="3"/>
  <c r="J6678" i="3"/>
  <c r="J7764" i="3"/>
  <c r="I7940" i="3"/>
  <c r="I7532" i="3"/>
  <c r="H7661" i="3"/>
  <c r="I6907" i="3"/>
  <c r="I6811" i="3"/>
  <c r="J6960" i="3"/>
  <c r="I6821" i="3"/>
  <c r="J7917" i="3"/>
  <c r="J6558" i="3"/>
  <c r="H6946" i="3"/>
  <c r="J7023" i="3"/>
  <c r="H7046" i="3"/>
  <c r="J7889" i="3"/>
  <c r="I7803" i="3"/>
  <c r="R67" i="133"/>
  <c r="I6815" i="3"/>
  <c r="J7891" i="3"/>
  <c r="H7944" i="3"/>
  <c r="H7792" i="3"/>
  <c r="J7109" i="3"/>
  <c r="J7753" i="3"/>
  <c r="I7759" i="3"/>
  <c r="H6978" i="3"/>
  <c r="H7011" i="3"/>
  <c r="J6964" i="3"/>
  <c r="H7532" i="3"/>
  <c r="J7862" i="3"/>
  <c r="J6984" i="3"/>
  <c r="H7892" i="3"/>
  <c r="J7776" i="3"/>
  <c r="I7533" i="3"/>
  <c r="H7008" i="3"/>
  <c r="J7714" i="3"/>
  <c r="H6678" i="3"/>
  <c r="J7203" i="3"/>
  <c r="H7639" i="3"/>
  <c r="H7888" i="3"/>
  <c r="J6907" i="3"/>
  <c r="J7788" i="3"/>
  <c r="J7645" i="3"/>
  <c r="H7203" i="3"/>
  <c r="I7892" i="3"/>
  <c r="I4848" i="3"/>
  <c r="H6904" i="3"/>
  <c r="H7788" i="3"/>
  <c r="I7661" i="3"/>
  <c r="H6889" i="3"/>
  <c r="J4848" i="3"/>
  <c r="H7645" i="3"/>
  <c r="H7640" i="3"/>
  <c r="J7640" i="3"/>
  <c r="J6992" i="3"/>
  <c r="J6985" i="3"/>
  <c r="H7782" i="3"/>
  <c r="I6933" i="3"/>
  <c r="J6970" i="3"/>
  <c r="I7672" i="3"/>
  <c r="I7760" i="3"/>
  <c r="H7565" i="3"/>
  <c r="H7643" i="3"/>
  <c r="J6933" i="3"/>
  <c r="J7656" i="3"/>
  <c r="I6858" i="3"/>
  <c r="J7039" i="3"/>
  <c r="J7525" i="3"/>
  <c r="H7784" i="3"/>
  <c r="I7755" i="3"/>
  <c r="J7936" i="3"/>
  <c r="H6543" i="3"/>
  <c r="H7134" i="3"/>
  <c r="J7127" i="3"/>
  <c r="I7806" i="3"/>
  <c r="J7551" i="3"/>
  <c r="J7561" i="3"/>
  <c r="I7039" i="3"/>
  <c r="J7755" i="3"/>
  <c r="H4721" i="3"/>
  <c r="H6915" i="3"/>
  <c r="H7916" i="3"/>
  <c r="J7910" i="3"/>
  <c r="J6919" i="3"/>
  <c r="J7666" i="3"/>
  <c r="I7707" i="3"/>
  <c r="H6942" i="3"/>
  <c r="H6378" i="3"/>
  <c r="H7791" i="3"/>
  <c r="J6393" i="3"/>
  <c r="J6378" i="3"/>
  <c r="H7038" i="3"/>
  <c r="I7807" i="3"/>
  <c r="J6348" i="3"/>
  <c r="J7760" i="3"/>
  <c r="J6882" i="3"/>
  <c r="I7775" i="3"/>
  <c r="I7872" i="3"/>
  <c r="H6898" i="3"/>
  <c r="J6915" i="3"/>
  <c r="J6787" i="3"/>
  <c r="H7902" i="3"/>
  <c r="H7707" i="3"/>
  <c r="J6945" i="3"/>
  <c r="J6926" i="3"/>
  <c r="J7791" i="3"/>
  <c r="J6999" i="3"/>
  <c r="J7650" i="3"/>
  <c r="I7724" i="3"/>
  <c r="H6603" i="3"/>
  <c r="H7785" i="3"/>
  <c r="H4839" i="3"/>
  <c r="J7642" i="3"/>
  <c r="I7565" i="3"/>
  <c r="J7872" i="3"/>
  <c r="J6981" i="3"/>
  <c r="I7132" i="3"/>
  <c r="J7672" i="3"/>
  <c r="J7902" i="3"/>
  <c r="I7560" i="3"/>
  <c r="H7927" i="3"/>
  <c r="J6942" i="3"/>
  <c r="J7919" i="3"/>
  <c r="I6945" i="3"/>
  <c r="I7936" i="3"/>
  <c r="J7544" i="3"/>
  <c r="H6393" i="3"/>
  <c r="J6808" i="3"/>
  <c r="J5019" i="3"/>
  <c r="H7713" i="3"/>
  <c r="J7806" i="3"/>
  <c r="I7551" i="3"/>
  <c r="I7650" i="3"/>
  <c r="I6917" i="3"/>
  <c r="H7559" i="3"/>
  <c r="I7779" i="3"/>
  <c r="J6993" i="3"/>
  <c r="J7143" i="3"/>
  <c r="I6943" i="3"/>
  <c r="I7871" i="3"/>
  <c r="J7029" i="3"/>
  <c r="H6899" i="3"/>
  <c r="H7756" i="3"/>
  <c r="I7045" i="3"/>
  <c r="J7643" i="3"/>
  <c r="I7782" i="3"/>
  <c r="I7125" i="3"/>
  <c r="H4792" i="3"/>
  <c r="J7784" i="3"/>
  <c r="H7907" i="3"/>
  <c r="J6543" i="3"/>
  <c r="H7033" i="3"/>
  <c r="I7713" i="3"/>
  <c r="H6999" i="3"/>
  <c r="I7127" i="3"/>
  <c r="J7649" i="3"/>
  <c r="I7033" i="3"/>
  <c r="I7559" i="3"/>
  <c r="J7016" i="3"/>
  <c r="H6993" i="3"/>
  <c r="I7134" i="3"/>
  <c r="J7761" i="3"/>
  <c r="H7761" i="3"/>
  <c r="J4792" i="3"/>
  <c r="H7125" i="3"/>
  <c r="H6825" i="3"/>
  <c r="J7756" i="3"/>
  <c r="I7772" i="3"/>
  <c r="J7548" i="3"/>
  <c r="H7642" i="3"/>
  <c r="H7048" i="3"/>
  <c r="H6318" i="3"/>
  <c r="H7709" i="3"/>
  <c r="J6805" i="3"/>
  <c r="I6960" i="3"/>
  <c r="H7776" i="3"/>
  <c r="J6910" i="3"/>
  <c r="I7714" i="3"/>
  <c r="H7662" i="3"/>
  <c r="J7790" i="3"/>
  <c r="H7873" i="3"/>
  <c r="H7894" i="3"/>
  <c r="I7548" i="3"/>
  <c r="J6929" i="3"/>
  <c r="H7862" i="3"/>
  <c r="I7005" i="3"/>
  <c r="J6896" i="3"/>
  <c r="H7935" i="3"/>
  <c r="I7750" i="3"/>
  <c r="J6973" i="3"/>
  <c r="J6900" i="3"/>
  <c r="I7809" i="3"/>
  <c r="H6498" i="3"/>
  <c r="J7027" i="3"/>
  <c r="J6982" i="3"/>
  <c r="I4968" i="3"/>
  <c r="I7719" i="3"/>
  <c r="H7719" i="3"/>
  <c r="J6318" i="3"/>
  <c r="J6887" i="3"/>
  <c r="H7541" i="3"/>
  <c r="I6813" i="3"/>
  <c r="J6987" i="3"/>
  <c r="J7051" i="3"/>
  <c r="I7177" i="3"/>
  <c r="J6809" i="3"/>
  <c r="J7492" i="3"/>
  <c r="I4882" i="3"/>
  <c r="I6498" i="3"/>
  <c r="I7051" i="3"/>
  <c r="J7173" i="3"/>
  <c r="H7655" i="3"/>
  <c r="I7768" i="3"/>
  <c r="J7769" i="3"/>
  <c r="H7673" i="3"/>
  <c r="J7671" i="3"/>
  <c r="J7535" i="3"/>
  <c r="I6916" i="3"/>
  <c r="J7048" i="3"/>
  <c r="H6912" i="3"/>
  <c r="H6805" i="3"/>
  <c r="H7632" i="3"/>
  <c r="I4777" i="3"/>
  <c r="I7939" i="3"/>
  <c r="J7668" i="3"/>
  <c r="I7711" i="3"/>
  <c r="H7126" i="3"/>
  <c r="H7535" i="3"/>
  <c r="J7909" i="3"/>
  <c r="J7026" i="3"/>
  <c r="J7728" i="3"/>
  <c r="I7765" i="3"/>
  <c r="H7731" i="3"/>
  <c r="J4867" i="3"/>
  <c r="J7126" i="3"/>
  <c r="J7937" i="3"/>
  <c r="I7777" i="3"/>
  <c r="I7785" i="3"/>
  <c r="I7804" i="3"/>
  <c r="J7005" i="3"/>
  <c r="I6603" i="3"/>
  <c r="I7172" i="3"/>
  <c r="H7908" i="3"/>
  <c r="I7563" i="3"/>
  <c r="H7790" i="3"/>
  <c r="J7935" i="3"/>
  <c r="J6818" i="3"/>
  <c r="J7176" i="3"/>
  <c r="J7809" i="3"/>
  <c r="J7657" i="3"/>
  <c r="H7129" i="3"/>
  <c r="H7941" i="3"/>
  <c r="I6961" i="3"/>
  <c r="I6804" i="3"/>
  <c r="I7653" i="3"/>
  <c r="I7004" i="3"/>
  <c r="J7763" i="3"/>
  <c r="I7537" i="3"/>
  <c r="I7566" i="3"/>
  <c r="I7798" i="3"/>
  <c r="J6966" i="3"/>
  <c r="I7856" i="3"/>
  <c r="J7856" i="3"/>
  <c r="I6902" i="3"/>
  <c r="J7637" i="3"/>
  <c r="J6916" i="3"/>
  <c r="H6804" i="3"/>
  <c r="H7006" i="3"/>
  <c r="H7130" i="3"/>
  <c r="J7563" i="3"/>
  <c r="J7754" i="3"/>
  <c r="I7754" i="3"/>
  <c r="I7800" i="3"/>
  <c r="J7800" i="3"/>
  <c r="I7658" i="3"/>
  <c r="J7658" i="3"/>
  <c r="J7025" i="3"/>
  <c r="I7025" i="3"/>
  <c r="I6911" i="3"/>
  <c r="J6911" i="3"/>
  <c r="H6911" i="3"/>
  <c r="I6892" i="3"/>
  <c r="H6892" i="3"/>
  <c r="J7665" i="3"/>
  <c r="I7665" i="3"/>
  <c r="J6928" i="3"/>
  <c r="J6483" i="3"/>
  <c r="I6483" i="3"/>
  <c r="H6483" i="3"/>
  <c r="H7020" i="3"/>
  <c r="J7020" i="3"/>
  <c r="H7870" i="3"/>
  <c r="I7870" i="3"/>
  <c r="J7870" i="3"/>
  <c r="I7009" i="3"/>
  <c r="J7009" i="3"/>
  <c r="J7042" i="3"/>
  <c r="I7042" i="3"/>
  <c r="I6333" i="3"/>
  <c r="J6333" i="3"/>
  <c r="I7752" i="3"/>
  <c r="H7752" i="3"/>
  <c r="J7752" i="3"/>
  <c r="H7179" i="3"/>
  <c r="J7179" i="3"/>
  <c r="I6944" i="3"/>
  <c r="H6944" i="3"/>
  <c r="J7795" i="3"/>
  <c r="H7795" i="3"/>
  <c r="H7867" i="3"/>
  <c r="I7867" i="3"/>
  <c r="J7867" i="3"/>
  <c r="J7898" i="3"/>
  <c r="I7898" i="3"/>
  <c r="J6975" i="3"/>
  <c r="I7931" i="3"/>
  <c r="J7931" i="3"/>
  <c r="H7931" i="3"/>
  <c r="H7175" i="3"/>
  <c r="I7175" i="3"/>
  <c r="H7034" i="3"/>
  <c r="I7034" i="3"/>
  <c r="J7932" i="3"/>
  <c r="H7932" i="3"/>
  <c r="I7932" i="3"/>
  <c r="H7883" i="3"/>
  <c r="I7883" i="3"/>
  <c r="J6980" i="3"/>
  <c r="I6814" i="3"/>
  <c r="J6814" i="3"/>
  <c r="J7770" i="3"/>
  <c r="H7770" i="3"/>
  <c r="I7869" i="3"/>
  <c r="H7869" i="3"/>
  <c r="J7869" i="3"/>
  <c r="J5004" i="3"/>
  <c r="H5004" i="3"/>
  <c r="I5004" i="3"/>
  <c r="I6954" i="3"/>
  <c r="J6954" i="3"/>
  <c r="H6954" i="3"/>
  <c r="I4897" i="3"/>
  <c r="H4897" i="3"/>
  <c r="H7879" i="3"/>
  <c r="I7879" i="3"/>
  <c r="J7636" i="3"/>
  <c r="I7636" i="3"/>
  <c r="H7636" i="3"/>
  <c r="H7801" i="3"/>
  <c r="I7801" i="3"/>
  <c r="J7801" i="3"/>
  <c r="H7901" i="3"/>
  <c r="J7901" i="3"/>
  <c r="H7918" i="3"/>
  <c r="I7918" i="3"/>
  <c r="J7021" i="3"/>
  <c r="I7021" i="3"/>
  <c r="H7021" i="3"/>
  <c r="I7721" i="3"/>
  <c r="H7721" i="3"/>
  <c r="I7712" i="3"/>
  <c r="H7712" i="3"/>
  <c r="J7171" i="3"/>
  <c r="I7171" i="3"/>
  <c r="H7171" i="3"/>
  <c r="H7037" i="3"/>
  <c r="I7037" i="3"/>
  <c r="I7013" i="3"/>
  <c r="J7013" i="3"/>
  <c r="J6955" i="3"/>
  <c r="I6955" i="3"/>
  <c r="I7041" i="3"/>
  <c r="J7041" i="3"/>
  <c r="J7715" i="3"/>
  <c r="I7715" i="3"/>
  <c r="J7036" i="3"/>
  <c r="H7036" i="3"/>
  <c r="J7664" i="3"/>
  <c r="I7664" i="3"/>
  <c r="H7664" i="3"/>
  <c r="I6895" i="3"/>
  <c r="J6895" i="3"/>
  <c r="J7771" i="3"/>
  <c r="I7771" i="3"/>
  <c r="H7771" i="3"/>
  <c r="I7663" i="3"/>
  <c r="H7663" i="3"/>
  <c r="I7178" i="3"/>
  <c r="H7178" i="3"/>
  <c r="J7158" i="3"/>
  <c r="I7158" i="3"/>
  <c r="H7158" i="3"/>
  <c r="J7024" i="3"/>
  <c r="H7024" i="3"/>
  <c r="I7651" i="3"/>
  <c r="H7651" i="3"/>
  <c r="J7651" i="3"/>
  <c r="H7717" i="3"/>
  <c r="J7717" i="3"/>
  <c r="J6876" i="3"/>
  <c r="H6802" i="3"/>
  <c r="I6802" i="3"/>
  <c r="I7557" i="3"/>
  <c r="J7557" i="3"/>
  <c r="J7673" i="3"/>
  <c r="I7909" i="3"/>
  <c r="I7941" i="3"/>
  <c r="H7939" i="3"/>
  <c r="H7537" i="3"/>
  <c r="I7943" i="3"/>
  <c r="J6816" i="3"/>
  <c r="J7765" i="3"/>
  <c r="J7711" i="3"/>
  <c r="H7878" i="3"/>
  <c r="H7798" i="3"/>
  <c r="I7731" i="3"/>
  <c r="H4668" i="3"/>
  <c r="J7632" i="3"/>
  <c r="J6902" i="3"/>
  <c r="I7763" i="3"/>
  <c r="H7026" i="3"/>
  <c r="H7557" i="3"/>
  <c r="H7637" i="3"/>
  <c r="H7856" i="3"/>
  <c r="J6961" i="3"/>
  <c r="H7671" i="3"/>
  <c r="H7943" i="3"/>
  <c r="I7010" i="3"/>
  <c r="I6816" i="3"/>
  <c r="I7006" i="3"/>
  <c r="J7648" i="3"/>
  <c r="H7769" i="3"/>
  <c r="H7653" i="3"/>
  <c r="I7538" i="3"/>
  <c r="J7878" i="3"/>
  <c r="J7638" i="3"/>
  <c r="H6807" i="3"/>
  <c r="J6892" i="3"/>
  <c r="H7800" i="3"/>
  <c r="H7779" i="3"/>
  <c r="H6814" i="3"/>
  <c r="J7175" i="3"/>
  <c r="H6333" i="3"/>
  <c r="J6924" i="3"/>
  <c r="J4721" i="3"/>
  <c r="H7132" i="3"/>
  <c r="I4974" i="3"/>
  <c r="J6793" i="3"/>
  <c r="I6899" i="3"/>
  <c r="H7013" i="3"/>
  <c r="J6786" i="3"/>
  <c r="I4668" i="3"/>
  <c r="H7668" i="3"/>
  <c r="J7010" i="3"/>
  <c r="I7728" i="3"/>
  <c r="H7648" i="3"/>
  <c r="J7538" i="3"/>
  <c r="J7566" i="3"/>
  <c r="J7004" i="3"/>
  <c r="I7638" i="3"/>
  <c r="I6807" i="3"/>
  <c r="J7130" i="3"/>
  <c r="J4777" i="3"/>
  <c r="H7754" i="3"/>
  <c r="J6810" i="3"/>
  <c r="H6809" i="3"/>
  <c r="H6408" i="3"/>
  <c r="J6894" i="3"/>
  <c r="J7045" i="3"/>
  <c r="I7531" i="3"/>
  <c r="I7003" i="3"/>
  <c r="H7777" i="3"/>
  <c r="J6912" i="3"/>
  <c r="H7804" i="3"/>
  <c r="J7750" i="3"/>
  <c r="H6783" i="3"/>
  <c r="I6453" i="3"/>
  <c r="J6971" i="3"/>
  <c r="H7042" i="3"/>
  <c r="H7176" i="3"/>
  <c r="I6408" i="3"/>
  <c r="H6900" i="3"/>
  <c r="J7724" i="3"/>
  <c r="J7038" i="3"/>
  <c r="J6783" i="3"/>
  <c r="H7758" i="3"/>
  <c r="I6288" i="3"/>
  <c r="H4968" i="3"/>
  <c r="J6944" i="3"/>
  <c r="I7143" i="3"/>
  <c r="I7027" i="3"/>
  <c r="J6825" i="3"/>
  <c r="H4867" i="3"/>
  <c r="I6348" i="3"/>
  <c r="H6810" i="3"/>
  <c r="J6918" i="3"/>
  <c r="I7031" i="3"/>
  <c r="H7031" i="3"/>
  <c r="I6894" i="3"/>
  <c r="H6953" i="3"/>
  <c r="J7875" i="3"/>
  <c r="I6904" i="3"/>
  <c r="J7129" i="3"/>
  <c r="H7762" i="3"/>
  <c r="J7879" i="3"/>
  <c r="H7522" i="3"/>
  <c r="H7937" i="3"/>
  <c r="H7807" i="3"/>
  <c r="H7630" i="3"/>
  <c r="H7172" i="3"/>
  <c r="I7656" i="3"/>
  <c r="H6896" i="3"/>
  <c r="I7873" i="3"/>
  <c r="H4882" i="3"/>
  <c r="J7662" i="3"/>
  <c r="H6843" i="3"/>
  <c r="H6818" i="3"/>
  <c r="H7871" i="3"/>
  <c r="J6967" i="3"/>
  <c r="I6898" i="3"/>
  <c r="J4974" i="3"/>
  <c r="J6991" i="3"/>
  <c r="I7709" i="3"/>
  <c r="I7895" i="3"/>
  <c r="J7895" i="3"/>
  <c r="J6800" i="3"/>
  <c r="I7020" i="3"/>
  <c r="J7047" i="3"/>
  <c r="J7531" i="3"/>
  <c r="J4897" i="3"/>
  <c r="I6953" i="3"/>
  <c r="I6889" i="3"/>
  <c r="I6468" i="3"/>
  <c r="J7522" i="3"/>
  <c r="H6423" i="3"/>
  <c r="I6423" i="3"/>
  <c r="J6423" i="3"/>
  <c r="H7022" i="3"/>
  <c r="J7022" i="3"/>
  <c r="J6798" i="3"/>
  <c r="I6798" i="3"/>
  <c r="H6798" i="3"/>
  <c r="H7793" i="3"/>
  <c r="J7793" i="3"/>
  <c r="J6528" i="3"/>
  <c r="I6528" i="3"/>
  <c r="H6528" i="3"/>
  <c r="H7794" i="3"/>
  <c r="J7794" i="3"/>
  <c r="I7794" i="3"/>
  <c r="I7911" i="3"/>
  <c r="H7911" i="3"/>
  <c r="J7911" i="3"/>
  <c r="J6789" i="3"/>
  <c r="J7789" i="3"/>
  <c r="H7789" i="3"/>
  <c r="I7896" i="3"/>
  <c r="H7896" i="3"/>
  <c r="J7896" i="3"/>
  <c r="J7855" i="3"/>
  <c r="I7855" i="3"/>
  <c r="H4824" i="3"/>
  <c r="J4824" i="3"/>
  <c r="I4824" i="3"/>
  <c r="I6952" i="3"/>
  <c r="J6952" i="3"/>
  <c r="H6914" i="3"/>
  <c r="J6914" i="3"/>
  <c r="J4758" i="3"/>
  <c r="H4758" i="3"/>
  <c r="H6959" i="3"/>
  <c r="J6959" i="3"/>
  <c r="I6959" i="3"/>
  <c r="I7552" i="3"/>
  <c r="H7552" i="3"/>
  <c r="J7552" i="3"/>
  <c r="J7914" i="3"/>
  <c r="H7914" i="3"/>
  <c r="J6886" i="3"/>
  <c r="J6827" i="3"/>
  <c r="I6827" i="3"/>
  <c r="H6827" i="3"/>
  <c r="H7652" i="3"/>
  <c r="J7652" i="3"/>
  <c r="I7652" i="3"/>
  <c r="H7766" i="3"/>
  <c r="I7766" i="3"/>
  <c r="J7767" i="3"/>
  <c r="H7767" i="3"/>
  <c r="I7767" i="3"/>
  <c r="J7035" i="3"/>
  <c r="H7035" i="3"/>
  <c r="I7035" i="3"/>
  <c r="J7670" i="3"/>
  <c r="H7670" i="3"/>
  <c r="I7670" i="3"/>
  <c r="I7934" i="3"/>
  <c r="H7934" i="3"/>
  <c r="J7934" i="3"/>
  <c r="J7874" i="3"/>
  <c r="I7874" i="3"/>
  <c r="H7874" i="3"/>
  <c r="J6885" i="3"/>
  <c r="J7540" i="3"/>
  <c r="I7540" i="3"/>
  <c r="H7540" i="3"/>
  <c r="J6986" i="3"/>
  <c r="J7881" i="3"/>
  <c r="I7881" i="3"/>
  <c r="I7893" i="3"/>
  <c r="H7893" i="3"/>
  <c r="J7893" i="3"/>
  <c r="H7028" i="3"/>
  <c r="J7028" i="3"/>
  <c r="I7028" i="3"/>
  <c r="I6799" i="3"/>
  <c r="H6799" i="3"/>
  <c r="J6799" i="3"/>
  <c r="I7674" i="3"/>
  <c r="J7674" i="3"/>
  <c r="I7131" i="3"/>
  <c r="H7131" i="3"/>
  <c r="H7730" i="3"/>
  <c r="I7730" i="3"/>
  <c r="J7730" i="3"/>
  <c r="H7718" i="3"/>
  <c r="I7718" i="3"/>
  <c r="J7718" i="3"/>
  <c r="H7781" i="3"/>
  <c r="J7781" i="3"/>
  <c r="J7802" i="3"/>
  <c r="I7802" i="3"/>
  <c r="J6976" i="3"/>
  <c r="I7550" i="3"/>
  <c r="H7550" i="3"/>
  <c r="I7529" i="3"/>
  <c r="J7529" i="3"/>
  <c r="J7133" i="3"/>
  <c r="I7133" i="3"/>
  <c r="H7133" i="3"/>
  <c r="J6884" i="3"/>
  <c r="I6941" i="3"/>
  <c r="H6941" i="3"/>
  <c r="J7539" i="3"/>
  <c r="H7539" i="3"/>
  <c r="I7539" i="3"/>
  <c r="I7556" i="3"/>
  <c r="H7556" i="3"/>
  <c r="J7556" i="3"/>
  <c r="J6920" i="3"/>
  <c r="H6913" i="3"/>
  <c r="I6913" i="3"/>
  <c r="J7887" i="3"/>
  <c r="H7887" i="3"/>
  <c r="H7899" i="3"/>
  <c r="I7899" i="3"/>
  <c r="J7007" i="3"/>
  <c r="H7007" i="3"/>
  <c r="H7641" i="3"/>
  <c r="J7641" i="3"/>
  <c r="I7641" i="3"/>
  <c r="H7897" i="3"/>
  <c r="I7897" i="3"/>
  <c r="J7897" i="3"/>
  <c r="J7547" i="3"/>
  <c r="I7547" i="3"/>
  <c r="J7634" i="3"/>
  <c r="H7634" i="3"/>
  <c r="I7716" i="3"/>
  <c r="J7716" i="3"/>
  <c r="H7716" i="3"/>
  <c r="J7706" i="3"/>
  <c r="I7706" i="3"/>
  <c r="H7706" i="3"/>
  <c r="J7553" i="3"/>
  <c r="I7553" i="3"/>
  <c r="H6934" i="3"/>
  <c r="J6934" i="3"/>
  <c r="J6925" i="3"/>
  <c r="J7890" i="3"/>
  <c r="I7890" i="3"/>
  <c r="J7774" i="3"/>
  <c r="I7774" i="3"/>
  <c r="H7774" i="3"/>
  <c r="J6921" i="3"/>
  <c r="J6824" i="3"/>
  <c r="H6824" i="3"/>
  <c r="I7564" i="3"/>
  <c r="H7564" i="3"/>
  <c r="I6950" i="3"/>
  <c r="J6950" i="3"/>
  <c r="J7019" i="3"/>
  <c r="H7019" i="3"/>
  <c r="I7019" i="3"/>
  <c r="J5088" i="3"/>
  <c r="I6648" i="3"/>
  <c r="J6648" i="3"/>
  <c r="H6648" i="3"/>
  <c r="J7886" i="3"/>
  <c r="H7886" i="3"/>
  <c r="H6909" i="3"/>
  <c r="J6909" i="3"/>
  <c r="I6909" i="3"/>
  <c r="J6988" i="3"/>
  <c r="I7757" i="3"/>
  <c r="J7757" i="3"/>
  <c r="I7040" i="3"/>
  <c r="J7040" i="3"/>
  <c r="H6962" i="3"/>
  <c r="I6962" i="3"/>
  <c r="H6949" i="3"/>
  <c r="J6949" i="3"/>
  <c r="I7646" i="3"/>
  <c r="J7646" i="3"/>
  <c r="H7646" i="3"/>
  <c r="H6938" i="3"/>
  <c r="I6938" i="3"/>
  <c r="J6938" i="3"/>
  <c r="J7799" i="3"/>
  <c r="I7799" i="3"/>
  <c r="J7720" i="3"/>
  <c r="H7720" i="3"/>
  <c r="I7751" i="3"/>
  <c r="H7751" i="3"/>
  <c r="J7751" i="3"/>
  <c r="I6948" i="3"/>
  <c r="H6948" i="3"/>
  <c r="J6948" i="3"/>
  <c r="H7554" i="3"/>
  <c r="I7554" i="3"/>
  <c r="J7554" i="3"/>
  <c r="H7555" i="3"/>
  <c r="I7555" i="3"/>
  <c r="J7569" i="3"/>
  <c r="H7569" i="3"/>
  <c r="H7866" i="3"/>
  <c r="I7866" i="3"/>
  <c r="J6932" i="3"/>
  <c r="H6903" i="3"/>
  <c r="I6903" i="3"/>
  <c r="J6903" i="3"/>
  <c r="J7780" i="3"/>
  <c r="H7780" i="3"/>
  <c r="I7780" i="3"/>
  <c r="J6930" i="3"/>
  <c r="I7877" i="3"/>
  <c r="J7877" i="3"/>
  <c r="H7669" i="3"/>
  <c r="J7669" i="3"/>
  <c r="I7669" i="3"/>
  <c r="I6998" i="3"/>
  <c r="J6998" i="3"/>
  <c r="H6998" i="3"/>
  <c r="J7808" i="3"/>
  <c r="I7808" i="3"/>
  <c r="H7808" i="3"/>
  <c r="H7124" i="3"/>
  <c r="I7124" i="3"/>
  <c r="J7124" i="3"/>
  <c r="I7032" i="3"/>
  <c r="H7032" i="3"/>
  <c r="J7032" i="3"/>
  <c r="H7558" i="3"/>
  <c r="I7558" i="3"/>
  <c r="J7558" i="3"/>
  <c r="I7793" i="3"/>
  <c r="I6843" i="3"/>
  <c r="H7492" i="3"/>
  <c r="J6901" i="3"/>
  <c r="I7863" i="3"/>
  <c r="I6812" i="3"/>
  <c r="I7762" i="3"/>
  <c r="J7710" i="3"/>
  <c r="H7003" i="3"/>
  <c r="I6303" i="3"/>
  <c r="I7905" i="3"/>
  <c r="I7710" i="3"/>
  <c r="J4713" i="3"/>
  <c r="J6573" i="3"/>
  <c r="H6573" i="3"/>
  <c r="H6303" i="3"/>
  <c r="H7905" i="3"/>
  <c r="J7938" i="3"/>
  <c r="H7177" i="3"/>
  <c r="H7875" i="3"/>
  <c r="H7938" i="3"/>
  <c r="J6931" i="3"/>
  <c r="J7863" i="3"/>
  <c r="J6792" i="3"/>
  <c r="H6995" i="3"/>
  <c r="I6995" i="3"/>
  <c r="R66" i="133"/>
  <c r="E39" i="133" s="1" a="1"/>
  <c r="J7061" i="3"/>
  <c r="B23" i="138"/>
  <c r="J4663" i="3"/>
  <c r="J4654" i="3"/>
  <c r="J4655" i="3"/>
  <c r="J4660" i="3"/>
  <c r="J4656" i="3"/>
  <c r="B23" i="9"/>
  <c r="J4666" i="3"/>
  <c r="J4662" i="3"/>
  <c r="B23" i="137"/>
  <c r="J4664" i="3"/>
  <c r="B23" i="136"/>
  <c r="J4667" i="3"/>
  <c r="J4665" i="3"/>
  <c r="J4649" i="3"/>
  <c r="J4648" i="3"/>
  <c r="H4649" i="3"/>
  <c r="I6925" i="3"/>
  <c r="I6923" i="3"/>
  <c r="I6972" i="3"/>
  <c r="I6921" i="3"/>
  <c r="I6973" i="3"/>
  <c r="H6925" i="3"/>
  <c r="H6921" i="3"/>
  <c r="H6969" i="3"/>
  <c r="H6970" i="3"/>
  <c r="H6928" i="3"/>
  <c r="H6965" i="3"/>
  <c r="I6974" i="3"/>
  <c r="H6919" i="3"/>
  <c r="I6965" i="3"/>
  <c r="H6976" i="3"/>
  <c r="H6975" i="3"/>
  <c r="H6924" i="3"/>
  <c r="I6968" i="3"/>
  <c r="H6920" i="3"/>
  <c r="I6922" i="3"/>
  <c r="H6964" i="3"/>
  <c r="H6967" i="3"/>
  <c r="I6930" i="3"/>
  <c r="H6922" i="3"/>
  <c r="I6927" i="3"/>
  <c r="H6929" i="3"/>
  <c r="I6971" i="3"/>
  <c r="I6920" i="3"/>
  <c r="I6932" i="3"/>
  <c r="I6926" i="3"/>
  <c r="H6931" i="3"/>
  <c r="H6930" i="3"/>
  <c r="I6969" i="3"/>
  <c r="I6977" i="3"/>
  <c r="I6795" i="3"/>
  <c r="H6790" i="3"/>
  <c r="H6789" i="3"/>
  <c r="I6791" i="3"/>
  <c r="I6797" i="3"/>
  <c r="H6794" i="3"/>
  <c r="H6796" i="3"/>
  <c r="I6789" i="3"/>
  <c r="H6788" i="3"/>
  <c r="I6785" i="3"/>
  <c r="I6786" i="3"/>
  <c r="H6792" i="3"/>
  <c r="I6790" i="3"/>
  <c r="H6791" i="3"/>
  <c r="H6786" i="3"/>
  <c r="H6795" i="3"/>
  <c r="I6784" i="3"/>
  <c r="I6787" i="3"/>
  <c r="I6788" i="3"/>
  <c r="H6785" i="3"/>
  <c r="H6784" i="3"/>
  <c r="H6793" i="3"/>
  <c r="H6883" i="3"/>
  <c r="I6881" i="3"/>
  <c r="H6881" i="3"/>
  <c r="H6878" i="3"/>
  <c r="H6874" i="3"/>
  <c r="I6884" i="3"/>
  <c r="I6876" i="3"/>
  <c r="I6885" i="3"/>
  <c r="H6884" i="3"/>
  <c r="I6879" i="3"/>
  <c r="H6880" i="3"/>
  <c r="H6876" i="3"/>
  <c r="H6885" i="3"/>
  <c r="I6878" i="3"/>
  <c r="I6886" i="3"/>
  <c r="I6883" i="3"/>
  <c r="H6887" i="3"/>
  <c r="H6877" i="3"/>
  <c r="I6880" i="3"/>
  <c r="H6875" i="3"/>
  <c r="I6875" i="3"/>
  <c r="H6886" i="3"/>
  <c r="H6882" i="3"/>
  <c r="H6985" i="3"/>
  <c r="H6982" i="3"/>
  <c r="H6986" i="3"/>
  <c r="I6990" i="3"/>
  <c r="H6984" i="3"/>
  <c r="H6981" i="3"/>
  <c r="H6983" i="3"/>
  <c r="I6992" i="3"/>
  <c r="I6988" i="3"/>
  <c r="I6979" i="3"/>
  <c r="I6980" i="3"/>
  <c r="I6989" i="3"/>
  <c r="H6988" i="3"/>
  <c r="I6987" i="3"/>
  <c r="H6980" i="3"/>
  <c r="H6989" i="3"/>
  <c r="H6990" i="3"/>
  <c r="H6991" i="3"/>
  <c r="I4667" i="3"/>
  <c r="H4660" i="3"/>
  <c r="I4666" i="3"/>
  <c r="H4667" i="3"/>
  <c r="H4666" i="3"/>
  <c r="I4665" i="3"/>
  <c r="I4663" i="3"/>
  <c r="H4665" i="3"/>
  <c r="H4663" i="3"/>
  <c r="I4662" i="3"/>
  <c r="H4662" i="3"/>
  <c r="I4664" i="3"/>
  <c r="I4660" i="3"/>
  <c r="H4664" i="3"/>
  <c r="I6966" i="3"/>
  <c r="I6155" i="3"/>
  <c r="H6155" i="3"/>
  <c r="H6156" i="3"/>
  <c r="I6156" i="3"/>
  <c r="I6154" i="3"/>
  <c r="H6154" i="3"/>
  <c r="H6260" i="3"/>
  <c r="I6260" i="3"/>
  <c r="I6246" i="3"/>
  <c r="H6246" i="3"/>
  <c r="H4648" i="3"/>
  <c r="I5088" i="3"/>
  <c r="H5088" i="3"/>
  <c r="H6633" i="3"/>
  <c r="I6633" i="3"/>
  <c r="D55" i="133" a="1"/>
  <c r="D50" i="133" a="1"/>
  <c r="D19" i="133" a="1"/>
  <c r="D29" i="133" a="1"/>
  <c r="D25" i="133" a="1"/>
  <c r="D21" i="133" a="1"/>
  <c r="D23" i="133" a="1"/>
  <c r="D51" i="133" a="1"/>
  <c r="D59" i="133" a="1"/>
  <c r="H6244" i="3"/>
  <c r="F48" i="133" a="1"/>
  <c r="D35" i="133" a="1"/>
  <c r="D33" i="133" a="1"/>
  <c r="D57" i="133" a="1"/>
  <c r="E57" i="133" a="1"/>
  <c r="E44" i="133" a="1"/>
  <c r="D28" i="133" a="1"/>
  <c r="D56" i="133" a="1"/>
  <c r="D43" i="133" a="1"/>
  <c r="D41" i="133" a="1"/>
  <c r="E54" i="133" a="1"/>
  <c r="D4" i="133" a="1"/>
  <c r="D39" i="133" a="1"/>
  <c r="D49" i="133" a="1"/>
  <c r="D36" i="133" a="1"/>
  <c r="D14" i="133" a="1"/>
  <c r="D31" i="133" a="1"/>
  <c r="D15" i="133" a="1"/>
  <c r="E45" i="133" a="1"/>
  <c r="D58" i="133" a="1"/>
  <c r="D52" i="133" a="1"/>
  <c r="D61" i="133" a="1"/>
  <c r="I6244" i="3"/>
  <c r="D53" i="133" a="1"/>
  <c r="H6259" i="3"/>
  <c r="D54" i="133" a="1"/>
  <c r="D27" i="133" a="1"/>
  <c r="D47" i="133" a="1"/>
  <c r="D30" i="133" a="1"/>
  <c r="D34" i="133" a="1"/>
  <c r="E48" i="133" a="1"/>
  <c r="D37" i="133" a="1"/>
  <c r="D18" i="133" a="1"/>
  <c r="D16" i="133" a="1"/>
  <c r="D20" i="133" a="1"/>
  <c r="D22" i="133" a="1"/>
  <c r="I6259" i="3"/>
  <c r="D24" i="133" a="1"/>
  <c r="D44" i="133" a="1"/>
  <c r="D62" i="133" a="1"/>
  <c r="C32" i="133" a="1"/>
  <c r="C50" i="133" a="1"/>
  <c r="C48" i="133" a="1"/>
  <c r="C59" i="133" a="1"/>
  <c r="C49" i="133" a="1"/>
  <c r="C4" i="133" a="1"/>
  <c r="C29" i="133" a="1"/>
  <c r="C53" i="133" a="1"/>
  <c r="C60" i="133" a="1"/>
  <c r="C30" i="133" a="1"/>
  <c r="C56" i="133" a="1"/>
  <c r="C26" i="133" a="1"/>
  <c r="C54" i="133" a="1"/>
  <c r="C58" i="133" a="1"/>
  <c r="C22" i="133" a="1"/>
  <c r="C38" i="133" a="1"/>
  <c r="C62" i="133" a="1"/>
  <c r="C21" i="133" a="1"/>
  <c r="C37" i="133" a="1"/>
  <c r="C36" i="133" a="1"/>
  <c r="C43" i="133" a="1"/>
  <c r="C51" i="133" a="1"/>
  <c r="C24" i="133" a="1"/>
  <c r="C52" i="133" a="1"/>
  <c r="C25" i="133" a="1"/>
  <c r="C61" i="133" a="1"/>
  <c r="C15" i="133" a="1"/>
  <c r="C40" i="133" a="1"/>
  <c r="C20" i="133" a="1"/>
  <c r="C35" i="133" a="1"/>
  <c r="C45" i="133" a="1"/>
  <c r="C28" i="133" a="1"/>
  <c r="C63" i="133" a="1"/>
  <c r="I6258" i="3"/>
  <c r="C17" i="133" a="1"/>
  <c r="C47" i="133" a="1"/>
  <c r="C39" i="133" a="1"/>
  <c r="C27" i="133" a="1"/>
  <c r="C31" i="133" a="1"/>
  <c r="C57" i="133" a="1"/>
  <c r="C55" i="133" a="1"/>
  <c r="C16" i="133" a="1"/>
  <c r="C34" i="133" a="1"/>
  <c r="C18" i="133" a="1"/>
  <c r="C42" i="133" a="1"/>
  <c r="C44" i="133" a="1"/>
  <c r="C33" i="133" a="1"/>
  <c r="C14" i="133" a="1"/>
  <c r="C41" i="133" a="1"/>
  <c r="C19" i="133" a="1"/>
  <c r="C23" i="133" a="1"/>
  <c r="F56" i="133" l="1" a="1"/>
  <c r="F56" i="133" s="1"/>
  <c r="D14" i="133"/>
  <c r="C14" i="133"/>
  <c r="E33" i="133" a="1"/>
  <c r="E33" i="133" s="1"/>
  <c r="I14" i="133" a="1"/>
  <c r="I14" i="133" s="1"/>
  <c r="J14" i="133" a="1"/>
  <c r="J14" i="133" s="1"/>
  <c r="K14" i="133" a="1"/>
  <c r="K14" i="133" s="1"/>
  <c r="F14" i="133" a="1"/>
  <c r="F14" i="133" s="1"/>
  <c r="L14" i="133" a="1"/>
  <c r="L14" i="133" s="1"/>
  <c r="M14" i="133" a="1"/>
  <c r="M14" i="133" s="1"/>
  <c r="H14" i="133" a="1"/>
  <c r="H14" i="133" s="1"/>
  <c r="N14" i="133" a="1"/>
  <c r="N14" i="133" s="1"/>
  <c r="O14" i="133" a="1"/>
  <c r="O14" i="133" s="1"/>
  <c r="P14" i="133" a="1"/>
  <c r="P14" i="133" s="1"/>
  <c r="E14" i="133" a="1"/>
  <c r="E14" i="133" s="1"/>
  <c r="Q14" i="133" a="1"/>
  <c r="Q14" i="133" s="1"/>
  <c r="G14" i="133" a="1"/>
  <c r="G14" i="133" s="1"/>
  <c r="G47" i="133" a="1"/>
  <c r="G47" i="133" s="1"/>
  <c r="H63" i="133" a="1"/>
  <c r="H63" i="133" s="1"/>
  <c r="F60" i="133" a="1"/>
  <c r="F60" i="133" s="1"/>
  <c r="I6245" i="3"/>
  <c r="H6245" i="3"/>
  <c r="E56" i="133" a="1"/>
  <c r="E56" i="133" s="1"/>
  <c r="E41" i="133" a="1"/>
  <c r="E41" i="133" s="1"/>
  <c r="H61" i="133" a="1"/>
  <c r="H61" i="133" s="1"/>
  <c r="F40" i="133" a="1"/>
  <c r="F40" i="133" s="1"/>
  <c r="E42" i="133" a="1"/>
  <c r="E42" i="133" s="1"/>
  <c r="F15" i="133" a="1"/>
  <c r="F15" i="133" s="1"/>
  <c r="F35" i="133" a="1"/>
  <c r="F35" i="133" s="1"/>
  <c r="H51" i="133" a="1"/>
  <c r="H51" i="133" s="1"/>
  <c r="E32" i="133" a="1"/>
  <c r="E32" i="133" s="1"/>
  <c r="F33" i="133" a="1"/>
  <c r="F33" i="133" s="1"/>
  <c r="F41" i="133" a="1"/>
  <c r="F41" i="133" s="1"/>
  <c r="E34" i="133" a="1"/>
  <c r="E34" i="133" s="1"/>
  <c r="H48" i="133" a="1"/>
  <c r="H48" i="133" s="1"/>
  <c r="F17" i="133" a="1"/>
  <c r="F17" i="133" s="1"/>
  <c r="E22" i="133" a="1"/>
  <c r="E22" i="133" s="1"/>
  <c r="F49" i="133" a="1"/>
  <c r="F49" i="133" s="1"/>
  <c r="G52" i="133" a="1"/>
  <c r="G52" i="133" s="1"/>
  <c r="H57" i="133" a="1"/>
  <c r="H57" i="133" s="1"/>
  <c r="E29" i="133" a="1"/>
  <c r="E29" i="133" s="1"/>
  <c r="E18" i="133" a="1"/>
  <c r="E18" i="133" s="1"/>
  <c r="H53" i="133" a="1"/>
  <c r="H53" i="133" s="1"/>
  <c r="F26" i="133" a="1"/>
  <c r="F26" i="133" s="1"/>
  <c r="E37" i="133" a="1"/>
  <c r="E37" i="133" s="1"/>
  <c r="E23" i="133" a="1"/>
  <c r="E23" i="133" s="1"/>
  <c r="G58" i="133" a="1"/>
  <c r="G58" i="133" s="1"/>
  <c r="F39" i="133" a="1"/>
  <c r="F39" i="133" s="1"/>
  <c r="F32" i="133" a="1"/>
  <c r="F32" i="133" s="1"/>
  <c r="F59" i="133" a="1"/>
  <c r="F59" i="133" s="1"/>
  <c r="E30" i="133" a="1"/>
  <c r="E30" i="133" s="1"/>
  <c r="F42" i="133" a="1"/>
  <c r="F42" i="133" s="1"/>
  <c r="E24" i="133" a="1"/>
  <c r="E24" i="133" s="1"/>
  <c r="F55" i="133" a="1"/>
  <c r="F55" i="133" s="1"/>
  <c r="F25" i="133" a="1"/>
  <c r="F25" i="133" s="1"/>
  <c r="G57" i="133" a="1"/>
  <c r="G57" i="133" s="1"/>
  <c r="E16" i="133" a="1"/>
  <c r="E16" i="133" s="1"/>
  <c r="E60" i="133" a="1"/>
  <c r="E60" i="133" s="1"/>
  <c r="F50" i="133" a="1"/>
  <c r="F50" i="133" s="1"/>
  <c r="F21" i="133" a="1"/>
  <c r="F21" i="133" s="1"/>
  <c r="E26" i="133" a="1"/>
  <c r="E26" i="133" s="1"/>
  <c r="G62" i="133" a="1"/>
  <c r="G62" i="133" s="1"/>
  <c r="H58" i="133" a="1"/>
  <c r="H58" i="133" s="1"/>
  <c r="F28" i="133" a="1"/>
  <c r="F28" i="133" s="1"/>
  <c r="G51" i="133" a="1"/>
  <c r="G51" i="133" s="1"/>
  <c r="E17" i="133" a="1"/>
  <c r="E17" i="133" s="1"/>
  <c r="G44" i="133" a="1"/>
  <c r="G44" i="133" s="1"/>
  <c r="H4" i="133" a="1"/>
  <c r="H4" i="133" s="1"/>
  <c r="E25" i="133" a="1"/>
  <c r="E25" i="133" s="1"/>
  <c r="F37" i="133" a="1"/>
  <c r="F37" i="133" s="1"/>
  <c r="H45" i="133" a="1"/>
  <c r="H45" i="133" s="1"/>
  <c r="E59" i="133" a="1"/>
  <c r="E59" i="133" s="1"/>
  <c r="E35" i="133" a="1"/>
  <c r="E35" i="133" s="1"/>
  <c r="H62" i="133" a="1"/>
  <c r="H62" i="133" s="1"/>
  <c r="G54" i="133" a="1"/>
  <c r="G54" i="133" s="1"/>
  <c r="F31" i="133" a="1"/>
  <c r="F31" i="133" s="1"/>
  <c r="F34" i="133" a="1"/>
  <c r="F34" i="133" s="1"/>
  <c r="E36" i="133" a="1"/>
  <c r="E36" i="133" s="1"/>
  <c r="H54" i="133" a="1"/>
  <c r="H54" i="133" s="1"/>
  <c r="H47" i="133" a="1"/>
  <c r="H47" i="133" s="1"/>
  <c r="E20" i="133" a="1"/>
  <c r="E20" i="133" s="1"/>
  <c r="G53" i="133" a="1"/>
  <c r="G53" i="133" s="1"/>
  <c r="F43" i="133" a="1"/>
  <c r="F43" i="133" s="1"/>
  <c r="G61" i="133" a="1"/>
  <c r="G61" i="133" s="1"/>
  <c r="E31" i="133" a="1"/>
  <c r="E31" i="133" s="1"/>
  <c r="E43" i="133" a="1"/>
  <c r="E43" i="133" s="1"/>
  <c r="F16" i="133" a="1"/>
  <c r="F16" i="133" s="1"/>
  <c r="G63" i="133" a="1"/>
  <c r="G63" i="133" s="1"/>
  <c r="F22" i="133" a="1"/>
  <c r="F22" i="133" s="1"/>
  <c r="F38" i="133" a="1"/>
  <c r="F38" i="133" s="1"/>
  <c r="E15" i="133" a="1"/>
  <c r="E15" i="133" s="1"/>
  <c r="G48" i="133" a="1"/>
  <c r="G48" i="133" s="1"/>
  <c r="F29" i="133" a="1"/>
  <c r="F29" i="133" s="1"/>
  <c r="F23" i="133" a="1"/>
  <c r="F23" i="133" s="1"/>
  <c r="E21" i="133" a="1"/>
  <c r="E21" i="133" s="1"/>
  <c r="F36" i="133" a="1"/>
  <c r="F36" i="133" s="1"/>
  <c r="E27" i="133" a="1"/>
  <c r="E27" i="133" s="1"/>
  <c r="F19" i="133" a="1"/>
  <c r="F19" i="133" s="1"/>
  <c r="E55" i="133" a="1"/>
  <c r="E55" i="133" s="1"/>
  <c r="F18" i="133" a="1"/>
  <c r="F18" i="133" s="1"/>
  <c r="F27" i="133" a="1"/>
  <c r="F27" i="133" s="1"/>
  <c r="H52" i="133" a="1"/>
  <c r="H52" i="133" s="1"/>
  <c r="H44" i="133" a="1"/>
  <c r="H44" i="133" s="1"/>
  <c r="F24" i="133" a="1"/>
  <c r="F24" i="133" s="1"/>
  <c r="E49" i="133" a="1"/>
  <c r="E49" i="133" s="1"/>
  <c r="E38" i="133" a="1"/>
  <c r="E38" i="133" s="1"/>
  <c r="E40" i="133" a="1"/>
  <c r="E40" i="133" s="1"/>
  <c r="F20" i="133" a="1"/>
  <c r="F20" i="133" s="1"/>
  <c r="F30" i="133" a="1"/>
  <c r="F30" i="133" s="1"/>
  <c r="G45" i="133" a="1"/>
  <c r="G45" i="133" s="1"/>
  <c r="E19" i="133" a="1"/>
  <c r="E19" i="133" s="1"/>
  <c r="E28" i="133" a="1"/>
  <c r="E28" i="133" s="1"/>
  <c r="E50" i="133" a="1"/>
  <c r="E50" i="133" s="1"/>
  <c r="G4" i="133" a="1"/>
  <c r="G4" i="133" s="1"/>
  <c r="J6634" i="3"/>
  <c r="I6634" i="3"/>
  <c r="J6036" i="3"/>
  <c r="I6036" i="3"/>
  <c r="H6036" i="3"/>
  <c r="H6034" i="3"/>
  <c r="J6034" i="3"/>
  <c r="I6034" i="3"/>
  <c r="J6035" i="3"/>
  <c r="I6035" i="3"/>
  <c r="H6035" i="3"/>
  <c r="D30" i="133"/>
  <c r="D33" i="133"/>
  <c r="D36" i="133"/>
  <c r="D39" i="133"/>
  <c r="E48" i="133"/>
  <c r="E54" i="133"/>
  <c r="E57" i="133"/>
  <c r="D35" i="133"/>
  <c r="E39" i="133"/>
  <c r="E45" i="133"/>
  <c r="F48" i="133"/>
  <c r="D49" i="133"/>
  <c r="D52" i="133"/>
  <c r="D55" i="133"/>
  <c r="D58" i="133"/>
  <c r="D61" i="133"/>
  <c r="D31" i="133"/>
  <c r="D34" i="133"/>
  <c r="D37" i="133"/>
  <c r="D43" i="133"/>
  <c r="D47" i="133"/>
  <c r="D50" i="133"/>
  <c r="D53" i="133"/>
  <c r="D56" i="133"/>
  <c r="D59" i="133"/>
  <c r="D62" i="133"/>
  <c r="E44" i="133"/>
  <c r="D51" i="133"/>
  <c r="D54" i="133"/>
  <c r="D57" i="133"/>
  <c r="D41" i="133"/>
  <c r="D44" i="133"/>
  <c r="C63" i="133"/>
  <c r="C62" i="133"/>
  <c r="C61" i="133"/>
  <c r="C60" i="133"/>
  <c r="C59" i="133"/>
  <c r="C58" i="133"/>
  <c r="C57" i="133"/>
  <c r="C56" i="133"/>
  <c r="C55" i="133"/>
  <c r="C54" i="133"/>
  <c r="C53" i="133"/>
  <c r="C52" i="133"/>
  <c r="C51" i="133"/>
  <c r="C50" i="133"/>
  <c r="C49" i="133"/>
  <c r="C48" i="133"/>
  <c r="C47" i="133"/>
  <c r="C45" i="133"/>
  <c r="C44" i="133"/>
  <c r="C43" i="133"/>
  <c r="C42" i="133"/>
  <c r="C41" i="133"/>
  <c r="C40" i="133"/>
  <c r="C39" i="133"/>
  <c r="C38" i="133"/>
  <c r="C37" i="133"/>
  <c r="C36" i="133"/>
  <c r="C35" i="133"/>
  <c r="C34" i="133"/>
  <c r="C33" i="133"/>
  <c r="C32" i="133"/>
  <c r="C31" i="133"/>
  <c r="C30" i="133"/>
  <c r="K6" i="133" a="1"/>
  <c r="K6" i="133" s="1"/>
  <c r="M31" i="133" a="1"/>
  <c r="M31" i="133" s="1"/>
  <c r="K32" i="133" a="1"/>
  <c r="K32" i="133" s="1"/>
  <c r="G34" i="133" a="1"/>
  <c r="G34" i="133" s="1"/>
  <c r="Q34" i="133" a="1"/>
  <c r="Q34" i="133" s="1"/>
  <c r="O35" i="133" a="1"/>
  <c r="O35" i="133" s="1"/>
  <c r="L36" i="133" a="1"/>
  <c r="L36" i="133" s="1"/>
  <c r="K37" i="133" a="1"/>
  <c r="K37" i="133" s="1"/>
  <c r="I38" i="133" a="1"/>
  <c r="I38" i="133" s="1"/>
  <c r="Q38" i="133" a="1"/>
  <c r="Q38" i="133" s="1"/>
  <c r="N39" i="133" a="1"/>
  <c r="N39" i="133" s="1"/>
  <c r="L40" i="133" a="1"/>
  <c r="L40" i="133" s="1"/>
  <c r="I41" i="133" a="1"/>
  <c r="I41" i="133" s="1"/>
  <c r="J44" i="133" a="1"/>
  <c r="J44" i="133" s="1"/>
  <c r="I45" i="133" a="1"/>
  <c r="I45" i="133" s="1"/>
  <c r="Q47" i="133" a="1"/>
  <c r="Q47" i="133" s="1"/>
  <c r="P48" i="133" a="1"/>
  <c r="P48" i="133" s="1"/>
  <c r="N49" i="133" a="1"/>
  <c r="N49" i="133" s="1"/>
  <c r="M50" i="133" a="1"/>
  <c r="M50" i="133" s="1"/>
  <c r="M51" i="133" a="1"/>
  <c r="M51" i="133" s="1"/>
  <c r="M52" i="133" a="1"/>
  <c r="M52" i="133" s="1"/>
  <c r="M53" i="133" a="1"/>
  <c r="M53" i="133" s="1"/>
  <c r="M54" i="133" a="1"/>
  <c r="M54" i="133" s="1"/>
  <c r="K55" i="133" a="1"/>
  <c r="K55" i="133" s="1"/>
  <c r="J56" i="133" a="1"/>
  <c r="J56" i="133" s="1"/>
  <c r="I57" i="133" a="1"/>
  <c r="I57" i="133" s="1"/>
  <c r="I58" i="133" a="1"/>
  <c r="I58" i="133" s="1"/>
  <c r="H59" i="133" a="1"/>
  <c r="H59" i="133" s="1"/>
  <c r="Q59" i="133" a="1"/>
  <c r="Q59" i="133" s="1"/>
  <c r="N61" i="133" a="1"/>
  <c r="N61" i="133" s="1"/>
  <c r="O62" i="133" a="1"/>
  <c r="O62" i="133" s="1"/>
  <c r="P41" i="133" a="1"/>
  <c r="P41" i="133" s="1"/>
  <c r="M42" i="133" a="1"/>
  <c r="M42" i="133" s="1"/>
  <c r="K43" i="133" a="1"/>
  <c r="K43" i="133" s="1"/>
  <c r="Q44" i="133" a="1"/>
  <c r="Q44" i="133" s="1"/>
  <c r="Q45" i="133" a="1"/>
  <c r="Q45" i="133" s="1"/>
  <c r="L50" i="133" a="1"/>
  <c r="L50" i="133" s="1"/>
  <c r="L53" i="133" a="1"/>
  <c r="L53" i="133" s="1"/>
  <c r="Q57" i="133" a="1"/>
  <c r="Q57" i="133" s="1"/>
  <c r="G30" i="133" a="1"/>
  <c r="G30" i="133" s="1"/>
  <c r="O30" i="133" a="1"/>
  <c r="O30" i="133" s="1"/>
  <c r="N31" i="133" a="1"/>
  <c r="N31" i="133" s="1"/>
  <c r="L32" i="133" a="1"/>
  <c r="L32" i="133" s="1"/>
  <c r="I33" i="133" a="1"/>
  <c r="I33" i="133" s="1"/>
  <c r="H34" i="133" a="1"/>
  <c r="H34" i="133" s="1"/>
  <c r="M36" i="133" a="1"/>
  <c r="M36" i="133" s="1"/>
  <c r="G39" i="133" a="1"/>
  <c r="G39" i="133" s="1"/>
  <c r="Q41" i="133" a="1"/>
  <c r="Q41" i="133" s="1"/>
  <c r="N42" i="133" a="1"/>
  <c r="N42" i="133" s="1"/>
  <c r="L43" i="133" a="1"/>
  <c r="L43" i="133" s="1"/>
  <c r="J45" i="133" a="1"/>
  <c r="J45" i="133" s="1"/>
  <c r="I47" i="133" a="1"/>
  <c r="I47" i="133" s="1"/>
  <c r="Q48" i="133" a="1"/>
  <c r="Q48" i="133" s="1"/>
  <c r="O49" i="133" a="1"/>
  <c r="O49" i="133" s="1"/>
  <c r="N50" i="133" a="1"/>
  <c r="N50" i="133" s="1"/>
  <c r="N51" i="133" a="1"/>
  <c r="N51" i="133" s="1"/>
  <c r="N53" i="133" a="1"/>
  <c r="N53" i="133" s="1"/>
  <c r="N54" i="133" a="1"/>
  <c r="N54" i="133" s="1"/>
  <c r="L55" i="133" a="1"/>
  <c r="L55" i="133" s="1"/>
  <c r="J58" i="133" a="1"/>
  <c r="J58" i="133" s="1"/>
  <c r="I59" i="133" a="1"/>
  <c r="I59" i="133" s="1"/>
  <c r="O60" i="133" a="1"/>
  <c r="O60" i="133" s="1"/>
  <c r="O61" i="133" a="1"/>
  <c r="O61" i="133" s="1"/>
  <c r="P62" i="133" a="1"/>
  <c r="P62" i="133" s="1"/>
  <c r="O63" i="133" a="1"/>
  <c r="O63" i="133" s="1"/>
  <c r="K36" i="133" a="1"/>
  <c r="K36" i="133" s="1"/>
  <c r="L51" i="133" a="1"/>
  <c r="L51" i="133" s="1"/>
  <c r="P30" i="133" a="1"/>
  <c r="P30" i="133" s="1"/>
  <c r="O31" i="133" a="1"/>
  <c r="O31" i="133" s="1"/>
  <c r="M32" i="133" a="1"/>
  <c r="M32" i="133" s="1"/>
  <c r="J33" i="133" a="1"/>
  <c r="J33" i="133" s="1"/>
  <c r="I34" i="133" a="1"/>
  <c r="I34" i="133" s="1"/>
  <c r="G35" i="133" a="1"/>
  <c r="G35" i="133" s="1"/>
  <c r="P35" i="133" a="1"/>
  <c r="P35" i="133" s="1"/>
  <c r="L37" i="133" a="1"/>
  <c r="L37" i="133" s="1"/>
  <c r="J38" i="133" a="1"/>
  <c r="J38" i="133" s="1"/>
  <c r="O39" i="133" a="1"/>
  <c r="O39" i="133" s="1"/>
  <c r="M40" i="133" a="1"/>
  <c r="M40" i="133" s="1"/>
  <c r="J41" i="133" a="1"/>
  <c r="J41" i="133" s="1"/>
  <c r="G42" i="133" a="1"/>
  <c r="G42" i="133" s="1"/>
  <c r="K44" i="133" a="1"/>
  <c r="K44" i="133" s="1"/>
  <c r="K45" i="133" a="1"/>
  <c r="K45" i="133" s="1"/>
  <c r="J47" i="133" a="1"/>
  <c r="J47" i="133" s="1"/>
  <c r="I48" i="133" a="1"/>
  <c r="I48" i="133" s="1"/>
  <c r="G49" i="133" a="1"/>
  <c r="G49" i="133" s="1"/>
  <c r="P49" i="133" a="1"/>
  <c r="P49" i="133" s="1"/>
  <c r="O50" i="133" a="1"/>
  <c r="O50" i="133" s="1"/>
  <c r="N52" i="133" a="1"/>
  <c r="N52" i="133" s="1"/>
  <c r="O53" i="133" a="1"/>
  <c r="O53" i="133" s="1"/>
  <c r="K56" i="133" a="1"/>
  <c r="K56" i="133" s="1"/>
  <c r="J57" i="133" a="1"/>
  <c r="J57" i="133" s="1"/>
  <c r="K58" i="133" a="1"/>
  <c r="K58" i="133" s="1"/>
  <c r="J59" i="133" a="1"/>
  <c r="J59" i="133" s="1"/>
  <c r="G60" i="133" a="1"/>
  <c r="G60" i="133" s="1"/>
  <c r="P61" i="133" a="1"/>
  <c r="P61" i="133" s="1"/>
  <c r="H38" i="133" a="1"/>
  <c r="H38" i="133" s="1"/>
  <c r="H30" i="133" a="1"/>
  <c r="H30" i="133" s="1"/>
  <c r="Q30" i="133" a="1"/>
  <c r="Q30" i="133" s="1"/>
  <c r="P31" i="133" a="1"/>
  <c r="P31" i="133" s="1"/>
  <c r="N32" i="133" a="1"/>
  <c r="N32" i="133" s="1"/>
  <c r="K33" i="133" a="1"/>
  <c r="K33" i="133" s="1"/>
  <c r="J34" i="133" a="1"/>
  <c r="J34" i="133" s="1"/>
  <c r="H35" i="133" a="1"/>
  <c r="H35" i="133" s="1"/>
  <c r="N36" i="133" a="1"/>
  <c r="N36" i="133" s="1"/>
  <c r="H39" i="133" a="1"/>
  <c r="H39" i="133" s="1"/>
  <c r="P39" i="133" a="1"/>
  <c r="P39" i="133" s="1"/>
  <c r="N40" i="133" a="1"/>
  <c r="N40" i="133" s="1"/>
  <c r="O42" i="133" a="1"/>
  <c r="O42" i="133" s="1"/>
  <c r="M43" i="133" a="1"/>
  <c r="M43" i="133" s="1"/>
  <c r="L44" i="133" a="1"/>
  <c r="L44" i="133" s="1"/>
  <c r="L45" i="133" a="1"/>
  <c r="L45" i="133" s="1"/>
  <c r="Q49" i="133" a="1"/>
  <c r="Q49" i="133" s="1"/>
  <c r="P50" i="133" a="1"/>
  <c r="P50" i="133" s="1"/>
  <c r="O51" i="133" a="1"/>
  <c r="O51" i="133" s="1"/>
  <c r="O52" i="133" a="1"/>
  <c r="O52" i="133" s="1"/>
  <c r="P53" i="133" a="1"/>
  <c r="P53" i="133" s="1"/>
  <c r="O54" i="133" a="1"/>
  <c r="O54" i="133" s="1"/>
  <c r="M55" i="133" a="1"/>
  <c r="M55" i="133" s="1"/>
  <c r="K57" i="133" a="1"/>
  <c r="K57" i="133" s="1"/>
  <c r="L58" i="133" a="1"/>
  <c r="L58" i="133" s="1"/>
  <c r="H60" i="133" a="1"/>
  <c r="H60" i="133" s="1"/>
  <c r="P60" i="133" a="1"/>
  <c r="P60" i="133" s="1"/>
  <c r="Q61" i="133" a="1"/>
  <c r="Q61" i="133" s="1"/>
  <c r="Q62" i="133" a="1"/>
  <c r="Q62" i="133" s="1"/>
  <c r="P63" i="133" a="1"/>
  <c r="P63" i="133" s="1"/>
  <c r="J37" i="133" a="1"/>
  <c r="J37" i="133" s="1"/>
  <c r="N60" i="133" a="1"/>
  <c r="N60" i="133" s="1"/>
  <c r="G31" i="133" a="1"/>
  <c r="G31" i="133" s="1"/>
  <c r="Q31" i="133" a="1"/>
  <c r="Q31" i="133" s="1"/>
  <c r="O32" i="133" a="1"/>
  <c r="O32" i="133" s="1"/>
  <c r="L33" i="133" a="1"/>
  <c r="L33" i="133" s="1"/>
  <c r="K34" i="133" a="1"/>
  <c r="K34" i="133" s="1"/>
  <c r="I35" i="133" a="1"/>
  <c r="I35" i="133" s="1"/>
  <c r="Q35" i="133" a="1"/>
  <c r="Q35" i="133" s="1"/>
  <c r="M37" i="133" a="1"/>
  <c r="M37" i="133" s="1"/>
  <c r="K38" i="133" a="1"/>
  <c r="K38" i="133" s="1"/>
  <c r="Q39" i="133" a="1"/>
  <c r="Q39" i="133" s="1"/>
  <c r="O40" i="133" a="1"/>
  <c r="O40" i="133" s="1"/>
  <c r="K41" i="133" a="1"/>
  <c r="K41" i="133" s="1"/>
  <c r="H42" i="133" a="1"/>
  <c r="H42" i="133" s="1"/>
  <c r="P42" i="133" a="1"/>
  <c r="P42" i="133" s="1"/>
  <c r="N43" i="133" a="1"/>
  <c r="N43" i="133" s="1"/>
  <c r="M44" i="133" a="1"/>
  <c r="M44" i="133" s="1"/>
  <c r="K47" i="133" a="1"/>
  <c r="K47" i="133" s="1"/>
  <c r="J48" i="133" a="1"/>
  <c r="J48" i="133" s="1"/>
  <c r="H49" i="133" a="1"/>
  <c r="H49" i="133" s="1"/>
  <c r="G50" i="133" a="1"/>
  <c r="G50" i="133" s="1"/>
  <c r="P52" i="133" a="1"/>
  <c r="P52" i="133" s="1"/>
  <c r="L56" i="133" a="1"/>
  <c r="L56" i="133" s="1"/>
  <c r="L57" i="133" a="1"/>
  <c r="L57" i="133" s="1"/>
  <c r="K59" i="133" a="1"/>
  <c r="K59" i="133" s="1"/>
  <c r="Q60" i="133" a="1"/>
  <c r="Q60" i="133" s="1"/>
  <c r="I62" i="133" a="1"/>
  <c r="I62" i="133" s="1"/>
  <c r="Q63" i="133" a="1"/>
  <c r="Q63" i="133" s="1"/>
  <c r="P34" i="133" a="1"/>
  <c r="P34" i="133" s="1"/>
  <c r="I30" i="133" a="1"/>
  <c r="I30" i="133" s="1"/>
  <c r="H31" i="133" a="1"/>
  <c r="H31" i="133" s="1"/>
  <c r="M33" i="133" a="1"/>
  <c r="M33" i="133" s="1"/>
  <c r="G36" i="133" a="1"/>
  <c r="G36" i="133" s="1"/>
  <c r="O36" i="133" a="1"/>
  <c r="O36" i="133" s="1"/>
  <c r="N37" i="133" a="1"/>
  <c r="N37" i="133" s="1"/>
  <c r="L38" i="133" a="1"/>
  <c r="L38" i="133" s="1"/>
  <c r="I39" i="133" a="1"/>
  <c r="I39" i="133" s="1"/>
  <c r="G40" i="133" a="1"/>
  <c r="G40" i="133" s="1"/>
  <c r="P40" i="133" a="1"/>
  <c r="P40" i="133" s="1"/>
  <c r="L41" i="133" a="1"/>
  <c r="L41" i="133" s="1"/>
  <c r="Q42" i="133" a="1"/>
  <c r="Q42" i="133" s="1"/>
  <c r="O43" i="133" a="1"/>
  <c r="O43" i="133" s="1"/>
  <c r="N44" i="133" a="1"/>
  <c r="N44" i="133" s="1"/>
  <c r="M45" i="133" a="1"/>
  <c r="M45" i="133" s="1"/>
  <c r="K48" i="133" a="1"/>
  <c r="K48" i="133" s="1"/>
  <c r="I49" i="133" a="1"/>
  <c r="I49" i="133" s="1"/>
  <c r="H50" i="133" a="1"/>
  <c r="H50" i="133" s="1"/>
  <c r="Q50" i="133" a="1"/>
  <c r="Q50" i="133" s="1"/>
  <c r="P51" i="133" a="1"/>
  <c r="P51" i="133" s="1"/>
  <c r="Q52" i="133" a="1"/>
  <c r="Q52" i="133" s="1"/>
  <c r="Q53" i="133" a="1"/>
  <c r="Q53" i="133" s="1"/>
  <c r="P54" i="133" a="1"/>
  <c r="P54" i="133" s="1"/>
  <c r="N55" i="133" a="1"/>
  <c r="N55" i="133" s="1"/>
  <c r="M56" i="133" a="1"/>
  <c r="M56" i="133" s="1"/>
  <c r="M57" i="133" a="1"/>
  <c r="M57" i="133" s="1"/>
  <c r="M58" i="133" a="1"/>
  <c r="M58" i="133" s="1"/>
  <c r="I60" i="133" a="1"/>
  <c r="I60" i="133" s="1"/>
  <c r="I61" i="133" a="1"/>
  <c r="I61" i="133" s="1"/>
  <c r="J62" i="133" a="1"/>
  <c r="J62" i="133" s="1"/>
  <c r="I63" i="133" a="1"/>
  <c r="I63" i="133" s="1"/>
  <c r="N35" i="133" a="1"/>
  <c r="N35" i="133" s="1"/>
  <c r="J30" i="133" a="1"/>
  <c r="J30" i="133" s="1"/>
  <c r="I31" i="133" a="1"/>
  <c r="I31" i="133" s="1"/>
  <c r="G32" i="133" a="1"/>
  <c r="G32" i="133" s="1"/>
  <c r="P32" i="133" a="1"/>
  <c r="P32" i="133" s="1"/>
  <c r="L34" i="133" a="1"/>
  <c r="L34" i="133" s="1"/>
  <c r="J35" i="133" a="1"/>
  <c r="J35" i="133" s="1"/>
  <c r="P36" i="133" a="1"/>
  <c r="P36" i="133" s="1"/>
  <c r="O37" i="133" a="1"/>
  <c r="O37" i="133" s="1"/>
  <c r="M38" i="133" a="1"/>
  <c r="M38" i="133" s="1"/>
  <c r="J39" i="133" a="1"/>
  <c r="J39" i="133" s="1"/>
  <c r="H40" i="133" a="1"/>
  <c r="H40" i="133" s="1"/>
  <c r="M41" i="133" a="1"/>
  <c r="M41" i="133" s="1"/>
  <c r="I42" i="133" a="1"/>
  <c r="I42" i="133" s="1"/>
  <c r="G43" i="133" a="1"/>
  <c r="G43" i="133" s="1"/>
  <c r="P43" i="133" a="1"/>
  <c r="P43" i="133" s="1"/>
  <c r="L47" i="133" a="1"/>
  <c r="L47" i="133" s="1"/>
  <c r="L48" i="133" a="1"/>
  <c r="L48" i="133" s="1"/>
  <c r="J49" i="133" a="1"/>
  <c r="J49" i="133" s="1"/>
  <c r="I50" i="133" a="1"/>
  <c r="I50" i="133" s="1"/>
  <c r="Q51" i="133" a="1"/>
  <c r="Q51" i="133" s="1"/>
  <c r="I53" i="133" a="1"/>
  <c r="I53" i="133" s="1"/>
  <c r="Q54" i="133" a="1"/>
  <c r="Q54" i="133" s="1"/>
  <c r="O55" i="133" a="1"/>
  <c r="O55" i="133" s="1"/>
  <c r="N56" i="133" a="1"/>
  <c r="N56" i="133" s="1"/>
  <c r="N57" i="133" a="1"/>
  <c r="N57" i="133" s="1"/>
  <c r="L59" i="133" a="1"/>
  <c r="L59" i="133" s="1"/>
  <c r="J61" i="133" a="1"/>
  <c r="J61" i="133" s="1"/>
  <c r="Q33" i="133" a="1"/>
  <c r="Q33" i="133" s="1"/>
  <c r="J55" i="133" a="1"/>
  <c r="J55" i="133" s="1"/>
  <c r="K30" i="133" a="1"/>
  <c r="K30" i="133" s="1"/>
  <c r="J31" i="133" a="1"/>
  <c r="J31" i="133" s="1"/>
  <c r="H32" i="133" a="1"/>
  <c r="H32" i="133" s="1"/>
  <c r="N33" i="133" a="1"/>
  <c r="N33" i="133" s="1"/>
  <c r="H36" i="133" a="1"/>
  <c r="H36" i="133" s="1"/>
  <c r="Q36" i="133" a="1"/>
  <c r="Q36" i="133" s="1"/>
  <c r="P37" i="133" a="1"/>
  <c r="P37" i="133" s="1"/>
  <c r="N38" i="133" a="1"/>
  <c r="N38" i="133" s="1"/>
  <c r="K39" i="133" a="1"/>
  <c r="K39" i="133" s="1"/>
  <c r="I40" i="133" a="1"/>
  <c r="I40" i="133" s="1"/>
  <c r="Q40" i="133" a="1"/>
  <c r="Q40" i="133" s="1"/>
  <c r="N41" i="133" a="1"/>
  <c r="N41" i="133" s="1"/>
  <c r="J42" i="133" a="1"/>
  <c r="J42" i="133" s="1"/>
  <c r="H43" i="133" a="1"/>
  <c r="H43" i="133" s="1"/>
  <c r="O44" i="133" a="1"/>
  <c r="O44" i="133" s="1"/>
  <c r="N45" i="133" a="1"/>
  <c r="N45" i="133" s="1"/>
  <c r="M47" i="133" a="1"/>
  <c r="M47" i="133" s="1"/>
  <c r="M48" i="133" a="1"/>
  <c r="M48" i="133" s="1"/>
  <c r="K49" i="133" a="1"/>
  <c r="K49" i="133" s="1"/>
  <c r="J50" i="133" a="1"/>
  <c r="J50" i="133" s="1"/>
  <c r="I51" i="133" a="1"/>
  <c r="I51" i="133" s="1"/>
  <c r="I52" i="133" a="1"/>
  <c r="I52" i="133" s="1"/>
  <c r="J53" i="133" a="1"/>
  <c r="J53" i="133" s="1"/>
  <c r="I54" i="133" a="1"/>
  <c r="I54" i="133" s="1"/>
  <c r="G55" i="133" a="1"/>
  <c r="G55" i="133" s="1"/>
  <c r="P55" i="133" a="1"/>
  <c r="P55" i="133" s="1"/>
  <c r="O56" i="133" a="1"/>
  <c r="O56" i="133" s="1"/>
  <c r="N58" i="133" a="1"/>
  <c r="N58" i="133" s="1"/>
  <c r="M59" i="133" a="1"/>
  <c r="M59" i="133" s="1"/>
  <c r="J60" i="133" a="1"/>
  <c r="J60" i="133" s="1"/>
  <c r="K61" i="133" a="1"/>
  <c r="K61" i="133" s="1"/>
  <c r="K62" i="133" a="1"/>
  <c r="K62" i="133" s="1"/>
  <c r="J63" i="133" a="1"/>
  <c r="J63" i="133" s="1"/>
  <c r="I56" i="133" a="1"/>
  <c r="I56" i="133" s="1"/>
  <c r="N63" i="133" a="1"/>
  <c r="N63" i="133" s="1"/>
  <c r="L30" i="133" a="1"/>
  <c r="L30" i="133" s="1"/>
  <c r="K31" i="133" a="1"/>
  <c r="K31" i="133" s="1"/>
  <c r="I32" i="133" a="1"/>
  <c r="I32" i="133" s="1"/>
  <c r="Q32" i="133" a="1"/>
  <c r="Q32" i="133" s="1"/>
  <c r="M34" i="133" a="1"/>
  <c r="M34" i="133" s="1"/>
  <c r="K35" i="133" a="1"/>
  <c r="K35" i="133" s="1"/>
  <c r="G37" i="133" a="1"/>
  <c r="G37" i="133" s="1"/>
  <c r="Q37" i="133" a="1"/>
  <c r="Q37" i="133" s="1"/>
  <c r="O38" i="133" a="1"/>
  <c r="O38" i="133" s="1"/>
  <c r="L39" i="133" a="1"/>
  <c r="L39" i="133" s="1"/>
  <c r="J40" i="133" a="1"/>
  <c r="J40" i="133" s="1"/>
  <c r="K42" i="133" a="1"/>
  <c r="K42" i="133" s="1"/>
  <c r="I43" i="133" a="1"/>
  <c r="I43" i="133" s="1"/>
  <c r="Q43" i="133" a="1"/>
  <c r="Q43" i="133" s="1"/>
  <c r="N47" i="133" a="1"/>
  <c r="N47" i="133" s="1"/>
  <c r="N48" i="133" a="1"/>
  <c r="N48" i="133" s="1"/>
  <c r="L49" i="133" a="1"/>
  <c r="L49" i="133" s="1"/>
  <c r="J52" i="133" a="1"/>
  <c r="J52" i="133" s="1"/>
  <c r="Q55" i="133" a="1"/>
  <c r="Q55" i="133" s="1"/>
  <c r="P56" i="133" a="1"/>
  <c r="P56" i="133" s="1"/>
  <c r="O57" i="133" a="1"/>
  <c r="O57" i="133" s="1"/>
  <c r="O58" i="133" a="1"/>
  <c r="O58" i="133" s="1"/>
  <c r="N59" i="133" a="1"/>
  <c r="N59" i="133" s="1"/>
  <c r="K60" i="133" a="1"/>
  <c r="K60" i="133" s="1"/>
  <c r="L61" i="133" a="1"/>
  <c r="L61" i="133" s="1"/>
  <c r="K63" i="133" a="1"/>
  <c r="K63" i="133" s="1"/>
  <c r="L54" i="133" a="1"/>
  <c r="L54" i="133" s="1"/>
  <c r="M30" i="133" a="1"/>
  <c r="M30" i="133" s="1"/>
  <c r="G33" i="133" a="1"/>
  <c r="G33" i="133" s="1"/>
  <c r="O33" i="133" a="1"/>
  <c r="O33" i="133" s="1"/>
  <c r="N34" i="133" a="1"/>
  <c r="N34" i="133" s="1"/>
  <c r="L35" i="133" a="1"/>
  <c r="L35" i="133" s="1"/>
  <c r="I36" i="133" a="1"/>
  <c r="I36" i="133" s="1"/>
  <c r="H37" i="133" a="1"/>
  <c r="H37" i="133" s="1"/>
  <c r="G41" i="133" a="1"/>
  <c r="G41" i="133" s="1"/>
  <c r="O41" i="133" a="1"/>
  <c r="O41" i="133" s="1"/>
  <c r="L42" i="133" a="1"/>
  <c r="L42" i="133" s="1"/>
  <c r="J43" i="133" a="1"/>
  <c r="J43" i="133" s="1"/>
  <c r="P44" i="133" a="1"/>
  <c r="P44" i="133" s="1"/>
  <c r="O45" i="133" a="1"/>
  <c r="O45" i="133" s="1"/>
  <c r="O47" i="133" a="1"/>
  <c r="O47" i="133" s="1"/>
  <c r="K50" i="133" a="1"/>
  <c r="K50" i="133" s="1"/>
  <c r="J51" i="133" a="1"/>
  <c r="J51" i="133" s="1"/>
  <c r="K52" i="133" a="1"/>
  <c r="K52" i="133" s="1"/>
  <c r="K53" i="133" a="1"/>
  <c r="K53" i="133" s="1"/>
  <c r="J54" i="133" a="1"/>
  <c r="J54" i="133" s="1"/>
  <c r="H55" i="133" a="1"/>
  <c r="H55" i="133" s="1"/>
  <c r="G56" i="133" a="1"/>
  <c r="G56" i="133" s="1"/>
  <c r="P58" i="133" a="1"/>
  <c r="P58" i="133" s="1"/>
  <c r="O59" i="133" a="1"/>
  <c r="O59" i="133" s="1"/>
  <c r="L60" i="133" a="1"/>
  <c r="L60" i="133" s="1"/>
  <c r="L62" i="133" a="1"/>
  <c r="L62" i="133" s="1"/>
  <c r="L63" i="133" a="1"/>
  <c r="L63" i="133" s="1"/>
  <c r="H33" i="133" a="1"/>
  <c r="H33" i="133" s="1"/>
  <c r="G59" i="133" a="1"/>
  <c r="G59" i="133" s="1"/>
  <c r="L31" i="133" a="1"/>
  <c r="L31" i="133" s="1"/>
  <c r="J32" i="133" a="1"/>
  <c r="J32" i="133" s="1"/>
  <c r="P33" i="133" a="1"/>
  <c r="P33" i="133" s="1"/>
  <c r="O34" i="133" a="1"/>
  <c r="O34" i="133" s="1"/>
  <c r="M35" i="133" a="1"/>
  <c r="M35" i="133" s="1"/>
  <c r="J36" i="133" a="1"/>
  <c r="J36" i="133" s="1"/>
  <c r="I37" i="133" a="1"/>
  <c r="I37" i="133" s="1"/>
  <c r="G38" i="133" a="1"/>
  <c r="G38" i="133" s="1"/>
  <c r="P38" i="133" a="1"/>
  <c r="P38" i="133" s="1"/>
  <c r="M39" i="133" a="1"/>
  <c r="M39" i="133" s="1"/>
  <c r="K40" i="133" a="1"/>
  <c r="K40" i="133" s="1"/>
  <c r="H41" i="133" a="1"/>
  <c r="H41" i="133" s="1"/>
  <c r="I44" i="133" a="1"/>
  <c r="I44" i="133" s="1"/>
  <c r="P45" i="133" a="1"/>
  <c r="P45" i="133" s="1"/>
  <c r="P47" i="133" a="1"/>
  <c r="P47" i="133" s="1"/>
  <c r="O48" i="133" a="1"/>
  <c r="O48" i="133" s="1"/>
  <c r="M49" i="133" a="1"/>
  <c r="M49" i="133" s="1"/>
  <c r="K51" i="133" a="1"/>
  <c r="K51" i="133" s="1"/>
  <c r="L52" i="133" a="1"/>
  <c r="L52" i="133" s="1"/>
  <c r="K54" i="133" a="1"/>
  <c r="K54" i="133" s="1"/>
  <c r="I55" i="133" a="1"/>
  <c r="I55" i="133" s="1"/>
  <c r="H56" i="133" a="1"/>
  <c r="H56" i="133" s="1"/>
  <c r="Q56" i="133" a="1"/>
  <c r="Q56" i="133" s="1"/>
  <c r="P57" i="133" a="1"/>
  <c r="P57" i="133" s="1"/>
  <c r="Q58" i="133" a="1"/>
  <c r="Q58" i="133" s="1"/>
  <c r="P59" i="133" a="1"/>
  <c r="P59" i="133" s="1"/>
  <c r="M60" i="133" a="1"/>
  <c r="M60" i="133" s="1"/>
  <c r="M61" i="133" a="1"/>
  <c r="M61" i="133" s="1"/>
  <c r="M62" i="133" a="1"/>
  <c r="M62" i="133" s="1"/>
  <c r="M63" i="133" a="1"/>
  <c r="M63" i="133" s="1"/>
  <c r="N30" i="133" a="1"/>
  <c r="N30" i="133" s="1"/>
  <c r="N62" i="133" a="1"/>
  <c r="N62" i="133" s="1"/>
  <c r="H6636" i="3"/>
  <c r="I6635" i="3"/>
  <c r="H6635" i="3"/>
  <c r="I6636" i="3"/>
  <c r="H6021" i="3"/>
  <c r="J6021" i="3"/>
  <c r="M7" i="133" a="1"/>
  <c r="M7" i="133" s="1"/>
  <c r="C15" i="133"/>
  <c r="D15" i="133"/>
  <c r="L10" i="133" a="1"/>
  <c r="L10" i="133" s="1"/>
  <c r="Q12" i="133" a="1"/>
  <c r="Q12" i="133" s="1"/>
  <c r="O11" i="133" a="1"/>
  <c r="O11" i="133" s="1"/>
  <c r="L13" i="133" a="1"/>
  <c r="L13" i="133" s="1"/>
  <c r="M5" i="133" a="1"/>
  <c r="M5" i="133" s="1"/>
  <c r="M64" i="133" s="1"/>
  <c r="O7" i="133" a="1"/>
  <c r="O7" i="133" s="1"/>
  <c r="K5" i="133" a="1"/>
  <c r="K5" i="133" s="1"/>
  <c r="K64" i="133" s="1"/>
  <c r="L7" i="133" a="1"/>
  <c r="L7" i="133" s="1"/>
  <c r="M6" i="133" a="1"/>
  <c r="M6" i="133" s="1"/>
  <c r="I7" i="133" a="1"/>
  <c r="I7" i="133" s="1"/>
  <c r="K8" i="133" a="1"/>
  <c r="K8" i="133" s="1"/>
  <c r="I11" i="133" a="1"/>
  <c r="I11" i="133" s="1"/>
  <c r="Q7" i="133" a="1"/>
  <c r="Q7" i="133" s="1"/>
  <c r="P6" i="133" a="1"/>
  <c r="P6" i="133" s="1"/>
  <c r="P9" i="133" a="1"/>
  <c r="P9" i="133" s="1"/>
  <c r="I13" i="133" a="1"/>
  <c r="I13" i="133" s="1"/>
  <c r="I9" i="133" a="1"/>
  <c r="I9" i="133" s="1"/>
  <c r="J10" i="133" a="1"/>
  <c r="J10" i="133" s="1"/>
  <c r="L8" i="133" a="1"/>
  <c r="L8" i="133" s="1"/>
  <c r="N7" i="133" a="1"/>
  <c r="N7" i="133" s="1"/>
  <c r="M11" i="133" a="1"/>
  <c r="M11" i="133" s="1"/>
  <c r="I6" i="133" a="1"/>
  <c r="I6" i="133" s="1"/>
  <c r="K12" i="133" a="1"/>
  <c r="K12" i="133" s="1"/>
  <c r="K9" i="133" a="1"/>
  <c r="K9" i="133" s="1"/>
  <c r="M10" i="133" a="1"/>
  <c r="M10" i="133" s="1"/>
  <c r="J11" i="133" a="1"/>
  <c r="J11" i="133" s="1"/>
  <c r="I5" i="133" a="1"/>
  <c r="I5" i="133" s="1"/>
  <c r="I64" i="133" s="1"/>
  <c r="G12" i="133" a="1"/>
  <c r="G12" i="133" s="1"/>
  <c r="M12" i="133" a="1"/>
  <c r="M12" i="133" s="1"/>
  <c r="K11" i="133" a="1"/>
  <c r="K11" i="133" s="1"/>
  <c r="L9" i="133" a="1"/>
  <c r="L9" i="133" s="1"/>
  <c r="I10" i="133" a="1"/>
  <c r="I10" i="133" s="1"/>
  <c r="N12" i="133" a="1"/>
  <c r="N12" i="133" s="1"/>
  <c r="K10" i="133" a="1"/>
  <c r="K10" i="133" s="1"/>
  <c r="M15" i="133" a="1"/>
  <c r="M15" i="133" s="1"/>
  <c r="N15" i="133" a="1"/>
  <c r="N15" i="133" s="1"/>
  <c r="O15" i="133" a="1"/>
  <c r="O15" i="133" s="1"/>
  <c r="P15" i="133" a="1"/>
  <c r="P15" i="133" s="1"/>
  <c r="Q15" i="133" a="1"/>
  <c r="Q15" i="133" s="1"/>
  <c r="J15" i="133" a="1"/>
  <c r="J15" i="133" s="1"/>
  <c r="G15" i="133" a="1"/>
  <c r="G15" i="133" s="1"/>
  <c r="H15" i="133" a="1"/>
  <c r="H15" i="133" s="1"/>
  <c r="I15" i="133" a="1"/>
  <c r="I15" i="133" s="1"/>
  <c r="L15" i="133" a="1"/>
  <c r="L15" i="133" s="1"/>
  <c r="K15" i="133" a="1"/>
  <c r="K15" i="133" s="1"/>
  <c r="K13" i="133" a="1"/>
  <c r="K13" i="133" s="1"/>
  <c r="O6" i="133" a="1"/>
  <c r="O6" i="133" s="1"/>
  <c r="J6" i="133" a="1"/>
  <c r="J6" i="133" s="1"/>
  <c r="Q11" i="133" a="1"/>
  <c r="Q11" i="133" s="1"/>
  <c r="I8" i="133" a="1"/>
  <c r="I8" i="133" s="1"/>
  <c r="P12" i="133" a="1"/>
  <c r="P12" i="133" s="1"/>
  <c r="H12" i="133" a="1"/>
  <c r="H12" i="133" s="1"/>
  <c r="N6" i="133" a="1"/>
  <c r="N6" i="133" s="1"/>
  <c r="O8" i="133" a="1"/>
  <c r="O8" i="133" s="1"/>
  <c r="M8" i="133" a="1"/>
  <c r="M8" i="133" s="1"/>
  <c r="O9" i="133" a="1"/>
  <c r="O9" i="133" s="1"/>
  <c r="P13" i="133" a="1"/>
  <c r="P13" i="133" s="1"/>
  <c r="J12" i="133" a="1"/>
  <c r="J12" i="133" s="1"/>
  <c r="L6" i="133" a="1"/>
  <c r="L6" i="133" s="1"/>
  <c r="Q5" i="133" a="1"/>
  <c r="Q5" i="133" s="1"/>
  <c r="Q64" i="133" s="1"/>
  <c r="Q8" i="133" a="1"/>
  <c r="Q8" i="133" s="1"/>
  <c r="N5" i="133" a="1"/>
  <c r="N5" i="133" s="1"/>
  <c r="N64" i="133" s="1"/>
  <c r="J6019" i="3"/>
  <c r="J6020" i="3"/>
  <c r="H6020" i="3"/>
  <c r="I6019" i="3"/>
  <c r="D22" i="133"/>
  <c r="C18" i="133"/>
  <c r="C25" i="133"/>
  <c r="C27" i="133"/>
  <c r="D28" i="133"/>
  <c r="D20" i="133"/>
  <c r="C4" i="133"/>
  <c r="D18" i="133"/>
  <c r="C24" i="133"/>
  <c r="C19" i="133"/>
  <c r="C16" i="133"/>
  <c r="D24" i="133"/>
  <c r="C23" i="133"/>
  <c r="D21" i="133"/>
  <c r="C17" i="133"/>
  <c r="C28" i="133"/>
  <c r="D23" i="133"/>
  <c r="D29" i="133"/>
  <c r="D4" i="133"/>
  <c r="D16" i="133"/>
  <c r="C26" i="133"/>
  <c r="D25" i="133"/>
  <c r="C20" i="133"/>
  <c r="C22" i="133"/>
  <c r="D27" i="133"/>
  <c r="D19" i="133"/>
  <c r="C29" i="133"/>
  <c r="C21" i="133"/>
  <c r="Q4" i="133" a="1"/>
  <c r="Q4" i="133" s="1"/>
  <c r="M4" i="133" a="1"/>
  <c r="M4" i="133" s="1"/>
  <c r="I4" i="133" a="1"/>
  <c r="I4" i="133" s="1"/>
  <c r="J16" i="133" a="1"/>
  <c r="J16" i="133" s="1"/>
  <c r="N16" i="133" a="1"/>
  <c r="N16" i="133" s="1"/>
  <c r="G17" i="133" a="1"/>
  <c r="G17" i="133" s="1"/>
  <c r="K17" i="133" a="1"/>
  <c r="K17" i="133" s="1"/>
  <c r="O17" i="133" a="1"/>
  <c r="O17" i="133" s="1"/>
  <c r="H18" i="133" a="1"/>
  <c r="H18" i="133" s="1"/>
  <c r="L18" i="133" a="1"/>
  <c r="L18" i="133" s="1"/>
  <c r="P18" i="133" a="1"/>
  <c r="P18" i="133" s="1"/>
  <c r="I19" i="133" a="1"/>
  <c r="I19" i="133" s="1"/>
  <c r="M19" i="133" a="1"/>
  <c r="M19" i="133" s="1"/>
  <c r="Q19" i="133" a="1"/>
  <c r="Q19" i="133" s="1"/>
  <c r="J20" i="133" a="1"/>
  <c r="J20" i="133" s="1"/>
  <c r="N20" i="133" a="1"/>
  <c r="N20" i="133" s="1"/>
  <c r="G21" i="133" a="1"/>
  <c r="G21" i="133" s="1"/>
  <c r="K21" i="133" a="1"/>
  <c r="K21" i="133" s="1"/>
  <c r="O21" i="133" a="1"/>
  <c r="O21" i="133" s="1"/>
  <c r="H22" i="133" a="1"/>
  <c r="H22" i="133" s="1"/>
  <c r="L22" i="133" a="1"/>
  <c r="L22" i="133" s="1"/>
  <c r="P22" i="133" a="1"/>
  <c r="P22" i="133" s="1"/>
  <c r="I23" i="133" a="1"/>
  <c r="I23" i="133" s="1"/>
  <c r="M23" i="133" a="1"/>
  <c r="M23" i="133" s="1"/>
  <c r="Q23" i="133" a="1"/>
  <c r="Q23" i="133" s="1"/>
  <c r="J24" i="133" a="1"/>
  <c r="J24" i="133" s="1"/>
  <c r="N24" i="133" a="1"/>
  <c r="N24" i="133" s="1"/>
  <c r="G25" i="133" a="1"/>
  <c r="G25" i="133" s="1"/>
  <c r="K25" i="133" a="1"/>
  <c r="K25" i="133" s="1"/>
  <c r="O25" i="133" a="1"/>
  <c r="O25" i="133" s="1"/>
  <c r="H26" i="133" a="1"/>
  <c r="H26" i="133" s="1"/>
  <c r="L26" i="133" a="1"/>
  <c r="L26" i="133" s="1"/>
  <c r="P26" i="133" a="1"/>
  <c r="P26" i="133" s="1"/>
  <c r="I27" i="133" a="1"/>
  <c r="I27" i="133" s="1"/>
  <c r="M27" i="133" a="1"/>
  <c r="M27" i="133" s="1"/>
  <c r="Q27" i="133" a="1"/>
  <c r="Q27" i="133" s="1"/>
  <c r="J28" i="133" a="1"/>
  <c r="J28" i="133" s="1"/>
  <c r="N28" i="133" a="1"/>
  <c r="N28" i="133" s="1"/>
  <c r="G29" i="133" a="1"/>
  <c r="G29" i="133" s="1"/>
  <c r="K29" i="133" a="1"/>
  <c r="K29" i="133" s="1"/>
  <c r="O29" i="133" a="1"/>
  <c r="O29" i="133" s="1"/>
  <c r="O4" i="133" a="1"/>
  <c r="O4" i="133" s="1"/>
  <c r="K4" i="133" a="1"/>
  <c r="K4" i="133" s="1"/>
  <c r="H16" i="133" a="1"/>
  <c r="H16" i="133" s="1"/>
  <c r="L16" i="133" a="1"/>
  <c r="L16" i="133" s="1"/>
  <c r="P16" i="133" a="1"/>
  <c r="P16" i="133" s="1"/>
  <c r="I17" i="133" a="1"/>
  <c r="I17" i="133" s="1"/>
  <c r="M17" i="133" a="1"/>
  <c r="M17" i="133" s="1"/>
  <c r="Q17" i="133" a="1"/>
  <c r="Q17" i="133" s="1"/>
  <c r="J18" i="133" a="1"/>
  <c r="J18" i="133" s="1"/>
  <c r="N18" i="133" a="1"/>
  <c r="N18" i="133" s="1"/>
  <c r="G19" i="133" a="1"/>
  <c r="G19" i="133" s="1"/>
  <c r="K19" i="133" a="1"/>
  <c r="K19" i="133" s="1"/>
  <c r="O19" i="133" a="1"/>
  <c r="O19" i="133" s="1"/>
  <c r="H20" i="133" a="1"/>
  <c r="H20" i="133" s="1"/>
  <c r="L20" i="133" a="1"/>
  <c r="L20" i="133" s="1"/>
  <c r="P20" i="133" a="1"/>
  <c r="P20" i="133" s="1"/>
  <c r="I21" i="133" a="1"/>
  <c r="I21" i="133" s="1"/>
  <c r="M21" i="133" a="1"/>
  <c r="M21" i="133" s="1"/>
  <c r="Q21" i="133" a="1"/>
  <c r="Q21" i="133" s="1"/>
  <c r="J22" i="133" a="1"/>
  <c r="J22" i="133" s="1"/>
  <c r="N22" i="133" a="1"/>
  <c r="N22" i="133" s="1"/>
  <c r="G23" i="133" a="1"/>
  <c r="G23" i="133" s="1"/>
  <c r="K23" i="133" a="1"/>
  <c r="K23" i="133" s="1"/>
  <c r="O23" i="133" a="1"/>
  <c r="O23" i="133" s="1"/>
  <c r="H24" i="133" a="1"/>
  <c r="H24" i="133" s="1"/>
  <c r="L24" i="133" a="1"/>
  <c r="L24" i="133" s="1"/>
  <c r="P24" i="133" a="1"/>
  <c r="P24" i="133" s="1"/>
  <c r="I25" i="133" a="1"/>
  <c r="I25" i="133" s="1"/>
  <c r="M25" i="133" a="1"/>
  <c r="M25" i="133" s="1"/>
  <c r="Q25" i="133" a="1"/>
  <c r="Q25" i="133" s="1"/>
  <c r="J26" i="133" a="1"/>
  <c r="J26" i="133" s="1"/>
  <c r="N26" i="133" a="1"/>
  <c r="N26" i="133" s="1"/>
  <c r="G27" i="133" a="1"/>
  <c r="G27" i="133" s="1"/>
  <c r="K27" i="133" a="1"/>
  <c r="K27" i="133" s="1"/>
  <c r="O27" i="133" a="1"/>
  <c r="O27" i="133" s="1"/>
  <c r="H28" i="133" a="1"/>
  <c r="H28" i="133" s="1"/>
  <c r="L28" i="133" a="1"/>
  <c r="L28" i="133" s="1"/>
  <c r="P28" i="133" a="1"/>
  <c r="P28" i="133" s="1"/>
  <c r="I29" i="133" a="1"/>
  <c r="I29" i="133" s="1"/>
  <c r="M29" i="133" a="1"/>
  <c r="M29" i="133" s="1"/>
  <c r="Q29" i="133" a="1"/>
  <c r="Q29" i="133" s="1"/>
  <c r="L4" i="133" a="1"/>
  <c r="L4" i="133" s="1"/>
  <c r="K16" i="133" a="1"/>
  <c r="K16" i="133" s="1"/>
  <c r="H17" i="133" a="1"/>
  <c r="H17" i="133" s="1"/>
  <c r="P17" i="133" a="1"/>
  <c r="P17" i="133" s="1"/>
  <c r="M18" i="133" a="1"/>
  <c r="M18" i="133" s="1"/>
  <c r="J19" i="133" a="1"/>
  <c r="J19" i="133" s="1"/>
  <c r="G20" i="133" a="1"/>
  <c r="G20" i="133" s="1"/>
  <c r="O20" i="133" a="1"/>
  <c r="O20" i="133" s="1"/>
  <c r="L21" i="133" a="1"/>
  <c r="L21" i="133" s="1"/>
  <c r="I22" i="133" a="1"/>
  <c r="I22" i="133" s="1"/>
  <c r="Q22" i="133" a="1"/>
  <c r="Q22" i="133" s="1"/>
  <c r="N23" i="133" a="1"/>
  <c r="N23" i="133" s="1"/>
  <c r="K24" i="133" a="1"/>
  <c r="K24" i="133" s="1"/>
  <c r="H25" i="133" a="1"/>
  <c r="H25" i="133" s="1"/>
  <c r="P25" i="133" a="1"/>
  <c r="P25" i="133" s="1"/>
  <c r="M26" i="133" a="1"/>
  <c r="M26" i="133" s="1"/>
  <c r="J27" i="133" a="1"/>
  <c r="J27" i="133" s="1"/>
  <c r="G28" i="133" a="1"/>
  <c r="G28" i="133" s="1"/>
  <c r="O28" i="133" a="1"/>
  <c r="O28" i="133" s="1"/>
  <c r="L29" i="133" a="1"/>
  <c r="L29" i="133" s="1"/>
  <c r="P4" i="133" a="1"/>
  <c r="P4" i="133" s="1"/>
  <c r="G16" i="133" a="1"/>
  <c r="G16" i="133" s="1"/>
  <c r="O16" i="133" a="1"/>
  <c r="O16" i="133" s="1"/>
  <c r="L17" i="133" a="1"/>
  <c r="L17" i="133" s="1"/>
  <c r="I18" i="133" a="1"/>
  <c r="I18" i="133" s="1"/>
  <c r="Q18" i="133" a="1"/>
  <c r="Q18" i="133" s="1"/>
  <c r="N19" i="133" a="1"/>
  <c r="N19" i="133" s="1"/>
  <c r="K20" i="133" a="1"/>
  <c r="K20" i="133" s="1"/>
  <c r="H21" i="133" a="1"/>
  <c r="H21" i="133" s="1"/>
  <c r="P21" i="133" a="1"/>
  <c r="P21" i="133" s="1"/>
  <c r="M22" i="133" a="1"/>
  <c r="M22" i="133" s="1"/>
  <c r="J23" i="133" a="1"/>
  <c r="J23" i="133" s="1"/>
  <c r="G24" i="133" a="1"/>
  <c r="G24" i="133" s="1"/>
  <c r="O24" i="133" a="1"/>
  <c r="O24" i="133" s="1"/>
  <c r="L25" i="133" a="1"/>
  <c r="L25" i="133" s="1"/>
  <c r="I26" i="133" a="1"/>
  <c r="I26" i="133" s="1"/>
  <c r="Q26" i="133" a="1"/>
  <c r="Q26" i="133" s="1"/>
  <c r="N27" i="133" a="1"/>
  <c r="N27" i="133" s="1"/>
  <c r="K28" i="133" a="1"/>
  <c r="K28" i="133" s="1"/>
  <c r="H29" i="133" a="1"/>
  <c r="H29" i="133" s="1"/>
  <c r="P29" i="133" a="1"/>
  <c r="P29" i="133" s="1"/>
  <c r="J4" i="133" a="1"/>
  <c r="J4" i="133" s="1"/>
  <c r="J17" i="133" a="1"/>
  <c r="J17" i="133" s="1"/>
  <c r="O18" i="133" a="1"/>
  <c r="O18" i="133" s="1"/>
  <c r="I20" i="133" a="1"/>
  <c r="I20" i="133" s="1"/>
  <c r="N21" i="133" a="1"/>
  <c r="N21" i="133" s="1"/>
  <c r="H23" i="133" a="1"/>
  <c r="H23" i="133" s="1"/>
  <c r="M24" i="133" a="1"/>
  <c r="M24" i="133" s="1"/>
  <c r="G26" i="133" a="1"/>
  <c r="G26" i="133" s="1"/>
  <c r="L27" i="133" a="1"/>
  <c r="L27" i="133" s="1"/>
  <c r="Q28" i="133" a="1"/>
  <c r="Q28" i="133" s="1"/>
  <c r="I16" i="133" a="1"/>
  <c r="I16" i="133" s="1"/>
  <c r="N17" i="133" a="1"/>
  <c r="N17" i="133" s="1"/>
  <c r="H19" i="133" a="1"/>
  <c r="H19" i="133" s="1"/>
  <c r="M20" i="133" a="1"/>
  <c r="M20" i="133" s="1"/>
  <c r="G22" i="133" a="1"/>
  <c r="G22" i="133" s="1"/>
  <c r="Q24" i="133" a="1"/>
  <c r="Q24" i="133" s="1"/>
  <c r="K26" i="133" a="1"/>
  <c r="K26" i="133" s="1"/>
  <c r="P27" i="133" a="1"/>
  <c r="P27" i="133" s="1"/>
  <c r="J29" i="133" a="1"/>
  <c r="J29" i="133" s="1"/>
  <c r="L23" i="133" a="1"/>
  <c r="L23" i="133" s="1"/>
  <c r="M16" i="133" a="1"/>
  <c r="M16" i="133" s="1"/>
  <c r="G18" i="133" a="1"/>
  <c r="G18" i="133" s="1"/>
  <c r="L19" i="133" a="1"/>
  <c r="L19" i="133" s="1"/>
  <c r="Q20" i="133" a="1"/>
  <c r="Q20" i="133" s="1"/>
  <c r="K22" i="133" a="1"/>
  <c r="K22" i="133" s="1"/>
  <c r="P23" i="133" a="1"/>
  <c r="P23" i="133" s="1"/>
  <c r="J25" i="133" a="1"/>
  <c r="J25" i="133" s="1"/>
  <c r="O26" i="133" a="1"/>
  <c r="O26" i="133" s="1"/>
  <c r="I28" i="133" a="1"/>
  <c r="I28" i="133" s="1"/>
  <c r="N29" i="133" a="1"/>
  <c r="N29" i="133" s="1"/>
  <c r="N4" i="133" a="1"/>
  <c r="N4" i="133" s="1"/>
  <c r="Q16" i="133" a="1"/>
  <c r="Q16" i="133" s="1"/>
  <c r="K18" i="133" a="1"/>
  <c r="K18" i="133" s="1"/>
  <c r="P19" i="133" a="1"/>
  <c r="P19" i="133" s="1"/>
  <c r="J21" i="133" a="1"/>
  <c r="J21" i="133" s="1"/>
  <c r="O22" i="133" a="1"/>
  <c r="O22" i="133" s="1"/>
  <c r="I24" i="133" a="1"/>
  <c r="I24" i="133" s="1"/>
  <c r="N25" i="133" a="1"/>
  <c r="N25" i="133" s="1"/>
  <c r="H27" i="133" a="1"/>
  <c r="H27" i="133" s="1"/>
  <c r="M28" i="133" a="1"/>
  <c r="M28" i="133" s="1"/>
  <c r="I6055" i="3"/>
  <c r="H6055" i="3"/>
  <c r="J6055" i="3"/>
  <c r="I6052" i="3"/>
  <c r="J6052" i="3"/>
  <c r="H6052" i="3"/>
  <c r="I6060" i="3"/>
  <c r="J6060" i="3"/>
  <c r="H6060" i="3"/>
  <c r="Q13" i="133" a="1"/>
  <c r="Q13" i="133" s="1"/>
  <c r="J13" i="133" a="1"/>
  <c r="J13" i="133" s="1"/>
  <c r="K7" i="133" a="1"/>
  <c r="K7" i="133" s="1"/>
  <c r="J5" i="133" a="1"/>
  <c r="J5" i="133" s="1"/>
  <c r="J64" i="133" s="1"/>
  <c r="P11" i="133" a="1"/>
  <c r="P11" i="133" s="1"/>
  <c r="I12" i="133" a="1"/>
  <c r="I12" i="133" s="1"/>
  <c r="L12" i="133" a="1"/>
  <c r="L12" i="133" s="1"/>
  <c r="O13" i="133" a="1"/>
  <c r="O13" i="133" s="1"/>
  <c r="J8" i="133" a="1"/>
  <c r="J8" i="133" s="1"/>
  <c r="O10" i="133" a="1"/>
  <c r="O10" i="133" s="1"/>
  <c r="Q10" i="133" a="1"/>
  <c r="Q10" i="133" s="1"/>
  <c r="N11" i="133" a="1"/>
  <c r="N11" i="133" s="1"/>
  <c r="M9" i="133" a="1"/>
  <c r="M9" i="133" s="1"/>
  <c r="P7" i="133" a="1"/>
  <c r="P7" i="133" s="1"/>
  <c r="O5" i="133" a="1"/>
  <c r="O5" i="133" s="1"/>
  <c r="O64" i="133" s="1"/>
  <c r="J6061" i="3"/>
  <c r="I6061" i="3"/>
  <c r="H6061" i="3"/>
  <c r="H6050" i="3"/>
  <c r="J6050" i="3"/>
  <c r="I6050" i="3"/>
  <c r="H6057" i="3"/>
  <c r="J6057" i="3"/>
  <c r="I6057" i="3"/>
  <c r="J6054" i="3"/>
  <c r="I6054" i="3"/>
  <c r="H6054" i="3"/>
  <c r="I6059" i="3"/>
  <c r="H6059" i="3"/>
  <c r="J6059" i="3"/>
  <c r="I6058" i="3"/>
  <c r="H6058" i="3"/>
  <c r="J6058" i="3"/>
  <c r="J6048" i="3"/>
  <c r="I6048" i="3"/>
  <c r="H6048" i="3"/>
  <c r="I6051" i="3"/>
  <c r="H6051" i="3"/>
  <c r="J6051" i="3"/>
  <c r="O12" i="133" a="1"/>
  <c r="O12" i="133" s="1"/>
  <c r="N10" i="133" a="1"/>
  <c r="N10" i="133" s="1"/>
  <c r="N8" i="133" a="1"/>
  <c r="N8" i="133" s="1"/>
  <c r="P5" i="133" a="1"/>
  <c r="P5" i="133" s="1"/>
  <c r="P64" i="133" s="1"/>
  <c r="J9" i="133" a="1"/>
  <c r="J9" i="133" s="1"/>
  <c r="N13" i="133" a="1"/>
  <c r="N13" i="133" s="1"/>
  <c r="Q6" i="133" a="1"/>
  <c r="Q6" i="133" s="1"/>
  <c r="J7" i="133" a="1"/>
  <c r="J7" i="133" s="1"/>
  <c r="L11" i="133" a="1"/>
  <c r="L11" i="133" s="1"/>
  <c r="Q9" i="133" a="1"/>
  <c r="Q9" i="133" s="1"/>
  <c r="P8" i="133" a="1"/>
  <c r="P8" i="133" s="1"/>
  <c r="L5" i="133" a="1"/>
  <c r="L5" i="133" s="1"/>
  <c r="L64" i="133" s="1"/>
  <c r="N9" i="133" a="1"/>
  <c r="N9" i="133" s="1"/>
  <c r="M13" i="133" a="1"/>
  <c r="M13" i="133" s="1"/>
  <c r="P10" i="133" a="1"/>
  <c r="P10" i="133" s="1"/>
  <c r="H6053" i="3"/>
  <c r="J6053" i="3"/>
  <c r="I6053" i="3"/>
  <c r="H6049" i="3"/>
  <c r="J6049" i="3"/>
  <c r="I6049" i="3"/>
  <c r="I6056" i="3"/>
  <c r="J6056" i="3"/>
  <c r="H6056" i="3"/>
  <c r="J6062" i="3"/>
  <c r="I6062" i="3"/>
  <c r="H6062" i="3"/>
  <c r="C42" i="117"/>
  <c r="C41" i="117"/>
  <c r="C39" i="117"/>
  <c r="C37" i="117"/>
  <c r="C40" i="117"/>
  <c r="C33" i="117"/>
  <c r="C31" i="117"/>
  <c r="J4645" i="3"/>
  <c r="J4643" i="3"/>
  <c r="J4641" i="3"/>
  <c r="J4639" i="3"/>
  <c r="J4637" i="3"/>
  <c r="J4635" i="3"/>
  <c r="J4633" i="3"/>
  <c r="J4631" i="3"/>
  <c r="J4629" i="3"/>
  <c r="J4627" i="3"/>
  <c r="J4625" i="3"/>
  <c r="J4623" i="3"/>
  <c r="J4621" i="3"/>
  <c r="J4619" i="3"/>
  <c r="J4617" i="3"/>
  <c r="G4645" i="3"/>
  <c r="F4645" i="3"/>
  <c r="G4644" i="3"/>
  <c r="F4644" i="3"/>
  <c r="G4643" i="3"/>
  <c r="F4643" i="3"/>
  <c r="G4642" i="3"/>
  <c r="F4642" i="3"/>
  <c r="G4641" i="3"/>
  <c r="F4641" i="3"/>
  <c r="G4640" i="3"/>
  <c r="F4640" i="3"/>
  <c r="G4639" i="3"/>
  <c r="F4639" i="3"/>
  <c r="G4638" i="3"/>
  <c r="F4638" i="3"/>
  <c r="G4637" i="3"/>
  <c r="F4637" i="3"/>
  <c r="G4636" i="3"/>
  <c r="F4636" i="3"/>
  <c r="G4635" i="3"/>
  <c r="F4635" i="3"/>
  <c r="G4634" i="3"/>
  <c r="F4634" i="3"/>
  <c r="G4633" i="3"/>
  <c r="F4633" i="3"/>
  <c r="G4632" i="3"/>
  <c r="F4632" i="3"/>
  <c r="G4631" i="3"/>
  <c r="F4631" i="3"/>
  <c r="G4630" i="3"/>
  <c r="F4630" i="3"/>
  <c r="G4629" i="3"/>
  <c r="F4629" i="3"/>
  <c r="G4628" i="3"/>
  <c r="F4628" i="3"/>
  <c r="G4627" i="3"/>
  <c r="F4627" i="3"/>
  <c r="G4626" i="3"/>
  <c r="F4626" i="3"/>
  <c r="G4625" i="3"/>
  <c r="F4625" i="3"/>
  <c r="G4624" i="3"/>
  <c r="F4624" i="3"/>
  <c r="G4623" i="3"/>
  <c r="F4623" i="3"/>
  <c r="G4622" i="3"/>
  <c r="F4622" i="3"/>
  <c r="G4621" i="3"/>
  <c r="F4621" i="3"/>
  <c r="G4620" i="3"/>
  <c r="F4620" i="3"/>
  <c r="G4619" i="3"/>
  <c r="F4619" i="3"/>
  <c r="G4618" i="3"/>
  <c r="F4618" i="3"/>
  <c r="G4617" i="3"/>
  <c r="F4617" i="3"/>
  <c r="G4616" i="3"/>
  <c r="F4616" i="3"/>
  <c r="B38" i="7"/>
  <c r="J4615" i="3"/>
  <c r="J4613" i="3"/>
  <c r="J4611" i="3"/>
  <c r="J4609" i="3"/>
  <c r="J4607" i="3"/>
  <c r="J4605" i="3"/>
  <c r="J4603" i="3"/>
  <c r="J4601" i="3"/>
  <c r="J4599" i="3"/>
  <c r="J4597" i="3"/>
  <c r="J4595" i="3"/>
  <c r="J4593" i="3"/>
  <c r="J4591" i="3"/>
  <c r="J4589" i="3"/>
  <c r="J4587" i="3"/>
  <c r="J4585" i="3"/>
  <c r="J4583" i="3"/>
  <c r="J4581" i="3"/>
  <c r="J4579" i="3"/>
  <c r="J4577" i="3"/>
  <c r="J4575" i="3"/>
  <c r="J4573" i="3"/>
  <c r="J4571" i="3"/>
  <c r="G4615" i="3"/>
  <c r="F4615" i="3"/>
  <c r="G4614" i="3"/>
  <c r="F4614" i="3"/>
  <c r="G4613" i="3"/>
  <c r="F4613" i="3"/>
  <c r="G4612" i="3"/>
  <c r="F4612" i="3"/>
  <c r="G4611" i="3"/>
  <c r="F4611" i="3"/>
  <c r="G4610" i="3"/>
  <c r="F4610" i="3"/>
  <c r="G4609" i="3"/>
  <c r="F4609" i="3"/>
  <c r="G4608" i="3"/>
  <c r="F4608" i="3"/>
  <c r="G4607" i="3"/>
  <c r="F4607" i="3"/>
  <c r="G4606" i="3"/>
  <c r="F4606" i="3"/>
  <c r="G4605" i="3"/>
  <c r="F4605" i="3"/>
  <c r="G4604" i="3"/>
  <c r="F4604" i="3"/>
  <c r="G4603" i="3"/>
  <c r="F4603" i="3"/>
  <c r="G4602" i="3"/>
  <c r="F4602" i="3"/>
  <c r="G4601" i="3"/>
  <c r="F4601" i="3"/>
  <c r="G4600" i="3"/>
  <c r="F4600" i="3"/>
  <c r="G4599" i="3"/>
  <c r="F4599" i="3"/>
  <c r="G4598" i="3"/>
  <c r="F4598" i="3"/>
  <c r="G4597" i="3"/>
  <c r="F4597" i="3"/>
  <c r="G4596" i="3"/>
  <c r="F4596" i="3"/>
  <c r="G4595" i="3"/>
  <c r="F4595" i="3"/>
  <c r="G4594" i="3"/>
  <c r="F4594" i="3"/>
  <c r="G4593" i="3"/>
  <c r="F4593" i="3"/>
  <c r="G4592" i="3"/>
  <c r="F4592" i="3"/>
  <c r="G4591" i="3"/>
  <c r="F4591" i="3"/>
  <c r="G4590" i="3"/>
  <c r="F4590" i="3"/>
  <c r="G4589" i="3"/>
  <c r="F4589" i="3"/>
  <c r="G4588" i="3"/>
  <c r="F4588" i="3"/>
  <c r="G4587" i="3"/>
  <c r="F4587" i="3"/>
  <c r="G4586" i="3"/>
  <c r="F4586" i="3"/>
  <c r="G4585" i="3"/>
  <c r="F4585" i="3"/>
  <c r="G4584" i="3"/>
  <c r="F4584" i="3"/>
  <c r="G4583" i="3"/>
  <c r="F4583" i="3"/>
  <c r="G4582" i="3"/>
  <c r="F4582" i="3"/>
  <c r="G4581" i="3"/>
  <c r="F4581" i="3"/>
  <c r="G4580" i="3"/>
  <c r="F4580" i="3"/>
  <c r="G4579" i="3"/>
  <c r="F4579" i="3"/>
  <c r="G4578" i="3"/>
  <c r="F4578" i="3"/>
  <c r="G4577" i="3"/>
  <c r="F4577" i="3"/>
  <c r="G4576" i="3"/>
  <c r="F4576" i="3"/>
  <c r="G4575" i="3"/>
  <c r="F4575" i="3"/>
  <c r="G4574" i="3"/>
  <c r="F4574" i="3"/>
  <c r="G4573" i="3"/>
  <c r="F4573" i="3"/>
  <c r="G4572" i="3"/>
  <c r="F4572" i="3"/>
  <c r="G4571" i="3"/>
  <c r="F4571" i="3"/>
  <c r="J4510" i="3"/>
  <c r="J4508" i="3"/>
  <c r="J4506" i="3"/>
  <c r="J4504" i="3"/>
  <c r="J4502" i="3"/>
  <c r="J4500" i="3"/>
  <c r="J4498" i="3"/>
  <c r="J4496" i="3"/>
  <c r="J4494" i="3"/>
  <c r="J4492" i="3"/>
  <c r="J4490" i="3"/>
  <c r="J4488" i="3"/>
  <c r="J4486" i="3"/>
  <c r="J4484" i="3"/>
  <c r="J4482" i="3"/>
  <c r="J4480" i="3"/>
  <c r="J4478" i="3"/>
  <c r="J4476" i="3"/>
  <c r="J4474" i="3"/>
  <c r="J4472" i="3"/>
  <c r="J4470" i="3"/>
  <c r="J4468" i="3"/>
  <c r="J4466" i="3"/>
  <c r="G4510" i="3"/>
  <c r="F4510" i="3"/>
  <c r="G4509" i="3"/>
  <c r="F4509" i="3"/>
  <c r="G4508" i="3"/>
  <c r="F4508" i="3"/>
  <c r="G4507" i="3"/>
  <c r="F4507" i="3"/>
  <c r="G4506" i="3"/>
  <c r="F4506" i="3"/>
  <c r="G4505" i="3"/>
  <c r="F4505" i="3"/>
  <c r="G4504" i="3"/>
  <c r="F4504" i="3"/>
  <c r="G4503" i="3"/>
  <c r="F4503" i="3"/>
  <c r="G4502" i="3"/>
  <c r="F4502" i="3"/>
  <c r="G4501" i="3"/>
  <c r="F4501" i="3"/>
  <c r="G4500" i="3"/>
  <c r="F4500" i="3"/>
  <c r="G4499" i="3"/>
  <c r="F4499" i="3"/>
  <c r="G4498" i="3"/>
  <c r="F4498" i="3"/>
  <c r="G4497" i="3"/>
  <c r="F4497" i="3"/>
  <c r="G4496" i="3"/>
  <c r="F4496" i="3"/>
  <c r="G4495" i="3"/>
  <c r="F4495" i="3"/>
  <c r="G4494" i="3"/>
  <c r="F4494" i="3"/>
  <c r="G4493" i="3"/>
  <c r="F4493" i="3"/>
  <c r="G4492" i="3"/>
  <c r="F4492" i="3"/>
  <c r="G4491" i="3"/>
  <c r="F4491" i="3"/>
  <c r="G4490" i="3"/>
  <c r="F4490" i="3"/>
  <c r="G4489" i="3"/>
  <c r="F4489" i="3"/>
  <c r="G4488" i="3"/>
  <c r="F4488" i="3"/>
  <c r="G4487" i="3"/>
  <c r="F4487" i="3"/>
  <c r="G4486" i="3"/>
  <c r="F4486" i="3"/>
  <c r="G4485" i="3"/>
  <c r="F4485" i="3"/>
  <c r="G4484" i="3"/>
  <c r="F4484" i="3"/>
  <c r="G4483" i="3"/>
  <c r="F4483" i="3"/>
  <c r="G4482" i="3"/>
  <c r="F4482" i="3"/>
  <c r="G4481" i="3"/>
  <c r="F4481" i="3"/>
  <c r="G4480" i="3"/>
  <c r="F4480" i="3"/>
  <c r="G4479" i="3"/>
  <c r="F4479" i="3"/>
  <c r="G4478" i="3"/>
  <c r="F4478" i="3"/>
  <c r="G4477" i="3"/>
  <c r="F4477" i="3"/>
  <c r="G4476" i="3"/>
  <c r="F4476" i="3"/>
  <c r="G4475" i="3"/>
  <c r="F4475" i="3"/>
  <c r="G4474" i="3"/>
  <c r="F4474" i="3"/>
  <c r="G4473" i="3"/>
  <c r="F4473" i="3"/>
  <c r="G4472" i="3"/>
  <c r="F4472" i="3"/>
  <c r="G4471" i="3"/>
  <c r="F4471" i="3"/>
  <c r="G4470" i="3"/>
  <c r="F4470" i="3"/>
  <c r="G4469" i="3"/>
  <c r="F4469" i="3"/>
  <c r="G4468" i="3"/>
  <c r="F4468" i="3"/>
  <c r="G4467" i="3"/>
  <c r="F4467" i="3"/>
  <c r="G4466" i="3"/>
  <c r="F4466" i="3"/>
  <c r="B29" i="102"/>
  <c r="G4465" i="3"/>
  <c r="F4465" i="3"/>
  <c r="G4464" i="3"/>
  <c r="F4464" i="3"/>
  <c r="G4463" i="3"/>
  <c r="F4463" i="3"/>
  <c r="G4462" i="3"/>
  <c r="F4462" i="3"/>
  <c r="G4461" i="3"/>
  <c r="F4461" i="3"/>
  <c r="G4460" i="3"/>
  <c r="F4460" i="3"/>
  <c r="G4459" i="3"/>
  <c r="F4459" i="3"/>
  <c r="G4458" i="3"/>
  <c r="F4458" i="3"/>
  <c r="G4457" i="3"/>
  <c r="F4457" i="3"/>
  <c r="G4456" i="3"/>
  <c r="F4456" i="3"/>
  <c r="G4455" i="3"/>
  <c r="F4455" i="3"/>
  <c r="G4454" i="3"/>
  <c r="F4454" i="3"/>
  <c r="G4453" i="3"/>
  <c r="F4453" i="3"/>
  <c r="G4452" i="3"/>
  <c r="F4452" i="3"/>
  <c r="G4451" i="3"/>
  <c r="F4451" i="3"/>
  <c r="G4450" i="3"/>
  <c r="F4450" i="3"/>
  <c r="G4449" i="3"/>
  <c r="F4449" i="3"/>
  <c r="G4448" i="3"/>
  <c r="F4448" i="3"/>
  <c r="G4447" i="3"/>
  <c r="F4447" i="3"/>
  <c r="G4446" i="3"/>
  <c r="F4446" i="3"/>
  <c r="G4445" i="3"/>
  <c r="F4445" i="3"/>
  <c r="G4444" i="3"/>
  <c r="F4444" i="3"/>
  <c r="G4443" i="3"/>
  <c r="F4443" i="3"/>
  <c r="G4442" i="3"/>
  <c r="F4442" i="3"/>
  <c r="G4441" i="3"/>
  <c r="F4441" i="3"/>
  <c r="G4440" i="3"/>
  <c r="F4440" i="3"/>
  <c r="G4439" i="3"/>
  <c r="F4439" i="3"/>
  <c r="G4438" i="3"/>
  <c r="F4438" i="3"/>
  <c r="G4437" i="3"/>
  <c r="F4437" i="3"/>
  <c r="G4436" i="3"/>
  <c r="F4436" i="3"/>
  <c r="G4435" i="3"/>
  <c r="F4435" i="3"/>
  <c r="G4434" i="3"/>
  <c r="F4434" i="3"/>
  <c r="G4433" i="3"/>
  <c r="F4433" i="3"/>
  <c r="G4432" i="3"/>
  <c r="F4432" i="3"/>
  <c r="G4431" i="3"/>
  <c r="F4431" i="3"/>
  <c r="G4430" i="3"/>
  <c r="F4430" i="3"/>
  <c r="G4429" i="3"/>
  <c r="F4429" i="3"/>
  <c r="G4428" i="3"/>
  <c r="F4428" i="3"/>
  <c r="G4427" i="3"/>
  <c r="F4427" i="3"/>
  <c r="G4426" i="3"/>
  <c r="F4426" i="3"/>
  <c r="G4425" i="3"/>
  <c r="F4425" i="3"/>
  <c r="G4424" i="3"/>
  <c r="F4424" i="3"/>
  <c r="G4423" i="3"/>
  <c r="F4423" i="3"/>
  <c r="G4422" i="3"/>
  <c r="F4422" i="3"/>
  <c r="G4421" i="3"/>
  <c r="F4421" i="3"/>
  <c r="G4420" i="3"/>
  <c r="F4420" i="3"/>
  <c r="G4419" i="3"/>
  <c r="F4419" i="3"/>
  <c r="G4418" i="3"/>
  <c r="F4418" i="3"/>
  <c r="G4417" i="3"/>
  <c r="F4417" i="3"/>
  <c r="G4416" i="3"/>
  <c r="F4416" i="3"/>
  <c r="G4415" i="3"/>
  <c r="F4415" i="3"/>
  <c r="G4414" i="3"/>
  <c r="F4414" i="3"/>
  <c r="G4413" i="3"/>
  <c r="F4413" i="3"/>
  <c r="G4412" i="3"/>
  <c r="F4412" i="3"/>
  <c r="G4411" i="3"/>
  <c r="F4411" i="3"/>
  <c r="G4410" i="3"/>
  <c r="F4410" i="3"/>
  <c r="G4409" i="3"/>
  <c r="F4409" i="3"/>
  <c r="G4408" i="3"/>
  <c r="F4408" i="3"/>
  <c r="G4407" i="3"/>
  <c r="F4407" i="3"/>
  <c r="G4406" i="3"/>
  <c r="F4406" i="3"/>
  <c r="J4405" i="3"/>
  <c r="J4403" i="3"/>
  <c r="J4401" i="3"/>
  <c r="J4399" i="3"/>
  <c r="J4397" i="3"/>
  <c r="J4395" i="3"/>
  <c r="J4393" i="3"/>
  <c r="J4391" i="3"/>
  <c r="J4389" i="3"/>
  <c r="J4387" i="3"/>
  <c r="J4385" i="3"/>
  <c r="J4383" i="3"/>
  <c r="J4381" i="3"/>
  <c r="J4379" i="3"/>
  <c r="J4377" i="3"/>
  <c r="J4375" i="3"/>
  <c r="J4373" i="3"/>
  <c r="J4371" i="3"/>
  <c r="J4369" i="3"/>
  <c r="J4367" i="3"/>
  <c r="J4365" i="3"/>
  <c r="J4363" i="3"/>
  <c r="J4361" i="3"/>
  <c r="G4405" i="3"/>
  <c r="F4405" i="3"/>
  <c r="G4404" i="3"/>
  <c r="F4404" i="3"/>
  <c r="G4403" i="3"/>
  <c r="F4403" i="3"/>
  <c r="G4402" i="3"/>
  <c r="F4402" i="3"/>
  <c r="G4401" i="3"/>
  <c r="F4401" i="3"/>
  <c r="G4400" i="3"/>
  <c r="F4400" i="3"/>
  <c r="G4399" i="3"/>
  <c r="F4399" i="3"/>
  <c r="G4398" i="3"/>
  <c r="F4398" i="3"/>
  <c r="G4397" i="3"/>
  <c r="F4397" i="3"/>
  <c r="G4396" i="3"/>
  <c r="F4396" i="3"/>
  <c r="G4395" i="3"/>
  <c r="F4395" i="3"/>
  <c r="G4394" i="3"/>
  <c r="F4394" i="3"/>
  <c r="G4393" i="3"/>
  <c r="F4393" i="3"/>
  <c r="G4392" i="3"/>
  <c r="F4392" i="3"/>
  <c r="G4391" i="3"/>
  <c r="F4391" i="3"/>
  <c r="G4390" i="3"/>
  <c r="F4390" i="3"/>
  <c r="G4389" i="3"/>
  <c r="F4389" i="3"/>
  <c r="G4388" i="3"/>
  <c r="F4388" i="3"/>
  <c r="G4387" i="3"/>
  <c r="F4387" i="3"/>
  <c r="G4386" i="3"/>
  <c r="F4386" i="3"/>
  <c r="G4385" i="3"/>
  <c r="F4385" i="3"/>
  <c r="G4384" i="3"/>
  <c r="F4384" i="3"/>
  <c r="G4383" i="3"/>
  <c r="F4383" i="3"/>
  <c r="G4382" i="3"/>
  <c r="F4382" i="3"/>
  <c r="G4381" i="3"/>
  <c r="F4381" i="3"/>
  <c r="G4380" i="3"/>
  <c r="F4380" i="3"/>
  <c r="G4379" i="3"/>
  <c r="F4379" i="3"/>
  <c r="G4378" i="3"/>
  <c r="F4378" i="3"/>
  <c r="G4377" i="3"/>
  <c r="F4377" i="3"/>
  <c r="G4376" i="3"/>
  <c r="F4376" i="3"/>
  <c r="G4375" i="3"/>
  <c r="F4375" i="3"/>
  <c r="G4374" i="3"/>
  <c r="F4374" i="3"/>
  <c r="G4373" i="3"/>
  <c r="F4373" i="3"/>
  <c r="G4372" i="3"/>
  <c r="F4372" i="3"/>
  <c r="G4371" i="3"/>
  <c r="F4371" i="3"/>
  <c r="G4370" i="3"/>
  <c r="F4370" i="3"/>
  <c r="G4369" i="3"/>
  <c r="F4369" i="3"/>
  <c r="G4368" i="3"/>
  <c r="F4368" i="3"/>
  <c r="G4367" i="3"/>
  <c r="F4367" i="3"/>
  <c r="G4366" i="3"/>
  <c r="F4366" i="3"/>
  <c r="G4365" i="3"/>
  <c r="F4365" i="3"/>
  <c r="G4364" i="3"/>
  <c r="F4364" i="3"/>
  <c r="G4363" i="3"/>
  <c r="F4363" i="3"/>
  <c r="G4362" i="3"/>
  <c r="F4362" i="3"/>
  <c r="G4361" i="3"/>
  <c r="F4361" i="3"/>
  <c r="J4570" i="3"/>
  <c r="J4568" i="3"/>
  <c r="J4566" i="3"/>
  <c r="J4564" i="3"/>
  <c r="J4562" i="3"/>
  <c r="J4560" i="3"/>
  <c r="J4558" i="3"/>
  <c r="J4556" i="3"/>
  <c r="G4570" i="3"/>
  <c r="F4570" i="3"/>
  <c r="G4569" i="3"/>
  <c r="F4569" i="3"/>
  <c r="G4568" i="3"/>
  <c r="F4568" i="3"/>
  <c r="G4567" i="3"/>
  <c r="F4567" i="3"/>
  <c r="G4566" i="3"/>
  <c r="F4566" i="3"/>
  <c r="G4565" i="3"/>
  <c r="F4565" i="3"/>
  <c r="G4564" i="3"/>
  <c r="F4564" i="3"/>
  <c r="G4563" i="3"/>
  <c r="F4563" i="3"/>
  <c r="G4562" i="3"/>
  <c r="F4562" i="3"/>
  <c r="G4561" i="3"/>
  <c r="F4561" i="3"/>
  <c r="G4560" i="3"/>
  <c r="F4560" i="3"/>
  <c r="G4559" i="3"/>
  <c r="F4559" i="3"/>
  <c r="G4558" i="3"/>
  <c r="F4558" i="3"/>
  <c r="G4557" i="3"/>
  <c r="F4557" i="3"/>
  <c r="G4556" i="3"/>
  <c r="F4556" i="3"/>
  <c r="J4285" i="3"/>
  <c r="I4284" i="3"/>
  <c r="J4283" i="3"/>
  <c r="J4281" i="3"/>
  <c r="J4279" i="3"/>
  <c r="J4277" i="3"/>
  <c r="J4275" i="3"/>
  <c r="J4273" i="3"/>
  <c r="J4555" i="3"/>
  <c r="J4553" i="3"/>
  <c r="J4551" i="3"/>
  <c r="J4549" i="3"/>
  <c r="J4547" i="3"/>
  <c r="J4545" i="3"/>
  <c r="J4543" i="3"/>
  <c r="J4541" i="3"/>
  <c r="J4539" i="3"/>
  <c r="J4537" i="3"/>
  <c r="J4535" i="3"/>
  <c r="J4533" i="3"/>
  <c r="J4531" i="3"/>
  <c r="J4529" i="3"/>
  <c r="J4527" i="3"/>
  <c r="J4525" i="3"/>
  <c r="J4523" i="3"/>
  <c r="J4521" i="3"/>
  <c r="J4519" i="3"/>
  <c r="J4517" i="3"/>
  <c r="J4515" i="3"/>
  <c r="J4513" i="3"/>
  <c r="J4511" i="3"/>
  <c r="G4555" i="3"/>
  <c r="F4555" i="3"/>
  <c r="G4554" i="3"/>
  <c r="F4554" i="3"/>
  <c r="G4553" i="3"/>
  <c r="F4553" i="3"/>
  <c r="G4552" i="3"/>
  <c r="F4552" i="3"/>
  <c r="G4551" i="3"/>
  <c r="F4551" i="3"/>
  <c r="G4550" i="3"/>
  <c r="F4550" i="3"/>
  <c r="G4549" i="3"/>
  <c r="F4549" i="3"/>
  <c r="G4548" i="3"/>
  <c r="F4548" i="3"/>
  <c r="G4547" i="3"/>
  <c r="F4547" i="3"/>
  <c r="G4546" i="3"/>
  <c r="F4546" i="3"/>
  <c r="G4545" i="3"/>
  <c r="F4545" i="3"/>
  <c r="G4544" i="3"/>
  <c r="F4544" i="3"/>
  <c r="G4543" i="3"/>
  <c r="F4543" i="3"/>
  <c r="G4542" i="3"/>
  <c r="F4542" i="3"/>
  <c r="G4541" i="3"/>
  <c r="F4541" i="3"/>
  <c r="G4540" i="3"/>
  <c r="F4540" i="3"/>
  <c r="G4539" i="3"/>
  <c r="F4539" i="3"/>
  <c r="G4538" i="3"/>
  <c r="F4538" i="3"/>
  <c r="G4537" i="3"/>
  <c r="F4537" i="3"/>
  <c r="G4536" i="3"/>
  <c r="F4536" i="3"/>
  <c r="G4535" i="3"/>
  <c r="F4535" i="3"/>
  <c r="G4534" i="3"/>
  <c r="F4534" i="3"/>
  <c r="G4533" i="3"/>
  <c r="F4533" i="3"/>
  <c r="G4532" i="3"/>
  <c r="F4532" i="3"/>
  <c r="G4531" i="3"/>
  <c r="F4531" i="3"/>
  <c r="G4530" i="3"/>
  <c r="F4530" i="3"/>
  <c r="G4529" i="3"/>
  <c r="F4529" i="3"/>
  <c r="G4528" i="3"/>
  <c r="F4528" i="3"/>
  <c r="G4527" i="3"/>
  <c r="F4527" i="3"/>
  <c r="G4526" i="3"/>
  <c r="F4526" i="3"/>
  <c r="G4525" i="3"/>
  <c r="F4525" i="3"/>
  <c r="G4524" i="3"/>
  <c r="F4524" i="3"/>
  <c r="G4523" i="3"/>
  <c r="F4523" i="3"/>
  <c r="G4522" i="3"/>
  <c r="F4522" i="3"/>
  <c r="G4521" i="3"/>
  <c r="F4521" i="3"/>
  <c r="G4520" i="3"/>
  <c r="F4520" i="3"/>
  <c r="G4519" i="3"/>
  <c r="F4519" i="3"/>
  <c r="G4518" i="3"/>
  <c r="F4518" i="3"/>
  <c r="G4517" i="3"/>
  <c r="F4517" i="3"/>
  <c r="G4516" i="3"/>
  <c r="F4516" i="3"/>
  <c r="G4515" i="3"/>
  <c r="F4515" i="3"/>
  <c r="G4514" i="3"/>
  <c r="F4514" i="3"/>
  <c r="G4513" i="3"/>
  <c r="F4513" i="3"/>
  <c r="G4512" i="3"/>
  <c r="F4512" i="3"/>
  <c r="G4511" i="3"/>
  <c r="F4511" i="3"/>
  <c r="G4285" i="3"/>
  <c r="F4285" i="3"/>
  <c r="G4284" i="3"/>
  <c r="F4284" i="3"/>
  <c r="G4283" i="3"/>
  <c r="F4283" i="3"/>
  <c r="G4282" i="3"/>
  <c r="F4282" i="3"/>
  <c r="G4281" i="3"/>
  <c r="F4281" i="3"/>
  <c r="G4280" i="3"/>
  <c r="F4280" i="3"/>
  <c r="G4279" i="3"/>
  <c r="F4279" i="3"/>
  <c r="G4278" i="3"/>
  <c r="F4278" i="3"/>
  <c r="G4277" i="3"/>
  <c r="F4277" i="3"/>
  <c r="G4276" i="3"/>
  <c r="F4276" i="3"/>
  <c r="G4275" i="3"/>
  <c r="F4275" i="3"/>
  <c r="G4274" i="3"/>
  <c r="F4274" i="3"/>
  <c r="G4273" i="3"/>
  <c r="F4273" i="3"/>
  <c r="G4272" i="3"/>
  <c r="F4272" i="3"/>
  <c r="G4271" i="3"/>
  <c r="F4271" i="3"/>
  <c r="J4270" i="3"/>
  <c r="J4268" i="3"/>
  <c r="J4266" i="3"/>
  <c r="J4264" i="3"/>
  <c r="I4262" i="3"/>
  <c r="J4260" i="3"/>
  <c r="I4258" i="3"/>
  <c r="I4256" i="3"/>
  <c r="J4255" i="3"/>
  <c r="J4253" i="3"/>
  <c r="J4251" i="3"/>
  <c r="J4249" i="3"/>
  <c r="J4247" i="3"/>
  <c r="J4245" i="3"/>
  <c r="J4243" i="3"/>
  <c r="J4241" i="3"/>
  <c r="G4270" i="3"/>
  <c r="F4270" i="3"/>
  <c r="G4269" i="3"/>
  <c r="F4269" i="3"/>
  <c r="G4268" i="3"/>
  <c r="F4268" i="3"/>
  <c r="G4267" i="3"/>
  <c r="F4267" i="3"/>
  <c r="G4266" i="3"/>
  <c r="F4266" i="3"/>
  <c r="G4265" i="3"/>
  <c r="F4265" i="3"/>
  <c r="G4264" i="3"/>
  <c r="F4264" i="3"/>
  <c r="G4263" i="3"/>
  <c r="F4263" i="3"/>
  <c r="G4262" i="3"/>
  <c r="F4262" i="3"/>
  <c r="G4261" i="3"/>
  <c r="F4261" i="3"/>
  <c r="G4260" i="3"/>
  <c r="F4260" i="3"/>
  <c r="G4259" i="3"/>
  <c r="F4259" i="3"/>
  <c r="G4258" i="3"/>
  <c r="F4258" i="3"/>
  <c r="G4257" i="3"/>
  <c r="F4257" i="3"/>
  <c r="G4256" i="3"/>
  <c r="F4256" i="3"/>
  <c r="G4255" i="3"/>
  <c r="F4255" i="3"/>
  <c r="G4254" i="3"/>
  <c r="F4254" i="3"/>
  <c r="G4253" i="3"/>
  <c r="F4253" i="3"/>
  <c r="G4252" i="3"/>
  <c r="F4252" i="3"/>
  <c r="G4251" i="3"/>
  <c r="F4251" i="3"/>
  <c r="G4250" i="3"/>
  <c r="F4250" i="3"/>
  <c r="G4249" i="3"/>
  <c r="F4249" i="3"/>
  <c r="G4248" i="3"/>
  <c r="F4248" i="3"/>
  <c r="G4247" i="3"/>
  <c r="F4247" i="3"/>
  <c r="G4246" i="3"/>
  <c r="F4246" i="3"/>
  <c r="G4245" i="3"/>
  <c r="F4245" i="3"/>
  <c r="G4244" i="3"/>
  <c r="F4244" i="3"/>
  <c r="G4243" i="3"/>
  <c r="F4243" i="3"/>
  <c r="G4242" i="3"/>
  <c r="F4242" i="3"/>
  <c r="G4241" i="3"/>
  <c r="F4241" i="3"/>
  <c r="B26" i="102"/>
  <c r="J4226" i="3" s="1"/>
  <c r="G4240" i="3"/>
  <c r="F4240" i="3"/>
  <c r="G4239" i="3"/>
  <c r="F4239" i="3"/>
  <c r="G4238" i="3"/>
  <c r="F4238" i="3"/>
  <c r="G4237" i="3"/>
  <c r="F4237" i="3"/>
  <c r="G4236" i="3"/>
  <c r="F4236" i="3"/>
  <c r="G4235" i="3"/>
  <c r="F4235" i="3"/>
  <c r="G4234" i="3"/>
  <c r="F4234" i="3"/>
  <c r="G4233" i="3"/>
  <c r="F4233" i="3"/>
  <c r="G4232" i="3"/>
  <c r="F4232" i="3"/>
  <c r="G4231" i="3"/>
  <c r="F4231" i="3"/>
  <c r="G4230" i="3"/>
  <c r="F4230" i="3"/>
  <c r="G4229" i="3"/>
  <c r="F4229" i="3"/>
  <c r="G4228" i="3"/>
  <c r="F4228" i="3"/>
  <c r="G4227" i="3"/>
  <c r="F4227" i="3"/>
  <c r="G4226" i="3"/>
  <c r="F4226" i="3"/>
  <c r="G4225" i="3"/>
  <c r="F4225" i="3"/>
  <c r="G4224" i="3"/>
  <c r="F4224" i="3"/>
  <c r="G4223" i="3"/>
  <c r="F4223" i="3"/>
  <c r="G4222" i="3"/>
  <c r="F4222" i="3"/>
  <c r="G4221" i="3"/>
  <c r="F4221" i="3"/>
  <c r="G4220" i="3"/>
  <c r="F4220" i="3"/>
  <c r="G4219" i="3"/>
  <c r="F4219" i="3"/>
  <c r="G4218" i="3"/>
  <c r="F4218" i="3"/>
  <c r="G4217" i="3"/>
  <c r="F4217" i="3"/>
  <c r="G4216" i="3"/>
  <c r="F4216" i="3"/>
  <c r="G4215" i="3"/>
  <c r="F4215" i="3"/>
  <c r="G4214" i="3"/>
  <c r="F4214" i="3"/>
  <c r="G4213" i="3"/>
  <c r="F4213" i="3"/>
  <c r="G4212" i="3"/>
  <c r="F4212" i="3"/>
  <c r="G4211" i="3"/>
  <c r="F4211" i="3"/>
  <c r="G4210" i="3"/>
  <c r="F4210" i="3"/>
  <c r="G4209" i="3"/>
  <c r="F4209" i="3"/>
  <c r="G4208" i="3"/>
  <c r="F4208" i="3"/>
  <c r="G4207" i="3"/>
  <c r="F4207" i="3"/>
  <c r="G4206" i="3"/>
  <c r="F4206" i="3"/>
  <c r="G4205" i="3"/>
  <c r="F4205" i="3"/>
  <c r="G4204" i="3"/>
  <c r="F4204" i="3"/>
  <c r="G4203" i="3"/>
  <c r="F4203" i="3"/>
  <c r="G4202" i="3"/>
  <c r="F4202" i="3"/>
  <c r="G4201" i="3"/>
  <c r="F4201" i="3"/>
  <c r="G4200" i="3"/>
  <c r="F4200" i="3"/>
  <c r="G4199" i="3"/>
  <c r="F4199" i="3"/>
  <c r="G4198" i="3"/>
  <c r="F4198" i="3"/>
  <c r="G4197" i="3"/>
  <c r="F4197" i="3"/>
  <c r="G4196" i="3"/>
  <c r="F4196" i="3"/>
  <c r="J4195" i="3"/>
  <c r="J4194" i="3"/>
  <c r="J4193" i="3"/>
  <c r="J4191" i="3"/>
  <c r="J4189" i="3"/>
  <c r="J4187" i="3"/>
  <c r="J4185" i="3"/>
  <c r="J4183" i="3"/>
  <c r="J4181" i="3"/>
  <c r="J4179" i="3"/>
  <c r="J4177" i="3"/>
  <c r="J4175" i="3"/>
  <c r="J4173" i="3"/>
  <c r="J4171" i="3"/>
  <c r="J4169" i="3"/>
  <c r="J4167" i="3"/>
  <c r="J4165" i="3"/>
  <c r="J4163" i="3"/>
  <c r="J4161" i="3"/>
  <c r="J4159" i="3"/>
  <c r="J4157" i="3"/>
  <c r="J4155" i="3"/>
  <c r="J4153" i="3"/>
  <c r="J4151" i="3"/>
  <c r="G4195" i="3"/>
  <c r="F4195" i="3"/>
  <c r="G4194" i="3"/>
  <c r="F4194" i="3"/>
  <c r="G4193" i="3"/>
  <c r="F4193" i="3"/>
  <c r="G4192" i="3"/>
  <c r="F4192" i="3"/>
  <c r="G4191" i="3"/>
  <c r="F4191" i="3"/>
  <c r="G4190" i="3"/>
  <c r="F4190" i="3"/>
  <c r="G4189" i="3"/>
  <c r="F4189" i="3"/>
  <c r="G4188" i="3"/>
  <c r="F4188" i="3"/>
  <c r="G4187" i="3"/>
  <c r="F4187" i="3"/>
  <c r="G4186" i="3"/>
  <c r="F4186" i="3"/>
  <c r="G4185" i="3"/>
  <c r="F4185" i="3"/>
  <c r="G4184" i="3"/>
  <c r="F4184" i="3"/>
  <c r="G4183" i="3"/>
  <c r="F4183" i="3"/>
  <c r="G4182" i="3"/>
  <c r="F4182" i="3"/>
  <c r="G4181" i="3"/>
  <c r="F4181" i="3"/>
  <c r="G4180" i="3"/>
  <c r="F4180" i="3"/>
  <c r="G4179" i="3"/>
  <c r="F4179" i="3"/>
  <c r="G4178" i="3"/>
  <c r="F4178" i="3"/>
  <c r="G4177" i="3"/>
  <c r="F4177" i="3"/>
  <c r="G4176" i="3"/>
  <c r="F4176" i="3"/>
  <c r="G4175" i="3"/>
  <c r="F4175" i="3"/>
  <c r="G4174" i="3"/>
  <c r="F4174" i="3"/>
  <c r="G4173" i="3"/>
  <c r="F4173" i="3"/>
  <c r="G4172" i="3"/>
  <c r="F4172" i="3"/>
  <c r="G4171" i="3"/>
  <c r="F4171" i="3"/>
  <c r="G4170" i="3"/>
  <c r="F4170" i="3"/>
  <c r="G4169" i="3"/>
  <c r="F4169" i="3"/>
  <c r="G4168" i="3"/>
  <c r="F4168" i="3"/>
  <c r="G4167" i="3"/>
  <c r="F4167" i="3"/>
  <c r="G4166" i="3"/>
  <c r="F4166" i="3"/>
  <c r="G4165" i="3"/>
  <c r="F4165" i="3"/>
  <c r="G4164" i="3"/>
  <c r="F4164" i="3"/>
  <c r="G4163" i="3"/>
  <c r="F4163" i="3"/>
  <c r="G4162" i="3"/>
  <c r="F4162" i="3"/>
  <c r="G4161" i="3"/>
  <c r="F4161" i="3"/>
  <c r="G4160" i="3"/>
  <c r="F4160" i="3"/>
  <c r="G4159" i="3"/>
  <c r="F4159" i="3"/>
  <c r="G4158" i="3"/>
  <c r="F4158" i="3"/>
  <c r="G4157" i="3"/>
  <c r="F4157" i="3"/>
  <c r="G4156" i="3"/>
  <c r="F4156" i="3"/>
  <c r="G4155" i="3"/>
  <c r="F4155" i="3"/>
  <c r="G4154" i="3"/>
  <c r="F4154" i="3"/>
  <c r="G4153" i="3"/>
  <c r="F4153" i="3"/>
  <c r="G4152" i="3"/>
  <c r="F4152" i="3"/>
  <c r="G4151" i="3"/>
  <c r="F4151" i="3"/>
  <c r="B25" i="102"/>
  <c r="G4150" i="3"/>
  <c r="F4150" i="3"/>
  <c r="G4149" i="3"/>
  <c r="F4149" i="3"/>
  <c r="G4148" i="3"/>
  <c r="F4148" i="3"/>
  <c r="G4147" i="3"/>
  <c r="F4147" i="3"/>
  <c r="G4146" i="3"/>
  <c r="F4146" i="3"/>
  <c r="G4145" i="3"/>
  <c r="F4145" i="3"/>
  <c r="G4144" i="3"/>
  <c r="F4144" i="3"/>
  <c r="G4143" i="3"/>
  <c r="F4143" i="3"/>
  <c r="G4142" i="3"/>
  <c r="F4142" i="3"/>
  <c r="G4141" i="3"/>
  <c r="F4141" i="3"/>
  <c r="G4140" i="3"/>
  <c r="F4140" i="3"/>
  <c r="G4139" i="3"/>
  <c r="F4139" i="3"/>
  <c r="G4138" i="3"/>
  <c r="F4138" i="3"/>
  <c r="G4137" i="3"/>
  <c r="F4137" i="3"/>
  <c r="G4136" i="3"/>
  <c r="F4136" i="3"/>
  <c r="G4135" i="3"/>
  <c r="F4135" i="3"/>
  <c r="G4134" i="3"/>
  <c r="F4134" i="3"/>
  <c r="G4133" i="3"/>
  <c r="F4133" i="3"/>
  <c r="G4132" i="3"/>
  <c r="F4132" i="3"/>
  <c r="G4131" i="3"/>
  <c r="F4131" i="3"/>
  <c r="G4130" i="3"/>
  <c r="F4130" i="3"/>
  <c r="G4129" i="3"/>
  <c r="F4129" i="3"/>
  <c r="G4128" i="3"/>
  <c r="F4128" i="3"/>
  <c r="G4127" i="3"/>
  <c r="F4127" i="3"/>
  <c r="G4126" i="3"/>
  <c r="F4126" i="3"/>
  <c r="G4125" i="3"/>
  <c r="F4125" i="3"/>
  <c r="G4124" i="3"/>
  <c r="F4124" i="3"/>
  <c r="G4123" i="3"/>
  <c r="F4123" i="3"/>
  <c r="G4122" i="3"/>
  <c r="F4122" i="3"/>
  <c r="G4121" i="3"/>
  <c r="F4121" i="3"/>
  <c r="G4120" i="3"/>
  <c r="F4120" i="3"/>
  <c r="G4119" i="3"/>
  <c r="F4119" i="3"/>
  <c r="G4118" i="3"/>
  <c r="F4118" i="3"/>
  <c r="G4117" i="3"/>
  <c r="F4117" i="3"/>
  <c r="G4116" i="3"/>
  <c r="F4116" i="3"/>
  <c r="G4115" i="3"/>
  <c r="F4115" i="3"/>
  <c r="G4114" i="3"/>
  <c r="F4114" i="3"/>
  <c r="G4113" i="3"/>
  <c r="F4113" i="3"/>
  <c r="G4112" i="3"/>
  <c r="F4112" i="3"/>
  <c r="G4111" i="3"/>
  <c r="F4111" i="3"/>
  <c r="G4110" i="3"/>
  <c r="F4110" i="3"/>
  <c r="G4109" i="3"/>
  <c r="F4109" i="3"/>
  <c r="G4108" i="3"/>
  <c r="F4108" i="3"/>
  <c r="G4107" i="3"/>
  <c r="F4107" i="3"/>
  <c r="G4106" i="3"/>
  <c r="F4106" i="3"/>
  <c r="G4105" i="3"/>
  <c r="F4105" i="3"/>
  <c r="G4104" i="3"/>
  <c r="F4104" i="3"/>
  <c r="G4103" i="3"/>
  <c r="F4103" i="3"/>
  <c r="G4102" i="3"/>
  <c r="F4102" i="3"/>
  <c r="G4101" i="3"/>
  <c r="F4101" i="3"/>
  <c r="G4100" i="3"/>
  <c r="F4100" i="3"/>
  <c r="G4099" i="3"/>
  <c r="F4099" i="3"/>
  <c r="G4098" i="3"/>
  <c r="F4098" i="3"/>
  <c r="G4097" i="3"/>
  <c r="F4097" i="3"/>
  <c r="G4096" i="3"/>
  <c r="F4096" i="3"/>
  <c r="G4095" i="3"/>
  <c r="F4095" i="3"/>
  <c r="G4094" i="3"/>
  <c r="F4094" i="3"/>
  <c r="G4093" i="3"/>
  <c r="F4093" i="3"/>
  <c r="G4092" i="3"/>
  <c r="F4092" i="3"/>
  <c r="G4091" i="3"/>
  <c r="F4091" i="3"/>
  <c r="F3851" i="3"/>
  <c r="G3851" i="3"/>
  <c r="F3852" i="3"/>
  <c r="G3852" i="3"/>
  <c r="F3853" i="3"/>
  <c r="G3853" i="3"/>
  <c r="F3854" i="3"/>
  <c r="G3854" i="3"/>
  <c r="F3855" i="3"/>
  <c r="G3855" i="3"/>
  <c r="F3856" i="3"/>
  <c r="G3856" i="3"/>
  <c r="F3857" i="3"/>
  <c r="G3857" i="3"/>
  <c r="F3858" i="3"/>
  <c r="G3858" i="3"/>
  <c r="F3859" i="3"/>
  <c r="G3859" i="3"/>
  <c r="F3860" i="3"/>
  <c r="G3860" i="3"/>
  <c r="F3861" i="3"/>
  <c r="G3861" i="3"/>
  <c r="F3862" i="3"/>
  <c r="G3862" i="3"/>
  <c r="F3863" i="3"/>
  <c r="G3863" i="3"/>
  <c r="F3864" i="3"/>
  <c r="G3864" i="3"/>
  <c r="F3865" i="3"/>
  <c r="G3865" i="3"/>
  <c r="G3310" i="3"/>
  <c r="F3310" i="3"/>
  <c r="G3309" i="3"/>
  <c r="F3309" i="3"/>
  <c r="G3308" i="3"/>
  <c r="F3308" i="3"/>
  <c r="G3307" i="3"/>
  <c r="F3307" i="3"/>
  <c r="G3306" i="3"/>
  <c r="F3306" i="3"/>
  <c r="G3305" i="3"/>
  <c r="F3305" i="3"/>
  <c r="G3304" i="3"/>
  <c r="F3304" i="3"/>
  <c r="G3303" i="3"/>
  <c r="F3303" i="3"/>
  <c r="G3302" i="3"/>
  <c r="F3302" i="3"/>
  <c r="G3301" i="3"/>
  <c r="F3301" i="3"/>
  <c r="G3300" i="3"/>
  <c r="F3300" i="3"/>
  <c r="G3299" i="3"/>
  <c r="F3299" i="3"/>
  <c r="G3298" i="3"/>
  <c r="F3298" i="3"/>
  <c r="G3297" i="3"/>
  <c r="F3297" i="3"/>
  <c r="G3296" i="3"/>
  <c r="F3296" i="3"/>
  <c r="B10" i="102"/>
  <c r="B12" i="102"/>
  <c r="G3295" i="3"/>
  <c r="F3295" i="3"/>
  <c r="G3294" i="3"/>
  <c r="F3294" i="3"/>
  <c r="G3293" i="3"/>
  <c r="F3293" i="3"/>
  <c r="G3292" i="3"/>
  <c r="F3292" i="3"/>
  <c r="G3291" i="3"/>
  <c r="F3291" i="3"/>
  <c r="G3290" i="3"/>
  <c r="F3290" i="3"/>
  <c r="G3289" i="3"/>
  <c r="F3289" i="3"/>
  <c r="G3288" i="3"/>
  <c r="F3288" i="3"/>
  <c r="G3287" i="3"/>
  <c r="F3287" i="3"/>
  <c r="G3286" i="3"/>
  <c r="F3286" i="3"/>
  <c r="G3285" i="3"/>
  <c r="F3285" i="3"/>
  <c r="G3284" i="3"/>
  <c r="F3284" i="3"/>
  <c r="G3283" i="3"/>
  <c r="F3283" i="3"/>
  <c r="G3282" i="3"/>
  <c r="F3282" i="3"/>
  <c r="G3281" i="3"/>
  <c r="F3281" i="3"/>
  <c r="G3280" i="3"/>
  <c r="F3280" i="3"/>
  <c r="G3279" i="3"/>
  <c r="F3279" i="3"/>
  <c r="G3278" i="3"/>
  <c r="F3278" i="3"/>
  <c r="G3277" i="3"/>
  <c r="F3277" i="3"/>
  <c r="G3276" i="3"/>
  <c r="F3276" i="3"/>
  <c r="G3275" i="3"/>
  <c r="F3275" i="3"/>
  <c r="G3274" i="3"/>
  <c r="F3274" i="3"/>
  <c r="G3273" i="3"/>
  <c r="F3273" i="3"/>
  <c r="G3272" i="3"/>
  <c r="F3272" i="3"/>
  <c r="G3271" i="3"/>
  <c r="F3271" i="3"/>
  <c r="G3270" i="3"/>
  <c r="F3270" i="3"/>
  <c r="G3269" i="3"/>
  <c r="F3269" i="3"/>
  <c r="G3268" i="3"/>
  <c r="F3268" i="3"/>
  <c r="G3267" i="3"/>
  <c r="F3267" i="3"/>
  <c r="G3266" i="3"/>
  <c r="F3266" i="3"/>
  <c r="G3265" i="3"/>
  <c r="F3265" i="3"/>
  <c r="G3264" i="3"/>
  <c r="F3264" i="3"/>
  <c r="G3263" i="3"/>
  <c r="F3263" i="3"/>
  <c r="G3262" i="3"/>
  <c r="F3262" i="3"/>
  <c r="G3261" i="3"/>
  <c r="F3261" i="3"/>
  <c r="G3260" i="3"/>
  <c r="F3260" i="3"/>
  <c r="G3259" i="3"/>
  <c r="F3259" i="3"/>
  <c r="G3258" i="3"/>
  <c r="F3258" i="3"/>
  <c r="G3257" i="3"/>
  <c r="F3257" i="3"/>
  <c r="G3256" i="3"/>
  <c r="F3256" i="3"/>
  <c r="G3255" i="3"/>
  <c r="F3255" i="3"/>
  <c r="G3254" i="3"/>
  <c r="F3254" i="3"/>
  <c r="G3253" i="3"/>
  <c r="F3253" i="3"/>
  <c r="G3252" i="3"/>
  <c r="F3252" i="3"/>
  <c r="G3251" i="3"/>
  <c r="F3251" i="3"/>
  <c r="D42" i="133" a="1"/>
  <c r="F53" i="133" a="1"/>
  <c r="D38" i="133" a="1"/>
  <c r="D63" i="133" a="1"/>
  <c r="F58" i="133" a="1"/>
  <c r="D26" i="133" a="1"/>
  <c r="F54" i="133" a="1"/>
  <c r="F4" i="133" a="1"/>
  <c r="D45" i="133" a="1"/>
  <c r="D40" i="133" a="1"/>
  <c r="F47" i="133" a="1"/>
  <c r="F63" i="133" a="1"/>
  <c r="D48" i="133" a="1"/>
  <c r="E47" i="133" a="1"/>
  <c r="E4" i="133" a="1"/>
  <c r="E58" i="133" a="1"/>
  <c r="D17" i="133" a="1"/>
  <c r="F52" i="133" a="1"/>
  <c r="F44" i="133" a="1"/>
  <c r="E52" i="133" a="1"/>
  <c r="F57" i="133" a="1"/>
  <c r="E63" i="133" a="1"/>
  <c r="F61" i="133" a="1"/>
  <c r="F51" i="133" a="1"/>
  <c r="F45" i="133" a="1"/>
  <c r="E62" i="133" a="1"/>
  <c r="E53" i="133" a="1"/>
  <c r="E61" i="133" a="1"/>
  <c r="D32" i="133" a="1"/>
  <c r="D60" i="133" a="1"/>
  <c r="F62" i="133" a="1"/>
  <c r="E51" i="133" a="1"/>
  <c r="D4121" i="3" a="1"/>
  <c r="D2284" i="3" a="1"/>
  <c r="D4091" i="3" a="1"/>
  <c r="D3131" i="3" a="1"/>
  <c r="D4106" i="3" a="1"/>
  <c r="D4136" i="3" a="1"/>
  <c r="D3176" i="3" a="1"/>
  <c r="D2329" i="3" a="1"/>
  <c r="D2314" i="3" a="1"/>
  <c r="D3266" i="3" a="1"/>
  <c r="D3281" i="3" a="1"/>
  <c r="D3161" i="3" a="1"/>
  <c r="D3251" i="3" a="1"/>
  <c r="D3146" i="3" a="1"/>
  <c r="D2299" i="3" a="1"/>
  <c r="D4106" i="3" l="1"/>
  <c r="J4106" i="3" s="1"/>
  <c r="D4121" i="3"/>
  <c r="H4121" i="3" s="1"/>
  <c r="D4136" i="3"/>
  <c r="J4136" i="3" s="1"/>
  <c r="D4091" i="3"/>
  <c r="H4091" i="3" s="1"/>
  <c r="C30" i="117"/>
  <c r="B20" i="76" s="1"/>
  <c r="D20" i="76" s="1"/>
  <c r="F54" i="133"/>
  <c r="F47" i="133"/>
  <c r="F44" i="133"/>
  <c r="F61" i="133"/>
  <c r="F51" i="133"/>
  <c r="F45" i="133"/>
  <c r="F62" i="133"/>
  <c r="F4" i="133"/>
  <c r="F63" i="133"/>
  <c r="F57" i="133"/>
  <c r="F58" i="133"/>
  <c r="F53" i="133"/>
  <c r="F52" i="133"/>
  <c r="E53" i="133"/>
  <c r="E4" i="133"/>
  <c r="E62" i="133"/>
  <c r="E52" i="133"/>
  <c r="E61" i="133"/>
  <c r="E51" i="133"/>
  <c r="E47" i="133"/>
  <c r="E58" i="133"/>
  <c r="E63" i="133"/>
  <c r="D48" i="133"/>
  <c r="D32" i="133"/>
  <c r="H15" i="195" s="1"/>
  <c r="K15" i="195" s="1"/>
  <c r="D17" i="133"/>
  <c r="I7" i="195" s="1"/>
  <c r="L7" i="195" s="1"/>
  <c r="F23" i="195" s="1"/>
  <c r="D45" i="133"/>
  <c r="D46" i="133" s="1"/>
  <c r="D26" i="133"/>
  <c r="H12" i="195" s="1"/>
  <c r="K12" i="195" s="1"/>
  <c r="E28" i="195" s="1"/>
  <c r="D63" i="133"/>
  <c r="D42" i="133"/>
  <c r="H21" i="195" s="1"/>
  <c r="K21" i="195" s="1"/>
  <c r="D60" i="133"/>
  <c r="D38" i="133"/>
  <c r="H19" i="195" s="1"/>
  <c r="D40" i="133"/>
  <c r="H20" i="195" s="1"/>
  <c r="K20" i="195" s="1"/>
  <c r="D3266" i="3"/>
  <c r="J3266" i="3" s="1"/>
  <c r="D3251" i="3"/>
  <c r="J3251" i="3" s="1"/>
  <c r="D3281" i="3"/>
  <c r="J3281" i="3" s="1"/>
  <c r="D3131" i="3"/>
  <c r="D3176" i="3"/>
  <c r="D3161" i="3"/>
  <c r="D3146" i="3"/>
  <c r="C8" i="117"/>
  <c r="C46" i="133"/>
  <c r="I14" i="195"/>
  <c r="L14" i="195" s="1"/>
  <c r="H14" i="195"/>
  <c r="I46" i="133"/>
  <c r="N46" i="133"/>
  <c r="M46" i="133"/>
  <c r="L46" i="133"/>
  <c r="G46" i="133"/>
  <c r="K46" i="133"/>
  <c r="E46" i="133"/>
  <c r="O46" i="133"/>
  <c r="P46" i="133"/>
  <c r="J46" i="133"/>
  <c r="H46" i="133"/>
  <c r="Q46" i="133"/>
  <c r="I21" i="195"/>
  <c r="L21" i="195" s="1"/>
  <c r="F36" i="195" s="1"/>
  <c r="I20" i="195"/>
  <c r="L20" i="195" s="1"/>
  <c r="F35" i="195" s="1"/>
  <c r="I19" i="195"/>
  <c r="I18" i="195"/>
  <c r="L18" i="195" s="1"/>
  <c r="C18" i="76" s="1"/>
  <c r="H18" i="195"/>
  <c r="K18" i="195" s="1"/>
  <c r="B18" i="76" s="1"/>
  <c r="I16" i="195"/>
  <c r="L16" i="195" s="1"/>
  <c r="F31" i="195" s="1"/>
  <c r="H16" i="195"/>
  <c r="K16" i="195" s="1"/>
  <c r="E31" i="195" s="1"/>
  <c r="I15" i="195"/>
  <c r="L15" i="195" s="1"/>
  <c r="F30" i="195" s="1"/>
  <c r="I13" i="195"/>
  <c r="L13" i="195" s="1"/>
  <c r="F29" i="195" s="1"/>
  <c r="H13" i="195"/>
  <c r="K13" i="195" s="1"/>
  <c r="E29" i="195" s="1"/>
  <c r="I12" i="195"/>
  <c r="L12" i="195" s="1"/>
  <c r="F28" i="195" s="1"/>
  <c r="I11" i="195"/>
  <c r="L11" i="195" s="1"/>
  <c r="F27" i="195" s="1"/>
  <c r="H11" i="195"/>
  <c r="K11" i="195" s="1"/>
  <c r="E27" i="195" s="1"/>
  <c r="I10" i="195"/>
  <c r="L10" i="195" s="1"/>
  <c r="F26" i="195" s="1"/>
  <c r="H10" i="195"/>
  <c r="K10" i="195" s="1"/>
  <c r="E26" i="195" s="1"/>
  <c r="I9" i="195"/>
  <c r="L9" i="195" s="1"/>
  <c r="F25" i="195" s="1"/>
  <c r="H9" i="195"/>
  <c r="K9" i="195" s="1"/>
  <c r="E25" i="195" s="1"/>
  <c r="I8" i="195"/>
  <c r="L8" i="195" s="1"/>
  <c r="F24" i="195" s="1"/>
  <c r="H8" i="195"/>
  <c r="K8" i="195" s="1"/>
  <c r="H7" i="195"/>
  <c r="K7" i="195" s="1"/>
  <c r="E23" i="195" s="1"/>
  <c r="D2329" i="3"/>
  <c r="D2284" i="3"/>
  <c r="D2299" i="3"/>
  <c r="D2314" i="3"/>
  <c r="C10" i="117"/>
  <c r="J4406" i="3"/>
  <c r="J4436" i="3"/>
  <c r="J4451" i="3"/>
  <c r="H4623" i="3"/>
  <c r="C38" i="117"/>
  <c r="H4635" i="3"/>
  <c r="H4641" i="3"/>
  <c r="H4616" i="3"/>
  <c r="H4637" i="3"/>
  <c r="H4636" i="3"/>
  <c r="H4625" i="3"/>
  <c r="H4578" i="3"/>
  <c r="H4590" i="3"/>
  <c r="H4627" i="3"/>
  <c r="H4639" i="3"/>
  <c r="H4626" i="3"/>
  <c r="H4621" i="3"/>
  <c r="H4154" i="3"/>
  <c r="H4166" i="3"/>
  <c r="H4178" i="3"/>
  <c r="H4602" i="3"/>
  <c r="H4377" i="3"/>
  <c r="H4170" i="3"/>
  <c r="H4273" i="3"/>
  <c r="H4481" i="3"/>
  <c r="H4182" i="3"/>
  <c r="H4617" i="3"/>
  <c r="H4634" i="3"/>
  <c r="H4624" i="3"/>
  <c r="H4158" i="3"/>
  <c r="H4469" i="3"/>
  <c r="H4493" i="3"/>
  <c r="H4505" i="3"/>
  <c r="H4614" i="3"/>
  <c r="H4574" i="3"/>
  <c r="H4388" i="3"/>
  <c r="H4598" i="3"/>
  <c r="H4561" i="3"/>
  <c r="H4174" i="3"/>
  <c r="H4186" i="3"/>
  <c r="H4628" i="3"/>
  <c r="H4633" i="3"/>
  <c r="H4244" i="3"/>
  <c r="J4256" i="3"/>
  <c r="H4645" i="3"/>
  <c r="H4640" i="3"/>
  <c r="H4371" i="3"/>
  <c r="H4383" i="3"/>
  <c r="H4248" i="3"/>
  <c r="H4372" i="3"/>
  <c r="I4260" i="3"/>
  <c r="H4395" i="3"/>
  <c r="H4281" i="3"/>
  <c r="H4518" i="3"/>
  <c r="H4387" i="3"/>
  <c r="H4404" i="3"/>
  <c r="H4538" i="3"/>
  <c r="H4514" i="3"/>
  <c r="H4550" i="3"/>
  <c r="H4252" i="3"/>
  <c r="H4526" i="3"/>
  <c r="H4557" i="3"/>
  <c r="H4546" i="3"/>
  <c r="H4393" i="3"/>
  <c r="H4368" i="3"/>
  <c r="H4405" i="3"/>
  <c r="H4379" i="3"/>
  <c r="H4194" i="3"/>
  <c r="H4275" i="3"/>
  <c r="H4369" i="3"/>
  <c r="H4380" i="3"/>
  <c r="H4629" i="3"/>
  <c r="H4391" i="3"/>
  <c r="H4276" i="3"/>
  <c r="H4522" i="3"/>
  <c r="H4381" i="3"/>
  <c r="H4392" i="3"/>
  <c r="H4367" i="3"/>
  <c r="H4403" i="3"/>
  <c r="H4642" i="3"/>
  <c r="H4554" i="3"/>
  <c r="H4162" i="3"/>
  <c r="H4364" i="3"/>
  <c r="H4582" i="3"/>
  <c r="H4618" i="3"/>
  <c r="H4530" i="3"/>
  <c r="H4389" i="3"/>
  <c r="H4399" i="3"/>
  <c r="H4363" i="3"/>
  <c r="H4365" i="3"/>
  <c r="H4375" i="3"/>
  <c r="H4400" i="3"/>
  <c r="H4606" i="3"/>
  <c r="H4567" i="3"/>
  <c r="H4376" i="3"/>
  <c r="H4594" i="3"/>
  <c r="H4542" i="3"/>
  <c r="H4396" i="3"/>
  <c r="H4401" i="3"/>
  <c r="H4196" i="3"/>
  <c r="C32" i="117"/>
  <c r="H4501" i="3"/>
  <c r="H4565" i="3"/>
  <c r="H4373" i="3"/>
  <c r="H4397" i="3"/>
  <c r="H4477" i="3"/>
  <c r="H4644" i="3"/>
  <c r="H4283" i="3"/>
  <c r="H4620" i="3"/>
  <c r="H4284" i="3"/>
  <c r="H4631" i="3"/>
  <c r="H4361" i="3"/>
  <c r="H4385" i="3"/>
  <c r="H4489" i="3"/>
  <c r="H4509" i="3"/>
  <c r="H4632" i="3"/>
  <c r="H4485" i="3"/>
  <c r="H4643" i="3"/>
  <c r="H4619" i="3"/>
  <c r="H4384" i="3"/>
  <c r="H4586" i="3"/>
  <c r="H4610" i="3"/>
  <c r="H4534" i="3"/>
  <c r="H4473" i="3"/>
  <c r="H4497" i="3"/>
  <c r="H4265" i="3"/>
  <c r="H4483" i="3"/>
  <c r="H4507" i="3"/>
  <c r="H4366" i="3"/>
  <c r="H4390" i="3"/>
  <c r="H4402" i="3"/>
  <c r="H4499" i="3"/>
  <c r="H4608" i="3"/>
  <c r="H4516" i="3"/>
  <c r="H4528" i="3"/>
  <c r="H4540" i="3"/>
  <c r="H4552" i="3"/>
  <c r="H4569" i="3"/>
  <c r="H4622" i="3"/>
  <c r="H4282" i="3"/>
  <c r="H4475" i="3"/>
  <c r="H4487" i="3"/>
  <c r="H4559" i="3"/>
  <c r="H4370" i="3"/>
  <c r="H4382" i="3"/>
  <c r="H4394" i="3"/>
  <c r="H4580" i="3"/>
  <c r="H4592" i="3"/>
  <c r="H4604" i="3"/>
  <c r="H4520" i="3"/>
  <c r="H4532" i="3"/>
  <c r="H4544" i="3"/>
  <c r="H4436" i="3"/>
  <c r="H4638" i="3"/>
  <c r="H4274" i="3"/>
  <c r="H4467" i="3"/>
  <c r="H4479" i="3"/>
  <c r="H4491" i="3"/>
  <c r="H4503" i="3"/>
  <c r="H4269" i="3"/>
  <c r="H4563" i="3"/>
  <c r="H4362" i="3"/>
  <c r="H4374" i="3"/>
  <c r="H4386" i="3"/>
  <c r="H4398" i="3"/>
  <c r="H4572" i="3"/>
  <c r="H4584" i="3"/>
  <c r="H4596" i="3"/>
  <c r="H4512" i="3"/>
  <c r="H4524" i="3"/>
  <c r="H4536" i="3"/>
  <c r="H4548" i="3"/>
  <c r="H4471" i="3"/>
  <c r="H4495" i="3"/>
  <c r="H4378" i="3"/>
  <c r="H4576" i="3"/>
  <c r="H4588" i="3"/>
  <c r="H4600" i="3"/>
  <c r="H4612" i="3"/>
  <c r="I4618" i="3"/>
  <c r="I4628" i="3"/>
  <c r="I4638" i="3"/>
  <c r="I4642" i="3"/>
  <c r="J4616" i="3"/>
  <c r="J4618" i="3"/>
  <c r="J4620" i="3"/>
  <c r="J4622" i="3"/>
  <c r="J4624" i="3"/>
  <c r="J4626" i="3"/>
  <c r="J4628" i="3"/>
  <c r="J4630" i="3"/>
  <c r="J4632" i="3"/>
  <c r="J4634" i="3"/>
  <c r="J4636" i="3"/>
  <c r="J4638" i="3"/>
  <c r="J4640" i="3"/>
  <c r="J4642" i="3"/>
  <c r="J4644" i="3"/>
  <c r="I4622" i="3"/>
  <c r="I4624" i="3"/>
  <c r="I4626" i="3"/>
  <c r="I4632" i="3"/>
  <c r="I4636" i="3"/>
  <c r="I4640" i="3"/>
  <c r="I4617" i="3"/>
  <c r="I4619" i="3"/>
  <c r="I4621" i="3"/>
  <c r="I4623" i="3"/>
  <c r="I4625" i="3"/>
  <c r="I4627" i="3"/>
  <c r="I4629" i="3"/>
  <c r="I4633" i="3"/>
  <c r="I4635" i="3"/>
  <c r="I4637" i="3"/>
  <c r="I4639" i="3"/>
  <c r="I4641" i="3"/>
  <c r="I4643" i="3"/>
  <c r="I4645" i="3"/>
  <c r="I4620" i="3"/>
  <c r="I4634" i="3"/>
  <c r="I4644" i="3"/>
  <c r="I4572" i="3"/>
  <c r="I4588" i="3"/>
  <c r="I4590" i="3"/>
  <c r="I4594" i="3"/>
  <c r="I4600" i="3"/>
  <c r="I4604" i="3"/>
  <c r="I4612" i="3"/>
  <c r="H4571" i="3"/>
  <c r="J4572" i="3"/>
  <c r="H4573" i="3"/>
  <c r="J4574" i="3"/>
  <c r="H4575" i="3"/>
  <c r="J4576" i="3"/>
  <c r="H4577" i="3"/>
  <c r="J4578" i="3"/>
  <c r="H4579" i="3"/>
  <c r="J4580" i="3"/>
  <c r="H4581" i="3"/>
  <c r="J4582" i="3"/>
  <c r="H4583" i="3"/>
  <c r="J4584" i="3"/>
  <c r="H4585" i="3"/>
  <c r="J4586" i="3"/>
  <c r="H4587" i="3"/>
  <c r="J4588" i="3"/>
  <c r="H4589" i="3"/>
  <c r="J4590" i="3"/>
  <c r="H4591" i="3"/>
  <c r="J4592" i="3"/>
  <c r="H4593" i="3"/>
  <c r="J4594" i="3"/>
  <c r="H4595" i="3"/>
  <c r="J4596" i="3"/>
  <c r="H4597" i="3"/>
  <c r="J4598" i="3"/>
  <c r="H4599" i="3"/>
  <c r="J4600" i="3"/>
  <c r="H4601" i="3"/>
  <c r="J4602" i="3"/>
  <c r="H4603" i="3"/>
  <c r="J4604" i="3"/>
  <c r="H4605" i="3"/>
  <c r="J4606" i="3"/>
  <c r="H4607" i="3"/>
  <c r="J4608" i="3"/>
  <c r="H4609" i="3"/>
  <c r="J4610" i="3"/>
  <c r="H4611" i="3"/>
  <c r="J4612" i="3"/>
  <c r="H4613" i="3"/>
  <c r="J4614" i="3"/>
  <c r="H4615" i="3"/>
  <c r="I4584" i="3"/>
  <c r="I4596" i="3"/>
  <c r="I4598" i="3"/>
  <c r="I4608" i="3"/>
  <c r="I4610" i="3"/>
  <c r="I4571" i="3"/>
  <c r="I4573" i="3"/>
  <c r="I4575" i="3"/>
  <c r="I4577" i="3"/>
  <c r="I4579" i="3"/>
  <c r="I4581" i="3"/>
  <c r="I4583" i="3"/>
  <c r="I4585" i="3"/>
  <c r="I4587" i="3"/>
  <c r="I4589" i="3"/>
  <c r="I4591" i="3"/>
  <c r="I4593" i="3"/>
  <c r="I4595" i="3"/>
  <c r="I4597" i="3"/>
  <c r="I4599" i="3"/>
  <c r="I4601" i="3"/>
  <c r="I4603" i="3"/>
  <c r="I4605" i="3"/>
  <c r="I4607" i="3"/>
  <c r="I4609" i="3"/>
  <c r="I4611" i="3"/>
  <c r="I4613" i="3"/>
  <c r="I4615" i="3"/>
  <c r="I4574" i="3"/>
  <c r="I4576" i="3"/>
  <c r="I4578" i="3"/>
  <c r="I4580" i="3"/>
  <c r="I4582" i="3"/>
  <c r="I4586" i="3"/>
  <c r="I4592" i="3"/>
  <c r="I4602" i="3"/>
  <c r="I4606" i="3"/>
  <c r="I4614" i="3"/>
  <c r="I4467" i="3"/>
  <c r="I4473" i="3"/>
  <c r="I4477" i="3"/>
  <c r="I4479" i="3"/>
  <c r="I4483" i="3"/>
  <c r="I4493" i="3"/>
  <c r="H4466" i="3"/>
  <c r="J4467" i="3"/>
  <c r="H4468" i="3"/>
  <c r="J4469" i="3"/>
  <c r="H4470" i="3"/>
  <c r="J4471" i="3"/>
  <c r="H4472" i="3"/>
  <c r="J4473" i="3"/>
  <c r="H4474" i="3"/>
  <c r="J4475" i="3"/>
  <c r="H4476" i="3"/>
  <c r="J4477" i="3"/>
  <c r="H4478" i="3"/>
  <c r="J4479" i="3"/>
  <c r="H4480" i="3"/>
  <c r="J4481" i="3"/>
  <c r="H4482" i="3"/>
  <c r="J4483" i="3"/>
  <c r="H4484" i="3"/>
  <c r="J4485" i="3"/>
  <c r="H4486" i="3"/>
  <c r="J4487" i="3"/>
  <c r="H4488" i="3"/>
  <c r="J4489" i="3"/>
  <c r="H4490" i="3"/>
  <c r="J4491" i="3"/>
  <c r="H4492" i="3"/>
  <c r="J4493" i="3"/>
  <c r="H4494" i="3"/>
  <c r="J4495" i="3"/>
  <c r="H4496" i="3"/>
  <c r="J4497" i="3"/>
  <c r="H4498" i="3"/>
  <c r="J4499" i="3"/>
  <c r="H4500" i="3"/>
  <c r="J4501" i="3"/>
  <c r="H4502" i="3"/>
  <c r="J4503" i="3"/>
  <c r="H4504" i="3"/>
  <c r="J4505" i="3"/>
  <c r="H4506" i="3"/>
  <c r="J4507" i="3"/>
  <c r="H4508" i="3"/>
  <c r="J4509" i="3"/>
  <c r="H4510" i="3"/>
  <c r="I4471" i="3"/>
  <c r="I4475" i="3"/>
  <c r="I4481" i="3"/>
  <c r="I4485" i="3"/>
  <c r="I4489" i="3"/>
  <c r="I4497" i="3"/>
  <c r="I4501" i="3"/>
  <c r="I4503" i="3"/>
  <c r="I4507" i="3"/>
  <c r="I4466" i="3"/>
  <c r="I4468" i="3"/>
  <c r="I4470" i="3"/>
  <c r="I4472" i="3"/>
  <c r="I4474" i="3"/>
  <c r="I4476" i="3"/>
  <c r="I4478" i="3"/>
  <c r="I4480" i="3"/>
  <c r="I4482" i="3"/>
  <c r="I4484" i="3"/>
  <c r="I4486" i="3"/>
  <c r="I4488" i="3"/>
  <c r="I4490" i="3"/>
  <c r="I4492" i="3"/>
  <c r="I4494" i="3"/>
  <c r="I4496" i="3"/>
  <c r="I4498" i="3"/>
  <c r="I4500" i="3"/>
  <c r="I4502" i="3"/>
  <c r="I4504" i="3"/>
  <c r="I4506" i="3"/>
  <c r="I4508" i="3"/>
  <c r="I4510" i="3"/>
  <c r="I4469" i="3"/>
  <c r="I4487" i="3"/>
  <c r="I4491" i="3"/>
  <c r="I4495" i="3"/>
  <c r="I4499" i="3"/>
  <c r="I4505" i="3"/>
  <c r="I4509" i="3"/>
  <c r="H4421" i="3"/>
  <c r="J4421" i="3"/>
  <c r="I4406" i="3"/>
  <c r="I4436" i="3"/>
  <c r="I4421" i="3"/>
  <c r="I4362" i="3"/>
  <c r="I4364" i="3"/>
  <c r="I4366" i="3"/>
  <c r="I4368" i="3"/>
  <c r="I4370" i="3"/>
  <c r="I4372" i="3"/>
  <c r="I4374" i="3"/>
  <c r="I4376" i="3"/>
  <c r="I4378" i="3"/>
  <c r="I4380" i="3"/>
  <c r="I4382" i="3"/>
  <c r="I4384" i="3"/>
  <c r="I4386" i="3"/>
  <c r="I4388" i="3"/>
  <c r="I4390" i="3"/>
  <c r="I4392" i="3"/>
  <c r="I4394" i="3"/>
  <c r="I4396" i="3"/>
  <c r="I4398" i="3"/>
  <c r="I4400" i="3"/>
  <c r="I4402" i="3"/>
  <c r="I4361" i="3"/>
  <c r="I4363" i="3"/>
  <c r="I4365" i="3"/>
  <c r="I4367" i="3"/>
  <c r="I4369" i="3"/>
  <c r="I4371" i="3"/>
  <c r="I4373" i="3"/>
  <c r="I4375" i="3"/>
  <c r="I4377" i="3"/>
  <c r="I4379" i="3"/>
  <c r="I4381" i="3"/>
  <c r="I4383" i="3"/>
  <c r="I4385" i="3"/>
  <c r="I4387" i="3"/>
  <c r="I4389" i="3"/>
  <c r="I4391" i="3"/>
  <c r="I4393" i="3"/>
  <c r="I4395" i="3"/>
  <c r="I4397" i="3"/>
  <c r="I4399" i="3"/>
  <c r="I4401" i="3"/>
  <c r="I4403" i="3"/>
  <c r="I4405" i="3"/>
  <c r="I4404" i="3"/>
  <c r="J4362" i="3"/>
  <c r="J4364" i="3"/>
  <c r="J4366" i="3"/>
  <c r="J4368" i="3"/>
  <c r="J4370" i="3"/>
  <c r="J4372" i="3"/>
  <c r="J4374" i="3"/>
  <c r="J4376" i="3"/>
  <c r="J4378" i="3"/>
  <c r="J4380" i="3"/>
  <c r="J4382" i="3"/>
  <c r="J4384" i="3"/>
  <c r="J4386" i="3"/>
  <c r="J4388" i="3"/>
  <c r="J4390" i="3"/>
  <c r="J4392" i="3"/>
  <c r="J4394" i="3"/>
  <c r="J4396" i="3"/>
  <c r="J4398" i="3"/>
  <c r="J4400" i="3"/>
  <c r="J4402" i="3"/>
  <c r="J4404" i="3"/>
  <c r="I4567" i="3"/>
  <c r="H4556" i="3"/>
  <c r="J4557" i="3"/>
  <c r="H4558" i="3"/>
  <c r="J4559" i="3"/>
  <c r="H4560" i="3"/>
  <c r="J4561" i="3"/>
  <c r="H4562" i="3"/>
  <c r="J4563" i="3"/>
  <c r="H4564" i="3"/>
  <c r="J4565" i="3"/>
  <c r="H4566" i="3"/>
  <c r="J4567" i="3"/>
  <c r="H4568" i="3"/>
  <c r="J4569" i="3"/>
  <c r="H4570" i="3"/>
  <c r="I4557" i="3"/>
  <c r="I4559" i="3"/>
  <c r="I4561" i="3"/>
  <c r="I4565" i="3"/>
  <c r="I4569" i="3"/>
  <c r="I4556" i="3"/>
  <c r="I4558" i="3"/>
  <c r="I4560" i="3"/>
  <c r="I4562" i="3"/>
  <c r="I4564" i="3"/>
  <c r="I4566" i="3"/>
  <c r="I4568" i="3"/>
  <c r="I4570" i="3"/>
  <c r="I4563" i="3"/>
  <c r="I4512" i="3"/>
  <c r="I4514" i="3"/>
  <c r="I4516" i="3"/>
  <c r="I4522" i="3"/>
  <c r="I4528" i="3"/>
  <c r="I4532" i="3"/>
  <c r="I4534" i="3"/>
  <c r="I4536" i="3"/>
  <c r="I4538" i="3"/>
  <c r="I4540" i="3"/>
  <c r="I4542" i="3"/>
  <c r="I4552" i="3"/>
  <c r="H4511" i="3"/>
  <c r="J4512" i="3"/>
  <c r="H4513" i="3"/>
  <c r="J4514" i="3"/>
  <c r="H4515" i="3"/>
  <c r="J4516" i="3"/>
  <c r="H4517" i="3"/>
  <c r="J4518" i="3"/>
  <c r="H4519" i="3"/>
  <c r="J4520" i="3"/>
  <c r="H4521" i="3"/>
  <c r="J4522" i="3"/>
  <c r="H4523" i="3"/>
  <c r="J4524" i="3"/>
  <c r="H4525" i="3"/>
  <c r="J4526" i="3"/>
  <c r="H4527" i="3"/>
  <c r="J4528" i="3"/>
  <c r="H4529" i="3"/>
  <c r="J4530" i="3"/>
  <c r="H4531" i="3"/>
  <c r="J4532" i="3"/>
  <c r="H4533" i="3"/>
  <c r="J4534" i="3"/>
  <c r="H4535" i="3"/>
  <c r="J4536" i="3"/>
  <c r="H4537" i="3"/>
  <c r="J4538" i="3"/>
  <c r="H4539" i="3"/>
  <c r="J4540" i="3"/>
  <c r="H4541" i="3"/>
  <c r="J4542" i="3"/>
  <c r="H4543" i="3"/>
  <c r="J4544" i="3"/>
  <c r="H4545" i="3"/>
  <c r="J4546" i="3"/>
  <c r="H4547" i="3"/>
  <c r="J4548" i="3"/>
  <c r="H4549" i="3"/>
  <c r="J4550" i="3"/>
  <c r="H4551" i="3"/>
  <c r="J4552" i="3"/>
  <c r="H4553" i="3"/>
  <c r="J4554" i="3"/>
  <c r="H4555" i="3"/>
  <c r="I4518" i="3"/>
  <c r="I4520" i="3"/>
  <c r="I4526" i="3"/>
  <c r="I4530" i="3"/>
  <c r="I4544" i="3"/>
  <c r="I4546" i="3"/>
  <c r="I4550" i="3"/>
  <c r="I4511" i="3"/>
  <c r="I4513" i="3"/>
  <c r="I4515" i="3"/>
  <c r="I4517" i="3"/>
  <c r="I4519" i="3"/>
  <c r="I4521" i="3"/>
  <c r="I4523" i="3"/>
  <c r="I4525" i="3"/>
  <c r="I4527" i="3"/>
  <c r="I4529" i="3"/>
  <c r="I4531" i="3"/>
  <c r="I4533" i="3"/>
  <c r="I4535" i="3"/>
  <c r="I4537" i="3"/>
  <c r="I4539" i="3"/>
  <c r="I4541" i="3"/>
  <c r="I4543" i="3"/>
  <c r="I4545" i="3"/>
  <c r="I4547" i="3"/>
  <c r="I4549" i="3"/>
  <c r="I4551" i="3"/>
  <c r="I4553" i="3"/>
  <c r="I4555" i="3"/>
  <c r="I4524" i="3"/>
  <c r="I4548" i="3"/>
  <c r="I4554" i="3"/>
  <c r="H4277" i="3"/>
  <c r="H4279" i="3"/>
  <c r="H4285" i="3"/>
  <c r="H4280" i="3"/>
  <c r="H4278" i="3"/>
  <c r="I4274" i="3"/>
  <c r="I4276" i="3"/>
  <c r="I4278" i="3"/>
  <c r="I4280" i="3"/>
  <c r="I4282" i="3"/>
  <c r="H4257" i="3"/>
  <c r="J4274" i="3"/>
  <c r="J4276" i="3"/>
  <c r="J4280" i="3"/>
  <c r="J4282" i="3"/>
  <c r="J4258" i="3"/>
  <c r="J4262" i="3"/>
  <c r="H4259" i="3"/>
  <c r="H4263" i="3"/>
  <c r="H4267" i="3"/>
  <c r="I4273" i="3"/>
  <c r="I4275" i="3"/>
  <c r="I4277" i="3"/>
  <c r="I4279" i="3"/>
  <c r="I4281" i="3"/>
  <c r="I4283" i="3"/>
  <c r="I4285" i="3"/>
  <c r="H4261" i="3"/>
  <c r="J4272" i="3"/>
  <c r="J4278" i="3"/>
  <c r="J4284" i="3"/>
  <c r="H4193" i="3"/>
  <c r="H4152" i="3"/>
  <c r="H4156" i="3"/>
  <c r="H4160" i="3"/>
  <c r="H4168" i="3"/>
  <c r="H4172" i="3"/>
  <c r="H4180" i="3"/>
  <c r="H4184" i="3"/>
  <c r="H4188" i="3"/>
  <c r="H4192" i="3"/>
  <c r="H4164" i="3"/>
  <c r="H4176" i="3"/>
  <c r="J4192" i="3"/>
  <c r="H4190" i="3"/>
  <c r="H4242" i="3"/>
  <c r="H4246" i="3"/>
  <c r="H4250" i="3"/>
  <c r="H4254" i="3"/>
  <c r="I4248" i="3"/>
  <c r="I4250" i="3"/>
  <c r="I4252" i="3"/>
  <c r="H4241" i="3"/>
  <c r="J4242" i="3"/>
  <c r="H4243" i="3"/>
  <c r="J4244" i="3"/>
  <c r="H4245" i="3"/>
  <c r="J4246" i="3"/>
  <c r="H4247" i="3"/>
  <c r="J4248" i="3"/>
  <c r="H4249" i="3"/>
  <c r="J4250" i="3"/>
  <c r="H4251" i="3"/>
  <c r="J4252" i="3"/>
  <c r="H4253" i="3"/>
  <c r="J4254" i="3"/>
  <c r="H4255" i="3"/>
  <c r="H4256" i="3"/>
  <c r="J4257" i="3"/>
  <c r="H4258" i="3"/>
  <c r="J4259" i="3"/>
  <c r="H4260" i="3"/>
  <c r="J4261" i="3"/>
  <c r="H4262" i="3"/>
  <c r="J4263" i="3"/>
  <c r="H4264" i="3"/>
  <c r="J4265" i="3"/>
  <c r="H4266" i="3"/>
  <c r="J4267" i="3"/>
  <c r="H4268" i="3"/>
  <c r="J4269" i="3"/>
  <c r="H4270" i="3"/>
  <c r="I4242" i="3"/>
  <c r="I4244" i="3"/>
  <c r="I4246" i="3"/>
  <c r="I4257" i="3"/>
  <c r="I4259" i="3"/>
  <c r="I4263" i="3"/>
  <c r="I4265" i="3"/>
  <c r="I4269" i="3"/>
  <c r="I4241" i="3"/>
  <c r="I4243" i="3"/>
  <c r="I4245" i="3"/>
  <c r="I4247" i="3"/>
  <c r="I4249" i="3"/>
  <c r="I4251" i="3"/>
  <c r="I4253" i="3"/>
  <c r="I4255" i="3"/>
  <c r="I4264" i="3"/>
  <c r="I4266" i="3"/>
  <c r="I4268" i="3"/>
  <c r="I4270" i="3"/>
  <c r="I4254" i="3"/>
  <c r="I4261" i="3"/>
  <c r="I4267" i="3"/>
  <c r="H4211" i="3"/>
  <c r="H4226" i="3"/>
  <c r="I4152" i="3"/>
  <c r="I4154" i="3"/>
  <c r="I4156" i="3"/>
  <c r="I4158" i="3"/>
  <c r="I4160" i="3"/>
  <c r="I4162" i="3"/>
  <c r="I4164" i="3"/>
  <c r="I4168" i="3"/>
  <c r="I4170" i="3"/>
  <c r="I4172" i="3"/>
  <c r="I4174" i="3"/>
  <c r="I4176" i="3"/>
  <c r="I4178" i="3"/>
  <c r="I4180" i="3"/>
  <c r="I4182" i="3"/>
  <c r="I4184" i="3"/>
  <c r="I4186" i="3"/>
  <c r="I4188" i="3"/>
  <c r="I4190" i="3"/>
  <c r="I4192" i="3"/>
  <c r="I4194" i="3"/>
  <c r="I4153" i="3"/>
  <c r="J4152" i="3"/>
  <c r="H4153" i="3"/>
  <c r="J4154" i="3"/>
  <c r="H4155" i="3"/>
  <c r="J4156" i="3"/>
  <c r="H4157" i="3"/>
  <c r="J4158" i="3"/>
  <c r="H4159" i="3"/>
  <c r="J4160" i="3"/>
  <c r="H4161" i="3"/>
  <c r="J4162" i="3"/>
  <c r="H4163" i="3"/>
  <c r="J4164" i="3"/>
  <c r="H4165" i="3"/>
  <c r="J4166" i="3"/>
  <c r="H4167" i="3"/>
  <c r="J4168" i="3"/>
  <c r="H4169" i="3"/>
  <c r="J4170" i="3"/>
  <c r="H4171" i="3"/>
  <c r="J4172" i="3"/>
  <c r="H4173" i="3"/>
  <c r="J4174" i="3"/>
  <c r="H4175" i="3"/>
  <c r="J4176" i="3"/>
  <c r="H4177" i="3"/>
  <c r="J4178" i="3"/>
  <c r="H4179" i="3"/>
  <c r="J4180" i="3"/>
  <c r="J4182" i="3"/>
  <c r="H4183" i="3"/>
  <c r="J4184" i="3"/>
  <c r="H4185" i="3"/>
  <c r="J4186" i="3"/>
  <c r="H4187" i="3"/>
  <c r="J4188" i="3"/>
  <c r="H4189" i="3"/>
  <c r="J4190" i="3"/>
  <c r="H4191" i="3"/>
  <c r="H4195" i="3"/>
  <c r="I4165" i="3"/>
  <c r="I4167" i="3"/>
  <c r="I4169" i="3"/>
  <c r="I4171" i="3"/>
  <c r="I4173" i="3"/>
  <c r="I4175" i="3"/>
  <c r="I4177" i="3"/>
  <c r="I4179" i="3"/>
  <c r="I4183" i="3"/>
  <c r="I4185" i="3"/>
  <c r="I4187" i="3"/>
  <c r="I4189" i="3"/>
  <c r="I4191" i="3"/>
  <c r="I4193" i="3"/>
  <c r="I4195" i="3"/>
  <c r="I4155" i="3"/>
  <c r="I4157" i="3"/>
  <c r="I4159" i="3"/>
  <c r="I4161" i="3"/>
  <c r="I4163" i="3"/>
  <c r="H4106" i="3"/>
  <c r="I4106" i="3"/>
  <c r="I4616" i="3"/>
  <c r="I4631" i="3"/>
  <c r="H4181" i="3"/>
  <c r="I4181" i="3"/>
  <c r="I4166" i="3"/>
  <c r="H4151" i="3"/>
  <c r="I4151" i="3"/>
  <c r="I4226" i="3"/>
  <c r="H4630" i="3"/>
  <c r="I4630" i="3"/>
  <c r="I4272" i="3"/>
  <c r="H4272" i="3"/>
  <c r="F46" i="133" l="1"/>
  <c r="J14" i="195"/>
  <c r="K14" i="195"/>
  <c r="M14" i="195" s="1"/>
  <c r="F33" i="195"/>
  <c r="G23" i="195"/>
  <c r="G29" i="195"/>
  <c r="G25" i="195"/>
  <c r="G31" i="195"/>
  <c r="G26" i="195"/>
  <c r="G27" i="195"/>
  <c r="G28" i="195"/>
  <c r="M8" i="195"/>
  <c r="E24" i="195"/>
  <c r="G24" i="195" s="1"/>
  <c r="M15" i="195"/>
  <c r="E30" i="195"/>
  <c r="G30" i="195" s="1"/>
  <c r="M18" i="195"/>
  <c r="M20" i="195"/>
  <c r="E35" i="195"/>
  <c r="G35" i="195" s="1"/>
  <c r="M21" i="195"/>
  <c r="B50" i="150" s="1"/>
  <c r="B57" i="150" s="1"/>
  <c r="B58" i="150" s="1"/>
  <c r="E36" i="195"/>
  <c r="G36" i="195" s="1"/>
  <c r="M11" i="195"/>
  <c r="M9" i="195"/>
  <c r="M16" i="195"/>
  <c r="M10" i="195"/>
  <c r="M7" i="195"/>
  <c r="M13" i="195"/>
  <c r="M12" i="195"/>
  <c r="J21" i="195"/>
  <c r="J20" i="195"/>
  <c r="J19" i="195"/>
  <c r="J18" i="195"/>
  <c r="J12" i="195"/>
  <c r="J16" i="195"/>
  <c r="J13" i="195"/>
  <c r="J15" i="195"/>
  <c r="J11" i="195"/>
  <c r="J10" i="195"/>
  <c r="J7" i="195"/>
  <c r="J9" i="195"/>
  <c r="J8" i="195"/>
  <c r="J4091" i="3"/>
  <c r="I4451" i="3"/>
  <c r="J4121" i="3"/>
  <c r="I4121" i="3"/>
  <c r="I4136" i="3"/>
  <c r="I4091" i="3"/>
  <c r="H4451" i="3"/>
  <c r="H4406" i="3"/>
  <c r="H4136" i="3"/>
  <c r="I3281" i="3"/>
  <c r="H3281" i="3"/>
  <c r="I4196" i="3"/>
  <c r="J4196" i="3"/>
  <c r="J4211" i="3"/>
  <c r="H3266" i="3"/>
  <c r="I3266" i="3"/>
  <c r="H3251" i="3"/>
  <c r="I3251" i="3"/>
  <c r="I4211" i="3"/>
  <c r="D18" i="76" l="1"/>
  <c r="J3326" i="3"/>
  <c r="G3340" i="3"/>
  <c r="F3340" i="3"/>
  <c r="G3339" i="3"/>
  <c r="F3339" i="3"/>
  <c r="G3338" i="3"/>
  <c r="F3338" i="3"/>
  <c r="G3337" i="3"/>
  <c r="F3337" i="3"/>
  <c r="G3336" i="3"/>
  <c r="F3336" i="3"/>
  <c r="G3335" i="3"/>
  <c r="F3335" i="3"/>
  <c r="G3334" i="3"/>
  <c r="F3334" i="3"/>
  <c r="G3333" i="3"/>
  <c r="F3333" i="3"/>
  <c r="G3332" i="3"/>
  <c r="F3332" i="3"/>
  <c r="G3331" i="3"/>
  <c r="F3331" i="3"/>
  <c r="G3330" i="3"/>
  <c r="F3330" i="3"/>
  <c r="G3329" i="3"/>
  <c r="F3329" i="3"/>
  <c r="G3328" i="3"/>
  <c r="F3328" i="3"/>
  <c r="G3327" i="3"/>
  <c r="F3327" i="3"/>
  <c r="G3326" i="3"/>
  <c r="F3326" i="3"/>
  <c r="G3250" i="3"/>
  <c r="F3250" i="3"/>
  <c r="G3249" i="3"/>
  <c r="F3249" i="3"/>
  <c r="G3248" i="3"/>
  <c r="F3248" i="3"/>
  <c r="G3247" i="3"/>
  <c r="F3247" i="3"/>
  <c r="G3246" i="3"/>
  <c r="F3246" i="3"/>
  <c r="G3245" i="3"/>
  <c r="F3245" i="3"/>
  <c r="G3244" i="3"/>
  <c r="F3244" i="3"/>
  <c r="G3243" i="3"/>
  <c r="F3243" i="3"/>
  <c r="G3242" i="3"/>
  <c r="F3242" i="3"/>
  <c r="G3241" i="3"/>
  <c r="F3241" i="3"/>
  <c r="G3240" i="3"/>
  <c r="F3240" i="3"/>
  <c r="G3239" i="3"/>
  <c r="F3239" i="3"/>
  <c r="G3238" i="3"/>
  <c r="F3238" i="3"/>
  <c r="G3237" i="3"/>
  <c r="F3237" i="3"/>
  <c r="G3236" i="3"/>
  <c r="F3236" i="3"/>
  <c r="G3235" i="3"/>
  <c r="F3235" i="3"/>
  <c r="G3234" i="3"/>
  <c r="F3234" i="3"/>
  <c r="G3233" i="3"/>
  <c r="F3233" i="3"/>
  <c r="G3232" i="3"/>
  <c r="F3232" i="3"/>
  <c r="G3231" i="3"/>
  <c r="F3231" i="3"/>
  <c r="G3230" i="3"/>
  <c r="F3230" i="3"/>
  <c r="G3229" i="3"/>
  <c r="F3229" i="3"/>
  <c r="G3228" i="3"/>
  <c r="F3228" i="3"/>
  <c r="G3227" i="3"/>
  <c r="F3227" i="3"/>
  <c r="G3226" i="3"/>
  <c r="F3226" i="3"/>
  <c r="G3225" i="3"/>
  <c r="F3225" i="3"/>
  <c r="G3224" i="3"/>
  <c r="F3224" i="3"/>
  <c r="G3223" i="3"/>
  <c r="F3223" i="3"/>
  <c r="G3222" i="3"/>
  <c r="F3222" i="3"/>
  <c r="G3221" i="3"/>
  <c r="F3221" i="3"/>
  <c r="G3220" i="3"/>
  <c r="F3220" i="3"/>
  <c r="G3219" i="3"/>
  <c r="F3219" i="3"/>
  <c r="G3218" i="3"/>
  <c r="F3218" i="3"/>
  <c r="G3217" i="3"/>
  <c r="F3217" i="3"/>
  <c r="G3216" i="3"/>
  <c r="F3216" i="3"/>
  <c r="G3215" i="3"/>
  <c r="F3215" i="3"/>
  <c r="G3214" i="3"/>
  <c r="F3214" i="3"/>
  <c r="G3213" i="3"/>
  <c r="F3213" i="3"/>
  <c r="G3212" i="3"/>
  <c r="F3212" i="3"/>
  <c r="G3211" i="3"/>
  <c r="F3211" i="3"/>
  <c r="G3210" i="3"/>
  <c r="F3210" i="3"/>
  <c r="G3209" i="3"/>
  <c r="F3209" i="3"/>
  <c r="G3208" i="3"/>
  <c r="F3208" i="3"/>
  <c r="G3207" i="3"/>
  <c r="F3207" i="3"/>
  <c r="G3206" i="3"/>
  <c r="F3206" i="3"/>
  <c r="G3205" i="3"/>
  <c r="F3205" i="3"/>
  <c r="G3204" i="3"/>
  <c r="F3204" i="3"/>
  <c r="G3203" i="3"/>
  <c r="F3203" i="3"/>
  <c r="G3202" i="3"/>
  <c r="F3202" i="3"/>
  <c r="G3201" i="3"/>
  <c r="F3201" i="3"/>
  <c r="G3200" i="3"/>
  <c r="F3200" i="3"/>
  <c r="G3199" i="3"/>
  <c r="F3199" i="3"/>
  <c r="G3198" i="3"/>
  <c r="F3198" i="3"/>
  <c r="G3197" i="3"/>
  <c r="F3197" i="3"/>
  <c r="G3196" i="3"/>
  <c r="F3196" i="3"/>
  <c r="G3195" i="3"/>
  <c r="F3195" i="3"/>
  <c r="G3194" i="3"/>
  <c r="F3194" i="3"/>
  <c r="G3193" i="3"/>
  <c r="F3193" i="3"/>
  <c r="G3192" i="3"/>
  <c r="F3192" i="3"/>
  <c r="G3191" i="3"/>
  <c r="F3191" i="3"/>
  <c r="G3190" i="3"/>
  <c r="F3190" i="3"/>
  <c r="G3189" i="3"/>
  <c r="F3189" i="3"/>
  <c r="G3188" i="3"/>
  <c r="F3188" i="3"/>
  <c r="G3187" i="3"/>
  <c r="F3187" i="3"/>
  <c r="G3186" i="3"/>
  <c r="F3186" i="3"/>
  <c r="G3185" i="3"/>
  <c r="F3185" i="3"/>
  <c r="G3184" i="3"/>
  <c r="F3184" i="3"/>
  <c r="G3183" i="3"/>
  <c r="F3183" i="3"/>
  <c r="G3182" i="3"/>
  <c r="F3182" i="3"/>
  <c r="G3181" i="3"/>
  <c r="F3181" i="3"/>
  <c r="G3180" i="3"/>
  <c r="F3180" i="3"/>
  <c r="G3179" i="3"/>
  <c r="F3179" i="3"/>
  <c r="G3178" i="3"/>
  <c r="F3178" i="3"/>
  <c r="G3177" i="3"/>
  <c r="F3177" i="3"/>
  <c r="G3176" i="3"/>
  <c r="F3176" i="3"/>
  <c r="G3175" i="3"/>
  <c r="F3175" i="3"/>
  <c r="G3174" i="3"/>
  <c r="F3174" i="3"/>
  <c r="G3173" i="3"/>
  <c r="F3173" i="3"/>
  <c r="G3172" i="3"/>
  <c r="F3172" i="3"/>
  <c r="G3171" i="3"/>
  <c r="F3171" i="3"/>
  <c r="G3170" i="3"/>
  <c r="F3170" i="3"/>
  <c r="G3169" i="3"/>
  <c r="F3169" i="3"/>
  <c r="G3168" i="3"/>
  <c r="F3168" i="3"/>
  <c r="G3167" i="3"/>
  <c r="F3167" i="3"/>
  <c r="G3166" i="3"/>
  <c r="F3166" i="3"/>
  <c r="G3165" i="3"/>
  <c r="F3165" i="3"/>
  <c r="G3164" i="3"/>
  <c r="F3164" i="3"/>
  <c r="G3163" i="3"/>
  <c r="F3163" i="3"/>
  <c r="G3162" i="3"/>
  <c r="F3162" i="3"/>
  <c r="G3161" i="3"/>
  <c r="F3161" i="3"/>
  <c r="G3160" i="3"/>
  <c r="F3160" i="3"/>
  <c r="G3159" i="3"/>
  <c r="F3159" i="3"/>
  <c r="G3158" i="3"/>
  <c r="F3158" i="3"/>
  <c r="G3157" i="3"/>
  <c r="F3157" i="3"/>
  <c r="G3156" i="3"/>
  <c r="F3156" i="3"/>
  <c r="G3155" i="3"/>
  <c r="F3155" i="3"/>
  <c r="G3154" i="3"/>
  <c r="F3154" i="3"/>
  <c r="G3153" i="3"/>
  <c r="F3153" i="3"/>
  <c r="G3152" i="3"/>
  <c r="F3152" i="3"/>
  <c r="G3151" i="3"/>
  <c r="F3151" i="3"/>
  <c r="G3150" i="3"/>
  <c r="F3150" i="3"/>
  <c r="G3149" i="3"/>
  <c r="F3149" i="3"/>
  <c r="G3148" i="3"/>
  <c r="F3148" i="3"/>
  <c r="G3147" i="3"/>
  <c r="F3147" i="3"/>
  <c r="G3146" i="3"/>
  <c r="F3146" i="3"/>
  <c r="G3145" i="3"/>
  <c r="F3145" i="3"/>
  <c r="G3144" i="3"/>
  <c r="F3144" i="3"/>
  <c r="G3143" i="3"/>
  <c r="F3143" i="3"/>
  <c r="G3142" i="3"/>
  <c r="F3142" i="3"/>
  <c r="G3141" i="3"/>
  <c r="F3141" i="3"/>
  <c r="G3140" i="3"/>
  <c r="F3140" i="3"/>
  <c r="G3139" i="3"/>
  <c r="F3139" i="3"/>
  <c r="G3138" i="3"/>
  <c r="F3138" i="3"/>
  <c r="G3137" i="3"/>
  <c r="F3137" i="3"/>
  <c r="G3136" i="3"/>
  <c r="F3136" i="3"/>
  <c r="G3135" i="3"/>
  <c r="F3135" i="3"/>
  <c r="G3134" i="3"/>
  <c r="F3134" i="3"/>
  <c r="G3133" i="3"/>
  <c r="F3133" i="3"/>
  <c r="G3132" i="3"/>
  <c r="F3132" i="3"/>
  <c r="G3131" i="3"/>
  <c r="F3131" i="3"/>
  <c r="G3130" i="3"/>
  <c r="F3130" i="3"/>
  <c r="G3129" i="3"/>
  <c r="F3129" i="3"/>
  <c r="G3128" i="3"/>
  <c r="F3128" i="3"/>
  <c r="G3127" i="3"/>
  <c r="F3127" i="3"/>
  <c r="G3126" i="3"/>
  <c r="F3126" i="3"/>
  <c r="G3125" i="3"/>
  <c r="F3125" i="3"/>
  <c r="G3124" i="3"/>
  <c r="F3124" i="3"/>
  <c r="G3123" i="3"/>
  <c r="F3123" i="3"/>
  <c r="G3122" i="3"/>
  <c r="F3122" i="3"/>
  <c r="G3121" i="3"/>
  <c r="F3121" i="3"/>
  <c r="G3120" i="3"/>
  <c r="F3120" i="3"/>
  <c r="G3119" i="3"/>
  <c r="F3119" i="3"/>
  <c r="G3118" i="3"/>
  <c r="F3118" i="3"/>
  <c r="G3117" i="3"/>
  <c r="F3117" i="3"/>
  <c r="G3116" i="3"/>
  <c r="F3116" i="3"/>
  <c r="G3115" i="3"/>
  <c r="F3115" i="3"/>
  <c r="G3114" i="3"/>
  <c r="F3114" i="3"/>
  <c r="G3113" i="3"/>
  <c r="F3113" i="3"/>
  <c r="G3112" i="3"/>
  <c r="F3112" i="3"/>
  <c r="G3111" i="3"/>
  <c r="F3111" i="3"/>
  <c r="G3110" i="3"/>
  <c r="F3110" i="3"/>
  <c r="G3109" i="3"/>
  <c r="F3109" i="3"/>
  <c r="G3108" i="3"/>
  <c r="F3108" i="3"/>
  <c r="G3107" i="3"/>
  <c r="F3107" i="3"/>
  <c r="G3106" i="3"/>
  <c r="F3106" i="3"/>
  <c r="G3105" i="3"/>
  <c r="F3105" i="3"/>
  <c r="G3104" i="3"/>
  <c r="F3104" i="3"/>
  <c r="G3103" i="3"/>
  <c r="F3103" i="3"/>
  <c r="G3102" i="3"/>
  <c r="F3102" i="3"/>
  <c r="G3101" i="3"/>
  <c r="F3101" i="3"/>
  <c r="G3100" i="3"/>
  <c r="F3100" i="3"/>
  <c r="G3099" i="3"/>
  <c r="F3099" i="3"/>
  <c r="G3098" i="3"/>
  <c r="F3098" i="3"/>
  <c r="G3097" i="3"/>
  <c r="F3097" i="3"/>
  <c r="G3096" i="3"/>
  <c r="F3096" i="3"/>
  <c r="G3095" i="3"/>
  <c r="F3095" i="3"/>
  <c r="G3094" i="3"/>
  <c r="F3094" i="3"/>
  <c r="G3093" i="3"/>
  <c r="F3093" i="3"/>
  <c r="G3092" i="3"/>
  <c r="F3092" i="3"/>
  <c r="G3091" i="3"/>
  <c r="F3091" i="3"/>
  <c r="G3090" i="3"/>
  <c r="F3090" i="3"/>
  <c r="G3089" i="3"/>
  <c r="F3089" i="3"/>
  <c r="G3088" i="3"/>
  <c r="F3088" i="3"/>
  <c r="G3087" i="3"/>
  <c r="F3087" i="3"/>
  <c r="G3086" i="3"/>
  <c r="F3086" i="3"/>
  <c r="G3085" i="3"/>
  <c r="F3085" i="3"/>
  <c r="G3084" i="3"/>
  <c r="F3084" i="3"/>
  <c r="G3083" i="3"/>
  <c r="F3083" i="3"/>
  <c r="G3082" i="3"/>
  <c r="F3082" i="3"/>
  <c r="G3081" i="3"/>
  <c r="F3081" i="3"/>
  <c r="G3080" i="3"/>
  <c r="F3080" i="3"/>
  <c r="G3079" i="3"/>
  <c r="F3079" i="3"/>
  <c r="G3078" i="3"/>
  <c r="F3078" i="3"/>
  <c r="G3077" i="3"/>
  <c r="F3077" i="3"/>
  <c r="G3076" i="3"/>
  <c r="F3076" i="3"/>
  <c r="G3075" i="3"/>
  <c r="F3075" i="3"/>
  <c r="G3074" i="3"/>
  <c r="F3074" i="3"/>
  <c r="G3073" i="3"/>
  <c r="F3073" i="3"/>
  <c r="G3072" i="3"/>
  <c r="F3072" i="3"/>
  <c r="G3071" i="3"/>
  <c r="F3071" i="3"/>
  <c r="G3070" i="3"/>
  <c r="F3070" i="3"/>
  <c r="G3069" i="3"/>
  <c r="F3069" i="3"/>
  <c r="G3068" i="3"/>
  <c r="F3068" i="3"/>
  <c r="G3067" i="3"/>
  <c r="F3067" i="3"/>
  <c r="G3066" i="3"/>
  <c r="F3066" i="3"/>
  <c r="G3065" i="3"/>
  <c r="F3065" i="3"/>
  <c r="G3064" i="3"/>
  <c r="F3064" i="3"/>
  <c r="G3063" i="3"/>
  <c r="F3063" i="3"/>
  <c r="G3062" i="3"/>
  <c r="F3062" i="3"/>
  <c r="G3061" i="3"/>
  <c r="F3061" i="3"/>
  <c r="G3060" i="3"/>
  <c r="F3060" i="3"/>
  <c r="G3059" i="3"/>
  <c r="F3059" i="3"/>
  <c r="G3058" i="3"/>
  <c r="F3058" i="3"/>
  <c r="G3057" i="3"/>
  <c r="F3057" i="3"/>
  <c r="G3056" i="3"/>
  <c r="F3056" i="3"/>
  <c r="F3055" i="3"/>
  <c r="F3054" i="3"/>
  <c r="F3053" i="3"/>
  <c r="F3052" i="3"/>
  <c r="F3051" i="3"/>
  <c r="F3050" i="3"/>
  <c r="F3049" i="3"/>
  <c r="F3048" i="3"/>
  <c r="F3047" i="3"/>
  <c r="F3046" i="3"/>
  <c r="F3045" i="3"/>
  <c r="F3044" i="3"/>
  <c r="F3043" i="3"/>
  <c r="F3042" i="3"/>
  <c r="F3041" i="3"/>
  <c r="G3040" i="3"/>
  <c r="F3040" i="3"/>
  <c r="G3039" i="3"/>
  <c r="F3039" i="3"/>
  <c r="G3038" i="3"/>
  <c r="F3038" i="3"/>
  <c r="G3037" i="3"/>
  <c r="F3037" i="3"/>
  <c r="G3036" i="3"/>
  <c r="F3036" i="3"/>
  <c r="G3035" i="3"/>
  <c r="F3035" i="3"/>
  <c r="G3034" i="3"/>
  <c r="F3034" i="3"/>
  <c r="G3033" i="3"/>
  <c r="F3033" i="3"/>
  <c r="G3032" i="3"/>
  <c r="F3032" i="3"/>
  <c r="G3031" i="3"/>
  <c r="F3031" i="3"/>
  <c r="G3030" i="3"/>
  <c r="F3030" i="3"/>
  <c r="G3029" i="3"/>
  <c r="F3029" i="3"/>
  <c r="G3028" i="3"/>
  <c r="F3028" i="3"/>
  <c r="G3027" i="3"/>
  <c r="F3027" i="3"/>
  <c r="G3026" i="3"/>
  <c r="F3026" i="3"/>
  <c r="B7" i="102"/>
  <c r="I3311" i="3"/>
  <c r="G3025" i="3"/>
  <c r="F3025" i="3"/>
  <c r="G3024" i="3"/>
  <c r="F3024" i="3"/>
  <c r="G3023" i="3"/>
  <c r="F3023" i="3"/>
  <c r="G3022" i="3"/>
  <c r="F3022" i="3"/>
  <c r="G3021" i="3"/>
  <c r="F3021" i="3"/>
  <c r="G3020" i="3"/>
  <c r="F3020" i="3"/>
  <c r="G3019" i="3"/>
  <c r="F3019" i="3"/>
  <c r="G3018" i="3"/>
  <c r="F3018" i="3"/>
  <c r="G3017" i="3"/>
  <c r="F3017" i="3"/>
  <c r="G3016" i="3"/>
  <c r="F3016" i="3"/>
  <c r="G3015" i="3"/>
  <c r="F3015" i="3"/>
  <c r="G3014" i="3"/>
  <c r="F3014" i="3"/>
  <c r="G3013" i="3"/>
  <c r="F3013" i="3"/>
  <c r="G3012" i="3"/>
  <c r="F3012" i="3"/>
  <c r="G3011" i="3"/>
  <c r="F3011" i="3"/>
  <c r="G3010" i="3"/>
  <c r="F3010" i="3"/>
  <c r="G3009" i="3"/>
  <c r="F3009" i="3"/>
  <c r="G3008" i="3"/>
  <c r="F3008" i="3"/>
  <c r="G3007" i="3"/>
  <c r="F3007" i="3"/>
  <c r="G3006" i="3"/>
  <c r="F3006" i="3"/>
  <c r="G3005" i="3"/>
  <c r="F3005" i="3"/>
  <c r="G3004" i="3"/>
  <c r="F3004" i="3"/>
  <c r="G3003" i="3"/>
  <c r="F3003" i="3"/>
  <c r="G3002" i="3"/>
  <c r="F3002" i="3"/>
  <c r="G3001" i="3"/>
  <c r="F3001" i="3"/>
  <c r="G3000" i="3"/>
  <c r="F3000" i="3"/>
  <c r="G2999" i="3"/>
  <c r="F2999" i="3"/>
  <c r="G2998" i="3"/>
  <c r="F2998" i="3"/>
  <c r="G2997" i="3"/>
  <c r="F2997" i="3"/>
  <c r="G2996" i="3"/>
  <c r="F2996" i="3"/>
  <c r="G2995" i="3"/>
  <c r="F2995" i="3"/>
  <c r="G2994" i="3"/>
  <c r="F2994" i="3"/>
  <c r="G2993" i="3"/>
  <c r="F2993" i="3"/>
  <c r="G2992" i="3"/>
  <c r="F2992" i="3"/>
  <c r="G2991" i="3"/>
  <c r="F2991" i="3"/>
  <c r="G2990" i="3"/>
  <c r="F2990" i="3"/>
  <c r="G2989" i="3"/>
  <c r="F2989" i="3"/>
  <c r="G2988" i="3"/>
  <c r="F2988" i="3"/>
  <c r="G2987" i="3"/>
  <c r="F2987" i="3"/>
  <c r="G2986" i="3"/>
  <c r="F2986" i="3"/>
  <c r="G2985" i="3"/>
  <c r="F2985" i="3"/>
  <c r="G2984" i="3"/>
  <c r="F2984" i="3"/>
  <c r="G2983" i="3"/>
  <c r="F2983" i="3"/>
  <c r="G2982" i="3"/>
  <c r="F2982" i="3"/>
  <c r="G2981" i="3"/>
  <c r="F2981" i="3"/>
  <c r="G2980" i="3"/>
  <c r="F2980" i="3"/>
  <c r="G2979" i="3"/>
  <c r="F2979" i="3"/>
  <c r="G2978" i="3"/>
  <c r="F2978" i="3"/>
  <c r="G2977" i="3"/>
  <c r="F2977" i="3"/>
  <c r="G2976" i="3"/>
  <c r="F2976" i="3"/>
  <c r="G2975" i="3"/>
  <c r="F2975" i="3"/>
  <c r="G2974" i="3"/>
  <c r="F2974" i="3"/>
  <c r="G2973" i="3"/>
  <c r="F2973" i="3"/>
  <c r="G2972" i="3"/>
  <c r="F2972" i="3"/>
  <c r="G2971" i="3"/>
  <c r="F2971" i="3"/>
  <c r="G2970" i="3"/>
  <c r="F2970" i="3"/>
  <c r="G2969" i="3"/>
  <c r="F2969" i="3"/>
  <c r="G2968" i="3"/>
  <c r="F2968" i="3"/>
  <c r="G2967" i="3"/>
  <c r="F2967" i="3"/>
  <c r="G2966" i="3"/>
  <c r="F2966" i="3"/>
  <c r="G2965" i="3"/>
  <c r="F2965" i="3"/>
  <c r="G2964" i="3"/>
  <c r="F2964" i="3"/>
  <c r="G2963" i="3"/>
  <c r="F2963" i="3"/>
  <c r="G2962" i="3"/>
  <c r="F2962" i="3"/>
  <c r="G2961" i="3"/>
  <c r="F2961" i="3"/>
  <c r="G2960" i="3"/>
  <c r="F2960" i="3"/>
  <c r="G2959" i="3"/>
  <c r="F2959" i="3"/>
  <c r="G2958" i="3"/>
  <c r="F2958" i="3"/>
  <c r="G2957" i="3"/>
  <c r="F2957" i="3"/>
  <c r="G2956" i="3"/>
  <c r="F2956" i="3"/>
  <c r="G2955" i="3"/>
  <c r="F2955" i="3"/>
  <c r="G2954" i="3"/>
  <c r="F2954" i="3"/>
  <c r="G2953" i="3"/>
  <c r="F2953" i="3"/>
  <c r="G2952" i="3"/>
  <c r="F2952" i="3"/>
  <c r="G2951" i="3"/>
  <c r="F2951" i="3"/>
  <c r="G2950" i="3"/>
  <c r="F2950" i="3"/>
  <c r="G2949" i="3"/>
  <c r="F2949" i="3"/>
  <c r="G2948" i="3"/>
  <c r="F2948" i="3"/>
  <c r="G2947" i="3"/>
  <c r="F2947" i="3"/>
  <c r="G2946" i="3"/>
  <c r="F2946" i="3"/>
  <c r="G2945" i="3"/>
  <c r="F2945" i="3"/>
  <c r="G2944" i="3"/>
  <c r="F2944" i="3"/>
  <c r="G2943" i="3"/>
  <c r="F2943" i="3"/>
  <c r="G2942" i="3"/>
  <c r="F2942" i="3"/>
  <c r="G2941" i="3"/>
  <c r="F2941" i="3"/>
  <c r="G2940" i="3"/>
  <c r="F2940" i="3"/>
  <c r="G2939" i="3"/>
  <c r="F2939" i="3"/>
  <c r="G2938" i="3"/>
  <c r="F2938" i="3"/>
  <c r="G2937" i="3"/>
  <c r="F2937" i="3"/>
  <c r="G2936" i="3"/>
  <c r="F2936" i="3"/>
  <c r="F3882" i="3"/>
  <c r="G3882" i="3"/>
  <c r="F3883" i="3"/>
  <c r="G3883" i="3"/>
  <c r="F3884" i="3"/>
  <c r="G3884" i="3"/>
  <c r="F3885" i="3"/>
  <c r="G3885" i="3"/>
  <c r="F3886" i="3"/>
  <c r="G3886" i="3"/>
  <c r="F3887" i="3"/>
  <c r="G3887" i="3"/>
  <c r="F3888" i="3"/>
  <c r="G3888" i="3"/>
  <c r="F3889" i="3"/>
  <c r="G3889" i="3"/>
  <c r="F3890" i="3"/>
  <c r="G3890" i="3"/>
  <c r="F3891" i="3"/>
  <c r="G3891" i="3"/>
  <c r="F3892" i="3"/>
  <c r="G3892" i="3"/>
  <c r="F3893" i="3"/>
  <c r="G3893" i="3"/>
  <c r="F3894" i="3"/>
  <c r="G3894" i="3"/>
  <c r="F3895" i="3"/>
  <c r="G3895" i="3"/>
  <c r="G3881" i="3"/>
  <c r="F3881" i="3"/>
  <c r="G4045" i="3"/>
  <c r="F4045" i="3"/>
  <c r="G4044" i="3"/>
  <c r="F4044" i="3"/>
  <c r="G4043" i="3"/>
  <c r="F4043" i="3"/>
  <c r="G4042" i="3"/>
  <c r="F4042" i="3"/>
  <c r="G4041" i="3"/>
  <c r="F4041" i="3"/>
  <c r="G4040" i="3"/>
  <c r="F4040" i="3"/>
  <c r="G4039" i="3"/>
  <c r="F4039" i="3"/>
  <c r="G4038" i="3"/>
  <c r="F4038" i="3"/>
  <c r="G4037" i="3"/>
  <c r="F4037" i="3"/>
  <c r="G4036" i="3"/>
  <c r="F4036" i="3"/>
  <c r="G4035" i="3"/>
  <c r="F4035" i="3"/>
  <c r="G4034" i="3"/>
  <c r="F4034" i="3"/>
  <c r="G4033" i="3"/>
  <c r="F4033" i="3"/>
  <c r="G4032" i="3"/>
  <c r="F4032" i="3"/>
  <c r="G4031" i="3"/>
  <c r="F4031" i="3"/>
  <c r="G4030" i="3"/>
  <c r="F4030" i="3"/>
  <c r="G4029" i="3"/>
  <c r="F4029" i="3"/>
  <c r="G4028" i="3"/>
  <c r="F4028" i="3"/>
  <c r="G4027" i="3"/>
  <c r="F4027" i="3"/>
  <c r="G4026" i="3"/>
  <c r="F4026" i="3"/>
  <c r="G4025" i="3"/>
  <c r="F4025" i="3"/>
  <c r="G4024" i="3"/>
  <c r="F4024" i="3"/>
  <c r="G4023" i="3"/>
  <c r="F4023" i="3"/>
  <c r="G4022" i="3"/>
  <c r="F4022" i="3"/>
  <c r="G4021" i="3"/>
  <c r="F4021" i="3"/>
  <c r="G4020" i="3"/>
  <c r="F4020" i="3"/>
  <c r="G4019" i="3"/>
  <c r="F4019" i="3"/>
  <c r="G4018" i="3"/>
  <c r="F4018" i="3"/>
  <c r="G4017" i="3"/>
  <c r="F4017" i="3"/>
  <c r="G4016" i="3"/>
  <c r="F4016" i="3"/>
  <c r="G4015" i="3"/>
  <c r="F4015" i="3"/>
  <c r="G4014" i="3"/>
  <c r="F4014" i="3"/>
  <c r="G4013" i="3"/>
  <c r="F4013" i="3"/>
  <c r="G4012" i="3"/>
  <c r="F4012" i="3"/>
  <c r="G4011" i="3"/>
  <c r="F4011" i="3"/>
  <c r="G4010" i="3"/>
  <c r="F4010" i="3"/>
  <c r="G4009" i="3"/>
  <c r="F4009" i="3"/>
  <c r="G4008" i="3"/>
  <c r="F4008" i="3"/>
  <c r="G4007" i="3"/>
  <c r="F4007" i="3"/>
  <c r="G4006" i="3"/>
  <c r="F4006" i="3"/>
  <c r="G4005" i="3"/>
  <c r="F4005" i="3"/>
  <c r="G4004" i="3"/>
  <c r="F4004" i="3"/>
  <c r="G4003" i="3"/>
  <c r="F4003" i="3"/>
  <c r="G4002" i="3"/>
  <c r="F4002" i="3"/>
  <c r="G4001" i="3"/>
  <c r="F4001" i="3"/>
  <c r="G3955" i="3"/>
  <c r="F3955" i="3"/>
  <c r="G3954" i="3"/>
  <c r="F3954" i="3"/>
  <c r="G3953" i="3"/>
  <c r="F3953" i="3"/>
  <c r="G3952" i="3"/>
  <c r="F3952" i="3"/>
  <c r="G3951" i="3"/>
  <c r="F3951" i="3"/>
  <c r="G3950" i="3"/>
  <c r="F3950" i="3"/>
  <c r="G3949" i="3"/>
  <c r="F3949" i="3"/>
  <c r="G3948" i="3"/>
  <c r="F3948" i="3"/>
  <c r="G3947" i="3"/>
  <c r="F3947" i="3"/>
  <c r="G3946" i="3"/>
  <c r="F3946" i="3"/>
  <c r="G3945" i="3"/>
  <c r="F3945" i="3"/>
  <c r="G3944" i="3"/>
  <c r="F3944" i="3"/>
  <c r="G3943" i="3"/>
  <c r="F3943" i="3"/>
  <c r="G3942" i="3"/>
  <c r="F3942" i="3"/>
  <c r="G3941" i="3"/>
  <c r="F3941" i="3"/>
  <c r="G3940" i="3"/>
  <c r="F3940" i="3"/>
  <c r="G3939" i="3"/>
  <c r="F3939" i="3"/>
  <c r="G3938" i="3"/>
  <c r="F3938" i="3"/>
  <c r="G3937" i="3"/>
  <c r="F3937" i="3"/>
  <c r="G3936" i="3"/>
  <c r="F3936" i="3"/>
  <c r="G3935" i="3"/>
  <c r="F3935" i="3"/>
  <c r="G3934" i="3"/>
  <c r="F3934" i="3"/>
  <c r="G3933" i="3"/>
  <c r="F3933" i="3"/>
  <c r="G3932" i="3"/>
  <c r="F3932" i="3"/>
  <c r="G3931" i="3"/>
  <c r="F3931" i="3"/>
  <c r="G3930" i="3"/>
  <c r="F3930" i="3"/>
  <c r="G3929" i="3"/>
  <c r="F3929" i="3"/>
  <c r="G3928" i="3"/>
  <c r="F3928" i="3"/>
  <c r="G3927" i="3"/>
  <c r="F3927" i="3"/>
  <c r="G3926" i="3"/>
  <c r="F3926" i="3"/>
  <c r="G3925" i="3"/>
  <c r="F3925" i="3"/>
  <c r="G3924" i="3"/>
  <c r="F3924" i="3"/>
  <c r="G3923" i="3"/>
  <c r="F3923" i="3"/>
  <c r="G3922" i="3"/>
  <c r="F3922" i="3"/>
  <c r="G3921" i="3"/>
  <c r="F3921" i="3"/>
  <c r="G3920" i="3"/>
  <c r="F3920" i="3"/>
  <c r="G3919" i="3"/>
  <c r="F3919" i="3"/>
  <c r="G3918" i="3"/>
  <c r="F3918" i="3"/>
  <c r="G3917" i="3"/>
  <c r="F3917" i="3"/>
  <c r="G3916" i="3"/>
  <c r="F3916" i="3"/>
  <c r="G3915" i="3"/>
  <c r="F3915" i="3"/>
  <c r="G3914" i="3"/>
  <c r="F3914" i="3"/>
  <c r="G3913" i="3"/>
  <c r="F3913" i="3"/>
  <c r="G3912" i="3"/>
  <c r="F3912" i="3"/>
  <c r="G3911" i="3"/>
  <c r="F3911" i="3"/>
  <c r="J3521" i="3"/>
  <c r="J3761" i="3"/>
  <c r="G3805" i="3"/>
  <c r="F3805" i="3"/>
  <c r="G3804" i="3"/>
  <c r="F3804" i="3"/>
  <c r="G3803" i="3"/>
  <c r="F3803" i="3"/>
  <c r="G3802" i="3"/>
  <c r="F3802" i="3"/>
  <c r="G3801" i="3"/>
  <c r="F3801" i="3"/>
  <c r="G3800" i="3"/>
  <c r="F3800" i="3"/>
  <c r="G3799" i="3"/>
  <c r="F3799" i="3"/>
  <c r="G3798" i="3"/>
  <c r="F3798" i="3"/>
  <c r="G3797" i="3"/>
  <c r="F3797" i="3"/>
  <c r="G3796" i="3"/>
  <c r="F3796" i="3"/>
  <c r="G3795" i="3"/>
  <c r="F3795" i="3"/>
  <c r="G3794" i="3"/>
  <c r="F3794" i="3"/>
  <c r="G3793" i="3"/>
  <c r="F3793" i="3"/>
  <c r="G3792" i="3"/>
  <c r="F3792" i="3"/>
  <c r="G3791" i="3"/>
  <c r="F3791" i="3"/>
  <c r="G3790" i="3"/>
  <c r="F3790" i="3"/>
  <c r="G3789" i="3"/>
  <c r="F3789" i="3"/>
  <c r="G3788" i="3"/>
  <c r="F3788" i="3"/>
  <c r="G3787" i="3"/>
  <c r="F3787" i="3"/>
  <c r="G3786" i="3"/>
  <c r="F3786" i="3"/>
  <c r="G3785" i="3"/>
  <c r="F3785" i="3"/>
  <c r="G3784" i="3"/>
  <c r="F3784" i="3"/>
  <c r="G3783" i="3"/>
  <c r="F3783" i="3"/>
  <c r="G3782" i="3"/>
  <c r="F3782" i="3"/>
  <c r="G3781" i="3"/>
  <c r="F3781" i="3"/>
  <c r="G3780" i="3"/>
  <c r="F3780" i="3"/>
  <c r="G3779" i="3"/>
  <c r="F3779" i="3"/>
  <c r="G3778" i="3"/>
  <c r="F3778" i="3"/>
  <c r="G3777" i="3"/>
  <c r="F3777" i="3"/>
  <c r="G3776" i="3"/>
  <c r="F3776" i="3"/>
  <c r="G3775" i="3"/>
  <c r="F3775" i="3"/>
  <c r="G3774" i="3"/>
  <c r="F3774" i="3"/>
  <c r="G3773" i="3"/>
  <c r="F3773" i="3"/>
  <c r="G3772" i="3"/>
  <c r="F3772" i="3"/>
  <c r="G3771" i="3"/>
  <c r="F3771" i="3"/>
  <c r="G3770" i="3"/>
  <c r="F3770" i="3"/>
  <c r="G3769" i="3"/>
  <c r="F3769" i="3"/>
  <c r="G3768" i="3"/>
  <c r="F3768" i="3"/>
  <c r="G3767" i="3"/>
  <c r="F3767" i="3"/>
  <c r="G3766" i="3"/>
  <c r="F3766" i="3"/>
  <c r="G3765" i="3"/>
  <c r="F3765" i="3"/>
  <c r="G3764" i="3"/>
  <c r="F3764" i="3"/>
  <c r="G3763" i="3"/>
  <c r="F3763" i="3"/>
  <c r="G3762" i="3"/>
  <c r="F3762" i="3"/>
  <c r="G3761" i="3"/>
  <c r="F3761" i="3"/>
  <c r="J3671" i="3"/>
  <c r="G3715" i="3"/>
  <c r="F3715" i="3"/>
  <c r="G3714" i="3"/>
  <c r="F3714" i="3"/>
  <c r="G3713" i="3"/>
  <c r="F3713" i="3"/>
  <c r="G3712" i="3"/>
  <c r="F3712" i="3"/>
  <c r="G3711" i="3"/>
  <c r="F3711" i="3"/>
  <c r="G3710" i="3"/>
  <c r="F3710" i="3"/>
  <c r="G3709" i="3"/>
  <c r="F3709" i="3"/>
  <c r="G3708" i="3"/>
  <c r="F3708" i="3"/>
  <c r="G3707" i="3"/>
  <c r="F3707" i="3"/>
  <c r="G3706" i="3"/>
  <c r="F3706" i="3"/>
  <c r="G3705" i="3"/>
  <c r="F3705" i="3"/>
  <c r="G3704" i="3"/>
  <c r="F3704" i="3"/>
  <c r="G3703" i="3"/>
  <c r="F3703" i="3"/>
  <c r="G3702" i="3"/>
  <c r="F3702" i="3"/>
  <c r="G3701" i="3"/>
  <c r="F3701" i="3"/>
  <c r="G3700" i="3"/>
  <c r="F3700" i="3"/>
  <c r="G3699" i="3"/>
  <c r="F3699" i="3"/>
  <c r="G3698" i="3"/>
  <c r="F3698" i="3"/>
  <c r="G3697" i="3"/>
  <c r="F3697" i="3"/>
  <c r="G3696" i="3"/>
  <c r="F3696" i="3"/>
  <c r="G3695" i="3"/>
  <c r="F3695" i="3"/>
  <c r="G3694" i="3"/>
  <c r="F3694" i="3"/>
  <c r="G3693" i="3"/>
  <c r="F3693" i="3"/>
  <c r="G3692" i="3"/>
  <c r="F3692" i="3"/>
  <c r="G3691" i="3"/>
  <c r="F3691" i="3"/>
  <c r="G3690" i="3"/>
  <c r="F3690" i="3"/>
  <c r="G3689" i="3"/>
  <c r="F3689" i="3"/>
  <c r="G3688" i="3"/>
  <c r="F3688" i="3"/>
  <c r="G3687" i="3"/>
  <c r="F3687" i="3"/>
  <c r="G3686" i="3"/>
  <c r="F3686" i="3"/>
  <c r="G3685" i="3"/>
  <c r="F3685" i="3"/>
  <c r="G3684" i="3"/>
  <c r="F3684" i="3"/>
  <c r="G3683" i="3"/>
  <c r="F3683" i="3"/>
  <c r="G3682" i="3"/>
  <c r="F3682" i="3"/>
  <c r="G3681" i="3"/>
  <c r="F3681" i="3"/>
  <c r="G3680" i="3"/>
  <c r="F3680" i="3"/>
  <c r="G3679" i="3"/>
  <c r="F3679" i="3"/>
  <c r="G3678" i="3"/>
  <c r="F3678" i="3"/>
  <c r="G3677" i="3"/>
  <c r="F3677" i="3"/>
  <c r="G3676" i="3"/>
  <c r="F3676" i="3"/>
  <c r="G3675" i="3"/>
  <c r="F3675" i="3"/>
  <c r="G3674" i="3"/>
  <c r="F3674" i="3"/>
  <c r="G3673" i="3"/>
  <c r="F3673" i="3"/>
  <c r="G3672" i="3"/>
  <c r="F3672" i="3"/>
  <c r="G3671" i="3"/>
  <c r="F3671" i="3"/>
  <c r="I3611" i="3"/>
  <c r="J3596" i="3"/>
  <c r="G3625" i="3"/>
  <c r="F3625" i="3"/>
  <c r="G3624" i="3"/>
  <c r="F3624" i="3"/>
  <c r="G3623" i="3"/>
  <c r="F3623" i="3"/>
  <c r="G3622" i="3"/>
  <c r="F3622" i="3"/>
  <c r="G3621" i="3"/>
  <c r="F3621" i="3"/>
  <c r="G3620" i="3"/>
  <c r="F3620" i="3"/>
  <c r="G3619" i="3"/>
  <c r="F3619" i="3"/>
  <c r="G3618" i="3"/>
  <c r="F3618" i="3"/>
  <c r="G3617" i="3"/>
  <c r="F3617" i="3"/>
  <c r="G3616" i="3"/>
  <c r="F3616" i="3"/>
  <c r="G3615" i="3"/>
  <c r="F3615" i="3"/>
  <c r="G3614" i="3"/>
  <c r="F3614" i="3"/>
  <c r="G3613" i="3"/>
  <c r="F3613" i="3"/>
  <c r="G3612" i="3"/>
  <c r="F3612" i="3"/>
  <c r="G3611" i="3"/>
  <c r="F3611" i="3"/>
  <c r="G3610" i="3"/>
  <c r="F3610" i="3"/>
  <c r="G3609" i="3"/>
  <c r="F3609" i="3"/>
  <c r="G3608" i="3"/>
  <c r="F3608" i="3"/>
  <c r="G3607" i="3"/>
  <c r="F3607" i="3"/>
  <c r="G3606" i="3"/>
  <c r="F3606" i="3"/>
  <c r="G3605" i="3"/>
  <c r="F3605" i="3"/>
  <c r="G3604" i="3"/>
  <c r="F3604" i="3"/>
  <c r="G3603" i="3"/>
  <c r="F3603" i="3"/>
  <c r="G3602" i="3"/>
  <c r="F3602" i="3"/>
  <c r="G3601" i="3"/>
  <c r="F3601" i="3"/>
  <c r="G3600" i="3"/>
  <c r="F3600" i="3"/>
  <c r="G3599" i="3"/>
  <c r="F3599" i="3"/>
  <c r="G3598" i="3"/>
  <c r="F3598" i="3"/>
  <c r="G3597" i="3"/>
  <c r="F3597" i="3"/>
  <c r="G3596" i="3"/>
  <c r="F3596" i="3"/>
  <c r="G3595" i="3"/>
  <c r="F3595" i="3"/>
  <c r="G3594" i="3"/>
  <c r="F3594" i="3"/>
  <c r="G3593" i="3"/>
  <c r="F3593" i="3"/>
  <c r="G3592" i="3"/>
  <c r="F3592" i="3"/>
  <c r="G3591" i="3"/>
  <c r="F3591" i="3"/>
  <c r="G3590" i="3"/>
  <c r="F3590" i="3"/>
  <c r="G3589" i="3"/>
  <c r="F3589" i="3"/>
  <c r="G3588" i="3"/>
  <c r="F3588" i="3"/>
  <c r="G3587" i="3"/>
  <c r="F3587" i="3"/>
  <c r="G3586" i="3"/>
  <c r="F3586" i="3"/>
  <c r="G3585" i="3"/>
  <c r="F3585" i="3"/>
  <c r="G3584" i="3"/>
  <c r="F3584" i="3"/>
  <c r="G3583" i="3"/>
  <c r="F3583" i="3"/>
  <c r="G3582" i="3"/>
  <c r="F3582" i="3"/>
  <c r="G3581" i="3"/>
  <c r="F3581" i="3"/>
  <c r="G3535" i="3"/>
  <c r="F3535" i="3"/>
  <c r="G3534" i="3"/>
  <c r="F3534" i="3"/>
  <c r="G3533" i="3"/>
  <c r="F3533" i="3"/>
  <c r="G3532" i="3"/>
  <c r="F3532" i="3"/>
  <c r="G3531" i="3"/>
  <c r="F3531" i="3"/>
  <c r="G3530" i="3"/>
  <c r="F3530" i="3"/>
  <c r="G3529" i="3"/>
  <c r="F3529" i="3"/>
  <c r="G3528" i="3"/>
  <c r="F3528" i="3"/>
  <c r="G3527" i="3"/>
  <c r="F3527" i="3"/>
  <c r="G3526" i="3"/>
  <c r="F3526" i="3"/>
  <c r="G3525" i="3"/>
  <c r="F3525" i="3"/>
  <c r="G3524" i="3"/>
  <c r="F3524" i="3"/>
  <c r="G3523" i="3"/>
  <c r="F3523" i="3"/>
  <c r="G3522" i="3"/>
  <c r="F3522" i="3"/>
  <c r="G3521" i="3"/>
  <c r="F3521" i="3"/>
  <c r="G3520" i="3"/>
  <c r="F3520" i="3"/>
  <c r="G3519" i="3"/>
  <c r="F3519" i="3"/>
  <c r="G3518" i="3"/>
  <c r="F3518" i="3"/>
  <c r="G3517" i="3"/>
  <c r="F3517" i="3"/>
  <c r="G3516" i="3"/>
  <c r="F3516" i="3"/>
  <c r="G3515" i="3"/>
  <c r="F3515" i="3"/>
  <c r="G3514" i="3"/>
  <c r="F3514" i="3"/>
  <c r="G3513" i="3"/>
  <c r="F3513" i="3"/>
  <c r="G3512" i="3"/>
  <c r="F3512" i="3"/>
  <c r="G3511" i="3"/>
  <c r="F3511" i="3"/>
  <c r="G3510" i="3"/>
  <c r="F3510" i="3"/>
  <c r="G3509" i="3"/>
  <c r="F3509" i="3"/>
  <c r="G3508" i="3"/>
  <c r="F3508" i="3"/>
  <c r="G3507" i="3"/>
  <c r="F3507" i="3"/>
  <c r="G3506" i="3"/>
  <c r="F3506" i="3"/>
  <c r="G3505" i="3"/>
  <c r="F3505" i="3"/>
  <c r="G3504" i="3"/>
  <c r="F3504" i="3"/>
  <c r="G3503" i="3"/>
  <c r="F3503" i="3"/>
  <c r="G3502" i="3"/>
  <c r="F3502" i="3"/>
  <c r="G3501" i="3"/>
  <c r="F3501" i="3"/>
  <c r="G3500" i="3"/>
  <c r="F3500" i="3"/>
  <c r="G3499" i="3"/>
  <c r="F3499" i="3"/>
  <c r="G3498" i="3"/>
  <c r="F3498" i="3"/>
  <c r="G3497" i="3"/>
  <c r="F3497" i="3"/>
  <c r="G3496" i="3"/>
  <c r="F3496" i="3"/>
  <c r="G3495" i="3"/>
  <c r="F3495" i="3"/>
  <c r="G3494" i="3"/>
  <c r="F3494" i="3"/>
  <c r="G3493" i="3"/>
  <c r="F3493" i="3"/>
  <c r="G3492" i="3"/>
  <c r="F3492" i="3"/>
  <c r="G3491" i="3"/>
  <c r="F3491" i="3"/>
  <c r="G3445" i="3"/>
  <c r="F3445" i="3"/>
  <c r="G3444" i="3"/>
  <c r="F3444" i="3"/>
  <c r="G3443" i="3"/>
  <c r="F3443" i="3"/>
  <c r="G3442" i="3"/>
  <c r="F3442" i="3"/>
  <c r="G3441" i="3"/>
  <c r="F3441" i="3"/>
  <c r="G3440" i="3"/>
  <c r="F3440" i="3"/>
  <c r="G3439" i="3"/>
  <c r="F3439" i="3"/>
  <c r="G3438" i="3"/>
  <c r="F3438" i="3"/>
  <c r="G3437" i="3"/>
  <c r="F3437" i="3"/>
  <c r="G3436" i="3"/>
  <c r="F3436" i="3"/>
  <c r="G3435" i="3"/>
  <c r="F3435" i="3"/>
  <c r="G3434" i="3"/>
  <c r="F3434" i="3"/>
  <c r="G3433" i="3"/>
  <c r="F3433" i="3"/>
  <c r="G3432" i="3"/>
  <c r="F3432" i="3"/>
  <c r="G3431" i="3"/>
  <c r="F3431" i="3"/>
  <c r="G3430" i="3"/>
  <c r="F3430" i="3"/>
  <c r="G3429" i="3"/>
  <c r="F3429" i="3"/>
  <c r="G3428" i="3"/>
  <c r="F3428" i="3"/>
  <c r="G3427" i="3"/>
  <c r="F3427" i="3"/>
  <c r="G3426" i="3"/>
  <c r="F3426" i="3"/>
  <c r="G3425" i="3"/>
  <c r="F3425" i="3"/>
  <c r="G3424" i="3"/>
  <c r="F3424" i="3"/>
  <c r="G3423" i="3"/>
  <c r="F3423" i="3"/>
  <c r="G3422" i="3"/>
  <c r="F3422" i="3"/>
  <c r="G3421" i="3"/>
  <c r="F3421" i="3"/>
  <c r="G3420" i="3"/>
  <c r="F3420" i="3"/>
  <c r="G3419" i="3"/>
  <c r="F3419" i="3"/>
  <c r="G3418" i="3"/>
  <c r="F3418" i="3"/>
  <c r="G3417" i="3"/>
  <c r="F3417" i="3"/>
  <c r="G3416" i="3"/>
  <c r="F3416" i="3"/>
  <c r="G3415" i="3"/>
  <c r="F3415" i="3"/>
  <c r="G3414" i="3"/>
  <c r="F3414" i="3"/>
  <c r="G3413" i="3"/>
  <c r="F3413" i="3"/>
  <c r="G3412" i="3"/>
  <c r="F3412" i="3"/>
  <c r="G3411" i="3"/>
  <c r="F3411" i="3"/>
  <c r="G3410" i="3"/>
  <c r="F3410" i="3"/>
  <c r="G3409" i="3"/>
  <c r="F3409" i="3"/>
  <c r="G3408" i="3"/>
  <c r="F3408" i="3"/>
  <c r="G3407" i="3"/>
  <c r="F3407" i="3"/>
  <c r="G3406" i="3"/>
  <c r="F3406" i="3"/>
  <c r="G3405" i="3"/>
  <c r="F3405" i="3"/>
  <c r="G3404" i="3"/>
  <c r="F3404" i="3"/>
  <c r="G3403" i="3"/>
  <c r="F3403" i="3"/>
  <c r="G3402" i="3"/>
  <c r="F3402" i="3"/>
  <c r="G3401" i="3"/>
  <c r="F3401" i="3"/>
  <c r="G3355" i="3"/>
  <c r="F3355" i="3"/>
  <c r="G3354" i="3"/>
  <c r="F3354" i="3"/>
  <c r="G3353" i="3"/>
  <c r="F3353" i="3"/>
  <c r="G3352" i="3"/>
  <c r="F3352" i="3"/>
  <c r="G3351" i="3"/>
  <c r="F3351" i="3"/>
  <c r="G3350" i="3"/>
  <c r="F3350" i="3"/>
  <c r="G3349" i="3"/>
  <c r="F3349" i="3"/>
  <c r="G3348" i="3"/>
  <c r="F3348" i="3"/>
  <c r="G3347" i="3"/>
  <c r="F3347" i="3"/>
  <c r="G3346" i="3"/>
  <c r="F3346" i="3"/>
  <c r="G3345" i="3"/>
  <c r="F3345" i="3"/>
  <c r="G3344" i="3"/>
  <c r="F3344" i="3"/>
  <c r="G3343" i="3"/>
  <c r="F3343" i="3"/>
  <c r="G3342" i="3"/>
  <c r="F3342" i="3"/>
  <c r="G3341" i="3"/>
  <c r="F3341" i="3"/>
  <c r="G3325" i="3"/>
  <c r="F3325" i="3"/>
  <c r="G3324" i="3"/>
  <c r="F3324" i="3"/>
  <c r="G3323" i="3"/>
  <c r="F3323" i="3"/>
  <c r="G3322" i="3"/>
  <c r="F3322" i="3"/>
  <c r="G3321" i="3"/>
  <c r="F3321" i="3"/>
  <c r="G3320" i="3"/>
  <c r="F3320" i="3"/>
  <c r="G3319" i="3"/>
  <c r="F3319" i="3"/>
  <c r="G3318" i="3"/>
  <c r="F3318" i="3"/>
  <c r="G3317" i="3"/>
  <c r="F3317" i="3"/>
  <c r="G3316" i="3"/>
  <c r="F3316" i="3"/>
  <c r="G3315" i="3"/>
  <c r="F3315" i="3"/>
  <c r="G3314" i="3"/>
  <c r="F3314" i="3"/>
  <c r="G3313" i="3"/>
  <c r="F3313" i="3"/>
  <c r="G3312" i="3"/>
  <c r="F3312" i="3"/>
  <c r="G3311" i="3"/>
  <c r="F3311" i="3"/>
  <c r="D3296" i="3" a="1"/>
  <c r="D2966" i="3" a="1"/>
  <c r="D2951" i="3" a="1"/>
  <c r="D3011" i="3" a="1"/>
  <c r="D3011" i="3" l="1"/>
  <c r="D3296" i="3"/>
  <c r="I3296" i="3" s="1"/>
  <c r="D2951" i="3"/>
  <c r="D2966" i="3"/>
  <c r="J2966" i="3" s="1"/>
  <c r="D3896" i="3"/>
  <c r="J3581" i="3"/>
  <c r="J3686" i="3"/>
  <c r="C5" i="117"/>
  <c r="J3911" i="3"/>
  <c r="D2996" i="3"/>
  <c r="H3431" i="3"/>
  <c r="J3506" i="3"/>
  <c r="I3761" i="3"/>
  <c r="H3311" i="3"/>
  <c r="H3341" i="3"/>
  <c r="H3326" i="3"/>
  <c r="I3326" i="3"/>
  <c r="J3896" i="3" l="1"/>
  <c r="H6363" i="3"/>
  <c r="J6374" i="3"/>
  <c r="H6371" i="3"/>
  <c r="I6375" i="3"/>
  <c r="H6373" i="3"/>
  <c r="H6370" i="3"/>
  <c r="J6372" i="3"/>
  <c r="J6369" i="3"/>
  <c r="H3296" i="3"/>
  <c r="J3296" i="3"/>
  <c r="J3252" i="3"/>
  <c r="I3252" i="3"/>
  <c r="H3252" i="3"/>
  <c r="J3267" i="3"/>
  <c r="I3267" i="3"/>
  <c r="H3267" i="3"/>
  <c r="J3282" i="3"/>
  <c r="I3282" i="3"/>
  <c r="H3282" i="3"/>
  <c r="I3911" i="3"/>
  <c r="I3852" i="3"/>
  <c r="H3852" i="3"/>
  <c r="J3852" i="3"/>
  <c r="J3131" i="3"/>
  <c r="I3176" i="3"/>
  <c r="H3161" i="3"/>
  <c r="J3146" i="3"/>
  <c r="I3671" i="3"/>
  <c r="J3941" i="3"/>
  <c r="J4031" i="3"/>
  <c r="I4001" i="3"/>
  <c r="J4016" i="3"/>
  <c r="J3926" i="3"/>
  <c r="J3701" i="3"/>
  <c r="J3791" i="3"/>
  <c r="J3776" i="3"/>
  <c r="J3611" i="3"/>
  <c r="J3491" i="3"/>
  <c r="J3401" i="3"/>
  <c r="J3416" i="3"/>
  <c r="J3431" i="3"/>
  <c r="J3341" i="3"/>
  <c r="J3311" i="3"/>
  <c r="H3911" i="3"/>
  <c r="I3791" i="3"/>
  <c r="H3791" i="3"/>
  <c r="H3611" i="3"/>
  <c r="H3521" i="3"/>
  <c r="I3521" i="3"/>
  <c r="I3686" i="3"/>
  <c r="H3686" i="3"/>
  <c r="H3596" i="3"/>
  <c r="I3596" i="3"/>
  <c r="I3506" i="3"/>
  <c r="H3506" i="3"/>
  <c r="H3761" i="3"/>
  <c r="H3671" i="3"/>
  <c r="I3581" i="3"/>
  <c r="H3581" i="3"/>
  <c r="I3431" i="3"/>
  <c r="I3341" i="3"/>
  <c r="I3146" i="3"/>
  <c r="H3146" i="3"/>
  <c r="I6366" i="3"/>
  <c r="H3896" i="3"/>
  <c r="I3896" i="3"/>
  <c r="C24" i="76" l="1"/>
  <c r="B24" i="76"/>
  <c r="J6366" i="3"/>
  <c r="H6366" i="3"/>
  <c r="I6373" i="3"/>
  <c r="J6373" i="3"/>
  <c r="I6372" i="3"/>
  <c r="I6363" i="3"/>
  <c r="J6363" i="3"/>
  <c r="J6370" i="3"/>
  <c r="I6370" i="3"/>
  <c r="H6372" i="3"/>
  <c r="H6375" i="3"/>
  <c r="J6375" i="3"/>
  <c r="H6374" i="3"/>
  <c r="I6374" i="3"/>
  <c r="H6364" i="3"/>
  <c r="J6364" i="3"/>
  <c r="I6364" i="3"/>
  <c r="I6367" i="3"/>
  <c r="H6367" i="3"/>
  <c r="J6367" i="3"/>
  <c r="I6376" i="3"/>
  <c r="J6376" i="3"/>
  <c r="H6376" i="3"/>
  <c r="J6371" i="3"/>
  <c r="I6371" i="3"/>
  <c r="H6369" i="3"/>
  <c r="I6369" i="3"/>
  <c r="J6368" i="3"/>
  <c r="H6368" i="3"/>
  <c r="I6368" i="3"/>
  <c r="I6365" i="3"/>
  <c r="J6365" i="3"/>
  <c r="H6365" i="3"/>
  <c r="J6377" i="3"/>
  <c r="H6377" i="3"/>
  <c r="I6377" i="3"/>
  <c r="I3161" i="3"/>
  <c r="I4031" i="3"/>
  <c r="I3131" i="3"/>
  <c r="I4016" i="3"/>
  <c r="H3131" i="3"/>
  <c r="I3776" i="3"/>
  <c r="H4001" i="3"/>
  <c r="H4031" i="3"/>
  <c r="J3161" i="3"/>
  <c r="H3416" i="3"/>
  <c r="I3401" i="3"/>
  <c r="I3491" i="3"/>
  <c r="H3491" i="3"/>
  <c r="I3926" i="3"/>
  <c r="H3926" i="3"/>
  <c r="I3701" i="3"/>
  <c r="H3176" i="3"/>
  <c r="I3941" i="3"/>
  <c r="H3941" i="3"/>
  <c r="H2966" i="3"/>
  <c r="I2966" i="3"/>
  <c r="G6" i="133" a="1"/>
  <c r="E12" i="133" a="1"/>
  <c r="G9" i="133" a="1"/>
  <c r="H7" i="133" a="1"/>
  <c r="H5" i="133" a="1"/>
  <c r="I4656" i="3"/>
  <c r="G7" i="133" a="1"/>
  <c r="G5" i="133" a="1"/>
  <c r="H4656" i="3"/>
  <c r="F12" i="133" a="1"/>
  <c r="H4655" i="3"/>
  <c r="H11" i="133" a="1"/>
  <c r="H8" i="133" a="1"/>
  <c r="H6" i="133" a="1"/>
  <c r="G10" i="133" a="1"/>
  <c r="H13" i="133" a="1"/>
  <c r="G11" i="133" a="1"/>
  <c r="I4655" i="3"/>
  <c r="H9" i="133" a="1"/>
  <c r="H10" i="133" a="1"/>
  <c r="G13" i="133" a="1"/>
  <c r="G8" i="133" a="1"/>
  <c r="G8" i="133" l="1"/>
  <c r="G13" i="133"/>
  <c r="H10" i="133"/>
  <c r="H9" i="133"/>
  <c r="G11" i="133"/>
  <c r="H13" i="133"/>
  <c r="G10" i="133"/>
  <c r="H6" i="133"/>
  <c r="H8" i="133"/>
  <c r="H11" i="133"/>
  <c r="F12" i="133"/>
  <c r="G5" i="133"/>
  <c r="G64" i="133" s="1"/>
  <c r="G7" i="133"/>
  <c r="H5" i="133"/>
  <c r="H64" i="133" s="1"/>
  <c r="H7" i="133"/>
  <c r="G9" i="133"/>
  <c r="E12" i="133"/>
  <c r="G6" i="133"/>
  <c r="D24" i="76"/>
  <c r="J3176" i="3"/>
  <c r="H3401" i="3"/>
  <c r="E9" i="133" a="1"/>
  <c r="E6" i="133" a="1"/>
  <c r="E5" i="133" a="1"/>
  <c r="E11" i="133" a="1"/>
  <c r="H7060" i="3"/>
  <c r="F6" i="133" a="1"/>
  <c r="D9" i="133" a="1"/>
  <c r="E10" i="133" a="1"/>
  <c r="F9" i="133" a="1"/>
  <c r="H4654" i="3"/>
  <c r="D13" i="133" a="1"/>
  <c r="D12" i="133" a="1"/>
  <c r="F7" i="133" a="1"/>
  <c r="I7061" i="3"/>
  <c r="D8" i="133" a="1"/>
  <c r="E7" i="133" a="1"/>
  <c r="F13" i="133" a="1"/>
  <c r="I7060" i="3"/>
  <c r="D7" i="133" a="1"/>
  <c r="F10" i="133" a="1"/>
  <c r="D10" i="133" a="1"/>
  <c r="F5" i="133" a="1"/>
  <c r="D11" i="133" a="1"/>
  <c r="I4654" i="3"/>
  <c r="H7061" i="3"/>
  <c r="E8" i="133" a="1"/>
  <c r="F8" i="133" a="1"/>
  <c r="F11" i="133" a="1"/>
  <c r="E13" i="133" a="1"/>
  <c r="D5" i="133" a="1"/>
  <c r="D6" i="133" a="1"/>
  <c r="E11" i="133" l="1"/>
  <c r="E5" i="133"/>
  <c r="E64" i="133" s="1"/>
  <c r="F8" i="133"/>
  <c r="D13" i="133"/>
  <c r="D12" i="133"/>
  <c r="F6" i="133"/>
  <c r="E6" i="133"/>
  <c r="D11" i="133"/>
  <c r="E8" i="133"/>
  <c r="F9" i="133"/>
  <c r="D6" i="133"/>
  <c r="E10" i="133"/>
  <c r="D5" i="133"/>
  <c r="D64" i="133" s="1"/>
  <c r="D7" i="133"/>
  <c r="F10" i="133"/>
  <c r="E13" i="133"/>
  <c r="F5" i="133"/>
  <c r="F64" i="133" s="1"/>
  <c r="F11" i="133"/>
  <c r="E7" i="133"/>
  <c r="D9" i="133"/>
  <c r="D8" i="133"/>
  <c r="F7" i="133"/>
  <c r="D10" i="133"/>
  <c r="F13" i="133"/>
  <c r="E9" i="133"/>
  <c r="J4001" i="3"/>
  <c r="H4016" i="3"/>
  <c r="H3701" i="3"/>
  <c r="H3776" i="3"/>
  <c r="I3416" i="3"/>
  <c r="D7230" i="3" a="1"/>
  <c r="D5015" i="3" a="1"/>
  <c r="D6504" i="3" a="1"/>
  <c r="D4956" i="3" a="1"/>
  <c r="D7189" i="3" a="1"/>
  <c r="D4729" i="3" a="1"/>
  <c r="D4768" i="3" a="1"/>
  <c r="D7076" i="3" a="1"/>
  <c r="D7364" i="3" a="1"/>
  <c r="D6757" i="3" a="1"/>
  <c r="D4948" i="3" a="1"/>
  <c r="D6492" i="3" a="1"/>
  <c r="D7250" i="3" a="1"/>
  <c r="D4842" i="3" a="1"/>
  <c r="D7842" i="3" a="1"/>
  <c r="D7453" i="3" a="1"/>
  <c r="D7502" i="3" a="1"/>
  <c r="D5034" i="3" a="1"/>
  <c r="D7359" i="3" a="1"/>
  <c r="D7629" i="3" a="1"/>
  <c r="D5046" i="3" a="1"/>
  <c r="D7508" i="3" a="1"/>
  <c r="D4708" i="3" a="1"/>
  <c r="D4907" i="3" a="1"/>
  <c r="D7098" i="3" a="1"/>
  <c r="D7312" i="3" a="1"/>
  <c r="D7182" i="3" a="1"/>
  <c r="D7587" i="3" a="1"/>
  <c r="D4822" i="3" a="1"/>
  <c r="D6630" i="3" a="1"/>
  <c r="D4757" i="3" a="1"/>
  <c r="D6775" i="3" a="1"/>
  <c r="D7261" i="3" a="1"/>
  <c r="D4985" i="3" a="1"/>
  <c r="D6274" i="3" a="1"/>
  <c r="D7685" i="3" a="1"/>
  <c r="D6743" i="3" a="1"/>
  <c r="D6403" i="3" a="1"/>
  <c r="D7419" i="3" a="1"/>
  <c r="D6502" i="3" a="1"/>
  <c r="D4891" i="3" a="1"/>
  <c r="D5064" i="3" a="1"/>
  <c r="D7303" i="3" a="1"/>
  <c r="D6381" i="3" a="1"/>
  <c r="D7115" i="3" a="1"/>
  <c r="D6497" i="3" a="1"/>
  <c r="D7215" i="3" a="1"/>
  <c r="D5010" i="3" a="1"/>
  <c r="D6421" i="3" a="1"/>
  <c r="D5028" i="3" a="1"/>
  <c r="D7815" i="3" a="1"/>
  <c r="D4889" i="3" a="1"/>
  <c r="D4901" i="3" a="1"/>
  <c r="D6671" i="3" a="1"/>
  <c r="D7319" i="3" a="1"/>
  <c r="D7479" i="3" a="1"/>
  <c r="D4695" i="3" a="1"/>
  <c r="D7391" i="3" a="1"/>
  <c r="D7611" i="3" a="1"/>
  <c r="D4928" i="3" a="1"/>
  <c r="D7400" i="3" a="1"/>
  <c r="D4903" i="3" a="1"/>
  <c r="D5008" i="3" a="1"/>
  <c r="D5084" i="3" a="1"/>
  <c r="D6669" i="3" a="1"/>
  <c r="D4786" i="3" a="1"/>
  <c r="D6666" i="3" a="1"/>
  <c r="D6579" i="3" a="1"/>
  <c r="D7595" i="3" a="1"/>
  <c r="D7263" i="3" a="1"/>
  <c r="D6844" i="3" a="1"/>
  <c r="D7266" i="3" a="1"/>
  <c r="D4895" i="3" a="1"/>
  <c r="D4720" i="3" a="1"/>
  <c r="D7249" i="3" a="1"/>
  <c r="D6412" i="3" a="1"/>
  <c r="D7269" i="3" a="1"/>
  <c r="D7698" i="3" a="1"/>
  <c r="D4949" i="3" a="1"/>
  <c r="D6631" i="3" a="1"/>
  <c r="D7852" i="3" a="1"/>
  <c r="D7422" i="3" a="1"/>
  <c r="D5056" i="3" a="1"/>
  <c r="D7457" i="3" a="1"/>
  <c r="D4794" i="3" a="1"/>
  <c r="C9" i="133" a="1"/>
  <c r="D7468" i="3" a="1"/>
  <c r="D4767" i="3" a="1"/>
  <c r="D7449" i="3" a="1"/>
  <c r="D4855" i="3" a="1"/>
  <c r="D7153" i="3" a="1"/>
  <c r="D7743" i="3" a="1"/>
  <c r="D4920" i="3" a="1"/>
  <c r="D4979" i="3" a="1"/>
  <c r="D6571" i="3" a="1"/>
  <c r="D7469" i="3" a="1"/>
  <c r="D7193" i="3" a="1"/>
  <c r="D4953" i="3" a="1"/>
  <c r="D6488" i="3" a="1"/>
  <c r="D4818" i="3" a="1"/>
  <c r="D4737" i="3" a="1"/>
  <c r="D4879" i="3" a="1"/>
  <c r="D6310" i="3" a="1"/>
  <c r="D5018" i="3" a="1"/>
  <c r="D4886" i="3" a="1"/>
  <c r="D7190" i="3" a="1"/>
  <c r="D5093" i="3" a="1"/>
  <c r="D6654" i="3" a="1"/>
  <c r="D7687" i="3" a="1"/>
  <c r="D6275" i="3" a="1"/>
  <c r="D7615" i="3" a="1"/>
  <c r="D4753" i="3" a="1"/>
  <c r="D4750" i="3" a="1"/>
  <c r="D7281" i="3" a="1"/>
  <c r="D5100" i="3" a="1"/>
  <c r="D7483" i="3" a="1"/>
  <c r="D7484" i="3" a="1"/>
  <c r="D6742" i="3" a="1"/>
  <c r="D5102" i="3" a="1"/>
  <c r="D6383" i="3" a="1"/>
  <c r="D4746" i="3" a="1"/>
  <c r="D6872" i="3" a="1"/>
  <c r="D4686" i="3" a="1"/>
  <c r="D7504" i="3" a="1"/>
  <c r="D4802" i="3" a="1"/>
  <c r="D5048" i="3" a="1"/>
  <c r="D7297" i="3" a="1"/>
  <c r="D7380" i="3" a="1"/>
  <c r="D4782" i="3" a="1"/>
  <c r="D7363" i="3" a="1"/>
  <c r="D4965" i="3" a="1"/>
  <c r="D6857" i="3" a="1"/>
  <c r="D7168" i="3" a="1"/>
  <c r="D6308" i="3" a="1"/>
  <c r="D4859" i="3" a="1"/>
  <c r="D6507" i="3" a="1"/>
  <c r="D7274" i="3" a="1"/>
  <c r="D6282" i="3" a="1"/>
  <c r="D6300" i="3" a="1"/>
  <c r="D5047" i="3" a="1"/>
  <c r="D7520" i="3" a="1"/>
  <c r="D6679" i="3" a="1"/>
  <c r="D4888" i="3" a="1"/>
  <c r="D7684" i="3" a="1"/>
  <c r="D4709" i="3" a="1"/>
  <c r="D5051" i="3" a="1"/>
  <c r="D4941" i="3" a="1"/>
  <c r="D7276" i="3" a="1"/>
  <c r="D4869" i="3" a="1"/>
  <c r="D4938" i="3" a="1"/>
  <c r="D6652" i="3" a="1"/>
  <c r="D7581" i="3" a="1"/>
  <c r="D7211" i="3" a="1"/>
  <c r="D7357" i="3" a="1"/>
  <c r="D6749" i="3" a="1"/>
  <c r="D6295" i="3" a="1"/>
  <c r="D7112" i="3" a="1"/>
  <c r="D7154" i="3" a="1"/>
  <c r="D7234" i="3" a="1"/>
  <c r="D4701" i="3" a="1"/>
  <c r="D5076" i="3" a="1"/>
  <c r="D7378" i="3" a="1"/>
  <c r="D7742" i="3" a="1"/>
  <c r="D7204" i="3" a="1"/>
  <c r="D7747" i="3" a="1"/>
  <c r="D5002" i="3" a="1"/>
  <c r="D7491" i="3" a="1"/>
  <c r="D7332" i="3" a="1"/>
  <c r="D6862" i="3" a="1"/>
  <c r="D7515" i="3" a="1"/>
  <c r="D4924" i="3" a="1"/>
  <c r="D6309" i="3" a="1"/>
  <c r="D7340" i="3" a="1"/>
  <c r="D7588" i="3" a="1"/>
  <c r="D6495" i="3" a="1"/>
  <c r="D6770" i="3" a="1"/>
  <c r="D4759" i="3" a="1"/>
  <c r="D4785" i="3" a="1"/>
  <c r="D5041" i="3" a="1"/>
  <c r="D4769" i="3" a="1"/>
  <c r="D7832" i="3" a="1"/>
  <c r="D5052" i="3" a="1"/>
  <c r="D7282" i="3" a="1"/>
  <c r="D7837" i="3" a="1"/>
  <c r="D7290" i="3" a="1"/>
  <c r="D7585" i="3" a="1"/>
  <c r="D7082" i="3" a="1"/>
  <c r="D4905" i="3" a="1"/>
  <c r="D7361" i="3" a="1"/>
  <c r="D6746" i="3" a="1"/>
  <c r="D6422" i="3" a="1"/>
  <c r="D7118" i="3" a="1"/>
  <c r="D5058" i="3" a="1"/>
  <c r="D4933" i="3" a="1"/>
  <c r="D7451" i="3" a="1"/>
  <c r="D6407" i="3" a="1"/>
  <c r="D7198" i="3" a="1"/>
  <c r="D4735" i="3" a="1"/>
  <c r="D7116" i="3" a="1"/>
  <c r="D6623" i="3" a="1"/>
  <c r="D7241" i="3" a="1"/>
  <c r="D6584" i="3" a="1"/>
  <c r="D7589" i="3" a="1"/>
  <c r="D7244" i="3" a="1"/>
  <c r="D6580" i="3" a="1"/>
  <c r="D7696" i="3" a="1"/>
  <c r="D7614" i="3" a="1"/>
  <c r="D7425" i="3" a="1"/>
  <c r="D6487" i="3" a="1"/>
  <c r="D6839" i="3" a="1"/>
  <c r="D6283" i="3" a="1"/>
  <c r="D4862" i="3" a="1"/>
  <c r="D6689" i="3" a="1"/>
  <c r="D7575" i="3" a="1"/>
  <c r="D5031" i="3" a="1"/>
  <c r="D6851" i="3" a="1"/>
  <c r="D4999" i="3" a="1"/>
  <c r="D6761" i="3" a="1"/>
  <c r="D6833" i="3" a="1"/>
  <c r="D7472" i="3" a="1"/>
  <c r="D4970" i="3" a="1"/>
  <c r="D7586" i="3" a="1"/>
  <c r="D4690" i="3" a="1"/>
  <c r="D4838" i="3" a="1"/>
  <c r="D7437" i="3" a="1"/>
  <c r="D6854" i="3" a="1"/>
  <c r="D4787" i="3" a="1"/>
  <c r="D7482" i="3" a="1"/>
  <c r="D6781" i="3" a="1"/>
  <c r="D6863" i="3" a="1"/>
  <c r="D4945" i="3" a="1"/>
  <c r="D7849" i="3" a="1"/>
  <c r="D4955" i="3" a="1"/>
  <c r="D6290" i="3" a="1"/>
  <c r="D4893" i="3" a="1"/>
  <c r="D6294" i="3" a="1"/>
  <c r="D4775" i="3" a="1"/>
  <c r="D4798" i="3" a="1"/>
  <c r="D6276" i="3" a="1"/>
  <c r="D7212" i="3" a="1"/>
  <c r="D7444" i="3" a="1"/>
  <c r="D7343" i="3" a="1"/>
  <c r="D7683" i="3" a="1"/>
  <c r="D4793" i="3" a="1"/>
  <c r="D5030" i="3" a="1"/>
  <c r="D6777" i="3" a="1"/>
  <c r="D7326" i="3" a="1"/>
  <c r="D7816" i="3" a="1"/>
  <c r="D4691" i="3" a="1"/>
  <c r="D6676" i="3" a="1"/>
  <c r="D6477" i="3" a="1"/>
  <c r="D6846" i="3" a="1"/>
  <c r="D4868" i="3" a="1"/>
  <c r="D5037" i="3" a="1"/>
  <c r="D6414" i="3" a="1"/>
  <c r="D7101" i="3" a="1"/>
  <c r="D7689" i="3" a="1"/>
  <c r="D4942" i="3" a="1"/>
  <c r="D6305" i="3" a="1"/>
  <c r="D5036" i="3" a="1"/>
  <c r="D6870" i="3" a="1"/>
  <c r="D7111" i="3" a="1"/>
  <c r="D7841" i="3" a="1"/>
  <c r="D7465" i="3" a="1"/>
  <c r="D7352" i="3" a="1"/>
  <c r="D5057" i="3" a="1"/>
  <c r="D6398" i="3" a="1"/>
  <c r="D7090" i="3" a="1"/>
  <c r="D7210" i="3" a="1"/>
  <c r="D4712" i="3" a="1"/>
  <c r="D4853" i="3" a="1"/>
  <c r="D7487" i="3" a="1"/>
  <c r="D5020" i="3" a="1"/>
  <c r="D7386" i="3" a="1"/>
  <c r="D4719" i="3" a="1"/>
  <c r="D4850" i="3" a="1"/>
  <c r="D4836" i="3" a="1"/>
  <c r="D4692" i="3" a="1"/>
  <c r="D5095" i="3" a="1"/>
  <c r="D5039" i="3" a="1"/>
  <c r="D7701" i="3" a="1"/>
  <c r="D7096" i="3" a="1"/>
  <c r="D7373" i="3" a="1"/>
  <c r="D4733" i="3" a="1"/>
  <c r="D7445" i="3" a="1"/>
  <c r="D4739" i="3" a="1"/>
  <c r="D5059" i="3" a="1"/>
  <c r="D7337" i="3" a="1"/>
  <c r="D5040" i="3" a="1"/>
  <c r="D6405" i="3" a="1"/>
  <c r="D7578" i="3" a="1"/>
  <c r="D6748" i="3" a="1"/>
  <c r="D6751" i="3" a="1"/>
  <c r="D7406" i="3" a="1"/>
  <c r="D7181" i="3" a="1"/>
  <c r="D7201" i="3" a="1"/>
  <c r="D4849" i="3" a="1"/>
  <c r="D6470" i="3" a="1"/>
  <c r="D7415" i="3" a="1"/>
  <c r="D7085" i="3" a="1"/>
  <c r="I4713" i="3"/>
  <c r="D7448" i="3" a="1"/>
  <c r="D6278" i="3" a="1"/>
  <c r="D7697" i="3" a="1"/>
  <c r="D6650" i="3" a="1"/>
  <c r="D7256" i="3" a="1"/>
  <c r="D4969" i="3" a="1"/>
  <c r="D6572" i="3" a="1"/>
  <c r="D7481" i="3" a="1"/>
  <c r="D6420" i="3" a="1"/>
  <c r="D7477" i="3" a="1"/>
  <c r="D7822" i="3" a="1"/>
  <c r="D6287" i="3" a="1"/>
  <c r="D6559" i="3" a="1"/>
  <c r="D4749" i="3" a="1"/>
  <c r="D7242" i="3" a="1"/>
  <c r="D4740" i="3" a="1"/>
  <c r="D7232" i="3" a="1"/>
  <c r="D7161" i="3" a="1"/>
  <c r="D7100" i="3" a="1"/>
  <c r="D7396" i="3" a="1"/>
  <c r="D7108" i="3" a="1"/>
  <c r="D7156" i="3" a="1"/>
  <c r="D7524" i="3" a="1"/>
  <c r="D7321" i="3" a="1"/>
  <c r="D5054" i="3" a="1"/>
  <c r="D7199" i="3" a="1"/>
  <c r="D4918" i="3" a="1"/>
  <c r="D4857" i="3" a="1"/>
  <c r="D7441" i="3" a="1"/>
  <c r="D7338" i="3" a="1"/>
  <c r="D4863" i="3" a="1"/>
  <c r="D7280" i="3" a="1"/>
  <c r="D4772" i="3" a="1"/>
  <c r="D6302" i="3" a="1"/>
  <c r="D7688" i="3" a="1"/>
  <c r="D7220" i="3" a="1"/>
  <c r="D7608" i="3" a="1"/>
  <c r="D7603" i="3" a="1"/>
  <c r="D7278" i="3" a="1"/>
  <c r="D6277" i="3" a="1"/>
  <c r="D7510" i="3" a="1"/>
  <c r="D6685" i="3" a="1"/>
  <c r="D7310" i="3" a="1"/>
  <c r="D7703" i="3" a="1"/>
  <c r="D7464" i="3" a="1"/>
  <c r="D6577" i="3" a="1"/>
  <c r="D7609" i="3" a="1"/>
  <c r="D7257" i="3" a="1"/>
  <c r="D7677" i="3" a="1"/>
  <c r="D4940" i="3" a="1"/>
  <c r="D5083" i="3" a="1"/>
  <c r="D4756" i="3" a="1"/>
  <c r="D4696" i="3" a="1"/>
  <c r="D6480" i="3" a="1"/>
  <c r="D7833" i="3" a="1"/>
  <c r="D4811" i="3" a="1"/>
  <c r="D4873" i="3" a="1"/>
  <c r="C8" i="133" a="1"/>
  <c r="D4946" i="3" a="1"/>
  <c r="D7592" i="3" a="1"/>
  <c r="D6758" i="3" a="1"/>
  <c r="D6660" i="3" a="1"/>
  <c r="D4806" i="3" a="1"/>
  <c r="D7432" i="3" a="1"/>
  <c r="D4797" i="3" a="1"/>
  <c r="D5053" i="3" a="1"/>
  <c r="D7813" i="3" a="1"/>
  <c r="D7571" i="3" a="1"/>
  <c r="D6773" i="3" a="1"/>
  <c r="D7350" i="3" a="1"/>
  <c r="D7485" i="3" a="1"/>
  <c r="D6838" i="3" a="1"/>
  <c r="D6762" i="3" a="1"/>
  <c r="D7436" i="3" a="1"/>
  <c r="D6692" i="3" a="1"/>
  <c r="D4830" i="3" a="1"/>
  <c r="D7523" i="3" a="1"/>
  <c r="D7078" i="3" a="1"/>
  <c r="D6667" i="3" a="1"/>
  <c r="D6482" i="3" a="1"/>
  <c r="D4781" i="3" a="1"/>
  <c r="D6750" i="3" a="1"/>
  <c r="D7075" i="3" a="1"/>
  <c r="D4883" i="3" a="1"/>
  <c r="D6763" i="3" a="1"/>
  <c r="D4808" i="3" a="1"/>
  <c r="D7737" i="3" a="1"/>
  <c r="D7322" i="3" a="1"/>
  <c r="D6509" i="3" a="1"/>
  <c r="D7413" i="3" a="1"/>
  <c r="D5089" i="3" a="1"/>
  <c r="D7304" i="3" a="1"/>
  <c r="D7848" i="3" a="1"/>
  <c r="D4947" i="3" a="1"/>
  <c r="D4699" i="3" a="1"/>
  <c r="D4982" i="3" a="1"/>
  <c r="D4898" i="3" a="1"/>
  <c r="D6830" i="3" a="1"/>
  <c r="D4726" i="3" a="1"/>
  <c r="D4890" i="3" a="1"/>
  <c r="D5069" i="3" a="1"/>
  <c r="D5065" i="3" a="1"/>
  <c r="D7358" i="3" a="1"/>
  <c r="D7095" i="3" a="1"/>
  <c r="D5074" i="3" a="1"/>
  <c r="D7345" i="3" a="1"/>
  <c r="D4954" i="3" a="1"/>
  <c r="D4959" i="3" a="1"/>
  <c r="D4773" i="3" a="1"/>
  <c r="D7591" i="3" a="1"/>
  <c r="D7745" i="3" a="1"/>
  <c r="D4783" i="3" a="1"/>
  <c r="D4976" i="3" a="1"/>
  <c r="D4832" i="3" a="1"/>
  <c r="D4973" i="3" a="1"/>
  <c r="D4795" i="3" a="1"/>
  <c r="D7461" i="3" a="1"/>
  <c r="D6490" i="3" a="1"/>
  <c r="D7693" i="3" a="1"/>
  <c r="D7367" i="3" a="1"/>
  <c r="D5026" i="3" a="1"/>
  <c r="D6865" i="3" a="1"/>
  <c r="D7287" i="3" a="1"/>
  <c r="D7080" i="3" a="1"/>
  <c r="D6314" i="3" a="1"/>
  <c r="D4821" i="3" a="1"/>
  <c r="D7296" i="3" a="1"/>
  <c r="D6855" i="3" a="1"/>
  <c r="D7682" i="3" a="1"/>
  <c r="D4993" i="3" a="1"/>
  <c r="D7148" i="3" a="1"/>
  <c r="D7735" i="3" a="1"/>
  <c r="D6665" i="3" a="1"/>
  <c r="D4687" i="3" a="1"/>
  <c r="D7366" i="3" a="1"/>
  <c r="D4878" i="3" a="1"/>
  <c r="D5011" i="3" a="1"/>
  <c r="D7235" i="3" a="1"/>
  <c r="D4926" i="3" a="1"/>
  <c r="D7605" i="3" a="1"/>
  <c r="D4951" i="3" a="1"/>
  <c r="D4894" i="3" a="1"/>
  <c r="D7275" i="3" a="1"/>
  <c r="D7323" i="3" a="1"/>
  <c r="D4845" i="3" a="1"/>
  <c r="D6567" i="3" a="1"/>
  <c r="D7619" i="3" a="1"/>
  <c r="D4922" i="3" a="1"/>
  <c r="D4902" i="3" a="1"/>
  <c r="D6745" i="3" a="1"/>
  <c r="D7354" i="3" a="1"/>
  <c r="D7702" i="3" a="1"/>
  <c r="D6840" i="3" a="1"/>
  <c r="D4803" i="3" a="1"/>
  <c r="D7408" i="3" a="1"/>
  <c r="D7427" i="3" a="1"/>
  <c r="D4804" i="3" a="1"/>
  <c r="D5090" i="3" a="1"/>
  <c r="D6774" i="3" a="1"/>
  <c r="D7313" i="3" a="1"/>
  <c r="D6753" i="3" a="1"/>
  <c r="D7594" i="3" a="1"/>
  <c r="D4813" i="3" a="1"/>
  <c r="D7339" i="3" a="1"/>
  <c r="D7486" i="3" a="1"/>
  <c r="D7286" i="3" a="1"/>
  <c r="D6419" i="3" a="1"/>
  <c r="D5060" i="3" a="1"/>
  <c r="D7347" i="3" a="1"/>
  <c r="D7273" i="3" a="1"/>
  <c r="D7844" i="3" a="1"/>
  <c r="D7438" i="3" a="1"/>
  <c r="D4952" i="3" a="1"/>
  <c r="D4760" i="3" a="1"/>
  <c r="D4829" i="3" a="1"/>
  <c r="D7579" i="3" a="1"/>
  <c r="D4929" i="3" a="1"/>
  <c r="D6564" i="3" a="1"/>
  <c r="D4885" i="3" a="1"/>
  <c r="D6682" i="3" a="1"/>
  <c r="D6315" i="3" a="1"/>
  <c r="D7450" i="3" a="1"/>
  <c r="D7812" i="3" a="1"/>
  <c r="D7384" i="3" a="1"/>
  <c r="D6866" i="3" a="1"/>
  <c r="D7089" i="3" a="1"/>
  <c r="D4805" i="3" a="1"/>
  <c r="D4932" i="3" a="1"/>
  <c r="D7081" i="3" a="1"/>
  <c r="D7351" i="3" a="1"/>
  <c r="D5091" i="3" a="1"/>
  <c r="D7240" i="3" a="1"/>
  <c r="D5066" i="3" a="1"/>
  <c r="D7410" i="3" a="1"/>
  <c r="D6382" i="3" a="1"/>
  <c r="D4732" i="3" a="1"/>
  <c r="D7414" i="3" a="1"/>
  <c r="D7704" i="3" a="1"/>
  <c r="D6388" i="3" a="1"/>
  <c r="D5071" i="3" a="1"/>
  <c r="D7612" i="3" a="1"/>
  <c r="D4685" i="3" a="1"/>
  <c r="D6683" i="3" a="1"/>
  <c r="D4725" i="3" a="1"/>
  <c r="D7379" i="3" a="1"/>
  <c r="D4876" i="3" a="1"/>
  <c r="D7618" i="3" a="1"/>
  <c r="D6380" i="3" a="1"/>
  <c r="D4923" i="3" a="1"/>
  <c r="D7316" i="3" a="1"/>
  <c r="D6691" i="3" a="1"/>
  <c r="D7590" i="3" a="1"/>
  <c r="D7430" i="3" a="1"/>
  <c r="D4835" i="3" a="1"/>
  <c r="D7518" i="3" a="1"/>
  <c r="D4906" i="3" a="1"/>
  <c r="D7298" i="3" a="1"/>
  <c r="D4817" i="3" a="1"/>
  <c r="D6680" i="3" a="1"/>
  <c r="D4826" i="3" a="1"/>
  <c r="D4820" i="3" a="1"/>
  <c r="D5085" i="3" a="1"/>
  <c r="D7083" i="3" a="1"/>
  <c r="D7226" i="3" a="1"/>
  <c r="D6624" i="3" a="1"/>
  <c r="D7196" i="3" a="1"/>
  <c r="D7599" i="3" a="1"/>
  <c r="D5097" i="3" a="1"/>
  <c r="D4914" i="3" a="1"/>
  <c r="D6675" i="3" a="1"/>
  <c r="D4718" i="3" a="1"/>
  <c r="D7324" i="3" a="1"/>
  <c r="D6400" i="3" a="1"/>
  <c r="D7606" i="3" a="1"/>
  <c r="D4983" i="3" a="1"/>
  <c r="D7695" i="3" a="1"/>
  <c r="D4727" i="3" a="1"/>
  <c r="D4909" i="3" a="1"/>
  <c r="D7155" i="3" a="1"/>
  <c r="D7264" i="3" a="1"/>
  <c r="D4800" i="3" a="1"/>
  <c r="D7602" i="3" a="1"/>
  <c r="D4693" i="3" a="1"/>
  <c r="D6416" i="3" a="1"/>
  <c r="D4747" i="3" a="1"/>
  <c r="D4981" i="3" a="1"/>
  <c r="D6399" i="3" a="1"/>
  <c r="D7597" i="3" a="1"/>
  <c r="D6741" i="3" a="1"/>
  <c r="D7117" i="3" a="1"/>
  <c r="D6837" i="3" a="1"/>
  <c r="D7245" i="3" a="1"/>
  <c r="D6500" i="3" a="1"/>
  <c r="D6575" i="3" a="1"/>
  <c r="D7627" i="3" a="1"/>
  <c r="D5009" i="3" a="1"/>
  <c r="D7166" i="3" a="1"/>
  <c r="D4703" i="3" a="1"/>
  <c r="D4913" i="3" a="1"/>
  <c r="D6581" i="3" a="1"/>
  <c r="D7846" i="3" a="1"/>
  <c r="D4899" i="3" a="1"/>
  <c r="D7180" i="3" a="1"/>
  <c r="D4815" i="3" a="1"/>
  <c r="D4837" i="3" a="1"/>
  <c r="D7433" i="3" a="1"/>
  <c r="D4874" i="3" a="1"/>
  <c r="D4722" i="3" a="1"/>
  <c r="D4925" i="3" a="1"/>
  <c r="D7103" i="3" a="1"/>
  <c r="D7584" i="3" a="1"/>
  <c r="D7105" i="3" a="1"/>
  <c r="D7372" i="3" a="1"/>
  <c r="D6392" i="3" a="1"/>
  <c r="D7835" i="3" a="1"/>
  <c r="D6494" i="3" a="1"/>
  <c r="D7285" i="3" a="1"/>
  <c r="D4706" i="3" a="1"/>
  <c r="D5072" i="3" a="1"/>
  <c r="D7160" i="3" a="1"/>
  <c r="D6390" i="3" a="1"/>
  <c r="B8" i="20" a="1"/>
  <c r="D6859" i="3" a="1"/>
  <c r="D6280" i="3" a="1"/>
  <c r="D7390" i="3" a="1"/>
  <c r="D6740" i="3" a="1"/>
  <c r="D6397" i="3" a="1"/>
  <c r="D7494" i="3" a="1"/>
  <c r="D4714" i="3" a="1"/>
  <c r="D6655" i="3" a="1"/>
  <c r="D7404" i="3" a="1"/>
  <c r="D7236" i="3" a="1"/>
  <c r="D7167" i="3" a="1"/>
  <c r="D4738" i="3" a="1"/>
  <c r="D5032" i="3" a="1"/>
  <c r="D7356" i="3" a="1"/>
  <c r="D5067" i="3" a="1"/>
  <c r="D7162" i="3" a="1"/>
  <c r="D7493" i="3" a="1"/>
  <c r="D6304" i="3" a="1"/>
  <c r="D7377" i="3" a="1"/>
  <c r="C10" i="133" a="1"/>
  <c r="D6563" i="3" a="1"/>
  <c r="D6755" i="3" a="1"/>
  <c r="D5045" i="3" a="1"/>
  <c r="D4967" i="3" a="1"/>
  <c r="D6754" i="3" a="1"/>
  <c r="D7307" i="3" a="1"/>
  <c r="D7497" i="3" a="1"/>
  <c r="D7294" i="3" a="1"/>
  <c r="D7375" i="3" a="1"/>
  <c r="D7398" i="3" a="1"/>
  <c r="D4943" i="3" a="1"/>
  <c r="D7260" i="3" a="1"/>
  <c r="D7121" i="3" a="1"/>
  <c r="D7360" i="3" a="1"/>
  <c r="D7239" i="3" a="1"/>
  <c r="D7691" i="3" a="1"/>
  <c r="D4816" i="3" a="1"/>
  <c r="D7270" i="3" a="1"/>
  <c r="D6849" i="3" a="1"/>
  <c r="D6505" i="3" a="1"/>
  <c r="D4961" i="3" a="1"/>
  <c r="D6767" i="3" a="1"/>
  <c r="D7600" i="3" a="1"/>
  <c r="D7574" i="3" a="1"/>
  <c r="D7854" i="3" a="1"/>
  <c r="D7423" i="3" a="1"/>
  <c r="D6628" i="3" a="1"/>
  <c r="D7690" i="3" a="1"/>
  <c r="D5070" i="3" a="1"/>
  <c r="D7513" i="3" a="1"/>
  <c r="D7583" i="3" a="1"/>
  <c r="D5005" i="3" a="1"/>
  <c r="D6384" i="3" a="1"/>
  <c r="D6856" i="3" a="1"/>
  <c r="D6673" i="3" a="1"/>
  <c r="D6565" i="3" a="1"/>
  <c r="D7676" i="3" a="1"/>
  <c r="D7624" i="3" a="1"/>
  <c r="D6566" i="3" a="1"/>
  <c r="D6848" i="3" a="1"/>
  <c r="D4799" i="3" a="1"/>
  <c r="D7456" i="3" a="1"/>
  <c r="D6776" i="3" a="1"/>
  <c r="D4904" i="3" a="1"/>
  <c r="D7478" i="3" a="1"/>
  <c r="D7746" i="3" a="1"/>
  <c r="D7248" i="3" a="1"/>
  <c r="D6493" i="3" a="1"/>
  <c r="D7353" i="3" a="1"/>
  <c r="D4988" i="3" a="1"/>
  <c r="D7462" i="3" a="1"/>
  <c r="D6688" i="3" a="1"/>
  <c r="D6489" i="3" a="1"/>
  <c r="D6391" i="3" a="1"/>
  <c r="D7447" i="3" a="1"/>
  <c r="D4734" i="3" a="1"/>
  <c r="D6499" i="3" a="1"/>
  <c r="D7262" i="3" a="1"/>
  <c r="D4934" i="3" a="1"/>
  <c r="D7102" i="3" a="1"/>
  <c r="D6297" i="3" a="1"/>
  <c r="D7700" i="3" a="1"/>
  <c r="D4856" i="3" a="1"/>
  <c r="D6404" i="3" a="1"/>
  <c r="D7741" i="3" a="1"/>
  <c r="D4986" i="3" a="1"/>
  <c r="D6656" i="3" a="1"/>
  <c r="D7405" i="3" a="1"/>
  <c r="D6622" i="3" a="1"/>
  <c r="D7572" i="3" a="1"/>
  <c r="B8" i="10" a="1"/>
  <c r="D7516" i="3" a="1"/>
  <c r="D7194" i="3" a="1"/>
  <c r="C12" i="133" a="1"/>
  <c r="D7474" i="3" a="1"/>
  <c r="D5012" i="3" a="1"/>
  <c r="D6847" i="3" a="1"/>
  <c r="D7744" i="3" a="1"/>
  <c r="D4992" i="3" a="1"/>
  <c r="D7818" i="3" a="1"/>
  <c r="D7401" i="3" a="1"/>
  <c r="D4819" i="3" a="1"/>
  <c r="D6852" i="3" a="1"/>
  <c r="D7305" i="3" a="1"/>
  <c r="D5049" i="3" a="1"/>
  <c r="D7593" i="3" a="1"/>
  <c r="D7434" i="3" a="1"/>
  <c r="D6474" i="3" a="1"/>
  <c r="D7739" i="3" a="1"/>
  <c r="D7207" i="3" a="1"/>
  <c r="D7381" i="3" a="1"/>
  <c r="D6417" i="3" a="1"/>
  <c r="D4807" i="3" a="1"/>
  <c r="D5025" i="3" a="1"/>
  <c r="D6627" i="3" a="1"/>
  <c r="D5092" i="3" a="1"/>
  <c r="D7208" i="3" a="1"/>
  <c r="D7088" i="3" a="1"/>
  <c r="D4707" i="3" a="1"/>
  <c r="D4689" i="3" a="1"/>
  <c r="D7412" i="3" a="1"/>
  <c r="D7308" i="3" a="1"/>
  <c r="D5077" i="3" a="1"/>
  <c r="D7147" i="3" a="1"/>
  <c r="D7496" i="3" a="1"/>
  <c r="D4978" i="3" a="1"/>
  <c r="D7331" i="3" a="1"/>
  <c r="D5075" i="3" a="1"/>
  <c r="D7823" i="3" a="1"/>
  <c r="D4812" i="3" a="1"/>
  <c r="D4697" i="3" a="1"/>
  <c r="D7362" i="3" a="1"/>
  <c r="D7397" i="3" a="1"/>
  <c r="D7233" i="3" a="1"/>
  <c r="D7283" i="3" a="1"/>
  <c r="D7748" i="3" a="1"/>
  <c r="D7222" i="3" a="1"/>
  <c r="D4788" i="3" a="1"/>
  <c r="D6578" i="3" a="1"/>
  <c r="D7084" i="3" a="1"/>
  <c r="D7254" i="3" a="1"/>
  <c r="D7840" i="3" a="1"/>
  <c r="D6313" i="3" a="1"/>
  <c r="D6587" i="3" a="1"/>
  <c r="D7810" i="3" a="1"/>
  <c r="D7824" i="3" a="1"/>
  <c r="D7418" i="3" a="1"/>
  <c r="C6" i="133" a="1"/>
  <c r="D7454" i="3" a="1"/>
  <c r="D7699" i="3" a="1"/>
  <c r="D7421" i="3" a="1"/>
  <c r="D7093" i="3" a="1"/>
  <c r="D4801" i="3" a="1"/>
  <c r="D7144" i="3" a="1"/>
  <c r="D6317" i="3" a="1"/>
  <c r="D7205" i="3" a="1"/>
  <c r="D7625" i="3" a="1"/>
  <c r="D7209" i="3" a="1"/>
  <c r="D6861" i="3" a="1"/>
  <c r="D6299" i="3" a="1"/>
  <c r="D6771" i="3" a="1"/>
  <c r="D4755" i="3" a="1"/>
  <c r="D7500" i="3" a="1"/>
  <c r="D7473" i="3" a="1"/>
  <c r="D7258" i="3" a="1"/>
  <c r="D6296" i="3" a="1"/>
  <c r="D6659" i="3" a="1"/>
  <c r="D6476" i="3" a="1"/>
  <c r="D7382" i="3" a="1"/>
  <c r="D6396" i="3" a="1"/>
  <c r="D7317" i="3" a="1"/>
  <c r="D7292" i="3" a="1"/>
  <c r="D7439" i="3" a="1"/>
  <c r="D4728" i="3" a="1"/>
  <c r="D7333" i="3" a="1"/>
  <c r="D7268" i="3" a="1"/>
  <c r="D4858" i="3" a="1"/>
  <c r="D7820" i="3" a="1"/>
  <c r="D7499" i="3" a="1"/>
  <c r="D7163" i="3" a="1"/>
  <c r="D4723" i="3" a="1"/>
  <c r="D7110" i="3" a="1"/>
  <c r="D4990" i="3" a="1"/>
  <c r="D6512" i="3" a="1"/>
  <c r="D4872" i="3" a="1"/>
  <c r="D7191" i="3" a="1"/>
  <c r="D7607" i="3" a="1"/>
  <c r="D6769" i="3" a="1"/>
  <c r="D7329" i="3" a="1"/>
  <c r="D6841" i="3" a="1"/>
  <c r="D6481" i="3" a="1"/>
  <c r="D7139" i="3" a="1"/>
  <c r="D7146" i="3" a="1"/>
  <c r="D7334" i="3" a="1"/>
  <c r="D4957" i="3" a="1"/>
  <c r="D5099" i="3" a="1"/>
  <c r="D6834" i="3" a="1"/>
  <c r="D6649" i="3" a="1"/>
  <c r="D6672" i="3" a="1"/>
  <c r="D5022" i="3" a="1"/>
  <c r="D7613" i="3" a="1"/>
  <c r="D7839" i="3" a="1"/>
  <c r="D7601" i="3" a="1"/>
  <c r="D7114" i="3" a="1"/>
  <c r="D7626" i="3" a="1"/>
  <c r="D4741" i="3" a="1"/>
  <c r="D6850" i="3" a="1"/>
  <c r="D5042" i="3" a="1"/>
  <c r="D6629" i="3" a="1"/>
  <c r="D4987" i="3" a="1"/>
  <c r="D4912" i="3" a="1"/>
  <c r="D6576" i="3" a="1"/>
  <c r="D5029" i="3" a="1"/>
  <c r="D6395" i="3" a="1"/>
  <c r="D6674" i="3" a="1"/>
  <c r="D4731" i="3" a="1"/>
  <c r="D7247" i="3" a="1"/>
  <c r="D5033" i="3" a="1"/>
  <c r="D7300" i="3" a="1"/>
  <c r="D7392" i="3" a="1"/>
  <c r="D7092" i="3" a="1"/>
  <c r="D6312" i="3" a="1"/>
  <c r="D7834" i="3" a="1"/>
  <c r="D7346" i="3" a="1"/>
  <c r="D4791" i="3" a="1"/>
  <c r="D7692" i="3" a="1"/>
  <c r="D6286" i="3" a="1"/>
  <c r="D7506" i="3" a="1"/>
  <c r="D7113" i="3" a="1"/>
  <c r="D7395" i="3" a="1"/>
  <c r="D6759" i="3" a="1"/>
  <c r="D5098" i="3" a="1"/>
  <c r="D6632" i="3" a="1"/>
  <c r="D6306" i="3" a="1"/>
  <c r="D4875" i="3" a="1"/>
  <c r="D4915" i="3" a="1"/>
  <c r="D6625" i="3" a="1"/>
  <c r="D7306" i="3" a="1"/>
  <c r="D4700" i="3" a="1"/>
  <c r="D5000" i="3" a="1"/>
  <c r="D4716" i="3" a="1"/>
  <c r="D6406" i="3" a="1"/>
  <c r="D5017" i="3" a="1"/>
  <c r="D7679" i="3" a="1"/>
  <c r="D6292" i="3" a="1"/>
  <c r="D4833" i="3" a="1"/>
  <c r="D4930" i="3" a="1"/>
  <c r="D7355" i="3" a="1"/>
  <c r="D4996" i="3" a="1"/>
  <c r="D7678" i="3" a="1"/>
  <c r="D7369" i="3" a="1"/>
  <c r="D7246" i="3" a="1"/>
  <c r="D7097" i="3" a="1"/>
  <c r="D7825" i="3" a="1"/>
  <c r="D4966" i="3" a="1"/>
  <c r="D7498" i="3" a="1"/>
  <c r="D4997" i="3" a="1"/>
  <c r="D6662" i="3" a="1"/>
  <c r="D4688" i="3" a="1"/>
  <c r="D7137" i="3" a="1"/>
  <c r="D7374" i="3" a="1"/>
  <c r="D4843" i="3" a="1"/>
  <c r="D4776" i="3" a="1"/>
  <c r="D7512" i="3" a="1"/>
  <c r="D7517" i="3" a="1"/>
  <c r="D7301" i="3" a="1"/>
  <c r="D7138" i="3" a="1"/>
  <c r="D7488" i="3" a="1"/>
  <c r="D7221" i="3" a="1"/>
  <c r="D7197" i="3" a="1"/>
  <c r="D7237" i="3" a="1"/>
  <c r="D4927" i="3" a="1"/>
  <c r="D5055" i="3" a="1"/>
  <c r="D6860" i="3" a="1"/>
  <c r="D7389" i="3" a="1"/>
  <c r="D4935" i="3" a="1"/>
  <c r="D7365" i="3" a="1"/>
  <c r="I4653" i="3"/>
  <c r="D4770" i="3" a="1"/>
  <c r="D7501" i="3" a="1"/>
  <c r="D6831" i="3" a="1"/>
  <c r="D4702" i="3" a="1"/>
  <c r="D6569" i="3" a="1"/>
  <c r="D7184" i="3" a="1"/>
  <c r="D6586" i="3" a="1"/>
  <c r="D4823" i="3" a="1"/>
  <c r="D4764" i="3" a="1"/>
  <c r="D6486" i="3" a="1"/>
  <c r="D7123" i="3" a="1"/>
  <c r="D6469" i="3" a="1"/>
  <c r="D6681" i="3" a="1"/>
  <c r="D6747" i="3" a="1"/>
  <c r="D7225" i="3" a="1"/>
  <c r="D6670" i="3" a="1"/>
  <c r="D6618" i="3" a="1"/>
  <c r="D7470" i="3" a="1"/>
  <c r="D5062" i="3" a="1"/>
  <c r="D6687" i="3" a="1"/>
  <c r="D7336" i="3" a="1"/>
  <c r="D6284" i="3" a="1"/>
  <c r="D6668" i="3" a="1"/>
  <c r="D4877" i="3" a="1"/>
  <c r="D7505" i="3" a="1"/>
  <c r="D7217" i="3" a="1"/>
  <c r="D7291" i="3" a="1"/>
  <c r="D4866" i="3" a="1"/>
  <c r="D4754" i="3" a="1"/>
  <c r="D7431" i="3" a="1"/>
  <c r="D7442" i="3" a="1"/>
  <c r="D4911" i="3" a="1"/>
  <c r="D4841" i="3" a="1"/>
  <c r="D4910" i="3" a="1"/>
  <c r="D7159" i="3" a="1"/>
  <c r="D7409" i="3" a="1"/>
  <c r="D4871" i="3" a="1"/>
  <c r="D4963" i="3" a="1"/>
  <c r="D6285" i="3" a="1"/>
  <c r="D6491" i="3" a="1"/>
  <c r="D4774" i="3" a="1"/>
  <c r="D7850" i="3" a="1"/>
  <c r="D4705" i="3" a="1"/>
  <c r="D7149" i="3" a="1"/>
  <c r="D6568" i="3" a="1"/>
  <c r="D4730" i="3" a="1"/>
  <c r="D4975" i="3" a="1"/>
  <c r="D7202" i="3" a="1"/>
  <c r="D7452" i="3" a="1"/>
  <c r="D6413" i="3" a="1"/>
  <c r="D7314" i="3" a="1"/>
  <c r="D7104" i="3" a="1"/>
  <c r="D6772" i="3" a="1"/>
  <c r="D4921" i="3" a="1"/>
  <c r="D7252" i="3" a="1"/>
  <c r="D4742" i="3" a="1"/>
  <c r="D7213" i="3" a="1"/>
  <c r="D4717" i="3" a="1"/>
  <c r="D7411" i="3" a="1"/>
  <c r="D6684" i="3" a="1"/>
  <c r="D7460" i="3" a="1"/>
  <c r="D6768" i="3" a="1"/>
  <c r="D7349" i="3" a="1"/>
  <c r="D5080" i="3" a="1"/>
  <c r="D7620" i="3" a="1"/>
  <c r="D7853" i="3" a="1"/>
  <c r="D7288" i="3" a="1"/>
  <c r="D7435" i="3" a="1"/>
  <c r="D5014" i="3" a="1"/>
  <c r="D4784" i="3" a="1"/>
  <c r="D4752" i="3" a="1"/>
  <c r="D6411" i="3" a="1"/>
  <c r="D7219" i="3" a="1"/>
  <c r="D7224" i="3" a="1"/>
  <c r="D7681" i="3" a="1"/>
  <c r="D4851" i="3" a="1"/>
  <c r="D4919" i="3" a="1"/>
  <c r="D4780" i="3" a="1"/>
  <c r="D7370" i="3" a="1"/>
  <c r="D7140" i="3" a="1"/>
  <c r="D6871" i="3" a="1"/>
  <c r="D6479" i="3" a="1"/>
  <c r="D6664" i="3" a="1"/>
  <c r="D7141" i="3" a="1"/>
  <c r="D7255" i="3" a="1"/>
  <c r="D7440" i="3" a="1"/>
  <c r="D7238" i="3" a="1"/>
  <c r="D7216" i="3" a="1"/>
  <c r="D7142" i="3" a="1"/>
  <c r="D7279" i="3" a="1"/>
  <c r="D6752" i="3" a="1"/>
  <c r="D7265" i="3" a="1"/>
  <c r="D4931" i="3" a="1"/>
  <c r="D7610" i="3" a="1"/>
  <c r="D6473" i="3" a="1"/>
  <c r="D4711" i="3" a="1"/>
  <c r="D5079" i="3" a="1"/>
  <c r="D6385" i="3" a="1"/>
  <c r="D7214" i="3" a="1"/>
  <c r="D7315" i="3" a="1"/>
  <c r="D4789" i="3" a="1"/>
  <c r="D6478" i="3" a="1"/>
  <c r="D6686" i="3" a="1"/>
  <c r="D7318" i="3" a="1"/>
  <c r="D4710" i="3" a="1"/>
  <c r="D5038" i="3" a="1"/>
  <c r="D7259" i="3" a="1"/>
  <c r="D5001" i="3" a="1"/>
  <c r="D4748" i="3" a="1"/>
  <c r="D6585" i="3" a="1"/>
  <c r="D5024" i="3" a="1"/>
  <c r="D4763" i="3" a="1"/>
  <c r="D6829" i="3" a="1"/>
  <c r="D7206" i="3" a="1"/>
  <c r="D5044" i="3" a="1"/>
  <c r="D7446" i="3" a="1"/>
  <c r="D6868" i="3" a="1"/>
  <c r="D7192" i="3" a="1"/>
  <c r="D7680" i="3" a="1"/>
  <c r="D6832" i="3" a="1"/>
  <c r="D6379" i="3" a="1"/>
  <c r="D7827" i="3" a="1"/>
  <c r="D7267" i="3" a="1"/>
  <c r="D6582" i="3" a="1"/>
  <c r="D7582" i="3" a="1"/>
  <c r="D7187" i="3" a="1"/>
  <c r="D4944" i="3" a="1"/>
  <c r="D4779" i="3" a="1"/>
  <c r="D7165" i="3" a="1"/>
  <c r="D5078" i="3" a="1"/>
  <c r="D6661" i="3" a="1"/>
  <c r="D7218" i="3" a="1"/>
  <c r="D6562" i="3" a="1"/>
  <c r="D7521" i="3" a="1"/>
  <c r="D4796" i="3" a="1"/>
  <c r="D5035" i="3" a="1"/>
  <c r="D6409" i="3" a="1"/>
  <c r="D4825" i="3" a="1"/>
  <c r="D6289" i="3" a="1"/>
  <c r="D7186" i="3" a="1"/>
  <c r="D6836" i="3" a="1"/>
  <c r="D7106" i="3" a="1"/>
  <c r="D5063" i="3" a="1"/>
  <c r="D4745" i="3" a="1"/>
  <c r="D4827" i="3" a="1"/>
  <c r="D6658" i="3" a="1"/>
  <c r="D7675" i="3" a="1"/>
  <c r="D7164" i="3" a="1"/>
  <c r="D7847" i="3" a="1"/>
  <c r="D5081" i="3" a="1"/>
  <c r="D7311" i="3" a="1"/>
  <c r="D7402" i="3" a="1"/>
  <c r="D5016" i="3" a="1"/>
  <c r="D7429" i="3" a="1"/>
  <c r="D6401" i="3" a="1"/>
  <c r="D6560" i="3" a="1"/>
  <c r="D7136" i="3" a="1"/>
  <c r="D6389" i="3" a="1"/>
  <c r="D7150" i="3" a="1"/>
  <c r="D7327" i="3" a="1"/>
  <c r="D5073" i="3" a="1"/>
  <c r="C11" i="133" a="1"/>
  <c r="D7621" i="3" a="1"/>
  <c r="D4958" i="3" a="1"/>
  <c r="D6574" i="3" a="1"/>
  <c r="D7466" i="3" a="1"/>
  <c r="D7495" i="3" a="1"/>
  <c r="D6496" i="3" a="1"/>
  <c r="D4724" i="3" a="1"/>
  <c r="D6651" i="3" a="1"/>
  <c r="D7821" i="3" a="1"/>
  <c r="D6475" i="3" a="1"/>
  <c r="D4960" i="3" a="1"/>
  <c r="D7573" i="3" a="1"/>
  <c r="D6619" i="3" a="1"/>
  <c r="D7328" i="3" a="1"/>
  <c r="D6561" i="3" a="1"/>
  <c r="D7152" i="3" a="1"/>
  <c r="D6760" i="3" a="1"/>
  <c r="D7087" i="3" a="1"/>
  <c r="D5082" i="3" a="1"/>
  <c r="D4916" i="3" a="1"/>
  <c r="D4860" i="3" a="1"/>
  <c r="D6764" i="3" a="1"/>
  <c r="D7383" i="3" a="1"/>
  <c r="D4834" i="3" a="1"/>
  <c r="D7385" i="3" a="1"/>
  <c r="D7426" i="3" a="1"/>
  <c r="D7228" i="3" a="1"/>
  <c r="D4761" i="3" a="1"/>
  <c r="D7251" i="3" a="1"/>
  <c r="D7519" i="3" a="1"/>
  <c r="D7458" i="3" a="1"/>
  <c r="D6845" i="3" a="1"/>
  <c r="D6501" i="3" a="1"/>
  <c r="D6778" i="3" a="1"/>
  <c r="D6402" i="3" a="1"/>
  <c r="D4972" i="3" a="1"/>
  <c r="D7394" i="3" a="1"/>
  <c r="D7480" i="3" a="1"/>
  <c r="D6503" i="3" a="1"/>
  <c r="D7467" i="3" a="1"/>
  <c r="D7403" i="3" a="1"/>
  <c r="D7119" i="3" a="1"/>
  <c r="D6415" i="3" a="1"/>
  <c r="C13" i="133" a="1"/>
  <c r="D6677" i="3" a="1"/>
  <c r="D6279" i="3" a="1"/>
  <c r="D7830" i="3" a="1"/>
  <c r="D4743" i="3" a="1"/>
  <c r="D5003" i="3" a="1"/>
  <c r="D6386" i="3" a="1"/>
  <c r="D7309" i="3" a="1"/>
  <c r="D7295" i="3" a="1"/>
  <c r="D7738" i="3" a="1"/>
  <c r="D7387" i="3" a="1"/>
  <c r="D7229" i="3" a="1"/>
  <c r="D7604" i="3" a="1"/>
  <c r="D5023" i="3" a="1"/>
  <c r="D7845" i="3" a="1"/>
  <c r="D6766" i="3" a="1"/>
  <c r="D6780" i="3" a="1"/>
  <c r="D7817" i="3" a="1"/>
  <c r="D7428" i="3" a="1"/>
  <c r="D6298" i="3" a="1"/>
  <c r="D7342" i="3" a="1"/>
  <c r="D7289" i="3" a="1"/>
  <c r="D4887" i="3" a="1"/>
  <c r="D7091" i="3" a="1"/>
  <c r="D7736" i="3" a="1"/>
  <c r="D4991" i="3" a="1"/>
  <c r="D5050" i="3" a="1"/>
  <c r="D7514" i="3" a="1"/>
  <c r="D7459" i="3" a="1"/>
  <c r="D7580" i="3" a="1"/>
  <c r="D7223" i="3" a="1"/>
  <c r="D4984" i="3" a="1"/>
  <c r="D7616" i="3" a="1"/>
  <c r="D5101" i="3" a="1"/>
  <c r="D4884" i="3" a="1"/>
  <c r="D4936" i="3" a="1"/>
  <c r="D7694" i="3" a="1"/>
  <c r="D7829" i="3" a="1"/>
  <c r="D6756" i="3" a="1"/>
  <c r="D4771" i="3" a="1"/>
  <c r="D6508" i="3" a="1"/>
  <c r="D7570" i="3" a="1"/>
  <c r="D7335" i="3" a="1"/>
  <c r="D7272" i="3" a="1"/>
  <c r="D7443" i="3" a="1"/>
  <c r="D7455" i="3" a="1"/>
  <c r="D7490" i="3" a="1"/>
  <c r="D4962" i="3" a="1"/>
  <c r="D7293" i="3" a="1"/>
  <c r="D7811" i="3" a="1"/>
  <c r="D7231" i="3" a="1"/>
  <c r="D4937" i="3" a="1"/>
  <c r="D4861" i="3" a="1"/>
  <c r="D7371" i="3" a="1"/>
  <c r="D6744" i="3" a="1"/>
  <c r="C5" i="133" a="1"/>
  <c r="D7420" i="3" a="1"/>
  <c r="D7099" i="3" a="1"/>
  <c r="D4847" i="3" a="1"/>
  <c r="D4892" i="3" a="1"/>
  <c r="D7628" i="3" a="1"/>
  <c r="D5007" i="3" a="1"/>
  <c r="D7577" i="3" a="1"/>
  <c r="D5006" i="3" a="1"/>
  <c r="D4896" i="3" a="1"/>
  <c r="D6307" i="3" a="1"/>
  <c r="D4846" i="3" a="1"/>
  <c r="D4744" i="3" a="1"/>
  <c r="D6485" i="3" a="1"/>
  <c r="D4881" i="3" a="1"/>
  <c r="D7617" i="3" a="1"/>
  <c r="D6291" i="3" a="1"/>
  <c r="D7227" i="3" a="1"/>
  <c r="D5027" i="3" a="1"/>
  <c r="D7253" i="3" a="1"/>
  <c r="D7243" i="3" a="1"/>
  <c r="D7831" i="3" a="1"/>
  <c r="D4715" i="3" a="1"/>
  <c r="D6583" i="3" a="1"/>
  <c r="D7828" i="3" a="1"/>
  <c r="D6570" i="3" a="1"/>
  <c r="D4980" i="3" a="1"/>
  <c r="D7107" i="3" a="1"/>
  <c r="D6387" i="3" a="1"/>
  <c r="D7344" i="3" a="1"/>
  <c r="D4994" i="3" a="1"/>
  <c r="D4828" i="3" a="1"/>
  <c r="D7819" i="3" a="1"/>
  <c r="D7200" i="3" a="1"/>
  <c r="D7151" i="3" a="1"/>
  <c r="D4790" i="3" a="1"/>
  <c r="D6621" i="3" a="1"/>
  <c r="D7463" i="3" a="1"/>
  <c r="D7749" i="3" a="1"/>
  <c r="D6311" i="3" a="1"/>
  <c r="D7471" i="3" a="1"/>
  <c r="D7836" i="3" a="1"/>
  <c r="D4880" i="3" a="1"/>
  <c r="H4653" i="3"/>
  <c r="D4977" i="3" a="1"/>
  <c r="D5087" i="3" a="1"/>
  <c r="D6738" i="3" a="1"/>
  <c r="D4854" i="3" a="1"/>
  <c r="D6867" i="3" a="1"/>
  <c r="D4684" i="3" a="1"/>
  <c r="D6765" i="3" a="1"/>
  <c r="D6653" i="3" a="1"/>
  <c r="D7284" i="3" a="1"/>
  <c r="D6782" i="3" a="1"/>
  <c r="D4995" i="3" a="1"/>
  <c r="D7843" i="3" a="1"/>
  <c r="D7120" i="3" a="1"/>
  <c r="D6281" i="3" a="1"/>
  <c r="D7157" i="3" a="1"/>
  <c r="D4908" i="3" a="1"/>
  <c r="D7503" i="3" a="1"/>
  <c r="D4971" i="3" a="1"/>
  <c r="D4870" i="3" a="1"/>
  <c r="D6293" i="3" a="1"/>
  <c r="D7407" i="3" a="1"/>
  <c r="D7330" i="3" a="1"/>
  <c r="D4939" i="3" a="1"/>
  <c r="D6864" i="3" a="1"/>
  <c r="D7348" i="3" a="1"/>
  <c r="D7489" i="3" a="1"/>
  <c r="D4917" i="3" a="1"/>
  <c r="D7814" i="3" a="1"/>
  <c r="D4865" i="3" a="1"/>
  <c r="D6869" i="3" a="1"/>
  <c r="D5094" i="3" a="1"/>
  <c r="D7320" i="3" a="1"/>
  <c r="D7145" i="3" a="1"/>
  <c r="D7388" i="3" a="1"/>
  <c r="D7122" i="3" a="1"/>
  <c r="D4844" i="3" a="1"/>
  <c r="D4840" i="3" a="1"/>
  <c r="D7399" i="3" a="1"/>
  <c r="D7376" i="3" a="1"/>
  <c r="D7622" i="3" a="1"/>
  <c r="D7623" i="3" a="1"/>
  <c r="D7475" i="3" a="1"/>
  <c r="D6739" i="3" a="1"/>
  <c r="D7596" i="3" a="1"/>
  <c r="D7299" i="3" a="1"/>
  <c r="D4814" i="3" a="1"/>
  <c r="D7195" i="3" a="1"/>
  <c r="D5096" i="3" a="1"/>
  <c r="D6779" i="3" a="1"/>
  <c r="D4810" i="3" a="1"/>
  <c r="D6657" i="3" a="1"/>
  <c r="D6835" i="3" a="1"/>
  <c r="D7325" i="3" a="1"/>
  <c r="D6410" i="3" a="1"/>
  <c r="D7576" i="3" a="1"/>
  <c r="D7183" i="3" a="1"/>
  <c r="D4778" i="3" a="1"/>
  <c r="D4736" i="3" a="1"/>
  <c r="D6511" i="3" a="1"/>
  <c r="D7838" i="3" a="1"/>
  <c r="D7598" i="3" a="1"/>
  <c r="D6472" i="3" a="1"/>
  <c r="D4751" i="3" a="1"/>
  <c r="D7417" i="3" a="1"/>
  <c r="D4950" i="3" a="1"/>
  <c r="D5043" i="3" a="1"/>
  <c r="D7341" i="3" a="1"/>
  <c r="D7393" i="3" a="1"/>
  <c r="D7368" i="3" a="1"/>
  <c r="D7416" i="3" a="1"/>
  <c r="D6418" i="3" a="1"/>
  <c r="D6620" i="3" a="1"/>
  <c r="D7185" i="3" a="1"/>
  <c r="D7509" i="3" a="1"/>
  <c r="D4831" i="3" a="1"/>
  <c r="D4704" i="3" a="1"/>
  <c r="D5061" i="3" a="1"/>
  <c r="D4762" i="3" a="1"/>
  <c r="D7851" i="3" a="1"/>
  <c r="D4864" i="3" a="1"/>
  <c r="D6690" i="3" a="1"/>
  <c r="D7135" i="3" a="1"/>
  <c r="D6301" i="3" a="1"/>
  <c r="D7086" i="3" a="1"/>
  <c r="D4765" i="3" a="1"/>
  <c r="D6842" i="3" a="1"/>
  <c r="C7" i="133" a="1"/>
  <c r="D6506" i="3" a="1"/>
  <c r="D7424" i="3" a="1"/>
  <c r="D5021" i="3" a="1"/>
  <c r="D7511" i="3" a="1"/>
  <c r="D7302" i="3" a="1"/>
  <c r="D4964" i="3" a="1"/>
  <c r="D4694" i="3" a="1"/>
  <c r="D7077" i="3" a="1"/>
  <c r="D6626" i="3" a="1"/>
  <c r="D6853" i="3" a="1"/>
  <c r="D7740" i="3" a="1"/>
  <c r="D7686" i="3" a="1"/>
  <c r="D6316" i="3" a="1"/>
  <c r="D5086" i="3" a="1"/>
  <c r="D6484" i="3" a="1"/>
  <c r="D7826" i="3" a="1"/>
  <c r="D4900" i="3" a="1"/>
  <c r="D6394" i="3" a="1"/>
  <c r="D6510" i="3" a="1"/>
  <c r="D7476" i="3" a="1"/>
  <c r="D6471" i="3" a="1"/>
  <c r="D5068" i="3" a="1"/>
  <c r="D7277" i="3" a="1"/>
  <c r="D7271" i="3" a="1"/>
  <c r="D7447" i="3" l="1"/>
  <c r="D4797" i="3"/>
  <c r="H4797" i="3" s="1"/>
  <c r="D7838" i="3"/>
  <c r="J7838" i="3" s="1"/>
  <c r="D6497" i="3"/>
  <c r="I6497" i="3" s="1"/>
  <c r="D6501" i="3"/>
  <c r="I6501" i="3" s="1"/>
  <c r="D4990" i="3"/>
  <c r="J4990" i="3" s="1"/>
  <c r="D6480" i="3"/>
  <c r="J6480" i="3" s="1"/>
  <c r="D7736" i="3"/>
  <c r="H7736" i="3" s="1"/>
  <c r="D4702" i="3"/>
  <c r="J4702" i="3" s="1"/>
  <c r="D6657" i="3"/>
  <c r="D6566" i="3"/>
  <c r="J6566" i="3" s="1"/>
  <c r="D6390" i="3"/>
  <c r="D7825" i="3"/>
  <c r="D7088" i="3"/>
  <c r="I7088" i="3" s="1"/>
  <c r="D7698" i="3"/>
  <c r="J7698" i="3" s="1"/>
  <c r="D7149" i="3"/>
  <c r="D4988" i="3"/>
  <c r="H4988" i="3" s="1"/>
  <c r="D7332" i="3"/>
  <c r="D4787" i="3"/>
  <c r="I4787" i="3" s="1"/>
  <c r="D5099" i="3"/>
  <c r="H5099" i="3" s="1"/>
  <c r="D7345" i="3"/>
  <c r="H7345" i="3" s="1"/>
  <c r="D7810" i="3"/>
  <c r="D7189" i="3"/>
  <c r="H7189" i="3" s="1"/>
  <c r="D7684" i="3"/>
  <c r="I7684" i="3" s="1"/>
  <c r="D7356" i="3"/>
  <c r="I7356" i="3" s="1"/>
  <c r="D4818" i="3"/>
  <c r="H4818" i="3" s="1"/>
  <c r="D7102" i="3"/>
  <c r="H7102" i="3" s="1"/>
  <c r="D4776" i="3"/>
  <c r="J4776" i="3" s="1"/>
  <c r="D7683" i="3"/>
  <c r="I7683" i="3" s="1"/>
  <c r="D4884" i="3"/>
  <c r="J4884" i="3" s="1"/>
  <c r="D5014" i="3"/>
  <c r="D6405" i="3"/>
  <c r="I6405" i="3" s="1"/>
  <c r="D7826" i="3"/>
  <c r="J7826" i="3" s="1"/>
  <c r="D7264" i="3"/>
  <c r="D7327" i="3"/>
  <c r="J7327" i="3" s="1"/>
  <c r="D7626" i="3"/>
  <c r="D4890" i="3"/>
  <c r="D5023" i="3"/>
  <c r="D7599" i="3"/>
  <c r="I7599" i="3" s="1"/>
  <c r="D7610" i="3"/>
  <c r="H7610" i="3" s="1"/>
  <c r="D7607" i="3"/>
  <c r="H7607" i="3" s="1"/>
  <c r="D7459" i="3"/>
  <c r="I7459" i="3" s="1"/>
  <c r="D6485" i="3"/>
  <c r="J6485" i="3" s="1"/>
  <c r="D4842" i="3"/>
  <c r="I4842" i="3" s="1"/>
  <c r="D6508" i="3"/>
  <c r="J6508" i="3" s="1"/>
  <c r="D7468" i="3"/>
  <c r="D7193" i="3"/>
  <c r="D4718" i="3"/>
  <c r="D7093" i="3"/>
  <c r="I7093" i="3" s="1"/>
  <c r="D7441" i="3"/>
  <c r="D7194" i="3"/>
  <c r="H7194" i="3" s="1"/>
  <c r="D7210" i="3"/>
  <c r="J7210" i="3" s="1"/>
  <c r="D7167" i="3"/>
  <c r="D5091" i="3"/>
  <c r="J5091" i="3" s="1"/>
  <c r="D7490" i="3"/>
  <c r="D7077" i="3"/>
  <c r="D5068" i="3"/>
  <c r="H5068" i="3" s="1"/>
  <c r="D7739" i="3"/>
  <c r="D6287" i="3"/>
  <c r="J6287" i="3" s="1"/>
  <c r="D7593" i="3"/>
  <c r="D7579" i="3"/>
  <c r="D7308" i="3"/>
  <c r="J7308" i="3" s="1"/>
  <c r="D7163" i="3"/>
  <c r="D7219" i="3"/>
  <c r="H7219" i="3" s="1"/>
  <c r="D7275" i="3"/>
  <c r="D7602" i="3"/>
  <c r="D7241" i="3"/>
  <c r="J7241" i="3" s="1"/>
  <c r="D4769" i="3"/>
  <c r="I4769" i="3" s="1"/>
  <c r="D4696" i="3"/>
  <c r="I4696" i="3" s="1"/>
  <c r="D7819" i="3"/>
  <c r="I7819" i="3" s="1"/>
  <c r="D5021" i="3"/>
  <c r="I5021" i="3" s="1"/>
  <c r="D7284" i="3"/>
  <c r="J7284" i="3" s="1"/>
  <c r="D7848" i="3"/>
  <c r="I7848" i="3" s="1"/>
  <c r="D7343" i="3"/>
  <c r="D5095" i="3"/>
  <c r="J5095" i="3" s="1"/>
  <c r="D4690" i="3"/>
  <c r="D6294" i="3"/>
  <c r="J6294" i="3" s="1"/>
  <c r="D7217" i="3"/>
  <c r="D4804" i="3"/>
  <c r="D7496" i="3"/>
  <c r="I7496" i="3" s="1"/>
  <c r="D6379" i="3"/>
  <c r="D7491" i="3"/>
  <c r="D7325" i="3"/>
  <c r="J7325" i="3" s="1"/>
  <c r="D7608" i="3"/>
  <c r="J7608" i="3" s="1"/>
  <c r="D7096" i="3"/>
  <c r="I7096" i="3" s="1"/>
  <c r="D4894" i="3"/>
  <c r="H4894" i="3" s="1"/>
  <c r="D6780" i="3"/>
  <c r="I6780" i="3" s="1"/>
  <c r="D5071" i="3"/>
  <c r="H5071" i="3" s="1"/>
  <c r="D7445" i="3"/>
  <c r="I7445" i="3" s="1"/>
  <c r="D7495" i="3"/>
  <c r="J7495" i="3" s="1"/>
  <c r="D7262" i="3"/>
  <c r="D6740" i="3"/>
  <c r="J6740" i="3" s="1"/>
  <c r="D6771" i="3"/>
  <c r="J6771" i="3" s="1"/>
  <c r="D7430" i="3"/>
  <c r="I7430" i="3" s="1"/>
  <c r="D7514" i="3"/>
  <c r="I7514" i="3" s="1"/>
  <c r="D4803" i="3"/>
  <c r="H4803" i="3" s="1"/>
  <c r="D6662" i="3"/>
  <c r="D7190" i="3"/>
  <c r="D6654" i="3"/>
  <c r="J6654" i="3" s="1"/>
  <c r="D6776" i="3"/>
  <c r="D7510" i="3"/>
  <c r="I7510" i="3" s="1"/>
  <c r="D7272" i="3"/>
  <c r="I7272" i="3" s="1"/>
  <c r="D5038" i="3"/>
  <c r="H5038" i="3" s="1"/>
  <c r="D7238" i="3"/>
  <c r="D7089" i="3"/>
  <c r="I7089" i="3" s="1"/>
  <c r="D7471" i="3"/>
  <c r="J7471" i="3" s="1"/>
  <c r="D6312" i="3"/>
  <c r="H6312" i="3" s="1"/>
  <c r="D4695" i="3"/>
  <c r="I4695" i="3" s="1"/>
  <c r="D4707" i="3"/>
  <c r="I4707" i="3" s="1"/>
  <c r="D4700" i="3"/>
  <c r="H4700" i="3" s="1"/>
  <c r="D6778" i="3"/>
  <c r="I6778" i="3" s="1"/>
  <c r="D4799" i="3"/>
  <c r="I4799" i="3" s="1"/>
  <c r="D5002" i="3"/>
  <c r="J5002" i="3" s="1"/>
  <c r="D6307" i="3"/>
  <c r="J6307" i="3" s="1"/>
  <c r="D6569" i="3"/>
  <c r="H6569" i="3" s="1"/>
  <c r="D4849" i="3"/>
  <c r="J4849" i="3" s="1"/>
  <c r="D7460" i="3"/>
  <c r="I7460" i="3" s="1"/>
  <c r="D4938" i="3"/>
  <c r="D5050" i="3"/>
  <c r="I5050" i="3" s="1"/>
  <c r="D6749" i="3"/>
  <c r="D4826" i="3"/>
  <c r="D5006" i="3"/>
  <c r="I5006" i="3" s="1"/>
  <c r="D6753" i="3"/>
  <c r="I6753" i="3" s="1"/>
  <c r="D7577" i="3"/>
  <c r="I7577" i="3" s="1"/>
  <c r="D6626" i="3"/>
  <c r="J6626" i="3" s="1"/>
  <c r="D6395" i="3"/>
  <c r="D7372" i="3"/>
  <c r="D7253" i="3"/>
  <c r="D6381" i="3"/>
  <c r="H6381" i="3" s="1"/>
  <c r="D5090" i="3"/>
  <c r="I5090" i="3" s="1"/>
  <c r="D6419" i="3"/>
  <c r="D7318" i="3"/>
  <c r="I7318" i="3" s="1"/>
  <c r="D7360" i="3"/>
  <c r="D7494" i="3"/>
  <c r="D6505" i="3"/>
  <c r="D7746" i="3"/>
  <c r="J7746" i="3" s="1"/>
  <c r="D7695" i="3"/>
  <c r="D6310" i="3"/>
  <c r="H6310" i="3" s="1"/>
  <c r="D4685" i="3"/>
  <c r="D7113" i="3"/>
  <c r="J7113" i="3" s="1"/>
  <c r="D7120" i="3"/>
  <c r="H7120" i="3" s="1"/>
  <c r="D4714" i="3"/>
  <c r="D7323" i="3"/>
  <c r="I7323" i="3" s="1"/>
  <c r="D7379" i="3"/>
  <c r="H7379" i="3" s="1"/>
  <c r="D7412" i="3"/>
  <c r="D7369" i="3"/>
  <c r="I7369" i="3" s="1"/>
  <c r="D5076" i="3"/>
  <c r="H5076" i="3" s="1"/>
  <c r="D4770" i="3"/>
  <c r="I4770" i="3" s="1"/>
  <c r="D6476" i="3"/>
  <c r="I6476" i="3" s="1"/>
  <c r="D4686" i="3"/>
  <c r="I4686" i="3" s="1"/>
  <c r="D6496" i="3"/>
  <c r="D7472" i="3"/>
  <c r="H7472" i="3" s="1"/>
  <c r="D5042" i="3"/>
  <c r="H5042" i="3" s="1"/>
  <c r="D6669" i="3"/>
  <c r="I6669" i="3" s="1"/>
  <c r="D7463" i="3"/>
  <c r="I7463" i="3" s="1"/>
  <c r="D7213" i="3"/>
  <c r="D7452" i="3"/>
  <c r="H7452" i="3" s="1"/>
  <c r="D6765" i="3"/>
  <c r="D5081" i="3"/>
  <c r="D7575" i="3"/>
  <c r="J7575" i="3" s="1"/>
  <c r="C13" i="133"/>
  <c r="D4751" i="3"/>
  <c r="H4751" i="3" s="1"/>
  <c r="D7413" i="3"/>
  <c r="D7223" i="3"/>
  <c r="J7223" i="3" s="1"/>
  <c r="D5063" i="3"/>
  <c r="J5063" i="3" s="1"/>
  <c r="D7184" i="3"/>
  <c r="I7184" i="3" s="1"/>
  <c r="D7326" i="3"/>
  <c r="I7326" i="3" s="1"/>
  <c r="D4936" i="3"/>
  <c r="I4936" i="3" s="1"/>
  <c r="D6418" i="3"/>
  <c r="I6418" i="3" s="1"/>
  <c r="D6300" i="3"/>
  <c r="J6300" i="3" s="1"/>
  <c r="D7075" i="3"/>
  <c r="J7075" i="3" s="1"/>
  <c r="D4912" i="3"/>
  <c r="D4945" i="3"/>
  <c r="D4932" i="3"/>
  <c r="J4932" i="3" s="1"/>
  <c r="D7166" i="3"/>
  <c r="D6772" i="3"/>
  <c r="D6833" i="3"/>
  <c r="I6833" i="3" s="1"/>
  <c r="D6847" i="3"/>
  <c r="H6847" i="3" s="1"/>
  <c r="D7300" i="3"/>
  <c r="H7300" i="3" s="1"/>
  <c r="D6673" i="3"/>
  <c r="D7578" i="3"/>
  <c r="H7578" i="3" s="1"/>
  <c r="C7" i="133"/>
  <c r="D7337" i="3"/>
  <c r="D6623" i="3"/>
  <c r="I6623" i="3" s="1"/>
  <c r="D7482" i="3"/>
  <c r="I7482" i="3" s="1"/>
  <c r="D4834" i="3"/>
  <c r="H4834" i="3" s="1"/>
  <c r="D6386" i="3"/>
  <c r="D7370" i="3"/>
  <c r="H7370" i="3" s="1"/>
  <c r="D4722" i="3"/>
  <c r="I4722" i="3" s="1"/>
  <c r="D4723" i="3"/>
  <c r="J4723" i="3" s="1"/>
  <c r="D6291" i="3"/>
  <c r="D7462" i="3"/>
  <c r="D5061" i="3"/>
  <c r="J5061" i="3" s="1"/>
  <c r="D6279" i="3"/>
  <c r="H6279" i="3" s="1"/>
  <c r="D7487" i="3"/>
  <c r="J7487" i="3" s="1"/>
  <c r="D7224" i="3"/>
  <c r="I7224" i="3" s="1"/>
  <c r="D6763" i="3"/>
  <c r="D7618" i="3"/>
  <c r="J7618" i="3" s="1"/>
  <c r="D7280" i="3"/>
  <c r="J7280" i="3" s="1"/>
  <c r="D6576" i="3"/>
  <c r="I6576" i="3" s="1"/>
  <c r="D4870" i="3"/>
  <c r="I4870" i="3" s="1"/>
  <c r="D7454" i="3"/>
  <c r="D7453" i="3"/>
  <c r="D4931" i="3"/>
  <c r="D7249" i="3"/>
  <c r="D5059" i="3"/>
  <c r="H5059" i="3" s="1"/>
  <c r="D7320" i="3"/>
  <c r="I7320" i="3" s="1"/>
  <c r="D7520" i="3"/>
  <c r="J7520" i="3" s="1"/>
  <c r="D7100" i="3"/>
  <c r="H7100" i="3" s="1"/>
  <c r="D7198" i="3"/>
  <c r="J7198" i="3" s="1"/>
  <c r="D7277" i="3"/>
  <c r="I7277" i="3" s="1"/>
  <c r="D6744" i="3"/>
  <c r="D7136" i="3"/>
  <c r="D6660" i="3"/>
  <c r="D6506" i="3"/>
  <c r="J6506" i="3" s="1"/>
  <c r="D7604" i="3"/>
  <c r="D6651" i="3"/>
  <c r="H6651" i="3" s="1"/>
  <c r="D5096" i="3"/>
  <c r="H5096" i="3" s="1"/>
  <c r="D7159" i="3"/>
  <c r="I7159" i="3" s="1"/>
  <c r="D4703" i="3"/>
  <c r="D7200" i="3"/>
  <c r="D4791" i="3"/>
  <c r="I4791" i="3" s="1"/>
  <c r="D7239" i="3"/>
  <c r="D4863" i="3"/>
  <c r="I4863" i="3" s="1"/>
  <c r="D7292" i="3"/>
  <c r="H7292" i="3" s="1"/>
  <c r="D7181" i="3"/>
  <c r="D6849" i="3"/>
  <c r="J6849" i="3" s="1"/>
  <c r="D6841" i="3"/>
  <c r="D6863" i="3"/>
  <c r="J6863" i="3" s="1"/>
  <c r="D7368" i="3"/>
  <c r="J7368" i="3" s="1"/>
  <c r="D6489" i="3"/>
  <c r="I6489" i="3" s="1"/>
  <c r="D6583" i="3"/>
  <c r="J6583" i="3" s="1"/>
  <c r="D5027" i="3"/>
  <c r="H5027" i="3" s="1"/>
  <c r="D5010" i="3"/>
  <c r="H5010" i="3" s="1"/>
  <c r="D6631" i="3"/>
  <c r="H6631" i="3" s="1"/>
  <c r="D6572" i="3"/>
  <c r="J6572" i="3" s="1"/>
  <c r="D6396" i="3"/>
  <c r="I6396" i="3" s="1"/>
  <c r="D6758" i="3"/>
  <c r="D5030" i="3"/>
  <c r="D7231" i="3"/>
  <c r="D7480" i="3"/>
  <c r="J7480" i="3" s="1"/>
  <c r="D6282" i="3"/>
  <c r="J6282" i="3" s="1"/>
  <c r="D7371" i="3"/>
  <c r="J7371" i="3" s="1"/>
  <c r="D7222" i="3"/>
  <c r="H7222" i="3" s="1"/>
  <c r="D4715" i="3"/>
  <c r="D7839" i="3"/>
  <c r="H7839" i="3" s="1"/>
  <c r="D4806" i="3"/>
  <c r="J4806" i="3" s="1"/>
  <c r="D7422" i="3"/>
  <c r="H7422" i="3" s="1"/>
  <c r="D7420" i="3"/>
  <c r="H7420" i="3" s="1"/>
  <c r="D7384" i="3"/>
  <c r="J7384" i="3" s="1"/>
  <c r="D6629" i="3"/>
  <c r="H6629" i="3" s="1"/>
  <c r="D7235" i="3"/>
  <c r="H7235" i="3" s="1"/>
  <c r="D4854" i="3"/>
  <c r="J4854" i="3" s="1"/>
  <c r="D4771" i="3"/>
  <c r="D7303" i="3"/>
  <c r="I7303" i="3" s="1"/>
  <c r="D4729" i="3"/>
  <c r="H4729" i="3" s="1"/>
  <c r="D7352" i="3"/>
  <c r="J7352" i="3" s="1"/>
  <c r="D7405" i="3"/>
  <c r="I7405" i="3" s="1"/>
  <c r="D7465" i="3"/>
  <c r="D4878" i="3"/>
  <c r="D6759" i="3"/>
  <c r="D6586" i="3"/>
  <c r="H6586" i="3" s="1"/>
  <c r="D7458" i="3"/>
  <c r="J7458" i="3" s="1"/>
  <c r="D7377" i="3"/>
  <c r="D7843" i="3"/>
  <c r="D7815" i="3"/>
  <c r="H7815" i="3" s="1"/>
  <c r="D4819" i="3"/>
  <c r="D6665" i="3"/>
  <c r="D7108" i="3"/>
  <c r="H7108" i="3" s="1"/>
  <c r="D7830" i="3"/>
  <c r="I7830" i="3" s="1"/>
  <c r="D7164" i="3"/>
  <c r="D6681" i="3"/>
  <c r="J6681" i="3" s="1"/>
  <c r="D4958" i="3"/>
  <c r="C10" i="133"/>
  <c r="D7601" i="3"/>
  <c r="I7601" i="3" s="1"/>
  <c r="D7624" i="3"/>
  <c r="D6649" i="3"/>
  <c r="J6649" i="3" s="1"/>
  <c r="D4973" i="3"/>
  <c r="J4973" i="3" s="1"/>
  <c r="D7835" i="3"/>
  <c r="I7835" i="3" s="1"/>
  <c r="D7349" i="3"/>
  <c r="J7349" i="3" s="1"/>
  <c r="D4876" i="3"/>
  <c r="H4876" i="3" s="1"/>
  <c r="D7519" i="3"/>
  <c r="I7519" i="3" s="1"/>
  <c r="D4930" i="3"/>
  <c r="H4930" i="3" s="1"/>
  <c r="D4815" i="3"/>
  <c r="J4815" i="3" s="1"/>
  <c r="D7156" i="3"/>
  <c r="D4993" i="3"/>
  <c r="D7444" i="3"/>
  <c r="H7444" i="3" s="1"/>
  <c r="D6839" i="3"/>
  <c r="H6839" i="3" s="1"/>
  <c r="D7408" i="3"/>
  <c r="D7456" i="3"/>
  <c r="J7456" i="3" s="1"/>
  <c r="D7301" i="3"/>
  <c r="J7301" i="3" s="1"/>
  <c r="D7822" i="3"/>
  <c r="J7822" i="3" s="1"/>
  <c r="D7516" i="3"/>
  <c r="J7516" i="3" s="1"/>
  <c r="D6499" i="3"/>
  <c r="I6499" i="3" s="1"/>
  <c r="D6421" i="3"/>
  <c r="J6421" i="3" s="1"/>
  <c r="D4719" i="3"/>
  <c r="D6568" i="3"/>
  <c r="I6568" i="3" s="1"/>
  <c r="D6761" i="3"/>
  <c r="D7299" i="3"/>
  <c r="J7299" i="3" s="1"/>
  <c r="D4753" i="3"/>
  <c r="D6278" i="3"/>
  <c r="D7380" i="3"/>
  <c r="D7233" i="3"/>
  <c r="J7233" i="3" s="1"/>
  <c r="D7195" i="3"/>
  <c r="D7258" i="3"/>
  <c r="H7258" i="3" s="1"/>
  <c r="D4840" i="3"/>
  <c r="D4927" i="3"/>
  <c r="I4927" i="3" s="1"/>
  <c r="D6686" i="3"/>
  <c r="D4982" i="3"/>
  <c r="H4982" i="3" s="1"/>
  <c r="D4883" i="3"/>
  <c r="D4865" i="3"/>
  <c r="J4865" i="3" s="1"/>
  <c r="D7573" i="3"/>
  <c r="J7573" i="3" s="1"/>
  <c r="D7333" i="3"/>
  <c r="H7333" i="3" s="1"/>
  <c r="D7450" i="3"/>
  <c r="I7450" i="3" s="1"/>
  <c r="D7110" i="3"/>
  <c r="D4874" i="3"/>
  <c r="D5083" i="3"/>
  <c r="I5083" i="3" s="1"/>
  <c r="D5089" i="3"/>
  <c r="D6859" i="3"/>
  <c r="I6859" i="3" s="1"/>
  <c r="D7821" i="3"/>
  <c r="I7821" i="3" s="1"/>
  <c r="D4858" i="3"/>
  <c r="I4858" i="3" s="1"/>
  <c r="D4745" i="3"/>
  <c r="D7152" i="3"/>
  <c r="J7152" i="3" s="1"/>
  <c r="D7455" i="3"/>
  <c r="H7455" i="3" s="1"/>
  <c r="D6741" i="3"/>
  <c r="H6741" i="3" s="1"/>
  <c r="D6668" i="3"/>
  <c r="D6407" i="3"/>
  <c r="H6407" i="3" s="1"/>
  <c r="D7268" i="3"/>
  <c r="H7268" i="3" s="1"/>
  <c r="D7448" i="3"/>
  <c r="D4847" i="3"/>
  <c r="I4847" i="3" s="1"/>
  <c r="D6290" i="3"/>
  <c r="D6653" i="3"/>
  <c r="I6653" i="3" s="1"/>
  <c r="D6474" i="3"/>
  <c r="D4941" i="3"/>
  <c r="B8" i="20"/>
  <c r="A9" i="20" s="1" a="1"/>
  <c r="A9" i="20" s="1"/>
  <c r="D4821" i="3"/>
  <c r="J4821" i="3" s="1"/>
  <c r="D6781" i="3"/>
  <c r="I6781" i="3" s="1"/>
  <c r="D7813" i="3"/>
  <c r="H7813" i="3" s="1"/>
  <c r="D6391" i="3"/>
  <c r="I6391" i="3" s="1"/>
  <c r="D4868" i="3"/>
  <c r="I4868" i="3" s="1"/>
  <c r="D7696" i="3"/>
  <c r="I7696" i="3" s="1"/>
  <c r="D7502" i="3"/>
  <c r="D5047" i="3"/>
  <c r="D7339" i="3"/>
  <c r="I7339" i="3" s="1"/>
  <c r="D7250" i="3"/>
  <c r="I7250" i="3" s="1"/>
  <c r="D7816" i="3"/>
  <c r="J7816" i="3" s="1"/>
  <c r="D7676" i="3"/>
  <c r="H7676" i="3" s="1"/>
  <c r="D6579" i="3"/>
  <c r="D7306" i="3"/>
  <c r="D4844" i="3"/>
  <c r="I4844" i="3" s="1"/>
  <c r="D7628" i="3"/>
  <c r="J7628" i="3" s="1"/>
  <c r="D4688" i="3"/>
  <c r="J4688" i="3" s="1"/>
  <c r="D6656" i="3"/>
  <c r="H6656" i="3" s="1"/>
  <c r="D6745" i="3"/>
  <c r="J6745" i="3" s="1"/>
  <c r="D6276" i="3"/>
  <c r="J6276" i="3" s="1"/>
  <c r="D6842" i="3"/>
  <c r="J6842" i="3" s="1"/>
  <c r="D5033" i="3"/>
  <c r="D7700" i="3"/>
  <c r="H7700" i="3" s="1"/>
  <c r="D6762" i="3"/>
  <c r="D7288" i="3"/>
  <c r="D4970" i="3"/>
  <c r="H4970" i="3" s="1"/>
  <c r="D7121" i="3"/>
  <c r="D6392" i="3"/>
  <c r="I6392" i="3" s="1"/>
  <c r="D7305" i="3"/>
  <c r="J7305" i="3" s="1"/>
  <c r="D4755" i="3"/>
  <c r="D4953" i="3"/>
  <c r="H4953" i="3" s="1"/>
  <c r="D7580" i="3"/>
  <c r="H7580" i="3" s="1"/>
  <c r="D6750" i="3"/>
  <c r="H6750" i="3" s="1"/>
  <c r="D4731" i="3"/>
  <c r="J4731" i="3" s="1"/>
  <c r="D5069" i="3"/>
  <c r="D6470" i="3"/>
  <c r="H6470" i="3" s="1"/>
  <c r="D7211" i="3"/>
  <c r="D4924" i="3"/>
  <c r="J4924" i="3" s="1"/>
  <c r="D6570" i="3"/>
  <c r="D5082" i="3"/>
  <c r="I5082" i="3" s="1"/>
  <c r="D7191" i="3"/>
  <c r="I7191" i="3" s="1"/>
  <c r="D7625" i="3"/>
  <c r="I7625" i="3" s="1"/>
  <c r="D7464" i="3"/>
  <c r="J7464" i="3" s="1"/>
  <c r="D7269" i="3"/>
  <c r="J7269" i="3" s="1"/>
  <c r="D4845" i="3"/>
  <c r="H4845" i="3" s="1"/>
  <c r="D7679" i="3"/>
  <c r="H7679" i="3" s="1"/>
  <c r="D4919" i="3"/>
  <c r="I4919" i="3" s="1"/>
  <c r="D7322" i="3"/>
  <c r="H7322" i="3" s="1"/>
  <c r="D7586" i="3"/>
  <c r="D7504" i="3"/>
  <c r="D4916" i="3"/>
  <c r="I4916" i="3" s="1"/>
  <c r="D4923" i="3"/>
  <c r="I4923" i="3" s="1"/>
  <c r="D4749" i="3"/>
  <c r="D4741" i="3"/>
  <c r="J4741" i="3" s="1"/>
  <c r="D4712" i="3"/>
  <c r="D7675" i="3"/>
  <c r="J7675" i="3" s="1"/>
  <c r="D5054" i="3"/>
  <c r="I5054" i="3" s="1"/>
  <c r="D7497" i="3"/>
  <c r="D5046" i="3"/>
  <c r="D7431" i="3"/>
  <c r="H7431" i="3" s="1"/>
  <c r="D7616" i="3"/>
  <c r="I7616" i="3" s="1"/>
  <c r="D7363" i="3"/>
  <c r="D6621" i="3"/>
  <c r="I6621" i="3" s="1"/>
  <c r="D6561" i="3"/>
  <c r="H6561" i="3" s="1"/>
  <c r="D7419" i="3"/>
  <c r="I7419" i="3" s="1"/>
  <c r="D7103" i="3"/>
  <c r="H7103" i="3" s="1"/>
  <c r="D6488" i="3"/>
  <c r="D7406" i="3"/>
  <c r="D4813" i="3"/>
  <c r="H4813" i="3" s="1"/>
  <c r="D6862" i="3"/>
  <c r="J6862" i="3" s="1"/>
  <c r="D6742" i="3"/>
  <c r="J6742" i="3" s="1"/>
  <c r="D4880" i="3"/>
  <c r="H4880" i="3" s="1"/>
  <c r="D4859" i="3"/>
  <c r="I4859" i="3" s="1"/>
  <c r="D6389" i="3"/>
  <c r="J6389" i="3" s="1"/>
  <c r="D7151" i="3"/>
  <c r="I7151" i="3" s="1"/>
  <c r="D7385" i="3"/>
  <c r="D6625" i="3"/>
  <c r="I6625" i="3" s="1"/>
  <c r="D7087" i="3"/>
  <c r="I7087" i="3" s="1"/>
  <c r="D7144" i="3"/>
  <c r="I7144" i="3" s="1"/>
  <c r="D6748" i="3"/>
  <c r="J6748" i="3" s="1"/>
  <c r="D4978" i="3"/>
  <c r="H4978" i="3" s="1"/>
  <c r="D7627" i="3"/>
  <c r="I7627" i="3" s="1"/>
  <c r="D6620" i="3"/>
  <c r="J6620" i="3" s="1"/>
  <c r="D5085" i="3"/>
  <c r="J5085" i="3" s="1"/>
  <c r="D6387" i="3"/>
  <c r="I6387" i="3" s="1"/>
  <c r="D7386" i="3"/>
  <c r="D7473" i="3"/>
  <c r="H7473" i="3" s="1"/>
  <c r="D4976" i="3"/>
  <c r="D7828" i="3"/>
  <c r="H7828" i="3" s="1"/>
  <c r="D4743" i="3"/>
  <c r="D6846" i="3"/>
  <c r="H6846" i="3" s="1"/>
  <c r="D4925" i="3"/>
  <c r="I4925" i="3" s="1"/>
  <c r="D5077" i="3"/>
  <c r="D6680" i="3"/>
  <c r="D6865" i="3"/>
  <c r="I6865" i="3" s="1"/>
  <c r="D4896" i="3"/>
  <c r="J4896" i="3" s="1"/>
  <c r="D7845" i="3"/>
  <c r="D4908" i="3"/>
  <c r="D6864" i="3"/>
  <c r="D6690" i="3"/>
  <c r="H6690" i="3" s="1"/>
  <c r="D7590" i="3"/>
  <c r="D7331" i="3"/>
  <c r="D6840" i="3"/>
  <c r="J6840" i="3" s="1"/>
  <c r="D6658" i="3"/>
  <c r="D7433" i="3"/>
  <c r="J7433" i="3" s="1"/>
  <c r="D5066" i="3"/>
  <c r="D5040" i="3"/>
  <c r="H5040" i="3" s="1"/>
  <c r="D6297" i="3"/>
  <c r="H6297" i="3" s="1"/>
  <c r="D6400" i="3"/>
  <c r="D7147" i="3"/>
  <c r="H7147" i="3" s="1"/>
  <c r="D7499" i="3"/>
  <c r="H7499" i="3" s="1"/>
  <c r="D7112" i="3"/>
  <c r="I7112" i="3" s="1"/>
  <c r="D6670" i="3"/>
  <c r="D7682" i="3"/>
  <c r="J7682" i="3" s="1"/>
  <c r="D4915" i="3"/>
  <c r="H4915" i="3" s="1"/>
  <c r="D7820" i="3"/>
  <c r="J7820" i="3" s="1"/>
  <c r="D4964" i="3"/>
  <c r="D5039" i="3"/>
  <c r="H5039" i="3" s="1"/>
  <c r="D4886" i="3"/>
  <c r="D5020" i="3"/>
  <c r="D4726" i="3"/>
  <c r="I4726" i="3" s="1"/>
  <c r="D5084" i="3"/>
  <c r="H5084" i="3" s="1"/>
  <c r="D7266" i="3"/>
  <c r="I7266" i="3" s="1"/>
  <c r="D7416" i="3"/>
  <c r="D7196" i="3"/>
  <c r="H7196" i="3" s="1"/>
  <c r="D6409" i="3"/>
  <c r="H6409" i="3" s="1"/>
  <c r="D7488" i="3"/>
  <c r="D7376" i="3"/>
  <c r="D6671" i="3"/>
  <c r="J6671" i="3" s="1"/>
  <c r="D7240" i="3"/>
  <c r="D5012" i="3"/>
  <c r="J5012" i="3" s="1"/>
  <c r="D7570" i="3"/>
  <c r="J7570" i="3" s="1"/>
  <c r="D7335" i="3"/>
  <c r="H7335" i="3" s="1"/>
  <c r="D6412" i="3"/>
  <c r="D7165" i="3"/>
  <c r="J7165" i="3" s="1"/>
  <c r="D6308" i="3"/>
  <c r="J6308" i="3" s="1"/>
  <c r="D6383" i="3"/>
  <c r="I6383" i="3" s="1"/>
  <c r="D4860" i="3"/>
  <c r="D4952" i="3"/>
  <c r="D4684" i="3"/>
  <c r="I4684" i="3" s="1"/>
  <c r="D6274" i="3"/>
  <c r="I6274" i="3" s="1"/>
  <c r="D6475" i="3"/>
  <c r="H6475" i="3" s="1"/>
  <c r="D7338" i="3"/>
  <c r="D4734" i="3"/>
  <c r="H4734" i="3" s="1"/>
  <c r="D4794" i="3"/>
  <c r="J4794" i="3" s="1"/>
  <c r="D6280" i="3"/>
  <c r="I6280" i="3" s="1"/>
  <c r="D6618" i="3"/>
  <c r="H6618" i="3" s="1"/>
  <c r="D7685" i="3"/>
  <c r="I7685" i="3" s="1"/>
  <c r="D7596" i="3"/>
  <c r="I7596" i="3" s="1"/>
  <c r="D6832" i="3"/>
  <c r="D7359" i="3"/>
  <c r="I7359" i="3" s="1"/>
  <c r="D7187" i="3"/>
  <c r="H7187" i="3" s="1"/>
  <c r="D7390" i="3"/>
  <c r="J7390" i="3" s="1"/>
  <c r="D7216" i="3"/>
  <c r="J7216" i="3" s="1"/>
  <c r="D6577" i="3"/>
  <c r="I6577" i="3" s="1"/>
  <c r="D6397" i="3"/>
  <c r="I6397" i="3" s="1"/>
  <c r="D4704" i="3"/>
  <c r="H4704" i="3" s="1"/>
  <c r="D4738" i="3"/>
  <c r="J4738" i="3" s="1"/>
  <c r="D7086" i="3"/>
  <c r="I7086" i="3" s="1"/>
  <c r="D7141" i="3"/>
  <c r="D7090" i="3"/>
  <c r="H7090" i="3" s="1"/>
  <c r="D7162" i="3"/>
  <c r="J7162" i="3" s="1"/>
  <c r="D7466" i="3"/>
  <c r="J7466" i="3" s="1"/>
  <c r="D7439" i="3"/>
  <c r="D6628" i="3"/>
  <c r="H6628" i="3" s="1"/>
  <c r="D4995" i="3"/>
  <c r="I4995" i="3" s="1"/>
  <c r="D5078" i="3"/>
  <c r="J5078" i="3" s="1"/>
  <c r="D6298" i="3"/>
  <c r="B8" i="10"/>
  <c r="A9" i="10" s="1" a="1"/>
  <c r="A9" i="10" s="1"/>
  <c r="B9" i="10" s="1" a="1"/>
  <c r="B9" i="10" s="1"/>
  <c r="A10" i="10" s="1" a="1"/>
  <c r="A10" i="10" s="1"/>
  <c r="B10" i="10" s="1" a="1"/>
  <c r="D7587" i="3"/>
  <c r="H7587" i="3" s="1"/>
  <c r="D7383" i="3"/>
  <c r="D6835" i="3"/>
  <c r="H6835" i="3" s="1"/>
  <c r="D4906" i="3"/>
  <c r="I4906" i="3" s="1"/>
  <c r="D6743" i="3"/>
  <c r="D4985" i="3"/>
  <c r="D6311" i="3"/>
  <c r="H6311" i="3" s="1"/>
  <c r="D6661" i="3"/>
  <c r="J6661" i="3" s="1"/>
  <c r="D4904" i="3"/>
  <c r="H4904" i="3" s="1"/>
  <c r="D7693" i="3"/>
  <c r="I7693" i="3" s="1"/>
  <c r="D6848" i="3"/>
  <c r="D7342" i="3"/>
  <c r="J7342" i="3" s="1"/>
  <c r="D5036" i="3"/>
  <c r="H5036" i="3" s="1"/>
  <c r="D6685" i="3"/>
  <c r="H6685" i="3" s="1"/>
  <c r="D4893" i="3"/>
  <c r="I4893" i="3" s="1"/>
  <c r="D7701" i="3"/>
  <c r="J7701" i="3" s="1"/>
  <c r="D7287" i="3"/>
  <c r="D6511" i="3"/>
  <c r="I6511" i="3" s="1"/>
  <c r="D5079" i="3"/>
  <c r="I5079" i="3" s="1"/>
  <c r="D7122" i="3"/>
  <c r="J7122" i="3" s="1"/>
  <c r="D7099" i="3"/>
  <c r="I7099" i="3" s="1"/>
  <c r="D6422" i="3"/>
  <c r="I6422" i="3" s="1"/>
  <c r="D7478" i="3"/>
  <c r="D6582" i="3"/>
  <c r="D7084" i="3"/>
  <c r="H7084" i="3" s="1"/>
  <c r="C8" i="133"/>
  <c r="D7290" i="3"/>
  <c r="I7290" i="3" s="1"/>
  <c r="D7512" i="3"/>
  <c r="J7512" i="3" s="1"/>
  <c r="D6691" i="3"/>
  <c r="D4807" i="3"/>
  <c r="D6757" i="3"/>
  <c r="J6757" i="3" s="1"/>
  <c r="D7837" i="3"/>
  <c r="J7837" i="3" s="1"/>
  <c r="D4754" i="3"/>
  <c r="J4754" i="3" s="1"/>
  <c r="D6829" i="3"/>
  <c r="H6829" i="3" s="1"/>
  <c r="D7245" i="3"/>
  <c r="I7245" i="3" s="1"/>
  <c r="D7243" i="3"/>
  <c r="I7243" i="3" s="1"/>
  <c r="D5097" i="3"/>
  <c r="J5097" i="3" s="1"/>
  <c r="D4873" i="3"/>
  <c r="I4873" i="3" s="1"/>
  <c r="D7137" i="3"/>
  <c r="J7137" i="3" s="1"/>
  <c r="D6854" i="3"/>
  <c r="I6854" i="3" s="1"/>
  <c r="D7307" i="3"/>
  <c r="D5080" i="3"/>
  <c r="D6486" i="3"/>
  <c r="H6486" i="3" s="1"/>
  <c r="D7834" i="3"/>
  <c r="I7834" i="3" s="1"/>
  <c r="D6675" i="3"/>
  <c r="D4984" i="3"/>
  <c r="J4984" i="3" s="1"/>
  <c r="D6504" i="3"/>
  <c r="D7603" i="3"/>
  <c r="D7589" i="3"/>
  <c r="D7814" i="3"/>
  <c r="D4992" i="3"/>
  <c r="H4992" i="3" s="1"/>
  <c r="D7407" i="3"/>
  <c r="D7118" i="3"/>
  <c r="D7397" i="3"/>
  <c r="D6484" i="3"/>
  <c r="I6484" i="3" s="1"/>
  <c r="D7315" i="3"/>
  <c r="H7315" i="3" s="1"/>
  <c r="D7521" i="3"/>
  <c r="H7521" i="3" s="1"/>
  <c r="D7505" i="3"/>
  <c r="I7505" i="3" s="1"/>
  <c r="D6676" i="3"/>
  <c r="D4928" i="3"/>
  <c r="H4928" i="3" s="1"/>
  <c r="D5016" i="3"/>
  <c r="D7180" i="3"/>
  <c r="H7180" i="3" s="1"/>
  <c r="D7421" i="3"/>
  <c r="I7421" i="3" s="1"/>
  <c r="D6857" i="3"/>
  <c r="H6857" i="3" s="1"/>
  <c r="D7423" i="3"/>
  <c r="D5073" i="3"/>
  <c r="J5073" i="3" s="1"/>
  <c r="D6402" i="3"/>
  <c r="H6402" i="3" s="1"/>
  <c r="D4841" i="3"/>
  <c r="D5017" i="3"/>
  <c r="H5017" i="3" s="1"/>
  <c r="D6587" i="3"/>
  <c r="I6587" i="3" s="1"/>
  <c r="D7373" i="3"/>
  <c r="D7201" i="3"/>
  <c r="H7201" i="3" s="1"/>
  <c r="D5055" i="3"/>
  <c r="D4853" i="3"/>
  <c r="I4853" i="3" s="1"/>
  <c r="D4756" i="3"/>
  <c r="I4756" i="3" s="1"/>
  <c r="D7282" i="3"/>
  <c r="D4956" i="3"/>
  <c r="D4975" i="3"/>
  <c r="I4975" i="3" s="1"/>
  <c r="D7197" i="3"/>
  <c r="I7197" i="3" s="1"/>
  <c r="D4981" i="3"/>
  <c r="H4981" i="3" s="1"/>
  <c r="D6286" i="3"/>
  <c r="H6286" i="3" s="1"/>
  <c r="D7850" i="3"/>
  <c r="I7850" i="3" s="1"/>
  <c r="D7381" i="3"/>
  <c r="D4934" i="3"/>
  <c r="H4934" i="3" s="1"/>
  <c r="D6416" i="3"/>
  <c r="H6416" i="3" s="1"/>
  <c r="D6384" i="3"/>
  <c r="J6384" i="3" s="1"/>
  <c r="D7517" i="3"/>
  <c r="H7517" i="3" s="1"/>
  <c r="D6672" i="3"/>
  <c r="D7842" i="3"/>
  <c r="D7311" i="3"/>
  <c r="H7311" i="3" s="1"/>
  <c r="D7095" i="3"/>
  <c r="D7846" i="3"/>
  <c r="I7846" i="3" s="1"/>
  <c r="D5057" i="3"/>
  <c r="H5057" i="3" s="1"/>
  <c r="D7393" i="3"/>
  <c r="D7106" i="3"/>
  <c r="J7106" i="3" s="1"/>
  <c r="D6861" i="3"/>
  <c r="I6861" i="3" s="1"/>
  <c r="D5102" i="3"/>
  <c r="D7237" i="3"/>
  <c r="H7237" i="3" s="1"/>
  <c r="D7582" i="3"/>
  <c r="D7591" i="3"/>
  <c r="D7329" i="3"/>
  <c r="J7329" i="3" s="1"/>
  <c r="D7281" i="3"/>
  <c r="I7281" i="3" s="1"/>
  <c r="D4962" i="3"/>
  <c r="I4962" i="3" s="1"/>
  <c r="D7104" i="3"/>
  <c r="I7104" i="3" s="1"/>
  <c r="D4909" i="3"/>
  <c r="J4909" i="3" s="1"/>
  <c r="D4957" i="3"/>
  <c r="J4957" i="3" s="1"/>
  <c r="D7851" i="3"/>
  <c r="J7851" i="3" s="1"/>
  <c r="D7261" i="3"/>
  <c r="I7261" i="3" s="1"/>
  <c r="D7312" i="3"/>
  <c r="I7312" i="3" s="1"/>
  <c r="D7336" i="3"/>
  <c r="J7336" i="3" s="1"/>
  <c r="D7470" i="3"/>
  <c r="I7470" i="3" s="1"/>
  <c r="D4822" i="3"/>
  <c r="H4822" i="3" s="1"/>
  <c r="D6302" i="3"/>
  <c r="H6302" i="3" s="1"/>
  <c r="D4774" i="3"/>
  <c r="I4774" i="3" s="1"/>
  <c r="D6563" i="3"/>
  <c r="D6284" i="3"/>
  <c r="I6284" i="3" s="1"/>
  <c r="D6492" i="3"/>
  <c r="D7257" i="3"/>
  <c r="J7257" i="3" s="1"/>
  <c r="D4764" i="3"/>
  <c r="J4764" i="3" s="1"/>
  <c r="D4783" i="3"/>
  <c r="D4810" i="3"/>
  <c r="I4810" i="3" s="1"/>
  <c r="D7745" i="3"/>
  <c r="D4823" i="3"/>
  <c r="H4823" i="3" s="1"/>
  <c r="D7847" i="3"/>
  <c r="J7847" i="3" s="1"/>
  <c r="D5062" i="3"/>
  <c r="D7220" i="3"/>
  <c r="I7220" i="3" s="1"/>
  <c r="D4902" i="3"/>
  <c r="J4902" i="3" s="1"/>
  <c r="D5060" i="3"/>
  <c r="J5060" i="3" s="1"/>
  <c r="D4693" i="3"/>
  <c r="D7140" i="3"/>
  <c r="I7140" i="3" s="1"/>
  <c r="D6481" i="3"/>
  <c r="H6481" i="3" s="1"/>
  <c r="D7823" i="3"/>
  <c r="J7823" i="3" s="1"/>
  <c r="D7107" i="3"/>
  <c r="H7107" i="3" s="1"/>
  <c r="D4716" i="3"/>
  <c r="J4716" i="3" s="1"/>
  <c r="D4861" i="3"/>
  <c r="D6404" i="3"/>
  <c r="I6404" i="3" s="1"/>
  <c r="D4991" i="3"/>
  <c r="D5092" i="3"/>
  <c r="J5092" i="3" s="1"/>
  <c r="D4939" i="3"/>
  <c r="H4939" i="3" s="1"/>
  <c r="D7361" i="3"/>
  <c r="H7361" i="3" s="1"/>
  <c r="D6688" i="3"/>
  <c r="I6688" i="3" s="1"/>
  <c r="D5005" i="3"/>
  <c r="J5005" i="3" s="1"/>
  <c r="D7150" i="3"/>
  <c r="D4763" i="3"/>
  <c r="D6773" i="3"/>
  <c r="D6766" i="3"/>
  <c r="D6574" i="3"/>
  <c r="J6574" i="3" s="1"/>
  <c r="D7479" i="3"/>
  <c r="D6868" i="3"/>
  <c r="H6868" i="3" s="1"/>
  <c r="D7215" i="3"/>
  <c r="D7355" i="3"/>
  <c r="D7592" i="3"/>
  <c r="I7592" i="3" s="1"/>
  <c r="D4750" i="3"/>
  <c r="D6867" i="3"/>
  <c r="D6674" i="3"/>
  <c r="D6565" i="3"/>
  <c r="D7382" i="3"/>
  <c r="J7382" i="3" s="1"/>
  <c r="D7747" i="3"/>
  <c r="I7747" i="3" s="1"/>
  <c r="D4942" i="3"/>
  <c r="I4942" i="3" s="1"/>
  <c r="D7387" i="3"/>
  <c r="H7387" i="3" s="1"/>
  <c r="D7400" i="3"/>
  <c r="I7400" i="3" s="1"/>
  <c r="D7432" i="3"/>
  <c r="H7432" i="3" s="1"/>
  <c r="D7613" i="3"/>
  <c r="D7443" i="3"/>
  <c r="H7443" i="3" s="1"/>
  <c r="D7105" i="3"/>
  <c r="D6471" i="3"/>
  <c r="I6471" i="3" s="1"/>
  <c r="D7199" i="3"/>
  <c r="J7199" i="3" s="1"/>
  <c r="D7302" i="3"/>
  <c r="D6754" i="3"/>
  <c r="D5045" i="3"/>
  <c r="H5045" i="3" s="1"/>
  <c r="D4972" i="3"/>
  <c r="I4972" i="3" s="1"/>
  <c r="D4954" i="3"/>
  <c r="J4954" i="3" s="1"/>
  <c r="D7154" i="3"/>
  <c r="J7154" i="3" s="1"/>
  <c r="D4724" i="3"/>
  <c r="I4724" i="3" s="1"/>
  <c r="D7083" i="3"/>
  <c r="J7083" i="3" s="1"/>
  <c r="D4979" i="3"/>
  <c r="J4979" i="3" s="1"/>
  <c r="D7212" i="3"/>
  <c r="J7212" i="3" s="1"/>
  <c r="D7585" i="3"/>
  <c r="I7585" i="3" s="1"/>
  <c r="D6281" i="3"/>
  <c r="H6281" i="3" s="1"/>
  <c r="D7401" i="3"/>
  <c r="J7401" i="3" s="1"/>
  <c r="D7357" i="3"/>
  <c r="D6838" i="3"/>
  <c r="I6838" i="3" s="1"/>
  <c r="D7583" i="3"/>
  <c r="J7583" i="3" s="1"/>
  <c r="D7111" i="3"/>
  <c r="H7111" i="3" s="1"/>
  <c r="D4816" i="3"/>
  <c r="D7614" i="3"/>
  <c r="H7614" i="3" s="1"/>
  <c r="D7827" i="3"/>
  <c r="H7827" i="3" s="1"/>
  <c r="D4951" i="3"/>
  <c r="D4775" i="3"/>
  <c r="J4775" i="3" s="1"/>
  <c r="D7351" i="3"/>
  <c r="J7351" i="3" s="1"/>
  <c r="D6767" i="3"/>
  <c r="D4971" i="3"/>
  <c r="D7344" i="3"/>
  <c r="J7344" i="3" s="1"/>
  <c r="D6739" i="3"/>
  <c r="I6739" i="3" s="1"/>
  <c r="D7840" i="3"/>
  <c r="D4910" i="3"/>
  <c r="J4910" i="3" s="1"/>
  <c r="D6652" i="3"/>
  <c r="D7346" i="3"/>
  <c r="H7346" i="3" s="1"/>
  <c r="D7740" i="3"/>
  <c r="D7737" i="3"/>
  <c r="I7737" i="3" s="1"/>
  <c r="D7101" i="3"/>
  <c r="H7101" i="3" s="1"/>
  <c r="D7263" i="3"/>
  <c r="H7263" i="3" s="1"/>
  <c r="D5065" i="3"/>
  <c r="D7115" i="3"/>
  <c r="I7115" i="3" s="1"/>
  <c r="D6777" i="3"/>
  <c r="D6410" i="3"/>
  <c r="I6410" i="3" s="1"/>
  <c r="D4817" i="3"/>
  <c r="J4817" i="3" s="1"/>
  <c r="D4727" i="3"/>
  <c r="H4727" i="3" s="1"/>
  <c r="D7330" i="3"/>
  <c r="I7330" i="3" s="1"/>
  <c r="D7183" i="3"/>
  <c r="H7183" i="3" s="1"/>
  <c r="D6747" i="3"/>
  <c r="J6747" i="3" s="1"/>
  <c r="D6472" i="3"/>
  <c r="J6472" i="3" s="1"/>
  <c r="D4935" i="3"/>
  <c r="I4935" i="3" s="1"/>
  <c r="D7317" i="3"/>
  <c r="D4980" i="3"/>
  <c r="D4800" i="3"/>
  <c r="J4800" i="3" s="1"/>
  <c r="D6580" i="3"/>
  <c r="D4900" i="3"/>
  <c r="I4900" i="3" s="1"/>
  <c r="D7749" i="3"/>
  <c r="J7749" i="3" s="1"/>
  <c r="D7690" i="3"/>
  <c r="D7501" i="3"/>
  <c r="H7501" i="3" s="1"/>
  <c r="D5074" i="3"/>
  <c r="I5074" i="3" s="1"/>
  <c r="D7704" i="3"/>
  <c r="D5007" i="3"/>
  <c r="J5007" i="3" s="1"/>
  <c r="D7606" i="3"/>
  <c r="H7606" i="3" s="1"/>
  <c r="D7457" i="3"/>
  <c r="J7457" i="3" s="1"/>
  <c r="D7571" i="3"/>
  <c r="J7571" i="3" s="1"/>
  <c r="D7389" i="3"/>
  <c r="J7389" i="3" s="1"/>
  <c r="D4830" i="3"/>
  <c r="J4830" i="3" s="1"/>
  <c r="D7362" i="3"/>
  <c r="H7362" i="3" s="1"/>
  <c r="D4960" i="3"/>
  <c r="J4960" i="3" s="1"/>
  <c r="D6299" i="3"/>
  <c r="D4967" i="3"/>
  <c r="D7391" i="3"/>
  <c r="D7451" i="3"/>
  <c r="D6479" i="3"/>
  <c r="D6315" i="3"/>
  <c r="D7699" i="3"/>
  <c r="D7418" i="3"/>
  <c r="H7418" i="3" s="1"/>
  <c r="D7139" i="3"/>
  <c r="H7139" i="3" s="1"/>
  <c r="D4881" i="3"/>
  <c r="D4875" i="3"/>
  <c r="I4875" i="3" s="1"/>
  <c r="D4885" i="3"/>
  <c r="H4885" i="3" s="1"/>
  <c r="D6689" i="3"/>
  <c r="H6689" i="3" s="1"/>
  <c r="D7600" i="3"/>
  <c r="H7600" i="3" s="1"/>
  <c r="D4944" i="3"/>
  <c r="D4811" i="3"/>
  <c r="J4811" i="3" s="1"/>
  <c r="D4903" i="3"/>
  <c r="I4903" i="3" s="1"/>
  <c r="D7206" i="3"/>
  <c r="D4825" i="3"/>
  <c r="D6414" i="3"/>
  <c r="D7123" i="3"/>
  <c r="H7123" i="3" s="1"/>
  <c r="D5049" i="3"/>
  <c r="H5049" i="3" s="1"/>
  <c r="D7619" i="3"/>
  <c r="I7619" i="3" s="1"/>
  <c r="D7481" i="3"/>
  <c r="D4699" i="3"/>
  <c r="H4699" i="3" s="1"/>
  <c r="D4760" i="3"/>
  <c r="I4760" i="3" s="1"/>
  <c r="D7283" i="3"/>
  <c r="J7283" i="3" s="1"/>
  <c r="D4737" i="3"/>
  <c r="I4737" i="3" s="1"/>
  <c r="D6684" i="3"/>
  <c r="H6684" i="3" s="1"/>
  <c r="D4765" i="3"/>
  <c r="D6562" i="3"/>
  <c r="H6562" i="3" s="1"/>
  <c r="D7116" i="3"/>
  <c r="J7116" i="3" s="1"/>
  <c r="D6277" i="3"/>
  <c r="D7623" i="3"/>
  <c r="D4940" i="3"/>
  <c r="J4940" i="3" s="1"/>
  <c r="D6630" i="3"/>
  <c r="J6630" i="3" s="1"/>
  <c r="C6" i="133"/>
  <c r="D7227" i="3"/>
  <c r="H7227" i="3" s="1"/>
  <c r="D7340" i="3"/>
  <c r="D5035" i="3"/>
  <c r="D4864" i="3"/>
  <c r="J4864" i="3" s="1"/>
  <c r="D4796" i="3"/>
  <c r="H4796" i="3" s="1"/>
  <c r="D6314" i="3"/>
  <c r="H6314" i="3" s="1"/>
  <c r="D6872" i="3"/>
  <c r="D7437" i="3"/>
  <c r="I7437" i="3" s="1"/>
  <c r="D7145" i="3"/>
  <c r="I7145" i="3" s="1"/>
  <c r="D4997" i="3"/>
  <c r="I4997" i="3" s="1"/>
  <c r="D7598" i="3"/>
  <c r="D4789" i="3"/>
  <c r="I4789" i="3" s="1"/>
  <c r="D4943" i="3"/>
  <c r="H4943" i="3" s="1"/>
  <c r="D6852" i="3"/>
  <c r="I6852" i="3" s="1"/>
  <c r="D6764" i="3"/>
  <c r="I6764" i="3" s="1"/>
  <c r="D6388" i="3"/>
  <c r="J6388" i="3" s="1"/>
  <c r="D7440" i="3"/>
  <c r="I7440" i="3" s="1"/>
  <c r="D4922" i="3"/>
  <c r="D6571" i="3"/>
  <c r="J6571" i="3" s="1"/>
  <c r="D5032" i="3"/>
  <c r="D6482" i="3"/>
  <c r="D4888" i="3"/>
  <c r="J4888" i="3" s="1"/>
  <c r="D6296" i="3"/>
  <c r="D6650" i="3"/>
  <c r="D4921" i="3"/>
  <c r="I4921" i="3" s="1"/>
  <c r="D4920" i="3"/>
  <c r="D4802" i="3"/>
  <c r="I4802" i="3" s="1"/>
  <c r="D7297" i="3"/>
  <c r="D5022" i="3"/>
  <c r="H5022" i="3" s="1"/>
  <c r="D4926" i="3"/>
  <c r="J4926" i="3" s="1"/>
  <c r="D5031" i="3"/>
  <c r="H5031" i="3" s="1"/>
  <c r="D7207" i="3"/>
  <c r="H7207" i="3" s="1"/>
  <c r="D6309" i="3"/>
  <c r="H6309" i="3" s="1"/>
  <c r="D7436" i="3"/>
  <c r="H7436" i="3" s="1"/>
  <c r="D4705" i="3"/>
  <c r="J4705" i="3" s="1"/>
  <c r="D5052" i="3"/>
  <c r="D4762" i="3"/>
  <c r="I4762" i="3" s="1"/>
  <c r="D4689" i="3"/>
  <c r="H4689" i="3" s="1"/>
  <c r="D7622" i="3"/>
  <c r="I7622" i="3" s="1"/>
  <c r="D6417" i="3"/>
  <c r="J6417" i="3" s="1"/>
  <c r="D6619" i="3"/>
  <c r="I6619" i="3" s="1"/>
  <c r="D6677" i="3"/>
  <c r="I6677" i="3" s="1"/>
  <c r="D6659" i="3"/>
  <c r="H6659" i="3" s="1"/>
  <c r="D7508" i="3"/>
  <c r="J7508" i="3" s="1"/>
  <c r="D6853" i="3"/>
  <c r="I6853" i="3" s="1"/>
  <c r="D4846" i="3"/>
  <c r="I4846" i="3" s="1"/>
  <c r="D7276" i="3"/>
  <c r="I7276" i="3" s="1"/>
  <c r="D4694" i="3"/>
  <c r="I4694" i="3" s="1"/>
  <c r="D6679" i="3"/>
  <c r="J6679" i="3" s="1"/>
  <c r="D7256" i="3"/>
  <c r="D7414" i="3"/>
  <c r="I7414" i="3" s="1"/>
  <c r="D7694" i="3"/>
  <c r="J7694" i="3" s="1"/>
  <c r="D4752" i="3"/>
  <c r="H4752" i="3" s="1"/>
  <c r="D4929" i="3"/>
  <c r="H4929" i="3" s="1"/>
  <c r="D7375" i="3"/>
  <c r="J7375" i="3" s="1"/>
  <c r="D5067" i="3"/>
  <c r="D7461" i="3"/>
  <c r="D6560" i="3"/>
  <c r="I6560" i="3" s="1"/>
  <c r="D4833" i="3"/>
  <c r="I4833" i="3" s="1"/>
  <c r="D7434" i="3"/>
  <c r="H7434" i="3" s="1"/>
  <c r="D6304" i="3"/>
  <c r="J6304" i="3" s="1"/>
  <c r="D7378" i="3"/>
  <c r="D7319" i="3"/>
  <c r="D7205" i="3"/>
  <c r="D4872" i="3"/>
  <c r="J4872" i="3" s="1"/>
  <c r="D4947" i="3"/>
  <c r="H4947" i="3" s="1"/>
  <c r="D4987" i="3"/>
  <c r="D7485" i="3"/>
  <c r="H7485" i="3" s="1"/>
  <c r="D7117" i="3"/>
  <c r="H7117" i="3" s="1"/>
  <c r="D7831" i="3"/>
  <c r="D4831" i="3"/>
  <c r="D6403" i="3"/>
  <c r="I6403" i="3" s="1"/>
  <c r="D4735" i="3"/>
  <c r="J4735" i="3" s="1"/>
  <c r="D7620" i="3"/>
  <c r="J7620" i="3" s="1"/>
  <c r="D7248" i="3"/>
  <c r="J7248" i="3" s="1"/>
  <c r="D6578" i="3"/>
  <c r="H6578" i="3" s="1"/>
  <c r="D7483" i="3"/>
  <c r="H7483" i="3" s="1"/>
  <c r="D6683" i="3"/>
  <c r="J6683" i="3" s="1"/>
  <c r="D6293" i="3"/>
  <c r="D7324" i="3"/>
  <c r="I7324" i="3" s="1"/>
  <c r="D6473" i="3"/>
  <c r="I6473" i="3" s="1"/>
  <c r="D7692" i="3"/>
  <c r="I7692" i="3" s="1"/>
  <c r="D7310" i="3"/>
  <c r="J7310" i="3" s="1"/>
  <c r="D5093" i="3"/>
  <c r="J5093" i="3" s="1"/>
  <c r="D7354" i="3"/>
  <c r="J7354" i="3" s="1"/>
  <c r="D7738" i="3"/>
  <c r="J7738" i="3" s="1"/>
  <c r="D7341" i="3"/>
  <c r="J7341" i="3" s="1"/>
  <c r="D6380" i="3"/>
  <c r="J6380" i="3" s="1"/>
  <c r="D7411" i="3"/>
  <c r="J7411" i="3" s="1"/>
  <c r="D7076" i="3"/>
  <c r="I7076" i="3" s="1"/>
  <c r="D7309" i="3"/>
  <c r="D7295" i="3"/>
  <c r="H7295" i="3" s="1"/>
  <c r="D7691" i="3"/>
  <c r="I7691" i="3" s="1"/>
  <c r="D7509" i="3"/>
  <c r="I7509" i="3" s="1"/>
  <c r="D6830" i="3"/>
  <c r="D5015" i="3"/>
  <c r="J5015" i="3" s="1"/>
  <c r="D7313" i="3"/>
  <c r="D6503" i="3"/>
  <c r="I6503" i="3" s="1"/>
  <c r="D4701" i="3"/>
  <c r="D7428" i="3"/>
  <c r="D4851" i="3"/>
  <c r="J4851" i="3" s="1"/>
  <c r="D4955" i="3"/>
  <c r="I4955" i="3" s="1"/>
  <c r="D7114" i="3"/>
  <c r="J7114" i="3" s="1"/>
  <c r="D7612" i="3"/>
  <c r="D4801" i="3"/>
  <c r="I4801" i="3" s="1"/>
  <c r="D4733" i="3"/>
  <c r="I4733" i="3" s="1"/>
  <c r="D7415" i="3"/>
  <c r="J7415" i="3" s="1"/>
  <c r="D4918" i="3"/>
  <c r="H4918" i="3" s="1"/>
  <c r="D6856" i="3"/>
  <c r="J6856" i="3" s="1"/>
  <c r="D4835" i="3"/>
  <c r="D6746" i="3"/>
  <c r="J6746" i="3" s="1"/>
  <c r="D7584" i="3"/>
  <c r="D6491" i="3"/>
  <c r="I6491" i="3" s="1"/>
  <c r="D7334" i="3"/>
  <c r="I7334" i="3" s="1"/>
  <c r="D5044" i="3"/>
  <c r="J5044" i="3" s="1"/>
  <c r="D7168" i="3"/>
  <c r="D4832" i="3"/>
  <c r="I4832" i="3" s="1"/>
  <c r="D6871" i="3"/>
  <c r="H6871" i="3" s="1"/>
  <c r="D4911" i="3"/>
  <c r="D7221" i="3"/>
  <c r="H7221" i="3" s="1"/>
  <c r="D4879" i="3"/>
  <c r="I4879" i="3" s="1"/>
  <c r="D4785" i="3"/>
  <c r="J4785" i="3" s="1"/>
  <c r="D7474" i="3"/>
  <c r="J7474" i="3" s="1"/>
  <c r="D5070" i="3"/>
  <c r="I5070" i="3" s="1"/>
  <c r="D7425" i="3"/>
  <c r="J7425" i="3" s="1"/>
  <c r="D4850" i="3"/>
  <c r="J4850" i="3" s="1"/>
  <c r="D4784" i="3"/>
  <c r="I4784" i="3" s="1"/>
  <c r="D6494" i="3"/>
  <c r="I6494" i="3" s="1"/>
  <c r="D4709" i="3"/>
  <c r="H4709" i="3" s="1"/>
  <c r="D6306" i="3"/>
  <c r="H6306" i="3" s="1"/>
  <c r="D6478" i="3"/>
  <c r="D6411" i="3"/>
  <c r="I6411" i="3" s="1"/>
  <c r="D4768" i="3"/>
  <c r="D5098" i="3"/>
  <c r="H5098" i="3" s="1"/>
  <c r="D6509" i="3"/>
  <c r="H6509" i="3" s="1"/>
  <c r="D7367" i="3"/>
  <c r="D4891" i="3"/>
  <c r="J4891" i="3" s="1"/>
  <c r="D7595" i="3"/>
  <c r="H7595" i="3" s="1"/>
  <c r="D7811" i="3"/>
  <c r="H7811" i="3" s="1"/>
  <c r="D4691" i="3"/>
  <c r="J4691" i="3" s="1"/>
  <c r="D6655" i="3"/>
  <c r="J6655" i="3" s="1"/>
  <c r="D4736" i="3"/>
  <c r="I4736" i="3" s="1"/>
  <c r="D6855" i="3"/>
  <c r="D6398" i="3"/>
  <c r="I6398" i="3" s="1"/>
  <c r="D5024" i="3"/>
  <c r="H5024" i="3" s="1"/>
  <c r="D5037" i="3"/>
  <c r="H5037" i="3" s="1"/>
  <c r="D7091" i="3"/>
  <c r="I7091" i="3" s="1"/>
  <c r="D7394" i="3"/>
  <c r="I7394" i="3" s="1"/>
  <c r="D5048" i="3"/>
  <c r="H5048" i="3" s="1"/>
  <c r="D6564" i="3"/>
  <c r="I6564" i="3" s="1"/>
  <c r="D7242" i="3"/>
  <c r="H7242" i="3" s="1"/>
  <c r="D6775" i="3"/>
  <c r="H6775" i="3" s="1"/>
  <c r="D6305" i="3"/>
  <c r="D4772" i="3"/>
  <c r="D4843" i="3"/>
  <c r="D6755" i="3"/>
  <c r="H6755" i="3" s="1"/>
  <c r="D4877" i="3"/>
  <c r="I4877" i="3" s="1"/>
  <c r="D4914" i="3"/>
  <c r="J4914" i="3" s="1"/>
  <c r="D5056" i="3"/>
  <c r="D5064" i="3"/>
  <c r="H5064" i="3" s="1"/>
  <c r="D7611" i="3"/>
  <c r="H7611" i="3" s="1"/>
  <c r="D7572" i="3"/>
  <c r="D4732" i="3"/>
  <c r="J4732" i="3" s="1"/>
  <c r="D4965" i="3"/>
  <c r="H4965" i="3" s="1"/>
  <c r="D7244" i="3"/>
  <c r="H7244" i="3" s="1"/>
  <c r="D7209" i="3"/>
  <c r="D7476" i="3"/>
  <c r="H7476" i="3" s="1"/>
  <c r="D4761" i="3"/>
  <c r="J4761" i="3" s="1"/>
  <c r="D6756" i="3"/>
  <c r="D7849" i="3"/>
  <c r="I7849" i="3" s="1"/>
  <c r="D7396" i="3"/>
  <c r="D7833" i="3"/>
  <c r="J7833" i="3" s="1"/>
  <c r="D7138" i="3"/>
  <c r="H7138" i="3" s="1"/>
  <c r="D4950" i="3"/>
  <c r="H4950" i="3" s="1"/>
  <c r="D7678" i="3"/>
  <c r="D7818" i="3"/>
  <c r="H7818" i="3" s="1"/>
  <c r="D7518" i="3"/>
  <c r="J7518" i="3" s="1"/>
  <c r="D7097" i="3"/>
  <c r="H7097" i="3" s="1"/>
  <c r="D7588" i="3"/>
  <c r="J7588" i="3" s="1"/>
  <c r="D5101" i="3"/>
  <c r="I5101" i="3" s="1"/>
  <c r="D7594" i="3"/>
  <c r="J7594" i="3" s="1"/>
  <c r="D6317" i="3"/>
  <c r="H6317" i="3" s="1"/>
  <c r="D7314" i="3"/>
  <c r="J7314" i="3" s="1"/>
  <c r="D6575" i="3"/>
  <c r="H6575" i="3" s="1"/>
  <c r="D7621" i="3"/>
  <c r="D4790" i="3"/>
  <c r="I4790" i="3" s="1"/>
  <c r="D7230" i="3"/>
  <c r="D4814" i="3"/>
  <c r="D7208" i="3"/>
  <c r="J7208" i="3" s="1"/>
  <c r="D6295" i="3"/>
  <c r="H6295" i="3" s="1"/>
  <c r="D7186" i="3"/>
  <c r="H7186" i="3" s="1"/>
  <c r="D4711" i="3"/>
  <c r="D5011" i="3"/>
  <c r="H5011" i="3" s="1"/>
  <c r="D6500" i="3"/>
  <c r="J6500" i="3" s="1"/>
  <c r="D4828" i="3"/>
  <c r="D5043" i="3"/>
  <c r="J5043" i="3" s="1"/>
  <c r="D6844" i="3"/>
  <c r="H6844" i="3" s="1"/>
  <c r="D4959" i="3"/>
  <c r="J4959" i="3" s="1"/>
  <c r="D4901" i="3"/>
  <c r="D4899" i="3"/>
  <c r="D7254" i="3"/>
  <c r="H7254" i="3" s="1"/>
  <c r="D7350" i="3"/>
  <c r="H7350" i="3" s="1"/>
  <c r="D4706" i="3"/>
  <c r="H4706" i="3" s="1"/>
  <c r="D7503" i="3"/>
  <c r="D7500" i="3"/>
  <c r="H7500" i="3" s="1"/>
  <c r="D7427" i="3"/>
  <c r="J7427" i="3" s="1"/>
  <c r="D4805" i="3"/>
  <c r="I4805" i="3" s="1"/>
  <c r="D7081" i="3"/>
  <c r="J7081" i="3" s="1"/>
  <c r="D4710" i="3"/>
  <c r="I4710" i="3" s="1"/>
  <c r="D7192" i="3"/>
  <c r="I7192" i="3" s="1"/>
  <c r="D7824" i="3"/>
  <c r="I7824" i="3" s="1"/>
  <c r="D7477" i="3"/>
  <c r="H7477" i="3" s="1"/>
  <c r="D7426" i="3"/>
  <c r="H7426" i="3" s="1"/>
  <c r="D6837" i="3"/>
  <c r="H6837" i="3" s="1"/>
  <c r="D7298" i="3"/>
  <c r="H7298" i="3" s="1"/>
  <c r="D6490" i="3"/>
  <c r="J6490" i="3" s="1"/>
  <c r="D7291" i="3"/>
  <c r="I7291" i="3" s="1"/>
  <c r="D4795" i="3"/>
  <c r="H4795" i="3" s="1"/>
  <c r="D7085" i="3"/>
  <c r="I7085" i="3" s="1"/>
  <c r="D5100" i="3"/>
  <c r="H5100" i="3" s="1"/>
  <c r="D7403" i="3"/>
  <c r="H7403" i="3" s="1"/>
  <c r="D7229" i="3"/>
  <c r="H7229" i="3" s="1"/>
  <c r="D4820" i="3"/>
  <c r="D4892" i="3"/>
  <c r="D7098" i="3"/>
  <c r="C5" i="133"/>
  <c r="B10" i="77" s="1"/>
  <c r="D4746" i="3"/>
  <c r="J4746" i="3" s="1"/>
  <c r="D4837" i="3"/>
  <c r="D6385" i="3"/>
  <c r="I6385" i="3" s="1"/>
  <c r="D4773" i="3"/>
  <c r="H4773" i="3" s="1"/>
  <c r="D7080" i="3"/>
  <c r="D7278" i="3"/>
  <c r="I7278" i="3" s="1"/>
  <c r="D7270" i="3"/>
  <c r="I7270" i="3" s="1"/>
  <c r="D7836" i="3"/>
  <c r="D4692" i="3"/>
  <c r="H4692" i="3" s="1"/>
  <c r="D6751" i="3"/>
  <c r="J6751" i="3" s="1"/>
  <c r="D6413" i="3"/>
  <c r="I6413" i="3" s="1"/>
  <c r="D6664" i="3"/>
  <c r="H6664" i="3" s="1"/>
  <c r="D6507" i="3"/>
  <c r="J6507" i="3" s="1"/>
  <c r="D7374" i="3"/>
  <c r="D4856" i="3"/>
  <c r="D4739" i="3"/>
  <c r="D7366" i="3"/>
  <c r="D7617" i="3"/>
  <c r="D5000" i="3"/>
  <c r="H5000" i="3" s="1"/>
  <c r="D5008" i="3"/>
  <c r="D7364" i="3"/>
  <c r="D7743" i="3"/>
  <c r="H7743" i="3" s="1"/>
  <c r="D6399" i="3"/>
  <c r="H6399" i="3" s="1"/>
  <c r="D7609" i="3"/>
  <c r="J7609" i="3" s="1"/>
  <c r="D7469" i="3"/>
  <c r="I7469" i="3" s="1"/>
  <c r="D5051" i="3"/>
  <c r="J5051" i="3" s="1"/>
  <c r="D7442" i="3"/>
  <c r="J7442" i="3" s="1"/>
  <c r="D6313" i="3"/>
  <c r="I6313" i="3" s="1"/>
  <c r="D6585" i="3"/>
  <c r="I6585" i="3" s="1"/>
  <c r="D7365" i="3"/>
  <c r="I7365" i="3" s="1"/>
  <c r="D6283" i="3"/>
  <c r="J6283" i="3" s="1"/>
  <c r="D7402" i="3"/>
  <c r="I7402" i="3" s="1"/>
  <c r="D5003" i="3"/>
  <c r="D6584" i="3"/>
  <c r="D5075" i="3"/>
  <c r="D7605" i="3"/>
  <c r="D4986" i="3"/>
  <c r="D6869" i="3"/>
  <c r="J6869" i="3" s="1"/>
  <c r="D7854" i="3"/>
  <c r="H7854" i="3" s="1"/>
  <c r="D7255" i="3"/>
  <c r="D4687" i="3"/>
  <c r="I4687" i="3" s="1"/>
  <c r="D6510" i="3"/>
  <c r="H6510" i="3" s="1"/>
  <c r="D7429" i="3"/>
  <c r="H7429" i="3" s="1"/>
  <c r="D6866" i="3"/>
  <c r="I6866" i="3" s="1"/>
  <c r="D6559" i="3"/>
  <c r="J6559" i="3" s="1"/>
  <c r="D4857" i="3"/>
  <c r="I4857" i="3" s="1"/>
  <c r="D7388" i="3"/>
  <c r="D4829" i="3"/>
  <c r="D6316" i="3"/>
  <c r="H6316" i="3" s="1"/>
  <c r="D4740" i="3"/>
  <c r="J4740" i="3" s="1"/>
  <c r="D7202" i="3"/>
  <c r="J7202" i="3" s="1"/>
  <c r="D7251" i="3"/>
  <c r="I7251" i="3" s="1"/>
  <c r="D4759" i="3"/>
  <c r="I4759" i="3" s="1"/>
  <c r="D7092" i="3"/>
  <c r="D7157" i="3"/>
  <c r="I7157" i="3" s="1"/>
  <c r="D6687" i="3"/>
  <c r="J6687" i="3" s="1"/>
  <c r="D5041" i="3"/>
  <c r="I5041" i="3" s="1"/>
  <c r="D6738" i="3"/>
  <c r="I6738" i="3" s="1"/>
  <c r="D5086" i="3"/>
  <c r="H5086" i="3" s="1"/>
  <c r="D7273" i="3"/>
  <c r="D4717" i="3"/>
  <c r="H4717" i="3" s="1"/>
  <c r="D5026" i="3"/>
  <c r="H5026" i="3" s="1"/>
  <c r="D7702" i="3"/>
  <c r="H7702" i="3" s="1"/>
  <c r="D7236" i="3"/>
  <c r="D7677" i="3"/>
  <c r="D7286" i="3"/>
  <c r="D7204" i="3"/>
  <c r="D7271" i="3"/>
  <c r="J7271" i="3" s="1"/>
  <c r="D7185" i="3"/>
  <c r="I7185" i="3" s="1"/>
  <c r="D7274" i="3"/>
  <c r="D4895" i="3"/>
  <c r="H4895" i="3" s="1"/>
  <c r="D7680" i="3"/>
  <c r="D7296" i="3"/>
  <c r="H7296" i="3" s="1"/>
  <c r="D7214" i="3"/>
  <c r="H7214" i="3" s="1"/>
  <c r="D4994" i="3"/>
  <c r="J4994" i="3" s="1"/>
  <c r="D5018" i="3"/>
  <c r="H5018" i="3" s="1"/>
  <c r="D7742" i="3"/>
  <c r="I7742" i="3" s="1"/>
  <c r="D7748" i="3"/>
  <c r="H7748" i="3" s="1"/>
  <c r="D5087" i="3"/>
  <c r="I5087" i="3" s="1"/>
  <c r="D6770" i="3"/>
  <c r="D6289" i="3"/>
  <c r="D6836" i="3"/>
  <c r="D7399" i="3"/>
  <c r="J7399" i="3" s="1"/>
  <c r="D7294" i="3"/>
  <c r="J7294" i="3" s="1"/>
  <c r="D7321" i="3"/>
  <c r="I7321" i="3" s="1"/>
  <c r="D7741" i="3"/>
  <c r="I7741" i="3" s="1"/>
  <c r="D4748" i="3"/>
  <c r="I4748" i="3" s="1"/>
  <c r="D7142" i="3"/>
  <c r="D7146" i="3"/>
  <c r="I7146" i="3" s="1"/>
  <c r="D6851" i="3"/>
  <c r="D6779" i="3"/>
  <c r="H6779" i="3" s="1"/>
  <c r="D7689" i="3"/>
  <c r="J7689" i="3" s="1"/>
  <c r="D4966" i="3"/>
  <c r="J4966" i="3" s="1"/>
  <c r="D5072" i="3"/>
  <c r="D7259" i="3"/>
  <c r="H7259" i="3" s="1"/>
  <c r="D5058" i="3"/>
  <c r="J5058" i="3" s="1"/>
  <c r="D5009" i="3"/>
  <c r="J5009" i="3" s="1"/>
  <c r="D4913" i="3"/>
  <c r="I4913" i="3" s="1"/>
  <c r="D7234" i="3"/>
  <c r="H7234" i="3" s="1"/>
  <c r="C12" i="133"/>
  <c r="D7316" i="3"/>
  <c r="H7316" i="3" s="1"/>
  <c r="D4963" i="3"/>
  <c r="I4963" i="3" s="1"/>
  <c r="D7424" i="3"/>
  <c r="I7424" i="3" s="1"/>
  <c r="D7853" i="3"/>
  <c r="J7853" i="3" s="1"/>
  <c r="D7228" i="3"/>
  <c r="J7228" i="3" s="1"/>
  <c r="D7686" i="3"/>
  <c r="D4983" i="3"/>
  <c r="D7328" i="3"/>
  <c r="H7328" i="3" s="1"/>
  <c r="D6420" i="3"/>
  <c r="I6420" i="3" s="1"/>
  <c r="D6301" i="3"/>
  <c r="I6301" i="3" s="1"/>
  <c r="D4808" i="3"/>
  <c r="D4855" i="3"/>
  <c r="H4855" i="3" s="1"/>
  <c r="D6632" i="3"/>
  <c r="J6632" i="3" s="1"/>
  <c r="D7489" i="3"/>
  <c r="J7489" i="3" s="1"/>
  <c r="D5034" i="3"/>
  <c r="J5034" i="3" s="1"/>
  <c r="D6682" i="3"/>
  <c r="D7161" i="3"/>
  <c r="J7161" i="3" s="1"/>
  <c r="D7515" i="3"/>
  <c r="D7435" i="3"/>
  <c r="H7435" i="3" s="1"/>
  <c r="D4969" i="3"/>
  <c r="J4969" i="3" s="1"/>
  <c r="D4798" i="3"/>
  <c r="H4798" i="3" s="1"/>
  <c r="D7410" i="3"/>
  <c r="J7410" i="3" s="1"/>
  <c r="D7265" i="3"/>
  <c r="D4949" i="3"/>
  <c r="H4949" i="3" s="1"/>
  <c r="D6406" i="3"/>
  <c r="J6406" i="3" s="1"/>
  <c r="D7392" i="3"/>
  <c r="D7260" i="3"/>
  <c r="H7260" i="3" s="1"/>
  <c r="D7735" i="3"/>
  <c r="J7735" i="3" s="1"/>
  <c r="D7493" i="3"/>
  <c r="D7523" i="3"/>
  <c r="D7225" i="3"/>
  <c r="D6512" i="3"/>
  <c r="D5001" i="3"/>
  <c r="I5001" i="3" s="1"/>
  <c r="D6831" i="3"/>
  <c r="J6831" i="3" s="1"/>
  <c r="D7597" i="3"/>
  <c r="D4778" i="3"/>
  <c r="J4778" i="3" s="1"/>
  <c r="D5053" i="3"/>
  <c r="D4933" i="3"/>
  <c r="D4697" i="3"/>
  <c r="J4697" i="3" s="1"/>
  <c r="D4869" i="3"/>
  <c r="I4869" i="3" s="1"/>
  <c r="D4999" i="3"/>
  <c r="J4999" i="3" s="1"/>
  <c r="D4782" i="3"/>
  <c r="D4948" i="3"/>
  <c r="H4948" i="3" s="1"/>
  <c r="D7417" i="3"/>
  <c r="I7417" i="3" s="1"/>
  <c r="D7348" i="3"/>
  <c r="H7348" i="3" s="1"/>
  <c r="D7160" i="3"/>
  <c r="H7160" i="3" s="1"/>
  <c r="D7812" i="3"/>
  <c r="D6285" i="3"/>
  <c r="J6285" i="3" s="1"/>
  <c r="D7358" i="3"/>
  <c r="D6768" i="3"/>
  <c r="I6768" i="3" s="1"/>
  <c r="D6275" i="3"/>
  <c r="D7829" i="3"/>
  <c r="J7829" i="3" s="1"/>
  <c r="D7475" i="3"/>
  <c r="H7475" i="3" s="1"/>
  <c r="D7304" i="3"/>
  <c r="J7304" i="3" s="1"/>
  <c r="D7155" i="3"/>
  <c r="D6415" i="3"/>
  <c r="D7148" i="3"/>
  <c r="D6692" i="3"/>
  <c r="D4720" i="3"/>
  <c r="D4781" i="3"/>
  <c r="I4781" i="3" s="1"/>
  <c r="D7289" i="3"/>
  <c r="H7289" i="3" s="1"/>
  <c r="D7697" i="3"/>
  <c r="D4793" i="3"/>
  <c r="I4793" i="3" s="1"/>
  <c r="D7182" i="3"/>
  <c r="I7182" i="3" s="1"/>
  <c r="D7119" i="3"/>
  <c r="D7681" i="3"/>
  <c r="H7681" i="3" s="1"/>
  <c r="D7524" i="3"/>
  <c r="I7524" i="3" s="1"/>
  <c r="D7082" i="3"/>
  <c r="J7082" i="3" s="1"/>
  <c r="D7615" i="3"/>
  <c r="I7615" i="3" s="1"/>
  <c r="D6502" i="3"/>
  <c r="I6502" i="3" s="1"/>
  <c r="D6752" i="3"/>
  <c r="I6752" i="3" s="1"/>
  <c r="D4996" i="3"/>
  <c r="H4996" i="3" s="1"/>
  <c r="D4730" i="3"/>
  <c r="H4730" i="3" s="1"/>
  <c r="D4946" i="3"/>
  <c r="H4946" i="3" s="1"/>
  <c r="D4905" i="3"/>
  <c r="J4905" i="3" s="1"/>
  <c r="D6769" i="3"/>
  <c r="D7135" i="3"/>
  <c r="I7135" i="3" s="1"/>
  <c r="D7279" i="3"/>
  <c r="I7279" i="3" s="1"/>
  <c r="D7285" i="3"/>
  <c r="J7285" i="3" s="1"/>
  <c r="D4780" i="3"/>
  <c r="H4780" i="3" s="1"/>
  <c r="D7498" i="3"/>
  <c r="D7347" i="3"/>
  <c r="J7347" i="3" s="1"/>
  <c r="D7467" i="3"/>
  <c r="J7467" i="3" s="1"/>
  <c r="D7252" i="3"/>
  <c r="H7252" i="3" s="1"/>
  <c r="D4757" i="3"/>
  <c r="J4757" i="3" s="1"/>
  <c r="D6850" i="3"/>
  <c r="J6850" i="3" s="1"/>
  <c r="D5028" i="3"/>
  <c r="I5028" i="3" s="1"/>
  <c r="D6487" i="3"/>
  <c r="D7247" i="3"/>
  <c r="J7247" i="3" s="1"/>
  <c r="D5025" i="3"/>
  <c r="D6627" i="3"/>
  <c r="D4779" i="3"/>
  <c r="J4779" i="3" s="1"/>
  <c r="D7844" i="3"/>
  <c r="D4812" i="3"/>
  <c r="H4812" i="3" s="1"/>
  <c r="D7484" i="3"/>
  <c r="J7484" i="3" s="1"/>
  <c r="D4977" i="3"/>
  <c r="I4977" i="3" s="1"/>
  <c r="D6394" i="3"/>
  <c r="H6394" i="3" s="1"/>
  <c r="D4836" i="3"/>
  <c r="J4836" i="3" s="1"/>
  <c r="C9" i="133"/>
  <c r="D4937" i="3"/>
  <c r="D7506" i="3"/>
  <c r="H7506" i="3" s="1"/>
  <c r="D7153" i="3"/>
  <c r="I7153" i="3" s="1"/>
  <c r="D5094" i="3"/>
  <c r="D7852" i="3"/>
  <c r="J7852" i="3" s="1"/>
  <c r="D7486" i="3"/>
  <c r="D6469" i="3"/>
  <c r="I6469" i="3" s="1"/>
  <c r="D4728" i="3"/>
  <c r="D4788" i="3"/>
  <c r="J4788" i="3" s="1"/>
  <c r="D6581" i="3"/>
  <c r="J6581" i="3" s="1"/>
  <c r="D7409" i="3"/>
  <c r="J7409" i="3" s="1"/>
  <c r="D6834" i="3"/>
  <c r="H6834" i="3" s="1"/>
  <c r="D4744" i="3"/>
  <c r="I4744" i="3" s="1"/>
  <c r="D6870" i="3"/>
  <c r="I6870" i="3" s="1"/>
  <c r="D4708" i="3"/>
  <c r="J4708" i="3" s="1"/>
  <c r="D7395" i="3"/>
  <c r="I7395" i="3" s="1"/>
  <c r="D7832" i="3"/>
  <c r="H7832" i="3" s="1"/>
  <c r="D7574" i="3"/>
  <c r="J7574" i="3" s="1"/>
  <c r="D7511" i="3"/>
  <c r="H7511" i="3" s="1"/>
  <c r="D7817" i="3"/>
  <c r="H7817" i="3" s="1"/>
  <c r="D7404" i="3"/>
  <c r="J7404" i="3" s="1"/>
  <c r="D7581" i="3"/>
  <c r="I7581" i="3" s="1"/>
  <c r="D7576" i="3"/>
  <c r="I7576" i="3" s="1"/>
  <c r="D7841" i="3"/>
  <c r="H7841" i="3" s="1"/>
  <c r="D7687" i="3"/>
  <c r="H7687" i="3" s="1"/>
  <c r="D7629" i="3"/>
  <c r="J7629" i="3" s="1"/>
  <c r="D7446" i="3"/>
  <c r="I7446" i="3" s="1"/>
  <c r="D7398" i="3"/>
  <c r="D7232" i="3"/>
  <c r="I7232" i="3" s="1"/>
  <c r="D7218" i="3"/>
  <c r="J7218" i="3" s="1"/>
  <c r="D6292" i="3"/>
  <c r="I6292" i="3" s="1"/>
  <c r="D6774" i="3"/>
  <c r="J6774" i="3" s="1"/>
  <c r="D4827" i="3"/>
  <c r="J4827" i="3" s="1"/>
  <c r="D6860" i="3"/>
  <c r="J6860" i="3" s="1"/>
  <c r="D4898" i="3"/>
  <c r="D4866" i="3"/>
  <c r="D6567" i="3"/>
  <c r="J6567" i="3" s="1"/>
  <c r="D6495" i="3"/>
  <c r="D6782" i="3"/>
  <c r="J6782" i="3" s="1"/>
  <c r="D6667" i="3"/>
  <c r="H6667" i="3" s="1"/>
  <c r="D6622" i="3"/>
  <c r="I6622" i="3" s="1"/>
  <c r="D6477" i="3"/>
  <c r="H6477" i="3" s="1"/>
  <c r="D6624" i="3"/>
  <c r="J6624" i="3" s="1"/>
  <c r="D4889" i="3"/>
  <c r="J4889" i="3" s="1"/>
  <c r="D6493" i="3"/>
  <c r="D5029" i="3"/>
  <c r="D4871" i="3"/>
  <c r="C11" i="133"/>
  <c r="D4767" i="3"/>
  <c r="D7449" i="3"/>
  <c r="D4862" i="3"/>
  <c r="D6401" i="3"/>
  <c r="H6401" i="3" s="1"/>
  <c r="D7078" i="3"/>
  <c r="D4725" i="3"/>
  <c r="H4725" i="3" s="1"/>
  <c r="D4747" i="3"/>
  <c r="J4747" i="3" s="1"/>
  <c r="D7226" i="3"/>
  <c r="D7744" i="3"/>
  <c r="D7293" i="3"/>
  <c r="I7293" i="3" s="1"/>
  <c r="D6382" i="3"/>
  <c r="J6382" i="3" s="1"/>
  <c r="D4907" i="3"/>
  <c r="H4907" i="3" s="1"/>
  <c r="D7513" i="3"/>
  <c r="J7513" i="3" s="1"/>
  <c r="D4961" i="3"/>
  <c r="D7267" i="3"/>
  <c r="D7688" i="3"/>
  <c r="D4917" i="3"/>
  <c r="D4786" i="3"/>
  <c r="I4786" i="3" s="1"/>
  <c r="D7353" i="3"/>
  <c r="D4887" i="3"/>
  <c r="D4838" i="3"/>
  <c r="D7246" i="3"/>
  <c r="I7246" i="3" s="1"/>
  <c r="D6845" i="3"/>
  <c r="H6845" i="3" s="1"/>
  <c r="D4742" i="3"/>
  <c r="D6666" i="3"/>
  <c r="H6666" i="3" s="1"/>
  <c r="D6760" i="3"/>
  <c r="I6760" i="3" s="1"/>
  <c r="D7438" i="3"/>
  <c r="J7438" i="3" s="1"/>
  <c r="D7703" i="3"/>
  <c r="I7703" i="3" s="1"/>
  <c r="I7162" i="3"/>
  <c r="J4939" i="3"/>
  <c r="I4685" i="3"/>
  <c r="I7352" i="3"/>
  <c r="H7197" i="3"/>
  <c r="H4916" i="3"/>
  <c r="J7447" i="3"/>
  <c r="H6757" i="3"/>
  <c r="I6421" i="3"/>
  <c r="H6421" i="3"/>
  <c r="I4806" i="3"/>
  <c r="J7696" i="3"/>
  <c r="H4804" i="3"/>
  <c r="H7696" i="3"/>
  <c r="H6480" i="3"/>
  <c r="I6480" i="3"/>
  <c r="H7210" i="3"/>
  <c r="J4686" i="3"/>
  <c r="H6748" i="3"/>
  <c r="H6662" i="3"/>
  <c r="J7369" i="3"/>
  <c r="I6626" i="3"/>
  <c r="I6746" i="3"/>
  <c r="J7093" i="3"/>
  <c r="J4844" i="3"/>
  <c r="J6279" i="3"/>
  <c r="H7093" i="3"/>
  <c r="H4707" i="3"/>
  <c r="J7167" i="3"/>
  <c r="J4707" i="3"/>
  <c r="J4876" i="3"/>
  <c r="J7406" i="3"/>
  <c r="H7372" i="3"/>
  <c r="J6569" i="3"/>
  <c r="I6569" i="3"/>
  <c r="H5062" i="3"/>
  <c r="H7825" i="3"/>
  <c r="J4684" i="3"/>
  <c r="I7382" i="3"/>
  <c r="H6626" i="3"/>
  <c r="I4970" i="3"/>
  <c r="H4811" i="3"/>
  <c r="H7352" i="3"/>
  <c r="J7096" i="3"/>
  <c r="H7277" i="3"/>
  <c r="H7480" i="3"/>
  <c r="I4751" i="3"/>
  <c r="J7843" i="3"/>
  <c r="H4806" i="3"/>
  <c r="J5096" i="3"/>
  <c r="I5076" i="3"/>
  <c r="I7308" i="3"/>
  <c r="J6476" i="3"/>
  <c r="J7422" i="3"/>
  <c r="H7848" i="3"/>
  <c r="J6631" i="3"/>
  <c r="H6280" i="3"/>
  <c r="I4818" i="3"/>
  <c r="J7848" i="3"/>
  <c r="I6651" i="3"/>
  <c r="I6671" i="3"/>
  <c r="J4970" i="3"/>
  <c r="I6748" i="3"/>
  <c r="H4799" i="3"/>
  <c r="J7103" i="3"/>
  <c r="J7356" i="3"/>
  <c r="J4818" i="3"/>
  <c r="I6276" i="3"/>
  <c r="I5027" i="3"/>
  <c r="I7223" i="3"/>
  <c r="H4741" i="3"/>
  <c r="J7339" i="3"/>
  <c r="J6501" i="3"/>
  <c r="I7516" i="3"/>
  <c r="I4930" i="3"/>
  <c r="J4894" i="3"/>
  <c r="J4930" i="3"/>
  <c r="I4894" i="3"/>
  <c r="H7482" i="3"/>
  <c r="H6501" i="3"/>
  <c r="I7736" i="3"/>
  <c r="H7625" i="3"/>
  <c r="J6311" i="3"/>
  <c r="J7370" i="3"/>
  <c r="H7280" i="3"/>
  <c r="J7482" i="3"/>
  <c r="H6781" i="3"/>
  <c r="J5027" i="3"/>
  <c r="I4741" i="3"/>
  <c r="H7516" i="3"/>
  <c r="J6781" i="3"/>
  <c r="I6302" i="3"/>
  <c r="I4715" i="3"/>
  <c r="I7441" i="3"/>
  <c r="H6300" i="3"/>
  <c r="H4927" i="3"/>
  <c r="J7691" i="3"/>
  <c r="J7625" i="3"/>
  <c r="J4927" i="3"/>
  <c r="I7579" i="3"/>
  <c r="H7510" i="3"/>
  <c r="I7280" i="3"/>
  <c r="J7510" i="3"/>
  <c r="I5096" i="3"/>
  <c r="I7315" i="3"/>
  <c r="H6294" i="3"/>
  <c r="H6276" i="3"/>
  <c r="H7382" i="3"/>
  <c r="J7277" i="3"/>
  <c r="I4738" i="3"/>
  <c r="I7452" i="3"/>
  <c r="J4988" i="3"/>
  <c r="I4854" i="3"/>
  <c r="H7356" i="3"/>
  <c r="H5006" i="3"/>
  <c r="I4797" i="3"/>
  <c r="J4797" i="3"/>
  <c r="I4876" i="3"/>
  <c r="J7445" i="3"/>
  <c r="J7452" i="3"/>
  <c r="I7607" i="3"/>
  <c r="J7607" i="3"/>
  <c r="H7369" i="3"/>
  <c r="J5006" i="3"/>
  <c r="I6294" i="3"/>
  <c r="H7820" i="3"/>
  <c r="H4738" i="3"/>
  <c r="I6656" i="3"/>
  <c r="H5083" i="3"/>
  <c r="I4924" i="3"/>
  <c r="H4735" i="3"/>
  <c r="I6649" i="3"/>
  <c r="H4924" i="3"/>
  <c r="J7587" i="3"/>
  <c r="J6418" i="3"/>
  <c r="H6418" i="3"/>
  <c r="I7258" i="3"/>
  <c r="H6649" i="3"/>
  <c r="I5002" i="3"/>
  <c r="J7268" i="3"/>
  <c r="I4943" i="3"/>
  <c r="I4735" i="3"/>
  <c r="J6484" i="3"/>
  <c r="I7241" i="3"/>
  <c r="I6389" i="3"/>
  <c r="I7108" i="3"/>
  <c r="H4830" i="3"/>
  <c r="I7269" i="3"/>
  <c r="H6484" i="3"/>
  <c r="H6389" i="3"/>
  <c r="I7682" i="3"/>
  <c r="I7587" i="3"/>
  <c r="H7269" i="3"/>
  <c r="J4801" i="3"/>
  <c r="H7682" i="3"/>
  <c r="H7113" i="3"/>
  <c r="J7108" i="3"/>
  <c r="I4830" i="3"/>
  <c r="J5038" i="3"/>
  <c r="H5079" i="3"/>
  <c r="I5038" i="3"/>
  <c r="J7258" i="3"/>
  <c r="H6655" i="3"/>
  <c r="J5083" i="3"/>
  <c r="H7241" i="3"/>
  <c r="I6863" i="3"/>
  <c r="J6656" i="3"/>
  <c r="H6863" i="3"/>
  <c r="H5002" i="3"/>
  <c r="J7450" i="3"/>
  <c r="H6476" i="3"/>
  <c r="J7087" i="3"/>
  <c r="J4700" i="3"/>
  <c r="J6486" i="3"/>
  <c r="H7087" i="3"/>
  <c r="J7312" i="3"/>
  <c r="H7312" i="3"/>
  <c r="I7618" i="3"/>
  <c r="H7400" i="3"/>
  <c r="J5049" i="3"/>
  <c r="I7100" i="3"/>
  <c r="I7103" i="3"/>
  <c r="H7390" i="3"/>
  <c r="I5049" i="3"/>
  <c r="J7400" i="3"/>
  <c r="I7456" i="3"/>
  <c r="I7329" i="3"/>
  <c r="J4787" i="3"/>
  <c r="J7244" i="3"/>
  <c r="J6651" i="3"/>
  <c r="I6486" i="3"/>
  <c r="J7100" i="3"/>
  <c r="H4925" i="3"/>
  <c r="H7329" i="3"/>
  <c r="H4787" i="3"/>
  <c r="H7308" i="3"/>
  <c r="H7456" i="3"/>
  <c r="I6310" i="3"/>
  <c r="I4700" i="3"/>
  <c r="J4925" i="3"/>
  <c r="I6307" i="3"/>
  <c r="H4854" i="3"/>
  <c r="H4902" i="3"/>
  <c r="I7820" i="3"/>
  <c r="H7675" i="3"/>
  <c r="J6302" i="3"/>
  <c r="J4802" i="3"/>
  <c r="H7445" i="3"/>
  <c r="I4973" i="3"/>
  <c r="I6631" i="3"/>
  <c r="J7088" i="3"/>
  <c r="J4877" i="3"/>
  <c r="H4802" i="3"/>
  <c r="I4988" i="3"/>
  <c r="H7122" i="3"/>
  <c r="J7414" i="3"/>
  <c r="H6304" i="3"/>
  <c r="I7244" i="3"/>
  <c r="H6412" i="3"/>
  <c r="J7472" i="3"/>
  <c r="H6859" i="3"/>
  <c r="H6576" i="3"/>
  <c r="I6741" i="3"/>
  <c r="H7399" i="3"/>
  <c r="I6842" i="3"/>
  <c r="I7675" i="3"/>
  <c r="J6859" i="3"/>
  <c r="J6576" i="3"/>
  <c r="J7501" i="3"/>
  <c r="H4921" i="3"/>
  <c r="J6764" i="3"/>
  <c r="J6409" i="3"/>
  <c r="H4884" i="3"/>
  <c r="H6842" i="3"/>
  <c r="I7501" i="3"/>
  <c r="I7154" i="3"/>
  <c r="J7813" i="3"/>
  <c r="H6485" i="3"/>
  <c r="J7578" i="3"/>
  <c r="J6741" i="3"/>
  <c r="J4921" i="3"/>
  <c r="J7330" i="3"/>
  <c r="H7330" i="3"/>
  <c r="I6485" i="3"/>
  <c r="J4845" i="3"/>
  <c r="J6853" i="3"/>
  <c r="I6402" i="3"/>
  <c r="H7154" i="3"/>
  <c r="H6853" i="3"/>
  <c r="J7459" i="3"/>
  <c r="J7683" i="3"/>
  <c r="I6868" i="3"/>
  <c r="J6402" i="3"/>
  <c r="J6868" i="3"/>
  <c r="I7594" i="3"/>
  <c r="I7813" i="3"/>
  <c r="J7815" i="3"/>
  <c r="J4879" i="3"/>
  <c r="H4832" i="3"/>
  <c r="H7683" i="3"/>
  <c r="H7088" i="3"/>
  <c r="I6409" i="3"/>
  <c r="I7815" i="3"/>
  <c r="J4832" i="3"/>
  <c r="J5068" i="3"/>
  <c r="H6679" i="3"/>
  <c r="H7368" i="3"/>
  <c r="I7368" i="3"/>
  <c r="H7594" i="3"/>
  <c r="H6764" i="3"/>
  <c r="I7578" i="3"/>
  <c r="B21" i="102"/>
  <c r="B8" i="102"/>
  <c r="B11" i="102"/>
  <c r="G2933" i="3"/>
  <c r="F2933" i="3"/>
  <c r="G2932" i="3"/>
  <c r="F2932" i="3"/>
  <c r="G2931" i="3"/>
  <c r="F2931" i="3"/>
  <c r="G2930" i="3"/>
  <c r="F2930" i="3"/>
  <c r="G2929" i="3"/>
  <c r="F2929" i="3"/>
  <c r="B36" i="7"/>
  <c r="D2074" i="3" a="1"/>
  <c r="D3191" i="3" a="1"/>
  <c r="D3206" i="3" a="1"/>
  <c r="D2089" i="3" a="1"/>
  <c r="D3221" i="3" a="1"/>
  <c r="D2044" i="3" a="1"/>
  <c r="D2059" i="3" a="1"/>
  <c r="B8" i="19"/>
  <c r="H8533" i="3"/>
  <c r="D3026" i="3" a="1"/>
  <c r="D3056" i="3" a="1"/>
  <c r="D3041" i="3" a="1"/>
  <c r="D3101" i="3" a="1"/>
  <c r="I8533" i="3"/>
  <c r="D3116" i="3" a="1"/>
  <c r="D3236" i="3" a="1"/>
  <c r="B9" i="20" a="1"/>
  <c r="I6399" i="3" l="1"/>
  <c r="H7450" i="3"/>
  <c r="H4973" i="3"/>
  <c r="I6309" i="3"/>
  <c r="H7834" i="3"/>
  <c r="H7086" i="3"/>
  <c r="I7399" i="3"/>
  <c r="H7285" i="3"/>
  <c r="I7518" i="3"/>
  <c r="J7817" i="3"/>
  <c r="H4879" i="3"/>
  <c r="I6679" i="3"/>
  <c r="J7146" i="3"/>
  <c r="I6747" i="3"/>
  <c r="H4962" i="3"/>
  <c r="J4759" i="3"/>
  <c r="J4962" i="3"/>
  <c r="J5079" i="3"/>
  <c r="H4684" i="3"/>
  <c r="J7187" i="3"/>
  <c r="I6311" i="3"/>
  <c r="I4811" i="3"/>
  <c r="J6585" i="3"/>
  <c r="H7524" i="3"/>
  <c r="H7341" i="3"/>
  <c r="H7091" i="3"/>
  <c r="I7344" i="3"/>
  <c r="J7827" i="3"/>
  <c r="H7622" i="3"/>
  <c r="J7524" i="3"/>
  <c r="I7314" i="3"/>
  <c r="I7341" i="3"/>
  <c r="H4801" i="3"/>
  <c r="H7248" i="3"/>
  <c r="I7827" i="3"/>
  <c r="H6585" i="3"/>
  <c r="H4687" i="3"/>
  <c r="I4895" i="3"/>
  <c r="H7314" i="3"/>
  <c r="J7600" i="3"/>
  <c r="I7354" i="3"/>
  <c r="I7600" i="3"/>
  <c r="H7354" i="3"/>
  <c r="I7227" i="3"/>
  <c r="J7426" i="3"/>
  <c r="H6282" i="3"/>
  <c r="J4687" i="3"/>
  <c r="H6746" i="3"/>
  <c r="J4935" i="3"/>
  <c r="J7622" i="3"/>
  <c r="H4759" i="3"/>
  <c r="I7474" i="3"/>
  <c r="J7091" i="3"/>
  <c r="I7285" i="3"/>
  <c r="H4877" i="3"/>
  <c r="J4943" i="3"/>
  <c r="I7484" i="3"/>
  <c r="H6380" i="3"/>
  <c r="I6509" i="3"/>
  <c r="A38" i="1"/>
  <c r="H6406" i="3"/>
  <c r="J7846" i="3"/>
  <c r="I7588" i="3"/>
  <c r="J4942" i="3"/>
  <c r="H7742" i="3"/>
  <c r="H7433" i="3"/>
  <c r="I4813" i="3"/>
  <c r="I6282" i="3"/>
  <c r="I6417" i="3"/>
  <c r="H4994" i="3"/>
  <c r="J5024" i="3"/>
  <c r="J7234" i="3"/>
  <c r="J5011" i="3"/>
  <c r="J7702" i="3"/>
  <c r="H4748" i="3"/>
  <c r="I7442" i="3"/>
  <c r="I4994" i="3"/>
  <c r="H6752" i="3"/>
  <c r="I6304" i="3"/>
  <c r="J7227" i="3"/>
  <c r="J4762" i="3"/>
  <c r="J7291" i="3"/>
  <c r="J6385" i="3"/>
  <c r="J7316" i="3"/>
  <c r="I4716" i="3"/>
  <c r="H6671" i="3"/>
  <c r="H6632" i="3"/>
  <c r="H6503" i="3"/>
  <c r="I5059" i="3"/>
  <c r="I6279" i="3"/>
  <c r="J5059" i="3"/>
  <c r="J6560" i="3"/>
  <c r="J6410" i="3"/>
  <c r="I6632" i="3"/>
  <c r="H4805" i="3"/>
  <c r="I6300" i="3"/>
  <c r="J7085" i="3"/>
  <c r="I7248" i="3"/>
  <c r="H6560" i="3"/>
  <c r="H4705" i="3"/>
  <c r="H6747" i="3"/>
  <c r="I7187" i="3"/>
  <c r="H7581" i="3"/>
  <c r="H7085" i="3"/>
  <c r="H7414" i="3"/>
  <c r="H6630" i="3"/>
  <c r="I4902" i="3"/>
  <c r="H4844" i="3"/>
  <c r="I7083" i="3"/>
  <c r="J4789" i="3"/>
  <c r="J4805" i="3"/>
  <c r="H7474" i="3"/>
  <c r="I6406" i="3"/>
  <c r="H7083" i="3"/>
  <c r="J7197" i="3"/>
  <c r="H6860" i="3"/>
  <c r="I7316" i="3"/>
  <c r="J6509" i="3"/>
  <c r="J4997" i="3"/>
  <c r="H7246" i="3"/>
  <c r="I4939" i="3"/>
  <c r="I6757" i="3"/>
  <c r="I6860" i="3"/>
  <c r="H6385" i="3"/>
  <c r="I7234" i="3"/>
  <c r="J7500" i="3"/>
  <c r="J7742" i="3"/>
  <c r="I7817" i="3"/>
  <c r="I5024" i="3"/>
  <c r="I7500" i="3"/>
  <c r="I7854" i="3"/>
  <c r="H7162" i="3"/>
  <c r="J7854" i="3"/>
  <c r="I7702" i="3"/>
  <c r="I5011" i="3"/>
  <c r="J5070" i="3"/>
  <c r="I7694" i="3"/>
  <c r="I7122" i="3"/>
  <c r="J7592" i="3"/>
  <c r="I6628" i="3"/>
  <c r="J6578" i="3"/>
  <c r="H4913" i="3"/>
  <c r="H7619" i="3"/>
  <c r="H7146" i="3"/>
  <c r="J4916" i="3"/>
  <c r="I7833" i="3"/>
  <c r="H7336" i="3"/>
  <c r="H7588" i="3"/>
  <c r="J6313" i="3"/>
  <c r="J4795" i="3"/>
  <c r="H4903" i="3"/>
  <c r="J7361" i="3"/>
  <c r="I4979" i="3"/>
  <c r="J4813" i="3"/>
  <c r="J7246" i="3"/>
  <c r="H7703" i="3"/>
  <c r="J4689" i="3"/>
  <c r="I7476" i="3"/>
  <c r="I4773" i="3"/>
  <c r="J7432" i="3"/>
  <c r="H6581" i="3"/>
  <c r="J7581" i="3"/>
  <c r="I6581" i="3"/>
  <c r="I4757" i="3"/>
  <c r="J7849" i="3"/>
  <c r="I6575" i="3"/>
  <c r="I7347" i="3"/>
  <c r="J6398" i="3"/>
  <c r="H4762" i="3"/>
  <c r="H4757" i="3"/>
  <c r="J4855" i="3"/>
  <c r="H7442" i="3"/>
  <c r="I7826" i="3"/>
  <c r="H7089" i="3"/>
  <c r="H4696" i="3"/>
  <c r="H6833" i="3"/>
  <c r="J7101" i="3"/>
  <c r="J7521" i="3"/>
  <c r="H7212" i="3"/>
  <c r="I5068" i="3"/>
  <c r="H7826" i="3"/>
  <c r="J7089" i="3"/>
  <c r="I4731" i="3"/>
  <c r="J6833" i="3"/>
  <c r="J7120" i="3"/>
  <c r="J7345" i="3"/>
  <c r="I5039" i="3"/>
  <c r="H7216" i="3"/>
  <c r="J4696" i="3"/>
  <c r="H4731" i="3"/>
  <c r="I7120" i="3"/>
  <c r="J5042" i="3"/>
  <c r="J5039" i="3"/>
  <c r="H7460" i="3"/>
  <c r="J5000" i="3"/>
  <c r="H7250" i="3"/>
  <c r="J7460" i="3"/>
  <c r="I7345" i="3"/>
  <c r="J6392" i="3"/>
  <c r="J6835" i="3"/>
  <c r="J7517" i="3"/>
  <c r="J6391" i="3"/>
  <c r="H6574" i="3"/>
  <c r="J7303" i="3"/>
  <c r="J7476" i="3"/>
  <c r="H7838" i="3"/>
  <c r="J5082" i="3"/>
  <c r="H7749" i="3"/>
  <c r="J7194" i="3"/>
  <c r="J5076" i="3"/>
  <c r="H4893" i="3"/>
  <c r="H6780" i="3"/>
  <c r="H7112" i="3"/>
  <c r="I6654" i="3"/>
  <c r="H4960" i="3"/>
  <c r="I4823" i="3"/>
  <c r="J6489" i="3"/>
  <c r="H7371" i="3"/>
  <c r="I7583" i="3"/>
  <c r="H7583" i="3"/>
  <c r="H6654" i="3"/>
  <c r="J6690" i="3"/>
  <c r="I6574" i="3"/>
  <c r="H4972" i="3"/>
  <c r="J6316" i="3"/>
  <c r="H6778" i="3"/>
  <c r="H5082" i="3"/>
  <c r="I7487" i="3"/>
  <c r="H7290" i="3"/>
  <c r="J7835" i="3"/>
  <c r="I6835" i="3"/>
  <c r="H7233" i="3"/>
  <c r="J4885" i="3"/>
  <c r="J7276" i="3"/>
  <c r="I7137" i="3"/>
  <c r="H6308" i="3"/>
  <c r="I7698" i="3"/>
  <c r="J7685" i="3"/>
  <c r="I7194" i="3"/>
  <c r="H4756" i="3"/>
  <c r="I4885" i="3"/>
  <c r="H7470" i="3"/>
  <c r="H7615" i="3"/>
  <c r="I6630" i="3"/>
  <c r="H6391" i="3"/>
  <c r="J4756" i="3"/>
  <c r="I7838" i="3"/>
  <c r="J7320" i="3"/>
  <c r="H6489" i="3"/>
  <c r="I7371" i="3"/>
  <c r="J4893" i="3"/>
  <c r="H7415" i="3"/>
  <c r="J7159" i="3"/>
  <c r="I6407" i="3"/>
  <c r="H7303" i="3"/>
  <c r="I4798" i="3"/>
  <c r="I4817" i="3"/>
  <c r="H7137" i="3"/>
  <c r="H7320" i="3"/>
  <c r="I4706" i="3"/>
  <c r="J4823" i="3"/>
  <c r="H4923" i="3"/>
  <c r="H6392" i="3"/>
  <c r="H7159" i="3"/>
  <c r="H7698" i="3"/>
  <c r="I7517" i="3"/>
  <c r="J4923" i="3"/>
  <c r="H7628" i="3"/>
  <c r="J6780" i="3"/>
  <c r="I7628" i="3"/>
  <c r="H7075" i="3"/>
  <c r="I7075" i="3"/>
  <c r="I7298" i="3"/>
  <c r="H4942" i="3"/>
  <c r="J7102" i="3"/>
  <c r="I5095" i="3"/>
  <c r="I6690" i="3"/>
  <c r="J6407" i="3"/>
  <c r="H7685" i="3"/>
  <c r="I4960" i="3"/>
  <c r="H7835" i="3"/>
  <c r="H7301" i="3"/>
  <c r="J7112" i="3"/>
  <c r="H4817" i="3"/>
  <c r="J4798" i="3"/>
  <c r="H7276" i="3"/>
  <c r="H7487" i="3"/>
  <c r="J4706" i="3"/>
  <c r="J6778" i="3"/>
  <c r="H5095" i="3"/>
  <c r="I6308" i="3"/>
  <c r="I7301" i="3"/>
  <c r="J7290" i="3"/>
  <c r="I7233" i="3"/>
  <c r="I7102" i="3"/>
  <c r="J6292" i="3"/>
  <c r="H6292" i="3"/>
  <c r="I6477" i="3"/>
  <c r="J6477" i="3"/>
  <c r="I4717" i="3"/>
  <c r="I7254" i="3"/>
  <c r="I5009" i="3"/>
  <c r="J7298" i="3"/>
  <c r="H5001" i="3"/>
  <c r="H7294" i="3"/>
  <c r="H7395" i="3"/>
  <c r="C10" i="77"/>
  <c r="C18" i="77"/>
  <c r="J7097" i="3"/>
  <c r="I6685" i="3"/>
  <c r="J7151" i="3"/>
  <c r="C9" i="77"/>
  <c r="I6306" i="3"/>
  <c r="J4875" i="3"/>
  <c r="J6621" i="3"/>
  <c r="B18" i="77"/>
  <c r="J7499" i="3"/>
  <c r="I6871" i="3"/>
  <c r="J7180" i="3"/>
  <c r="J6618" i="3"/>
  <c r="J6664" i="3"/>
  <c r="J7266" i="3"/>
  <c r="H4888" i="3"/>
  <c r="J7086" i="3"/>
  <c r="J4780" i="3"/>
  <c r="H4900" i="3"/>
  <c r="B17" i="77"/>
  <c r="I7499" i="3"/>
  <c r="H4969" i="3"/>
  <c r="H7417" i="3"/>
  <c r="J6739" i="3"/>
  <c r="H7266" i="3"/>
  <c r="I7180" i="3"/>
  <c r="C64" i="133"/>
  <c r="I7609" i="3"/>
  <c r="C17" i="77"/>
  <c r="H4846" i="3"/>
  <c r="J6685" i="3"/>
  <c r="J6871" i="3"/>
  <c r="I6384" i="3"/>
  <c r="I7436" i="3"/>
  <c r="I5045" i="3"/>
  <c r="H6621" i="3"/>
  <c r="B9" i="77"/>
  <c r="B15" i="77" s="1"/>
  <c r="H6410" i="3"/>
  <c r="J4846" i="3"/>
  <c r="H4997" i="3"/>
  <c r="I6664" i="3"/>
  <c r="I7097" i="3"/>
  <c r="H6739" i="3"/>
  <c r="J7417" i="3"/>
  <c r="J7436" i="3"/>
  <c r="I7473" i="3"/>
  <c r="H7509" i="3"/>
  <c r="I4780" i="3"/>
  <c r="J7237" i="3"/>
  <c r="J7362" i="3"/>
  <c r="I6618" i="3"/>
  <c r="H7609" i="3"/>
  <c r="H7692" i="3"/>
  <c r="H7852" i="3"/>
  <c r="J7619" i="3"/>
  <c r="J5045" i="3"/>
  <c r="I7237" i="3"/>
  <c r="J7747" i="3"/>
  <c r="H7151" i="3"/>
  <c r="J7692" i="3"/>
  <c r="H4716" i="3"/>
  <c r="H6384" i="3"/>
  <c r="J7832" i="3"/>
  <c r="I4747" i="3"/>
  <c r="J7221" i="3"/>
  <c r="H4954" i="3"/>
  <c r="I7305" i="3"/>
  <c r="H7512" i="3"/>
  <c r="I5051" i="3"/>
  <c r="I7090" i="3"/>
  <c r="I7349" i="3"/>
  <c r="J7828" i="3"/>
  <c r="I6689" i="3"/>
  <c r="H7410" i="3"/>
  <c r="I7746" i="3"/>
  <c r="H4868" i="3"/>
  <c r="J4906" i="3"/>
  <c r="J5071" i="3"/>
  <c r="J6497" i="3"/>
  <c r="H6497" i="3"/>
  <c r="I4954" i="3"/>
  <c r="J7196" i="3"/>
  <c r="I4910" i="3"/>
  <c r="J6411" i="3"/>
  <c r="I7111" i="3"/>
  <c r="H7847" i="3"/>
  <c r="J7610" i="3"/>
  <c r="H6625" i="3"/>
  <c r="J4868" i="3"/>
  <c r="J6404" i="3"/>
  <c r="H4688" i="3"/>
  <c r="H7575" i="3"/>
  <c r="I6857" i="3"/>
  <c r="J7111" i="3"/>
  <c r="I5015" i="3"/>
  <c r="J7191" i="3"/>
  <c r="H7577" i="3"/>
  <c r="H7596" i="3"/>
  <c r="H6854" i="3"/>
  <c r="I7221" i="3"/>
  <c r="I5026" i="3"/>
  <c r="J5101" i="3"/>
  <c r="I7268" i="3"/>
  <c r="J4770" i="3"/>
  <c r="J7224" i="3"/>
  <c r="I5071" i="3"/>
  <c r="J6623" i="3"/>
  <c r="H7305" i="3"/>
  <c r="H6623" i="3"/>
  <c r="H4910" i="3"/>
  <c r="I7219" i="3"/>
  <c r="J6502" i="3"/>
  <c r="H6583" i="3"/>
  <c r="I6583" i="3"/>
  <c r="J6857" i="3"/>
  <c r="H4694" i="3"/>
  <c r="J4727" i="3"/>
  <c r="I7701" i="3"/>
  <c r="I7210" i="3"/>
  <c r="J6854" i="3"/>
  <c r="J7219" i="3"/>
  <c r="I7520" i="3"/>
  <c r="I7822" i="3"/>
  <c r="J4729" i="3"/>
  <c r="I4688" i="3"/>
  <c r="I4729" i="3"/>
  <c r="I7511" i="3"/>
  <c r="J7090" i="3"/>
  <c r="H7520" i="3"/>
  <c r="J7596" i="3"/>
  <c r="I7610" i="3"/>
  <c r="H7349" i="3"/>
  <c r="I7828" i="3"/>
  <c r="H7746" i="3"/>
  <c r="H4770" i="3"/>
  <c r="H4776" i="3"/>
  <c r="H7741" i="3"/>
  <c r="H4747" i="3"/>
  <c r="I4918" i="3"/>
  <c r="I7196" i="3"/>
  <c r="H6502" i="3"/>
  <c r="H7347" i="3"/>
  <c r="I7222" i="3"/>
  <c r="J7577" i="3"/>
  <c r="H7191" i="3"/>
  <c r="J4822" i="3"/>
  <c r="J4799" i="3"/>
  <c r="J4918" i="3"/>
  <c r="H4789" i="3"/>
  <c r="I7575" i="3"/>
  <c r="J6755" i="3"/>
  <c r="H5015" i="3"/>
  <c r="J7222" i="3"/>
  <c r="I4776" i="3"/>
  <c r="H6398" i="3"/>
  <c r="H6301" i="3"/>
  <c r="J6689" i="3"/>
  <c r="I7387" i="3"/>
  <c r="H7224" i="3"/>
  <c r="J7741" i="3"/>
  <c r="I6490" i="3"/>
  <c r="J6625" i="3"/>
  <c r="J4913" i="3"/>
  <c r="J4694" i="3"/>
  <c r="I6755" i="3"/>
  <c r="H5051" i="3"/>
  <c r="I7512" i="3"/>
  <c r="I7847" i="3"/>
  <c r="H6411" i="3"/>
  <c r="H7822" i="3"/>
  <c r="H5101" i="3"/>
  <c r="H6490" i="3"/>
  <c r="J7511" i="3"/>
  <c r="I7410" i="3"/>
  <c r="I4822" i="3"/>
  <c r="I4727" i="3"/>
  <c r="J7387" i="3"/>
  <c r="I7434" i="3"/>
  <c r="I5098" i="3"/>
  <c r="H7618" i="3"/>
  <c r="H4975" i="3"/>
  <c r="J6846" i="3"/>
  <c r="I6745" i="3"/>
  <c r="H4686" i="3"/>
  <c r="H7459" i="3"/>
  <c r="H4774" i="3"/>
  <c r="I4932" i="3"/>
  <c r="J5037" i="3"/>
  <c r="I4953" i="3"/>
  <c r="J4773" i="3"/>
  <c r="H5092" i="3"/>
  <c r="I7311" i="3"/>
  <c r="H7849" i="3"/>
  <c r="I4834" i="3"/>
  <c r="J4847" i="3"/>
  <c r="J4751" i="3"/>
  <c r="H6500" i="3"/>
  <c r="J7183" i="3"/>
  <c r="J4774" i="3"/>
  <c r="H7220" i="3"/>
  <c r="J5098" i="3"/>
  <c r="J6317" i="3"/>
  <c r="H6499" i="3"/>
  <c r="J7405" i="3"/>
  <c r="I7432" i="3"/>
  <c r="J6499" i="3"/>
  <c r="I5073" i="3"/>
  <c r="I4914" i="3"/>
  <c r="J4975" i="3"/>
  <c r="I5091" i="3"/>
  <c r="J4996" i="3"/>
  <c r="I6317" i="3"/>
  <c r="I4827" i="3"/>
  <c r="I4795" i="3"/>
  <c r="J4977" i="3"/>
  <c r="H4791" i="3"/>
  <c r="J7519" i="3"/>
  <c r="J7220" i="3"/>
  <c r="I5037" i="3"/>
  <c r="J6511" i="3"/>
  <c r="H7495" i="3"/>
  <c r="J6503" i="3"/>
  <c r="J7144" i="3"/>
  <c r="J4834" i="3"/>
  <c r="I7283" i="3"/>
  <c r="H4990" i="3"/>
  <c r="H5073" i="3"/>
  <c r="H5091" i="3"/>
  <c r="I4855" i="3"/>
  <c r="I4788" i="3"/>
  <c r="H7405" i="3"/>
  <c r="H6307" i="3"/>
  <c r="H7283" i="3"/>
  <c r="H6745" i="3"/>
  <c r="J7311" i="3"/>
  <c r="I4884" i="3"/>
  <c r="I5010" i="3"/>
  <c r="H6313" i="3"/>
  <c r="J4724" i="3"/>
  <c r="I7839" i="3"/>
  <c r="H4932" i="3"/>
  <c r="J6852" i="3"/>
  <c r="H4785" i="3"/>
  <c r="I6846" i="3"/>
  <c r="I7620" i="3"/>
  <c r="H6511" i="3"/>
  <c r="H7466" i="3"/>
  <c r="J4791" i="3"/>
  <c r="I4990" i="3"/>
  <c r="H4847" i="3"/>
  <c r="J5010" i="3"/>
  <c r="H4914" i="3"/>
  <c r="H4724" i="3"/>
  <c r="H7198" i="3"/>
  <c r="I4996" i="3"/>
  <c r="J7839" i="3"/>
  <c r="I4689" i="3"/>
  <c r="J7251" i="3"/>
  <c r="I5092" i="3"/>
  <c r="I7427" i="3"/>
  <c r="J5074" i="3"/>
  <c r="J7272" i="3"/>
  <c r="H7272" i="3"/>
  <c r="J6310" i="3"/>
  <c r="H7519" i="3"/>
  <c r="J4781" i="3"/>
  <c r="H7404" i="3"/>
  <c r="J4953" i="3"/>
  <c r="I7198" i="3"/>
  <c r="I7495" i="3"/>
  <c r="H7144" i="3"/>
  <c r="H6840" i="3"/>
  <c r="J7359" i="3"/>
  <c r="H7359" i="3"/>
  <c r="I7738" i="3"/>
  <c r="H5074" i="3"/>
  <c r="I7466" i="3"/>
  <c r="I7183" i="3"/>
  <c r="I7294" i="3"/>
  <c r="H7691" i="3"/>
  <c r="H6413" i="3"/>
  <c r="I7107" i="3"/>
  <c r="I5036" i="3"/>
  <c r="H5097" i="3"/>
  <c r="J6413" i="3"/>
  <c r="J7703" i="3"/>
  <c r="J6280" i="3"/>
  <c r="I7084" i="3"/>
  <c r="J4709" i="3"/>
  <c r="I4709" i="3"/>
  <c r="J4810" i="3"/>
  <c r="J7084" i="3"/>
  <c r="I5097" i="3"/>
  <c r="I7426" i="3"/>
  <c r="I6655" i="3"/>
  <c r="J7259" i="3"/>
  <c r="H7145" i="3"/>
  <c r="J5036" i="3"/>
  <c r="H7518" i="3"/>
  <c r="J4895" i="3"/>
  <c r="H7344" i="3"/>
  <c r="H7096" i="3"/>
  <c r="J6399" i="3"/>
  <c r="I7259" i="3"/>
  <c r="J7254" i="3"/>
  <c r="I7480" i="3"/>
  <c r="H4810" i="3"/>
  <c r="I6667" i="3"/>
  <c r="J6309" i="3"/>
  <c r="J6667" i="3"/>
  <c r="J7145" i="3"/>
  <c r="J6401" i="3"/>
  <c r="J7107" i="3"/>
  <c r="I7435" i="3"/>
  <c r="J7229" i="3"/>
  <c r="J4786" i="3"/>
  <c r="H4786" i="3"/>
  <c r="J7186" i="3"/>
  <c r="H5009" i="3"/>
  <c r="J7615" i="3"/>
  <c r="J5001" i="3"/>
  <c r="I6316" i="3"/>
  <c r="I7186" i="3"/>
  <c r="J4744" i="3"/>
  <c r="I7467" i="3"/>
  <c r="I6774" i="3"/>
  <c r="H7467" i="3"/>
  <c r="H6774" i="3"/>
  <c r="J6752" i="3"/>
  <c r="H7484" i="3"/>
  <c r="J6844" i="3"/>
  <c r="I7161" i="3"/>
  <c r="H6420" i="3"/>
  <c r="J7321" i="3"/>
  <c r="I6847" i="3"/>
  <c r="H7257" i="3"/>
  <c r="J5040" i="3"/>
  <c r="I4850" i="3"/>
  <c r="J7140" i="3"/>
  <c r="I7816" i="3"/>
  <c r="I4723" i="3"/>
  <c r="J6847" i="3"/>
  <c r="J4919" i="3"/>
  <c r="I7457" i="3"/>
  <c r="J6587" i="3"/>
  <c r="J6829" i="3"/>
  <c r="H5012" i="3"/>
  <c r="H7693" i="3"/>
  <c r="H4919" i="3"/>
  <c r="H6577" i="3"/>
  <c r="H6865" i="3"/>
  <c r="H7140" i="3"/>
  <c r="J7850" i="3"/>
  <c r="H7430" i="3"/>
  <c r="H7829" i="3"/>
  <c r="H7471" i="3"/>
  <c r="H6620" i="3"/>
  <c r="I6829" i="3"/>
  <c r="H6742" i="3"/>
  <c r="J7192" i="3"/>
  <c r="H6677" i="3"/>
  <c r="J7395" i="3"/>
  <c r="J7435" i="3"/>
  <c r="I6401" i="3"/>
  <c r="H7574" i="3"/>
  <c r="J6760" i="3"/>
  <c r="H7469" i="3"/>
  <c r="I7218" i="3"/>
  <c r="H6507" i="3"/>
  <c r="J7348" i="3"/>
  <c r="J4748" i="3"/>
  <c r="H7291" i="3"/>
  <c r="H4732" i="3"/>
  <c r="H6849" i="3"/>
  <c r="I4732" i="3"/>
  <c r="H7323" i="3"/>
  <c r="J4734" i="3"/>
  <c r="H7116" i="3"/>
  <c r="I4999" i="3"/>
  <c r="H7458" i="3"/>
  <c r="J4949" i="3"/>
  <c r="J7296" i="3"/>
  <c r="H7218" i="3"/>
  <c r="H4788" i="3"/>
  <c r="I7415" i="3"/>
  <c r="I7749" i="3"/>
  <c r="J4972" i="3"/>
  <c r="I6285" i="3"/>
  <c r="H4827" i="3"/>
  <c r="H6285" i="3"/>
  <c r="H4781" i="3"/>
  <c r="I6869" i="3"/>
  <c r="H6852" i="3"/>
  <c r="I7296" i="3"/>
  <c r="H7457" i="3"/>
  <c r="H4906" i="3"/>
  <c r="H7278" i="3"/>
  <c r="J7469" i="3"/>
  <c r="J7470" i="3"/>
  <c r="I7574" i="3"/>
  <c r="I4740" i="3"/>
  <c r="J4717" i="3"/>
  <c r="I4705" i="3"/>
  <c r="H7321" i="3"/>
  <c r="H6850" i="3"/>
  <c r="H7701" i="3"/>
  <c r="I6507" i="3"/>
  <c r="I7328" i="3"/>
  <c r="I7852" i="3"/>
  <c r="I7160" i="3"/>
  <c r="H6469" i="3"/>
  <c r="I5031" i="3"/>
  <c r="I7444" i="3"/>
  <c r="I7114" i="3"/>
  <c r="J5041" i="3"/>
  <c r="I7475" i="3"/>
  <c r="H6571" i="3"/>
  <c r="I7418" i="3"/>
  <c r="I6629" i="3"/>
  <c r="I6312" i="3"/>
  <c r="I5044" i="3"/>
  <c r="J7514" i="3"/>
  <c r="I7676" i="3"/>
  <c r="H7299" i="3"/>
  <c r="I7299" i="3"/>
  <c r="I6281" i="3"/>
  <c r="H5050" i="3"/>
  <c r="I6659" i="3"/>
  <c r="I6559" i="3"/>
  <c r="J7475" i="3"/>
  <c r="H7114" i="3"/>
  <c r="H5085" i="3"/>
  <c r="J5050" i="3"/>
  <c r="I7375" i="3"/>
  <c r="I7116" i="3"/>
  <c r="H7161" i="3"/>
  <c r="J7444" i="3"/>
  <c r="H7185" i="3"/>
  <c r="I4764" i="3"/>
  <c r="I7570" i="3"/>
  <c r="I7300" i="3"/>
  <c r="H7245" i="3"/>
  <c r="I7325" i="3"/>
  <c r="J7242" i="3"/>
  <c r="J7189" i="3"/>
  <c r="J4784" i="3"/>
  <c r="I7322" i="3"/>
  <c r="J7322" i="3"/>
  <c r="I6470" i="3"/>
  <c r="J6659" i="3"/>
  <c r="I7458" i="3"/>
  <c r="H5041" i="3"/>
  <c r="J7135" i="3"/>
  <c r="H6566" i="3"/>
  <c r="H4999" i="3"/>
  <c r="J7676" i="3"/>
  <c r="J7323" i="3"/>
  <c r="H5044" i="3"/>
  <c r="H6870" i="3"/>
  <c r="J7506" i="3"/>
  <c r="J7824" i="3"/>
  <c r="I7327" i="3"/>
  <c r="H4966" i="3"/>
  <c r="H7152" i="3"/>
  <c r="I7851" i="3"/>
  <c r="H7851" i="3"/>
  <c r="J6281" i="3"/>
  <c r="H7325" i="3"/>
  <c r="J6629" i="3"/>
  <c r="I4734" i="3"/>
  <c r="H4784" i="3"/>
  <c r="H4977" i="3"/>
  <c r="J7431" i="3"/>
  <c r="H7514" i="3"/>
  <c r="I7348" i="3"/>
  <c r="H4940" i="3"/>
  <c r="I7247" i="3"/>
  <c r="I7506" i="3"/>
  <c r="H7824" i="3"/>
  <c r="H5021" i="3"/>
  <c r="H7570" i="3"/>
  <c r="I4966" i="3"/>
  <c r="I7811" i="3"/>
  <c r="I7431" i="3"/>
  <c r="I7152" i="3"/>
  <c r="H6559" i="3"/>
  <c r="H4764" i="3"/>
  <c r="H7135" i="3"/>
  <c r="I6566" i="3"/>
  <c r="I7242" i="3"/>
  <c r="I7571" i="3"/>
  <c r="J7811" i="3"/>
  <c r="J5021" i="3"/>
  <c r="I6849" i="3"/>
  <c r="J7601" i="3"/>
  <c r="H7375" i="3"/>
  <c r="H6287" i="3"/>
  <c r="I7199" i="3"/>
  <c r="J7418" i="3"/>
  <c r="J6312" i="3"/>
  <c r="J7245" i="3"/>
  <c r="I7228" i="3"/>
  <c r="J6397" i="3"/>
  <c r="H7247" i="3"/>
  <c r="I6287" i="3"/>
  <c r="I4896" i="3"/>
  <c r="I6506" i="3"/>
  <c r="J6870" i="3"/>
  <c r="H6506" i="3"/>
  <c r="H7327" i="3"/>
  <c r="J7185" i="3"/>
  <c r="J5031" i="3"/>
  <c r="H4896" i="3"/>
  <c r="H7199" i="3"/>
  <c r="I6571" i="3"/>
  <c r="J7463" i="3"/>
  <c r="H7463" i="3"/>
  <c r="I5085" i="3"/>
  <c r="H6397" i="3"/>
  <c r="H7228" i="3"/>
  <c r="H6760" i="3"/>
  <c r="J7300" i="3"/>
  <c r="H7571" i="3"/>
  <c r="I7189" i="3"/>
  <c r="J6470" i="3"/>
  <c r="H7601" i="3"/>
  <c r="I7832" i="3"/>
  <c r="I7350" i="3"/>
  <c r="I6314" i="3"/>
  <c r="J4812" i="3"/>
  <c r="H4740" i="3"/>
  <c r="I7362" i="3"/>
  <c r="J6469" i="3"/>
  <c r="J4730" i="3"/>
  <c r="J7434" i="3"/>
  <c r="I7336" i="3"/>
  <c r="J6301" i="3"/>
  <c r="J7350" i="3"/>
  <c r="J4900" i="3"/>
  <c r="I4730" i="3"/>
  <c r="H4959" i="3"/>
  <c r="J6403" i="3"/>
  <c r="I4969" i="3"/>
  <c r="H4875" i="3"/>
  <c r="I4948" i="3"/>
  <c r="J7473" i="3"/>
  <c r="H4779" i="3"/>
  <c r="H7411" i="3"/>
  <c r="J6475" i="3"/>
  <c r="I4872" i="3"/>
  <c r="H4872" i="3"/>
  <c r="J7606" i="3"/>
  <c r="J6381" i="3"/>
  <c r="I7101" i="3"/>
  <c r="H6396" i="3"/>
  <c r="I7411" i="3"/>
  <c r="J4793" i="3"/>
  <c r="I5063" i="3"/>
  <c r="J6568" i="3"/>
  <c r="J5028" i="3"/>
  <c r="H5028" i="3"/>
  <c r="H4851" i="3"/>
  <c r="J4870" i="3"/>
  <c r="I6283" i="3"/>
  <c r="J6619" i="3"/>
  <c r="I6381" i="3"/>
  <c r="I4982" i="3"/>
  <c r="I4909" i="3"/>
  <c r="J6688" i="3"/>
  <c r="J5048" i="3"/>
  <c r="I4891" i="3"/>
  <c r="J4796" i="3"/>
  <c r="I4904" i="3"/>
  <c r="J7429" i="3"/>
  <c r="I5048" i="3"/>
  <c r="I5042" i="3"/>
  <c r="H4891" i="3"/>
  <c r="I7606" i="3"/>
  <c r="H5063" i="3"/>
  <c r="H4909" i="3"/>
  <c r="I7521" i="3"/>
  <c r="I4775" i="3"/>
  <c r="J7841" i="3"/>
  <c r="J7611" i="3"/>
  <c r="I6286" i="3"/>
  <c r="I7403" i="3"/>
  <c r="I5000" i="3"/>
  <c r="J7138" i="3"/>
  <c r="H4722" i="3"/>
  <c r="I7611" i="3"/>
  <c r="H7099" i="3"/>
  <c r="J4982" i="3"/>
  <c r="I5017" i="3"/>
  <c r="I4796" i="3"/>
  <c r="J4907" i="3"/>
  <c r="J6779" i="3"/>
  <c r="J4722" i="3"/>
  <c r="J7292" i="3"/>
  <c r="H7627" i="3"/>
  <c r="I7212" i="3"/>
  <c r="J7420" i="3"/>
  <c r="I7216" i="3"/>
  <c r="J4904" i="3"/>
  <c r="I7292" i="3"/>
  <c r="H6283" i="3"/>
  <c r="H4775" i="3"/>
  <c r="H7157" i="3"/>
  <c r="J7270" i="3"/>
  <c r="J4858" i="3"/>
  <c r="H4935" i="3"/>
  <c r="H4870" i="3"/>
  <c r="J7440" i="3"/>
  <c r="H6568" i="3"/>
  <c r="H7440" i="3"/>
  <c r="H4995" i="3"/>
  <c r="J5017" i="3"/>
  <c r="I7425" i="3"/>
  <c r="H7425" i="3"/>
  <c r="J5087" i="3"/>
  <c r="J7483" i="3"/>
  <c r="I7260" i="3"/>
  <c r="I7483" i="3"/>
  <c r="J6396" i="3"/>
  <c r="J6491" i="3"/>
  <c r="J7627" i="3"/>
  <c r="J7099" i="3"/>
  <c r="I5034" i="3"/>
  <c r="I7138" i="3"/>
  <c r="I6475" i="3"/>
  <c r="H6491" i="3"/>
  <c r="H4793" i="3"/>
  <c r="I4851" i="3"/>
  <c r="J7250" i="3"/>
  <c r="I7420" i="3"/>
  <c r="J4995" i="3"/>
  <c r="I7429" i="3"/>
  <c r="H4858" i="3"/>
  <c r="J4710" i="3"/>
  <c r="H6622" i="3"/>
  <c r="H7251" i="3"/>
  <c r="J4752" i="3"/>
  <c r="I4812" i="3"/>
  <c r="I4907" i="3"/>
  <c r="I4778" i="3"/>
  <c r="H7446" i="3"/>
  <c r="H5034" i="3"/>
  <c r="I6844" i="3"/>
  <c r="J6420" i="3"/>
  <c r="H6831" i="3"/>
  <c r="J7455" i="3"/>
  <c r="H7424" i="3"/>
  <c r="J5026" i="3"/>
  <c r="I4779" i="3"/>
  <c r="I4785" i="3"/>
  <c r="I6500" i="3"/>
  <c r="H7620" i="3"/>
  <c r="J4948" i="3"/>
  <c r="H7747" i="3"/>
  <c r="H7738" i="3"/>
  <c r="J4873" i="3"/>
  <c r="J7403" i="3"/>
  <c r="I6840" i="3"/>
  <c r="H7243" i="3"/>
  <c r="I6295" i="3"/>
  <c r="J7157" i="3"/>
  <c r="I7841" i="3"/>
  <c r="J7160" i="3"/>
  <c r="J4853" i="3"/>
  <c r="I7214" i="3"/>
  <c r="I4949" i="3"/>
  <c r="H4778" i="3"/>
  <c r="I4697" i="3"/>
  <c r="H6838" i="3"/>
  <c r="J7243" i="3"/>
  <c r="I7743" i="3"/>
  <c r="H4697" i="3"/>
  <c r="J7214" i="3"/>
  <c r="H7427" i="3"/>
  <c r="J7379" i="3"/>
  <c r="I7477" i="3"/>
  <c r="J6622" i="3"/>
  <c r="J7328" i="3"/>
  <c r="H6869" i="3"/>
  <c r="J6306" i="3"/>
  <c r="H5087" i="3"/>
  <c r="H4859" i="3"/>
  <c r="I6779" i="3"/>
  <c r="H4853" i="3"/>
  <c r="H6688" i="3"/>
  <c r="H6404" i="3"/>
  <c r="I4940" i="3"/>
  <c r="J6286" i="3"/>
  <c r="I4752" i="3"/>
  <c r="H6403" i="3"/>
  <c r="H6751" i="3"/>
  <c r="J4965" i="3"/>
  <c r="J4859" i="3"/>
  <c r="J7260" i="3"/>
  <c r="J7424" i="3"/>
  <c r="I7404" i="3"/>
  <c r="J6295" i="3"/>
  <c r="J7509" i="3"/>
  <c r="H6619" i="3"/>
  <c r="J6838" i="3"/>
  <c r="J6494" i="3"/>
  <c r="I6831" i="3"/>
  <c r="I4888" i="3"/>
  <c r="H4710" i="3"/>
  <c r="H4873" i="3"/>
  <c r="I7379" i="3"/>
  <c r="H4800" i="3"/>
  <c r="H7270" i="3"/>
  <c r="B9" i="20"/>
  <c r="I6400" i="3"/>
  <c r="J6400" i="3"/>
  <c r="H6400" i="3"/>
  <c r="I7845" i="3"/>
  <c r="H7845" i="3"/>
  <c r="J7845" i="3"/>
  <c r="I7586" i="3"/>
  <c r="H7586" i="3"/>
  <c r="J7586" i="3"/>
  <c r="J7211" i="3"/>
  <c r="H7211" i="3"/>
  <c r="I7211" i="3"/>
  <c r="I7288" i="3"/>
  <c r="J7288" i="3"/>
  <c r="H7288" i="3"/>
  <c r="H6579" i="3"/>
  <c r="I6579" i="3"/>
  <c r="J6579" i="3"/>
  <c r="I7573" i="3"/>
  <c r="H7573" i="3"/>
  <c r="I4753" i="3"/>
  <c r="J4753" i="3"/>
  <c r="H4753" i="3"/>
  <c r="H7377" i="3"/>
  <c r="I7377" i="3"/>
  <c r="J7377" i="3"/>
  <c r="I6841" i="3"/>
  <c r="J6841" i="3"/>
  <c r="H6841" i="3"/>
  <c r="I7462" i="3"/>
  <c r="J7462" i="3"/>
  <c r="H7462" i="3"/>
  <c r="J7213" i="3"/>
  <c r="H7213" i="3"/>
  <c r="J6749" i="3"/>
  <c r="H6749" i="3"/>
  <c r="I6749" i="3"/>
  <c r="H7593" i="3"/>
  <c r="I7593" i="3"/>
  <c r="I4718" i="3"/>
  <c r="J4718" i="3"/>
  <c r="H4718" i="3"/>
  <c r="J7626" i="3"/>
  <c r="H7626" i="3"/>
  <c r="I7626" i="3"/>
  <c r="H6390" i="3"/>
  <c r="J6390" i="3"/>
  <c r="I6390" i="3"/>
  <c r="I5043" i="3"/>
  <c r="I6845" i="3"/>
  <c r="I5012" i="3"/>
  <c r="J7318" i="3"/>
  <c r="J6577" i="3"/>
  <c r="H6422" i="3"/>
  <c r="J4936" i="3"/>
  <c r="I7471" i="3"/>
  <c r="J7295" i="3"/>
  <c r="J4928" i="3"/>
  <c r="H7104" i="3"/>
  <c r="J7430" i="3"/>
  <c r="I7818" i="3"/>
  <c r="H5070" i="3"/>
  <c r="I5099" i="3"/>
  <c r="H4723" i="3"/>
  <c r="J6510" i="3"/>
  <c r="H7339" i="3"/>
  <c r="J4803" i="3"/>
  <c r="I4836" i="3"/>
  <c r="I6742" i="3"/>
  <c r="I7081" i="3"/>
  <c r="H7284" i="3"/>
  <c r="H4961" i="3"/>
  <c r="I4961" i="3"/>
  <c r="J4961" i="3"/>
  <c r="J7449" i="3"/>
  <c r="H7449" i="3"/>
  <c r="I7449" i="3"/>
  <c r="J6495" i="3"/>
  <c r="H6495" i="3"/>
  <c r="I6495" i="3"/>
  <c r="I7629" i="3"/>
  <c r="H7629" i="3"/>
  <c r="H7119" i="3"/>
  <c r="J7119" i="3"/>
  <c r="I7119" i="3"/>
  <c r="I7493" i="3"/>
  <c r="H7493" i="3"/>
  <c r="J7493" i="3"/>
  <c r="I6289" i="3"/>
  <c r="H6289" i="3"/>
  <c r="J6289" i="3"/>
  <c r="J5003" i="3"/>
  <c r="I5003" i="3"/>
  <c r="H5003" i="3"/>
  <c r="H7364" i="3"/>
  <c r="I7364" i="3"/>
  <c r="J7364" i="3"/>
  <c r="J4692" i="3"/>
  <c r="I4692" i="3"/>
  <c r="H4820" i="3"/>
  <c r="J4820" i="3"/>
  <c r="I4820" i="3"/>
  <c r="J4901" i="3"/>
  <c r="I4901" i="3"/>
  <c r="H4901" i="3"/>
  <c r="J7230" i="3"/>
  <c r="I7230" i="3"/>
  <c r="H7230" i="3"/>
  <c r="H7678" i="3"/>
  <c r="I7678" i="3"/>
  <c r="J7678" i="3"/>
  <c r="I7309" i="3"/>
  <c r="H7309" i="3"/>
  <c r="J7309" i="3"/>
  <c r="J6293" i="3"/>
  <c r="I6293" i="3"/>
  <c r="H6293" i="3"/>
  <c r="I4987" i="3"/>
  <c r="J4987" i="3"/>
  <c r="H4987" i="3"/>
  <c r="J6872" i="3"/>
  <c r="H6872" i="3"/>
  <c r="I6872" i="3"/>
  <c r="H6414" i="3"/>
  <c r="J6414" i="3"/>
  <c r="I6414" i="3"/>
  <c r="I4980" i="3"/>
  <c r="H4980" i="3"/>
  <c r="J4980" i="3"/>
  <c r="J5065" i="3"/>
  <c r="H5065" i="3"/>
  <c r="I5065" i="3"/>
  <c r="J6767" i="3"/>
  <c r="H6767" i="3"/>
  <c r="I6767" i="3"/>
  <c r="H6674" i="3"/>
  <c r="I6674" i="3"/>
  <c r="J6674" i="3"/>
  <c r="H7150" i="3"/>
  <c r="J7150" i="3"/>
  <c r="I7150" i="3"/>
  <c r="J6481" i="3"/>
  <c r="I6481" i="3"/>
  <c r="H7106" i="3"/>
  <c r="I7106" i="3"/>
  <c r="I7381" i="3"/>
  <c r="H7381" i="3"/>
  <c r="J7381" i="3"/>
  <c r="I7373" i="3"/>
  <c r="J7373" i="3"/>
  <c r="H7373" i="3"/>
  <c r="J6676" i="3"/>
  <c r="H6676" i="3"/>
  <c r="I6676" i="3"/>
  <c r="H6504" i="3"/>
  <c r="I6504" i="3"/>
  <c r="J6504" i="3"/>
  <c r="H7478" i="3"/>
  <c r="I7478" i="3"/>
  <c r="J7478" i="3"/>
  <c r="J6848" i="3"/>
  <c r="I6848" i="3"/>
  <c r="H6848" i="3"/>
  <c r="H6298" i="3"/>
  <c r="I6298" i="3"/>
  <c r="J6298" i="3"/>
  <c r="J5020" i="3"/>
  <c r="I5020" i="3"/>
  <c r="H5020" i="3"/>
  <c r="I6297" i="3"/>
  <c r="J6297" i="3"/>
  <c r="I4880" i="3"/>
  <c r="J4880" i="3"/>
  <c r="I6762" i="3"/>
  <c r="H6762" i="3"/>
  <c r="J6762" i="3"/>
  <c r="H4865" i="3"/>
  <c r="I4865" i="3"/>
  <c r="I5030" i="3"/>
  <c r="H5030" i="3"/>
  <c r="J5030" i="3"/>
  <c r="H7453" i="3"/>
  <c r="J7453" i="3"/>
  <c r="I7453" i="3"/>
  <c r="J6291" i="3"/>
  <c r="I6291" i="3"/>
  <c r="H6291" i="3"/>
  <c r="J7326" i="3"/>
  <c r="H7326" i="3"/>
  <c r="J6419" i="3"/>
  <c r="I6419" i="3"/>
  <c r="H6419" i="3"/>
  <c r="I7193" i="3"/>
  <c r="H7193" i="3"/>
  <c r="J7193" i="3"/>
  <c r="H4931" i="3"/>
  <c r="I4931" i="3"/>
  <c r="H6738" i="3"/>
  <c r="I4767" i="3"/>
  <c r="J4767" i="3"/>
  <c r="H4767" i="3"/>
  <c r="J4937" i="3"/>
  <c r="I4937" i="3"/>
  <c r="H4937" i="3"/>
  <c r="H6487" i="3"/>
  <c r="J6487" i="3"/>
  <c r="J6769" i="3"/>
  <c r="I6769" i="3"/>
  <c r="H6769" i="3"/>
  <c r="J6682" i="3"/>
  <c r="I6682" i="3"/>
  <c r="H6682" i="3"/>
  <c r="H5008" i="3"/>
  <c r="J5008" i="3"/>
  <c r="I5008" i="3"/>
  <c r="H7572" i="3"/>
  <c r="J7572" i="3"/>
  <c r="I7572" i="3"/>
  <c r="I4922" i="3"/>
  <c r="J4922" i="3"/>
  <c r="H4922" i="3"/>
  <c r="I4825" i="3"/>
  <c r="J4825" i="3"/>
  <c r="I7699" i="3"/>
  <c r="J7699" i="3"/>
  <c r="H7317" i="3"/>
  <c r="J7317" i="3"/>
  <c r="I7317" i="3"/>
  <c r="J6867" i="3"/>
  <c r="I6867" i="3"/>
  <c r="H6867" i="3"/>
  <c r="H7393" i="3"/>
  <c r="I7393" i="3"/>
  <c r="J7393" i="3"/>
  <c r="H7338" i="3"/>
  <c r="I7338" i="3"/>
  <c r="J7338" i="3"/>
  <c r="H4886" i="3"/>
  <c r="J4886" i="3"/>
  <c r="I4886" i="3"/>
  <c r="J5046" i="3"/>
  <c r="H5046" i="3"/>
  <c r="I5046" i="3"/>
  <c r="J5069" i="3"/>
  <c r="I5069" i="3"/>
  <c r="H5069" i="3"/>
  <c r="J4941" i="3"/>
  <c r="H4941" i="3"/>
  <c r="I4941" i="3"/>
  <c r="J4745" i="3"/>
  <c r="H4745" i="3"/>
  <c r="I4745" i="3"/>
  <c r="I4883" i="3"/>
  <c r="H4883" i="3"/>
  <c r="J4883" i="3"/>
  <c r="J6761" i="3"/>
  <c r="I6761" i="3"/>
  <c r="H6761" i="3"/>
  <c r="J4993" i="3"/>
  <c r="H4993" i="3"/>
  <c r="I4993" i="3"/>
  <c r="J6758" i="3"/>
  <c r="I6758" i="3"/>
  <c r="H6758" i="3"/>
  <c r="J7181" i="3"/>
  <c r="H7181" i="3"/>
  <c r="I7181" i="3"/>
  <c r="H6660" i="3"/>
  <c r="I6660" i="3"/>
  <c r="J6660" i="3"/>
  <c r="H7454" i="3"/>
  <c r="I7454" i="3"/>
  <c r="J7454" i="3"/>
  <c r="H6669" i="3"/>
  <c r="J6669" i="3"/>
  <c r="H4714" i="3"/>
  <c r="J4714" i="3"/>
  <c r="I4714" i="3"/>
  <c r="I4938" i="3"/>
  <c r="H4938" i="3"/>
  <c r="J4938" i="3"/>
  <c r="I7491" i="3"/>
  <c r="H7491" i="3"/>
  <c r="J7491" i="3"/>
  <c r="I7739" i="3"/>
  <c r="H7739" i="3"/>
  <c r="J7739" i="3"/>
  <c r="H7468" i="3"/>
  <c r="I7468" i="3"/>
  <c r="J7264" i="3"/>
  <c r="H7264" i="3"/>
  <c r="I7264" i="3"/>
  <c r="J7810" i="3"/>
  <c r="H7810" i="3"/>
  <c r="I7810" i="3"/>
  <c r="J6657" i="3"/>
  <c r="I6657" i="3"/>
  <c r="H6657" i="3"/>
  <c r="I4794" i="3"/>
  <c r="H6683" i="3"/>
  <c r="J6684" i="3"/>
  <c r="H5043" i="3"/>
  <c r="I7390" i="3"/>
  <c r="H7837" i="3"/>
  <c r="H7402" i="3"/>
  <c r="I7837" i="3"/>
  <c r="H6472" i="3"/>
  <c r="J6865" i="3"/>
  <c r="I7443" i="3"/>
  <c r="I4978" i="3"/>
  <c r="J4934" i="3"/>
  <c r="H4769" i="3"/>
  <c r="H6572" i="3"/>
  <c r="H7184" i="3"/>
  <c r="I7748" i="3"/>
  <c r="I6839" i="3"/>
  <c r="J6575" i="3"/>
  <c r="I5064" i="3"/>
  <c r="J7681" i="3"/>
  <c r="J6564" i="3"/>
  <c r="H4926" i="3"/>
  <c r="H7585" i="3"/>
  <c r="H6740" i="3"/>
  <c r="H6417" i="3"/>
  <c r="I4691" i="3"/>
  <c r="J7477" i="3"/>
  <c r="J7700" i="3"/>
  <c r="I7384" i="3"/>
  <c r="J7748" i="3"/>
  <c r="J6405" i="3"/>
  <c r="I4815" i="3"/>
  <c r="H7819" i="3"/>
  <c r="J4857" i="3"/>
  <c r="J7278" i="3"/>
  <c r="J6866" i="3"/>
  <c r="I4742" i="3"/>
  <c r="H4742" i="3"/>
  <c r="J4742" i="3"/>
  <c r="I4866" i="3"/>
  <c r="H4866" i="3"/>
  <c r="J4866" i="3"/>
  <c r="I4905" i="3"/>
  <c r="H4905" i="3"/>
  <c r="J6275" i="3"/>
  <c r="H6275" i="3"/>
  <c r="I6275" i="3"/>
  <c r="H7204" i="3"/>
  <c r="I7204" i="3"/>
  <c r="J7204" i="3"/>
  <c r="I7621" i="3"/>
  <c r="H7621" i="3"/>
  <c r="J7621" i="3"/>
  <c r="J5022" i="3"/>
  <c r="I5022" i="3"/>
  <c r="J4765" i="3"/>
  <c r="H4765" i="3"/>
  <c r="I4765" i="3"/>
  <c r="J7206" i="3"/>
  <c r="H7206" i="3"/>
  <c r="I7206" i="3"/>
  <c r="J6315" i="3"/>
  <c r="H6315" i="3"/>
  <c r="I6315" i="3"/>
  <c r="H7105" i="3"/>
  <c r="I7105" i="3"/>
  <c r="J7105" i="3"/>
  <c r="H4750" i="3"/>
  <c r="J4750" i="3"/>
  <c r="I4750" i="3"/>
  <c r="H4693" i="3"/>
  <c r="I4693" i="3"/>
  <c r="J4693" i="3"/>
  <c r="H6492" i="3"/>
  <c r="J6492" i="3"/>
  <c r="I6492" i="3"/>
  <c r="J5057" i="3"/>
  <c r="I5057" i="3"/>
  <c r="J6675" i="3"/>
  <c r="I6675" i="3"/>
  <c r="H6675" i="3"/>
  <c r="I4754" i="3"/>
  <c r="H4754" i="3"/>
  <c r="H7240" i="3"/>
  <c r="J7240" i="3"/>
  <c r="I7240" i="3"/>
  <c r="J5066" i="3"/>
  <c r="I5066" i="3"/>
  <c r="H5066" i="3"/>
  <c r="H6680" i="3"/>
  <c r="J6680" i="3"/>
  <c r="I6680" i="3"/>
  <c r="I6862" i="3"/>
  <c r="H6862" i="3"/>
  <c r="I7497" i="3"/>
  <c r="H7497" i="3"/>
  <c r="J7497" i="3"/>
  <c r="I7679" i="3"/>
  <c r="J7679" i="3"/>
  <c r="H5033" i="3"/>
  <c r="I5033" i="3"/>
  <c r="J5033" i="3"/>
  <c r="J6474" i="3"/>
  <c r="I6474" i="3"/>
  <c r="H6474" i="3"/>
  <c r="I7156" i="3"/>
  <c r="H7156" i="3"/>
  <c r="J7156" i="3"/>
  <c r="J4958" i="3"/>
  <c r="H4958" i="3"/>
  <c r="I4958" i="3"/>
  <c r="I6759" i="3"/>
  <c r="J6759" i="3"/>
  <c r="H6759" i="3"/>
  <c r="J7136" i="3"/>
  <c r="I7136" i="3"/>
  <c r="H7136" i="3"/>
  <c r="H6771" i="3"/>
  <c r="I6771" i="3"/>
  <c r="I6379" i="3"/>
  <c r="J6379" i="3"/>
  <c r="H6379" i="3"/>
  <c r="H6508" i="3"/>
  <c r="I6508" i="3"/>
  <c r="I4702" i="3"/>
  <c r="H4702" i="3"/>
  <c r="I5072" i="3"/>
  <c r="H5072" i="3"/>
  <c r="J5072" i="3"/>
  <c r="H6836" i="3"/>
  <c r="J6836" i="3"/>
  <c r="I6836" i="3"/>
  <c r="J5067" i="3"/>
  <c r="I5067" i="3"/>
  <c r="H5032" i="3"/>
  <c r="I5032" i="3"/>
  <c r="J5032" i="3"/>
  <c r="I6673" i="3"/>
  <c r="H6673" i="3"/>
  <c r="J6673" i="3"/>
  <c r="I4803" i="3"/>
  <c r="H7684" i="3"/>
  <c r="I7681" i="3"/>
  <c r="H4794" i="3"/>
  <c r="H6567" i="3"/>
  <c r="H7367" i="3"/>
  <c r="J7367" i="3"/>
  <c r="I7367" i="3"/>
  <c r="I7205" i="3"/>
  <c r="J7205" i="3"/>
  <c r="H7205" i="3"/>
  <c r="J4951" i="3"/>
  <c r="I4951" i="3"/>
  <c r="I7513" i="3"/>
  <c r="I4929" i="3"/>
  <c r="J6845" i="3"/>
  <c r="H7318" i="3"/>
  <c r="J4981" i="3"/>
  <c r="I5007" i="3"/>
  <c r="H6382" i="3"/>
  <c r="J6775" i="3"/>
  <c r="J4695" i="3"/>
  <c r="J4769" i="3"/>
  <c r="I7595" i="3"/>
  <c r="J7485" i="3"/>
  <c r="I4950" i="3"/>
  <c r="I4965" i="3"/>
  <c r="I6850" i="3"/>
  <c r="I7689" i="3"/>
  <c r="J6628" i="3"/>
  <c r="H7592" i="3"/>
  <c r="I6740" i="3"/>
  <c r="H7853" i="3"/>
  <c r="H4864" i="3"/>
  <c r="H5005" i="3"/>
  <c r="H7437" i="3"/>
  <c r="I4957" i="3"/>
  <c r="H4979" i="3"/>
  <c r="H6687" i="3"/>
  <c r="H4815" i="3"/>
  <c r="I7409" i="3"/>
  <c r="J7821" i="3"/>
  <c r="I7207" i="3"/>
  <c r="I6834" i="3"/>
  <c r="J6834" i="3"/>
  <c r="I7284" i="3"/>
  <c r="H7293" i="3"/>
  <c r="J7293" i="3"/>
  <c r="H5029" i="3"/>
  <c r="I5029" i="3"/>
  <c r="J5029" i="3"/>
  <c r="I6394" i="3"/>
  <c r="J6394" i="3"/>
  <c r="J7289" i="3"/>
  <c r="I7289" i="3"/>
  <c r="J7358" i="3"/>
  <c r="I7358" i="3"/>
  <c r="H7358" i="3"/>
  <c r="I5053" i="3"/>
  <c r="J5053" i="3"/>
  <c r="H5053" i="3"/>
  <c r="I7677" i="3"/>
  <c r="J7677" i="3"/>
  <c r="H7677" i="3"/>
  <c r="H7366" i="3"/>
  <c r="J7366" i="3"/>
  <c r="I7366" i="3"/>
  <c r="I7080" i="3"/>
  <c r="H7080" i="3"/>
  <c r="J7080" i="3"/>
  <c r="I4828" i="3"/>
  <c r="J4828" i="3"/>
  <c r="H4828" i="3"/>
  <c r="I7396" i="3"/>
  <c r="H7396" i="3"/>
  <c r="J7396" i="3"/>
  <c r="J5056" i="3"/>
  <c r="H5056" i="3"/>
  <c r="I5056" i="3"/>
  <c r="J4701" i="3"/>
  <c r="I4701" i="3"/>
  <c r="H4701" i="3"/>
  <c r="J7319" i="3"/>
  <c r="H7319" i="3"/>
  <c r="I7319" i="3"/>
  <c r="I5035" i="3"/>
  <c r="H5035" i="3"/>
  <c r="J5035" i="3"/>
  <c r="J4737" i="3"/>
  <c r="H4737" i="3"/>
  <c r="I7451" i="3"/>
  <c r="H7451" i="3"/>
  <c r="J7451" i="3"/>
  <c r="J7704" i="3"/>
  <c r="H7704" i="3"/>
  <c r="I7704" i="3"/>
  <c r="H7740" i="3"/>
  <c r="I7740" i="3"/>
  <c r="J7740" i="3"/>
  <c r="I7613" i="3"/>
  <c r="H7613" i="3"/>
  <c r="J7613" i="3"/>
  <c r="H7355" i="3"/>
  <c r="J7355" i="3"/>
  <c r="I7355" i="3"/>
  <c r="I6563" i="3"/>
  <c r="H6563" i="3"/>
  <c r="J6563" i="3"/>
  <c r="J7095" i="3"/>
  <c r="I7095" i="3"/>
  <c r="H7095" i="3"/>
  <c r="J7439" i="3"/>
  <c r="H7439" i="3"/>
  <c r="I7439" i="3"/>
  <c r="H7376" i="3"/>
  <c r="I7376" i="3"/>
  <c r="J7376" i="3"/>
  <c r="J6658" i="3"/>
  <c r="I6658" i="3"/>
  <c r="H6658" i="3"/>
  <c r="H7406" i="3"/>
  <c r="I7406" i="3"/>
  <c r="I7580" i="3"/>
  <c r="J7580" i="3"/>
  <c r="I5047" i="3"/>
  <c r="J5047" i="3"/>
  <c r="H5047" i="3"/>
  <c r="J6290" i="3"/>
  <c r="I6290" i="3"/>
  <c r="H6290" i="3"/>
  <c r="J7164" i="3"/>
  <c r="I7164" i="3"/>
  <c r="H7164" i="3"/>
  <c r="J7465" i="3"/>
  <c r="H7465" i="3"/>
  <c r="I7465" i="3"/>
  <c r="I7239" i="3"/>
  <c r="H7239" i="3"/>
  <c r="J7239" i="3"/>
  <c r="H6386" i="3"/>
  <c r="J6386" i="3"/>
  <c r="I6386" i="3"/>
  <c r="H7166" i="3"/>
  <c r="I7166" i="3"/>
  <c r="J7166" i="3"/>
  <c r="J7413" i="3"/>
  <c r="H7413" i="3"/>
  <c r="I7413" i="3"/>
  <c r="I6496" i="3"/>
  <c r="H6496" i="3"/>
  <c r="J6496" i="3"/>
  <c r="H4685" i="3"/>
  <c r="J4685" i="3"/>
  <c r="J7372" i="3"/>
  <c r="I7372" i="3"/>
  <c r="I7262" i="3"/>
  <c r="H7262" i="3"/>
  <c r="J7262" i="3"/>
  <c r="J4804" i="3"/>
  <c r="I4804" i="3"/>
  <c r="I7490" i="3"/>
  <c r="J7490" i="3"/>
  <c r="H7490" i="3"/>
  <c r="J5014" i="3"/>
  <c r="I5014" i="3"/>
  <c r="H5014" i="3"/>
  <c r="I4862" i="3"/>
  <c r="J4862" i="3"/>
  <c r="H4862" i="3"/>
  <c r="I7515" i="3"/>
  <c r="H7515" i="3"/>
  <c r="J7515" i="3"/>
  <c r="I4892" i="3"/>
  <c r="H4892" i="3"/>
  <c r="J4892" i="3"/>
  <c r="I7168" i="3"/>
  <c r="J7168" i="3"/>
  <c r="H7168" i="3"/>
  <c r="H7231" i="3"/>
  <c r="J7231" i="3"/>
  <c r="I7231" i="3"/>
  <c r="H5067" i="3"/>
  <c r="H7836" i="3"/>
  <c r="I7836" i="3"/>
  <c r="J7836" i="3"/>
  <c r="H4744" i="3"/>
  <c r="H7513" i="3"/>
  <c r="H7392" i="3"/>
  <c r="J7392" i="3"/>
  <c r="I7392" i="3"/>
  <c r="J7092" i="3"/>
  <c r="H7092" i="3"/>
  <c r="I7092" i="3"/>
  <c r="J7428" i="3"/>
  <c r="H7428" i="3"/>
  <c r="I7428" i="3"/>
  <c r="H7297" i="3"/>
  <c r="J7297" i="3"/>
  <c r="I7297" i="3"/>
  <c r="H4850" i="3"/>
  <c r="J7693" i="3"/>
  <c r="I7735" i="3"/>
  <c r="I6750" i="3"/>
  <c r="J6562" i="3"/>
  <c r="I6681" i="3"/>
  <c r="I6666" i="3"/>
  <c r="J7446" i="3"/>
  <c r="J4950" i="3"/>
  <c r="H7508" i="3"/>
  <c r="I7113" i="3"/>
  <c r="I7401" i="3"/>
  <c r="J7182" i="3"/>
  <c r="I4800" i="3"/>
  <c r="J7394" i="3"/>
  <c r="J7315" i="3"/>
  <c r="J7235" i="3"/>
  <c r="J4963" i="3"/>
  <c r="J5099" i="3"/>
  <c r="J4704" i="3"/>
  <c r="J7585" i="3"/>
  <c r="H5078" i="3"/>
  <c r="J7261" i="3"/>
  <c r="H4936" i="3"/>
  <c r="J6677" i="3"/>
  <c r="J7496" i="3"/>
  <c r="H4708" i="3"/>
  <c r="I7213" i="3"/>
  <c r="J7737" i="3"/>
  <c r="I6388" i="3"/>
  <c r="I5078" i="3"/>
  <c r="J4842" i="3"/>
  <c r="J4838" i="3"/>
  <c r="I4838" i="3"/>
  <c r="H4838" i="3"/>
  <c r="J7744" i="3"/>
  <c r="H7744" i="3"/>
  <c r="I7744" i="3"/>
  <c r="H6493" i="3"/>
  <c r="I6493" i="3"/>
  <c r="J6493" i="3"/>
  <c r="I7252" i="3"/>
  <c r="J7252" i="3"/>
  <c r="H7142" i="3"/>
  <c r="J7142" i="3"/>
  <c r="I7142" i="3"/>
  <c r="I5018" i="3"/>
  <c r="J5018" i="3"/>
  <c r="I7236" i="3"/>
  <c r="J7236" i="3"/>
  <c r="H7236" i="3"/>
  <c r="J7255" i="3"/>
  <c r="I7255" i="3"/>
  <c r="H7255" i="3"/>
  <c r="H4739" i="3"/>
  <c r="J4739" i="3"/>
  <c r="I4739" i="3"/>
  <c r="I4835" i="3"/>
  <c r="H4835" i="3"/>
  <c r="J4835" i="3"/>
  <c r="I7378" i="3"/>
  <c r="J7378" i="3"/>
  <c r="H7378" i="3"/>
  <c r="J7256" i="3"/>
  <c r="I7256" i="3"/>
  <c r="H7256" i="3"/>
  <c r="H4920" i="3"/>
  <c r="J4920" i="3"/>
  <c r="I4920" i="3"/>
  <c r="H7340" i="3"/>
  <c r="I7340" i="3"/>
  <c r="J7340" i="3"/>
  <c r="I4944" i="3"/>
  <c r="H4944" i="3"/>
  <c r="J4944" i="3"/>
  <c r="J7391" i="3"/>
  <c r="H7391" i="3"/>
  <c r="I7391" i="3"/>
  <c r="I7346" i="3"/>
  <c r="J7346" i="3"/>
  <c r="J7614" i="3"/>
  <c r="I7614" i="3"/>
  <c r="H7215" i="3"/>
  <c r="I7215" i="3"/>
  <c r="J7215" i="3"/>
  <c r="J7281" i="3"/>
  <c r="H7281" i="3"/>
  <c r="H7397" i="3"/>
  <c r="J7397" i="3"/>
  <c r="I7397" i="3"/>
  <c r="H5080" i="3"/>
  <c r="J5080" i="3"/>
  <c r="I5080" i="3"/>
  <c r="I4807" i="3"/>
  <c r="J4807" i="3"/>
  <c r="H4807" i="3"/>
  <c r="I4985" i="3"/>
  <c r="J4985" i="3"/>
  <c r="H4985" i="3"/>
  <c r="H4952" i="3"/>
  <c r="J4952" i="3"/>
  <c r="I4952" i="3"/>
  <c r="I7488" i="3"/>
  <c r="H7488" i="3"/>
  <c r="J7488" i="3"/>
  <c r="I4915" i="3"/>
  <c r="J4915" i="3"/>
  <c r="H6488" i="3"/>
  <c r="J6488" i="3"/>
  <c r="I6488" i="3"/>
  <c r="J4712" i="3"/>
  <c r="H4712" i="3"/>
  <c r="I4712" i="3"/>
  <c r="H7464" i="3"/>
  <c r="I7464" i="3"/>
  <c r="I7502" i="3"/>
  <c r="J7502" i="3"/>
  <c r="H7502" i="3"/>
  <c r="J5089" i="3"/>
  <c r="I5089" i="3"/>
  <c r="H5089" i="3"/>
  <c r="H4840" i="3"/>
  <c r="J4840" i="3"/>
  <c r="I4840" i="3"/>
  <c r="J7830" i="3"/>
  <c r="H7830" i="3"/>
  <c r="I6395" i="3"/>
  <c r="H6395" i="3"/>
  <c r="J6395" i="3"/>
  <c r="H7217" i="3"/>
  <c r="J7217" i="3"/>
  <c r="I7217" i="3"/>
  <c r="J7602" i="3"/>
  <c r="I7602" i="3"/>
  <c r="H7602" i="3"/>
  <c r="J7332" i="3"/>
  <c r="I7332" i="3"/>
  <c r="H7332" i="3"/>
  <c r="H5025" i="3"/>
  <c r="I5025" i="3"/>
  <c r="J5025" i="3"/>
  <c r="H4782" i="3"/>
  <c r="I4782" i="3"/>
  <c r="J4782" i="3"/>
  <c r="I4814" i="3"/>
  <c r="J4814" i="3"/>
  <c r="J7612" i="3"/>
  <c r="I7612" i="3"/>
  <c r="H7612" i="3"/>
  <c r="J7624" i="3"/>
  <c r="H7624" i="3"/>
  <c r="I7624" i="3"/>
  <c r="I7455" i="3"/>
  <c r="J4931" i="3"/>
  <c r="H6866" i="3"/>
  <c r="H4898" i="3"/>
  <c r="I4898" i="3"/>
  <c r="J4898" i="3"/>
  <c r="H7697" i="3"/>
  <c r="J7697" i="3"/>
  <c r="I7697" i="3"/>
  <c r="I7286" i="3"/>
  <c r="H7286" i="3"/>
  <c r="J7286" i="3"/>
  <c r="H4984" i="3"/>
  <c r="H5054" i="3"/>
  <c r="J7687" i="3"/>
  <c r="I6751" i="3"/>
  <c r="I4928" i="3"/>
  <c r="I7123" i="3"/>
  <c r="H7324" i="3"/>
  <c r="H7401" i="3"/>
  <c r="I7351" i="3"/>
  <c r="J7576" i="3"/>
  <c r="I7608" i="3"/>
  <c r="H7735" i="3"/>
  <c r="H4963" i="3"/>
  <c r="J6839" i="3"/>
  <c r="H7076" i="3"/>
  <c r="I6586" i="3"/>
  <c r="J7334" i="3"/>
  <c r="H4869" i="3"/>
  <c r="J5100" i="3"/>
  <c r="I6562" i="3"/>
  <c r="H7833" i="3"/>
  <c r="H4836" i="3"/>
  <c r="J7201" i="3"/>
  <c r="H6587" i="3"/>
  <c r="H7365" i="3"/>
  <c r="H6768" i="3"/>
  <c r="H7737" i="3"/>
  <c r="I6687" i="3"/>
  <c r="J7819" i="3"/>
  <c r="J7593" i="3"/>
  <c r="J7437" i="3"/>
  <c r="H6471" i="3"/>
  <c r="I7263" i="3"/>
  <c r="I4864" i="3"/>
  <c r="I4887" i="3"/>
  <c r="H4887" i="3"/>
  <c r="J4887" i="3"/>
  <c r="I7226" i="3"/>
  <c r="H7226" i="3"/>
  <c r="J7226" i="3"/>
  <c r="I4889" i="3"/>
  <c r="H4889" i="3"/>
  <c r="I4728" i="3"/>
  <c r="J4728" i="3"/>
  <c r="H4728" i="3"/>
  <c r="H4720" i="3"/>
  <c r="J4720" i="3"/>
  <c r="I4720" i="3"/>
  <c r="I7812" i="3"/>
  <c r="H7812" i="3"/>
  <c r="J7812" i="3"/>
  <c r="J7597" i="3"/>
  <c r="H7597" i="3"/>
  <c r="I7597" i="3"/>
  <c r="I7265" i="3"/>
  <c r="H7265" i="3"/>
  <c r="J7265" i="3"/>
  <c r="I4808" i="3"/>
  <c r="J4808" i="3"/>
  <c r="H4808" i="3"/>
  <c r="H7202" i="3"/>
  <c r="I7202" i="3"/>
  <c r="J4856" i="3"/>
  <c r="H4856" i="3"/>
  <c r="I4856" i="3"/>
  <c r="H6756" i="3"/>
  <c r="J6756" i="3"/>
  <c r="I6756" i="3"/>
  <c r="H4768" i="3"/>
  <c r="J4768" i="3"/>
  <c r="I4768" i="3"/>
  <c r="H6856" i="3"/>
  <c r="I6856" i="3"/>
  <c r="I7313" i="3"/>
  <c r="H7313" i="3"/>
  <c r="J7313" i="3"/>
  <c r="H4760" i="3"/>
  <c r="J4760" i="3"/>
  <c r="H4967" i="3"/>
  <c r="J4967" i="3"/>
  <c r="I4967" i="3"/>
  <c r="J6652" i="3"/>
  <c r="I6652" i="3"/>
  <c r="H6652" i="3"/>
  <c r="I4816" i="3"/>
  <c r="H4816" i="3"/>
  <c r="J4816" i="3"/>
  <c r="J4991" i="3"/>
  <c r="H4991" i="3"/>
  <c r="I4991" i="3"/>
  <c r="I5062" i="3"/>
  <c r="J5062" i="3"/>
  <c r="J7842" i="3"/>
  <c r="H7842" i="3"/>
  <c r="I7842" i="3"/>
  <c r="H4956" i="3"/>
  <c r="J4956" i="3"/>
  <c r="I4956" i="3"/>
  <c r="H7423" i="3"/>
  <c r="I7423" i="3"/>
  <c r="J7423" i="3"/>
  <c r="J7118" i="3"/>
  <c r="H7118" i="3"/>
  <c r="I7118" i="3"/>
  <c r="H7307" i="3"/>
  <c r="I7307" i="3"/>
  <c r="J7307" i="3"/>
  <c r="H6691" i="3"/>
  <c r="I6691" i="3"/>
  <c r="J6691" i="3"/>
  <c r="H7287" i="3"/>
  <c r="J7287" i="3"/>
  <c r="I7287" i="3"/>
  <c r="J6743" i="3"/>
  <c r="H6743" i="3"/>
  <c r="I6743" i="3"/>
  <c r="H6832" i="3"/>
  <c r="J6832" i="3"/>
  <c r="I6832" i="3"/>
  <c r="I4860" i="3"/>
  <c r="H4860" i="3"/>
  <c r="J4860" i="3"/>
  <c r="I7331" i="3"/>
  <c r="H7331" i="3"/>
  <c r="J7331" i="3"/>
  <c r="I4743" i="3"/>
  <c r="H4743" i="3"/>
  <c r="J4743" i="3"/>
  <c r="J4755" i="3"/>
  <c r="I4755" i="3"/>
  <c r="H4755" i="3"/>
  <c r="I7448" i="3"/>
  <c r="J7448" i="3"/>
  <c r="H7448" i="3"/>
  <c r="J4715" i="3"/>
  <c r="H4715" i="3"/>
  <c r="H7200" i="3"/>
  <c r="J7200" i="3"/>
  <c r="I7200" i="3"/>
  <c r="J6763" i="3"/>
  <c r="I6763" i="3"/>
  <c r="H6763" i="3"/>
  <c r="H4945" i="3"/>
  <c r="J4945" i="3"/>
  <c r="I4945" i="3"/>
  <c r="J7695" i="3"/>
  <c r="I7695" i="3"/>
  <c r="H7695" i="3"/>
  <c r="J7275" i="3"/>
  <c r="H7275" i="3"/>
  <c r="I7275" i="3"/>
  <c r="H7167" i="3"/>
  <c r="I7167" i="3"/>
  <c r="J7267" i="3"/>
  <c r="I7267" i="3"/>
  <c r="H7267" i="3"/>
  <c r="H7274" i="3"/>
  <c r="J7274" i="3"/>
  <c r="I7274" i="3"/>
  <c r="J4899" i="3"/>
  <c r="I4899" i="3"/>
  <c r="H4899" i="3"/>
  <c r="J6565" i="3"/>
  <c r="H6565" i="3"/>
  <c r="I6565" i="3"/>
  <c r="H6582" i="3"/>
  <c r="I6582" i="3"/>
  <c r="J6861" i="3"/>
  <c r="J4841" i="3"/>
  <c r="H4841" i="3"/>
  <c r="H4964" i="3"/>
  <c r="I4964" i="3"/>
  <c r="J4964" i="3"/>
  <c r="H6772" i="3"/>
  <c r="I6772" i="3"/>
  <c r="J6772" i="3"/>
  <c r="J7253" i="3"/>
  <c r="I7253" i="3"/>
  <c r="H7253" i="3"/>
  <c r="J7238" i="3"/>
  <c r="I7238" i="3"/>
  <c r="H7238" i="3"/>
  <c r="H7438" i="3"/>
  <c r="J5054" i="3"/>
  <c r="I6380" i="3"/>
  <c r="I4981" i="3"/>
  <c r="I4845" i="3"/>
  <c r="I7472" i="3"/>
  <c r="I6683" i="3"/>
  <c r="I4926" i="3"/>
  <c r="J4726" i="3"/>
  <c r="H6661" i="3"/>
  <c r="J6738" i="3"/>
  <c r="I7508" i="3"/>
  <c r="J7104" i="3"/>
  <c r="J6274" i="3"/>
  <c r="H7351" i="3"/>
  <c r="H7689" i="3"/>
  <c r="I7829" i="3"/>
  <c r="J6471" i="3"/>
  <c r="I7370" i="3"/>
  <c r="H4821" i="3"/>
  <c r="I4946" i="3"/>
  <c r="I7433" i="3"/>
  <c r="H7489" i="3"/>
  <c r="I7823" i="3"/>
  <c r="I7489" i="3"/>
  <c r="I5005" i="3"/>
  <c r="I4841" i="3"/>
  <c r="H6387" i="3"/>
  <c r="H7384" i="3"/>
  <c r="J7616" i="3"/>
  <c r="H7389" i="3"/>
  <c r="J7365" i="3"/>
  <c r="I7700" i="3"/>
  <c r="H4691" i="3"/>
  <c r="J7468" i="3"/>
  <c r="I4849" i="3"/>
  <c r="I4821" i="3"/>
  <c r="J7207" i="3"/>
  <c r="I5040" i="3"/>
  <c r="J7139" i="3"/>
  <c r="J7353" i="3"/>
  <c r="I7353" i="3"/>
  <c r="H7353" i="3"/>
  <c r="H6624" i="3"/>
  <c r="I6624" i="3"/>
  <c r="H6692" i="3"/>
  <c r="I6692" i="3"/>
  <c r="J6692" i="3"/>
  <c r="H7374" i="3"/>
  <c r="I7374" i="3"/>
  <c r="J7374" i="3"/>
  <c r="H4837" i="3"/>
  <c r="I4837" i="3"/>
  <c r="J4837" i="3"/>
  <c r="I7503" i="3"/>
  <c r="J7503" i="3"/>
  <c r="H7503" i="3"/>
  <c r="J4711" i="3"/>
  <c r="H4711" i="3"/>
  <c r="I4711" i="3"/>
  <c r="I4761" i="3"/>
  <c r="H4761" i="3"/>
  <c r="H5093" i="3"/>
  <c r="I5093" i="3"/>
  <c r="J5052" i="3"/>
  <c r="I5052" i="3"/>
  <c r="H5052" i="3"/>
  <c r="H6650" i="3"/>
  <c r="J6650" i="3"/>
  <c r="I6650" i="3"/>
  <c r="J4699" i="3"/>
  <c r="I4699" i="3"/>
  <c r="J6299" i="3"/>
  <c r="H6299" i="3"/>
  <c r="I6299" i="3"/>
  <c r="H7690" i="3"/>
  <c r="I7690" i="3"/>
  <c r="J7690" i="3"/>
  <c r="J7479" i="3"/>
  <c r="H7479" i="3"/>
  <c r="I7479" i="3"/>
  <c r="J7591" i="3"/>
  <c r="I7591" i="3"/>
  <c r="H7591" i="3"/>
  <c r="H6672" i="3"/>
  <c r="J6672" i="3"/>
  <c r="I6672" i="3"/>
  <c r="J7282" i="3"/>
  <c r="H7282" i="3"/>
  <c r="I7282" i="3"/>
  <c r="H7407" i="3"/>
  <c r="I7407" i="3"/>
  <c r="J7407" i="3"/>
  <c r="H6383" i="3"/>
  <c r="J6383" i="3"/>
  <c r="I6670" i="3"/>
  <c r="J6670" i="3"/>
  <c r="H6670" i="3"/>
  <c r="J7590" i="3"/>
  <c r="H7590" i="3"/>
  <c r="I7590" i="3"/>
  <c r="H7419" i="3"/>
  <c r="J7419" i="3"/>
  <c r="I4749" i="3"/>
  <c r="H4749" i="3"/>
  <c r="J4749" i="3"/>
  <c r="J4874" i="3"/>
  <c r="I4874" i="3"/>
  <c r="H4874" i="3"/>
  <c r="J7195" i="3"/>
  <c r="I7195" i="3"/>
  <c r="H7195" i="3"/>
  <c r="H6665" i="3"/>
  <c r="J6665" i="3"/>
  <c r="I6665" i="3"/>
  <c r="H4703" i="3"/>
  <c r="I4703" i="3"/>
  <c r="J4703" i="3"/>
  <c r="H4912" i="3"/>
  <c r="J4912" i="3"/>
  <c r="I4912" i="3"/>
  <c r="I6776" i="3"/>
  <c r="J6776" i="3"/>
  <c r="H6776" i="3"/>
  <c r="H4690" i="3"/>
  <c r="J4690" i="3"/>
  <c r="I4690" i="3"/>
  <c r="J7149" i="3"/>
  <c r="H7149" i="3"/>
  <c r="I7149" i="3"/>
  <c r="I7686" i="3"/>
  <c r="H7686" i="3"/>
  <c r="J7686" i="3"/>
  <c r="H4763" i="3"/>
  <c r="J4763" i="3"/>
  <c r="I4763" i="3"/>
  <c r="I7604" i="3"/>
  <c r="H7604" i="3"/>
  <c r="J7604" i="3"/>
  <c r="J6770" i="3"/>
  <c r="I6770" i="3"/>
  <c r="H6770" i="3"/>
  <c r="J7617" i="3"/>
  <c r="H7617" i="3"/>
  <c r="I7617" i="3"/>
  <c r="I4719" i="3"/>
  <c r="H4719" i="3"/>
  <c r="J4719" i="3"/>
  <c r="J7077" i="3"/>
  <c r="H7077" i="3"/>
  <c r="I7077" i="3"/>
  <c r="I7304" i="3"/>
  <c r="I7438" i="3"/>
  <c r="J4929" i="3"/>
  <c r="I7229" i="3"/>
  <c r="H6284" i="3"/>
  <c r="H7192" i="3"/>
  <c r="H6782" i="3"/>
  <c r="J7834" i="3"/>
  <c r="I6472" i="3"/>
  <c r="H4695" i="3"/>
  <c r="H7823" i="3"/>
  <c r="J7684" i="3"/>
  <c r="J7595" i="3"/>
  <c r="I6572" i="3"/>
  <c r="H7850" i="3"/>
  <c r="J7279" i="3"/>
  <c r="J7324" i="3"/>
  <c r="I7271" i="3"/>
  <c r="H7342" i="3"/>
  <c r="I4704" i="3"/>
  <c r="J6750" i="3"/>
  <c r="H7271" i="3"/>
  <c r="H7576" i="3"/>
  <c r="J5064" i="3"/>
  <c r="I7342" i="3"/>
  <c r="H4957" i="3"/>
  <c r="H7334" i="3"/>
  <c r="H7081" i="3"/>
  <c r="H7223" i="3"/>
  <c r="I7257" i="3"/>
  <c r="H6653" i="3"/>
  <c r="I7139" i="3"/>
  <c r="H7496" i="3"/>
  <c r="I7235" i="3"/>
  <c r="H7816" i="3"/>
  <c r="J6387" i="3"/>
  <c r="I6487" i="3"/>
  <c r="I7389" i="3"/>
  <c r="H4951" i="3"/>
  <c r="H6564" i="3"/>
  <c r="H7846" i="3"/>
  <c r="I6620" i="3"/>
  <c r="J7335" i="3"/>
  <c r="H6494" i="3"/>
  <c r="J6314" i="3"/>
  <c r="H4955" i="3"/>
  <c r="I7335" i="3"/>
  <c r="H6388" i="3"/>
  <c r="H4849" i="3"/>
  <c r="I4959" i="3"/>
  <c r="H7821" i="3"/>
  <c r="I4725" i="3"/>
  <c r="J4725" i="3"/>
  <c r="H7486" i="3"/>
  <c r="I7486" i="3"/>
  <c r="J7486" i="3"/>
  <c r="H7844" i="3"/>
  <c r="I7844" i="3"/>
  <c r="J7844" i="3"/>
  <c r="J7498" i="3"/>
  <c r="H7498" i="3"/>
  <c r="I7498" i="3"/>
  <c r="H7148" i="3"/>
  <c r="I7148" i="3"/>
  <c r="J7148" i="3"/>
  <c r="I4986" i="3"/>
  <c r="J4986" i="3"/>
  <c r="H4986" i="3"/>
  <c r="I4746" i="3"/>
  <c r="H4746" i="3"/>
  <c r="J4843" i="3"/>
  <c r="I4843" i="3"/>
  <c r="H4843" i="3"/>
  <c r="H6855" i="3"/>
  <c r="J6855" i="3"/>
  <c r="I6855" i="3"/>
  <c r="J6478" i="3"/>
  <c r="I6478" i="3"/>
  <c r="H6478" i="3"/>
  <c r="H4911" i="3"/>
  <c r="J4911" i="3"/>
  <c r="I4911" i="3"/>
  <c r="I6830" i="3"/>
  <c r="H6830" i="3"/>
  <c r="J6830" i="3"/>
  <c r="H7310" i="3"/>
  <c r="I7310" i="3"/>
  <c r="I4831" i="3"/>
  <c r="H4831" i="3"/>
  <c r="J4831" i="3"/>
  <c r="H4833" i="3"/>
  <c r="J4833" i="3"/>
  <c r="H6296" i="3"/>
  <c r="J6296" i="3"/>
  <c r="I6296" i="3"/>
  <c r="H7598" i="3"/>
  <c r="J7598" i="3"/>
  <c r="I7598" i="3"/>
  <c r="I7481" i="3"/>
  <c r="H7481" i="3"/>
  <c r="J7481" i="3"/>
  <c r="H7840" i="3"/>
  <c r="J7840" i="3"/>
  <c r="I7840" i="3"/>
  <c r="H4861" i="3"/>
  <c r="I4861" i="3"/>
  <c r="J4861" i="3"/>
  <c r="J7582" i="3"/>
  <c r="I7582" i="3"/>
  <c r="H7582" i="3"/>
  <c r="H7421" i="3"/>
  <c r="J7421" i="3"/>
  <c r="J4992" i="3"/>
  <c r="I4992" i="3"/>
  <c r="I7141" i="3"/>
  <c r="J7141" i="3"/>
  <c r="H7141" i="3"/>
  <c r="H7416" i="3"/>
  <c r="J7416" i="3"/>
  <c r="I7416" i="3"/>
  <c r="H4976" i="3"/>
  <c r="J4976" i="3"/>
  <c r="I4976" i="3"/>
  <c r="J7385" i="3"/>
  <c r="H7385" i="3"/>
  <c r="I7385" i="3"/>
  <c r="J6561" i="3"/>
  <c r="I6561" i="3"/>
  <c r="J7110" i="3"/>
  <c r="I7110" i="3"/>
  <c r="H7110" i="3"/>
  <c r="J4819" i="3"/>
  <c r="I4819" i="3"/>
  <c r="H4819" i="3"/>
  <c r="I7337" i="3"/>
  <c r="H7337" i="3"/>
  <c r="J7337" i="3"/>
  <c r="I5081" i="3"/>
  <c r="J5081" i="3"/>
  <c r="H5081" i="3"/>
  <c r="H6505" i="3"/>
  <c r="I6505" i="3"/>
  <c r="J6505" i="3"/>
  <c r="J6753" i="3"/>
  <c r="H6753" i="3"/>
  <c r="H7163" i="3"/>
  <c r="I7163" i="3"/>
  <c r="J7163" i="3"/>
  <c r="H7599" i="3"/>
  <c r="J7599" i="3"/>
  <c r="J7153" i="3"/>
  <c r="H7608" i="3"/>
  <c r="I6782" i="3"/>
  <c r="H4871" i="3"/>
  <c r="I4871" i="3"/>
  <c r="J4871" i="3"/>
  <c r="J7584" i="3"/>
  <c r="H7584" i="3"/>
  <c r="I7584" i="3"/>
  <c r="J6479" i="3"/>
  <c r="I6479" i="3"/>
  <c r="H6479" i="3"/>
  <c r="J6284" i="3"/>
  <c r="H7694" i="3"/>
  <c r="J6422" i="3"/>
  <c r="H6861" i="3"/>
  <c r="J7402" i="3"/>
  <c r="I7853" i="3"/>
  <c r="J6666" i="3"/>
  <c r="J6653" i="3"/>
  <c r="J7123" i="3"/>
  <c r="J4790" i="3"/>
  <c r="J4978" i="3"/>
  <c r="I7485" i="3"/>
  <c r="J7184" i="3"/>
  <c r="J4903" i="3"/>
  <c r="H4790" i="3"/>
  <c r="J7743" i="3"/>
  <c r="J6582" i="3"/>
  <c r="H4825" i="3"/>
  <c r="J5090" i="3"/>
  <c r="J4946" i="3"/>
  <c r="I6510" i="3"/>
  <c r="I6567" i="3"/>
  <c r="H5007" i="3"/>
  <c r="I5100" i="3"/>
  <c r="I7361" i="3"/>
  <c r="H7699" i="3"/>
  <c r="H6405" i="3"/>
  <c r="J7505" i="3"/>
  <c r="H4726" i="3"/>
  <c r="J6768" i="3"/>
  <c r="H4857" i="3"/>
  <c r="H7409" i="3"/>
  <c r="H4842" i="3"/>
  <c r="I4917" i="3"/>
  <c r="J4917" i="3"/>
  <c r="H4917" i="3"/>
  <c r="H7078" i="3"/>
  <c r="J7078" i="3"/>
  <c r="I7078" i="3"/>
  <c r="H7232" i="3"/>
  <c r="J7232" i="3"/>
  <c r="I7082" i="3"/>
  <c r="H7082" i="3"/>
  <c r="H6415" i="3"/>
  <c r="J6415" i="3"/>
  <c r="I6415" i="3"/>
  <c r="J6512" i="3"/>
  <c r="I6512" i="3"/>
  <c r="H6512" i="3"/>
  <c r="I5058" i="3"/>
  <c r="H5058" i="3"/>
  <c r="H7680" i="3"/>
  <c r="I7680" i="3"/>
  <c r="J7680" i="3"/>
  <c r="J7273" i="3"/>
  <c r="I7273" i="3"/>
  <c r="H7273" i="3"/>
  <c r="H4829" i="3"/>
  <c r="I4829" i="3"/>
  <c r="J4829" i="3"/>
  <c r="J7605" i="3"/>
  <c r="I7605" i="3"/>
  <c r="H7605" i="3"/>
  <c r="J6837" i="3"/>
  <c r="I6837" i="3"/>
  <c r="J7209" i="3"/>
  <c r="H7209" i="3"/>
  <c r="I7209" i="3"/>
  <c r="J4772" i="3"/>
  <c r="I4772" i="3"/>
  <c r="H4772" i="3"/>
  <c r="H4736" i="3"/>
  <c r="J4736" i="3"/>
  <c r="J4733" i="3"/>
  <c r="H4733" i="3"/>
  <c r="I7831" i="3"/>
  <c r="H7831" i="3"/>
  <c r="J7831" i="3"/>
  <c r="H6766" i="3"/>
  <c r="J6766" i="3"/>
  <c r="I6766" i="3"/>
  <c r="H7745" i="3"/>
  <c r="J7745" i="3"/>
  <c r="I7745" i="3"/>
  <c r="H7814" i="3"/>
  <c r="I7814" i="3"/>
  <c r="J7814" i="3"/>
  <c r="I7383" i="3"/>
  <c r="J7383" i="3"/>
  <c r="H7383" i="3"/>
  <c r="H7165" i="3"/>
  <c r="I7165" i="3"/>
  <c r="J6864" i="3"/>
  <c r="I6864" i="3"/>
  <c r="H6864" i="3"/>
  <c r="I6570" i="3"/>
  <c r="H6570" i="3"/>
  <c r="J6570" i="3"/>
  <c r="J7121" i="3"/>
  <c r="H7121" i="3"/>
  <c r="I7121" i="3"/>
  <c r="I6668" i="3"/>
  <c r="H6668" i="3"/>
  <c r="J6668" i="3"/>
  <c r="J7380" i="3"/>
  <c r="H7380" i="3"/>
  <c r="I7380" i="3"/>
  <c r="J4771" i="3"/>
  <c r="H4771" i="3"/>
  <c r="I4771" i="3"/>
  <c r="J6765" i="3"/>
  <c r="I6765" i="3"/>
  <c r="H6765" i="3"/>
  <c r="H7494" i="3"/>
  <c r="I7494" i="3"/>
  <c r="J7494" i="3"/>
  <c r="J7190" i="3"/>
  <c r="H7190" i="3"/>
  <c r="I7190" i="3"/>
  <c r="J7343" i="3"/>
  <c r="I7343" i="3"/>
  <c r="H7343" i="3"/>
  <c r="H7441" i="3"/>
  <c r="J7441" i="3"/>
  <c r="I5023" i="3"/>
  <c r="H5023" i="3"/>
  <c r="J5023" i="3"/>
  <c r="J7523" i="3"/>
  <c r="H7523" i="3"/>
  <c r="I7523" i="3"/>
  <c r="J6584" i="3"/>
  <c r="H6584" i="3"/>
  <c r="I6584" i="3"/>
  <c r="J6277" i="3"/>
  <c r="I6277" i="3"/>
  <c r="H6277" i="3"/>
  <c r="J4971" i="3"/>
  <c r="H4971" i="3"/>
  <c r="I4971" i="3"/>
  <c r="H7302" i="3"/>
  <c r="J7302" i="3"/>
  <c r="I7302" i="3"/>
  <c r="I4783" i="3"/>
  <c r="J4783" i="3"/>
  <c r="H4783" i="3"/>
  <c r="J7603" i="3"/>
  <c r="H7603" i="3"/>
  <c r="I7603" i="3"/>
  <c r="H7261" i="3"/>
  <c r="I4708" i="3"/>
  <c r="H7115" i="3"/>
  <c r="I4934" i="3"/>
  <c r="J7818" i="3"/>
  <c r="J7263" i="3"/>
  <c r="H7616" i="3"/>
  <c r="H4933" i="3"/>
  <c r="I4933" i="3"/>
  <c r="J4933" i="3"/>
  <c r="I6851" i="3"/>
  <c r="J6851" i="3"/>
  <c r="H6851" i="3"/>
  <c r="H5060" i="3"/>
  <c r="I5060" i="3"/>
  <c r="H5077" i="3"/>
  <c r="J5077" i="3"/>
  <c r="I5077" i="3"/>
  <c r="H6686" i="3"/>
  <c r="I6686" i="3"/>
  <c r="J6686" i="3"/>
  <c r="J4878" i="3"/>
  <c r="H4878" i="3"/>
  <c r="I4878" i="3"/>
  <c r="H6744" i="3"/>
  <c r="I6744" i="3"/>
  <c r="J6744" i="3"/>
  <c r="H7304" i="3"/>
  <c r="I7687" i="3"/>
  <c r="J7115" i="3"/>
  <c r="I6684" i="3"/>
  <c r="I4984" i="3"/>
  <c r="H6681" i="3"/>
  <c r="I6382" i="3"/>
  <c r="H7505" i="3"/>
  <c r="I6775" i="3"/>
  <c r="I6661" i="3"/>
  <c r="I7295" i="3"/>
  <c r="H7182" i="3"/>
  <c r="H6274" i="3"/>
  <c r="H7394" i="3"/>
  <c r="H7279" i="3"/>
  <c r="H7153" i="3"/>
  <c r="I4947" i="3"/>
  <c r="J4947" i="3"/>
  <c r="J4869" i="3"/>
  <c r="I6578" i="3"/>
  <c r="H5090" i="3"/>
  <c r="H4863" i="3"/>
  <c r="J4863" i="3"/>
  <c r="J6586" i="3"/>
  <c r="J7443" i="3"/>
  <c r="I7422" i="3"/>
  <c r="J7076" i="3"/>
  <c r="I7201" i="3"/>
  <c r="J4955" i="3"/>
  <c r="J7736" i="3"/>
  <c r="H4814" i="3"/>
  <c r="J7688" i="3"/>
  <c r="H7688" i="3"/>
  <c r="I7688" i="3"/>
  <c r="J7398" i="3"/>
  <c r="H7398" i="3"/>
  <c r="I7398" i="3"/>
  <c r="J5094" i="3"/>
  <c r="I5094" i="3"/>
  <c r="H5094" i="3"/>
  <c r="I6627" i="3"/>
  <c r="J6627" i="3"/>
  <c r="H6627" i="3"/>
  <c r="H7155" i="3"/>
  <c r="J7155" i="3"/>
  <c r="I7155" i="3"/>
  <c r="H7225" i="3"/>
  <c r="I7225" i="3"/>
  <c r="J7225" i="3"/>
  <c r="J4983" i="3"/>
  <c r="I4983" i="3"/>
  <c r="H4983" i="3"/>
  <c r="I5086" i="3"/>
  <c r="J5086" i="3"/>
  <c r="I7388" i="3"/>
  <c r="H7388" i="3"/>
  <c r="J7388" i="3"/>
  <c r="J5075" i="3"/>
  <c r="I5075" i="3"/>
  <c r="H5075" i="3"/>
  <c r="J7098" i="3"/>
  <c r="H7098" i="3"/>
  <c r="I7098" i="3"/>
  <c r="I7208" i="3"/>
  <c r="H7208" i="3"/>
  <c r="H6305" i="3"/>
  <c r="I6305" i="3"/>
  <c r="J6305" i="3"/>
  <c r="J6473" i="3"/>
  <c r="H6473" i="3"/>
  <c r="I7117" i="3"/>
  <c r="J7117" i="3"/>
  <c r="J7461" i="3"/>
  <c r="H7461" i="3"/>
  <c r="I7461" i="3"/>
  <c r="I6482" i="3"/>
  <c r="H6482" i="3"/>
  <c r="J6482" i="3"/>
  <c r="J7623" i="3"/>
  <c r="I7623" i="3"/>
  <c r="H7623" i="3"/>
  <c r="I4881" i="3"/>
  <c r="J4881" i="3"/>
  <c r="H4881" i="3"/>
  <c r="H6580" i="3"/>
  <c r="I6580" i="3"/>
  <c r="J6580" i="3"/>
  <c r="J6777" i="3"/>
  <c r="H6777" i="3"/>
  <c r="I6777" i="3"/>
  <c r="I7357" i="3"/>
  <c r="H7357" i="3"/>
  <c r="J7357" i="3"/>
  <c r="J6754" i="3"/>
  <c r="I6754" i="3"/>
  <c r="H6754" i="3"/>
  <c r="J6773" i="3"/>
  <c r="I6773" i="3"/>
  <c r="H6773" i="3"/>
  <c r="H5102" i="3"/>
  <c r="J5102" i="3"/>
  <c r="I5102" i="3"/>
  <c r="I6416" i="3"/>
  <c r="J6416" i="3"/>
  <c r="I5055" i="3"/>
  <c r="H5055" i="3"/>
  <c r="J5055" i="3"/>
  <c r="H5016" i="3"/>
  <c r="I5016" i="3"/>
  <c r="J5016" i="3"/>
  <c r="I7589" i="3"/>
  <c r="J7589" i="3"/>
  <c r="H7589" i="3"/>
  <c r="J6412" i="3"/>
  <c r="I6412" i="3"/>
  <c r="J5084" i="3"/>
  <c r="I5084" i="3"/>
  <c r="I7147" i="3"/>
  <c r="J7147" i="3"/>
  <c r="J4908" i="3"/>
  <c r="I4908" i="3"/>
  <c r="H4908" i="3"/>
  <c r="H7386" i="3"/>
  <c r="J7386" i="3"/>
  <c r="I7386" i="3"/>
  <c r="I7363" i="3"/>
  <c r="H7363" i="3"/>
  <c r="J7363" i="3"/>
  <c r="I7504" i="3"/>
  <c r="J7504" i="3"/>
  <c r="H7504" i="3"/>
  <c r="J7306" i="3"/>
  <c r="H7306" i="3"/>
  <c r="I7306" i="3"/>
  <c r="J7333" i="3"/>
  <c r="I7333" i="3"/>
  <c r="H6278" i="3"/>
  <c r="I6278" i="3"/>
  <c r="J6278" i="3"/>
  <c r="I7408" i="3"/>
  <c r="J7408" i="3"/>
  <c r="H7408" i="3"/>
  <c r="H7843" i="3"/>
  <c r="I7843" i="3"/>
  <c r="H7249" i="3"/>
  <c r="I7249" i="3"/>
  <c r="J7249" i="3"/>
  <c r="H5061" i="3"/>
  <c r="I5061" i="3"/>
  <c r="H7412" i="3"/>
  <c r="J7412" i="3"/>
  <c r="I7412" i="3"/>
  <c r="J7360" i="3"/>
  <c r="H7360" i="3"/>
  <c r="I7360" i="3"/>
  <c r="J4826" i="3"/>
  <c r="H4826" i="3"/>
  <c r="I4826" i="3"/>
  <c r="J6662" i="3"/>
  <c r="I6662" i="3"/>
  <c r="J7579" i="3"/>
  <c r="H7579" i="3"/>
  <c r="I4890" i="3"/>
  <c r="J4890" i="3"/>
  <c r="H4890" i="3"/>
  <c r="J7825" i="3"/>
  <c r="I7825" i="3"/>
  <c r="H7447" i="3"/>
  <c r="I7447" i="3"/>
  <c r="B10" i="10"/>
  <c r="A11" i="10" s="1" a="1"/>
  <c r="A11" i="10" s="1"/>
  <c r="B11" i="10" s="1" a="1"/>
  <c r="B11" i="10" s="1"/>
  <c r="A12" i="10" s="1" a="1"/>
  <c r="A12" i="10" s="1"/>
  <c r="B12" i="10" s="1" a="1"/>
  <c r="B12" i="10" s="1"/>
  <c r="A13" i="10" s="1" a="1"/>
  <c r="A13" i="10" s="1"/>
  <c r="B13" i="10" s="1" a="1"/>
  <c r="B13" i="10" s="1"/>
  <c r="A14" i="10" s="1" a="1"/>
  <c r="A14" i="10" s="1"/>
  <c r="B14" i="10" s="1" a="1"/>
  <c r="B14" i="10" s="1"/>
  <c r="A15" i="10" s="1" a="1"/>
  <c r="A15" i="10" s="1"/>
  <c r="B15" i="10" s="1" a="1"/>
  <c r="B15" i="10" s="1"/>
  <c r="A16" i="10" s="1" a="1"/>
  <c r="A16" i="10" s="1"/>
  <c r="B16" i="10" s="1" a="1"/>
  <c r="B16" i="10" s="1"/>
  <c r="A17" i="10" s="1" a="1"/>
  <c r="A17" i="10" s="1"/>
  <c r="B17" i="10" s="1" a="1"/>
  <c r="B17" i="10" s="1"/>
  <c r="A18" i="10" s="1" a="1"/>
  <c r="A18" i="10" s="1"/>
  <c r="B18" i="10" s="1" a="1"/>
  <c r="B18" i="10" s="1"/>
  <c r="A19" i="10" s="1" a="1"/>
  <c r="A19" i="10" s="1"/>
  <c r="B19" i="10" s="1" a="1"/>
  <c r="B19" i="10" s="1"/>
  <c r="A20" i="10" s="1" a="1"/>
  <c r="A20" i="10" s="1"/>
  <c r="B20" i="10" s="1" a="1"/>
  <c r="B20" i="10" s="1"/>
  <c r="A21" i="10" s="1" a="1"/>
  <c r="A21" i="10" s="1"/>
  <c r="B21" i="10" s="1" a="1"/>
  <c r="B21" i="10" s="1"/>
  <c r="A22" i="10" s="1" a="1"/>
  <c r="A22" i="10" s="1"/>
  <c r="B22" i="10" s="1" a="1"/>
  <c r="B22" i="10" s="1"/>
  <c r="J8533" i="3"/>
  <c r="B27" i="102"/>
  <c r="C24" i="117"/>
  <c r="B33" i="195" s="1"/>
  <c r="D3866" i="3"/>
  <c r="D3221" i="3"/>
  <c r="D3191" i="3"/>
  <c r="D3236" i="3"/>
  <c r="D3206" i="3"/>
  <c r="D3101" i="3"/>
  <c r="H3101" i="3" s="1"/>
  <c r="D3026" i="3"/>
  <c r="J3026" i="3" s="1"/>
  <c r="D3116" i="3"/>
  <c r="D3041" i="3"/>
  <c r="H3041" i="3" s="1"/>
  <c r="D3056" i="3"/>
  <c r="H3056" i="3" s="1"/>
  <c r="D2936" i="3"/>
  <c r="D2089" i="3"/>
  <c r="D2074" i="3"/>
  <c r="D2044" i="3"/>
  <c r="D2059" i="3"/>
  <c r="C27" i="102"/>
  <c r="C35" i="117" s="1"/>
  <c r="C6" i="117"/>
  <c r="D3851" i="3"/>
  <c r="H3851" i="3" s="1"/>
  <c r="C7" i="117"/>
  <c r="B37" i="78" s="1"/>
  <c r="C9" i="117"/>
  <c r="H3071" i="3"/>
  <c r="H3881" i="3"/>
  <c r="D2933" i="3"/>
  <c r="J2933" i="3" s="1"/>
  <c r="F6" i="19"/>
  <c r="D2931" i="3"/>
  <c r="J2931" i="3" s="1"/>
  <c r="D2929" i="3"/>
  <c r="J2929" i="3" s="1"/>
  <c r="D2930" i="3"/>
  <c r="J2930" i="3" s="1"/>
  <c r="D2932" i="3"/>
  <c r="J2932" i="3" s="1"/>
  <c r="D4286" i="3" a="1"/>
  <c r="D4271" i="3" a="1"/>
  <c r="I2936" i="3"/>
  <c r="C21" i="77" l="1"/>
  <c r="C24" i="77" s="1"/>
  <c r="C15" i="77"/>
  <c r="B21" i="77"/>
  <c r="B24" i="77" s="1"/>
  <c r="D9609" i="3"/>
  <c r="J3056" i="3"/>
  <c r="I3056" i="3"/>
  <c r="D4286" i="3"/>
  <c r="D4271" i="3"/>
  <c r="J3866" i="3"/>
  <c r="C34" i="117"/>
  <c r="D33" i="195"/>
  <c r="E33" i="195"/>
  <c r="G33" i="195" s="1"/>
  <c r="J3851" i="3"/>
  <c r="J3328" i="3"/>
  <c r="I3328" i="3"/>
  <c r="H3328" i="3"/>
  <c r="H3276" i="3"/>
  <c r="I3276" i="3"/>
  <c r="J3276" i="3"/>
  <c r="J3165" i="3"/>
  <c r="H3165" i="3"/>
  <c r="I3165" i="3"/>
  <c r="I4035" i="3"/>
  <c r="J4035" i="3"/>
  <c r="H4035" i="3"/>
  <c r="I3703" i="3"/>
  <c r="J3703" i="3"/>
  <c r="H3703" i="3"/>
  <c r="J3920" i="3"/>
  <c r="H3920" i="3"/>
  <c r="I3920" i="3"/>
  <c r="I3274" i="3"/>
  <c r="H3274" i="3"/>
  <c r="J3274" i="3"/>
  <c r="I4033" i="3"/>
  <c r="H4033" i="3"/>
  <c r="J4033" i="3"/>
  <c r="H4424" i="3"/>
  <c r="J4424" i="3"/>
  <c r="I4424" i="3"/>
  <c r="J3009" i="3"/>
  <c r="I3009" i="3"/>
  <c r="H3009" i="3"/>
  <c r="I4025" i="3"/>
  <c r="J4025" i="3"/>
  <c r="H4025" i="3"/>
  <c r="J3918" i="3"/>
  <c r="H3918" i="3"/>
  <c r="I3918" i="3"/>
  <c r="I3699" i="3"/>
  <c r="J3699" i="3"/>
  <c r="H3699" i="3"/>
  <c r="J3682" i="3"/>
  <c r="I3682" i="3"/>
  <c r="H3682" i="3"/>
  <c r="J3289" i="3"/>
  <c r="I3289" i="3"/>
  <c r="H3289" i="3"/>
  <c r="J3287" i="3"/>
  <c r="I3287" i="3"/>
  <c r="H3287" i="3"/>
  <c r="J4423" i="3"/>
  <c r="I4423" i="3"/>
  <c r="H4423" i="3"/>
  <c r="J3206" i="3"/>
  <c r="H4210" i="3"/>
  <c r="J4210" i="3"/>
  <c r="I4210" i="3"/>
  <c r="I4208" i="3"/>
  <c r="J4208" i="3"/>
  <c r="H4208" i="3"/>
  <c r="I4206" i="3"/>
  <c r="H4206" i="3"/>
  <c r="J4206" i="3"/>
  <c r="J3588" i="3"/>
  <c r="H3588" i="3"/>
  <c r="I3588" i="3"/>
  <c r="J3586" i="3"/>
  <c r="I3586" i="3"/>
  <c r="H3586" i="3"/>
  <c r="J3584" i="3"/>
  <c r="H3584" i="3"/>
  <c r="I3584" i="3"/>
  <c r="J2975" i="3"/>
  <c r="H2975" i="3"/>
  <c r="I2975" i="3"/>
  <c r="J3160" i="3"/>
  <c r="I3160" i="3"/>
  <c r="H3160" i="3"/>
  <c r="J3173" i="3"/>
  <c r="H3173" i="3"/>
  <c r="I3173" i="3"/>
  <c r="H4101" i="3"/>
  <c r="I4101" i="3"/>
  <c r="J4101" i="3"/>
  <c r="J4114" i="3"/>
  <c r="H4114" i="3"/>
  <c r="I4114" i="3"/>
  <c r="J3511" i="3"/>
  <c r="I3511" i="3"/>
  <c r="H3511" i="3"/>
  <c r="J3163" i="3"/>
  <c r="H3163" i="3"/>
  <c r="I3163" i="3"/>
  <c r="J3429" i="3"/>
  <c r="I3429" i="3"/>
  <c r="H3429" i="3"/>
  <c r="J3427" i="3"/>
  <c r="I3427" i="3"/>
  <c r="H3427" i="3"/>
  <c r="I3124" i="3"/>
  <c r="J3124" i="3"/>
  <c r="H3124" i="3"/>
  <c r="I3122" i="3"/>
  <c r="J3122" i="3"/>
  <c r="H3122" i="3"/>
  <c r="I3105" i="3"/>
  <c r="H3105" i="3"/>
  <c r="J3105" i="3"/>
  <c r="J3940" i="3"/>
  <c r="I3940" i="3"/>
  <c r="H3940" i="3"/>
  <c r="J3953" i="3"/>
  <c r="H3953" i="3"/>
  <c r="I3953" i="3"/>
  <c r="I3921" i="3"/>
  <c r="J3921" i="3"/>
  <c r="H3921" i="3"/>
  <c r="J3934" i="3"/>
  <c r="I3934" i="3"/>
  <c r="H3934" i="3"/>
  <c r="J3932" i="3"/>
  <c r="I3932" i="3"/>
  <c r="H3932" i="3"/>
  <c r="J3930" i="3"/>
  <c r="I3930" i="3"/>
  <c r="H3930" i="3"/>
  <c r="J3928" i="3"/>
  <c r="I3928" i="3"/>
  <c r="H3928" i="3"/>
  <c r="J3770" i="3"/>
  <c r="I3770" i="3"/>
  <c r="H3770" i="3"/>
  <c r="J3010" i="3"/>
  <c r="H3010" i="3"/>
  <c r="I3010" i="3"/>
  <c r="J3008" i="3"/>
  <c r="H3008" i="3"/>
  <c r="I3008" i="3"/>
  <c r="J3006" i="3"/>
  <c r="I3006" i="3"/>
  <c r="H3006" i="3"/>
  <c r="J3799" i="3"/>
  <c r="I3799" i="3"/>
  <c r="H3799" i="3"/>
  <c r="J3767" i="3"/>
  <c r="H3767" i="3"/>
  <c r="I3767" i="3"/>
  <c r="J3000" i="3"/>
  <c r="H3000" i="3"/>
  <c r="I3000" i="3"/>
  <c r="J3853" i="3"/>
  <c r="I3853" i="3"/>
  <c r="H3853" i="3"/>
  <c r="H3307" i="3"/>
  <c r="I3307" i="3"/>
  <c r="J3307" i="3"/>
  <c r="J3264" i="3"/>
  <c r="H3264" i="3"/>
  <c r="I3264" i="3"/>
  <c r="J3277" i="3"/>
  <c r="I3277" i="3"/>
  <c r="H3277" i="3"/>
  <c r="J4443" i="3"/>
  <c r="H4443" i="3"/>
  <c r="I4443" i="3"/>
  <c r="H4456" i="3"/>
  <c r="I4456" i="3"/>
  <c r="J4456" i="3"/>
  <c r="J4439" i="3"/>
  <c r="I4439" i="3"/>
  <c r="H4439" i="3"/>
  <c r="J4437" i="3"/>
  <c r="H4437" i="3"/>
  <c r="I4437" i="3"/>
  <c r="J3802" i="3"/>
  <c r="I3802" i="3"/>
  <c r="H3802" i="3"/>
  <c r="J4224" i="3"/>
  <c r="I4224" i="3"/>
  <c r="H4224" i="3"/>
  <c r="J4207" i="3"/>
  <c r="H4207" i="3"/>
  <c r="I4207" i="3"/>
  <c r="I3589" i="3"/>
  <c r="J3589" i="3"/>
  <c r="H3589" i="3"/>
  <c r="I3587" i="3"/>
  <c r="J3587" i="3"/>
  <c r="H3587" i="3"/>
  <c r="J3615" i="3"/>
  <c r="I3615" i="3"/>
  <c r="H3615" i="3"/>
  <c r="J3147" i="3"/>
  <c r="I3147" i="3"/>
  <c r="H3147" i="3"/>
  <c r="J4149" i="3"/>
  <c r="H4149" i="3"/>
  <c r="I4149" i="3"/>
  <c r="H4147" i="3"/>
  <c r="J4147" i="3"/>
  <c r="I4147" i="3"/>
  <c r="J3501" i="3"/>
  <c r="H3501" i="3"/>
  <c r="I3501" i="3"/>
  <c r="I3529" i="3"/>
  <c r="H3529" i="3"/>
  <c r="J3529" i="3"/>
  <c r="J3138" i="3"/>
  <c r="H3138" i="3"/>
  <c r="I3138" i="3"/>
  <c r="I3151" i="3"/>
  <c r="H3151" i="3"/>
  <c r="J3151" i="3"/>
  <c r="J4139" i="3"/>
  <c r="H4139" i="3"/>
  <c r="I4139" i="3"/>
  <c r="I4137" i="3"/>
  <c r="H4137" i="3"/>
  <c r="J4137" i="3"/>
  <c r="J3024" i="3"/>
  <c r="H3024" i="3"/>
  <c r="I3024" i="3"/>
  <c r="J2986" i="3"/>
  <c r="H2986" i="3"/>
  <c r="I2986" i="3"/>
  <c r="I3114" i="3"/>
  <c r="J3114" i="3"/>
  <c r="H3114" i="3"/>
  <c r="J4040" i="3"/>
  <c r="H4040" i="3"/>
  <c r="I4040" i="3"/>
  <c r="I4023" i="3"/>
  <c r="J4023" i="3"/>
  <c r="H4023" i="3"/>
  <c r="J4006" i="3"/>
  <c r="I4006" i="3"/>
  <c r="H4006" i="3"/>
  <c r="I3433" i="3"/>
  <c r="J3433" i="3"/>
  <c r="H3433" i="3"/>
  <c r="J2973" i="3"/>
  <c r="H2973" i="3"/>
  <c r="I2973" i="3"/>
  <c r="J3924" i="3"/>
  <c r="I3924" i="3"/>
  <c r="H3924" i="3"/>
  <c r="I3937" i="3"/>
  <c r="J3937" i="3"/>
  <c r="H3937" i="3"/>
  <c r="J3950" i="3"/>
  <c r="I3950" i="3"/>
  <c r="H3950" i="3"/>
  <c r="J3933" i="3"/>
  <c r="I3933" i="3"/>
  <c r="H3933" i="3"/>
  <c r="I3931" i="3"/>
  <c r="J3931" i="3"/>
  <c r="H3931" i="3"/>
  <c r="J3914" i="3"/>
  <c r="I3914" i="3"/>
  <c r="H3914" i="3"/>
  <c r="J3927" i="3"/>
  <c r="I3927" i="3"/>
  <c r="H3927" i="3"/>
  <c r="J3885" i="3"/>
  <c r="H3885" i="3"/>
  <c r="I3885" i="3"/>
  <c r="J3684" i="3"/>
  <c r="I3684" i="3"/>
  <c r="H3684" i="3"/>
  <c r="J3291" i="3"/>
  <c r="I3291" i="3"/>
  <c r="H3291" i="3"/>
  <c r="I4408" i="3"/>
  <c r="H4408" i="3"/>
  <c r="J4408" i="3"/>
  <c r="J3590" i="3"/>
  <c r="I3590" i="3"/>
  <c r="H3590" i="3"/>
  <c r="J3618" i="3"/>
  <c r="I3618" i="3"/>
  <c r="H3618" i="3"/>
  <c r="J3238" i="3"/>
  <c r="H3238" i="3"/>
  <c r="I3238" i="3"/>
  <c r="J3190" i="3"/>
  <c r="I3190" i="3"/>
  <c r="H3190" i="3"/>
  <c r="J3143" i="3"/>
  <c r="H3143" i="3"/>
  <c r="I3143" i="3"/>
  <c r="J4099" i="3"/>
  <c r="I4099" i="3"/>
  <c r="H4099" i="3"/>
  <c r="I3180" i="3"/>
  <c r="J3180" i="3"/>
  <c r="H3180" i="3"/>
  <c r="J3133" i="3"/>
  <c r="I3133" i="3"/>
  <c r="H3133" i="3"/>
  <c r="J3109" i="3"/>
  <c r="I3109" i="3"/>
  <c r="H3109" i="3"/>
  <c r="J3951" i="3"/>
  <c r="H3951" i="3"/>
  <c r="I3951" i="3"/>
  <c r="J2985" i="3"/>
  <c r="H2985" i="3"/>
  <c r="I2985" i="3"/>
  <c r="J3531" i="3"/>
  <c r="H3531" i="3"/>
  <c r="I3531" i="3"/>
  <c r="J3016" i="3"/>
  <c r="H3016" i="3"/>
  <c r="I3016" i="3"/>
  <c r="I4027" i="3"/>
  <c r="J4027" i="3"/>
  <c r="H4027" i="3"/>
  <c r="J2958" i="3"/>
  <c r="J3939" i="3"/>
  <c r="I3939" i="3"/>
  <c r="H3939" i="3"/>
  <c r="J3922" i="3"/>
  <c r="H3922" i="3"/>
  <c r="I3922" i="3"/>
  <c r="J3714" i="3"/>
  <c r="I3714" i="3"/>
  <c r="H3714" i="3"/>
  <c r="I3697" i="3"/>
  <c r="J3697" i="3"/>
  <c r="H3697" i="3"/>
  <c r="J3680" i="3"/>
  <c r="H3680" i="3"/>
  <c r="I3680" i="3"/>
  <c r="J3259" i="3"/>
  <c r="I3259" i="3"/>
  <c r="H3259" i="3"/>
  <c r="J3257" i="3"/>
  <c r="H3257" i="3"/>
  <c r="I3257" i="3"/>
  <c r="J3255" i="3"/>
  <c r="I3255" i="3"/>
  <c r="H3255" i="3"/>
  <c r="J3253" i="3"/>
  <c r="H3253" i="3"/>
  <c r="I3253" i="3"/>
  <c r="H4225" i="3"/>
  <c r="J4225" i="3"/>
  <c r="I4225" i="3"/>
  <c r="J4223" i="3"/>
  <c r="I4223" i="3"/>
  <c r="H4223" i="3"/>
  <c r="H4221" i="3"/>
  <c r="I4221" i="3"/>
  <c r="J4221" i="3"/>
  <c r="J3601" i="3"/>
  <c r="I3601" i="3"/>
  <c r="H3601" i="3"/>
  <c r="J3599" i="3"/>
  <c r="I3599" i="3"/>
  <c r="H3599" i="3"/>
  <c r="J3582" i="3"/>
  <c r="I3582" i="3"/>
  <c r="H3582" i="3"/>
  <c r="H3305" i="3"/>
  <c r="I3305" i="3"/>
  <c r="J3305" i="3"/>
  <c r="I3188" i="3"/>
  <c r="J3188" i="3"/>
  <c r="H3188" i="3"/>
  <c r="J4116" i="3"/>
  <c r="I4116" i="3"/>
  <c r="H4116" i="3"/>
  <c r="J4144" i="3"/>
  <c r="I4144" i="3"/>
  <c r="H4144" i="3"/>
  <c r="J4097" i="3"/>
  <c r="I4097" i="3"/>
  <c r="H4097" i="3"/>
  <c r="J3526" i="3"/>
  <c r="I3526" i="3"/>
  <c r="H3526" i="3"/>
  <c r="J3494" i="3"/>
  <c r="I3494" i="3"/>
  <c r="H3494" i="3"/>
  <c r="I3178" i="3"/>
  <c r="J3178" i="3"/>
  <c r="H3178" i="3"/>
  <c r="J3444" i="3"/>
  <c r="I3444" i="3"/>
  <c r="H3444" i="3"/>
  <c r="J3442" i="3"/>
  <c r="H3442" i="3"/>
  <c r="I3442" i="3"/>
  <c r="J3440" i="3"/>
  <c r="I3440" i="3"/>
  <c r="H3440" i="3"/>
  <c r="J3077" i="3"/>
  <c r="I3077" i="3"/>
  <c r="H3077" i="3"/>
  <c r="H3120" i="3"/>
  <c r="I3120" i="3"/>
  <c r="J3120" i="3"/>
  <c r="I3118" i="3"/>
  <c r="J3118" i="3"/>
  <c r="H3118" i="3"/>
  <c r="J3955" i="3"/>
  <c r="H3955" i="3"/>
  <c r="I3955" i="3"/>
  <c r="J3923" i="3"/>
  <c r="I3923" i="3"/>
  <c r="H3923" i="3"/>
  <c r="J3936" i="3"/>
  <c r="I3936" i="3"/>
  <c r="H3936" i="3"/>
  <c r="I3949" i="3"/>
  <c r="J3949" i="3"/>
  <c r="H3949" i="3"/>
  <c r="I3947" i="3"/>
  <c r="J3947" i="3"/>
  <c r="H3947" i="3"/>
  <c r="I3945" i="3"/>
  <c r="H3945" i="3"/>
  <c r="J3945" i="3"/>
  <c r="I3943" i="3"/>
  <c r="J3943" i="3"/>
  <c r="H3943" i="3"/>
  <c r="I3785" i="3"/>
  <c r="J3785" i="3"/>
  <c r="H3785" i="3"/>
  <c r="J3025" i="3"/>
  <c r="I3025" i="3"/>
  <c r="H3025" i="3"/>
  <c r="I3023" i="3"/>
  <c r="J3023" i="3"/>
  <c r="H3023" i="3"/>
  <c r="J2991" i="3"/>
  <c r="H2991" i="3"/>
  <c r="I2991" i="3"/>
  <c r="J3782" i="3"/>
  <c r="H3782" i="3"/>
  <c r="I3782" i="3"/>
  <c r="J3302" i="3"/>
  <c r="H3302" i="3"/>
  <c r="I3302" i="3"/>
  <c r="J3298" i="3"/>
  <c r="H3298" i="3"/>
  <c r="I3298" i="3"/>
  <c r="I3862" i="3"/>
  <c r="J3862" i="3"/>
  <c r="H3862" i="3"/>
  <c r="J3279" i="3"/>
  <c r="I3279" i="3"/>
  <c r="H3279" i="3"/>
  <c r="H3292" i="3"/>
  <c r="J3292" i="3"/>
  <c r="I3292" i="3"/>
  <c r="I4458" i="3"/>
  <c r="J4458" i="3"/>
  <c r="H4458" i="3"/>
  <c r="I4452" i="3"/>
  <c r="H4452" i="3"/>
  <c r="J4452" i="3"/>
  <c r="I4239" i="3"/>
  <c r="J4239" i="3"/>
  <c r="H4239" i="3"/>
  <c r="J4222" i="3"/>
  <c r="H4222" i="3"/>
  <c r="I4222" i="3"/>
  <c r="J4205" i="3"/>
  <c r="I4205" i="3"/>
  <c r="H4205" i="3"/>
  <c r="J3602" i="3"/>
  <c r="I3602" i="3"/>
  <c r="H3602" i="3"/>
  <c r="I3585" i="3"/>
  <c r="J3585" i="3"/>
  <c r="H3585" i="3"/>
  <c r="I3583" i="3"/>
  <c r="J3583" i="3"/>
  <c r="H3583" i="3"/>
  <c r="J4132" i="3"/>
  <c r="H4132" i="3"/>
  <c r="I4132" i="3"/>
  <c r="J3499" i="3"/>
  <c r="H3499" i="3"/>
  <c r="I3499" i="3"/>
  <c r="J3136" i="3"/>
  <c r="H3136" i="3"/>
  <c r="I3136" i="3"/>
  <c r="J3149" i="3"/>
  <c r="I3149" i="3"/>
  <c r="H3149" i="3"/>
  <c r="J3894" i="3"/>
  <c r="I3894" i="3"/>
  <c r="H3894" i="3"/>
  <c r="J3301" i="3"/>
  <c r="H3301" i="3"/>
  <c r="I3301" i="3"/>
  <c r="J3129" i="3"/>
  <c r="I3129" i="3"/>
  <c r="H3129" i="3"/>
  <c r="J3127" i="3"/>
  <c r="I3127" i="3"/>
  <c r="H3127" i="3"/>
  <c r="J4038" i="3"/>
  <c r="H4038" i="3"/>
  <c r="I4038" i="3"/>
  <c r="J4021" i="3"/>
  <c r="I4021" i="3"/>
  <c r="H4021" i="3"/>
  <c r="I4019" i="3"/>
  <c r="J4019" i="3"/>
  <c r="H4019" i="3"/>
  <c r="J2988" i="3"/>
  <c r="H2988" i="3"/>
  <c r="I2988" i="3"/>
  <c r="J3948" i="3"/>
  <c r="H3948" i="3"/>
  <c r="I3948" i="3"/>
  <c r="J3946" i="3"/>
  <c r="H3946" i="3"/>
  <c r="I3946" i="3"/>
  <c r="I3929" i="3"/>
  <c r="J3929" i="3"/>
  <c r="H3929" i="3"/>
  <c r="J3942" i="3"/>
  <c r="I3942" i="3"/>
  <c r="H3942" i="3"/>
  <c r="A37" i="1"/>
  <c r="J4447" i="3"/>
  <c r="I4447" i="3"/>
  <c r="H4447" i="3"/>
  <c r="I4428" i="3"/>
  <c r="H4428" i="3"/>
  <c r="J4428" i="3"/>
  <c r="I3787" i="3"/>
  <c r="J3787" i="3"/>
  <c r="H3787" i="3"/>
  <c r="J3617" i="3"/>
  <c r="I3617" i="3"/>
  <c r="H3617" i="3"/>
  <c r="J3153" i="3"/>
  <c r="I3153" i="3"/>
  <c r="H3153" i="3"/>
  <c r="J4122" i="3"/>
  <c r="H4122" i="3"/>
  <c r="I4122" i="3"/>
  <c r="J3935" i="3"/>
  <c r="I3935" i="3"/>
  <c r="H3935" i="3"/>
  <c r="H4219" i="3"/>
  <c r="J4219" i="3"/>
  <c r="I4219" i="3"/>
  <c r="J4015" i="3"/>
  <c r="I4015" i="3"/>
  <c r="H4015" i="3"/>
  <c r="J3408" i="3"/>
  <c r="I3408" i="3"/>
  <c r="H3408" i="3"/>
  <c r="J3090" i="3"/>
  <c r="I3090" i="3"/>
  <c r="H3090" i="3"/>
  <c r="J3800" i="3"/>
  <c r="I3800" i="3"/>
  <c r="H3800" i="3"/>
  <c r="J3895" i="3"/>
  <c r="I3895" i="3"/>
  <c r="H3895" i="3"/>
  <c r="J3893" i="3"/>
  <c r="I3893" i="3"/>
  <c r="H3893" i="3"/>
  <c r="I3021" i="3"/>
  <c r="J3021" i="3"/>
  <c r="H3021" i="3"/>
  <c r="J3004" i="3"/>
  <c r="I3004" i="3"/>
  <c r="H3004" i="3"/>
  <c r="I3797" i="3"/>
  <c r="J3797" i="3"/>
  <c r="H3797" i="3"/>
  <c r="J3780" i="3"/>
  <c r="I3780" i="3"/>
  <c r="H3780" i="3"/>
  <c r="J3300" i="3"/>
  <c r="I3300" i="3"/>
  <c r="H3300" i="3"/>
  <c r="J3297" i="3"/>
  <c r="J3685" i="3"/>
  <c r="I3685" i="3"/>
  <c r="H3685" i="3"/>
  <c r="J3294" i="3"/>
  <c r="I3294" i="3"/>
  <c r="H3294" i="3"/>
  <c r="H3262" i="3"/>
  <c r="I3262" i="3"/>
  <c r="J3262" i="3"/>
  <c r="J3275" i="3"/>
  <c r="I3275" i="3"/>
  <c r="H3275" i="3"/>
  <c r="J3273" i="3"/>
  <c r="H3273" i="3"/>
  <c r="I3273" i="3"/>
  <c r="H4426" i="3"/>
  <c r="J4426" i="3"/>
  <c r="I4426" i="3"/>
  <c r="H4454" i="3"/>
  <c r="J4454" i="3"/>
  <c r="I4454" i="3"/>
  <c r="J4407" i="3"/>
  <c r="H4407" i="3"/>
  <c r="I4407" i="3"/>
  <c r="J3781" i="3"/>
  <c r="I3781" i="3"/>
  <c r="H3781" i="3"/>
  <c r="J3204" i="3"/>
  <c r="H3204" i="3"/>
  <c r="I3204" i="3"/>
  <c r="I4237" i="3"/>
  <c r="J4237" i="3"/>
  <c r="H4237" i="3"/>
  <c r="J4203" i="3"/>
  <c r="H4203" i="3"/>
  <c r="I4203" i="3"/>
  <c r="J3600" i="3"/>
  <c r="H3600" i="3"/>
  <c r="I3600" i="3"/>
  <c r="J3598" i="3"/>
  <c r="I3598" i="3"/>
  <c r="H3598" i="3"/>
  <c r="J3794" i="3"/>
  <c r="I3794" i="3"/>
  <c r="H3794" i="3"/>
  <c r="J4104" i="3"/>
  <c r="I4104" i="3"/>
  <c r="H4104" i="3"/>
  <c r="J4130" i="3"/>
  <c r="I4130" i="3"/>
  <c r="H4130" i="3"/>
  <c r="J3514" i="3"/>
  <c r="I3514" i="3"/>
  <c r="H3514" i="3"/>
  <c r="J3527" i="3"/>
  <c r="I3527" i="3"/>
  <c r="H3527" i="3"/>
  <c r="J3166" i="3"/>
  <c r="H3166" i="3"/>
  <c r="I3166" i="3"/>
  <c r="I3134" i="3"/>
  <c r="J3134" i="3"/>
  <c r="H3134" i="3"/>
  <c r="J4092" i="3"/>
  <c r="H4092" i="3"/>
  <c r="I4092" i="3"/>
  <c r="J2949" i="3"/>
  <c r="J3084" i="3"/>
  <c r="H3084" i="3"/>
  <c r="I3084" i="3"/>
  <c r="I3082" i="3"/>
  <c r="J3082" i="3"/>
  <c r="H3082" i="3"/>
  <c r="J3080" i="3"/>
  <c r="I3080" i="3"/>
  <c r="H3080" i="3"/>
  <c r="J4036" i="3"/>
  <c r="I4036" i="3"/>
  <c r="H4036" i="3"/>
  <c r="J4034" i="3"/>
  <c r="I4034" i="3"/>
  <c r="H4034" i="3"/>
  <c r="J3039" i="3"/>
  <c r="I3039" i="3"/>
  <c r="H3039" i="3"/>
  <c r="J3037" i="3"/>
  <c r="I3037" i="3"/>
  <c r="H3037" i="3"/>
  <c r="H3050" i="3"/>
  <c r="I3050" i="3"/>
  <c r="J3050" i="3"/>
  <c r="J3944" i="3"/>
  <c r="H3944" i="3"/>
  <c r="I3944" i="3"/>
  <c r="J3912" i="3"/>
  <c r="I3912" i="3"/>
  <c r="H3912" i="3"/>
  <c r="I3769" i="3"/>
  <c r="J3769" i="3"/>
  <c r="H3769" i="3"/>
  <c r="J3606" i="3"/>
  <c r="H3606" i="3"/>
  <c r="I3606" i="3"/>
  <c r="J3162" i="3"/>
  <c r="H3162" i="3"/>
  <c r="I3162" i="3"/>
  <c r="J3155" i="3"/>
  <c r="I3155" i="3"/>
  <c r="H3155" i="3"/>
  <c r="J2994" i="3"/>
  <c r="H2994" i="3"/>
  <c r="I2994" i="3"/>
  <c r="J2943" i="3"/>
  <c r="J3293" i="3"/>
  <c r="H3293" i="3"/>
  <c r="I3293" i="3"/>
  <c r="I4410" i="3"/>
  <c r="H4410" i="3"/>
  <c r="J4410" i="3"/>
  <c r="J2960" i="3"/>
  <c r="J3919" i="3"/>
  <c r="I3919" i="3"/>
  <c r="H3919" i="3"/>
  <c r="J3304" i="3"/>
  <c r="H3304" i="3"/>
  <c r="I3304" i="3"/>
  <c r="J4445" i="3"/>
  <c r="H4445" i="3"/>
  <c r="I4445" i="3"/>
  <c r="J4209" i="3"/>
  <c r="H4209" i="3"/>
  <c r="I4209" i="3"/>
  <c r="J3619" i="3"/>
  <c r="I3619" i="3"/>
  <c r="H3619" i="3"/>
  <c r="J4134" i="3"/>
  <c r="H4134" i="3"/>
  <c r="I4134" i="3"/>
  <c r="J3181" i="3"/>
  <c r="I3181" i="3"/>
  <c r="H3181" i="3"/>
  <c r="J4008" i="3"/>
  <c r="I4008" i="3"/>
  <c r="H4008" i="3"/>
  <c r="J3435" i="3"/>
  <c r="H3435" i="3"/>
  <c r="I3435" i="3"/>
  <c r="J3418" i="3"/>
  <c r="H3418" i="3"/>
  <c r="I3418" i="3"/>
  <c r="J3916" i="3"/>
  <c r="I3916" i="3"/>
  <c r="H3916" i="3"/>
  <c r="J3712" i="3"/>
  <c r="I3712" i="3"/>
  <c r="H3712" i="3"/>
  <c r="I3695" i="3"/>
  <c r="J3695" i="3"/>
  <c r="H3695" i="3"/>
  <c r="J3272" i="3"/>
  <c r="H3272" i="3"/>
  <c r="I3272" i="3"/>
  <c r="J3270" i="3"/>
  <c r="H3270" i="3"/>
  <c r="I3270" i="3"/>
  <c r="J3220" i="3"/>
  <c r="I3220" i="3"/>
  <c r="H3220" i="3"/>
  <c r="J3614" i="3"/>
  <c r="I3614" i="3"/>
  <c r="H3614" i="3"/>
  <c r="J3597" i="3"/>
  <c r="I3597" i="3"/>
  <c r="H3597" i="3"/>
  <c r="J3504" i="3"/>
  <c r="I3504" i="3"/>
  <c r="H3504" i="3"/>
  <c r="I3158" i="3"/>
  <c r="J3158" i="3"/>
  <c r="H3158" i="3"/>
  <c r="J3141" i="3"/>
  <c r="H3141" i="3"/>
  <c r="I3141" i="3"/>
  <c r="I4129" i="3"/>
  <c r="H4129" i="3"/>
  <c r="J4129" i="3"/>
  <c r="I3148" i="3"/>
  <c r="J3148" i="3"/>
  <c r="H3148" i="3"/>
  <c r="J4465" i="3"/>
  <c r="H4465" i="3"/>
  <c r="I4465" i="3"/>
  <c r="I3693" i="3"/>
  <c r="H3693" i="3"/>
  <c r="J3693" i="3"/>
  <c r="J3519" i="3"/>
  <c r="H3519" i="3"/>
  <c r="I3519" i="3"/>
  <c r="J3171" i="3"/>
  <c r="H3171" i="3"/>
  <c r="I3171" i="3"/>
  <c r="J4112" i="3"/>
  <c r="H4112" i="3"/>
  <c r="I4112" i="3"/>
  <c r="H4095" i="3"/>
  <c r="I4095" i="3"/>
  <c r="J4095" i="3"/>
  <c r="J3524" i="3"/>
  <c r="I3524" i="3"/>
  <c r="H3524" i="3"/>
  <c r="J4030" i="3"/>
  <c r="I4030" i="3"/>
  <c r="H4030" i="3"/>
  <c r="J4028" i="3"/>
  <c r="I4028" i="3"/>
  <c r="H4028" i="3"/>
  <c r="J3425" i="3"/>
  <c r="H3425" i="3"/>
  <c r="I3425" i="3"/>
  <c r="J3423" i="3"/>
  <c r="H3423" i="3"/>
  <c r="I3423" i="3"/>
  <c r="J3406" i="3"/>
  <c r="H3406" i="3"/>
  <c r="I3406" i="3"/>
  <c r="J3075" i="3"/>
  <c r="I3075" i="3"/>
  <c r="H3075" i="3"/>
  <c r="I3073" i="3"/>
  <c r="J3073" i="3"/>
  <c r="H3073" i="3"/>
  <c r="J3040" i="3"/>
  <c r="I3040" i="3"/>
  <c r="H3040" i="3"/>
  <c r="J3053" i="3"/>
  <c r="H3053" i="3"/>
  <c r="I3053" i="3"/>
  <c r="H3066" i="3"/>
  <c r="J3066" i="3"/>
  <c r="I3066" i="3"/>
  <c r="J3064" i="3"/>
  <c r="H3064" i="3"/>
  <c r="I3064" i="3"/>
  <c r="J3032" i="3"/>
  <c r="I3032" i="3"/>
  <c r="H3032" i="3"/>
  <c r="J3030" i="3"/>
  <c r="H3030" i="3"/>
  <c r="I3030" i="3"/>
  <c r="H3028" i="3"/>
  <c r="J3028" i="3"/>
  <c r="I3028" i="3"/>
  <c r="J2948" i="3"/>
  <c r="J3891" i="3"/>
  <c r="H3891" i="3"/>
  <c r="I3891" i="3"/>
  <c r="I3019" i="3"/>
  <c r="H3019" i="3"/>
  <c r="J3019" i="3"/>
  <c r="J3795" i="3"/>
  <c r="H3795" i="3"/>
  <c r="I3795" i="3"/>
  <c r="J3855" i="3"/>
  <c r="I3855" i="3"/>
  <c r="H3855" i="3"/>
  <c r="J3700" i="3"/>
  <c r="I3700" i="3"/>
  <c r="H3700" i="3"/>
  <c r="I3683" i="3"/>
  <c r="J3683" i="3"/>
  <c r="H3683" i="3"/>
  <c r="J3290" i="3"/>
  <c r="I3290" i="3"/>
  <c r="H3290" i="3"/>
  <c r="H3288" i="3"/>
  <c r="I3288" i="3"/>
  <c r="J3288" i="3"/>
  <c r="I3286" i="3"/>
  <c r="J3286" i="3"/>
  <c r="H3286" i="3"/>
  <c r="J4409" i="3"/>
  <c r="H4409" i="3"/>
  <c r="I4409" i="3"/>
  <c r="J3796" i="3"/>
  <c r="I3796" i="3"/>
  <c r="H3796" i="3"/>
  <c r="J3234" i="3"/>
  <c r="H3234" i="3"/>
  <c r="I3234" i="3"/>
  <c r="J4220" i="3"/>
  <c r="H4220" i="3"/>
  <c r="I4220" i="3"/>
  <c r="J4218" i="3"/>
  <c r="I4218" i="3"/>
  <c r="H4218" i="3"/>
  <c r="J4216" i="3"/>
  <c r="I4216" i="3"/>
  <c r="H4216" i="3"/>
  <c r="I3613" i="3"/>
  <c r="J3613" i="3"/>
  <c r="H3613" i="3"/>
  <c r="J3764" i="3"/>
  <c r="I3764" i="3"/>
  <c r="H3764" i="3"/>
  <c r="I3144" i="3"/>
  <c r="J3144" i="3"/>
  <c r="H3144" i="3"/>
  <c r="J4102" i="3"/>
  <c r="I4102" i="3"/>
  <c r="H4102" i="3"/>
  <c r="H4145" i="3"/>
  <c r="J4145" i="3"/>
  <c r="I4145" i="3"/>
  <c r="J3497" i="3"/>
  <c r="H3497" i="3"/>
  <c r="I3497" i="3"/>
  <c r="J3164" i="3"/>
  <c r="H3164" i="3"/>
  <c r="I3164" i="3"/>
  <c r="H3102" i="3"/>
  <c r="I3102" i="3"/>
  <c r="J3102" i="3"/>
  <c r="I3309" i="3"/>
  <c r="J3309" i="3"/>
  <c r="H3309" i="3"/>
  <c r="J3856" i="3"/>
  <c r="I3856" i="3"/>
  <c r="H3856" i="3"/>
  <c r="J3099" i="3"/>
  <c r="I3099" i="3"/>
  <c r="H3099" i="3"/>
  <c r="J3097" i="3"/>
  <c r="I3097" i="3"/>
  <c r="H3097" i="3"/>
  <c r="J3095" i="3"/>
  <c r="H3095" i="3"/>
  <c r="I3095" i="3"/>
  <c r="H3078" i="3"/>
  <c r="J3078" i="3"/>
  <c r="I3078" i="3"/>
  <c r="J4004" i="3"/>
  <c r="I4004" i="3"/>
  <c r="H4004" i="3"/>
  <c r="J4017" i="3"/>
  <c r="H4017" i="3"/>
  <c r="I4017" i="3"/>
  <c r="J3774" i="3"/>
  <c r="I3774" i="3"/>
  <c r="H3774" i="3"/>
  <c r="J3858" i="3"/>
  <c r="I3858" i="3"/>
  <c r="H3858" i="3"/>
  <c r="H3054" i="3"/>
  <c r="J3054" i="3"/>
  <c r="I3054" i="3"/>
  <c r="J3052" i="3"/>
  <c r="H3052" i="3"/>
  <c r="I3052" i="3"/>
  <c r="I3065" i="3"/>
  <c r="J3065" i="3"/>
  <c r="H3065" i="3"/>
  <c r="J3063" i="3"/>
  <c r="I3063" i="3"/>
  <c r="H3063" i="3"/>
  <c r="J3031" i="3"/>
  <c r="I3031" i="3"/>
  <c r="H3031" i="3"/>
  <c r="J3622" i="3"/>
  <c r="I3622" i="3"/>
  <c r="H3622" i="3"/>
  <c r="J3798" i="3"/>
  <c r="H3798" i="3"/>
  <c r="I3798" i="3"/>
  <c r="J4018" i="3"/>
  <c r="H4018" i="3"/>
  <c r="I4018" i="3"/>
  <c r="J2987" i="3"/>
  <c r="H2987" i="3"/>
  <c r="I2987" i="3"/>
  <c r="H4119" i="3"/>
  <c r="J4119" i="3"/>
  <c r="I4119" i="3"/>
  <c r="J3183" i="3"/>
  <c r="I3183" i="3"/>
  <c r="H3183" i="3"/>
  <c r="J2971" i="3"/>
  <c r="H2971" i="3"/>
  <c r="I2971" i="3"/>
  <c r="J4014" i="3"/>
  <c r="H4014" i="3"/>
  <c r="I4014" i="3"/>
  <c r="J4010" i="3"/>
  <c r="I4010" i="3"/>
  <c r="H4010" i="3"/>
  <c r="I3437" i="3"/>
  <c r="H3437" i="3"/>
  <c r="J3437" i="3"/>
  <c r="J3420" i="3"/>
  <c r="I3420" i="3"/>
  <c r="H3420" i="3"/>
  <c r="J3239" i="3"/>
  <c r="I3239" i="3"/>
  <c r="H3239" i="3"/>
  <c r="J3678" i="3"/>
  <c r="H3678" i="3"/>
  <c r="I3678" i="3"/>
  <c r="J2954" i="3"/>
  <c r="J4238" i="3"/>
  <c r="H4238" i="3"/>
  <c r="I4238" i="3"/>
  <c r="J4232" i="3"/>
  <c r="H4232" i="3"/>
  <c r="I4232" i="3"/>
  <c r="J3860" i="3"/>
  <c r="I3860" i="3"/>
  <c r="H3860" i="3"/>
  <c r="J3509" i="3"/>
  <c r="H3509" i="3"/>
  <c r="I3509" i="3"/>
  <c r="J3412" i="3"/>
  <c r="H3412" i="3"/>
  <c r="I3412" i="3"/>
  <c r="J3410" i="3"/>
  <c r="I3410" i="3"/>
  <c r="H3410" i="3"/>
  <c r="J3103" i="3"/>
  <c r="I3103" i="3"/>
  <c r="H3103" i="3"/>
  <c r="J4463" i="3"/>
  <c r="H4463" i="3"/>
  <c r="I4463" i="3"/>
  <c r="J3710" i="3"/>
  <c r="I3710" i="3"/>
  <c r="H3710" i="3"/>
  <c r="J3691" i="3"/>
  <c r="I3691" i="3"/>
  <c r="H3691" i="3"/>
  <c r="J3285" i="3"/>
  <c r="H3285" i="3"/>
  <c r="I3285" i="3"/>
  <c r="H3268" i="3"/>
  <c r="J3268" i="3"/>
  <c r="I3268" i="3"/>
  <c r="J2969" i="3"/>
  <c r="I2969" i="3"/>
  <c r="H2969" i="3"/>
  <c r="J3205" i="3"/>
  <c r="I3205" i="3"/>
  <c r="H3205" i="3"/>
  <c r="J3233" i="3"/>
  <c r="H3233" i="3"/>
  <c r="I3233" i="3"/>
  <c r="J4236" i="3"/>
  <c r="I4236" i="3"/>
  <c r="H4236" i="3"/>
  <c r="H4204" i="3"/>
  <c r="I4204" i="3"/>
  <c r="J4204" i="3"/>
  <c r="J3612" i="3"/>
  <c r="I3612" i="3"/>
  <c r="H3612" i="3"/>
  <c r="H4420" i="3"/>
  <c r="I4420" i="3"/>
  <c r="J4420" i="3"/>
  <c r="H4448" i="3"/>
  <c r="J4448" i="3"/>
  <c r="I4448" i="3"/>
  <c r="J3708" i="3"/>
  <c r="I3708" i="3"/>
  <c r="H3708" i="3"/>
  <c r="J3706" i="3"/>
  <c r="H3706" i="3"/>
  <c r="I3706" i="3"/>
  <c r="J3704" i="3"/>
  <c r="H3704" i="3"/>
  <c r="I3704" i="3"/>
  <c r="J3283" i="3"/>
  <c r="H3283" i="3"/>
  <c r="I3283" i="3"/>
  <c r="J2983" i="3"/>
  <c r="H2983" i="3"/>
  <c r="I2983" i="3"/>
  <c r="J3235" i="3"/>
  <c r="H3235" i="3"/>
  <c r="I3235" i="3"/>
  <c r="J3203" i="3"/>
  <c r="I3203" i="3"/>
  <c r="H3203" i="3"/>
  <c r="J3231" i="3"/>
  <c r="H3231" i="3"/>
  <c r="I3231" i="3"/>
  <c r="J4234" i="3"/>
  <c r="I4234" i="3"/>
  <c r="H4234" i="3"/>
  <c r="I4217" i="3"/>
  <c r="H4217" i="3"/>
  <c r="J4217" i="3"/>
  <c r="J4230" i="3"/>
  <c r="I4230" i="3"/>
  <c r="H4230" i="3"/>
  <c r="J4228" i="3"/>
  <c r="H4228" i="3"/>
  <c r="I4228" i="3"/>
  <c r="H4135" i="3"/>
  <c r="J4135" i="3"/>
  <c r="I4135" i="3"/>
  <c r="J3534" i="3"/>
  <c r="I3534" i="3"/>
  <c r="H3534" i="3"/>
  <c r="J3502" i="3"/>
  <c r="H3502" i="3"/>
  <c r="I3502" i="3"/>
  <c r="I3186" i="3"/>
  <c r="J3186" i="3"/>
  <c r="H3186" i="3"/>
  <c r="J3184" i="3"/>
  <c r="I3184" i="3"/>
  <c r="H3184" i="3"/>
  <c r="J4127" i="3"/>
  <c r="H4127" i="3"/>
  <c r="I4127" i="3"/>
  <c r="J4110" i="3"/>
  <c r="H4110" i="3"/>
  <c r="I4110" i="3"/>
  <c r="J3492" i="3"/>
  <c r="H3492" i="3"/>
  <c r="I3492" i="3"/>
  <c r="I4045" i="3"/>
  <c r="H4045" i="3"/>
  <c r="J4045" i="3"/>
  <c r="I4043" i="3"/>
  <c r="H4043" i="3"/>
  <c r="J4043" i="3"/>
  <c r="I4041" i="3"/>
  <c r="J4041" i="3"/>
  <c r="H4041" i="3"/>
  <c r="J3438" i="3"/>
  <c r="H3438" i="3"/>
  <c r="I3438" i="3"/>
  <c r="J3421" i="3"/>
  <c r="I3421" i="3"/>
  <c r="H3421" i="3"/>
  <c r="I3088" i="3"/>
  <c r="J3088" i="3"/>
  <c r="H3088" i="3"/>
  <c r="J3055" i="3"/>
  <c r="H3055" i="3"/>
  <c r="I3055" i="3"/>
  <c r="J3068" i="3"/>
  <c r="H3068" i="3"/>
  <c r="I3068" i="3"/>
  <c r="J3051" i="3"/>
  <c r="I3051" i="3"/>
  <c r="H3051" i="3"/>
  <c r="H3034" i="3"/>
  <c r="J3034" i="3"/>
  <c r="I3034" i="3"/>
  <c r="I3047" i="3"/>
  <c r="J3047" i="3"/>
  <c r="H3047" i="3"/>
  <c r="I3045" i="3"/>
  <c r="J3045" i="3"/>
  <c r="H3045" i="3"/>
  <c r="J3043" i="3"/>
  <c r="I3043" i="3"/>
  <c r="H3043" i="3"/>
  <c r="J3805" i="3"/>
  <c r="H3805" i="3"/>
  <c r="I3805" i="3"/>
  <c r="J3310" i="3"/>
  <c r="H3310" i="3"/>
  <c r="I3310" i="3"/>
  <c r="J2963" i="3"/>
  <c r="J2946" i="3"/>
  <c r="J3889" i="3"/>
  <c r="I3889" i="3"/>
  <c r="H3889" i="3"/>
  <c r="I3017" i="3"/>
  <c r="J3017" i="3"/>
  <c r="H3017" i="3"/>
  <c r="I3765" i="3"/>
  <c r="J3765" i="3"/>
  <c r="H3765" i="3"/>
  <c r="I3793" i="3"/>
  <c r="H3793" i="3"/>
  <c r="J3793" i="3"/>
  <c r="J2977" i="3"/>
  <c r="H2977" i="3"/>
  <c r="I2977" i="3"/>
  <c r="I3715" i="3"/>
  <c r="J3715" i="3"/>
  <c r="H3715" i="3"/>
  <c r="J3698" i="3"/>
  <c r="I3698" i="3"/>
  <c r="H3698" i="3"/>
  <c r="J3681" i="3"/>
  <c r="I3681" i="3"/>
  <c r="H3681" i="3"/>
  <c r="I3260" i="3"/>
  <c r="J3260" i="3"/>
  <c r="H3260" i="3"/>
  <c r="J3254" i="3"/>
  <c r="I3254" i="3"/>
  <c r="H3254" i="3"/>
  <c r="H4422" i="3"/>
  <c r="I4422" i="3"/>
  <c r="J4422" i="3"/>
  <c r="J3766" i="3"/>
  <c r="I3766" i="3"/>
  <c r="H3766" i="3"/>
  <c r="J3249" i="3"/>
  <c r="I3249" i="3"/>
  <c r="H3249" i="3"/>
  <c r="J3202" i="3"/>
  <c r="I3202" i="3"/>
  <c r="H3202" i="3"/>
  <c r="H4235" i="3"/>
  <c r="I4235" i="3"/>
  <c r="J4235" i="3"/>
  <c r="I4233" i="3"/>
  <c r="H4233" i="3"/>
  <c r="J4233" i="3"/>
  <c r="J4231" i="3"/>
  <c r="H4231" i="3"/>
  <c r="I4231" i="3"/>
  <c r="H4229" i="3"/>
  <c r="J4229" i="3"/>
  <c r="I4229" i="3"/>
  <c r="I3779" i="3"/>
  <c r="J3779" i="3"/>
  <c r="H3779" i="3"/>
  <c r="J3174" i="3"/>
  <c r="H3174" i="3"/>
  <c r="I3174" i="3"/>
  <c r="H4117" i="3"/>
  <c r="I4117" i="3"/>
  <c r="J4117" i="3"/>
  <c r="J4100" i="3"/>
  <c r="I4100" i="3"/>
  <c r="H4100" i="3"/>
  <c r="H4143" i="3"/>
  <c r="I4143" i="3"/>
  <c r="J4143" i="3"/>
  <c r="J3512" i="3"/>
  <c r="I3512" i="3"/>
  <c r="H3512" i="3"/>
  <c r="J3495" i="3"/>
  <c r="H3495" i="3"/>
  <c r="I3495" i="3"/>
  <c r="J3179" i="3"/>
  <c r="I3179" i="3"/>
  <c r="H3179" i="3"/>
  <c r="J3117" i="3"/>
  <c r="I3117" i="3"/>
  <c r="H3117" i="3"/>
  <c r="J3864" i="3"/>
  <c r="I3864" i="3"/>
  <c r="H3864" i="3"/>
  <c r="J3415" i="3"/>
  <c r="H3415" i="3"/>
  <c r="I3415" i="3"/>
  <c r="I3112" i="3"/>
  <c r="J3112" i="3"/>
  <c r="H3112" i="3"/>
  <c r="I3110" i="3"/>
  <c r="J3110" i="3"/>
  <c r="H3110" i="3"/>
  <c r="J3093" i="3"/>
  <c r="I3093" i="3"/>
  <c r="H3093" i="3"/>
  <c r="J3076" i="3"/>
  <c r="H3076" i="3"/>
  <c r="I3076" i="3"/>
  <c r="J4032" i="3"/>
  <c r="I4032" i="3"/>
  <c r="H4032" i="3"/>
  <c r="I3789" i="3"/>
  <c r="H3789" i="3"/>
  <c r="J3789" i="3"/>
  <c r="I3303" i="3"/>
  <c r="J3303" i="3"/>
  <c r="H3303" i="3"/>
  <c r="J3069" i="3"/>
  <c r="I3069" i="3"/>
  <c r="H3069" i="3"/>
  <c r="H3067" i="3"/>
  <c r="J3067" i="3"/>
  <c r="I3067" i="3"/>
  <c r="J3035" i="3"/>
  <c r="I3035" i="3"/>
  <c r="H3035" i="3"/>
  <c r="J3033" i="3"/>
  <c r="I3033" i="3"/>
  <c r="H3033" i="3"/>
  <c r="J3046" i="3"/>
  <c r="H3046" i="3"/>
  <c r="I3046" i="3"/>
  <c r="J3029" i="3"/>
  <c r="I3029" i="3"/>
  <c r="H3029" i="3"/>
  <c r="J4455" i="3"/>
  <c r="H4455" i="3"/>
  <c r="I4455" i="3"/>
  <c r="J3175" i="3"/>
  <c r="H3175" i="3"/>
  <c r="I3175" i="3"/>
  <c r="J3113" i="3"/>
  <c r="I3113" i="3"/>
  <c r="H3113" i="3"/>
  <c r="I3801" i="3"/>
  <c r="J3801" i="3"/>
  <c r="H3801" i="3"/>
  <c r="H4434" i="3"/>
  <c r="I4434" i="3"/>
  <c r="J4434" i="3"/>
  <c r="H4141" i="3"/>
  <c r="J4141" i="3"/>
  <c r="I4141" i="3"/>
  <c r="J3236" i="3"/>
  <c r="H3236" i="3"/>
  <c r="I3236" i="3"/>
  <c r="I3107" i="3"/>
  <c r="H3107" i="3"/>
  <c r="J3107" i="3"/>
  <c r="J3938" i="3"/>
  <c r="I3938" i="3"/>
  <c r="H3938" i="3"/>
  <c r="J2995" i="3"/>
  <c r="I2995" i="3"/>
  <c r="H2995" i="3"/>
  <c r="J3177" i="3"/>
  <c r="I3177" i="3"/>
  <c r="H3177" i="3"/>
  <c r="H4450" i="3"/>
  <c r="J4450" i="3"/>
  <c r="I4450" i="3"/>
  <c r="J3674" i="3"/>
  <c r="I3674" i="3"/>
  <c r="H3674" i="3"/>
  <c r="J3248" i="3"/>
  <c r="I3248" i="3"/>
  <c r="H3248" i="3"/>
  <c r="J3246" i="3"/>
  <c r="I3246" i="3"/>
  <c r="H3246" i="3"/>
  <c r="H3229" i="3"/>
  <c r="J3229" i="3"/>
  <c r="I3229" i="3"/>
  <c r="J4202" i="3"/>
  <c r="H4202" i="3"/>
  <c r="I4202" i="3"/>
  <c r="J4215" i="3"/>
  <c r="H4215" i="3"/>
  <c r="I4215" i="3"/>
  <c r="J3517" i="3"/>
  <c r="I3517" i="3"/>
  <c r="H3517" i="3"/>
  <c r="I3156" i="3"/>
  <c r="J3156" i="3"/>
  <c r="H3156" i="3"/>
  <c r="I3154" i="3"/>
  <c r="J3154" i="3"/>
  <c r="H3154" i="3"/>
  <c r="J4142" i="3"/>
  <c r="H4142" i="3"/>
  <c r="I4142" i="3"/>
  <c r="I4125" i="3"/>
  <c r="H4125" i="3"/>
  <c r="J4125" i="3"/>
  <c r="J3507" i="3"/>
  <c r="H3507" i="3"/>
  <c r="I3507" i="3"/>
  <c r="I4013" i="3"/>
  <c r="J4013" i="3"/>
  <c r="H4013" i="3"/>
  <c r="J4011" i="3"/>
  <c r="I4011" i="3"/>
  <c r="H4011" i="3"/>
  <c r="I4009" i="3"/>
  <c r="J4009" i="3"/>
  <c r="H4009" i="3"/>
  <c r="J3436" i="3"/>
  <c r="I3436" i="3"/>
  <c r="H3436" i="3"/>
  <c r="J3404" i="3"/>
  <c r="I3404" i="3"/>
  <c r="H3404" i="3"/>
  <c r="J3070" i="3"/>
  <c r="H3070" i="3"/>
  <c r="I3070" i="3"/>
  <c r="H3038" i="3"/>
  <c r="J3038" i="3"/>
  <c r="I3038" i="3"/>
  <c r="H3036" i="3"/>
  <c r="J3036" i="3"/>
  <c r="I3036" i="3"/>
  <c r="I3049" i="3"/>
  <c r="H3049" i="3"/>
  <c r="J3049" i="3"/>
  <c r="J3062" i="3"/>
  <c r="H3062" i="3"/>
  <c r="I3062" i="3"/>
  <c r="H3060" i="3"/>
  <c r="J3060" i="3"/>
  <c r="I3060" i="3"/>
  <c r="J3058" i="3"/>
  <c r="H3058" i="3"/>
  <c r="I3058" i="3"/>
  <c r="J3775" i="3"/>
  <c r="H3775" i="3"/>
  <c r="I3775" i="3"/>
  <c r="J3865" i="3"/>
  <c r="I3865" i="3"/>
  <c r="H3865" i="3"/>
  <c r="J3308" i="3"/>
  <c r="H3308" i="3"/>
  <c r="I3308" i="3"/>
  <c r="J2961" i="3"/>
  <c r="J2944" i="3"/>
  <c r="J3887" i="3"/>
  <c r="I3887" i="3"/>
  <c r="H3887" i="3"/>
  <c r="I3763" i="3"/>
  <c r="J3763" i="3"/>
  <c r="H3763" i="3"/>
  <c r="J2992" i="3"/>
  <c r="H2992" i="3"/>
  <c r="I2992" i="3"/>
  <c r="I3713" i="3"/>
  <c r="J3713" i="3"/>
  <c r="H3713" i="3"/>
  <c r="J3696" i="3"/>
  <c r="H3696" i="3"/>
  <c r="I3696" i="3"/>
  <c r="I3679" i="3"/>
  <c r="J3679" i="3"/>
  <c r="H3679" i="3"/>
  <c r="J3258" i="3"/>
  <c r="I3258" i="3"/>
  <c r="H3258" i="3"/>
  <c r="J3256" i="3"/>
  <c r="H3256" i="3"/>
  <c r="I3256" i="3"/>
  <c r="J3269" i="3"/>
  <c r="H3269" i="3"/>
  <c r="I3269" i="3"/>
  <c r="I3192" i="3"/>
  <c r="J3192" i="3"/>
  <c r="H3192" i="3"/>
  <c r="J3219" i="3"/>
  <c r="I3219" i="3"/>
  <c r="H3219" i="3"/>
  <c r="J3232" i="3"/>
  <c r="H3232" i="3"/>
  <c r="I3232" i="3"/>
  <c r="J3245" i="3"/>
  <c r="I3245" i="3"/>
  <c r="H3245" i="3"/>
  <c r="J4199" i="3"/>
  <c r="I4199" i="3"/>
  <c r="H4199" i="3"/>
  <c r="J3189" i="3"/>
  <c r="I3189" i="3"/>
  <c r="H3189" i="3"/>
  <c r="J3142" i="3"/>
  <c r="I3142" i="3"/>
  <c r="H3142" i="3"/>
  <c r="J4098" i="3"/>
  <c r="I4098" i="3"/>
  <c r="H4098" i="3"/>
  <c r="J3510" i="3"/>
  <c r="I3510" i="3"/>
  <c r="H3510" i="3"/>
  <c r="J3072" i="3"/>
  <c r="I3072" i="3"/>
  <c r="H3072" i="3"/>
  <c r="J3430" i="3"/>
  <c r="I3430" i="3"/>
  <c r="H3430" i="3"/>
  <c r="J3413" i="3"/>
  <c r="I3413" i="3"/>
  <c r="H3413" i="3"/>
  <c r="J3125" i="3"/>
  <c r="I3125" i="3"/>
  <c r="H3125" i="3"/>
  <c r="J3108" i="3"/>
  <c r="H3108" i="3"/>
  <c r="I3108" i="3"/>
  <c r="J3091" i="3"/>
  <c r="I3091" i="3"/>
  <c r="H3091" i="3"/>
  <c r="J3089" i="3"/>
  <c r="I3089" i="3"/>
  <c r="H3089" i="3"/>
  <c r="J4002" i="3"/>
  <c r="I4002" i="3"/>
  <c r="H4002" i="3"/>
  <c r="J3804" i="3"/>
  <c r="I3804" i="3"/>
  <c r="H3804" i="3"/>
  <c r="I3325" i="3"/>
  <c r="H3325" i="3"/>
  <c r="J3325" i="3"/>
  <c r="J3048" i="3"/>
  <c r="I3048" i="3"/>
  <c r="H3048" i="3"/>
  <c r="H3061" i="3"/>
  <c r="J3061" i="3"/>
  <c r="I3061" i="3"/>
  <c r="H3044" i="3"/>
  <c r="J3044" i="3"/>
  <c r="I3044" i="3"/>
  <c r="J3295" i="3"/>
  <c r="H3295" i="3"/>
  <c r="I3295" i="3"/>
  <c r="J4240" i="3"/>
  <c r="H4240" i="3"/>
  <c r="I4240" i="3"/>
  <c r="J2945" i="3"/>
  <c r="I3094" i="3"/>
  <c r="J3094" i="3"/>
  <c r="H3094" i="3"/>
  <c r="J2962" i="3"/>
  <c r="H4430" i="3"/>
  <c r="J4430" i="3"/>
  <c r="I4430" i="3"/>
  <c r="J3772" i="3"/>
  <c r="H3772" i="3"/>
  <c r="I3772" i="3"/>
  <c r="J3604" i="3"/>
  <c r="I3604" i="3"/>
  <c r="H3604" i="3"/>
  <c r="I3533" i="3"/>
  <c r="H3533" i="3"/>
  <c r="J3533" i="3"/>
  <c r="I4107" i="3"/>
  <c r="H4107" i="3"/>
  <c r="J4107" i="3"/>
  <c r="J3057" i="3"/>
  <c r="H3057" i="3"/>
  <c r="I3057" i="3"/>
  <c r="J3126" i="3"/>
  <c r="H3126" i="3"/>
  <c r="I3126" i="3"/>
  <c r="J3250" i="3"/>
  <c r="I3250" i="3"/>
  <c r="H3250" i="3"/>
  <c r="H4418" i="3"/>
  <c r="J4418" i="3"/>
  <c r="I4418" i="3"/>
  <c r="J3532" i="3"/>
  <c r="H3532" i="3"/>
  <c r="I3532" i="3"/>
  <c r="J4007" i="3"/>
  <c r="I4007" i="3"/>
  <c r="H4007" i="3"/>
  <c r="J3402" i="3"/>
  <c r="H3402" i="3"/>
  <c r="I3402" i="3"/>
  <c r="J3790" i="3"/>
  <c r="I3790" i="3"/>
  <c r="H3790" i="3"/>
  <c r="I3773" i="3"/>
  <c r="J3773" i="3"/>
  <c r="H3773" i="3"/>
  <c r="I3863" i="3"/>
  <c r="J3863" i="3"/>
  <c r="H3863" i="3"/>
  <c r="J2976" i="3"/>
  <c r="H2976" i="3"/>
  <c r="I2976" i="3"/>
  <c r="J2959" i="3"/>
  <c r="J2942" i="3"/>
  <c r="I3015" i="3"/>
  <c r="J3015" i="3"/>
  <c r="H3015" i="3"/>
  <c r="J3778" i="3"/>
  <c r="I3778" i="3"/>
  <c r="H3778" i="3"/>
  <c r="J3007" i="3"/>
  <c r="I3007" i="3"/>
  <c r="H3007" i="3"/>
  <c r="J4449" i="3"/>
  <c r="H4449" i="3"/>
  <c r="I4449" i="3"/>
  <c r="I3711" i="3"/>
  <c r="J3711" i="3"/>
  <c r="H3711" i="3"/>
  <c r="J3694" i="3"/>
  <c r="I3694" i="3"/>
  <c r="H3694" i="3"/>
  <c r="J3692" i="3"/>
  <c r="I3692" i="3"/>
  <c r="H3692" i="3"/>
  <c r="J3271" i="3"/>
  <c r="I3271" i="3"/>
  <c r="H3271" i="3"/>
  <c r="J3222" i="3"/>
  <c r="H3222" i="3"/>
  <c r="I3222" i="3"/>
  <c r="J3595" i="3"/>
  <c r="I3595" i="3"/>
  <c r="H3595" i="3"/>
  <c r="H3247" i="3"/>
  <c r="J3247" i="3"/>
  <c r="I3247" i="3"/>
  <c r="J3215" i="3"/>
  <c r="I3215" i="3"/>
  <c r="H3215" i="3"/>
  <c r="J3243" i="3"/>
  <c r="I3243" i="3"/>
  <c r="H3243" i="3"/>
  <c r="J4201" i="3"/>
  <c r="H4201" i="3"/>
  <c r="I4201" i="3"/>
  <c r="J4197" i="3"/>
  <c r="I4197" i="3"/>
  <c r="H4197" i="3"/>
  <c r="J3505" i="3"/>
  <c r="H3505" i="3"/>
  <c r="I3505" i="3"/>
  <c r="J3159" i="3"/>
  <c r="I3159" i="3"/>
  <c r="H3159" i="3"/>
  <c r="J3172" i="3"/>
  <c r="H3172" i="3"/>
  <c r="I3172" i="3"/>
  <c r="H4115" i="3"/>
  <c r="J4115" i="3"/>
  <c r="I4115" i="3"/>
  <c r="J4113" i="3"/>
  <c r="H4113" i="3"/>
  <c r="I4113" i="3"/>
  <c r="J4096" i="3"/>
  <c r="I4096" i="3"/>
  <c r="H4096" i="3"/>
  <c r="I3525" i="3"/>
  <c r="J3525" i="3"/>
  <c r="H3525" i="3"/>
  <c r="J3493" i="3"/>
  <c r="I3493" i="3"/>
  <c r="H3493" i="3"/>
  <c r="J3087" i="3"/>
  <c r="I3087" i="3"/>
  <c r="H3087" i="3"/>
  <c r="J3001" i="3"/>
  <c r="H3001" i="3"/>
  <c r="I3001" i="3"/>
  <c r="I3445" i="3"/>
  <c r="J3445" i="3"/>
  <c r="H3445" i="3"/>
  <c r="J3428" i="3"/>
  <c r="H3428" i="3"/>
  <c r="I3428" i="3"/>
  <c r="J3426" i="3"/>
  <c r="I3426" i="3"/>
  <c r="H3426" i="3"/>
  <c r="I3123" i="3"/>
  <c r="H3123" i="3"/>
  <c r="J3123" i="3"/>
  <c r="I3106" i="3"/>
  <c r="J3106" i="3"/>
  <c r="H3106" i="3"/>
  <c r="J3104" i="3"/>
  <c r="I3104" i="3"/>
  <c r="H3104" i="3"/>
  <c r="J3355" i="3"/>
  <c r="H3355" i="3"/>
  <c r="I3355" i="3"/>
  <c r="I3323" i="3"/>
  <c r="H3323" i="3"/>
  <c r="J3323" i="3"/>
  <c r="J3351" i="3"/>
  <c r="I3351" i="3"/>
  <c r="H3351" i="3"/>
  <c r="J3334" i="3"/>
  <c r="H3334" i="3"/>
  <c r="I3334" i="3"/>
  <c r="I3059" i="3"/>
  <c r="J3059" i="3"/>
  <c r="H3059" i="3"/>
  <c r="J3762" i="3"/>
  <c r="I3762" i="3"/>
  <c r="H3762" i="3"/>
  <c r="J4457" i="3"/>
  <c r="H4457" i="3"/>
  <c r="I4457" i="3"/>
  <c r="J3191" i="3"/>
  <c r="H3191" i="3"/>
  <c r="I3191" i="3"/>
  <c r="I3603" i="3"/>
  <c r="J3603" i="3"/>
  <c r="H3603" i="3"/>
  <c r="H3223" i="3"/>
  <c r="I3223" i="3"/>
  <c r="J3223" i="3"/>
  <c r="J4146" i="3"/>
  <c r="H4146" i="3"/>
  <c r="I4146" i="3"/>
  <c r="J3498" i="3"/>
  <c r="I3498" i="3"/>
  <c r="H3498" i="3"/>
  <c r="J4108" i="3"/>
  <c r="H4108" i="3"/>
  <c r="I4108" i="3"/>
  <c r="J3092" i="3"/>
  <c r="H3092" i="3"/>
  <c r="I3092" i="3"/>
  <c r="J2980" i="3"/>
  <c r="H2980" i="3"/>
  <c r="I2980" i="3"/>
  <c r="J4413" i="3"/>
  <c r="H4413" i="3"/>
  <c r="I4413" i="3"/>
  <c r="J3403" i="3"/>
  <c r="I3403" i="3"/>
  <c r="H3403" i="3"/>
  <c r="I3915" i="3"/>
  <c r="J3915" i="3"/>
  <c r="H3915" i="3"/>
  <c r="J4441" i="3"/>
  <c r="H4441" i="3"/>
  <c r="I4441" i="3"/>
  <c r="J3672" i="3"/>
  <c r="I3672" i="3"/>
  <c r="H3672" i="3"/>
  <c r="J4435" i="3"/>
  <c r="I4435" i="3"/>
  <c r="H4435" i="3"/>
  <c r="J4429" i="3"/>
  <c r="H4429" i="3"/>
  <c r="I4429" i="3"/>
  <c r="J3689" i="3"/>
  <c r="I3689" i="3"/>
  <c r="H3689" i="3"/>
  <c r="J3216" i="3"/>
  <c r="I3216" i="3"/>
  <c r="H3216" i="3"/>
  <c r="J3152" i="3"/>
  <c r="H3152" i="3"/>
  <c r="I3152" i="3"/>
  <c r="J4026" i="3"/>
  <c r="I4026" i="3"/>
  <c r="H4026" i="3"/>
  <c r="J3265" i="3"/>
  <c r="I3265" i="3"/>
  <c r="H3265" i="3"/>
  <c r="J4433" i="3"/>
  <c r="H4433" i="3"/>
  <c r="I4433" i="3"/>
  <c r="J4431" i="3"/>
  <c r="H4431" i="3"/>
  <c r="I4431" i="3"/>
  <c r="J4412" i="3"/>
  <c r="I4412" i="3"/>
  <c r="H4412" i="3"/>
  <c r="J4425" i="3"/>
  <c r="H4425" i="3"/>
  <c r="I4425" i="3"/>
  <c r="J3702" i="3"/>
  <c r="I3702" i="3"/>
  <c r="H3702" i="3"/>
  <c r="J3594" i="3"/>
  <c r="H3594" i="3"/>
  <c r="I3594" i="3"/>
  <c r="J3201" i="3"/>
  <c r="I3201" i="3"/>
  <c r="H3201" i="3"/>
  <c r="J3214" i="3"/>
  <c r="I3214" i="3"/>
  <c r="H3214" i="3"/>
  <c r="J3242" i="3"/>
  <c r="I3242" i="3"/>
  <c r="H3242" i="3"/>
  <c r="I3210" i="3"/>
  <c r="H3210" i="3"/>
  <c r="J3210" i="3"/>
  <c r="H4213" i="3"/>
  <c r="J4213" i="3"/>
  <c r="I4213" i="3"/>
  <c r="J3005" i="3"/>
  <c r="I3005" i="3"/>
  <c r="H3005" i="3"/>
  <c r="J4150" i="3"/>
  <c r="I4150" i="3"/>
  <c r="H4150" i="3"/>
  <c r="J4133" i="3"/>
  <c r="H4133" i="3"/>
  <c r="I4133" i="3"/>
  <c r="J3515" i="3"/>
  <c r="H3515" i="3"/>
  <c r="I3515" i="3"/>
  <c r="J3139" i="3"/>
  <c r="I3139" i="3"/>
  <c r="H3139" i="3"/>
  <c r="I3182" i="3"/>
  <c r="J3182" i="3"/>
  <c r="H3182" i="3"/>
  <c r="J3115" i="3"/>
  <c r="I3115" i="3"/>
  <c r="H3115" i="3"/>
  <c r="J3128" i="3"/>
  <c r="H3128" i="3"/>
  <c r="I3128" i="3"/>
  <c r="J4039" i="3"/>
  <c r="I4039" i="3"/>
  <c r="H4039" i="3"/>
  <c r="J4022" i="3"/>
  <c r="I4022" i="3"/>
  <c r="H4022" i="3"/>
  <c r="J3434" i="3"/>
  <c r="I3434" i="3"/>
  <c r="H3434" i="3"/>
  <c r="J3417" i="3"/>
  <c r="H3417" i="3"/>
  <c r="I3417" i="3"/>
  <c r="I3324" i="3"/>
  <c r="J3324" i="3"/>
  <c r="H3324" i="3"/>
  <c r="J3322" i="3"/>
  <c r="H3322" i="3"/>
  <c r="I3322" i="3"/>
  <c r="I3350" i="3"/>
  <c r="H3350" i="3"/>
  <c r="J3350" i="3"/>
  <c r="J3333" i="3"/>
  <c r="H3333" i="3"/>
  <c r="I3333" i="3"/>
  <c r="J3331" i="3"/>
  <c r="H3331" i="3"/>
  <c r="I3331" i="3"/>
  <c r="J3314" i="3"/>
  <c r="H3314" i="3"/>
  <c r="I3314" i="3"/>
  <c r="I3312" i="3"/>
  <c r="H3312" i="3"/>
  <c r="J3312" i="3"/>
  <c r="J3788" i="3"/>
  <c r="I3788" i="3"/>
  <c r="H3788" i="3"/>
  <c r="J2974" i="3"/>
  <c r="H2974" i="3"/>
  <c r="I2974" i="3"/>
  <c r="J2957" i="3"/>
  <c r="J2940" i="3"/>
  <c r="J3022" i="3"/>
  <c r="H3022" i="3"/>
  <c r="I3022" i="3"/>
  <c r="I4464" i="3"/>
  <c r="H4464" i="3"/>
  <c r="J4464" i="3"/>
  <c r="I3709" i="3"/>
  <c r="J3709" i="3"/>
  <c r="H3709" i="3"/>
  <c r="J3707" i="3"/>
  <c r="I3707" i="3"/>
  <c r="H3707" i="3"/>
  <c r="J3705" i="3"/>
  <c r="I3705" i="3"/>
  <c r="H3705" i="3"/>
  <c r="I3284" i="3"/>
  <c r="H3284" i="3"/>
  <c r="J3284" i="3"/>
  <c r="J3237" i="3"/>
  <c r="I3237" i="3"/>
  <c r="H3237" i="3"/>
  <c r="J3610" i="3"/>
  <c r="H3610" i="3"/>
  <c r="I3610" i="3"/>
  <c r="I3593" i="3"/>
  <c r="J3593" i="3"/>
  <c r="H3593" i="3"/>
  <c r="J3217" i="3"/>
  <c r="I3217" i="3"/>
  <c r="H3217" i="3"/>
  <c r="J3230" i="3"/>
  <c r="H3230" i="3"/>
  <c r="I3230" i="3"/>
  <c r="J3213" i="3"/>
  <c r="I3213" i="3"/>
  <c r="H3213" i="3"/>
  <c r="J3241" i="3"/>
  <c r="I3241" i="3"/>
  <c r="H3241" i="3"/>
  <c r="J4214" i="3"/>
  <c r="H4214" i="3"/>
  <c r="I4214" i="3"/>
  <c r="J4212" i="3"/>
  <c r="H4212" i="3"/>
  <c r="I4212" i="3"/>
  <c r="J3520" i="3"/>
  <c r="I3520" i="3"/>
  <c r="H3520" i="3"/>
  <c r="J3187" i="3"/>
  <c r="I3187" i="3"/>
  <c r="H3187" i="3"/>
  <c r="J3140" i="3"/>
  <c r="H3140" i="3"/>
  <c r="I3140" i="3"/>
  <c r="H4111" i="3"/>
  <c r="J4111" i="3"/>
  <c r="I4111" i="3"/>
  <c r="J3508" i="3"/>
  <c r="H3508" i="3"/>
  <c r="I3508" i="3"/>
  <c r="J3886" i="3"/>
  <c r="I3886" i="3"/>
  <c r="H3886" i="3"/>
  <c r="J3443" i="3"/>
  <c r="I3443" i="3"/>
  <c r="H3443" i="3"/>
  <c r="I3441" i="3"/>
  <c r="J3441" i="3"/>
  <c r="H3441" i="3"/>
  <c r="J3439" i="3"/>
  <c r="H3439" i="3"/>
  <c r="I3439" i="3"/>
  <c r="J3121" i="3"/>
  <c r="I3121" i="3"/>
  <c r="H3121" i="3"/>
  <c r="J3119" i="3"/>
  <c r="I3119" i="3"/>
  <c r="H3119" i="3"/>
  <c r="J3003" i="3"/>
  <c r="I3003" i="3"/>
  <c r="H3003" i="3"/>
  <c r="J3340" i="3"/>
  <c r="I3340" i="3"/>
  <c r="H3340" i="3"/>
  <c r="J3353" i="3"/>
  <c r="H3353" i="3"/>
  <c r="I3353" i="3"/>
  <c r="J3336" i="3"/>
  <c r="H3336" i="3"/>
  <c r="I3336" i="3"/>
  <c r="I3319" i="3"/>
  <c r="H3319" i="3"/>
  <c r="J3319" i="3"/>
  <c r="J3332" i="3"/>
  <c r="H3332" i="3"/>
  <c r="I3332" i="3"/>
  <c r="I3315" i="3"/>
  <c r="H3315" i="3"/>
  <c r="J3315" i="3"/>
  <c r="J3777" i="3"/>
  <c r="I3777" i="3"/>
  <c r="H3777" i="3"/>
  <c r="J3620" i="3"/>
  <c r="H3620" i="3"/>
  <c r="I3620" i="3"/>
  <c r="J3226" i="3"/>
  <c r="I3226" i="3"/>
  <c r="H3226" i="3"/>
  <c r="J3516" i="3"/>
  <c r="I3516" i="3"/>
  <c r="H3516" i="3"/>
  <c r="J4124" i="3"/>
  <c r="I4124" i="3"/>
  <c r="H4124" i="3"/>
  <c r="J4012" i="3"/>
  <c r="H4012" i="3"/>
  <c r="I4012" i="3"/>
  <c r="J3954" i="3"/>
  <c r="I3954" i="3"/>
  <c r="H3954" i="3"/>
  <c r="J3616" i="3"/>
  <c r="I3616" i="3"/>
  <c r="H3616" i="3"/>
  <c r="J3496" i="3"/>
  <c r="H3496" i="3"/>
  <c r="I3496" i="3"/>
  <c r="J3414" i="3"/>
  <c r="I3414" i="3"/>
  <c r="H3414" i="3"/>
  <c r="I3925" i="3"/>
  <c r="J3925" i="3"/>
  <c r="H3925" i="3"/>
  <c r="I3917" i="3"/>
  <c r="J3917" i="3"/>
  <c r="H3917" i="3"/>
  <c r="J3913" i="3"/>
  <c r="I3913" i="3"/>
  <c r="H3913" i="3"/>
  <c r="J2978" i="3"/>
  <c r="H2978" i="3"/>
  <c r="I2978" i="3"/>
  <c r="J3784" i="3"/>
  <c r="H3784" i="3"/>
  <c r="I3784" i="3"/>
  <c r="J3857" i="3"/>
  <c r="H3857" i="3"/>
  <c r="I3857" i="3"/>
  <c r="I3621" i="3"/>
  <c r="J3621" i="3"/>
  <c r="H3621" i="3"/>
  <c r="J4461" i="3"/>
  <c r="I4461" i="3"/>
  <c r="H4461" i="3"/>
  <c r="J3676" i="3"/>
  <c r="I3676" i="3"/>
  <c r="H3676" i="3"/>
  <c r="J2984" i="3"/>
  <c r="H2984" i="3"/>
  <c r="I2984" i="3"/>
  <c r="I3687" i="3"/>
  <c r="J3687" i="3"/>
  <c r="H3687" i="3"/>
  <c r="J3244" i="3"/>
  <c r="I3244" i="3"/>
  <c r="H3244" i="3"/>
  <c r="I4200" i="3"/>
  <c r="J4200" i="3"/>
  <c r="H4200" i="3"/>
  <c r="H4198" i="3"/>
  <c r="J4198" i="3"/>
  <c r="I4198" i="3"/>
  <c r="J4120" i="3"/>
  <c r="H4120" i="3"/>
  <c r="I4120" i="3"/>
  <c r="J4118" i="3"/>
  <c r="I4118" i="3"/>
  <c r="H4118" i="3"/>
  <c r="J3169" i="3"/>
  <c r="H3169" i="3"/>
  <c r="I3169" i="3"/>
  <c r="J4140" i="3"/>
  <c r="H4140" i="3"/>
  <c r="I4140" i="3"/>
  <c r="J3522" i="3"/>
  <c r="H3522" i="3"/>
  <c r="I3522" i="3"/>
  <c r="I3130" i="3"/>
  <c r="J3130" i="3"/>
  <c r="H3130" i="3"/>
  <c r="J4024" i="3"/>
  <c r="I4024" i="3"/>
  <c r="H4024" i="3"/>
  <c r="J3419" i="3"/>
  <c r="H3419" i="3"/>
  <c r="I3419" i="3"/>
  <c r="J4427" i="3"/>
  <c r="H4427" i="3"/>
  <c r="I4427" i="3"/>
  <c r="I3854" i="3"/>
  <c r="J3854" i="3"/>
  <c r="H3854" i="3"/>
  <c r="I3609" i="3"/>
  <c r="H3609" i="3"/>
  <c r="J3609" i="3"/>
  <c r="J3592" i="3"/>
  <c r="I3592" i="3"/>
  <c r="H3592" i="3"/>
  <c r="J3199" i="3"/>
  <c r="I3199" i="3"/>
  <c r="H3199" i="3"/>
  <c r="J3197" i="3"/>
  <c r="H3197" i="3"/>
  <c r="I3197" i="3"/>
  <c r="J3195" i="3"/>
  <c r="H3195" i="3"/>
  <c r="I3195" i="3"/>
  <c r="H3208" i="3"/>
  <c r="J3208" i="3"/>
  <c r="I3208" i="3"/>
  <c r="J3020" i="3"/>
  <c r="H3020" i="3"/>
  <c r="I3020" i="3"/>
  <c r="H4105" i="3"/>
  <c r="J4105" i="3"/>
  <c r="I4105" i="3"/>
  <c r="J4148" i="3"/>
  <c r="I4148" i="3"/>
  <c r="H4148" i="3"/>
  <c r="J3530" i="3"/>
  <c r="H3530" i="3"/>
  <c r="I3530" i="3"/>
  <c r="J3137" i="3"/>
  <c r="H3137" i="3"/>
  <c r="I3137" i="3"/>
  <c r="I3150" i="3"/>
  <c r="J3150" i="3"/>
  <c r="H3150" i="3"/>
  <c r="J4138" i="3"/>
  <c r="H4138" i="3"/>
  <c r="I4138" i="3"/>
  <c r="J3768" i="3"/>
  <c r="I3768" i="3"/>
  <c r="H3768" i="3"/>
  <c r="J3085" i="3"/>
  <c r="I3085" i="3"/>
  <c r="H3085" i="3"/>
  <c r="J3083" i="3"/>
  <c r="H3083" i="3"/>
  <c r="I3083" i="3"/>
  <c r="J3081" i="3"/>
  <c r="I3081" i="3"/>
  <c r="H3081" i="3"/>
  <c r="J4037" i="3"/>
  <c r="I4037" i="3"/>
  <c r="H4037" i="3"/>
  <c r="I4005" i="3"/>
  <c r="J4005" i="3"/>
  <c r="H4005" i="3"/>
  <c r="J3432" i="3"/>
  <c r="H3432" i="3"/>
  <c r="I3432" i="3"/>
  <c r="I3354" i="3"/>
  <c r="H3354" i="3"/>
  <c r="J3354" i="3"/>
  <c r="H3352" i="3"/>
  <c r="J3352" i="3"/>
  <c r="I3352" i="3"/>
  <c r="J3335" i="3"/>
  <c r="H3335" i="3"/>
  <c r="I3335" i="3"/>
  <c r="J3318" i="3"/>
  <c r="I3318" i="3"/>
  <c r="H3318" i="3"/>
  <c r="I3316" i="3"/>
  <c r="J3316" i="3"/>
  <c r="H3316" i="3"/>
  <c r="H3344" i="3"/>
  <c r="J3344" i="3"/>
  <c r="I3344" i="3"/>
  <c r="J3342" i="3"/>
  <c r="H3342" i="3"/>
  <c r="I3342" i="3"/>
  <c r="J2950" i="3"/>
  <c r="J3803" i="3"/>
  <c r="I3803" i="3"/>
  <c r="H3803" i="3"/>
  <c r="I3771" i="3"/>
  <c r="J3771" i="3"/>
  <c r="H3771" i="3"/>
  <c r="J3306" i="3"/>
  <c r="H3306" i="3"/>
  <c r="I3306" i="3"/>
  <c r="J2989" i="3"/>
  <c r="H2989" i="3"/>
  <c r="I2989" i="3"/>
  <c r="J2972" i="3"/>
  <c r="H2972" i="3"/>
  <c r="I2972" i="3"/>
  <c r="J2955" i="3"/>
  <c r="J2968" i="3"/>
  <c r="H2968" i="3"/>
  <c r="I2968" i="3"/>
  <c r="J3892" i="3"/>
  <c r="I3892" i="3"/>
  <c r="H3892" i="3"/>
  <c r="J4419" i="3"/>
  <c r="H4419" i="3"/>
  <c r="I4419" i="3"/>
  <c r="J4417" i="3"/>
  <c r="H4417" i="3"/>
  <c r="I4417" i="3"/>
  <c r="J4460" i="3"/>
  <c r="H4460" i="3"/>
  <c r="I4460" i="3"/>
  <c r="J3677" i="3"/>
  <c r="I3677" i="3"/>
  <c r="H3677" i="3"/>
  <c r="I3675" i="3"/>
  <c r="J3675" i="3"/>
  <c r="H3675" i="3"/>
  <c r="I3673" i="3"/>
  <c r="J3673" i="3"/>
  <c r="H3673" i="3"/>
  <c r="I3207" i="3"/>
  <c r="H3207" i="3"/>
  <c r="J3207" i="3"/>
  <c r="J3625" i="3"/>
  <c r="I3625" i="3"/>
  <c r="H3625" i="3"/>
  <c r="J3608" i="3"/>
  <c r="I3608" i="3"/>
  <c r="H3608" i="3"/>
  <c r="J3200" i="3"/>
  <c r="H3200" i="3"/>
  <c r="I3200" i="3"/>
  <c r="J3198" i="3"/>
  <c r="I3198" i="3"/>
  <c r="H3198" i="3"/>
  <c r="J3211" i="3"/>
  <c r="I3211" i="3"/>
  <c r="H3211" i="3"/>
  <c r="I3194" i="3"/>
  <c r="J3194" i="3"/>
  <c r="H3194" i="3"/>
  <c r="I4227" i="3"/>
  <c r="H4227" i="3"/>
  <c r="J4227" i="3"/>
  <c r="J3535" i="3"/>
  <c r="H3535" i="3"/>
  <c r="I3535" i="3"/>
  <c r="J3503" i="3"/>
  <c r="I3503" i="3"/>
  <c r="H3503" i="3"/>
  <c r="J3157" i="3"/>
  <c r="I3157" i="3"/>
  <c r="H3157" i="3"/>
  <c r="I3170" i="3"/>
  <c r="H3170" i="3"/>
  <c r="J3170" i="3"/>
  <c r="J4128" i="3"/>
  <c r="I4128" i="3"/>
  <c r="H4128" i="3"/>
  <c r="J4126" i="3"/>
  <c r="H4126" i="3"/>
  <c r="I4126" i="3"/>
  <c r="J4094" i="3"/>
  <c r="I4094" i="3"/>
  <c r="H4094" i="3"/>
  <c r="J3523" i="3"/>
  <c r="H3523" i="3"/>
  <c r="I3523" i="3"/>
  <c r="J2964" i="3"/>
  <c r="J2941" i="3"/>
  <c r="J4044" i="3"/>
  <c r="I4044" i="3"/>
  <c r="H4044" i="3"/>
  <c r="J3411" i="3"/>
  <c r="H3411" i="3"/>
  <c r="I3411" i="3"/>
  <c r="J3409" i="3"/>
  <c r="I3409" i="3"/>
  <c r="H3409" i="3"/>
  <c r="J3407" i="3"/>
  <c r="H3407" i="3"/>
  <c r="I3407" i="3"/>
  <c r="H3074" i="3"/>
  <c r="J3074" i="3"/>
  <c r="I3074" i="3"/>
  <c r="J3027" i="3"/>
  <c r="I3027" i="3"/>
  <c r="H3027" i="3"/>
  <c r="J3018" i="3"/>
  <c r="H3018" i="3"/>
  <c r="I3018" i="3"/>
  <c r="J3338" i="3"/>
  <c r="I3338" i="3"/>
  <c r="H3338" i="3"/>
  <c r="I3321" i="3"/>
  <c r="H3321" i="3"/>
  <c r="J3321" i="3"/>
  <c r="I3349" i="3"/>
  <c r="H3349" i="3"/>
  <c r="J3349" i="3"/>
  <c r="H3317" i="3"/>
  <c r="I3317" i="3"/>
  <c r="J3317" i="3"/>
  <c r="H3345" i="3"/>
  <c r="I3345" i="3"/>
  <c r="J3345" i="3"/>
  <c r="J3313" i="3"/>
  <c r="I3313" i="3"/>
  <c r="H3313" i="3"/>
  <c r="J3792" i="3"/>
  <c r="I3792" i="3"/>
  <c r="H3792" i="3"/>
  <c r="J3278" i="3"/>
  <c r="I3278" i="3"/>
  <c r="H3278" i="3"/>
  <c r="H4438" i="3"/>
  <c r="J4438" i="3"/>
  <c r="I4438" i="3"/>
  <c r="J3240" i="3"/>
  <c r="I3240" i="3"/>
  <c r="H3240" i="3"/>
  <c r="I3111" i="3"/>
  <c r="H3111" i="3"/>
  <c r="J3111" i="3"/>
  <c r="J2993" i="3"/>
  <c r="I2993" i="3"/>
  <c r="H2993" i="3"/>
  <c r="H4432" i="3"/>
  <c r="I4432" i="3"/>
  <c r="J4432" i="3"/>
  <c r="J4411" i="3"/>
  <c r="H4411" i="3"/>
  <c r="I4411" i="3"/>
  <c r="H3209" i="3"/>
  <c r="J3209" i="3"/>
  <c r="I3209" i="3"/>
  <c r="J3952" i="3"/>
  <c r="I3952" i="3"/>
  <c r="H3952" i="3"/>
  <c r="J3513" i="3"/>
  <c r="H3513" i="3"/>
  <c r="I3513" i="3"/>
  <c r="I4414" i="3"/>
  <c r="J4414" i="3"/>
  <c r="H4414" i="3"/>
  <c r="H4416" i="3"/>
  <c r="I4416" i="3"/>
  <c r="J4416" i="3"/>
  <c r="J3218" i="3"/>
  <c r="I3218" i="3"/>
  <c r="H3218" i="3"/>
  <c r="J3212" i="3"/>
  <c r="I3212" i="3"/>
  <c r="H3212" i="3"/>
  <c r="J2990" i="3"/>
  <c r="H2990" i="3"/>
  <c r="I2990" i="3"/>
  <c r="H4123" i="3"/>
  <c r="J4123" i="3"/>
  <c r="I4123" i="3"/>
  <c r="I4446" i="3"/>
  <c r="H4446" i="3"/>
  <c r="J4446" i="3"/>
  <c r="H4444" i="3"/>
  <c r="J4444" i="3"/>
  <c r="I4444" i="3"/>
  <c r="H4440" i="3"/>
  <c r="I4440" i="3"/>
  <c r="J4440" i="3"/>
  <c r="J3280" i="3"/>
  <c r="H3280" i="3"/>
  <c r="I3280" i="3"/>
  <c r="J3263" i="3"/>
  <c r="I3263" i="3"/>
  <c r="H3263" i="3"/>
  <c r="J3261" i="3"/>
  <c r="H3261" i="3"/>
  <c r="I3261" i="3"/>
  <c r="J4459" i="3"/>
  <c r="H4459" i="3"/>
  <c r="I4459" i="3"/>
  <c r="J4442" i="3"/>
  <c r="H4442" i="3"/>
  <c r="I4442" i="3"/>
  <c r="J4453" i="3"/>
  <c r="H4453" i="3"/>
  <c r="I4453" i="3"/>
  <c r="J3221" i="3"/>
  <c r="H3221" i="3"/>
  <c r="I3221" i="3"/>
  <c r="J3299" i="3"/>
  <c r="I3299" i="3"/>
  <c r="H3299" i="3"/>
  <c r="J3624" i="3"/>
  <c r="H3624" i="3"/>
  <c r="I3624" i="3"/>
  <c r="J3607" i="3"/>
  <c r="I3607" i="3"/>
  <c r="H3607" i="3"/>
  <c r="J3605" i="3"/>
  <c r="I3605" i="3"/>
  <c r="H3605" i="3"/>
  <c r="J3227" i="3"/>
  <c r="H3227" i="3"/>
  <c r="I3227" i="3"/>
  <c r="J3225" i="3"/>
  <c r="H3225" i="3"/>
  <c r="I3225" i="3"/>
  <c r="I3193" i="3"/>
  <c r="J3193" i="3"/>
  <c r="H3193" i="3"/>
  <c r="J3890" i="3"/>
  <c r="I3890" i="3"/>
  <c r="H3890" i="3"/>
  <c r="J3145" i="3"/>
  <c r="H3145" i="3"/>
  <c r="I3145" i="3"/>
  <c r="J4103" i="3"/>
  <c r="H4103" i="3"/>
  <c r="I4103" i="3"/>
  <c r="H4131" i="3"/>
  <c r="J4131" i="3"/>
  <c r="I4131" i="3"/>
  <c r="J3500" i="3"/>
  <c r="I3500" i="3"/>
  <c r="H3500" i="3"/>
  <c r="J3528" i="3"/>
  <c r="H3528" i="3"/>
  <c r="I3528" i="3"/>
  <c r="J3167" i="3"/>
  <c r="H3167" i="3"/>
  <c r="I3167" i="3"/>
  <c r="J3135" i="3"/>
  <c r="I3135" i="3"/>
  <c r="H3135" i="3"/>
  <c r="I4093" i="3"/>
  <c r="H4093" i="3"/>
  <c r="J4093" i="3"/>
  <c r="I3783" i="3"/>
  <c r="J3783" i="3"/>
  <c r="H3783" i="3"/>
  <c r="I3100" i="3"/>
  <c r="J3100" i="3"/>
  <c r="H3100" i="3"/>
  <c r="J3098" i="3"/>
  <c r="H3098" i="3"/>
  <c r="I3098" i="3"/>
  <c r="J3096" i="3"/>
  <c r="I3096" i="3"/>
  <c r="H3096" i="3"/>
  <c r="J3079" i="3"/>
  <c r="H3079" i="3"/>
  <c r="I3079" i="3"/>
  <c r="J4020" i="3"/>
  <c r="I4020" i="3"/>
  <c r="H4020" i="3"/>
  <c r="I4003" i="3"/>
  <c r="J4003" i="3"/>
  <c r="H4003" i="3"/>
  <c r="J3339" i="3"/>
  <c r="H3339" i="3"/>
  <c r="I3339" i="3"/>
  <c r="J3337" i="3"/>
  <c r="H3337" i="3"/>
  <c r="I3337" i="3"/>
  <c r="J3320" i="3"/>
  <c r="H3320" i="3"/>
  <c r="I3320" i="3"/>
  <c r="J3348" i="3"/>
  <c r="I3348" i="3"/>
  <c r="H3348" i="3"/>
  <c r="J3346" i="3"/>
  <c r="H3346" i="3"/>
  <c r="I3346" i="3"/>
  <c r="J3329" i="3"/>
  <c r="I3329" i="3"/>
  <c r="H3329" i="3"/>
  <c r="J3327" i="3"/>
  <c r="J2965" i="3"/>
  <c r="J3786" i="3"/>
  <c r="H3786" i="3"/>
  <c r="I3786" i="3"/>
  <c r="J3861" i="3"/>
  <c r="H3861" i="3"/>
  <c r="I3861" i="3"/>
  <c r="I3859" i="3"/>
  <c r="H3859" i="3"/>
  <c r="J3859" i="3"/>
  <c r="J3002" i="3"/>
  <c r="H3002" i="3"/>
  <c r="I3002" i="3"/>
  <c r="J2970" i="3"/>
  <c r="H2970" i="3"/>
  <c r="I2970" i="3"/>
  <c r="J2953" i="3"/>
  <c r="J2947" i="3"/>
  <c r="H4462" i="3"/>
  <c r="I4462" i="3"/>
  <c r="J4462" i="3"/>
  <c r="J4415" i="3"/>
  <c r="H4415" i="3"/>
  <c r="I4415" i="3"/>
  <c r="J3690" i="3"/>
  <c r="I3690" i="3"/>
  <c r="H3690" i="3"/>
  <c r="J3688" i="3"/>
  <c r="I3688" i="3"/>
  <c r="H3688" i="3"/>
  <c r="I3623" i="3"/>
  <c r="J3623" i="3"/>
  <c r="H3623" i="3"/>
  <c r="J3591" i="3"/>
  <c r="I3591" i="3"/>
  <c r="H3591" i="3"/>
  <c r="J3228" i="3"/>
  <c r="H3228" i="3"/>
  <c r="I3228" i="3"/>
  <c r="J3196" i="3"/>
  <c r="H3196" i="3"/>
  <c r="I3196" i="3"/>
  <c r="J3224" i="3"/>
  <c r="H3224" i="3"/>
  <c r="I3224" i="3"/>
  <c r="I3132" i="3"/>
  <c r="J3132" i="3"/>
  <c r="H3132" i="3"/>
  <c r="J3518" i="3"/>
  <c r="H3518" i="3"/>
  <c r="I3518" i="3"/>
  <c r="J3185" i="3"/>
  <c r="I3185" i="3"/>
  <c r="H3185" i="3"/>
  <c r="I3168" i="3"/>
  <c r="J3168" i="3"/>
  <c r="H3168" i="3"/>
  <c r="H4109" i="3"/>
  <c r="J4109" i="3"/>
  <c r="I4109" i="3"/>
  <c r="J2979" i="3"/>
  <c r="H2979" i="3"/>
  <c r="I2979" i="3"/>
  <c r="J2956" i="3"/>
  <c r="I4029" i="3"/>
  <c r="J4029" i="3"/>
  <c r="H4029" i="3"/>
  <c r="J4042" i="3"/>
  <c r="H4042" i="3"/>
  <c r="I4042" i="3"/>
  <c r="J3424" i="3"/>
  <c r="I3424" i="3"/>
  <c r="H3424" i="3"/>
  <c r="J3422" i="3"/>
  <c r="I3422" i="3"/>
  <c r="H3422" i="3"/>
  <c r="J3405" i="3"/>
  <c r="H3405" i="3"/>
  <c r="I3405" i="3"/>
  <c r="J3042" i="3"/>
  <c r="I3042" i="3"/>
  <c r="H3042" i="3"/>
  <c r="J3888" i="3"/>
  <c r="I3888" i="3"/>
  <c r="H3888" i="3"/>
  <c r="I3347" i="3"/>
  <c r="H3347" i="3"/>
  <c r="J3347" i="3"/>
  <c r="J3330" i="3"/>
  <c r="H3330" i="3"/>
  <c r="I3330" i="3"/>
  <c r="I3343" i="3"/>
  <c r="H3343" i="3"/>
  <c r="J3343" i="3"/>
  <c r="I3041" i="3"/>
  <c r="H3026" i="3"/>
  <c r="I3071" i="3"/>
  <c r="I3026" i="3"/>
  <c r="J3116" i="3"/>
  <c r="H3116" i="3"/>
  <c r="J3071" i="3"/>
  <c r="J3101" i="3"/>
  <c r="J3086" i="3"/>
  <c r="J3041" i="3"/>
  <c r="I2999" i="3"/>
  <c r="H2999" i="3"/>
  <c r="H2998" i="3"/>
  <c r="I2998" i="3"/>
  <c r="H2997" i="3"/>
  <c r="I2997" i="3"/>
  <c r="H3086" i="3"/>
  <c r="I3086" i="3"/>
  <c r="I3116" i="3"/>
  <c r="I3101" i="3"/>
  <c r="I2942" i="3"/>
  <c r="I2938" i="3"/>
  <c r="I2946" i="3"/>
  <c r="I2941" i="3"/>
  <c r="H2938" i="3"/>
  <c r="H2948" i="3"/>
  <c r="H2946" i="3"/>
  <c r="I2945" i="3"/>
  <c r="H2941" i="3"/>
  <c r="I2948" i="3"/>
  <c r="H2945" i="3"/>
  <c r="I2947" i="3"/>
  <c r="H2947" i="3"/>
  <c r="H2949" i="3"/>
  <c r="H2943" i="3"/>
  <c r="I2949" i="3"/>
  <c r="I2943" i="3"/>
  <c r="H2950" i="3"/>
  <c r="I2939" i="3"/>
  <c r="I2950" i="3"/>
  <c r="H2942" i="3"/>
  <c r="H2944" i="3"/>
  <c r="H2940" i="3"/>
  <c r="I2944" i="3"/>
  <c r="I2940" i="3"/>
  <c r="H2939" i="3"/>
  <c r="H2956" i="3"/>
  <c r="H2963" i="3"/>
  <c r="I2960" i="3"/>
  <c r="H2962" i="3"/>
  <c r="I2959" i="3"/>
  <c r="I2961" i="3"/>
  <c r="I2963" i="3"/>
  <c r="I2955" i="3"/>
  <c r="I2957" i="3"/>
  <c r="H2957" i="3"/>
  <c r="H2965" i="3"/>
  <c r="H2960" i="3"/>
  <c r="H2953" i="3"/>
  <c r="H2964" i="3"/>
  <c r="I2956" i="3"/>
  <c r="I2965" i="3"/>
  <c r="I2954" i="3"/>
  <c r="I2962" i="3"/>
  <c r="H2955" i="3"/>
  <c r="H2958" i="3"/>
  <c r="H2961" i="3"/>
  <c r="H2959" i="3"/>
  <c r="I2953" i="3"/>
  <c r="I2964" i="3"/>
  <c r="I2958" i="3"/>
  <c r="H2954" i="3"/>
  <c r="H3206" i="3"/>
  <c r="I3206" i="3"/>
  <c r="I3851" i="3"/>
  <c r="I3297" i="3"/>
  <c r="H3297" i="3"/>
  <c r="I3881" i="3"/>
  <c r="I4271" i="3"/>
  <c r="H4271" i="3"/>
  <c r="I3866" i="3"/>
  <c r="H3866" i="3"/>
  <c r="H3327" i="3"/>
  <c r="I3327" i="3"/>
  <c r="H2937" i="3"/>
  <c r="H2936" i="3"/>
  <c r="I2937" i="3"/>
  <c r="J9609" i="3" l="1"/>
  <c r="H9609" i="3"/>
  <c r="I9609" i="3"/>
  <c r="J4286" i="3"/>
  <c r="J4271" i="3"/>
  <c r="J2952" i="3"/>
  <c r="J2967" i="3"/>
  <c r="H2967" i="3"/>
  <c r="I2967" i="3"/>
  <c r="J3881" i="3"/>
  <c r="J2951" i="3"/>
  <c r="J2936" i="3"/>
  <c r="J2996" i="3"/>
  <c r="I2996" i="3"/>
  <c r="H2996" i="3"/>
  <c r="J3011" i="3"/>
  <c r="I3011" i="3"/>
  <c r="H3011" i="3"/>
  <c r="J3014" i="3"/>
  <c r="H3014" i="3"/>
  <c r="I3014" i="3"/>
  <c r="J2999" i="3"/>
  <c r="J2939" i="3"/>
  <c r="J3884" i="3"/>
  <c r="I3884" i="3"/>
  <c r="H3884" i="3"/>
  <c r="J2998" i="3"/>
  <c r="J3883" i="3"/>
  <c r="I3883" i="3"/>
  <c r="H3883" i="3"/>
  <c r="I3013" i="3"/>
  <c r="J3013" i="3"/>
  <c r="H3013" i="3"/>
  <c r="J2938" i="3"/>
  <c r="J3882" i="3"/>
  <c r="J2937" i="3"/>
  <c r="J3012" i="3"/>
  <c r="J2997" i="3"/>
  <c r="I2929" i="3"/>
  <c r="H2931" i="3"/>
  <c r="I2931" i="3"/>
  <c r="H2929" i="3"/>
  <c r="H2933" i="3"/>
  <c r="A2" i="102"/>
  <c r="A1" i="102"/>
  <c r="I3012" i="3"/>
  <c r="H3012" i="3"/>
  <c r="H2951" i="3"/>
  <c r="I2951" i="3"/>
  <c r="I2952" i="3"/>
  <c r="H2952" i="3"/>
  <c r="I2932" i="3"/>
  <c r="I2933" i="3"/>
  <c r="H2930" i="3"/>
  <c r="H2932" i="3"/>
  <c r="I2930" i="3"/>
  <c r="H3882" i="3"/>
  <c r="I3882" i="3"/>
  <c r="I4286" i="3"/>
  <c r="H4286" i="3"/>
  <c r="I126" i="3" l="1"/>
  <c r="J127" i="3"/>
  <c r="I128" i="3"/>
  <c r="J129" i="3"/>
  <c r="J130" i="3"/>
  <c r="J131" i="3"/>
  <c r="J132" i="3"/>
  <c r="J133" i="3"/>
  <c r="J134" i="3"/>
  <c r="F125" i="3"/>
  <c r="G125" i="3"/>
  <c r="F126" i="3"/>
  <c r="G126" i="3"/>
  <c r="F127" i="3"/>
  <c r="G127" i="3"/>
  <c r="F128" i="3"/>
  <c r="G128" i="3"/>
  <c r="F129" i="3"/>
  <c r="G129" i="3"/>
  <c r="F130" i="3"/>
  <c r="G130" i="3"/>
  <c r="F131" i="3"/>
  <c r="G131" i="3"/>
  <c r="F132" i="3"/>
  <c r="G132" i="3"/>
  <c r="F133" i="3"/>
  <c r="G133" i="3"/>
  <c r="F134" i="3"/>
  <c r="G134" i="3"/>
  <c r="D66" i="3"/>
  <c r="D67" i="3"/>
  <c r="D68" i="3"/>
  <c r="D69" i="3"/>
  <c r="D70" i="3"/>
  <c r="D71" i="3"/>
  <c r="D72" i="3"/>
  <c r="D73" i="3"/>
  <c r="D74" i="3"/>
  <c r="D65" i="3"/>
  <c r="D44" i="3"/>
  <c r="J44" i="3" s="1"/>
  <c r="F44" i="3"/>
  <c r="G44" i="3"/>
  <c r="D56" i="3"/>
  <c r="J56" i="3" s="1"/>
  <c r="D57" i="3"/>
  <c r="I57" i="3" s="1"/>
  <c r="D58" i="3"/>
  <c r="J58" i="3" s="1"/>
  <c r="D59" i="3"/>
  <c r="I59" i="3" s="1"/>
  <c r="D60" i="3"/>
  <c r="J60" i="3" s="1"/>
  <c r="D61" i="3"/>
  <c r="I61" i="3" s="1"/>
  <c r="D62" i="3"/>
  <c r="J62" i="3" s="1"/>
  <c r="D63" i="3"/>
  <c r="I63" i="3" s="1"/>
  <c r="D64" i="3"/>
  <c r="J64" i="3" s="1"/>
  <c r="D55" i="3"/>
  <c r="I55" i="3" s="1"/>
  <c r="F55" i="3"/>
  <c r="G55" i="3"/>
  <c r="F56" i="3"/>
  <c r="G56" i="3"/>
  <c r="F57" i="3"/>
  <c r="G57" i="3"/>
  <c r="F58" i="3"/>
  <c r="G58" i="3"/>
  <c r="F59" i="3"/>
  <c r="G59" i="3"/>
  <c r="F60" i="3"/>
  <c r="G60" i="3"/>
  <c r="F61" i="3"/>
  <c r="G61" i="3"/>
  <c r="F62" i="3"/>
  <c r="G62" i="3"/>
  <c r="F63" i="3"/>
  <c r="G63" i="3"/>
  <c r="F64" i="3"/>
  <c r="G64" i="3"/>
  <c r="D45" i="3"/>
  <c r="D43" i="3"/>
  <c r="J43" i="3" s="1"/>
  <c r="F43" i="3"/>
  <c r="G43" i="3"/>
  <c r="D42" i="3"/>
  <c r="I42" i="3" s="1"/>
  <c r="F42" i="3"/>
  <c r="G42" i="3"/>
  <c r="I134" i="3"/>
  <c r="I125" i="3"/>
  <c r="H56" i="3" l="1"/>
  <c r="H134" i="3"/>
  <c r="I130" i="3"/>
  <c r="H130" i="3"/>
  <c r="H132" i="3"/>
  <c r="I132" i="3"/>
  <c r="I62" i="3"/>
  <c r="I129" i="3"/>
  <c r="H129" i="3"/>
  <c r="H131" i="3"/>
  <c r="I58" i="3"/>
  <c r="H60" i="3"/>
  <c r="I127" i="3"/>
  <c r="I60" i="3"/>
  <c r="H64" i="3"/>
  <c r="J128" i="3"/>
  <c r="I131" i="3"/>
  <c r="H128" i="3"/>
  <c r="I133" i="3"/>
  <c r="H133" i="3"/>
  <c r="H127" i="3"/>
  <c r="J126" i="3"/>
  <c r="J61" i="3"/>
  <c r="H61" i="3"/>
  <c r="I64" i="3"/>
  <c r="H126" i="3"/>
  <c r="I43" i="3"/>
  <c r="H43" i="3"/>
  <c r="J125" i="3"/>
  <c r="J63" i="3"/>
  <c r="J59" i="3"/>
  <c r="H59" i="3"/>
  <c r="J57" i="3"/>
  <c r="H63" i="3"/>
  <c r="H57" i="3"/>
  <c r="J55" i="3"/>
  <c r="J42" i="3"/>
  <c r="H62" i="3"/>
  <c r="H58" i="3"/>
  <c r="I56" i="3"/>
  <c r="H55" i="3"/>
  <c r="H42" i="3"/>
  <c r="H125" i="3"/>
  <c r="I44" i="3"/>
  <c r="H44" i="3"/>
  <c r="D54" i="3" l="1"/>
  <c r="D53" i="3"/>
  <c r="D52" i="3"/>
  <c r="D51" i="3"/>
  <c r="D50" i="3"/>
  <c r="D49" i="3"/>
  <c r="D48" i="3"/>
  <c r="D47" i="3"/>
  <c r="D46" i="3"/>
  <c r="D41" i="3"/>
  <c r="C60" i="83"/>
  <c r="C58" i="83"/>
  <c r="C56" i="83"/>
  <c r="C23" i="76" s="1"/>
  <c r="C59" i="83"/>
  <c r="C50" i="83"/>
  <c r="C48" i="83"/>
  <c r="C46" i="83"/>
  <c r="C21" i="76" s="1"/>
  <c r="C45" i="83"/>
  <c r="B21" i="76" s="1"/>
  <c r="C61" i="83"/>
  <c r="I2913" i="3"/>
  <c r="I2912" i="3"/>
  <c r="I2910" i="3"/>
  <c r="I2909" i="3"/>
  <c r="I2908" i="3"/>
  <c r="I2907" i="3"/>
  <c r="I2906" i="3"/>
  <c r="I2905" i="3"/>
  <c r="I2904" i="3"/>
  <c r="I2903" i="3"/>
  <c r="I2902" i="3"/>
  <c r="J2901" i="3"/>
  <c r="I2900" i="3"/>
  <c r="J2911" i="3"/>
  <c r="J2899" i="3"/>
  <c r="J2928" i="3"/>
  <c r="I2927" i="3"/>
  <c r="I2926" i="3"/>
  <c r="I2925" i="3"/>
  <c r="J2924" i="3"/>
  <c r="J2923" i="3"/>
  <c r="J2922" i="3"/>
  <c r="J2921" i="3"/>
  <c r="I2920" i="3"/>
  <c r="J2919" i="3"/>
  <c r="J2918" i="3"/>
  <c r="I2917" i="3"/>
  <c r="J2916" i="3"/>
  <c r="J2915" i="3"/>
  <c r="F2899" i="3"/>
  <c r="G2899" i="3"/>
  <c r="F2900" i="3"/>
  <c r="G2900" i="3"/>
  <c r="F2901" i="3"/>
  <c r="G2901" i="3"/>
  <c r="F2902" i="3"/>
  <c r="G2902" i="3"/>
  <c r="F2903" i="3"/>
  <c r="G2903" i="3"/>
  <c r="F2904" i="3"/>
  <c r="G2904" i="3"/>
  <c r="F2905" i="3"/>
  <c r="G2905" i="3"/>
  <c r="F2906" i="3"/>
  <c r="G2906" i="3"/>
  <c r="F2907" i="3"/>
  <c r="G2907" i="3"/>
  <c r="F2908" i="3"/>
  <c r="G2908" i="3"/>
  <c r="F2909" i="3"/>
  <c r="G2909" i="3"/>
  <c r="F2910" i="3"/>
  <c r="G2910" i="3"/>
  <c r="F2911" i="3"/>
  <c r="G2911" i="3"/>
  <c r="F2912" i="3"/>
  <c r="G2912" i="3"/>
  <c r="F2913" i="3"/>
  <c r="G2913" i="3"/>
  <c r="F2914" i="3"/>
  <c r="G2914" i="3"/>
  <c r="F2915" i="3"/>
  <c r="G2915" i="3"/>
  <c r="F2916" i="3"/>
  <c r="G2916" i="3"/>
  <c r="F2917" i="3"/>
  <c r="G2917" i="3"/>
  <c r="F2918" i="3"/>
  <c r="G2918" i="3"/>
  <c r="F2919" i="3"/>
  <c r="G2919" i="3"/>
  <c r="F2920" i="3"/>
  <c r="G2920" i="3"/>
  <c r="F2921" i="3"/>
  <c r="H2921" i="3" s="1"/>
  <c r="G2921" i="3"/>
  <c r="F2922" i="3"/>
  <c r="G2922" i="3"/>
  <c r="F2923" i="3"/>
  <c r="H2923" i="3" s="1"/>
  <c r="G2923" i="3"/>
  <c r="F2924" i="3"/>
  <c r="G2924" i="3"/>
  <c r="F2925" i="3"/>
  <c r="G2925" i="3"/>
  <c r="F2926" i="3"/>
  <c r="G2926" i="3"/>
  <c r="F2927" i="3"/>
  <c r="G2927" i="3"/>
  <c r="F2928" i="3"/>
  <c r="G2928" i="3"/>
  <c r="G2703" i="3"/>
  <c r="F2703" i="3"/>
  <c r="G2702" i="3"/>
  <c r="F2702" i="3"/>
  <c r="G2701" i="3"/>
  <c r="F2701" i="3"/>
  <c r="G2700" i="3"/>
  <c r="F2700" i="3"/>
  <c r="G2699" i="3"/>
  <c r="F2699" i="3"/>
  <c r="G2698" i="3"/>
  <c r="F2698" i="3"/>
  <c r="G2697" i="3"/>
  <c r="F2697" i="3"/>
  <c r="G2696" i="3"/>
  <c r="F2696" i="3"/>
  <c r="G2695" i="3"/>
  <c r="F2695" i="3"/>
  <c r="G2694" i="3"/>
  <c r="F2694" i="3"/>
  <c r="G2693" i="3"/>
  <c r="F2693" i="3"/>
  <c r="G2692" i="3"/>
  <c r="F2692" i="3"/>
  <c r="G2691" i="3"/>
  <c r="F2691" i="3"/>
  <c r="G2690" i="3"/>
  <c r="F2690" i="3"/>
  <c r="G2689" i="3"/>
  <c r="F2689" i="3"/>
  <c r="G2583" i="3"/>
  <c r="F2583" i="3"/>
  <c r="G2582" i="3"/>
  <c r="F2582" i="3"/>
  <c r="G2581" i="3"/>
  <c r="F2581" i="3"/>
  <c r="G2580" i="3"/>
  <c r="F2580" i="3"/>
  <c r="G2579" i="3"/>
  <c r="F2579" i="3"/>
  <c r="G2578" i="3"/>
  <c r="F2578" i="3"/>
  <c r="G2577" i="3"/>
  <c r="F2577" i="3"/>
  <c r="G2576" i="3"/>
  <c r="F2576" i="3"/>
  <c r="G2575" i="3"/>
  <c r="F2575" i="3"/>
  <c r="G2574" i="3"/>
  <c r="F2574" i="3"/>
  <c r="G2573" i="3"/>
  <c r="F2573" i="3"/>
  <c r="G2572" i="3"/>
  <c r="F2572" i="3"/>
  <c r="G2571" i="3"/>
  <c r="F2571" i="3"/>
  <c r="G2570" i="3"/>
  <c r="F2570" i="3"/>
  <c r="G2569" i="3"/>
  <c r="F2569" i="3"/>
  <c r="G2343" i="3"/>
  <c r="F2343" i="3"/>
  <c r="G2342" i="3"/>
  <c r="F2342" i="3"/>
  <c r="G2341" i="3"/>
  <c r="F2341" i="3"/>
  <c r="G2340" i="3"/>
  <c r="F2340" i="3"/>
  <c r="G2339" i="3"/>
  <c r="F2339" i="3"/>
  <c r="G2338" i="3"/>
  <c r="F2338" i="3"/>
  <c r="G2337" i="3"/>
  <c r="F2337" i="3"/>
  <c r="G2336" i="3"/>
  <c r="F2336" i="3"/>
  <c r="G2335" i="3"/>
  <c r="F2335" i="3"/>
  <c r="G2334" i="3"/>
  <c r="F2334" i="3"/>
  <c r="G2333" i="3"/>
  <c r="F2333" i="3"/>
  <c r="G2332" i="3"/>
  <c r="F2332" i="3"/>
  <c r="G2331" i="3"/>
  <c r="F2331" i="3"/>
  <c r="G2330" i="3"/>
  <c r="F2330" i="3"/>
  <c r="G2329" i="3"/>
  <c r="F2329" i="3"/>
  <c r="G2223" i="3"/>
  <c r="F2223" i="3"/>
  <c r="G2222" i="3"/>
  <c r="F2222" i="3"/>
  <c r="G2221" i="3"/>
  <c r="F2221" i="3"/>
  <c r="G2220" i="3"/>
  <c r="F2220" i="3"/>
  <c r="G2219" i="3"/>
  <c r="F2219" i="3"/>
  <c r="G2218" i="3"/>
  <c r="F2218" i="3"/>
  <c r="G2217" i="3"/>
  <c r="F2217" i="3"/>
  <c r="G2216" i="3"/>
  <c r="F2216" i="3"/>
  <c r="G2215" i="3"/>
  <c r="F2215" i="3"/>
  <c r="G2214" i="3"/>
  <c r="F2214" i="3"/>
  <c r="G2213" i="3"/>
  <c r="F2213" i="3"/>
  <c r="G2212" i="3"/>
  <c r="F2212" i="3"/>
  <c r="G2211" i="3"/>
  <c r="F2211" i="3"/>
  <c r="G2210" i="3"/>
  <c r="F2210" i="3"/>
  <c r="G2209" i="3"/>
  <c r="F2209" i="3"/>
  <c r="F2089" i="3"/>
  <c r="F2090" i="3"/>
  <c r="F2091" i="3"/>
  <c r="F2092" i="3"/>
  <c r="F2093" i="3"/>
  <c r="F2094" i="3"/>
  <c r="F2095" i="3"/>
  <c r="F2096" i="3"/>
  <c r="F2097" i="3"/>
  <c r="F2098" i="3"/>
  <c r="F2099" i="3"/>
  <c r="F2100" i="3"/>
  <c r="F2101" i="3"/>
  <c r="F2102" i="3"/>
  <c r="F2103" i="3"/>
  <c r="G2103" i="3"/>
  <c r="G2089" i="3"/>
  <c r="G2090" i="3"/>
  <c r="G2091" i="3"/>
  <c r="G2092" i="3"/>
  <c r="G2093" i="3"/>
  <c r="G2094" i="3"/>
  <c r="G2095" i="3"/>
  <c r="G2096" i="3"/>
  <c r="G2097" i="3"/>
  <c r="G2098" i="3"/>
  <c r="G2099" i="3"/>
  <c r="G2100" i="3"/>
  <c r="G2101" i="3"/>
  <c r="G2102" i="3"/>
  <c r="F154" i="3"/>
  <c r="G154" i="3"/>
  <c r="F155" i="3"/>
  <c r="G155" i="3"/>
  <c r="F156" i="3"/>
  <c r="G156" i="3"/>
  <c r="F157" i="3"/>
  <c r="G157" i="3"/>
  <c r="F158" i="3"/>
  <c r="G158" i="3"/>
  <c r="F159" i="3"/>
  <c r="G159" i="3"/>
  <c r="F160" i="3"/>
  <c r="G160" i="3"/>
  <c r="F161" i="3"/>
  <c r="G161" i="3"/>
  <c r="F162" i="3"/>
  <c r="G162" i="3"/>
  <c r="F163" i="3"/>
  <c r="G163" i="3"/>
  <c r="F164" i="3"/>
  <c r="G164" i="3"/>
  <c r="F165" i="3"/>
  <c r="G165" i="3"/>
  <c r="F166" i="3"/>
  <c r="G166" i="3"/>
  <c r="F167" i="3"/>
  <c r="G167" i="3"/>
  <c r="F168" i="3"/>
  <c r="G168" i="3"/>
  <c r="I813" i="3"/>
  <c r="I812" i="3"/>
  <c r="I811" i="3"/>
  <c r="I808" i="3"/>
  <c r="J807" i="3"/>
  <c r="J805" i="3"/>
  <c r="J803" i="3"/>
  <c r="J802" i="3"/>
  <c r="G2853" i="3"/>
  <c r="F2853" i="3"/>
  <c r="G2852" i="3"/>
  <c r="F2852" i="3"/>
  <c r="G2851" i="3"/>
  <c r="F2851" i="3"/>
  <c r="G2850" i="3"/>
  <c r="F2850" i="3"/>
  <c r="G2849" i="3"/>
  <c r="F2849" i="3"/>
  <c r="G2848" i="3"/>
  <c r="F2848" i="3"/>
  <c r="G2847" i="3"/>
  <c r="F2847" i="3"/>
  <c r="G2846" i="3"/>
  <c r="F2846" i="3"/>
  <c r="G2845" i="3"/>
  <c r="F2845" i="3"/>
  <c r="G2844" i="3"/>
  <c r="F2844" i="3"/>
  <c r="G2843" i="3"/>
  <c r="F2843" i="3"/>
  <c r="G2842" i="3"/>
  <c r="F2842" i="3"/>
  <c r="G2841" i="3"/>
  <c r="F2841" i="3"/>
  <c r="G2840" i="3"/>
  <c r="F2840" i="3"/>
  <c r="G2839" i="3"/>
  <c r="F2839" i="3"/>
  <c r="G2718" i="3"/>
  <c r="F2718" i="3"/>
  <c r="G2717" i="3"/>
  <c r="F2717" i="3"/>
  <c r="G2716" i="3"/>
  <c r="F2716" i="3"/>
  <c r="G2715" i="3"/>
  <c r="F2715" i="3"/>
  <c r="G2714" i="3"/>
  <c r="F2714" i="3"/>
  <c r="G2713" i="3"/>
  <c r="F2713" i="3"/>
  <c r="G2712" i="3"/>
  <c r="F2712" i="3"/>
  <c r="G2711" i="3"/>
  <c r="F2711" i="3"/>
  <c r="G2710" i="3"/>
  <c r="F2710" i="3"/>
  <c r="G2709" i="3"/>
  <c r="F2709" i="3"/>
  <c r="G2708" i="3"/>
  <c r="F2708" i="3"/>
  <c r="G2707" i="3"/>
  <c r="F2707" i="3"/>
  <c r="G2706" i="3"/>
  <c r="F2706" i="3"/>
  <c r="G2705" i="3"/>
  <c r="F2705" i="3"/>
  <c r="G2704" i="3"/>
  <c r="F2704" i="3"/>
  <c r="G2643" i="3"/>
  <c r="F2643" i="3"/>
  <c r="G2642" i="3"/>
  <c r="F2642" i="3"/>
  <c r="G2641" i="3"/>
  <c r="F2641" i="3"/>
  <c r="G2640" i="3"/>
  <c r="F2640" i="3"/>
  <c r="G2639" i="3"/>
  <c r="F2639" i="3"/>
  <c r="G2638" i="3"/>
  <c r="F2638" i="3"/>
  <c r="G2637" i="3"/>
  <c r="F2637" i="3"/>
  <c r="G2636" i="3"/>
  <c r="F2636" i="3"/>
  <c r="G2635" i="3"/>
  <c r="F2635" i="3"/>
  <c r="G2634" i="3"/>
  <c r="F2634" i="3"/>
  <c r="G2633" i="3"/>
  <c r="F2633" i="3"/>
  <c r="G2632" i="3"/>
  <c r="F2632" i="3"/>
  <c r="G2631" i="3"/>
  <c r="F2631" i="3"/>
  <c r="G2630" i="3"/>
  <c r="F2630" i="3"/>
  <c r="G2629" i="3"/>
  <c r="F2629" i="3"/>
  <c r="G2778" i="3"/>
  <c r="F2778" i="3"/>
  <c r="G2777" i="3"/>
  <c r="F2777" i="3"/>
  <c r="G2776" i="3"/>
  <c r="F2776" i="3"/>
  <c r="G2775" i="3"/>
  <c r="F2775" i="3"/>
  <c r="G2774" i="3"/>
  <c r="F2774" i="3"/>
  <c r="G2773" i="3"/>
  <c r="F2773" i="3"/>
  <c r="G2772" i="3"/>
  <c r="F2772" i="3"/>
  <c r="G2771" i="3"/>
  <c r="F2771" i="3"/>
  <c r="G2770" i="3"/>
  <c r="F2770" i="3"/>
  <c r="G2769" i="3"/>
  <c r="F2769" i="3"/>
  <c r="G2768" i="3"/>
  <c r="F2768" i="3"/>
  <c r="G2767" i="3"/>
  <c r="F2767" i="3"/>
  <c r="G2766" i="3"/>
  <c r="F2766" i="3"/>
  <c r="G2765" i="3"/>
  <c r="F2765" i="3"/>
  <c r="G2764" i="3"/>
  <c r="F2764" i="3"/>
  <c r="G2358" i="3"/>
  <c r="F2358" i="3"/>
  <c r="G2357" i="3"/>
  <c r="F2357" i="3"/>
  <c r="G2356" i="3"/>
  <c r="F2356" i="3"/>
  <c r="G2355" i="3"/>
  <c r="F2355" i="3"/>
  <c r="G2354" i="3"/>
  <c r="F2354" i="3"/>
  <c r="G2353" i="3"/>
  <c r="F2353" i="3"/>
  <c r="G2352" i="3"/>
  <c r="F2352" i="3"/>
  <c r="G2351" i="3"/>
  <c r="F2351" i="3"/>
  <c r="G2350" i="3"/>
  <c r="F2350" i="3"/>
  <c r="G2349" i="3"/>
  <c r="F2349" i="3"/>
  <c r="G2348" i="3"/>
  <c r="F2348" i="3"/>
  <c r="G2347" i="3"/>
  <c r="F2347" i="3"/>
  <c r="G2346" i="3"/>
  <c r="F2346" i="3"/>
  <c r="G2345" i="3"/>
  <c r="F2345" i="3"/>
  <c r="G2344" i="3"/>
  <c r="F2344" i="3"/>
  <c r="G2298" i="3"/>
  <c r="F2298" i="3"/>
  <c r="G2297" i="3"/>
  <c r="F2297" i="3"/>
  <c r="G2296" i="3"/>
  <c r="F2296" i="3"/>
  <c r="G2295" i="3"/>
  <c r="F2295" i="3"/>
  <c r="G2294" i="3"/>
  <c r="F2294" i="3"/>
  <c r="G2293" i="3"/>
  <c r="F2293" i="3"/>
  <c r="G2292" i="3"/>
  <c r="F2292" i="3"/>
  <c r="G2291" i="3"/>
  <c r="F2291" i="3"/>
  <c r="G2290" i="3"/>
  <c r="F2290" i="3"/>
  <c r="G2289" i="3"/>
  <c r="F2289" i="3"/>
  <c r="G2288" i="3"/>
  <c r="F2288" i="3"/>
  <c r="G2287" i="3"/>
  <c r="F2287" i="3"/>
  <c r="G2286" i="3"/>
  <c r="F2286" i="3"/>
  <c r="G2285" i="3"/>
  <c r="F2285" i="3"/>
  <c r="G2284" i="3"/>
  <c r="F2284" i="3"/>
  <c r="G2238" i="3"/>
  <c r="F2238" i="3"/>
  <c r="G2237" i="3"/>
  <c r="F2237" i="3"/>
  <c r="G2236" i="3"/>
  <c r="F2236" i="3"/>
  <c r="G2235" i="3"/>
  <c r="F2235" i="3"/>
  <c r="G2234" i="3"/>
  <c r="F2234" i="3"/>
  <c r="G2233" i="3"/>
  <c r="F2233" i="3"/>
  <c r="G2232" i="3"/>
  <c r="F2232" i="3"/>
  <c r="G2231" i="3"/>
  <c r="F2231" i="3"/>
  <c r="G2230" i="3"/>
  <c r="F2230" i="3"/>
  <c r="G2229" i="3"/>
  <c r="F2229" i="3"/>
  <c r="G2228" i="3"/>
  <c r="F2228" i="3"/>
  <c r="G2227" i="3"/>
  <c r="F2227" i="3"/>
  <c r="G2226" i="3"/>
  <c r="F2226" i="3"/>
  <c r="G2225" i="3"/>
  <c r="F2225" i="3"/>
  <c r="G2224" i="3"/>
  <c r="F2224" i="3"/>
  <c r="G2163" i="3"/>
  <c r="F2163" i="3"/>
  <c r="G2162" i="3"/>
  <c r="F2162" i="3"/>
  <c r="G2161" i="3"/>
  <c r="F2161" i="3"/>
  <c r="G2160" i="3"/>
  <c r="F2160" i="3"/>
  <c r="G2159" i="3"/>
  <c r="F2159" i="3"/>
  <c r="G2158" i="3"/>
  <c r="F2158" i="3"/>
  <c r="G2157" i="3"/>
  <c r="F2157" i="3"/>
  <c r="G2156" i="3"/>
  <c r="F2156" i="3"/>
  <c r="G2155" i="3"/>
  <c r="F2155" i="3"/>
  <c r="G2154" i="3"/>
  <c r="F2154" i="3"/>
  <c r="G2153" i="3"/>
  <c r="F2153" i="3"/>
  <c r="G2152" i="3"/>
  <c r="F2152" i="3"/>
  <c r="G2151" i="3"/>
  <c r="F2151" i="3"/>
  <c r="G2150" i="3"/>
  <c r="F2150" i="3"/>
  <c r="G2149" i="3"/>
  <c r="F2149" i="3"/>
  <c r="G724" i="3"/>
  <c r="G725" i="3"/>
  <c r="G726" i="3"/>
  <c r="G727" i="3"/>
  <c r="G728" i="3"/>
  <c r="G729" i="3"/>
  <c r="G730" i="3"/>
  <c r="G731" i="3"/>
  <c r="G732" i="3"/>
  <c r="G733" i="3"/>
  <c r="G734" i="3"/>
  <c r="G735" i="3"/>
  <c r="G736" i="3"/>
  <c r="G737" i="3"/>
  <c r="G738" i="3"/>
  <c r="F738" i="3"/>
  <c r="F737" i="3"/>
  <c r="F736" i="3"/>
  <c r="F735" i="3"/>
  <c r="F734" i="3"/>
  <c r="F733" i="3"/>
  <c r="F732" i="3"/>
  <c r="F731" i="3"/>
  <c r="F730" i="3"/>
  <c r="F729" i="3"/>
  <c r="F728" i="3"/>
  <c r="F727" i="3"/>
  <c r="F726" i="3"/>
  <c r="F725" i="3"/>
  <c r="F724" i="3"/>
  <c r="F574" i="3"/>
  <c r="G574" i="3"/>
  <c r="F575" i="3"/>
  <c r="G575" i="3"/>
  <c r="F576" i="3"/>
  <c r="G576" i="3"/>
  <c r="F577" i="3"/>
  <c r="G577" i="3"/>
  <c r="F578" i="3"/>
  <c r="G578" i="3"/>
  <c r="F579" i="3"/>
  <c r="G579" i="3"/>
  <c r="F580" i="3"/>
  <c r="G580" i="3"/>
  <c r="F581" i="3"/>
  <c r="G581" i="3"/>
  <c r="F582" i="3"/>
  <c r="G582" i="3"/>
  <c r="F583" i="3"/>
  <c r="G583" i="3"/>
  <c r="F584" i="3"/>
  <c r="G584" i="3"/>
  <c r="F585" i="3"/>
  <c r="G585" i="3"/>
  <c r="F586" i="3"/>
  <c r="G586" i="3"/>
  <c r="F587" i="3"/>
  <c r="G587" i="3"/>
  <c r="F588" i="3"/>
  <c r="G588" i="3"/>
  <c r="I2898" i="3"/>
  <c r="J2897" i="3"/>
  <c r="I2896" i="3"/>
  <c r="J2895" i="3"/>
  <c r="I2894" i="3"/>
  <c r="J2893" i="3"/>
  <c r="J2892" i="3"/>
  <c r="J2891" i="3"/>
  <c r="J2890" i="3"/>
  <c r="J2889" i="3"/>
  <c r="I2888" i="3"/>
  <c r="J2887" i="3"/>
  <c r="I2886" i="3"/>
  <c r="J2885" i="3"/>
  <c r="I2884" i="3"/>
  <c r="J2883" i="3"/>
  <c r="I2882" i="3"/>
  <c r="J2881" i="3"/>
  <c r="J2880" i="3"/>
  <c r="J2879" i="3"/>
  <c r="J2878" i="3"/>
  <c r="J2877" i="3"/>
  <c r="I2876" i="3"/>
  <c r="J2875" i="3"/>
  <c r="I2874" i="3"/>
  <c r="J2873" i="3"/>
  <c r="J2872" i="3"/>
  <c r="J2871" i="3"/>
  <c r="J2870" i="3"/>
  <c r="J2869" i="3"/>
  <c r="J2868" i="3"/>
  <c r="J2867" i="3"/>
  <c r="J2866" i="3"/>
  <c r="J2865" i="3"/>
  <c r="J2864" i="3"/>
  <c r="J2863" i="3"/>
  <c r="J2862" i="3"/>
  <c r="J2861" i="3"/>
  <c r="J2860" i="3"/>
  <c r="J2859" i="3"/>
  <c r="J2858" i="3"/>
  <c r="J2857" i="3"/>
  <c r="J2856" i="3"/>
  <c r="J2855" i="3"/>
  <c r="J2854" i="3"/>
  <c r="G2898" i="3"/>
  <c r="F2898" i="3"/>
  <c r="G2897" i="3"/>
  <c r="F2897" i="3"/>
  <c r="G2896" i="3"/>
  <c r="F2896" i="3"/>
  <c r="H2896" i="3" s="1"/>
  <c r="G2895" i="3"/>
  <c r="F2895" i="3"/>
  <c r="G2894" i="3"/>
  <c r="F2894" i="3"/>
  <c r="G2893" i="3"/>
  <c r="F2893" i="3"/>
  <c r="G2892" i="3"/>
  <c r="F2892" i="3"/>
  <c r="G2891" i="3"/>
  <c r="F2891" i="3"/>
  <c r="G2890" i="3"/>
  <c r="F2890" i="3"/>
  <c r="G2889" i="3"/>
  <c r="F2889" i="3"/>
  <c r="G2888" i="3"/>
  <c r="F2888" i="3"/>
  <c r="G2887" i="3"/>
  <c r="F2887" i="3"/>
  <c r="G2886" i="3"/>
  <c r="F2886" i="3"/>
  <c r="G2885" i="3"/>
  <c r="F2885" i="3"/>
  <c r="G2884" i="3"/>
  <c r="F2884" i="3"/>
  <c r="G2883" i="3"/>
  <c r="F2883" i="3"/>
  <c r="G2882" i="3"/>
  <c r="F2882" i="3"/>
  <c r="G2881" i="3"/>
  <c r="F2881" i="3"/>
  <c r="G2880" i="3"/>
  <c r="F2880" i="3"/>
  <c r="G2879" i="3"/>
  <c r="F2879" i="3"/>
  <c r="G2878" i="3"/>
  <c r="F2878" i="3"/>
  <c r="G2877" i="3"/>
  <c r="F2877" i="3"/>
  <c r="G2876" i="3"/>
  <c r="F2876" i="3"/>
  <c r="G2875" i="3"/>
  <c r="F2875" i="3"/>
  <c r="G2874" i="3"/>
  <c r="F2874" i="3"/>
  <c r="G2873" i="3"/>
  <c r="F2873" i="3"/>
  <c r="G2872" i="3"/>
  <c r="F2872" i="3"/>
  <c r="G2871" i="3"/>
  <c r="F2871" i="3"/>
  <c r="G2870" i="3"/>
  <c r="F2870" i="3"/>
  <c r="G2869" i="3"/>
  <c r="F2869" i="3"/>
  <c r="G2868" i="3"/>
  <c r="F2868" i="3"/>
  <c r="G2867" i="3"/>
  <c r="F2867" i="3"/>
  <c r="G2866" i="3"/>
  <c r="F2866" i="3"/>
  <c r="G2865" i="3"/>
  <c r="F2865" i="3"/>
  <c r="G2864" i="3"/>
  <c r="F2864" i="3"/>
  <c r="G2863" i="3"/>
  <c r="F2863" i="3"/>
  <c r="G2862" i="3"/>
  <c r="F2862" i="3"/>
  <c r="G2861" i="3"/>
  <c r="F2861" i="3"/>
  <c r="G2860" i="3"/>
  <c r="F2860" i="3"/>
  <c r="G2859" i="3"/>
  <c r="F2859" i="3"/>
  <c r="G2858" i="3"/>
  <c r="F2858" i="3"/>
  <c r="G2857" i="3"/>
  <c r="F2857" i="3"/>
  <c r="G2856" i="3"/>
  <c r="F2856" i="3"/>
  <c r="G2855" i="3"/>
  <c r="F2855" i="3"/>
  <c r="G2854" i="3"/>
  <c r="F2854" i="3"/>
  <c r="J2763" i="3"/>
  <c r="I2761" i="3"/>
  <c r="J2760" i="3"/>
  <c r="J2759" i="3"/>
  <c r="J2758" i="3"/>
  <c r="J2757" i="3"/>
  <c r="J2756" i="3"/>
  <c r="J2755" i="3"/>
  <c r="J2754" i="3"/>
  <c r="J2753" i="3"/>
  <c r="J2752" i="3"/>
  <c r="J2751" i="3"/>
  <c r="J2750" i="3"/>
  <c r="J2749" i="3"/>
  <c r="J2748" i="3"/>
  <c r="J2747" i="3"/>
  <c r="J2746" i="3"/>
  <c r="J2745" i="3"/>
  <c r="J2744" i="3"/>
  <c r="J2743" i="3"/>
  <c r="J2742" i="3"/>
  <c r="J2741" i="3"/>
  <c r="J2740" i="3"/>
  <c r="J2739" i="3"/>
  <c r="J2738" i="3"/>
  <c r="J2737" i="3"/>
  <c r="J2736" i="3"/>
  <c r="I2735" i="3"/>
  <c r="J2734" i="3"/>
  <c r="J2733" i="3"/>
  <c r="J2732" i="3"/>
  <c r="I2731" i="3"/>
  <c r="J2730" i="3"/>
  <c r="I2729" i="3"/>
  <c r="J2728" i="3"/>
  <c r="I2727" i="3"/>
  <c r="J2726" i="3"/>
  <c r="J2725" i="3"/>
  <c r="J2724" i="3"/>
  <c r="J2723" i="3"/>
  <c r="J2722" i="3"/>
  <c r="I2721" i="3"/>
  <c r="J2720" i="3"/>
  <c r="I2719" i="3"/>
  <c r="G2763" i="3"/>
  <c r="F2763" i="3"/>
  <c r="G2762" i="3"/>
  <c r="F2762" i="3"/>
  <c r="J2762" i="3"/>
  <c r="J2761" i="3"/>
  <c r="G2761" i="3"/>
  <c r="F2761" i="3"/>
  <c r="G2760" i="3"/>
  <c r="F2760" i="3"/>
  <c r="G2759" i="3"/>
  <c r="F2759" i="3"/>
  <c r="G2758" i="3"/>
  <c r="F2758" i="3"/>
  <c r="G2757" i="3"/>
  <c r="F2757" i="3"/>
  <c r="G2756" i="3"/>
  <c r="F2756" i="3"/>
  <c r="G2755" i="3"/>
  <c r="F2755" i="3"/>
  <c r="G2754" i="3"/>
  <c r="F2754" i="3"/>
  <c r="G2753" i="3"/>
  <c r="F2753" i="3"/>
  <c r="G2752" i="3"/>
  <c r="F2752" i="3"/>
  <c r="G2751" i="3"/>
  <c r="F2751" i="3"/>
  <c r="G2750" i="3"/>
  <c r="F2750" i="3"/>
  <c r="G2749" i="3"/>
  <c r="F2749" i="3"/>
  <c r="G2748" i="3"/>
  <c r="F2748" i="3"/>
  <c r="G2747" i="3"/>
  <c r="F2747" i="3"/>
  <c r="G2746" i="3"/>
  <c r="F2746" i="3"/>
  <c r="G2745" i="3"/>
  <c r="F2745" i="3"/>
  <c r="G2744" i="3"/>
  <c r="F2744" i="3"/>
  <c r="G2743" i="3"/>
  <c r="F2743" i="3"/>
  <c r="G2742" i="3"/>
  <c r="F2742" i="3"/>
  <c r="G2741" i="3"/>
  <c r="F2741" i="3"/>
  <c r="G2740" i="3"/>
  <c r="F2740" i="3"/>
  <c r="G2739" i="3"/>
  <c r="F2739" i="3"/>
  <c r="G2738" i="3"/>
  <c r="F2738" i="3"/>
  <c r="G2737" i="3"/>
  <c r="F2737" i="3"/>
  <c r="G2736" i="3"/>
  <c r="F2736" i="3"/>
  <c r="G2735" i="3"/>
  <c r="F2735" i="3"/>
  <c r="G2734" i="3"/>
  <c r="F2734" i="3"/>
  <c r="G2733" i="3"/>
  <c r="F2733" i="3"/>
  <c r="G2732" i="3"/>
  <c r="F2732" i="3"/>
  <c r="G2731" i="3"/>
  <c r="F2731" i="3"/>
  <c r="G2730" i="3"/>
  <c r="F2730" i="3"/>
  <c r="G2729" i="3"/>
  <c r="F2729" i="3"/>
  <c r="G2728" i="3"/>
  <c r="F2728" i="3"/>
  <c r="G2727" i="3"/>
  <c r="F2727" i="3"/>
  <c r="G2726" i="3"/>
  <c r="F2726" i="3"/>
  <c r="G2725" i="3"/>
  <c r="F2725" i="3"/>
  <c r="G2724" i="3"/>
  <c r="F2724" i="3"/>
  <c r="G2723" i="3"/>
  <c r="F2723" i="3"/>
  <c r="G2722" i="3"/>
  <c r="F2722" i="3"/>
  <c r="G2721" i="3"/>
  <c r="F2721" i="3"/>
  <c r="G2720" i="3"/>
  <c r="F2720" i="3"/>
  <c r="G2719" i="3"/>
  <c r="F2719" i="3"/>
  <c r="I2628" i="3"/>
  <c r="J2627" i="3"/>
  <c r="J2626" i="3"/>
  <c r="J2625" i="3"/>
  <c r="J2624" i="3"/>
  <c r="J2623" i="3"/>
  <c r="I2622" i="3"/>
  <c r="J2621" i="3"/>
  <c r="J2620" i="3"/>
  <c r="J2619" i="3"/>
  <c r="J2618" i="3"/>
  <c r="J2617" i="3"/>
  <c r="I2616" i="3"/>
  <c r="J2615" i="3"/>
  <c r="I2614" i="3"/>
  <c r="J2613" i="3"/>
  <c r="I2612" i="3"/>
  <c r="J2611" i="3"/>
  <c r="I2610" i="3"/>
  <c r="J2609" i="3"/>
  <c r="I2608" i="3"/>
  <c r="J2607" i="3"/>
  <c r="I2606" i="3"/>
  <c r="J2605" i="3"/>
  <c r="I2604" i="3"/>
  <c r="J2603" i="3"/>
  <c r="J2602" i="3"/>
  <c r="J2601" i="3"/>
  <c r="J2600" i="3"/>
  <c r="J2599" i="3"/>
  <c r="J2598" i="3"/>
  <c r="J2597" i="3"/>
  <c r="J2596" i="3"/>
  <c r="J2595" i="3"/>
  <c r="J2594" i="3"/>
  <c r="J2593" i="3"/>
  <c r="J2592" i="3"/>
  <c r="J2591" i="3"/>
  <c r="J2590" i="3"/>
  <c r="J2589" i="3"/>
  <c r="J2588" i="3"/>
  <c r="J2587" i="3"/>
  <c r="J2586" i="3"/>
  <c r="J2585" i="3"/>
  <c r="J2584" i="3"/>
  <c r="G2628" i="3"/>
  <c r="F2628" i="3"/>
  <c r="G2627" i="3"/>
  <c r="F2627" i="3"/>
  <c r="G2626" i="3"/>
  <c r="F2626" i="3"/>
  <c r="G2625" i="3"/>
  <c r="F2625" i="3"/>
  <c r="G2624" i="3"/>
  <c r="F2624" i="3"/>
  <c r="G2623" i="3"/>
  <c r="F2623" i="3"/>
  <c r="G2622" i="3"/>
  <c r="F2622" i="3"/>
  <c r="G2621" i="3"/>
  <c r="F2621" i="3"/>
  <c r="G2620" i="3"/>
  <c r="F2620" i="3"/>
  <c r="G2619" i="3"/>
  <c r="F2619" i="3"/>
  <c r="G2618" i="3"/>
  <c r="F2618" i="3"/>
  <c r="G2617" i="3"/>
  <c r="F2617" i="3"/>
  <c r="G2616" i="3"/>
  <c r="F2616" i="3"/>
  <c r="G2615" i="3"/>
  <c r="F2615" i="3"/>
  <c r="G2614" i="3"/>
  <c r="F2614" i="3"/>
  <c r="G2613" i="3"/>
  <c r="F2613" i="3"/>
  <c r="G2612" i="3"/>
  <c r="F2612" i="3"/>
  <c r="G2611" i="3"/>
  <c r="F2611" i="3"/>
  <c r="G2610" i="3"/>
  <c r="F2610" i="3"/>
  <c r="G2609" i="3"/>
  <c r="F2609" i="3"/>
  <c r="G2608" i="3"/>
  <c r="F2608" i="3"/>
  <c r="G2607" i="3"/>
  <c r="F2607" i="3"/>
  <c r="G2606" i="3"/>
  <c r="F2606" i="3"/>
  <c r="G2605" i="3"/>
  <c r="F2605" i="3"/>
  <c r="G2604" i="3"/>
  <c r="F2604" i="3"/>
  <c r="G2603" i="3"/>
  <c r="F2603" i="3"/>
  <c r="G2602" i="3"/>
  <c r="F2602" i="3"/>
  <c r="G2601" i="3"/>
  <c r="F2601" i="3"/>
  <c r="G2600" i="3"/>
  <c r="F2600" i="3"/>
  <c r="G2599" i="3"/>
  <c r="F2599" i="3"/>
  <c r="G2598" i="3"/>
  <c r="F2598" i="3"/>
  <c r="G2597" i="3"/>
  <c r="F2597" i="3"/>
  <c r="G2596" i="3"/>
  <c r="F2596" i="3"/>
  <c r="G2595" i="3"/>
  <c r="F2595" i="3"/>
  <c r="G2594" i="3"/>
  <c r="F2594" i="3"/>
  <c r="G2593" i="3"/>
  <c r="F2593" i="3"/>
  <c r="G2592" i="3"/>
  <c r="F2592" i="3"/>
  <c r="G2591" i="3"/>
  <c r="F2591" i="3"/>
  <c r="G2590" i="3"/>
  <c r="F2590" i="3"/>
  <c r="G2589" i="3"/>
  <c r="F2589" i="3"/>
  <c r="G2588" i="3"/>
  <c r="F2588" i="3"/>
  <c r="G2587" i="3"/>
  <c r="F2587" i="3"/>
  <c r="G2586" i="3"/>
  <c r="F2586" i="3"/>
  <c r="G2585" i="3"/>
  <c r="F2585" i="3"/>
  <c r="G2584" i="3"/>
  <c r="F2584" i="3"/>
  <c r="G2688" i="3"/>
  <c r="F2688" i="3"/>
  <c r="G2687" i="3"/>
  <c r="F2687" i="3"/>
  <c r="G2686" i="3"/>
  <c r="F2686" i="3"/>
  <c r="G2685" i="3"/>
  <c r="F2685" i="3"/>
  <c r="G2684" i="3"/>
  <c r="F2684" i="3"/>
  <c r="G2683" i="3"/>
  <c r="F2683" i="3"/>
  <c r="G2682" i="3"/>
  <c r="F2682" i="3"/>
  <c r="G2681" i="3"/>
  <c r="F2681" i="3"/>
  <c r="G2680" i="3"/>
  <c r="F2680" i="3"/>
  <c r="G2679" i="3"/>
  <c r="F2679" i="3"/>
  <c r="G2678" i="3"/>
  <c r="F2678" i="3"/>
  <c r="G2677" i="3"/>
  <c r="F2677" i="3"/>
  <c r="G2676" i="3"/>
  <c r="F2676" i="3"/>
  <c r="G2675" i="3"/>
  <c r="F2675" i="3"/>
  <c r="G2674" i="3"/>
  <c r="F2674" i="3"/>
  <c r="G2673" i="3"/>
  <c r="F2673" i="3"/>
  <c r="G2672" i="3"/>
  <c r="F2672" i="3"/>
  <c r="G2671" i="3"/>
  <c r="F2671" i="3"/>
  <c r="G2670" i="3"/>
  <c r="F2670" i="3"/>
  <c r="G2669" i="3"/>
  <c r="F2669" i="3"/>
  <c r="G2668" i="3"/>
  <c r="F2668" i="3"/>
  <c r="G2667" i="3"/>
  <c r="F2667" i="3"/>
  <c r="G2666" i="3"/>
  <c r="F2666" i="3"/>
  <c r="G2665" i="3"/>
  <c r="F2665" i="3"/>
  <c r="G2664" i="3"/>
  <c r="F2664" i="3"/>
  <c r="G2663" i="3"/>
  <c r="F2663" i="3"/>
  <c r="G2662" i="3"/>
  <c r="F2662" i="3"/>
  <c r="G2661" i="3"/>
  <c r="F2661" i="3"/>
  <c r="G2660" i="3"/>
  <c r="F2660" i="3"/>
  <c r="G2659" i="3"/>
  <c r="F2659" i="3"/>
  <c r="G2658" i="3"/>
  <c r="F2658" i="3"/>
  <c r="G2657" i="3"/>
  <c r="F2657" i="3"/>
  <c r="G2656" i="3"/>
  <c r="F2656" i="3"/>
  <c r="G2655" i="3"/>
  <c r="F2655" i="3"/>
  <c r="G2654" i="3"/>
  <c r="F2654" i="3"/>
  <c r="G2653" i="3"/>
  <c r="F2653" i="3"/>
  <c r="G2652" i="3"/>
  <c r="F2652" i="3"/>
  <c r="G2651" i="3"/>
  <c r="F2651" i="3"/>
  <c r="G2650" i="3"/>
  <c r="F2650" i="3"/>
  <c r="G2649" i="3"/>
  <c r="F2649" i="3"/>
  <c r="G2648" i="3"/>
  <c r="F2648" i="3"/>
  <c r="G2647" i="3"/>
  <c r="F2647" i="3"/>
  <c r="G2646" i="3"/>
  <c r="F2646" i="3"/>
  <c r="G2645" i="3"/>
  <c r="F2645" i="3"/>
  <c r="G2644" i="3"/>
  <c r="F2644" i="3"/>
  <c r="G2568" i="3"/>
  <c r="F2568" i="3"/>
  <c r="G2567" i="3"/>
  <c r="F2567" i="3"/>
  <c r="G2566" i="3"/>
  <c r="F2566" i="3"/>
  <c r="G2565" i="3"/>
  <c r="F2565" i="3"/>
  <c r="G2564" i="3"/>
  <c r="F2564" i="3"/>
  <c r="G2563" i="3"/>
  <c r="F2563" i="3"/>
  <c r="G2562" i="3"/>
  <c r="F2562" i="3"/>
  <c r="G2561" i="3"/>
  <c r="F2561" i="3"/>
  <c r="G2560" i="3"/>
  <c r="F2560" i="3"/>
  <c r="G2559" i="3"/>
  <c r="F2559" i="3"/>
  <c r="G2558" i="3"/>
  <c r="F2558" i="3"/>
  <c r="G2557" i="3"/>
  <c r="F2557" i="3"/>
  <c r="G2556" i="3"/>
  <c r="F2556" i="3"/>
  <c r="G2555" i="3"/>
  <c r="F2555" i="3"/>
  <c r="G2554" i="3"/>
  <c r="F2554" i="3"/>
  <c r="G2553" i="3"/>
  <c r="F2553" i="3"/>
  <c r="G2552" i="3"/>
  <c r="F2552" i="3"/>
  <c r="G2551" i="3"/>
  <c r="F2551" i="3"/>
  <c r="G2550" i="3"/>
  <c r="F2550" i="3"/>
  <c r="G2549" i="3"/>
  <c r="F2549" i="3"/>
  <c r="G2548" i="3"/>
  <c r="F2548" i="3"/>
  <c r="G2547" i="3"/>
  <c r="F2547" i="3"/>
  <c r="G2546" i="3"/>
  <c r="F2546" i="3"/>
  <c r="G2545" i="3"/>
  <c r="F2545" i="3"/>
  <c r="G2544" i="3"/>
  <c r="F2544" i="3"/>
  <c r="G2543" i="3"/>
  <c r="F2543" i="3"/>
  <c r="G2542" i="3"/>
  <c r="F2542" i="3"/>
  <c r="G2541" i="3"/>
  <c r="F2541" i="3"/>
  <c r="G2540" i="3"/>
  <c r="F2540" i="3"/>
  <c r="G2539" i="3"/>
  <c r="F2539" i="3"/>
  <c r="G2538" i="3"/>
  <c r="F2538" i="3"/>
  <c r="G2537" i="3"/>
  <c r="F2537" i="3"/>
  <c r="G2536" i="3"/>
  <c r="F2536" i="3"/>
  <c r="G2535" i="3"/>
  <c r="F2535" i="3"/>
  <c r="G2534" i="3"/>
  <c r="F2534" i="3"/>
  <c r="G2533" i="3"/>
  <c r="F2533" i="3"/>
  <c r="G2532" i="3"/>
  <c r="F2532" i="3"/>
  <c r="G2531" i="3"/>
  <c r="F2531" i="3"/>
  <c r="G2530" i="3"/>
  <c r="F2530" i="3"/>
  <c r="G2529" i="3"/>
  <c r="F2529" i="3"/>
  <c r="G2528" i="3"/>
  <c r="F2528" i="3"/>
  <c r="G2527" i="3"/>
  <c r="F2527" i="3"/>
  <c r="G2526" i="3"/>
  <c r="F2526" i="3"/>
  <c r="G2525" i="3"/>
  <c r="F2525" i="3"/>
  <c r="G2524" i="3"/>
  <c r="F2524" i="3"/>
  <c r="J2463" i="3"/>
  <c r="J2462" i="3"/>
  <c r="J2461" i="3"/>
  <c r="J2460" i="3"/>
  <c r="J2459" i="3"/>
  <c r="J2458" i="3"/>
  <c r="J2457" i="3"/>
  <c r="J2456" i="3"/>
  <c r="J2455" i="3"/>
  <c r="J2454" i="3"/>
  <c r="J2453" i="3"/>
  <c r="J2452" i="3"/>
  <c r="J2451" i="3"/>
  <c r="J2450" i="3"/>
  <c r="J2449" i="3"/>
  <c r="J2448" i="3"/>
  <c r="J2447" i="3"/>
  <c r="J2446" i="3"/>
  <c r="J2445" i="3"/>
  <c r="J2444" i="3"/>
  <c r="J2443" i="3"/>
  <c r="J2442" i="3"/>
  <c r="J2441" i="3"/>
  <c r="J2440" i="3"/>
  <c r="J2439" i="3"/>
  <c r="J2438" i="3"/>
  <c r="J2437" i="3"/>
  <c r="J2436" i="3"/>
  <c r="J2435" i="3"/>
  <c r="J2434" i="3"/>
  <c r="J2433" i="3"/>
  <c r="J2432" i="3"/>
  <c r="J2431" i="3"/>
  <c r="J2430" i="3"/>
  <c r="J2429" i="3"/>
  <c r="J2428" i="3"/>
  <c r="J2427" i="3"/>
  <c r="J2426" i="3"/>
  <c r="J2425" i="3"/>
  <c r="J2424" i="3"/>
  <c r="J2423" i="3"/>
  <c r="J2422" i="3"/>
  <c r="J2421" i="3"/>
  <c r="J2420" i="3"/>
  <c r="J2419" i="3"/>
  <c r="G2463" i="3"/>
  <c r="F2463" i="3"/>
  <c r="G2462" i="3"/>
  <c r="F2462" i="3"/>
  <c r="G2461" i="3"/>
  <c r="F2461" i="3"/>
  <c r="G2460" i="3"/>
  <c r="F2460" i="3"/>
  <c r="G2459" i="3"/>
  <c r="F2459" i="3"/>
  <c r="G2458" i="3"/>
  <c r="F2458" i="3"/>
  <c r="G2457" i="3"/>
  <c r="F2457" i="3"/>
  <c r="G2456" i="3"/>
  <c r="F2456" i="3"/>
  <c r="G2455" i="3"/>
  <c r="F2455" i="3"/>
  <c r="G2454" i="3"/>
  <c r="F2454" i="3"/>
  <c r="G2453" i="3"/>
  <c r="F2453" i="3"/>
  <c r="G2452" i="3"/>
  <c r="F2452" i="3"/>
  <c r="G2451" i="3"/>
  <c r="F2451" i="3"/>
  <c r="G2450" i="3"/>
  <c r="F2450" i="3"/>
  <c r="G2449" i="3"/>
  <c r="F2449" i="3"/>
  <c r="G2448" i="3"/>
  <c r="F2448" i="3"/>
  <c r="G2447" i="3"/>
  <c r="F2447" i="3"/>
  <c r="G2446" i="3"/>
  <c r="F2446" i="3"/>
  <c r="G2445" i="3"/>
  <c r="F2445" i="3"/>
  <c r="G2444" i="3"/>
  <c r="F2444" i="3"/>
  <c r="G2443" i="3"/>
  <c r="F2443" i="3"/>
  <c r="G2442" i="3"/>
  <c r="F2442" i="3"/>
  <c r="G2441" i="3"/>
  <c r="F2441" i="3"/>
  <c r="G2440" i="3"/>
  <c r="F2440" i="3"/>
  <c r="G2439" i="3"/>
  <c r="F2439" i="3"/>
  <c r="G2438" i="3"/>
  <c r="F2438" i="3"/>
  <c r="G2437" i="3"/>
  <c r="F2437" i="3"/>
  <c r="G2436" i="3"/>
  <c r="F2436" i="3"/>
  <c r="G2435" i="3"/>
  <c r="F2435" i="3"/>
  <c r="G2434" i="3"/>
  <c r="F2434" i="3"/>
  <c r="G2433" i="3"/>
  <c r="F2433" i="3"/>
  <c r="G2432" i="3"/>
  <c r="F2432" i="3"/>
  <c r="G2431" i="3"/>
  <c r="F2431" i="3"/>
  <c r="G2430" i="3"/>
  <c r="F2430" i="3"/>
  <c r="G2429" i="3"/>
  <c r="F2429" i="3"/>
  <c r="G2428" i="3"/>
  <c r="F2428" i="3"/>
  <c r="G2427" i="3"/>
  <c r="F2427" i="3"/>
  <c r="G2426" i="3"/>
  <c r="F2426" i="3"/>
  <c r="G2425" i="3"/>
  <c r="F2425" i="3"/>
  <c r="G2424" i="3"/>
  <c r="F2424" i="3"/>
  <c r="G2423" i="3"/>
  <c r="F2423" i="3"/>
  <c r="G2422" i="3"/>
  <c r="F2422" i="3"/>
  <c r="G2421" i="3"/>
  <c r="F2421" i="3"/>
  <c r="G2420" i="3"/>
  <c r="F2420" i="3"/>
  <c r="G2419" i="3"/>
  <c r="F2419" i="3"/>
  <c r="J2838" i="3"/>
  <c r="J2837" i="3"/>
  <c r="J2836" i="3"/>
  <c r="I2835" i="3"/>
  <c r="J2834" i="3"/>
  <c r="J2833" i="3"/>
  <c r="J2832" i="3"/>
  <c r="I2831" i="3"/>
  <c r="J2830" i="3"/>
  <c r="J2829" i="3"/>
  <c r="J2828" i="3"/>
  <c r="I2827" i="3"/>
  <c r="J2826" i="3"/>
  <c r="J2825" i="3"/>
  <c r="F2824" i="3"/>
  <c r="G2824" i="3"/>
  <c r="F2825" i="3"/>
  <c r="G2825" i="3"/>
  <c r="F2826" i="3"/>
  <c r="G2826" i="3"/>
  <c r="F2827" i="3"/>
  <c r="G2827" i="3"/>
  <c r="F2828" i="3"/>
  <c r="G2828" i="3"/>
  <c r="F2829" i="3"/>
  <c r="G2829" i="3"/>
  <c r="F2830" i="3"/>
  <c r="G2830" i="3"/>
  <c r="F2831" i="3"/>
  <c r="G2831" i="3"/>
  <c r="F2832" i="3"/>
  <c r="G2832" i="3"/>
  <c r="F2833" i="3"/>
  <c r="G2833" i="3"/>
  <c r="F2834" i="3"/>
  <c r="G2834" i="3"/>
  <c r="F2835" i="3"/>
  <c r="G2835" i="3"/>
  <c r="J2835" i="3"/>
  <c r="F2836" i="3"/>
  <c r="G2836" i="3"/>
  <c r="F2837" i="3"/>
  <c r="G2837" i="3"/>
  <c r="F2838" i="3"/>
  <c r="G2838" i="3"/>
  <c r="J2823" i="3"/>
  <c r="J2822" i="3"/>
  <c r="J2821" i="3"/>
  <c r="J2820" i="3"/>
  <c r="J2819" i="3"/>
  <c r="J2818" i="3"/>
  <c r="J2817" i="3"/>
  <c r="J2816" i="3"/>
  <c r="J2815" i="3"/>
  <c r="J2814" i="3"/>
  <c r="J2813" i="3"/>
  <c r="J2812" i="3"/>
  <c r="J2811" i="3"/>
  <c r="J2810" i="3"/>
  <c r="J2809" i="3"/>
  <c r="J2808" i="3"/>
  <c r="J2807" i="3"/>
  <c r="J2806" i="3"/>
  <c r="J2805" i="3"/>
  <c r="J2804" i="3"/>
  <c r="J2803" i="3"/>
  <c r="J2802" i="3"/>
  <c r="J2801" i="3"/>
  <c r="J2800" i="3"/>
  <c r="J2799" i="3"/>
  <c r="J2798" i="3"/>
  <c r="J2797" i="3"/>
  <c r="J2796" i="3"/>
  <c r="J2795" i="3"/>
  <c r="J2794" i="3"/>
  <c r="J2793" i="3"/>
  <c r="J2792" i="3"/>
  <c r="J2791" i="3"/>
  <c r="J2790" i="3"/>
  <c r="J2789" i="3"/>
  <c r="J2788" i="3"/>
  <c r="J2787" i="3"/>
  <c r="J2786" i="3"/>
  <c r="J2785" i="3"/>
  <c r="J2784" i="3"/>
  <c r="J2783" i="3"/>
  <c r="J2782" i="3"/>
  <c r="J2781" i="3"/>
  <c r="J2780" i="3"/>
  <c r="J2779" i="3"/>
  <c r="G2823" i="3"/>
  <c r="F2823" i="3"/>
  <c r="G2822" i="3"/>
  <c r="F2822" i="3"/>
  <c r="G2821" i="3"/>
  <c r="F2821" i="3"/>
  <c r="G2820" i="3"/>
  <c r="F2820" i="3"/>
  <c r="G2819" i="3"/>
  <c r="F2819" i="3"/>
  <c r="G2818" i="3"/>
  <c r="F2818" i="3"/>
  <c r="G2817" i="3"/>
  <c r="F2817" i="3"/>
  <c r="G2816" i="3"/>
  <c r="F2816" i="3"/>
  <c r="G2815" i="3"/>
  <c r="F2815" i="3"/>
  <c r="G2814" i="3"/>
  <c r="F2814" i="3"/>
  <c r="G2813" i="3"/>
  <c r="F2813" i="3"/>
  <c r="G2812" i="3"/>
  <c r="F2812" i="3"/>
  <c r="G2811" i="3"/>
  <c r="F2811" i="3"/>
  <c r="G2810" i="3"/>
  <c r="F2810" i="3"/>
  <c r="G2809" i="3"/>
  <c r="F2809" i="3"/>
  <c r="G2808" i="3"/>
  <c r="F2808" i="3"/>
  <c r="G2807" i="3"/>
  <c r="F2807" i="3"/>
  <c r="G2806" i="3"/>
  <c r="F2806" i="3"/>
  <c r="G2805" i="3"/>
  <c r="F2805" i="3"/>
  <c r="G2804" i="3"/>
  <c r="F2804" i="3"/>
  <c r="G2803" i="3"/>
  <c r="F2803" i="3"/>
  <c r="G2802" i="3"/>
  <c r="F2802" i="3"/>
  <c r="G2801" i="3"/>
  <c r="F2801" i="3"/>
  <c r="G2800" i="3"/>
  <c r="F2800" i="3"/>
  <c r="G2799" i="3"/>
  <c r="F2799" i="3"/>
  <c r="G2798" i="3"/>
  <c r="F2798" i="3"/>
  <c r="G2797" i="3"/>
  <c r="F2797" i="3"/>
  <c r="G2796" i="3"/>
  <c r="F2796" i="3"/>
  <c r="G2795" i="3"/>
  <c r="F2795" i="3"/>
  <c r="G2794" i="3"/>
  <c r="F2794" i="3"/>
  <c r="G2793" i="3"/>
  <c r="F2793" i="3"/>
  <c r="G2792" i="3"/>
  <c r="F2792" i="3"/>
  <c r="G2791" i="3"/>
  <c r="F2791" i="3"/>
  <c r="G2790" i="3"/>
  <c r="F2790" i="3"/>
  <c r="G2789" i="3"/>
  <c r="F2789" i="3"/>
  <c r="G2788" i="3"/>
  <c r="F2788" i="3"/>
  <c r="G2787" i="3"/>
  <c r="F2787" i="3"/>
  <c r="G2786" i="3"/>
  <c r="F2786" i="3"/>
  <c r="G2785" i="3"/>
  <c r="F2785" i="3"/>
  <c r="G2784" i="3"/>
  <c r="F2784" i="3"/>
  <c r="G2783" i="3"/>
  <c r="F2783" i="3"/>
  <c r="G2782" i="3"/>
  <c r="F2782" i="3"/>
  <c r="G2781" i="3"/>
  <c r="F2781" i="3"/>
  <c r="G2780" i="3"/>
  <c r="F2780" i="3"/>
  <c r="G2779" i="3"/>
  <c r="F2779" i="3"/>
  <c r="B37" i="7"/>
  <c r="F2404" i="3"/>
  <c r="G2404" i="3"/>
  <c r="F2405" i="3"/>
  <c r="G2405" i="3"/>
  <c r="F2406" i="3"/>
  <c r="G2406" i="3"/>
  <c r="F2407" i="3"/>
  <c r="G2407" i="3"/>
  <c r="F2408" i="3"/>
  <c r="G2408" i="3"/>
  <c r="F2409" i="3"/>
  <c r="G2409" i="3"/>
  <c r="F2410" i="3"/>
  <c r="G2410" i="3"/>
  <c r="F2411" i="3"/>
  <c r="G2411" i="3"/>
  <c r="F2412" i="3"/>
  <c r="G2412" i="3"/>
  <c r="F2413" i="3"/>
  <c r="G2413" i="3"/>
  <c r="F2414" i="3"/>
  <c r="G2414" i="3"/>
  <c r="F2415" i="3"/>
  <c r="G2415" i="3"/>
  <c r="F2416" i="3"/>
  <c r="G2416" i="3"/>
  <c r="F2417" i="3"/>
  <c r="G2417" i="3"/>
  <c r="F2418" i="3"/>
  <c r="G2418" i="3"/>
  <c r="J2388" i="3"/>
  <c r="J2387" i="3"/>
  <c r="J2386" i="3"/>
  <c r="J2385" i="3"/>
  <c r="I2384" i="3"/>
  <c r="J2383" i="3"/>
  <c r="J2382" i="3"/>
  <c r="J2381" i="3"/>
  <c r="J2380" i="3"/>
  <c r="J2379" i="3"/>
  <c r="J2377" i="3"/>
  <c r="I2376" i="3"/>
  <c r="J2375" i="3"/>
  <c r="J2374" i="3"/>
  <c r="J2373" i="3"/>
  <c r="J2372" i="3"/>
  <c r="J2371" i="3"/>
  <c r="J2370" i="3"/>
  <c r="J2368" i="3"/>
  <c r="J2367" i="3"/>
  <c r="J2366" i="3"/>
  <c r="J2365" i="3"/>
  <c r="J2364" i="3"/>
  <c r="J2363" i="3"/>
  <c r="J2362" i="3"/>
  <c r="J2361" i="3"/>
  <c r="J2360" i="3"/>
  <c r="J2359" i="3"/>
  <c r="G2388" i="3"/>
  <c r="F2388" i="3"/>
  <c r="G2387" i="3"/>
  <c r="F2387" i="3"/>
  <c r="G2386" i="3"/>
  <c r="F2386" i="3"/>
  <c r="H2386" i="3" s="1"/>
  <c r="G2385" i="3"/>
  <c r="F2385" i="3"/>
  <c r="G2384" i="3"/>
  <c r="F2384" i="3"/>
  <c r="G2383" i="3"/>
  <c r="F2383" i="3"/>
  <c r="G2382" i="3"/>
  <c r="F2382" i="3"/>
  <c r="G2381" i="3"/>
  <c r="F2381" i="3"/>
  <c r="G2380" i="3"/>
  <c r="F2380" i="3"/>
  <c r="G2379" i="3"/>
  <c r="F2379" i="3"/>
  <c r="G2378" i="3"/>
  <c r="F2378" i="3"/>
  <c r="G2377" i="3"/>
  <c r="F2377" i="3"/>
  <c r="G2376" i="3"/>
  <c r="F2376" i="3"/>
  <c r="G2375" i="3"/>
  <c r="F2375" i="3"/>
  <c r="G2374" i="3"/>
  <c r="F2374" i="3"/>
  <c r="G2373" i="3"/>
  <c r="F2373" i="3"/>
  <c r="G2372" i="3"/>
  <c r="F2372" i="3"/>
  <c r="G2371" i="3"/>
  <c r="F2371" i="3"/>
  <c r="G2370" i="3"/>
  <c r="F2370" i="3"/>
  <c r="G2369" i="3"/>
  <c r="F2369" i="3"/>
  <c r="G2368" i="3"/>
  <c r="F2368" i="3"/>
  <c r="G2367" i="3"/>
  <c r="F2367" i="3"/>
  <c r="G2366" i="3"/>
  <c r="F2366" i="3"/>
  <c r="G2365" i="3"/>
  <c r="F2365" i="3"/>
  <c r="G2364" i="3"/>
  <c r="F2364" i="3"/>
  <c r="G2363" i="3"/>
  <c r="F2363" i="3"/>
  <c r="G2362" i="3"/>
  <c r="F2362" i="3"/>
  <c r="G2361" i="3"/>
  <c r="F2361" i="3"/>
  <c r="G2360" i="3"/>
  <c r="F2360" i="3"/>
  <c r="G2359" i="3"/>
  <c r="F2359" i="3"/>
  <c r="G2328" i="3"/>
  <c r="F2328" i="3"/>
  <c r="G2327" i="3"/>
  <c r="F2327" i="3"/>
  <c r="G2326" i="3"/>
  <c r="F2326" i="3"/>
  <c r="G2325" i="3"/>
  <c r="F2325" i="3"/>
  <c r="G2324" i="3"/>
  <c r="F2324" i="3"/>
  <c r="G2323" i="3"/>
  <c r="F2323" i="3"/>
  <c r="G2322" i="3"/>
  <c r="F2322" i="3"/>
  <c r="G2321" i="3"/>
  <c r="F2321" i="3"/>
  <c r="G2320" i="3"/>
  <c r="F2320" i="3"/>
  <c r="G2319" i="3"/>
  <c r="F2319" i="3"/>
  <c r="G2318" i="3"/>
  <c r="F2318" i="3"/>
  <c r="G2317" i="3"/>
  <c r="F2317" i="3"/>
  <c r="G2316" i="3"/>
  <c r="F2316" i="3"/>
  <c r="G2315" i="3"/>
  <c r="F2315" i="3"/>
  <c r="G2314" i="3"/>
  <c r="F2314" i="3"/>
  <c r="G2313" i="3"/>
  <c r="F2313" i="3"/>
  <c r="G2312" i="3"/>
  <c r="F2312" i="3"/>
  <c r="G2311" i="3"/>
  <c r="F2311" i="3"/>
  <c r="G2310" i="3"/>
  <c r="F2310" i="3"/>
  <c r="G2309" i="3"/>
  <c r="F2309" i="3"/>
  <c r="G2308" i="3"/>
  <c r="F2308" i="3"/>
  <c r="G2307" i="3"/>
  <c r="F2307" i="3"/>
  <c r="G2306" i="3"/>
  <c r="F2306" i="3"/>
  <c r="G2305" i="3"/>
  <c r="F2305" i="3"/>
  <c r="G2304" i="3"/>
  <c r="F2304" i="3"/>
  <c r="G2303" i="3"/>
  <c r="F2303" i="3"/>
  <c r="G2302" i="3"/>
  <c r="F2302" i="3"/>
  <c r="G2301" i="3"/>
  <c r="F2301" i="3"/>
  <c r="G2300" i="3"/>
  <c r="F2300" i="3"/>
  <c r="G2299" i="3"/>
  <c r="F2299" i="3"/>
  <c r="J2283" i="3"/>
  <c r="J2282" i="3"/>
  <c r="J2281" i="3"/>
  <c r="J2280" i="3"/>
  <c r="J2279" i="3"/>
  <c r="J2278" i="3"/>
  <c r="J2277" i="3"/>
  <c r="J2276" i="3"/>
  <c r="J2275" i="3"/>
  <c r="J2274" i="3"/>
  <c r="J2273" i="3"/>
  <c r="J2272" i="3"/>
  <c r="J2271" i="3"/>
  <c r="J2270" i="3"/>
  <c r="J2269" i="3"/>
  <c r="J2268" i="3"/>
  <c r="J2267" i="3"/>
  <c r="J2266" i="3"/>
  <c r="J2265" i="3"/>
  <c r="J2264" i="3"/>
  <c r="J2263" i="3"/>
  <c r="J2262" i="3"/>
  <c r="J2261" i="3"/>
  <c r="J2260" i="3"/>
  <c r="J2259" i="3"/>
  <c r="J2258" i="3"/>
  <c r="J2257" i="3"/>
  <c r="J2256" i="3"/>
  <c r="J2255" i="3"/>
  <c r="J2254" i="3"/>
  <c r="J2253" i="3"/>
  <c r="J2252" i="3"/>
  <c r="J2251" i="3"/>
  <c r="J2250" i="3"/>
  <c r="J2249" i="3"/>
  <c r="J2248" i="3"/>
  <c r="J2247" i="3"/>
  <c r="J2246" i="3"/>
  <c r="J2245" i="3"/>
  <c r="J2244" i="3"/>
  <c r="J2243" i="3"/>
  <c r="J2242" i="3"/>
  <c r="J2241" i="3"/>
  <c r="J2240" i="3"/>
  <c r="J2239" i="3"/>
  <c r="G2283" i="3"/>
  <c r="F2283" i="3"/>
  <c r="G2282" i="3"/>
  <c r="F2282" i="3"/>
  <c r="G2281" i="3"/>
  <c r="F2281" i="3"/>
  <c r="G2280" i="3"/>
  <c r="F2280" i="3"/>
  <c r="G2279" i="3"/>
  <c r="F2279" i="3"/>
  <c r="G2278" i="3"/>
  <c r="F2278" i="3"/>
  <c r="G2277" i="3"/>
  <c r="F2277" i="3"/>
  <c r="G2276" i="3"/>
  <c r="F2276" i="3"/>
  <c r="G2275" i="3"/>
  <c r="F2275" i="3"/>
  <c r="G2274" i="3"/>
  <c r="F2274" i="3"/>
  <c r="G2273" i="3"/>
  <c r="F2273" i="3"/>
  <c r="G2272" i="3"/>
  <c r="F2272" i="3"/>
  <c r="G2271" i="3"/>
  <c r="F2271" i="3"/>
  <c r="G2270" i="3"/>
  <c r="F2270" i="3"/>
  <c r="G2269" i="3"/>
  <c r="F2269" i="3"/>
  <c r="G2268" i="3"/>
  <c r="F2268" i="3"/>
  <c r="G2267" i="3"/>
  <c r="F2267" i="3"/>
  <c r="G2266" i="3"/>
  <c r="F2266" i="3"/>
  <c r="G2265" i="3"/>
  <c r="F2265" i="3"/>
  <c r="G2264" i="3"/>
  <c r="F2264" i="3"/>
  <c r="G2263" i="3"/>
  <c r="F2263" i="3"/>
  <c r="G2262" i="3"/>
  <c r="F2262" i="3"/>
  <c r="G2261" i="3"/>
  <c r="F2261" i="3"/>
  <c r="G2260" i="3"/>
  <c r="F2260" i="3"/>
  <c r="G2259" i="3"/>
  <c r="F2259" i="3"/>
  <c r="G2258" i="3"/>
  <c r="F2258" i="3"/>
  <c r="G2257" i="3"/>
  <c r="F2257" i="3"/>
  <c r="G2256" i="3"/>
  <c r="F2256" i="3"/>
  <c r="G2255" i="3"/>
  <c r="F2255" i="3"/>
  <c r="G2254" i="3"/>
  <c r="F2254" i="3"/>
  <c r="G2253" i="3"/>
  <c r="F2253" i="3"/>
  <c r="G2252" i="3"/>
  <c r="F2252" i="3"/>
  <c r="G2251" i="3"/>
  <c r="F2251" i="3"/>
  <c r="G2250" i="3"/>
  <c r="F2250" i="3"/>
  <c r="G2249" i="3"/>
  <c r="F2249" i="3"/>
  <c r="G2248" i="3"/>
  <c r="F2248" i="3"/>
  <c r="G2247" i="3"/>
  <c r="F2247" i="3"/>
  <c r="G2246" i="3"/>
  <c r="F2246" i="3"/>
  <c r="G2245" i="3"/>
  <c r="F2245" i="3"/>
  <c r="G2244" i="3"/>
  <c r="F2244" i="3"/>
  <c r="G2243" i="3"/>
  <c r="F2243" i="3"/>
  <c r="G2242" i="3"/>
  <c r="F2242" i="3"/>
  <c r="G2241" i="3"/>
  <c r="F2241" i="3"/>
  <c r="G2240" i="3"/>
  <c r="F2240" i="3"/>
  <c r="G2239" i="3"/>
  <c r="F2239" i="3"/>
  <c r="J2148" i="3"/>
  <c r="J2147" i="3"/>
  <c r="J2146" i="3"/>
  <c r="J2145" i="3"/>
  <c r="J2144" i="3"/>
  <c r="J2143" i="3"/>
  <c r="J2142" i="3"/>
  <c r="J2141" i="3"/>
  <c r="J2140" i="3"/>
  <c r="J2139" i="3"/>
  <c r="J2138" i="3"/>
  <c r="J2137" i="3"/>
  <c r="J2136" i="3"/>
  <c r="J2135" i="3"/>
  <c r="J2134" i="3"/>
  <c r="J2133" i="3"/>
  <c r="J2132" i="3"/>
  <c r="J2131" i="3"/>
  <c r="J2130" i="3"/>
  <c r="J2129" i="3"/>
  <c r="J2128" i="3"/>
  <c r="J2127" i="3"/>
  <c r="J2126" i="3"/>
  <c r="J2125" i="3"/>
  <c r="J2124" i="3"/>
  <c r="J2123" i="3"/>
  <c r="J2122" i="3"/>
  <c r="J2121" i="3"/>
  <c r="J2120" i="3"/>
  <c r="J2119" i="3"/>
  <c r="J2118" i="3"/>
  <c r="J2117" i="3"/>
  <c r="J2116" i="3"/>
  <c r="J2115" i="3"/>
  <c r="J2114" i="3"/>
  <c r="J2113" i="3"/>
  <c r="J2112" i="3"/>
  <c r="J2111" i="3"/>
  <c r="J2110" i="3"/>
  <c r="J2109" i="3"/>
  <c r="J2108" i="3"/>
  <c r="J2107" i="3"/>
  <c r="J2106" i="3"/>
  <c r="J2105" i="3"/>
  <c r="J2104" i="3"/>
  <c r="G2148" i="3"/>
  <c r="F2148" i="3"/>
  <c r="G2147" i="3"/>
  <c r="F2147" i="3"/>
  <c r="G2146" i="3"/>
  <c r="F2146" i="3"/>
  <c r="G2145" i="3"/>
  <c r="F2145" i="3"/>
  <c r="G2144" i="3"/>
  <c r="F2144" i="3"/>
  <c r="G2143" i="3"/>
  <c r="F2143" i="3"/>
  <c r="G2142" i="3"/>
  <c r="F2142" i="3"/>
  <c r="G2141" i="3"/>
  <c r="F2141" i="3"/>
  <c r="G2140" i="3"/>
  <c r="F2140" i="3"/>
  <c r="G2139" i="3"/>
  <c r="F2139" i="3"/>
  <c r="G2138" i="3"/>
  <c r="F2138" i="3"/>
  <c r="G2137" i="3"/>
  <c r="F2137" i="3"/>
  <c r="G2136" i="3"/>
  <c r="F2136" i="3"/>
  <c r="G2135" i="3"/>
  <c r="F2135" i="3"/>
  <c r="G2134" i="3"/>
  <c r="F2134" i="3"/>
  <c r="G2133" i="3"/>
  <c r="F2133" i="3"/>
  <c r="G2132" i="3"/>
  <c r="F2132" i="3"/>
  <c r="G2131" i="3"/>
  <c r="F2131" i="3"/>
  <c r="G2130" i="3"/>
  <c r="F2130" i="3"/>
  <c r="G2129" i="3"/>
  <c r="F2129" i="3"/>
  <c r="G2128" i="3"/>
  <c r="F2128" i="3"/>
  <c r="G2127" i="3"/>
  <c r="F2127" i="3"/>
  <c r="G2126" i="3"/>
  <c r="F2126" i="3"/>
  <c r="G2125" i="3"/>
  <c r="F2125" i="3"/>
  <c r="G2124" i="3"/>
  <c r="F2124" i="3"/>
  <c r="G2123" i="3"/>
  <c r="F2123" i="3"/>
  <c r="G2122" i="3"/>
  <c r="F2122" i="3"/>
  <c r="G2121" i="3"/>
  <c r="F2121" i="3"/>
  <c r="G2120" i="3"/>
  <c r="F2120" i="3"/>
  <c r="G2119" i="3"/>
  <c r="F2119" i="3"/>
  <c r="G2118" i="3"/>
  <c r="F2118" i="3"/>
  <c r="G2117" i="3"/>
  <c r="F2117" i="3"/>
  <c r="G2116" i="3"/>
  <c r="F2116" i="3"/>
  <c r="G2115" i="3"/>
  <c r="F2115" i="3"/>
  <c r="G2114" i="3"/>
  <c r="F2114" i="3"/>
  <c r="G2113" i="3"/>
  <c r="F2113" i="3"/>
  <c r="G2112" i="3"/>
  <c r="F2112" i="3"/>
  <c r="G2111" i="3"/>
  <c r="F2111" i="3"/>
  <c r="G2110" i="3"/>
  <c r="F2110" i="3"/>
  <c r="G2109" i="3"/>
  <c r="F2109" i="3"/>
  <c r="G2108" i="3"/>
  <c r="F2108" i="3"/>
  <c r="G2107" i="3"/>
  <c r="F2107" i="3"/>
  <c r="G2106" i="3"/>
  <c r="F2106" i="3"/>
  <c r="G2105" i="3"/>
  <c r="F2105" i="3"/>
  <c r="G2104" i="3"/>
  <c r="F2104" i="3"/>
  <c r="G2208" i="3"/>
  <c r="F2208" i="3"/>
  <c r="G2207" i="3"/>
  <c r="F2207" i="3"/>
  <c r="G2206" i="3"/>
  <c r="F2206" i="3"/>
  <c r="G2205" i="3"/>
  <c r="F2205" i="3"/>
  <c r="G2204" i="3"/>
  <c r="F2204" i="3"/>
  <c r="G2203" i="3"/>
  <c r="F2203" i="3"/>
  <c r="G2202" i="3"/>
  <c r="F2202" i="3"/>
  <c r="G2201" i="3"/>
  <c r="F2201" i="3"/>
  <c r="G2200" i="3"/>
  <c r="F2200" i="3"/>
  <c r="G2199" i="3"/>
  <c r="F2199" i="3"/>
  <c r="G2198" i="3"/>
  <c r="F2198" i="3"/>
  <c r="G2197" i="3"/>
  <c r="F2197" i="3"/>
  <c r="G2196" i="3"/>
  <c r="F2196" i="3"/>
  <c r="G2195" i="3"/>
  <c r="F2195" i="3"/>
  <c r="G2194" i="3"/>
  <c r="F2194" i="3"/>
  <c r="G2193" i="3"/>
  <c r="F2193" i="3"/>
  <c r="G2192" i="3"/>
  <c r="F2192" i="3"/>
  <c r="G2191" i="3"/>
  <c r="F2191" i="3"/>
  <c r="G2190" i="3"/>
  <c r="F2190" i="3"/>
  <c r="G2189" i="3"/>
  <c r="F2189" i="3"/>
  <c r="G2188" i="3"/>
  <c r="F2188" i="3"/>
  <c r="G2187" i="3"/>
  <c r="F2187" i="3"/>
  <c r="G2186" i="3"/>
  <c r="F2186" i="3"/>
  <c r="G2185" i="3"/>
  <c r="F2185" i="3"/>
  <c r="G2184" i="3"/>
  <c r="F2184" i="3"/>
  <c r="G2183" i="3"/>
  <c r="F2183" i="3"/>
  <c r="G2182" i="3"/>
  <c r="F2182" i="3"/>
  <c r="G2181" i="3"/>
  <c r="F2181" i="3"/>
  <c r="G2180" i="3"/>
  <c r="F2180" i="3"/>
  <c r="G2179" i="3"/>
  <c r="F2179" i="3"/>
  <c r="G2178" i="3"/>
  <c r="F2178" i="3"/>
  <c r="G2177" i="3"/>
  <c r="F2177" i="3"/>
  <c r="G2176" i="3"/>
  <c r="F2176" i="3"/>
  <c r="G2175" i="3"/>
  <c r="F2175" i="3"/>
  <c r="G2174" i="3"/>
  <c r="F2174" i="3"/>
  <c r="G2173" i="3"/>
  <c r="F2173" i="3"/>
  <c r="G2172" i="3"/>
  <c r="F2172" i="3"/>
  <c r="G2171" i="3"/>
  <c r="F2171" i="3"/>
  <c r="G2170" i="3"/>
  <c r="F2170" i="3"/>
  <c r="G2169" i="3"/>
  <c r="F2169" i="3"/>
  <c r="G2168" i="3"/>
  <c r="F2168" i="3"/>
  <c r="G2167" i="3"/>
  <c r="F2167" i="3"/>
  <c r="G2166" i="3"/>
  <c r="F2166" i="3"/>
  <c r="G2165" i="3"/>
  <c r="F2165" i="3"/>
  <c r="G2164" i="3"/>
  <c r="F2164" i="3"/>
  <c r="G2088" i="3"/>
  <c r="F2088" i="3"/>
  <c r="G2087" i="3"/>
  <c r="F2087" i="3"/>
  <c r="G2086" i="3"/>
  <c r="F2086" i="3"/>
  <c r="G2085" i="3"/>
  <c r="F2085" i="3"/>
  <c r="G2084" i="3"/>
  <c r="F2084" i="3"/>
  <c r="G2083" i="3"/>
  <c r="F2083" i="3"/>
  <c r="G2082" i="3"/>
  <c r="F2082" i="3"/>
  <c r="G2081" i="3"/>
  <c r="F2081" i="3"/>
  <c r="G2080" i="3"/>
  <c r="F2080" i="3"/>
  <c r="G2079" i="3"/>
  <c r="F2079" i="3"/>
  <c r="G2078" i="3"/>
  <c r="F2078" i="3"/>
  <c r="G2077" i="3"/>
  <c r="F2077" i="3"/>
  <c r="G2076" i="3"/>
  <c r="F2076" i="3"/>
  <c r="G2075" i="3"/>
  <c r="F2075" i="3"/>
  <c r="G2074" i="3"/>
  <c r="F2074" i="3"/>
  <c r="G2073" i="3"/>
  <c r="F2073" i="3"/>
  <c r="G2072" i="3"/>
  <c r="F2072" i="3"/>
  <c r="G2071" i="3"/>
  <c r="F2071" i="3"/>
  <c r="G2070" i="3"/>
  <c r="F2070" i="3"/>
  <c r="G2069" i="3"/>
  <c r="F2069" i="3"/>
  <c r="G2068" i="3"/>
  <c r="F2068" i="3"/>
  <c r="G2067" i="3"/>
  <c r="F2067" i="3"/>
  <c r="G2066" i="3"/>
  <c r="F2066" i="3"/>
  <c r="G2065" i="3"/>
  <c r="F2065" i="3"/>
  <c r="G2064" i="3"/>
  <c r="F2064" i="3"/>
  <c r="G2063" i="3"/>
  <c r="F2063" i="3"/>
  <c r="G2062" i="3"/>
  <c r="F2062" i="3"/>
  <c r="G2061" i="3"/>
  <c r="F2061" i="3"/>
  <c r="G2060" i="3"/>
  <c r="F2060" i="3"/>
  <c r="G2059" i="3"/>
  <c r="F2059" i="3"/>
  <c r="G2058" i="3"/>
  <c r="F2058" i="3"/>
  <c r="G2057" i="3"/>
  <c r="F2057" i="3"/>
  <c r="G2056" i="3"/>
  <c r="F2056" i="3"/>
  <c r="G2055" i="3"/>
  <c r="F2055" i="3"/>
  <c r="G2054" i="3"/>
  <c r="F2054" i="3"/>
  <c r="G2053" i="3"/>
  <c r="F2053" i="3"/>
  <c r="G2052" i="3"/>
  <c r="F2052" i="3"/>
  <c r="G2051" i="3"/>
  <c r="F2051" i="3"/>
  <c r="G2050" i="3"/>
  <c r="F2050" i="3"/>
  <c r="G2049" i="3"/>
  <c r="F2049" i="3"/>
  <c r="G2048" i="3"/>
  <c r="F2048" i="3"/>
  <c r="G2047" i="3"/>
  <c r="F2047" i="3"/>
  <c r="G2046" i="3"/>
  <c r="F2046" i="3"/>
  <c r="G2045" i="3"/>
  <c r="F2045" i="3"/>
  <c r="G2044" i="3"/>
  <c r="F2044" i="3"/>
  <c r="J798" i="3"/>
  <c r="J797" i="3"/>
  <c r="J793" i="3"/>
  <c r="J791" i="3"/>
  <c r="J788" i="3"/>
  <c r="F784" i="3"/>
  <c r="G784" i="3"/>
  <c r="F785" i="3"/>
  <c r="G785" i="3"/>
  <c r="F786" i="3"/>
  <c r="G786" i="3"/>
  <c r="F787" i="3"/>
  <c r="G787" i="3"/>
  <c r="F788" i="3"/>
  <c r="G788" i="3"/>
  <c r="F789" i="3"/>
  <c r="G789" i="3"/>
  <c r="F790" i="3"/>
  <c r="G790" i="3"/>
  <c r="F791" i="3"/>
  <c r="G791" i="3"/>
  <c r="F792" i="3"/>
  <c r="G792" i="3"/>
  <c r="F793" i="3"/>
  <c r="G793" i="3"/>
  <c r="F794" i="3"/>
  <c r="G794" i="3"/>
  <c r="F795" i="3"/>
  <c r="G795" i="3"/>
  <c r="F796" i="3"/>
  <c r="G796" i="3"/>
  <c r="F797" i="3"/>
  <c r="G797" i="3"/>
  <c r="F798" i="3"/>
  <c r="G798" i="3"/>
  <c r="F799" i="3"/>
  <c r="G799" i="3"/>
  <c r="F800" i="3"/>
  <c r="G800" i="3"/>
  <c r="F801" i="3"/>
  <c r="G801" i="3"/>
  <c r="F802" i="3"/>
  <c r="G802" i="3"/>
  <c r="F803" i="3"/>
  <c r="G803" i="3"/>
  <c r="F804" i="3"/>
  <c r="G804" i="3"/>
  <c r="F805" i="3"/>
  <c r="G805" i="3"/>
  <c r="F806" i="3"/>
  <c r="G806" i="3"/>
  <c r="F807" i="3"/>
  <c r="G807" i="3"/>
  <c r="F808" i="3"/>
  <c r="G808" i="3"/>
  <c r="F809" i="3"/>
  <c r="G809" i="3"/>
  <c r="F810" i="3"/>
  <c r="G810" i="3"/>
  <c r="F811" i="3"/>
  <c r="G811" i="3"/>
  <c r="F812" i="3"/>
  <c r="G812" i="3"/>
  <c r="F813" i="3"/>
  <c r="G813" i="3"/>
  <c r="G783" i="3"/>
  <c r="F783" i="3"/>
  <c r="G782" i="3"/>
  <c r="F782" i="3"/>
  <c r="G781" i="3"/>
  <c r="F781" i="3"/>
  <c r="G780" i="3"/>
  <c r="F780" i="3"/>
  <c r="G779" i="3"/>
  <c r="F779" i="3"/>
  <c r="G778" i="3"/>
  <c r="F778" i="3"/>
  <c r="G777" i="3"/>
  <c r="F777" i="3"/>
  <c r="G776" i="3"/>
  <c r="F776" i="3"/>
  <c r="G775" i="3"/>
  <c r="F775" i="3"/>
  <c r="G774" i="3"/>
  <c r="F774" i="3"/>
  <c r="G773" i="3"/>
  <c r="F773" i="3"/>
  <c r="G772" i="3"/>
  <c r="F772" i="3"/>
  <c r="G771" i="3"/>
  <c r="F771" i="3"/>
  <c r="G770" i="3"/>
  <c r="F770" i="3"/>
  <c r="G769" i="3"/>
  <c r="F769" i="3"/>
  <c r="G768" i="3"/>
  <c r="F768" i="3"/>
  <c r="G767" i="3"/>
  <c r="F767" i="3"/>
  <c r="G766" i="3"/>
  <c r="F766" i="3"/>
  <c r="G765" i="3"/>
  <c r="F765" i="3"/>
  <c r="G764" i="3"/>
  <c r="F764" i="3"/>
  <c r="G763" i="3"/>
  <c r="F763" i="3"/>
  <c r="G762" i="3"/>
  <c r="F762" i="3"/>
  <c r="G761" i="3"/>
  <c r="F761" i="3"/>
  <c r="G760" i="3"/>
  <c r="F760" i="3"/>
  <c r="G759" i="3"/>
  <c r="F759" i="3"/>
  <c r="G758" i="3"/>
  <c r="F758" i="3"/>
  <c r="G757" i="3"/>
  <c r="F757" i="3"/>
  <c r="G756" i="3"/>
  <c r="F756" i="3"/>
  <c r="G755" i="3"/>
  <c r="F755" i="3"/>
  <c r="G754" i="3"/>
  <c r="F754" i="3"/>
  <c r="G753" i="3"/>
  <c r="F753" i="3"/>
  <c r="G752" i="3"/>
  <c r="F752" i="3"/>
  <c r="G751" i="3"/>
  <c r="F751" i="3"/>
  <c r="G750" i="3"/>
  <c r="F750" i="3"/>
  <c r="G749" i="3"/>
  <c r="F749" i="3"/>
  <c r="G748" i="3"/>
  <c r="F748" i="3"/>
  <c r="G747" i="3"/>
  <c r="F747" i="3"/>
  <c r="G746" i="3"/>
  <c r="F746" i="3"/>
  <c r="G745" i="3"/>
  <c r="F745" i="3"/>
  <c r="G744" i="3"/>
  <c r="F744" i="3"/>
  <c r="G743" i="3"/>
  <c r="F743" i="3"/>
  <c r="G742" i="3"/>
  <c r="F742" i="3"/>
  <c r="G741" i="3"/>
  <c r="F741" i="3"/>
  <c r="G740" i="3"/>
  <c r="F740" i="3"/>
  <c r="G739" i="3"/>
  <c r="F739" i="3"/>
  <c r="G723" i="3"/>
  <c r="F723" i="3"/>
  <c r="G722" i="3"/>
  <c r="F722" i="3"/>
  <c r="G721" i="3"/>
  <c r="F721" i="3"/>
  <c r="G720" i="3"/>
  <c r="F720" i="3"/>
  <c r="G719" i="3"/>
  <c r="F719" i="3"/>
  <c r="G718" i="3"/>
  <c r="F718" i="3"/>
  <c r="G717" i="3"/>
  <c r="F717" i="3"/>
  <c r="G716" i="3"/>
  <c r="F716" i="3"/>
  <c r="G715" i="3"/>
  <c r="F715" i="3"/>
  <c r="G714" i="3"/>
  <c r="F714" i="3"/>
  <c r="G713" i="3"/>
  <c r="F713" i="3"/>
  <c r="G712" i="3"/>
  <c r="F712" i="3"/>
  <c r="G711" i="3"/>
  <c r="F711" i="3"/>
  <c r="G710" i="3"/>
  <c r="F710" i="3"/>
  <c r="G709" i="3"/>
  <c r="F709" i="3"/>
  <c r="G708" i="3"/>
  <c r="F708" i="3"/>
  <c r="G707" i="3"/>
  <c r="F707" i="3"/>
  <c r="G706" i="3"/>
  <c r="F706" i="3"/>
  <c r="G705" i="3"/>
  <c r="F705" i="3"/>
  <c r="G704" i="3"/>
  <c r="F704" i="3"/>
  <c r="G703" i="3"/>
  <c r="F703" i="3"/>
  <c r="G702" i="3"/>
  <c r="F702" i="3"/>
  <c r="G701" i="3"/>
  <c r="F701" i="3"/>
  <c r="G700" i="3"/>
  <c r="F700" i="3"/>
  <c r="G699" i="3"/>
  <c r="F699" i="3"/>
  <c r="G698" i="3"/>
  <c r="F698" i="3"/>
  <c r="G697" i="3"/>
  <c r="F697" i="3"/>
  <c r="G696" i="3"/>
  <c r="F696" i="3"/>
  <c r="G695" i="3"/>
  <c r="F695" i="3"/>
  <c r="G694" i="3"/>
  <c r="F694" i="3"/>
  <c r="G693" i="3"/>
  <c r="F693" i="3"/>
  <c r="G692" i="3"/>
  <c r="F692" i="3"/>
  <c r="G691" i="3"/>
  <c r="F691" i="3"/>
  <c r="G690" i="3"/>
  <c r="F690" i="3"/>
  <c r="G689" i="3"/>
  <c r="F689" i="3"/>
  <c r="G688" i="3"/>
  <c r="F688" i="3"/>
  <c r="G687" i="3"/>
  <c r="F687" i="3"/>
  <c r="G686" i="3"/>
  <c r="F686" i="3"/>
  <c r="G685" i="3"/>
  <c r="F685" i="3"/>
  <c r="G684" i="3"/>
  <c r="F684" i="3"/>
  <c r="G683" i="3"/>
  <c r="F683" i="3"/>
  <c r="G682" i="3"/>
  <c r="F682" i="3"/>
  <c r="G681" i="3"/>
  <c r="F681" i="3"/>
  <c r="G680" i="3"/>
  <c r="F680" i="3"/>
  <c r="G679" i="3"/>
  <c r="F679" i="3"/>
  <c r="G678" i="3"/>
  <c r="F678" i="3"/>
  <c r="G677" i="3"/>
  <c r="F677" i="3"/>
  <c r="G676" i="3"/>
  <c r="F676" i="3"/>
  <c r="G675" i="3"/>
  <c r="F675" i="3"/>
  <c r="G674" i="3"/>
  <c r="F674" i="3"/>
  <c r="G673" i="3"/>
  <c r="F673" i="3"/>
  <c r="G672" i="3"/>
  <c r="F672" i="3"/>
  <c r="G671" i="3"/>
  <c r="F671" i="3"/>
  <c r="G670" i="3"/>
  <c r="F670" i="3"/>
  <c r="G669" i="3"/>
  <c r="F669" i="3"/>
  <c r="G668" i="3"/>
  <c r="F668" i="3"/>
  <c r="G667" i="3"/>
  <c r="F667" i="3"/>
  <c r="G666" i="3"/>
  <c r="F666" i="3"/>
  <c r="G665" i="3"/>
  <c r="F665" i="3"/>
  <c r="G664" i="3"/>
  <c r="F664" i="3"/>
  <c r="G663" i="3"/>
  <c r="F663" i="3"/>
  <c r="G662" i="3"/>
  <c r="F662" i="3"/>
  <c r="G661" i="3"/>
  <c r="F661" i="3"/>
  <c r="G660" i="3"/>
  <c r="F660" i="3"/>
  <c r="G659" i="3"/>
  <c r="F659" i="3"/>
  <c r="G658" i="3"/>
  <c r="F658" i="3"/>
  <c r="G657" i="3"/>
  <c r="F657" i="3"/>
  <c r="G656" i="3"/>
  <c r="F656" i="3"/>
  <c r="G655" i="3"/>
  <c r="F655" i="3"/>
  <c r="G654" i="3"/>
  <c r="F654" i="3"/>
  <c r="G653" i="3"/>
  <c r="F653" i="3"/>
  <c r="G652" i="3"/>
  <c r="F652" i="3"/>
  <c r="G651" i="3"/>
  <c r="F651" i="3"/>
  <c r="G650" i="3"/>
  <c r="F650" i="3"/>
  <c r="G649" i="3"/>
  <c r="F649" i="3"/>
  <c r="G648" i="3"/>
  <c r="F648" i="3"/>
  <c r="G647" i="3"/>
  <c r="F647" i="3"/>
  <c r="G646" i="3"/>
  <c r="F646" i="3"/>
  <c r="G645" i="3"/>
  <c r="F645" i="3"/>
  <c r="G644" i="3"/>
  <c r="F644" i="3"/>
  <c r="G643" i="3"/>
  <c r="F643" i="3"/>
  <c r="G642" i="3"/>
  <c r="F642" i="3"/>
  <c r="G641" i="3"/>
  <c r="F641" i="3"/>
  <c r="G640" i="3"/>
  <c r="F640" i="3"/>
  <c r="G639" i="3"/>
  <c r="F639" i="3"/>
  <c r="G638" i="3"/>
  <c r="F638" i="3"/>
  <c r="G637" i="3"/>
  <c r="F637" i="3"/>
  <c r="G636" i="3"/>
  <c r="F636" i="3"/>
  <c r="G635" i="3"/>
  <c r="F635" i="3"/>
  <c r="G634" i="3"/>
  <c r="F634" i="3"/>
  <c r="B16" i="7"/>
  <c r="D799" i="3" s="1"/>
  <c r="F604" i="3"/>
  <c r="G604" i="3"/>
  <c r="F605" i="3"/>
  <c r="G605" i="3"/>
  <c r="F606" i="3"/>
  <c r="G606" i="3"/>
  <c r="F607" i="3"/>
  <c r="G607" i="3"/>
  <c r="F608" i="3"/>
  <c r="G608" i="3"/>
  <c r="F609" i="3"/>
  <c r="G609" i="3"/>
  <c r="F610" i="3"/>
  <c r="G610" i="3"/>
  <c r="F611" i="3"/>
  <c r="G611" i="3"/>
  <c r="F612" i="3"/>
  <c r="G612" i="3"/>
  <c r="F613" i="3"/>
  <c r="G613" i="3"/>
  <c r="F614" i="3"/>
  <c r="G614" i="3"/>
  <c r="F615" i="3"/>
  <c r="G615" i="3"/>
  <c r="F616" i="3"/>
  <c r="G616" i="3"/>
  <c r="F617" i="3"/>
  <c r="G617" i="3"/>
  <c r="F618" i="3"/>
  <c r="G618" i="3"/>
  <c r="F619" i="3"/>
  <c r="G619" i="3"/>
  <c r="F620" i="3"/>
  <c r="G620" i="3"/>
  <c r="F621" i="3"/>
  <c r="G621" i="3"/>
  <c r="F622" i="3"/>
  <c r="G622" i="3"/>
  <c r="F623" i="3"/>
  <c r="G623" i="3"/>
  <c r="F624" i="3"/>
  <c r="G624" i="3"/>
  <c r="F625" i="3"/>
  <c r="G625" i="3"/>
  <c r="F626" i="3"/>
  <c r="G626" i="3"/>
  <c r="F627" i="3"/>
  <c r="G627" i="3"/>
  <c r="F628" i="3"/>
  <c r="G628" i="3"/>
  <c r="F629" i="3"/>
  <c r="G629" i="3"/>
  <c r="F630" i="3"/>
  <c r="G630" i="3"/>
  <c r="F631" i="3"/>
  <c r="G631" i="3"/>
  <c r="F632" i="3"/>
  <c r="G632" i="3"/>
  <c r="F633" i="3"/>
  <c r="G633" i="3"/>
  <c r="F589" i="3"/>
  <c r="G589" i="3"/>
  <c r="F590" i="3"/>
  <c r="G590" i="3"/>
  <c r="F591" i="3"/>
  <c r="G591" i="3"/>
  <c r="F592" i="3"/>
  <c r="G592" i="3"/>
  <c r="F593" i="3"/>
  <c r="G593" i="3"/>
  <c r="F594" i="3"/>
  <c r="G594" i="3"/>
  <c r="F595" i="3"/>
  <c r="G595" i="3"/>
  <c r="F596" i="3"/>
  <c r="G596" i="3"/>
  <c r="F597" i="3"/>
  <c r="G597" i="3"/>
  <c r="F598" i="3"/>
  <c r="G598" i="3"/>
  <c r="F599" i="3"/>
  <c r="G599" i="3"/>
  <c r="F600" i="3"/>
  <c r="G600" i="3"/>
  <c r="F601" i="3"/>
  <c r="G601" i="3"/>
  <c r="F602" i="3"/>
  <c r="G602" i="3"/>
  <c r="F603" i="3"/>
  <c r="G603" i="3"/>
  <c r="F529" i="3"/>
  <c r="G529" i="3"/>
  <c r="F530" i="3"/>
  <c r="G530" i="3"/>
  <c r="F531" i="3"/>
  <c r="G531" i="3"/>
  <c r="F532" i="3"/>
  <c r="G532" i="3"/>
  <c r="F533" i="3"/>
  <c r="G533" i="3"/>
  <c r="F534" i="3"/>
  <c r="G534" i="3"/>
  <c r="F535" i="3"/>
  <c r="G535" i="3"/>
  <c r="F536" i="3"/>
  <c r="G536" i="3"/>
  <c r="F537" i="3"/>
  <c r="G537" i="3"/>
  <c r="F538" i="3"/>
  <c r="G538" i="3"/>
  <c r="F539" i="3"/>
  <c r="G539" i="3"/>
  <c r="F540" i="3"/>
  <c r="G540" i="3"/>
  <c r="F541" i="3"/>
  <c r="G541" i="3"/>
  <c r="F542" i="3"/>
  <c r="G542" i="3"/>
  <c r="F543" i="3"/>
  <c r="G543" i="3"/>
  <c r="F544" i="3"/>
  <c r="G544" i="3"/>
  <c r="F545" i="3"/>
  <c r="G545" i="3"/>
  <c r="F546" i="3"/>
  <c r="G546" i="3"/>
  <c r="F547" i="3"/>
  <c r="G547" i="3"/>
  <c r="F548" i="3"/>
  <c r="G548" i="3"/>
  <c r="F549" i="3"/>
  <c r="G549" i="3"/>
  <c r="F550" i="3"/>
  <c r="G550" i="3"/>
  <c r="F551" i="3"/>
  <c r="G551" i="3"/>
  <c r="F552" i="3"/>
  <c r="G552" i="3"/>
  <c r="F553" i="3"/>
  <c r="G553" i="3"/>
  <c r="F554" i="3"/>
  <c r="G554" i="3"/>
  <c r="F555" i="3"/>
  <c r="G555" i="3"/>
  <c r="F556" i="3"/>
  <c r="G556" i="3"/>
  <c r="F557" i="3"/>
  <c r="G557" i="3"/>
  <c r="F558" i="3"/>
  <c r="G558" i="3"/>
  <c r="G573" i="3"/>
  <c r="F573" i="3"/>
  <c r="G572" i="3"/>
  <c r="F572" i="3"/>
  <c r="G571" i="3"/>
  <c r="F571" i="3"/>
  <c r="G570" i="3"/>
  <c r="F570" i="3"/>
  <c r="G569" i="3"/>
  <c r="F569" i="3"/>
  <c r="G568" i="3"/>
  <c r="F568" i="3"/>
  <c r="G567" i="3"/>
  <c r="F567" i="3"/>
  <c r="G566" i="3"/>
  <c r="F566" i="3"/>
  <c r="G565" i="3"/>
  <c r="F565" i="3"/>
  <c r="G564" i="3"/>
  <c r="F564" i="3"/>
  <c r="G563" i="3"/>
  <c r="F563" i="3"/>
  <c r="G562" i="3"/>
  <c r="F562" i="3"/>
  <c r="G561" i="3"/>
  <c r="F561" i="3"/>
  <c r="G560" i="3"/>
  <c r="F560" i="3"/>
  <c r="G559" i="3"/>
  <c r="F559" i="3"/>
  <c r="F499" i="3"/>
  <c r="G499" i="3"/>
  <c r="F500" i="3"/>
  <c r="G500" i="3"/>
  <c r="F501" i="3"/>
  <c r="G501" i="3"/>
  <c r="F502" i="3"/>
  <c r="G502" i="3"/>
  <c r="F503" i="3"/>
  <c r="G503" i="3"/>
  <c r="F504" i="3"/>
  <c r="G504" i="3"/>
  <c r="F505" i="3"/>
  <c r="G505" i="3"/>
  <c r="F506" i="3"/>
  <c r="G506" i="3"/>
  <c r="F507" i="3"/>
  <c r="G507" i="3"/>
  <c r="F508" i="3"/>
  <c r="G508" i="3"/>
  <c r="F509" i="3"/>
  <c r="G509" i="3"/>
  <c r="F510" i="3"/>
  <c r="G510" i="3"/>
  <c r="F511" i="3"/>
  <c r="G511" i="3"/>
  <c r="F512" i="3"/>
  <c r="G512" i="3"/>
  <c r="F513" i="3"/>
  <c r="G513" i="3"/>
  <c r="F484" i="3"/>
  <c r="G484" i="3"/>
  <c r="F485" i="3"/>
  <c r="G485" i="3"/>
  <c r="F486" i="3"/>
  <c r="G486" i="3"/>
  <c r="F487" i="3"/>
  <c r="G487" i="3"/>
  <c r="F488" i="3"/>
  <c r="G488" i="3"/>
  <c r="F489" i="3"/>
  <c r="G489" i="3"/>
  <c r="F490" i="3"/>
  <c r="G490" i="3"/>
  <c r="F491" i="3"/>
  <c r="G491" i="3"/>
  <c r="F492" i="3"/>
  <c r="G492" i="3"/>
  <c r="F493" i="3"/>
  <c r="G493" i="3"/>
  <c r="F494" i="3"/>
  <c r="G494" i="3"/>
  <c r="F495" i="3"/>
  <c r="G495" i="3"/>
  <c r="F496" i="3"/>
  <c r="G496" i="3"/>
  <c r="F497" i="3"/>
  <c r="G497" i="3"/>
  <c r="F498" i="3"/>
  <c r="G498" i="3"/>
  <c r="F469" i="3"/>
  <c r="G469" i="3"/>
  <c r="F470" i="3"/>
  <c r="G470" i="3"/>
  <c r="F471" i="3"/>
  <c r="G471" i="3"/>
  <c r="F472" i="3"/>
  <c r="G472" i="3"/>
  <c r="F473" i="3"/>
  <c r="G473" i="3"/>
  <c r="F474" i="3"/>
  <c r="G474" i="3"/>
  <c r="F475" i="3"/>
  <c r="G475" i="3"/>
  <c r="F476" i="3"/>
  <c r="G476" i="3"/>
  <c r="F477" i="3"/>
  <c r="G477" i="3"/>
  <c r="F478" i="3"/>
  <c r="G478" i="3"/>
  <c r="F479" i="3"/>
  <c r="G479" i="3"/>
  <c r="F480" i="3"/>
  <c r="G480" i="3"/>
  <c r="F481" i="3"/>
  <c r="G481" i="3"/>
  <c r="F482" i="3"/>
  <c r="G482" i="3"/>
  <c r="F483" i="3"/>
  <c r="G483" i="3"/>
  <c r="G528" i="3"/>
  <c r="F528" i="3"/>
  <c r="G527" i="3"/>
  <c r="F527" i="3"/>
  <c r="G526" i="3"/>
  <c r="F526" i="3"/>
  <c r="G525" i="3"/>
  <c r="F525" i="3"/>
  <c r="G524" i="3"/>
  <c r="F524" i="3"/>
  <c r="G523" i="3"/>
  <c r="F523" i="3"/>
  <c r="G522" i="3"/>
  <c r="F522" i="3"/>
  <c r="G521" i="3"/>
  <c r="F521" i="3"/>
  <c r="G520" i="3"/>
  <c r="F520" i="3"/>
  <c r="G519" i="3"/>
  <c r="F519" i="3"/>
  <c r="G518" i="3"/>
  <c r="F518" i="3"/>
  <c r="G517" i="3"/>
  <c r="F517" i="3"/>
  <c r="G516" i="3"/>
  <c r="F516" i="3"/>
  <c r="G515" i="3"/>
  <c r="F515" i="3"/>
  <c r="G514" i="3"/>
  <c r="F514" i="3"/>
  <c r="F454" i="3"/>
  <c r="G454" i="3"/>
  <c r="F455" i="3"/>
  <c r="G455" i="3"/>
  <c r="F456" i="3"/>
  <c r="G456" i="3"/>
  <c r="F457" i="3"/>
  <c r="G457" i="3"/>
  <c r="F458" i="3"/>
  <c r="G458" i="3"/>
  <c r="F459" i="3"/>
  <c r="G459" i="3"/>
  <c r="F460" i="3"/>
  <c r="G460" i="3"/>
  <c r="F461" i="3"/>
  <c r="G461" i="3"/>
  <c r="F462" i="3"/>
  <c r="G462" i="3"/>
  <c r="F463" i="3"/>
  <c r="G463" i="3"/>
  <c r="F464" i="3"/>
  <c r="G464" i="3"/>
  <c r="F465" i="3"/>
  <c r="G465" i="3"/>
  <c r="F466" i="3"/>
  <c r="G466" i="3"/>
  <c r="F467" i="3"/>
  <c r="G467" i="3"/>
  <c r="F468" i="3"/>
  <c r="G468" i="3"/>
  <c r="B13" i="7"/>
  <c r="F439" i="3"/>
  <c r="G439" i="3"/>
  <c r="F440" i="3"/>
  <c r="G440" i="3"/>
  <c r="F441" i="3"/>
  <c r="G441" i="3"/>
  <c r="F442" i="3"/>
  <c r="G442" i="3"/>
  <c r="F443" i="3"/>
  <c r="G443" i="3"/>
  <c r="F444" i="3"/>
  <c r="G444" i="3"/>
  <c r="F445" i="3"/>
  <c r="G445" i="3"/>
  <c r="F446" i="3"/>
  <c r="G446" i="3"/>
  <c r="F447" i="3"/>
  <c r="G447" i="3"/>
  <c r="F448" i="3"/>
  <c r="G448" i="3"/>
  <c r="F449" i="3"/>
  <c r="G449" i="3"/>
  <c r="F450" i="3"/>
  <c r="G450" i="3"/>
  <c r="F451" i="3"/>
  <c r="G451" i="3"/>
  <c r="F452" i="3"/>
  <c r="G452" i="3"/>
  <c r="F453" i="3"/>
  <c r="G453" i="3"/>
  <c r="F424" i="3"/>
  <c r="G424" i="3"/>
  <c r="F425" i="3"/>
  <c r="G425" i="3"/>
  <c r="F426" i="3"/>
  <c r="G426" i="3"/>
  <c r="F427" i="3"/>
  <c r="G427" i="3"/>
  <c r="F428" i="3"/>
  <c r="G428" i="3"/>
  <c r="F429" i="3"/>
  <c r="G429" i="3"/>
  <c r="F430" i="3"/>
  <c r="G430" i="3"/>
  <c r="F431" i="3"/>
  <c r="G431" i="3"/>
  <c r="F432" i="3"/>
  <c r="G432" i="3"/>
  <c r="F433" i="3"/>
  <c r="G433" i="3"/>
  <c r="F434" i="3"/>
  <c r="G434" i="3"/>
  <c r="F435" i="3"/>
  <c r="G435" i="3"/>
  <c r="F436" i="3"/>
  <c r="G436" i="3"/>
  <c r="F437" i="3"/>
  <c r="G437" i="3"/>
  <c r="F438" i="3"/>
  <c r="G438" i="3"/>
  <c r="F409" i="3"/>
  <c r="G409" i="3"/>
  <c r="F410" i="3"/>
  <c r="G410" i="3"/>
  <c r="F411" i="3"/>
  <c r="G411" i="3"/>
  <c r="F412" i="3"/>
  <c r="G412" i="3"/>
  <c r="F413" i="3"/>
  <c r="G413" i="3"/>
  <c r="F414" i="3"/>
  <c r="G414" i="3"/>
  <c r="F415" i="3"/>
  <c r="G415" i="3"/>
  <c r="F416" i="3"/>
  <c r="G416" i="3"/>
  <c r="F417" i="3"/>
  <c r="G417" i="3"/>
  <c r="F418" i="3"/>
  <c r="G418" i="3"/>
  <c r="F419" i="3"/>
  <c r="G419" i="3"/>
  <c r="F420" i="3"/>
  <c r="G420" i="3"/>
  <c r="F421" i="3"/>
  <c r="G421" i="3"/>
  <c r="F422" i="3"/>
  <c r="G422" i="3"/>
  <c r="F423" i="3"/>
  <c r="G423" i="3"/>
  <c r="F379" i="3"/>
  <c r="G379" i="3"/>
  <c r="F380" i="3"/>
  <c r="G380" i="3"/>
  <c r="F381" i="3"/>
  <c r="G381" i="3"/>
  <c r="F382" i="3"/>
  <c r="G382" i="3"/>
  <c r="F383" i="3"/>
  <c r="G383" i="3"/>
  <c r="F384" i="3"/>
  <c r="G384" i="3"/>
  <c r="F385" i="3"/>
  <c r="G385" i="3"/>
  <c r="F386" i="3"/>
  <c r="G386" i="3"/>
  <c r="F387" i="3"/>
  <c r="G387" i="3"/>
  <c r="F388" i="3"/>
  <c r="G388" i="3"/>
  <c r="F389" i="3"/>
  <c r="G389" i="3"/>
  <c r="F390" i="3"/>
  <c r="G390" i="3"/>
  <c r="F391" i="3"/>
  <c r="G391" i="3"/>
  <c r="F392" i="3"/>
  <c r="G392" i="3"/>
  <c r="F393" i="3"/>
  <c r="G393" i="3"/>
  <c r="F364" i="3"/>
  <c r="F365" i="3"/>
  <c r="F366" i="3"/>
  <c r="F367" i="3"/>
  <c r="F368" i="3"/>
  <c r="F369" i="3"/>
  <c r="F370" i="3"/>
  <c r="F371" i="3"/>
  <c r="F372" i="3"/>
  <c r="F373" i="3"/>
  <c r="F374" i="3"/>
  <c r="F375" i="3"/>
  <c r="F376" i="3"/>
  <c r="F377" i="3"/>
  <c r="F378" i="3"/>
  <c r="H41" i="2"/>
  <c r="G408" i="3"/>
  <c r="F408" i="3"/>
  <c r="G407" i="3"/>
  <c r="F407" i="3"/>
  <c r="G406" i="3"/>
  <c r="F406" i="3"/>
  <c r="G405" i="3"/>
  <c r="F405" i="3"/>
  <c r="G404" i="3"/>
  <c r="F404" i="3"/>
  <c r="G403" i="3"/>
  <c r="F403" i="3"/>
  <c r="G402" i="3"/>
  <c r="F402" i="3"/>
  <c r="G401" i="3"/>
  <c r="F401" i="3"/>
  <c r="G400" i="3"/>
  <c r="F400" i="3"/>
  <c r="G399" i="3"/>
  <c r="F399" i="3"/>
  <c r="G398" i="3"/>
  <c r="F398" i="3"/>
  <c r="G397" i="3"/>
  <c r="F397" i="3"/>
  <c r="G396" i="3"/>
  <c r="F396" i="3"/>
  <c r="G395" i="3"/>
  <c r="F395" i="3"/>
  <c r="G394" i="3"/>
  <c r="F394" i="3"/>
  <c r="F349" i="3"/>
  <c r="G349" i="3"/>
  <c r="F350" i="3"/>
  <c r="G350" i="3"/>
  <c r="F351" i="3"/>
  <c r="G351" i="3"/>
  <c r="F352" i="3"/>
  <c r="G352" i="3"/>
  <c r="F353" i="3"/>
  <c r="G353" i="3"/>
  <c r="F354" i="3"/>
  <c r="G354" i="3"/>
  <c r="F355" i="3"/>
  <c r="G355" i="3"/>
  <c r="F356" i="3"/>
  <c r="G356" i="3"/>
  <c r="F357" i="3"/>
  <c r="G357" i="3"/>
  <c r="F358" i="3"/>
  <c r="G358" i="3"/>
  <c r="F359" i="3"/>
  <c r="G359" i="3"/>
  <c r="F360" i="3"/>
  <c r="G360" i="3"/>
  <c r="F361" i="3"/>
  <c r="G361" i="3"/>
  <c r="F362" i="3"/>
  <c r="G362" i="3"/>
  <c r="F363" i="3"/>
  <c r="G363" i="3"/>
  <c r="D334" i="3"/>
  <c r="I334" i="3" s="1"/>
  <c r="J348" i="3"/>
  <c r="J347" i="3"/>
  <c r="I346" i="3"/>
  <c r="J345" i="3"/>
  <c r="I344" i="3"/>
  <c r="I343" i="3"/>
  <c r="J342" i="3"/>
  <c r="J341" i="3"/>
  <c r="I338" i="3"/>
  <c r="J337" i="3"/>
  <c r="I336" i="3"/>
  <c r="I335" i="3"/>
  <c r="F335" i="3"/>
  <c r="G335" i="3"/>
  <c r="F336" i="3"/>
  <c r="G336" i="3"/>
  <c r="F337" i="3"/>
  <c r="G337" i="3"/>
  <c r="F338" i="3"/>
  <c r="G338" i="3"/>
  <c r="F339" i="3"/>
  <c r="G339" i="3"/>
  <c r="F340" i="3"/>
  <c r="G340" i="3"/>
  <c r="F341" i="3"/>
  <c r="G341" i="3"/>
  <c r="F342" i="3"/>
  <c r="G342" i="3"/>
  <c r="F343" i="3"/>
  <c r="G343" i="3"/>
  <c r="F344" i="3"/>
  <c r="G344" i="3"/>
  <c r="F345" i="3"/>
  <c r="G345" i="3"/>
  <c r="F346" i="3"/>
  <c r="G346" i="3"/>
  <c r="F347" i="3"/>
  <c r="G347" i="3"/>
  <c r="F348" i="3"/>
  <c r="G348" i="3"/>
  <c r="F334" i="3"/>
  <c r="G334" i="3"/>
  <c r="I318" i="3"/>
  <c r="J317" i="3"/>
  <c r="I315" i="3"/>
  <c r="I313" i="3"/>
  <c r="J312" i="3"/>
  <c r="I310" i="3"/>
  <c r="I309" i="3"/>
  <c r="J308" i="3"/>
  <c r="J307" i="3"/>
  <c r="I306" i="3"/>
  <c r="J305" i="3"/>
  <c r="B10" i="7"/>
  <c r="D304" i="3" s="1"/>
  <c r="F305" i="3"/>
  <c r="G305" i="3"/>
  <c r="F306" i="3"/>
  <c r="G306" i="3"/>
  <c r="F307" i="3"/>
  <c r="G307" i="3"/>
  <c r="F308" i="3"/>
  <c r="G308" i="3"/>
  <c r="F309" i="3"/>
  <c r="G309" i="3"/>
  <c r="F310" i="3"/>
  <c r="G310" i="3"/>
  <c r="F311" i="3"/>
  <c r="G311" i="3"/>
  <c r="F312" i="3"/>
  <c r="G312" i="3"/>
  <c r="F313" i="3"/>
  <c r="G313" i="3"/>
  <c r="F314" i="3"/>
  <c r="G314" i="3"/>
  <c r="F315" i="3"/>
  <c r="G315" i="3"/>
  <c r="F316" i="3"/>
  <c r="G316" i="3"/>
  <c r="F317" i="3"/>
  <c r="G317" i="3"/>
  <c r="F318" i="3"/>
  <c r="G318" i="3"/>
  <c r="F304" i="3"/>
  <c r="G304" i="3"/>
  <c r="J273" i="3"/>
  <c r="J271" i="3"/>
  <c r="J270" i="3"/>
  <c r="J269" i="3"/>
  <c r="J266" i="3"/>
  <c r="I265" i="3"/>
  <c r="J264" i="3"/>
  <c r="J262" i="3"/>
  <c r="J261" i="3"/>
  <c r="J260" i="3"/>
  <c r="F260" i="3"/>
  <c r="G260" i="3"/>
  <c r="F261" i="3"/>
  <c r="G261" i="3"/>
  <c r="F262" i="3"/>
  <c r="G262" i="3"/>
  <c r="F263" i="3"/>
  <c r="G263" i="3"/>
  <c r="F264" i="3"/>
  <c r="G264" i="3"/>
  <c r="F265" i="3"/>
  <c r="G265" i="3"/>
  <c r="F266" i="3"/>
  <c r="G266" i="3"/>
  <c r="F267" i="3"/>
  <c r="G267" i="3"/>
  <c r="F268" i="3"/>
  <c r="G268" i="3"/>
  <c r="F269" i="3"/>
  <c r="G269" i="3"/>
  <c r="F270" i="3"/>
  <c r="G270" i="3"/>
  <c r="F271" i="3"/>
  <c r="G271" i="3"/>
  <c r="F272" i="3"/>
  <c r="G272" i="3"/>
  <c r="F273" i="3"/>
  <c r="G273" i="3"/>
  <c r="F259" i="3"/>
  <c r="G259" i="3"/>
  <c r="F230" i="3"/>
  <c r="G230" i="3"/>
  <c r="F231" i="3"/>
  <c r="G231" i="3"/>
  <c r="F232" i="3"/>
  <c r="G232" i="3"/>
  <c r="F233" i="3"/>
  <c r="G233" i="3"/>
  <c r="F234" i="3"/>
  <c r="G234" i="3"/>
  <c r="F235" i="3"/>
  <c r="G235" i="3"/>
  <c r="F236" i="3"/>
  <c r="G236" i="3"/>
  <c r="F237" i="3"/>
  <c r="G237" i="3"/>
  <c r="F238" i="3"/>
  <c r="G238" i="3"/>
  <c r="F239" i="3"/>
  <c r="G239" i="3"/>
  <c r="F240" i="3"/>
  <c r="G240" i="3"/>
  <c r="F241" i="3"/>
  <c r="G241" i="3"/>
  <c r="F242" i="3"/>
  <c r="G242" i="3"/>
  <c r="F243" i="3"/>
  <c r="G243" i="3"/>
  <c r="F229" i="3"/>
  <c r="G229" i="3"/>
  <c r="F215" i="3"/>
  <c r="G215" i="3"/>
  <c r="F216" i="3"/>
  <c r="G216" i="3"/>
  <c r="F217" i="3"/>
  <c r="G217" i="3"/>
  <c r="F218" i="3"/>
  <c r="G218" i="3"/>
  <c r="F219" i="3"/>
  <c r="G219" i="3"/>
  <c r="F220" i="3"/>
  <c r="G220" i="3"/>
  <c r="F221" i="3"/>
  <c r="G221" i="3"/>
  <c r="F222" i="3"/>
  <c r="G222" i="3"/>
  <c r="F223" i="3"/>
  <c r="G223" i="3"/>
  <c r="F224" i="3"/>
  <c r="G224" i="3"/>
  <c r="F225" i="3"/>
  <c r="G225" i="3"/>
  <c r="F226" i="3"/>
  <c r="G226" i="3"/>
  <c r="F227" i="3"/>
  <c r="G227" i="3"/>
  <c r="F228" i="3"/>
  <c r="G228" i="3"/>
  <c r="F214" i="3"/>
  <c r="G214" i="3"/>
  <c r="F245" i="3"/>
  <c r="G245" i="3"/>
  <c r="F246" i="3"/>
  <c r="G246" i="3"/>
  <c r="F247" i="3"/>
  <c r="G247" i="3"/>
  <c r="F248" i="3"/>
  <c r="G248" i="3"/>
  <c r="F249" i="3"/>
  <c r="G249" i="3"/>
  <c r="F250" i="3"/>
  <c r="G250" i="3"/>
  <c r="F251" i="3"/>
  <c r="G251" i="3"/>
  <c r="F252" i="3"/>
  <c r="G252" i="3"/>
  <c r="F253" i="3"/>
  <c r="G253" i="3"/>
  <c r="F254" i="3"/>
  <c r="G254" i="3"/>
  <c r="F255" i="3"/>
  <c r="G255" i="3"/>
  <c r="F256" i="3"/>
  <c r="G256" i="3"/>
  <c r="F257" i="3"/>
  <c r="G257" i="3"/>
  <c r="F258" i="3"/>
  <c r="G258" i="3"/>
  <c r="F275" i="3"/>
  <c r="G275" i="3"/>
  <c r="F276" i="3"/>
  <c r="G276" i="3"/>
  <c r="F277" i="3"/>
  <c r="G277" i="3"/>
  <c r="F278" i="3"/>
  <c r="G278" i="3"/>
  <c r="F279" i="3"/>
  <c r="G279" i="3"/>
  <c r="F280" i="3"/>
  <c r="G280" i="3"/>
  <c r="F281" i="3"/>
  <c r="G281" i="3"/>
  <c r="F282" i="3"/>
  <c r="G282" i="3"/>
  <c r="F283" i="3"/>
  <c r="G283" i="3"/>
  <c r="F284" i="3"/>
  <c r="G284" i="3"/>
  <c r="F285" i="3"/>
  <c r="G285" i="3"/>
  <c r="F286" i="3"/>
  <c r="G286" i="3"/>
  <c r="F287" i="3"/>
  <c r="G287" i="3"/>
  <c r="F288" i="3"/>
  <c r="G288" i="3"/>
  <c r="F290" i="3"/>
  <c r="G290" i="3"/>
  <c r="F291" i="3"/>
  <c r="G291" i="3"/>
  <c r="F292" i="3"/>
  <c r="G292" i="3"/>
  <c r="F293" i="3"/>
  <c r="G293" i="3"/>
  <c r="F294" i="3"/>
  <c r="G294" i="3"/>
  <c r="F295" i="3"/>
  <c r="G295" i="3"/>
  <c r="F296" i="3"/>
  <c r="G296" i="3"/>
  <c r="F297" i="3"/>
  <c r="G297" i="3"/>
  <c r="F298" i="3"/>
  <c r="G298" i="3"/>
  <c r="F299" i="3"/>
  <c r="G299" i="3"/>
  <c r="F300" i="3"/>
  <c r="G300" i="3"/>
  <c r="F301" i="3"/>
  <c r="G301" i="3"/>
  <c r="F302" i="3"/>
  <c r="G302" i="3"/>
  <c r="F303" i="3"/>
  <c r="G303" i="3"/>
  <c r="F320" i="3"/>
  <c r="G320" i="3"/>
  <c r="F321" i="3"/>
  <c r="G321" i="3"/>
  <c r="F322" i="3"/>
  <c r="G322" i="3"/>
  <c r="F323" i="3"/>
  <c r="G323" i="3"/>
  <c r="F324" i="3"/>
  <c r="G324" i="3"/>
  <c r="F325" i="3"/>
  <c r="G325" i="3"/>
  <c r="F326" i="3"/>
  <c r="G326" i="3"/>
  <c r="F327" i="3"/>
  <c r="G327" i="3"/>
  <c r="F328" i="3"/>
  <c r="G328" i="3"/>
  <c r="F329" i="3"/>
  <c r="G329" i="3"/>
  <c r="F330" i="3"/>
  <c r="G330" i="3"/>
  <c r="F331" i="3"/>
  <c r="G331" i="3"/>
  <c r="F332" i="3"/>
  <c r="G332" i="3"/>
  <c r="F333" i="3"/>
  <c r="G333" i="3"/>
  <c r="F828" i="3"/>
  <c r="G828" i="3"/>
  <c r="F815" i="3"/>
  <c r="G815" i="3"/>
  <c r="F816" i="3"/>
  <c r="G816" i="3"/>
  <c r="F817" i="3"/>
  <c r="G817" i="3"/>
  <c r="F818" i="3"/>
  <c r="G818" i="3"/>
  <c r="F819" i="3"/>
  <c r="G819" i="3"/>
  <c r="F820" i="3"/>
  <c r="G820" i="3"/>
  <c r="F821" i="3"/>
  <c r="G821" i="3"/>
  <c r="F822" i="3"/>
  <c r="G822" i="3"/>
  <c r="F823" i="3"/>
  <c r="G823" i="3"/>
  <c r="F824" i="3"/>
  <c r="G824" i="3"/>
  <c r="F825" i="3"/>
  <c r="G825" i="3"/>
  <c r="F826" i="3"/>
  <c r="G826" i="3"/>
  <c r="F827" i="3"/>
  <c r="G827" i="3"/>
  <c r="G183" i="3"/>
  <c r="F183" i="3"/>
  <c r="G182" i="3"/>
  <c r="F182" i="3"/>
  <c r="G181" i="3"/>
  <c r="F181" i="3"/>
  <c r="G180" i="3"/>
  <c r="F180" i="3"/>
  <c r="G179" i="3"/>
  <c r="F179" i="3"/>
  <c r="G178" i="3"/>
  <c r="F178" i="3"/>
  <c r="G177" i="3"/>
  <c r="F177" i="3"/>
  <c r="G176" i="3"/>
  <c r="F176" i="3"/>
  <c r="G175" i="3"/>
  <c r="F175" i="3"/>
  <c r="G174" i="3"/>
  <c r="F174" i="3"/>
  <c r="G173" i="3"/>
  <c r="F173" i="3"/>
  <c r="G172" i="3"/>
  <c r="F172" i="3"/>
  <c r="G171" i="3"/>
  <c r="F171" i="3"/>
  <c r="G170" i="3"/>
  <c r="F170" i="3"/>
  <c r="G198" i="3"/>
  <c r="F198" i="3"/>
  <c r="G197" i="3"/>
  <c r="F197" i="3"/>
  <c r="G196" i="3"/>
  <c r="F196" i="3"/>
  <c r="G195" i="3"/>
  <c r="F195" i="3"/>
  <c r="G194" i="3"/>
  <c r="F194" i="3"/>
  <c r="G193" i="3"/>
  <c r="F193" i="3"/>
  <c r="G192" i="3"/>
  <c r="F192" i="3"/>
  <c r="G191" i="3"/>
  <c r="F191" i="3"/>
  <c r="G190" i="3"/>
  <c r="F190" i="3"/>
  <c r="G189" i="3"/>
  <c r="F189" i="3"/>
  <c r="G188" i="3"/>
  <c r="F188" i="3"/>
  <c r="G187" i="3"/>
  <c r="F187" i="3"/>
  <c r="G186" i="3"/>
  <c r="F186" i="3"/>
  <c r="G185" i="3"/>
  <c r="F185" i="3"/>
  <c r="G199" i="3"/>
  <c r="F199" i="3"/>
  <c r="F212" i="3"/>
  <c r="G212" i="3"/>
  <c r="F213" i="3"/>
  <c r="G213" i="3"/>
  <c r="F207" i="3"/>
  <c r="G207" i="3"/>
  <c r="F208" i="3"/>
  <c r="G208" i="3"/>
  <c r="F209" i="3"/>
  <c r="G209" i="3"/>
  <c r="F210" i="3"/>
  <c r="G210" i="3"/>
  <c r="F211" i="3"/>
  <c r="G211" i="3"/>
  <c r="F201" i="3"/>
  <c r="G201" i="3"/>
  <c r="F202" i="3"/>
  <c r="G202" i="3"/>
  <c r="F203" i="3"/>
  <c r="G203" i="3"/>
  <c r="F204" i="3"/>
  <c r="G204" i="3"/>
  <c r="F205" i="3"/>
  <c r="G205" i="3"/>
  <c r="F206" i="3"/>
  <c r="G206" i="3"/>
  <c r="I2837" i="3"/>
  <c r="I2832" i="3"/>
  <c r="I794" i="3"/>
  <c r="I269" i="3"/>
  <c r="I267" i="3"/>
  <c r="D2149" i="3" a="1"/>
  <c r="D2179" i="3" a="1"/>
  <c r="D2194" i="3" a="1"/>
  <c r="D394" i="3" a="1"/>
  <c r="D2164" i="3" a="1"/>
  <c r="D619" i="3" a="1"/>
  <c r="D604" i="3" a="1"/>
  <c r="D589" i="3" a="1"/>
  <c r="D574" i="3" a="1"/>
  <c r="D1774" i="3" a="1"/>
  <c r="D2209" i="3" a="1"/>
  <c r="D409" i="3" a="1"/>
  <c r="C25" i="76" l="1"/>
  <c r="D21" i="76"/>
  <c r="D1774" i="3"/>
  <c r="D574" i="3"/>
  <c r="D604" i="3"/>
  <c r="J604" i="3" s="1"/>
  <c r="D589" i="3"/>
  <c r="J589" i="3" s="1"/>
  <c r="D619" i="3"/>
  <c r="J619" i="3" s="1"/>
  <c r="C32" i="7"/>
  <c r="B32" i="7"/>
  <c r="C39" i="83" s="1"/>
  <c r="E19" i="195" s="1"/>
  <c r="D409" i="3"/>
  <c r="J409" i="3" s="1"/>
  <c r="D394" i="3"/>
  <c r="I394" i="3" s="1"/>
  <c r="D2209" i="3"/>
  <c r="J2209" i="3" s="1"/>
  <c r="D2149" i="3"/>
  <c r="J2149" i="3" s="1"/>
  <c r="D2164" i="3"/>
  <c r="J2164" i="3" s="1"/>
  <c r="D2194" i="3"/>
  <c r="J2194" i="3" s="1"/>
  <c r="D2179" i="3"/>
  <c r="J2179" i="3" s="1"/>
  <c r="C39" i="7"/>
  <c r="C52" i="83" s="1"/>
  <c r="D9581" i="3" s="1"/>
  <c r="B39" i="7"/>
  <c r="C51" i="83" s="1"/>
  <c r="G7243" i="3"/>
  <c r="G7249" i="3"/>
  <c r="G4840" i="3"/>
  <c r="G7244" i="3"/>
  <c r="G7250" i="3"/>
  <c r="G4838" i="3"/>
  <c r="G7245" i="3"/>
  <c r="G7251" i="3"/>
  <c r="G7240" i="3"/>
  <c r="G7246" i="3"/>
  <c r="G7252" i="3"/>
  <c r="G4837" i="3"/>
  <c r="G4834" i="3"/>
  <c r="G4844" i="3"/>
  <c r="G7241" i="3"/>
  <c r="G7247" i="3"/>
  <c r="G7253" i="3"/>
  <c r="G4843" i="3"/>
  <c r="G4835" i="3"/>
  <c r="G4845" i="3"/>
  <c r="G4836" i="3"/>
  <c r="G4841" i="3"/>
  <c r="G4839" i="3"/>
  <c r="G7242" i="3"/>
  <c r="G7248" i="3"/>
  <c r="G7254" i="3"/>
  <c r="G4842" i="3"/>
  <c r="G4847" i="3"/>
  <c r="G4846" i="3"/>
  <c r="G4833" i="3"/>
  <c r="G364" i="3"/>
  <c r="G3054" i="3"/>
  <c r="G3053" i="3"/>
  <c r="G3045" i="3"/>
  <c r="G3051" i="3"/>
  <c r="G3049" i="3"/>
  <c r="G3046" i="3"/>
  <c r="G3043" i="3"/>
  <c r="G3041" i="3"/>
  <c r="G3055" i="3"/>
  <c r="G3052" i="3"/>
  <c r="G3047" i="3"/>
  <c r="G3050" i="3"/>
  <c r="G3048" i="3"/>
  <c r="G3044" i="3"/>
  <c r="G3042" i="3"/>
  <c r="J425" i="3"/>
  <c r="J410" i="3"/>
  <c r="J395" i="3"/>
  <c r="I365" i="3"/>
  <c r="J529" i="3"/>
  <c r="J514" i="3"/>
  <c r="J544" i="3"/>
  <c r="J2329" i="3"/>
  <c r="J2344" i="3"/>
  <c r="J2284" i="3"/>
  <c r="J2224" i="3"/>
  <c r="D259" i="3"/>
  <c r="J259" i="3" s="1"/>
  <c r="J2839" i="3"/>
  <c r="J2704" i="3"/>
  <c r="J2764" i="3"/>
  <c r="J469" i="3"/>
  <c r="J454" i="3"/>
  <c r="I499" i="3"/>
  <c r="H484" i="3"/>
  <c r="J349" i="3"/>
  <c r="D379" i="3"/>
  <c r="H379" i="3" s="1"/>
  <c r="D364" i="3"/>
  <c r="J364" i="3" s="1"/>
  <c r="D439" i="3"/>
  <c r="J439" i="3" s="1"/>
  <c r="D424" i="3"/>
  <c r="J424" i="3" s="1"/>
  <c r="C49" i="83"/>
  <c r="I304" i="3"/>
  <c r="C13" i="83"/>
  <c r="C11" i="83"/>
  <c r="C6" i="83"/>
  <c r="I2921" i="3"/>
  <c r="J2904" i="3"/>
  <c r="H2910" i="3"/>
  <c r="H2833" i="3"/>
  <c r="I2825" i="3"/>
  <c r="H2825" i="3"/>
  <c r="G378" i="3"/>
  <c r="G370" i="3"/>
  <c r="C47" i="83"/>
  <c r="C8" i="83"/>
  <c r="C9" i="83"/>
  <c r="C10" i="83"/>
  <c r="C12" i="83"/>
  <c r="C14" i="83"/>
  <c r="G376" i="3"/>
  <c r="G374" i="3"/>
  <c r="G372" i="3"/>
  <c r="G377" i="3"/>
  <c r="G375" i="3"/>
  <c r="G373" i="3"/>
  <c r="G371" i="3"/>
  <c r="G369" i="3"/>
  <c r="G367" i="3"/>
  <c r="G365" i="3"/>
  <c r="G368" i="3"/>
  <c r="G366" i="3"/>
  <c r="I270" i="3"/>
  <c r="I2923" i="3"/>
  <c r="I788" i="3"/>
  <c r="H343" i="3"/>
  <c r="J2912" i="3"/>
  <c r="H337" i="3"/>
  <c r="H2832" i="3"/>
  <c r="I2829" i="3"/>
  <c r="I798" i="3"/>
  <c r="I2830" i="3"/>
  <c r="I347" i="3"/>
  <c r="H2830" i="3"/>
  <c r="H2365" i="3"/>
  <c r="H2374" i="3"/>
  <c r="H313" i="3"/>
  <c r="I2374" i="3"/>
  <c r="I266" i="3"/>
  <c r="H2831" i="3"/>
  <c r="H340" i="3"/>
  <c r="H266" i="3"/>
  <c r="H314" i="3"/>
  <c r="I348" i="3"/>
  <c r="I305" i="3"/>
  <c r="H2908" i="3"/>
  <c r="I317" i="3"/>
  <c r="H270" i="3"/>
  <c r="H306" i="3"/>
  <c r="I340" i="3"/>
  <c r="H317" i="3"/>
  <c r="H269" i="3"/>
  <c r="H339" i="3"/>
  <c r="H311" i="3"/>
  <c r="H347" i="3"/>
  <c r="J2927" i="3"/>
  <c r="I797" i="3"/>
  <c r="H797" i="3"/>
  <c r="H2927" i="3"/>
  <c r="I2924" i="3"/>
  <c r="I345" i="3"/>
  <c r="I262" i="3"/>
  <c r="H262" i="3"/>
  <c r="H268" i="3"/>
  <c r="H316" i="3"/>
  <c r="H345" i="3"/>
  <c r="I2915" i="3"/>
  <c r="J2909" i="3"/>
  <c r="I2919" i="3"/>
  <c r="H2902" i="3"/>
  <c r="H2912" i="3"/>
  <c r="I2733" i="3"/>
  <c r="H2900" i="3"/>
  <c r="I2757" i="3"/>
  <c r="I2922" i="3"/>
  <c r="J2913" i="3"/>
  <c r="H344" i="3"/>
  <c r="H2880" i="3"/>
  <c r="I271" i="3"/>
  <c r="I261" i="3"/>
  <c r="J2884" i="3"/>
  <c r="I307" i="3"/>
  <c r="H2905" i="3"/>
  <c r="I341" i="3"/>
  <c r="H2835" i="3"/>
  <c r="J2902" i="3"/>
  <c r="H272" i="3"/>
  <c r="I793" i="3"/>
  <c r="I2928" i="3"/>
  <c r="H2916" i="3"/>
  <c r="H2907" i="3"/>
  <c r="I308" i="3"/>
  <c r="H793" i="3"/>
  <c r="I2880" i="3"/>
  <c r="H2892" i="3"/>
  <c r="I260" i="3"/>
  <c r="H308" i="3"/>
  <c r="H2928" i="3"/>
  <c r="H260" i="3"/>
  <c r="I272" i="3"/>
  <c r="I273" i="3"/>
  <c r="H273" i="3"/>
  <c r="I2834" i="3"/>
  <c r="I342" i="3"/>
  <c r="I2916" i="3"/>
  <c r="J2906" i="3"/>
  <c r="I2901" i="3"/>
  <c r="H264" i="3"/>
  <c r="I2838" i="3"/>
  <c r="I312" i="3"/>
  <c r="I2826" i="3"/>
  <c r="I264" i="3"/>
  <c r="H2913" i="3"/>
  <c r="J2910" i="3"/>
  <c r="H2909" i="3"/>
  <c r="J2908" i="3"/>
  <c r="J2907" i="3"/>
  <c r="H2906" i="3"/>
  <c r="J2905" i="3"/>
  <c r="H2904" i="3"/>
  <c r="J2903" i="3"/>
  <c r="J2900" i="3"/>
  <c r="I2911" i="3"/>
  <c r="H2911" i="3"/>
  <c r="H2901" i="3"/>
  <c r="H2903" i="3"/>
  <c r="H2919" i="3"/>
  <c r="J2920" i="3"/>
  <c r="H803" i="3"/>
  <c r="I2745" i="3"/>
  <c r="H2757" i="3"/>
  <c r="J2917" i="3"/>
  <c r="I2365" i="3"/>
  <c r="J812" i="3"/>
  <c r="H2918" i="3"/>
  <c r="H2920" i="3"/>
  <c r="H2926" i="3"/>
  <c r="H2915" i="3"/>
  <c r="H2924" i="3"/>
  <c r="H2922" i="3"/>
  <c r="I2918" i="3"/>
  <c r="H2917" i="3"/>
  <c r="J2925" i="3"/>
  <c r="H2925" i="3"/>
  <c r="J2926" i="3"/>
  <c r="J2914" i="3"/>
  <c r="I2725" i="3"/>
  <c r="H2089" i="3"/>
  <c r="J2882" i="3"/>
  <c r="I2892" i="3"/>
  <c r="J2894" i="3"/>
  <c r="J2874" i="3"/>
  <c r="H2894" i="3"/>
  <c r="H2870" i="3"/>
  <c r="H2723" i="3"/>
  <c r="H2882" i="3"/>
  <c r="J2089" i="3"/>
  <c r="I2723" i="3"/>
  <c r="H2735" i="3"/>
  <c r="J2376" i="3"/>
  <c r="H2602" i="3"/>
  <c r="I2363" i="3"/>
  <c r="J2886" i="3"/>
  <c r="J2735" i="3"/>
  <c r="H2898" i="3"/>
  <c r="H2361" i="3"/>
  <c r="H2753" i="3"/>
  <c r="I2361" i="3"/>
  <c r="J2729" i="3"/>
  <c r="H2373" i="3"/>
  <c r="I2382" i="3"/>
  <c r="H2729" i="3"/>
  <c r="I2373" i="3"/>
  <c r="H2388" i="3"/>
  <c r="I2388" i="3"/>
  <c r="I2753" i="3"/>
  <c r="H2382" i="3"/>
  <c r="I2618" i="3"/>
  <c r="H2741" i="3"/>
  <c r="I2741" i="3"/>
  <c r="J2606" i="3"/>
  <c r="H2363" i="3"/>
  <c r="J2384" i="3"/>
  <c r="H2606" i="3"/>
  <c r="J2731" i="3"/>
  <c r="H2731" i="3"/>
  <c r="I2890" i="3"/>
  <c r="J2628" i="3"/>
  <c r="J2719" i="3"/>
  <c r="H2719" i="3"/>
  <c r="I2878" i="3"/>
  <c r="H2620" i="3"/>
  <c r="J2612" i="3"/>
  <c r="H2626" i="3"/>
  <c r="H2749" i="3"/>
  <c r="I2602" i="3"/>
  <c r="I2749" i="3"/>
  <c r="H2624" i="3"/>
  <c r="H2737" i="3"/>
  <c r="I2624" i="3"/>
  <c r="I2737" i="3"/>
  <c r="H2761" i="3"/>
  <c r="H2725" i="3"/>
  <c r="H2384" i="3"/>
  <c r="J2369" i="3"/>
  <c r="I2369" i="3"/>
  <c r="J2378" i="3"/>
  <c r="I2378" i="3"/>
  <c r="H2378" i="3"/>
  <c r="H2743" i="3"/>
  <c r="H2866" i="3"/>
  <c r="H2608" i="3"/>
  <c r="H2612" i="3"/>
  <c r="J2721" i="3"/>
  <c r="H2747" i="3"/>
  <c r="H2755" i="3"/>
  <c r="J2896" i="3"/>
  <c r="H2367" i="3"/>
  <c r="H2622" i="3"/>
  <c r="H2721" i="3"/>
  <c r="I2743" i="3"/>
  <c r="H2759" i="3"/>
  <c r="H2862" i="3"/>
  <c r="I2386" i="3"/>
  <c r="I2747" i="3"/>
  <c r="I2755" i="3"/>
  <c r="H2884" i="3"/>
  <c r="I2367" i="3"/>
  <c r="J2622" i="3"/>
  <c r="I2759" i="3"/>
  <c r="H2618" i="3"/>
  <c r="H2733" i="3"/>
  <c r="H2376" i="3"/>
  <c r="J2610" i="3"/>
  <c r="H2745" i="3"/>
  <c r="H2610" i="3"/>
  <c r="H2890" i="3"/>
  <c r="H2369" i="3"/>
  <c r="J2898" i="3"/>
  <c r="H2874" i="3"/>
  <c r="J2876" i="3"/>
  <c r="H2359" i="3"/>
  <c r="H2876" i="3"/>
  <c r="J2888" i="3"/>
  <c r="J2616" i="3"/>
  <c r="H2888" i="3"/>
  <c r="J813" i="3"/>
  <c r="I2359" i="3"/>
  <c r="J2604" i="3"/>
  <c r="H2380" i="3"/>
  <c r="H2604" i="3"/>
  <c r="H2864" i="3"/>
  <c r="H2371" i="3"/>
  <c r="I2380" i="3"/>
  <c r="H2739" i="3"/>
  <c r="I2371" i="3"/>
  <c r="I803" i="3"/>
  <c r="H2628" i="3"/>
  <c r="H2878" i="3"/>
  <c r="H2860" i="3"/>
  <c r="H2868" i="3"/>
  <c r="H2872" i="3"/>
  <c r="H2886" i="3"/>
  <c r="H2855" i="3"/>
  <c r="H2857" i="3"/>
  <c r="H2859" i="3"/>
  <c r="H2861" i="3"/>
  <c r="H2863" i="3"/>
  <c r="H2865" i="3"/>
  <c r="H2867" i="3"/>
  <c r="H2869" i="3"/>
  <c r="H2871" i="3"/>
  <c r="H2873" i="3"/>
  <c r="H2875" i="3"/>
  <c r="H2877" i="3"/>
  <c r="H2879" i="3"/>
  <c r="H2881" i="3"/>
  <c r="H2883" i="3"/>
  <c r="H2885" i="3"/>
  <c r="H2887" i="3"/>
  <c r="H2889" i="3"/>
  <c r="H2891" i="3"/>
  <c r="H2893" i="3"/>
  <c r="H2895" i="3"/>
  <c r="H2897" i="3"/>
  <c r="I2855" i="3"/>
  <c r="I2857" i="3"/>
  <c r="I2859" i="3"/>
  <c r="I2861" i="3"/>
  <c r="I2863" i="3"/>
  <c r="I2865" i="3"/>
  <c r="I2867" i="3"/>
  <c r="I2869" i="3"/>
  <c r="I2871" i="3"/>
  <c r="I2873" i="3"/>
  <c r="I2875" i="3"/>
  <c r="I2877" i="3"/>
  <c r="I2879" i="3"/>
  <c r="I2881" i="3"/>
  <c r="I2883" i="3"/>
  <c r="I2885" i="3"/>
  <c r="I2887" i="3"/>
  <c r="I2889" i="3"/>
  <c r="I2891" i="3"/>
  <c r="I2893" i="3"/>
  <c r="I2895" i="3"/>
  <c r="I2897" i="3"/>
  <c r="H2854" i="3"/>
  <c r="H2856" i="3"/>
  <c r="H2858" i="3"/>
  <c r="I2854" i="3"/>
  <c r="I2856" i="3"/>
  <c r="I2858" i="3"/>
  <c r="I2860" i="3"/>
  <c r="I2862" i="3"/>
  <c r="I2864" i="3"/>
  <c r="I2866" i="3"/>
  <c r="I2868" i="3"/>
  <c r="I2870" i="3"/>
  <c r="I2872" i="3"/>
  <c r="H2763" i="3"/>
  <c r="I2739" i="3"/>
  <c r="I2763" i="3"/>
  <c r="J2727" i="3"/>
  <c r="H2751" i="3"/>
  <c r="H2727" i="3"/>
  <c r="I2751" i="3"/>
  <c r="H2720" i="3"/>
  <c r="H2722" i="3"/>
  <c r="H2724" i="3"/>
  <c r="H2726" i="3"/>
  <c r="H2728" i="3"/>
  <c r="H2730" i="3"/>
  <c r="H2732" i="3"/>
  <c r="H2734" i="3"/>
  <c r="H2736" i="3"/>
  <c r="H2738" i="3"/>
  <c r="H2740" i="3"/>
  <c r="H2742" i="3"/>
  <c r="H2744" i="3"/>
  <c r="H2746" i="3"/>
  <c r="H2748" i="3"/>
  <c r="H2750" i="3"/>
  <c r="H2752" i="3"/>
  <c r="H2754" i="3"/>
  <c r="H2756" i="3"/>
  <c r="H2758" i="3"/>
  <c r="H2760" i="3"/>
  <c r="H2762" i="3"/>
  <c r="I2720" i="3"/>
  <c r="I2722" i="3"/>
  <c r="I2724" i="3"/>
  <c r="I2726" i="3"/>
  <c r="I2728" i="3"/>
  <c r="I2730" i="3"/>
  <c r="I2732" i="3"/>
  <c r="I2734" i="3"/>
  <c r="I2736" i="3"/>
  <c r="I2738" i="3"/>
  <c r="I2740" i="3"/>
  <c r="I2742" i="3"/>
  <c r="I2744" i="3"/>
  <c r="I2746" i="3"/>
  <c r="I2748" i="3"/>
  <c r="I2750" i="3"/>
  <c r="I2752" i="3"/>
  <c r="I2754" i="3"/>
  <c r="I2756" i="3"/>
  <c r="I2758" i="3"/>
  <c r="I2760" i="3"/>
  <c r="I2762" i="3"/>
  <c r="H2616" i="3"/>
  <c r="J2614" i="3"/>
  <c r="I2620" i="3"/>
  <c r="I2626" i="3"/>
  <c r="H2614" i="3"/>
  <c r="J2608" i="3"/>
  <c r="H2585" i="3"/>
  <c r="H2587" i="3"/>
  <c r="H2589" i="3"/>
  <c r="H2591" i="3"/>
  <c r="H2593" i="3"/>
  <c r="H2595" i="3"/>
  <c r="H2597" i="3"/>
  <c r="H2599" i="3"/>
  <c r="H2601" i="3"/>
  <c r="H2603" i="3"/>
  <c r="H2605" i="3"/>
  <c r="H2607" i="3"/>
  <c r="H2609" i="3"/>
  <c r="H2611" i="3"/>
  <c r="H2613" i="3"/>
  <c r="H2615" i="3"/>
  <c r="H2617" i="3"/>
  <c r="H2619" i="3"/>
  <c r="H2621" i="3"/>
  <c r="H2623" i="3"/>
  <c r="H2625" i="3"/>
  <c r="H2627" i="3"/>
  <c r="I2585" i="3"/>
  <c r="I2587" i="3"/>
  <c r="I2589" i="3"/>
  <c r="I2591" i="3"/>
  <c r="I2593" i="3"/>
  <c r="I2595" i="3"/>
  <c r="I2597" i="3"/>
  <c r="I2599" i="3"/>
  <c r="I2601" i="3"/>
  <c r="I2603" i="3"/>
  <c r="I2605" i="3"/>
  <c r="I2607" i="3"/>
  <c r="I2609" i="3"/>
  <c r="I2611" i="3"/>
  <c r="I2613" i="3"/>
  <c r="I2615" i="3"/>
  <c r="I2617" i="3"/>
  <c r="I2619" i="3"/>
  <c r="I2621" i="3"/>
  <c r="I2623" i="3"/>
  <c r="I2625" i="3"/>
  <c r="I2627" i="3"/>
  <c r="H2584" i="3"/>
  <c r="H2586" i="3"/>
  <c r="H2588" i="3"/>
  <c r="H2590" i="3"/>
  <c r="H2592" i="3"/>
  <c r="H2594" i="3"/>
  <c r="H2596" i="3"/>
  <c r="H2598" i="3"/>
  <c r="H2600" i="3"/>
  <c r="I2584" i="3"/>
  <c r="I2586" i="3"/>
  <c r="I2588" i="3"/>
  <c r="I2590" i="3"/>
  <c r="I2592" i="3"/>
  <c r="I2594" i="3"/>
  <c r="I2596" i="3"/>
  <c r="I2598" i="3"/>
  <c r="I2600" i="3"/>
  <c r="H2420" i="3"/>
  <c r="H2422" i="3"/>
  <c r="H2424" i="3"/>
  <c r="H2426" i="3"/>
  <c r="H2428" i="3"/>
  <c r="H2430" i="3"/>
  <c r="H2432" i="3"/>
  <c r="H2434" i="3"/>
  <c r="H2436" i="3"/>
  <c r="H2438" i="3"/>
  <c r="H2440" i="3"/>
  <c r="H2442" i="3"/>
  <c r="H2444" i="3"/>
  <c r="H2446" i="3"/>
  <c r="H2448" i="3"/>
  <c r="H2450" i="3"/>
  <c r="H2452" i="3"/>
  <c r="H2454" i="3"/>
  <c r="H2456" i="3"/>
  <c r="H2458" i="3"/>
  <c r="H2460" i="3"/>
  <c r="H2462" i="3"/>
  <c r="I2420" i="3"/>
  <c r="I2422" i="3"/>
  <c r="I2424" i="3"/>
  <c r="I2426" i="3"/>
  <c r="I2428" i="3"/>
  <c r="I2430" i="3"/>
  <c r="I2432" i="3"/>
  <c r="I2434" i="3"/>
  <c r="I2436" i="3"/>
  <c r="I2438" i="3"/>
  <c r="I2440" i="3"/>
  <c r="I2442" i="3"/>
  <c r="I2444" i="3"/>
  <c r="I2446" i="3"/>
  <c r="I2448" i="3"/>
  <c r="I2450" i="3"/>
  <c r="I2452" i="3"/>
  <c r="I2454" i="3"/>
  <c r="I2456" i="3"/>
  <c r="I2458" i="3"/>
  <c r="I2460" i="3"/>
  <c r="I2462" i="3"/>
  <c r="H2419" i="3"/>
  <c r="H2421" i="3"/>
  <c r="H2423" i="3"/>
  <c r="H2425" i="3"/>
  <c r="H2427" i="3"/>
  <c r="H2429" i="3"/>
  <c r="H2431" i="3"/>
  <c r="H2433" i="3"/>
  <c r="H2435" i="3"/>
  <c r="H2437" i="3"/>
  <c r="H2439" i="3"/>
  <c r="H2441" i="3"/>
  <c r="H2443" i="3"/>
  <c r="H2445" i="3"/>
  <c r="H2447" i="3"/>
  <c r="H2449" i="3"/>
  <c r="H2451" i="3"/>
  <c r="H2453" i="3"/>
  <c r="H2455" i="3"/>
  <c r="H2457" i="3"/>
  <c r="H2459" i="3"/>
  <c r="H2461" i="3"/>
  <c r="H2463" i="3"/>
  <c r="I2419" i="3"/>
  <c r="I2421" i="3"/>
  <c r="I2423" i="3"/>
  <c r="I2425" i="3"/>
  <c r="I2427" i="3"/>
  <c r="I2429" i="3"/>
  <c r="I2431" i="3"/>
  <c r="I2433" i="3"/>
  <c r="I2435" i="3"/>
  <c r="I2437" i="3"/>
  <c r="I2439" i="3"/>
  <c r="I2441" i="3"/>
  <c r="I2443" i="3"/>
  <c r="I2445" i="3"/>
  <c r="I2447" i="3"/>
  <c r="I2449" i="3"/>
  <c r="I2451" i="3"/>
  <c r="I2453" i="3"/>
  <c r="I2455" i="3"/>
  <c r="I2457" i="3"/>
  <c r="I2459" i="3"/>
  <c r="I2461" i="3"/>
  <c r="I2463" i="3"/>
  <c r="J2831" i="3"/>
  <c r="J2827" i="3"/>
  <c r="H2780" i="3"/>
  <c r="H2782" i="3"/>
  <c r="H2784" i="3"/>
  <c r="H2786" i="3"/>
  <c r="H2788" i="3"/>
  <c r="H2790" i="3"/>
  <c r="H2792" i="3"/>
  <c r="H2794" i="3"/>
  <c r="H2796" i="3"/>
  <c r="H2798" i="3"/>
  <c r="H2800" i="3"/>
  <c r="H2802" i="3"/>
  <c r="H2804" i="3"/>
  <c r="H2806" i="3"/>
  <c r="H2808" i="3"/>
  <c r="H2810" i="3"/>
  <c r="H2812" i="3"/>
  <c r="H2814" i="3"/>
  <c r="H2816" i="3"/>
  <c r="H2818" i="3"/>
  <c r="H2820" i="3"/>
  <c r="H2822" i="3"/>
  <c r="I2780" i="3"/>
  <c r="I2782" i="3"/>
  <c r="I2784" i="3"/>
  <c r="I2786" i="3"/>
  <c r="I2788" i="3"/>
  <c r="I2790" i="3"/>
  <c r="I2792" i="3"/>
  <c r="I2794" i="3"/>
  <c r="I2796" i="3"/>
  <c r="I2798" i="3"/>
  <c r="I2800" i="3"/>
  <c r="I2802" i="3"/>
  <c r="I2804" i="3"/>
  <c r="I2806" i="3"/>
  <c r="I2808" i="3"/>
  <c r="I2810" i="3"/>
  <c r="I2812" i="3"/>
  <c r="I2814" i="3"/>
  <c r="I2816" i="3"/>
  <c r="I2818" i="3"/>
  <c r="I2820" i="3"/>
  <c r="I2822" i="3"/>
  <c r="H2779" i="3"/>
  <c r="H2781" i="3"/>
  <c r="H2783" i="3"/>
  <c r="H2785" i="3"/>
  <c r="H2787" i="3"/>
  <c r="H2789" i="3"/>
  <c r="H2791" i="3"/>
  <c r="H2793" i="3"/>
  <c r="H2795" i="3"/>
  <c r="H2797" i="3"/>
  <c r="H2799" i="3"/>
  <c r="H2801" i="3"/>
  <c r="H2803" i="3"/>
  <c r="H2805" i="3"/>
  <c r="H2807" i="3"/>
  <c r="H2809" i="3"/>
  <c r="H2811" i="3"/>
  <c r="H2813" i="3"/>
  <c r="H2815" i="3"/>
  <c r="H2817" i="3"/>
  <c r="H2819" i="3"/>
  <c r="H2821" i="3"/>
  <c r="H2823" i="3"/>
  <c r="I2779" i="3"/>
  <c r="I2781" i="3"/>
  <c r="I2783" i="3"/>
  <c r="I2785" i="3"/>
  <c r="I2787" i="3"/>
  <c r="I2789" i="3"/>
  <c r="I2791" i="3"/>
  <c r="I2793" i="3"/>
  <c r="I2795" i="3"/>
  <c r="I2797" i="3"/>
  <c r="I2799" i="3"/>
  <c r="I2801" i="3"/>
  <c r="I2803" i="3"/>
  <c r="I2805" i="3"/>
  <c r="I2807" i="3"/>
  <c r="I2809" i="3"/>
  <c r="I2811" i="3"/>
  <c r="I2813" i="3"/>
  <c r="I2815" i="3"/>
  <c r="I2817" i="3"/>
  <c r="I2819" i="3"/>
  <c r="I2821" i="3"/>
  <c r="I2823" i="3"/>
  <c r="H805" i="3"/>
  <c r="H2360" i="3"/>
  <c r="H2362" i="3"/>
  <c r="H2364" i="3"/>
  <c r="H2366" i="3"/>
  <c r="H2368" i="3"/>
  <c r="H2370" i="3"/>
  <c r="H2372" i="3"/>
  <c r="H2375" i="3"/>
  <c r="H2377" i="3"/>
  <c r="H2379" i="3"/>
  <c r="H2381" i="3"/>
  <c r="H2383" i="3"/>
  <c r="H2385" i="3"/>
  <c r="H2387" i="3"/>
  <c r="I2360" i="3"/>
  <c r="I2362" i="3"/>
  <c r="I2364" i="3"/>
  <c r="I2366" i="3"/>
  <c r="I2368" i="3"/>
  <c r="I2370" i="3"/>
  <c r="I2372" i="3"/>
  <c r="I2375" i="3"/>
  <c r="I2377" i="3"/>
  <c r="I2379" i="3"/>
  <c r="I2381" i="3"/>
  <c r="I2383" i="3"/>
  <c r="I2385" i="3"/>
  <c r="I2387" i="3"/>
  <c r="H2240" i="3"/>
  <c r="H2242" i="3"/>
  <c r="H2246" i="3"/>
  <c r="H2248" i="3"/>
  <c r="H2250" i="3"/>
  <c r="H2252" i="3"/>
  <c r="H2256" i="3"/>
  <c r="H2258" i="3"/>
  <c r="H2260" i="3"/>
  <c r="H2262" i="3"/>
  <c r="H2264" i="3"/>
  <c r="H2266" i="3"/>
  <c r="H2268" i="3"/>
  <c r="H2270" i="3"/>
  <c r="H2272" i="3"/>
  <c r="H2274" i="3"/>
  <c r="H2276" i="3"/>
  <c r="H2278" i="3"/>
  <c r="H2280" i="3"/>
  <c r="H2282" i="3"/>
  <c r="I2240" i="3"/>
  <c r="I2242" i="3"/>
  <c r="I2246" i="3"/>
  <c r="I2248" i="3"/>
  <c r="I2250" i="3"/>
  <c r="I2252" i="3"/>
  <c r="I2256" i="3"/>
  <c r="I2258" i="3"/>
  <c r="I2260" i="3"/>
  <c r="I2262" i="3"/>
  <c r="I2264" i="3"/>
  <c r="I2266" i="3"/>
  <c r="I2268" i="3"/>
  <c r="I2270" i="3"/>
  <c r="I2272" i="3"/>
  <c r="I2274" i="3"/>
  <c r="I2276" i="3"/>
  <c r="I2278" i="3"/>
  <c r="I2280" i="3"/>
  <c r="I2282" i="3"/>
  <c r="H2239" i="3"/>
  <c r="H2241" i="3"/>
  <c r="H2243" i="3"/>
  <c r="H2245" i="3"/>
  <c r="H2247" i="3"/>
  <c r="H2249" i="3"/>
  <c r="H2251" i="3"/>
  <c r="H2253" i="3"/>
  <c r="H2255" i="3"/>
  <c r="H2257" i="3"/>
  <c r="H2259" i="3"/>
  <c r="H2261" i="3"/>
  <c r="H2263" i="3"/>
  <c r="H2265" i="3"/>
  <c r="H2267" i="3"/>
  <c r="H2271" i="3"/>
  <c r="H2273" i="3"/>
  <c r="H2275" i="3"/>
  <c r="H2277" i="3"/>
  <c r="H2279" i="3"/>
  <c r="H2281" i="3"/>
  <c r="H2283" i="3"/>
  <c r="I2239" i="3"/>
  <c r="I2241" i="3"/>
  <c r="I2243" i="3"/>
  <c r="I2245" i="3"/>
  <c r="I2247" i="3"/>
  <c r="I2249" i="3"/>
  <c r="I2251" i="3"/>
  <c r="I2253" i="3"/>
  <c r="I2255" i="3"/>
  <c r="I2257" i="3"/>
  <c r="I2259" i="3"/>
  <c r="I2261" i="3"/>
  <c r="I2263" i="3"/>
  <c r="I2265" i="3"/>
  <c r="I2267" i="3"/>
  <c r="I2271" i="3"/>
  <c r="I2273" i="3"/>
  <c r="I2275" i="3"/>
  <c r="I2277" i="3"/>
  <c r="I2279" i="3"/>
  <c r="I2281" i="3"/>
  <c r="I2283" i="3"/>
  <c r="H2105" i="3"/>
  <c r="H2107" i="3"/>
  <c r="H2111" i="3"/>
  <c r="H2113" i="3"/>
  <c r="H2115" i="3"/>
  <c r="H2117" i="3"/>
  <c r="H2119" i="3"/>
  <c r="H2121" i="3"/>
  <c r="H2123" i="3"/>
  <c r="H2125" i="3"/>
  <c r="H2127" i="3"/>
  <c r="H2129" i="3"/>
  <c r="H2131" i="3"/>
  <c r="H2133" i="3"/>
  <c r="H2135" i="3"/>
  <c r="H2137" i="3"/>
  <c r="H2139" i="3"/>
  <c r="H2141" i="3"/>
  <c r="H2143" i="3"/>
  <c r="H2145" i="3"/>
  <c r="H2147" i="3"/>
  <c r="I2105" i="3"/>
  <c r="I2107" i="3"/>
  <c r="I2111" i="3"/>
  <c r="I2113" i="3"/>
  <c r="I2115" i="3"/>
  <c r="I2117" i="3"/>
  <c r="I2119" i="3"/>
  <c r="I2121" i="3"/>
  <c r="I2123" i="3"/>
  <c r="I2125" i="3"/>
  <c r="I2127" i="3"/>
  <c r="I2129" i="3"/>
  <c r="I2131" i="3"/>
  <c r="I2133" i="3"/>
  <c r="I2135" i="3"/>
  <c r="I2137" i="3"/>
  <c r="I2139" i="3"/>
  <c r="I2141" i="3"/>
  <c r="I2143" i="3"/>
  <c r="I2145" i="3"/>
  <c r="I2147" i="3"/>
  <c r="H2104" i="3"/>
  <c r="H2106" i="3"/>
  <c r="H2108" i="3"/>
  <c r="H2110" i="3"/>
  <c r="H2112" i="3"/>
  <c r="H2114" i="3"/>
  <c r="H2116" i="3"/>
  <c r="H2118" i="3"/>
  <c r="H2120" i="3"/>
  <c r="H2122" i="3"/>
  <c r="H2124" i="3"/>
  <c r="H2126" i="3"/>
  <c r="H2128" i="3"/>
  <c r="H2130" i="3"/>
  <c r="H2132" i="3"/>
  <c r="H2134" i="3"/>
  <c r="H2136" i="3"/>
  <c r="H2138" i="3"/>
  <c r="H2140" i="3"/>
  <c r="H2142" i="3"/>
  <c r="H2144" i="3"/>
  <c r="H2146" i="3"/>
  <c r="H2148" i="3"/>
  <c r="I2104" i="3"/>
  <c r="I2106" i="3"/>
  <c r="I2108" i="3"/>
  <c r="I2110" i="3"/>
  <c r="I2112" i="3"/>
  <c r="I2114" i="3"/>
  <c r="I2116" i="3"/>
  <c r="I2118" i="3"/>
  <c r="I2120" i="3"/>
  <c r="I2122" i="3"/>
  <c r="I2124" i="3"/>
  <c r="I2126" i="3"/>
  <c r="I2128" i="3"/>
  <c r="I2130" i="3"/>
  <c r="I2132" i="3"/>
  <c r="I2134" i="3"/>
  <c r="I2136" i="3"/>
  <c r="I2138" i="3"/>
  <c r="I2140" i="3"/>
  <c r="I2142" i="3"/>
  <c r="I2144" i="3"/>
  <c r="I2146" i="3"/>
  <c r="I2148" i="3"/>
  <c r="J2074" i="3"/>
  <c r="H812" i="3"/>
  <c r="I805" i="3"/>
  <c r="I802" i="3"/>
  <c r="H808" i="3"/>
  <c r="I807" i="3"/>
  <c r="H813" i="3"/>
  <c r="H807" i="3"/>
  <c r="J811" i="3"/>
  <c r="J808" i="3"/>
  <c r="H811" i="3"/>
  <c r="H802" i="3"/>
  <c r="J789" i="3"/>
  <c r="J794" i="3"/>
  <c r="I559" i="3"/>
  <c r="J344" i="3"/>
  <c r="J340" i="3"/>
  <c r="J339" i="3"/>
  <c r="J338" i="3"/>
  <c r="H336" i="3"/>
  <c r="J335" i="3"/>
  <c r="H335" i="3"/>
  <c r="J336" i="3"/>
  <c r="J346" i="3"/>
  <c r="J343" i="3"/>
  <c r="J334" i="3"/>
  <c r="J318" i="3"/>
  <c r="J314" i="3"/>
  <c r="J313" i="3"/>
  <c r="J311" i="3"/>
  <c r="J310" i="3"/>
  <c r="J306" i="3"/>
  <c r="J316" i="3"/>
  <c r="J315" i="3"/>
  <c r="J309" i="3"/>
  <c r="J304" i="3"/>
  <c r="J272" i="3"/>
  <c r="J268" i="3"/>
  <c r="J267" i="3"/>
  <c r="J265" i="3"/>
  <c r="I2089" i="3"/>
  <c r="H2899" i="3"/>
  <c r="I2899" i="3"/>
  <c r="H2914" i="3"/>
  <c r="I2914" i="3"/>
  <c r="I2109" i="3"/>
  <c r="H2109" i="3"/>
  <c r="I2244" i="3"/>
  <c r="H2244" i="3"/>
  <c r="H789" i="3"/>
  <c r="I789" i="3"/>
  <c r="I2269" i="3"/>
  <c r="H2269" i="3"/>
  <c r="I2254" i="3"/>
  <c r="H2254" i="3"/>
  <c r="I380" i="3"/>
  <c r="D2824" i="3" a="1"/>
  <c r="D2389" i="3" a="1"/>
  <c r="D1789" i="3" a="1"/>
  <c r="D2404" i="3" a="1"/>
  <c r="C26" i="76" l="1"/>
  <c r="B15" i="79"/>
  <c r="I9581" i="3"/>
  <c r="J9581" i="3"/>
  <c r="H9581" i="3"/>
  <c r="B32" i="76"/>
  <c r="B30" i="76"/>
  <c r="B34" i="76"/>
  <c r="D34" i="76" s="1"/>
  <c r="C34" i="76"/>
  <c r="C33" i="76"/>
  <c r="B33" i="76"/>
  <c r="D33" i="76" s="1"/>
  <c r="C30" i="76"/>
  <c r="C32" i="76"/>
  <c r="D1789" i="3"/>
  <c r="K19" i="195"/>
  <c r="C40" i="83"/>
  <c r="F19" i="195" s="1"/>
  <c r="L19" i="195" s="1"/>
  <c r="F34" i="195" s="1"/>
  <c r="J1774" i="3"/>
  <c r="D2824" i="3"/>
  <c r="H2824" i="3" s="1"/>
  <c r="D2389" i="3"/>
  <c r="D2404" i="3"/>
  <c r="I514" i="3"/>
  <c r="H514" i="3"/>
  <c r="I2164" i="3"/>
  <c r="H2164" i="3"/>
  <c r="I425" i="3"/>
  <c r="H425" i="3"/>
  <c r="J380" i="3"/>
  <c r="J499" i="3"/>
  <c r="H2329" i="3"/>
  <c r="H499" i="3"/>
  <c r="J379" i="3"/>
  <c r="I2329" i="3"/>
  <c r="H2209" i="3"/>
  <c r="I2209" i="3"/>
  <c r="H619" i="3"/>
  <c r="I619" i="3"/>
  <c r="I2194" i="3"/>
  <c r="I2179" i="3"/>
  <c r="I410" i="3"/>
  <c r="I454" i="3"/>
  <c r="I2833" i="3"/>
  <c r="H2837" i="3"/>
  <c r="H2829" i="3"/>
  <c r="H2838" i="3"/>
  <c r="H2834" i="3"/>
  <c r="H2827" i="3"/>
  <c r="H2828" i="3"/>
  <c r="I2836" i="3"/>
  <c r="I2828" i="3"/>
  <c r="H2826" i="3"/>
  <c r="H2836" i="3"/>
  <c r="H2074" i="3"/>
  <c r="I2074" i="3"/>
  <c r="H2059" i="3"/>
  <c r="H2044" i="3"/>
  <c r="I2044" i="3"/>
  <c r="H798" i="3"/>
  <c r="H794" i="3"/>
  <c r="I791" i="3"/>
  <c r="H791" i="3"/>
  <c r="H788" i="3"/>
  <c r="H604" i="3"/>
  <c r="I604" i="3"/>
  <c r="I589" i="3"/>
  <c r="H589" i="3"/>
  <c r="H469" i="3"/>
  <c r="I469" i="3"/>
  <c r="H454" i="3"/>
  <c r="H410" i="3"/>
  <c r="H349" i="3"/>
  <c r="I364" i="3"/>
  <c r="H364" i="3"/>
  <c r="I350" i="3"/>
  <c r="H350" i="3"/>
  <c r="I395" i="3"/>
  <c r="H395" i="3"/>
  <c r="I349" i="3"/>
  <c r="H348" i="3"/>
  <c r="H346" i="3"/>
  <c r="H342" i="3"/>
  <c r="H341" i="3"/>
  <c r="I339" i="3"/>
  <c r="H338" i="3"/>
  <c r="I337" i="3"/>
  <c r="H318" i="3"/>
  <c r="I316" i="3"/>
  <c r="H315" i="3"/>
  <c r="I314" i="3"/>
  <c r="H312" i="3"/>
  <c r="I311" i="3"/>
  <c r="H310" i="3"/>
  <c r="H309" i="3"/>
  <c r="H307" i="3"/>
  <c r="H305" i="3"/>
  <c r="H304" i="3"/>
  <c r="H271" i="3"/>
  <c r="I268" i="3"/>
  <c r="H267" i="3"/>
  <c r="H265" i="3"/>
  <c r="H261" i="3"/>
  <c r="I529" i="3"/>
  <c r="I484" i="3"/>
  <c r="H529" i="3"/>
  <c r="I544" i="3"/>
  <c r="H259" i="3"/>
  <c r="I2839" i="3"/>
  <c r="I2764" i="3"/>
  <c r="H2764" i="3"/>
  <c r="H574" i="3"/>
  <c r="I2149" i="3"/>
  <c r="H2344" i="3"/>
  <c r="I2704" i="3"/>
  <c r="H2839" i="3"/>
  <c r="I2224" i="3"/>
  <c r="I574" i="3"/>
  <c r="I2284" i="3"/>
  <c r="I259" i="3"/>
  <c r="H2224" i="3"/>
  <c r="H2149" i="3"/>
  <c r="H2284" i="3"/>
  <c r="H2704" i="3"/>
  <c r="I2344" i="3"/>
  <c r="H334" i="3"/>
  <c r="I409" i="3"/>
  <c r="H409" i="3"/>
  <c r="I439" i="3"/>
  <c r="H380" i="3"/>
  <c r="I379" i="3"/>
  <c r="H1774" i="3"/>
  <c r="I1774" i="3"/>
  <c r="H424" i="3"/>
  <c r="I424" i="3"/>
  <c r="D30" i="76" l="1"/>
  <c r="D32" i="76"/>
  <c r="C37" i="76"/>
  <c r="C38" i="76" s="1"/>
  <c r="G19" i="195"/>
  <c r="E34" i="195"/>
  <c r="G34" i="195" s="1"/>
  <c r="M19" i="195"/>
  <c r="J1789" i="3"/>
  <c r="J2824" i="3"/>
  <c r="J2389" i="3"/>
  <c r="J365" i="3"/>
  <c r="H365" i="3"/>
  <c r="H2179" i="3"/>
  <c r="J574" i="3"/>
  <c r="H2194" i="3"/>
  <c r="H559" i="3"/>
  <c r="J440" i="3"/>
  <c r="I440" i="3"/>
  <c r="H440" i="3"/>
  <c r="J484" i="3"/>
  <c r="J2059" i="3"/>
  <c r="J2044" i="3"/>
  <c r="H544" i="3"/>
  <c r="J559" i="3"/>
  <c r="H439" i="3"/>
  <c r="J394" i="3"/>
  <c r="H394" i="3"/>
  <c r="J350" i="3"/>
  <c r="I2059" i="3"/>
  <c r="I2389" i="3"/>
  <c r="I2824" i="3"/>
  <c r="H2389" i="3"/>
  <c r="I1789" i="3"/>
  <c r="H1789" i="3"/>
  <c r="F200" i="3" l="1"/>
  <c r="G200" i="3"/>
  <c r="F184" i="3"/>
  <c r="G184" i="3"/>
  <c r="F169" i="3"/>
  <c r="G169" i="3"/>
  <c r="J162" i="3" l="1"/>
  <c r="H333" i="3"/>
  <c r="H288" i="3"/>
  <c r="I243" i="3"/>
  <c r="J332" i="3"/>
  <c r="H242" i="3"/>
  <c r="H287" i="3"/>
  <c r="H586" i="3"/>
  <c r="H286" i="3"/>
  <c r="J331" i="3"/>
  <c r="J241" i="3"/>
  <c r="H240" i="3"/>
  <c r="I285" i="3"/>
  <c r="H330" i="3"/>
  <c r="I329" i="3"/>
  <c r="H284" i="3"/>
  <c r="I239" i="3"/>
  <c r="I283" i="3"/>
  <c r="J163" i="3"/>
  <c r="I328" i="3"/>
  <c r="H238" i="3"/>
  <c r="H327" i="3"/>
  <c r="J237" i="3"/>
  <c r="J282" i="3"/>
  <c r="I326" i="3"/>
  <c r="I281" i="3"/>
  <c r="H236" i="3"/>
  <c r="H580" i="3"/>
  <c r="I280" i="3"/>
  <c r="J325" i="3"/>
  <c r="I235" i="3"/>
  <c r="H234" i="3"/>
  <c r="I279" i="3"/>
  <c r="H324" i="3"/>
  <c r="H578" i="3"/>
  <c r="J278" i="3"/>
  <c r="H233" i="3"/>
  <c r="J277" i="3"/>
  <c r="J232" i="3"/>
  <c r="J322" i="3"/>
  <c r="J321" i="3"/>
  <c r="J276" i="3"/>
  <c r="I231" i="3"/>
  <c r="J320" i="3"/>
  <c r="J230" i="3"/>
  <c r="J275" i="3"/>
  <c r="J164" i="3"/>
  <c r="J159" i="3"/>
  <c r="J166" i="3"/>
  <c r="J168" i="3"/>
  <c r="J158" i="3"/>
  <c r="J167" i="3"/>
  <c r="I584" i="3"/>
  <c r="J186" i="3"/>
  <c r="I185" i="3"/>
  <c r="J187" i="3"/>
  <c r="H209" i="3"/>
  <c r="I210" i="3"/>
  <c r="I167" i="3"/>
  <c r="I166" i="3"/>
  <c r="I158" i="3"/>
  <c r="H159" i="3"/>
  <c r="H161" i="3"/>
  <c r="I168" i="3"/>
  <c r="H167" i="3"/>
  <c r="H168" i="3"/>
  <c r="H165" i="3"/>
  <c r="H166" i="3"/>
  <c r="I159" i="3"/>
  <c r="H160" i="3"/>
  <c r="I157" i="3"/>
  <c r="I156" i="3"/>
  <c r="H155" i="3"/>
  <c r="J161" i="3" l="1"/>
  <c r="J157" i="3"/>
  <c r="I792" i="3"/>
  <c r="J156" i="3"/>
  <c r="J160" i="3"/>
  <c r="H423" i="3"/>
  <c r="I423" i="3"/>
  <c r="J423" i="3"/>
  <c r="I2583" i="3"/>
  <c r="H2583" i="3"/>
  <c r="J2583" i="3"/>
  <c r="J2193" i="3"/>
  <c r="I2193" i="3"/>
  <c r="H2193" i="3"/>
  <c r="J783" i="3"/>
  <c r="I783" i="3"/>
  <c r="H783" i="3"/>
  <c r="I618" i="3"/>
  <c r="J618" i="3"/>
  <c r="H618" i="3"/>
  <c r="I408" i="3"/>
  <c r="J408" i="3"/>
  <c r="H408" i="3"/>
  <c r="J2208" i="3"/>
  <c r="H2208" i="3"/>
  <c r="I2208" i="3"/>
  <c r="I633" i="3"/>
  <c r="J633" i="3"/>
  <c r="H633" i="3"/>
  <c r="J2418" i="3"/>
  <c r="H453" i="3"/>
  <c r="I453" i="3"/>
  <c r="J453" i="3"/>
  <c r="J2538" i="3"/>
  <c r="H2538" i="3"/>
  <c r="I2538" i="3"/>
  <c r="J693" i="3"/>
  <c r="I693" i="3"/>
  <c r="H693" i="3"/>
  <c r="I573" i="3"/>
  <c r="H573" i="3"/>
  <c r="J573" i="3"/>
  <c r="J2703" i="3"/>
  <c r="H2703" i="3"/>
  <c r="J2553" i="3"/>
  <c r="H2553" i="3"/>
  <c r="I2553" i="3"/>
  <c r="J2058" i="3"/>
  <c r="H2058" i="3"/>
  <c r="I2058" i="3"/>
  <c r="J708" i="3"/>
  <c r="H708" i="3"/>
  <c r="I708" i="3"/>
  <c r="I543" i="3"/>
  <c r="J543" i="3"/>
  <c r="H543" i="3"/>
  <c r="I2658" i="3"/>
  <c r="J2658" i="3"/>
  <c r="H2658" i="3"/>
  <c r="J2568" i="3"/>
  <c r="H2568" i="3"/>
  <c r="I2568" i="3"/>
  <c r="J2073" i="3"/>
  <c r="I2073" i="3"/>
  <c r="H2073" i="3"/>
  <c r="J2673" i="3"/>
  <c r="H2673" i="3"/>
  <c r="I2673" i="3"/>
  <c r="I2328" i="3"/>
  <c r="H2328" i="3"/>
  <c r="J2328" i="3"/>
  <c r="J2088" i="3"/>
  <c r="I2088" i="3"/>
  <c r="H2088" i="3"/>
  <c r="J723" i="3"/>
  <c r="H723" i="3"/>
  <c r="I723" i="3"/>
  <c r="H558" i="3"/>
  <c r="I558" i="3"/>
  <c r="J558" i="3"/>
  <c r="J2688" i="3"/>
  <c r="I2688" i="3"/>
  <c r="H2688" i="3"/>
  <c r="I2343" i="3"/>
  <c r="J2343" i="3"/>
  <c r="H2343" i="3"/>
  <c r="I2103" i="3"/>
  <c r="J2103" i="3"/>
  <c r="H2103" i="3"/>
  <c r="J663" i="3"/>
  <c r="H663" i="3"/>
  <c r="I663" i="3"/>
  <c r="J528" i="3"/>
  <c r="I528" i="3"/>
  <c r="H528" i="3"/>
  <c r="J498" i="3"/>
  <c r="I498" i="3"/>
  <c r="H498" i="3"/>
  <c r="J2313" i="3"/>
  <c r="H2313" i="3"/>
  <c r="I2313" i="3"/>
  <c r="J648" i="3"/>
  <c r="H648" i="3"/>
  <c r="I648" i="3"/>
  <c r="J468" i="3"/>
  <c r="I468" i="3"/>
  <c r="H468" i="3"/>
  <c r="I378" i="3"/>
  <c r="J378" i="3"/>
  <c r="H378" i="3"/>
  <c r="J678" i="3"/>
  <c r="H678" i="3"/>
  <c r="I678" i="3"/>
  <c r="H438" i="3"/>
  <c r="I438" i="3"/>
  <c r="J438" i="3"/>
  <c r="J363" i="3"/>
  <c r="H363" i="3"/>
  <c r="I363" i="3"/>
  <c r="J2223" i="3"/>
  <c r="H2223" i="3"/>
  <c r="I2223" i="3"/>
  <c r="I753" i="3"/>
  <c r="H753" i="3"/>
  <c r="J753" i="3"/>
  <c r="J483" i="3"/>
  <c r="H483" i="3"/>
  <c r="I483" i="3"/>
  <c r="J393" i="3"/>
  <c r="J2178" i="3"/>
  <c r="H2178" i="3"/>
  <c r="I2178" i="3"/>
  <c r="J768" i="3"/>
  <c r="I768" i="3"/>
  <c r="H768" i="3"/>
  <c r="I603" i="3"/>
  <c r="J603" i="3"/>
  <c r="H603" i="3"/>
  <c r="I513" i="3"/>
  <c r="J513" i="3"/>
  <c r="H513" i="3"/>
  <c r="J2207" i="3"/>
  <c r="H2207" i="3"/>
  <c r="I2207" i="3"/>
  <c r="J527" i="3"/>
  <c r="H527" i="3"/>
  <c r="I527" i="3"/>
  <c r="J2687" i="3"/>
  <c r="H2687" i="3"/>
  <c r="I2687" i="3"/>
  <c r="I2102" i="3"/>
  <c r="H2102" i="3"/>
  <c r="J2102" i="3"/>
  <c r="J647" i="3"/>
  <c r="H647" i="3"/>
  <c r="I647" i="3"/>
  <c r="J467" i="3"/>
  <c r="I467" i="3"/>
  <c r="H467" i="3"/>
  <c r="J2552" i="3"/>
  <c r="H2552" i="3"/>
  <c r="I2552" i="3"/>
  <c r="I2417" i="3"/>
  <c r="J677" i="3"/>
  <c r="H677" i="3"/>
  <c r="I677" i="3"/>
  <c r="J497" i="3"/>
  <c r="H497" i="3"/>
  <c r="I497" i="3"/>
  <c r="J2702" i="3"/>
  <c r="H2702" i="3"/>
  <c r="J2567" i="3"/>
  <c r="I2567" i="3"/>
  <c r="H2567" i="3"/>
  <c r="I662" i="3"/>
  <c r="H662" i="3"/>
  <c r="J662" i="3"/>
  <c r="I482" i="3"/>
  <c r="H482" i="3"/>
  <c r="J482" i="3"/>
  <c r="J2657" i="3"/>
  <c r="H2657" i="3"/>
  <c r="I2657" i="3"/>
  <c r="I512" i="3"/>
  <c r="J512" i="3"/>
  <c r="H512" i="3"/>
  <c r="J392" i="3"/>
  <c r="J2582" i="3"/>
  <c r="H2582" i="3"/>
  <c r="I2582" i="3"/>
  <c r="J752" i="3"/>
  <c r="H752" i="3"/>
  <c r="I752" i="3"/>
  <c r="I602" i="3"/>
  <c r="J602" i="3"/>
  <c r="H602" i="3"/>
  <c r="I377" i="3"/>
  <c r="J377" i="3"/>
  <c r="H377" i="3"/>
  <c r="J2537" i="3"/>
  <c r="I2537" i="3"/>
  <c r="H2537" i="3"/>
  <c r="J722" i="3"/>
  <c r="H722" i="3"/>
  <c r="I722" i="3"/>
  <c r="H767" i="3"/>
  <c r="J767" i="3"/>
  <c r="I767" i="3"/>
  <c r="I617" i="3"/>
  <c r="H617" i="3"/>
  <c r="J617" i="3"/>
  <c r="J407" i="3"/>
  <c r="H407" i="3"/>
  <c r="I407" i="3"/>
  <c r="J2327" i="3"/>
  <c r="I2327" i="3"/>
  <c r="H2327" i="3"/>
  <c r="I542" i="3"/>
  <c r="H542" i="3"/>
  <c r="J542" i="3"/>
  <c r="J782" i="3"/>
  <c r="I782" i="3"/>
  <c r="H782" i="3"/>
  <c r="J632" i="3"/>
  <c r="H632" i="3"/>
  <c r="I632" i="3"/>
  <c r="I422" i="3"/>
  <c r="H422" i="3"/>
  <c r="J422" i="3"/>
  <c r="J362" i="3"/>
  <c r="H362" i="3"/>
  <c r="I362" i="3"/>
  <c r="J2342" i="3"/>
  <c r="H2342" i="3"/>
  <c r="I2342" i="3"/>
  <c r="I2087" i="3"/>
  <c r="J2087" i="3"/>
  <c r="H2087" i="3"/>
  <c r="H557" i="3"/>
  <c r="J557" i="3"/>
  <c r="I557" i="3"/>
  <c r="J452" i="3"/>
  <c r="I452" i="3"/>
  <c r="H452" i="3"/>
  <c r="J2222" i="3"/>
  <c r="H2222" i="3"/>
  <c r="I2222" i="3"/>
  <c r="J2312" i="3"/>
  <c r="I2312" i="3"/>
  <c r="H2312" i="3"/>
  <c r="J2057" i="3"/>
  <c r="I2057" i="3"/>
  <c r="H2057" i="3"/>
  <c r="J692" i="3"/>
  <c r="H692" i="3"/>
  <c r="I692" i="3"/>
  <c r="H437" i="3"/>
  <c r="I437" i="3"/>
  <c r="J437" i="3"/>
  <c r="J2177" i="3"/>
  <c r="H2177" i="3"/>
  <c r="I2177" i="3"/>
  <c r="I2672" i="3"/>
  <c r="H2672" i="3"/>
  <c r="J2672" i="3"/>
  <c r="J2072" i="3"/>
  <c r="I2072" i="3"/>
  <c r="H2072" i="3"/>
  <c r="J707" i="3"/>
  <c r="H707" i="3"/>
  <c r="I707" i="3"/>
  <c r="J572" i="3"/>
  <c r="H572" i="3"/>
  <c r="I572" i="3"/>
  <c r="J2192" i="3"/>
  <c r="I2192" i="3"/>
  <c r="H2192" i="3"/>
  <c r="J691" i="3"/>
  <c r="H691" i="3"/>
  <c r="I691" i="3"/>
  <c r="I571" i="3"/>
  <c r="J571" i="3"/>
  <c r="H571" i="3"/>
  <c r="I796" i="3"/>
  <c r="J796" i="3"/>
  <c r="H796" i="3"/>
  <c r="J2056" i="3"/>
  <c r="H2056" i="3"/>
  <c r="I2056" i="3"/>
  <c r="J706" i="3"/>
  <c r="H706" i="3"/>
  <c r="I706" i="3"/>
  <c r="J2191" i="3"/>
  <c r="H2191" i="3"/>
  <c r="I2191" i="3"/>
  <c r="I511" i="3"/>
  <c r="J511" i="3"/>
  <c r="H511" i="3"/>
  <c r="J2671" i="3"/>
  <c r="H2671" i="3"/>
  <c r="I2671" i="3"/>
  <c r="J2536" i="3"/>
  <c r="H2536" i="3"/>
  <c r="I2536" i="3"/>
  <c r="J721" i="3"/>
  <c r="I721" i="3"/>
  <c r="H721" i="3"/>
  <c r="I496" i="3"/>
  <c r="J496" i="3"/>
  <c r="H496" i="3"/>
  <c r="J2701" i="3"/>
  <c r="H2701" i="3"/>
  <c r="J2341" i="3"/>
  <c r="H2341" i="3"/>
  <c r="I2341" i="3"/>
  <c r="J2071" i="3"/>
  <c r="H2071" i="3"/>
  <c r="I2071" i="3"/>
  <c r="I481" i="3"/>
  <c r="J481" i="3"/>
  <c r="H481" i="3"/>
  <c r="I2686" i="3"/>
  <c r="J2686" i="3"/>
  <c r="H2686" i="3"/>
  <c r="I2101" i="3"/>
  <c r="H2101" i="3"/>
  <c r="J2101" i="3"/>
  <c r="I676" i="3"/>
  <c r="H676" i="3"/>
  <c r="J676" i="3"/>
  <c r="I2581" i="3"/>
  <c r="H2581" i="3"/>
  <c r="J2581" i="3"/>
  <c r="J2311" i="3"/>
  <c r="H2311" i="3"/>
  <c r="I2311" i="3"/>
  <c r="J2086" i="3"/>
  <c r="H2086" i="3"/>
  <c r="I2086" i="3"/>
  <c r="J661" i="3"/>
  <c r="H661" i="3"/>
  <c r="I661" i="3"/>
  <c r="I2656" i="3"/>
  <c r="J2656" i="3"/>
  <c r="H2656" i="3"/>
  <c r="I466" i="3"/>
  <c r="H466" i="3"/>
  <c r="J466" i="3"/>
  <c r="I361" i="3"/>
  <c r="J361" i="3"/>
  <c r="H361" i="3"/>
  <c r="I2326" i="3"/>
  <c r="H2326" i="3"/>
  <c r="J2326" i="3"/>
  <c r="I451" i="3"/>
  <c r="J451" i="3"/>
  <c r="H451" i="3"/>
  <c r="I376" i="3"/>
  <c r="H376" i="3"/>
  <c r="J376" i="3"/>
  <c r="I646" i="3"/>
  <c r="J646" i="3"/>
  <c r="H646" i="3"/>
  <c r="I406" i="3"/>
  <c r="H406" i="3"/>
  <c r="J406" i="3"/>
  <c r="I751" i="3"/>
  <c r="J751" i="3"/>
  <c r="H751" i="3"/>
  <c r="I601" i="3"/>
  <c r="J601" i="3"/>
  <c r="H601" i="3"/>
  <c r="J526" i="3"/>
  <c r="H526" i="3"/>
  <c r="I526" i="3"/>
  <c r="I541" i="3"/>
  <c r="J541" i="3"/>
  <c r="H541" i="3"/>
  <c r="I436" i="3"/>
  <c r="J436" i="3"/>
  <c r="H436" i="3"/>
  <c r="J391" i="3"/>
  <c r="J2206" i="3"/>
  <c r="H2206" i="3"/>
  <c r="I2206" i="3"/>
  <c r="J766" i="3"/>
  <c r="H766" i="3"/>
  <c r="I766" i="3"/>
  <c r="J616" i="3"/>
  <c r="I616" i="3"/>
  <c r="H616" i="3"/>
  <c r="I2416" i="3"/>
  <c r="I556" i="3"/>
  <c r="J556" i="3"/>
  <c r="H556" i="3"/>
  <c r="J2551" i="3"/>
  <c r="I2551" i="3"/>
  <c r="H2551" i="3"/>
  <c r="J2176" i="3"/>
  <c r="I2176" i="3"/>
  <c r="H2176" i="3"/>
  <c r="I781" i="3"/>
  <c r="H781" i="3"/>
  <c r="J781" i="3"/>
  <c r="I631" i="3"/>
  <c r="J631" i="3"/>
  <c r="H631" i="3"/>
  <c r="J421" i="3"/>
  <c r="H421" i="3"/>
  <c r="I421" i="3"/>
  <c r="J2566" i="3"/>
  <c r="I2566" i="3"/>
  <c r="H2566" i="3"/>
  <c r="J2221" i="3"/>
  <c r="H2221" i="3"/>
  <c r="I2221" i="3"/>
  <c r="I495" i="3"/>
  <c r="H495" i="3"/>
  <c r="J495" i="3"/>
  <c r="J2175" i="3"/>
  <c r="I2175" i="3"/>
  <c r="H2175" i="3"/>
  <c r="J780" i="3"/>
  <c r="H780" i="3"/>
  <c r="I780" i="3"/>
  <c r="I480" i="3"/>
  <c r="H480" i="3"/>
  <c r="J480" i="3"/>
  <c r="J795" i="3"/>
  <c r="I795" i="3"/>
  <c r="H795" i="3"/>
  <c r="J2580" i="3"/>
  <c r="I2580" i="3"/>
  <c r="H2580" i="3"/>
  <c r="J2220" i="3"/>
  <c r="H2220" i="3"/>
  <c r="I2220" i="3"/>
  <c r="J750" i="3"/>
  <c r="I750" i="3"/>
  <c r="H750" i="3"/>
  <c r="I630" i="3"/>
  <c r="J630" i="3"/>
  <c r="H630" i="3"/>
  <c r="I465" i="3"/>
  <c r="H465" i="3"/>
  <c r="J465" i="3"/>
  <c r="J2670" i="3"/>
  <c r="H2670" i="3"/>
  <c r="I2670" i="3"/>
  <c r="J2190" i="3"/>
  <c r="H2190" i="3"/>
  <c r="I2190" i="3"/>
  <c r="I600" i="3"/>
  <c r="H600" i="3"/>
  <c r="J600" i="3"/>
  <c r="J435" i="3"/>
  <c r="I435" i="3"/>
  <c r="H435" i="3"/>
  <c r="I810" i="3"/>
  <c r="J810" i="3"/>
  <c r="H810" i="3"/>
  <c r="J765" i="3"/>
  <c r="H765" i="3"/>
  <c r="I765" i="3"/>
  <c r="I615" i="3"/>
  <c r="H615" i="3"/>
  <c r="J615" i="3"/>
  <c r="J420" i="3"/>
  <c r="H420" i="3"/>
  <c r="I420" i="3"/>
  <c r="J2685" i="3"/>
  <c r="I2685" i="3"/>
  <c r="H2685" i="3"/>
  <c r="I660" i="3"/>
  <c r="J660" i="3"/>
  <c r="H660" i="3"/>
  <c r="J2205" i="3"/>
  <c r="H2205" i="3"/>
  <c r="I2205" i="3"/>
  <c r="J705" i="3"/>
  <c r="H705" i="3"/>
  <c r="I705" i="3"/>
  <c r="J570" i="3"/>
  <c r="H570" i="3"/>
  <c r="I570" i="3"/>
  <c r="J405" i="3"/>
  <c r="I405" i="3"/>
  <c r="H405" i="3"/>
  <c r="J2085" i="3"/>
  <c r="I2085" i="3"/>
  <c r="H2085" i="3"/>
  <c r="J2700" i="3"/>
  <c r="H2700" i="3"/>
  <c r="I2100" i="3"/>
  <c r="H2100" i="3"/>
  <c r="J2100" i="3"/>
  <c r="J720" i="3"/>
  <c r="H720" i="3"/>
  <c r="I720" i="3"/>
  <c r="I540" i="3"/>
  <c r="J540" i="3"/>
  <c r="H540" i="3"/>
  <c r="I450" i="3"/>
  <c r="H450" i="3"/>
  <c r="J450" i="3"/>
  <c r="J2655" i="3"/>
  <c r="I2655" i="3"/>
  <c r="H2655" i="3"/>
  <c r="J2325" i="3"/>
  <c r="H2325" i="3"/>
  <c r="I2325" i="3"/>
  <c r="J690" i="3"/>
  <c r="I690" i="3"/>
  <c r="H690" i="3"/>
  <c r="J525" i="3"/>
  <c r="H525" i="3"/>
  <c r="I525" i="3"/>
  <c r="J2535" i="3"/>
  <c r="I2535" i="3"/>
  <c r="H2535" i="3"/>
  <c r="I360" i="3"/>
  <c r="J360" i="3"/>
  <c r="H360" i="3"/>
  <c r="I2415" i="3"/>
  <c r="J165" i="3"/>
  <c r="J2310" i="3"/>
  <c r="I2310" i="3"/>
  <c r="H2310" i="3"/>
  <c r="J2055" i="3"/>
  <c r="H2055" i="3"/>
  <c r="I2055" i="3"/>
  <c r="J645" i="3"/>
  <c r="I645" i="3"/>
  <c r="H645" i="3"/>
  <c r="J555" i="3"/>
  <c r="H555" i="3"/>
  <c r="I555" i="3"/>
  <c r="J2550" i="3"/>
  <c r="I2550" i="3"/>
  <c r="H2550" i="3"/>
  <c r="J390" i="3"/>
  <c r="J2340" i="3"/>
  <c r="H2340" i="3"/>
  <c r="I2340" i="3"/>
  <c r="J2070" i="3"/>
  <c r="H2070" i="3"/>
  <c r="I2070" i="3"/>
  <c r="I375" i="3"/>
  <c r="J375" i="3"/>
  <c r="H375" i="3"/>
  <c r="J675" i="3"/>
  <c r="H675" i="3"/>
  <c r="I675" i="3"/>
  <c r="J510" i="3"/>
  <c r="H510" i="3"/>
  <c r="I510" i="3"/>
  <c r="J2565" i="3"/>
  <c r="I2565" i="3"/>
  <c r="H2565" i="3"/>
  <c r="I629" i="3"/>
  <c r="H629" i="3"/>
  <c r="J629" i="3"/>
  <c r="J374" i="3"/>
  <c r="I374" i="3"/>
  <c r="H374" i="3"/>
  <c r="I2339" i="3"/>
  <c r="H2339" i="3"/>
  <c r="J2339" i="3"/>
  <c r="J2084" i="3"/>
  <c r="H2084" i="3"/>
  <c r="I2084" i="3"/>
  <c r="I599" i="3"/>
  <c r="H599" i="3"/>
  <c r="J599" i="3"/>
  <c r="I464" i="3"/>
  <c r="J464" i="3"/>
  <c r="H464" i="3"/>
  <c r="I614" i="3"/>
  <c r="J614" i="3"/>
  <c r="H614" i="3"/>
  <c r="J404" i="3"/>
  <c r="I404" i="3"/>
  <c r="H404" i="3"/>
  <c r="I359" i="3"/>
  <c r="H359" i="3"/>
  <c r="J359" i="3"/>
  <c r="I479" i="3"/>
  <c r="J479" i="3"/>
  <c r="H479" i="3"/>
  <c r="I2414" i="3"/>
  <c r="J389" i="3"/>
  <c r="J2219" i="3"/>
  <c r="H2219" i="3"/>
  <c r="I2219" i="3"/>
  <c r="H554" i="3"/>
  <c r="I554" i="3"/>
  <c r="J554" i="3"/>
  <c r="H449" i="3"/>
  <c r="I449" i="3"/>
  <c r="J449" i="3"/>
  <c r="J2534" i="3"/>
  <c r="H2534" i="3"/>
  <c r="I2534" i="3"/>
  <c r="J2189" i="3"/>
  <c r="H2189" i="3"/>
  <c r="I2189" i="3"/>
  <c r="I779" i="3"/>
  <c r="J779" i="3"/>
  <c r="H779" i="3"/>
  <c r="I569" i="3"/>
  <c r="J569" i="3"/>
  <c r="H569" i="3"/>
  <c r="J434" i="3"/>
  <c r="I434" i="3"/>
  <c r="H434" i="3"/>
  <c r="J2549" i="3"/>
  <c r="H2549" i="3"/>
  <c r="I2549" i="3"/>
  <c r="I749" i="3"/>
  <c r="J749" i="3"/>
  <c r="H749" i="3"/>
  <c r="J524" i="3"/>
  <c r="H524" i="3"/>
  <c r="I524" i="3"/>
  <c r="J419" i="3"/>
  <c r="I419" i="3"/>
  <c r="H419" i="3"/>
  <c r="J2579" i="3"/>
  <c r="H2579" i="3"/>
  <c r="I2579" i="3"/>
  <c r="J2204" i="3"/>
  <c r="I2204" i="3"/>
  <c r="H2204" i="3"/>
  <c r="J764" i="3"/>
  <c r="I764" i="3"/>
  <c r="H764" i="3"/>
  <c r="J2684" i="3"/>
  <c r="H2684" i="3"/>
  <c r="I2684" i="3"/>
  <c r="J2654" i="3"/>
  <c r="I2654" i="3"/>
  <c r="H2654" i="3"/>
  <c r="J2564" i="3"/>
  <c r="I2564" i="3"/>
  <c r="H2564" i="3"/>
  <c r="J2174" i="3"/>
  <c r="H2174" i="3"/>
  <c r="I2174" i="3"/>
  <c r="H674" i="3"/>
  <c r="J674" i="3"/>
  <c r="I674" i="3"/>
  <c r="I539" i="3"/>
  <c r="H539" i="3"/>
  <c r="J539" i="3"/>
  <c r="J809" i="3"/>
  <c r="H809" i="3"/>
  <c r="I809" i="3"/>
  <c r="J2054" i="3"/>
  <c r="H2054" i="3"/>
  <c r="I2054" i="3"/>
  <c r="J704" i="3"/>
  <c r="I704" i="3"/>
  <c r="H704" i="3"/>
  <c r="J2309" i="3"/>
  <c r="I2309" i="3"/>
  <c r="H2309" i="3"/>
  <c r="J659" i="3"/>
  <c r="I659" i="3"/>
  <c r="H659" i="3"/>
  <c r="J494" i="3"/>
  <c r="I494" i="3"/>
  <c r="H494" i="3"/>
  <c r="J2699" i="3"/>
  <c r="H2699" i="3"/>
  <c r="J719" i="3"/>
  <c r="H719" i="3"/>
  <c r="I719" i="3"/>
  <c r="J2099" i="3"/>
  <c r="H2099" i="3"/>
  <c r="I2099" i="3"/>
  <c r="I644" i="3"/>
  <c r="J644" i="3"/>
  <c r="H644" i="3"/>
  <c r="I509" i="3"/>
  <c r="H509" i="3"/>
  <c r="J509" i="3"/>
  <c r="J2669" i="3"/>
  <c r="H2669" i="3"/>
  <c r="I2669" i="3"/>
  <c r="I2324" i="3"/>
  <c r="J2324" i="3"/>
  <c r="H2324" i="3"/>
  <c r="J2069" i="3"/>
  <c r="H2069" i="3"/>
  <c r="I2069" i="3"/>
  <c r="J689" i="3"/>
  <c r="I689" i="3"/>
  <c r="H689" i="3"/>
  <c r="J2698" i="3"/>
  <c r="H2698" i="3"/>
  <c r="J2308" i="3"/>
  <c r="I2308" i="3"/>
  <c r="H2308" i="3"/>
  <c r="J2098" i="3"/>
  <c r="I2098" i="3"/>
  <c r="H2098" i="3"/>
  <c r="J718" i="3"/>
  <c r="H718" i="3"/>
  <c r="I718" i="3"/>
  <c r="J568" i="3"/>
  <c r="H568" i="3"/>
  <c r="I568" i="3"/>
  <c r="J2323" i="3"/>
  <c r="I2323" i="3"/>
  <c r="H2323" i="3"/>
  <c r="J673" i="3"/>
  <c r="H673" i="3"/>
  <c r="I673" i="3"/>
  <c r="J553" i="3"/>
  <c r="H553" i="3"/>
  <c r="I553" i="3"/>
  <c r="I2668" i="3"/>
  <c r="J2668" i="3"/>
  <c r="H2668" i="3"/>
  <c r="J2068" i="3"/>
  <c r="H2068" i="3"/>
  <c r="I2068" i="3"/>
  <c r="I358" i="3"/>
  <c r="J358" i="3"/>
  <c r="H358" i="3"/>
  <c r="J2338" i="3"/>
  <c r="I2338" i="3"/>
  <c r="H2338" i="3"/>
  <c r="J643" i="3"/>
  <c r="I643" i="3"/>
  <c r="H643" i="3"/>
  <c r="I463" i="3"/>
  <c r="H463" i="3"/>
  <c r="J463" i="3"/>
  <c r="H658" i="3"/>
  <c r="J658" i="3"/>
  <c r="I658" i="3"/>
  <c r="I478" i="3"/>
  <c r="H478" i="3"/>
  <c r="J478" i="3"/>
  <c r="J2413" i="3"/>
  <c r="J373" i="3"/>
  <c r="I373" i="3"/>
  <c r="H373" i="3"/>
  <c r="J2188" i="3"/>
  <c r="I2188" i="3"/>
  <c r="H2188" i="3"/>
  <c r="J763" i="3"/>
  <c r="H763" i="3"/>
  <c r="I763" i="3"/>
  <c r="J613" i="3"/>
  <c r="I613" i="3"/>
  <c r="H613" i="3"/>
  <c r="I493" i="3"/>
  <c r="H493" i="3"/>
  <c r="J493" i="3"/>
  <c r="J388" i="3"/>
  <c r="J2218" i="3"/>
  <c r="H2218" i="3"/>
  <c r="I2218" i="3"/>
  <c r="J748" i="3"/>
  <c r="I748" i="3"/>
  <c r="H748" i="3"/>
  <c r="I508" i="3"/>
  <c r="J508" i="3"/>
  <c r="H508" i="3"/>
  <c r="J2578" i="3"/>
  <c r="H2578" i="3"/>
  <c r="I2578" i="3"/>
  <c r="J2173" i="3"/>
  <c r="I2173" i="3"/>
  <c r="H2173" i="3"/>
  <c r="J778" i="3"/>
  <c r="H778" i="3"/>
  <c r="I778" i="3"/>
  <c r="I598" i="3"/>
  <c r="J598" i="3"/>
  <c r="H598" i="3"/>
  <c r="J2533" i="3"/>
  <c r="I2533" i="3"/>
  <c r="H2533" i="3"/>
  <c r="J2203" i="3"/>
  <c r="I2203" i="3"/>
  <c r="H2203" i="3"/>
  <c r="I628" i="3"/>
  <c r="J628" i="3"/>
  <c r="H628" i="3"/>
  <c r="J403" i="3"/>
  <c r="H403" i="3"/>
  <c r="I403" i="3"/>
  <c r="J2563" i="3"/>
  <c r="I2563" i="3"/>
  <c r="H2563" i="3"/>
  <c r="J703" i="3"/>
  <c r="H703" i="3"/>
  <c r="I703" i="3"/>
  <c r="I538" i="3"/>
  <c r="J538" i="3"/>
  <c r="H538" i="3"/>
  <c r="H418" i="3"/>
  <c r="I418" i="3"/>
  <c r="J418" i="3"/>
  <c r="J2653" i="3"/>
  <c r="I2653" i="3"/>
  <c r="H2653" i="3"/>
  <c r="J2053" i="3"/>
  <c r="H2053" i="3"/>
  <c r="I2053" i="3"/>
  <c r="J433" i="3"/>
  <c r="I433" i="3"/>
  <c r="H433" i="3"/>
  <c r="J2683" i="3"/>
  <c r="I2683" i="3"/>
  <c r="H2683" i="3"/>
  <c r="J2548" i="3"/>
  <c r="H2548" i="3"/>
  <c r="I2548" i="3"/>
  <c r="J2083" i="3"/>
  <c r="I2083" i="3"/>
  <c r="H2083" i="3"/>
  <c r="J688" i="3"/>
  <c r="I688" i="3"/>
  <c r="H688" i="3"/>
  <c r="J523" i="3"/>
  <c r="I523" i="3"/>
  <c r="H523" i="3"/>
  <c r="J448" i="3"/>
  <c r="H448" i="3"/>
  <c r="I448" i="3"/>
  <c r="J2547" i="3"/>
  <c r="I2547" i="3"/>
  <c r="H2547" i="3"/>
  <c r="I747" i="3"/>
  <c r="H747" i="3"/>
  <c r="J747" i="3"/>
  <c r="J2082" i="3"/>
  <c r="H2082" i="3"/>
  <c r="I2082" i="3"/>
  <c r="J2667" i="3"/>
  <c r="H2667" i="3"/>
  <c r="I2667" i="3"/>
  <c r="J2562" i="3"/>
  <c r="I2562" i="3"/>
  <c r="H2562" i="3"/>
  <c r="J537" i="3"/>
  <c r="H537" i="3"/>
  <c r="I537" i="3"/>
  <c r="J702" i="3"/>
  <c r="H702" i="3"/>
  <c r="I702" i="3"/>
  <c r="J2052" i="3"/>
  <c r="H2052" i="3"/>
  <c r="I2052" i="3"/>
  <c r="I507" i="3"/>
  <c r="J507" i="3"/>
  <c r="H507" i="3"/>
  <c r="I2682" i="3"/>
  <c r="J2682" i="3"/>
  <c r="H2682" i="3"/>
  <c r="J2322" i="3"/>
  <c r="I2322" i="3"/>
  <c r="H2322" i="3"/>
  <c r="J612" i="3"/>
  <c r="I612" i="3"/>
  <c r="H612" i="3"/>
  <c r="J462" i="3"/>
  <c r="H462" i="3"/>
  <c r="I462" i="3"/>
  <c r="J2697" i="3"/>
  <c r="H2697" i="3"/>
  <c r="J2307" i="3"/>
  <c r="H2307" i="3"/>
  <c r="I2307" i="3"/>
  <c r="J687" i="3"/>
  <c r="I687" i="3"/>
  <c r="H687" i="3"/>
  <c r="I2652" i="3"/>
  <c r="J2652" i="3"/>
  <c r="H2652" i="3"/>
  <c r="J717" i="3"/>
  <c r="I717" i="3"/>
  <c r="H717" i="3"/>
  <c r="I597" i="3"/>
  <c r="J597" i="3"/>
  <c r="H597" i="3"/>
  <c r="I492" i="3"/>
  <c r="H492" i="3"/>
  <c r="J492" i="3"/>
  <c r="I372" i="3"/>
  <c r="H372" i="3"/>
  <c r="J372" i="3"/>
  <c r="J2337" i="3"/>
  <c r="H2337" i="3"/>
  <c r="I2337" i="3"/>
  <c r="J762" i="3"/>
  <c r="I762" i="3"/>
  <c r="H762" i="3"/>
  <c r="I627" i="3"/>
  <c r="J627" i="3"/>
  <c r="H627" i="3"/>
  <c r="I477" i="3"/>
  <c r="J477" i="3"/>
  <c r="H477" i="3"/>
  <c r="J387" i="3"/>
  <c r="J642" i="3"/>
  <c r="I642" i="3"/>
  <c r="H642" i="3"/>
  <c r="I402" i="3"/>
  <c r="J402" i="3"/>
  <c r="H402" i="3"/>
  <c r="J357" i="3"/>
  <c r="I357" i="3"/>
  <c r="H357" i="3"/>
  <c r="J2172" i="3"/>
  <c r="H2172" i="3"/>
  <c r="I2172" i="3"/>
  <c r="J2067" i="3"/>
  <c r="H2067" i="3"/>
  <c r="I2067" i="3"/>
  <c r="J657" i="3"/>
  <c r="I657" i="3"/>
  <c r="H657" i="3"/>
  <c r="I417" i="3"/>
  <c r="H417" i="3"/>
  <c r="J417" i="3"/>
  <c r="J2202" i="3"/>
  <c r="H2202" i="3"/>
  <c r="I2202" i="3"/>
  <c r="I672" i="3"/>
  <c r="H672" i="3"/>
  <c r="J672" i="3"/>
  <c r="H567" i="3"/>
  <c r="J567" i="3"/>
  <c r="I567" i="3"/>
  <c r="I432" i="3"/>
  <c r="H432" i="3"/>
  <c r="J432" i="3"/>
  <c r="J777" i="3"/>
  <c r="I777" i="3"/>
  <c r="H777" i="3"/>
  <c r="H2097" i="3"/>
  <c r="J2097" i="3"/>
  <c r="I2097" i="3"/>
  <c r="I552" i="3"/>
  <c r="J552" i="3"/>
  <c r="H552" i="3"/>
  <c r="H447" i="3"/>
  <c r="I447" i="3"/>
  <c r="J447" i="3"/>
  <c r="I2577" i="3"/>
  <c r="J2577" i="3"/>
  <c r="H2577" i="3"/>
  <c r="J2217" i="3"/>
  <c r="H2217" i="3"/>
  <c r="I2217" i="3"/>
  <c r="J522" i="3"/>
  <c r="I522" i="3"/>
  <c r="H522" i="3"/>
  <c r="J2532" i="3"/>
  <c r="I2532" i="3"/>
  <c r="H2532" i="3"/>
  <c r="J2187" i="3"/>
  <c r="I2187" i="3"/>
  <c r="H2187" i="3"/>
  <c r="J656" i="3"/>
  <c r="H656" i="3"/>
  <c r="I656" i="3"/>
  <c r="J2666" i="3"/>
  <c r="I2666" i="3"/>
  <c r="H2666" i="3"/>
  <c r="I491" i="3"/>
  <c r="J491" i="3"/>
  <c r="H491" i="3"/>
  <c r="J2171" i="3"/>
  <c r="H2171" i="3"/>
  <c r="I2171" i="3"/>
  <c r="J2681" i="3"/>
  <c r="H2681" i="3"/>
  <c r="I2681" i="3"/>
  <c r="J506" i="3"/>
  <c r="H506" i="3"/>
  <c r="I506" i="3"/>
  <c r="J671" i="3"/>
  <c r="H671" i="3"/>
  <c r="I671" i="3"/>
  <c r="I761" i="3"/>
  <c r="H761" i="3"/>
  <c r="J761" i="3"/>
  <c r="I611" i="3"/>
  <c r="J611" i="3"/>
  <c r="H611" i="3"/>
  <c r="J2651" i="3"/>
  <c r="H2651" i="3"/>
  <c r="I2651" i="3"/>
  <c r="H416" i="3"/>
  <c r="I416" i="3"/>
  <c r="J416" i="3"/>
  <c r="J2696" i="3"/>
  <c r="H2696" i="3"/>
  <c r="J2321" i="3"/>
  <c r="H2321" i="3"/>
  <c r="I2321" i="3"/>
  <c r="J746" i="3"/>
  <c r="H746" i="3"/>
  <c r="I746" i="3"/>
  <c r="I596" i="3"/>
  <c r="H596" i="3"/>
  <c r="J596" i="3"/>
  <c r="I431" i="3"/>
  <c r="H431" i="3"/>
  <c r="J431" i="3"/>
  <c r="J2546" i="3"/>
  <c r="H2546" i="3"/>
  <c r="I2546" i="3"/>
  <c r="J2306" i="3"/>
  <c r="H2306" i="3"/>
  <c r="I2306" i="3"/>
  <c r="J776" i="3"/>
  <c r="H776" i="3"/>
  <c r="I776" i="3"/>
  <c r="I446" i="3"/>
  <c r="H446" i="3"/>
  <c r="J446" i="3"/>
  <c r="J2576" i="3"/>
  <c r="H2576" i="3"/>
  <c r="I2576" i="3"/>
  <c r="I626" i="3"/>
  <c r="J626" i="3"/>
  <c r="H626" i="3"/>
  <c r="J401" i="3"/>
  <c r="H401" i="3"/>
  <c r="I401" i="3"/>
  <c r="J2561" i="3"/>
  <c r="H2561" i="3"/>
  <c r="I2561" i="3"/>
  <c r="J2336" i="3"/>
  <c r="H2336" i="3"/>
  <c r="I2336" i="3"/>
  <c r="J716" i="3"/>
  <c r="H716" i="3"/>
  <c r="I716" i="3"/>
  <c r="J521" i="3"/>
  <c r="H521" i="3"/>
  <c r="I521" i="3"/>
  <c r="J371" i="3"/>
  <c r="H371" i="3"/>
  <c r="I371" i="3"/>
  <c r="J2531" i="3"/>
  <c r="H2531" i="3"/>
  <c r="I2531" i="3"/>
  <c r="J2201" i="3"/>
  <c r="H2201" i="3"/>
  <c r="I2201" i="3"/>
  <c r="J701" i="3"/>
  <c r="H701" i="3"/>
  <c r="I701" i="3"/>
  <c r="J566" i="3"/>
  <c r="H566" i="3"/>
  <c r="I566" i="3"/>
  <c r="I356" i="3"/>
  <c r="H356" i="3"/>
  <c r="J356" i="3"/>
  <c r="J2216" i="3"/>
  <c r="I2216" i="3"/>
  <c r="H2216" i="3"/>
  <c r="H551" i="3"/>
  <c r="I551" i="3"/>
  <c r="J551" i="3"/>
  <c r="J386" i="3"/>
  <c r="I461" i="3"/>
  <c r="J461" i="3"/>
  <c r="H461" i="3"/>
  <c r="J2186" i="3"/>
  <c r="H2186" i="3"/>
  <c r="I2186" i="3"/>
  <c r="J686" i="3"/>
  <c r="I686" i="3"/>
  <c r="H686" i="3"/>
  <c r="I476" i="3"/>
  <c r="J476" i="3"/>
  <c r="H476" i="3"/>
  <c r="J641" i="3"/>
  <c r="H641" i="3"/>
  <c r="I641" i="3"/>
  <c r="J536" i="3"/>
  <c r="I536" i="3"/>
  <c r="H536" i="3"/>
  <c r="H550" i="3"/>
  <c r="I550" i="3"/>
  <c r="J550" i="3"/>
  <c r="J2200" i="3"/>
  <c r="H2200" i="3"/>
  <c r="I2200" i="3"/>
  <c r="J2065" i="3"/>
  <c r="I2065" i="3"/>
  <c r="H2065" i="3"/>
  <c r="J655" i="3"/>
  <c r="H655" i="3"/>
  <c r="I655" i="3"/>
  <c r="J2185" i="3"/>
  <c r="H2185" i="3"/>
  <c r="I2185" i="3"/>
  <c r="J670" i="3"/>
  <c r="H670" i="3"/>
  <c r="I670" i="3"/>
  <c r="J505" i="3"/>
  <c r="I505" i="3"/>
  <c r="H505" i="3"/>
  <c r="J2170" i="3"/>
  <c r="H2170" i="3"/>
  <c r="I2170" i="3"/>
  <c r="J2560" i="3"/>
  <c r="H2560" i="3"/>
  <c r="I2560" i="3"/>
  <c r="I2410" i="3"/>
  <c r="J640" i="3"/>
  <c r="I640" i="3"/>
  <c r="H640" i="3"/>
  <c r="I475" i="3"/>
  <c r="J475" i="3"/>
  <c r="H475" i="3"/>
  <c r="J2575" i="3"/>
  <c r="H2575" i="3"/>
  <c r="I2575" i="3"/>
  <c r="J760" i="3"/>
  <c r="H760" i="3"/>
  <c r="I760" i="3"/>
  <c r="J595" i="3"/>
  <c r="H595" i="3"/>
  <c r="I595" i="3"/>
  <c r="I460" i="3"/>
  <c r="J460" i="3"/>
  <c r="H460" i="3"/>
  <c r="I2680" i="3"/>
  <c r="J2680" i="3"/>
  <c r="H2680" i="3"/>
  <c r="J2545" i="3"/>
  <c r="H2545" i="3"/>
  <c r="I2545" i="3"/>
  <c r="I745" i="3"/>
  <c r="J745" i="3"/>
  <c r="H745" i="3"/>
  <c r="J490" i="3"/>
  <c r="I490" i="3"/>
  <c r="H490" i="3"/>
  <c r="J2695" i="3"/>
  <c r="H2695" i="3"/>
  <c r="J2530" i="3"/>
  <c r="H2530" i="3"/>
  <c r="I2530" i="3"/>
  <c r="I625" i="3"/>
  <c r="H625" i="3"/>
  <c r="J625" i="3"/>
  <c r="I415" i="3"/>
  <c r="H415" i="3"/>
  <c r="J415" i="3"/>
  <c r="J2320" i="3"/>
  <c r="I2320" i="3"/>
  <c r="H2320" i="3"/>
  <c r="J775" i="3"/>
  <c r="H775" i="3"/>
  <c r="I775" i="3"/>
  <c r="I610" i="3"/>
  <c r="H610" i="3"/>
  <c r="J610" i="3"/>
  <c r="J400" i="3"/>
  <c r="I400" i="3"/>
  <c r="H400" i="3"/>
  <c r="J2665" i="3"/>
  <c r="H2665" i="3"/>
  <c r="I2665" i="3"/>
  <c r="J715" i="3"/>
  <c r="I715" i="3"/>
  <c r="H715" i="3"/>
  <c r="I535" i="3"/>
  <c r="J535" i="3"/>
  <c r="H535" i="3"/>
  <c r="I430" i="3"/>
  <c r="H430" i="3"/>
  <c r="J430" i="3"/>
  <c r="J2650" i="3"/>
  <c r="H2650" i="3"/>
  <c r="I2650" i="3"/>
  <c r="J2335" i="3"/>
  <c r="I2335" i="3"/>
  <c r="H2335" i="3"/>
  <c r="J2050" i="3"/>
  <c r="I2050" i="3"/>
  <c r="H2050" i="3"/>
  <c r="H445" i="3"/>
  <c r="I445" i="3"/>
  <c r="J445" i="3"/>
  <c r="I355" i="3"/>
  <c r="J355" i="3"/>
  <c r="H355" i="3"/>
  <c r="J790" i="3"/>
  <c r="H790" i="3"/>
  <c r="I790" i="3"/>
  <c r="J2095" i="3"/>
  <c r="I2095" i="3"/>
  <c r="H2095" i="3"/>
  <c r="J700" i="3"/>
  <c r="H700" i="3"/>
  <c r="I700" i="3"/>
  <c r="J520" i="3"/>
  <c r="H520" i="3"/>
  <c r="I520" i="3"/>
  <c r="J370" i="3"/>
  <c r="H370" i="3"/>
  <c r="I370" i="3"/>
  <c r="J2080" i="3"/>
  <c r="I2080" i="3"/>
  <c r="H2080" i="3"/>
  <c r="J685" i="3"/>
  <c r="I685" i="3"/>
  <c r="H685" i="3"/>
  <c r="I565" i="3"/>
  <c r="H565" i="3"/>
  <c r="J565" i="3"/>
  <c r="J2215" i="3"/>
  <c r="H2215" i="3"/>
  <c r="I2215" i="3"/>
  <c r="J385" i="3"/>
  <c r="J2305" i="3"/>
  <c r="H2305" i="3"/>
  <c r="I2305" i="3"/>
  <c r="J564" i="3"/>
  <c r="I564" i="3"/>
  <c r="H564" i="3"/>
  <c r="J2649" i="3"/>
  <c r="I2649" i="3"/>
  <c r="H2649" i="3"/>
  <c r="J2199" i="3"/>
  <c r="I2199" i="3"/>
  <c r="H2199" i="3"/>
  <c r="J714" i="3"/>
  <c r="I714" i="3"/>
  <c r="H714" i="3"/>
  <c r="J2694" i="3"/>
  <c r="H2694" i="3"/>
  <c r="J2529" i="3"/>
  <c r="H2529" i="3"/>
  <c r="I2529" i="3"/>
  <c r="J2064" i="3"/>
  <c r="I2064" i="3"/>
  <c r="H2064" i="3"/>
  <c r="J699" i="3"/>
  <c r="H699" i="3"/>
  <c r="I699" i="3"/>
  <c r="I2409" i="3"/>
  <c r="J504" i="3"/>
  <c r="I504" i="3"/>
  <c r="H504" i="3"/>
  <c r="J2679" i="3"/>
  <c r="H2679" i="3"/>
  <c r="I2679" i="3"/>
  <c r="I804" i="3"/>
  <c r="J804" i="3"/>
  <c r="H804" i="3"/>
  <c r="J684" i="3"/>
  <c r="I684" i="3"/>
  <c r="H684" i="3"/>
  <c r="J474" i="3"/>
  <c r="H474" i="3"/>
  <c r="I474" i="3"/>
  <c r="I2664" i="3"/>
  <c r="H2664" i="3"/>
  <c r="J2664" i="3"/>
  <c r="J2319" i="3"/>
  <c r="H2319" i="3"/>
  <c r="I2319" i="3"/>
  <c r="H2094" i="3"/>
  <c r="J2094" i="3"/>
  <c r="I2094" i="3"/>
  <c r="J2049" i="3"/>
  <c r="I2049" i="3"/>
  <c r="H2049" i="3"/>
  <c r="J654" i="3"/>
  <c r="H654" i="3"/>
  <c r="I654" i="3"/>
  <c r="I459" i="3"/>
  <c r="J459" i="3"/>
  <c r="H459" i="3"/>
  <c r="I369" i="3"/>
  <c r="H369" i="3"/>
  <c r="J369" i="3"/>
  <c r="J2079" i="3"/>
  <c r="H2079" i="3"/>
  <c r="I2079" i="3"/>
  <c r="J669" i="3"/>
  <c r="H669" i="3"/>
  <c r="I669" i="3"/>
  <c r="H489" i="3"/>
  <c r="J489" i="3"/>
  <c r="J384" i="3"/>
  <c r="J2304" i="3"/>
  <c r="H2304" i="3"/>
  <c r="I2304" i="3"/>
  <c r="J639" i="3"/>
  <c r="H639" i="3"/>
  <c r="I639" i="3"/>
  <c r="I429" i="3"/>
  <c r="H429" i="3"/>
  <c r="J429" i="3"/>
  <c r="J2334" i="3"/>
  <c r="H2334" i="3"/>
  <c r="I2334" i="3"/>
  <c r="H444" i="3"/>
  <c r="I444" i="3"/>
  <c r="J444" i="3"/>
  <c r="I354" i="3"/>
  <c r="H354" i="3"/>
  <c r="J354" i="3"/>
  <c r="J2184" i="3"/>
  <c r="H2184" i="3"/>
  <c r="I2184" i="3"/>
  <c r="I624" i="3"/>
  <c r="J624" i="3"/>
  <c r="H624" i="3"/>
  <c r="J519" i="3"/>
  <c r="I519" i="3"/>
  <c r="H519" i="3"/>
  <c r="J2559" i="3"/>
  <c r="I2559" i="3"/>
  <c r="H2559" i="3"/>
  <c r="J2214" i="3"/>
  <c r="H2214" i="3"/>
  <c r="I2214" i="3"/>
  <c r="J774" i="3"/>
  <c r="H774" i="3"/>
  <c r="I774" i="3"/>
  <c r="I609" i="3"/>
  <c r="J609" i="3"/>
  <c r="H609" i="3"/>
  <c r="H549" i="3"/>
  <c r="J549" i="3"/>
  <c r="I549" i="3"/>
  <c r="J399" i="3"/>
  <c r="H399" i="3"/>
  <c r="I399" i="3"/>
  <c r="J2574" i="3"/>
  <c r="H2574" i="3"/>
  <c r="I2574" i="3"/>
  <c r="J2169" i="3"/>
  <c r="H2169" i="3"/>
  <c r="I2169" i="3"/>
  <c r="I759" i="3"/>
  <c r="H759" i="3"/>
  <c r="J759" i="3"/>
  <c r="J594" i="3"/>
  <c r="I594" i="3"/>
  <c r="H594" i="3"/>
  <c r="J534" i="3"/>
  <c r="H534" i="3"/>
  <c r="I534" i="3"/>
  <c r="I414" i="3"/>
  <c r="H414" i="3"/>
  <c r="J414" i="3"/>
  <c r="J2544" i="3"/>
  <c r="H2544" i="3"/>
  <c r="I2544" i="3"/>
  <c r="J744" i="3"/>
  <c r="H744" i="3"/>
  <c r="I744" i="3"/>
  <c r="J698" i="3"/>
  <c r="I698" i="3"/>
  <c r="H698" i="3"/>
  <c r="H548" i="3"/>
  <c r="I548" i="3"/>
  <c r="J548" i="3"/>
  <c r="H443" i="3"/>
  <c r="J443" i="3"/>
  <c r="I443" i="3"/>
  <c r="J683" i="3"/>
  <c r="I683" i="3"/>
  <c r="H683" i="3"/>
  <c r="J563" i="3"/>
  <c r="I563" i="3"/>
  <c r="H563" i="3"/>
  <c r="J413" i="3"/>
  <c r="H413" i="3"/>
  <c r="I413" i="3"/>
  <c r="I2093" i="3"/>
  <c r="H2093" i="3"/>
  <c r="J2093" i="3"/>
  <c r="J2678" i="3"/>
  <c r="H2678" i="3"/>
  <c r="I2678" i="3"/>
  <c r="J2318" i="3"/>
  <c r="H2318" i="3"/>
  <c r="I2318" i="3"/>
  <c r="J2078" i="3"/>
  <c r="I2078" i="3"/>
  <c r="H2078" i="3"/>
  <c r="I668" i="3"/>
  <c r="H668" i="3"/>
  <c r="J668" i="3"/>
  <c r="J518" i="3"/>
  <c r="I518" i="3"/>
  <c r="H518" i="3"/>
  <c r="J2663" i="3"/>
  <c r="H2663" i="3"/>
  <c r="I2663" i="3"/>
  <c r="I2063" i="3"/>
  <c r="J2063" i="3"/>
  <c r="H2063" i="3"/>
  <c r="J638" i="3"/>
  <c r="H638" i="3"/>
  <c r="I638" i="3"/>
  <c r="I488" i="3"/>
  <c r="H488" i="3"/>
  <c r="J488" i="3"/>
  <c r="I2648" i="3"/>
  <c r="J2648" i="3"/>
  <c r="H2648" i="3"/>
  <c r="J2303" i="3"/>
  <c r="H2303" i="3"/>
  <c r="I2303" i="3"/>
  <c r="I2333" i="3"/>
  <c r="H2333" i="3"/>
  <c r="J2333" i="3"/>
  <c r="J2048" i="3"/>
  <c r="H2048" i="3"/>
  <c r="I2048" i="3"/>
  <c r="J653" i="3"/>
  <c r="I653" i="3"/>
  <c r="H653" i="3"/>
  <c r="J503" i="3"/>
  <c r="H503" i="3"/>
  <c r="I503" i="3"/>
  <c r="J2693" i="3"/>
  <c r="H2693" i="3"/>
  <c r="J2213" i="3"/>
  <c r="I2213" i="3"/>
  <c r="H2213" i="3"/>
  <c r="J773" i="3"/>
  <c r="H773" i="3"/>
  <c r="I773" i="3"/>
  <c r="I473" i="3"/>
  <c r="H473" i="3"/>
  <c r="J473" i="3"/>
  <c r="J2543" i="3"/>
  <c r="H2543" i="3"/>
  <c r="I2543" i="3"/>
  <c r="J2198" i="3"/>
  <c r="H2198" i="3"/>
  <c r="I2198" i="3"/>
  <c r="J758" i="3"/>
  <c r="H758" i="3"/>
  <c r="I758" i="3"/>
  <c r="J458" i="3"/>
  <c r="I458" i="3"/>
  <c r="H458" i="3"/>
  <c r="J2528" i="3"/>
  <c r="H2528" i="3"/>
  <c r="I2528" i="3"/>
  <c r="J2183" i="3"/>
  <c r="I2183" i="3"/>
  <c r="H2183" i="3"/>
  <c r="H428" i="3"/>
  <c r="I428" i="3"/>
  <c r="J428" i="3"/>
  <c r="I743" i="3"/>
  <c r="J743" i="3"/>
  <c r="H743" i="3"/>
  <c r="J2573" i="3"/>
  <c r="H2573" i="3"/>
  <c r="I2573" i="3"/>
  <c r="J2168" i="3"/>
  <c r="H2168" i="3"/>
  <c r="I2168" i="3"/>
  <c r="I713" i="3"/>
  <c r="H713" i="3"/>
  <c r="J713" i="3"/>
  <c r="I533" i="3"/>
  <c r="J533" i="3"/>
  <c r="H533" i="3"/>
  <c r="J398" i="3"/>
  <c r="H398" i="3"/>
  <c r="I398" i="3"/>
  <c r="J2558" i="3"/>
  <c r="H2558" i="3"/>
  <c r="I2558" i="3"/>
  <c r="J2692" i="3"/>
  <c r="H2692" i="3"/>
  <c r="J2572" i="3"/>
  <c r="H2572" i="3"/>
  <c r="I2572" i="3"/>
  <c r="J2332" i="3"/>
  <c r="I2332" i="3"/>
  <c r="H2332" i="3"/>
  <c r="J2212" i="3"/>
  <c r="H2212" i="3"/>
  <c r="I2212" i="3"/>
  <c r="J2092" i="3"/>
  <c r="H2092" i="3"/>
  <c r="I2092" i="3"/>
  <c r="H2091" i="3"/>
  <c r="J2091" i="3"/>
  <c r="I2091" i="3"/>
  <c r="J2571" i="3"/>
  <c r="H2571" i="3"/>
  <c r="I2571" i="3"/>
  <c r="I2331" i="3"/>
  <c r="J2331" i="3"/>
  <c r="H2331" i="3"/>
  <c r="J2691" i="3"/>
  <c r="H2691" i="3"/>
  <c r="J2211" i="3"/>
  <c r="H2211" i="3"/>
  <c r="I2211" i="3"/>
  <c r="J2345" i="3"/>
  <c r="H2345" i="3"/>
  <c r="I2345" i="3"/>
  <c r="J2285" i="3"/>
  <c r="H2285" i="3"/>
  <c r="I2285" i="3"/>
  <c r="J2690" i="3"/>
  <c r="H2690" i="3"/>
  <c r="J2630" i="3"/>
  <c r="H2630" i="3"/>
  <c r="I2630" i="3"/>
  <c r="J2570" i="3"/>
  <c r="H2570" i="3"/>
  <c r="I2570" i="3"/>
  <c r="J2705" i="3"/>
  <c r="H2705" i="3"/>
  <c r="I2705" i="3"/>
  <c r="J2330" i="3"/>
  <c r="I2330" i="3"/>
  <c r="H2330" i="3"/>
  <c r="J2840" i="3"/>
  <c r="I2840" i="3"/>
  <c r="H2840" i="3"/>
  <c r="J2765" i="3"/>
  <c r="H2765" i="3"/>
  <c r="I2765" i="3"/>
  <c r="I575" i="3"/>
  <c r="J575" i="3"/>
  <c r="H575" i="3"/>
  <c r="J2210" i="3"/>
  <c r="H2210" i="3"/>
  <c r="I2210" i="3"/>
  <c r="I725" i="3"/>
  <c r="J725" i="3"/>
  <c r="H725" i="3"/>
  <c r="J2225" i="3"/>
  <c r="H2225" i="3"/>
  <c r="I2225" i="3"/>
  <c r="J2150" i="3"/>
  <c r="I2150" i="3"/>
  <c r="H2150" i="3"/>
  <c r="I2090" i="3"/>
  <c r="H2090" i="3"/>
  <c r="J2090" i="3"/>
  <c r="I580" i="3"/>
  <c r="I586" i="3"/>
  <c r="J239" i="3"/>
  <c r="I578" i="3"/>
  <c r="H584" i="3"/>
  <c r="I236" i="3"/>
  <c r="I240" i="3"/>
  <c r="J240" i="3"/>
  <c r="J242" i="3"/>
  <c r="I232" i="3"/>
  <c r="I237" i="3"/>
  <c r="H235" i="3"/>
  <c r="J235" i="3"/>
  <c r="J236" i="3"/>
  <c r="I234" i="3"/>
  <c r="H237" i="3"/>
  <c r="J234" i="3"/>
  <c r="H232" i="3"/>
  <c r="I230" i="3"/>
  <c r="I241" i="3"/>
  <c r="J243" i="3"/>
  <c r="H241" i="3"/>
  <c r="J2066" i="3"/>
  <c r="H2066" i="3"/>
  <c r="I2066" i="3"/>
  <c r="J2051" i="3"/>
  <c r="I2051" i="3"/>
  <c r="H2051" i="3"/>
  <c r="H2096" i="3"/>
  <c r="J2096" i="3"/>
  <c r="J2081" i="3"/>
  <c r="H2081" i="3"/>
  <c r="I2081" i="3"/>
  <c r="J155" i="3"/>
  <c r="H243" i="3"/>
  <c r="H239" i="3"/>
  <c r="H2776" i="3"/>
  <c r="I2776" i="3"/>
  <c r="H2770" i="3"/>
  <c r="I2770" i="3"/>
  <c r="H2778" i="3"/>
  <c r="I2778" i="3"/>
  <c r="H2768" i="3"/>
  <c r="I2768" i="3"/>
  <c r="I2096" i="3"/>
  <c r="H585" i="3"/>
  <c r="I585" i="3"/>
  <c r="H588" i="3"/>
  <c r="I588" i="3"/>
  <c r="H579" i="3"/>
  <c r="I579" i="3"/>
  <c r="I577" i="3"/>
  <c r="H577" i="3"/>
  <c r="H2774" i="3"/>
  <c r="I2774" i="3"/>
  <c r="H582" i="3"/>
  <c r="I582" i="3"/>
  <c r="I587" i="3"/>
  <c r="H587" i="3"/>
  <c r="H2769" i="3"/>
  <c r="I2769" i="3"/>
  <c r="I581" i="3"/>
  <c r="H581" i="3"/>
  <c r="I583" i="3"/>
  <c r="H583" i="3"/>
  <c r="H2767" i="3"/>
  <c r="I2767" i="3"/>
  <c r="H2772" i="3"/>
  <c r="I2772" i="3"/>
  <c r="H2775" i="3"/>
  <c r="I2775" i="3"/>
  <c r="H2777" i="3"/>
  <c r="I2777" i="3"/>
  <c r="H2771" i="3"/>
  <c r="I2771" i="3"/>
  <c r="H2773" i="3"/>
  <c r="I2773" i="3"/>
  <c r="I547" i="3"/>
  <c r="I426" i="3"/>
  <c r="H426" i="3"/>
  <c r="I546" i="3"/>
  <c r="I442" i="3"/>
  <c r="H412" i="3"/>
  <c r="I412" i="3"/>
  <c r="I441" i="3"/>
  <c r="I545" i="3"/>
  <c r="I427" i="3"/>
  <c r="H427" i="3"/>
  <c r="H411" i="3"/>
  <c r="I411" i="3"/>
  <c r="H323" i="3"/>
  <c r="I263" i="3"/>
  <c r="H263" i="3"/>
  <c r="H218" i="3"/>
  <c r="I218" i="3"/>
  <c r="I489" i="3"/>
  <c r="I393" i="3"/>
  <c r="I390" i="3"/>
  <c r="I388" i="3"/>
  <c r="H393" i="3"/>
  <c r="I392" i="3"/>
  <c r="H388" i="3"/>
  <c r="H392" i="3"/>
  <c r="H390" i="3"/>
  <c r="H384" i="3"/>
  <c r="H389" i="3"/>
  <c r="I387" i="3"/>
  <c r="I386" i="3"/>
  <c r="I391" i="3"/>
  <c r="I389" i="3"/>
  <c r="I385" i="3"/>
  <c r="H387" i="3"/>
  <c r="H386" i="3"/>
  <c r="H391" i="3"/>
  <c r="H385" i="3"/>
  <c r="I384" i="3"/>
  <c r="I160" i="3"/>
  <c r="I163" i="3"/>
  <c r="H163" i="3"/>
  <c r="I161" i="3"/>
  <c r="H162" i="3"/>
  <c r="I162" i="3"/>
  <c r="H164" i="3"/>
  <c r="I164" i="3"/>
  <c r="H158" i="3"/>
  <c r="I165" i="3"/>
  <c r="I2702" i="3"/>
  <c r="I2700" i="3"/>
  <c r="I2698" i="3"/>
  <c r="I2691" i="3"/>
  <c r="I2701" i="3"/>
  <c r="I2699" i="3"/>
  <c r="I2697" i="3"/>
  <c r="I2693" i="3"/>
  <c r="I2692" i="3"/>
  <c r="I2690" i="3"/>
  <c r="I2703" i="3"/>
  <c r="I2696" i="3"/>
  <c r="I2694" i="3"/>
  <c r="I2695" i="3"/>
  <c r="I322" i="3"/>
  <c r="H247" i="3"/>
  <c r="H277" i="3"/>
  <c r="I292" i="3"/>
  <c r="I277" i="3"/>
  <c r="H292" i="3"/>
  <c r="I247" i="3"/>
  <c r="H322" i="3"/>
  <c r="I321" i="3"/>
  <c r="H276" i="3"/>
  <c r="I291" i="3"/>
  <c r="I276" i="3"/>
  <c r="H291" i="3"/>
  <c r="I246" i="3"/>
  <c r="H321" i="3"/>
  <c r="H246" i="3"/>
  <c r="I275" i="3"/>
  <c r="I320" i="3"/>
  <c r="I245" i="3"/>
  <c r="H275" i="3"/>
  <c r="I290" i="3"/>
  <c r="H245" i="3"/>
  <c r="H290" i="3"/>
  <c r="H320" i="3"/>
  <c r="H156" i="3"/>
  <c r="H816" i="3"/>
  <c r="H786" i="3"/>
  <c r="H785" i="3"/>
  <c r="H815" i="3"/>
  <c r="H157" i="3"/>
  <c r="I576" i="3"/>
  <c r="I787" i="3"/>
  <c r="I785" i="3"/>
  <c r="H2766" i="3"/>
  <c r="I815" i="3"/>
  <c r="H817" i="3"/>
  <c r="I786" i="3"/>
  <c r="H576" i="3"/>
  <c r="I816" i="3"/>
  <c r="I2766" i="3"/>
  <c r="H787" i="3"/>
  <c r="I817" i="3"/>
  <c r="I155" i="3"/>
  <c r="H792" i="3" l="1"/>
  <c r="H2414" i="3"/>
  <c r="J2414" i="3"/>
  <c r="J2405" i="3"/>
  <c r="I2405" i="3"/>
  <c r="H2405" i="3"/>
  <c r="H2416" i="3"/>
  <c r="J2416" i="3"/>
  <c r="I238" i="3"/>
  <c r="J238" i="3"/>
  <c r="H2410" i="3"/>
  <c r="I2413" i="3"/>
  <c r="H2417" i="3"/>
  <c r="J2417" i="3"/>
  <c r="H2415" i="3"/>
  <c r="J233" i="3"/>
  <c r="J2415" i="3"/>
  <c r="I233" i="3"/>
  <c r="H2418" i="3"/>
  <c r="J730" i="3"/>
  <c r="I730" i="3"/>
  <c r="H730" i="3"/>
  <c r="H231" i="3"/>
  <c r="H2409" i="3"/>
  <c r="I2853" i="3"/>
  <c r="J2853" i="3"/>
  <c r="H2853" i="3"/>
  <c r="J2841" i="3"/>
  <c r="J2635" i="3"/>
  <c r="I2635" i="3"/>
  <c r="H2635" i="3"/>
  <c r="J2233" i="3"/>
  <c r="I2233" i="3"/>
  <c r="H2233" i="3"/>
  <c r="J2850" i="3"/>
  <c r="I2850" i="3"/>
  <c r="H2850" i="3"/>
  <c r="J2153" i="3"/>
  <c r="I2153" i="3"/>
  <c r="H2153" i="3"/>
  <c r="J2231" i="3"/>
  <c r="H2231" i="3"/>
  <c r="I2231" i="3"/>
  <c r="J2847" i="3"/>
  <c r="I2847" i="3"/>
  <c r="H2847" i="3"/>
  <c r="J2641" i="3"/>
  <c r="I2641" i="3"/>
  <c r="H2641" i="3"/>
  <c r="J2159" i="3"/>
  <c r="I2159" i="3"/>
  <c r="H2159" i="3"/>
  <c r="J2709" i="3"/>
  <c r="I2709" i="3"/>
  <c r="H2709" i="3"/>
  <c r="J2842" i="3"/>
  <c r="I2842" i="3"/>
  <c r="H2842" i="3"/>
  <c r="H230" i="3"/>
  <c r="J231" i="3"/>
  <c r="J2409" i="3"/>
  <c r="J2773" i="3"/>
  <c r="J2235" i="3"/>
  <c r="I2235" i="3"/>
  <c r="H2235" i="3"/>
  <c r="J2708" i="3"/>
  <c r="H2708" i="3"/>
  <c r="I2708" i="3"/>
  <c r="J2771" i="3"/>
  <c r="J2232" i="3"/>
  <c r="I2232" i="3"/>
  <c r="H2232" i="3"/>
  <c r="J2161" i="3"/>
  <c r="I2161" i="3"/>
  <c r="H2161" i="3"/>
  <c r="J2714" i="3"/>
  <c r="I2714" i="3"/>
  <c r="H2714" i="3"/>
  <c r="J2844" i="3"/>
  <c r="I2844" i="3"/>
  <c r="H2844" i="3"/>
  <c r="J2227" i="3"/>
  <c r="H2227" i="3"/>
  <c r="I2227" i="3"/>
  <c r="H2413" i="3"/>
  <c r="J2777" i="3"/>
  <c r="J2353" i="3"/>
  <c r="I2353" i="3"/>
  <c r="H2353" i="3"/>
  <c r="J2775" i="3"/>
  <c r="J2351" i="3"/>
  <c r="I2351" i="3"/>
  <c r="H2351" i="3"/>
  <c r="J2772" i="3"/>
  <c r="J2716" i="3"/>
  <c r="I2716" i="3"/>
  <c r="H2716" i="3"/>
  <c r="I2849" i="3"/>
  <c r="J2849" i="3"/>
  <c r="H2849" i="3"/>
  <c r="J2229" i="3"/>
  <c r="H2229" i="3"/>
  <c r="I2229" i="3"/>
  <c r="J2767" i="3"/>
  <c r="J2238" i="3"/>
  <c r="I2238" i="3"/>
  <c r="H2238" i="3"/>
  <c r="J2357" i="3"/>
  <c r="I2357" i="3"/>
  <c r="H2357" i="3"/>
  <c r="J2226" i="3"/>
  <c r="J2155" i="3"/>
  <c r="I2155" i="3"/>
  <c r="H2155" i="3"/>
  <c r="J583" i="3"/>
  <c r="J581" i="3"/>
  <c r="J2352" i="3"/>
  <c r="I2352" i="3"/>
  <c r="H2352" i="3"/>
  <c r="J2851" i="3"/>
  <c r="I2851" i="3"/>
  <c r="H2851" i="3"/>
  <c r="J2234" i="3"/>
  <c r="I2234" i="3"/>
  <c r="H2234" i="3"/>
  <c r="J2769" i="3"/>
  <c r="J2347" i="3"/>
  <c r="I2347" i="3"/>
  <c r="H2347" i="3"/>
  <c r="J587" i="3"/>
  <c r="J2766" i="3"/>
  <c r="J2710" i="3"/>
  <c r="H2710" i="3"/>
  <c r="I2710" i="3"/>
  <c r="J2843" i="3"/>
  <c r="I2843" i="3"/>
  <c r="H2843" i="3"/>
  <c r="J2291" i="3"/>
  <c r="H2291" i="3"/>
  <c r="I2291" i="3"/>
  <c r="J582" i="3"/>
  <c r="J2236" i="3"/>
  <c r="I2236" i="3"/>
  <c r="H2236" i="3"/>
  <c r="J2774" i="3"/>
  <c r="J2349" i="3"/>
  <c r="I2349" i="3"/>
  <c r="H2349" i="3"/>
  <c r="J577" i="3"/>
  <c r="J2358" i="3"/>
  <c r="H2358" i="3"/>
  <c r="I2358" i="3"/>
  <c r="J2845" i="3"/>
  <c r="I2845" i="3"/>
  <c r="H2845" i="3"/>
  <c r="J2355" i="3"/>
  <c r="I2355" i="3"/>
  <c r="H2355" i="3"/>
  <c r="J2228" i="3"/>
  <c r="H2228" i="3"/>
  <c r="I2228" i="3"/>
  <c r="J2354" i="3"/>
  <c r="I2354" i="3"/>
  <c r="H2354" i="3"/>
  <c r="J579" i="3"/>
  <c r="J2287" i="3"/>
  <c r="I2287" i="3"/>
  <c r="H2287" i="3"/>
  <c r="J2346" i="3"/>
  <c r="J2292" i="3"/>
  <c r="H2292" i="3"/>
  <c r="I2292" i="3"/>
  <c r="I2418" i="3"/>
  <c r="J588" i="3"/>
  <c r="H737" i="3"/>
  <c r="I737" i="3"/>
  <c r="J737" i="3"/>
  <c r="J576" i="3"/>
  <c r="J2230" i="3"/>
  <c r="I2230" i="3"/>
  <c r="H2230" i="3"/>
  <c r="J2293" i="3"/>
  <c r="H2293" i="3"/>
  <c r="I2293" i="3"/>
  <c r="J585" i="3"/>
  <c r="J2768" i="3"/>
  <c r="J2289" i="3"/>
  <c r="I2289" i="3"/>
  <c r="H2289" i="3"/>
  <c r="H727" i="3"/>
  <c r="I727" i="3"/>
  <c r="J727" i="3"/>
  <c r="J2778" i="3"/>
  <c r="J2297" i="3"/>
  <c r="H2297" i="3"/>
  <c r="I2297" i="3"/>
  <c r="J281" i="3"/>
  <c r="I242" i="3"/>
  <c r="J2410" i="3"/>
  <c r="J2298" i="3"/>
  <c r="I2298" i="3"/>
  <c r="H2298" i="3"/>
  <c r="J2642" i="3"/>
  <c r="I2642" i="3"/>
  <c r="H2642" i="3"/>
  <c r="J2286" i="3"/>
  <c r="J2770" i="3"/>
  <c r="J733" i="3"/>
  <c r="H733" i="3"/>
  <c r="I733" i="3"/>
  <c r="J2295" i="3"/>
  <c r="H2295" i="3"/>
  <c r="I2295" i="3"/>
  <c r="J2348" i="3"/>
  <c r="I2348" i="3"/>
  <c r="H2348" i="3"/>
  <c r="H731" i="3"/>
  <c r="I731" i="3"/>
  <c r="J731" i="3"/>
  <c r="J2776" i="3"/>
  <c r="H729" i="3"/>
  <c r="J729" i="3"/>
  <c r="I729" i="3"/>
  <c r="J2632" i="3"/>
  <c r="H2632" i="3"/>
  <c r="I2632" i="3"/>
  <c r="I286" i="3"/>
  <c r="I2411" i="3"/>
  <c r="H738" i="3"/>
  <c r="I738" i="3"/>
  <c r="J738" i="3"/>
  <c r="J2162" i="3"/>
  <c r="I2162" i="3"/>
  <c r="H2162" i="3"/>
  <c r="J726" i="3"/>
  <c r="J2350" i="3"/>
  <c r="I2350" i="3"/>
  <c r="H2350" i="3"/>
  <c r="J2638" i="3"/>
  <c r="I2638" i="3"/>
  <c r="H2638" i="3"/>
  <c r="H735" i="3"/>
  <c r="I735" i="3"/>
  <c r="J735" i="3"/>
  <c r="J578" i="3"/>
  <c r="J2636" i="3"/>
  <c r="H2636" i="3"/>
  <c r="I2636" i="3"/>
  <c r="H732" i="3"/>
  <c r="I732" i="3"/>
  <c r="J732" i="3"/>
  <c r="J2356" i="3"/>
  <c r="H2356" i="3"/>
  <c r="I2356" i="3"/>
  <c r="J584" i="3"/>
  <c r="J2634" i="3"/>
  <c r="H2634" i="3"/>
  <c r="I2634" i="3"/>
  <c r="J2152" i="3"/>
  <c r="I2152" i="3"/>
  <c r="H2152" i="3"/>
  <c r="J2643" i="3"/>
  <c r="I2643" i="3"/>
  <c r="H2643" i="3"/>
  <c r="J2717" i="3"/>
  <c r="I2717" i="3"/>
  <c r="H2717" i="3"/>
  <c r="J2631" i="3"/>
  <c r="J580" i="3"/>
  <c r="J2158" i="3"/>
  <c r="I2158" i="3"/>
  <c r="H2158" i="3"/>
  <c r="J2640" i="3"/>
  <c r="I2640" i="3"/>
  <c r="H2640" i="3"/>
  <c r="J2288" i="3"/>
  <c r="H2288" i="3"/>
  <c r="I2288" i="3"/>
  <c r="J2156" i="3"/>
  <c r="I2156" i="3"/>
  <c r="H2156" i="3"/>
  <c r="J2637" i="3"/>
  <c r="I2637" i="3"/>
  <c r="H2637" i="3"/>
  <c r="J586" i="3"/>
  <c r="J2294" i="3"/>
  <c r="H2294" i="3"/>
  <c r="I2294" i="3"/>
  <c r="J2707" i="3"/>
  <c r="I2707" i="3"/>
  <c r="H2707" i="3"/>
  <c r="J2163" i="3"/>
  <c r="I2163" i="3"/>
  <c r="H2163" i="3"/>
  <c r="J2852" i="3"/>
  <c r="I2852" i="3"/>
  <c r="H2852" i="3"/>
  <c r="J2151" i="3"/>
  <c r="J2290" i="3"/>
  <c r="H2290" i="3"/>
  <c r="I2290" i="3"/>
  <c r="J2713" i="3"/>
  <c r="I2713" i="3"/>
  <c r="H2713" i="3"/>
  <c r="J2160" i="3"/>
  <c r="I2160" i="3"/>
  <c r="H2160" i="3"/>
  <c r="H728" i="3"/>
  <c r="I728" i="3"/>
  <c r="J728" i="3"/>
  <c r="J2711" i="3"/>
  <c r="I2711" i="3"/>
  <c r="H2711" i="3"/>
  <c r="J2157" i="3"/>
  <c r="I2157" i="3"/>
  <c r="H2157" i="3"/>
  <c r="J2296" i="3"/>
  <c r="H2296" i="3"/>
  <c r="I2296" i="3"/>
  <c r="H734" i="3"/>
  <c r="I734" i="3"/>
  <c r="J734" i="3"/>
  <c r="J2718" i="3"/>
  <c r="I2718" i="3"/>
  <c r="H2718" i="3"/>
  <c r="J2237" i="3"/>
  <c r="I2237" i="3"/>
  <c r="H2237" i="3"/>
  <c r="J2706" i="3"/>
  <c r="J2848" i="3"/>
  <c r="I2848" i="3"/>
  <c r="H2848" i="3"/>
  <c r="J2715" i="3"/>
  <c r="I2715" i="3"/>
  <c r="H2715" i="3"/>
  <c r="J2633" i="3"/>
  <c r="H2633" i="3"/>
  <c r="I2633" i="3"/>
  <c r="J2846" i="3"/>
  <c r="I2846" i="3"/>
  <c r="H2846" i="3"/>
  <c r="J2712" i="3"/>
  <c r="I2712" i="3"/>
  <c r="H2712" i="3"/>
  <c r="J736" i="3"/>
  <c r="H736" i="3"/>
  <c r="I736" i="3"/>
  <c r="J2639" i="3"/>
  <c r="I2639" i="3"/>
  <c r="H2639" i="3"/>
  <c r="J2154" i="3"/>
  <c r="I2154" i="3"/>
  <c r="H2154" i="3"/>
  <c r="I806" i="3"/>
  <c r="H806" i="3"/>
  <c r="J806" i="3"/>
  <c r="J792" i="3"/>
  <c r="J286" i="3"/>
  <c r="I2412" i="3"/>
  <c r="J2412" i="3"/>
  <c r="H2412" i="3"/>
  <c r="J2541" i="3"/>
  <c r="I2541" i="3"/>
  <c r="H2541" i="3"/>
  <c r="I530" i="3"/>
  <c r="J530" i="3"/>
  <c r="H530" i="3"/>
  <c r="J2047" i="3"/>
  <c r="I2047" i="3"/>
  <c r="H2047" i="3"/>
  <c r="J471" i="3"/>
  <c r="I471" i="3"/>
  <c r="H471" i="3"/>
  <c r="J411" i="3"/>
  <c r="J351" i="3"/>
  <c r="I351" i="3"/>
  <c r="H351" i="3"/>
  <c r="J2556" i="3"/>
  <c r="I2556" i="3"/>
  <c r="H2556" i="3"/>
  <c r="J2301" i="3"/>
  <c r="H2301" i="3"/>
  <c r="I2301" i="3"/>
  <c r="I472" i="3"/>
  <c r="J472" i="3"/>
  <c r="H472" i="3"/>
  <c r="J427" i="3"/>
  <c r="J2677" i="3"/>
  <c r="I2677" i="3"/>
  <c r="H2677" i="3"/>
  <c r="H545" i="3"/>
  <c r="J545" i="3"/>
  <c r="J2317" i="3"/>
  <c r="I2317" i="3"/>
  <c r="H2317" i="3"/>
  <c r="J2062" i="3"/>
  <c r="H2062" i="3"/>
  <c r="I2062" i="3"/>
  <c r="J2661" i="3"/>
  <c r="I2661" i="3"/>
  <c r="H2661" i="3"/>
  <c r="J457" i="3"/>
  <c r="H457" i="3"/>
  <c r="I457" i="3"/>
  <c r="J2165" i="3"/>
  <c r="I2165" i="3"/>
  <c r="H2165" i="3"/>
  <c r="J441" i="3"/>
  <c r="H441" i="3"/>
  <c r="J366" i="3"/>
  <c r="I366" i="3"/>
  <c r="H366" i="3"/>
  <c r="J2406" i="3"/>
  <c r="I2406" i="3"/>
  <c r="H2406" i="3"/>
  <c r="I801" i="3"/>
  <c r="J801" i="3"/>
  <c r="H801" i="3"/>
  <c r="J397" i="3"/>
  <c r="H397" i="3"/>
  <c r="I397" i="3"/>
  <c r="J2647" i="3"/>
  <c r="I2647" i="3"/>
  <c r="H2647" i="3"/>
  <c r="J515" i="3"/>
  <c r="H515" i="3"/>
  <c r="I515" i="3"/>
  <c r="J666" i="3"/>
  <c r="I666" i="3"/>
  <c r="H666" i="3"/>
  <c r="J2077" i="3"/>
  <c r="I2077" i="3"/>
  <c r="H2077" i="3"/>
  <c r="J2662" i="3"/>
  <c r="I2662" i="3"/>
  <c r="H2662" i="3"/>
  <c r="J2180" i="3"/>
  <c r="I2180" i="3"/>
  <c r="H2180" i="3"/>
  <c r="J2060" i="3"/>
  <c r="H2060" i="3"/>
  <c r="I2060" i="3"/>
  <c r="J381" i="3"/>
  <c r="J710" i="3"/>
  <c r="I710" i="3"/>
  <c r="H710" i="3"/>
  <c r="J2316" i="3"/>
  <c r="I2316" i="3"/>
  <c r="H2316" i="3"/>
  <c r="J2166" i="3"/>
  <c r="H2166" i="3"/>
  <c r="I2166" i="3"/>
  <c r="J412" i="3"/>
  <c r="J352" i="3"/>
  <c r="I352" i="3"/>
  <c r="H352" i="3"/>
  <c r="J560" i="3"/>
  <c r="H560" i="3"/>
  <c r="I560" i="3"/>
  <c r="J636" i="3"/>
  <c r="I636" i="3"/>
  <c r="H636" i="3"/>
  <c r="I531" i="3"/>
  <c r="J531" i="3"/>
  <c r="H531" i="3"/>
  <c r="J606" i="3"/>
  <c r="I606" i="3"/>
  <c r="H606" i="3"/>
  <c r="J772" i="3"/>
  <c r="H772" i="3"/>
  <c r="I772" i="3"/>
  <c r="J2195" i="3"/>
  <c r="I2195" i="3"/>
  <c r="H2195" i="3"/>
  <c r="J800" i="3"/>
  <c r="I800" i="3"/>
  <c r="H800" i="3"/>
  <c r="J770" i="3"/>
  <c r="H770" i="3"/>
  <c r="I770" i="3"/>
  <c r="J680" i="3"/>
  <c r="I680" i="3"/>
  <c r="H680" i="3"/>
  <c r="J665" i="3"/>
  <c r="I665" i="3"/>
  <c r="H665" i="3"/>
  <c r="J2181" i="3"/>
  <c r="I2181" i="3"/>
  <c r="H2181" i="3"/>
  <c r="H442" i="3"/>
  <c r="J442" i="3"/>
  <c r="I367" i="3"/>
  <c r="H367" i="3"/>
  <c r="J367" i="3"/>
  <c r="J711" i="3"/>
  <c r="I711" i="3"/>
  <c r="H711" i="3"/>
  <c r="J651" i="3"/>
  <c r="H651" i="3"/>
  <c r="I651" i="3"/>
  <c r="H546" i="3"/>
  <c r="J546" i="3"/>
  <c r="J742" i="3"/>
  <c r="H742" i="3"/>
  <c r="I742" i="3"/>
  <c r="I2075" i="3"/>
  <c r="J2075" i="3"/>
  <c r="H2075" i="3"/>
  <c r="J740" i="3"/>
  <c r="I740" i="3"/>
  <c r="H740" i="3"/>
  <c r="J695" i="3"/>
  <c r="H695" i="3"/>
  <c r="I695" i="3"/>
  <c r="J650" i="3"/>
  <c r="I650" i="3"/>
  <c r="H650" i="3"/>
  <c r="J2196" i="3"/>
  <c r="I2196" i="3"/>
  <c r="H2196" i="3"/>
  <c r="J2061" i="3"/>
  <c r="I2061" i="3"/>
  <c r="H2061" i="3"/>
  <c r="J382" i="3"/>
  <c r="J696" i="3"/>
  <c r="I696" i="3"/>
  <c r="H696" i="3"/>
  <c r="J2675" i="3"/>
  <c r="I2675" i="3"/>
  <c r="H2675" i="3"/>
  <c r="J516" i="3"/>
  <c r="H516" i="3"/>
  <c r="I516" i="3"/>
  <c r="J396" i="3"/>
  <c r="I396" i="3"/>
  <c r="H396" i="3"/>
  <c r="J757" i="3"/>
  <c r="I757" i="3"/>
  <c r="H757" i="3"/>
  <c r="I2045" i="3"/>
  <c r="J2045" i="3"/>
  <c r="H2045" i="3"/>
  <c r="I755" i="3"/>
  <c r="J755" i="3"/>
  <c r="H755" i="3"/>
  <c r="J2540" i="3"/>
  <c r="H2540" i="3"/>
  <c r="I2540" i="3"/>
  <c r="J635" i="3"/>
  <c r="I635" i="3"/>
  <c r="H635" i="3"/>
  <c r="J485" i="3"/>
  <c r="I485" i="3"/>
  <c r="H485" i="3"/>
  <c r="J786" i="3"/>
  <c r="I771" i="3"/>
  <c r="J771" i="3"/>
  <c r="H771" i="3"/>
  <c r="J681" i="3"/>
  <c r="H681" i="3"/>
  <c r="I681" i="3"/>
  <c r="I2660" i="3"/>
  <c r="J2660" i="3"/>
  <c r="H2660" i="3"/>
  <c r="I561" i="3"/>
  <c r="J561" i="3"/>
  <c r="H561" i="3"/>
  <c r="J517" i="3"/>
  <c r="H517" i="3"/>
  <c r="I517" i="3"/>
  <c r="J637" i="3"/>
  <c r="I637" i="3"/>
  <c r="H637" i="3"/>
  <c r="J785" i="3"/>
  <c r="J2555" i="3"/>
  <c r="I2555" i="3"/>
  <c r="H2555" i="3"/>
  <c r="J455" i="3"/>
  <c r="I455" i="3"/>
  <c r="H455" i="3"/>
  <c r="J2076" i="3"/>
  <c r="I2076" i="3"/>
  <c r="H2076" i="3"/>
  <c r="J741" i="3"/>
  <c r="I741" i="3"/>
  <c r="H741" i="3"/>
  <c r="J2527" i="3"/>
  <c r="I2527" i="3"/>
  <c r="H2527" i="3"/>
  <c r="J2645" i="3"/>
  <c r="I2645" i="3"/>
  <c r="H2645" i="3"/>
  <c r="J2300" i="3"/>
  <c r="I2300" i="3"/>
  <c r="H2300" i="3"/>
  <c r="I456" i="3"/>
  <c r="J456" i="3"/>
  <c r="H456" i="3"/>
  <c r="J697" i="3"/>
  <c r="H697" i="3"/>
  <c r="I697" i="3"/>
  <c r="J667" i="3"/>
  <c r="I667" i="3"/>
  <c r="H667" i="3"/>
  <c r="J622" i="3"/>
  <c r="I622" i="3"/>
  <c r="H622" i="3"/>
  <c r="J2525" i="3"/>
  <c r="I2525" i="3"/>
  <c r="H2525" i="3"/>
  <c r="H500" i="3"/>
  <c r="J500" i="3"/>
  <c r="I500" i="3"/>
  <c r="J2046" i="3"/>
  <c r="H2046" i="3"/>
  <c r="I2046" i="3"/>
  <c r="J756" i="3"/>
  <c r="I756" i="3"/>
  <c r="H756" i="3"/>
  <c r="J2542" i="3"/>
  <c r="I2542" i="3"/>
  <c r="H2542" i="3"/>
  <c r="J787" i="3"/>
  <c r="J712" i="3"/>
  <c r="H712" i="3"/>
  <c r="I712" i="3"/>
  <c r="I652" i="3"/>
  <c r="J652" i="3"/>
  <c r="H652" i="3"/>
  <c r="I592" i="3"/>
  <c r="J592" i="3"/>
  <c r="H592" i="3"/>
  <c r="J532" i="3"/>
  <c r="I532" i="3"/>
  <c r="H532" i="3"/>
  <c r="J470" i="3"/>
  <c r="I470" i="3"/>
  <c r="H470" i="3"/>
  <c r="I620" i="3"/>
  <c r="J620" i="3"/>
  <c r="H620" i="3"/>
  <c r="J2557" i="3"/>
  <c r="H2557" i="3"/>
  <c r="I2557" i="3"/>
  <c r="J2197" i="3"/>
  <c r="I2197" i="3"/>
  <c r="H2197" i="3"/>
  <c r="J2315" i="3"/>
  <c r="I2315" i="3"/>
  <c r="H2315" i="3"/>
  <c r="J501" i="3"/>
  <c r="H501" i="3"/>
  <c r="I501" i="3"/>
  <c r="J682" i="3"/>
  <c r="I682" i="3"/>
  <c r="H682" i="3"/>
  <c r="I2676" i="3"/>
  <c r="J2676" i="3"/>
  <c r="H2676" i="3"/>
  <c r="J607" i="3"/>
  <c r="I607" i="3"/>
  <c r="H607" i="3"/>
  <c r="J562" i="3"/>
  <c r="H562" i="3"/>
  <c r="I562" i="3"/>
  <c r="I487" i="3"/>
  <c r="J487" i="3"/>
  <c r="H487" i="3"/>
  <c r="J591" i="3"/>
  <c r="I591" i="3"/>
  <c r="H591" i="3"/>
  <c r="J605" i="3"/>
  <c r="I605" i="3"/>
  <c r="H605" i="3"/>
  <c r="J2407" i="3"/>
  <c r="I2407" i="3"/>
  <c r="H2407" i="3"/>
  <c r="J2167" i="3"/>
  <c r="I2167" i="3"/>
  <c r="H2167" i="3"/>
  <c r="J486" i="3"/>
  <c r="I486" i="3"/>
  <c r="H486" i="3"/>
  <c r="J426" i="3"/>
  <c r="I2646" i="3"/>
  <c r="J2646" i="3"/>
  <c r="H2646" i="3"/>
  <c r="J2526" i="3"/>
  <c r="I2526" i="3"/>
  <c r="H2526" i="3"/>
  <c r="H547" i="3"/>
  <c r="J547" i="3"/>
  <c r="J502" i="3"/>
  <c r="I502" i="3"/>
  <c r="H502" i="3"/>
  <c r="I621" i="3"/>
  <c r="J621" i="3"/>
  <c r="H621" i="3"/>
  <c r="J590" i="3"/>
  <c r="I590" i="3"/>
  <c r="H590" i="3"/>
  <c r="J2302" i="3"/>
  <c r="I2302" i="3"/>
  <c r="H2302" i="3"/>
  <c r="J2182" i="3"/>
  <c r="I2182" i="3"/>
  <c r="H2182" i="3"/>
  <c r="J608" i="3"/>
  <c r="I608" i="3"/>
  <c r="H608" i="3"/>
  <c r="I623" i="3"/>
  <c r="J623" i="3"/>
  <c r="H623" i="3"/>
  <c r="J593" i="3"/>
  <c r="I593" i="3"/>
  <c r="H593" i="3"/>
  <c r="J368" i="3"/>
  <c r="H368" i="3"/>
  <c r="I368" i="3"/>
  <c r="J383" i="3"/>
  <c r="I353" i="3"/>
  <c r="H353" i="3"/>
  <c r="J353" i="3"/>
  <c r="J263" i="3"/>
  <c r="I2408" i="3"/>
  <c r="J2408" i="3"/>
  <c r="H2408" i="3"/>
  <c r="H285" i="3"/>
  <c r="J279" i="3"/>
  <c r="I284" i="3"/>
  <c r="H280" i="3"/>
  <c r="J285" i="3"/>
  <c r="H282" i="3"/>
  <c r="J283" i="3"/>
  <c r="H283" i="3"/>
  <c r="J284" i="3"/>
  <c r="J280" i="3"/>
  <c r="J288" i="3"/>
  <c r="I282" i="3"/>
  <c r="I222" i="3"/>
  <c r="J222" i="3"/>
  <c r="H222" i="3"/>
  <c r="J248" i="3"/>
  <c r="I227" i="3"/>
  <c r="J227" i="3"/>
  <c r="H227" i="3"/>
  <c r="J251" i="3"/>
  <c r="J256" i="3"/>
  <c r="H226" i="3"/>
  <c r="J226" i="3"/>
  <c r="I226" i="3"/>
  <c r="J257" i="3"/>
  <c r="I221" i="3"/>
  <c r="J221" i="3"/>
  <c r="H221" i="3"/>
  <c r="J250" i="3"/>
  <c r="J253" i="3"/>
  <c r="J217" i="3"/>
  <c r="H217" i="3"/>
  <c r="I217" i="3"/>
  <c r="J220" i="3"/>
  <c r="I220" i="3"/>
  <c r="H220" i="3"/>
  <c r="J247" i="3"/>
  <c r="I287" i="3"/>
  <c r="J223" i="3"/>
  <c r="H223" i="3"/>
  <c r="I223" i="3"/>
  <c r="J287" i="3"/>
  <c r="I215" i="3"/>
  <c r="J215" i="3"/>
  <c r="H215" i="3"/>
  <c r="J255" i="3"/>
  <c r="J246" i="3"/>
  <c r="H219" i="3"/>
  <c r="J219" i="3"/>
  <c r="I219" i="3"/>
  <c r="J245" i="3"/>
  <c r="H225" i="3"/>
  <c r="J225" i="3"/>
  <c r="I225" i="3"/>
  <c r="J216" i="3"/>
  <c r="I216" i="3"/>
  <c r="H216" i="3"/>
  <c r="J249" i="3"/>
  <c r="J252" i="3"/>
  <c r="J218" i="3"/>
  <c r="J258" i="3"/>
  <c r="J254" i="3"/>
  <c r="I228" i="3"/>
  <c r="J228" i="3"/>
  <c r="H228" i="3"/>
  <c r="H224" i="3"/>
  <c r="I224" i="3"/>
  <c r="J224" i="3"/>
  <c r="J329" i="3"/>
  <c r="H329" i="3"/>
  <c r="J327" i="3"/>
  <c r="I325" i="3"/>
  <c r="H325" i="3"/>
  <c r="J333" i="3"/>
  <c r="J323" i="3"/>
  <c r="J330" i="3"/>
  <c r="I327" i="3"/>
  <c r="H328" i="3"/>
  <c r="I332" i="3"/>
  <c r="H332" i="3"/>
  <c r="J326" i="3"/>
  <c r="I331" i="3"/>
  <c r="I330" i="3"/>
  <c r="H302" i="3"/>
  <c r="I302" i="3"/>
  <c r="J302" i="3"/>
  <c r="H298" i="3"/>
  <c r="I298" i="3"/>
  <c r="J298" i="3"/>
  <c r="J294" i="3"/>
  <c r="J290" i="3"/>
  <c r="J303" i="3"/>
  <c r="H331" i="3"/>
  <c r="J295" i="3"/>
  <c r="H295" i="3"/>
  <c r="I295" i="3"/>
  <c r="H299" i="3"/>
  <c r="J299" i="3"/>
  <c r="I299" i="3"/>
  <c r="J324" i="3"/>
  <c r="J328" i="3"/>
  <c r="J291" i="3"/>
  <c r="J292" i="3"/>
  <c r="H300" i="3"/>
  <c r="I300" i="3"/>
  <c r="J300" i="3"/>
  <c r="J296" i="3"/>
  <c r="J297" i="3"/>
  <c r="H297" i="3"/>
  <c r="I297" i="3"/>
  <c r="J293" i="3"/>
  <c r="H301" i="3"/>
  <c r="J301" i="3"/>
  <c r="I301" i="3"/>
  <c r="I186" i="3"/>
  <c r="H186" i="3"/>
  <c r="J185" i="3"/>
  <c r="H187" i="3"/>
  <c r="I187" i="3"/>
  <c r="J180" i="3"/>
  <c r="J815" i="3"/>
  <c r="J182" i="3"/>
  <c r="H827" i="3"/>
  <c r="J827" i="3"/>
  <c r="I827" i="3"/>
  <c r="J179" i="3"/>
  <c r="J181" i="3"/>
  <c r="J183" i="3"/>
  <c r="J819" i="3"/>
  <c r="J826" i="3"/>
  <c r="H826" i="3"/>
  <c r="I826" i="3"/>
  <c r="H820" i="3"/>
  <c r="J820" i="3"/>
  <c r="I820" i="3"/>
  <c r="J172" i="3"/>
  <c r="J175" i="3"/>
  <c r="J816" i="3"/>
  <c r="H824" i="3"/>
  <c r="J824" i="3"/>
  <c r="I824" i="3"/>
  <c r="J171" i="3"/>
  <c r="J818" i="3"/>
  <c r="J170" i="3"/>
  <c r="H823" i="3"/>
  <c r="J823" i="3"/>
  <c r="I823" i="3"/>
  <c r="J178" i="3"/>
  <c r="J817" i="3"/>
  <c r="H185" i="3"/>
  <c r="J822" i="3"/>
  <c r="H822" i="3"/>
  <c r="I822" i="3"/>
  <c r="J173" i="3"/>
  <c r="J821" i="3"/>
  <c r="J174" i="3"/>
  <c r="J828" i="3"/>
  <c r="J177" i="3"/>
  <c r="H825" i="3"/>
  <c r="I825" i="3"/>
  <c r="J825" i="3"/>
  <c r="J176" i="3"/>
  <c r="J210" i="3"/>
  <c r="H210" i="3"/>
  <c r="J198" i="3"/>
  <c r="H198" i="3"/>
  <c r="I198" i="3"/>
  <c r="J192" i="3"/>
  <c r="H192" i="3"/>
  <c r="I192" i="3"/>
  <c r="I209" i="3"/>
  <c r="I188" i="3"/>
  <c r="J188" i="3"/>
  <c r="H188" i="3"/>
  <c r="J189" i="3"/>
  <c r="I189" i="3"/>
  <c r="H189" i="3"/>
  <c r="J193" i="3"/>
  <c r="I193" i="3"/>
  <c r="H193" i="3"/>
  <c r="J196" i="3"/>
  <c r="I196" i="3"/>
  <c r="H196" i="3"/>
  <c r="J197" i="3"/>
  <c r="H197" i="3"/>
  <c r="I197" i="3"/>
  <c r="J190" i="3"/>
  <c r="H190" i="3"/>
  <c r="I190" i="3"/>
  <c r="J195" i="3"/>
  <c r="I195" i="3"/>
  <c r="H195" i="3"/>
  <c r="J209" i="3"/>
  <c r="J191" i="3"/>
  <c r="I191" i="3"/>
  <c r="H191" i="3"/>
  <c r="I194" i="3"/>
  <c r="J194" i="3"/>
  <c r="H194" i="3"/>
  <c r="F151" i="3"/>
  <c r="G151" i="3"/>
  <c r="F150" i="3"/>
  <c r="G150" i="3"/>
  <c r="H278" i="3"/>
  <c r="I323" i="3"/>
  <c r="I818" i="3"/>
  <c r="I278" i="3"/>
  <c r="H818" i="3"/>
  <c r="H293" i="3"/>
  <c r="I293" i="3"/>
  <c r="I288" i="3"/>
  <c r="H828" i="3"/>
  <c r="I333" i="3"/>
  <c r="I303" i="3"/>
  <c r="I828" i="3"/>
  <c r="H303" i="3"/>
  <c r="H819" i="3"/>
  <c r="I819" i="3"/>
  <c r="H294" i="3"/>
  <c r="I294" i="3"/>
  <c r="H279" i="3"/>
  <c r="I324" i="3"/>
  <c r="I296" i="3"/>
  <c r="H326" i="3"/>
  <c r="I821" i="3"/>
  <c r="H821" i="3"/>
  <c r="H296" i="3"/>
  <c r="H281" i="3"/>
  <c r="I382" i="3"/>
  <c r="I381" i="3"/>
  <c r="H382" i="3"/>
  <c r="H381" i="3"/>
  <c r="I383" i="3"/>
  <c r="H383" i="3"/>
  <c r="I255" i="3"/>
  <c r="H251" i="3"/>
  <c r="H255" i="3"/>
  <c r="H249" i="3"/>
  <c r="I251" i="3"/>
  <c r="H248" i="3"/>
  <c r="H256" i="3"/>
  <c r="I250" i="3"/>
  <c r="H252" i="3"/>
  <c r="H250" i="3"/>
  <c r="I256" i="3"/>
  <c r="I252" i="3"/>
  <c r="I253" i="3"/>
  <c r="I258" i="3"/>
  <c r="H253" i="3"/>
  <c r="I257" i="3"/>
  <c r="I248" i="3"/>
  <c r="H257" i="3"/>
  <c r="I254" i="3"/>
  <c r="H258" i="3"/>
  <c r="H254" i="3"/>
  <c r="I249" i="3"/>
  <c r="H182" i="3"/>
  <c r="H172" i="3"/>
  <c r="I173" i="3"/>
  <c r="H180" i="3"/>
  <c r="I174" i="3"/>
  <c r="I178" i="3"/>
  <c r="H176" i="3"/>
  <c r="I182" i="3"/>
  <c r="H181" i="3"/>
  <c r="H171" i="3"/>
  <c r="I172" i="3"/>
  <c r="I180" i="3"/>
  <c r="I170" i="3"/>
  <c r="I183" i="3"/>
  <c r="H170" i="3"/>
  <c r="I175" i="3"/>
  <c r="H175" i="3"/>
  <c r="I171" i="3"/>
  <c r="H173" i="3"/>
  <c r="I176" i="3"/>
  <c r="I177" i="3"/>
  <c r="H174" i="3"/>
  <c r="I181" i="3"/>
  <c r="H177" i="3"/>
  <c r="H183" i="3"/>
  <c r="H179" i="3"/>
  <c r="I179" i="3"/>
  <c r="H178" i="3"/>
  <c r="H2286" i="3"/>
  <c r="I2706" i="3"/>
  <c r="I726" i="3"/>
  <c r="I2151" i="3"/>
  <c r="H2841" i="3"/>
  <c r="H2151" i="3"/>
  <c r="I2346" i="3"/>
  <c r="I2841" i="3"/>
  <c r="I2286" i="3"/>
  <c r="H2346" i="3"/>
  <c r="H2631" i="3"/>
  <c r="I2226" i="3"/>
  <c r="H2226" i="3"/>
  <c r="H726" i="3"/>
  <c r="I2631" i="3"/>
  <c r="H2706" i="3"/>
  <c r="D151" i="3" l="1"/>
  <c r="I151" i="3" s="1"/>
  <c r="D147" i="3"/>
  <c r="J2411" i="3"/>
  <c r="H2411" i="3"/>
  <c r="D150" i="3"/>
  <c r="I150" i="3" s="1"/>
  <c r="J151" i="3" l="1"/>
  <c r="H151" i="3"/>
  <c r="J150" i="3"/>
  <c r="H150" i="3"/>
  <c r="F149" i="3" l="1"/>
  <c r="G149" i="3"/>
  <c r="F6" i="18"/>
  <c r="G148" i="3"/>
  <c r="F148" i="3"/>
  <c r="B9" i="7"/>
  <c r="C7" i="83" s="1"/>
  <c r="G319" i="3"/>
  <c r="F319" i="3"/>
  <c r="G289" i="3"/>
  <c r="F289" i="3"/>
  <c r="G274" i="3"/>
  <c r="F274" i="3"/>
  <c r="G814" i="3"/>
  <c r="F814" i="3"/>
  <c r="B41" i="7"/>
  <c r="B42" i="7"/>
  <c r="A45" i="7"/>
  <c r="A44" i="7"/>
  <c r="A64" i="4"/>
  <c r="D2554" i="3" a="1"/>
  <c r="D2689" i="3" a="1"/>
  <c r="D2659" i="3" a="1"/>
  <c r="D2539" i="3" a="1"/>
  <c r="D2674" i="3" a="1"/>
  <c r="D2629" i="3" a="1"/>
  <c r="D2644" i="3" a="1"/>
  <c r="D2569" i="3" a="1"/>
  <c r="B8" i="18"/>
  <c r="D2524" i="3" a="1"/>
  <c r="D2569" i="3" l="1"/>
  <c r="D2524" i="3"/>
  <c r="D2539" i="3"/>
  <c r="D2554" i="3"/>
  <c r="D2689" i="3"/>
  <c r="D2674" i="3"/>
  <c r="D2629" i="3"/>
  <c r="D2659" i="3"/>
  <c r="D2644" i="3"/>
  <c r="D154" i="3"/>
  <c r="H784" i="3"/>
  <c r="D229" i="3"/>
  <c r="D214" i="3"/>
  <c r="J214" i="3" s="1"/>
  <c r="I814" i="3"/>
  <c r="I244" i="3"/>
  <c r="C16" i="83"/>
  <c r="C15" i="83"/>
  <c r="C17" i="83"/>
  <c r="C5" i="83"/>
  <c r="A36" i="1" s="1"/>
  <c r="C57" i="83"/>
  <c r="C55" i="83"/>
  <c r="B23" i="76" s="1"/>
  <c r="J169" i="3"/>
  <c r="D184" i="3"/>
  <c r="D148" i="3"/>
  <c r="J148" i="3" s="1"/>
  <c r="D149" i="3"/>
  <c r="H149" i="3" s="1"/>
  <c r="I724" i="3"/>
  <c r="I649" i="3"/>
  <c r="H154" i="3"/>
  <c r="D23" i="76" l="1"/>
  <c r="B25" i="76"/>
  <c r="B6" i="11"/>
  <c r="C6" i="11"/>
  <c r="AP6" i="11"/>
  <c r="I6" i="11"/>
  <c r="AN6" i="11"/>
  <c r="AT6" i="11"/>
  <c r="F6" i="11"/>
  <c r="F14" i="11" s="1" a="1"/>
  <c r="S6" i="11"/>
  <c r="Q6" i="11"/>
  <c r="U6" i="11"/>
  <c r="AK6" i="11"/>
  <c r="T6" i="11"/>
  <c r="AG6" i="11"/>
  <c r="AL6" i="11"/>
  <c r="N6" i="11"/>
  <c r="O6" i="11"/>
  <c r="AI6" i="11"/>
  <c r="Y6" i="11"/>
  <c r="D6" i="11"/>
  <c r="AE6" i="11"/>
  <c r="AS6" i="11"/>
  <c r="R6" i="11"/>
  <c r="G6" i="11"/>
  <c r="G14" i="11" s="1" a="1"/>
  <c r="P6" i="11"/>
  <c r="AC6" i="11"/>
  <c r="J6" i="11"/>
  <c r="X6" i="11"/>
  <c r="V6" i="11"/>
  <c r="K6" i="11"/>
  <c r="AF6" i="11"/>
  <c r="M6" i="11"/>
  <c r="H6" i="11"/>
  <c r="AH6" i="11"/>
  <c r="AR6" i="11"/>
  <c r="Z6" i="11"/>
  <c r="AA6" i="11"/>
  <c r="L6" i="11"/>
  <c r="AO6" i="11"/>
  <c r="W6" i="11"/>
  <c r="AD6" i="11"/>
  <c r="AB6" i="11"/>
  <c r="E6" i="11"/>
  <c r="AQ6" i="11"/>
  <c r="AJ6" i="11"/>
  <c r="AM6" i="11"/>
  <c r="J2569" i="3"/>
  <c r="H2569" i="3"/>
  <c r="I2569" i="3"/>
  <c r="J2629" i="3"/>
  <c r="J2689" i="3"/>
  <c r="I2689" i="3"/>
  <c r="H2689" i="3"/>
  <c r="I784" i="3"/>
  <c r="J154" i="3"/>
  <c r="J724" i="3"/>
  <c r="J2659" i="3"/>
  <c r="I2659" i="3"/>
  <c r="H2659" i="3"/>
  <c r="J709" i="3"/>
  <c r="H709" i="3"/>
  <c r="I709" i="3"/>
  <c r="J679" i="3"/>
  <c r="H679" i="3"/>
  <c r="I679" i="3"/>
  <c r="J694" i="3"/>
  <c r="I694" i="3"/>
  <c r="H694" i="3"/>
  <c r="J2539" i="3"/>
  <c r="I2539" i="3"/>
  <c r="H2539" i="3"/>
  <c r="J2554" i="3"/>
  <c r="I2554" i="3"/>
  <c r="H2554" i="3"/>
  <c r="J2524" i="3"/>
  <c r="I2524" i="3"/>
  <c r="H2524" i="3"/>
  <c r="I2674" i="3"/>
  <c r="J2674" i="3"/>
  <c r="H2674" i="3"/>
  <c r="I2644" i="3"/>
  <c r="J2644" i="3"/>
  <c r="H2644" i="3"/>
  <c r="J2314" i="3"/>
  <c r="I2314" i="3"/>
  <c r="H2314" i="3"/>
  <c r="J2299" i="3"/>
  <c r="I2299" i="3"/>
  <c r="H2299" i="3"/>
  <c r="J799" i="3"/>
  <c r="J754" i="3"/>
  <c r="I754" i="3"/>
  <c r="H754" i="3"/>
  <c r="I769" i="3"/>
  <c r="J769" i="3"/>
  <c r="H769" i="3"/>
  <c r="J784" i="3"/>
  <c r="I739" i="3"/>
  <c r="J739" i="3"/>
  <c r="H739" i="3"/>
  <c r="J649" i="3"/>
  <c r="J664" i="3"/>
  <c r="I664" i="3"/>
  <c r="H664" i="3"/>
  <c r="I634" i="3"/>
  <c r="J634" i="3"/>
  <c r="H634" i="3"/>
  <c r="J229" i="3"/>
  <c r="J184" i="3"/>
  <c r="J274" i="3"/>
  <c r="J289" i="3"/>
  <c r="J319" i="3"/>
  <c r="J149" i="3"/>
  <c r="J814" i="3"/>
  <c r="I184" i="3"/>
  <c r="H184" i="3"/>
  <c r="H319" i="3"/>
  <c r="I319" i="3"/>
  <c r="I274" i="3"/>
  <c r="H274" i="3"/>
  <c r="I289" i="3"/>
  <c r="H289" i="3"/>
  <c r="H229" i="3"/>
  <c r="I229" i="3"/>
  <c r="I149" i="3"/>
  <c r="H169" i="3"/>
  <c r="I169" i="3"/>
  <c r="H814" i="3"/>
  <c r="I214" i="3"/>
  <c r="H214" i="3"/>
  <c r="H148" i="3"/>
  <c r="I148" i="3"/>
  <c r="H2629" i="3"/>
  <c r="H724" i="3"/>
  <c r="I2629" i="3"/>
  <c r="H649" i="3"/>
  <c r="I2404" i="3"/>
  <c r="I799" i="3"/>
  <c r="H799" i="3"/>
  <c r="B11" i="11" a="1"/>
  <c r="B15" i="11" a="1"/>
  <c r="C15" i="11" a="1"/>
  <c r="C8" i="11" a="1"/>
  <c r="C14" i="11" a="1"/>
  <c r="B10" i="11" a="1"/>
  <c r="C12" i="11" a="1"/>
  <c r="C17" i="11" a="1"/>
  <c r="B13" i="11" a="1"/>
  <c r="E25" i="11" a="1"/>
  <c r="B8" i="11" a="1"/>
  <c r="C23" i="11" a="1"/>
  <c r="B9" i="11" a="1"/>
  <c r="B22" i="11" a="1"/>
  <c r="B12" i="11" a="1"/>
  <c r="B21" i="11" a="1"/>
  <c r="I154" i="3"/>
  <c r="B14" i="11" a="1"/>
  <c r="B7" i="11" a="1"/>
  <c r="C13" i="11" a="1"/>
  <c r="C20" i="11" a="1"/>
  <c r="B20" i="11" a="1"/>
  <c r="E25" i="11" l="1"/>
  <c r="B26" i="76"/>
  <c r="D26" i="76" s="1"/>
  <c r="D25" i="76"/>
  <c r="G14" i="11"/>
  <c r="F14" i="11"/>
  <c r="C12" i="11"/>
  <c r="C15" i="11"/>
  <c r="C20" i="11"/>
  <c r="C14" i="11"/>
  <c r="C23" i="11"/>
  <c r="C17" i="11"/>
  <c r="C13" i="11"/>
  <c r="C8" i="11"/>
  <c r="B22" i="11"/>
  <c r="B15" i="11"/>
  <c r="B11" i="11"/>
  <c r="B9" i="11"/>
  <c r="B20" i="11"/>
  <c r="B21" i="11"/>
  <c r="B14" i="11"/>
  <c r="B7" i="11"/>
  <c r="B10" i="11"/>
  <c r="B12" i="11"/>
  <c r="B13" i="11"/>
  <c r="B8" i="11"/>
  <c r="T21" i="11" a="1"/>
  <c r="T21" i="11" s="1"/>
  <c r="T10" i="11" a="1"/>
  <c r="T10" i="11" s="1"/>
  <c r="T11" i="11" a="1"/>
  <c r="T11" i="11" s="1"/>
  <c r="T9" i="11" a="1"/>
  <c r="T9" i="11" s="1"/>
  <c r="T22" i="11" a="1"/>
  <c r="T22" i="11" s="1"/>
  <c r="T24" i="11" a="1"/>
  <c r="T24" i="11" s="1"/>
  <c r="Z20" i="11" a="1"/>
  <c r="Z20" i="11" s="1"/>
  <c r="Z24" i="11" a="1"/>
  <c r="Z24" i="11" s="1"/>
  <c r="Z17" i="11" a="1"/>
  <c r="Z17" i="11" s="1"/>
  <c r="Z14" i="11" a="1"/>
  <c r="Z14" i="11" s="1"/>
  <c r="Z10" i="11" a="1"/>
  <c r="Z10" i="11" s="1"/>
  <c r="Z12" i="11" a="1"/>
  <c r="Z12" i="11" s="1"/>
  <c r="Z8" i="11" a="1"/>
  <c r="Z8" i="11" s="1"/>
  <c r="Z22" i="11" a="1"/>
  <c r="Z22" i="11" s="1"/>
  <c r="Z21" i="11" a="1"/>
  <c r="Z21" i="11" s="1"/>
  <c r="Z11" i="11" a="1"/>
  <c r="Z11" i="11" s="1"/>
  <c r="Z16" i="11" a="1"/>
  <c r="Z16" i="11" s="1"/>
  <c r="Z25" i="11" a="1"/>
  <c r="Z25" i="11" s="1"/>
  <c r="Z19" i="11" a="1"/>
  <c r="Z19" i="11" s="1"/>
  <c r="Z9" i="11" a="1"/>
  <c r="Z9" i="11" s="1"/>
  <c r="Z18" i="11" a="1"/>
  <c r="Z18" i="11" s="1"/>
  <c r="Z13" i="11" a="1"/>
  <c r="Z13" i="11" s="1"/>
  <c r="Z23" i="11" a="1"/>
  <c r="Z23" i="11" s="1"/>
  <c r="Z15" i="11" a="1"/>
  <c r="Z15" i="11" s="1"/>
  <c r="Z7" i="11" a="1"/>
  <c r="Z7" i="11" s="1"/>
  <c r="AK17" i="11" a="1"/>
  <c r="AK17" i="11" s="1"/>
  <c r="AK19" i="11" a="1"/>
  <c r="AK19" i="11" s="1"/>
  <c r="AK12" i="11" a="1"/>
  <c r="AK12" i="11" s="1"/>
  <c r="AK10" i="11" a="1"/>
  <c r="AK10" i="11" s="1"/>
  <c r="AK21" i="11" a="1"/>
  <c r="AK21" i="11" s="1"/>
  <c r="AK11" i="11" a="1"/>
  <c r="AK11" i="11" s="1"/>
  <c r="AK24" i="11" a="1"/>
  <c r="AK24" i="11" s="1"/>
  <c r="AK25" i="11" a="1"/>
  <c r="AK25" i="11" s="1"/>
  <c r="AK7" i="11" a="1"/>
  <c r="AK7" i="11" s="1"/>
  <c r="AK8" i="11" a="1"/>
  <c r="AK8" i="11" s="1"/>
  <c r="AK14" i="11" a="1"/>
  <c r="AK14" i="11" s="1"/>
  <c r="AK23" i="11" a="1"/>
  <c r="AK23" i="11" s="1"/>
  <c r="AK20" i="11" a="1"/>
  <c r="AK20" i="11" s="1"/>
  <c r="AK18" i="11" a="1"/>
  <c r="AK18" i="11" s="1"/>
  <c r="AK22" i="11" a="1"/>
  <c r="AK22" i="11" s="1"/>
  <c r="AK13" i="11" a="1"/>
  <c r="AK13" i="11" s="1"/>
  <c r="AK15" i="11" a="1"/>
  <c r="AK15" i="11" s="1"/>
  <c r="AK16" i="11" a="1"/>
  <c r="AK16" i="11" s="1"/>
  <c r="AK9" i="11" a="1"/>
  <c r="AK9" i="11" s="1"/>
  <c r="AR25" i="11" a="1"/>
  <c r="AR25" i="11" s="1"/>
  <c r="AR14" i="11" a="1"/>
  <c r="AR14" i="11" s="1"/>
  <c r="AR11" i="11" a="1"/>
  <c r="AR11" i="11" s="1"/>
  <c r="AR15" i="11" a="1"/>
  <c r="AR15" i="11" s="1"/>
  <c r="AR9" i="11" a="1"/>
  <c r="AR9" i="11" s="1"/>
  <c r="AR12" i="11" a="1"/>
  <c r="AR12" i="11" s="1"/>
  <c r="AR21" i="11" a="1"/>
  <c r="AR21" i="11" s="1"/>
  <c r="AR23" i="11" a="1"/>
  <c r="AR23" i="11" s="1"/>
  <c r="AR22" i="11" a="1"/>
  <c r="AR22" i="11" s="1"/>
  <c r="AR17" i="11" a="1"/>
  <c r="AR17" i="11" s="1"/>
  <c r="AR7" i="11" a="1"/>
  <c r="AR7" i="11" s="1"/>
  <c r="AR24" i="11" a="1"/>
  <c r="AR24" i="11" s="1"/>
  <c r="AR19" i="11" a="1"/>
  <c r="AR19" i="11" s="1"/>
  <c r="AR8" i="11" a="1"/>
  <c r="AR8" i="11" s="1"/>
  <c r="AR20" i="11" a="1"/>
  <c r="AR20" i="11" s="1"/>
  <c r="AR13" i="11" a="1"/>
  <c r="AR13" i="11" s="1"/>
  <c r="AR16" i="11" a="1"/>
  <c r="AR16" i="11" s="1"/>
  <c r="AR18" i="11" a="1"/>
  <c r="AR18" i="11" s="1"/>
  <c r="AR10" i="11" a="1"/>
  <c r="AR10" i="11" s="1"/>
  <c r="R11" i="11" a="1"/>
  <c r="R11" i="11" s="1"/>
  <c r="R9" i="11" a="1"/>
  <c r="R9" i="11" s="1"/>
  <c r="R24" i="11" a="1"/>
  <c r="R24" i="11" s="1"/>
  <c r="R21" i="11" a="1"/>
  <c r="R21" i="11" s="1"/>
  <c r="R10" i="11" a="1"/>
  <c r="R10" i="11" s="1"/>
  <c r="R22" i="11" a="1"/>
  <c r="R22" i="11" s="1"/>
  <c r="U11" i="11" a="1"/>
  <c r="U11" i="11" s="1"/>
  <c r="U22" i="11" a="1"/>
  <c r="U22" i="11" s="1"/>
  <c r="U10" i="11" a="1"/>
  <c r="U10" i="11" s="1"/>
  <c r="U9" i="11" a="1"/>
  <c r="U9" i="11" s="1"/>
  <c r="U21" i="11" a="1"/>
  <c r="U21" i="11" s="1"/>
  <c r="U24" i="11" a="1"/>
  <c r="U24" i="11" s="1"/>
  <c r="AM25" i="11" a="1"/>
  <c r="AM25" i="11" s="1"/>
  <c r="AM7" i="11" a="1"/>
  <c r="AM7" i="11" s="1"/>
  <c r="AM8" i="11" a="1"/>
  <c r="AM8" i="11" s="1"/>
  <c r="AM19" i="11" a="1"/>
  <c r="AM19" i="11" s="1"/>
  <c r="AM22" i="11" a="1"/>
  <c r="AM22" i="11" s="1"/>
  <c r="AM20" i="11" a="1"/>
  <c r="AM20" i="11" s="1"/>
  <c r="AM10" i="11" a="1"/>
  <c r="AM10" i="11" s="1"/>
  <c r="AM23" i="11" a="1"/>
  <c r="AM23" i="11" s="1"/>
  <c r="AM24" i="11" a="1"/>
  <c r="AM24" i="11" s="1"/>
  <c r="AM18" i="11" a="1"/>
  <c r="AM18" i="11" s="1"/>
  <c r="AM21" i="11" a="1"/>
  <c r="AM21" i="11" s="1"/>
  <c r="AM11" i="11" a="1"/>
  <c r="AM11" i="11" s="1"/>
  <c r="AM12" i="11" a="1"/>
  <c r="AM12" i="11" s="1"/>
  <c r="AM17" i="11" a="1"/>
  <c r="AM17" i="11" s="1"/>
  <c r="AM15" i="11" a="1"/>
  <c r="AM15" i="11" s="1"/>
  <c r="AM16" i="11" a="1"/>
  <c r="AM16" i="11" s="1"/>
  <c r="AM9" i="11" a="1"/>
  <c r="AM9" i="11" s="1"/>
  <c r="AM13" i="11" a="1"/>
  <c r="AM13" i="11" s="1"/>
  <c r="AM14" i="11" a="1"/>
  <c r="AM14" i="11" s="1"/>
  <c r="AH25" i="11" a="1"/>
  <c r="AH25" i="11" s="1"/>
  <c r="AH13" i="11" a="1"/>
  <c r="AH13" i="11" s="1"/>
  <c r="AH18" i="11" a="1"/>
  <c r="AH18" i="11" s="1"/>
  <c r="AH14" i="11" a="1"/>
  <c r="AH14" i="11" s="1"/>
  <c r="AH9" i="11" a="1"/>
  <c r="AH9" i="11" s="1"/>
  <c r="AH10" i="11" a="1"/>
  <c r="AH10" i="11" s="1"/>
  <c r="AH7" i="11" a="1"/>
  <c r="AH7" i="11" s="1"/>
  <c r="AH11" i="11" a="1"/>
  <c r="AH11" i="11" s="1"/>
  <c r="AH8" i="11" a="1"/>
  <c r="AH8" i="11" s="1"/>
  <c r="AH20" i="11" a="1"/>
  <c r="AH20" i="11" s="1"/>
  <c r="AH21" i="11" a="1"/>
  <c r="AH21" i="11" s="1"/>
  <c r="AH23" i="11" a="1"/>
  <c r="AH23" i="11" s="1"/>
  <c r="AH17" i="11" a="1"/>
  <c r="AH17" i="11" s="1"/>
  <c r="AH22" i="11" a="1"/>
  <c r="AH22" i="11" s="1"/>
  <c r="AH12" i="11" a="1"/>
  <c r="AH12" i="11" s="1"/>
  <c r="AH24" i="11" a="1"/>
  <c r="AH24" i="11" s="1"/>
  <c r="AH15" i="11" a="1"/>
  <c r="AH15" i="11" s="1"/>
  <c r="AH19" i="11" a="1"/>
  <c r="AH19" i="11" s="1"/>
  <c r="AH16" i="11" a="1"/>
  <c r="AH16" i="11" s="1"/>
  <c r="AS7" i="11" a="1"/>
  <c r="AS7" i="11" s="1"/>
  <c r="AS10" i="11" a="1"/>
  <c r="AS10" i="11" s="1"/>
  <c r="AS19" i="11" a="1"/>
  <c r="AS19" i="11" s="1"/>
  <c r="AS23" i="11" a="1"/>
  <c r="AS23" i="11" s="1"/>
  <c r="AS11" i="11" a="1"/>
  <c r="AS11" i="11" s="1"/>
  <c r="AS8" i="11" a="1"/>
  <c r="AS8" i="11" s="1"/>
  <c r="AS17" i="11" a="1"/>
  <c r="AS17" i="11" s="1"/>
  <c r="AS14" i="11" a="1"/>
  <c r="AS14" i="11" s="1"/>
  <c r="AS25" i="11" a="1"/>
  <c r="AS25" i="11" s="1"/>
  <c r="AS24" i="11" a="1"/>
  <c r="AS24" i="11" s="1"/>
  <c r="AS9" i="11" a="1"/>
  <c r="AS9" i="11" s="1"/>
  <c r="AS12" i="11" a="1"/>
  <c r="AS12" i="11" s="1"/>
  <c r="AS16" i="11" a="1"/>
  <c r="AS16" i="11" s="1"/>
  <c r="AS15" i="11" a="1"/>
  <c r="AS15" i="11" s="1"/>
  <c r="AS21" i="11" a="1"/>
  <c r="AS21" i="11" s="1"/>
  <c r="AS20" i="11" a="1"/>
  <c r="AS20" i="11" s="1"/>
  <c r="AS13" i="11" a="1"/>
  <c r="AS13" i="11" s="1"/>
  <c r="AS18" i="11" a="1"/>
  <c r="AS18" i="11" s="1"/>
  <c r="AS22" i="11" a="1"/>
  <c r="AS22" i="11" s="1"/>
  <c r="Q11" i="11" a="1"/>
  <c r="Q11" i="11" s="1"/>
  <c r="Q21" i="11" a="1"/>
  <c r="Q21" i="11" s="1"/>
  <c r="Q10" i="11" a="1"/>
  <c r="Q10" i="11" s="1"/>
  <c r="Q22" i="11" a="1"/>
  <c r="Q22" i="11" s="1"/>
  <c r="Q9" i="11" a="1"/>
  <c r="Q9" i="11" s="1"/>
  <c r="Q24" i="11" a="1"/>
  <c r="Q24" i="11" s="1"/>
  <c r="AJ16" i="11" a="1"/>
  <c r="AJ16" i="11" s="1"/>
  <c r="AJ15" i="11" a="1"/>
  <c r="AJ15" i="11" s="1"/>
  <c r="AJ10" i="11" a="1"/>
  <c r="AJ10" i="11" s="1"/>
  <c r="AJ13" i="11" a="1"/>
  <c r="AJ13" i="11" s="1"/>
  <c r="AJ19" i="11" a="1"/>
  <c r="AJ19" i="11" s="1"/>
  <c r="AJ7" i="11" a="1"/>
  <c r="AJ7" i="11" s="1"/>
  <c r="AJ9" i="11" a="1"/>
  <c r="AJ9" i="11" s="1"/>
  <c r="AJ8" i="11" a="1"/>
  <c r="AJ8" i="11" s="1"/>
  <c r="AJ21" i="11" a="1"/>
  <c r="AJ21" i="11" s="1"/>
  <c r="AJ20" i="11" a="1"/>
  <c r="AJ20" i="11" s="1"/>
  <c r="AJ17" i="11" a="1"/>
  <c r="AJ17" i="11" s="1"/>
  <c r="AJ24" i="11" a="1"/>
  <c r="AJ24" i="11" s="1"/>
  <c r="AJ18" i="11" a="1"/>
  <c r="AJ18" i="11" s="1"/>
  <c r="AJ25" i="11" a="1"/>
  <c r="AJ25" i="11" s="1"/>
  <c r="AJ14" i="11" a="1"/>
  <c r="AJ14" i="11" s="1"/>
  <c r="AJ23" i="11" a="1"/>
  <c r="AJ23" i="11" s="1"/>
  <c r="AJ22" i="11" a="1"/>
  <c r="AJ22" i="11" s="1"/>
  <c r="AJ12" i="11" a="1"/>
  <c r="AJ12" i="11" s="1"/>
  <c r="AJ11" i="11" a="1"/>
  <c r="AJ11" i="11" s="1"/>
  <c r="AE23" i="11" a="1"/>
  <c r="AE23" i="11" s="1"/>
  <c r="AE19" i="11" a="1"/>
  <c r="AE19" i="11" s="1"/>
  <c r="AE13" i="11" a="1"/>
  <c r="AE13" i="11" s="1"/>
  <c r="AE14" i="11" a="1"/>
  <c r="AE14" i="11" s="1"/>
  <c r="AE18" i="11" a="1"/>
  <c r="AE18" i="11" s="1"/>
  <c r="AE21" i="11" a="1"/>
  <c r="AE21" i="11" s="1"/>
  <c r="AE10" i="11" a="1"/>
  <c r="AE10" i="11" s="1"/>
  <c r="AE12" i="11" a="1"/>
  <c r="AE12" i="11" s="1"/>
  <c r="AE24" i="11" a="1"/>
  <c r="AE24" i="11" s="1"/>
  <c r="AE7" i="11" a="1"/>
  <c r="AE7" i="11" s="1"/>
  <c r="AE17" i="11" a="1"/>
  <c r="AE17" i="11" s="1"/>
  <c r="AE25" i="11" a="1"/>
  <c r="AE25" i="11" s="1"/>
  <c r="AE8" i="11" a="1"/>
  <c r="AE8" i="11" s="1"/>
  <c r="AE16" i="11" a="1"/>
  <c r="AE16" i="11" s="1"/>
  <c r="AE20" i="11" a="1"/>
  <c r="AE20" i="11" s="1"/>
  <c r="AE22" i="11" a="1"/>
  <c r="AE22" i="11" s="1"/>
  <c r="AE9" i="11" a="1"/>
  <c r="AE9" i="11" s="1"/>
  <c r="AE15" i="11" a="1"/>
  <c r="AE15" i="11" s="1"/>
  <c r="AE11" i="11" a="1"/>
  <c r="AE11" i="11" s="1"/>
  <c r="S9" i="11" a="1"/>
  <c r="S9" i="11" s="1"/>
  <c r="S24" i="11" a="1"/>
  <c r="S24" i="11" s="1"/>
  <c r="S11" i="11" a="1"/>
  <c r="S11" i="11" s="1"/>
  <c r="S10" i="11" a="1"/>
  <c r="S10" i="11" s="1"/>
  <c r="S22" i="11" a="1"/>
  <c r="S22" i="11" s="1"/>
  <c r="S21" i="11" a="1"/>
  <c r="S21" i="11" s="1"/>
  <c r="AQ12" i="11" a="1"/>
  <c r="AQ12" i="11" s="1"/>
  <c r="AQ14" i="11" a="1"/>
  <c r="AQ14" i="11" s="1"/>
  <c r="AQ24" i="11" a="1"/>
  <c r="AQ24" i="11" s="1"/>
  <c r="AQ17" i="11" a="1"/>
  <c r="AQ17" i="11" s="1"/>
  <c r="AQ22" i="11" a="1"/>
  <c r="AQ22" i="11" s="1"/>
  <c r="AQ16" i="11" a="1"/>
  <c r="AQ16" i="11" s="1"/>
  <c r="AQ8" i="11" a="1"/>
  <c r="AQ8" i="11" s="1"/>
  <c r="AQ19" i="11" a="1"/>
  <c r="AQ19" i="11" s="1"/>
  <c r="AQ11" i="11" a="1"/>
  <c r="AQ11" i="11" s="1"/>
  <c r="AQ20" i="11" a="1"/>
  <c r="AQ20" i="11" s="1"/>
  <c r="AQ25" i="11" a="1"/>
  <c r="AQ25" i="11" s="1"/>
  <c r="AQ18" i="11" a="1"/>
  <c r="AQ18" i="11" s="1"/>
  <c r="AQ10" i="11" a="1"/>
  <c r="AQ10" i="11" s="1"/>
  <c r="AQ21" i="11" a="1"/>
  <c r="AQ21" i="11" s="1"/>
  <c r="AQ23" i="11" a="1"/>
  <c r="AQ23" i="11" s="1"/>
  <c r="AQ13" i="11" a="1"/>
  <c r="AQ13" i="11" s="1"/>
  <c r="AQ9" i="11" a="1"/>
  <c r="AQ9" i="11" s="1"/>
  <c r="AQ7" i="11" a="1"/>
  <c r="AQ7" i="11" s="1"/>
  <c r="AQ15" i="11" a="1"/>
  <c r="AQ15" i="11" s="1"/>
  <c r="AF25" i="11" a="1"/>
  <c r="AF25" i="11" s="1"/>
  <c r="AF17" i="11" a="1"/>
  <c r="AF17" i="11" s="1"/>
  <c r="AF14" i="11" a="1"/>
  <c r="AF14" i="11" s="1"/>
  <c r="AF8" i="11" a="1"/>
  <c r="AF8" i="11" s="1"/>
  <c r="AF23" i="11" a="1"/>
  <c r="AF23" i="11" s="1"/>
  <c r="AF19" i="11" a="1"/>
  <c r="AF19" i="11" s="1"/>
  <c r="AF11" i="11" a="1"/>
  <c r="AF11" i="11" s="1"/>
  <c r="AF10" i="11" a="1"/>
  <c r="AF10" i="11" s="1"/>
  <c r="AF22" i="11" a="1"/>
  <c r="AF22" i="11" s="1"/>
  <c r="AF13" i="11" a="1"/>
  <c r="AF13" i="11" s="1"/>
  <c r="AF18" i="11" a="1"/>
  <c r="AF18" i="11" s="1"/>
  <c r="AF12" i="11" a="1"/>
  <c r="AF12" i="11" s="1"/>
  <c r="AF9" i="11" a="1"/>
  <c r="AF9" i="11" s="1"/>
  <c r="AF15" i="11" a="1"/>
  <c r="AF15" i="11" s="1"/>
  <c r="AF24" i="11" a="1"/>
  <c r="AF24" i="11" s="1"/>
  <c r="AF20" i="11" a="1"/>
  <c r="AF20" i="11" s="1"/>
  <c r="AF7" i="11" a="1"/>
  <c r="AF7" i="11" s="1"/>
  <c r="AF21" i="11" a="1"/>
  <c r="AF21" i="11" s="1"/>
  <c r="AF16" i="11" a="1"/>
  <c r="AF16" i="11" s="1"/>
  <c r="Y19" i="11" a="1"/>
  <c r="Y19" i="11" s="1"/>
  <c r="Y20" i="11" a="1"/>
  <c r="Y20" i="11" s="1"/>
  <c r="Y13" i="11" a="1"/>
  <c r="Y13" i="11" s="1"/>
  <c r="Y25" i="11" a="1"/>
  <c r="Y25" i="11" s="1"/>
  <c r="Y21" i="11" a="1"/>
  <c r="Y21" i="11" s="1"/>
  <c r="Y11" i="11" a="1"/>
  <c r="Y11" i="11" s="1"/>
  <c r="Y16" i="11" a="1"/>
  <c r="Y16" i="11" s="1"/>
  <c r="Y14" i="11" a="1"/>
  <c r="Y14" i="11" s="1"/>
  <c r="Y23" i="11" a="1"/>
  <c r="Y23" i="11" s="1"/>
  <c r="Y10" i="11" a="1"/>
  <c r="Y10" i="11" s="1"/>
  <c r="Y17" i="11" a="1"/>
  <c r="Y17" i="11" s="1"/>
  <c r="Y12" i="11" a="1"/>
  <c r="Y12" i="11" s="1"/>
  <c r="Y15" i="11" a="1"/>
  <c r="Y15" i="11" s="1"/>
  <c r="Y22" i="11" a="1"/>
  <c r="Y22" i="11" s="1"/>
  <c r="Y7" i="11" a="1"/>
  <c r="Y7" i="11" s="1"/>
  <c r="Y8" i="11" a="1"/>
  <c r="Y8" i="11" s="1"/>
  <c r="Y24" i="11" a="1"/>
  <c r="Y24" i="11" s="1"/>
  <c r="Y18" i="11" a="1"/>
  <c r="Y18" i="11" s="1"/>
  <c r="Y9" i="11" a="1"/>
  <c r="Y9" i="11" s="1"/>
  <c r="AT12" i="11" a="1"/>
  <c r="AT12" i="11" s="1"/>
  <c r="AT9" i="11" a="1"/>
  <c r="AT9" i="11" s="1"/>
  <c r="AT14" i="11" a="1"/>
  <c r="AT14" i="11" s="1"/>
  <c r="AT24" i="11" a="1"/>
  <c r="AT24" i="11" s="1"/>
  <c r="AT19" i="11" a="1"/>
  <c r="AT19" i="11" s="1"/>
  <c r="AT21" i="11" a="1"/>
  <c r="AT21" i="11" s="1"/>
  <c r="AT11" i="11" a="1"/>
  <c r="AT11" i="11" s="1"/>
  <c r="AT15" i="11" a="1"/>
  <c r="AT15" i="11" s="1"/>
  <c r="AT7" i="11" a="1"/>
  <c r="AT7" i="11" s="1"/>
  <c r="AT10" i="11" a="1"/>
  <c r="AT10" i="11" s="1"/>
  <c r="AT22" i="11" a="1"/>
  <c r="AT22" i="11" s="1"/>
  <c r="AT13" i="11" a="1"/>
  <c r="AT13" i="11" s="1"/>
  <c r="AT25" i="11" a="1"/>
  <c r="AT25" i="11" s="1"/>
  <c r="AT17" i="11" a="1"/>
  <c r="AT17" i="11" s="1"/>
  <c r="AT16" i="11" a="1"/>
  <c r="AT16" i="11" s="1"/>
  <c r="AT20" i="11" a="1"/>
  <c r="AT20" i="11" s="1"/>
  <c r="AT23" i="11" a="1"/>
  <c r="AT23" i="11" s="1"/>
  <c r="AT18" i="11" a="1"/>
  <c r="AT18" i="11" s="1"/>
  <c r="AT8" i="11" a="1"/>
  <c r="AT8" i="11" s="1"/>
  <c r="AB10" i="11" a="1"/>
  <c r="AB10" i="11" s="1"/>
  <c r="AB21" i="11" a="1"/>
  <c r="AB21" i="11" s="1"/>
  <c r="AB7" i="11" a="1"/>
  <c r="AB7" i="11" s="1"/>
  <c r="AB20" i="11" a="1"/>
  <c r="AB20" i="11" s="1"/>
  <c r="AB16" i="11" a="1"/>
  <c r="AB16" i="11" s="1"/>
  <c r="AB11" i="11" a="1"/>
  <c r="AB11" i="11" s="1"/>
  <c r="AB8" i="11" a="1"/>
  <c r="AB8" i="11" s="1"/>
  <c r="AB25" i="11" a="1"/>
  <c r="AB25" i="11" s="1"/>
  <c r="AB19" i="11" a="1"/>
  <c r="AB19" i="11" s="1"/>
  <c r="AB23" i="11" a="1"/>
  <c r="AB23" i="11" s="1"/>
  <c r="AB17" i="11" a="1"/>
  <c r="AB17" i="11" s="1"/>
  <c r="AB18" i="11" a="1"/>
  <c r="AB18" i="11" s="1"/>
  <c r="AB14" i="11" a="1"/>
  <c r="AB14" i="11" s="1"/>
  <c r="AB22" i="11" a="1"/>
  <c r="AB22" i="11" s="1"/>
  <c r="AB12" i="11" a="1"/>
  <c r="AB12" i="11" s="1"/>
  <c r="AB15" i="11" a="1"/>
  <c r="AB15" i="11" s="1"/>
  <c r="AB13" i="11" a="1"/>
  <c r="AB13" i="11" s="1"/>
  <c r="AB9" i="11" a="1"/>
  <c r="AB9" i="11" s="1"/>
  <c r="AB24" i="11" a="1"/>
  <c r="AB24" i="11" s="1"/>
  <c r="AI25" i="11" a="1"/>
  <c r="AI25" i="11" s="1"/>
  <c r="AI22" i="11" a="1"/>
  <c r="AI22" i="11" s="1"/>
  <c r="AI12" i="11" a="1"/>
  <c r="AI12" i="11" s="1"/>
  <c r="AI15" i="11" a="1"/>
  <c r="AI15" i="11" s="1"/>
  <c r="AI20" i="11" a="1"/>
  <c r="AI20" i="11" s="1"/>
  <c r="AI9" i="11" a="1"/>
  <c r="AI9" i="11" s="1"/>
  <c r="AI13" i="11" a="1"/>
  <c r="AI13" i="11" s="1"/>
  <c r="AI17" i="11" a="1"/>
  <c r="AI17" i="11" s="1"/>
  <c r="AI16" i="11" a="1"/>
  <c r="AI16" i="11" s="1"/>
  <c r="AI18" i="11" a="1"/>
  <c r="AI18" i="11" s="1"/>
  <c r="AI23" i="11" a="1"/>
  <c r="AI23" i="11" s="1"/>
  <c r="AI10" i="11" a="1"/>
  <c r="AI10" i="11" s="1"/>
  <c r="AI11" i="11" a="1"/>
  <c r="AI11" i="11" s="1"/>
  <c r="AI21" i="11" a="1"/>
  <c r="AI21" i="11" s="1"/>
  <c r="AI7" i="11" a="1"/>
  <c r="AI7" i="11" s="1"/>
  <c r="AI8" i="11" a="1"/>
  <c r="AI8" i="11" s="1"/>
  <c r="AI19" i="11" a="1"/>
  <c r="AI19" i="11" s="1"/>
  <c r="AI24" i="11" a="1"/>
  <c r="AI24" i="11" s="1"/>
  <c r="AI14" i="11" a="1"/>
  <c r="AI14" i="11" s="1"/>
  <c r="AN8" i="11" a="1"/>
  <c r="AN8" i="11" s="1"/>
  <c r="AN25" i="11" a="1"/>
  <c r="AN25" i="11" s="1"/>
  <c r="AN20" i="11" a="1"/>
  <c r="AN20" i="11" s="1"/>
  <c r="AN12" i="11" a="1"/>
  <c r="AN12" i="11" s="1"/>
  <c r="AN23" i="11" a="1"/>
  <c r="AN23" i="11" s="1"/>
  <c r="AN21" i="11" a="1"/>
  <c r="AN21" i="11" s="1"/>
  <c r="AN15" i="11" a="1"/>
  <c r="AN15" i="11" s="1"/>
  <c r="AN24" i="11" a="1"/>
  <c r="AN24" i="11" s="1"/>
  <c r="AN16" i="11" a="1"/>
  <c r="AN16" i="11" s="1"/>
  <c r="AN13" i="11" a="1"/>
  <c r="AN13" i="11" s="1"/>
  <c r="AN17" i="11" a="1"/>
  <c r="AN17" i="11" s="1"/>
  <c r="AN18" i="11" a="1"/>
  <c r="AN18" i="11" s="1"/>
  <c r="AN14" i="11" a="1"/>
  <c r="AN14" i="11" s="1"/>
  <c r="AN22" i="11" a="1"/>
  <c r="AN22" i="11" s="1"/>
  <c r="AN9" i="11" a="1"/>
  <c r="AN9" i="11" s="1"/>
  <c r="AN19" i="11" a="1"/>
  <c r="AN19" i="11" s="1"/>
  <c r="AN11" i="11" a="1"/>
  <c r="AN11" i="11" s="1"/>
  <c r="AN10" i="11" a="1"/>
  <c r="AN10" i="11" s="1"/>
  <c r="AN7" i="11" a="1"/>
  <c r="AN7" i="11" s="1"/>
  <c r="V9" i="11" a="1"/>
  <c r="V9" i="11" s="1"/>
  <c r="V7" i="11" a="1"/>
  <c r="V7" i="11" s="1"/>
  <c r="V22" i="11" a="1"/>
  <c r="V22" i="11" s="1"/>
  <c r="V10" i="11" a="1"/>
  <c r="V10" i="11" s="1"/>
  <c r="V18" i="11" a="1"/>
  <c r="V18" i="11" s="1"/>
  <c r="V11" i="11" a="1"/>
  <c r="V11" i="11" s="1"/>
  <c r="V8" i="11" a="1"/>
  <c r="V8" i="11" s="1"/>
  <c r="V17" i="11" a="1"/>
  <c r="V17" i="11" s="1"/>
  <c r="V23" i="11" a="1"/>
  <c r="V23" i="11" s="1"/>
  <c r="V12" i="11" a="1"/>
  <c r="V12" i="11" s="1"/>
  <c r="V25" i="11" a="1"/>
  <c r="V25" i="11" s="1"/>
  <c r="V19" i="11" a="1"/>
  <c r="V19" i="11" s="1"/>
  <c r="V15" i="11" a="1"/>
  <c r="V15" i="11" s="1"/>
  <c r="V14" i="11" a="1"/>
  <c r="V14" i="11" s="1"/>
  <c r="V24" i="11" a="1"/>
  <c r="V24" i="11" s="1"/>
  <c r="V13" i="11" a="1"/>
  <c r="V13" i="11" s="1"/>
  <c r="V21" i="11" a="1"/>
  <c r="V21" i="11" s="1"/>
  <c r="V16" i="11" a="1"/>
  <c r="V16" i="11" s="1"/>
  <c r="V20" i="11" a="1"/>
  <c r="V20" i="11" s="1"/>
  <c r="P24" i="11" a="1"/>
  <c r="P24" i="11" s="1"/>
  <c r="P9" i="11" a="1"/>
  <c r="P9" i="11" s="1"/>
  <c r="P10" i="11" a="1"/>
  <c r="P10" i="11" s="1"/>
  <c r="P21" i="11" a="1"/>
  <c r="P21" i="11" s="1"/>
  <c r="P11" i="11" a="1"/>
  <c r="P11" i="11" s="1"/>
  <c r="P22" i="11" a="1"/>
  <c r="P22" i="11" s="1"/>
  <c r="W23" i="11" a="1"/>
  <c r="W23" i="11" s="1"/>
  <c r="W9" i="11" a="1"/>
  <c r="W9" i="11" s="1"/>
  <c r="W12" i="11" a="1"/>
  <c r="W12" i="11" s="1"/>
  <c r="W15" i="11" a="1"/>
  <c r="W15" i="11" s="1"/>
  <c r="W7" i="11" a="1"/>
  <c r="W7" i="11" s="1"/>
  <c r="W24" i="11" a="1"/>
  <c r="W24" i="11" s="1"/>
  <c r="W13" i="11" a="1"/>
  <c r="W13" i="11" s="1"/>
  <c r="W16" i="11" a="1"/>
  <c r="W16" i="11" s="1"/>
  <c r="W8" i="11" a="1"/>
  <c r="W8" i="11" s="1"/>
  <c r="W11" i="11" a="1"/>
  <c r="W11" i="11" s="1"/>
  <c r="W19" i="11" a="1"/>
  <c r="W19" i="11" s="1"/>
  <c r="W20" i="11" a="1"/>
  <c r="W20" i="11" s="1"/>
  <c r="W17" i="11" a="1"/>
  <c r="W17" i="11" s="1"/>
  <c r="W25" i="11" a="1"/>
  <c r="W25" i="11" s="1"/>
  <c r="W21" i="11" a="1"/>
  <c r="W21" i="11" s="1"/>
  <c r="W18" i="11" a="1"/>
  <c r="W18" i="11" s="1"/>
  <c r="W22" i="11" a="1"/>
  <c r="W22" i="11" s="1"/>
  <c r="W10" i="11" a="1"/>
  <c r="W10" i="11" s="1"/>
  <c r="W14" i="11" a="1"/>
  <c r="W14" i="11" s="1"/>
  <c r="X9" i="11" a="1"/>
  <c r="X9" i="11" s="1"/>
  <c r="X21" i="11" a="1"/>
  <c r="X21" i="11" s="1"/>
  <c r="X11" i="11" a="1"/>
  <c r="X11" i="11" s="1"/>
  <c r="X17" i="11" a="1"/>
  <c r="X17" i="11" s="1"/>
  <c r="X25" i="11" a="1"/>
  <c r="X25" i="11" s="1"/>
  <c r="X15" i="11" a="1"/>
  <c r="X15" i="11" s="1"/>
  <c r="X10" i="11" a="1"/>
  <c r="X10" i="11" s="1"/>
  <c r="X22" i="11" a="1"/>
  <c r="X22" i="11" s="1"/>
  <c r="X7" i="11" a="1"/>
  <c r="X7" i="11" s="1"/>
  <c r="X23" i="11" a="1"/>
  <c r="X23" i="11" s="1"/>
  <c r="X8" i="11" a="1"/>
  <c r="X8" i="11" s="1"/>
  <c r="X18" i="11" a="1"/>
  <c r="X18" i="11" s="1"/>
  <c r="X16" i="11" a="1"/>
  <c r="X16" i="11" s="1"/>
  <c r="X19" i="11" a="1"/>
  <c r="X19" i="11" s="1"/>
  <c r="X14" i="11" a="1"/>
  <c r="X14" i="11" s="1"/>
  <c r="X13" i="11" a="1"/>
  <c r="X13" i="11" s="1"/>
  <c r="X12" i="11" a="1"/>
  <c r="X12" i="11" s="1"/>
  <c r="X24" i="11" a="1"/>
  <c r="X24" i="11" s="1"/>
  <c r="X20" i="11" a="1"/>
  <c r="X20" i="11" s="1"/>
  <c r="AP24" i="11" a="1"/>
  <c r="AP24" i="11" s="1"/>
  <c r="AP17" i="11" a="1"/>
  <c r="AP17" i="11" s="1"/>
  <c r="AP16" i="11" a="1"/>
  <c r="AP16" i="11" s="1"/>
  <c r="AP15" i="11" a="1"/>
  <c r="AP15" i="11" s="1"/>
  <c r="AP18" i="11" a="1"/>
  <c r="AP18" i="11" s="1"/>
  <c r="AP21" i="11" a="1"/>
  <c r="AP21" i="11" s="1"/>
  <c r="AP13" i="11" a="1"/>
  <c r="AP13" i="11" s="1"/>
  <c r="AP7" i="11" a="1"/>
  <c r="AP7" i="11" s="1"/>
  <c r="AP20" i="11" a="1"/>
  <c r="AP20" i="11" s="1"/>
  <c r="AP10" i="11" a="1"/>
  <c r="AP10" i="11" s="1"/>
  <c r="AP23" i="11" a="1"/>
  <c r="AP23" i="11" s="1"/>
  <c r="AP19" i="11" a="1"/>
  <c r="AP19" i="11" s="1"/>
  <c r="AP22" i="11" a="1"/>
  <c r="AP22" i="11" s="1"/>
  <c r="AP8" i="11" a="1"/>
  <c r="AP8" i="11" s="1"/>
  <c r="AP25" i="11" a="1"/>
  <c r="AP25" i="11" s="1"/>
  <c r="AP11" i="11" a="1"/>
  <c r="AP11" i="11" s="1"/>
  <c r="AP9" i="11" a="1"/>
  <c r="AP9" i="11" s="1"/>
  <c r="AP14" i="11" a="1"/>
  <c r="AP14" i="11" s="1"/>
  <c r="AP12" i="11" a="1"/>
  <c r="AP12" i="11" s="1"/>
  <c r="AA12" i="11" a="1"/>
  <c r="AA12" i="11" s="1"/>
  <c r="AA24" i="11" a="1"/>
  <c r="AA24" i="11" s="1"/>
  <c r="AA15" i="11" a="1"/>
  <c r="AA15" i="11" s="1"/>
  <c r="AA21" i="11" a="1"/>
  <c r="AA21" i="11" s="1"/>
  <c r="AA13" i="11" a="1"/>
  <c r="AA13" i="11" s="1"/>
  <c r="AA10" i="11" a="1"/>
  <c r="AA10" i="11" s="1"/>
  <c r="AA14" i="11" a="1"/>
  <c r="AA14" i="11" s="1"/>
  <c r="AA11" i="11" a="1"/>
  <c r="AA11" i="11" s="1"/>
  <c r="AA7" i="11" a="1"/>
  <c r="AA7" i="11" s="1"/>
  <c r="AA16" i="11" a="1"/>
  <c r="AA16" i="11" s="1"/>
  <c r="AA8" i="11" a="1"/>
  <c r="AA8" i="11" s="1"/>
  <c r="AA9" i="11" a="1"/>
  <c r="AA9" i="11" s="1"/>
  <c r="AA20" i="11" a="1"/>
  <c r="AA20" i="11" s="1"/>
  <c r="AA22" i="11" a="1"/>
  <c r="AA22" i="11" s="1"/>
  <c r="AA25" i="11" a="1"/>
  <c r="AA25" i="11" s="1"/>
  <c r="AA23" i="11" a="1"/>
  <c r="AA23" i="11" s="1"/>
  <c r="AA17" i="11" a="1"/>
  <c r="AA17" i="11" s="1"/>
  <c r="AA18" i="11" a="1"/>
  <c r="AA18" i="11" s="1"/>
  <c r="AA19" i="11" a="1"/>
  <c r="AA19" i="11" s="1"/>
  <c r="AD25" i="11" a="1"/>
  <c r="AD25" i="11" s="1"/>
  <c r="AD15" i="11" a="1"/>
  <c r="AD15" i="11" s="1"/>
  <c r="AD7" i="11" a="1"/>
  <c r="AD7" i="11" s="1"/>
  <c r="AD11" i="11" a="1"/>
  <c r="AD11" i="11" s="1"/>
  <c r="AD23" i="11" a="1"/>
  <c r="AD23" i="11" s="1"/>
  <c r="AD21" i="11" a="1"/>
  <c r="AD21" i="11" s="1"/>
  <c r="AD13" i="11" a="1"/>
  <c r="AD13" i="11" s="1"/>
  <c r="AD16" i="11" a="1"/>
  <c r="AD16" i="11" s="1"/>
  <c r="AD8" i="11" a="1"/>
  <c r="AD8" i="11" s="1"/>
  <c r="AD19" i="11" a="1"/>
  <c r="AD19" i="11" s="1"/>
  <c r="AD20" i="11" a="1"/>
  <c r="AD20" i="11" s="1"/>
  <c r="AD9" i="11" a="1"/>
  <c r="AD9" i="11" s="1"/>
  <c r="AD22" i="11" a="1"/>
  <c r="AD22" i="11" s="1"/>
  <c r="AD10" i="11" a="1"/>
  <c r="AD10" i="11" s="1"/>
  <c r="AD24" i="11" a="1"/>
  <c r="AD24" i="11" s="1"/>
  <c r="AD17" i="11" a="1"/>
  <c r="AD17" i="11" s="1"/>
  <c r="AD18" i="11" a="1"/>
  <c r="AD18" i="11" s="1"/>
  <c r="AD14" i="11" a="1"/>
  <c r="AD14" i="11" s="1"/>
  <c r="AD12" i="11" a="1"/>
  <c r="AD12" i="11" s="1"/>
  <c r="AO16" i="11" a="1"/>
  <c r="AO16" i="11" s="1"/>
  <c r="AO18" i="11" a="1"/>
  <c r="AO18" i="11" s="1"/>
  <c r="AO20" i="11" a="1"/>
  <c r="AO20" i="11" s="1"/>
  <c r="AO25" i="11" a="1"/>
  <c r="AO25" i="11" s="1"/>
  <c r="AO9" i="11" a="1"/>
  <c r="AO9" i="11" s="1"/>
  <c r="AO13" i="11" a="1"/>
  <c r="AO13" i="11" s="1"/>
  <c r="AO19" i="11" a="1"/>
  <c r="AO19" i="11" s="1"/>
  <c r="AO21" i="11" a="1"/>
  <c r="AO21" i="11" s="1"/>
  <c r="AO11" i="11" a="1"/>
  <c r="AO11" i="11" s="1"/>
  <c r="AO7" i="11" a="1"/>
  <c r="AO7" i="11" s="1"/>
  <c r="AO10" i="11" a="1"/>
  <c r="AO10" i="11" s="1"/>
  <c r="AO8" i="11" a="1"/>
  <c r="AO8" i="11" s="1"/>
  <c r="AO23" i="11" a="1"/>
  <c r="AO23" i="11" s="1"/>
  <c r="AO17" i="11" a="1"/>
  <c r="AO17" i="11" s="1"/>
  <c r="AO24" i="11" a="1"/>
  <c r="AO24" i="11" s="1"/>
  <c r="AO14" i="11" a="1"/>
  <c r="AO14" i="11" s="1"/>
  <c r="AO22" i="11" a="1"/>
  <c r="AO22" i="11" s="1"/>
  <c r="AO12" i="11" a="1"/>
  <c r="AO12" i="11" s="1"/>
  <c r="AO15" i="11" a="1"/>
  <c r="AO15" i="11" s="1"/>
  <c r="AL19" i="11" a="1"/>
  <c r="AL19" i="11" s="1"/>
  <c r="AL22" i="11" a="1"/>
  <c r="AL22" i="11" s="1"/>
  <c r="AL10" i="11" a="1"/>
  <c r="AL10" i="11" s="1"/>
  <c r="AL23" i="11" a="1"/>
  <c r="AL23" i="11" s="1"/>
  <c r="AL12" i="11" a="1"/>
  <c r="AL12" i="11" s="1"/>
  <c r="AL17" i="11" a="1"/>
  <c r="AL17" i="11" s="1"/>
  <c r="AL14" i="11" a="1"/>
  <c r="AL14" i="11" s="1"/>
  <c r="AL18" i="11" a="1"/>
  <c r="AL18" i="11" s="1"/>
  <c r="AL21" i="11" a="1"/>
  <c r="AL21" i="11" s="1"/>
  <c r="AL11" i="11" a="1"/>
  <c r="AL11" i="11" s="1"/>
  <c r="AL15" i="11" a="1"/>
  <c r="AL15" i="11" s="1"/>
  <c r="AL24" i="11" a="1"/>
  <c r="AL24" i="11" s="1"/>
  <c r="AL25" i="11" a="1"/>
  <c r="AL25" i="11" s="1"/>
  <c r="AL9" i="11" a="1"/>
  <c r="AL9" i="11" s="1"/>
  <c r="AL7" i="11" a="1"/>
  <c r="AL7" i="11" s="1"/>
  <c r="AL8" i="11" a="1"/>
  <c r="AL8" i="11" s="1"/>
  <c r="AL16" i="11" a="1"/>
  <c r="AL16" i="11" s="1"/>
  <c r="AL13" i="11" a="1"/>
  <c r="AL13" i="11" s="1"/>
  <c r="AL20" i="11" a="1"/>
  <c r="AL20" i="11" s="1"/>
  <c r="C25" i="11" a="1"/>
  <c r="C25" i="11" s="1"/>
  <c r="C18" i="11" a="1"/>
  <c r="C18" i="11" s="1"/>
  <c r="C19" i="11" a="1"/>
  <c r="C19" i="11" s="1"/>
  <c r="C16" i="11" a="1"/>
  <c r="C16" i="11" s="1"/>
  <c r="AC9" i="11" a="1"/>
  <c r="AC9" i="11" s="1"/>
  <c r="AC8" i="11" a="1"/>
  <c r="AC8" i="11" s="1"/>
  <c r="AC17" i="11" a="1"/>
  <c r="AC17" i="11" s="1"/>
  <c r="AC24" i="11" a="1"/>
  <c r="AC24" i="11" s="1"/>
  <c r="AC14" i="11" a="1"/>
  <c r="AC14" i="11" s="1"/>
  <c r="AC12" i="11" a="1"/>
  <c r="AC12" i="11" s="1"/>
  <c r="AC20" i="11" a="1"/>
  <c r="AC20" i="11" s="1"/>
  <c r="AC19" i="11" a="1"/>
  <c r="AC19" i="11" s="1"/>
  <c r="AC21" i="11" a="1"/>
  <c r="AC21" i="11" s="1"/>
  <c r="AC15" i="11" a="1"/>
  <c r="AC15" i="11" s="1"/>
  <c r="AC11" i="11" a="1"/>
  <c r="AC11" i="11" s="1"/>
  <c r="AC22" i="11" a="1"/>
  <c r="AC22" i="11" s="1"/>
  <c r="AC16" i="11" a="1"/>
  <c r="AC16" i="11" s="1"/>
  <c r="AC25" i="11" a="1"/>
  <c r="AC25" i="11" s="1"/>
  <c r="AC13" i="11" a="1"/>
  <c r="AC13" i="11" s="1"/>
  <c r="AC10" i="11" a="1"/>
  <c r="AC10" i="11" s="1"/>
  <c r="AC7" i="11" a="1"/>
  <c r="AC7" i="11" s="1"/>
  <c r="AC23" i="11" a="1"/>
  <c r="AC23" i="11" s="1"/>
  <c r="AC18" i="11" a="1"/>
  <c r="AC18" i="11" s="1"/>
  <c r="AG9" i="11" a="1"/>
  <c r="AG9" i="11" s="1"/>
  <c r="AG17" i="11" a="1"/>
  <c r="AG17" i="11" s="1"/>
  <c r="AG23" i="11" a="1"/>
  <c r="AG23" i="11" s="1"/>
  <c r="AG25" i="11" a="1"/>
  <c r="AG25" i="11" s="1"/>
  <c r="AG11" i="11" a="1"/>
  <c r="AG11" i="11" s="1"/>
  <c r="AG12" i="11" a="1"/>
  <c r="AG12" i="11" s="1"/>
  <c r="AG7" i="11" a="1"/>
  <c r="AG7" i="11" s="1"/>
  <c r="AG15" i="11" a="1"/>
  <c r="AG15" i="11" s="1"/>
  <c r="AG21" i="11" a="1"/>
  <c r="AG21" i="11" s="1"/>
  <c r="AG24" i="11" a="1"/>
  <c r="AG24" i="11" s="1"/>
  <c r="AG8" i="11" a="1"/>
  <c r="AG8" i="11" s="1"/>
  <c r="AG13" i="11" a="1"/>
  <c r="AG13" i="11" s="1"/>
  <c r="AG22" i="11" a="1"/>
  <c r="AG22" i="11" s="1"/>
  <c r="AG14" i="11" a="1"/>
  <c r="AG14" i="11" s="1"/>
  <c r="AG16" i="11" a="1"/>
  <c r="AG16" i="11" s="1"/>
  <c r="AG20" i="11" a="1"/>
  <c r="AG20" i="11" s="1"/>
  <c r="AG18" i="11" a="1"/>
  <c r="AG18" i="11" s="1"/>
  <c r="AG19" i="11" a="1"/>
  <c r="AG19" i="11" s="1"/>
  <c r="AG10" i="11" a="1"/>
  <c r="AG10" i="11" s="1"/>
  <c r="B16" i="11" a="1"/>
  <c r="B16" i="11" s="1"/>
  <c r="B18" i="11" a="1"/>
  <c r="B18" i="11" s="1"/>
  <c r="B19" i="11" a="1"/>
  <c r="B19" i="11" s="1"/>
  <c r="B17" i="11" a="1"/>
  <c r="B17" i="11" s="1"/>
  <c r="J2404" i="3"/>
  <c r="J6" i="5"/>
  <c r="G22" i="11" a="1"/>
  <c r="H10" i="11" a="1"/>
  <c r="F22" i="11" a="1"/>
  <c r="O9" i="11" a="1"/>
  <c r="L22" i="11" a="1"/>
  <c r="G10" i="11" a="1"/>
  <c r="H11" i="11" a="1"/>
  <c r="F24" i="11" a="1"/>
  <c r="K10" i="11" a="1"/>
  <c r="O21" i="11" a="1"/>
  <c r="O22" i="11" a="1"/>
  <c r="J10" i="11" a="1"/>
  <c r="H9" i="11" a="1"/>
  <c r="M22" i="11" a="1"/>
  <c r="F9" i="11" a="1"/>
  <c r="I21" i="11" a="1"/>
  <c r="J9" i="11" a="1"/>
  <c r="K11" i="11" a="1"/>
  <c r="N22" i="11" a="1"/>
  <c r="L21" i="11" a="1"/>
  <c r="H24" i="11" a="1"/>
  <c r="M21" i="11" a="1"/>
  <c r="N11" i="11" a="1"/>
  <c r="H22" i="11" a="1"/>
  <c r="M9" i="11" a="1"/>
  <c r="F11" i="11" a="1"/>
  <c r="O10" i="11" a="1"/>
  <c r="N10" i="11" a="1"/>
  <c r="K24" i="11" a="1"/>
  <c r="N24" i="11" a="1"/>
  <c r="K21" i="11" a="1"/>
  <c r="H21" i="11" a="1"/>
  <c r="M11" i="11" a="1"/>
  <c r="F10" i="11" a="1"/>
  <c r="I11" i="11" a="1"/>
  <c r="J22" i="11" a="1"/>
  <c r="L10" i="11" a="1"/>
  <c r="K9" i="11" a="1"/>
  <c r="N21" i="11" a="1"/>
  <c r="M24" i="11" a="1"/>
  <c r="F21" i="11" a="1"/>
  <c r="K22" i="11" a="1"/>
  <c r="I22" i="11" a="1"/>
  <c r="I10" i="11" a="1"/>
  <c r="N9" i="11" a="1"/>
  <c r="J11" i="11" a="1"/>
  <c r="J21" i="11" a="1"/>
  <c r="L9" i="11" a="1"/>
  <c r="L11" i="11" a="1"/>
  <c r="I9" i="11" a="1"/>
  <c r="I24" i="11" a="1"/>
  <c r="O24" i="11" a="1"/>
  <c r="M10" i="11" a="1"/>
  <c r="O11" i="11" a="1"/>
  <c r="G21" i="11" a="1"/>
  <c r="J24" i="11" a="1"/>
  <c r="L24" i="11" a="1"/>
  <c r="G11" i="11" a="1"/>
  <c r="G24" i="11" a="1"/>
  <c r="G9" i="11" a="1"/>
  <c r="T15" i="11" a="1"/>
  <c r="U17" i="11" a="1"/>
  <c r="T23" i="11" a="1"/>
  <c r="U20" i="11" a="1"/>
  <c r="T25" i="11" a="1"/>
  <c r="T14" i="11" a="1"/>
  <c r="T12" i="11" a="1"/>
  <c r="T13" i="11" a="1"/>
  <c r="S14" i="11" a="1"/>
  <c r="S18" i="11" a="1"/>
  <c r="S25" i="11" a="1"/>
  <c r="T7" i="11" a="1"/>
  <c r="S23" i="11" a="1"/>
  <c r="U19" i="11" a="1"/>
  <c r="U23" i="11" a="1"/>
  <c r="S15" i="11" a="1"/>
  <c r="S12" i="11" a="1"/>
  <c r="U8" i="11" a="1"/>
  <c r="U7" i="11" a="1"/>
  <c r="T18" i="11" a="1"/>
  <c r="S13" i="11" a="1"/>
  <c r="U18" i="11" a="1"/>
  <c r="U14" i="11" a="1"/>
  <c r="U15" i="11" a="1"/>
  <c r="S19" i="11" a="1"/>
  <c r="T19" i="11" a="1"/>
  <c r="T16" i="11" a="1"/>
  <c r="U13" i="11" a="1"/>
  <c r="S7" i="11" a="1"/>
  <c r="S17" i="11" a="1"/>
  <c r="T20" i="11" a="1"/>
  <c r="U25" i="11" a="1"/>
  <c r="T17" i="11" a="1"/>
  <c r="S8" i="11" a="1"/>
  <c r="S16" i="11" a="1"/>
  <c r="S20" i="11" a="1"/>
  <c r="U12" i="11" a="1"/>
  <c r="U16" i="11" a="1"/>
  <c r="T8" i="11" a="1"/>
  <c r="R18" i="11" a="1"/>
  <c r="R23" i="11" a="1"/>
  <c r="R17" i="11" a="1"/>
  <c r="R14" i="11" a="1"/>
  <c r="R25" i="11" a="1"/>
  <c r="R16" i="11" a="1"/>
  <c r="R19" i="11" a="1"/>
  <c r="R13" i="11" a="1"/>
  <c r="R7" i="11" a="1"/>
  <c r="R8" i="11" a="1"/>
  <c r="R15" i="11" a="1"/>
  <c r="R20" i="11" a="1"/>
  <c r="R12" i="11" a="1"/>
  <c r="Q18" i="11" a="1"/>
  <c r="Q12" i="11" a="1"/>
  <c r="Q16" i="11" a="1"/>
  <c r="Q17" i="11" a="1"/>
  <c r="Q7" i="11" a="1"/>
  <c r="Q23" i="11" a="1"/>
  <c r="Q19" i="11" a="1"/>
  <c r="Q14" i="11" a="1"/>
  <c r="Q25" i="11" a="1"/>
  <c r="Q13" i="11" a="1"/>
  <c r="Q8" i="11" a="1"/>
  <c r="Q15" i="11" a="1"/>
  <c r="Q20" i="11" a="1"/>
  <c r="P25" i="11" a="1"/>
  <c r="P13" i="11" a="1"/>
  <c r="P17" i="11" a="1"/>
  <c r="P14" i="11" a="1"/>
  <c r="P18" i="11" a="1"/>
  <c r="P15" i="11" a="1"/>
  <c r="P19" i="11" a="1"/>
  <c r="P20" i="11" a="1"/>
  <c r="P12" i="11" a="1"/>
  <c r="P16" i="11" a="1"/>
  <c r="P23" i="11" a="1"/>
  <c r="P8" i="11" a="1"/>
  <c r="P7" i="11" a="1"/>
  <c r="O7" i="11" a="1"/>
  <c r="O17" i="11" a="1"/>
  <c r="O13" i="11" a="1"/>
  <c r="O14" i="11" a="1"/>
  <c r="O19" i="11" a="1"/>
  <c r="O15" i="11" a="1"/>
  <c r="O23" i="11" a="1"/>
  <c r="O18" i="11" a="1"/>
  <c r="O8" i="11" a="1"/>
  <c r="O25" i="11" a="1"/>
  <c r="O20" i="11" a="1"/>
  <c r="O16" i="11" a="1"/>
  <c r="O12" i="11" a="1"/>
  <c r="N25" i="11" a="1"/>
  <c r="N15" i="11" a="1"/>
  <c r="N8" i="11" a="1"/>
  <c r="N14" i="11" a="1"/>
  <c r="N16" i="11" a="1"/>
  <c r="N17" i="11" a="1"/>
  <c r="N20" i="11" a="1"/>
  <c r="N19" i="11" a="1"/>
  <c r="N23" i="11" a="1"/>
  <c r="N7" i="11" a="1"/>
  <c r="N12" i="11" a="1"/>
  <c r="N18" i="11" a="1"/>
  <c r="N13" i="11" a="1"/>
  <c r="M17" i="11" a="1"/>
  <c r="M18" i="11" a="1"/>
  <c r="M13" i="11" a="1"/>
  <c r="M20" i="11" a="1"/>
  <c r="M14" i="11" a="1"/>
  <c r="M25" i="11" a="1"/>
  <c r="M19" i="11" a="1"/>
  <c r="M16" i="11" a="1"/>
  <c r="M15" i="11" a="1"/>
  <c r="M23" i="11" a="1"/>
  <c r="M7" i="11" a="1"/>
  <c r="M8" i="11" a="1"/>
  <c r="M12" i="11" a="1"/>
  <c r="L19" i="11" a="1"/>
  <c r="L15" i="11" a="1"/>
  <c r="L13" i="11" a="1"/>
  <c r="L25" i="11" a="1"/>
  <c r="L23" i="11" a="1"/>
  <c r="L7" i="11" a="1"/>
  <c r="L8" i="11" a="1"/>
  <c r="L18" i="11" a="1"/>
  <c r="L14" i="11" a="1"/>
  <c r="L16" i="11" a="1"/>
  <c r="L12" i="11" a="1"/>
  <c r="L20" i="11" a="1"/>
  <c r="L17" i="11" a="1"/>
  <c r="K25" i="11" a="1"/>
  <c r="K17" i="11" a="1"/>
  <c r="K16" i="11" a="1"/>
  <c r="K13" i="11" a="1"/>
  <c r="K8" i="11" a="1"/>
  <c r="K7" i="11" a="1"/>
  <c r="K14" i="11" a="1"/>
  <c r="K23" i="11" a="1"/>
  <c r="K15" i="11" a="1"/>
  <c r="K20" i="11" a="1"/>
  <c r="K18" i="11" a="1"/>
  <c r="K12" i="11" a="1"/>
  <c r="K19" i="11" a="1"/>
  <c r="J18" i="11" a="1"/>
  <c r="J13" i="11" a="1"/>
  <c r="J20" i="11" a="1"/>
  <c r="J12" i="11" a="1"/>
  <c r="J7" i="11" a="1"/>
  <c r="J8" i="11" a="1"/>
  <c r="J25" i="11" a="1"/>
  <c r="J23" i="11" a="1"/>
  <c r="J15" i="11" a="1"/>
  <c r="J16" i="11" a="1"/>
  <c r="J19" i="11" a="1"/>
  <c r="J14" i="11" a="1"/>
  <c r="J17" i="11" a="1"/>
  <c r="I18" i="11" a="1"/>
  <c r="I13" i="11" a="1"/>
  <c r="I19" i="11" a="1"/>
  <c r="I15" i="11" a="1"/>
  <c r="I23" i="11" a="1"/>
  <c r="I17" i="11" a="1"/>
  <c r="I20" i="11" a="1"/>
  <c r="I25" i="11" a="1"/>
  <c r="I8" i="11" a="1"/>
  <c r="I16" i="11" a="1"/>
  <c r="I14" i="11" a="1"/>
  <c r="I12" i="11" a="1"/>
  <c r="I7" i="11" a="1"/>
  <c r="C11" i="11" a="1"/>
  <c r="G12" i="11" a="1"/>
  <c r="H19" i="11" a="1"/>
  <c r="E22" i="11" a="1"/>
  <c r="D9" i="11" a="1"/>
  <c r="H12" i="11" a="1"/>
  <c r="E24" i="11" a="1"/>
  <c r="E11" i="11" a="1"/>
  <c r="H23" i="11" a="1"/>
  <c r="E10" i="11" a="1"/>
  <c r="G18" i="11" a="1"/>
  <c r="H17" i="11" a="1"/>
  <c r="H14" i="11" a="1"/>
  <c r="D22" i="11" a="1"/>
  <c r="E21" i="11" a="1"/>
  <c r="D11" i="11" a="1"/>
  <c r="C24" i="11" a="1"/>
  <c r="G19" i="11" a="1"/>
  <c r="G15" i="11" a="1"/>
  <c r="G7" i="11" a="1"/>
  <c r="D24" i="11" a="1"/>
  <c r="D21" i="11" a="1"/>
  <c r="C10" i="11" a="1"/>
  <c r="H8" i="11" a="1"/>
  <c r="G8" i="11" a="1"/>
  <c r="G20" i="11" a="1"/>
  <c r="C21" i="11" a="1"/>
  <c r="G23" i="11" a="1"/>
  <c r="H15" i="11" a="1"/>
  <c r="H16" i="11" a="1"/>
  <c r="G16" i="11" a="1"/>
  <c r="H18" i="11" a="1"/>
  <c r="H7" i="11" a="1"/>
  <c r="E9" i="11" a="1"/>
  <c r="D10" i="11" a="1"/>
  <c r="H25" i="11" a="1"/>
  <c r="G25" i="11" a="1"/>
  <c r="C7" i="11" a="1"/>
  <c r="G13" i="11" a="1"/>
  <c r="H13" i="11" a="1"/>
  <c r="G17" i="11" a="1"/>
  <c r="C22" i="11" a="1"/>
  <c r="C9" i="11" a="1"/>
  <c r="H20" i="11" a="1"/>
  <c r="F8" i="11" a="1"/>
  <c r="F20" i="11" a="1"/>
  <c r="F13" i="11" a="1"/>
  <c r="F15" i="11" a="1"/>
  <c r="F12" i="11" a="1"/>
  <c r="F17" i="11" a="1"/>
  <c r="F7" i="11" a="1"/>
  <c r="F25" i="11" a="1"/>
  <c r="F18" i="11" a="1"/>
  <c r="F19" i="11" a="1"/>
  <c r="F23" i="11" a="1"/>
  <c r="F16" i="11" a="1"/>
  <c r="H2404" i="3"/>
  <c r="D18" i="11" a="1"/>
  <c r="D19" i="11" a="1"/>
  <c r="D25" i="11" a="1"/>
  <c r="D7" i="11" a="1"/>
  <c r="D16" i="11" a="1"/>
  <c r="D15" i="11" a="1"/>
  <c r="E13" i="11" a="1"/>
  <c r="D23" i="11" a="1"/>
  <c r="E20" i="11" a="1"/>
  <c r="E17" i="11" a="1"/>
  <c r="E7" i="11" a="1"/>
  <c r="E14" i="11" a="1"/>
  <c r="D20" i="11" a="1"/>
  <c r="D12" i="11" a="1"/>
  <c r="E12" i="11" a="1"/>
  <c r="D17" i="11" a="1"/>
  <c r="D8" i="11" a="1"/>
  <c r="E15" i="11" a="1"/>
  <c r="D13" i="11" a="1"/>
  <c r="E18" i="11" a="1"/>
  <c r="E23" i="11" a="1"/>
  <c r="E19" i="11" a="1"/>
  <c r="D14" i="11" a="1"/>
  <c r="E8" i="11" a="1"/>
  <c r="E16" i="11" a="1"/>
  <c r="U17" i="11" l="1"/>
  <c r="U20" i="11"/>
  <c r="U12" i="11"/>
  <c r="U25" i="11"/>
  <c r="U7" i="11"/>
  <c r="U23" i="11"/>
  <c r="U15" i="11"/>
  <c r="U18" i="11"/>
  <c r="U16" i="11"/>
  <c r="U13" i="11"/>
  <c r="U8" i="11"/>
  <c r="U14" i="11"/>
  <c r="U19" i="11"/>
  <c r="I16" i="11"/>
  <c r="I25" i="11"/>
  <c r="I19" i="11"/>
  <c r="I18" i="11"/>
  <c r="J19" i="11"/>
  <c r="J18" i="11"/>
  <c r="J16" i="11"/>
  <c r="J25" i="11"/>
  <c r="I17" i="11"/>
  <c r="J17" i="11"/>
  <c r="K25" i="11"/>
  <c r="K19" i="11"/>
  <c r="K18" i="11"/>
  <c r="K16" i="11"/>
  <c r="K17" i="11"/>
  <c r="L19" i="11"/>
  <c r="L16" i="11"/>
  <c r="L18" i="11"/>
  <c r="L25" i="11"/>
  <c r="L17" i="11"/>
  <c r="M16" i="11"/>
  <c r="M25" i="11"/>
  <c r="M18" i="11"/>
  <c r="M19" i="11"/>
  <c r="M17" i="11"/>
  <c r="N19" i="11"/>
  <c r="N16" i="11"/>
  <c r="N25" i="11"/>
  <c r="N18" i="11"/>
  <c r="O25" i="11"/>
  <c r="O19" i="11"/>
  <c r="O16" i="11"/>
  <c r="N17" i="11"/>
  <c r="O18" i="11"/>
  <c r="O17" i="11"/>
  <c r="P25" i="11"/>
  <c r="P7" i="11"/>
  <c r="P18" i="11"/>
  <c r="P16" i="11"/>
  <c r="P19" i="11"/>
  <c r="M15" i="11"/>
  <c r="Q20" i="11"/>
  <c r="Q16" i="11"/>
  <c r="R15" i="11"/>
  <c r="R8" i="11"/>
  <c r="R23" i="11"/>
  <c r="G9" i="11"/>
  <c r="T20" i="11"/>
  <c r="G24" i="11"/>
  <c r="D11" i="11"/>
  <c r="G11" i="11"/>
  <c r="T19" i="11"/>
  <c r="L24" i="11"/>
  <c r="L8" i="11"/>
  <c r="J24" i="11"/>
  <c r="J15" i="11"/>
  <c r="P23" i="11"/>
  <c r="P13" i="11"/>
  <c r="K7" i="11"/>
  <c r="E11" i="11"/>
  <c r="D10" i="11"/>
  <c r="S23" i="11"/>
  <c r="S20" i="11"/>
  <c r="Q15" i="11"/>
  <c r="G21" i="11"/>
  <c r="T14" i="11"/>
  <c r="O11" i="11"/>
  <c r="O8" i="11"/>
  <c r="N23" i="11"/>
  <c r="M10" i="11"/>
  <c r="E22" i="11"/>
  <c r="D22" i="11"/>
  <c r="M12" i="11"/>
  <c r="M7" i="11"/>
  <c r="S17" i="11"/>
  <c r="S12" i="11"/>
  <c r="Q18" i="11"/>
  <c r="R12" i="11"/>
  <c r="T23" i="11"/>
  <c r="T16" i="11"/>
  <c r="O24" i="11"/>
  <c r="R17" i="11"/>
  <c r="P12" i="11"/>
  <c r="I24" i="11"/>
  <c r="E10" i="11"/>
  <c r="S19" i="11"/>
  <c r="J13" i="11"/>
  <c r="P17" i="11"/>
  <c r="I9" i="11"/>
  <c r="L11" i="11"/>
  <c r="L20" i="11"/>
  <c r="J23" i="11"/>
  <c r="I13" i="11"/>
  <c r="I23" i="11"/>
  <c r="K13" i="11"/>
  <c r="E21" i="11"/>
  <c r="D21" i="11"/>
  <c r="S16" i="11"/>
  <c r="Q8" i="11"/>
  <c r="T25" i="11"/>
  <c r="T7" i="11"/>
  <c r="O7" i="11"/>
  <c r="L12" i="11"/>
  <c r="L9" i="11"/>
  <c r="L7" i="11"/>
  <c r="J21" i="11"/>
  <c r="J11" i="11"/>
  <c r="N9" i="11"/>
  <c r="I10" i="11"/>
  <c r="I22" i="11"/>
  <c r="K22" i="11"/>
  <c r="E24" i="11"/>
  <c r="D24" i="11"/>
  <c r="T8" i="11"/>
  <c r="L14" i="11"/>
  <c r="F21" i="11"/>
  <c r="N12" i="11"/>
  <c r="M24" i="11"/>
  <c r="N21" i="11"/>
  <c r="K9" i="11"/>
  <c r="L10" i="11"/>
  <c r="J22" i="11"/>
  <c r="J7" i="11"/>
  <c r="N13" i="11"/>
  <c r="N8" i="11"/>
  <c r="O12" i="11"/>
  <c r="O13" i="11"/>
  <c r="P8" i="11"/>
  <c r="P14" i="11"/>
  <c r="I11" i="11"/>
  <c r="K15" i="11"/>
  <c r="F10" i="11"/>
  <c r="M11" i="11"/>
  <c r="M8" i="11"/>
  <c r="M13" i="11"/>
  <c r="S8" i="11"/>
  <c r="S18" i="11"/>
  <c r="H21" i="11"/>
  <c r="Q23" i="11"/>
  <c r="R16" i="11"/>
  <c r="R7" i="11"/>
  <c r="T12" i="11"/>
  <c r="T15" i="11"/>
  <c r="K21" i="11"/>
  <c r="N24" i="11"/>
  <c r="O14" i="11"/>
  <c r="K24" i="11"/>
  <c r="E9" i="11"/>
  <c r="N10" i="11"/>
  <c r="O23" i="11"/>
  <c r="I8" i="11"/>
  <c r="K14" i="11"/>
  <c r="N15" i="11"/>
  <c r="O10" i="11"/>
  <c r="I15" i="11"/>
  <c r="F11" i="11"/>
  <c r="M9" i="11"/>
  <c r="S14" i="11"/>
  <c r="H22" i="11"/>
  <c r="Q25" i="11"/>
  <c r="Q19" i="11"/>
  <c r="R18" i="11"/>
  <c r="T13" i="11"/>
  <c r="J8" i="11"/>
  <c r="N11" i="11"/>
  <c r="M21" i="11"/>
  <c r="H24" i="11"/>
  <c r="T17" i="11"/>
  <c r="P20" i="11"/>
  <c r="S7" i="11"/>
  <c r="L21" i="11"/>
  <c r="N22" i="11"/>
  <c r="I14" i="11"/>
  <c r="D9" i="11"/>
  <c r="S13" i="11"/>
  <c r="K11" i="11"/>
  <c r="L13" i="11"/>
  <c r="J9" i="11"/>
  <c r="N20" i="11"/>
  <c r="I21" i="11"/>
  <c r="I7" i="11"/>
  <c r="K20" i="11"/>
  <c r="F9" i="11"/>
  <c r="M22" i="11"/>
  <c r="H9" i="11"/>
  <c r="Q7" i="11"/>
  <c r="R13" i="11"/>
  <c r="R25" i="11"/>
  <c r="J10" i="11"/>
  <c r="Q14" i="11"/>
  <c r="O15" i="11"/>
  <c r="J14" i="11"/>
  <c r="N7" i="11"/>
  <c r="N14" i="11"/>
  <c r="O22" i="11"/>
  <c r="O21" i="11"/>
  <c r="P15" i="11"/>
  <c r="I20" i="11"/>
  <c r="K8" i="11"/>
  <c r="K12" i="11"/>
  <c r="K10" i="11"/>
  <c r="F24" i="11"/>
  <c r="M20" i="11"/>
  <c r="M14" i="11"/>
  <c r="S25" i="11"/>
  <c r="H11" i="11"/>
  <c r="Q12" i="11"/>
  <c r="R19" i="11"/>
  <c r="R14" i="11"/>
  <c r="G10" i="11"/>
  <c r="M23" i="11"/>
  <c r="L23" i="11"/>
  <c r="L15" i="11"/>
  <c r="L22" i="11"/>
  <c r="J20" i="11"/>
  <c r="J12" i="11"/>
  <c r="O20" i="11"/>
  <c r="O9" i="11"/>
  <c r="I12" i="11"/>
  <c r="K23" i="11"/>
  <c r="F22" i="11"/>
  <c r="S15" i="11"/>
  <c r="H10" i="11"/>
  <c r="Q13" i="11"/>
  <c r="Q17" i="11"/>
  <c r="R20" i="11"/>
  <c r="G22" i="11"/>
  <c r="T18" i="11"/>
  <c r="H17" i="11"/>
  <c r="H12" i="11"/>
  <c r="C11" i="11"/>
  <c r="C24" i="11"/>
  <c r="H20" i="11"/>
  <c r="C22" i="11"/>
  <c r="H8" i="11"/>
  <c r="H16" i="11"/>
  <c r="H25" i="11"/>
  <c r="H18" i="11"/>
  <c r="C10" i="11"/>
  <c r="H14" i="11"/>
  <c r="H23" i="11"/>
  <c r="H19" i="11"/>
  <c r="C7" i="11"/>
  <c r="H13" i="11"/>
  <c r="C9" i="11"/>
  <c r="H7" i="11"/>
  <c r="C21" i="11"/>
  <c r="H15" i="11"/>
  <c r="D19" i="11"/>
  <c r="F8" i="11"/>
  <c r="E8" i="11"/>
  <c r="D8" i="11"/>
  <c r="E7" i="11"/>
  <c r="D14" i="11"/>
  <c r="D15" i="11"/>
  <c r="F25" i="11"/>
  <c r="G17" i="11"/>
  <c r="F18" i="11"/>
  <c r="D17" i="11"/>
  <c r="D7" i="11"/>
  <c r="F15" i="11"/>
  <c r="E18" i="11"/>
  <c r="G16" i="11"/>
  <c r="F13" i="11"/>
  <c r="E14" i="11"/>
  <c r="G7" i="11"/>
  <c r="G18" i="11"/>
  <c r="E16" i="11"/>
  <c r="G20" i="11"/>
  <c r="G23" i="11"/>
  <c r="F19" i="11"/>
  <c r="F12" i="11"/>
  <c r="D13" i="11"/>
  <c r="E12" i="11"/>
  <c r="D23" i="11"/>
  <c r="G8" i="11"/>
  <c r="D20" i="11"/>
  <c r="G25" i="11"/>
  <c r="F20" i="11"/>
  <c r="E15" i="11"/>
  <c r="D18" i="11"/>
  <c r="G15" i="11"/>
  <c r="D12" i="11"/>
  <c r="F23" i="11"/>
  <c r="E13" i="11"/>
  <c r="F17" i="11"/>
  <c r="D16" i="11"/>
  <c r="E17" i="11"/>
  <c r="E23" i="11"/>
  <c r="E20" i="11"/>
  <c r="G19" i="11"/>
  <c r="G13" i="11"/>
  <c r="F7" i="11"/>
  <c r="F16" i="11"/>
  <c r="E19" i="11"/>
  <c r="D25" i="11"/>
  <c r="G12" i="11"/>
  <c r="D3" i="3"/>
  <c r="B19" i="78" l="1"/>
  <c r="D10425" i="3"/>
  <c r="D61" i="11"/>
  <c r="D52" i="11"/>
  <c r="C62" i="11"/>
  <c r="C58" i="11"/>
  <c r="C51" i="11"/>
  <c r="F48" i="11"/>
  <c r="B49" i="11"/>
  <c r="B56" i="11"/>
  <c r="F61" i="11"/>
  <c r="B48" i="11"/>
  <c r="E48" i="11" s="1"/>
  <c r="D47" i="11"/>
  <c r="B64" i="11"/>
  <c r="E64" i="11" s="1"/>
  <c r="B62" i="11"/>
  <c r="C43" i="11"/>
  <c r="F58" i="11"/>
  <c r="C47" i="11"/>
  <c r="B13" i="78" s="1"/>
  <c r="D9585" i="3" s="1"/>
  <c r="D58" i="11"/>
  <c r="C49" i="11"/>
  <c r="D45" i="11"/>
  <c r="E45" i="11" s="1"/>
  <c r="G45" i="11" s="1"/>
  <c r="D59" i="11"/>
  <c r="D43" i="11"/>
  <c r="D60" i="11"/>
  <c r="D50" i="11"/>
  <c r="B52" i="11"/>
  <c r="C55" i="11"/>
  <c r="C53" i="11"/>
  <c r="B47" i="11"/>
  <c r="F63" i="11"/>
  <c r="D56" i="11"/>
  <c r="B57" i="11"/>
  <c r="B59" i="11"/>
  <c r="F52" i="11"/>
  <c r="D49" i="11"/>
  <c r="D57" i="11"/>
  <c r="F47" i="11"/>
  <c r="B43" i="11"/>
  <c r="F54" i="11"/>
  <c r="C57" i="11"/>
  <c r="D62" i="11"/>
  <c r="D55" i="11"/>
  <c r="B61" i="11"/>
  <c r="F60" i="11"/>
  <c r="B55" i="11"/>
  <c r="B58" i="11"/>
  <c r="F53" i="11"/>
  <c r="B63" i="11"/>
  <c r="E63" i="11" s="1"/>
  <c r="F49" i="11"/>
  <c r="D46" i="11"/>
  <c r="E46" i="11" s="1"/>
  <c r="G46" i="11" s="1"/>
  <c r="B50" i="11"/>
  <c r="B60" i="11"/>
  <c r="B54" i="11"/>
  <c r="C56" i="11"/>
  <c r="F50" i="11"/>
  <c r="F62" i="11"/>
  <c r="B51" i="11"/>
  <c r="D53" i="11"/>
  <c r="F43" i="11"/>
  <c r="C54" i="11"/>
  <c r="F59" i="11"/>
  <c r="B53" i="11"/>
  <c r="F55" i="11"/>
  <c r="D54" i="11"/>
  <c r="F64" i="11"/>
  <c r="C60" i="11"/>
  <c r="F56" i="11"/>
  <c r="F57" i="11"/>
  <c r="C44" i="11"/>
  <c r="D51" i="11"/>
  <c r="D44" i="11"/>
  <c r="F51" i="11"/>
  <c r="F25" i="4"/>
  <c r="D10424" i="3" s="1"/>
  <c r="D14" i="3"/>
  <c r="D13" i="3"/>
  <c r="D8" i="3"/>
  <c r="D9" i="3"/>
  <c r="J9" i="3" s="1"/>
  <c r="A9" i="1"/>
  <c r="D37" i="3"/>
  <c r="F37" i="3"/>
  <c r="G37" i="3"/>
  <c r="D17" i="3"/>
  <c r="J17" i="3" s="1"/>
  <c r="D16" i="3"/>
  <c r="F16" i="3"/>
  <c r="G16" i="3"/>
  <c r="D15" i="3"/>
  <c r="J15" i="3" s="1"/>
  <c r="F15" i="3"/>
  <c r="G15" i="3"/>
  <c r="F17" i="3"/>
  <c r="G17" i="3"/>
  <c r="F14" i="3"/>
  <c r="G14" i="3"/>
  <c r="F9" i="3"/>
  <c r="G9" i="3"/>
  <c r="D4" i="3"/>
  <c r="J4" i="3" s="1"/>
  <c r="F3" i="3"/>
  <c r="G3" i="3"/>
  <c r="D7" i="3"/>
  <c r="D6" i="3"/>
  <c r="I6" i="3" s="1"/>
  <c r="D5" i="3"/>
  <c r="I5" i="3" s="1"/>
  <c r="F4" i="3"/>
  <c r="G4" i="3"/>
  <c r="F5" i="3"/>
  <c r="G5" i="3"/>
  <c r="F6" i="3"/>
  <c r="G6" i="3"/>
  <c r="F7" i="3"/>
  <c r="G7" i="3"/>
  <c r="I3" i="3"/>
  <c r="I7" i="3"/>
  <c r="B22" i="78" l="1"/>
  <c r="D9594" i="3" s="1"/>
  <c r="D9591" i="3"/>
  <c r="I9585" i="3"/>
  <c r="J9585" i="3"/>
  <c r="H9585" i="3"/>
  <c r="D10431" i="3"/>
  <c r="D10429" i="3"/>
  <c r="J10429" i="3" s="1"/>
  <c r="D10436" i="3"/>
  <c r="J10430" i="3"/>
  <c r="J10424" i="3"/>
  <c r="H10424" i="3"/>
  <c r="B23" i="78"/>
  <c r="D10437" i="3"/>
  <c r="H10437" i="3" s="1"/>
  <c r="J10425" i="3"/>
  <c r="H10425" i="3"/>
  <c r="E52" i="11"/>
  <c r="G52" i="11" s="1"/>
  <c r="E61" i="11"/>
  <c r="G61" i="11" s="1"/>
  <c r="G64" i="11"/>
  <c r="E50" i="11"/>
  <c r="E43" i="11"/>
  <c r="G43" i="11" s="1"/>
  <c r="E62" i="11"/>
  <c r="G62" i="11" s="1"/>
  <c r="G63" i="11"/>
  <c r="E55" i="11"/>
  <c r="G48" i="11"/>
  <c r="E49" i="11"/>
  <c r="G49" i="11" s="1"/>
  <c r="E47" i="11"/>
  <c r="B11" i="78" s="1"/>
  <c r="D9583" i="3" s="1"/>
  <c r="E58" i="11"/>
  <c r="G58" i="11" s="1"/>
  <c r="E59" i="11"/>
  <c r="G59" i="11" s="1"/>
  <c r="E53" i="11"/>
  <c r="G53" i="11" s="1"/>
  <c r="E44" i="11"/>
  <c r="G44" i="11" s="1"/>
  <c r="E56" i="11"/>
  <c r="E51" i="11"/>
  <c r="G51" i="11" s="1"/>
  <c r="E54" i="11"/>
  <c r="G54" i="11" s="1"/>
  <c r="E60" i="11"/>
  <c r="G60" i="11" s="1"/>
  <c r="E57" i="11"/>
  <c r="G57" i="11" s="1"/>
  <c r="F64" i="4"/>
  <c r="J37" i="3"/>
  <c r="J16" i="3"/>
  <c r="H14" i="3"/>
  <c r="J3" i="3"/>
  <c r="H4" i="3"/>
  <c r="J5" i="3"/>
  <c r="J7" i="3"/>
  <c r="J6" i="3"/>
  <c r="B18" i="4"/>
  <c r="A2" i="16"/>
  <c r="A2" i="7"/>
  <c r="A2" i="78"/>
  <c r="A2" i="26"/>
  <c r="A2" i="79"/>
  <c r="A2" i="80"/>
  <c r="A2" i="77"/>
  <c r="A2" i="76"/>
  <c r="A2" i="75"/>
  <c r="A2" i="12"/>
  <c r="A2" i="9"/>
  <c r="A2" i="10"/>
  <c r="A2" i="11"/>
  <c r="A2" i="20"/>
  <c r="A2" i="19"/>
  <c r="A2" i="18"/>
  <c r="A2" i="5"/>
  <c r="A2" i="4"/>
  <c r="A2" i="32"/>
  <c r="A1" i="16"/>
  <c r="A1" i="7"/>
  <c r="A1" i="78"/>
  <c r="A1" i="26"/>
  <c r="A1" i="79"/>
  <c r="A1" i="80"/>
  <c r="A1" i="77"/>
  <c r="A1" i="76"/>
  <c r="A1" i="75"/>
  <c r="A1" i="12"/>
  <c r="A1" i="9"/>
  <c r="A1" i="10"/>
  <c r="A1" i="11"/>
  <c r="A1" i="20"/>
  <c r="A1" i="19"/>
  <c r="A1" i="18"/>
  <c r="A1" i="5"/>
  <c r="A1" i="32"/>
  <c r="A1" i="4"/>
  <c r="D33" i="3"/>
  <c r="J33" i="3" s="1"/>
  <c r="D29" i="3"/>
  <c r="D25" i="3"/>
  <c r="D21" i="3"/>
  <c r="I21" i="3" s="1"/>
  <c r="F21" i="3"/>
  <c r="G21" i="3"/>
  <c r="F22" i="3"/>
  <c r="G22" i="3"/>
  <c r="F23" i="3"/>
  <c r="G23" i="3"/>
  <c r="F24" i="3"/>
  <c r="G24" i="3"/>
  <c r="F25" i="3"/>
  <c r="G25" i="3"/>
  <c r="F26" i="3"/>
  <c r="G26" i="3"/>
  <c r="F27" i="3"/>
  <c r="G27" i="3"/>
  <c r="F28" i="3"/>
  <c r="G28" i="3"/>
  <c r="F29" i="3"/>
  <c r="G29" i="3"/>
  <c r="F30" i="3"/>
  <c r="G30" i="3"/>
  <c r="F31" i="3"/>
  <c r="G31" i="3"/>
  <c r="F32" i="3"/>
  <c r="G32" i="3"/>
  <c r="F33" i="3"/>
  <c r="G33" i="3"/>
  <c r="F34" i="3"/>
  <c r="G34" i="3"/>
  <c r="D32" i="3"/>
  <c r="I32" i="3" s="1"/>
  <c r="D31" i="3"/>
  <c r="D28" i="3"/>
  <c r="J28" i="3" s="1"/>
  <c r="D27" i="3"/>
  <c r="I27" i="3" s="1"/>
  <c r="D30" i="3"/>
  <c r="J30" i="3" s="1"/>
  <c r="D26" i="3"/>
  <c r="J26" i="3" s="1"/>
  <c r="B41" i="4"/>
  <c r="B12" i="79" s="1"/>
  <c r="D19" i="3"/>
  <c r="D23" i="3"/>
  <c r="I23" i="3" s="1"/>
  <c r="D24" i="3"/>
  <c r="I24" i="3" s="1"/>
  <c r="D22" i="3"/>
  <c r="J22" i="3" s="1"/>
  <c r="D20" i="3"/>
  <c r="D18" i="3"/>
  <c r="D34" i="3"/>
  <c r="B58" i="4"/>
  <c r="F35" i="3"/>
  <c r="G35" i="3"/>
  <c r="F36" i="3"/>
  <c r="G36" i="3"/>
  <c r="B51" i="4"/>
  <c r="H16" i="3"/>
  <c r="I16" i="3"/>
  <c r="H6" i="3"/>
  <c r="H3" i="3"/>
  <c r="H5" i="3"/>
  <c r="I9" i="3"/>
  <c r="H9" i="3"/>
  <c r="H10430" i="3"/>
  <c r="I10430" i="3"/>
  <c r="I10425" i="3"/>
  <c r="I34" i="3"/>
  <c r="I10424" i="3"/>
  <c r="I4" i="3"/>
  <c r="H15" i="3"/>
  <c r="H37" i="3"/>
  <c r="H10436" i="3"/>
  <c r="I15" i="3"/>
  <c r="I17" i="3"/>
  <c r="I37" i="3"/>
  <c r="H7" i="3"/>
  <c r="H17" i="3"/>
  <c r="H10431" i="3"/>
  <c r="H9591" i="3" l="1"/>
  <c r="J9591" i="3"/>
  <c r="I9591" i="3"/>
  <c r="D9595" i="3"/>
  <c r="I9594" i="3"/>
  <c r="J9594" i="3"/>
  <c r="H9594" i="3"/>
  <c r="J9583" i="3"/>
  <c r="H9583" i="3"/>
  <c r="I9583" i="3"/>
  <c r="H10429" i="3"/>
  <c r="I10429" i="3"/>
  <c r="D10435" i="3"/>
  <c r="H10435" i="3" s="1"/>
  <c r="J10431" i="3"/>
  <c r="J10436" i="3"/>
  <c r="H29" i="3"/>
  <c r="I22" i="3"/>
  <c r="H25" i="3"/>
  <c r="I26" i="3"/>
  <c r="H22" i="3"/>
  <c r="B14" i="78"/>
  <c r="D9586" i="3" s="1"/>
  <c r="I9586" i="3" s="1"/>
  <c r="G56" i="11"/>
  <c r="B13" i="79"/>
  <c r="I10437" i="3"/>
  <c r="J10437" i="3"/>
  <c r="G47" i="11"/>
  <c r="G50" i="11"/>
  <c r="B15" i="78"/>
  <c r="D9587" i="3" s="1"/>
  <c r="I9587" i="3" s="1"/>
  <c r="G55" i="11"/>
  <c r="J14" i="3"/>
  <c r="H32" i="3"/>
  <c r="J24" i="3"/>
  <c r="H24" i="3"/>
  <c r="J23" i="3"/>
  <c r="I28" i="3"/>
  <c r="J31" i="3"/>
  <c r="H34" i="3"/>
  <c r="H28" i="3"/>
  <c r="J34" i="3"/>
  <c r="J27" i="3"/>
  <c r="J32" i="3"/>
  <c r="J29" i="3"/>
  <c r="J25" i="3"/>
  <c r="J21" i="3"/>
  <c r="B20" i="4"/>
  <c r="B19" i="4"/>
  <c r="B11" i="4"/>
  <c r="B7" i="4"/>
  <c r="J19" i="3"/>
  <c r="F19" i="3"/>
  <c r="G19" i="3"/>
  <c r="F20" i="3"/>
  <c r="G20" i="3"/>
  <c r="I20" i="3"/>
  <c r="I31" i="3"/>
  <c r="H31" i="3"/>
  <c r="H27" i="3"/>
  <c r="H23" i="3"/>
  <c r="H21" i="3"/>
  <c r="I14" i="3"/>
  <c r="I29" i="3"/>
  <c r="I33" i="3"/>
  <c r="H30" i="3"/>
  <c r="I25" i="3"/>
  <c r="H26" i="3"/>
  <c r="H33" i="3"/>
  <c r="I30" i="3"/>
  <c r="I10436" i="3"/>
  <c r="I10431" i="3"/>
  <c r="I9595" i="3" l="1"/>
  <c r="J9595" i="3"/>
  <c r="H9595" i="3"/>
  <c r="H9586" i="3"/>
  <c r="J9586" i="3"/>
  <c r="H9587" i="3"/>
  <c r="J9587" i="3"/>
  <c r="I10435" i="3"/>
  <c r="J10435" i="3"/>
  <c r="B17" i="78"/>
  <c r="J20" i="3"/>
  <c r="H20" i="3"/>
  <c r="I19" i="3"/>
  <c r="H19" i="3"/>
  <c r="D9589" i="3" l="1"/>
  <c r="I9589" i="3" s="1"/>
  <c r="B25" i="78"/>
  <c r="F18" i="3"/>
  <c r="G18" i="3"/>
  <c r="B19" i="2"/>
  <c r="F12" i="3"/>
  <c r="G12" i="3"/>
  <c r="B33" i="4"/>
  <c r="D12" i="3" s="1"/>
  <c r="J8" i="3"/>
  <c r="F8" i="3"/>
  <c r="G8" i="3"/>
  <c r="F147" i="3"/>
  <c r="F8734" i="3"/>
  <c r="F8735" i="3"/>
  <c r="F8736" i="3"/>
  <c r="F8737" i="3"/>
  <c r="F8738" i="3"/>
  <c r="F8739" i="3"/>
  <c r="F8740" i="3"/>
  <c r="F8741" i="3"/>
  <c r="F8742" i="3"/>
  <c r="F8743" i="3"/>
  <c r="F8744" i="3"/>
  <c r="F8745" i="3"/>
  <c r="F8746" i="3"/>
  <c r="F8747" i="3"/>
  <c r="F8748" i="3"/>
  <c r="F8749" i="3"/>
  <c r="F8750" i="3"/>
  <c r="F8751" i="3"/>
  <c r="F8752" i="3"/>
  <c r="F8753" i="3"/>
  <c r="F8754" i="3"/>
  <c r="F8755" i="3"/>
  <c r="F8756" i="3"/>
  <c r="F8757" i="3"/>
  <c r="F8758" i="3"/>
  <c r="F8759" i="3"/>
  <c r="F8760" i="3"/>
  <c r="F8761" i="3"/>
  <c r="F8762" i="3"/>
  <c r="F8763" i="3"/>
  <c r="F8764" i="3"/>
  <c r="F8765" i="3"/>
  <c r="F8766" i="3"/>
  <c r="F8767" i="3"/>
  <c r="F8768" i="3"/>
  <c r="F8769" i="3"/>
  <c r="F8770" i="3"/>
  <c r="F8771" i="3"/>
  <c r="F8772" i="3"/>
  <c r="F8773" i="3"/>
  <c r="F8774" i="3"/>
  <c r="F8775" i="3"/>
  <c r="F8776" i="3"/>
  <c r="F8777" i="3"/>
  <c r="F8778" i="3"/>
  <c r="F8779" i="3"/>
  <c r="F8780" i="3"/>
  <c r="F8781" i="3"/>
  <c r="F8782" i="3"/>
  <c r="F8783" i="3"/>
  <c r="F8784" i="3"/>
  <c r="F8785" i="3"/>
  <c r="F8786" i="3"/>
  <c r="F8787" i="3"/>
  <c r="F8788" i="3"/>
  <c r="F8789" i="3"/>
  <c r="F8790" i="3"/>
  <c r="F8791" i="3"/>
  <c r="F8792" i="3"/>
  <c r="F8793" i="3"/>
  <c r="F8794" i="3"/>
  <c r="F8795" i="3"/>
  <c r="F8796" i="3"/>
  <c r="F8797" i="3"/>
  <c r="F8798" i="3"/>
  <c r="F8799" i="3"/>
  <c r="F8800" i="3"/>
  <c r="F8801" i="3"/>
  <c r="F8802" i="3"/>
  <c r="F8803" i="3"/>
  <c r="F8804" i="3"/>
  <c r="F8805" i="3"/>
  <c r="F8806" i="3"/>
  <c r="F8807" i="3"/>
  <c r="F8808" i="3"/>
  <c r="F8809" i="3"/>
  <c r="F8810" i="3"/>
  <c r="F8811" i="3"/>
  <c r="F8812" i="3"/>
  <c r="F8813" i="3"/>
  <c r="F8814" i="3"/>
  <c r="F8815" i="3"/>
  <c r="F8816" i="3"/>
  <c r="F8817" i="3"/>
  <c r="F8818" i="3"/>
  <c r="F8819" i="3"/>
  <c r="F8820" i="3"/>
  <c r="F8821" i="3"/>
  <c r="F8822" i="3"/>
  <c r="F8823" i="3"/>
  <c r="F8824" i="3"/>
  <c r="F8825" i="3"/>
  <c r="F8826" i="3"/>
  <c r="F8827" i="3"/>
  <c r="F8828" i="3"/>
  <c r="F8829" i="3"/>
  <c r="F8830" i="3"/>
  <c r="F8831" i="3"/>
  <c r="F8832" i="3"/>
  <c r="F8833" i="3"/>
  <c r="F8834" i="3"/>
  <c r="F8835" i="3"/>
  <c r="F8836" i="3"/>
  <c r="F8837" i="3"/>
  <c r="F8838" i="3"/>
  <c r="F8839" i="3"/>
  <c r="F8840" i="3"/>
  <c r="F8841" i="3"/>
  <c r="F8842" i="3"/>
  <c r="F8843" i="3"/>
  <c r="F8844" i="3"/>
  <c r="F8845" i="3"/>
  <c r="F8846" i="3"/>
  <c r="F8847" i="3"/>
  <c r="F8848" i="3"/>
  <c r="F8849" i="3"/>
  <c r="F8850" i="3"/>
  <c r="F8851" i="3"/>
  <c r="F8852" i="3"/>
  <c r="F8853" i="3"/>
  <c r="F8854" i="3"/>
  <c r="F8855" i="3"/>
  <c r="F8856" i="3"/>
  <c r="F8857" i="3"/>
  <c r="F8858" i="3"/>
  <c r="F8859" i="3"/>
  <c r="F8860" i="3"/>
  <c r="F8861" i="3"/>
  <c r="F8862" i="3"/>
  <c r="F8863" i="3"/>
  <c r="F8864" i="3"/>
  <c r="F8865" i="3"/>
  <c r="F8866" i="3"/>
  <c r="F8867" i="3"/>
  <c r="F8868" i="3"/>
  <c r="F8869" i="3"/>
  <c r="F8870" i="3"/>
  <c r="F8871" i="3"/>
  <c r="F8872" i="3"/>
  <c r="F8873" i="3"/>
  <c r="F8874" i="3"/>
  <c r="F8875" i="3"/>
  <c r="F8876" i="3"/>
  <c r="F8877" i="3"/>
  <c r="F8878" i="3"/>
  <c r="F8879" i="3"/>
  <c r="F8880" i="3"/>
  <c r="F8881" i="3"/>
  <c r="F8882" i="3"/>
  <c r="F8883" i="3"/>
  <c r="F8884" i="3"/>
  <c r="F8885" i="3"/>
  <c r="F8886" i="3"/>
  <c r="F8887" i="3"/>
  <c r="F8888" i="3"/>
  <c r="F8889" i="3"/>
  <c r="F8890" i="3"/>
  <c r="F8891" i="3"/>
  <c r="F8892" i="3"/>
  <c r="F8893" i="3"/>
  <c r="F8894" i="3"/>
  <c r="F8895" i="3"/>
  <c r="F8896" i="3"/>
  <c r="F8897" i="3"/>
  <c r="F8898" i="3"/>
  <c r="F8899" i="3"/>
  <c r="F8900" i="3"/>
  <c r="F8901" i="3"/>
  <c r="F8902" i="3"/>
  <c r="F8903" i="3"/>
  <c r="F8904" i="3"/>
  <c r="F8905" i="3"/>
  <c r="F8906" i="3"/>
  <c r="F8907" i="3"/>
  <c r="F8908" i="3"/>
  <c r="F8909" i="3"/>
  <c r="F8910" i="3"/>
  <c r="F8911" i="3"/>
  <c r="F8912" i="3"/>
  <c r="F8913" i="3"/>
  <c r="F8914" i="3"/>
  <c r="F8915" i="3"/>
  <c r="F8916" i="3"/>
  <c r="F8917" i="3"/>
  <c r="F8918" i="3"/>
  <c r="F8919" i="3"/>
  <c r="F8920" i="3"/>
  <c r="F8921" i="3"/>
  <c r="F8922" i="3"/>
  <c r="F8923" i="3"/>
  <c r="F8924" i="3"/>
  <c r="F8925" i="3"/>
  <c r="F8926" i="3"/>
  <c r="F8927" i="3"/>
  <c r="F8928" i="3"/>
  <c r="F8929" i="3"/>
  <c r="F8930" i="3"/>
  <c r="F8931" i="3"/>
  <c r="F8932" i="3"/>
  <c r="F8933" i="3"/>
  <c r="F8934" i="3"/>
  <c r="F8935" i="3"/>
  <c r="F8936" i="3"/>
  <c r="F8937" i="3"/>
  <c r="F8938" i="3"/>
  <c r="F8939" i="3"/>
  <c r="F8940" i="3"/>
  <c r="F8941" i="3"/>
  <c r="F8942" i="3"/>
  <c r="F8943" i="3"/>
  <c r="F8944" i="3"/>
  <c r="F8945" i="3"/>
  <c r="F8946" i="3"/>
  <c r="F8947" i="3"/>
  <c r="F8948" i="3"/>
  <c r="F8949" i="3"/>
  <c r="F8950" i="3"/>
  <c r="F8951" i="3"/>
  <c r="F8952" i="3"/>
  <c r="F8953" i="3"/>
  <c r="F8954" i="3"/>
  <c r="F8955" i="3"/>
  <c r="F8956" i="3"/>
  <c r="F8957" i="3"/>
  <c r="F8958" i="3"/>
  <c r="F8959" i="3"/>
  <c r="F8960" i="3"/>
  <c r="F8961" i="3"/>
  <c r="F8962" i="3"/>
  <c r="F8963" i="3"/>
  <c r="F8964" i="3"/>
  <c r="F8965" i="3"/>
  <c r="F8966" i="3"/>
  <c r="F8967" i="3"/>
  <c r="F8968" i="3"/>
  <c r="F8969" i="3"/>
  <c r="F8970" i="3"/>
  <c r="F8971" i="3"/>
  <c r="F8972" i="3"/>
  <c r="F8973" i="3"/>
  <c r="F8974" i="3"/>
  <c r="F8975" i="3"/>
  <c r="F8976" i="3"/>
  <c r="F8977" i="3"/>
  <c r="F8978" i="3"/>
  <c r="F8979" i="3"/>
  <c r="F8980" i="3"/>
  <c r="F8981" i="3"/>
  <c r="F8982" i="3"/>
  <c r="F8983" i="3"/>
  <c r="F8984" i="3"/>
  <c r="F8985" i="3"/>
  <c r="F8986" i="3"/>
  <c r="F8987" i="3"/>
  <c r="F8988" i="3"/>
  <c r="F8989" i="3"/>
  <c r="F8990" i="3"/>
  <c r="F8991" i="3"/>
  <c r="F8992" i="3"/>
  <c r="F8993" i="3"/>
  <c r="F8994" i="3"/>
  <c r="F8995" i="3"/>
  <c r="F8996" i="3"/>
  <c r="F8997" i="3"/>
  <c r="F8998" i="3"/>
  <c r="F8999" i="3"/>
  <c r="F9000" i="3"/>
  <c r="F9001" i="3"/>
  <c r="F9002" i="3"/>
  <c r="F9003" i="3"/>
  <c r="F9004" i="3"/>
  <c r="F9005" i="3"/>
  <c r="F9006" i="3"/>
  <c r="F9007" i="3"/>
  <c r="F9008" i="3"/>
  <c r="F9009" i="3"/>
  <c r="F9010" i="3"/>
  <c r="F9011" i="3"/>
  <c r="F9012" i="3"/>
  <c r="F9013" i="3"/>
  <c r="F9014" i="3"/>
  <c r="F9015" i="3"/>
  <c r="F9016" i="3"/>
  <c r="F9017" i="3"/>
  <c r="F9018" i="3"/>
  <c r="F9019" i="3"/>
  <c r="F9020" i="3"/>
  <c r="F9021" i="3"/>
  <c r="F9022" i="3"/>
  <c r="F9023" i="3"/>
  <c r="F9024" i="3"/>
  <c r="F9025" i="3"/>
  <c r="F9026" i="3"/>
  <c r="F9027" i="3"/>
  <c r="F9028" i="3"/>
  <c r="F9029" i="3"/>
  <c r="F9030" i="3"/>
  <c r="F9031" i="3"/>
  <c r="F9032" i="3"/>
  <c r="F9033" i="3"/>
  <c r="F9034" i="3"/>
  <c r="F9035" i="3"/>
  <c r="F9036" i="3"/>
  <c r="F9037" i="3"/>
  <c r="F9038" i="3"/>
  <c r="F9039" i="3"/>
  <c r="F9040" i="3"/>
  <c r="F9041" i="3"/>
  <c r="F9042" i="3"/>
  <c r="F9043" i="3"/>
  <c r="F9044" i="3"/>
  <c r="F9045" i="3"/>
  <c r="F9046" i="3"/>
  <c r="F9047" i="3"/>
  <c r="F9048" i="3"/>
  <c r="F9049" i="3"/>
  <c r="F9050" i="3"/>
  <c r="F9051" i="3"/>
  <c r="F9052" i="3"/>
  <c r="F9053" i="3"/>
  <c r="F9054" i="3"/>
  <c r="F9055" i="3"/>
  <c r="F9056" i="3"/>
  <c r="F9057" i="3"/>
  <c r="F9058" i="3"/>
  <c r="F9059" i="3"/>
  <c r="F9060" i="3"/>
  <c r="F9061" i="3"/>
  <c r="F9062" i="3"/>
  <c r="F9063" i="3"/>
  <c r="F9064" i="3"/>
  <c r="F9065" i="3"/>
  <c r="F9066" i="3"/>
  <c r="F9067" i="3"/>
  <c r="F9068" i="3"/>
  <c r="F9069" i="3"/>
  <c r="F9070" i="3"/>
  <c r="F9071" i="3"/>
  <c r="F9072" i="3"/>
  <c r="F9073" i="3"/>
  <c r="F9074" i="3"/>
  <c r="F9075" i="3"/>
  <c r="F9076" i="3"/>
  <c r="F9077" i="3"/>
  <c r="F9078" i="3"/>
  <c r="F9079" i="3"/>
  <c r="F9080" i="3"/>
  <c r="F9081" i="3"/>
  <c r="F9082" i="3"/>
  <c r="F9083" i="3"/>
  <c r="F9084" i="3"/>
  <c r="F9085" i="3"/>
  <c r="F9086" i="3"/>
  <c r="F9087" i="3"/>
  <c r="F9088" i="3"/>
  <c r="F9089" i="3"/>
  <c r="F9090" i="3"/>
  <c r="F9091" i="3"/>
  <c r="F9092" i="3"/>
  <c r="F9093" i="3"/>
  <c r="F9094" i="3"/>
  <c r="F9095" i="3"/>
  <c r="F9096" i="3"/>
  <c r="F9097" i="3"/>
  <c r="F9098" i="3"/>
  <c r="F9099" i="3"/>
  <c r="F9100" i="3"/>
  <c r="F9101" i="3"/>
  <c r="F9102" i="3"/>
  <c r="F9103" i="3"/>
  <c r="F9104" i="3"/>
  <c r="F9105" i="3"/>
  <c r="F9106" i="3"/>
  <c r="F9107" i="3"/>
  <c r="F9108" i="3"/>
  <c r="F9109" i="3"/>
  <c r="F9110" i="3"/>
  <c r="F9111" i="3"/>
  <c r="F9112" i="3"/>
  <c r="F9113" i="3"/>
  <c r="F9114" i="3"/>
  <c r="F9115" i="3"/>
  <c r="F9116" i="3"/>
  <c r="F9117" i="3"/>
  <c r="F9118" i="3"/>
  <c r="F9119" i="3"/>
  <c r="F9120" i="3"/>
  <c r="F9121" i="3"/>
  <c r="F9122" i="3"/>
  <c r="F9123" i="3"/>
  <c r="F9124" i="3"/>
  <c r="F9125" i="3"/>
  <c r="F9126" i="3"/>
  <c r="F9127" i="3"/>
  <c r="F9128" i="3"/>
  <c r="F9129" i="3"/>
  <c r="F9130" i="3"/>
  <c r="F9131" i="3"/>
  <c r="F9132" i="3"/>
  <c r="F9133" i="3"/>
  <c r="F9134" i="3"/>
  <c r="F9135" i="3"/>
  <c r="F9136" i="3"/>
  <c r="F9137" i="3"/>
  <c r="F9138" i="3"/>
  <c r="F9139" i="3"/>
  <c r="F9140" i="3"/>
  <c r="F9141" i="3"/>
  <c r="F9142" i="3"/>
  <c r="F9143" i="3"/>
  <c r="F9144" i="3"/>
  <c r="F9145" i="3"/>
  <c r="F9146" i="3"/>
  <c r="F9147" i="3"/>
  <c r="F9148" i="3"/>
  <c r="F9149" i="3"/>
  <c r="F9150" i="3"/>
  <c r="F9151" i="3"/>
  <c r="F9152" i="3"/>
  <c r="F9153" i="3"/>
  <c r="F9154" i="3"/>
  <c r="F9155" i="3"/>
  <c r="F9156" i="3"/>
  <c r="F9157" i="3"/>
  <c r="F9158" i="3"/>
  <c r="F9159" i="3"/>
  <c r="F9160" i="3"/>
  <c r="F9161" i="3"/>
  <c r="F9162" i="3"/>
  <c r="F9163" i="3"/>
  <c r="F9164" i="3"/>
  <c r="F9165" i="3"/>
  <c r="F9166" i="3"/>
  <c r="F9167" i="3"/>
  <c r="F9168" i="3"/>
  <c r="F9169" i="3"/>
  <c r="F9170" i="3"/>
  <c r="F9171" i="3"/>
  <c r="F9172" i="3"/>
  <c r="F9173" i="3"/>
  <c r="F9174" i="3"/>
  <c r="F9175" i="3"/>
  <c r="F9176" i="3"/>
  <c r="F9177" i="3"/>
  <c r="F9178" i="3"/>
  <c r="F9179" i="3"/>
  <c r="F9180" i="3"/>
  <c r="F9181" i="3"/>
  <c r="F9182" i="3"/>
  <c r="F9183" i="3"/>
  <c r="F9184" i="3"/>
  <c r="F9185" i="3"/>
  <c r="F9186" i="3"/>
  <c r="F9187" i="3"/>
  <c r="F9188" i="3"/>
  <c r="F9189" i="3"/>
  <c r="F9190" i="3"/>
  <c r="F9191" i="3"/>
  <c r="F9192" i="3"/>
  <c r="F9193" i="3"/>
  <c r="F9194" i="3"/>
  <c r="F9195" i="3"/>
  <c r="F9196" i="3"/>
  <c r="F9197" i="3"/>
  <c r="F9198" i="3"/>
  <c r="F9199" i="3"/>
  <c r="F9200" i="3"/>
  <c r="F9201" i="3"/>
  <c r="F9202" i="3"/>
  <c r="F9203" i="3"/>
  <c r="F9204" i="3"/>
  <c r="F9205" i="3"/>
  <c r="F9206" i="3"/>
  <c r="F9207" i="3"/>
  <c r="F9208" i="3"/>
  <c r="F9209" i="3"/>
  <c r="F9210" i="3"/>
  <c r="F9211" i="3"/>
  <c r="F9212" i="3"/>
  <c r="F9213" i="3"/>
  <c r="F9214" i="3"/>
  <c r="F9215" i="3"/>
  <c r="F9216" i="3"/>
  <c r="F9217" i="3"/>
  <c r="F9218" i="3"/>
  <c r="F9219" i="3"/>
  <c r="F9220" i="3"/>
  <c r="F9221" i="3"/>
  <c r="F9222" i="3"/>
  <c r="F9223" i="3"/>
  <c r="F9224" i="3"/>
  <c r="F9225" i="3"/>
  <c r="F9226" i="3"/>
  <c r="F9227" i="3"/>
  <c r="F9228" i="3"/>
  <c r="F9229" i="3"/>
  <c r="F9230" i="3"/>
  <c r="F9231" i="3"/>
  <c r="F9232" i="3"/>
  <c r="F9233" i="3"/>
  <c r="F9234" i="3"/>
  <c r="F9235" i="3"/>
  <c r="F9236" i="3"/>
  <c r="F9237" i="3"/>
  <c r="F9238" i="3"/>
  <c r="F9239" i="3"/>
  <c r="F9240" i="3"/>
  <c r="F9241" i="3"/>
  <c r="F9242" i="3"/>
  <c r="F9243" i="3"/>
  <c r="F9244" i="3"/>
  <c r="F9245" i="3"/>
  <c r="F9246" i="3"/>
  <c r="F9247" i="3"/>
  <c r="F9248" i="3"/>
  <c r="F9249" i="3"/>
  <c r="F9250" i="3"/>
  <c r="F9251" i="3"/>
  <c r="F9252" i="3"/>
  <c r="F9253" i="3"/>
  <c r="F9254" i="3"/>
  <c r="F9255" i="3"/>
  <c r="F9256" i="3"/>
  <c r="F9257" i="3"/>
  <c r="F9258" i="3"/>
  <c r="F9259" i="3"/>
  <c r="F9260" i="3"/>
  <c r="F9261" i="3"/>
  <c r="F9262" i="3"/>
  <c r="F9263" i="3"/>
  <c r="F9264" i="3"/>
  <c r="F9265" i="3"/>
  <c r="F9266" i="3"/>
  <c r="F9267" i="3"/>
  <c r="F9268" i="3"/>
  <c r="F9269" i="3"/>
  <c r="F9270" i="3"/>
  <c r="F9271" i="3"/>
  <c r="F9272" i="3"/>
  <c r="F9273" i="3"/>
  <c r="F9274" i="3"/>
  <c r="F9275" i="3"/>
  <c r="F9276" i="3"/>
  <c r="F9277" i="3"/>
  <c r="F9278" i="3"/>
  <c r="F9279" i="3"/>
  <c r="F9280" i="3"/>
  <c r="F9281" i="3"/>
  <c r="F9282" i="3"/>
  <c r="F9283" i="3"/>
  <c r="F9284" i="3"/>
  <c r="F9285" i="3"/>
  <c r="F9286" i="3"/>
  <c r="F9287" i="3"/>
  <c r="F9288" i="3"/>
  <c r="F9289" i="3"/>
  <c r="F9290" i="3"/>
  <c r="F9291" i="3"/>
  <c r="F9292" i="3"/>
  <c r="F9293" i="3"/>
  <c r="F9294" i="3"/>
  <c r="F9295" i="3"/>
  <c r="F9296" i="3"/>
  <c r="F9297" i="3"/>
  <c r="F9298" i="3"/>
  <c r="F9299" i="3"/>
  <c r="F9300" i="3"/>
  <c r="F9301" i="3"/>
  <c r="F9302" i="3"/>
  <c r="F9303" i="3"/>
  <c r="F9304" i="3"/>
  <c r="F9305" i="3"/>
  <c r="F9306" i="3"/>
  <c r="F9307" i="3"/>
  <c r="F9308" i="3"/>
  <c r="F9309" i="3"/>
  <c r="F9310" i="3"/>
  <c r="F9311" i="3"/>
  <c r="F9312" i="3"/>
  <c r="F9313" i="3"/>
  <c r="F9314" i="3"/>
  <c r="F9315" i="3"/>
  <c r="F9316" i="3"/>
  <c r="F9317" i="3"/>
  <c r="F9318" i="3"/>
  <c r="F9319" i="3"/>
  <c r="F9320" i="3"/>
  <c r="F9321" i="3"/>
  <c r="F9322" i="3"/>
  <c r="F9323" i="3"/>
  <c r="F9324" i="3"/>
  <c r="F9325" i="3"/>
  <c r="F9326" i="3"/>
  <c r="F9327" i="3"/>
  <c r="F9328" i="3"/>
  <c r="F9329" i="3"/>
  <c r="F9330" i="3"/>
  <c r="F9331" i="3"/>
  <c r="F9332" i="3"/>
  <c r="F9333" i="3"/>
  <c r="F9334" i="3"/>
  <c r="F9335" i="3"/>
  <c r="F9336" i="3"/>
  <c r="F9337" i="3"/>
  <c r="F9338" i="3"/>
  <c r="F9339" i="3"/>
  <c r="F9340" i="3"/>
  <c r="F9341" i="3"/>
  <c r="F9342" i="3"/>
  <c r="F9343" i="3"/>
  <c r="F9344" i="3"/>
  <c r="F9345" i="3"/>
  <c r="F9346" i="3"/>
  <c r="F9347" i="3"/>
  <c r="F9348" i="3"/>
  <c r="F9349" i="3"/>
  <c r="F9350" i="3"/>
  <c r="F9351" i="3"/>
  <c r="F9352" i="3"/>
  <c r="F9353" i="3"/>
  <c r="F9354" i="3"/>
  <c r="F9355" i="3"/>
  <c r="F9356" i="3"/>
  <c r="F9357" i="3"/>
  <c r="F9358" i="3"/>
  <c r="F9359" i="3"/>
  <c r="F9360" i="3"/>
  <c r="F9361" i="3"/>
  <c r="F9362" i="3"/>
  <c r="F9363" i="3"/>
  <c r="F9364" i="3"/>
  <c r="F9365" i="3"/>
  <c r="F9366" i="3"/>
  <c r="F9367" i="3"/>
  <c r="F9368" i="3"/>
  <c r="F9369" i="3"/>
  <c r="F9370" i="3"/>
  <c r="F9371" i="3"/>
  <c r="F9372" i="3"/>
  <c r="F9373" i="3"/>
  <c r="F9374" i="3"/>
  <c r="F9375" i="3"/>
  <c r="F9376" i="3"/>
  <c r="F9377" i="3"/>
  <c r="F9378" i="3"/>
  <c r="F9379" i="3"/>
  <c r="F9380" i="3"/>
  <c r="F9381" i="3"/>
  <c r="F9382" i="3"/>
  <c r="F9383" i="3"/>
  <c r="F9384" i="3"/>
  <c r="F9385" i="3"/>
  <c r="F9386" i="3"/>
  <c r="F9387" i="3"/>
  <c r="F9388" i="3"/>
  <c r="F9389" i="3"/>
  <c r="F9390" i="3"/>
  <c r="F9391" i="3"/>
  <c r="F9392" i="3"/>
  <c r="F9393" i="3"/>
  <c r="F9394" i="3"/>
  <c r="F9395" i="3"/>
  <c r="F9396" i="3"/>
  <c r="F9397" i="3"/>
  <c r="F9398" i="3"/>
  <c r="F9399" i="3"/>
  <c r="F9400" i="3"/>
  <c r="F9401" i="3"/>
  <c r="F9402" i="3"/>
  <c r="F9403" i="3"/>
  <c r="F9404" i="3"/>
  <c r="F9405" i="3"/>
  <c r="F9406" i="3"/>
  <c r="F9407" i="3"/>
  <c r="F9408" i="3"/>
  <c r="F9409" i="3"/>
  <c r="F9410" i="3"/>
  <c r="F9411" i="3"/>
  <c r="F9412" i="3"/>
  <c r="F9413" i="3"/>
  <c r="F9414" i="3"/>
  <c r="F9415" i="3"/>
  <c r="F9416" i="3"/>
  <c r="F9417" i="3"/>
  <c r="F9418" i="3"/>
  <c r="F9419" i="3"/>
  <c r="F9420" i="3"/>
  <c r="F9421" i="3"/>
  <c r="F9422" i="3"/>
  <c r="F9423" i="3"/>
  <c r="F9424" i="3"/>
  <c r="F9425" i="3"/>
  <c r="F9426" i="3"/>
  <c r="F9427" i="3"/>
  <c r="F9428" i="3"/>
  <c r="F9429" i="3"/>
  <c r="F9430" i="3"/>
  <c r="F9431" i="3"/>
  <c r="F9432" i="3"/>
  <c r="F9433" i="3"/>
  <c r="F9434" i="3"/>
  <c r="F9435" i="3"/>
  <c r="F9436" i="3"/>
  <c r="F9437" i="3"/>
  <c r="F9438" i="3"/>
  <c r="F9439" i="3"/>
  <c r="F9440" i="3"/>
  <c r="F9441" i="3"/>
  <c r="F9442" i="3"/>
  <c r="F9443" i="3"/>
  <c r="F9444" i="3"/>
  <c r="F9445" i="3"/>
  <c r="F9446" i="3"/>
  <c r="F9447" i="3"/>
  <c r="F9448" i="3"/>
  <c r="F9449" i="3"/>
  <c r="F9450" i="3"/>
  <c r="F9451" i="3"/>
  <c r="F9452" i="3"/>
  <c r="F9453" i="3"/>
  <c r="F9454" i="3"/>
  <c r="F9455" i="3"/>
  <c r="F9456" i="3"/>
  <c r="F9457" i="3"/>
  <c r="F9458" i="3"/>
  <c r="F9459" i="3"/>
  <c r="F9460" i="3"/>
  <c r="F9461" i="3"/>
  <c r="F9462" i="3"/>
  <c r="F9463" i="3"/>
  <c r="F9464" i="3"/>
  <c r="F9465" i="3"/>
  <c r="F9466" i="3"/>
  <c r="F9467" i="3"/>
  <c r="F9468" i="3"/>
  <c r="F9469" i="3"/>
  <c r="F9470" i="3"/>
  <c r="F9471" i="3"/>
  <c r="F9472" i="3"/>
  <c r="F9473" i="3"/>
  <c r="F9474" i="3"/>
  <c r="F9475" i="3"/>
  <c r="F9476" i="3"/>
  <c r="F9477" i="3"/>
  <c r="F9478" i="3"/>
  <c r="F9479" i="3"/>
  <c r="F9480" i="3"/>
  <c r="F9481" i="3"/>
  <c r="F9482" i="3"/>
  <c r="F9483" i="3"/>
  <c r="F9484" i="3"/>
  <c r="F9485" i="3"/>
  <c r="F9486" i="3"/>
  <c r="F9487" i="3"/>
  <c r="F9488" i="3"/>
  <c r="F9489" i="3"/>
  <c r="F9490" i="3"/>
  <c r="F9491" i="3"/>
  <c r="F9492" i="3"/>
  <c r="F9493" i="3"/>
  <c r="F9494" i="3"/>
  <c r="F9495" i="3"/>
  <c r="F9496" i="3"/>
  <c r="F9497" i="3"/>
  <c r="F9498" i="3"/>
  <c r="F9499" i="3"/>
  <c r="F9500" i="3"/>
  <c r="F9501" i="3"/>
  <c r="F9502" i="3"/>
  <c r="F9503" i="3"/>
  <c r="F9504" i="3"/>
  <c r="F9505" i="3"/>
  <c r="F9506" i="3"/>
  <c r="F9507" i="3"/>
  <c r="F9508" i="3"/>
  <c r="F9509" i="3"/>
  <c r="F9510" i="3"/>
  <c r="F9511" i="3"/>
  <c r="F9512" i="3"/>
  <c r="F9513" i="3"/>
  <c r="F9514" i="3"/>
  <c r="F9515" i="3"/>
  <c r="F9516" i="3"/>
  <c r="F9517" i="3"/>
  <c r="F9518" i="3"/>
  <c r="F9519" i="3"/>
  <c r="F9520" i="3"/>
  <c r="F9521" i="3"/>
  <c r="F9522" i="3"/>
  <c r="F9523" i="3"/>
  <c r="F9524" i="3"/>
  <c r="F9525" i="3"/>
  <c r="F9526" i="3"/>
  <c r="F9527" i="3"/>
  <c r="F9528" i="3"/>
  <c r="F9529" i="3"/>
  <c r="F9530" i="3"/>
  <c r="F9531" i="3"/>
  <c r="F9532" i="3"/>
  <c r="F9533" i="3"/>
  <c r="F9534" i="3"/>
  <c r="F9535" i="3"/>
  <c r="F9536" i="3"/>
  <c r="F9537" i="3"/>
  <c r="F9538" i="3"/>
  <c r="F9539" i="3"/>
  <c r="F9540" i="3"/>
  <c r="F9541" i="3"/>
  <c r="F9542" i="3"/>
  <c r="F9543" i="3"/>
  <c r="F9544" i="3"/>
  <c r="F9545" i="3"/>
  <c r="F9546" i="3"/>
  <c r="F9547" i="3"/>
  <c r="F9548" i="3"/>
  <c r="F9549" i="3"/>
  <c r="F9550" i="3"/>
  <c r="F9551" i="3"/>
  <c r="F9552" i="3"/>
  <c r="F9553" i="3"/>
  <c r="F9554" i="3"/>
  <c r="F9555" i="3"/>
  <c r="F9556" i="3"/>
  <c r="F9557" i="3"/>
  <c r="F9558" i="3"/>
  <c r="F9559" i="3"/>
  <c r="F9560" i="3"/>
  <c r="F9561" i="3"/>
  <c r="F9562" i="3"/>
  <c r="F9563" i="3"/>
  <c r="F9564" i="3"/>
  <c r="F9565" i="3"/>
  <c r="F9566" i="3"/>
  <c r="F9567" i="3"/>
  <c r="F9568" i="3"/>
  <c r="F9569" i="3"/>
  <c r="F9570" i="3"/>
  <c r="F9571" i="3"/>
  <c r="F9572" i="3"/>
  <c r="F9573" i="3"/>
  <c r="F9574" i="3"/>
  <c r="F9575" i="3"/>
  <c r="F9576" i="3"/>
  <c r="F9577" i="3"/>
  <c r="F9578" i="3"/>
  <c r="F244" i="3"/>
  <c r="F2" i="3"/>
  <c r="F13" i="3"/>
  <c r="H13" i="3" s="1"/>
  <c r="F38" i="3"/>
  <c r="F10" i="3"/>
  <c r="F11" i="3"/>
  <c r="G11" i="3"/>
  <c r="G10" i="3"/>
  <c r="B31" i="4"/>
  <c r="D38" i="3"/>
  <c r="J38" i="3" s="1"/>
  <c r="G38" i="3"/>
  <c r="J13" i="3"/>
  <c r="G13" i="3"/>
  <c r="D2" i="3"/>
  <c r="J2" i="3" s="1"/>
  <c r="G2" i="3"/>
  <c r="I13" i="3"/>
  <c r="I18" i="3"/>
  <c r="I38" i="3"/>
  <c r="H38" i="3"/>
  <c r="I12" i="3"/>
  <c r="J9589" i="3" l="1"/>
  <c r="H9589" i="3"/>
  <c r="D10" i="3"/>
  <c r="I10" i="3" s="1"/>
  <c r="D11" i="3"/>
  <c r="I11" i="3" s="1"/>
  <c r="J18" i="3"/>
  <c r="J12" i="3"/>
  <c r="H12" i="3"/>
  <c r="H18" i="3"/>
  <c r="H2" i="3"/>
  <c r="I2" i="3"/>
  <c r="I8" i="3"/>
  <c r="H8" i="3"/>
  <c r="J10" i="3" l="1"/>
  <c r="H10" i="3"/>
  <c r="J11" i="3"/>
  <c r="H11" i="3"/>
  <c r="B852" i="26" l="1"/>
  <c r="A5" i="26"/>
  <c r="A5" i="80"/>
  <c r="B29" i="80"/>
  <c r="B28" i="77"/>
  <c r="A5" i="77"/>
  <c r="B42" i="76"/>
  <c r="A5" i="76"/>
  <c r="B31" i="78"/>
  <c r="B34" i="78"/>
  <c r="D9603" i="3" l="1"/>
  <c r="B33" i="78"/>
  <c r="D9605" i="3" s="1"/>
  <c r="B35" i="78"/>
  <c r="B38" i="78"/>
  <c r="D9606" i="3"/>
  <c r="D9597" i="3"/>
  <c r="I9605" i="3" l="1"/>
  <c r="J9605" i="3"/>
  <c r="H9605" i="3"/>
  <c r="I9603" i="3"/>
  <c r="J9603" i="3"/>
  <c r="H9603" i="3"/>
  <c r="B39" i="78"/>
  <c r="D9610" i="3"/>
  <c r="I9610" i="3" s="1"/>
  <c r="I9597" i="3"/>
  <c r="J9597" i="3"/>
  <c r="H9597" i="3"/>
  <c r="I9606" i="3"/>
  <c r="J9606" i="3"/>
  <c r="H9606" i="3"/>
  <c r="D10444" i="3"/>
  <c r="D10445" i="3"/>
  <c r="H10445" i="3" s="1"/>
  <c r="D10447" i="3" l="1"/>
  <c r="J10447" i="3" s="1"/>
  <c r="B40" i="78"/>
  <c r="D9611" i="3"/>
  <c r="I9611" i="3" s="1"/>
  <c r="D10446" i="3"/>
  <c r="H10446" i="3" s="1"/>
  <c r="J9610" i="3"/>
  <c r="H9610" i="3"/>
  <c r="J10445" i="3"/>
  <c r="E34" i="75"/>
  <c r="D8483" i="3" s="1" a="1"/>
  <c r="D8483" i="3" s="1"/>
  <c r="G10" i="75"/>
  <c r="G11" i="75"/>
  <c r="G12" i="75"/>
  <c r="G13" i="75"/>
  <c r="G14" i="75"/>
  <c r="G15" i="75"/>
  <c r="G16" i="75"/>
  <c r="G17" i="75"/>
  <c r="G18" i="75"/>
  <c r="G19" i="75"/>
  <c r="G20" i="75"/>
  <c r="G21" i="75"/>
  <c r="G22" i="75"/>
  <c r="G23" i="75"/>
  <c r="G24" i="75"/>
  <c r="G25" i="75"/>
  <c r="G26" i="75"/>
  <c r="G27" i="75"/>
  <c r="G28" i="75"/>
  <c r="G29" i="75"/>
  <c r="G30" i="75"/>
  <c r="G9" i="75"/>
  <c r="D10" i="75"/>
  <c r="D11" i="75"/>
  <c r="D12" i="75"/>
  <c r="D13" i="75"/>
  <c r="D14" i="75"/>
  <c r="D15" i="75"/>
  <c r="D16" i="75"/>
  <c r="D17" i="75"/>
  <c r="D18" i="75"/>
  <c r="D19" i="75"/>
  <c r="D20" i="75"/>
  <c r="D21" i="75"/>
  <c r="D22" i="75"/>
  <c r="D23" i="75"/>
  <c r="D24" i="75"/>
  <c r="D25" i="75"/>
  <c r="D26" i="75"/>
  <c r="D27" i="75"/>
  <c r="D28" i="75"/>
  <c r="D29" i="75"/>
  <c r="D30" i="75"/>
  <c r="D9" i="75"/>
  <c r="C31" i="75"/>
  <c r="E31" i="75"/>
  <c r="B29" i="76" s="1"/>
  <c r="F31" i="75"/>
  <c r="B31" i="75"/>
  <c r="B19" i="5"/>
  <c r="B24" i="18"/>
  <c r="B24" i="19"/>
  <c r="B24" i="20"/>
  <c r="B72" i="11"/>
  <c r="A5" i="11"/>
  <c r="B18" i="2"/>
  <c r="G244" i="3"/>
  <c r="G8737" i="3"/>
  <c r="G8738" i="3"/>
  <c r="G8739" i="3"/>
  <c r="G8740" i="3"/>
  <c r="G8741" i="3"/>
  <c r="G8742" i="3"/>
  <c r="G8743" i="3"/>
  <c r="G8744" i="3"/>
  <c r="G8745" i="3"/>
  <c r="G8746" i="3"/>
  <c r="G8747" i="3"/>
  <c r="G8748" i="3"/>
  <c r="G8749" i="3"/>
  <c r="G8750" i="3"/>
  <c r="G8751" i="3"/>
  <c r="G8752" i="3"/>
  <c r="G8753" i="3"/>
  <c r="G8754" i="3"/>
  <c r="G8755" i="3"/>
  <c r="G8756" i="3"/>
  <c r="G8757" i="3"/>
  <c r="G8758" i="3"/>
  <c r="G8759" i="3"/>
  <c r="G8760" i="3"/>
  <c r="G8761" i="3"/>
  <c r="G8762" i="3"/>
  <c r="G8763" i="3"/>
  <c r="G8764" i="3"/>
  <c r="G8765" i="3"/>
  <c r="G8766" i="3"/>
  <c r="G8767" i="3"/>
  <c r="G8768" i="3"/>
  <c r="G8769" i="3"/>
  <c r="G8770" i="3"/>
  <c r="G8771" i="3"/>
  <c r="G8772" i="3"/>
  <c r="G8773" i="3"/>
  <c r="G8774" i="3"/>
  <c r="G8775" i="3"/>
  <c r="G8776" i="3"/>
  <c r="G8777" i="3"/>
  <c r="G8778" i="3"/>
  <c r="G8779" i="3"/>
  <c r="G8780" i="3"/>
  <c r="G8781" i="3"/>
  <c r="G8782" i="3"/>
  <c r="G8783" i="3"/>
  <c r="G8784" i="3"/>
  <c r="G8785" i="3"/>
  <c r="G8786" i="3"/>
  <c r="G8787" i="3"/>
  <c r="G8788" i="3"/>
  <c r="G8789" i="3"/>
  <c r="G8790" i="3"/>
  <c r="G8791" i="3"/>
  <c r="G8792" i="3"/>
  <c r="G8793" i="3"/>
  <c r="G8794" i="3"/>
  <c r="G8795" i="3"/>
  <c r="G8796" i="3"/>
  <c r="G8797" i="3"/>
  <c r="G8798" i="3"/>
  <c r="G8799" i="3"/>
  <c r="G8800" i="3"/>
  <c r="G8801" i="3"/>
  <c r="G8802" i="3"/>
  <c r="G8803" i="3"/>
  <c r="G8804" i="3"/>
  <c r="G8805" i="3"/>
  <c r="G8806" i="3"/>
  <c r="G8807" i="3"/>
  <c r="G8808" i="3"/>
  <c r="G8809" i="3"/>
  <c r="G8810" i="3"/>
  <c r="G8811" i="3"/>
  <c r="G8812" i="3"/>
  <c r="G8813" i="3"/>
  <c r="G8814" i="3"/>
  <c r="G8815" i="3"/>
  <c r="G8816" i="3"/>
  <c r="G8817" i="3"/>
  <c r="G8818" i="3"/>
  <c r="G8819" i="3"/>
  <c r="G8820" i="3"/>
  <c r="G8821" i="3"/>
  <c r="G8822" i="3"/>
  <c r="G8823" i="3"/>
  <c r="G8824" i="3"/>
  <c r="G8825" i="3"/>
  <c r="G8826" i="3"/>
  <c r="G8827" i="3"/>
  <c r="G8828" i="3"/>
  <c r="G8829" i="3"/>
  <c r="G8830" i="3"/>
  <c r="G8831" i="3"/>
  <c r="G8832" i="3"/>
  <c r="G8833" i="3"/>
  <c r="G8834" i="3"/>
  <c r="G8835" i="3"/>
  <c r="G8836" i="3"/>
  <c r="G8837" i="3"/>
  <c r="G8838" i="3"/>
  <c r="G8839" i="3"/>
  <c r="G8840" i="3"/>
  <c r="G8841" i="3"/>
  <c r="G8842" i="3"/>
  <c r="G8843" i="3"/>
  <c r="G8844" i="3"/>
  <c r="G8845" i="3"/>
  <c r="G8846" i="3"/>
  <c r="G8847" i="3"/>
  <c r="G8848" i="3"/>
  <c r="G8849" i="3"/>
  <c r="G8850" i="3"/>
  <c r="G8851" i="3"/>
  <c r="G8852" i="3"/>
  <c r="G8853" i="3"/>
  <c r="G8854" i="3"/>
  <c r="G8855" i="3"/>
  <c r="G8856" i="3"/>
  <c r="G8857" i="3"/>
  <c r="G8858" i="3"/>
  <c r="G8859" i="3"/>
  <c r="G8860" i="3"/>
  <c r="G8861" i="3"/>
  <c r="G8862" i="3"/>
  <c r="G8863" i="3"/>
  <c r="G8864" i="3"/>
  <c r="G8865" i="3"/>
  <c r="G8866" i="3"/>
  <c r="G8867" i="3"/>
  <c r="G8868" i="3"/>
  <c r="G8869" i="3"/>
  <c r="G8870" i="3"/>
  <c r="G8871" i="3"/>
  <c r="G8872" i="3"/>
  <c r="G8873" i="3"/>
  <c r="G8874" i="3"/>
  <c r="G8875" i="3"/>
  <c r="G8876" i="3"/>
  <c r="G8877" i="3"/>
  <c r="G8878" i="3"/>
  <c r="G8879" i="3"/>
  <c r="G8880" i="3"/>
  <c r="G8881" i="3"/>
  <c r="G8882" i="3"/>
  <c r="G8883" i="3"/>
  <c r="G8884" i="3"/>
  <c r="G8885" i="3"/>
  <c r="G8886" i="3"/>
  <c r="G8887" i="3"/>
  <c r="G8888" i="3"/>
  <c r="G8889" i="3"/>
  <c r="G8890" i="3"/>
  <c r="G8891" i="3"/>
  <c r="G8892" i="3"/>
  <c r="G8893" i="3"/>
  <c r="G8894" i="3"/>
  <c r="G8895" i="3"/>
  <c r="G8896" i="3"/>
  <c r="G8897" i="3"/>
  <c r="G8898" i="3"/>
  <c r="G8899" i="3"/>
  <c r="G8900" i="3"/>
  <c r="G8901" i="3"/>
  <c r="G8902" i="3"/>
  <c r="G8903" i="3"/>
  <c r="G8904" i="3"/>
  <c r="G8905" i="3"/>
  <c r="G8906" i="3"/>
  <c r="G8907" i="3"/>
  <c r="G8908" i="3"/>
  <c r="G8909" i="3"/>
  <c r="G8910" i="3"/>
  <c r="G8911" i="3"/>
  <c r="G8912" i="3"/>
  <c r="G8913" i="3"/>
  <c r="G8914" i="3"/>
  <c r="G8915" i="3"/>
  <c r="G8916" i="3"/>
  <c r="G8917" i="3"/>
  <c r="G8918" i="3"/>
  <c r="G8919" i="3"/>
  <c r="G8920" i="3"/>
  <c r="G8921" i="3"/>
  <c r="G8922" i="3"/>
  <c r="G8923" i="3"/>
  <c r="G8924" i="3"/>
  <c r="G8925" i="3"/>
  <c r="G8926" i="3"/>
  <c r="G8927" i="3"/>
  <c r="G8928" i="3"/>
  <c r="G8929" i="3"/>
  <c r="G8930" i="3"/>
  <c r="G8931" i="3"/>
  <c r="G8932" i="3"/>
  <c r="G8933" i="3"/>
  <c r="G8934" i="3"/>
  <c r="G8935" i="3"/>
  <c r="G8936" i="3"/>
  <c r="G8937" i="3"/>
  <c r="G8938" i="3"/>
  <c r="G8939" i="3"/>
  <c r="G8940" i="3"/>
  <c r="G8941" i="3"/>
  <c r="G8942" i="3"/>
  <c r="G8943" i="3"/>
  <c r="G8944" i="3"/>
  <c r="G8945" i="3"/>
  <c r="G8946" i="3"/>
  <c r="G8947" i="3"/>
  <c r="G8948" i="3"/>
  <c r="G8949" i="3"/>
  <c r="G8950" i="3"/>
  <c r="G8951" i="3"/>
  <c r="G8952" i="3"/>
  <c r="G8953" i="3"/>
  <c r="G8954" i="3"/>
  <c r="G8955" i="3"/>
  <c r="G8956" i="3"/>
  <c r="G8957" i="3"/>
  <c r="G8958" i="3"/>
  <c r="G8959" i="3"/>
  <c r="G8960" i="3"/>
  <c r="G8961" i="3"/>
  <c r="G8962" i="3"/>
  <c r="G8963" i="3"/>
  <c r="G8964" i="3"/>
  <c r="G8965" i="3"/>
  <c r="G8966" i="3"/>
  <c r="G8967" i="3"/>
  <c r="G8968" i="3"/>
  <c r="G8969" i="3"/>
  <c r="G8970" i="3"/>
  <c r="G8971" i="3"/>
  <c r="G8972" i="3"/>
  <c r="G8973" i="3"/>
  <c r="G8974" i="3"/>
  <c r="G8975" i="3"/>
  <c r="G8976" i="3"/>
  <c r="G8977" i="3"/>
  <c r="G8978" i="3"/>
  <c r="G8979" i="3"/>
  <c r="G8980" i="3"/>
  <c r="G8981" i="3"/>
  <c r="G8982" i="3"/>
  <c r="G8983" i="3"/>
  <c r="G8984" i="3"/>
  <c r="G8985" i="3"/>
  <c r="G8986" i="3"/>
  <c r="G8987" i="3"/>
  <c r="G8988" i="3"/>
  <c r="G8989" i="3"/>
  <c r="G8990" i="3"/>
  <c r="G8991" i="3"/>
  <c r="G8992" i="3"/>
  <c r="G8993" i="3"/>
  <c r="G8994" i="3"/>
  <c r="G8995" i="3"/>
  <c r="G8996" i="3"/>
  <c r="G8997" i="3"/>
  <c r="G8998" i="3"/>
  <c r="G8999" i="3"/>
  <c r="G9000" i="3"/>
  <c r="G9001" i="3"/>
  <c r="G9002" i="3"/>
  <c r="G9003" i="3"/>
  <c r="G9004" i="3"/>
  <c r="G9005" i="3"/>
  <c r="G9006" i="3"/>
  <c r="G9007" i="3"/>
  <c r="G9008" i="3"/>
  <c r="G9009" i="3"/>
  <c r="G9010" i="3"/>
  <c r="G9011" i="3"/>
  <c r="G9012" i="3"/>
  <c r="G9013" i="3"/>
  <c r="G9014" i="3"/>
  <c r="G9015" i="3"/>
  <c r="G9016" i="3"/>
  <c r="G9017" i="3"/>
  <c r="G9018" i="3"/>
  <c r="G9019" i="3"/>
  <c r="G9020" i="3"/>
  <c r="G9021" i="3"/>
  <c r="G9022" i="3"/>
  <c r="G9023" i="3"/>
  <c r="G9024" i="3"/>
  <c r="G9025" i="3"/>
  <c r="G9026" i="3"/>
  <c r="G9027" i="3"/>
  <c r="G9028" i="3"/>
  <c r="G9029" i="3"/>
  <c r="G9030" i="3"/>
  <c r="G9031" i="3"/>
  <c r="G9032" i="3"/>
  <c r="G9033" i="3"/>
  <c r="G9034" i="3"/>
  <c r="G9035" i="3"/>
  <c r="G9036" i="3"/>
  <c r="G9037" i="3"/>
  <c r="G9038" i="3"/>
  <c r="G9039" i="3"/>
  <c r="G9040" i="3"/>
  <c r="G9041" i="3"/>
  <c r="G9042" i="3"/>
  <c r="G9043" i="3"/>
  <c r="G9044" i="3"/>
  <c r="G9045" i="3"/>
  <c r="G9046" i="3"/>
  <c r="G9047" i="3"/>
  <c r="G9048" i="3"/>
  <c r="G9049" i="3"/>
  <c r="G9050" i="3"/>
  <c r="G9051" i="3"/>
  <c r="G9052" i="3"/>
  <c r="G9053" i="3"/>
  <c r="G9054" i="3"/>
  <c r="G9055" i="3"/>
  <c r="G9056" i="3"/>
  <c r="G9057" i="3"/>
  <c r="G9058" i="3"/>
  <c r="G9059" i="3"/>
  <c r="G9060" i="3"/>
  <c r="G9061" i="3"/>
  <c r="G9062" i="3"/>
  <c r="G9063" i="3"/>
  <c r="G9064" i="3"/>
  <c r="G9065" i="3"/>
  <c r="G9066" i="3"/>
  <c r="G9067" i="3"/>
  <c r="G9068" i="3"/>
  <c r="G9069" i="3"/>
  <c r="G9070" i="3"/>
  <c r="G9071" i="3"/>
  <c r="G9072" i="3"/>
  <c r="G9073" i="3"/>
  <c r="G9074" i="3"/>
  <c r="G9075" i="3"/>
  <c r="G9076" i="3"/>
  <c r="G9077" i="3"/>
  <c r="G9078" i="3"/>
  <c r="G9079" i="3"/>
  <c r="G9080" i="3"/>
  <c r="G9081" i="3"/>
  <c r="G9082" i="3"/>
  <c r="G9083" i="3"/>
  <c r="G9084" i="3"/>
  <c r="G9085" i="3"/>
  <c r="G9086" i="3"/>
  <c r="G9087" i="3"/>
  <c r="G9088" i="3"/>
  <c r="G9089" i="3"/>
  <c r="G9090" i="3"/>
  <c r="G9091" i="3"/>
  <c r="G9092" i="3"/>
  <c r="G9093" i="3"/>
  <c r="G9094" i="3"/>
  <c r="G9095" i="3"/>
  <c r="G9096" i="3"/>
  <c r="G9097" i="3"/>
  <c r="G9098" i="3"/>
  <c r="G9099" i="3"/>
  <c r="G9100" i="3"/>
  <c r="G9101" i="3"/>
  <c r="G9102" i="3"/>
  <c r="G9103" i="3"/>
  <c r="G9104" i="3"/>
  <c r="G9105" i="3"/>
  <c r="G9106" i="3"/>
  <c r="G9107" i="3"/>
  <c r="G9108" i="3"/>
  <c r="G9109" i="3"/>
  <c r="G9110" i="3"/>
  <c r="G9111" i="3"/>
  <c r="G9112" i="3"/>
  <c r="G9113" i="3"/>
  <c r="G9114" i="3"/>
  <c r="G9115" i="3"/>
  <c r="G9116" i="3"/>
  <c r="G9117" i="3"/>
  <c r="G9118" i="3"/>
  <c r="G9119" i="3"/>
  <c r="G9120" i="3"/>
  <c r="G9121" i="3"/>
  <c r="G9122" i="3"/>
  <c r="G9123" i="3"/>
  <c r="G9124" i="3"/>
  <c r="G9125" i="3"/>
  <c r="G9126" i="3"/>
  <c r="G9127" i="3"/>
  <c r="G9128" i="3"/>
  <c r="G9129" i="3"/>
  <c r="G9130" i="3"/>
  <c r="G9131" i="3"/>
  <c r="G9132" i="3"/>
  <c r="G9133" i="3"/>
  <c r="G9134" i="3"/>
  <c r="G9135" i="3"/>
  <c r="G9136" i="3"/>
  <c r="G9137" i="3"/>
  <c r="G9138" i="3"/>
  <c r="G9139" i="3"/>
  <c r="G9140" i="3"/>
  <c r="G9141" i="3"/>
  <c r="G9142" i="3"/>
  <c r="G9143" i="3"/>
  <c r="G9144" i="3"/>
  <c r="G9145" i="3"/>
  <c r="G9146" i="3"/>
  <c r="G9147" i="3"/>
  <c r="G9148" i="3"/>
  <c r="G9149" i="3"/>
  <c r="G9150" i="3"/>
  <c r="G9151" i="3"/>
  <c r="G9152" i="3"/>
  <c r="G9153" i="3"/>
  <c r="G9154" i="3"/>
  <c r="G9155" i="3"/>
  <c r="G9156" i="3"/>
  <c r="G9157" i="3"/>
  <c r="G9158" i="3"/>
  <c r="G9159" i="3"/>
  <c r="G9160" i="3"/>
  <c r="G9161" i="3"/>
  <c r="G9162" i="3"/>
  <c r="G9163" i="3"/>
  <c r="G9164" i="3"/>
  <c r="G9165" i="3"/>
  <c r="G9166" i="3"/>
  <c r="G9167" i="3"/>
  <c r="G9168" i="3"/>
  <c r="G9169" i="3"/>
  <c r="G9170" i="3"/>
  <c r="G9171" i="3"/>
  <c r="G9172" i="3"/>
  <c r="G9173" i="3"/>
  <c r="G9174" i="3"/>
  <c r="G9175" i="3"/>
  <c r="G9176" i="3"/>
  <c r="G9177" i="3"/>
  <c r="G9178" i="3"/>
  <c r="G9179" i="3"/>
  <c r="G9180" i="3"/>
  <c r="G9181" i="3"/>
  <c r="G9182" i="3"/>
  <c r="G9183" i="3"/>
  <c r="G9184" i="3"/>
  <c r="G9185" i="3"/>
  <c r="G9186" i="3"/>
  <c r="G9187" i="3"/>
  <c r="G9188" i="3"/>
  <c r="G9189" i="3"/>
  <c r="G9190" i="3"/>
  <c r="G9191" i="3"/>
  <c r="G9192" i="3"/>
  <c r="G9193" i="3"/>
  <c r="G9194" i="3"/>
  <c r="G9195" i="3"/>
  <c r="G9196" i="3"/>
  <c r="G9197" i="3"/>
  <c r="G9198" i="3"/>
  <c r="G9199" i="3"/>
  <c r="G9200" i="3"/>
  <c r="G9201" i="3"/>
  <c r="G9202" i="3"/>
  <c r="G9203" i="3"/>
  <c r="G9204" i="3"/>
  <c r="G9205" i="3"/>
  <c r="G9206" i="3"/>
  <c r="G9207" i="3"/>
  <c r="G9208" i="3"/>
  <c r="G9209" i="3"/>
  <c r="G9210" i="3"/>
  <c r="G9211" i="3"/>
  <c r="G9212" i="3"/>
  <c r="G9213" i="3"/>
  <c r="G9214" i="3"/>
  <c r="G9215" i="3"/>
  <c r="G9216" i="3"/>
  <c r="G9217" i="3"/>
  <c r="G9218" i="3"/>
  <c r="G9219" i="3"/>
  <c r="G9220" i="3"/>
  <c r="G9221" i="3"/>
  <c r="G9222" i="3"/>
  <c r="G9223" i="3"/>
  <c r="G9224" i="3"/>
  <c r="G9225" i="3"/>
  <c r="G9226" i="3"/>
  <c r="G9227" i="3"/>
  <c r="G9228" i="3"/>
  <c r="G9229" i="3"/>
  <c r="G9230" i="3"/>
  <c r="G9231" i="3"/>
  <c r="G9232" i="3"/>
  <c r="G9233" i="3"/>
  <c r="G9234" i="3"/>
  <c r="G9235" i="3"/>
  <c r="G9236" i="3"/>
  <c r="G9237" i="3"/>
  <c r="G9238" i="3"/>
  <c r="G9239" i="3"/>
  <c r="G9240" i="3"/>
  <c r="G9241" i="3"/>
  <c r="G9242" i="3"/>
  <c r="G9243" i="3"/>
  <c r="G9244" i="3"/>
  <c r="G9245" i="3"/>
  <c r="G9246" i="3"/>
  <c r="G9247" i="3"/>
  <c r="G9248" i="3"/>
  <c r="G9249" i="3"/>
  <c r="G9250" i="3"/>
  <c r="G9251" i="3"/>
  <c r="G9252" i="3"/>
  <c r="G9253" i="3"/>
  <c r="G9254" i="3"/>
  <c r="G9255" i="3"/>
  <c r="G9256" i="3"/>
  <c r="G9257" i="3"/>
  <c r="G9258" i="3"/>
  <c r="G9259" i="3"/>
  <c r="G9260" i="3"/>
  <c r="G9261" i="3"/>
  <c r="G9262" i="3"/>
  <c r="G9263" i="3"/>
  <c r="G9264" i="3"/>
  <c r="G9265" i="3"/>
  <c r="G9266" i="3"/>
  <c r="G9267" i="3"/>
  <c r="G9268" i="3"/>
  <c r="G9269" i="3"/>
  <c r="G9270" i="3"/>
  <c r="G9271" i="3"/>
  <c r="G9272" i="3"/>
  <c r="G9273" i="3"/>
  <c r="G9274" i="3"/>
  <c r="G9275" i="3"/>
  <c r="G9276" i="3"/>
  <c r="G9277" i="3"/>
  <c r="G9278" i="3"/>
  <c r="G9279" i="3"/>
  <c r="G9280" i="3"/>
  <c r="G9281" i="3"/>
  <c r="G9282" i="3"/>
  <c r="G9283" i="3"/>
  <c r="G9284" i="3"/>
  <c r="G9285" i="3"/>
  <c r="G9286" i="3"/>
  <c r="G9287" i="3"/>
  <c r="G9288" i="3"/>
  <c r="G9289" i="3"/>
  <c r="G9290" i="3"/>
  <c r="G9291" i="3"/>
  <c r="G9292" i="3"/>
  <c r="G9293" i="3"/>
  <c r="G9294" i="3"/>
  <c r="G9295" i="3"/>
  <c r="G9296" i="3"/>
  <c r="G9297" i="3"/>
  <c r="G9298" i="3"/>
  <c r="G9299" i="3"/>
  <c r="G9300" i="3"/>
  <c r="G9301" i="3"/>
  <c r="G9302" i="3"/>
  <c r="G9303" i="3"/>
  <c r="G9304" i="3"/>
  <c r="G9305" i="3"/>
  <c r="G9306" i="3"/>
  <c r="G9307" i="3"/>
  <c r="G9308" i="3"/>
  <c r="G9309" i="3"/>
  <c r="G9310" i="3"/>
  <c r="G9311" i="3"/>
  <c r="G9312" i="3"/>
  <c r="G9313" i="3"/>
  <c r="G9314" i="3"/>
  <c r="G9315" i="3"/>
  <c r="G9316" i="3"/>
  <c r="G9317" i="3"/>
  <c r="G9318" i="3"/>
  <c r="G9319" i="3"/>
  <c r="G9320" i="3"/>
  <c r="G9321" i="3"/>
  <c r="G9322" i="3"/>
  <c r="G9323" i="3"/>
  <c r="G9324" i="3"/>
  <c r="G9325" i="3"/>
  <c r="G9326" i="3"/>
  <c r="G9327" i="3"/>
  <c r="G9328" i="3"/>
  <c r="G9329" i="3"/>
  <c r="G9330" i="3"/>
  <c r="G9331" i="3"/>
  <c r="G9332" i="3"/>
  <c r="G9333" i="3"/>
  <c r="G9334" i="3"/>
  <c r="G9335" i="3"/>
  <c r="G9336" i="3"/>
  <c r="G9337" i="3"/>
  <c r="G9338" i="3"/>
  <c r="G9339" i="3"/>
  <c r="G9340" i="3"/>
  <c r="G9341" i="3"/>
  <c r="G9342" i="3"/>
  <c r="G9343" i="3"/>
  <c r="G9344" i="3"/>
  <c r="G9345" i="3"/>
  <c r="G9346" i="3"/>
  <c r="G9347" i="3"/>
  <c r="G9348" i="3"/>
  <c r="G9349" i="3"/>
  <c r="G9350" i="3"/>
  <c r="G9351" i="3"/>
  <c r="G9352" i="3"/>
  <c r="G9353" i="3"/>
  <c r="G9354" i="3"/>
  <c r="G9355" i="3"/>
  <c r="G9356" i="3"/>
  <c r="G9357" i="3"/>
  <c r="G9358" i="3"/>
  <c r="G9359" i="3"/>
  <c r="G9360" i="3"/>
  <c r="G9361" i="3"/>
  <c r="G9362" i="3"/>
  <c r="G9363" i="3"/>
  <c r="G9364" i="3"/>
  <c r="G9365" i="3"/>
  <c r="G9366" i="3"/>
  <c r="G9367" i="3"/>
  <c r="G9368" i="3"/>
  <c r="G9369" i="3"/>
  <c r="G9370" i="3"/>
  <c r="G9371" i="3"/>
  <c r="G9372" i="3"/>
  <c r="G9373" i="3"/>
  <c r="G9374" i="3"/>
  <c r="G9375" i="3"/>
  <c r="G9376" i="3"/>
  <c r="G9377" i="3"/>
  <c r="G9378" i="3"/>
  <c r="G9379" i="3"/>
  <c r="G9380" i="3"/>
  <c r="G9381" i="3"/>
  <c r="G9382" i="3"/>
  <c r="G9383" i="3"/>
  <c r="G9384" i="3"/>
  <c r="G9385" i="3"/>
  <c r="G9386" i="3"/>
  <c r="G9387" i="3"/>
  <c r="G9388" i="3"/>
  <c r="G9389" i="3"/>
  <c r="G9390" i="3"/>
  <c r="G9391" i="3"/>
  <c r="G9392" i="3"/>
  <c r="G9393" i="3"/>
  <c r="G9394" i="3"/>
  <c r="G9395" i="3"/>
  <c r="G9396" i="3"/>
  <c r="G9397" i="3"/>
  <c r="G9398" i="3"/>
  <c r="G9399" i="3"/>
  <c r="G9400" i="3"/>
  <c r="G9401" i="3"/>
  <c r="G9402" i="3"/>
  <c r="G9403" i="3"/>
  <c r="G9404" i="3"/>
  <c r="G9405" i="3"/>
  <c r="G9406" i="3"/>
  <c r="G9407" i="3"/>
  <c r="G9408" i="3"/>
  <c r="G9409" i="3"/>
  <c r="G9410" i="3"/>
  <c r="G9411" i="3"/>
  <c r="G9412" i="3"/>
  <c r="G9413" i="3"/>
  <c r="G9414" i="3"/>
  <c r="G9415" i="3"/>
  <c r="G9416" i="3"/>
  <c r="G9417" i="3"/>
  <c r="G9418" i="3"/>
  <c r="G9419" i="3"/>
  <c r="G9420" i="3"/>
  <c r="G9421" i="3"/>
  <c r="G9422" i="3"/>
  <c r="G9423" i="3"/>
  <c r="G9424" i="3"/>
  <c r="G9425" i="3"/>
  <c r="G9426" i="3"/>
  <c r="G9427" i="3"/>
  <c r="G9428" i="3"/>
  <c r="G9429" i="3"/>
  <c r="G9430" i="3"/>
  <c r="G9431" i="3"/>
  <c r="G9432" i="3"/>
  <c r="G9433" i="3"/>
  <c r="G9434" i="3"/>
  <c r="G9435" i="3"/>
  <c r="G9436" i="3"/>
  <c r="G9437" i="3"/>
  <c r="G9438" i="3"/>
  <c r="G9439" i="3"/>
  <c r="G9440" i="3"/>
  <c r="G9441" i="3"/>
  <c r="G9442" i="3"/>
  <c r="G9443" i="3"/>
  <c r="G9444" i="3"/>
  <c r="G9445" i="3"/>
  <c r="G9446" i="3"/>
  <c r="G9447" i="3"/>
  <c r="G9448" i="3"/>
  <c r="G9449" i="3"/>
  <c r="G9450" i="3"/>
  <c r="G9451" i="3"/>
  <c r="G9452" i="3"/>
  <c r="G9453" i="3"/>
  <c r="G9454" i="3"/>
  <c r="G9455" i="3"/>
  <c r="G9456" i="3"/>
  <c r="G9457" i="3"/>
  <c r="G9458" i="3"/>
  <c r="G9459" i="3"/>
  <c r="G9460" i="3"/>
  <c r="G9461" i="3"/>
  <c r="G9462" i="3"/>
  <c r="G9463" i="3"/>
  <c r="G9464" i="3"/>
  <c r="G9465" i="3"/>
  <c r="G9466" i="3"/>
  <c r="G9467" i="3"/>
  <c r="G9468" i="3"/>
  <c r="G9469" i="3"/>
  <c r="G9470" i="3"/>
  <c r="G9471" i="3"/>
  <c r="G9472" i="3"/>
  <c r="G9473" i="3"/>
  <c r="G9474" i="3"/>
  <c r="G9475" i="3"/>
  <c r="G9476" i="3"/>
  <c r="G9477" i="3"/>
  <c r="G9478" i="3"/>
  <c r="G9479" i="3"/>
  <c r="G9480" i="3"/>
  <c r="G9481" i="3"/>
  <c r="G9482" i="3"/>
  <c r="G9483" i="3"/>
  <c r="G9484" i="3"/>
  <c r="G9485" i="3"/>
  <c r="G9486" i="3"/>
  <c r="G9487" i="3"/>
  <c r="G9488" i="3"/>
  <c r="G9489" i="3"/>
  <c r="G9490" i="3"/>
  <c r="G9491" i="3"/>
  <c r="G9492" i="3"/>
  <c r="G9493" i="3"/>
  <c r="G9494" i="3"/>
  <c r="G9495" i="3"/>
  <c r="G9496" i="3"/>
  <c r="G9497" i="3"/>
  <c r="G9498" i="3"/>
  <c r="G9499" i="3"/>
  <c r="G9500" i="3"/>
  <c r="G9501" i="3"/>
  <c r="G9502" i="3"/>
  <c r="G9503" i="3"/>
  <c r="G9504" i="3"/>
  <c r="G9505" i="3"/>
  <c r="G9506" i="3"/>
  <c r="G9507" i="3"/>
  <c r="G9508" i="3"/>
  <c r="G9509" i="3"/>
  <c r="G9510" i="3"/>
  <c r="G9511" i="3"/>
  <c r="G9512" i="3"/>
  <c r="G9513" i="3"/>
  <c r="G9514" i="3"/>
  <c r="G9515" i="3"/>
  <c r="G9516" i="3"/>
  <c r="G9517" i="3"/>
  <c r="G9518" i="3"/>
  <c r="G9519" i="3"/>
  <c r="G9520" i="3"/>
  <c r="G9521" i="3"/>
  <c r="G9522" i="3"/>
  <c r="G9523" i="3"/>
  <c r="G9524" i="3"/>
  <c r="G9525" i="3"/>
  <c r="G9526" i="3"/>
  <c r="G9527" i="3"/>
  <c r="G9528" i="3"/>
  <c r="G9529" i="3"/>
  <c r="G9530" i="3"/>
  <c r="G9531" i="3"/>
  <c r="G9532" i="3"/>
  <c r="G9533" i="3"/>
  <c r="G9534" i="3"/>
  <c r="G9535" i="3"/>
  <c r="G9536" i="3"/>
  <c r="G9537" i="3"/>
  <c r="G9538" i="3"/>
  <c r="G9539" i="3"/>
  <c r="G9540" i="3"/>
  <c r="G9541" i="3"/>
  <c r="G9542" i="3"/>
  <c r="G9543" i="3"/>
  <c r="G9544" i="3"/>
  <c r="G9545" i="3"/>
  <c r="G9546" i="3"/>
  <c r="G9547" i="3"/>
  <c r="G9548" i="3"/>
  <c r="G9549" i="3"/>
  <c r="G9550" i="3"/>
  <c r="G9551" i="3"/>
  <c r="G9552" i="3"/>
  <c r="G9553" i="3"/>
  <c r="G9554" i="3"/>
  <c r="G9555" i="3"/>
  <c r="G9556" i="3"/>
  <c r="G9557" i="3"/>
  <c r="G9558" i="3"/>
  <c r="G9559" i="3"/>
  <c r="G9560" i="3"/>
  <c r="G9561" i="3"/>
  <c r="G9562" i="3"/>
  <c r="G9563" i="3"/>
  <c r="G9564" i="3"/>
  <c r="G9565" i="3"/>
  <c r="G9566" i="3"/>
  <c r="G9567" i="3"/>
  <c r="G9568" i="3"/>
  <c r="G9569" i="3"/>
  <c r="G9570" i="3"/>
  <c r="G9571" i="3"/>
  <c r="G9572" i="3"/>
  <c r="G9573" i="3"/>
  <c r="G9574" i="3"/>
  <c r="G9575" i="3"/>
  <c r="G9576" i="3"/>
  <c r="G9577" i="3"/>
  <c r="G9578" i="3"/>
  <c r="G8736" i="3"/>
  <c r="F51" i="3"/>
  <c r="H244" i="3"/>
  <c r="I10444" i="3"/>
  <c r="I10445" i="3"/>
  <c r="H10447" i="3" l="1"/>
  <c r="J10446" i="3"/>
  <c r="H9611" i="3"/>
  <c r="J9611" i="3"/>
  <c r="D10449" i="3"/>
  <c r="I10449" i="3" s="1"/>
  <c r="D9612" i="3"/>
  <c r="D10439" i="3"/>
  <c r="J10439" i="3" s="1"/>
  <c r="D9607" i="3"/>
  <c r="D10448" i="3"/>
  <c r="H10448" i="3" s="1"/>
  <c r="D10440" i="3"/>
  <c r="J10440" i="3" s="1"/>
  <c r="D10442" i="3"/>
  <c r="J10442" i="3" s="1"/>
  <c r="D10443" i="3"/>
  <c r="H10443" i="3" s="1"/>
  <c r="H10444" i="3"/>
  <c r="J10444" i="3"/>
  <c r="D29" i="76"/>
  <c r="B37" i="76"/>
  <c r="J8483" i="3"/>
  <c r="D8481" i="3"/>
  <c r="G34" i="75" a="1"/>
  <c r="G34" i="75" s="1"/>
  <c r="D8482" i="3" s="1"/>
  <c r="I8482" i="3" s="1"/>
  <c r="D31" i="75"/>
  <c r="G31" i="75"/>
  <c r="J244" i="3"/>
  <c r="B60" i="4"/>
  <c r="B44" i="4"/>
  <c r="H8483" i="3"/>
  <c r="I8483" i="3"/>
  <c r="I10446" i="3"/>
  <c r="I10447" i="3"/>
  <c r="H10449" i="3" l="1"/>
  <c r="H10439" i="3"/>
  <c r="I9607" i="3"/>
  <c r="J9607" i="3"/>
  <c r="H9607" i="3"/>
  <c r="I9612" i="3"/>
  <c r="J9612" i="3"/>
  <c r="H9612" i="3"/>
  <c r="J10448" i="3"/>
  <c r="H10440" i="3"/>
  <c r="H10442" i="3"/>
  <c r="J10443" i="3"/>
  <c r="J10449" i="3"/>
  <c r="D37" i="76"/>
  <c r="D38" i="76" s="1"/>
  <c r="B38" i="76"/>
  <c r="C39" i="76" s="1"/>
  <c r="B61" i="4" a="1"/>
  <c r="B61" i="4" s="1"/>
  <c r="D36" i="3" s="1"/>
  <c r="B9" i="80"/>
  <c r="B34" i="150" s="1"/>
  <c r="B35" i="150" s="1"/>
  <c r="B43" i="150" s="1"/>
  <c r="B44" i="150" s="1"/>
  <c r="B45" i="150" s="1"/>
  <c r="J8481" i="3"/>
  <c r="H8482" i="3"/>
  <c r="J8482" i="3"/>
  <c r="A5" i="20"/>
  <c r="A5" i="4"/>
  <c r="A5" i="5"/>
  <c r="A5" i="19"/>
  <c r="A5" i="18"/>
  <c r="G41" i="3"/>
  <c r="F143" i="3"/>
  <c r="F144" i="3"/>
  <c r="G147" i="3"/>
  <c r="G8734" i="3"/>
  <c r="G8735" i="3"/>
  <c r="I8481" i="3"/>
  <c r="H8481" i="3"/>
  <c r="I10448" i="3"/>
  <c r="I10440" i="3"/>
  <c r="I10443" i="3"/>
  <c r="I10439" i="3"/>
  <c r="I10442" i="3"/>
  <c r="C40" i="76" l="1"/>
  <c r="C25" i="77" s="1"/>
  <c r="C26" i="77" s="1"/>
  <c r="D8589" i="3" s="1"/>
  <c r="B25" i="77"/>
  <c r="B26" i="77" s="1"/>
  <c r="D8588" i="3" s="1"/>
  <c r="B10" i="80"/>
  <c r="B15" i="80"/>
  <c r="B19" i="80" s="1"/>
  <c r="B20" i="80" s="1"/>
  <c r="D35" i="3"/>
  <c r="J35" i="3" s="1"/>
  <c r="J36" i="3"/>
  <c r="H36" i="3"/>
  <c r="A9" i="19" a="1"/>
  <c r="A9" i="19" s="1"/>
  <c r="A9" i="18" a="1"/>
  <c r="A9" i="18" s="1"/>
  <c r="I36" i="3"/>
  <c r="D8596" i="3" a="1"/>
  <c r="D8612" i="3" a="1"/>
  <c r="D8616" i="3" a="1"/>
  <c r="D8600" i="3" a="1"/>
  <c r="D8604" i="3" a="1"/>
  <c r="D8592" i="3" a="1"/>
  <c r="D8608" i="3" a="1"/>
  <c r="B9" i="19"/>
  <c r="B9" i="18"/>
  <c r="J8588" i="3" l="1"/>
  <c r="J8589" i="3"/>
  <c r="D8608" i="3"/>
  <c r="H8608" i="3" s="1"/>
  <c r="D8612" i="3"/>
  <c r="I8612" i="3" s="1"/>
  <c r="D8616" i="3"/>
  <c r="H8616" i="3" s="1"/>
  <c r="D8604" i="3"/>
  <c r="H8604" i="3" s="1"/>
  <c r="D8600" i="3"/>
  <c r="H8600" i="3" s="1"/>
  <c r="D8596" i="3"/>
  <c r="I8596" i="3" s="1"/>
  <c r="D8592" i="3"/>
  <c r="H8592" i="3" s="1"/>
  <c r="H35" i="3"/>
  <c r="A10" i="20" a="1"/>
  <c r="A10" i="20" s="1"/>
  <c r="B10" i="20" s="1" a="1"/>
  <c r="A10" i="19" a="1"/>
  <c r="A10" i="19" s="1"/>
  <c r="A10" i="18" a="1"/>
  <c r="A10" i="18" s="1"/>
  <c r="B10" i="18" s="1"/>
  <c r="I35" i="3"/>
  <c r="H8588" i="3"/>
  <c r="I8589" i="3"/>
  <c r="H8589" i="3"/>
  <c r="I8588" i="3"/>
  <c r="B10" i="19"/>
  <c r="I8616" i="3" l="1"/>
  <c r="H8612" i="3"/>
  <c r="I8608" i="3"/>
  <c r="I8604" i="3"/>
  <c r="D8620" i="3"/>
  <c r="I8620" i="3" s="1"/>
  <c r="J8608" i="3"/>
  <c r="J8592" i="3"/>
  <c r="J8596" i="3"/>
  <c r="J8600" i="3"/>
  <c r="J8604" i="3"/>
  <c r="J8612" i="3"/>
  <c r="J8616" i="3"/>
  <c r="B10" i="20"/>
  <c r="A11" i="20" s="1" a="1"/>
  <c r="A11" i="20" s="1"/>
  <c r="B11" i="20" s="1" a="1"/>
  <c r="A11" i="19" a="1"/>
  <c r="A11" i="19" s="1"/>
  <c r="B11" i="19" s="1"/>
  <c r="A11" i="18" a="1"/>
  <c r="A11" i="18" s="1"/>
  <c r="B11" i="18" s="1"/>
  <c r="I8592" i="3"/>
  <c r="H8596" i="3"/>
  <c r="I8600" i="3"/>
  <c r="J8620" i="3" l="1"/>
  <c r="H8620" i="3"/>
  <c r="B11" i="20"/>
  <c r="A12" i="20" s="1" a="1"/>
  <c r="A12" i="20" s="1"/>
  <c r="B12" i="20" s="1" a="1"/>
  <c r="A12" i="19" a="1"/>
  <c r="A12" i="19" s="1"/>
  <c r="B12" i="19" s="1"/>
  <c r="A12" i="18" a="1"/>
  <c r="A12" i="18" s="1"/>
  <c r="B12" i="18" s="1"/>
  <c r="B17" i="2"/>
  <c r="B6" i="26"/>
  <c r="J46" i="3"/>
  <c r="J47" i="3"/>
  <c r="J48" i="3"/>
  <c r="J49" i="3"/>
  <c r="J50" i="3"/>
  <c r="J51" i="3"/>
  <c r="J52" i="3"/>
  <c r="I53" i="3"/>
  <c r="I54" i="3"/>
  <c r="J45" i="3"/>
  <c r="G54" i="3"/>
  <c r="F54" i="3"/>
  <c r="G53" i="3"/>
  <c r="F53" i="3"/>
  <c r="G52" i="3"/>
  <c r="F52" i="3"/>
  <c r="G51" i="3"/>
  <c r="G50" i="3"/>
  <c r="F50" i="3"/>
  <c r="G49" i="3"/>
  <c r="F49" i="3"/>
  <c r="G48" i="3"/>
  <c r="F48" i="3"/>
  <c r="G47" i="3"/>
  <c r="F47" i="3"/>
  <c r="G46" i="3"/>
  <c r="F46" i="3"/>
  <c r="G45" i="3"/>
  <c r="F45" i="3"/>
  <c r="F41" i="3"/>
  <c r="J41" i="3"/>
  <c r="B16" i="2"/>
  <c r="B15" i="2"/>
  <c r="B14" i="2"/>
  <c r="B12" i="2"/>
  <c r="B13" i="2"/>
  <c r="L4" i="2"/>
  <c r="L3" i="2"/>
  <c r="L2" i="2"/>
  <c r="I147" i="3"/>
  <c r="B12" i="20" l="1"/>
  <c r="H50" i="3"/>
  <c r="I47" i="3"/>
  <c r="J54" i="3"/>
  <c r="D8734" i="3"/>
  <c r="H8734" i="3" s="1"/>
  <c r="D8737" i="3"/>
  <c r="D8749" i="3"/>
  <c r="D8761" i="3"/>
  <c r="D8773" i="3"/>
  <c r="D8785" i="3"/>
  <c r="D8797" i="3"/>
  <c r="D8809" i="3"/>
  <c r="D8821" i="3"/>
  <c r="D8833" i="3"/>
  <c r="D8845" i="3"/>
  <c r="D8857" i="3"/>
  <c r="D8869" i="3"/>
  <c r="D8881" i="3"/>
  <c r="D8893" i="3"/>
  <c r="D8905" i="3"/>
  <c r="D8917" i="3"/>
  <c r="D8929" i="3"/>
  <c r="D8941" i="3"/>
  <c r="D8953" i="3"/>
  <c r="D8965" i="3"/>
  <c r="D8977" i="3"/>
  <c r="D8989" i="3"/>
  <c r="D8742" i="3"/>
  <c r="D8754" i="3"/>
  <c r="D8766" i="3"/>
  <c r="D8778" i="3"/>
  <c r="D8790" i="3"/>
  <c r="D8802" i="3"/>
  <c r="D8814" i="3"/>
  <c r="D8826" i="3"/>
  <c r="D8838" i="3"/>
  <c r="D8850" i="3"/>
  <c r="D8862" i="3"/>
  <c r="D8874" i="3"/>
  <c r="D8886" i="3"/>
  <c r="D8898" i="3"/>
  <c r="D8910" i="3"/>
  <c r="D8922" i="3"/>
  <c r="D8934" i="3"/>
  <c r="D8946" i="3"/>
  <c r="D8958" i="3"/>
  <c r="D8970" i="3"/>
  <c r="D8982" i="3"/>
  <c r="D8747" i="3"/>
  <c r="D8759" i="3"/>
  <c r="D8771" i="3"/>
  <c r="D8783" i="3"/>
  <c r="D8795" i="3"/>
  <c r="D8807" i="3"/>
  <c r="D8819" i="3"/>
  <c r="D8831" i="3"/>
  <c r="D8843" i="3"/>
  <c r="D8855" i="3"/>
  <c r="D8867" i="3"/>
  <c r="D8879" i="3"/>
  <c r="D8891" i="3"/>
  <c r="D8903" i="3"/>
  <c r="D8915" i="3"/>
  <c r="D8927" i="3"/>
  <c r="D8939" i="3"/>
  <c r="D8951" i="3"/>
  <c r="D8963" i="3"/>
  <c r="D8975" i="3"/>
  <c r="D8987" i="3"/>
  <c r="D8740" i="3"/>
  <c r="D8752" i="3"/>
  <c r="D8764" i="3"/>
  <c r="D8776" i="3"/>
  <c r="D8788" i="3"/>
  <c r="D8800" i="3"/>
  <c r="D8812" i="3"/>
  <c r="D8824" i="3"/>
  <c r="D8836" i="3"/>
  <c r="D8848" i="3"/>
  <c r="D8860" i="3"/>
  <c r="D8872" i="3"/>
  <c r="D8884" i="3"/>
  <c r="D8896" i="3"/>
  <c r="D8908" i="3"/>
  <c r="D8920" i="3"/>
  <c r="D8932" i="3"/>
  <c r="D8944" i="3"/>
  <c r="D8956" i="3"/>
  <c r="D8968" i="3"/>
  <c r="D8980" i="3"/>
  <c r="D8745" i="3"/>
  <c r="D8757" i="3"/>
  <c r="D8769" i="3"/>
  <c r="D8781" i="3"/>
  <c r="D8793" i="3"/>
  <c r="D8805" i="3"/>
  <c r="D8817" i="3"/>
  <c r="D8829" i="3"/>
  <c r="D8841" i="3"/>
  <c r="D8853" i="3"/>
  <c r="D8865" i="3"/>
  <c r="D8877" i="3"/>
  <c r="D8889" i="3"/>
  <c r="D8901" i="3"/>
  <c r="D8913" i="3"/>
  <c r="D8925" i="3"/>
  <c r="D8937" i="3"/>
  <c r="D8949" i="3"/>
  <c r="D8961" i="3"/>
  <c r="D8973" i="3"/>
  <c r="D8985" i="3"/>
  <c r="D8738" i="3"/>
  <c r="D8750" i="3"/>
  <c r="D8762" i="3"/>
  <c r="D8774" i="3"/>
  <c r="D8786" i="3"/>
  <c r="D8798" i="3"/>
  <c r="D8810" i="3"/>
  <c r="D8822" i="3"/>
  <c r="D8834" i="3"/>
  <c r="D8846" i="3"/>
  <c r="D8858" i="3"/>
  <c r="D8870" i="3"/>
  <c r="D8882" i="3"/>
  <c r="D8894" i="3"/>
  <c r="D8906" i="3"/>
  <c r="D8918" i="3"/>
  <c r="D8930" i="3"/>
  <c r="D8942" i="3"/>
  <c r="D8954" i="3"/>
  <c r="D8966" i="3"/>
  <c r="D8978" i="3"/>
  <c r="D8743" i="3"/>
  <c r="D8755" i="3"/>
  <c r="D8767" i="3"/>
  <c r="D8779" i="3"/>
  <c r="D8791" i="3"/>
  <c r="D8803" i="3"/>
  <c r="D8815" i="3"/>
  <c r="D8827" i="3"/>
  <c r="D8839" i="3"/>
  <c r="D8851" i="3"/>
  <c r="D8863" i="3"/>
  <c r="D8875" i="3"/>
  <c r="D8887" i="3"/>
  <c r="D8899" i="3"/>
  <c r="D8911" i="3"/>
  <c r="D8923" i="3"/>
  <c r="D8935" i="3"/>
  <c r="D8947" i="3"/>
  <c r="D8959" i="3"/>
  <c r="D8971" i="3"/>
  <c r="D8983" i="3"/>
  <c r="D8748" i="3"/>
  <c r="D8760" i="3"/>
  <c r="D8772" i="3"/>
  <c r="D8784" i="3"/>
  <c r="D8796" i="3"/>
  <c r="D8808" i="3"/>
  <c r="D8820" i="3"/>
  <c r="D8832" i="3"/>
  <c r="D8844" i="3"/>
  <c r="D8856" i="3"/>
  <c r="D8868" i="3"/>
  <c r="D8880" i="3"/>
  <c r="D8892" i="3"/>
  <c r="D8904" i="3"/>
  <c r="D8916" i="3"/>
  <c r="D8928" i="3"/>
  <c r="D8940" i="3"/>
  <c r="D8952" i="3"/>
  <c r="D8964" i="3"/>
  <c r="D8976" i="3"/>
  <c r="D8988" i="3"/>
  <c r="D8741" i="3"/>
  <c r="D8753" i="3"/>
  <c r="D8765" i="3"/>
  <c r="D8777" i="3"/>
  <c r="D8789" i="3"/>
  <c r="D8801" i="3"/>
  <c r="D8813" i="3"/>
  <c r="D8825" i="3"/>
  <c r="D8837" i="3"/>
  <c r="D8849" i="3"/>
  <c r="D8861" i="3"/>
  <c r="D8873" i="3"/>
  <c r="D8885" i="3"/>
  <c r="D8897" i="3"/>
  <c r="D8909" i="3"/>
  <c r="D8921" i="3"/>
  <c r="D8933" i="3"/>
  <c r="D8945" i="3"/>
  <c r="D8957" i="3"/>
  <c r="D8969" i="3"/>
  <c r="D8981" i="3"/>
  <c r="D8746" i="3"/>
  <c r="D8758" i="3"/>
  <c r="D8770" i="3"/>
  <c r="D8782" i="3"/>
  <c r="D8794" i="3"/>
  <c r="D8806" i="3"/>
  <c r="D8818" i="3"/>
  <c r="D8830" i="3"/>
  <c r="D8842" i="3"/>
  <c r="D8854" i="3"/>
  <c r="D8866" i="3"/>
  <c r="D8878" i="3"/>
  <c r="D8890" i="3"/>
  <c r="D8902" i="3"/>
  <c r="D8914" i="3"/>
  <c r="D8926" i="3"/>
  <c r="D8938" i="3"/>
  <c r="D8950" i="3"/>
  <c r="D8962" i="3"/>
  <c r="D8974" i="3"/>
  <c r="D8739" i="3"/>
  <c r="D8751" i="3"/>
  <c r="D8763" i="3"/>
  <c r="D8775" i="3"/>
  <c r="D8787" i="3"/>
  <c r="D8799" i="3"/>
  <c r="D8811" i="3"/>
  <c r="D8823" i="3"/>
  <c r="D8835" i="3"/>
  <c r="D8847" i="3"/>
  <c r="D8859" i="3"/>
  <c r="D8871" i="3"/>
  <c r="D8883" i="3"/>
  <c r="D8895" i="3"/>
  <c r="D8907" i="3"/>
  <c r="D8919" i="3"/>
  <c r="D8931" i="3"/>
  <c r="D8943" i="3"/>
  <c r="D8955" i="3"/>
  <c r="D8967" i="3"/>
  <c r="D8979" i="3"/>
  <c r="D8756" i="3"/>
  <c r="D8792" i="3"/>
  <c r="D8828" i="3"/>
  <c r="D8864" i="3"/>
  <c r="D8900" i="3"/>
  <c r="D8936" i="3"/>
  <c r="D8972" i="3"/>
  <c r="D9001" i="3"/>
  <c r="D9013" i="3"/>
  <c r="D9025" i="3"/>
  <c r="D9037" i="3"/>
  <c r="D9049" i="3"/>
  <c r="D9061" i="3"/>
  <c r="D9073" i="3"/>
  <c r="D9085" i="3"/>
  <c r="D9097" i="3"/>
  <c r="D9109" i="3"/>
  <c r="D9121" i="3"/>
  <c r="D9133" i="3"/>
  <c r="D9145" i="3"/>
  <c r="D9157" i="3"/>
  <c r="D9169" i="3"/>
  <c r="D9181" i="3"/>
  <c r="D9193" i="3"/>
  <c r="D9205" i="3"/>
  <c r="D8994" i="3"/>
  <c r="D9006" i="3"/>
  <c r="D9018" i="3"/>
  <c r="D9030" i="3"/>
  <c r="D9042" i="3"/>
  <c r="D9054" i="3"/>
  <c r="D9066" i="3"/>
  <c r="D9078" i="3"/>
  <c r="D9090" i="3"/>
  <c r="D9102" i="3"/>
  <c r="D9114" i="3"/>
  <c r="D9126" i="3"/>
  <c r="D9138" i="3"/>
  <c r="D9150" i="3"/>
  <c r="D9162" i="3"/>
  <c r="D9174" i="3"/>
  <c r="D9186" i="3"/>
  <c r="D9198" i="3"/>
  <c r="D9210" i="3"/>
  <c r="D8999" i="3"/>
  <c r="D9011" i="3"/>
  <c r="D9023" i="3"/>
  <c r="D9035" i="3"/>
  <c r="D9047" i="3"/>
  <c r="D9059" i="3"/>
  <c r="D9071" i="3"/>
  <c r="D9083" i="3"/>
  <c r="D9095" i="3"/>
  <c r="D9107" i="3"/>
  <c r="D9119" i="3"/>
  <c r="D9131" i="3"/>
  <c r="D8992" i="3"/>
  <c r="D9004" i="3"/>
  <c r="D9016" i="3"/>
  <c r="D9028" i="3"/>
  <c r="D9040" i="3"/>
  <c r="D9052" i="3"/>
  <c r="D9064" i="3"/>
  <c r="D9076" i="3"/>
  <c r="D9088" i="3"/>
  <c r="D9100" i="3"/>
  <c r="D9112" i="3"/>
  <c r="D9124" i="3"/>
  <c r="D9136" i="3"/>
  <c r="D9148" i="3"/>
  <c r="D9160" i="3"/>
  <c r="D9172" i="3"/>
  <c r="D9184" i="3"/>
  <c r="D9196" i="3"/>
  <c r="D9208" i="3"/>
  <c r="D8768" i="3"/>
  <c r="D8804" i="3"/>
  <c r="D8840" i="3"/>
  <c r="D8876" i="3"/>
  <c r="D8912" i="3"/>
  <c r="D8948" i="3"/>
  <c r="D8997" i="3"/>
  <c r="D9009" i="3"/>
  <c r="D9021" i="3"/>
  <c r="D9033" i="3"/>
  <c r="D9045" i="3"/>
  <c r="D9057" i="3"/>
  <c r="D9069" i="3"/>
  <c r="D9081" i="3"/>
  <c r="D9093" i="3"/>
  <c r="D9105" i="3"/>
  <c r="D9117" i="3"/>
  <c r="D9129" i="3"/>
  <c r="D9141" i="3"/>
  <c r="D9153" i="3"/>
  <c r="D9165" i="3"/>
  <c r="D9177" i="3"/>
  <c r="D9189" i="3"/>
  <c r="D9201" i="3"/>
  <c r="D9213" i="3"/>
  <c r="D8984" i="3"/>
  <c r="D9002" i="3"/>
  <c r="D9014" i="3"/>
  <c r="D9026" i="3"/>
  <c r="D9038" i="3"/>
  <c r="D9050" i="3"/>
  <c r="D9062" i="3"/>
  <c r="D9074" i="3"/>
  <c r="D9086" i="3"/>
  <c r="D9098" i="3"/>
  <c r="D9110" i="3"/>
  <c r="D9122" i="3"/>
  <c r="D9134" i="3"/>
  <c r="D9146" i="3"/>
  <c r="D9158" i="3"/>
  <c r="D9170" i="3"/>
  <c r="D9182" i="3"/>
  <c r="D9194" i="3"/>
  <c r="D9206" i="3"/>
  <c r="D9218" i="3"/>
  <c r="D8990" i="3"/>
  <c r="D8995" i="3"/>
  <c r="D9007" i="3"/>
  <c r="D9019" i="3"/>
  <c r="D9031" i="3"/>
  <c r="D9043" i="3"/>
  <c r="D9055" i="3"/>
  <c r="D9067" i="3"/>
  <c r="D9079" i="3"/>
  <c r="D9091" i="3"/>
  <c r="D9103" i="3"/>
  <c r="D9115" i="3"/>
  <c r="D9127" i="3"/>
  <c r="D9139" i="3"/>
  <c r="D9151" i="3"/>
  <c r="D9163" i="3"/>
  <c r="D9000" i="3"/>
  <c r="D9012" i="3"/>
  <c r="D9024" i="3"/>
  <c r="D9036" i="3"/>
  <c r="D9048" i="3"/>
  <c r="D9060" i="3"/>
  <c r="D9072" i="3"/>
  <c r="D9084" i="3"/>
  <c r="D9096" i="3"/>
  <c r="D9108" i="3"/>
  <c r="D9120" i="3"/>
  <c r="D9132" i="3"/>
  <c r="D9144" i="3"/>
  <c r="D9156" i="3"/>
  <c r="D9168" i="3"/>
  <c r="D9180" i="3"/>
  <c r="D9192" i="3"/>
  <c r="D9204" i="3"/>
  <c r="D9216" i="3"/>
  <c r="D8744" i="3"/>
  <c r="D8780" i="3"/>
  <c r="D8816" i="3"/>
  <c r="D8852" i="3"/>
  <c r="D8888" i="3"/>
  <c r="D8924" i="3"/>
  <c r="D8960" i="3"/>
  <c r="D8986" i="3"/>
  <c r="D8993" i="3"/>
  <c r="D9005" i="3"/>
  <c r="D9017" i="3"/>
  <c r="D9029" i="3"/>
  <c r="D9041" i="3"/>
  <c r="D9053" i="3"/>
  <c r="D9065" i="3"/>
  <c r="D9077" i="3"/>
  <c r="D9089" i="3"/>
  <c r="D9101" i="3"/>
  <c r="D9113" i="3"/>
  <c r="D9125" i="3"/>
  <c r="D9137" i="3"/>
  <c r="D9149" i="3"/>
  <c r="D9161" i="3"/>
  <c r="D9173" i="3"/>
  <c r="D8998" i="3"/>
  <c r="D9010" i="3"/>
  <c r="D9022" i="3"/>
  <c r="D9034" i="3"/>
  <c r="D9046" i="3"/>
  <c r="D9058" i="3"/>
  <c r="D9070" i="3"/>
  <c r="D9082" i="3"/>
  <c r="D9094" i="3"/>
  <c r="D9106" i="3"/>
  <c r="D9118" i="3"/>
  <c r="D9130" i="3"/>
  <c r="D9142" i="3"/>
  <c r="D9154" i="3"/>
  <c r="D9166" i="3"/>
  <c r="D9178" i="3"/>
  <c r="D9190" i="3"/>
  <c r="D9202" i="3"/>
  <c r="D8991" i="3"/>
  <c r="D9003" i="3"/>
  <c r="D9015" i="3"/>
  <c r="D9027" i="3"/>
  <c r="D9039" i="3"/>
  <c r="D9051" i="3"/>
  <c r="D9063" i="3"/>
  <c r="D9075" i="3"/>
  <c r="D9087" i="3"/>
  <c r="D9099" i="3"/>
  <c r="D9111" i="3"/>
  <c r="D9123" i="3"/>
  <c r="D9135" i="3"/>
  <c r="D9147" i="3"/>
  <c r="D9159" i="3"/>
  <c r="D9171" i="3"/>
  <c r="D9183" i="3"/>
  <c r="D9195" i="3"/>
  <c r="D9223" i="3"/>
  <c r="D9235" i="3"/>
  <c r="D9247" i="3"/>
  <c r="D9259" i="3"/>
  <c r="D9271" i="3"/>
  <c r="D9283" i="3"/>
  <c r="D9295" i="3"/>
  <c r="D9307" i="3"/>
  <c r="D9319" i="3"/>
  <c r="D9175" i="3"/>
  <c r="D9211" i="3"/>
  <c r="D9228" i="3"/>
  <c r="D9240" i="3"/>
  <c r="D9252" i="3"/>
  <c r="D9264" i="3"/>
  <c r="D9276" i="3"/>
  <c r="D9288" i="3"/>
  <c r="D9300" i="3"/>
  <c r="D9312" i="3"/>
  <c r="D9324" i="3"/>
  <c r="D9336" i="3"/>
  <c r="D9348" i="3"/>
  <c r="D9360" i="3"/>
  <c r="D9372" i="3"/>
  <c r="D9384" i="3"/>
  <c r="D9396" i="3"/>
  <c r="D9408" i="3"/>
  <c r="D8996" i="3"/>
  <c r="D9032" i="3"/>
  <c r="D9068" i="3"/>
  <c r="D9104" i="3"/>
  <c r="D9140" i="3"/>
  <c r="D9191" i="3"/>
  <c r="D9221" i="3"/>
  <c r="D9233" i="3"/>
  <c r="D9245" i="3"/>
  <c r="D9257" i="3"/>
  <c r="D9269" i="3"/>
  <c r="D9281" i="3"/>
  <c r="D9293" i="3"/>
  <c r="D9305" i="3"/>
  <c r="D9317" i="3"/>
  <c r="D9329" i="3"/>
  <c r="D9341" i="3"/>
  <c r="D9353" i="3"/>
  <c r="D9155" i="3"/>
  <c r="D9176" i="3"/>
  <c r="D9187" i="3"/>
  <c r="D9197" i="3"/>
  <c r="D9207" i="3"/>
  <c r="D9215" i="3"/>
  <c r="D9226" i="3"/>
  <c r="D9238" i="3"/>
  <c r="D9250" i="3"/>
  <c r="D9262" i="3"/>
  <c r="D9274" i="3"/>
  <c r="D9286" i="3"/>
  <c r="D9298" i="3"/>
  <c r="D9310" i="3"/>
  <c r="D9322" i="3"/>
  <c r="D9334" i="3"/>
  <c r="D9346" i="3"/>
  <c r="D9358" i="3"/>
  <c r="D9370" i="3"/>
  <c r="D9382" i="3"/>
  <c r="D9394" i="3"/>
  <c r="D9406" i="3"/>
  <c r="D9231" i="3"/>
  <c r="D9243" i="3"/>
  <c r="D9255" i="3"/>
  <c r="D9267" i="3"/>
  <c r="D9279" i="3"/>
  <c r="D9291" i="3"/>
  <c r="D9303" i="3"/>
  <c r="D9315" i="3"/>
  <c r="D9327" i="3"/>
  <c r="D9339" i="3"/>
  <c r="D9351" i="3"/>
  <c r="D9363" i="3"/>
  <c r="D9375" i="3"/>
  <c r="D9387" i="3"/>
  <c r="D9399" i="3"/>
  <c r="D9411" i="3"/>
  <c r="D9164" i="3"/>
  <c r="D9212" i="3"/>
  <c r="D9219" i="3"/>
  <c r="D9224" i="3"/>
  <c r="D9236" i="3"/>
  <c r="D9248" i="3"/>
  <c r="D9260" i="3"/>
  <c r="D9272" i="3"/>
  <c r="D9284" i="3"/>
  <c r="D9296" i="3"/>
  <c r="D9308" i="3"/>
  <c r="D9320" i="3"/>
  <c r="D9332" i="3"/>
  <c r="D9344" i="3"/>
  <c r="D9356" i="3"/>
  <c r="D9368" i="3"/>
  <c r="D9380" i="3"/>
  <c r="D9392" i="3"/>
  <c r="D9404" i="3"/>
  <c r="D9008" i="3"/>
  <c r="D9044" i="3"/>
  <c r="D9080" i="3"/>
  <c r="D9116" i="3"/>
  <c r="D9188" i="3"/>
  <c r="D9203" i="3"/>
  <c r="D9229" i="3"/>
  <c r="D9241" i="3"/>
  <c r="D9253" i="3"/>
  <c r="D9265" i="3"/>
  <c r="D9277" i="3"/>
  <c r="D9289" i="3"/>
  <c r="D9301" i="3"/>
  <c r="D9313" i="3"/>
  <c r="D9325" i="3"/>
  <c r="D9143" i="3"/>
  <c r="D9199" i="3"/>
  <c r="D9222" i="3"/>
  <c r="D9234" i="3"/>
  <c r="D9246" i="3"/>
  <c r="D9258" i="3"/>
  <c r="D9270" i="3"/>
  <c r="D9282" i="3"/>
  <c r="D9294" i="3"/>
  <c r="D9306" i="3"/>
  <c r="D9318" i="3"/>
  <c r="D9330" i="3"/>
  <c r="D9342" i="3"/>
  <c r="D9354" i="3"/>
  <c r="D9366" i="3"/>
  <c r="D9378" i="3"/>
  <c r="D9390" i="3"/>
  <c r="D9402" i="3"/>
  <c r="D9414" i="3"/>
  <c r="D9209" i="3"/>
  <c r="D9227" i="3"/>
  <c r="D9239" i="3"/>
  <c r="D9251" i="3"/>
  <c r="D9263" i="3"/>
  <c r="D9275" i="3"/>
  <c r="D9287" i="3"/>
  <c r="D9299" i="3"/>
  <c r="D9311" i="3"/>
  <c r="D9323" i="3"/>
  <c r="D9152" i="3"/>
  <c r="D9232" i="3"/>
  <c r="D9244" i="3"/>
  <c r="D9256" i="3"/>
  <c r="D9268" i="3"/>
  <c r="D9280" i="3"/>
  <c r="D9292" i="3"/>
  <c r="D9304" i="3"/>
  <c r="D9316" i="3"/>
  <c r="D9328" i="3"/>
  <c r="D9340" i="3"/>
  <c r="D9352" i="3"/>
  <c r="D9364" i="3"/>
  <c r="D9376" i="3"/>
  <c r="D9388" i="3"/>
  <c r="D9400" i="3"/>
  <c r="D9412" i="3"/>
  <c r="D9020" i="3"/>
  <c r="D9056" i="3"/>
  <c r="D9092" i="3"/>
  <c r="D9128" i="3"/>
  <c r="D9179" i="3"/>
  <c r="D9200" i="3"/>
  <c r="D9217" i="3"/>
  <c r="D9220" i="3"/>
  <c r="D9225" i="3"/>
  <c r="D9237" i="3"/>
  <c r="D9249" i="3"/>
  <c r="D9261" i="3"/>
  <c r="D9273" i="3"/>
  <c r="D9285" i="3"/>
  <c r="D9297" i="3"/>
  <c r="D9309" i="3"/>
  <c r="D9321" i="3"/>
  <c r="D9333" i="3"/>
  <c r="D9345" i="3"/>
  <c r="D9357" i="3"/>
  <c r="D9369" i="3"/>
  <c r="D9381" i="3"/>
  <c r="D9393" i="3"/>
  <c r="D9405" i="3"/>
  <c r="D9254" i="3"/>
  <c r="D9290" i="3"/>
  <c r="D9326" i="3"/>
  <c r="D9338" i="3"/>
  <c r="D9343" i="3"/>
  <c r="D9367" i="3"/>
  <c r="D9403" i="3"/>
  <c r="D9426" i="3"/>
  <c r="D9438" i="3"/>
  <c r="D9450" i="3"/>
  <c r="D9462" i="3"/>
  <c r="D9474" i="3"/>
  <c r="D9486" i="3"/>
  <c r="D9498" i="3"/>
  <c r="D9510" i="3"/>
  <c r="D9522" i="3"/>
  <c r="D9534" i="3"/>
  <c r="D9546" i="3"/>
  <c r="D9558" i="3"/>
  <c r="D9570" i="3"/>
  <c r="D9185" i="3"/>
  <c r="D9349" i="3"/>
  <c r="D9416" i="3"/>
  <c r="D9419" i="3"/>
  <c r="D9431" i="3"/>
  <c r="D9443" i="3"/>
  <c r="D9455" i="3"/>
  <c r="D9467" i="3"/>
  <c r="D9479" i="3"/>
  <c r="D9491" i="3"/>
  <c r="D9503" i="3"/>
  <c r="D9515" i="3"/>
  <c r="D9527" i="3"/>
  <c r="D9539" i="3"/>
  <c r="D9551" i="3"/>
  <c r="D9563" i="3"/>
  <c r="D9575" i="3"/>
  <c r="D9520" i="3"/>
  <c r="D9544" i="3"/>
  <c r="D9359" i="3"/>
  <c r="D9386" i="3"/>
  <c r="D9395" i="3"/>
  <c r="D9424" i="3"/>
  <c r="D9436" i="3"/>
  <c r="D9448" i="3"/>
  <c r="D9460" i="3"/>
  <c r="D9472" i="3"/>
  <c r="D9484" i="3"/>
  <c r="D9496" i="3"/>
  <c r="D9508" i="3"/>
  <c r="D9532" i="3"/>
  <c r="D9373" i="3"/>
  <c r="D9377" i="3"/>
  <c r="D9409" i="3"/>
  <c r="D9413" i="3"/>
  <c r="D9429" i="3"/>
  <c r="D9441" i="3"/>
  <c r="D9453" i="3"/>
  <c r="D9465" i="3"/>
  <c r="D9477" i="3"/>
  <c r="D9489" i="3"/>
  <c r="D9501" i="3"/>
  <c r="D9513" i="3"/>
  <c r="D9525" i="3"/>
  <c r="D9537" i="3"/>
  <c r="D9549" i="3"/>
  <c r="D9561" i="3"/>
  <c r="D9573" i="3"/>
  <c r="D9571" i="3"/>
  <c r="D9540" i="3"/>
  <c r="D9230" i="3"/>
  <c r="D9266" i="3"/>
  <c r="D9302" i="3"/>
  <c r="D9335" i="3"/>
  <c r="D9350" i="3"/>
  <c r="D9355" i="3"/>
  <c r="D9391" i="3"/>
  <c r="D9417" i="3"/>
  <c r="D9422" i="3"/>
  <c r="D9434" i="3"/>
  <c r="D9446" i="3"/>
  <c r="D9458" i="3"/>
  <c r="D9470" i="3"/>
  <c r="D9482" i="3"/>
  <c r="D9494" i="3"/>
  <c r="D9506" i="3"/>
  <c r="D9518" i="3"/>
  <c r="D9530" i="3"/>
  <c r="D9542" i="3"/>
  <c r="D9554" i="3"/>
  <c r="D9566" i="3"/>
  <c r="D9578" i="3"/>
  <c r="D9552" i="3"/>
  <c r="D9564" i="3"/>
  <c r="D9576" i="3"/>
  <c r="D9167" i="3"/>
  <c r="D9427" i="3"/>
  <c r="D9439" i="3"/>
  <c r="D9451" i="3"/>
  <c r="D9463" i="3"/>
  <c r="D9475" i="3"/>
  <c r="D9487" i="3"/>
  <c r="D9499" i="3"/>
  <c r="D9511" i="3"/>
  <c r="D9523" i="3"/>
  <c r="D9535" i="3"/>
  <c r="D9547" i="3"/>
  <c r="D9559" i="3"/>
  <c r="D9374" i="3"/>
  <c r="D9383" i="3"/>
  <c r="D9410" i="3"/>
  <c r="D9420" i="3"/>
  <c r="D9432" i="3"/>
  <c r="D9444" i="3"/>
  <c r="D9456" i="3"/>
  <c r="D9468" i="3"/>
  <c r="D9480" i="3"/>
  <c r="D9492" i="3"/>
  <c r="D9504" i="3"/>
  <c r="D9516" i="3"/>
  <c r="D9528" i="3"/>
  <c r="D9361" i="3"/>
  <c r="D9365" i="3"/>
  <c r="D9397" i="3"/>
  <c r="D9401" i="3"/>
  <c r="D9425" i="3"/>
  <c r="D9437" i="3"/>
  <c r="D9449" i="3"/>
  <c r="D9461" i="3"/>
  <c r="D9473" i="3"/>
  <c r="D9485" i="3"/>
  <c r="D9497" i="3"/>
  <c r="D9509" i="3"/>
  <c r="D9521" i="3"/>
  <c r="D9533" i="3"/>
  <c r="D9545" i="3"/>
  <c r="D9557" i="3"/>
  <c r="D9569" i="3"/>
  <c r="D9574" i="3"/>
  <c r="D9242" i="3"/>
  <c r="D9278" i="3"/>
  <c r="D9314" i="3"/>
  <c r="D9347" i="3"/>
  <c r="D9379" i="3"/>
  <c r="D9418" i="3"/>
  <c r="D9430" i="3"/>
  <c r="D9442" i="3"/>
  <c r="D9454" i="3"/>
  <c r="D9466" i="3"/>
  <c r="D9478" i="3"/>
  <c r="D9490" i="3"/>
  <c r="D9502" i="3"/>
  <c r="D9514" i="3"/>
  <c r="D9526" i="3"/>
  <c r="D9538" i="3"/>
  <c r="D9550" i="3"/>
  <c r="D9562" i="3"/>
  <c r="D9214" i="3"/>
  <c r="D9331" i="3"/>
  <c r="D9337" i="3"/>
  <c r="D9415" i="3"/>
  <c r="D9423" i="3"/>
  <c r="D9435" i="3"/>
  <c r="D9447" i="3"/>
  <c r="D9459" i="3"/>
  <c r="D9471" i="3"/>
  <c r="D9483" i="3"/>
  <c r="D9495" i="3"/>
  <c r="D9507" i="3"/>
  <c r="D9519" i="3"/>
  <c r="D9531" i="3"/>
  <c r="D9543" i="3"/>
  <c r="D9555" i="3"/>
  <c r="D9567" i="3"/>
  <c r="D8736" i="3"/>
  <c r="D9362" i="3"/>
  <c r="D9371" i="3"/>
  <c r="D9398" i="3"/>
  <c r="D9407" i="3"/>
  <c r="D9428" i="3"/>
  <c r="D9440" i="3"/>
  <c r="D9452" i="3"/>
  <c r="D9464" i="3"/>
  <c r="D9476" i="3"/>
  <c r="D9488" i="3"/>
  <c r="D9500" i="3"/>
  <c r="D9512" i="3"/>
  <c r="D9524" i="3"/>
  <c r="D9536" i="3"/>
  <c r="D9548" i="3"/>
  <c r="D9560" i="3"/>
  <c r="D9572" i="3"/>
  <c r="D9445" i="3"/>
  <c r="D9481" i="3"/>
  <c r="D9517" i="3"/>
  <c r="D9553" i="3"/>
  <c r="D9568" i="3"/>
  <c r="D9389" i="3"/>
  <c r="D9493" i="3"/>
  <c r="D9529" i="3"/>
  <c r="D9577" i="3"/>
  <c r="D9421" i="3"/>
  <c r="D9457" i="3"/>
  <c r="D9556" i="3"/>
  <c r="D9565" i="3"/>
  <c r="D9433" i="3"/>
  <c r="D9469" i="3"/>
  <c r="D9505" i="3"/>
  <c r="D9541" i="3"/>
  <c r="D9385" i="3"/>
  <c r="I50" i="3"/>
  <c r="J147" i="3"/>
  <c r="A13" i="19" a="1"/>
  <c r="A13" i="19" s="1"/>
  <c r="B13" i="19" s="1"/>
  <c r="A13" i="18" a="1"/>
  <c r="A13" i="18" s="1"/>
  <c r="B13" i="18" s="1"/>
  <c r="D8735" i="3"/>
  <c r="I8735" i="3" s="1"/>
  <c r="H52" i="3"/>
  <c r="I48" i="3"/>
  <c r="I52" i="3"/>
  <c r="H54" i="3"/>
  <c r="H48" i="3"/>
  <c r="I51" i="3"/>
  <c r="J53" i="3"/>
  <c r="H47" i="3"/>
  <c r="H53" i="3"/>
  <c r="D141" i="3"/>
  <c r="F141" i="3"/>
  <c r="G141" i="3"/>
  <c r="D142" i="3"/>
  <c r="F142" i="3"/>
  <c r="G142" i="3"/>
  <c r="D143" i="3"/>
  <c r="G143" i="3"/>
  <c r="D144" i="3"/>
  <c r="G144" i="3"/>
  <c r="D136" i="3"/>
  <c r="F136" i="3"/>
  <c r="G136" i="3"/>
  <c r="D137" i="3"/>
  <c r="F137" i="3"/>
  <c r="G137" i="3"/>
  <c r="D138" i="3"/>
  <c r="F138" i="3"/>
  <c r="G138" i="3"/>
  <c r="D139" i="3"/>
  <c r="F139" i="3"/>
  <c r="G139" i="3"/>
  <c r="D140" i="3"/>
  <c r="F140" i="3"/>
  <c r="G140" i="3"/>
  <c r="F135" i="3"/>
  <c r="G135" i="3"/>
  <c r="D135" i="3"/>
  <c r="D96" i="3" a="1"/>
  <c r="D96" i="3" s="1"/>
  <c r="F96" i="3"/>
  <c r="G96" i="3"/>
  <c r="D97" i="3" a="1"/>
  <c r="D97" i="3" s="1"/>
  <c r="F97" i="3"/>
  <c r="G97" i="3"/>
  <c r="D98" i="3" a="1"/>
  <c r="D98" i="3" s="1"/>
  <c r="F98" i="3"/>
  <c r="G98" i="3"/>
  <c r="D99" i="3" a="1"/>
  <c r="D99" i="3" s="1"/>
  <c r="F99" i="3"/>
  <c r="G99" i="3"/>
  <c r="D100" i="3" a="1"/>
  <c r="D100" i="3" s="1"/>
  <c r="F100" i="3"/>
  <c r="G100" i="3"/>
  <c r="D101" i="3" a="1"/>
  <c r="D101" i="3" s="1"/>
  <c r="F101" i="3"/>
  <c r="G101" i="3"/>
  <c r="D102" i="3" a="1"/>
  <c r="D102" i="3" s="1"/>
  <c r="F102" i="3"/>
  <c r="G102" i="3"/>
  <c r="D103" i="3" a="1"/>
  <c r="D103" i="3" s="1"/>
  <c r="F103" i="3"/>
  <c r="G103" i="3"/>
  <c r="D104" i="3" a="1"/>
  <c r="D104" i="3" s="1"/>
  <c r="F104" i="3"/>
  <c r="G104" i="3"/>
  <c r="D95" i="3" a="1"/>
  <c r="D95" i="3" s="1"/>
  <c r="I49" i="3"/>
  <c r="H49" i="3"/>
  <c r="H147" i="3"/>
  <c r="H46" i="3"/>
  <c r="I46" i="3"/>
  <c r="I45" i="3"/>
  <c r="H45" i="3"/>
  <c r="H41" i="3"/>
  <c r="I8734" i="3"/>
  <c r="I41" i="3"/>
  <c r="A13" i="20" l="1" a="1"/>
  <c r="A13" i="20" s="1"/>
  <c r="J8734" i="3"/>
  <c r="H140" i="3"/>
  <c r="H142" i="3"/>
  <c r="H138" i="3"/>
  <c r="J143" i="3"/>
  <c r="I138" i="3"/>
  <c r="J138" i="3"/>
  <c r="J135" i="3"/>
  <c r="J142" i="3"/>
  <c r="I142" i="3"/>
  <c r="J137" i="3"/>
  <c r="H141" i="3"/>
  <c r="J141" i="3"/>
  <c r="I141" i="3"/>
  <c r="I140" i="3"/>
  <c r="J140" i="3"/>
  <c r="J136" i="3"/>
  <c r="I144" i="3"/>
  <c r="J144" i="3"/>
  <c r="H144" i="3"/>
  <c r="J139" i="3"/>
  <c r="H9439" i="3"/>
  <c r="I9439" i="3"/>
  <c r="J9439" i="3"/>
  <c r="H9056" i="3"/>
  <c r="I9056" i="3"/>
  <c r="J9056" i="3"/>
  <c r="H9286" i="3"/>
  <c r="I9286" i="3"/>
  <c r="J9286" i="3"/>
  <c r="J8993" i="3"/>
  <c r="H8993" i="3"/>
  <c r="I8993" i="3"/>
  <c r="H9026" i="3"/>
  <c r="I9026" i="3"/>
  <c r="J9026" i="3"/>
  <c r="H9001" i="3"/>
  <c r="I9001" i="3"/>
  <c r="J9001" i="3"/>
  <c r="J8849" i="3"/>
  <c r="H8849" i="3"/>
  <c r="I8849" i="3"/>
  <c r="H8779" i="3"/>
  <c r="I8779" i="3"/>
  <c r="J8779" i="3"/>
  <c r="H8857" i="3"/>
  <c r="I8857" i="3"/>
  <c r="J8857" i="3"/>
  <c r="H9565" i="3"/>
  <c r="J9565" i="3"/>
  <c r="I9565" i="3"/>
  <c r="H9445" i="3"/>
  <c r="I9445" i="3"/>
  <c r="J9445" i="3"/>
  <c r="H9440" i="3"/>
  <c r="I9440" i="3"/>
  <c r="J9440" i="3"/>
  <c r="I9507" i="3"/>
  <c r="J9507" i="3"/>
  <c r="H9507" i="3"/>
  <c r="J9562" i="3"/>
  <c r="H9562" i="3"/>
  <c r="I9562" i="3"/>
  <c r="J9418" i="3"/>
  <c r="H9418" i="3"/>
  <c r="I9418" i="3"/>
  <c r="H9509" i="3"/>
  <c r="I9509" i="3"/>
  <c r="J9509" i="3"/>
  <c r="H9528" i="3"/>
  <c r="I9528" i="3"/>
  <c r="J9528" i="3"/>
  <c r="H9374" i="3"/>
  <c r="J9374" i="3"/>
  <c r="I9374" i="3"/>
  <c r="H9427" i="3"/>
  <c r="I9427" i="3"/>
  <c r="J9427" i="3"/>
  <c r="H9494" i="3"/>
  <c r="I9494" i="3"/>
  <c r="J9494" i="3"/>
  <c r="H9302" i="3"/>
  <c r="I9302" i="3"/>
  <c r="J9302" i="3"/>
  <c r="H9489" i="3"/>
  <c r="I9489" i="3"/>
  <c r="J9489" i="3"/>
  <c r="H9496" i="3"/>
  <c r="I9496" i="3"/>
  <c r="J9496" i="3"/>
  <c r="H9575" i="3"/>
  <c r="J9575" i="3"/>
  <c r="I9575" i="3"/>
  <c r="H9431" i="3"/>
  <c r="I9431" i="3"/>
  <c r="J9431" i="3"/>
  <c r="H9486" i="3"/>
  <c r="I9486" i="3"/>
  <c r="J9486" i="3"/>
  <c r="H9254" i="3"/>
  <c r="I9254" i="3"/>
  <c r="J9254" i="3"/>
  <c r="H9273" i="3"/>
  <c r="I9273" i="3"/>
  <c r="J9273" i="3"/>
  <c r="H9020" i="3"/>
  <c r="I9020" i="3"/>
  <c r="J9020" i="3"/>
  <c r="I9280" i="3"/>
  <c r="J9280" i="3"/>
  <c r="H9280" i="3"/>
  <c r="J9251" i="3"/>
  <c r="H9251" i="3"/>
  <c r="I9251" i="3"/>
  <c r="H9318" i="3"/>
  <c r="I9318" i="3"/>
  <c r="J9318" i="3"/>
  <c r="H9313" i="3"/>
  <c r="I9313" i="3"/>
  <c r="J9313" i="3"/>
  <c r="H9044" i="3"/>
  <c r="I9044" i="3"/>
  <c r="J9044" i="3"/>
  <c r="H9284" i="3"/>
  <c r="I9284" i="3"/>
  <c r="J9284" i="3"/>
  <c r="I9375" i="3"/>
  <c r="H9375" i="3"/>
  <c r="J9375" i="3"/>
  <c r="H9231" i="3"/>
  <c r="I9231" i="3"/>
  <c r="J9231" i="3"/>
  <c r="H9274" i="3"/>
  <c r="I9274" i="3"/>
  <c r="J9274" i="3"/>
  <c r="H9341" i="3"/>
  <c r="I9341" i="3"/>
  <c r="J9341" i="3"/>
  <c r="H9140" i="3"/>
  <c r="I9140" i="3"/>
  <c r="J9140" i="3"/>
  <c r="H9324" i="3"/>
  <c r="I9324" i="3"/>
  <c r="J9324" i="3"/>
  <c r="H9307" i="3"/>
  <c r="I9307" i="3"/>
  <c r="J9307" i="3"/>
  <c r="H9147" i="3"/>
  <c r="I9147" i="3"/>
  <c r="J9147" i="3"/>
  <c r="H9003" i="3"/>
  <c r="I9003" i="3"/>
  <c r="J9003" i="3"/>
  <c r="I9082" i="3"/>
  <c r="J9082" i="3"/>
  <c r="H9082" i="3"/>
  <c r="J9125" i="3"/>
  <c r="H9125" i="3"/>
  <c r="I9125" i="3"/>
  <c r="I8986" i="3"/>
  <c r="J8986" i="3"/>
  <c r="H8986" i="3"/>
  <c r="H9168" i="3"/>
  <c r="I9168" i="3"/>
  <c r="J9168" i="3"/>
  <c r="H9024" i="3"/>
  <c r="I9024" i="3"/>
  <c r="J9024" i="3"/>
  <c r="H9055" i="3"/>
  <c r="I9055" i="3"/>
  <c r="J9055" i="3"/>
  <c r="H9158" i="3"/>
  <c r="I9158" i="3"/>
  <c r="J9158" i="3"/>
  <c r="H9014" i="3"/>
  <c r="I9014" i="3"/>
  <c r="J9014" i="3"/>
  <c r="H9105" i="3"/>
  <c r="I9105" i="3"/>
  <c r="J9105" i="3"/>
  <c r="H8876" i="3"/>
  <c r="I8876" i="3"/>
  <c r="J8876" i="3"/>
  <c r="H9112" i="3"/>
  <c r="I9112" i="3"/>
  <c r="J9112" i="3"/>
  <c r="H9119" i="3"/>
  <c r="I9119" i="3"/>
  <c r="J9119" i="3"/>
  <c r="H9198" i="3"/>
  <c r="I9198" i="3"/>
  <c r="J9198" i="3"/>
  <c r="H9054" i="3"/>
  <c r="I9054" i="3"/>
  <c r="J9054" i="3"/>
  <c r="H9133" i="3"/>
  <c r="I9133" i="3"/>
  <c r="J9133" i="3"/>
  <c r="H8972" i="3"/>
  <c r="I8972" i="3"/>
  <c r="J8972" i="3"/>
  <c r="H8919" i="3"/>
  <c r="I8919" i="3"/>
  <c r="J8919" i="3"/>
  <c r="H8775" i="3"/>
  <c r="I8775" i="3"/>
  <c r="J8775" i="3"/>
  <c r="I8878" i="3"/>
  <c r="J8878" i="3"/>
  <c r="H8878" i="3"/>
  <c r="J8981" i="3"/>
  <c r="H8981" i="3"/>
  <c r="I8981" i="3"/>
  <c r="J8837" i="3"/>
  <c r="H8837" i="3"/>
  <c r="I8837" i="3"/>
  <c r="H8952" i="3"/>
  <c r="I8952" i="3"/>
  <c r="J8952" i="3"/>
  <c r="H8808" i="3"/>
  <c r="I8808" i="3"/>
  <c r="J8808" i="3"/>
  <c r="H8911" i="3"/>
  <c r="I8911" i="3"/>
  <c r="J8911" i="3"/>
  <c r="H8767" i="3"/>
  <c r="I8767" i="3"/>
  <c r="J8767" i="3"/>
  <c r="H8870" i="3"/>
  <c r="I8870" i="3"/>
  <c r="J8870" i="3"/>
  <c r="H8985" i="3"/>
  <c r="I8985" i="3"/>
  <c r="J8985" i="3"/>
  <c r="H8841" i="3"/>
  <c r="I8841" i="3"/>
  <c r="J8841" i="3"/>
  <c r="H8944" i="3"/>
  <c r="I8944" i="3"/>
  <c r="J8944" i="3"/>
  <c r="H8800" i="3"/>
  <c r="I8800" i="3"/>
  <c r="J8800" i="3"/>
  <c r="H8915" i="3"/>
  <c r="I8915" i="3"/>
  <c r="J8915" i="3"/>
  <c r="H8771" i="3"/>
  <c r="I8771" i="3"/>
  <c r="J8771" i="3"/>
  <c r="H8874" i="3"/>
  <c r="I8874" i="3"/>
  <c r="J8874" i="3"/>
  <c r="H8989" i="3"/>
  <c r="J8989" i="3"/>
  <c r="I8989" i="3"/>
  <c r="H8845" i="3"/>
  <c r="I8845" i="3"/>
  <c r="J8845" i="3"/>
  <c r="I9361" i="3"/>
  <c r="J9361" i="3"/>
  <c r="H9361" i="3"/>
  <c r="H9498" i="3"/>
  <c r="I9498" i="3"/>
  <c r="J9498" i="3"/>
  <c r="I9387" i="3"/>
  <c r="H9387" i="3"/>
  <c r="J9387" i="3"/>
  <c r="H9015" i="3"/>
  <c r="I9015" i="3"/>
  <c r="J9015" i="3"/>
  <c r="H9067" i="3"/>
  <c r="I9067" i="3"/>
  <c r="J9067" i="3"/>
  <c r="H9066" i="3"/>
  <c r="I9066" i="3"/>
  <c r="J9066" i="3"/>
  <c r="J8746" i="3"/>
  <c r="H8742" i="3"/>
  <c r="I8742" i="3"/>
  <c r="J8742" i="3"/>
  <c r="H9556" i="3"/>
  <c r="J9556" i="3"/>
  <c r="I9556" i="3"/>
  <c r="H9572" i="3"/>
  <c r="I9572" i="3"/>
  <c r="J9572" i="3"/>
  <c r="H9428" i="3"/>
  <c r="I9428" i="3"/>
  <c r="J9428" i="3"/>
  <c r="I9495" i="3"/>
  <c r="J9495" i="3"/>
  <c r="H9495" i="3"/>
  <c r="J9550" i="3"/>
  <c r="H9550" i="3"/>
  <c r="I9550" i="3"/>
  <c r="I9379" i="3"/>
  <c r="J9379" i="3"/>
  <c r="H9379" i="3"/>
  <c r="H9497" i="3"/>
  <c r="I9497" i="3"/>
  <c r="J9497" i="3"/>
  <c r="H9516" i="3"/>
  <c r="I9516" i="3"/>
  <c r="J9516" i="3"/>
  <c r="H9559" i="3"/>
  <c r="I9559" i="3"/>
  <c r="J9559" i="3"/>
  <c r="H9167" i="3"/>
  <c r="I9167" i="3"/>
  <c r="J9167" i="3"/>
  <c r="H9482" i="3"/>
  <c r="I9482" i="3"/>
  <c r="J9482" i="3"/>
  <c r="H9266" i="3"/>
  <c r="I9266" i="3"/>
  <c r="J9266" i="3"/>
  <c r="H9477" i="3"/>
  <c r="I9477" i="3"/>
  <c r="J9477" i="3"/>
  <c r="H9484" i="3"/>
  <c r="I9484" i="3"/>
  <c r="J9484" i="3"/>
  <c r="H9563" i="3"/>
  <c r="I9563" i="3"/>
  <c r="J9563" i="3"/>
  <c r="H9419" i="3"/>
  <c r="I9419" i="3"/>
  <c r="J9419" i="3"/>
  <c r="H9474" i="3"/>
  <c r="I9474" i="3"/>
  <c r="J9474" i="3"/>
  <c r="I9405" i="3"/>
  <c r="H9405" i="3"/>
  <c r="J9405" i="3"/>
  <c r="H9261" i="3"/>
  <c r="I9261" i="3"/>
  <c r="J9261" i="3"/>
  <c r="J9412" i="3"/>
  <c r="H9412" i="3"/>
  <c r="I9412" i="3"/>
  <c r="I9268" i="3"/>
  <c r="J9268" i="3"/>
  <c r="H9268" i="3"/>
  <c r="J9239" i="3"/>
  <c r="H9239" i="3"/>
  <c r="I9239" i="3"/>
  <c r="H9306" i="3"/>
  <c r="I9306" i="3"/>
  <c r="J9306" i="3"/>
  <c r="H9301" i="3"/>
  <c r="I9301" i="3"/>
  <c r="J9301" i="3"/>
  <c r="H9008" i="3"/>
  <c r="I9008" i="3"/>
  <c r="J9008" i="3"/>
  <c r="H9272" i="3"/>
  <c r="I9272" i="3"/>
  <c r="J9272" i="3"/>
  <c r="I9363" i="3"/>
  <c r="H9363" i="3"/>
  <c r="J9363" i="3"/>
  <c r="H9406" i="3"/>
  <c r="J9406" i="3"/>
  <c r="I9406" i="3"/>
  <c r="H9262" i="3"/>
  <c r="I9262" i="3"/>
  <c r="J9262" i="3"/>
  <c r="H9329" i="3"/>
  <c r="I9329" i="3"/>
  <c r="J9329" i="3"/>
  <c r="H9104" i="3"/>
  <c r="I9104" i="3"/>
  <c r="J9104" i="3"/>
  <c r="H9312" i="3"/>
  <c r="I9312" i="3"/>
  <c r="J9312" i="3"/>
  <c r="H9295" i="3"/>
  <c r="I9295" i="3"/>
  <c r="J9295" i="3"/>
  <c r="H9135" i="3"/>
  <c r="I9135" i="3"/>
  <c r="J9135" i="3"/>
  <c r="H8991" i="3"/>
  <c r="I8991" i="3"/>
  <c r="J8991" i="3"/>
  <c r="I9070" i="3"/>
  <c r="J9070" i="3"/>
  <c r="H9070" i="3"/>
  <c r="J9113" i="3"/>
  <c r="H9113" i="3"/>
  <c r="I9113" i="3"/>
  <c r="H8960" i="3"/>
  <c r="I8960" i="3"/>
  <c r="J8960" i="3"/>
  <c r="H9156" i="3"/>
  <c r="I9156" i="3"/>
  <c r="J9156" i="3"/>
  <c r="H9012" i="3"/>
  <c r="I9012" i="3"/>
  <c r="J9012" i="3"/>
  <c r="H9043" i="3"/>
  <c r="I9043" i="3"/>
  <c r="J9043" i="3"/>
  <c r="H9146" i="3"/>
  <c r="I9146" i="3"/>
  <c r="J9146" i="3"/>
  <c r="H9002" i="3"/>
  <c r="I9002" i="3"/>
  <c r="J9002" i="3"/>
  <c r="H9093" i="3"/>
  <c r="I9093" i="3"/>
  <c r="J9093" i="3"/>
  <c r="H8840" i="3"/>
  <c r="I8840" i="3"/>
  <c r="J8840" i="3"/>
  <c r="H9100" i="3"/>
  <c r="I9100" i="3"/>
  <c r="J9100" i="3"/>
  <c r="H9107" i="3"/>
  <c r="I9107" i="3"/>
  <c r="J9107" i="3"/>
  <c r="H9186" i="3"/>
  <c r="I9186" i="3"/>
  <c r="J9186" i="3"/>
  <c r="H9042" i="3"/>
  <c r="I9042" i="3"/>
  <c r="J9042" i="3"/>
  <c r="H9121" i="3"/>
  <c r="I9121" i="3"/>
  <c r="J9121" i="3"/>
  <c r="H8936" i="3"/>
  <c r="I8936" i="3"/>
  <c r="J8936" i="3"/>
  <c r="H8907" i="3"/>
  <c r="I8907" i="3"/>
  <c r="J8907" i="3"/>
  <c r="H8763" i="3"/>
  <c r="I8763" i="3"/>
  <c r="J8763" i="3"/>
  <c r="I8866" i="3"/>
  <c r="J8866" i="3"/>
  <c r="H8866" i="3"/>
  <c r="J8969" i="3"/>
  <c r="H8969" i="3"/>
  <c r="I8969" i="3"/>
  <c r="J8825" i="3"/>
  <c r="H8825" i="3"/>
  <c r="I8825" i="3"/>
  <c r="H8940" i="3"/>
  <c r="I8940" i="3"/>
  <c r="J8940" i="3"/>
  <c r="H8796" i="3"/>
  <c r="I8796" i="3"/>
  <c r="J8796" i="3"/>
  <c r="H8899" i="3"/>
  <c r="I8899" i="3"/>
  <c r="J8899" i="3"/>
  <c r="J8755" i="3"/>
  <c r="H8858" i="3"/>
  <c r="I8858" i="3"/>
  <c r="J8858" i="3"/>
  <c r="H8973" i="3"/>
  <c r="I8973" i="3"/>
  <c r="J8973" i="3"/>
  <c r="H8829" i="3"/>
  <c r="I8829" i="3"/>
  <c r="J8829" i="3"/>
  <c r="H8932" i="3"/>
  <c r="I8932" i="3"/>
  <c r="J8932" i="3"/>
  <c r="H8788" i="3"/>
  <c r="I8788" i="3"/>
  <c r="J8788" i="3"/>
  <c r="H8903" i="3"/>
  <c r="I8903" i="3"/>
  <c r="J8903" i="3"/>
  <c r="H8759" i="3"/>
  <c r="I8759" i="3"/>
  <c r="J8759" i="3"/>
  <c r="H8862" i="3"/>
  <c r="I8862" i="3"/>
  <c r="J8862" i="3"/>
  <c r="H8977" i="3"/>
  <c r="I8977" i="3"/>
  <c r="J8977" i="3"/>
  <c r="H8833" i="3"/>
  <c r="I8833" i="3"/>
  <c r="J8833" i="3"/>
  <c r="H9433" i="3"/>
  <c r="I9433" i="3"/>
  <c r="J9433" i="3"/>
  <c r="H9506" i="3"/>
  <c r="I9506" i="3"/>
  <c r="J9506" i="3"/>
  <c r="J9263" i="3"/>
  <c r="H9263" i="3"/>
  <c r="I9263" i="3"/>
  <c r="H9191" i="3"/>
  <c r="I9191" i="3"/>
  <c r="J9191" i="3"/>
  <c r="H9117" i="3"/>
  <c r="I9117" i="3"/>
  <c r="J9117" i="3"/>
  <c r="H8812" i="3"/>
  <c r="I8812" i="3"/>
  <c r="J8812" i="3"/>
  <c r="H9560" i="3"/>
  <c r="I9560" i="3"/>
  <c r="J9560" i="3"/>
  <c r="I9483" i="3"/>
  <c r="J9483" i="3"/>
  <c r="H9483" i="3"/>
  <c r="H9347" i="3"/>
  <c r="I9347" i="3"/>
  <c r="J9347" i="3"/>
  <c r="H9485" i="3"/>
  <c r="I9485" i="3"/>
  <c r="J9485" i="3"/>
  <c r="H9547" i="3"/>
  <c r="I9547" i="3"/>
  <c r="J9547" i="3"/>
  <c r="H9576" i="3"/>
  <c r="I9576" i="3"/>
  <c r="J9576" i="3"/>
  <c r="H9470" i="3"/>
  <c r="I9470" i="3"/>
  <c r="J9470" i="3"/>
  <c r="H9230" i="3"/>
  <c r="I9230" i="3"/>
  <c r="J9230" i="3"/>
  <c r="H9465" i="3"/>
  <c r="I9465" i="3"/>
  <c r="J9465" i="3"/>
  <c r="H9472" i="3"/>
  <c r="I9472" i="3"/>
  <c r="J9472" i="3"/>
  <c r="H9551" i="3"/>
  <c r="I9551" i="3"/>
  <c r="J9551" i="3"/>
  <c r="H9416" i="3"/>
  <c r="J9416" i="3"/>
  <c r="I9416" i="3"/>
  <c r="H9462" i="3"/>
  <c r="I9462" i="3"/>
  <c r="J9462" i="3"/>
  <c r="I9393" i="3"/>
  <c r="H9393" i="3"/>
  <c r="J9393" i="3"/>
  <c r="H9249" i="3"/>
  <c r="I9249" i="3"/>
  <c r="J9249" i="3"/>
  <c r="J9400" i="3"/>
  <c r="H9400" i="3"/>
  <c r="I9400" i="3"/>
  <c r="I9256" i="3"/>
  <c r="J9256" i="3"/>
  <c r="H9256" i="3"/>
  <c r="J9227" i="3"/>
  <c r="H9227" i="3"/>
  <c r="I9227" i="3"/>
  <c r="H9294" i="3"/>
  <c r="I9294" i="3"/>
  <c r="J9294" i="3"/>
  <c r="H9289" i="3"/>
  <c r="I9289" i="3"/>
  <c r="J9289" i="3"/>
  <c r="H9404" i="3"/>
  <c r="J9404" i="3"/>
  <c r="I9404" i="3"/>
  <c r="H9260" i="3"/>
  <c r="I9260" i="3"/>
  <c r="J9260" i="3"/>
  <c r="I9351" i="3"/>
  <c r="H9351" i="3"/>
  <c r="J9351" i="3"/>
  <c r="H9394" i="3"/>
  <c r="J9394" i="3"/>
  <c r="I9394" i="3"/>
  <c r="H9250" i="3"/>
  <c r="I9250" i="3"/>
  <c r="J9250" i="3"/>
  <c r="H9317" i="3"/>
  <c r="I9317" i="3"/>
  <c r="J9317" i="3"/>
  <c r="H9068" i="3"/>
  <c r="I9068" i="3"/>
  <c r="J9068" i="3"/>
  <c r="H9300" i="3"/>
  <c r="I9300" i="3"/>
  <c r="J9300" i="3"/>
  <c r="H9283" i="3"/>
  <c r="I9283" i="3"/>
  <c r="J9283" i="3"/>
  <c r="H9123" i="3"/>
  <c r="I9123" i="3"/>
  <c r="J9123" i="3"/>
  <c r="I9202" i="3"/>
  <c r="J9202" i="3"/>
  <c r="H9202" i="3"/>
  <c r="I9058" i="3"/>
  <c r="J9058" i="3"/>
  <c r="H9058" i="3"/>
  <c r="J9101" i="3"/>
  <c r="H9101" i="3"/>
  <c r="I9101" i="3"/>
  <c r="H8924" i="3"/>
  <c r="I8924" i="3"/>
  <c r="J8924" i="3"/>
  <c r="H9144" i="3"/>
  <c r="I9144" i="3"/>
  <c r="J9144" i="3"/>
  <c r="H9000" i="3"/>
  <c r="I9000" i="3"/>
  <c r="J9000" i="3"/>
  <c r="H9031" i="3"/>
  <c r="I9031" i="3"/>
  <c r="J9031" i="3"/>
  <c r="H9134" i="3"/>
  <c r="I9134" i="3"/>
  <c r="J9134" i="3"/>
  <c r="H8984" i="3"/>
  <c r="I8984" i="3"/>
  <c r="J8984" i="3"/>
  <c r="H9081" i="3"/>
  <c r="I9081" i="3"/>
  <c r="J9081" i="3"/>
  <c r="H8804" i="3"/>
  <c r="I8804" i="3"/>
  <c r="J8804" i="3"/>
  <c r="H9088" i="3"/>
  <c r="I9088" i="3"/>
  <c r="J9088" i="3"/>
  <c r="H9095" i="3"/>
  <c r="I9095" i="3"/>
  <c r="J9095" i="3"/>
  <c r="H9174" i="3"/>
  <c r="I9174" i="3"/>
  <c r="J9174" i="3"/>
  <c r="H9030" i="3"/>
  <c r="I9030" i="3"/>
  <c r="J9030" i="3"/>
  <c r="H9109" i="3"/>
  <c r="I9109" i="3"/>
  <c r="J9109" i="3"/>
  <c r="H8900" i="3"/>
  <c r="I8900" i="3"/>
  <c r="J8900" i="3"/>
  <c r="H8895" i="3"/>
  <c r="I8895" i="3"/>
  <c r="J8895" i="3"/>
  <c r="J8751" i="3"/>
  <c r="I8854" i="3"/>
  <c r="J8854" i="3"/>
  <c r="H8854" i="3"/>
  <c r="J8957" i="3"/>
  <c r="H8957" i="3"/>
  <c r="I8957" i="3"/>
  <c r="J8813" i="3"/>
  <c r="H8813" i="3"/>
  <c r="I8813" i="3"/>
  <c r="H8928" i="3"/>
  <c r="I8928" i="3"/>
  <c r="J8928" i="3"/>
  <c r="H8784" i="3"/>
  <c r="I8784" i="3"/>
  <c r="J8784" i="3"/>
  <c r="H8887" i="3"/>
  <c r="I8887" i="3"/>
  <c r="J8887" i="3"/>
  <c r="J8743" i="3"/>
  <c r="H8846" i="3"/>
  <c r="I8846" i="3"/>
  <c r="J8846" i="3"/>
  <c r="H8961" i="3"/>
  <c r="I8961" i="3"/>
  <c r="J8961" i="3"/>
  <c r="H8817" i="3"/>
  <c r="I8817" i="3"/>
  <c r="J8817" i="3"/>
  <c r="H8920" i="3"/>
  <c r="I8920" i="3"/>
  <c r="J8920" i="3"/>
  <c r="H8776" i="3"/>
  <c r="I8776" i="3"/>
  <c r="J8776" i="3"/>
  <c r="H8891" i="3"/>
  <c r="I8891" i="3"/>
  <c r="J8891" i="3"/>
  <c r="J8747" i="3"/>
  <c r="H8850" i="3"/>
  <c r="I8850" i="3"/>
  <c r="J8850" i="3"/>
  <c r="H8965" i="3"/>
  <c r="I8965" i="3"/>
  <c r="J8965" i="3"/>
  <c r="H8821" i="3"/>
  <c r="I8821" i="3"/>
  <c r="J8821" i="3"/>
  <c r="H9452" i="3"/>
  <c r="I9452" i="3"/>
  <c r="J9452" i="3"/>
  <c r="H9520" i="3"/>
  <c r="I9520" i="3"/>
  <c r="J9520" i="3"/>
  <c r="H9325" i="3"/>
  <c r="I9325" i="3"/>
  <c r="J9325" i="3"/>
  <c r="H9319" i="3"/>
  <c r="I9319" i="3"/>
  <c r="J9319" i="3"/>
  <c r="H9131" i="3"/>
  <c r="I9131" i="3"/>
  <c r="J9131" i="3"/>
  <c r="H8886" i="3"/>
  <c r="I8886" i="3"/>
  <c r="J8886" i="3"/>
  <c r="H9457" i="3"/>
  <c r="I9457" i="3"/>
  <c r="J9457" i="3"/>
  <c r="H9407" i="3"/>
  <c r="I9407" i="3"/>
  <c r="J9407" i="3"/>
  <c r="J9538" i="3"/>
  <c r="H9538" i="3"/>
  <c r="I9538" i="3"/>
  <c r="H9504" i="3"/>
  <c r="I9504" i="3"/>
  <c r="J9504" i="3"/>
  <c r="H9421" i="3"/>
  <c r="I9421" i="3"/>
  <c r="J9421" i="3"/>
  <c r="H9548" i="3"/>
  <c r="I9548" i="3"/>
  <c r="J9548" i="3"/>
  <c r="H9398" i="3"/>
  <c r="J9398" i="3"/>
  <c r="I9398" i="3"/>
  <c r="I9471" i="3"/>
  <c r="J9471" i="3"/>
  <c r="H9471" i="3"/>
  <c r="J9526" i="3"/>
  <c r="H9526" i="3"/>
  <c r="I9526" i="3"/>
  <c r="H9314" i="3"/>
  <c r="I9314" i="3"/>
  <c r="J9314" i="3"/>
  <c r="H9473" i="3"/>
  <c r="I9473" i="3"/>
  <c r="J9473" i="3"/>
  <c r="H9492" i="3"/>
  <c r="I9492" i="3"/>
  <c r="J9492" i="3"/>
  <c r="H9535" i="3"/>
  <c r="I9535" i="3"/>
  <c r="J9535" i="3"/>
  <c r="H9564" i="3"/>
  <c r="I9564" i="3"/>
  <c r="J9564" i="3"/>
  <c r="H9458" i="3"/>
  <c r="I9458" i="3"/>
  <c r="J9458" i="3"/>
  <c r="H9540" i="3"/>
  <c r="I9540" i="3"/>
  <c r="J9540" i="3"/>
  <c r="H9453" i="3"/>
  <c r="I9453" i="3"/>
  <c r="J9453" i="3"/>
  <c r="H9460" i="3"/>
  <c r="I9460" i="3"/>
  <c r="J9460" i="3"/>
  <c r="H9539" i="3"/>
  <c r="I9539" i="3"/>
  <c r="J9539" i="3"/>
  <c r="I9349" i="3"/>
  <c r="J9349" i="3"/>
  <c r="H9349" i="3"/>
  <c r="H9450" i="3"/>
  <c r="I9450" i="3"/>
  <c r="J9450" i="3"/>
  <c r="I9381" i="3"/>
  <c r="H9381" i="3"/>
  <c r="J9381" i="3"/>
  <c r="H9237" i="3"/>
  <c r="I9237" i="3"/>
  <c r="J9237" i="3"/>
  <c r="J9388" i="3"/>
  <c r="H9388" i="3"/>
  <c r="I9388" i="3"/>
  <c r="I9244" i="3"/>
  <c r="J9244" i="3"/>
  <c r="H9244" i="3"/>
  <c r="J9209" i="3"/>
  <c r="H9209" i="3"/>
  <c r="I9209" i="3"/>
  <c r="H9282" i="3"/>
  <c r="I9282" i="3"/>
  <c r="J9282" i="3"/>
  <c r="H9277" i="3"/>
  <c r="I9277" i="3"/>
  <c r="J9277" i="3"/>
  <c r="H9392" i="3"/>
  <c r="J9392" i="3"/>
  <c r="I9392" i="3"/>
  <c r="H9248" i="3"/>
  <c r="I9248" i="3"/>
  <c r="J9248" i="3"/>
  <c r="I9339" i="3"/>
  <c r="H9339" i="3"/>
  <c r="J9339" i="3"/>
  <c r="H9382" i="3"/>
  <c r="J9382" i="3"/>
  <c r="I9382" i="3"/>
  <c r="H9238" i="3"/>
  <c r="I9238" i="3"/>
  <c r="J9238" i="3"/>
  <c r="H9305" i="3"/>
  <c r="I9305" i="3"/>
  <c r="J9305" i="3"/>
  <c r="H9032" i="3"/>
  <c r="I9032" i="3"/>
  <c r="J9032" i="3"/>
  <c r="H9288" i="3"/>
  <c r="I9288" i="3"/>
  <c r="J9288" i="3"/>
  <c r="H9271" i="3"/>
  <c r="I9271" i="3"/>
  <c r="J9271" i="3"/>
  <c r="H9111" i="3"/>
  <c r="I9111" i="3"/>
  <c r="J9111" i="3"/>
  <c r="I9190" i="3"/>
  <c r="J9190" i="3"/>
  <c r="H9190" i="3"/>
  <c r="I9046" i="3"/>
  <c r="J9046" i="3"/>
  <c r="H9046" i="3"/>
  <c r="J9089" i="3"/>
  <c r="H9089" i="3"/>
  <c r="I9089" i="3"/>
  <c r="H8888" i="3"/>
  <c r="I8888" i="3"/>
  <c r="J8888" i="3"/>
  <c r="H9132" i="3"/>
  <c r="I9132" i="3"/>
  <c r="J9132" i="3"/>
  <c r="H9163" i="3"/>
  <c r="I9163" i="3"/>
  <c r="J9163" i="3"/>
  <c r="H9019" i="3"/>
  <c r="I9019" i="3"/>
  <c r="J9019" i="3"/>
  <c r="H9122" i="3"/>
  <c r="I9122" i="3"/>
  <c r="J9122" i="3"/>
  <c r="I9213" i="3"/>
  <c r="H9213" i="3"/>
  <c r="J9213" i="3"/>
  <c r="H9069" i="3"/>
  <c r="I9069" i="3"/>
  <c r="J9069" i="3"/>
  <c r="H8768" i="3"/>
  <c r="I8768" i="3"/>
  <c r="J8768" i="3"/>
  <c r="H9076" i="3"/>
  <c r="I9076" i="3"/>
  <c r="J9076" i="3"/>
  <c r="H9083" i="3"/>
  <c r="I9083" i="3"/>
  <c r="J9083" i="3"/>
  <c r="H9162" i="3"/>
  <c r="I9162" i="3"/>
  <c r="J9162" i="3"/>
  <c r="H9018" i="3"/>
  <c r="I9018" i="3"/>
  <c r="J9018" i="3"/>
  <c r="H9097" i="3"/>
  <c r="I9097" i="3"/>
  <c r="J9097" i="3"/>
  <c r="H8864" i="3"/>
  <c r="I8864" i="3"/>
  <c r="J8864" i="3"/>
  <c r="H8883" i="3"/>
  <c r="I8883" i="3"/>
  <c r="J8883" i="3"/>
  <c r="H8739" i="3"/>
  <c r="I8739" i="3"/>
  <c r="J8739" i="3"/>
  <c r="I8842" i="3"/>
  <c r="J8842" i="3"/>
  <c r="H8842" i="3"/>
  <c r="J8945" i="3"/>
  <c r="H8945" i="3"/>
  <c r="I8945" i="3"/>
  <c r="J8801" i="3"/>
  <c r="H8801" i="3"/>
  <c r="I8801" i="3"/>
  <c r="H8916" i="3"/>
  <c r="I8916" i="3"/>
  <c r="J8916" i="3"/>
  <c r="H8772" i="3"/>
  <c r="I8772" i="3"/>
  <c r="J8772" i="3"/>
  <c r="H8875" i="3"/>
  <c r="I8875" i="3"/>
  <c r="J8875" i="3"/>
  <c r="H8978" i="3"/>
  <c r="I8978" i="3"/>
  <c r="J8978" i="3"/>
  <c r="H8834" i="3"/>
  <c r="I8834" i="3"/>
  <c r="J8834" i="3"/>
  <c r="H8949" i="3"/>
  <c r="I8949" i="3"/>
  <c r="J8949" i="3"/>
  <c r="H8805" i="3"/>
  <c r="I8805" i="3"/>
  <c r="J8805" i="3"/>
  <c r="H8908" i="3"/>
  <c r="I8908" i="3"/>
  <c r="J8908" i="3"/>
  <c r="H8764" i="3"/>
  <c r="I8764" i="3"/>
  <c r="J8764" i="3"/>
  <c r="H8879" i="3"/>
  <c r="I8879" i="3"/>
  <c r="J8879" i="3"/>
  <c r="H8982" i="3"/>
  <c r="I8982" i="3"/>
  <c r="J8982" i="3"/>
  <c r="H8838" i="3"/>
  <c r="I8838" i="3"/>
  <c r="J8838" i="3"/>
  <c r="H8953" i="3"/>
  <c r="I8953" i="3"/>
  <c r="J8953" i="3"/>
  <c r="H8809" i="3"/>
  <c r="I8809" i="3"/>
  <c r="J8809" i="3"/>
  <c r="H9521" i="3"/>
  <c r="I9521" i="3"/>
  <c r="J9521" i="3"/>
  <c r="H9080" i="3"/>
  <c r="I9080" i="3"/>
  <c r="J9080" i="3"/>
  <c r="I8890" i="3"/>
  <c r="J8890" i="3"/>
  <c r="H8890" i="3"/>
  <c r="H8882" i="3"/>
  <c r="I8882" i="3"/>
  <c r="J8882" i="3"/>
  <c r="I9459" i="3"/>
  <c r="J9459" i="3"/>
  <c r="H9459" i="3"/>
  <c r="H9523" i="3"/>
  <c r="I9523" i="3"/>
  <c r="J9523" i="3"/>
  <c r="H9571" i="3"/>
  <c r="I9571" i="3"/>
  <c r="J9571" i="3"/>
  <c r="H9448" i="3"/>
  <c r="I9448" i="3"/>
  <c r="J9448" i="3"/>
  <c r="J9185" i="3"/>
  <c r="H9185" i="3"/>
  <c r="I9185" i="3"/>
  <c r="H9438" i="3"/>
  <c r="I9438" i="3"/>
  <c r="J9438" i="3"/>
  <c r="I9369" i="3"/>
  <c r="H9369" i="3"/>
  <c r="J9369" i="3"/>
  <c r="H9225" i="3"/>
  <c r="I9225" i="3"/>
  <c r="J9225" i="3"/>
  <c r="J9376" i="3"/>
  <c r="H9376" i="3"/>
  <c r="I9376" i="3"/>
  <c r="I9232" i="3"/>
  <c r="J9232" i="3"/>
  <c r="H9232" i="3"/>
  <c r="H9414" i="3"/>
  <c r="I9414" i="3"/>
  <c r="J9414" i="3"/>
  <c r="H9270" i="3"/>
  <c r="I9270" i="3"/>
  <c r="J9270" i="3"/>
  <c r="H9265" i="3"/>
  <c r="I9265" i="3"/>
  <c r="J9265" i="3"/>
  <c r="H9380" i="3"/>
  <c r="J9380" i="3"/>
  <c r="I9380" i="3"/>
  <c r="H9236" i="3"/>
  <c r="I9236" i="3"/>
  <c r="J9236" i="3"/>
  <c r="H9327" i="3"/>
  <c r="I9327" i="3"/>
  <c r="J9327" i="3"/>
  <c r="H9370" i="3"/>
  <c r="J9370" i="3"/>
  <c r="I9370" i="3"/>
  <c r="H9226" i="3"/>
  <c r="I9226" i="3"/>
  <c r="J9226" i="3"/>
  <c r="H9293" i="3"/>
  <c r="I9293" i="3"/>
  <c r="J9293" i="3"/>
  <c r="H8996" i="3"/>
  <c r="I8996" i="3"/>
  <c r="J8996" i="3"/>
  <c r="H9276" i="3"/>
  <c r="I9276" i="3"/>
  <c r="J9276" i="3"/>
  <c r="H9259" i="3"/>
  <c r="I9259" i="3"/>
  <c r="J9259" i="3"/>
  <c r="H9099" i="3"/>
  <c r="I9099" i="3"/>
  <c r="J9099" i="3"/>
  <c r="I9178" i="3"/>
  <c r="J9178" i="3"/>
  <c r="H9178" i="3"/>
  <c r="I9034" i="3"/>
  <c r="J9034" i="3"/>
  <c r="H9034" i="3"/>
  <c r="J9077" i="3"/>
  <c r="H9077" i="3"/>
  <c r="I9077" i="3"/>
  <c r="H8852" i="3"/>
  <c r="I8852" i="3"/>
  <c r="J8852" i="3"/>
  <c r="H9120" i="3"/>
  <c r="I9120" i="3"/>
  <c r="J9120" i="3"/>
  <c r="H9151" i="3"/>
  <c r="I9151" i="3"/>
  <c r="J9151" i="3"/>
  <c r="H9007" i="3"/>
  <c r="I9007" i="3"/>
  <c r="J9007" i="3"/>
  <c r="H9110" i="3"/>
  <c r="I9110" i="3"/>
  <c r="J9110" i="3"/>
  <c r="I9201" i="3"/>
  <c r="H9201" i="3"/>
  <c r="J9201" i="3"/>
  <c r="H9057" i="3"/>
  <c r="I9057" i="3"/>
  <c r="J9057" i="3"/>
  <c r="H9208" i="3"/>
  <c r="J9208" i="3"/>
  <c r="I9208" i="3"/>
  <c r="H9064" i="3"/>
  <c r="I9064" i="3"/>
  <c r="J9064" i="3"/>
  <c r="H9071" i="3"/>
  <c r="I9071" i="3"/>
  <c r="J9071" i="3"/>
  <c r="H9150" i="3"/>
  <c r="I9150" i="3"/>
  <c r="J9150" i="3"/>
  <c r="H9006" i="3"/>
  <c r="I9006" i="3"/>
  <c r="J9006" i="3"/>
  <c r="H9085" i="3"/>
  <c r="I9085" i="3"/>
  <c r="J9085" i="3"/>
  <c r="H8828" i="3"/>
  <c r="I8828" i="3"/>
  <c r="J8828" i="3"/>
  <c r="H8871" i="3"/>
  <c r="I8871" i="3"/>
  <c r="J8871" i="3"/>
  <c r="I8974" i="3"/>
  <c r="J8974" i="3"/>
  <c r="H8974" i="3"/>
  <c r="I8830" i="3"/>
  <c r="J8830" i="3"/>
  <c r="H8830" i="3"/>
  <c r="J8933" i="3"/>
  <c r="H8933" i="3"/>
  <c r="I8933" i="3"/>
  <c r="J8789" i="3"/>
  <c r="H8789" i="3"/>
  <c r="I8789" i="3"/>
  <c r="H8904" i="3"/>
  <c r="I8904" i="3"/>
  <c r="J8904" i="3"/>
  <c r="H8760" i="3"/>
  <c r="I8760" i="3"/>
  <c r="J8760" i="3"/>
  <c r="H8863" i="3"/>
  <c r="I8863" i="3"/>
  <c r="J8863" i="3"/>
  <c r="H8966" i="3"/>
  <c r="I8966" i="3"/>
  <c r="J8966" i="3"/>
  <c r="H8822" i="3"/>
  <c r="I8822" i="3"/>
  <c r="J8822" i="3"/>
  <c r="H8937" i="3"/>
  <c r="I8937" i="3"/>
  <c r="J8937" i="3"/>
  <c r="H8793" i="3"/>
  <c r="I8793" i="3"/>
  <c r="J8793" i="3"/>
  <c r="H8896" i="3"/>
  <c r="I8896" i="3"/>
  <c r="J8896" i="3"/>
  <c r="J8752" i="3"/>
  <c r="H8867" i="3"/>
  <c r="I8867" i="3"/>
  <c r="J8867" i="3"/>
  <c r="H8970" i="3"/>
  <c r="I8970" i="3"/>
  <c r="J8970" i="3"/>
  <c r="H8826" i="3"/>
  <c r="I8826" i="3"/>
  <c r="J8826" i="3"/>
  <c r="H8941" i="3"/>
  <c r="I8941" i="3"/>
  <c r="J8941" i="3"/>
  <c r="H8797" i="3"/>
  <c r="I8797" i="3"/>
  <c r="J8797" i="3"/>
  <c r="H9508" i="3"/>
  <c r="I9508" i="3"/>
  <c r="J9508" i="3"/>
  <c r="H9159" i="3"/>
  <c r="I9159" i="3"/>
  <c r="J9159" i="3"/>
  <c r="H8956" i="3"/>
  <c r="I8956" i="3"/>
  <c r="J8956" i="3"/>
  <c r="H9536" i="3"/>
  <c r="I9536" i="3"/>
  <c r="J9536" i="3"/>
  <c r="H9552" i="3"/>
  <c r="I9552" i="3"/>
  <c r="J9552" i="3"/>
  <c r="H9529" i="3"/>
  <c r="I9529" i="3"/>
  <c r="J9529" i="3"/>
  <c r="H9524" i="3"/>
  <c r="I9524" i="3"/>
  <c r="J9524" i="3"/>
  <c r="H9362" i="3"/>
  <c r="J9362" i="3"/>
  <c r="I9362" i="3"/>
  <c r="I9447" i="3"/>
  <c r="J9447" i="3"/>
  <c r="H9447" i="3"/>
  <c r="J9502" i="3"/>
  <c r="H9502" i="3"/>
  <c r="I9502" i="3"/>
  <c r="H9242" i="3"/>
  <c r="I9242" i="3"/>
  <c r="J9242" i="3"/>
  <c r="H9449" i="3"/>
  <c r="I9449" i="3"/>
  <c r="J9449" i="3"/>
  <c r="H9468" i="3"/>
  <c r="I9468" i="3"/>
  <c r="J9468" i="3"/>
  <c r="H9511" i="3"/>
  <c r="I9511" i="3"/>
  <c r="J9511" i="3"/>
  <c r="I9578" i="3"/>
  <c r="J9578" i="3"/>
  <c r="H9578" i="3"/>
  <c r="H9434" i="3"/>
  <c r="I9434" i="3"/>
  <c r="J9434" i="3"/>
  <c r="H9573" i="3"/>
  <c r="J9573" i="3"/>
  <c r="I9573" i="3"/>
  <c r="H9429" i="3"/>
  <c r="I9429" i="3"/>
  <c r="J9429" i="3"/>
  <c r="H9436" i="3"/>
  <c r="I9436" i="3"/>
  <c r="J9436" i="3"/>
  <c r="H9515" i="3"/>
  <c r="I9515" i="3"/>
  <c r="J9515" i="3"/>
  <c r="I9570" i="3"/>
  <c r="J9570" i="3"/>
  <c r="H9570" i="3"/>
  <c r="H9426" i="3"/>
  <c r="I9426" i="3"/>
  <c r="J9426" i="3"/>
  <c r="I9357" i="3"/>
  <c r="H9357" i="3"/>
  <c r="J9357" i="3"/>
  <c r="J9220" i="3"/>
  <c r="H9220" i="3"/>
  <c r="I9220" i="3"/>
  <c r="J9364" i="3"/>
  <c r="H9364" i="3"/>
  <c r="I9364" i="3"/>
  <c r="H9152" i="3"/>
  <c r="J9152" i="3"/>
  <c r="I9152" i="3"/>
  <c r="H9402" i="3"/>
  <c r="I9402" i="3"/>
  <c r="J9402" i="3"/>
  <c r="H9258" i="3"/>
  <c r="I9258" i="3"/>
  <c r="J9258" i="3"/>
  <c r="H9253" i="3"/>
  <c r="I9253" i="3"/>
  <c r="J9253" i="3"/>
  <c r="H9368" i="3"/>
  <c r="J9368" i="3"/>
  <c r="I9368" i="3"/>
  <c r="H9224" i="3"/>
  <c r="I9224" i="3"/>
  <c r="J9224" i="3"/>
  <c r="H9315" i="3"/>
  <c r="I9315" i="3"/>
  <c r="J9315" i="3"/>
  <c r="H9358" i="3"/>
  <c r="J9358" i="3"/>
  <c r="I9358" i="3"/>
  <c r="H9215" i="3"/>
  <c r="I9215" i="3"/>
  <c r="J9215" i="3"/>
  <c r="H9281" i="3"/>
  <c r="I9281" i="3"/>
  <c r="J9281" i="3"/>
  <c r="H9408" i="3"/>
  <c r="I9408" i="3"/>
  <c r="J9408" i="3"/>
  <c r="H9264" i="3"/>
  <c r="I9264" i="3"/>
  <c r="J9264" i="3"/>
  <c r="H9247" i="3"/>
  <c r="I9247" i="3"/>
  <c r="J9247" i="3"/>
  <c r="H9087" i="3"/>
  <c r="I9087" i="3"/>
  <c r="J9087" i="3"/>
  <c r="I9166" i="3"/>
  <c r="J9166" i="3"/>
  <c r="H9166" i="3"/>
  <c r="I9022" i="3"/>
  <c r="J9022" i="3"/>
  <c r="H9022" i="3"/>
  <c r="J9065" i="3"/>
  <c r="H9065" i="3"/>
  <c r="I9065" i="3"/>
  <c r="H8816" i="3"/>
  <c r="I8816" i="3"/>
  <c r="J8816" i="3"/>
  <c r="H9108" i="3"/>
  <c r="I9108" i="3"/>
  <c r="J9108" i="3"/>
  <c r="H9139" i="3"/>
  <c r="I9139" i="3"/>
  <c r="J9139" i="3"/>
  <c r="H8995" i="3"/>
  <c r="I8995" i="3"/>
  <c r="J8995" i="3"/>
  <c r="H9098" i="3"/>
  <c r="I9098" i="3"/>
  <c r="J9098" i="3"/>
  <c r="I9189" i="3"/>
  <c r="H9189" i="3"/>
  <c r="J9189" i="3"/>
  <c r="H9045" i="3"/>
  <c r="I9045" i="3"/>
  <c r="J9045" i="3"/>
  <c r="H9196" i="3"/>
  <c r="J9196" i="3"/>
  <c r="I9196" i="3"/>
  <c r="H9052" i="3"/>
  <c r="I9052" i="3"/>
  <c r="J9052" i="3"/>
  <c r="H9059" i="3"/>
  <c r="I9059" i="3"/>
  <c r="J9059" i="3"/>
  <c r="H9138" i="3"/>
  <c r="I9138" i="3"/>
  <c r="J9138" i="3"/>
  <c r="H8994" i="3"/>
  <c r="I8994" i="3"/>
  <c r="J8994" i="3"/>
  <c r="H9073" i="3"/>
  <c r="I9073" i="3"/>
  <c r="J9073" i="3"/>
  <c r="H8792" i="3"/>
  <c r="I8792" i="3"/>
  <c r="J8792" i="3"/>
  <c r="H8859" i="3"/>
  <c r="I8859" i="3"/>
  <c r="J8859" i="3"/>
  <c r="I8962" i="3"/>
  <c r="J8962" i="3"/>
  <c r="H8962" i="3"/>
  <c r="I8818" i="3"/>
  <c r="J8818" i="3"/>
  <c r="H8818" i="3"/>
  <c r="J8921" i="3"/>
  <c r="H8921" i="3"/>
  <c r="I8921" i="3"/>
  <c r="J8777" i="3"/>
  <c r="H8777" i="3"/>
  <c r="I8777" i="3"/>
  <c r="H8892" i="3"/>
  <c r="I8892" i="3"/>
  <c r="J8892" i="3"/>
  <c r="J8748" i="3"/>
  <c r="H8851" i="3"/>
  <c r="I8851" i="3"/>
  <c r="J8851" i="3"/>
  <c r="H8954" i="3"/>
  <c r="I8954" i="3"/>
  <c r="J8954" i="3"/>
  <c r="H8810" i="3"/>
  <c r="I8810" i="3"/>
  <c r="J8810" i="3"/>
  <c r="H8925" i="3"/>
  <c r="I8925" i="3"/>
  <c r="J8925" i="3"/>
  <c r="H8781" i="3"/>
  <c r="I8781" i="3"/>
  <c r="J8781" i="3"/>
  <c r="H8884" i="3"/>
  <c r="I8884" i="3"/>
  <c r="J8884" i="3"/>
  <c r="J8740" i="3"/>
  <c r="H8855" i="3"/>
  <c r="I8855" i="3"/>
  <c r="J8855" i="3"/>
  <c r="H8958" i="3"/>
  <c r="I8958" i="3"/>
  <c r="J8958" i="3"/>
  <c r="H8814" i="3"/>
  <c r="I8814" i="3"/>
  <c r="J8814" i="3"/>
  <c r="H8929" i="3"/>
  <c r="I8929" i="3"/>
  <c r="J8929" i="3"/>
  <c r="H8785" i="3"/>
  <c r="I8785" i="3"/>
  <c r="J8785" i="3"/>
  <c r="I9519" i="3"/>
  <c r="J9519" i="3"/>
  <c r="H9519" i="3"/>
  <c r="H9335" i="3"/>
  <c r="I9335" i="3"/>
  <c r="J9335" i="3"/>
  <c r="I9292" i="3"/>
  <c r="J9292" i="3"/>
  <c r="H9292" i="3"/>
  <c r="H9353" i="3"/>
  <c r="I9353" i="3"/>
  <c r="J9353" i="3"/>
  <c r="H9180" i="3"/>
  <c r="I9180" i="3"/>
  <c r="J9180" i="3"/>
  <c r="H9124" i="3"/>
  <c r="I9124" i="3"/>
  <c r="J9124" i="3"/>
  <c r="H8931" i="3"/>
  <c r="I8931" i="3"/>
  <c r="J8931" i="3"/>
  <c r="H8964" i="3"/>
  <c r="I8964" i="3"/>
  <c r="J8964" i="3"/>
  <c r="H8923" i="3"/>
  <c r="I8923" i="3"/>
  <c r="J8923" i="3"/>
  <c r="J8738" i="3"/>
  <c r="H9371" i="3"/>
  <c r="I9371" i="3"/>
  <c r="J9371" i="3"/>
  <c r="H9461" i="3"/>
  <c r="I9461" i="3"/>
  <c r="J9461" i="3"/>
  <c r="H9446" i="3"/>
  <c r="I9446" i="3"/>
  <c r="J9446" i="3"/>
  <c r="H9527" i="3"/>
  <c r="I9527" i="3"/>
  <c r="J9527" i="3"/>
  <c r="H9493" i="3"/>
  <c r="I9493" i="3"/>
  <c r="J9493" i="3"/>
  <c r="H9512" i="3"/>
  <c r="I9512" i="3"/>
  <c r="J9512" i="3"/>
  <c r="J8736" i="3"/>
  <c r="I9435" i="3"/>
  <c r="J9435" i="3"/>
  <c r="H9435" i="3"/>
  <c r="J9490" i="3"/>
  <c r="H9490" i="3"/>
  <c r="I9490" i="3"/>
  <c r="J9574" i="3"/>
  <c r="H9574" i="3"/>
  <c r="I9574" i="3"/>
  <c r="H9437" i="3"/>
  <c r="I9437" i="3"/>
  <c r="J9437" i="3"/>
  <c r="H9456" i="3"/>
  <c r="I9456" i="3"/>
  <c r="J9456" i="3"/>
  <c r="H9499" i="3"/>
  <c r="I9499" i="3"/>
  <c r="J9499" i="3"/>
  <c r="H9566" i="3"/>
  <c r="I9566" i="3"/>
  <c r="J9566" i="3"/>
  <c r="H9422" i="3"/>
  <c r="I9422" i="3"/>
  <c r="J9422" i="3"/>
  <c r="H9561" i="3"/>
  <c r="I9561" i="3"/>
  <c r="J9561" i="3"/>
  <c r="H9413" i="3"/>
  <c r="I9413" i="3"/>
  <c r="J9413" i="3"/>
  <c r="H9424" i="3"/>
  <c r="I9424" i="3"/>
  <c r="J9424" i="3"/>
  <c r="H9503" i="3"/>
  <c r="I9503" i="3"/>
  <c r="J9503" i="3"/>
  <c r="I9558" i="3"/>
  <c r="J9558" i="3"/>
  <c r="H9558" i="3"/>
  <c r="I9403" i="3"/>
  <c r="J9403" i="3"/>
  <c r="H9403" i="3"/>
  <c r="I9345" i="3"/>
  <c r="J9345" i="3"/>
  <c r="H9345" i="3"/>
  <c r="J9217" i="3"/>
  <c r="H9217" i="3"/>
  <c r="I9217" i="3"/>
  <c r="J9352" i="3"/>
  <c r="H9352" i="3"/>
  <c r="I9352" i="3"/>
  <c r="J9323" i="3"/>
  <c r="H9323" i="3"/>
  <c r="I9323" i="3"/>
  <c r="H9390" i="3"/>
  <c r="I9390" i="3"/>
  <c r="J9390" i="3"/>
  <c r="H9246" i="3"/>
  <c r="I9246" i="3"/>
  <c r="J9246" i="3"/>
  <c r="H9241" i="3"/>
  <c r="I9241" i="3"/>
  <c r="J9241" i="3"/>
  <c r="H9356" i="3"/>
  <c r="J9356" i="3"/>
  <c r="I9356" i="3"/>
  <c r="H9219" i="3"/>
  <c r="I9219" i="3"/>
  <c r="J9219" i="3"/>
  <c r="H9303" i="3"/>
  <c r="I9303" i="3"/>
  <c r="J9303" i="3"/>
  <c r="H9346" i="3"/>
  <c r="J9346" i="3"/>
  <c r="I9346" i="3"/>
  <c r="H9207" i="3"/>
  <c r="I9207" i="3"/>
  <c r="J9207" i="3"/>
  <c r="H9269" i="3"/>
  <c r="I9269" i="3"/>
  <c r="J9269" i="3"/>
  <c r="H9396" i="3"/>
  <c r="I9396" i="3"/>
  <c r="J9396" i="3"/>
  <c r="H9252" i="3"/>
  <c r="I9252" i="3"/>
  <c r="J9252" i="3"/>
  <c r="H9235" i="3"/>
  <c r="I9235" i="3"/>
  <c r="J9235" i="3"/>
  <c r="H9075" i="3"/>
  <c r="I9075" i="3"/>
  <c r="J9075" i="3"/>
  <c r="I9154" i="3"/>
  <c r="J9154" i="3"/>
  <c r="H9154" i="3"/>
  <c r="I9010" i="3"/>
  <c r="J9010" i="3"/>
  <c r="H9010" i="3"/>
  <c r="J9053" i="3"/>
  <c r="H9053" i="3"/>
  <c r="I9053" i="3"/>
  <c r="H8780" i="3"/>
  <c r="I8780" i="3"/>
  <c r="J8780" i="3"/>
  <c r="H9096" i="3"/>
  <c r="I9096" i="3"/>
  <c r="J9096" i="3"/>
  <c r="H9127" i="3"/>
  <c r="I9127" i="3"/>
  <c r="J9127" i="3"/>
  <c r="H8990" i="3"/>
  <c r="I8990" i="3"/>
  <c r="J8990" i="3"/>
  <c r="H9086" i="3"/>
  <c r="I9086" i="3"/>
  <c r="J9086" i="3"/>
  <c r="I9177" i="3"/>
  <c r="J9177" i="3"/>
  <c r="H9177" i="3"/>
  <c r="H9033" i="3"/>
  <c r="I9033" i="3"/>
  <c r="J9033" i="3"/>
  <c r="H9184" i="3"/>
  <c r="J9184" i="3"/>
  <c r="I9184" i="3"/>
  <c r="H9040" i="3"/>
  <c r="I9040" i="3"/>
  <c r="J9040" i="3"/>
  <c r="H9047" i="3"/>
  <c r="I9047" i="3"/>
  <c r="J9047" i="3"/>
  <c r="H9126" i="3"/>
  <c r="I9126" i="3"/>
  <c r="J9126" i="3"/>
  <c r="I9205" i="3"/>
  <c r="J9205" i="3"/>
  <c r="H9205" i="3"/>
  <c r="H9061" i="3"/>
  <c r="I9061" i="3"/>
  <c r="J9061" i="3"/>
  <c r="J8756" i="3"/>
  <c r="H8847" i="3"/>
  <c r="I8847" i="3"/>
  <c r="J8847" i="3"/>
  <c r="I8950" i="3"/>
  <c r="J8950" i="3"/>
  <c r="H8950" i="3"/>
  <c r="I8806" i="3"/>
  <c r="J8806" i="3"/>
  <c r="H8806" i="3"/>
  <c r="J8909" i="3"/>
  <c r="H8909" i="3"/>
  <c r="I8909" i="3"/>
  <c r="J8765" i="3"/>
  <c r="H8765" i="3"/>
  <c r="I8765" i="3"/>
  <c r="H8880" i="3"/>
  <c r="I8880" i="3"/>
  <c r="J8880" i="3"/>
  <c r="H8983" i="3"/>
  <c r="J8983" i="3"/>
  <c r="I8983" i="3"/>
  <c r="H8839" i="3"/>
  <c r="I8839" i="3"/>
  <c r="J8839" i="3"/>
  <c r="H8942" i="3"/>
  <c r="I8942" i="3"/>
  <c r="J8942" i="3"/>
  <c r="H8798" i="3"/>
  <c r="I8798" i="3"/>
  <c r="J8798" i="3"/>
  <c r="H8913" i="3"/>
  <c r="I8913" i="3"/>
  <c r="J8913" i="3"/>
  <c r="H8769" i="3"/>
  <c r="I8769" i="3"/>
  <c r="J8769" i="3"/>
  <c r="H8872" i="3"/>
  <c r="I8872" i="3"/>
  <c r="J8872" i="3"/>
  <c r="H8987" i="3"/>
  <c r="I8987" i="3"/>
  <c r="J8987" i="3"/>
  <c r="H8843" i="3"/>
  <c r="I8843" i="3"/>
  <c r="J8843" i="3"/>
  <c r="H8946" i="3"/>
  <c r="I8946" i="3"/>
  <c r="J8946" i="3"/>
  <c r="H8802" i="3"/>
  <c r="I8802" i="3"/>
  <c r="J8802" i="3"/>
  <c r="H8917" i="3"/>
  <c r="I8917" i="3"/>
  <c r="J8917" i="3"/>
  <c r="H8773" i="3"/>
  <c r="I8773" i="3"/>
  <c r="J8773" i="3"/>
  <c r="H9383" i="3"/>
  <c r="I9383" i="3"/>
  <c r="J9383" i="3"/>
  <c r="H9290" i="3"/>
  <c r="I9290" i="3"/>
  <c r="J9290" i="3"/>
  <c r="H9243" i="3"/>
  <c r="I9243" i="3"/>
  <c r="J9243" i="3"/>
  <c r="J9137" i="3"/>
  <c r="H9137" i="3"/>
  <c r="I9137" i="3"/>
  <c r="H9170" i="3"/>
  <c r="I9170" i="3"/>
  <c r="J9170" i="3"/>
  <c r="I9145" i="3"/>
  <c r="J9145" i="3"/>
  <c r="H9145" i="3"/>
  <c r="H8787" i="3"/>
  <c r="I8787" i="3"/>
  <c r="J8787" i="3"/>
  <c r="H8820" i="3"/>
  <c r="I8820" i="3"/>
  <c r="J8820" i="3"/>
  <c r="H8853" i="3"/>
  <c r="I8853" i="3"/>
  <c r="J8853" i="3"/>
  <c r="J9514" i="3"/>
  <c r="H9514" i="3"/>
  <c r="I9514" i="3"/>
  <c r="H9480" i="3"/>
  <c r="I9480" i="3"/>
  <c r="J9480" i="3"/>
  <c r="H9441" i="3"/>
  <c r="I9441" i="3"/>
  <c r="J9441" i="3"/>
  <c r="I9385" i="3"/>
  <c r="J9385" i="3"/>
  <c r="H9385" i="3"/>
  <c r="H9389" i="3"/>
  <c r="I9389" i="3"/>
  <c r="J9389" i="3"/>
  <c r="H9500" i="3"/>
  <c r="I9500" i="3"/>
  <c r="J9500" i="3"/>
  <c r="I9567" i="3"/>
  <c r="J9567" i="3"/>
  <c r="H9567" i="3"/>
  <c r="I9423" i="3"/>
  <c r="J9423" i="3"/>
  <c r="H9423" i="3"/>
  <c r="J9478" i="3"/>
  <c r="H9478" i="3"/>
  <c r="I9478" i="3"/>
  <c r="H9569" i="3"/>
  <c r="I9569" i="3"/>
  <c r="J9569" i="3"/>
  <c r="H9425" i="3"/>
  <c r="I9425" i="3"/>
  <c r="J9425" i="3"/>
  <c r="H9444" i="3"/>
  <c r="I9444" i="3"/>
  <c r="J9444" i="3"/>
  <c r="H9487" i="3"/>
  <c r="I9487" i="3"/>
  <c r="J9487" i="3"/>
  <c r="H9554" i="3"/>
  <c r="I9554" i="3"/>
  <c r="J9554" i="3"/>
  <c r="I9417" i="3"/>
  <c r="H9417" i="3"/>
  <c r="J9417" i="3"/>
  <c r="H9549" i="3"/>
  <c r="I9549" i="3"/>
  <c r="J9549" i="3"/>
  <c r="I9409" i="3"/>
  <c r="J9409" i="3"/>
  <c r="H9409" i="3"/>
  <c r="H9395" i="3"/>
  <c r="I9395" i="3"/>
  <c r="J9395" i="3"/>
  <c r="H9491" i="3"/>
  <c r="I9491" i="3"/>
  <c r="J9491" i="3"/>
  <c r="H9546" i="3"/>
  <c r="I9546" i="3"/>
  <c r="J9546" i="3"/>
  <c r="I9367" i="3"/>
  <c r="J9367" i="3"/>
  <c r="H9367" i="3"/>
  <c r="I9333" i="3"/>
  <c r="J9333" i="3"/>
  <c r="H9333" i="3"/>
  <c r="H9200" i="3"/>
  <c r="J9200" i="3"/>
  <c r="I9200" i="3"/>
  <c r="J9340" i="3"/>
  <c r="H9340" i="3"/>
  <c r="I9340" i="3"/>
  <c r="J9311" i="3"/>
  <c r="H9311" i="3"/>
  <c r="I9311" i="3"/>
  <c r="H9378" i="3"/>
  <c r="I9378" i="3"/>
  <c r="J9378" i="3"/>
  <c r="H9234" i="3"/>
  <c r="I9234" i="3"/>
  <c r="J9234" i="3"/>
  <c r="H9229" i="3"/>
  <c r="I9229" i="3"/>
  <c r="J9229" i="3"/>
  <c r="H9344" i="3"/>
  <c r="J9344" i="3"/>
  <c r="I9344" i="3"/>
  <c r="H9212" i="3"/>
  <c r="J9212" i="3"/>
  <c r="I9212" i="3"/>
  <c r="H9291" i="3"/>
  <c r="I9291" i="3"/>
  <c r="J9291" i="3"/>
  <c r="H9334" i="3"/>
  <c r="I9334" i="3"/>
  <c r="J9334" i="3"/>
  <c r="J9197" i="3"/>
  <c r="H9197" i="3"/>
  <c r="I9197" i="3"/>
  <c r="H9257" i="3"/>
  <c r="I9257" i="3"/>
  <c r="J9257" i="3"/>
  <c r="H9384" i="3"/>
  <c r="I9384" i="3"/>
  <c r="J9384" i="3"/>
  <c r="H9240" i="3"/>
  <c r="I9240" i="3"/>
  <c r="J9240" i="3"/>
  <c r="H9223" i="3"/>
  <c r="I9223" i="3"/>
  <c r="J9223" i="3"/>
  <c r="H9063" i="3"/>
  <c r="I9063" i="3"/>
  <c r="J9063" i="3"/>
  <c r="I9142" i="3"/>
  <c r="J9142" i="3"/>
  <c r="H9142" i="3"/>
  <c r="I8998" i="3"/>
  <c r="J8998" i="3"/>
  <c r="H8998" i="3"/>
  <c r="J9041" i="3"/>
  <c r="H9041" i="3"/>
  <c r="I9041" i="3"/>
  <c r="J8744" i="3"/>
  <c r="H9084" i="3"/>
  <c r="I9084" i="3"/>
  <c r="J9084" i="3"/>
  <c r="H9115" i="3"/>
  <c r="I9115" i="3"/>
  <c r="J9115" i="3"/>
  <c r="H9218" i="3"/>
  <c r="I9218" i="3"/>
  <c r="J9218" i="3"/>
  <c r="H9074" i="3"/>
  <c r="I9074" i="3"/>
  <c r="J9074" i="3"/>
  <c r="H9165" i="3"/>
  <c r="I9165" i="3"/>
  <c r="J9165" i="3"/>
  <c r="H9021" i="3"/>
  <c r="I9021" i="3"/>
  <c r="J9021" i="3"/>
  <c r="H9172" i="3"/>
  <c r="J9172" i="3"/>
  <c r="I9172" i="3"/>
  <c r="H9028" i="3"/>
  <c r="I9028" i="3"/>
  <c r="J9028" i="3"/>
  <c r="H9035" i="3"/>
  <c r="I9035" i="3"/>
  <c r="J9035" i="3"/>
  <c r="H9114" i="3"/>
  <c r="I9114" i="3"/>
  <c r="J9114" i="3"/>
  <c r="I9193" i="3"/>
  <c r="J9193" i="3"/>
  <c r="H9193" i="3"/>
  <c r="H9049" i="3"/>
  <c r="I9049" i="3"/>
  <c r="J9049" i="3"/>
  <c r="H8979" i="3"/>
  <c r="I8979" i="3"/>
  <c r="J8979" i="3"/>
  <c r="H8835" i="3"/>
  <c r="I8835" i="3"/>
  <c r="J8835" i="3"/>
  <c r="I8938" i="3"/>
  <c r="J8938" i="3"/>
  <c r="H8938" i="3"/>
  <c r="I8794" i="3"/>
  <c r="J8794" i="3"/>
  <c r="H8794" i="3"/>
  <c r="J8897" i="3"/>
  <c r="H8897" i="3"/>
  <c r="I8897" i="3"/>
  <c r="J8753" i="3"/>
  <c r="H8868" i="3"/>
  <c r="I8868" i="3"/>
  <c r="J8868" i="3"/>
  <c r="H8971" i="3"/>
  <c r="I8971" i="3"/>
  <c r="J8971" i="3"/>
  <c r="H8827" i="3"/>
  <c r="I8827" i="3"/>
  <c r="J8827" i="3"/>
  <c r="H8930" i="3"/>
  <c r="I8930" i="3"/>
  <c r="J8930" i="3"/>
  <c r="H8786" i="3"/>
  <c r="I8786" i="3"/>
  <c r="J8786" i="3"/>
  <c r="H8901" i="3"/>
  <c r="I8901" i="3"/>
  <c r="J8901" i="3"/>
  <c r="J8757" i="3"/>
  <c r="H8860" i="3"/>
  <c r="I8860" i="3"/>
  <c r="J8860" i="3"/>
  <c r="H8975" i="3"/>
  <c r="I8975" i="3"/>
  <c r="J8975" i="3"/>
  <c r="H8831" i="3"/>
  <c r="I8831" i="3"/>
  <c r="J8831" i="3"/>
  <c r="H8934" i="3"/>
  <c r="I8934" i="3"/>
  <c r="J8934" i="3"/>
  <c r="H8790" i="3"/>
  <c r="I8790" i="3"/>
  <c r="J8790" i="3"/>
  <c r="H8905" i="3"/>
  <c r="I8905" i="3"/>
  <c r="J8905" i="3"/>
  <c r="H8761" i="3"/>
  <c r="I8761" i="3"/>
  <c r="J8761" i="3"/>
  <c r="H9481" i="3"/>
  <c r="I9481" i="3"/>
  <c r="J9481" i="3"/>
  <c r="H9501" i="3"/>
  <c r="I9501" i="3"/>
  <c r="J9501" i="3"/>
  <c r="H9330" i="3"/>
  <c r="I9330" i="3"/>
  <c r="J9330" i="3"/>
  <c r="H9336" i="3"/>
  <c r="I9336" i="3"/>
  <c r="J9336" i="3"/>
  <c r="H8912" i="3"/>
  <c r="I8912" i="3"/>
  <c r="J8912" i="3"/>
  <c r="H8927" i="3"/>
  <c r="I8927" i="3"/>
  <c r="J8927" i="3"/>
  <c r="H9568" i="3"/>
  <c r="I9568" i="3"/>
  <c r="J9568" i="3"/>
  <c r="J9415" i="3"/>
  <c r="I9415" i="3"/>
  <c r="H9415" i="3"/>
  <c r="H9557" i="3"/>
  <c r="I9557" i="3"/>
  <c r="J9557" i="3"/>
  <c r="H9401" i="3"/>
  <c r="I9401" i="3"/>
  <c r="J9401" i="3"/>
  <c r="H9475" i="3"/>
  <c r="I9475" i="3"/>
  <c r="J9475" i="3"/>
  <c r="H9542" i="3"/>
  <c r="I9542" i="3"/>
  <c r="J9542" i="3"/>
  <c r="I9391" i="3"/>
  <c r="J9391" i="3"/>
  <c r="H9391" i="3"/>
  <c r="I9537" i="3"/>
  <c r="H9537" i="3"/>
  <c r="J9537" i="3"/>
  <c r="H9377" i="3"/>
  <c r="I9377" i="3"/>
  <c r="J9377" i="3"/>
  <c r="H9386" i="3"/>
  <c r="J9386" i="3"/>
  <c r="I9386" i="3"/>
  <c r="H9479" i="3"/>
  <c r="I9479" i="3"/>
  <c r="J9479" i="3"/>
  <c r="H9534" i="3"/>
  <c r="I9534" i="3"/>
  <c r="J9534" i="3"/>
  <c r="H9343" i="3"/>
  <c r="I9343" i="3"/>
  <c r="J9343" i="3"/>
  <c r="H9321" i="3"/>
  <c r="I9321" i="3"/>
  <c r="J9321" i="3"/>
  <c r="H9179" i="3"/>
  <c r="I9179" i="3"/>
  <c r="J9179" i="3"/>
  <c r="J9328" i="3"/>
  <c r="H9328" i="3"/>
  <c r="I9328" i="3"/>
  <c r="J9299" i="3"/>
  <c r="H9299" i="3"/>
  <c r="I9299" i="3"/>
  <c r="H9366" i="3"/>
  <c r="I9366" i="3"/>
  <c r="J9366" i="3"/>
  <c r="H9222" i="3"/>
  <c r="I9222" i="3"/>
  <c r="J9222" i="3"/>
  <c r="H9203" i="3"/>
  <c r="I9203" i="3"/>
  <c r="J9203" i="3"/>
  <c r="H9332" i="3"/>
  <c r="J9332" i="3"/>
  <c r="I9332" i="3"/>
  <c r="H9164" i="3"/>
  <c r="J9164" i="3"/>
  <c r="I9164" i="3"/>
  <c r="H9279" i="3"/>
  <c r="I9279" i="3"/>
  <c r="J9279" i="3"/>
  <c r="H9322" i="3"/>
  <c r="I9322" i="3"/>
  <c r="J9322" i="3"/>
  <c r="I9187" i="3"/>
  <c r="J9187" i="3"/>
  <c r="H9187" i="3"/>
  <c r="H9245" i="3"/>
  <c r="I9245" i="3"/>
  <c r="J9245" i="3"/>
  <c r="H9372" i="3"/>
  <c r="I9372" i="3"/>
  <c r="J9372" i="3"/>
  <c r="H9228" i="3"/>
  <c r="I9228" i="3"/>
  <c r="J9228" i="3"/>
  <c r="H9195" i="3"/>
  <c r="I9195" i="3"/>
  <c r="J9195" i="3"/>
  <c r="H9051" i="3"/>
  <c r="I9051" i="3"/>
  <c r="J9051" i="3"/>
  <c r="I9130" i="3"/>
  <c r="J9130" i="3"/>
  <c r="H9130" i="3"/>
  <c r="J9173" i="3"/>
  <c r="H9173" i="3"/>
  <c r="I9173" i="3"/>
  <c r="J9029" i="3"/>
  <c r="H9029" i="3"/>
  <c r="I9029" i="3"/>
  <c r="H9216" i="3"/>
  <c r="I9216" i="3"/>
  <c r="J9216" i="3"/>
  <c r="H9072" i="3"/>
  <c r="I9072" i="3"/>
  <c r="J9072" i="3"/>
  <c r="H9103" i="3"/>
  <c r="I9103" i="3"/>
  <c r="J9103" i="3"/>
  <c r="H9206" i="3"/>
  <c r="J9206" i="3"/>
  <c r="I9206" i="3"/>
  <c r="H9062" i="3"/>
  <c r="I9062" i="3"/>
  <c r="J9062" i="3"/>
  <c r="H9153" i="3"/>
  <c r="I9153" i="3"/>
  <c r="J9153" i="3"/>
  <c r="H9009" i="3"/>
  <c r="I9009" i="3"/>
  <c r="J9009" i="3"/>
  <c r="H9160" i="3"/>
  <c r="I9160" i="3"/>
  <c r="J9160" i="3"/>
  <c r="H9016" i="3"/>
  <c r="I9016" i="3"/>
  <c r="J9016" i="3"/>
  <c r="H9023" i="3"/>
  <c r="I9023" i="3"/>
  <c r="J9023" i="3"/>
  <c r="H9102" i="3"/>
  <c r="I9102" i="3"/>
  <c r="J9102" i="3"/>
  <c r="I9181" i="3"/>
  <c r="J9181" i="3"/>
  <c r="H9181" i="3"/>
  <c r="H9037" i="3"/>
  <c r="I9037" i="3"/>
  <c r="J9037" i="3"/>
  <c r="H8967" i="3"/>
  <c r="I8967" i="3"/>
  <c r="J8967" i="3"/>
  <c r="H8823" i="3"/>
  <c r="I8823" i="3"/>
  <c r="J8823" i="3"/>
  <c r="I8926" i="3"/>
  <c r="J8926" i="3"/>
  <c r="H8926" i="3"/>
  <c r="I8782" i="3"/>
  <c r="J8782" i="3"/>
  <c r="H8782" i="3"/>
  <c r="J8885" i="3"/>
  <c r="H8885" i="3"/>
  <c r="I8885" i="3"/>
  <c r="J8741" i="3"/>
  <c r="H8856" i="3"/>
  <c r="I8856" i="3"/>
  <c r="J8856" i="3"/>
  <c r="H8959" i="3"/>
  <c r="I8959" i="3"/>
  <c r="J8959" i="3"/>
  <c r="H8815" i="3"/>
  <c r="I8815" i="3"/>
  <c r="J8815" i="3"/>
  <c r="H8918" i="3"/>
  <c r="I8918" i="3"/>
  <c r="J8918" i="3"/>
  <c r="H8774" i="3"/>
  <c r="I8774" i="3"/>
  <c r="J8774" i="3"/>
  <c r="H8889" i="3"/>
  <c r="I8889" i="3"/>
  <c r="J8889" i="3"/>
  <c r="J8745" i="3"/>
  <c r="H8848" i="3"/>
  <c r="I8848" i="3"/>
  <c r="J8848" i="3"/>
  <c r="H8963" i="3"/>
  <c r="I8963" i="3"/>
  <c r="J8963" i="3"/>
  <c r="H8819" i="3"/>
  <c r="I8819" i="3"/>
  <c r="J8819" i="3"/>
  <c r="H8922" i="3"/>
  <c r="I8922" i="3"/>
  <c r="J8922" i="3"/>
  <c r="H8778" i="3"/>
  <c r="I8778" i="3"/>
  <c r="J8778" i="3"/>
  <c r="H8893" i="3"/>
  <c r="I8893" i="3"/>
  <c r="J8893" i="3"/>
  <c r="J8749" i="3"/>
  <c r="J9214" i="3"/>
  <c r="H9214" i="3"/>
  <c r="I9214" i="3"/>
  <c r="H9443" i="3"/>
  <c r="I9443" i="3"/>
  <c r="J9443" i="3"/>
  <c r="H9296" i="3"/>
  <c r="I9296" i="3"/>
  <c r="J9296" i="3"/>
  <c r="I9094" i="3"/>
  <c r="J9094" i="3"/>
  <c r="H9094" i="3"/>
  <c r="H9210" i="3"/>
  <c r="I9210" i="3"/>
  <c r="J9210" i="3"/>
  <c r="H8783" i="3"/>
  <c r="I8783" i="3"/>
  <c r="J8783" i="3"/>
  <c r="H9577" i="3"/>
  <c r="J9577" i="3"/>
  <c r="I9577" i="3"/>
  <c r="H9278" i="3"/>
  <c r="I9278" i="3"/>
  <c r="J9278" i="3"/>
  <c r="H9541" i="3"/>
  <c r="I9541" i="3"/>
  <c r="J9541" i="3"/>
  <c r="H9488" i="3"/>
  <c r="I9488" i="3"/>
  <c r="J9488" i="3"/>
  <c r="I9555" i="3"/>
  <c r="J9555" i="3"/>
  <c r="H9555" i="3"/>
  <c r="J9466" i="3"/>
  <c r="H9466" i="3"/>
  <c r="I9466" i="3"/>
  <c r="H9432" i="3"/>
  <c r="I9432" i="3"/>
  <c r="J9432" i="3"/>
  <c r="H9505" i="3"/>
  <c r="I9505" i="3"/>
  <c r="J9505" i="3"/>
  <c r="H9553" i="3"/>
  <c r="I9553" i="3"/>
  <c r="J9553" i="3"/>
  <c r="H9476" i="3"/>
  <c r="I9476" i="3"/>
  <c r="J9476" i="3"/>
  <c r="I9543" i="3"/>
  <c r="J9543" i="3"/>
  <c r="H9543" i="3"/>
  <c r="I9337" i="3"/>
  <c r="J9337" i="3"/>
  <c r="H9337" i="3"/>
  <c r="J9454" i="3"/>
  <c r="H9454" i="3"/>
  <c r="I9454" i="3"/>
  <c r="H9545" i="3"/>
  <c r="I9545" i="3"/>
  <c r="J9545" i="3"/>
  <c r="I9397" i="3"/>
  <c r="J9397" i="3"/>
  <c r="H9397" i="3"/>
  <c r="H9420" i="3"/>
  <c r="I9420" i="3"/>
  <c r="J9420" i="3"/>
  <c r="H9463" i="3"/>
  <c r="I9463" i="3"/>
  <c r="J9463" i="3"/>
  <c r="H9530" i="3"/>
  <c r="I9530" i="3"/>
  <c r="J9530" i="3"/>
  <c r="I9355" i="3"/>
  <c r="J9355" i="3"/>
  <c r="H9355" i="3"/>
  <c r="H9525" i="3"/>
  <c r="I9525" i="3"/>
  <c r="J9525" i="3"/>
  <c r="I9373" i="3"/>
  <c r="J9373" i="3"/>
  <c r="H9373" i="3"/>
  <c r="H9359" i="3"/>
  <c r="I9359" i="3"/>
  <c r="J9359" i="3"/>
  <c r="H9467" i="3"/>
  <c r="I9467" i="3"/>
  <c r="J9467" i="3"/>
  <c r="H9522" i="3"/>
  <c r="I9522" i="3"/>
  <c r="J9522" i="3"/>
  <c r="H9338" i="3"/>
  <c r="I9338" i="3"/>
  <c r="J9338" i="3"/>
  <c r="H9309" i="3"/>
  <c r="I9309" i="3"/>
  <c r="J9309" i="3"/>
  <c r="H9128" i="3"/>
  <c r="I9128" i="3"/>
  <c r="J9128" i="3"/>
  <c r="I9316" i="3"/>
  <c r="J9316" i="3"/>
  <c r="H9316" i="3"/>
  <c r="J9287" i="3"/>
  <c r="H9287" i="3"/>
  <c r="I9287" i="3"/>
  <c r="H9354" i="3"/>
  <c r="I9354" i="3"/>
  <c r="J9354" i="3"/>
  <c r="I9199" i="3"/>
  <c r="J9199" i="3"/>
  <c r="H9199" i="3"/>
  <c r="H9188" i="3"/>
  <c r="J9188" i="3"/>
  <c r="I9188" i="3"/>
  <c r="H9320" i="3"/>
  <c r="I9320" i="3"/>
  <c r="J9320" i="3"/>
  <c r="I9411" i="3"/>
  <c r="H9411" i="3"/>
  <c r="J9411" i="3"/>
  <c r="H9267" i="3"/>
  <c r="I9267" i="3"/>
  <c r="J9267" i="3"/>
  <c r="H9310" i="3"/>
  <c r="I9310" i="3"/>
  <c r="J9310" i="3"/>
  <c r="H9176" i="3"/>
  <c r="J9176" i="3"/>
  <c r="I9176" i="3"/>
  <c r="H9233" i="3"/>
  <c r="I9233" i="3"/>
  <c r="J9233" i="3"/>
  <c r="H9360" i="3"/>
  <c r="I9360" i="3"/>
  <c r="J9360" i="3"/>
  <c r="I9211" i="3"/>
  <c r="H9211" i="3"/>
  <c r="J9211" i="3"/>
  <c r="H9183" i="3"/>
  <c r="I9183" i="3"/>
  <c r="J9183" i="3"/>
  <c r="H9039" i="3"/>
  <c r="I9039" i="3"/>
  <c r="J9039" i="3"/>
  <c r="I9118" i="3"/>
  <c r="J9118" i="3"/>
  <c r="H9118" i="3"/>
  <c r="J9161" i="3"/>
  <c r="H9161" i="3"/>
  <c r="I9161" i="3"/>
  <c r="J9017" i="3"/>
  <c r="H9017" i="3"/>
  <c r="I9017" i="3"/>
  <c r="H9204" i="3"/>
  <c r="I9204" i="3"/>
  <c r="J9204" i="3"/>
  <c r="H9060" i="3"/>
  <c r="I9060" i="3"/>
  <c r="J9060" i="3"/>
  <c r="H9091" i="3"/>
  <c r="I9091" i="3"/>
  <c r="J9091" i="3"/>
  <c r="H9194" i="3"/>
  <c r="J9194" i="3"/>
  <c r="I9194" i="3"/>
  <c r="H9050" i="3"/>
  <c r="I9050" i="3"/>
  <c r="J9050" i="3"/>
  <c r="H9141" i="3"/>
  <c r="I9141" i="3"/>
  <c r="J9141" i="3"/>
  <c r="H8997" i="3"/>
  <c r="I8997" i="3"/>
  <c r="J8997" i="3"/>
  <c r="H9148" i="3"/>
  <c r="I9148" i="3"/>
  <c r="J9148" i="3"/>
  <c r="H9004" i="3"/>
  <c r="I9004" i="3"/>
  <c r="J9004" i="3"/>
  <c r="H9011" i="3"/>
  <c r="I9011" i="3"/>
  <c r="J9011" i="3"/>
  <c r="H9090" i="3"/>
  <c r="I9090" i="3"/>
  <c r="J9090" i="3"/>
  <c r="I9169" i="3"/>
  <c r="J9169" i="3"/>
  <c r="H9169" i="3"/>
  <c r="H9025" i="3"/>
  <c r="I9025" i="3"/>
  <c r="J9025" i="3"/>
  <c r="H8955" i="3"/>
  <c r="I8955" i="3"/>
  <c r="J8955" i="3"/>
  <c r="H8811" i="3"/>
  <c r="I8811" i="3"/>
  <c r="J8811" i="3"/>
  <c r="I8914" i="3"/>
  <c r="J8914" i="3"/>
  <c r="H8914" i="3"/>
  <c r="I8770" i="3"/>
  <c r="J8770" i="3"/>
  <c r="H8770" i="3"/>
  <c r="J8873" i="3"/>
  <c r="H8873" i="3"/>
  <c r="I8873" i="3"/>
  <c r="H8988" i="3"/>
  <c r="I8988" i="3"/>
  <c r="J8988" i="3"/>
  <c r="H8844" i="3"/>
  <c r="I8844" i="3"/>
  <c r="J8844" i="3"/>
  <c r="H8947" i="3"/>
  <c r="I8947" i="3"/>
  <c r="J8947" i="3"/>
  <c r="H8803" i="3"/>
  <c r="I8803" i="3"/>
  <c r="J8803" i="3"/>
  <c r="H8906" i="3"/>
  <c r="I8906" i="3"/>
  <c r="J8906" i="3"/>
  <c r="H8762" i="3"/>
  <c r="I8762" i="3"/>
  <c r="J8762" i="3"/>
  <c r="H8877" i="3"/>
  <c r="I8877" i="3"/>
  <c r="J8877" i="3"/>
  <c r="H8980" i="3"/>
  <c r="I8980" i="3"/>
  <c r="J8980" i="3"/>
  <c r="H8836" i="3"/>
  <c r="I8836" i="3"/>
  <c r="J8836" i="3"/>
  <c r="H8951" i="3"/>
  <c r="I8951" i="3"/>
  <c r="J8951" i="3"/>
  <c r="H8807" i="3"/>
  <c r="I8807" i="3"/>
  <c r="J8807" i="3"/>
  <c r="H8910" i="3"/>
  <c r="I8910" i="3"/>
  <c r="J8910" i="3"/>
  <c r="H8766" i="3"/>
  <c r="I8766" i="3"/>
  <c r="J8766" i="3"/>
  <c r="H8881" i="3"/>
  <c r="I8881" i="3"/>
  <c r="J8881" i="3"/>
  <c r="H8737" i="3"/>
  <c r="I8737" i="3"/>
  <c r="J8737" i="3"/>
  <c r="J9430" i="3"/>
  <c r="H9430" i="3"/>
  <c r="I9430" i="3"/>
  <c r="H9285" i="3"/>
  <c r="I9285" i="3"/>
  <c r="J9285" i="3"/>
  <c r="H9036" i="3"/>
  <c r="I9036" i="3"/>
  <c r="J9036" i="3"/>
  <c r="H9469" i="3"/>
  <c r="I9469" i="3"/>
  <c r="J9469" i="3"/>
  <c r="H9517" i="3"/>
  <c r="I9517" i="3"/>
  <c r="J9517" i="3"/>
  <c r="H9464" i="3"/>
  <c r="I9464" i="3"/>
  <c r="J9464" i="3"/>
  <c r="I9531" i="3"/>
  <c r="J9531" i="3"/>
  <c r="H9531" i="3"/>
  <c r="H9331" i="3"/>
  <c r="I9331" i="3"/>
  <c r="J9331" i="3"/>
  <c r="J9442" i="3"/>
  <c r="H9442" i="3"/>
  <c r="I9442" i="3"/>
  <c r="H9533" i="3"/>
  <c r="I9533" i="3"/>
  <c r="J9533" i="3"/>
  <c r="H9365" i="3"/>
  <c r="I9365" i="3"/>
  <c r="J9365" i="3"/>
  <c r="H9410" i="3"/>
  <c r="J9410" i="3"/>
  <c r="I9410" i="3"/>
  <c r="H9451" i="3"/>
  <c r="I9451" i="3"/>
  <c r="J9451" i="3"/>
  <c r="H9518" i="3"/>
  <c r="I9518" i="3"/>
  <c r="J9518" i="3"/>
  <c r="H9350" i="3"/>
  <c r="I9350" i="3"/>
  <c r="J9350" i="3"/>
  <c r="H9513" i="3"/>
  <c r="I9513" i="3"/>
  <c r="J9513" i="3"/>
  <c r="H9532" i="3"/>
  <c r="I9532" i="3"/>
  <c r="J9532" i="3"/>
  <c r="H9544" i="3"/>
  <c r="J9544" i="3"/>
  <c r="I9544" i="3"/>
  <c r="H9455" i="3"/>
  <c r="I9455" i="3"/>
  <c r="J9455" i="3"/>
  <c r="H9510" i="3"/>
  <c r="I9510" i="3"/>
  <c r="J9510" i="3"/>
  <c r="H9326" i="3"/>
  <c r="I9326" i="3"/>
  <c r="J9326" i="3"/>
  <c r="H9297" i="3"/>
  <c r="I9297" i="3"/>
  <c r="J9297" i="3"/>
  <c r="H9092" i="3"/>
  <c r="I9092" i="3"/>
  <c r="J9092" i="3"/>
  <c r="I9304" i="3"/>
  <c r="J9304" i="3"/>
  <c r="H9304" i="3"/>
  <c r="J9275" i="3"/>
  <c r="H9275" i="3"/>
  <c r="I9275" i="3"/>
  <c r="H9342" i="3"/>
  <c r="I9342" i="3"/>
  <c r="J9342" i="3"/>
  <c r="H9143" i="3"/>
  <c r="I9143" i="3"/>
  <c r="J9143" i="3"/>
  <c r="H9116" i="3"/>
  <c r="I9116" i="3"/>
  <c r="J9116" i="3"/>
  <c r="H9308" i="3"/>
  <c r="I9308" i="3"/>
  <c r="J9308" i="3"/>
  <c r="I9399" i="3"/>
  <c r="H9399" i="3"/>
  <c r="J9399" i="3"/>
  <c r="H9255" i="3"/>
  <c r="I9255" i="3"/>
  <c r="J9255" i="3"/>
  <c r="H9298" i="3"/>
  <c r="I9298" i="3"/>
  <c r="J9298" i="3"/>
  <c r="H9155" i="3"/>
  <c r="I9155" i="3"/>
  <c r="J9155" i="3"/>
  <c r="H9221" i="3"/>
  <c r="I9221" i="3"/>
  <c r="J9221" i="3"/>
  <c r="H9348" i="3"/>
  <c r="I9348" i="3"/>
  <c r="J9348" i="3"/>
  <c r="H9175" i="3"/>
  <c r="I9175" i="3"/>
  <c r="J9175" i="3"/>
  <c r="H9171" i="3"/>
  <c r="I9171" i="3"/>
  <c r="J9171" i="3"/>
  <c r="H9027" i="3"/>
  <c r="I9027" i="3"/>
  <c r="J9027" i="3"/>
  <c r="I9106" i="3"/>
  <c r="J9106" i="3"/>
  <c r="H9106" i="3"/>
  <c r="J9149" i="3"/>
  <c r="H9149" i="3"/>
  <c r="I9149" i="3"/>
  <c r="J9005" i="3"/>
  <c r="H9005" i="3"/>
  <c r="I9005" i="3"/>
  <c r="H9192" i="3"/>
  <c r="I9192" i="3"/>
  <c r="J9192" i="3"/>
  <c r="H9048" i="3"/>
  <c r="I9048" i="3"/>
  <c r="J9048" i="3"/>
  <c r="H9079" i="3"/>
  <c r="I9079" i="3"/>
  <c r="J9079" i="3"/>
  <c r="H9182" i="3"/>
  <c r="J9182" i="3"/>
  <c r="I9182" i="3"/>
  <c r="H9038" i="3"/>
  <c r="I9038" i="3"/>
  <c r="J9038" i="3"/>
  <c r="H9129" i="3"/>
  <c r="I9129" i="3"/>
  <c r="J9129" i="3"/>
  <c r="H8948" i="3"/>
  <c r="I8948" i="3"/>
  <c r="J8948" i="3"/>
  <c r="H9136" i="3"/>
  <c r="I9136" i="3"/>
  <c r="J9136" i="3"/>
  <c r="H8992" i="3"/>
  <c r="I8992" i="3"/>
  <c r="J8992" i="3"/>
  <c r="H8999" i="3"/>
  <c r="I8999" i="3"/>
  <c r="J8999" i="3"/>
  <c r="H9078" i="3"/>
  <c r="I9078" i="3"/>
  <c r="J9078" i="3"/>
  <c r="I9157" i="3"/>
  <c r="J9157" i="3"/>
  <c r="H9157" i="3"/>
  <c r="H9013" i="3"/>
  <c r="I9013" i="3"/>
  <c r="J9013" i="3"/>
  <c r="H8943" i="3"/>
  <c r="I8943" i="3"/>
  <c r="J8943" i="3"/>
  <c r="H8799" i="3"/>
  <c r="I8799" i="3"/>
  <c r="J8799" i="3"/>
  <c r="I8902" i="3"/>
  <c r="J8902" i="3"/>
  <c r="H8902" i="3"/>
  <c r="J8758" i="3"/>
  <c r="J8861" i="3"/>
  <c r="H8861" i="3"/>
  <c r="I8861" i="3"/>
  <c r="H8976" i="3"/>
  <c r="I8976" i="3"/>
  <c r="J8976" i="3"/>
  <c r="H8832" i="3"/>
  <c r="I8832" i="3"/>
  <c r="J8832" i="3"/>
  <c r="H8935" i="3"/>
  <c r="I8935" i="3"/>
  <c r="J8935" i="3"/>
  <c r="H8791" i="3"/>
  <c r="I8791" i="3"/>
  <c r="J8791" i="3"/>
  <c r="H8894" i="3"/>
  <c r="I8894" i="3"/>
  <c r="J8894" i="3"/>
  <c r="J8750" i="3"/>
  <c r="H8865" i="3"/>
  <c r="I8865" i="3"/>
  <c r="J8865" i="3"/>
  <c r="H8968" i="3"/>
  <c r="I8968" i="3"/>
  <c r="J8968" i="3"/>
  <c r="H8824" i="3"/>
  <c r="I8824" i="3"/>
  <c r="J8824" i="3"/>
  <c r="H8939" i="3"/>
  <c r="I8939" i="3"/>
  <c r="J8939" i="3"/>
  <c r="H8795" i="3"/>
  <c r="I8795" i="3"/>
  <c r="J8795" i="3"/>
  <c r="H8898" i="3"/>
  <c r="I8898" i="3"/>
  <c r="J8898" i="3"/>
  <c r="J8754" i="3"/>
  <c r="H8869" i="3"/>
  <c r="I8869" i="3"/>
  <c r="J8869" i="3"/>
  <c r="A14" i="19" a="1"/>
  <c r="A14" i="19" s="1"/>
  <c r="B14" i="19" s="1"/>
  <c r="A14" i="18" a="1"/>
  <c r="A14" i="18" s="1"/>
  <c r="B14" i="18" s="1"/>
  <c r="I98" i="3"/>
  <c r="J98" i="3"/>
  <c r="H98" i="3"/>
  <c r="I97" i="3"/>
  <c r="J97" i="3"/>
  <c r="H97" i="3"/>
  <c r="I102" i="3"/>
  <c r="J102" i="3"/>
  <c r="H102" i="3"/>
  <c r="H96" i="3"/>
  <c r="I96" i="3"/>
  <c r="J96" i="3"/>
  <c r="H104" i="3"/>
  <c r="I104" i="3"/>
  <c r="J104" i="3"/>
  <c r="H100" i="3"/>
  <c r="I100" i="3"/>
  <c r="J100" i="3"/>
  <c r="H8735" i="3"/>
  <c r="J8735" i="3"/>
  <c r="J95" i="3"/>
  <c r="H99" i="3"/>
  <c r="I99" i="3"/>
  <c r="J99" i="3"/>
  <c r="H103" i="3"/>
  <c r="I103" i="3"/>
  <c r="J103" i="3"/>
  <c r="I101" i="3"/>
  <c r="J101" i="3"/>
  <c r="H101" i="3"/>
  <c r="F95" i="3"/>
  <c r="H95" i="3" s="1"/>
  <c r="G95" i="3"/>
  <c r="H8736" i="3"/>
  <c r="I8736" i="3"/>
  <c r="H8738" i="3"/>
  <c r="I8738" i="3"/>
  <c r="I143" i="3"/>
  <c r="H143" i="3"/>
  <c r="H139" i="3"/>
  <c r="I139" i="3"/>
  <c r="I137" i="3"/>
  <c r="H137" i="3"/>
  <c r="H136" i="3"/>
  <c r="I136" i="3"/>
  <c r="I95" i="3"/>
  <c r="B13" i="20" a="1"/>
  <c r="H135" i="3"/>
  <c r="I135" i="3"/>
  <c r="H8740" i="3"/>
  <c r="I8740" i="3"/>
  <c r="H8741" i="3"/>
  <c r="I8741" i="3"/>
  <c r="H8753" i="3"/>
  <c r="H8744" i="3"/>
  <c r="H8756" i="3"/>
  <c r="H8754" i="3"/>
  <c r="I8750" i="3"/>
  <c r="I8746" i="3"/>
  <c r="H8747" i="3"/>
  <c r="I8753" i="3"/>
  <c r="H8749" i="3"/>
  <c r="I8754" i="3"/>
  <c r="I8747" i="3"/>
  <c r="I8756" i="3"/>
  <c r="I8749" i="3"/>
  <c r="H8746" i="3"/>
  <c r="H8750" i="3"/>
  <c r="H8755" i="3"/>
  <c r="H8743" i="3"/>
  <c r="H8752" i="3"/>
  <c r="H8748" i="3"/>
  <c r="I8755" i="3"/>
  <c r="I8743" i="3"/>
  <c r="I8752" i="3"/>
  <c r="I8748" i="3"/>
  <c r="I8758" i="3"/>
  <c r="H8751" i="3"/>
  <c r="I8751" i="3"/>
  <c r="H8757" i="3"/>
  <c r="I8744" i="3"/>
  <c r="I8757" i="3"/>
  <c r="H8758" i="3"/>
  <c r="H8745" i="3"/>
  <c r="I8745" i="3"/>
  <c r="B13" i="20" l="1"/>
  <c r="A15" i="19" a="1"/>
  <c r="A15" i="19" s="1"/>
  <c r="B15" i="19" s="1"/>
  <c r="A15" i="18" a="1"/>
  <c r="A15" i="18" s="1"/>
  <c r="B15" i="18" s="1"/>
  <c r="I66" i="3"/>
  <c r="F66" i="3"/>
  <c r="G66" i="3"/>
  <c r="F67" i="3"/>
  <c r="G67" i="3"/>
  <c r="J68" i="3"/>
  <c r="F68" i="3"/>
  <c r="G68" i="3"/>
  <c r="F69" i="3"/>
  <c r="G69" i="3"/>
  <c r="I70" i="3"/>
  <c r="F70" i="3"/>
  <c r="G70" i="3"/>
  <c r="F71" i="3"/>
  <c r="G71" i="3"/>
  <c r="J72" i="3"/>
  <c r="F72" i="3"/>
  <c r="G72" i="3"/>
  <c r="F73" i="3"/>
  <c r="G73" i="3"/>
  <c r="I74" i="3"/>
  <c r="F74" i="3"/>
  <c r="G74" i="3"/>
  <c r="A14" i="20" l="1" a="1"/>
  <c r="A14" i="20" s="1"/>
  <c r="B14" i="20" s="1" a="1"/>
  <c r="A16" i="19" a="1"/>
  <c r="A16" i="19" s="1"/>
  <c r="B16" i="19" s="1"/>
  <c r="A16" i="18" a="1"/>
  <c r="A16" i="18" s="1"/>
  <c r="B16" i="18" s="1"/>
  <c r="I68" i="3"/>
  <c r="H68" i="3"/>
  <c r="J70" i="3"/>
  <c r="I72" i="3"/>
  <c r="H71" i="3"/>
  <c r="H74" i="3"/>
  <c r="H67" i="3"/>
  <c r="H70" i="3"/>
  <c r="J66" i="3"/>
  <c r="H69" i="3"/>
  <c r="J74" i="3"/>
  <c r="H72" i="3"/>
  <c r="J73" i="3"/>
  <c r="J71" i="3"/>
  <c r="J69" i="3"/>
  <c r="J67" i="3"/>
  <c r="I71" i="3"/>
  <c r="I69" i="3"/>
  <c r="I67" i="3"/>
  <c r="F93" i="3"/>
  <c r="D85" i="3"/>
  <c r="D77" i="3"/>
  <c r="J77" i="3" s="1"/>
  <c r="D78" i="3"/>
  <c r="J78" i="3" s="1"/>
  <c r="D79" i="3"/>
  <c r="J79" i="3" s="1"/>
  <c r="D80" i="3"/>
  <c r="J80" i="3" s="1"/>
  <c r="D81" i="3"/>
  <c r="I81" i="3" s="1"/>
  <c r="D82" i="3"/>
  <c r="J82" i="3" s="1"/>
  <c r="D83" i="3"/>
  <c r="J83" i="3" s="1"/>
  <c r="D84" i="3"/>
  <c r="J84" i="3" s="1"/>
  <c r="D75" i="3"/>
  <c r="J75" i="3" s="1"/>
  <c r="D76" i="3"/>
  <c r="J76" i="3" s="1"/>
  <c r="J65" i="3"/>
  <c r="H66" i="3"/>
  <c r="I73" i="3"/>
  <c r="H73" i="3"/>
  <c r="I65" i="3"/>
  <c r="B14" i="20" l="1"/>
  <c r="A15" i="20" s="1" a="1"/>
  <c r="A15" i="20" s="1"/>
  <c r="B15" i="20" s="1" a="1"/>
  <c r="A17" i="19" a="1"/>
  <c r="A17" i="19" s="1"/>
  <c r="B17" i="19" s="1"/>
  <c r="A17" i="18" a="1"/>
  <c r="A17" i="18" s="1"/>
  <c r="B17" i="18" s="1"/>
  <c r="I77" i="3"/>
  <c r="I82" i="3"/>
  <c r="I83" i="3"/>
  <c r="I78" i="3"/>
  <c r="I80" i="3"/>
  <c r="J81" i="3"/>
  <c r="I84" i="3"/>
  <c r="I79" i="3"/>
  <c r="F65" i="3"/>
  <c r="H65" i="3" s="1"/>
  <c r="G65" i="3"/>
  <c r="I76" i="3"/>
  <c r="I75" i="3"/>
  <c r="B15" i="20" l="1"/>
  <c r="A16" i="20" s="1" a="1"/>
  <c r="A16" i="20" s="1"/>
  <c r="B16" i="20" s="1" a="1"/>
  <c r="A18" i="19" a="1"/>
  <c r="A18" i="19" s="1"/>
  <c r="B18" i="19" s="1"/>
  <c r="A18" i="18" a="1"/>
  <c r="A18" i="18" s="1"/>
  <c r="B18" i="18" s="1"/>
  <c r="H2" i="2"/>
  <c r="D86" i="3"/>
  <c r="D87" i="3"/>
  <c r="D88" i="3"/>
  <c r="D89" i="3"/>
  <c r="D90" i="3"/>
  <c r="D91" i="3"/>
  <c r="D92" i="3"/>
  <c r="D93" i="3"/>
  <c r="D94" i="3"/>
  <c r="G84" i="3"/>
  <c r="F86" i="3"/>
  <c r="F87" i="3"/>
  <c r="F88" i="3"/>
  <c r="F89" i="3"/>
  <c r="F90" i="3"/>
  <c r="F91" i="3"/>
  <c r="F92" i="3"/>
  <c r="F94" i="3"/>
  <c r="F84" i="3"/>
  <c r="H84" i="3" s="1"/>
  <c r="F83" i="3"/>
  <c r="H83" i="3" s="1"/>
  <c r="G83" i="3"/>
  <c r="F76" i="3"/>
  <c r="H76" i="3" s="1"/>
  <c r="G76" i="3"/>
  <c r="F77" i="3"/>
  <c r="H77" i="3" s="1"/>
  <c r="G77" i="3"/>
  <c r="F78" i="3"/>
  <c r="H78" i="3" s="1"/>
  <c r="G78" i="3"/>
  <c r="F79" i="3"/>
  <c r="H79" i="3" s="1"/>
  <c r="G79" i="3"/>
  <c r="F80" i="3"/>
  <c r="H80" i="3" s="1"/>
  <c r="G80" i="3"/>
  <c r="F81" i="3"/>
  <c r="H81" i="3" s="1"/>
  <c r="G81" i="3"/>
  <c r="F82" i="3"/>
  <c r="H82" i="3" s="1"/>
  <c r="G82" i="3"/>
  <c r="F85" i="3"/>
  <c r="F75" i="3"/>
  <c r="H75" i="3" s="1"/>
  <c r="G75" i="3"/>
  <c r="B16" i="20" l="1"/>
  <c r="A17" i="20" s="1" a="1"/>
  <c r="A17" i="20" s="1"/>
  <c r="B17" i="20" s="1" a="1"/>
  <c r="A19" i="19" a="1"/>
  <c r="A19" i="19" s="1"/>
  <c r="B19" i="19" s="1"/>
  <c r="A19" i="18" a="1"/>
  <c r="A19" i="18" s="1"/>
  <c r="I90" i="3"/>
  <c r="J90" i="3"/>
  <c r="H90" i="3"/>
  <c r="I94" i="3"/>
  <c r="J94" i="3"/>
  <c r="H94" i="3"/>
  <c r="J93" i="3"/>
  <c r="I89" i="3"/>
  <c r="J89" i="3"/>
  <c r="H89" i="3"/>
  <c r="H91" i="3"/>
  <c r="I91" i="3"/>
  <c r="J91" i="3"/>
  <c r="H88" i="3"/>
  <c r="I88" i="3"/>
  <c r="J88" i="3"/>
  <c r="H92" i="3"/>
  <c r="I92" i="3"/>
  <c r="J92" i="3"/>
  <c r="G87" i="3"/>
  <c r="G93" i="3"/>
  <c r="H87" i="3"/>
  <c r="J87" i="3"/>
  <c r="I87" i="3"/>
  <c r="J86" i="3"/>
  <c r="J85" i="3"/>
  <c r="G85" i="3"/>
  <c r="G86" i="3"/>
  <c r="G94" i="3"/>
  <c r="G92" i="3"/>
  <c r="G91" i="3"/>
  <c r="G90" i="3"/>
  <c r="G89" i="3"/>
  <c r="G88" i="3"/>
  <c r="H93" i="3"/>
  <c r="I93" i="3"/>
  <c r="H86" i="3"/>
  <c r="I86" i="3"/>
  <c r="H85" i="3"/>
  <c r="I85" i="3"/>
  <c r="D153" i="3" a="1"/>
  <c r="D152" i="3" a="1"/>
  <c r="D152" i="3" l="1"/>
  <c r="D153" i="3"/>
  <c r="B19" i="18"/>
  <c r="A20" i="18" s="1" a="1"/>
  <c r="A20" i="18" s="1"/>
  <c r="B20" i="18" s="1"/>
  <c r="B17" i="20"/>
  <c r="A18" i="20" s="1" a="1"/>
  <c r="A18" i="20" s="1"/>
  <c r="B18" i="20" s="1" a="1"/>
  <c r="D21" i="4"/>
  <c r="C21" i="4"/>
  <c r="A20" i="19" a="1"/>
  <c r="A20" i="19" s="1"/>
  <c r="B20" i="19" s="1"/>
  <c r="J153" i="3" l="1"/>
  <c r="J152" i="3"/>
  <c r="B18" i="20"/>
  <c r="A19" i="20" s="1" a="1"/>
  <c r="A19" i="20" s="1"/>
  <c r="B19" i="20" s="1" a="1"/>
  <c r="A21" i="19" a="1"/>
  <c r="A21" i="19" s="1"/>
  <c r="B21" i="19" s="1"/>
  <c r="A21" i="18" a="1"/>
  <c r="A21" i="18" s="1"/>
  <c r="B21" i="18" s="1"/>
  <c r="I153" i="3"/>
  <c r="H153" i="3"/>
  <c r="I152" i="3"/>
  <c r="H152" i="3"/>
  <c r="B19" i="20" l="1"/>
  <c r="A20" i="20" s="1" a="1"/>
  <c r="A20" i="20" s="1"/>
  <c r="B20" i="20" s="1" a="1"/>
  <c r="A22" i="19" a="1"/>
  <c r="A22" i="19" s="1"/>
  <c r="B22" i="19" s="1"/>
  <c r="A22" i="18" a="1"/>
  <c r="A22" i="18" s="1"/>
  <c r="B22" i="18" s="1"/>
  <c r="D2981" i="3" a="1"/>
  <c r="D2982" i="3" a="1"/>
  <c r="D2982" i="3" l="1"/>
  <c r="B20" i="20"/>
  <c r="A21" i="20" s="1" a="1"/>
  <c r="A21" i="20" s="1"/>
  <c r="D2981" i="3"/>
  <c r="D212" i="3"/>
  <c r="D213" i="3"/>
  <c r="I213" i="3" s="1"/>
  <c r="D202" i="3"/>
  <c r="J202" i="3" s="1"/>
  <c r="D203" i="3"/>
  <c r="J203" i="3" s="1"/>
  <c r="D200" i="3"/>
  <c r="J200" i="3" s="1"/>
  <c r="D201" i="3"/>
  <c r="I201" i="3" s="1"/>
  <c r="H204" i="3"/>
  <c r="D199" i="3"/>
  <c r="Z1" i="2" a="1"/>
  <c r="I204" i="3" l="1"/>
  <c r="J204" i="3"/>
  <c r="I211" i="3"/>
  <c r="H211" i="3"/>
  <c r="J211" i="3"/>
  <c r="H208" i="3"/>
  <c r="J208" i="3"/>
  <c r="I208" i="3"/>
  <c r="I207" i="3"/>
  <c r="J207" i="3"/>
  <c r="H207" i="3"/>
  <c r="H205" i="3"/>
  <c r="J205" i="3"/>
  <c r="I205" i="3"/>
  <c r="H212" i="3"/>
  <c r="I212" i="3"/>
  <c r="J212" i="3"/>
  <c r="H213" i="3"/>
  <c r="J213" i="3"/>
  <c r="J2982" i="3"/>
  <c r="J2981" i="3"/>
  <c r="H200" i="3"/>
  <c r="I200" i="3"/>
  <c r="I203" i="3"/>
  <c r="H203" i="3"/>
  <c r="H202" i="3"/>
  <c r="H201" i="3"/>
  <c r="I202" i="3"/>
  <c r="H206" i="3"/>
  <c r="J206" i="3"/>
  <c r="I206" i="3"/>
  <c r="J199" i="3"/>
  <c r="J201" i="3"/>
  <c r="Z1" i="2"/>
  <c r="AA1" i="2" s="1"/>
  <c r="AA2" i="2"/>
  <c r="AA14" i="2"/>
  <c r="AA3" i="2"/>
  <c r="AA15" i="2"/>
  <c r="AA4" i="2"/>
  <c r="AA13" i="2"/>
  <c r="AA5" i="2"/>
  <c r="AA6" i="2"/>
  <c r="AA7" i="2"/>
  <c r="AA8" i="2"/>
  <c r="AA9" i="2"/>
  <c r="AA10" i="2"/>
  <c r="AA11" i="2"/>
  <c r="AA12" i="2"/>
  <c r="H2982" i="3"/>
  <c r="I2982" i="3"/>
  <c r="I199" i="3"/>
  <c r="H199" i="3"/>
  <c r="I2981" i="3"/>
  <c r="H2981" i="3"/>
  <c r="B21" i="20" a="1"/>
  <c r="D4672" i="3" a="1"/>
  <c r="B21" i="20" l="1"/>
  <c r="A22" i="20" s="1" a="1"/>
  <c r="A22" i="20" s="1"/>
  <c r="B22" i="20" s="1" a="1"/>
  <c r="D4672" i="3"/>
  <c r="I4672" i="3" s="1"/>
  <c r="D4671" i="3" a="1"/>
  <c r="B22" i="20" l="1"/>
  <c r="D4671" i="3"/>
  <c r="J4672" i="3"/>
  <c r="H4672" i="3"/>
  <c r="D4670" i="3" a="1"/>
  <c r="D4670" i="3" l="1"/>
  <c r="I4671" i="3"/>
  <c r="J4671" i="3"/>
  <c r="H4671" i="3"/>
  <c r="H4670" i="3" l="1"/>
  <c r="I4670" i="3"/>
  <c r="J4670" i="3"/>
  <c r="D4681" i="3" a="1"/>
  <c r="D4681" i="3" l="1"/>
  <c r="J4681" i="3" s="1"/>
  <c r="D4682" i="3" a="1"/>
  <c r="D4682" i="3" l="1"/>
  <c r="H4681" i="3"/>
  <c r="I4681" i="3"/>
  <c r="D4680" i="3" a="1"/>
  <c r="H4682" i="3" l="1"/>
  <c r="D4680" i="3"/>
  <c r="H4680" i="3" s="1"/>
  <c r="J4682" i="3"/>
  <c r="I4682" i="3"/>
  <c r="D4679" i="3" a="1"/>
  <c r="D4679" i="3" l="1"/>
  <c r="H4679" i="3" s="1"/>
  <c r="J4680" i="3"/>
  <c r="I4680" i="3"/>
  <c r="D4678" i="3" a="1"/>
  <c r="D4678" i="3" l="1"/>
  <c r="H4678" i="3" s="1"/>
  <c r="J4679" i="3"/>
  <c r="I4679" i="3"/>
  <c r="D4675" i="3" a="1"/>
  <c r="D4675" i="3" l="1"/>
  <c r="H4675" i="3" s="1"/>
  <c r="J4678" i="3"/>
  <c r="I4678" i="3"/>
  <c r="D4677" i="3" a="1"/>
  <c r="D4677" i="3" l="1"/>
  <c r="H4677" i="3" s="1"/>
  <c r="J4675" i="3"/>
  <c r="I4675" i="3"/>
  <c r="D4673" i="3" a="1"/>
  <c r="D4673" i="3" l="1"/>
  <c r="H4673" i="3" s="1"/>
  <c r="J4677" i="3"/>
  <c r="I4677" i="3"/>
  <c r="D4674" i="3" a="1"/>
  <c r="D4674" i="3" l="1"/>
  <c r="H4674" i="3" s="1"/>
  <c r="J4673" i="3"/>
  <c r="I4673" i="3"/>
  <c r="D4676" i="3" a="1"/>
  <c r="D4676" i="3" l="1"/>
  <c r="I4676" i="3" s="1"/>
  <c r="J4674" i="3"/>
  <c r="I4674" i="3"/>
  <c r="D4669" i="3" a="1"/>
  <c r="D4669" i="3" l="1"/>
  <c r="J4676" i="3"/>
  <c r="H4676" i="3"/>
  <c r="H4669" i="3" l="1"/>
  <c r="J4669" i="3"/>
  <c r="I4669" i="3"/>
  <c r="E6" i="102" l="1"/>
  <c r="D6" i="102"/>
  <c r="D33" i="4"/>
  <c r="C33" i="4"/>
  <c r="D66" i="4"/>
  <c r="C66" i="4"/>
  <c r="C37" i="4"/>
  <c r="D37" i="4"/>
  <c r="G6618" i="3"/>
  <c r="D6454" i="3" a="1"/>
  <c r="D6336" i="3" a="1"/>
  <c r="D6349" i="3" a="1"/>
  <c r="D6341" i="3" a="1"/>
  <c r="D6436" i="3" a="1"/>
  <c r="D6593" i="3" a="1"/>
  <c r="D6319" i="3" a="1"/>
  <c r="D6343" i="3" a="1"/>
  <c r="D6362" i="3" a="1"/>
  <c r="D6608" i="3" a="1"/>
  <c r="D6334" i="3" a="1"/>
  <c r="D6613" i="3" a="1"/>
  <c r="D6593" i="3" l="1"/>
  <c r="I6593" i="3" s="1"/>
  <c r="D6341" i="3"/>
  <c r="D6436" i="3"/>
  <c r="D6608" i="3"/>
  <c r="D6343" i="3"/>
  <c r="D6454" i="3"/>
  <c r="D6336" i="3"/>
  <c r="D6613" i="3"/>
  <c r="D6319" i="3"/>
  <c r="D6349" i="3"/>
  <c r="D6334" i="3"/>
  <c r="D6362" i="3"/>
  <c r="H6362" i="3" s="1"/>
  <c r="D6548" i="3" a="1"/>
  <c r="J6593" i="3" l="1"/>
  <c r="H6593" i="3"/>
  <c r="I6334" i="3"/>
  <c r="H6334" i="3"/>
  <c r="J6334" i="3"/>
  <c r="J6336" i="3"/>
  <c r="I6336" i="3"/>
  <c r="H6336" i="3"/>
  <c r="I6436" i="3"/>
  <c r="H6436" i="3"/>
  <c r="J6436" i="3"/>
  <c r="H6613" i="3"/>
  <c r="I6613" i="3"/>
  <c r="J6613" i="3"/>
  <c r="I6608" i="3"/>
  <c r="J6608" i="3"/>
  <c r="H6608" i="3"/>
  <c r="I6349" i="3"/>
  <c r="H6349" i="3"/>
  <c r="J6349" i="3"/>
  <c r="I6454" i="3"/>
  <c r="H6454" i="3"/>
  <c r="J6454" i="3"/>
  <c r="I6341" i="3"/>
  <c r="J6341" i="3"/>
  <c r="H6341" i="3"/>
  <c r="I6319" i="3"/>
  <c r="J6319" i="3"/>
  <c r="H6319" i="3"/>
  <c r="I6343" i="3"/>
  <c r="J6343" i="3"/>
  <c r="H6343" i="3"/>
  <c r="D6548" i="3"/>
  <c r="J6548" i="3" s="1"/>
  <c r="J6362" i="3"/>
  <c r="I6362" i="3"/>
  <c r="D6555" i="3" a="1"/>
  <c r="D6555" i="3" l="1"/>
  <c r="J6555" i="3" s="1"/>
  <c r="I6548" i="3"/>
  <c r="H6548" i="3"/>
  <c r="D6339" i="3" a="1"/>
  <c r="D6339" i="3" l="1"/>
  <c r="I6339" i="3" s="1"/>
  <c r="H6555" i="3"/>
  <c r="I6555" i="3"/>
  <c r="D6322" i="3" a="1"/>
  <c r="D6322" i="3" l="1"/>
  <c r="J6339" i="3"/>
  <c r="H6339" i="3"/>
  <c r="D6353" i="3" a="1"/>
  <c r="D6353" i="3" l="1"/>
  <c r="H6322" i="3"/>
  <c r="I6322" i="3"/>
  <c r="J6322" i="3"/>
  <c r="D6452" i="3" a="1"/>
  <c r="D6452" i="3" l="1"/>
  <c r="H6452" i="3" s="1"/>
  <c r="J6353" i="3"/>
  <c r="H6353" i="3"/>
  <c r="I6353" i="3"/>
  <c r="D6467" i="3" a="1"/>
  <c r="D6467" i="3" l="1"/>
  <c r="I6452" i="3"/>
  <c r="J6452" i="3"/>
  <c r="D6455" i="3" a="1"/>
  <c r="D6455" i="3" l="1"/>
  <c r="J6467" i="3"/>
  <c r="I6467" i="3"/>
  <c r="H6467" i="3"/>
  <c r="D6444" i="3" a="1"/>
  <c r="D6444" i="3" l="1"/>
  <c r="H6455" i="3"/>
  <c r="I6455" i="3"/>
  <c r="J6455" i="3"/>
  <c r="D6547" i="3" a="1"/>
  <c r="D6547" i="3" l="1"/>
  <c r="H6444" i="3"/>
  <c r="I6444" i="3"/>
  <c r="J6444" i="3"/>
  <c r="D6595" i="3" a="1"/>
  <c r="D6595" i="3" l="1"/>
  <c r="J6595" i="3" s="1"/>
  <c r="H6547" i="3"/>
  <c r="I6547" i="3"/>
  <c r="J6547" i="3"/>
  <c r="D6556" i="3" a="1"/>
  <c r="D6556" i="3" l="1"/>
  <c r="H6595" i="3"/>
  <c r="I6595" i="3"/>
  <c r="D6598" i="3" a="1"/>
  <c r="D6598" i="3" l="1"/>
  <c r="J6556" i="3"/>
  <c r="H6556" i="3"/>
  <c r="I6556" i="3"/>
  <c r="D6614" i="3" a="1"/>
  <c r="D6614" i="3" l="1"/>
  <c r="I6614" i="3" s="1"/>
  <c r="J6598" i="3"/>
  <c r="H6598" i="3"/>
  <c r="I6598" i="3"/>
  <c r="D6359" i="3" a="1"/>
  <c r="D6359" i="3" l="1"/>
  <c r="J6359" i="3" s="1"/>
  <c r="J6614" i="3"/>
  <c r="H6614" i="3"/>
  <c r="D6462" i="3" a="1"/>
  <c r="D6462" i="3" l="1"/>
  <c r="I6462" i="3" s="1"/>
  <c r="H6359" i="3"/>
  <c r="I6359" i="3"/>
  <c r="D6329" i="3" a="1"/>
  <c r="D6329" i="3" l="1"/>
  <c r="J6329" i="3" s="1"/>
  <c r="H6462" i="3"/>
  <c r="J6462" i="3"/>
  <c r="D6529" i="3" a="1"/>
  <c r="D6529" i="3" l="1"/>
  <c r="J6529" i="3" s="1"/>
  <c r="I6329" i="3"/>
  <c r="H6329" i="3"/>
  <c r="D6360" i="3" a="1"/>
  <c r="D6360" i="3" l="1"/>
  <c r="H6360" i="3" s="1"/>
  <c r="H6529" i="3"/>
  <c r="I6529" i="3"/>
  <c r="D6466" i="3" a="1"/>
  <c r="D6466" i="3" l="1"/>
  <c r="I6466" i="3" s="1"/>
  <c r="J6360" i="3"/>
  <c r="I6360" i="3"/>
  <c r="D6439" i="3" a="1"/>
  <c r="D6439" i="3" l="1"/>
  <c r="H6439" i="3" s="1"/>
  <c r="H6466" i="3"/>
  <c r="J6466" i="3"/>
  <c r="D6435" i="3" a="1"/>
  <c r="D6435" i="3" l="1"/>
  <c r="H6435" i="3" s="1"/>
  <c r="I6439" i="3"/>
  <c r="J6439" i="3"/>
  <c r="D6542" i="3" a="1"/>
  <c r="D6542" i="3" l="1"/>
  <c r="I6542" i="3" s="1"/>
  <c r="J6435" i="3"/>
  <c r="I6435" i="3"/>
  <c r="D6554" i="3" a="1"/>
  <c r="D6554" i="3" l="1"/>
  <c r="J6554" i="3" s="1"/>
  <c r="J6542" i="3"/>
  <c r="H6542" i="3"/>
  <c r="D6546" i="3" a="1"/>
  <c r="D6546" i="3" l="1"/>
  <c r="J6546" i="3" s="1"/>
  <c r="H6554" i="3"/>
  <c r="I6554" i="3"/>
  <c r="D6609" i="3" a="1"/>
  <c r="D6609" i="3" l="1"/>
  <c r="J6609" i="3" s="1"/>
  <c r="I6546" i="3"/>
  <c r="H6546" i="3"/>
  <c r="D6437" i="3" a="1"/>
  <c r="D6437" i="3" l="1"/>
  <c r="H6437" i="3" s="1"/>
  <c r="H6609" i="3"/>
  <c r="I6609" i="3"/>
  <c r="D6465" i="3" a="1"/>
  <c r="D6465" i="3" l="1"/>
  <c r="I6465" i="3" s="1"/>
  <c r="J6437" i="3"/>
  <c r="I6437" i="3"/>
  <c r="D6540" i="3" a="1"/>
  <c r="D6540" i="3" l="1"/>
  <c r="J6540" i="3" s="1"/>
  <c r="H6465" i="3"/>
  <c r="J6465" i="3"/>
  <c r="D6515" i="3" a="1"/>
  <c r="D6515" i="3" l="1"/>
  <c r="I6515" i="3" s="1"/>
  <c r="I6540" i="3"/>
  <c r="H6540" i="3"/>
  <c r="D6532" i="3" a="1"/>
  <c r="D6532" i="3" l="1"/>
  <c r="H6532" i="3" s="1"/>
  <c r="H6515" i="3"/>
  <c r="J6515" i="3"/>
  <c r="D6533" i="3" a="1"/>
  <c r="D6533" i="3" l="1"/>
  <c r="J6533" i="3" s="1"/>
  <c r="I6532" i="3"/>
  <c r="J6532" i="3"/>
  <c r="D6612" i="3" a="1"/>
  <c r="D6612" i="3" l="1"/>
  <c r="J6612" i="3" s="1"/>
  <c r="H6533" i="3"/>
  <c r="I6533" i="3"/>
  <c r="D6430" i="3" a="1"/>
  <c r="D6430" i="3" l="1"/>
  <c r="H6430" i="3" s="1"/>
  <c r="H6612" i="3"/>
  <c r="I6612" i="3"/>
  <c r="D6550" i="3" a="1"/>
  <c r="D6550" i="3" l="1"/>
  <c r="H6550" i="3" s="1"/>
  <c r="J6430" i="3"/>
  <c r="I6430" i="3"/>
  <c r="D6604" i="3" a="1"/>
  <c r="D6604" i="3" l="1"/>
  <c r="H6604" i="3" s="1"/>
  <c r="J6550" i="3"/>
  <c r="I6550" i="3"/>
  <c r="D6352" i="3" a="1"/>
  <c r="D6352" i="3" l="1"/>
  <c r="I6352" i="3" s="1"/>
  <c r="J6604" i="3"/>
  <c r="I6604" i="3"/>
  <c r="D6434" i="3" a="1"/>
  <c r="D6434" i="3" l="1"/>
  <c r="I6434" i="3" s="1"/>
  <c r="H6352" i="3"/>
  <c r="J6352" i="3"/>
  <c r="D6427" i="3" a="1"/>
  <c r="D6427" i="3" l="1"/>
  <c r="I6427" i="3" s="1"/>
  <c r="J6434" i="3"/>
  <c r="H6434" i="3"/>
  <c r="D6553" i="3" a="1"/>
  <c r="D6553" i="3" l="1"/>
  <c r="J6553" i="3" s="1"/>
  <c r="H6427" i="3"/>
  <c r="J6427" i="3"/>
  <c r="D6441" i="3" a="1"/>
  <c r="D6441" i="3" l="1"/>
  <c r="J6441" i="3" s="1"/>
  <c r="H6553" i="3"/>
  <c r="I6553" i="3"/>
  <c r="D6332" i="3" a="1"/>
  <c r="D6332" i="3" l="1"/>
  <c r="H6332" i="3" s="1"/>
  <c r="H6441" i="3"/>
  <c r="I6441" i="3"/>
  <c r="D6461" i="3" a="1"/>
  <c r="D6461" i="3" l="1"/>
  <c r="H6461" i="3" s="1"/>
  <c r="J6332" i="3"/>
  <c r="I6332" i="3"/>
  <c r="D6525" i="3" a="1"/>
  <c r="D6525" i="3" l="1"/>
  <c r="J6525" i="3" s="1"/>
  <c r="J6461" i="3"/>
  <c r="I6461" i="3"/>
  <c r="D6591" i="3" a="1"/>
  <c r="D6591" i="3" l="1"/>
  <c r="J6591" i="3" s="1"/>
  <c r="I6525" i="3"/>
  <c r="H6525" i="3"/>
  <c r="D6616" i="3" a="1"/>
  <c r="D6616" i="3" l="1"/>
  <c r="J6616" i="3" s="1"/>
  <c r="I6591" i="3"/>
  <c r="H6591" i="3"/>
  <c r="D6605" i="3" a="1"/>
  <c r="D6605" i="3" l="1"/>
  <c r="J6605" i="3" s="1"/>
  <c r="H6616" i="3"/>
  <c r="I6616" i="3"/>
  <c r="D6594" i="3" a="1"/>
  <c r="D6594" i="3" l="1"/>
  <c r="J6594" i="3" s="1"/>
  <c r="H6605" i="3"/>
  <c r="I6605" i="3"/>
  <c r="D6357" i="3" a="1"/>
  <c r="D6357" i="3" l="1"/>
  <c r="J6357" i="3" s="1"/>
  <c r="H6594" i="3"/>
  <c r="I6594" i="3"/>
  <c r="D6449" i="3" a="1"/>
  <c r="D6449" i="3" l="1"/>
  <c r="I6449" i="3" s="1"/>
  <c r="I6357" i="3"/>
  <c r="H6357" i="3"/>
  <c r="D6429" i="3" a="1"/>
  <c r="D6429" i="3" l="1"/>
  <c r="I6429" i="3" s="1"/>
  <c r="J6449" i="3"/>
  <c r="H6449" i="3"/>
  <c r="D6432" i="3" a="1"/>
  <c r="D6432" i="3" l="1"/>
  <c r="H6432" i="3" s="1"/>
  <c r="J6429" i="3"/>
  <c r="H6429" i="3"/>
  <c r="D6330" i="3" a="1"/>
  <c r="D6330" i="3" l="1"/>
  <c r="J6330" i="3" s="1"/>
  <c r="I6432" i="3"/>
  <c r="J6432" i="3"/>
  <c r="D6356" i="3" a="1"/>
  <c r="D6356" i="3" l="1"/>
  <c r="J6356" i="3" s="1"/>
  <c r="H6330" i="3"/>
  <c r="I6330" i="3"/>
  <c r="D6331" i="3" a="1"/>
  <c r="D6331" i="3" l="1"/>
  <c r="H6331" i="3" s="1"/>
  <c r="H6356" i="3"/>
  <c r="I6356" i="3"/>
  <c r="D6607" i="3" a="1"/>
  <c r="D6607" i="3" l="1"/>
  <c r="J6607" i="3" s="1"/>
  <c r="J6331" i="3"/>
  <c r="I6331" i="3"/>
  <c r="D6342" i="3" a="1"/>
  <c r="D6342" i="3" l="1"/>
  <c r="J6342" i="3" s="1"/>
  <c r="I6607" i="3"/>
  <c r="H6607" i="3"/>
  <c r="D6539" i="3" a="1"/>
  <c r="D6539" i="3" l="1"/>
  <c r="J6539" i="3" s="1"/>
  <c r="H6342" i="3"/>
  <c r="I6342" i="3"/>
  <c r="D6544" i="3" a="1"/>
  <c r="D6544" i="3" l="1"/>
  <c r="H6544" i="3" s="1"/>
  <c r="H6539" i="3"/>
  <c r="I6539" i="3"/>
  <c r="D6545" i="3" a="1"/>
  <c r="D6545" i="3" l="1"/>
  <c r="H6545" i="3" s="1"/>
  <c r="I6544" i="3"/>
  <c r="J6544" i="3"/>
  <c r="D6344" i="3" a="1"/>
  <c r="D6344" i="3" l="1"/>
  <c r="H6344" i="3" s="1"/>
  <c r="J6545" i="3"/>
  <c r="I6545" i="3"/>
  <c r="D6535" i="3" a="1"/>
  <c r="D6535" i="3" l="1"/>
  <c r="I6535" i="3" s="1"/>
  <c r="J6344" i="3"/>
  <c r="I6344" i="3"/>
  <c r="D6517" i="3" a="1"/>
  <c r="D6517" i="3" l="1"/>
  <c r="J6517" i="3" s="1"/>
  <c r="H6535" i="3"/>
  <c r="J6535" i="3"/>
  <c r="D6524" i="3" a="1"/>
  <c r="D6524" i="3" l="1"/>
  <c r="I6524" i="3" s="1"/>
  <c r="H6517" i="3"/>
  <c r="I6517" i="3"/>
  <c r="D6519" i="3" a="1"/>
  <c r="D6519" i="3" l="1"/>
  <c r="J6519" i="3" s="1"/>
  <c r="J6524" i="3"/>
  <c r="H6524" i="3"/>
  <c r="D6615" i="3" a="1"/>
  <c r="D6615" i="3" l="1"/>
  <c r="H6615" i="3" s="1"/>
  <c r="I6519" i="3"/>
  <c r="H6519" i="3"/>
  <c r="D6597" i="3" a="1"/>
  <c r="D6597" i="3" l="1"/>
  <c r="J6597" i="3" s="1"/>
  <c r="I6615" i="3"/>
  <c r="J6615" i="3"/>
  <c r="D6536" i="3" a="1"/>
  <c r="D6536" i="3" l="1"/>
  <c r="J6536" i="3" s="1"/>
  <c r="I6597" i="3"/>
  <c r="H6597" i="3"/>
  <c r="D6552" i="3" a="1"/>
  <c r="D6552" i="3" l="1"/>
  <c r="I6552" i="3" s="1"/>
  <c r="I6536" i="3"/>
  <c r="H6536" i="3"/>
  <c r="D6526" i="3" a="1"/>
  <c r="D6526" i="3" l="1"/>
  <c r="J6526" i="3" s="1"/>
  <c r="J6552" i="3"/>
  <c r="H6552" i="3"/>
  <c r="D6518" i="3" a="1"/>
  <c r="D6518" i="3" l="1"/>
  <c r="J6518" i="3" s="1"/>
  <c r="I6526" i="3"/>
  <c r="H6526" i="3"/>
  <c r="D6549" i="3" a="1"/>
  <c r="D6549" i="3" l="1"/>
  <c r="I6549" i="3" s="1"/>
  <c r="I6518" i="3"/>
  <c r="H6518" i="3"/>
  <c r="D6590" i="3" a="1"/>
  <c r="D6590" i="3" l="1"/>
  <c r="I6590" i="3" s="1"/>
  <c r="H6549" i="3"/>
  <c r="J6549" i="3"/>
  <c r="D6361" i="3" a="1"/>
  <c r="D6361" i="3" l="1"/>
  <c r="J6361" i="3" s="1"/>
  <c r="J6590" i="3"/>
  <c r="H6590" i="3"/>
  <c r="D6321" i="3" a="1"/>
  <c r="D6321" i="3" l="1"/>
  <c r="J6321" i="3" s="1"/>
  <c r="H6361" i="3"/>
  <c r="I6361" i="3"/>
  <c r="D6351" i="3" a="1"/>
  <c r="D6351" i="3" l="1"/>
  <c r="J6351" i="3" s="1"/>
  <c r="H6321" i="3"/>
  <c r="I6321" i="3"/>
  <c r="D6460" i="3" a="1"/>
  <c r="D6460" i="3" l="1"/>
  <c r="J6460" i="3" s="1"/>
  <c r="H6351" i="3"/>
  <c r="I6351" i="3"/>
  <c r="D6425" i="3" a="1"/>
  <c r="D6425" i="3" l="1"/>
  <c r="H6425" i="3" s="1"/>
  <c r="H6460" i="3"/>
  <c r="I6460" i="3"/>
  <c r="D6337" i="3" a="1"/>
  <c r="D6337" i="3" l="1"/>
  <c r="J6337" i="3" s="1"/>
  <c r="I6425" i="3"/>
  <c r="J6425" i="3"/>
  <c r="D6346" i="3" a="1"/>
  <c r="D6346" i="3" l="1"/>
  <c r="I6346" i="3" s="1"/>
  <c r="I6337" i="3"/>
  <c r="H6337" i="3"/>
  <c r="J6346" i="3" l="1"/>
  <c r="H6346" i="3"/>
  <c r="D6345" i="3" a="1"/>
  <c r="D6345" i="3" l="1"/>
  <c r="H6345" i="3" s="1"/>
  <c r="D6600" i="3" a="1"/>
  <c r="D6600" i="3" l="1"/>
  <c r="H6600" i="3" s="1"/>
  <c r="I6345" i="3"/>
  <c r="J6345" i="3"/>
  <c r="D6347" i="3" a="1"/>
  <c r="D6347" i="3" l="1"/>
  <c r="H6347" i="3" s="1"/>
  <c r="I6600" i="3"/>
  <c r="J6600" i="3"/>
  <c r="D6442" i="3" a="1"/>
  <c r="D6442" i="3" l="1"/>
  <c r="H6442" i="3" s="1"/>
  <c r="J6347" i="3"/>
  <c r="I6347" i="3"/>
  <c r="D6428" i="3" a="1"/>
  <c r="D6428" i="3" l="1"/>
  <c r="H6428" i="3" s="1"/>
  <c r="I6442" i="3"/>
  <c r="J6442" i="3"/>
  <c r="D6433" i="3" a="1"/>
  <c r="D6433" i="3" l="1"/>
  <c r="J6428" i="3"/>
  <c r="I6428" i="3"/>
  <c r="D6617" i="3" a="1"/>
  <c r="D6617" i="3" l="1"/>
  <c r="I6433" i="3"/>
  <c r="H6433" i="3"/>
  <c r="J6433" i="3"/>
  <c r="D6602" i="3" a="1"/>
  <c r="D6602" i="3" l="1"/>
  <c r="I6602" i="3" s="1"/>
  <c r="H6617" i="3"/>
  <c r="J6617" i="3"/>
  <c r="I6617" i="3"/>
  <c r="D6327" i="3" a="1"/>
  <c r="D6327" i="3" l="1"/>
  <c r="H6602" i="3"/>
  <c r="J6602" i="3"/>
  <c r="D6443" i="3" a="1"/>
  <c r="D6443" i="3" l="1"/>
  <c r="J6443" i="3" s="1"/>
  <c r="H6327" i="3"/>
  <c r="I6327" i="3"/>
  <c r="J6327" i="3"/>
  <c r="D6440" i="3" a="1"/>
  <c r="D6440" i="3" l="1"/>
  <c r="H6440" i="3" s="1"/>
  <c r="H6443" i="3"/>
  <c r="I6443" i="3"/>
  <c r="D6335" i="3" a="1"/>
  <c r="D6335" i="3" l="1"/>
  <c r="J6335" i="3" s="1"/>
  <c r="J6440" i="3"/>
  <c r="I6440" i="3"/>
  <c r="D6358" i="3" a="1"/>
  <c r="D6358" i="3" l="1"/>
  <c r="J6358" i="3" s="1"/>
  <c r="I6335" i="3"/>
  <c r="H6335" i="3"/>
  <c r="D6355" i="3" a="1"/>
  <c r="D6355" i="3" l="1"/>
  <c r="J6355" i="3" s="1"/>
  <c r="I6358" i="3"/>
  <c r="H6358" i="3"/>
  <c r="D6340" i="3" a="1"/>
  <c r="D6340" i="3" l="1"/>
  <c r="H6340" i="3" s="1"/>
  <c r="I6355" i="3"/>
  <c r="H6355" i="3"/>
  <c r="D6463" i="3" a="1"/>
  <c r="D6463" i="3" l="1"/>
  <c r="I6463" i="3" s="1"/>
  <c r="I6340" i="3"/>
  <c r="J6340" i="3"/>
  <c r="D6541" i="3" a="1"/>
  <c r="D6541" i="3" l="1"/>
  <c r="H6541" i="3" s="1"/>
  <c r="J6463" i="3"/>
  <c r="H6463" i="3"/>
  <c r="D6537" i="3" a="1"/>
  <c r="D6537" i="3" l="1"/>
  <c r="H6537" i="3" s="1"/>
  <c r="J6541" i="3"/>
  <c r="I6541" i="3"/>
  <c r="D6527" i="3" a="1"/>
  <c r="D6527" i="3" l="1"/>
  <c r="J6527" i="3" s="1"/>
  <c r="I6537" i="3"/>
  <c r="J6537" i="3"/>
  <c r="D6611" i="3" a="1"/>
  <c r="D6611" i="3" l="1"/>
  <c r="I6611" i="3" s="1"/>
  <c r="H6527" i="3"/>
  <c r="I6527" i="3"/>
  <c r="D6592" i="3" a="1"/>
  <c r="D6592" i="3" l="1"/>
  <c r="H6592" i="3" s="1"/>
  <c r="H6611" i="3"/>
  <c r="J6611" i="3"/>
  <c r="D6599" i="3" a="1"/>
  <c r="D6599" i="3" l="1"/>
  <c r="J6599" i="3" s="1"/>
  <c r="I6592" i="3"/>
  <c r="J6592" i="3"/>
  <c r="D6323" i="3" a="1"/>
  <c r="D6323" i="3" l="1"/>
  <c r="H6323" i="3" s="1"/>
  <c r="H6599" i="3"/>
  <c r="I6599" i="3"/>
  <c r="D6448" i="3" a="1"/>
  <c r="D6448" i="3" l="1"/>
  <c r="J6448" i="3" s="1"/>
  <c r="J6323" i="3"/>
  <c r="I6323" i="3"/>
  <c r="D6450" i="3" a="1"/>
  <c r="D6450" i="3" l="1"/>
  <c r="H6450" i="3" s="1"/>
  <c r="I6448" i="3"/>
  <c r="H6448" i="3"/>
  <c r="D6557" i="3" a="1"/>
  <c r="D6557" i="3" l="1"/>
  <c r="J6557" i="3" s="1"/>
  <c r="I6450" i="3"/>
  <c r="J6450" i="3"/>
  <c r="D6534" i="3" a="1"/>
  <c r="D6534" i="3" l="1"/>
  <c r="H6534" i="3" s="1"/>
  <c r="H6557" i="3"/>
  <c r="I6557" i="3"/>
  <c r="D6326" i="3" a="1"/>
  <c r="D6326" i="3" l="1"/>
  <c r="H6326" i="3" s="1"/>
  <c r="J6534" i="3"/>
  <c r="I6534" i="3"/>
  <c r="D6350" i="3" a="1"/>
  <c r="D6350" i="3" l="1"/>
  <c r="H6350" i="3" s="1"/>
  <c r="J6326" i="3"/>
  <c r="I6326" i="3"/>
  <c r="D6328" i="3" a="1"/>
  <c r="D6328" i="3" l="1"/>
  <c r="I6328" i="3" s="1"/>
  <c r="I6350" i="3"/>
  <c r="J6350" i="3"/>
  <c r="D6459" i="3" a="1"/>
  <c r="D6459" i="3" l="1"/>
  <c r="H6459" i="3" s="1"/>
  <c r="H6328" i="3"/>
  <c r="J6328" i="3"/>
  <c r="D6445" i="3" a="1"/>
  <c r="D6445" i="3" l="1"/>
  <c r="H6445" i="3" s="1"/>
  <c r="J6459" i="3"/>
  <c r="I6459" i="3"/>
  <c r="D6447" i="3" a="1"/>
  <c r="D6447" i="3" l="1"/>
  <c r="I6447" i="3" s="1"/>
  <c r="J6445" i="3"/>
  <c r="I6445" i="3"/>
  <c r="D6426" i="3" a="1"/>
  <c r="D6426" i="3" l="1"/>
  <c r="I6426" i="3" s="1"/>
  <c r="J6447" i="3"/>
  <c r="H6447" i="3"/>
  <c r="D6523" i="3" a="1"/>
  <c r="D6523" i="3" l="1"/>
  <c r="I6523" i="3" s="1"/>
  <c r="J6426" i="3"/>
  <c r="H6426" i="3"/>
  <c r="D6551" i="3" a="1"/>
  <c r="D6551" i="3" l="1"/>
  <c r="I6551" i="3" s="1"/>
  <c r="H6523" i="3"/>
  <c r="J6523" i="3"/>
  <c r="D6514" i="3" a="1"/>
  <c r="D6514" i="3" l="1"/>
  <c r="J6514" i="3" s="1"/>
  <c r="H6551" i="3"/>
  <c r="J6551" i="3"/>
  <c r="D6589" i="3" a="1"/>
  <c r="D6589" i="3" l="1"/>
  <c r="H6589" i="3" s="1"/>
  <c r="I6514" i="3"/>
  <c r="H6514" i="3"/>
  <c r="D6325" i="3" a="1"/>
  <c r="D6325" i="3" l="1"/>
  <c r="J6325" i="3" s="1"/>
  <c r="J6589" i="3"/>
  <c r="I6589" i="3"/>
  <c r="D6458" i="3" a="1"/>
  <c r="D6458" i="3" l="1"/>
  <c r="H6458" i="3" s="1"/>
  <c r="H6325" i="3"/>
  <c r="I6325" i="3"/>
  <c r="D6446" i="3" a="1"/>
  <c r="D6446" i="3" l="1"/>
  <c r="H6446" i="3" s="1"/>
  <c r="I6458" i="3"/>
  <c r="J6458" i="3"/>
  <c r="D6457" i="3" a="1"/>
  <c r="D6457" i="3" l="1"/>
  <c r="J6457" i="3" s="1"/>
  <c r="J6446" i="3"/>
  <c r="I6446" i="3"/>
  <c r="D6424" i="3" a="1"/>
  <c r="D6424" i="3" l="1"/>
  <c r="I6424" i="3" s="1"/>
  <c r="I6457" i="3"/>
  <c r="H6457" i="3"/>
  <c r="D6431" i="3" a="1"/>
  <c r="D6431" i="3" l="1"/>
  <c r="I6431" i="3" s="1"/>
  <c r="H6424" i="3"/>
  <c r="J6424" i="3"/>
  <c r="D6531" i="3" a="1"/>
  <c r="D6531" i="3" l="1"/>
  <c r="H6531" i="3" s="1"/>
  <c r="H6431" i="3"/>
  <c r="J6431" i="3"/>
  <c r="D6610" i="3" a="1"/>
  <c r="D6610" i="3" l="1"/>
  <c r="I6610" i="3" s="1"/>
  <c r="J6531" i="3"/>
  <c r="I6531" i="3"/>
  <c r="D6324" i="3" a="1"/>
  <c r="D6324" i="3" l="1"/>
  <c r="I6324" i="3" s="1"/>
  <c r="J6610" i="3"/>
  <c r="H6610" i="3"/>
  <c r="D6338" i="3" a="1"/>
  <c r="D6338" i="3" l="1"/>
  <c r="J6338" i="3" s="1"/>
  <c r="H6324" i="3"/>
  <c r="J6324" i="3"/>
  <c r="D6456" i="3" a="1"/>
  <c r="D6456" i="3" l="1"/>
  <c r="H6456" i="3" s="1"/>
  <c r="I6338" i="3"/>
  <c r="H6338" i="3"/>
  <c r="D6596" i="3" a="1"/>
  <c r="D6596" i="3" l="1"/>
  <c r="H6596" i="3" s="1"/>
  <c r="J6456" i="3"/>
  <c r="I6456" i="3"/>
  <c r="D6601" i="3" a="1"/>
  <c r="D6601" i="3" l="1"/>
  <c r="I6601" i="3" s="1"/>
  <c r="I6596" i="3"/>
  <c r="J6596" i="3"/>
  <c r="D6354" i="3" a="1"/>
  <c r="D6354" i="3" l="1"/>
  <c r="J6354" i="3" s="1"/>
  <c r="J6601" i="3"/>
  <c r="H6601" i="3"/>
  <c r="D6606" i="3" a="1"/>
  <c r="D6606" i="3" l="1"/>
  <c r="I6606" i="3" s="1"/>
  <c r="I6354" i="3"/>
  <c r="H6354" i="3"/>
  <c r="D6522" i="3" a="1"/>
  <c r="D6522" i="3" l="1"/>
  <c r="I6522" i="3" s="1"/>
  <c r="H6606" i="3"/>
  <c r="J6606" i="3"/>
  <c r="D6521" i="3" a="1"/>
  <c r="D6521" i="3" l="1"/>
  <c r="H6521" i="3" s="1"/>
  <c r="H6522" i="3"/>
  <c r="J6522" i="3"/>
  <c r="D6530" i="3" a="1"/>
  <c r="D6530" i="3" l="1"/>
  <c r="H6530" i="3" s="1"/>
  <c r="J6521" i="3"/>
  <c r="I6521" i="3"/>
  <c r="D6516" i="3" a="1"/>
  <c r="D6516" i="3" l="1"/>
  <c r="I6516" i="3" s="1"/>
  <c r="I6530" i="3"/>
  <c r="J6530" i="3"/>
  <c r="D6520" i="3" a="1"/>
  <c r="D6520" i="3" l="1"/>
  <c r="I6520" i="3" s="1"/>
  <c r="H6516" i="3"/>
  <c r="J6516" i="3"/>
  <c r="D6464" i="3" a="1"/>
  <c r="D6464" i="3" l="1"/>
  <c r="H6464" i="3" s="1"/>
  <c r="H6520" i="3"/>
  <c r="J6520" i="3"/>
  <c r="D6451" i="3" a="1"/>
  <c r="D6451" i="3" l="1"/>
  <c r="H6451" i="3" s="1"/>
  <c r="J6464" i="3"/>
  <c r="I6464" i="3"/>
  <c r="D6320" i="3" a="1"/>
  <c r="D6320" i="3" l="1"/>
  <c r="J6451" i="3"/>
  <c r="I6451" i="3"/>
  <c r="D6538" i="3" a="1"/>
  <c r="E62" i="150" l="1" a="1"/>
  <c r="E62" i="150" s="1"/>
  <c r="I6320" i="3"/>
  <c r="D6538" i="3"/>
  <c r="J6538" i="3" s="1"/>
  <c r="H6320" i="3"/>
  <c r="J6320" i="3"/>
  <c r="D8" i="16" l="1"/>
  <c r="E8" i="16"/>
  <c r="D6" i="16"/>
  <c r="E6" i="16"/>
  <c r="C62" i="150"/>
  <c r="A63" i="150"/>
  <c r="B64" i="150"/>
  <c r="C65" i="150"/>
  <c r="B63" i="150"/>
  <c r="C64" i="150"/>
  <c r="A66" i="150"/>
  <c r="C63" i="150"/>
  <c r="A65" i="150"/>
  <c r="B66" i="150"/>
  <c r="A64" i="150"/>
  <c r="B65" i="150"/>
  <c r="C66" i="150"/>
  <c r="A62" i="150"/>
  <c r="B62" i="150"/>
  <c r="I6538" i="3"/>
  <c r="H6538" i="3"/>
  <c r="D31" i="196" l="1"/>
  <c r="E31" i="196"/>
  <c r="D6" i="26"/>
  <c r="E6" i="26"/>
  <c r="E26" i="77"/>
  <c r="D26" i="77"/>
  <c r="E6" i="77"/>
  <c r="D6" i="77"/>
  <c r="F6" i="197"/>
  <c r="E6" i="197"/>
  <c r="F6" i="12"/>
  <c r="E6" i="12"/>
  <c r="E17" i="16"/>
  <c r="E8" i="151"/>
  <c r="D17" i="16"/>
  <c r="E10" i="151"/>
  <c r="H6" i="75"/>
  <c r="D20" i="79"/>
  <c r="C7" i="79"/>
  <c r="D8" i="79"/>
  <c r="F7" i="151"/>
  <c r="E36" i="76"/>
  <c r="F10" i="151"/>
  <c r="D7" i="79"/>
  <c r="E7" i="151"/>
  <c r="F9" i="151"/>
  <c r="F8" i="151"/>
  <c r="E9" i="151"/>
  <c r="F36" i="76"/>
  <c r="I6" i="75"/>
  <c r="C20" i="79"/>
  <c r="C8" i="79"/>
  <c r="J10450" i="3" l="1"/>
  <c r="I10450" i="3"/>
  <c r="H10450" i="3"/>
  <c r="D64" i="4" l="1"/>
  <c r="C64" i="4"/>
  <c r="C25" i="4"/>
  <c r="D25" i="4"/>
  <c r="C28" i="80"/>
  <c r="D28" i="80"/>
  <c r="E27" i="77"/>
  <c r="D27" i="77"/>
  <c r="E41" i="76"/>
  <c r="F41" i="76"/>
  <c r="G8" i="5"/>
  <c r="H8" i="5"/>
  <c r="D15" i="102"/>
  <c r="E15" i="102"/>
  <c r="E21" i="102"/>
  <c r="D21" i="102"/>
  <c r="D26" i="196"/>
  <c r="E26" i="196"/>
  <c r="E17" i="196"/>
  <c r="E20" i="196"/>
  <c r="E22" i="196"/>
  <c r="E23" i="196"/>
  <c r="D19" i="196"/>
  <c r="E14" i="196"/>
  <c r="D21" i="196"/>
  <c r="D11" i="196"/>
  <c r="E12" i="196"/>
  <c r="D20" i="196"/>
  <c r="D12" i="196"/>
  <c r="E21" i="196"/>
  <c r="D22" i="196"/>
  <c r="E11" i="196"/>
  <c r="D14" i="196"/>
  <c r="E13" i="196"/>
  <c r="D23" i="196"/>
  <c r="D17" i="196"/>
  <c r="E19" i="196"/>
  <c r="D13" i="196"/>
  <c r="E31" i="7"/>
  <c r="D31" i="7"/>
  <c r="D32" i="7"/>
  <c r="E32" i="7"/>
  <c r="H35" i="75"/>
  <c r="I35" i="75"/>
  <c r="I34" i="75"/>
  <c r="H34" i="75"/>
  <c r="E11" i="181"/>
  <c r="C6" i="9"/>
  <c r="D9" i="9"/>
  <c r="D11" i="136"/>
  <c r="D16" i="181"/>
  <c r="E30" i="181"/>
  <c r="E17" i="181"/>
  <c r="D30" i="181"/>
  <c r="D17" i="181"/>
  <c r="D6" i="9"/>
  <c r="E6" i="181"/>
  <c r="C9" i="9"/>
  <c r="D10" i="136"/>
  <c r="D6" i="181"/>
  <c r="E16" i="181"/>
  <c r="D10" i="9"/>
  <c r="C10" i="9"/>
  <c r="D6" i="136"/>
  <c r="D10" i="181"/>
  <c r="D11" i="9"/>
  <c r="C11" i="9"/>
  <c r="E10" i="181"/>
  <c r="C10" i="136"/>
  <c r="C8" i="136"/>
  <c r="D8" i="136"/>
  <c r="D9" i="181"/>
  <c r="D11" i="181"/>
  <c r="C11" i="136"/>
  <c r="C6" i="136"/>
  <c r="E9" i="181"/>
  <c r="E6" i="166"/>
  <c r="D6" i="153"/>
  <c r="D20" i="153"/>
  <c r="E20" i="165"/>
  <c r="E37" i="166"/>
  <c r="D45" i="166"/>
  <c r="E6" i="165"/>
  <c r="E6" i="153"/>
  <c r="E38" i="166"/>
  <c r="E20" i="166"/>
  <c r="D16" i="166"/>
  <c r="E45" i="166"/>
  <c r="E42" i="166"/>
  <c r="E44" i="166"/>
  <c r="D20" i="165"/>
  <c r="D37" i="166"/>
  <c r="D44" i="166"/>
  <c r="D38" i="166"/>
  <c r="E20" i="153"/>
  <c r="D6" i="166"/>
  <c r="D20" i="166"/>
  <c r="D42" i="166"/>
  <c r="E16" i="166"/>
  <c r="D6" i="165"/>
  <c r="E19" i="165"/>
  <c r="D19" i="165"/>
  <c r="D19" i="166"/>
  <c r="E19" i="166"/>
  <c r="D19" i="153"/>
  <c r="E19" i="153"/>
  <c r="D37" i="78"/>
  <c r="D35" i="78"/>
  <c r="C37" i="78"/>
  <c r="C35" i="78"/>
  <c r="D8" i="26"/>
  <c r="D14" i="26"/>
  <c r="I32" i="75"/>
  <c r="E72" i="26"/>
  <c r="D11" i="155"/>
  <c r="E30" i="196"/>
  <c r="C38" i="78"/>
  <c r="D38" i="78"/>
  <c r="E544" i="26"/>
  <c r="D45" i="158"/>
  <c r="E737" i="26"/>
  <c r="D13" i="26"/>
  <c r="E14" i="26"/>
  <c r="E13" i="26"/>
  <c r="E833" i="26"/>
  <c r="E32" i="193"/>
  <c r="E8" i="26"/>
  <c r="E31" i="177"/>
  <c r="E12" i="176"/>
  <c r="D514" i="26"/>
  <c r="C20" i="138"/>
  <c r="D25" i="193"/>
  <c r="D29" i="183"/>
  <c r="E18" i="178"/>
  <c r="E700" i="26"/>
  <c r="C9" i="147"/>
  <c r="D775" i="26"/>
  <c r="E104" i="26"/>
  <c r="C32" i="4"/>
  <c r="E10" i="159"/>
  <c r="H18" i="75"/>
  <c r="D27" i="144"/>
  <c r="E15" i="153"/>
  <c r="E42" i="163"/>
  <c r="C14" i="143"/>
  <c r="E20" i="163"/>
  <c r="E17" i="187"/>
  <c r="D31" i="165"/>
  <c r="E31" i="174"/>
  <c r="E26" i="170"/>
  <c r="E178" i="26"/>
  <c r="D25" i="173"/>
  <c r="D15" i="162"/>
  <c r="E20" i="189"/>
  <c r="D17" i="171"/>
  <c r="E147" i="26"/>
  <c r="D31" i="154"/>
  <c r="D39" i="188"/>
  <c r="E18" i="181"/>
  <c r="D30" i="157"/>
  <c r="D242" i="26"/>
  <c r="D26" i="191"/>
  <c r="E21" i="12"/>
  <c r="E13" i="76"/>
  <c r="E25" i="154"/>
  <c r="D12" i="193"/>
  <c r="E43" i="188"/>
  <c r="D30" i="7"/>
  <c r="D181" i="26"/>
  <c r="D9" i="190"/>
  <c r="E11" i="185"/>
  <c r="D146" i="26"/>
  <c r="D14" i="157"/>
  <c r="D528" i="26"/>
  <c r="E28" i="186"/>
  <c r="D602" i="26"/>
  <c r="D8" i="172"/>
  <c r="E11" i="161"/>
  <c r="E23" i="102"/>
  <c r="E12" i="153"/>
  <c r="E26" i="174"/>
  <c r="E655" i="26"/>
  <c r="D43" i="192"/>
  <c r="E10" i="162"/>
  <c r="E45" i="164"/>
  <c r="D9" i="159"/>
  <c r="E44" i="164"/>
  <c r="D27" i="181"/>
  <c r="D7" i="187"/>
  <c r="C16" i="146"/>
  <c r="D29" i="189"/>
  <c r="E25" i="193"/>
  <c r="E683" i="26"/>
  <c r="E461" i="26"/>
  <c r="D34" i="156"/>
  <c r="E45" i="165"/>
  <c r="D37" i="185"/>
  <c r="D16" i="142"/>
  <c r="E7" i="155"/>
  <c r="D797" i="26"/>
  <c r="D89" i="26"/>
  <c r="D20" i="102"/>
  <c r="C19" i="140"/>
  <c r="E469" i="26"/>
  <c r="D22" i="146"/>
  <c r="E40" i="26"/>
  <c r="D24" i="154"/>
  <c r="D34" i="194"/>
  <c r="D128" i="26"/>
  <c r="D9" i="161"/>
  <c r="E17" i="185"/>
  <c r="E24" i="181"/>
  <c r="E18" i="179"/>
  <c r="D10" i="141"/>
  <c r="E494" i="26"/>
  <c r="D728" i="26"/>
  <c r="D216" i="26"/>
  <c r="E22" i="7"/>
  <c r="D11" i="194"/>
  <c r="D24" i="143"/>
  <c r="D768" i="26"/>
  <c r="E17" i="179"/>
  <c r="D15" i="164"/>
  <c r="E27" i="166"/>
  <c r="E491" i="26"/>
  <c r="E44" i="162"/>
  <c r="D704" i="26"/>
  <c r="D43" i="4"/>
  <c r="D200" i="26"/>
  <c r="E20" i="161"/>
  <c r="E10" i="186"/>
  <c r="E18" i="185"/>
  <c r="D10" i="179"/>
  <c r="D35" i="194"/>
  <c r="D12" i="188"/>
  <c r="D19" i="161"/>
  <c r="E625" i="26"/>
  <c r="E33" i="157"/>
  <c r="C35" i="4"/>
  <c r="D59" i="4"/>
  <c r="E18" i="194"/>
  <c r="D26" i="148"/>
  <c r="E32" i="177"/>
  <c r="D29" i="160"/>
  <c r="E10" i="183"/>
  <c r="D309" i="26"/>
  <c r="C6" i="80"/>
  <c r="E23" i="192"/>
  <c r="E37" i="155"/>
  <c r="D778" i="26"/>
  <c r="D804" i="26"/>
  <c r="D6" i="158"/>
  <c r="D9" i="154"/>
  <c r="D41" i="7"/>
  <c r="D848" i="26"/>
  <c r="E48" i="26"/>
  <c r="E11" i="156"/>
  <c r="D13" i="194"/>
  <c r="C9" i="145"/>
  <c r="E281" i="26"/>
  <c r="E21" i="170"/>
  <c r="D16" i="187"/>
  <c r="D38" i="157"/>
  <c r="E117" i="26"/>
  <c r="D8" i="149"/>
  <c r="D43" i="16"/>
  <c r="E40" i="183"/>
  <c r="E15" i="169"/>
  <c r="D21" i="138"/>
  <c r="E16" i="187"/>
  <c r="D12" i="189"/>
  <c r="E695" i="26"/>
  <c r="D10" i="26"/>
  <c r="E36" i="192"/>
  <c r="E26" i="171"/>
  <c r="D23" i="160"/>
  <c r="D17" i="174"/>
  <c r="E22" i="185"/>
  <c r="E37" i="157"/>
  <c r="D7" i="166"/>
  <c r="E127" i="26"/>
  <c r="D23" i="180"/>
  <c r="E28" i="176"/>
  <c r="C6" i="144"/>
  <c r="E166" i="26"/>
  <c r="E538" i="26"/>
  <c r="E39" i="193"/>
  <c r="D456" i="26"/>
  <c r="E15" i="172"/>
  <c r="E468" i="26"/>
  <c r="D18" i="168"/>
  <c r="E18" i="189"/>
  <c r="E20" i="154"/>
  <c r="E725" i="26"/>
  <c r="D663" i="26"/>
  <c r="E21" i="172"/>
  <c r="D420" i="26"/>
  <c r="D567" i="26"/>
  <c r="D14" i="144"/>
  <c r="E19" i="178"/>
  <c r="D29" i="102"/>
  <c r="E396" i="26"/>
  <c r="D19" i="143"/>
  <c r="D26" i="165"/>
  <c r="E44" i="157"/>
  <c r="E29" i="102"/>
  <c r="D45" i="154"/>
  <c r="D19" i="182"/>
  <c r="D406" i="26"/>
  <c r="E10" i="164"/>
  <c r="D16" i="163"/>
  <c r="D7" i="183"/>
  <c r="E16" i="176"/>
  <c r="D15" i="188"/>
  <c r="E31" i="158"/>
  <c r="D147" i="26"/>
  <c r="C22" i="141"/>
  <c r="E44" i="193"/>
  <c r="D44" i="181"/>
  <c r="E29" i="169"/>
  <c r="E8" i="183"/>
  <c r="D19" i="186"/>
  <c r="E10" i="185"/>
  <c r="D12" i="142"/>
  <c r="D38" i="26"/>
  <c r="E18" i="165"/>
  <c r="D20" i="167"/>
  <c r="D23" i="166"/>
  <c r="E8" i="182"/>
  <c r="C26" i="140"/>
  <c r="D132" i="26"/>
  <c r="E30" i="162"/>
  <c r="E99" i="26"/>
  <c r="D28" i="155"/>
  <c r="D416" i="26"/>
  <c r="E541" i="26"/>
  <c r="D6" i="174"/>
  <c r="E732" i="26"/>
  <c r="D27" i="180"/>
  <c r="D12" i="4"/>
  <c r="D10" i="189"/>
  <c r="E118" i="26"/>
  <c r="D24" i="182"/>
  <c r="D13" i="173"/>
  <c r="D9" i="145"/>
  <c r="E27" i="191"/>
  <c r="D41" i="4"/>
  <c r="E542" i="26"/>
  <c r="D37" i="190"/>
  <c r="D409" i="26"/>
  <c r="D38" i="164"/>
  <c r="D564" i="26"/>
  <c r="E13" i="162"/>
  <c r="E32" i="157"/>
  <c r="D802" i="26"/>
  <c r="E24" i="16"/>
  <c r="D19" i="171"/>
  <c r="E25" i="165"/>
  <c r="I26" i="75"/>
  <c r="D24" i="78"/>
  <c r="D25" i="189"/>
  <c r="E14" i="154"/>
  <c r="D411" i="26"/>
  <c r="E22" i="179"/>
  <c r="E26" i="76"/>
  <c r="E27" i="165"/>
  <c r="D27" i="161"/>
  <c r="D539" i="26"/>
  <c r="D249" i="26"/>
  <c r="E14" i="193"/>
  <c r="E29" i="160"/>
  <c r="D8" i="191"/>
  <c r="E21" i="194"/>
  <c r="C19" i="136"/>
  <c r="E25" i="158"/>
  <c r="E42" i="153"/>
  <c r="D29" i="177"/>
  <c r="E16" i="169"/>
  <c r="D21" i="194"/>
  <c r="D565" i="26"/>
  <c r="D457" i="26"/>
  <c r="E677" i="26"/>
  <c r="D745" i="26"/>
  <c r="C9" i="141"/>
  <c r="D7" i="146"/>
  <c r="E824" i="26"/>
  <c r="E9" i="154"/>
  <c r="D20" i="157"/>
  <c r="E30" i="165"/>
  <c r="D504" i="26"/>
  <c r="D680" i="26"/>
  <c r="E35" i="193"/>
  <c r="D6" i="182"/>
  <c r="D9" i="176"/>
  <c r="E18" i="183"/>
  <c r="C20" i="147"/>
  <c r="E531" i="26"/>
  <c r="D23" i="177"/>
  <c r="D59" i="26"/>
  <c r="E472" i="26"/>
  <c r="E23" i="77"/>
  <c r="D27" i="153"/>
  <c r="E10" i="168"/>
  <c r="E12" i="177"/>
  <c r="D25" i="144"/>
  <c r="E16" i="172"/>
  <c r="E43" i="16"/>
  <c r="C39" i="4"/>
  <c r="E29" i="176"/>
  <c r="E830" i="26"/>
  <c r="E39" i="191"/>
  <c r="E28" i="162"/>
  <c r="E483" i="26"/>
  <c r="E26" i="26"/>
  <c r="D37" i="154"/>
  <c r="E10" i="157"/>
  <c r="D14" i="183"/>
  <c r="D31" i="158"/>
  <c r="D829" i="26"/>
  <c r="D27" i="143"/>
  <c r="E172" i="26"/>
  <c r="D34" i="162"/>
  <c r="D233" i="26"/>
  <c r="E30" i="194"/>
  <c r="E25" i="170"/>
  <c r="E22" i="177"/>
  <c r="D44" i="161"/>
  <c r="D426" i="26"/>
  <c r="E477" i="26"/>
  <c r="D36" i="165"/>
  <c r="E29" i="171"/>
  <c r="D664" i="26"/>
  <c r="E617" i="26"/>
  <c r="E20" i="186"/>
  <c r="D12" i="194"/>
  <c r="D34" i="7"/>
  <c r="D403" i="26"/>
  <c r="D6" i="186"/>
  <c r="D529" i="26"/>
  <c r="E12" i="170"/>
  <c r="C21" i="142"/>
  <c r="C12" i="145"/>
  <c r="D13" i="185"/>
  <c r="D37" i="183"/>
  <c r="D408" i="26"/>
  <c r="D12" i="148"/>
  <c r="E17" i="162"/>
  <c r="E462" i="26"/>
  <c r="D14" i="153"/>
  <c r="E339" i="26"/>
  <c r="D22" i="158"/>
  <c r="D15" i="77"/>
  <c r="D25" i="141"/>
  <c r="E215" i="26"/>
  <c r="D48" i="4"/>
  <c r="D11" i="188"/>
  <c r="D819" i="26"/>
  <c r="D19" i="102"/>
  <c r="E619" i="26"/>
  <c r="E35" i="186"/>
  <c r="D7" i="193"/>
  <c r="D24" i="189"/>
  <c r="D469" i="26"/>
  <c r="E16" i="102"/>
  <c r="E31" i="192"/>
  <c r="D13" i="167"/>
  <c r="E27" i="179"/>
  <c r="E17" i="169"/>
  <c r="F16" i="76"/>
  <c r="D18" i="142"/>
  <c r="D47" i="26"/>
  <c r="E27" i="158"/>
  <c r="D10" i="77"/>
  <c r="E250" i="26"/>
  <c r="D40" i="193"/>
  <c r="D777" i="26"/>
  <c r="D417" i="26"/>
  <c r="C16" i="80"/>
  <c r="E485" i="26"/>
  <c r="E125" i="26"/>
  <c r="E14" i="155"/>
  <c r="D8" i="179"/>
  <c r="C23" i="10"/>
  <c r="D12" i="149"/>
  <c r="E446" i="26"/>
  <c r="E13" i="175"/>
  <c r="D31" i="169"/>
  <c r="D36" i="194"/>
  <c r="D9" i="77"/>
  <c r="E27" i="189"/>
  <c r="D543" i="26"/>
  <c r="E27" i="180"/>
  <c r="E31" i="189"/>
  <c r="D16" i="136"/>
  <c r="D28" i="170"/>
  <c r="C14" i="138"/>
  <c r="C19" i="79"/>
  <c r="C11" i="142"/>
  <c r="E21" i="154"/>
  <c r="E16" i="168"/>
  <c r="C14" i="149"/>
  <c r="E738" i="26"/>
  <c r="E28" i="193"/>
  <c r="C18" i="139"/>
  <c r="C46" i="4"/>
  <c r="E682" i="26"/>
  <c r="E25" i="189"/>
  <c r="D18" i="175"/>
  <c r="D23" i="139"/>
  <c r="D26" i="163"/>
  <c r="E7" i="157"/>
  <c r="D15" i="7"/>
  <c r="D448" i="26"/>
  <c r="E451" i="26"/>
  <c r="D11" i="146"/>
  <c r="E25" i="169"/>
  <c r="E15" i="190"/>
  <c r="E34" i="158"/>
  <c r="D109" i="26"/>
  <c r="E16" i="158"/>
  <c r="D21" i="192"/>
  <c r="D828" i="26"/>
  <c r="D19" i="170"/>
  <c r="D574" i="26"/>
  <c r="H13" i="5"/>
  <c r="E613" i="26"/>
  <c r="E38" i="193"/>
  <c r="E123" i="26"/>
  <c r="C17" i="141"/>
  <c r="E31" i="176"/>
  <c r="E9" i="102"/>
  <c r="E28" i="102"/>
  <c r="D41" i="153"/>
  <c r="D148" i="26"/>
  <c r="E681" i="26"/>
  <c r="E38" i="188"/>
  <c r="C22" i="149"/>
  <c r="D21" i="168"/>
  <c r="E17" i="174"/>
  <c r="E766" i="26"/>
  <c r="D9" i="140"/>
  <c r="E39" i="153"/>
  <c r="D22" i="167"/>
  <c r="E35" i="187"/>
  <c r="D39" i="157"/>
  <c r="D151" i="26"/>
  <c r="E28" i="163"/>
  <c r="E29" i="191"/>
  <c r="E279" i="26"/>
  <c r="C23" i="142"/>
  <c r="D21" i="139"/>
  <c r="E40" i="193"/>
  <c r="E36" i="187"/>
  <c r="E9" i="167"/>
  <c r="C17" i="148"/>
  <c r="E7" i="167"/>
  <c r="C15" i="136"/>
  <c r="E135" i="26"/>
  <c r="F15" i="12"/>
  <c r="E8" i="181"/>
  <c r="E15" i="180"/>
  <c r="D17" i="190"/>
  <c r="E795" i="26"/>
  <c r="E9" i="192"/>
  <c r="D34" i="184"/>
  <c r="E74" i="26"/>
  <c r="D36" i="163"/>
  <c r="C18" i="145"/>
  <c r="D551" i="26"/>
  <c r="D28" i="161"/>
  <c r="E568" i="26"/>
  <c r="E41" i="185"/>
  <c r="D355" i="26"/>
  <c r="D23" i="19"/>
  <c r="E28" i="167"/>
  <c r="D42" i="154"/>
  <c r="E25" i="159"/>
  <c r="E13" i="170"/>
  <c r="C27" i="144"/>
  <c r="E120" i="26"/>
  <c r="D573" i="26"/>
  <c r="D255" i="26"/>
  <c r="E9" i="161"/>
  <c r="D24" i="77"/>
  <c r="D36" i="185"/>
  <c r="D32" i="161"/>
  <c r="E554" i="26"/>
  <c r="D288" i="26"/>
  <c r="C14" i="142"/>
  <c r="D9" i="175"/>
  <c r="E12" i="7"/>
  <c r="E13" i="183"/>
  <c r="E28" i="192"/>
  <c r="C7" i="141"/>
  <c r="E516" i="26"/>
  <c r="D749" i="26"/>
  <c r="E842" i="26"/>
  <c r="F30" i="76"/>
  <c r="E41" i="183"/>
  <c r="D17" i="185"/>
  <c r="D359" i="26"/>
  <c r="D37" i="188"/>
  <c r="D34" i="193"/>
  <c r="E43" i="7"/>
  <c r="E8" i="185"/>
  <c r="E704" i="26"/>
  <c r="E808" i="26"/>
  <c r="D19" i="177"/>
  <c r="E226" i="26"/>
  <c r="E501" i="26"/>
  <c r="D32" i="187"/>
  <c r="D700" i="26"/>
  <c r="D19" i="77"/>
  <c r="D9" i="172"/>
  <c r="D201" i="26"/>
  <c r="E161" i="26"/>
  <c r="D12" i="141"/>
  <c r="D40" i="161"/>
  <c r="D20" i="183"/>
  <c r="C26" i="80"/>
  <c r="D17" i="153"/>
  <c r="E37" i="165"/>
  <c r="C13" i="144"/>
  <c r="D11" i="192"/>
  <c r="D35" i="155"/>
  <c r="E30" i="189"/>
  <c r="E620" i="26"/>
  <c r="E18" i="184"/>
  <c r="C20" i="80"/>
  <c r="E565" i="26"/>
  <c r="C6" i="140"/>
  <c r="D96" i="26"/>
  <c r="D21" i="163"/>
  <c r="D38" i="165"/>
  <c r="D12" i="169"/>
  <c r="D42" i="165"/>
  <c r="D33" i="193"/>
  <c r="C12" i="143"/>
  <c r="E9" i="174"/>
  <c r="E25" i="182"/>
  <c r="E25" i="190"/>
  <c r="D36" i="158"/>
  <c r="D9" i="171"/>
  <c r="D27" i="178"/>
  <c r="D126" i="26"/>
  <c r="E133" i="26"/>
  <c r="F31" i="76"/>
  <c r="E825" i="26"/>
  <c r="D302" i="26"/>
  <c r="D29" i="168"/>
  <c r="E12" i="178"/>
  <c r="D14" i="184"/>
  <c r="D158" i="26"/>
  <c r="E16" i="77"/>
  <c r="C22" i="148"/>
  <c r="D570" i="26"/>
  <c r="D44" i="156"/>
  <c r="D7" i="77"/>
  <c r="D325" i="26"/>
  <c r="E12" i="182"/>
  <c r="D35" i="153"/>
  <c r="D19" i="26"/>
  <c r="E130" i="26"/>
  <c r="E327" i="26"/>
  <c r="E452" i="26"/>
  <c r="C27" i="149"/>
  <c r="C18" i="144"/>
  <c r="D225" i="26"/>
  <c r="E558" i="26"/>
  <c r="D23" i="164"/>
  <c r="D381" i="26"/>
  <c r="E580" i="26"/>
  <c r="D375" i="26"/>
  <c r="E13" i="158"/>
  <c r="D121" i="26"/>
  <c r="E445" i="26"/>
  <c r="E217" i="26"/>
  <c r="D33" i="185"/>
  <c r="C9" i="140"/>
  <c r="D8" i="80"/>
  <c r="D37" i="194"/>
  <c r="E15" i="188"/>
  <c r="E29" i="192"/>
  <c r="D30" i="182"/>
  <c r="D727" i="26"/>
  <c r="D20" i="141"/>
  <c r="E31" i="186"/>
  <c r="D13" i="139"/>
  <c r="D22" i="188"/>
  <c r="D23" i="159"/>
  <c r="E29" i="165"/>
  <c r="D33" i="163"/>
  <c r="D31" i="16"/>
  <c r="E18" i="180"/>
  <c r="D542" i="26"/>
  <c r="D12" i="77"/>
  <c r="E15" i="7"/>
  <c r="D25" i="186"/>
  <c r="D10" i="158"/>
  <c r="D14" i="16"/>
  <c r="D32" i="196"/>
  <c r="E517" i="26"/>
  <c r="E16" i="155"/>
  <c r="D31" i="163"/>
  <c r="D263" i="26"/>
  <c r="D44" i="182"/>
  <c r="D20" i="174"/>
  <c r="D31" i="164"/>
  <c r="E41" i="165"/>
  <c r="D675" i="26"/>
  <c r="D17" i="136"/>
  <c r="E24" i="189"/>
  <c r="D22" i="183"/>
  <c r="E20" i="167"/>
  <c r="E15" i="173"/>
  <c r="E20" i="156"/>
  <c r="D37" i="189"/>
  <c r="D9" i="178"/>
  <c r="E32" i="183"/>
  <c r="E13" i="169"/>
  <c r="E28" i="169"/>
  <c r="E20" i="174"/>
  <c r="E31" i="185"/>
  <c r="F11" i="12"/>
  <c r="D18" i="196"/>
  <c r="D40" i="78"/>
  <c r="D25" i="147"/>
  <c r="E394" i="26"/>
  <c r="F33" i="76"/>
  <c r="D25" i="168"/>
  <c r="E543" i="26"/>
  <c r="E315" i="26"/>
  <c r="D37" i="157"/>
  <c r="E35" i="161"/>
  <c r="D45" i="156"/>
  <c r="E350" i="26"/>
  <c r="E38" i="159"/>
  <c r="C16" i="143"/>
  <c r="E670" i="26"/>
  <c r="D376" i="26"/>
  <c r="D26" i="174"/>
  <c r="D32" i="169"/>
  <c r="E168" i="26"/>
  <c r="D23" i="156"/>
  <c r="E16" i="185"/>
  <c r="D8" i="184"/>
  <c r="E16" i="174"/>
  <c r="D840" i="26"/>
  <c r="D139" i="26"/>
  <c r="F10" i="197"/>
  <c r="D18" i="143"/>
  <c r="E242" i="26"/>
  <c r="D9" i="183"/>
  <c r="D507" i="26"/>
  <c r="D9" i="7"/>
  <c r="D19" i="173"/>
  <c r="E28" i="184"/>
  <c r="E322" i="26"/>
  <c r="E324" i="26"/>
  <c r="D395" i="26"/>
  <c r="D604" i="26"/>
  <c r="C39" i="78"/>
  <c r="D27" i="169"/>
  <c r="C15" i="149"/>
  <c r="E33" i="154"/>
  <c r="D22" i="139"/>
  <c r="E588" i="26"/>
  <c r="E187" i="26"/>
  <c r="E34" i="189"/>
  <c r="C12" i="139"/>
  <c r="D10" i="102"/>
  <c r="E32" i="176"/>
  <c r="D8" i="177"/>
  <c r="C38" i="4"/>
  <c r="E43" i="190"/>
  <c r="E29" i="158"/>
  <c r="E814" i="26"/>
  <c r="D29" i="190"/>
  <c r="E8" i="192"/>
  <c r="D600" i="26"/>
  <c r="D197" i="26"/>
  <c r="D11" i="162"/>
  <c r="D9" i="142"/>
  <c r="D14" i="145"/>
  <c r="E843" i="26"/>
  <c r="E206" i="26"/>
  <c r="D424" i="26"/>
  <c r="D12" i="139"/>
  <c r="D379" i="26"/>
  <c r="E41" i="155"/>
  <c r="D61" i="4"/>
  <c r="D29" i="172"/>
  <c r="D296" i="26"/>
  <c r="D38" i="181"/>
  <c r="D35" i="182"/>
  <c r="D18" i="102"/>
  <c r="E121" i="26"/>
  <c r="E10" i="196"/>
  <c r="E535" i="26"/>
  <c r="E111" i="26"/>
  <c r="D34" i="163"/>
  <c r="D13" i="4"/>
  <c r="D17" i="192"/>
  <c r="D13" i="188"/>
  <c r="D38" i="194"/>
  <c r="E33" i="191"/>
  <c r="D18" i="172"/>
  <c r="C17" i="146"/>
  <c r="E36" i="16"/>
  <c r="E43" i="185"/>
  <c r="F40" i="76"/>
  <c r="E18" i="173"/>
  <c r="E39" i="188"/>
  <c r="E13" i="191"/>
  <c r="D16" i="7"/>
  <c r="D340" i="26"/>
  <c r="E17" i="192"/>
  <c r="D16" i="137"/>
  <c r="E11" i="160"/>
  <c r="E26" i="168"/>
  <c r="E12" i="159"/>
  <c r="C16" i="144"/>
  <c r="C13" i="137"/>
  <c r="C20" i="143"/>
  <c r="D40" i="188"/>
  <c r="D54" i="26"/>
  <c r="E40" i="16"/>
  <c r="E30" i="76"/>
  <c r="E16" i="76"/>
  <c r="D26" i="189"/>
  <c r="C22" i="138"/>
  <c r="E591" i="26"/>
  <c r="D26" i="140"/>
  <c r="E35" i="166"/>
  <c r="D207" i="26"/>
  <c r="C11" i="139"/>
  <c r="D29" i="78"/>
  <c r="E37" i="187"/>
  <c r="E17" i="167"/>
  <c r="E479" i="26"/>
  <c r="E293" i="26"/>
  <c r="C23" i="141"/>
  <c r="E27" i="194"/>
  <c r="E28" i="196"/>
  <c r="E41" i="161"/>
  <c r="D572" i="26"/>
  <c r="D18" i="141"/>
  <c r="D24" i="153"/>
  <c r="D36" i="188"/>
  <c r="E23" i="188"/>
  <c r="D6" i="163"/>
  <c r="E31" i="26"/>
  <c r="D18" i="154"/>
  <c r="E567" i="26"/>
  <c r="D22" i="182"/>
  <c r="E294" i="26"/>
  <c r="D310" i="26"/>
  <c r="D7" i="196"/>
  <c r="E17" i="77"/>
  <c r="E19" i="158"/>
  <c r="E27" i="161"/>
  <c r="C24" i="148"/>
  <c r="D291" i="26"/>
  <c r="E330" i="26"/>
  <c r="D366" i="26"/>
  <c r="E7" i="164"/>
  <c r="I12" i="75"/>
  <c r="D17" i="184"/>
  <c r="E604" i="26"/>
  <c r="E205" i="26"/>
  <c r="E8" i="155"/>
  <c r="E37" i="161"/>
  <c r="E268" i="26"/>
  <c r="E374" i="26"/>
  <c r="E246" i="26"/>
  <c r="E748" i="26"/>
  <c r="D32" i="183"/>
  <c r="D44" i="16"/>
  <c r="E263" i="26"/>
  <c r="C23" i="149"/>
  <c r="D19" i="155"/>
  <c r="D33" i="183"/>
  <c r="D25" i="16"/>
  <c r="E25" i="157"/>
  <c r="E18" i="76"/>
  <c r="D25" i="160"/>
  <c r="D26" i="9"/>
  <c r="D17" i="157"/>
  <c r="E32" i="173"/>
  <c r="D34" i="159"/>
  <c r="D731" i="26"/>
  <c r="E27" i="169"/>
  <c r="D11" i="143"/>
  <c r="D300" i="26"/>
  <c r="H9" i="75"/>
  <c r="E382" i="26"/>
  <c r="D428" i="26"/>
  <c r="E148" i="26"/>
  <c r="D20" i="161"/>
  <c r="E679" i="26"/>
  <c r="D11" i="177"/>
  <c r="D39" i="156"/>
  <c r="D776" i="26"/>
  <c r="E26" i="188"/>
  <c r="E86" i="26"/>
  <c r="E8" i="197"/>
  <c r="E691" i="26"/>
  <c r="D46" i="26"/>
  <c r="D35" i="163"/>
  <c r="E496" i="26"/>
  <c r="E21" i="157"/>
  <c r="C23" i="18"/>
  <c r="E32" i="16"/>
  <c r="D6" i="20"/>
  <c r="E6" i="186"/>
  <c r="E7" i="181"/>
  <c r="E7" i="77"/>
  <c r="E6" i="162"/>
  <c r="E6" i="190"/>
  <c r="E6" i="184"/>
  <c r="E6" i="167"/>
  <c r="E805" i="26"/>
  <c r="C23" i="144"/>
  <c r="E16" i="192"/>
  <c r="C15" i="9"/>
  <c r="E18" i="162"/>
  <c r="C12" i="147"/>
  <c r="D688" i="26"/>
  <c r="D13" i="157"/>
  <c r="E17" i="163"/>
  <c r="D26" i="147"/>
  <c r="D38" i="182"/>
  <c r="D682" i="26"/>
  <c r="D203" i="26"/>
  <c r="E24" i="157"/>
  <c r="D43" i="183"/>
  <c r="E12" i="172"/>
  <c r="D41" i="166"/>
  <c r="E21" i="188"/>
  <c r="E37" i="159"/>
  <c r="D206" i="26"/>
  <c r="E233" i="26"/>
  <c r="D26" i="80"/>
  <c r="D8" i="174"/>
  <c r="D21" i="191"/>
  <c r="D22" i="179"/>
  <c r="D31" i="194"/>
  <c r="D425" i="26"/>
  <c r="D430" i="26"/>
  <c r="D13" i="137"/>
  <c r="E24" i="12"/>
  <c r="D35" i="159"/>
  <c r="E31" i="194"/>
  <c r="E403" i="26"/>
  <c r="C25" i="141"/>
  <c r="E13" i="77"/>
  <c r="D23" i="144"/>
  <c r="E11" i="76"/>
  <c r="E29" i="193"/>
  <c r="E20" i="171"/>
  <c r="E8" i="157"/>
  <c r="E30" i="185"/>
  <c r="D387" i="26"/>
  <c r="D142" i="26"/>
  <c r="D6" i="185"/>
  <c r="D41" i="154"/>
  <c r="E27" i="26"/>
  <c r="D11" i="170"/>
  <c r="D34" i="166"/>
  <c r="E32" i="188"/>
  <c r="D27" i="148"/>
  <c r="D9" i="169"/>
  <c r="E42" i="181"/>
  <c r="D6" i="19"/>
  <c r="D6" i="10"/>
  <c r="E6" i="159"/>
  <c r="F7" i="12"/>
  <c r="E6" i="171"/>
  <c r="E6" i="178"/>
  <c r="E7" i="76"/>
  <c r="E6" i="187"/>
  <c r="D14" i="148"/>
  <c r="E6" i="170"/>
  <c r="E6" i="158"/>
  <c r="E6" i="161"/>
  <c r="E6" i="156"/>
  <c r="E7" i="153"/>
  <c r="E6" i="194"/>
  <c r="D6" i="18"/>
  <c r="E6" i="182"/>
  <c r="D6" i="137"/>
  <c r="E6" i="154"/>
  <c r="E6" i="168"/>
  <c r="E6" i="174"/>
  <c r="E6" i="196"/>
  <c r="D7" i="136"/>
  <c r="E7" i="166"/>
  <c r="E25" i="183"/>
  <c r="E590" i="26"/>
  <c r="D41" i="165"/>
  <c r="D57" i="26"/>
  <c r="E521" i="26"/>
  <c r="D24" i="138"/>
  <c r="E32" i="186"/>
  <c r="D28" i="168"/>
  <c r="F12" i="197"/>
  <c r="D764" i="26"/>
  <c r="C26" i="143"/>
  <c r="E115" i="26"/>
  <c r="D27" i="174"/>
  <c r="D290" i="26"/>
  <c r="D518" i="26"/>
  <c r="E13" i="188"/>
  <c r="D39" i="192"/>
  <c r="D17" i="156"/>
  <c r="E724" i="26"/>
  <c r="E20" i="194"/>
  <c r="E43" i="181"/>
  <c r="D805" i="26"/>
  <c r="D19" i="145"/>
  <c r="E18" i="26"/>
  <c r="E44" i="16"/>
  <c r="D46" i="4"/>
  <c r="D25" i="194"/>
  <c r="E24" i="161"/>
  <c r="E97" i="26"/>
  <c r="E650" i="26"/>
  <c r="E729" i="26"/>
  <c r="D39" i="193"/>
  <c r="C8" i="78"/>
  <c r="E599" i="26"/>
  <c r="E300" i="26"/>
  <c r="E8" i="176"/>
  <c r="D29" i="182"/>
  <c r="E32" i="159"/>
  <c r="C17" i="149"/>
  <c r="D24" i="9"/>
  <c r="E7" i="187"/>
  <c r="D641" i="26"/>
  <c r="D42" i="159"/>
  <c r="E52" i="26"/>
  <c r="D370" i="26"/>
  <c r="D16" i="165"/>
  <c r="D27" i="184"/>
  <c r="D29" i="154"/>
  <c r="E299" i="26"/>
  <c r="E37" i="154"/>
  <c r="D42" i="78"/>
  <c r="D8" i="148"/>
  <c r="D670" i="26"/>
  <c r="D7" i="7"/>
  <c r="E561" i="26"/>
  <c r="C15" i="4"/>
  <c r="E32" i="154"/>
  <c r="C30" i="4"/>
  <c r="D827" i="26"/>
  <c r="D22" i="9"/>
  <c r="D659" i="26"/>
  <c r="D5" i="150"/>
  <c r="E6" i="7"/>
  <c r="E6" i="179"/>
  <c r="E6" i="155"/>
  <c r="E6" i="164"/>
  <c r="D6" i="146"/>
  <c r="D7" i="9"/>
  <c r="D18" i="174"/>
  <c r="E356" i="26"/>
  <c r="D13" i="171"/>
  <c r="E6" i="169"/>
  <c r="E6" i="175"/>
  <c r="E6" i="189"/>
  <c r="I7" i="75"/>
  <c r="F6" i="76"/>
  <c r="F6" i="151"/>
  <c r="E13" i="173"/>
  <c r="E26" i="165"/>
  <c r="D39" i="159"/>
  <c r="D92" i="26"/>
  <c r="F15" i="197"/>
  <c r="D14" i="4"/>
  <c r="D24" i="181"/>
  <c r="E23" i="159"/>
  <c r="E420" i="26"/>
  <c r="D473" i="26"/>
  <c r="D34" i="191"/>
  <c r="D33" i="16"/>
  <c r="D7" i="171"/>
  <c r="E12" i="193"/>
  <c r="D8" i="159"/>
  <c r="D22" i="78"/>
  <c r="D20" i="168"/>
  <c r="E23" i="172"/>
  <c r="D22" i="155"/>
  <c r="E25" i="177"/>
  <c r="D33" i="165"/>
  <c r="D645" i="26"/>
  <c r="D24" i="156"/>
  <c r="E638" i="26"/>
  <c r="E101" i="26"/>
  <c r="D19" i="194"/>
  <c r="D25" i="145"/>
  <c r="D27" i="164"/>
  <c r="E43" i="183"/>
  <c r="D24" i="161"/>
  <c r="D330" i="26"/>
  <c r="D16" i="80"/>
  <c r="E7" i="154"/>
  <c r="E809" i="26"/>
  <c r="D767" i="26"/>
  <c r="E98" i="26"/>
  <c r="D185" i="26"/>
  <c r="D10" i="165"/>
  <c r="E70" i="26"/>
  <c r="D34" i="155"/>
  <c r="D8" i="165"/>
  <c r="C12" i="142"/>
  <c r="E12" i="179"/>
  <c r="D13" i="9"/>
  <c r="D36" i="187"/>
  <c r="E428" i="26"/>
  <c r="D612" i="26"/>
  <c r="C21" i="149"/>
  <c r="E14" i="16"/>
  <c r="E33" i="183"/>
  <c r="E222" i="26"/>
  <c r="C11" i="149"/>
  <c r="D218" i="26"/>
  <c r="E16" i="178"/>
  <c r="D6" i="170"/>
  <c r="E9" i="193"/>
  <c r="C14" i="146"/>
  <c r="C18" i="149"/>
  <c r="E389" i="26"/>
  <c r="D20" i="137"/>
  <c r="D17" i="148"/>
  <c r="D31" i="191"/>
  <c r="D6" i="79"/>
  <c r="D7" i="4"/>
  <c r="E6" i="163"/>
  <c r="E6" i="193"/>
  <c r="E6" i="157"/>
  <c r="D6" i="138"/>
  <c r="E14" i="185"/>
  <c r="E22" i="16"/>
  <c r="D6" i="172"/>
  <c r="E6" i="177"/>
  <c r="E832" i="26"/>
  <c r="E29" i="159"/>
  <c r="C21" i="146"/>
  <c r="D6" i="147"/>
  <c r="E6" i="192"/>
  <c r="E6" i="183"/>
  <c r="E6" i="176"/>
  <c r="D6" i="80"/>
  <c r="D6" i="142"/>
  <c r="D6" i="145"/>
  <c r="H6" i="5"/>
  <c r="E40" i="156"/>
  <c r="D28" i="166"/>
  <c r="C24" i="138"/>
  <c r="E29" i="7"/>
  <c r="D20" i="7"/>
  <c r="D26" i="162"/>
  <c r="E337" i="26"/>
  <c r="C45" i="4"/>
  <c r="E17" i="189"/>
  <c r="E19" i="167"/>
  <c r="E22" i="173"/>
  <c r="D6" i="162"/>
  <c r="D498" i="26"/>
  <c r="D42" i="164"/>
  <c r="C26" i="138"/>
  <c r="D15" i="156"/>
  <c r="F27" i="76"/>
  <c r="E35" i="164"/>
  <c r="E601" i="26"/>
  <c r="D496" i="26"/>
  <c r="C24" i="137"/>
  <c r="N6" i="195"/>
  <c r="E19" i="191"/>
  <c r="E761" i="26"/>
  <c r="C59" i="4"/>
  <c r="E372" i="26"/>
  <c r="D38" i="159"/>
  <c r="D30" i="192"/>
  <c r="D15" i="174"/>
  <c r="E34" i="16"/>
  <c r="C22" i="9"/>
  <c r="E10" i="191"/>
  <c r="D294" i="26"/>
  <c r="D8" i="178"/>
  <c r="H26" i="75"/>
  <c r="D78" i="26"/>
  <c r="E38" i="189"/>
  <c r="C25" i="147"/>
  <c r="C5" i="150"/>
  <c r="D13" i="176"/>
  <c r="E40" i="164"/>
  <c r="D33" i="26"/>
  <c r="D9" i="137"/>
  <c r="D23" i="137"/>
  <c r="D35" i="161"/>
  <c r="E31" i="170"/>
  <c r="E34" i="187"/>
  <c r="D51" i="4"/>
  <c r="E32" i="167"/>
  <c r="E18" i="167"/>
  <c r="E287" i="26"/>
  <c r="E11" i="188"/>
  <c r="E26" i="153"/>
  <c r="D17" i="183"/>
  <c r="D20" i="191"/>
  <c r="D459" i="26"/>
  <c r="F20" i="76"/>
  <c r="E274" i="26"/>
  <c r="E28" i="166"/>
  <c r="E11" i="197"/>
  <c r="D11" i="186"/>
  <c r="D40" i="189"/>
  <c r="E24" i="153"/>
  <c r="D846" i="26"/>
  <c r="E24" i="188"/>
  <c r="E551" i="26"/>
  <c r="D791" i="26"/>
  <c r="D32" i="184"/>
  <c r="D39" i="155"/>
  <c r="D329" i="26"/>
  <c r="D22" i="186"/>
  <c r="E38" i="186"/>
  <c r="E35" i="189"/>
  <c r="D20" i="160"/>
  <c r="E18" i="186"/>
  <c r="D20" i="145"/>
  <c r="D8" i="167"/>
  <c r="E32" i="182"/>
  <c r="E177" i="26"/>
  <c r="D40" i="186"/>
  <c r="D10" i="156"/>
  <c r="D19" i="179"/>
  <c r="E800" i="26"/>
  <c r="C33" i="78"/>
  <c r="E199" i="26"/>
  <c r="E144" i="26"/>
  <c r="D13" i="102"/>
  <c r="E194" i="26"/>
  <c r="E23" i="166"/>
  <c r="E698" i="26"/>
  <c r="D752" i="26"/>
  <c r="E42" i="26"/>
  <c r="D27" i="160"/>
  <c r="C30" i="78"/>
  <c r="D43" i="7"/>
  <c r="D595" i="26"/>
  <c r="E23" i="186"/>
  <c r="E29" i="173"/>
  <c r="E13" i="160"/>
  <c r="D23" i="154"/>
  <c r="E783" i="26"/>
  <c r="D27" i="138"/>
  <c r="C31" i="78"/>
  <c r="D194" i="26"/>
  <c r="D30" i="184"/>
  <c r="E37" i="192"/>
  <c r="E807" i="26"/>
  <c r="E304" i="26"/>
  <c r="E13" i="164"/>
  <c r="E10" i="175"/>
  <c r="G15" i="5"/>
  <c r="C14" i="136"/>
  <c r="D14" i="138"/>
  <c r="D235" i="26"/>
  <c r="D29" i="16"/>
  <c r="D28" i="163"/>
  <c r="C17" i="139"/>
  <c r="I23" i="75"/>
  <c r="D18" i="159"/>
  <c r="D52" i="4"/>
  <c r="E12" i="160"/>
  <c r="D20" i="194"/>
  <c r="D22" i="16"/>
  <c r="D28" i="7"/>
  <c r="D405" i="26"/>
  <c r="E810" i="26"/>
  <c r="C9" i="143"/>
  <c r="D45" i="161"/>
  <c r="G17" i="5"/>
  <c r="D63" i="26"/>
  <c r="E29" i="153"/>
  <c r="E395" i="26"/>
  <c r="D16" i="185"/>
  <c r="E11" i="166"/>
  <c r="D16" i="9"/>
  <c r="E25" i="173"/>
  <c r="E42" i="159"/>
  <c r="D42" i="160"/>
  <c r="D851" i="26"/>
  <c r="D772" i="26"/>
  <c r="C11" i="147"/>
  <c r="E10" i="171"/>
  <c r="E640" i="26"/>
  <c r="E298" i="26"/>
  <c r="D7" i="138"/>
  <c r="D22" i="168"/>
  <c r="E27" i="177"/>
  <c r="D7" i="188"/>
  <c r="D17" i="149"/>
  <c r="E236" i="26"/>
  <c r="E34" i="183"/>
  <c r="D13" i="174"/>
  <c r="D16" i="149"/>
  <c r="D27" i="172"/>
  <c r="D20" i="26"/>
  <c r="D18" i="184"/>
  <c r="D28" i="175"/>
  <c r="E463" i="26"/>
  <c r="E505" i="26"/>
  <c r="D25" i="182"/>
  <c r="D6" i="78"/>
  <c r="E480" i="26"/>
  <c r="E15" i="175"/>
  <c r="E153" i="26"/>
  <c r="E11" i="162"/>
  <c r="C10" i="149"/>
  <c r="E404" i="26"/>
  <c r="C16" i="139"/>
  <c r="E775" i="26"/>
  <c r="D8" i="196"/>
  <c r="E584" i="26"/>
  <c r="C7" i="149"/>
  <c r="D37" i="181"/>
  <c r="D29" i="174"/>
  <c r="E15" i="77"/>
  <c r="D23" i="169"/>
  <c r="D39" i="189"/>
  <c r="D511" i="26"/>
  <c r="E7" i="165"/>
  <c r="D6" i="141"/>
  <c r="D53" i="4"/>
  <c r="D27" i="16"/>
  <c r="D15" i="16"/>
  <c r="E27" i="188"/>
  <c r="D36" i="159"/>
  <c r="E39" i="187"/>
  <c r="D13" i="193"/>
  <c r="D21" i="170"/>
  <c r="D12" i="192"/>
  <c r="D293" i="26"/>
  <c r="E19" i="154"/>
  <c r="C18" i="148"/>
  <c r="D7" i="194"/>
  <c r="D665" i="26"/>
  <c r="D39" i="160"/>
  <c r="D16" i="77"/>
  <c r="D16" i="184"/>
  <c r="H25" i="75"/>
  <c r="C11" i="143"/>
  <c r="C13" i="9"/>
  <c r="E13" i="184"/>
  <c r="E21" i="168"/>
  <c r="C6" i="138"/>
  <c r="E364" i="26"/>
  <c r="E12" i="16"/>
  <c r="D8" i="181"/>
  <c r="E26" i="157"/>
  <c r="D21" i="166"/>
  <c r="D774" i="26"/>
  <c r="E9" i="158"/>
  <c r="D685" i="26"/>
  <c r="F29" i="76"/>
  <c r="D227" i="26"/>
  <c r="D16" i="145"/>
  <c r="E13" i="187"/>
  <c r="D15" i="172"/>
  <c r="E24" i="191"/>
  <c r="D19" i="137"/>
  <c r="C15" i="143"/>
  <c r="D18" i="144"/>
  <c r="E33" i="153"/>
  <c r="D28" i="189"/>
  <c r="C19" i="146"/>
  <c r="D29" i="191"/>
  <c r="D23" i="158"/>
  <c r="E14" i="153"/>
  <c r="D10" i="184"/>
  <c r="D794" i="26"/>
  <c r="C12" i="137"/>
  <c r="D24" i="141"/>
  <c r="F11" i="76"/>
  <c r="D205" i="26"/>
  <c r="E851" i="26"/>
  <c r="D32" i="182"/>
  <c r="E341" i="26"/>
  <c r="E44" i="187"/>
  <c r="D18" i="137"/>
  <c r="C22" i="140"/>
  <c r="E493" i="26"/>
  <c r="E157" i="26"/>
  <c r="D34" i="185"/>
  <c r="D25" i="9"/>
  <c r="E7" i="183"/>
  <c r="E9" i="172"/>
  <c r="D24" i="149"/>
  <c r="E360" i="26"/>
  <c r="D29" i="164"/>
  <c r="D19" i="191"/>
  <c r="C27" i="4"/>
  <c r="E579" i="26"/>
  <c r="E665" i="26"/>
  <c r="D23" i="178"/>
  <c r="E34" i="76"/>
  <c r="D7" i="140"/>
  <c r="E23" i="155"/>
  <c r="C16" i="141"/>
  <c r="D6" i="180"/>
  <c r="D36" i="154"/>
  <c r="D12" i="182"/>
  <c r="D526" i="26"/>
  <c r="D13" i="144"/>
  <c r="D13" i="153"/>
  <c r="C18" i="141"/>
  <c r="D12" i="160"/>
  <c r="E139" i="26"/>
  <c r="E208" i="26"/>
  <c r="E39" i="194"/>
  <c r="E577" i="26"/>
  <c r="D364" i="26"/>
  <c r="D24" i="7"/>
  <c r="D29" i="193"/>
  <c r="E17" i="188"/>
  <c r="E35" i="182"/>
  <c r="E40" i="189"/>
  <c r="E23" i="175"/>
  <c r="D13" i="78"/>
  <c r="E247" i="26"/>
  <c r="D16" i="156"/>
  <c r="C15" i="141"/>
  <c r="D12" i="143"/>
  <c r="C11" i="148"/>
  <c r="D32" i="179"/>
  <c r="D22" i="177"/>
  <c r="E484" i="26"/>
  <c r="E333" i="26"/>
  <c r="D18" i="188"/>
  <c r="E27" i="173"/>
  <c r="E14" i="77"/>
  <c r="D736" i="26"/>
  <c r="E612" i="26"/>
  <c r="D16" i="146"/>
  <c r="E18" i="102"/>
  <c r="C25" i="9"/>
  <c r="D29" i="180"/>
  <c r="D620" i="26"/>
  <c r="C13" i="78"/>
  <c r="C60" i="4"/>
  <c r="C7" i="4"/>
  <c r="D725" i="26"/>
  <c r="E20" i="180"/>
  <c r="C14" i="145"/>
  <c r="D622" i="26"/>
  <c r="E7" i="186"/>
  <c r="E25" i="162"/>
  <c r="D38" i="7"/>
  <c r="E546" i="26"/>
  <c r="D502" i="26"/>
  <c r="D374" i="26"/>
  <c r="D26" i="143"/>
  <c r="D25" i="179"/>
  <c r="E38" i="156"/>
  <c r="E26" i="154"/>
  <c r="D210" i="26"/>
  <c r="D14" i="182"/>
  <c r="D11" i="147"/>
  <c r="D31" i="153"/>
  <c r="E338" i="26"/>
  <c r="D13" i="164"/>
  <c r="D460" i="26"/>
  <c r="D718" i="26"/>
  <c r="E40" i="192"/>
  <c r="H21" i="75"/>
  <c r="D11" i="142"/>
  <c r="D229" i="26"/>
  <c r="E782" i="26"/>
  <c r="E39" i="156"/>
  <c r="E19" i="171"/>
  <c r="E27" i="160"/>
  <c r="E31" i="154"/>
  <c r="D32" i="156"/>
  <c r="E803" i="26"/>
  <c r="D42" i="4"/>
  <c r="D22" i="178"/>
  <c r="D17" i="178"/>
  <c r="D12" i="178"/>
  <c r="E17" i="170"/>
  <c r="D27" i="157"/>
  <c r="D28" i="172"/>
  <c r="E571" i="26"/>
  <c r="F21" i="12"/>
  <c r="D6" i="139"/>
  <c r="E6" i="185"/>
  <c r="D6" i="144"/>
  <c r="E6" i="172"/>
  <c r="E6" i="173"/>
  <c r="D26" i="7"/>
  <c r="E45" i="155"/>
  <c r="C11" i="145"/>
  <c r="D6" i="7"/>
  <c r="E657" i="26"/>
  <c r="D54" i="4"/>
  <c r="E20" i="184"/>
  <c r="E685" i="26"/>
  <c r="E765" i="26"/>
  <c r="E43" i="184"/>
  <c r="D19" i="154"/>
  <c r="E19" i="188"/>
  <c r="E14" i="161"/>
  <c r="E822" i="26"/>
  <c r="E6" i="191"/>
  <c r="D27" i="175"/>
  <c r="D33" i="160"/>
  <c r="E742" i="26"/>
  <c r="D10" i="140"/>
  <c r="E19" i="12"/>
  <c r="D41" i="163"/>
  <c r="D246" i="26"/>
  <c r="C7" i="78"/>
  <c r="D17" i="7"/>
  <c r="D6" i="143"/>
  <c r="D6" i="149"/>
  <c r="D6" i="140"/>
  <c r="E6" i="180"/>
  <c r="F7" i="197"/>
  <c r="E6" i="188"/>
  <c r="E7" i="102"/>
  <c r="D35" i="158"/>
  <c r="D22" i="143"/>
  <c r="C29" i="4"/>
  <c r="D22" i="156"/>
  <c r="E21" i="156"/>
  <c r="D43" i="182"/>
  <c r="D28" i="184"/>
  <c r="D10" i="79"/>
  <c r="D7" i="102"/>
  <c r="D23" i="142"/>
  <c r="C27" i="143"/>
  <c r="D67" i="26"/>
  <c r="D18" i="183"/>
  <c r="C12" i="136"/>
  <c r="E113" i="26"/>
  <c r="E611" i="26"/>
  <c r="E26" i="177"/>
  <c r="E40" i="165"/>
  <c r="D12" i="168"/>
  <c r="E37" i="186"/>
  <c r="D9" i="153"/>
  <c r="D39" i="162"/>
  <c r="C19" i="9"/>
  <c r="D26" i="157"/>
  <c r="D444" i="26"/>
  <c r="D115" i="26"/>
  <c r="D43" i="188"/>
  <c r="E15" i="171"/>
  <c r="E28" i="188"/>
  <c r="D9" i="196"/>
  <c r="E136" i="26"/>
  <c r="D550" i="26"/>
  <c r="E27" i="76"/>
  <c r="D8" i="9"/>
  <c r="D23" i="78"/>
  <c r="E38" i="160"/>
  <c r="D28" i="177"/>
  <c r="E26" i="169"/>
  <c r="D21" i="146"/>
  <c r="D42" i="157"/>
  <c r="D306" i="26"/>
  <c r="E13" i="180"/>
  <c r="E11" i="189"/>
  <c r="E22" i="12"/>
  <c r="I13" i="75"/>
  <c r="E15" i="177"/>
  <c r="D35" i="166"/>
  <c r="E297" i="26"/>
  <c r="D57" i="4"/>
  <c r="E29" i="162"/>
  <c r="E235" i="26"/>
  <c r="D114" i="26"/>
  <c r="E38" i="26"/>
  <c r="E11" i="158"/>
  <c r="D297" i="26"/>
  <c r="E190" i="26"/>
  <c r="D13" i="77"/>
  <c r="E16" i="156"/>
  <c r="D87" i="26"/>
  <c r="D45" i="159"/>
  <c r="D39" i="16"/>
  <c r="D20" i="142"/>
  <c r="D193" i="26"/>
  <c r="D30" i="153"/>
  <c r="D28" i="187"/>
  <c r="D8" i="7"/>
  <c r="E24" i="159"/>
  <c r="E309" i="26"/>
  <c r="E23" i="181"/>
  <c r="C21" i="136"/>
  <c r="E18" i="158"/>
  <c r="D761" i="26"/>
  <c r="D13" i="182"/>
  <c r="D815" i="26"/>
  <c r="D191" i="26"/>
  <c r="E14" i="192"/>
  <c r="D25" i="177"/>
  <c r="E519" i="26"/>
  <c r="C15" i="78"/>
  <c r="E27" i="156"/>
  <c r="E41" i="159"/>
  <c r="F13" i="12"/>
  <c r="D806" i="26"/>
  <c r="C18" i="80"/>
  <c r="C12" i="144"/>
  <c r="D30" i="187"/>
  <c r="E40" i="153"/>
  <c r="E37" i="183"/>
  <c r="E42" i="7"/>
  <c r="E509" i="26"/>
  <c r="E9" i="171"/>
  <c r="E20" i="155"/>
  <c r="E30" i="155"/>
  <c r="F38" i="76"/>
  <c r="D14" i="158"/>
  <c r="D8" i="189"/>
  <c r="D15" i="139"/>
  <c r="D8" i="182"/>
  <c r="C16" i="9"/>
  <c r="D8" i="163"/>
  <c r="D23" i="194"/>
  <c r="D449" i="26"/>
  <c r="D38" i="192"/>
  <c r="D8" i="146"/>
  <c r="C10" i="137"/>
  <c r="D8" i="157"/>
  <c r="E21" i="182"/>
  <c r="E24" i="163"/>
  <c r="E31" i="173"/>
  <c r="E8" i="160"/>
  <c r="E37" i="160"/>
  <c r="D23" i="181"/>
  <c r="D258" i="26"/>
  <c r="D31" i="167"/>
  <c r="D19" i="175"/>
  <c r="D812" i="26"/>
  <c r="E489" i="26"/>
  <c r="C25" i="139"/>
  <c r="E515" i="26"/>
  <c r="C17" i="9"/>
  <c r="E10" i="177"/>
  <c r="D40" i="185"/>
  <c r="D28" i="192"/>
  <c r="E38" i="161"/>
  <c r="D32" i="102"/>
  <c r="D16" i="182"/>
  <c r="E36" i="188"/>
  <c r="C9" i="138"/>
  <c r="D20" i="138"/>
  <c r="D41" i="164"/>
  <c r="E31" i="162"/>
  <c r="D10" i="193"/>
  <c r="D168" i="26"/>
  <c r="D30" i="154"/>
  <c r="D629" i="26"/>
  <c r="D7" i="144"/>
  <c r="D396" i="26"/>
  <c r="E831" i="26"/>
  <c r="E30" i="164"/>
  <c r="D6" i="155"/>
  <c r="D35" i="154"/>
  <c r="E37" i="189"/>
  <c r="D27" i="137"/>
  <c r="D27" i="194"/>
  <c r="D11" i="148"/>
  <c r="E20" i="158"/>
  <c r="E32" i="156"/>
  <c r="D17" i="145"/>
  <c r="D248" i="26"/>
  <c r="D36" i="155"/>
  <c r="D435" i="26"/>
  <c r="D14" i="191"/>
  <c r="D14" i="187"/>
  <c r="D27" i="173"/>
  <c r="D26" i="175"/>
  <c r="D259" i="26"/>
  <c r="D474" i="26"/>
  <c r="C8" i="143"/>
  <c r="D12" i="153"/>
  <c r="D26" i="78"/>
  <c r="E28" i="185"/>
  <c r="D7" i="176"/>
  <c r="D31" i="185"/>
  <c r="E779" i="26"/>
  <c r="C18" i="136"/>
  <c r="E21" i="163"/>
  <c r="E12" i="174"/>
  <c r="D292" i="26"/>
  <c r="D21" i="165"/>
  <c r="E188" i="26"/>
  <c r="E260" i="26"/>
  <c r="E26" i="160"/>
  <c r="C18" i="147"/>
  <c r="E19" i="157"/>
  <c r="D159" i="26"/>
  <c r="D75" i="26"/>
  <c r="F7" i="76"/>
  <c r="E13" i="178"/>
  <c r="D11" i="166"/>
  <c r="E635" i="26"/>
  <c r="D627" i="26"/>
  <c r="D524" i="26"/>
  <c r="E799" i="26"/>
  <c r="D44" i="158"/>
  <c r="D8" i="102"/>
  <c r="D15" i="161"/>
  <c r="D11" i="138"/>
  <c r="E634" i="26"/>
  <c r="C10" i="141"/>
  <c r="E21" i="192"/>
  <c r="D50" i="26"/>
  <c r="D322" i="26"/>
  <c r="D790" i="26"/>
  <c r="E22" i="172"/>
  <c r="E75" i="26"/>
  <c r="D796" i="26"/>
  <c r="D31" i="181"/>
  <c r="D31" i="157"/>
  <c r="C11" i="79"/>
  <c r="E19" i="161"/>
  <c r="E28" i="164"/>
  <c r="D23" i="176"/>
  <c r="E35" i="26"/>
  <c r="D489" i="26"/>
  <c r="D27" i="142"/>
  <c r="C16" i="148"/>
  <c r="E7" i="180"/>
  <c r="D11" i="189"/>
  <c r="E50" i="26"/>
  <c r="E320" i="26"/>
  <c r="D38" i="193"/>
  <c r="E10" i="178"/>
  <c r="E24" i="182"/>
  <c r="E310" i="26"/>
  <c r="E7" i="177"/>
  <c r="E787" i="26"/>
  <c r="C65" i="4"/>
  <c r="F24" i="76"/>
  <c r="D14" i="78"/>
  <c r="D13" i="191"/>
  <c r="D7" i="192"/>
  <c r="E12" i="188"/>
  <c r="E26" i="155"/>
  <c r="E13" i="197"/>
  <c r="D26" i="169"/>
  <c r="E38" i="192"/>
  <c r="E28" i="161"/>
  <c r="E13" i="154"/>
  <c r="E23" i="169"/>
  <c r="D38" i="153"/>
  <c r="D13" i="187"/>
  <c r="C28" i="4"/>
  <c r="I15" i="75"/>
  <c r="E34" i="181"/>
  <c r="D39" i="184"/>
  <c r="D786" i="26"/>
  <c r="E500" i="26"/>
  <c r="D582" i="26"/>
  <c r="D14" i="166"/>
  <c r="D11" i="163"/>
  <c r="E308" i="26"/>
  <c r="E28" i="154"/>
  <c r="D9" i="136"/>
  <c r="E454" i="26"/>
  <c r="E22" i="171"/>
  <c r="D11" i="157"/>
  <c r="D25" i="137"/>
  <c r="E11" i="174"/>
  <c r="C9" i="148"/>
  <c r="D99" i="26"/>
  <c r="D18" i="156"/>
  <c r="D6" i="187"/>
  <c r="E756" i="26"/>
  <c r="D30" i="191"/>
  <c r="D23" i="173"/>
  <c r="E23" i="171"/>
  <c r="C26" i="9"/>
  <c r="D34" i="158"/>
  <c r="F10" i="76"/>
  <c r="E158" i="26"/>
  <c r="D20" i="80"/>
  <c r="D17" i="9"/>
  <c r="D24" i="185"/>
  <c r="E436" i="26"/>
  <c r="D213" i="26"/>
  <c r="D319" i="26"/>
  <c r="E13" i="177"/>
  <c r="D20" i="78"/>
  <c r="D34" i="160"/>
  <c r="D26" i="186"/>
  <c r="E8" i="179"/>
  <c r="D29" i="184"/>
  <c r="C12" i="9"/>
  <c r="D39" i="186"/>
  <c r="D16" i="171"/>
  <c r="E45" i="158"/>
  <c r="D39" i="154"/>
  <c r="E503" i="26"/>
  <c r="D12" i="191"/>
  <c r="D20" i="182"/>
  <c r="E25" i="161"/>
  <c r="D25" i="183"/>
  <c r="E283" i="26"/>
  <c r="E43" i="186"/>
  <c r="D26" i="136"/>
  <c r="E31" i="161"/>
  <c r="C8" i="142"/>
  <c r="E33" i="7"/>
  <c r="D26" i="182"/>
  <c r="F19" i="76"/>
  <c r="E633" i="26"/>
  <c r="E230" i="26"/>
  <c r="D32" i="159"/>
  <c r="E13" i="182"/>
  <c r="E769" i="26"/>
  <c r="D630" i="26"/>
  <c r="D750" i="26"/>
  <c r="C23" i="145"/>
  <c r="H8" i="75"/>
  <c r="D28" i="191"/>
  <c r="D759" i="26"/>
  <c r="E41" i="163"/>
  <c r="D533" i="26"/>
  <c r="D17" i="155"/>
  <c r="C15" i="146"/>
  <c r="E21" i="7"/>
  <c r="D14" i="155"/>
  <c r="E12" i="175"/>
  <c r="E285" i="26"/>
  <c r="D609" i="26"/>
  <c r="D37" i="163"/>
  <c r="D16" i="147"/>
  <c r="D30" i="166"/>
  <c r="E8" i="168"/>
  <c r="D262" i="26"/>
  <c r="E481" i="26"/>
  <c r="E179" i="26"/>
  <c r="D44" i="187"/>
  <c r="D801" i="26"/>
  <c r="D18" i="190"/>
  <c r="D9" i="189"/>
  <c r="D20" i="172"/>
  <c r="E27" i="190"/>
  <c r="D614" i="26"/>
  <c r="D16" i="169"/>
  <c r="D13" i="190"/>
  <c r="D104" i="26"/>
  <c r="E27" i="175"/>
  <c r="D7" i="153"/>
  <c r="D243" i="26"/>
  <c r="E21" i="177"/>
  <c r="D23" i="77"/>
  <c r="C7" i="147"/>
  <c r="E203" i="26"/>
  <c r="D144" i="26"/>
  <c r="D12" i="181"/>
  <c r="C23" i="78"/>
  <c r="E31" i="156"/>
  <c r="E40" i="187"/>
  <c r="D34" i="157"/>
  <c r="E7" i="175"/>
  <c r="D251" i="26"/>
  <c r="E9" i="188"/>
  <c r="D33" i="166"/>
  <c r="E33" i="155"/>
  <c r="D603" i="26"/>
  <c r="E31" i="168"/>
  <c r="C15" i="145"/>
  <c r="C23" i="80"/>
  <c r="E318" i="26"/>
  <c r="D678" i="26"/>
  <c r="D31" i="188"/>
  <c r="I9" i="75"/>
  <c r="E41" i="184"/>
  <c r="E19" i="189"/>
  <c r="D32" i="193"/>
  <c r="E31" i="180"/>
  <c r="D361" i="26"/>
  <c r="C13" i="148"/>
  <c r="C12" i="78"/>
  <c r="D27" i="188"/>
  <c r="C13" i="139"/>
  <c r="E198" i="26"/>
  <c r="E371" i="26"/>
  <c r="E10" i="187"/>
  <c r="E11" i="172"/>
  <c r="E13" i="157"/>
  <c r="C29" i="78"/>
  <c r="E9" i="7"/>
  <c r="D27" i="189"/>
  <c r="D12" i="138"/>
  <c r="E33" i="194"/>
  <c r="D9" i="165"/>
  <c r="D7" i="168"/>
  <c r="E660" i="26"/>
  <c r="D20" i="158"/>
  <c r="I27" i="75"/>
  <c r="D14" i="140"/>
  <c r="E266" i="26"/>
  <c r="D23" i="20"/>
  <c r="E13" i="166"/>
  <c r="D39" i="166"/>
  <c r="C42" i="78"/>
  <c r="D37" i="159"/>
  <c r="E41" i="154"/>
  <c r="E11" i="184"/>
  <c r="E36" i="157"/>
  <c r="I29" i="75"/>
  <c r="D33" i="157"/>
  <c r="E32" i="161"/>
  <c r="E20" i="76"/>
  <c r="D10" i="162"/>
  <c r="E311" i="26"/>
  <c r="E16" i="167"/>
  <c r="E169" i="26"/>
  <c r="E12" i="154"/>
  <c r="E27" i="159"/>
  <c r="D15" i="79"/>
  <c r="C67" i="4"/>
  <c r="D838" i="26"/>
  <c r="D13" i="147"/>
  <c r="D56" i="26"/>
  <c r="E28" i="178"/>
  <c r="E39" i="155"/>
  <c r="D40" i="158"/>
  <c r="E427" i="26"/>
  <c r="E34" i="184"/>
  <c r="D215" i="26"/>
  <c r="E540" i="26"/>
  <c r="E16" i="7"/>
  <c r="D16" i="102"/>
  <c r="E15" i="197"/>
  <c r="D15" i="160"/>
  <c r="E30" i="156"/>
  <c r="D24" i="80"/>
  <c r="D34" i="189"/>
  <c r="E39" i="185"/>
  <c r="E24" i="190"/>
  <c r="D44" i="191"/>
  <c r="D44" i="160"/>
  <c r="C20" i="137"/>
  <c r="E131" i="26"/>
  <c r="D25" i="188"/>
  <c r="E23" i="179"/>
  <c r="D33" i="181"/>
  <c r="D8" i="194"/>
  <c r="E29" i="189"/>
  <c r="D14" i="7"/>
  <c r="E15" i="160"/>
  <c r="D266" i="26"/>
  <c r="D669" i="26"/>
  <c r="E15" i="167"/>
  <c r="E26" i="163"/>
  <c r="D244" i="26"/>
  <c r="E24" i="183"/>
  <c r="D808" i="26"/>
  <c r="E8" i="174"/>
  <c r="D9" i="79"/>
  <c r="E32" i="181"/>
  <c r="D42" i="163"/>
  <c r="D11" i="137"/>
  <c r="E34" i="162"/>
  <c r="E31" i="178"/>
  <c r="D21" i="26"/>
  <c r="D38" i="186"/>
  <c r="E18" i="7"/>
  <c r="E23" i="164"/>
  <c r="D39" i="164"/>
  <c r="E9" i="170"/>
  <c r="D15" i="185"/>
  <c r="E150" i="26"/>
  <c r="D39" i="158"/>
  <c r="E227" i="26"/>
  <c r="E331" i="26"/>
  <c r="D484" i="26"/>
  <c r="D12" i="80"/>
  <c r="D32" i="175"/>
  <c r="D28" i="182"/>
  <c r="E31" i="191"/>
  <c r="D32" i="172"/>
  <c r="D10" i="160"/>
  <c r="E413" i="26"/>
  <c r="E313" i="26"/>
  <c r="I10" i="75"/>
  <c r="D653" i="26"/>
  <c r="E40" i="158"/>
  <c r="D26" i="137"/>
  <c r="D15" i="170"/>
  <c r="C6" i="18"/>
  <c r="D6" i="173"/>
  <c r="E8" i="156"/>
  <c r="E21" i="173"/>
  <c r="E10" i="190"/>
  <c r="E12" i="189"/>
  <c r="C50" i="4"/>
  <c r="E15" i="163"/>
  <c r="E17" i="159"/>
  <c r="D153" i="26"/>
  <c r="F14" i="76"/>
  <c r="D10" i="187"/>
  <c r="E367" i="26"/>
  <c r="E33" i="164"/>
  <c r="E19" i="169"/>
  <c r="C23" i="137"/>
  <c r="D27" i="156"/>
  <c r="D44" i="165"/>
  <c r="D40" i="156"/>
  <c r="D723" i="26"/>
  <c r="D16" i="186"/>
  <c r="F21" i="76"/>
  <c r="D38" i="158"/>
  <c r="D23" i="187"/>
  <c r="D22" i="189"/>
  <c r="I14" i="75"/>
  <c r="D36" i="181"/>
  <c r="D110" i="26"/>
  <c r="E31" i="179"/>
  <c r="C14" i="79"/>
  <c r="D10" i="142"/>
  <c r="E38" i="153"/>
  <c r="D31" i="161"/>
  <c r="C18" i="142"/>
  <c r="D18" i="191"/>
  <c r="D93" i="26"/>
  <c r="D18" i="169"/>
  <c r="E16" i="175"/>
  <c r="E27" i="186"/>
  <c r="D710" i="26"/>
  <c r="D24" i="188"/>
  <c r="D662" i="26"/>
  <c r="D21" i="148"/>
  <c r="C14" i="141"/>
  <c r="D304" i="26"/>
  <c r="D810" i="26"/>
  <c r="E29" i="156"/>
  <c r="C20" i="142"/>
  <c r="E29" i="175"/>
  <c r="D14" i="192"/>
  <c r="D17" i="79"/>
  <c r="E23" i="191"/>
  <c r="D461" i="26"/>
  <c r="D13" i="177"/>
  <c r="E44" i="158"/>
  <c r="D10" i="171"/>
  <c r="D41" i="187"/>
  <c r="D836" i="26"/>
  <c r="F23" i="12"/>
  <c r="D40" i="184"/>
  <c r="D12" i="165"/>
  <c r="D676" i="26"/>
  <c r="D13" i="80"/>
  <c r="E41" i="192"/>
  <c r="E9" i="183"/>
  <c r="D635" i="26"/>
  <c r="D10" i="180"/>
  <c r="D17" i="138"/>
  <c r="E9" i="76"/>
  <c r="E35" i="162"/>
  <c r="D28" i="183"/>
  <c r="D843" i="26"/>
  <c r="D23" i="153"/>
  <c r="C18" i="137"/>
  <c r="E22" i="168"/>
  <c r="D40" i="187"/>
  <c r="D683" i="26"/>
  <c r="D616" i="26"/>
  <c r="E32" i="166"/>
  <c r="C19" i="144"/>
  <c r="D541" i="26"/>
  <c r="E27" i="171"/>
  <c r="D32" i="190"/>
  <c r="E30" i="191"/>
  <c r="E400" i="26"/>
  <c r="D45" i="160"/>
  <c r="D24" i="147"/>
  <c r="D27" i="154"/>
  <c r="D15" i="158"/>
  <c r="D701" i="26"/>
  <c r="D705" i="26"/>
  <c r="D230" i="26"/>
  <c r="E8" i="172"/>
  <c r="G11" i="5"/>
  <c r="E323" i="26"/>
  <c r="E27" i="183"/>
  <c r="E11" i="171"/>
  <c r="C15" i="144"/>
  <c r="E30" i="16"/>
  <c r="E321" i="26"/>
  <c r="E447" i="26"/>
  <c r="D593" i="26"/>
  <c r="D36" i="153"/>
  <c r="D33" i="164"/>
  <c r="E35" i="191"/>
  <c r="D41" i="78"/>
  <c r="E21" i="76"/>
  <c r="D12" i="163"/>
  <c r="D23" i="7"/>
  <c r="E37" i="16"/>
  <c r="C25" i="142"/>
  <c r="E570" i="26"/>
  <c r="D666" i="26"/>
  <c r="E8" i="165"/>
  <c r="D20" i="156"/>
  <c r="D14" i="186"/>
  <c r="E33" i="187"/>
  <c r="D167" i="26"/>
  <c r="D10" i="139"/>
  <c r="C19" i="141"/>
  <c r="E28" i="16"/>
  <c r="D220" i="26"/>
  <c r="D7" i="178"/>
  <c r="D785" i="26"/>
  <c r="D17" i="162"/>
  <c r="D25" i="167"/>
  <c r="E19" i="164"/>
  <c r="D16" i="183"/>
  <c r="E19" i="16"/>
  <c r="D421" i="26"/>
  <c r="D27" i="147"/>
  <c r="D544" i="26"/>
  <c r="D335" i="26"/>
  <c r="E37" i="185"/>
  <c r="D11" i="180"/>
  <c r="D27" i="4"/>
  <c r="D18" i="80"/>
  <c r="D22" i="175"/>
  <c r="E804" i="26"/>
  <c r="E17" i="171"/>
  <c r="C16" i="149"/>
  <c r="D22" i="187"/>
  <c r="E32" i="185"/>
  <c r="E8" i="12"/>
  <c r="D77" i="26"/>
  <c r="E518" i="26"/>
  <c r="H14" i="75"/>
  <c r="E41" i="162"/>
  <c r="D307" i="26"/>
  <c r="E741" i="26"/>
  <c r="E22" i="176"/>
  <c r="D470" i="26"/>
  <c r="D38" i="160"/>
  <c r="C20" i="4"/>
  <c r="D26" i="138"/>
  <c r="D32" i="164"/>
  <c r="E41" i="187"/>
  <c r="E676" i="26"/>
  <c r="E27" i="153"/>
  <c r="E42" i="158"/>
  <c r="D412" i="26"/>
  <c r="D27" i="193"/>
  <c r="D7" i="156"/>
  <c r="E23" i="7"/>
  <c r="D11" i="79"/>
  <c r="D8" i="4"/>
  <c r="E15" i="164"/>
  <c r="D188" i="26"/>
  <c r="D563" i="26"/>
  <c r="C17" i="142"/>
  <c r="E351" i="26"/>
  <c r="D28" i="185"/>
  <c r="D316" i="26"/>
  <c r="E33" i="26"/>
  <c r="D184" i="26"/>
  <c r="D10" i="16"/>
  <c r="E44" i="192"/>
  <c r="E369" i="26"/>
  <c r="D308" i="26"/>
  <c r="D32" i="191"/>
  <c r="D385" i="26"/>
  <c r="E22" i="161"/>
  <c r="C11" i="144"/>
  <c r="D30" i="158"/>
  <c r="D10" i="168"/>
  <c r="E18" i="172"/>
  <c r="E20" i="170"/>
  <c r="D21" i="77"/>
  <c r="E29" i="161"/>
  <c r="D779" i="26"/>
  <c r="D22" i="154"/>
  <c r="D26" i="142"/>
  <c r="D27" i="158"/>
  <c r="H33" i="75"/>
  <c r="D6" i="167"/>
  <c r="E17" i="153"/>
  <c r="E211" i="26"/>
  <c r="C15" i="137"/>
  <c r="D386" i="26"/>
  <c r="D506" i="26"/>
  <c r="D540" i="26"/>
  <c r="D31" i="160"/>
  <c r="D7" i="186"/>
  <c r="E25" i="188"/>
  <c r="D844" i="26"/>
  <c r="E23" i="176"/>
  <c r="C22" i="136"/>
  <c r="E12" i="192"/>
  <c r="E575" i="26"/>
  <c r="C8" i="147"/>
  <c r="D15" i="193"/>
  <c r="E8" i="169"/>
  <c r="D11" i="153"/>
  <c r="D8" i="139"/>
  <c r="E42" i="156"/>
  <c r="D11" i="182"/>
  <c r="E713" i="26"/>
  <c r="E31" i="182"/>
  <c r="D18" i="148"/>
  <c r="D17" i="159"/>
  <c r="E31" i="16"/>
  <c r="D20" i="188"/>
  <c r="E686" i="26"/>
  <c r="E43" i="182"/>
  <c r="D9" i="187"/>
  <c r="D17" i="194"/>
  <c r="D23" i="26"/>
  <c r="E12" i="186"/>
  <c r="E30" i="186"/>
  <c r="C52" i="4"/>
  <c r="E12" i="187"/>
  <c r="D17" i="77"/>
  <c r="E15" i="196"/>
  <c r="D23" i="141"/>
  <c r="D399" i="26"/>
  <c r="E39" i="76"/>
  <c r="D12" i="176"/>
  <c r="E82" i="26"/>
  <c r="D19" i="164"/>
  <c r="E433" i="26"/>
  <c r="D12" i="154"/>
  <c r="E16" i="194"/>
  <c r="E10" i="189"/>
  <c r="C22" i="78"/>
  <c r="D11" i="171"/>
  <c r="D45" i="164"/>
  <c r="D9" i="141"/>
  <c r="E17" i="154"/>
  <c r="D35" i="4"/>
  <c r="E688" i="26"/>
  <c r="C8" i="145"/>
  <c r="E13" i="168"/>
  <c r="D7" i="167"/>
  <c r="D17" i="182"/>
  <c r="E10" i="76"/>
  <c r="D15" i="171"/>
  <c r="E7" i="16"/>
  <c r="D8" i="183"/>
  <c r="D45" i="165"/>
  <c r="E25" i="175"/>
  <c r="E573" i="26"/>
  <c r="D8" i="180"/>
  <c r="E32" i="163"/>
  <c r="E626" i="26"/>
  <c r="E31" i="164"/>
  <c r="E42" i="157"/>
  <c r="D730" i="26"/>
  <c r="E9" i="197"/>
  <c r="D415" i="26"/>
  <c r="D74" i="26"/>
  <c r="E10" i="174"/>
  <c r="D24" i="194"/>
  <c r="E21" i="167"/>
  <c r="D40" i="191"/>
  <c r="D15" i="186"/>
  <c r="E29" i="157"/>
  <c r="E734" i="26"/>
  <c r="E36" i="164"/>
  <c r="D17" i="143"/>
  <c r="E26" i="102"/>
  <c r="D26" i="158"/>
  <c r="D25" i="171"/>
  <c r="D27" i="163"/>
  <c r="D312" i="26"/>
  <c r="D45" i="155"/>
  <c r="C17" i="145"/>
  <c r="E10" i="158"/>
  <c r="E35" i="157"/>
  <c r="C18" i="140"/>
  <c r="D19" i="156"/>
  <c r="D6" i="164"/>
  <c r="E6" i="160"/>
  <c r="D6" i="148"/>
  <c r="D39" i="190"/>
  <c r="D16" i="153"/>
  <c r="D28" i="173"/>
  <c r="D21" i="144"/>
  <c r="D10" i="176"/>
  <c r="D13" i="154"/>
  <c r="D272" i="26"/>
  <c r="C10" i="4"/>
  <c r="D10" i="144"/>
  <c r="D14" i="181"/>
  <c r="D18" i="187"/>
  <c r="E21" i="189"/>
  <c r="E16" i="171"/>
  <c r="C8" i="80"/>
  <c r="E43" i="193"/>
  <c r="C17" i="79"/>
  <c r="D44" i="189"/>
  <c r="D17" i="163"/>
  <c r="D32" i="154"/>
  <c r="D7" i="170"/>
  <c r="E17" i="175"/>
  <c r="D13" i="156"/>
  <c r="C13" i="147"/>
  <c r="D183" i="26"/>
  <c r="D22" i="170"/>
  <c r="D22" i="176"/>
  <c r="D31" i="186"/>
  <c r="D20" i="146"/>
  <c r="D7" i="184"/>
  <c r="D715" i="26"/>
  <c r="D28" i="188"/>
  <c r="E34" i="161"/>
  <c r="E12" i="77"/>
  <c r="D466" i="26"/>
  <c r="D10" i="153"/>
  <c r="C8" i="146"/>
  <c r="C10" i="146"/>
  <c r="D16" i="191"/>
  <c r="D9" i="192"/>
  <c r="D175" i="26"/>
  <c r="E17" i="183"/>
  <c r="E10" i="7"/>
  <c r="D20" i="144"/>
  <c r="E687" i="26"/>
  <c r="D8" i="142"/>
  <c r="D19" i="174"/>
  <c r="E28" i="173"/>
  <c r="D45" i="162"/>
  <c r="E23" i="160"/>
  <c r="D13" i="149"/>
  <c r="D156" i="26"/>
  <c r="C15" i="148"/>
  <c r="D26" i="172"/>
  <c r="C34" i="4"/>
  <c r="D835" i="26"/>
  <c r="E43" i="187"/>
  <c r="E23" i="154"/>
  <c r="D560" i="26"/>
  <c r="E21" i="155"/>
  <c r="E11" i="16"/>
  <c r="E776" i="26"/>
  <c r="D654" i="26"/>
  <c r="C24" i="146"/>
  <c r="E815" i="26"/>
  <c r="D25" i="142"/>
  <c r="E7" i="174"/>
  <c r="C23" i="136"/>
  <c r="D11" i="164"/>
  <c r="E36" i="184"/>
  <c r="D20" i="184"/>
  <c r="D10" i="186"/>
  <c r="E316" i="26"/>
  <c r="D24" i="192"/>
  <c r="D431" i="26"/>
  <c r="E21" i="16"/>
  <c r="E530" i="26"/>
  <c r="C26" i="149"/>
  <c r="C27" i="137"/>
  <c r="D615" i="26"/>
  <c r="E10" i="180"/>
  <c r="E17" i="172"/>
  <c r="E18" i="168"/>
  <c r="D757" i="26"/>
  <c r="E7" i="160"/>
  <c r="D20" i="178"/>
  <c r="D44" i="192"/>
  <c r="E7" i="196"/>
  <c r="D10" i="4"/>
  <c r="E373" i="26"/>
  <c r="D40" i="154"/>
  <c r="E39" i="186"/>
  <c r="D15" i="167"/>
  <c r="I16" i="75"/>
  <c r="D196" i="26"/>
  <c r="D28" i="190"/>
  <c r="D18" i="153"/>
  <c r="D8" i="171"/>
  <c r="E41" i="182"/>
  <c r="D813" i="26"/>
  <c r="E845" i="26"/>
  <c r="D713" i="26"/>
  <c r="C27" i="78"/>
  <c r="D8" i="185"/>
  <c r="D17" i="165"/>
  <c r="E8" i="177"/>
  <c r="E12" i="162"/>
  <c r="D34" i="192"/>
  <c r="D744" i="26"/>
  <c r="E38" i="157"/>
  <c r="C53" i="4"/>
  <c r="D8" i="141"/>
  <c r="E512" i="26"/>
  <c r="D18" i="79"/>
  <c r="D464" i="26"/>
  <c r="D32" i="78"/>
  <c r="D174" i="26"/>
  <c r="E583" i="26"/>
  <c r="C26" i="144"/>
  <c r="C12" i="146"/>
  <c r="D407" i="26"/>
  <c r="D17" i="142"/>
  <c r="D14" i="161"/>
  <c r="E19" i="26"/>
  <c r="E7" i="192"/>
  <c r="D30" i="194"/>
  <c r="D826" i="26"/>
  <c r="D32" i="160"/>
  <c r="D28" i="16"/>
  <c r="E9" i="178"/>
  <c r="D41" i="191"/>
  <c r="C22" i="137"/>
  <c r="E10" i="16"/>
  <c r="E286" i="26"/>
  <c r="E34" i="155"/>
  <c r="D23" i="138"/>
  <c r="E587" i="26"/>
  <c r="D16" i="78"/>
  <c r="C16" i="4"/>
  <c r="C27" i="9"/>
  <c r="D18" i="157"/>
  <c r="D14" i="143"/>
  <c r="E44" i="185"/>
  <c r="G14" i="5"/>
  <c r="E24" i="154"/>
  <c r="C20" i="149"/>
  <c r="E31" i="163"/>
  <c r="E71" i="26"/>
  <c r="E14" i="183"/>
  <c r="D18" i="155"/>
  <c r="E34" i="156"/>
  <c r="C7" i="145"/>
  <c r="D41" i="192"/>
  <c r="D599" i="26"/>
  <c r="D321" i="26"/>
  <c r="E37" i="194"/>
  <c r="E19" i="102"/>
  <c r="D472" i="26"/>
  <c r="D22" i="148"/>
  <c r="D34" i="181"/>
  <c r="D6" i="157"/>
  <c r="D10" i="145"/>
  <c r="D41" i="158"/>
  <c r="E390" i="26"/>
  <c r="E38" i="76"/>
  <c r="E16" i="154"/>
  <c r="E8" i="158"/>
  <c r="D34" i="154"/>
  <c r="E256" i="26"/>
  <c r="E13" i="179"/>
  <c r="D349" i="26"/>
  <c r="E17" i="178"/>
  <c r="E344" i="26"/>
  <c r="E216" i="26"/>
  <c r="D145" i="26"/>
  <c r="D13" i="79"/>
  <c r="E20" i="172"/>
  <c r="D33" i="155"/>
  <c r="E312" i="26"/>
  <c r="D21" i="187"/>
  <c r="E14" i="194"/>
  <c r="D21" i="143"/>
  <c r="E31" i="153"/>
  <c r="C24" i="143"/>
  <c r="D8" i="156"/>
  <c r="E40" i="159"/>
  <c r="E24" i="194"/>
  <c r="E652" i="26"/>
  <c r="D30" i="183"/>
  <c r="E44" i="26"/>
  <c r="D25" i="184"/>
  <c r="E38" i="162"/>
  <c r="E11" i="173"/>
  <c r="E14" i="7"/>
  <c r="E7" i="161"/>
  <c r="D402" i="26"/>
  <c r="E31" i="181"/>
  <c r="D17" i="139"/>
  <c r="D9" i="186"/>
  <c r="D45" i="157"/>
  <c r="E37" i="156"/>
  <c r="E33" i="161"/>
  <c r="C36" i="78"/>
  <c r="D41" i="190"/>
  <c r="E35" i="192"/>
  <c r="E29" i="188"/>
  <c r="D655" i="26"/>
  <c r="D34" i="186"/>
  <c r="D39" i="165"/>
  <c r="D19" i="140"/>
  <c r="D334" i="26"/>
  <c r="E12" i="155"/>
  <c r="D22" i="162"/>
  <c r="E30" i="193"/>
  <c r="D254" i="26"/>
  <c r="D11" i="144"/>
  <c r="E20" i="176"/>
  <c r="D9" i="180"/>
  <c r="E9" i="159"/>
  <c r="E96" i="26"/>
  <c r="D816" i="26"/>
  <c r="E475" i="26"/>
  <c r="E402" i="26"/>
  <c r="F16" i="197"/>
  <c r="D120" i="26"/>
  <c r="E434" i="26"/>
  <c r="D30" i="160"/>
  <c r="D821" i="26"/>
  <c r="D39" i="7"/>
  <c r="D18" i="136"/>
  <c r="D513" i="26"/>
  <c r="E17" i="161"/>
  <c r="E13" i="161"/>
  <c r="C14" i="139"/>
  <c r="D55" i="4"/>
  <c r="D478" i="26"/>
  <c r="D40" i="164"/>
  <c r="D643" i="26"/>
  <c r="D15" i="192"/>
  <c r="C13" i="145"/>
  <c r="E20" i="173"/>
  <c r="D22" i="165"/>
  <c r="D15" i="173"/>
  <c r="D16" i="192"/>
  <c r="D729" i="26"/>
  <c r="D696" i="26"/>
  <c r="D117" i="26"/>
  <c r="D546" i="26"/>
  <c r="D733" i="26"/>
  <c r="E295" i="26"/>
  <c r="C22" i="145"/>
  <c r="D284" i="26"/>
  <c r="D41" i="185"/>
  <c r="E11" i="186"/>
  <c r="E359" i="26"/>
  <c r="D20" i="149"/>
  <c r="D15" i="9"/>
  <c r="D15" i="143"/>
  <c r="E59" i="26"/>
  <c r="D208" i="26"/>
  <c r="D14" i="136"/>
  <c r="H32" i="75"/>
  <c r="E426" i="26"/>
  <c r="D29" i="192"/>
  <c r="D11" i="139"/>
  <c r="D30" i="163"/>
  <c r="E12" i="173"/>
  <c r="E27" i="162"/>
  <c r="D35" i="164"/>
  <c r="D269" i="26"/>
  <c r="D15" i="26"/>
  <c r="E549" i="26"/>
  <c r="D271" i="26"/>
  <c r="D14" i="194"/>
  <c r="D9" i="194"/>
  <c r="E39" i="166"/>
  <c r="E774" i="26"/>
  <c r="D10" i="173"/>
  <c r="D15" i="163"/>
  <c r="E20" i="77"/>
  <c r="E7" i="176"/>
  <c r="E15" i="166"/>
  <c r="D28" i="159"/>
  <c r="E44" i="191"/>
  <c r="D365" i="26"/>
  <c r="D11" i="102"/>
  <c r="I11" i="75"/>
  <c r="D86" i="26"/>
  <c r="D23" i="186"/>
  <c r="E8" i="187"/>
  <c r="E557" i="26"/>
  <c r="E30" i="184"/>
  <c r="E14" i="186"/>
  <c r="E841" i="26"/>
  <c r="E26" i="186"/>
  <c r="D356" i="26"/>
  <c r="E10" i="153"/>
  <c r="E27" i="170"/>
  <c r="D26" i="193"/>
  <c r="D15" i="184"/>
  <c r="D40" i="166"/>
  <c r="E55" i="26"/>
  <c r="E27" i="168"/>
  <c r="E598" i="26"/>
  <c r="D9" i="167"/>
  <c r="E229" i="26"/>
  <c r="D12" i="180"/>
  <c r="D18" i="176"/>
  <c r="D22" i="173"/>
  <c r="D35" i="188"/>
  <c r="C22" i="139"/>
  <c r="E34" i="190"/>
  <c r="E292" i="26"/>
  <c r="D41" i="162"/>
  <c r="E25" i="184"/>
  <c r="E254" i="26"/>
  <c r="D24" i="187"/>
  <c r="D12" i="167"/>
  <c r="E16" i="162"/>
  <c r="E24" i="166"/>
  <c r="D15" i="145"/>
  <c r="E32" i="178"/>
  <c r="D753" i="26"/>
  <c r="C7" i="80"/>
  <c r="E8" i="189"/>
  <c r="F13" i="197"/>
  <c r="E456" i="26"/>
  <c r="F37" i="76"/>
  <c r="E9" i="191"/>
  <c r="D26" i="183"/>
  <c r="D8" i="158"/>
  <c r="E10" i="160"/>
  <c r="D26" i="145"/>
  <c r="D47" i="4"/>
  <c r="D23" i="188"/>
  <c r="D707" i="26"/>
  <c r="E10" i="193"/>
  <c r="E22" i="156"/>
  <c r="D26" i="192"/>
  <c r="D13" i="159"/>
  <c r="C21" i="139"/>
  <c r="D41" i="156"/>
  <c r="D29" i="173"/>
  <c r="D301" i="26"/>
  <c r="D38" i="188"/>
  <c r="E8" i="193"/>
  <c r="E22" i="180"/>
  <c r="E28" i="77"/>
  <c r="D520" i="26"/>
  <c r="E27" i="182"/>
  <c r="D131" i="26"/>
  <c r="E90" i="26"/>
  <c r="E69" i="26"/>
  <c r="E424" i="26"/>
  <c r="E418" i="26"/>
  <c r="C27" i="147"/>
  <c r="D451" i="26"/>
  <c r="D39" i="163"/>
  <c r="E38" i="182"/>
  <c r="D619" i="26"/>
  <c r="E37" i="76"/>
  <c r="E36" i="194"/>
  <c r="E213" i="26"/>
  <c r="E22" i="153"/>
  <c r="E9" i="185"/>
  <c r="D7" i="179"/>
  <c r="D10" i="138"/>
  <c r="D763" i="26"/>
  <c r="D21" i="174"/>
  <c r="E717" i="26"/>
  <c r="D37" i="191"/>
  <c r="C6" i="145"/>
  <c r="E11" i="187"/>
  <c r="H30" i="75"/>
  <c r="D39" i="153"/>
  <c r="E26" i="173"/>
  <c r="C25" i="138"/>
  <c r="E29" i="184"/>
  <c r="E13" i="192"/>
  <c r="E44" i="181"/>
  <c r="D332" i="26"/>
  <c r="E820" i="26"/>
  <c r="E506" i="26"/>
  <c r="D192" i="26"/>
  <c r="E710" i="26"/>
  <c r="D305" i="26"/>
  <c r="E17" i="191"/>
  <c r="E29" i="177"/>
  <c r="D793" i="26"/>
  <c r="E14" i="164"/>
  <c r="C20" i="146"/>
  <c r="D12" i="173"/>
  <c r="D8" i="137"/>
  <c r="D19" i="163"/>
  <c r="E16" i="173"/>
  <c r="D26" i="161"/>
  <c r="E9" i="156"/>
  <c r="D31" i="190"/>
  <c r="E7" i="197"/>
  <c r="D58" i="26"/>
  <c r="E357" i="26"/>
  <c r="E94" i="26"/>
  <c r="D17" i="4"/>
  <c r="E10" i="179"/>
  <c r="E15" i="193"/>
  <c r="E727" i="26"/>
  <c r="D8" i="164"/>
  <c r="D803" i="26"/>
  <c r="E459" i="26"/>
  <c r="E342" i="26"/>
  <c r="D492" i="26"/>
  <c r="D28" i="169"/>
  <c r="F28" i="76"/>
  <c r="D98" i="26"/>
  <c r="E15" i="176"/>
  <c r="D10" i="148"/>
  <c r="D558" i="26"/>
  <c r="E42" i="183"/>
  <c r="F9" i="197"/>
  <c r="D23" i="189"/>
  <c r="D44" i="7"/>
  <c r="D23" i="168"/>
  <c r="F39" i="76"/>
  <c r="D17" i="137"/>
  <c r="D31" i="4"/>
  <c r="E18" i="177"/>
  <c r="E35" i="155"/>
  <c r="D202" i="26"/>
  <c r="D6" i="193"/>
  <c r="D165" i="26"/>
  <c r="D76" i="26"/>
  <c r="D15" i="183"/>
  <c r="E28" i="165"/>
  <c r="E35" i="194"/>
  <c r="E9" i="165"/>
  <c r="D21" i="141"/>
  <c r="E191" i="26"/>
  <c r="E32" i="171"/>
  <c r="D17" i="179"/>
  <c r="E38" i="7"/>
  <c r="E661" i="26"/>
  <c r="D62" i="26"/>
  <c r="D17" i="177"/>
  <c r="E11" i="192"/>
  <c r="E12" i="184"/>
  <c r="D16" i="175"/>
  <c r="E33" i="163"/>
  <c r="E629" i="26"/>
  <c r="D16" i="159"/>
  <c r="D44" i="154"/>
  <c r="D25" i="187"/>
  <c r="D15" i="182"/>
  <c r="D522" i="26"/>
  <c r="D20" i="180"/>
  <c r="E7" i="172"/>
  <c r="D14" i="165"/>
  <c r="D36" i="7"/>
  <c r="E11" i="182"/>
  <c r="D34" i="188"/>
  <c r="D26" i="185"/>
  <c r="E28" i="172"/>
  <c r="C23" i="139"/>
  <c r="E606" i="26"/>
  <c r="C11" i="146"/>
  <c r="E35" i="165"/>
  <c r="D25" i="169"/>
  <c r="D23" i="10"/>
  <c r="D9" i="16"/>
  <c r="E31" i="155"/>
  <c r="D22" i="136"/>
  <c r="C8" i="144"/>
  <c r="E31" i="165"/>
  <c r="D732" i="26"/>
  <c r="D13" i="141"/>
  <c r="C16" i="142"/>
  <c r="D27" i="159"/>
  <c r="E17" i="168"/>
  <c r="D351" i="26"/>
  <c r="D467" i="26"/>
  <c r="D702" i="26"/>
  <c r="D8" i="155"/>
  <c r="D317" i="26"/>
  <c r="D709" i="26"/>
  <c r="E33" i="76"/>
  <c r="D15" i="177"/>
  <c r="D32" i="163"/>
  <c r="C21" i="138"/>
  <c r="C7" i="143"/>
  <c r="E9" i="155"/>
  <c r="E24" i="162"/>
  <c r="E13" i="12"/>
  <c r="D471" i="26"/>
  <c r="E11" i="178"/>
  <c r="D219" i="26"/>
  <c r="D17" i="78"/>
  <c r="E490" i="26"/>
  <c r="E27" i="196"/>
  <c r="D16" i="143"/>
  <c r="C23" i="146"/>
  <c r="D20" i="187"/>
  <c r="D281" i="26"/>
  <c r="E7" i="184"/>
  <c r="E362" i="26"/>
  <c r="C26" i="142"/>
  <c r="E12" i="180"/>
  <c r="E739" i="26"/>
  <c r="E21" i="190"/>
  <c r="D238" i="26"/>
  <c r="E231" i="26"/>
  <c r="E26" i="182"/>
  <c r="D7" i="191"/>
  <c r="E486" i="26"/>
  <c r="D644" i="26"/>
  <c r="D15" i="141"/>
  <c r="D7" i="177"/>
  <c r="C13" i="143"/>
  <c r="D25" i="172"/>
  <c r="E39" i="182"/>
  <c r="C18" i="143"/>
  <c r="E15" i="161"/>
  <c r="D34" i="4"/>
  <c r="C10" i="138"/>
  <c r="E28" i="156"/>
  <c r="D7" i="78"/>
  <c r="E26" i="172"/>
  <c r="D36" i="183"/>
  <c r="E745" i="26"/>
  <c r="D18" i="146"/>
  <c r="C12" i="140"/>
  <c r="E18" i="171"/>
  <c r="E14" i="157"/>
  <c r="D12" i="166"/>
  <c r="D179" i="26"/>
  <c r="C23" i="19"/>
  <c r="H13" i="75"/>
  <c r="E19" i="174"/>
  <c r="E34" i="163"/>
  <c r="D31" i="179"/>
  <c r="E705" i="26"/>
  <c r="E103" i="26"/>
  <c r="D214" i="26"/>
  <c r="E595" i="26"/>
  <c r="D14" i="189"/>
  <c r="D798" i="26"/>
  <c r="D21" i="164"/>
  <c r="D30" i="26"/>
  <c r="E280" i="26"/>
  <c r="D10" i="159"/>
  <c r="E8" i="188"/>
  <c r="C17" i="147"/>
  <c r="D11" i="178"/>
  <c r="D34" i="183"/>
  <c r="E545" i="26"/>
  <c r="D40" i="160"/>
  <c r="E708" i="26"/>
  <c r="D25" i="192"/>
  <c r="E23" i="158"/>
  <c r="D23" i="147"/>
  <c r="E26" i="179"/>
  <c r="D515" i="26"/>
  <c r="E470" i="26"/>
  <c r="E379" i="26"/>
  <c r="D842" i="26"/>
  <c r="D646" i="26"/>
  <c r="D516" i="26"/>
  <c r="E414" i="26"/>
  <c r="C23" i="147"/>
  <c r="E527" i="26"/>
  <c r="C18" i="79"/>
  <c r="D649" i="26"/>
  <c r="D25" i="163"/>
  <c r="D9" i="138"/>
  <c r="E28" i="179"/>
  <c r="D22" i="185"/>
  <c r="E163" i="26"/>
  <c r="F13" i="76"/>
  <c r="D21" i="140"/>
  <c r="D452" i="26"/>
  <c r="E39" i="183"/>
  <c r="E8" i="180"/>
  <c r="D15" i="154"/>
  <c r="E43" i="192"/>
  <c r="I24" i="75"/>
  <c r="E142" i="26"/>
  <c r="D555" i="26"/>
  <c r="D199" i="26"/>
  <c r="D9" i="193"/>
  <c r="E36" i="183"/>
  <c r="D18" i="16"/>
  <c r="E35" i="153"/>
  <c r="E750" i="26"/>
  <c r="D15" i="4"/>
  <c r="E563" i="26"/>
  <c r="E6" i="151"/>
  <c r="C7" i="9"/>
  <c r="D37" i="162"/>
  <c r="E17" i="190"/>
  <c r="E790" i="26"/>
  <c r="D7" i="173"/>
  <c r="D8" i="168"/>
  <c r="E22" i="157"/>
  <c r="E602" i="26"/>
  <c r="D127" i="26"/>
  <c r="E210" i="26"/>
  <c r="E88" i="26"/>
  <c r="D71" i="26"/>
  <c r="E140" i="26"/>
  <c r="E711" i="26"/>
  <c r="D19" i="9"/>
  <c r="E16" i="12"/>
  <c r="D40" i="163"/>
  <c r="E23" i="184"/>
  <c r="D15" i="138"/>
  <c r="E17" i="166"/>
  <c r="D536" i="26"/>
  <c r="D35" i="160"/>
  <c r="E425" i="26"/>
  <c r="D44" i="157"/>
  <c r="D17" i="146"/>
  <c r="E35" i="159"/>
  <c r="D23" i="192"/>
  <c r="D40" i="4"/>
  <c r="E348" i="26"/>
  <c r="D21" i="177"/>
  <c r="E20" i="26"/>
  <c r="D21" i="175"/>
  <c r="E36" i="189"/>
  <c r="E30" i="160"/>
  <c r="D10" i="167"/>
  <c r="D41" i="157"/>
  <c r="H28" i="75"/>
  <c r="D41" i="16"/>
  <c r="E114" i="26"/>
  <c r="E9" i="162"/>
  <c r="E275" i="26"/>
  <c r="E664" i="26"/>
  <c r="D7" i="169"/>
  <c r="E19" i="186"/>
  <c r="E21" i="77"/>
  <c r="D350" i="26"/>
  <c r="C26" i="137"/>
  <c r="E41" i="153"/>
  <c r="E608" i="26"/>
  <c r="D556" i="26"/>
  <c r="E182" i="26"/>
  <c r="D8" i="190"/>
  <c r="D19" i="79"/>
  <c r="D37" i="160"/>
  <c r="D17" i="141"/>
  <c r="D25" i="78"/>
  <c r="E273" i="26"/>
  <c r="E28" i="187"/>
  <c r="E56" i="26"/>
  <c r="E20" i="193"/>
  <c r="E764" i="26"/>
  <c r="E186" i="26"/>
  <c r="E460" i="26"/>
  <c r="D72" i="26"/>
  <c r="D586" i="26"/>
  <c r="E41" i="26"/>
  <c r="D14" i="142"/>
  <c r="E26" i="194"/>
  <c r="E559" i="26"/>
  <c r="D13" i="169"/>
  <c r="D27" i="182"/>
  <c r="E93" i="26"/>
  <c r="D11" i="173"/>
  <c r="E728" i="26"/>
  <c r="E31" i="160"/>
  <c r="D8" i="188"/>
  <c r="C16" i="136"/>
  <c r="D20" i="140"/>
  <c r="E240" i="26"/>
  <c r="E33" i="192"/>
  <c r="E16" i="197"/>
  <c r="D27" i="190"/>
  <c r="D8" i="170"/>
  <c r="E28" i="181"/>
  <c r="D19" i="80"/>
  <c r="D11" i="160"/>
  <c r="D27" i="167"/>
  <c r="D25" i="156"/>
  <c r="D19" i="78"/>
  <c r="C26" i="139"/>
  <c r="D217" i="26"/>
  <c r="D64" i="26"/>
  <c r="E784" i="26"/>
  <c r="D756" i="26"/>
  <c r="E159" i="26"/>
  <c r="E58" i="26"/>
  <c r="H16" i="5"/>
  <c r="D433" i="26"/>
  <c r="D19" i="172"/>
  <c r="C6" i="146"/>
  <c r="C17" i="4"/>
  <c r="C51" i="4"/>
  <c r="D31" i="173"/>
  <c r="D12" i="78"/>
  <c r="D116" i="26"/>
  <c r="E41" i="186"/>
  <c r="D172" i="26"/>
  <c r="E228" i="26"/>
  <c r="E46" i="26"/>
  <c r="E572" i="26"/>
  <c r="D21" i="78"/>
  <c r="D17" i="193"/>
  <c r="E18" i="192"/>
  <c r="D834" i="26"/>
  <c r="D762" i="26"/>
  <c r="E16" i="184"/>
  <c r="D102" i="26"/>
  <c r="D422" i="26"/>
  <c r="E24" i="26"/>
  <c r="E57" i="26"/>
  <c r="E28" i="157"/>
  <c r="D22" i="171"/>
  <c r="D413" i="26"/>
  <c r="D22" i="141"/>
  <c r="E781" i="26"/>
  <c r="D831" i="26"/>
  <c r="D771" i="26"/>
  <c r="D29" i="179"/>
  <c r="D20" i="139"/>
  <c r="E788" i="26"/>
  <c r="E10" i="161"/>
  <c r="E482" i="26"/>
  <c r="D24" i="162"/>
  <c r="D538" i="26"/>
  <c r="D24" i="190"/>
  <c r="E63" i="26"/>
  <c r="E185" i="26"/>
  <c r="D429" i="26"/>
  <c r="E270" i="26"/>
  <c r="E8" i="184"/>
  <c r="C11" i="137"/>
  <c r="D436" i="26"/>
  <c r="D157" i="26"/>
  <c r="D36" i="4"/>
  <c r="E62" i="26"/>
  <c r="E288" i="26"/>
  <c r="D9" i="80"/>
  <c r="D7" i="190"/>
  <c r="E32" i="164"/>
  <c r="D15" i="189"/>
  <c r="D476" i="26"/>
  <c r="E37" i="163"/>
  <c r="D45" i="4"/>
  <c r="D43" i="193"/>
  <c r="D512" i="26"/>
  <c r="E449" i="26"/>
  <c r="D6" i="192"/>
  <c r="E276" i="26"/>
  <c r="D18" i="158"/>
  <c r="D10" i="177"/>
  <c r="D28" i="154"/>
  <c r="E594" i="26"/>
  <c r="D13" i="192"/>
  <c r="E789" i="26"/>
  <c r="D28" i="78"/>
  <c r="E39" i="163"/>
  <c r="D314" i="26"/>
  <c r="D377" i="26"/>
  <c r="E54" i="26"/>
  <c r="E29" i="178"/>
  <c r="D8" i="176"/>
  <c r="E29" i="187"/>
  <c r="E25" i="163"/>
  <c r="E41" i="181"/>
  <c r="D8" i="138"/>
  <c r="E173" i="26"/>
  <c r="E429" i="26"/>
  <c r="D686" i="26"/>
  <c r="D711" i="26"/>
  <c r="C12" i="80"/>
  <c r="D36" i="193"/>
  <c r="D134" i="26"/>
  <c r="E29" i="182"/>
  <c r="D19" i="144"/>
  <c r="D32" i="181"/>
  <c r="D283" i="26"/>
  <c r="D10" i="161"/>
  <c r="D20" i="170"/>
  <c r="D20" i="192"/>
  <c r="D549" i="26"/>
  <c r="D49" i="4"/>
  <c r="D34" i="182"/>
  <c r="E387" i="26"/>
  <c r="D124" i="26"/>
  <c r="D26" i="4"/>
  <c r="E566" i="26"/>
  <c r="D14" i="146"/>
  <c r="E28" i="180"/>
  <c r="E257" i="26"/>
  <c r="C9" i="78"/>
  <c r="E15" i="159"/>
  <c r="E234" i="26"/>
  <c r="D19" i="159"/>
  <c r="D490" i="26"/>
  <c r="D17" i="191"/>
  <c r="E251" i="26"/>
  <c r="D11" i="156"/>
  <c r="D28" i="26"/>
  <c r="D652" i="26"/>
  <c r="F18" i="12"/>
  <c r="E20" i="157"/>
  <c r="D336" i="26"/>
  <c r="D19" i="192"/>
  <c r="D6" i="194"/>
  <c r="D19" i="184"/>
  <c r="D22" i="184"/>
  <c r="E733" i="26"/>
  <c r="D32" i="176"/>
  <c r="D12" i="175"/>
  <c r="E22" i="154"/>
  <c r="D39" i="187"/>
  <c r="D19" i="190"/>
  <c r="E592" i="26"/>
  <c r="D14" i="139"/>
  <c r="D36" i="156"/>
  <c r="E603" i="26"/>
  <c r="D19" i="160"/>
  <c r="C7" i="138"/>
  <c r="D354" i="26"/>
  <c r="E35" i="156"/>
  <c r="D15" i="153"/>
  <c r="E25" i="16"/>
  <c r="D26" i="188"/>
  <c r="E11" i="183"/>
  <c r="E41" i="16"/>
  <c r="D6" i="176"/>
  <c r="D20" i="9"/>
  <c r="E21" i="162"/>
  <c r="D24" i="157"/>
  <c r="C23" i="138"/>
  <c r="D279" i="26"/>
  <c r="D34" i="161"/>
  <c r="E35" i="154"/>
  <c r="D636" i="26"/>
  <c r="D25" i="190"/>
  <c r="E639" i="26"/>
  <c r="D164" i="26"/>
  <c r="E9" i="169"/>
  <c r="D33" i="156"/>
  <c r="E224" i="26"/>
  <c r="C24" i="136"/>
  <c r="C11" i="80"/>
  <c r="D20" i="163"/>
  <c r="D41" i="181"/>
  <c r="F23" i="76"/>
  <c r="C26" i="148"/>
  <c r="E624" i="26"/>
  <c r="D784" i="26"/>
  <c r="E23" i="165"/>
  <c r="D23" i="191"/>
  <c r="D769" i="26"/>
  <c r="E25" i="181"/>
  <c r="E18" i="156"/>
  <c r="D36" i="166"/>
  <c r="D21" i="142"/>
  <c r="D755" i="26"/>
  <c r="E28" i="7"/>
  <c r="D44" i="164"/>
  <c r="E92" i="26"/>
  <c r="D6" i="161"/>
  <c r="E37" i="182"/>
  <c r="E405" i="26"/>
  <c r="D31" i="177"/>
  <c r="E41" i="158"/>
  <c r="E249" i="26"/>
  <c r="D21" i="161"/>
  <c r="D7" i="155"/>
  <c r="E34" i="186"/>
  <c r="D463" i="26"/>
  <c r="D31" i="178"/>
  <c r="E10" i="156"/>
  <c r="D33" i="154"/>
  <c r="D818" i="26"/>
  <c r="D161" i="26"/>
  <c r="E692" i="26"/>
  <c r="D16" i="177"/>
  <c r="E12" i="161"/>
  <c r="D28" i="157"/>
  <c r="D24" i="158"/>
  <c r="D21" i="7"/>
  <c r="E42" i="154"/>
  <c r="D20" i="190"/>
  <c r="E411" i="26"/>
  <c r="D12" i="147"/>
  <c r="E23" i="180"/>
  <c r="H12" i="75"/>
  <c r="E20" i="178"/>
  <c r="D845" i="26"/>
  <c r="E25" i="164"/>
  <c r="E410" i="26"/>
  <c r="D21" i="156"/>
  <c r="D527" i="26"/>
  <c r="E763" i="26"/>
  <c r="E791" i="26"/>
  <c r="E44" i="186"/>
  <c r="D12" i="164"/>
  <c r="E39" i="181"/>
  <c r="E36" i="186"/>
  <c r="E145" i="26"/>
  <c r="E22" i="102"/>
  <c r="E9" i="157"/>
  <c r="D17" i="160"/>
  <c r="C16" i="138"/>
  <c r="D660" i="26"/>
  <c r="E32" i="168"/>
  <c r="E17" i="194"/>
  <c r="C13" i="140"/>
  <c r="D605" i="26"/>
  <c r="E9" i="187"/>
  <c r="E392" i="26"/>
  <c r="D40" i="155"/>
  <c r="D34" i="165"/>
  <c r="E204" i="26"/>
  <c r="D27" i="186"/>
  <c r="E33" i="185"/>
  <c r="D8" i="187"/>
  <c r="E44" i="154"/>
  <c r="E7" i="185"/>
  <c r="E32" i="169"/>
  <c r="D111" i="26"/>
  <c r="D479" i="26"/>
  <c r="D204" i="26"/>
  <c r="D177" i="26"/>
  <c r="E154" i="26"/>
  <c r="D20" i="77"/>
  <c r="D535" i="26"/>
  <c r="E9" i="196"/>
  <c r="D12" i="9"/>
  <c r="D16" i="167"/>
  <c r="E21" i="169"/>
  <c r="D13" i="162"/>
  <c r="E24" i="7"/>
  <c r="D42" i="162"/>
  <c r="C19" i="4"/>
  <c r="E393" i="26"/>
  <c r="E47" i="26"/>
  <c r="E457" i="26"/>
  <c r="C27" i="140"/>
  <c r="E11" i="163"/>
  <c r="D30" i="161"/>
  <c r="E417" i="26"/>
  <c r="E383" i="26"/>
  <c r="D22" i="163"/>
  <c r="E21" i="166"/>
  <c r="D28" i="158"/>
  <c r="E31" i="183"/>
  <c r="E20" i="192"/>
  <c r="D28" i="165"/>
  <c r="D347" i="26"/>
  <c r="D40" i="192"/>
  <c r="E32" i="153"/>
  <c r="E25" i="76"/>
  <c r="E27" i="155"/>
  <c r="D9" i="163"/>
  <c r="D13" i="142"/>
  <c r="D509" i="26"/>
  <c r="E12" i="197"/>
  <c r="D521" i="26"/>
  <c r="D27" i="185"/>
  <c r="D41" i="182"/>
  <c r="E10" i="192"/>
  <c r="E12" i="76"/>
  <c r="D594" i="26"/>
  <c r="D577" i="26"/>
  <c r="D37" i="164"/>
  <c r="D15" i="191"/>
  <c r="D17" i="154"/>
  <c r="E11" i="165"/>
  <c r="D11" i="145"/>
  <c r="D15" i="140"/>
  <c r="E34" i="193"/>
  <c r="C23" i="143"/>
  <c r="D289" i="26"/>
  <c r="E26" i="191"/>
  <c r="D7" i="154"/>
  <c r="E34" i="160"/>
  <c r="E29" i="155"/>
  <c r="C20" i="136"/>
  <c r="D25" i="153"/>
  <c r="E160" i="26"/>
  <c r="E23" i="26"/>
  <c r="D383" i="26"/>
  <c r="E366" i="26"/>
  <c r="D503" i="26"/>
  <c r="E586" i="26"/>
  <c r="D14" i="149"/>
  <c r="D811" i="26"/>
  <c r="D10" i="166"/>
  <c r="D13" i="183"/>
  <c r="D10" i="196"/>
  <c r="E8" i="159"/>
  <c r="D7" i="158"/>
  <c r="E41" i="156"/>
  <c r="D22" i="157"/>
  <c r="D681" i="26"/>
  <c r="D19" i="148"/>
  <c r="E32" i="192"/>
  <c r="D12" i="26"/>
  <c r="C15" i="79"/>
  <c r="C14" i="144"/>
  <c r="D20" i="159"/>
  <c r="E29" i="172"/>
  <c r="E23" i="194"/>
  <c r="E25" i="172"/>
  <c r="E14" i="188"/>
  <c r="E11" i="190"/>
  <c r="E26" i="193"/>
  <c r="D21" i="185"/>
  <c r="D16" i="189"/>
  <c r="E23" i="190"/>
  <c r="E24" i="156"/>
  <c r="D211" i="26"/>
  <c r="D133" i="26"/>
  <c r="D17" i="140"/>
  <c r="D25" i="181"/>
  <c r="D18" i="181"/>
  <c r="D7" i="80"/>
  <c r="D27" i="165"/>
  <c r="E27" i="181"/>
  <c r="E455" i="26"/>
  <c r="E41" i="7"/>
  <c r="E13" i="172"/>
  <c r="F14" i="12"/>
  <c r="E26" i="185"/>
  <c r="E828" i="26"/>
  <c r="D260" i="26"/>
  <c r="D562" i="26"/>
  <c r="D638" i="26"/>
  <c r="D27" i="191"/>
  <c r="E749" i="26"/>
  <c r="D345" i="26"/>
  <c r="D24" i="4"/>
  <c r="E16" i="186"/>
  <c r="D9" i="160"/>
  <c r="D37" i="182"/>
  <c r="D42" i="153"/>
  <c r="D11" i="26"/>
  <c r="E36" i="7"/>
  <c r="D30" i="185"/>
  <c r="D22" i="164"/>
  <c r="D11" i="193"/>
  <c r="F18" i="76"/>
  <c r="E13" i="176"/>
  <c r="D27" i="139"/>
  <c r="E73" i="26"/>
  <c r="D10" i="170"/>
  <c r="E818" i="26"/>
  <c r="E26" i="187"/>
  <c r="E32" i="172"/>
  <c r="D31" i="26"/>
  <c r="H17" i="5"/>
  <c r="E18" i="153"/>
  <c r="E30" i="154"/>
  <c r="C28" i="78"/>
  <c r="D12" i="158"/>
  <c r="E19" i="160"/>
  <c r="D20" i="189"/>
  <c r="H27" i="75"/>
  <c r="E773" i="26"/>
  <c r="D21" i="155"/>
  <c r="D273" i="26"/>
  <c r="D780" i="26"/>
  <c r="F9" i="12"/>
  <c r="E13" i="181"/>
  <c r="D743" i="26"/>
  <c r="E663" i="26"/>
  <c r="D44" i="186"/>
  <c r="D33" i="78"/>
  <c r="D822" i="26"/>
  <c r="D21" i="181"/>
  <c r="D597" i="26"/>
  <c r="D38" i="161"/>
  <c r="D37" i="158"/>
  <c r="D36" i="191"/>
  <c r="D18" i="147"/>
  <c r="E12" i="167"/>
  <c r="E25" i="156"/>
  <c r="D30" i="156"/>
  <c r="D634" i="26"/>
  <c r="D37" i="186"/>
  <c r="D27" i="183"/>
  <c r="E498" i="26"/>
  <c r="D33" i="189"/>
  <c r="D28" i="193"/>
  <c r="E806" i="26"/>
  <c r="E719" i="26"/>
  <c r="D487" i="26"/>
  <c r="D20" i="148"/>
  <c r="E209" i="26"/>
  <c r="E44" i="7"/>
  <c r="D23" i="143"/>
  <c r="D830" i="26"/>
  <c r="D6" i="154"/>
  <c r="E792" i="26"/>
  <c r="D14" i="77"/>
  <c r="D726" i="26"/>
  <c r="D19" i="181"/>
  <c r="D212" i="26"/>
  <c r="E11" i="169"/>
  <c r="E9" i="77"/>
  <c r="D24" i="136"/>
  <c r="D58" i="4"/>
  <c r="E23" i="12"/>
  <c r="E9" i="163"/>
  <c r="D26" i="190"/>
  <c r="E23" i="162"/>
  <c r="D52" i="26"/>
  <c r="D19" i="193"/>
  <c r="D9" i="162"/>
  <c r="D27" i="9"/>
  <c r="E15" i="154"/>
  <c r="D25" i="102"/>
  <c r="E34" i="7"/>
  <c r="F20" i="12"/>
  <c r="D33" i="161"/>
  <c r="D223" i="26"/>
  <c r="D37" i="184"/>
  <c r="D209" i="26"/>
  <c r="E553" i="26"/>
  <c r="E386" i="26"/>
  <c r="E600" i="26"/>
  <c r="D19" i="158"/>
  <c r="D13" i="170"/>
  <c r="E261" i="26"/>
  <c r="D24" i="184"/>
  <c r="E18" i="187"/>
  <c r="D32" i="180"/>
  <c r="D29" i="165"/>
  <c r="C14" i="137"/>
  <c r="D10" i="146"/>
  <c r="E20" i="168"/>
  <c r="D19" i="187"/>
  <c r="D427" i="26"/>
  <c r="D637" i="26"/>
  <c r="E27" i="192"/>
  <c r="E129" i="26"/>
  <c r="E385" i="26"/>
  <c r="D36" i="161"/>
  <c r="D13" i="148"/>
  <c r="D35" i="186"/>
  <c r="E593" i="26"/>
  <c r="D601" i="26"/>
  <c r="D84" i="26"/>
  <c r="D270" i="26"/>
  <c r="E616" i="26"/>
  <c r="D525" i="26"/>
  <c r="F22" i="76"/>
  <c r="E16" i="164"/>
  <c r="D656" i="26"/>
  <c r="D22" i="77"/>
  <c r="D17" i="172"/>
  <c r="E17" i="193"/>
  <c r="D7" i="148"/>
  <c r="E11" i="153"/>
  <c r="E39" i="7"/>
  <c r="D23" i="102"/>
  <c r="E658" i="26"/>
  <c r="E689" i="26"/>
  <c r="E407" i="26"/>
  <c r="E659" i="26"/>
  <c r="E39" i="192"/>
  <c r="D9" i="182"/>
  <c r="D617" i="26"/>
  <c r="C63" i="4"/>
  <c r="E31" i="193"/>
  <c r="D18" i="7"/>
  <c r="D50" i="4"/>
  <c r="E15" i="162"/>
  <c r="C6" i="139"/>
  <c r="D27" i="196"/>
  <c r="E43" i="189"/>
  <c r="D20" i="136"/>
  <c r="D10" i="149"/>
  <c r="D186" i="26"/>
  <c r="D10" i="178"/>
  <c r="E18" i="169"/>
  <c r="C13" i="136"/>
  <c r="E29" i="183"/>
  <c r="D11" i="184"/>
  <c r="C10" i="143"/>
  <c r="D45" i="26"/>
  <c r="E22" i="158"/>
  <c r="E26" i="167"/>
  <c r="E811" i="26"/>
  <c r="D15" i="146"/>
  <c r="C15" i="138"/>
  <c r="D632" i="26"/>
  <c r="C41" i="4"/>
  <c r="C25" i="80"/>
  <c r="E8" i="102"/>
  <c r="E16" i="163"/>
  <c r="D26" i="167"/>
  <c r="E306" i="26"/>
  <c r="E14" i="165"/>
  <c r="D23" i="136"/>
  <c r="D267" i="26"/>
  <c r="D16" i="173"/>
  <c r="D16" i="174"/>
  <c r="H10" i="5"/>
  <c r="D12" i="156"/>
  <c r="E22" i="194"/>
  <c r="D8" i="192"/>
  <c r="D29" i="166"/>
  <c r="D28" i="179"/>
  <c r="E778" i="26"/>
  <c r="E14" i="166"/>
  <c r="D14" i="185"/>
  <c r="E12" i="185"/>
  <c r="E16" i="191"/>
  <c r="D11" i="7"/>
  <c r="E33" i="160"/>
  <c r="E12" i="158"/>
  <c r="D38" i="184"/>
  <c r="E7" i="178"/>
  <c r="D16" i="190"/>
  <c r="D108" i="26"/>
  <c r="C23" i="148"/>
  <c r="D15" i="176"/>
  <c r="C16" i="145"/>
  <c r="H10" i="75"/>
  <c r="E643" i="26"/>
  <c r="D25" i="161"/>
  <c r="C25" i="136"/>
  <c r="D445" i="26"/>
  <c r="E30" i="163"/>
  <c r="E10" i="182"/>
  <c r="E812" i="26"/>
  <c r="I31" i="75"/>
  <c r="D15" i="165"/>
  <c r="D581" i="26"/>
  <c r="C8" i="138"/>
  <c r="D739" i="26"/>
  <c r="E40" i="194"/>
  <c r="E17" i="184"/>
  <c r="D23" i="80"/>
  <c r="E10" i="176"/>
  <c r="E20" i="164"/>
  <c r="E25" i="77"/>
  <c r="D18" i="193"/>
  <c r="E488" i="26"/>
  <c r="E12" i="156"/>
  <c r="D32" i="168"/>
  <c r="E32" i="165"/>
  <c r="F24" i="12"/>
  <c r="E9" i="176"/>
  <c r="D18" i="9"/>
  <c r="D41" i="161"/>
  <c r="E232" i="26"/>
  <c r="D18" i="167"/>
  <c r="E7" i="7"/>
  <c r="D32" i="155"/>
  <c r="E19" i="190"/>
  <c r="E175" i="26"/>
  <c r="D38" i="162"/>
  <c r="D250" i="26"/>
  <c r="D16" i="179"/>
  <c r="E290" i="26"/>
  <c r="E26" i="16"/>
  <c r="D130" i="26"/>
  <c r="D9" i="158"/>
  <c r="C26" i="146"/>
  <c r="E25" i="192"/>
  <c r="E36" i="191"/>
  <c r="E37" i="26"/>
  <c r="C6" i="142"/>
  <c r="E13" i="102"/>
  <c r="D9" i="185"/>
  <c r="E128" i="26"/>
  <c r="E27" i="185"/>
  <c r="D363" i="26"/>
  <c r="E27" i="187"/>
  <c r="D25" i="155"/>
  <c r="D6" i="196"/>
  <c r="E16" i="189"/>
  <c r="E15" i="191"/>
  <c r="C17" i="137"/>
  <c r="C43" i="4"/>
  <c r="D754" i="26"/>
  <c r="E13" i="185"/>
  <c r="C11" i="140"/>
  <c r="D33" i="188"/>
  <c r="D29" i="171"/>
  <c r="D32" i="188"/>
  <c r="E42" i="16"/>
  <c r="D26" i="187"/>
  <c r="E180" i="26"/>
  <c r="D298" i="26"/>
  <c r="D455" i="26"/>
  <c r="D18" i="192"/>
  <c r="E441" i="26"/>
  <c r="D29" i="185"/>
  <c r="D7" i="172"/>
  <c r="E35" i="7"/>
  <c r="D22" i="172"/>
  <c r="E36" i="193"/>
  <c r="E31" i="166"/>
  <c r="E10" i="172"/>
  <c r="E16" i="161"/>
  <c r="E126" i="26"/>
  <c r="E109" i="26"/>
  <c r="E793" i="26"/>
  <c r="D19" i="141"/>
  <c r="E183" i="26"/>
  <c r="D18" i="139"/>
  <c r="D38" i="4"/>
  <c r="E398" i="26"/>
  <c r="D29" i="153"/>
  <c r="D33" i="153"/>
  <c r="D31" i="166"/>
  <c r="E8" i="166"/>
  <c r="E399" i="26"/>
  <c r="E19" i="170"/>
  <c r="E167" i="26"/>
  <c r="E630" i="26"/>
  <c r="E21" i="179"/>
  <c r="D9" i="166"/>
  <c r="D16" i="140"/>
  <c r="E40" i="186"/>
  <c r="E26" i="158"/>
  <c r="E32" i="191"/>
  <c r="E18" i="190"/>
  <c r="E31" i="188"/>
  <c r="E16" i="190"/>
  <c r="E19" i="187"/>
  <c r="D23" i="182"/>
  <c r="D23" i="162"/>
  <c r="E703" i="26"/>
  <c r="E239" i="26"/>
  <c r="E32" i="179"/>
  <c r="D19" i="16"/>
  <c r="D40" i="153"/>
  <c r="D11" i="168"/>
  <c r="C62" i="4"/>
  <c r="D23" i="183"/>
  <c r="E847" i="26"/>
  <c r="D32" i="166"/>
  <c r="E448" i="26"/>
  <c r="E18" i="77"/>
  <c r="D10" i="7"/>
  <c r="H7" i="75"/>
  <c r="C10" i="78"/>
  <c r="E25" i="171"/>
  <c r="D22" i="153"/>
  <c r="E785" i="26"/>
  <c r="E346" i="26"/>
  <c r="D43" i="26"/>
  <c r="D621" i="26"/>
  <c r="E574" i="26"/>
  <c r="E646" i="26"/>
  <c r="D25" i="174"/>
  <c r="E137" i="26"/>
  <c r="D17" i="173"/>
  <c r="D18" i="173"/>
  <c r="C31" i="4"/>
  <c r="D14" i="79"/>
  <c r="D10" i="147"/>
  <c r="E31" i="157"/>
  <c r="D36" i="160"/>
  <c r="D34" i="16"/>
  <c r="E26" i="162"/>
  <c r="D380" i="26"/>
  <c r="D18" i="164"/>
  <c r="E36" i="161"/>
  <c r="E9" i="179"/>
  <c r="C27" i="138"/>
  <c r="D36" i="78"/>
  <c r="D68" i="26"/>
  <c r="E712" i="26"/>
  <c r="D17" i="187"/>
  <c r="D29" i="188"/>
  <c r="D485" i="26"/>
  <c r="E23" i="16"/>
  <c r="E44" i="183"/>
  <c r="E38" i="191"/>
  <c r="C24" i="139"/>
  <c r="E95" i="26"/>
  <c r="D712" i="26"/>
  <c r="D7" i="162"/>
  <c r="D23" i="190"/>
  <c r="E27" i="172"/>
  <c r="E25" i="179"/>
  <c r="E39" i="160"/>
  <c r="E34" i="185"/>
  <c r="D432" i="26"/>
  <c r="E10" i="165"/>
  <c r="D15" i="148"/>
  <c r="D10" i="80"/>
  <c r="E27" i="193"/>
  <c r="E66" i="26"/>
  <c r="E762" i="26"/>
  <c r="E798" i="26"/>
  <c r="E107" i="26"/>
  <c r="E662" i="26"/>
  <c r="D30" i="155"/>
  <c r="D105" i="26"/>
  <c r="D278" i="26"/>
  <c r="D31" i="180"/>
  <c r="E19" i="159"/>
  <c r="D27" i="145"/>
  <c r="D576" i="26"/>
  <c r="C24" i="140"/>
  <c r="D10" i="194"/>
  <c r="C12" i="148"/>
  <c r="E22" i="184"/>
  <c r="E15" i="194"/>
  <c r="C22" i="147"/>
  <c r="E34" i="166"/>
  <c r="D631" i="26"/>
  <c r="E20" i="183"/>
  <c r="D548" i="26"/>
  <c r="E702" i="26"/>
  <c r="D24" i="159"/>
  <c r="D137" i="26"/>
  <c r="D33" i="162"/>
  <c r="E43" i="191"/>
  <c r="E30" i="159"/>
  <c r="E33" i="166"/>
  <c r="E30" i="7"/>
  <c r="E16" i="165"/>
  <c r="E437" i="26"/>
  <c r="D20" i="176"/>
  <c r="D782" i="26"/>
  <c r="E40" i="162"/>
  <c r="E33" i="189"/>
  <c r="E523" i="26"/>
  <c r="D16" i="196"/>
  <c r="E37" i="7"/>
  <c r="E41" i="190"/>
  <c r="E694" i="26"/>
  <c r="D28" i="4"/>
  <c r="F17" i="76"/>
  <c r="D438" i="26"/>
  <c r="D44" i="153"/>
  <c r="E119" i="26"/>
  <c r="D7" i="139"/>
  <c r="D850" i="26"/>
  <c r="D40" i="183"/>
  <c r="E17" i="76"/>
  <c r="E25" i="174"/>
  <c r="E36" i="158"/>
  <c r="E45" i="7"/>
  <c r="D26" i="179"/>
  <c r="E38" i="184"/>
  <c r="E610" i="26"/>
  <c r="E849" i="26"/>
  <c r="E14" i="190"/>
  <c r="E378" i="26"/>
  <c r="D677" i="26"/>
  <c r="E826" i="26"/>
  <c r="D80" i="26"/>
  <c r="D333" i="26"/>
  <c r="D673" i="26"/>
  <c r="D43" i="181"/>
  <c r="C27" i="148"/>
  <c r="E30" i="183"/>
  <c r="E735" i="26"/>
  <c r="E7" i="191"/>
  <c r="E17" i="186"/>
  <c r="D15" i="80"/>
  <c r="D21" i="183"/>
  <c r="D697" i="26"/>
  <c r="D94" i="26"/>
  <c r="E753" i="26"/>
  <c r="E100" i="26"/>
  <c r="D22" i="147"/>
  <c r="D31" i="168"/>
  <c r="D63" i="4"/>
  <c r="D22" i="181"/>
  <c r="C21" i="78"/>
  <c r="E25" i="176"/>
  <c r="D152" i="26"/>
  <c r="D36" i="16"/>
  <c r="E28" i="26"/>
  <c r="E19" i="184"/>
  <c r="D9" i="177"/>
  <c r="E25" i="167"/>
  <c r="E19" i="163"/>
  <c r="D18" i="179"/>
  <c r="D26" i="171"/>
  <c r="C6" i="78"/>
  <c r="D20" i="147"/>
  <c r="E14" i="187"/>
  <c r="E532" i="26"/>
  <c r="D14" i="9"/>
  <c r="D44" i="26"/>
  <c r="E31" i="169"/>
  <c r="D33" i="158"/>
  <c r="E15" i="184"/>
  <c r="D20" i="164"/>
  <c r="E10" i="12"/>
  <c r="E13" i="174"/>
  <c r="E28" i="177"/>
  <c r="E243" i="26"/>
  <c r="E29" i="154"/>
  <c r="E317" i="26"/>
  <c r="E465" i="26"/>
  <c r="E35" i="190"/>
  <c r="D12" i="145"/>
  <c r="D393" i="26"/>
  <c r="E38" i="158"/>
  <c r="E45" i="163"/>
  <c r="E18" i="174"/>
  <c r="D21" i="79"/>
  <c r="D626" i="26"/>
  <c r="E225" i="26"/>
  <c r="C6" i="20"/>
  <c r="D23" i="155"/>
  <c r="D16" i="158"/>
  <c r="D14" i="154"/>
  <c r="E29" i="163"/>
  <c r="E11" i="194"/>
  <c r="E18" i="175"/>
  <c r="D746" i="26"/>
  <c r="I22" i="75"/>
  <c r="D43" i="185"/>
  <c r="D34" i="153"/>
  <c r="D39" i="183"/>
  <c r="I30" i="75"/>
  <c r="D25" i="158"/>
  <c r="D494" i="26"/>
  <c r="C36" i="4"/>
  <c r="D31" i="159"/>
  <c r="E32" i="189"/>
  <c r="D30" i="159"/>
  <c r="E24" i="193"/>
  <c r="D178" i="26"/>
  <c r="D31" i="176"/>
  <c r="D353" i="26"/>
  <c r="E464" i="26"/>
  <c r="E9" i="175"/>
  <c r="D22" i="102"/>
  <c r="E33" i="193"/>
  <c r="D12" i="161"/>
  <c r="D42" i="7"/>
  <c r="D313" i="26"/>
  <c r="D27" i="170"/>
  <c r="E21" i="174"/>
  <c r="E7" i="159"/>
  <c r="D12" i="171"/>
  <c r="D21" i="157"/>
  <c r="E850" i="26"/>
  <c r="D13" i="165"/>
  <c r="E162" i="26"/>
  <c r="D35" i="156"/>
  <c r="E34" i="26"/>
  <c r="D10" i="157"/>
  <c r="C13" i="80"/>
  <c r="D477" i="26"/>
  <c r="D849" i="26"/>
  <c r="E354" i="26"/>
  <c r="D6" i="156"/>
  <c r="E19" i="155"/>
  <c r="D31" i="187"/>
  <c r="C9" i="139"/>
  <c r="C23" i="140"/>
  <c r="D42" i="26"/>
  <c r="D19" i="169"/>
  <c r="D825" i="26"/>
  <c r="D28" i="186"/>
  <c r="E44" i="153"/>
  <c r="D28" i="164"/>
  <c r="D6" i="183"/>
  <c r="E40" i="190"/>
  <c r="E33" i="165"/>
  <c r="D44" i="193"/>
  <c r="D689" i="26"/>
  <c r="D342" i="26"/>
  <c r="D60" i="26"/>
  <c r="E757" i="26"/>
  <c r="I19" i="75"/>
  <c r="E22" i="170"/>
  <c r="E146" i="26"/>
  <c r="E40" i="163"/>
  <c r="D17" i="186"/>
  <c r="D38" i="155"/>
  <c r="F25" i="76"/>
  <c r="E19" i="176"/>
  <c r="C14" i="78"/>
  <c r="C14" i="140"/>
  <c r="E20" i="191"/>
  <c r="E15" i="156"/>
  <c r="D29" i="156"/>
  <c r="E20" i="102"/>
  <c r="E23" i="157"/>
  <c r="D43" i="190"/>
  <c r="D11" i="172"/>
  <c r="E15" i="12"/>
  <c r="E25" i="160"/>
  <c r="E45" i="156"/>
  <c r="E184" i="26"/>
  <c r="D13" i="181"/>
  <c r="D13" i="178"/>
  <c r="E40" i="191"/>
  <c r="E201" i="26"/>
  <c r="E15" i="174"/>
  <c r="E17" i="165"/>
  <c r="E21" i="181"/>
  <c r="D31" i="182"/>
  <c r="D37" i="153"/>
  <c r="C43" i="78"/>
  <c r="D398" i="26"/>
  <c r="D28" i="160"/>
  <c r="D11" i="167"/>
  <c r="E722" i="26"/>
  <c r="E16" i="153"/>
  <c r="D10" i="163"/>
  <c r="E768" i="26"/>
  <c r="E22" i="155"/>
  <c r="D16" i="194"/>
  <c r="E12" i="191"/>
  <c r="E21" i="175"/>
  <c r="D9" i="179"/>
  <c r="E649" i="26"/>
  <c r="D32" i="186"/>
  <c r="C25" i="146"/>
  <c r="D789" i="26"/>
  <c r="E43" i="194"/>
  <c r="D27" i="176"/>
  <c r="D247" i="26"/>
  <c r="E621" i="26"/>
  <c r="O6" i="195"/>
  <c r="C14" i="147"/>
  <c r="E17" i="182"/>
  <c r="D9" i="174"/>
  <c r="E44" i="165"/>
  <c r="F19" i="12"/>
  <c r="E375" i="26"/>
  <c r="E35" i="16"/>
  <c r="D15" i="144"/>
  <c r="E15" i="182"/>
  <c r="E18" i="155"/>
  <c r="D20" i="175"/>
  <c r="D67" i="4"/>
  <c r="E415" i="26"/>
  <c r="E589" i="26"/>
  <c r="D11" i="165"/>
  <c r="D18" i="160"/>
  <c r="C9" i="142"/>
  <c r="D22" i="180"/>
  <c r="E642" i="26"/>
  <c r="E44" i="188"/>
  <c r="E18" i="154"/>
  <c r="D32" i="178"/>
  <c r="E28" i="76"/>
  <c r="E45" i="26"/>
  <c r="D439" i="26"/>
  <c r="D23" i="172"/>
  <c r="D18" i="180"/>
  <c r="D19" i="162"/>
  <c r="E419" i="26"/>
  <c r="E772" i="26"/>
  <c r="E326" i="26"/>
  <c r="E16" i="179"/>
  <c r="D14" i="188"/>
  <c r="C8" i="139"/>
  <c r="E36" i="162"/>
  <c r="E21" i="187"/>
  <c r="D9" i="4"/>
  <c r="D32" i="167"/>
  <c r="E352" i="26"/>
  <c r="E79" i="26"/>
  <c r="D20" i="154"/>
  <c r="H9" i="5"/>
  <c r="D20" i="181"/>
  <c r="C8" i="4"/>
  <c r="D55" i="26"/>
  <c r="D21" i="16"/>
  <c r="C13" i="146"/>
  <c r="D724" i="26"/>
  <c r="D814" i="26"/>
  <c r="E10" i="166"/>
  <c r="D60" i="4"/>
  <c r="D31" i="102"/>
  <c r="D91" i="26"/>
  <c r="C47" i="4"/>
  <c r="C14" i="148"/>
  <c r="D22" i="138"/>
  <c r="E9" i="194"/>
  <c r="D10" i="155"/>
  <c r="E21" i="171"/>
  <c r="D7" i="147"/>
  <c r="C25" i="149"/>
  <c r="E10" i="154"/>
  <c r="E10" i="167"/>
  <c r="D135" i="26"/>
  <c r="C10" i="139"/>
  <c r="D17" i="166"/>
  <c r="D590" i="26"/>
  <c r="D35" i="189"/>
  <c r="D41" i="26"/>
  <c r="D618" i="26"/>
  <c r="D31" i="193"/>
  <c r="D35" i="26"/>
  <c r="E8" i="167"/>
  <c r="D21" i="160"/>
  <c r="D372" i="26"/>
  <c r="E26" i="192"/>
  <c r="E302" i="26"/>
  <c r="D25" i="77"/>
  <c r="D587" i="26"/>
  <c r="C18" i="4"/>
  <c r="E45" i="160"/>
  <c r="E12" i="169"/>
  <c r="E29" i="190"/>
  <c r="D31" i="172"/>
  <c r="C13" i="149"/>
  <c r="E15" i="179"/>
  <c r="E746" i="26"/>
  <c r="D41" i="189"/>
  <c r="D24" i="163"/>
  <c r="E18" i="163"/>
  <c r="C41" i="78"/>
  <c r="D180" i="26"/>
  <c r="E9" i="177"/>
  <c r="E471" i="26"/>
  <c r="D26" i="146"/>
  <c r="D33" i="159"/>
  <c r="E22" i="77"/>
  <c r="E296" i="26"/>
  <c r="D11" i="161"/>
  <c r="E42" i="161"/>
  <c r="E12" i="171"/>
  <c r="C21" i="147"/>
  <c r="E305" i="26"/>
  <c r="I25" i="75"/>
  <c r="D17" i="169"/>
  <c r="E21" i="176"/>
  <c r="D37" i="161"/>
  <c r="D22" i="7"/>
  <c r="F12" i="12"/>
  <c r="D13" i="16"/>
  <c r="E40" i="184"/>
  <c r="E41" i="160"/>
  <c r="D119" i="26"/>
  <c r="E17" i="160"/>
  <c r="D13" i="184"/>
  <c r="E20" i="160"/>
  <c r="D13" i="189"/>
  <c r="E408" i="26"/>
  <c r="E39" i="184"/>
  <c r="D30" i="189"/>
  <c r="C24" i="149"/>
  <c r="D9" i="148"/>
  <c r="E31" i="171"/>
  <c r="E384" i="26"/>
  <c r="D16" i="176"/>
  <c r="E18" i="196"/>
  <c r="D26" i="141"/>
  <c r="D36" i="186"/>
  <c r="E10" i="188"/>
  <c r="D40" i="16"/>
  <c r="D21" i="179"/>
  <c r="D17" i="102"/>
  <c r="E23" i="174"/>
  <c r="D29" i="194"/>
  <c r="D29" i="175"/>
  <c r="E22" i="191"/>
  <c r="E607" i="26"/>
  <c r="E244" i="26"/>
  <c r="E26" i="181"/>
  <c r="D15" i="187"/>
  <c r="D747" i="26"/>
  <c r="D10" i="182"/>
  <c r="E335" i="26"/>
  <c r="E510" i="26"/>
  <c r="D7" i="149"/>
  <c r="D22" i="191"/>
  <c r="D38" i="190"/>
  <c r="E840" i="26"/>
  <c r="E40" i="188"/>
  <c r="E45" i="157"/>
  <c r="D15" i="179"/>
  <c r="D820" i="26"/>
  <c r="C7" i="139"/>
  <c r="D27" i="187"/>
  <c r="E716" i="26"/>
  <c r="D8" i="147"/>
  <c r="D17" i="158"/>
  <c r="D6" i="168"/>
  <c r="E623" i="26"/>
  <c r="E37" i="162"/>
  <c r="D22" i="161"/>
  <c r="C23" i="9"/>
  <c r="D559" i="26"/>
  <c r="D166" i="26"/>
  <c r="D557" i="26"/>
  <c r="D25" i="164"/>
  <c r="E641" i="26"/>
  <c r="D13" i="175"/>
  <c r="D22" i="160"/>
  <c r="D112" i="26"/>
  <c r="E9" i="190"/>
  <c r="E26" i="164"/>
  <c r="D17" i="161"/>
  <c r="C19" i="80"/>
  <c r="D358" i="26"/>
  <c r="D97" i="26"/>
  <c r="D510" i="26"/>
  <c r="E672" i="26"/>
  <c r="D446" i="26"/>
  <c r="E668" i="26"/>
  <c r="D389" i="26"/>
  <c r="D598" i="26"/>
  <c r="D553" i="26"/>
  <c r="E110" i="26"/>
  <c r="D155" i="26"/>
  <c r="C6" i="147"/>
  <c r="D15" i="175"/>
  <c r="E44" i="189"/>
  <c r="E39" i="159"/>
  <c r="D286" i="26"/>
  <c r="D16" i="168"/>
  <c r="E33" i="188"/>
  <c r="E13" i="153"/>
  <c r="E380" i="26"/>
  <c r="D38" i="191"/>
  <c r="C7" i="140"/>
  <c r="D18" i="145"/>
  <c r="E502" i="26"/>
  <c r="D34" i="190"/>
  <c r="D30" i="196"/>
  <c r="E474" i="26"/>
  <c r="E726" i="26"/>
  <c r="E416" i="26"/>
  <c r="E252" i="26"/>
  <c r="D13" i="146"/>
  <c r="E647" i="26"/>
  <c r="D23" i="9"/>
  <c r="C22" i="4"/>
  <c r="D7" i="143"/>
  <c r="E36" i="163"/>
  <c r="D18" i="182"/>
  <c r="E32" i="155"/>
  <c r="E752" i="26"/>
  <c r="D613" i="26"/>
  <c r="D517" i="26"/>
  <c r="E680" i="26"/>
  <c r="E786" i="26"/>
  <c r="E29" i="174"/>
  <c r="E667" i="26"/>
  <c r="E24" i="185"/>
  <c r="E560" i="26"/>
  <c r="E105" i="26"/>
  <c r="D16" i="139"/>
  <c r="D13" i="7"/>
  <c r="E25" i="194"/>
  <c r="D721" i="26"/>
  <c r="E83" i="26"/>
  <c r="D20" i="143"/>
  <c r="E9" i="184"/>
  <c r="D21" i="172"/>
  <c r="E61" i="26"/>
  <c r="E25" i="187"/>
  <c r="H31" i="75"/>
  <c r="D32" i="4"/>
  <c r="E42" i="155"/>
  <c r="D13" i="163"/>
  <c r="E609" i="26"/>
  <c r="C13" i="138"/>
  <c r="D49" i="26"/>
  <c r="E578" i="26"/>
  <c r="E718" i="26"/>
  <c r="D28" i="77"/>
  <c r="E22" i="169"/>
  <c r="D30" i="16"/>
  <c r="E29" i="76"/>
  <c r="C21" i="9"/>
  <c r="C13" i="141"/>
  <c r="D43" i="189"/>
  <c r="D27" i="140"/>
  <c r="E32" i="187"/>
  <c r="C6" i="19"/>
  <c r="D14" i="141"/>
  <c r="D29" i="181"/>
  <c r="E9" i="173"/>
  <c r="D256" i="26"/>
  <c r="E22" i="183"/>
  <c r="E821" i="26"/>
  <c r="D129" i="26"/>
  <c r="D24" i="193"/>
  <c r="C27" i="141"/>
  <c r="D9" i="147"/>
  <c r="D264" i="26"/>
  <c r="E28" i="175"/>
  <c r="C7" i="148"/>
  <c r="D37" i="156"/>
  <c r="F10" i="12"/>
  <c r="D73" i="26"/>
  <c r="C20" i="139"/>
  <c r="D639" i="26"/>
  <c r="D6" i="177"/>
  <c r="C9" i="149"/>
  <c r="D163" i="26"/>
  <c r="D29" i="7"/>
  <c r="D18" i="161"/>
  <c r="E511" i="26"/>
  <c r="C20" i="145"/>
  <c r="E151" i="26"/>
  <c r="E21" i="26"/>
  <c r="D751" i="26"/>
  <c r="E195" i="26"/>
  <c r="H14" i="5"/>
  <c r="D722" i="26"/>
  <c r="E340" i="26"/>
  <c r="D742" i="26"/>
  <c r="E19" i="175"/>
  <c r="D734" i="26"/>
  <c r="E27" i="102"/>
  <c r="E258" i="26"/>
  <c r="E25" i="166"/>
  <c r="F16" i="12"/>
  <c r="C9" i="136"/>
  <c r="D6" i="160"/>
  <c r="E487" i="26"/>
  <c r="D26" i="170"/>
  <c r="E23" i="156"/>
  <c r="D25" i="140"/>
  <c r="C7" i="144"/>
  <c r="E16" i="196"/>
  <c r="D7" i="163"/>
  <c r="E495" i="26"/>
  <c r="E28" i="155"/>
  <c r="D658" i="26"/>
  <c r="E255" i="26"/>
  <c r="E23" i="167"/>
  <c r="E25" i="7"/>
  <c r="E9" i="12"/>
  <c r="D12" i="174"/>
  <c r="D716" i="26"/>
  <c r="D19" i="180"/>
  <c r="D12" i="170"/>
  <c r="D14" i="164"/>
  <c r="D23" i="146"/>
  <c r="E22" i="181"/>
  <c r="E17" i="173"/>
  <c r="E10" i="197"/>
  <c r="D18" i="149"/>
  <c r="E673" i="26"/>
  <c r="E9" i="160"/>
  <c r="H16" i="75"/>
  <c r="E17" i="176"/>
  <c r="E22" i="165"/>
  <c r="D442" i="26"/>
  <c r="D32" i="192"/>
  <c r="D33" i="7"/>
  <c r="D25" i="148"/>
  <c r="E20" i="190"/>
  <c r="E349" i="26"/>
  <c r="D32" i="171"/>
  <c r="D341" i="26"/>
  <c r="C8" i="137"/>
  <c r="D15" i="142"/>
  <c r="E14" i="160"/>
  <c r="E42" i="182"/>
  <c r="E40" i="7"/>
  <c r="D40" i="194"/>
  <c r="C19" i="149"/>
  <c r="D24" i="145"/>
  <c r="D611" i="26"/>
  <c r="D545" i="26"/>
  <c r="D606" i="26"/>
  <c r="D378" i="26"/>
  <c r="D519" i="26"/>
  <c r="E39" i="189"/>
  <c r="E813" i="26"/>
  <c r="E26" i="183"/>
  <c r="E12" i="163"/>
  <c r="E36" i="181"/>
  <c r="D18" i="163"/>
  <c r="E325" i="26"/>
  <c r="E40" i="160"/>
  <c r="D32" i="174"/>
  <c r="D20" i="186"/>
  <c r="D28" i="181"/>
  <c r="E33" i="184"/>
  <c r="E409" i="26"/>
  <c r="E45" i="162"/>
  <c r="D38" i="163"/>
  <c r="D9" i="143"/>
  <c r="D684" i="26"/>
  <c r="D26" i="154"/>
  <c r="E438" i="26"/>
  <c r="D23" i="171"/>
  <c r="D625" i="26"/>
  <c r="E84" i="26"/>
  <c r="E684" i="26"/>
  <c r="D667" i="26"/>
  <c r="G12" i="5"/>
  <c r="E33" i="159"/>
  <c r="E29" i="196"/>
  <c r="E22" i="189"/>
  <c r="D16" i="162"/>
  <c r="E10" i="169"/>
  <c r="D16" i="4"/>
  <c r="E36" i="26"/>
  <c r="E827" i="26"/>
  <c r="E334" i="26"/>
  <c r="E282" i="26"/>
  <c r="D596" i="26"/>
  <c r="E453" i="26"/>
  <c r="E102" i="26"/>
  <c r="E343" i="26"/>
  <c r="E265" i="26"/>
  <c r="D265" i="26"/>
  <c r="E26" i="178"/>
  <c r="D85" i="26"/>
  <c r="E9" i="164"/>
  <c r="E11" i="168"/>
  <c r="E141" i="26"/>
  <c r="D32" i="16"/>
  <c r="C25" i="78"/>
  <c r="E38" i="155"/>
  <c r="E12" i="181"/>
  <c r="D9" i="155"/>
  <c r="C12" i="138"/>
  <c r="D19" i="147"/>
  <c r="D44" i="188"/>
  <c r="E143" i="26"/>
  <c r="E26" i="190"/>
  <c r="D40" i="182"/>
  <c r="D623" i="26"/>
  <c r="C17" i="136"/>
  <c r="D338" i="26"/>
  <c r="C22" i="146"/>
  <c r="E36" i="153"/>
  <c r="D16" i="160"/>
  <c r="E11" i="170"/>
  <c r="D41" i="155"/>
  <c r="E30" i="190"/>
  <c r="E31" i="187"/>
  <c r="E508" i="26"/>
  <c r="D16" i="26"/>
  <c r="D19" i="176"/>
  <c r="D42" i="155"/>
  <c r="E345" i="26"/>
  <c r="E329" i="26"/>
  <c r="E550" i="26"/>
  <c r="D651" i="26"/>
  <c r="D344" i="26"/>
  <c r="D8" i="193"/>
  <c r="D9" i="168"/>
  <c r="E548" i="26"/>
  <c r="E537" i="26"/>
  <c r="D9" i="184"/>
  <c r="D83" i="26"/>
  <c r="E23" i="168"/>
  <c r="D30" i="4"/>
  <c r="D25" i="170"/>
  <c r="E25" i="102"/>
  <c r="D352" i="26"/>
  <c r="E17" i="180"/>
  <c r="C19" i="78"/>
  <c r="D592" i="26"/>
  <c r="D44" i="184"/>
  <c r="C10" i="79"/>
  <c r="E15" i="168"/>
  <c r="E19" i="182"/>
  <c r="D11" i="179"/>
  <c r="E31" i="175"/>
  <c r="C61" i="4"/>
  <c r="E40" i="166"/>
  <c r="E7" i="194"/>
  <c r="H22" i="75"/>
  <c r="D8" i="175"/>
  <c r="D807" i="26"/>
  <c r="C24" i="4"/>
  <c r="D24" i="140"/>
  <c r="E632" i="26"/>
  <c r="D32" i="194"/>
  <c r="D277" i="26"/>
  <c r="E21" i="185"/>
  <c r="D26" i="178"/>
  <c r="E36" i="159"/>
  <c r="D434" i="26"/>
  <c r="E248" i="26"/>
  <c r="D468" i="26"/>
  <c r="D608" i="26"/>
  <c r="E28" i="170"/>
  <c r="D31" i="156"/>
  <c r="D7" i="159"/>
  <c r="E14" i="182"/>
  <c r="E26" i="7"/>
  <c r="D299" i="26"/>
  <c r="D6" i="184"/>
  <c r="E34" i="188"/>
  <c r="C19" i="143"/>
  <c r="D15" i="178"/>
  <c r="E18" i="188"/>
  <c r="E699" i="26"/>
  <c r="E41" i="194"/>
  <c r="D22" i="26"/>
  <c r="E16" i="160"/>
  <c r="E18" i="176"/>
  <c r="C15" i="80"/>
  <c r="D462" i="26"/>
  <c r="E714" i="26"/>
  <c r="E754" i="26"/>
  <c r="D11" i="149"/>
  <c r="E12" i="166"/>
  <c r="E422" i="26"/>
  <c r="E30" i="158"/>
  <c r="E238" i="26"/>
  <c r="E14" i="76"/>
  <c r="D90" i="26"/>
  <c r="D26" i="153"/>
  <c r="D40" i="159"/>
  <c r="E32" i="170"/>
  <c r="D21" i="180"/>
  <c r="C21" i="137"/>
  <c r="C12" i="141"/>
  <c r="C19" i="139"/>
  <c r="E631" i="26"/>
  <c r="E237" i="26"/>
  <c r="E7" i="190"/>
  <c r="D23" i="179"/>
  <c r="F8" i="12"/>
  <c r="F26" i="76"/>
  <c r="D41" i="183"/>
  <c r="E11" i="193"/>
  <c r="E108" i="26"/>
  <c r="E218" i="26"/>
  <c r="C23" i="20"/>
  <c r="E89" i="26"/>
  <c r="E24" i="160"/>
  <c r="E155" i="26"/>
  <c r="E14" i="162"/>
  <c r="D26" i="176"/>
  <c r="D28" i="102"/>
  <c r="D22" i="140"/>
  <c r="E671" i="26"/>
  <c r="E174" i="26"/>
  <c r="E7" i="12"/>
  <c r="E38" i="181"/>
  <c r="D22" i="174"/>
  <c r="E397" i="26"/>
  <c r="E504" i="26"/>
  <c r="E44" i="156"/>
  <c r="D21" i="173"/>
  <c r="D367" i="26"/>
  <c r="D706" i="26"/>
  <c r="D16" i="154"/>
  <c r="E11" i="157"/>
  <c r="E15" i="155"/>
  <c r="D28" i="153"/>
  <c r="E32" i="160"/>
  <c r="E376" i="26"/>
  <c r="D694" i="26"/>
  <c r="C22" i="143"/>
  <c r="D7" i="157"/>
  <c r="D414" i="26"/>
  <c r="E7" i="189"/>
  <c r="D24" i="160"/>
  <c r="D561" i="26"/>
  <c r="E41" i="191"/>
  <c r="D13" i="186"/>
  <c r="D32" i="162"/>
  <c r="E39" i="158"/>
  <c r="D360" i="26"/>
  <c r="D16" i="172"/>
  <c r="E10" i="173"/>
  <c r="D14" i="162"/>
  <c r="E19" i="177"/>
  <c r="D23" i="163"/>
  <c r="D198" i="26"/>
  <c r="D21" i="137"/>
  <c r="F12" i="76"/>
  <c r="D239" i="26"/>
  <c r="E423" i="26"/>
  <c r="E67" i="26"/>
  <c r="E28" i="191"/>
  <c r="C25" i="143"/>
  <c r="D27" i="166"/>
  <c r="D10" i="78"/>
  <c r="D800" i="26"/>
  <c r="E29" i="181"/>
  <c r="E30" i="192"/>
  <c r="D11" i="174"/>
  <c r="D36" i="190"/>
  <c r="E138" i="26"/>
  <c r="E19" i="180"/>
  <c r="D32" i="158"/>
  <c r="E23" i="183"/>
  <c r="E11" i="191"/>
  <c r="E14" i="184"/>
  <c r="D6" i="190"/>
  <c r="D400" i="26"/>
  <c r="D17" i="164"/>
  <c r="E12" i="26"/>
  <c r="D337" i="26"/>
  <c r="D21" i="149"/>
  <c r="E17" i="164"/>
  <c r="D12" i="162"/>
  <c r="E277" i="26"/>
  <c r="E24" i="187"/>
  <c r="D11" i="185"/>
  <c r="D16" i="138"/>
  <c r="E14" i="156"/>
  <c r="E8" i="173"/>
  <c r="D8" i="166"/>
  <c r="D15" i="166"/>
  <c r="E22" i="192"/>
  <c r="E134" i="26"/>
  <c r="D20" i="4"/>
  <c r="D25" i="149"/>
  <c r="E18" i="16"/>
  <c r="D29" i="186"/>
  <c r="D30" i="190"/>
  <c r="D43" i="186"/>
  <c r="E29" i="167"/>
  <c r="E10" i="184"/>
  <c r="D23" i="193"/>
  <c r="D100" i="26"/>
  <c r="D24" i="144"/>
  <c r="E497" i="26"/>
  <c r="E32" i="26"/>
  <c r="E36" i="155"/>
  <c r="D276" i="26"/>
  <c r="D357" i="26"/>
  <c r="C21" i="140"/>
  <c r="F11" i="151"/>
  <c r="D841" i="26"/>
  <c r="E707" i="26"/>
  <c r="E636" i="26"/>
  <c r="D25" i="159"/>
  <c r="E24" i="184"/>
  <c r="E20" i="179"/>
  <c r="D23" i="174"/>
  <c r="E269" i="26"/>
  <c r="G10" i="5"/>
  <c r="E723" i="26"/>
  <c r="E9" i="26"/>
  <c r="D571" i="26"/>
  <c r="D282" i="26"/>
  <c r="E80" i="26"/>
  <c r="D16" i="164"/>
  <c r="D122" i="26"/>
  <c r="D7" i="137"/>
  <c r="E13" i="167"/>
  <c r="C11" i="4"/>
  <c r="C27" i="139"/>
  <c r="D10" i="164"/>
  <c r="D31" i="162"/>
  <c r="E17" i="158"/>
  <c r="E223" i="26"/>
  <c r="D31" i="78"/>
  <c r="C25" i="144"/>
  <c r="E507" i="26"/>
  <c r="D36" i="26"/>
  <c r="E29" i="170"/>
  <c r="D32" i="177"/>
  <c r="C11" i="141"/>
  <c r="E319" i="26"/>
  <c r="D21" i="190"/>
  <c r="D453" i="26"/>
  <c r="C20" i="144"/>
  <c r="E21" i="164"/>
  <c r="E11" i="7"/>
  <c r="E35" i="188"/>
  <c r="D27" i="146"/>
  <c r="D10" i="190"/>
  <c r="D418" i="26"/>
  <c r="E33" i="158"/>
  <c r="C6" i="143"/>
  <c r="C26" i="141"/>
  <c r="E29" i="16"/>
  <c r="E758" i="26"/>
  <c r="D12" i="144"/>
  <c r="D20" i="179"/>
  <c r="E29" i="185"/>
  <c r="E21" i="180"/>
  <c r="E181" i="26"/>
  <c r="D16" i="148"/>
  <c r="E33" i="190"/>
  <c r="D373" i="26"/>
  <c r="C8" i="141"/>
  <c r="E585" i="26"/>
  <c r="D495" i="26"/>
  <c r="E22" i="175"/>
  <c r="E44" i="155"/>
  <c r="E43" i="26"/>
  <c r="E645" i="26"/>
  <c r="D27" i="162"/>
  <c r="E21" i="153"/>
  <c r="D29" i="158"/>
  <c r="D35" i="16"/>
  <c r="D20" i="193"/>
  <c r="E42" i="164"/>
  <c r="D25" i="80"/>
  <c r="E34" i="165"/>
  <c r="E30" i="157"/>
  <c r="E653" i="26"/>
  <c r="D624" i="26"/>
  <c r="E23" i="161"/>
  <c r="D22" i="145"/>
  <c r="E28" i="174"/>
  <c r="D699" i="26"/>
  <c r="E41" i="164"/>
  <c r="E476" i="26"/>
  <c r="E15" i="189"/>
  <c r="E23" i="193"/>
  <c r="D33" i="191"/>
  <c r="E836" i="26"/>
  <c r="D847" i="26"/>
  <c r="E39" i="164"/>
  <c r="E576" i="26"/>
  <c r="D13" i="138"/>
  <c r="C11" i="138"/>
  <c r="D36" i="184"/>
  <c r="E370" i="26"/>
  <c r="E780" i="26"/>
  <c r="D13" i="160"/>
  <c r="D34" i="78"/>
  <c r="E27" i="174"/>
  <c r="D760" i="26"/>
  <c r="F42" i="76"/>
  <c r="D17" i="176"/>
  <c r="D22" i="142"/>
  <c r="E16" i="177"/>
  <c r="D16" i="144"/>
  <c r="E499" i="26"/>
  <c r="D14" i="160"/>
  <c r="D20" i="162"/>
  <c r="D35" i="191"/>
  <c r="D41" i="194"/>
  <c r="D12" i="159"/>
  <c r="D36" i="164"/>
  <c r="D328" i="26"/>
  <c r="D11" i="4"/>
  <c r="D501" i="26"/>
  <c r="E10" i="26"/>
  <c r="D10" i="183"/>
  <c r="E368" i="26"/>
  <c r="E36" i="190"/>
  <c r="C12" i="79"/>
  <c r="D8" i="78"/>
  <c r="E819" i="26"/>
  <c r="E19" i="192"/>
  <c r="D534" i="26"/>
  <c r="E11" i="77"/>
  <c r="D30" i="193"/>
  <c r="D31" i="155"/>
  <c r="D40" i="26"/>
  <c r="E12" i="12"/>
  <c r="D21" i="193"/>
  <c r="E358" i="26"/>
  <c r="E196" i="26"/>
  <c r="E473" i="26"/>
  <c r="D8" i="154"/>
  <c r="E513" i="26"/>
  <c r="E41" i="166"/>
  <c r="E7" i="170"/>
  <c r="D19" i="7"/>
  <c r="D160" i="26"/>
  <c r="D29" i="159"/>
  <c r="E597" i="26"/>
  <c r="E522" i="26"/>
  <c r="D41" i="160"/>
  <c r="D17" i="175"/>
  <c r="D703" i="26"/>
  <c r="D29" i="176"/>
  <c r="E34" i="164"/>
  <c r="E29" i="26"/>
  <c r="I21" i="75"/>
  <c r="D584" i="26"/>
  <c r="D40" i="157"/>
  <c r="D674" i="26"/>
  <c r="E839" i="26"/>
  <c r="D26" i="159"/>
  <c r="E28" i="190"/>
  <c r="C18" i="138"/>
  <c r="C19" i="145"/>
  <c r="E44" i="190"/>
  <c r="E40" i="181"/>
  <c r="E562" i="26"/>
  <c r="D7" i="161"/>
  <c r="D35" i="193"/>
  <c r="E39" i="154"/>
  <c r="E381" i="26"/>
  <c r="C12" i="4"/>
  <c r="E675" i="26"/>
  <c r="E736" i="26"/>
  <c r="D13" i="168"/>
  <c r="D45" i="7"/>
  <c r="E13" i="171"/>
  <c r="C10" i="147"/>
  <c r="E19" i="193"/>
  <c r="D26" i="180"/>
  <c r="D44" i="185"/>
  <c r="D628" i="26"/>
  <c r="D19" i="138"/>
  <c r="D26" i="155"/>
  <c r="E25" i="186"/>
  <c r="E21" i="178"/>
  <c r="C18" i="146"/>
  <c r="D508" i="26"/>
  <c r="E701" i="26"/>
  <c r="D20" i="185"/>
  <c r="E34" i="191"/>
  <c r="E37" i="164"/>
  <c r="D41" i="184"/>
  <c r="C8" i="140"/>
  <c r="E22" i="178"/>
  <c r="D16" i="16"/>
  <c r="E33" i="156"/>
  <c r="E22" i="76"/>
  <c r="E176" i="26"/>
  <c r="E8" i="190"/>
  <c r="E34" i="159"/>
  <c r="D8" i="162"/>
  <c r="E24" i="192"/>
  <c r="D7" i="165"/>
  <c r="E24" i="196"/>
  <c r="E12" i="157"/>
  <c r="D554" i="26"/>
  <c r="D401" i="26"/>
  <c r="D11" i="154"/>
  <c r="D17" i="170"/>
  <c r="E22" i="160"/>
  <c r="E38" i="164"/>
  <c r="E51" i="26"/>
  <c r="H20" i="75"/>
  <c r="E17" i="155"/>
  <c r="D28" i="178"/>
  <c r="D22" i="169"/>
  <c r="D103" i="26"/>
  <c r="C27" i="146"/>
  <c r="E271" i="26"/>
  <c r="D13" i="179"/>
  <c r="D32" i="153"/>
  <c r="D35" i="7"/>
  <c r="D817" i="26"/>
  <c r="E15" i="170"/>
  <c r="E37" i="158"/>
  <c r="D17" i="188"/>
  <c r="D27" i="7"/>
  <c r="D232" i="26"/>
  <c r="D475" i="26"/>
  <c r="D661" i="26"/>
  <c r="D140" i="26"/>
  <c r="D15" i="180"/>
  <c r="D11" i="175"/>
  <c r="D607" i="26"/>
  <c r="E29" i="186"/>
  <c r="E838" i="26"/>
  <c r="C27" i="142"/>
  <c r="E9" i="189"/>
  <c r="D27" i="149"/>
  <c r="D176" i="26"/>
  <c r="D13" i="172"/>
  <c r="D44" i="163"/>
  <c r="E27" i="154"/>
  <c r="C56" i="4"/>
  <c r="D24" i="137"/>
  <c r="E794" i="26"/>
  <c r="E9" i="153"/>
  <c r="E38" i="163"/>
  <c r="D7" i="142"/>
  <c r="D51" i="26"/>
  <c r="E401" i="26"/>
  <c r="E30" i="166"/>
  <c r="E528" i="26"/>
  <c r="I33" i="75"/>
  <c r="E721" i="26"/>
  <c r="E751" i="26"/>
  <c r="D580" i="26"/>
  <c r="E8" i="162"/>
  <c r="D9" i="149"/>
  <c r="E9" i="182"/>
  <c r="D25" i="138"/>
  <c r="D29" i="169"/>
  <c r="D13" i="145"/>
  <c r="C22" i="142"/>
  <c r="D21" i="158"/>
  <c r="D25" i="185"/>
  <c r="D26" i="102"/>
  <c r="E44" i="184"/>
  <c r="F9" i="76"/>
  <c r="E39" i="16"/>
  <c r="E12" i="164"/>
  <c r="D547" i="26"/>
  <c r="D458" i="26"/>
  <c r="D21" i="147"/>
  <c r="E25" i="178"/>
  <c r="E36" i="182"/>
  <c r="D8" i="173"/>
  <c r="D382" i="26"/>
  <c r="D33" i="192"/>
  <c r="D35" i="157"/>
  <c r="C14" i="80"/>
  <c r="D39" i="181"/>
  <c r="E26" i="189"/>
  <c r="C24" i="141"/>
  <c r="D65" i="26"/>
  <c r="C6" i="137"/>
  <c r="D25" i="7"/>
  <c r="D9" i="146"/>
  <c r="D23" i="140"/>
  <c r="D20" i="173"/>
  <c r="E7" i="158"/>
  <c r="D792" i="26"/>
  <c r="D647" i="26"/>
  <c r="C15" i="147"/>
  <c r="D591" i="26"/>
  <c r="E25" i="191"/>
  <c r="D18" i="194"/>
  <c r="E439" i="26"/>
  <c r="D18" i="185"/>
  <c r="E755" i="26"/>
  <c r="D40" i="190"/>
  <c r="D392" i="26"/>
  <c r="D195" i="26"/>
  <c r="D13" i="143"/>
  <c r="D24" i="186"/>
  <c r="E16" i="183"/>
  <c r="D493" i="26"/>
  <c r="E19" i="168"/>
  <c r="D11" i="80"/>
  <c r="D25" i="154"/>
  <c r="D28" i="196"/>
  <c r="E18" i="164"/>
  <c r="E31" i="184"/>
  <c r="E14" i="189"/>
  <c r="D12" i="177"/>
  <c r="D21" i="154"/>
  <c r="F12" i="151"/>
  <c r="D17" i="80"/>
  <c r="E12" i="102"/>
  <c r="E164" i="26"/>
  <c r="E837" i="26"/>
  <c r="D447" i="26"/>
  <c r="E747" i="26"/>
  <c r="D343" i="26"/>
  <c r="D16" i="141"/>
  <c r="E221" i="26"/>
  <c r="D318" i="26"/>
  <c r="D25" i="162"/>
  <c r="E197" i="26"/>
  <c r="D26" i="160"/>
  <c r="E44" i="159"/>
  <c r="D35" i="184"/>
  <c r="E40" i="182"/>
  <c r="D39" i="78"/>
  <c r="D19" i="189"/>
  <c r="D33" i="182"/>
  <c r="E740" i="26"/>
  <c r="E744" i="26"/>
  <c r="E796" i="26"/>
  <c r="E767" i="26"/>
  <c r="D450" i="26"/>
  <c r="E192" i="26"/>
  <c r="D642" i="26"/>
  <c r="E200" i="26"/>
  <c r="E11" i="26"/>
  <c r="E22" i="164"/>
  <c r="D16" i="193"/>
  <c r="E28" i="168"/>
  <c r="E26" i="184"/>
  <c r="D23" i="170"/>
  <c r="E20" i="188"/>
  <c r="D15" i="196"/>
  <c r="D18" i="165"/>
  <c r="C24" i="142"/>
  <c r="D16" i="79"/>
  <c r="C34" i="78"/>
  <c r="E36" i="185"/>
  <c r="E31" i="190"/>
  <c r="E14" i="12"/>
  <c r="E38" i="154"/>
  <c r="D440" i="26"/>
  <c r="E731" i="26"/>
  <c r="E450" i="26"/>
  <c r="E26" i="175"/>
  <c r="D23" i="185"/>
  <c r="C14" i="9"/>
  <c r="D9" i="157"/>
  <c r="E40" i="161"/>
  <c r="D18" i="166"/>
  <c r="D30" i="186"/>
  <c r="C13" i="79"/>
  <c r="C18" i="78"/>
  <c r="E202" i="26"/>
  <c r="D169" i="26"/>
  <c r="D27" i="26"/>
  <c r="E40" i="185"/>
  <c r="D11" i="191"/>
  <c r="D419" i="26"/>
  <c r="D106" i="26"/>
  <c r="E430" i="26"/>
  <c r="E328" i="26"/>
  <c r="E24" i="164"/>
  <c r="E16" i="180"/>
  <c r="C17" i="138"/>
  <c r="E28" i="171"/>
  <c r="D13" i="161"/>
  <c r="E627" i="26"/>
  <c r="E690" i="26"/>
  <c r="D36" i="157"/>
  <c r="D27" i="155"/>
  <c r="E12" i="194"/>
  <c r="D31" i="174"/>
  <c r="E26" i="166"/>
  <c r="E41" i="193"/>
  <c r="E21" i="183"/>
  <c r="D30" i="165"/>
  <c r="D40" i="181"/>
  <c r="C24" i="80"/>
  <c r="D22" i="80"/>
  <c r="D19" i="146"/>
  <c r="E25" i="168"/>
  <c r="E23" i="182"/>
  <c r="D21" i="9"/>
  <c r="D24" i="191"/>
  <c r="E26" i="156"/>
  <c r="D766" i="26"/>
  <c r="C54" i="4"/>
  <c r="E301" i="26"/>
  <c r="E34" i="194"/>
  <c r="C24" i="145"/>
  <c r="D10" i="174"/>
  <c r="D25" i="178"/>
  <c r="E27" i="167"/>
  <c r="E241" i="26"/>
  <c r="E11" i="155"/>
  <c r="D25" i="139"/>
  <c r="D42" i="158"/>
  <c r="D44" i="155"/>
  <c r="H29" i="75"/>
  <c r="D35" i="181"/>
  <c r="D26" i="177"/>
  <c r="E20" i="7"/>
  <c r="D32" i="165"/>
  <c r="E20" i="187"/>
  <c r="E27" i="178"/>
  <c r="E7" i="193"/>
  <c r="C48" i="4"/>
  <c r="D245" i="26"/>
  <c r="D18" i="171"/>
  <c r="E432" i="26"/>
  <c r="D9" i="191"/>
  <c r="E696" i="26"/>
  <c r="E18" i="166"/>
  <c r="E14" i="197"/>
  <c r="E22" i="167"/>
  <c r="D10" i="175"/>
  <c r="E18" i="182"/>
  <c r="D37" i="16"/>
  <c r="D27" i="102"/>
  <c r="D19" i="185"/>
  <c r="E363" i="26"/>
  <c r="E555" i="26"/>
  <c r="E7" i="169"/>
  <c r="D35" i="185"/>
  <c r="E189" i="26"/>
  <c r="C24" i="9"/>
  <c r="E30" i="153"/>
  <c r="E170" i="26"/>
  <c r="E34" i="157"/>
  <c r="E534" i="26"/>
  <c r="D809" i="26"/>
  <c r="D25" i="165"/>
  <c r="D37" i="155"/>
  <c r="D7" i="164"/>
  <c r="D25" i="166"/>
  <c r="E25" i="153"/>
  <c r="E22" i="174"/>
  <c r="D17" i="180"/>
  <c r="E42" i="165"/>
  <c r="D6" i="189"/>
  <c r="D39" i="185"/>
  <c r="E391" i="26"/>
  <c r="D11" i="77"/>
  <c r="D410" i="26"/>
  <c r="C40" i="78"/>
  <c r="D671" i="26"/>
  <c r="E28" i="158"/>
  <c r="D8" i="161"/>
  <c r="E18" i="159"/>
  <c r="E552" i="26"/>
  <c r="E7" i="188"/>
  <c r="E347" i="26"/>
  <c r="E22" i="186"/>
  <c r="E581" i="26"/>
  <c r="E361" i="26"/>
  <c r="E220" i="26"/>
  <c r="C6" i="148"/>
  <c r="D6" i="175"/>
  <c r="E15" i="158"/>
  <c r="C21" i="80"/>
  <c r="D95" i="26"/>
  <c r="D15" i="155"/>
  <c r="C49" i="4"/>
  <c r="D33" i="187"/>
  <c r="D348" i="26"/>
  <c r="E524" i="26"/>
  <c r="C20" i="140"/>
  <c r="D26" i="164"/>
  <c r="I28" i="75"/>
  <c r="D37" i="192"/>
  <c r="D39" i="191"/>
  <c r="D36" i="192"/>
  <c r="E9" i="16"/>
  <c r="D11" i="78"/>
  <c r="E27" i="164"/>
  <c r="D21" i="171"/>
  <c r="E21" i="158"/>
  <c r="E34" i="154"/>
  <c r="D12" i="102"/>
  <c r="D21" i="188"/>
  <c r="E30" i="187"/>
  <c r="E693" i="26"/>
  <c r="D24" i="142"/>
  <c r="E23" i="187"/>
  <c r="D12" i="185"/>
  <c r="D497" i="26"/>
  <c r="D22" i="194"/>
  <c r="D531" i="26"/>
  <c r="D11" i="140"/>
  <c r="E45" i="154"/>
  <c r="D40" i="165"/>
  <c r="D25" i="146"/>
  <c r="E87" i="26"/>
  <c r="C17" i="78"/>
  <c r="E40" i="155"/>
  <c r="E28" i="159"/>
  <c r="D781" i="26"/>
  <c r="E13" i="16"/>
  <c r="E421" i="26"/>
  <c r="E12" i="183"/>
  <c r="D579" i="26"/>
  <c r="E36" i="166"/>
  <c r="D14" i="147"/>
  <c r="E7" i="168"/>
  <c r="E39" i="165"/>
  <c r="D16" i="161"/>
  <c r="D171" i="26"/>
  <c r="E37" i="193"/>
  <c r="D7" i="180"/>
  <c r="E19" i="156"/>
  <c r="E122" i="26"/>
  <c r="E21" i="193"/>
  <c r="D303" i="26"/>
  <c r="E536" i="26"/>
  <c r="E64" i="26"/>
  <c r="D537" i="26"/>
  <c r="D384" i="26"/>
  <c r="D32" i="185"/>
  <c r="D15" i="137"/>
  <c r="D21" i="153"/>
  <c r="C9" i="79"/>
  <c r="D15" i="190"/>
  <c r="D21" i="167"/>
  <c r="D24" i="155"/>
  <c r="D7" i="175"/>
  <c r="E68" i="26"/>
  <c r="E23" i="177"/>
  <c r="E32" i="196"/>
  <c r="E30" i="182"/>
  <c r="D15" i="78"/>
  <c r="D30" i="164"/>
  <c r="E24" i="165"/>
  <c r="E32" i="174"/>
  <c r="D837" i="26"/>
  <c r="D423" i="26"/>
  <c r="D66" i="26"/>
  <c r="D8" i="77"/>
  <c r="D37" i="187"/>
  <c r="F11" i="197"/>
  <c r="D18" i="178"/>
  <c r="E272" i="26"/>
  <c r="E11" i="180"/>
  <c r="E16" i="188"/>
  <c r="D27" i="177"/>
  <c r="E26" i="180"/>
  <c r="D12" i="137"/>
  <c r="D6" i="171"/>
  <c r="E132" i="26"/>
  <c r="D8" i="160"/>
  <c r="D315" i="26"/>
  <c r="D26" i="184"/>
  <c r="E38" i="16"/>
  <c r="D226" i="26"/>
  <c r="D154" i="26"/>
  <c r="G18" i="5"/>
  <c r="D693" i="26"/>
  <c r="D633" i="26"/>
  <c r="E771" i="26"/>
  <c r="E171" i="26"/>
  <c r="D69" i="26"/>
  <c r="E11" i="175"/>
  <c r="C15" i="139"/>
  <c r="D11" i="16"/>
  <c r="D18" i="26"/>
  <c r="E16" i="182"/>
  <c r="C26" i="147"/>
  <c r="D29" i="155"/>
  <c r="D173" i="26"/>
  <c r="D241" i="26"/>
  <c r="E37" i="184"/>
  <c r="E45" i="159"/>
  <c r="H12" i="5"/>
  <c r="D640" i="26"/>
  <c r="D26" i="16"/>
  <c r="E21" i="184"/>
  <c r="D224" i="26"/>
  <c r="D287" i="26"/>
  <c r="D480" i="26"/>
  <c r="E759" i="26"/>
  <c r="D187" i="26"/>
  <c r="D552" i="26"/>
  <c r="D578" i="26"/>
  <c r="E19" i="179"/>
  <c r="E32" i="184"/>
  <c r="E22" i="190"/>
  <c r="E19" i="162"/>
  <c r="E444" i="26"/>
  <c r="E41" i="189"/>
  <c r="D7" i="160"/>
  <c r="D231" i="26"/>
  <c r="C21" i="148"/>
  <c r="E801" i="26"/>
  <c r="D31" i="171"/>
  <c r="D38" i="154"/>
  <c r="D15" i="147"/>
  <c r="C16" i="140"/>
  <c r="E38" i="183"/>
  <c r="D12" i="186"/>
  <c r="I20" i="75"/>
  <c r="D56" i="4"/>
  <c r="E19" i="194"/>
  <c r="D33" i="190"/>
  <c r="E85" i="26"/>
  <c r="C7" i="146"/>
  <c r="E19" i="183"/>
  <c r="E336" i="26"/>
  <c r="E38" i="194"/>
  <c r="E760" i="26"/>
  <c r="E12" i="190"/>
  <c r="E582" i="26"/>
  <c r="C19" i="148"/>
  <c r="D824" i="26"/>
  <c r="D236" i="26"/>
  <c r="D35" i="162"/>
  <c r="E21" i="191"/>
  <c r="D9" i="156"/>
  <c r="D23" i="161"/>
  <c r="C42" i="4"/>
  <c r="E25" i="185"/>
  <c r="D505" i="26"/>
  <c r="D21" i="176"/>
  <c r="D18" i="170"/>
  <c r="E15" i="181"/>
  <c r="D14" i="137"/>
  <c r="H23" i="75"/>
  <c r="E15" i="76"/>
  <c r="D10" i="172"/>
  <c r="E697" i="26"/>
  <c r="D491" i="26"/>
  <c r="E6" i="76"/>
  <c r="D149" i="26"/>
  <c r="D29" i="163"/>
  <c r="E11" i="154"/>
  <c r="D31" i="192"/>
  <c r="D23" i="167"/>
  <c r="D500" i="26"/>
  <c r="D32" i="26"/>
  <c r="D35" i="192"/>
  <c r="D36" i="162"/>
  <c r="E431" i="26"/>
  <c r="D18" i="186"/>
  <c r="D23" i="16"/>
  <c r="E846" i="26"/>
  <c r="E32" i="158"/>
  <c r="D19" i="178"/>
  <c r="E23" i="170"/>
  <c r="D499" i="26"/>
  <c r="E816" i="26"/>
  <c r="E648" i="26"/>
  <c r="C26" i="4"/>
  <c r="D327" i="26"/>
  <c r="D397" i="26"/>
  <c r="D275" i="26"/>
  <c r="D38" i="16"/>
  <c r="D441" i="26"/>
  <c r="D280" i="26"/>
  <c r="E28" i="153"/>
  <c r="E34" i="153"/>
  <c r="E614" i="26"/>
  <c r="D679" i="26"/>
  <c r="D26" i="181"/>
  <c r="F15" i="76"/>
  <c r="E7" i="162"/>
  <c r="E36" i="160"/>
  <c r="D38" i="187"/>
  <c r="E651" i="26"/>
  <c r="D39" i="26"/>
  <c r="D32" i="170"/>
  <c r="E91" i="26"/>
  <c r="D481" i="26"/>
  <c r="E17" i="157"/>
  <c r="E412" i="26"/>
  <c r="D368" i="26"/>
  <c r="E14" i="181"/>
  <c r="E21" i="161"/>
  <c r="E25" i="180"/>
  <c r="D758" i="26"/>
  <c r="E39" i="190"/>
  <c r="C16" i="79"/>
  <c r="E605" i="26"/>
  <c r="D326" i="26"/>
  <c r="C19" i="138"/>
  <c r="E26" i="159"/>
  <c r="D88" i="26"/>
  <c r="D42" i="161"/>
  <c r="D17" i="189"/>
  <c r="D24" i="148"/>
  <c r="D62" i="4"/>
  <c r="D437" i="26"/>
  <c r="G6" i="5"/>
  <c r="E28" i="194"/>
  <c r="D15" i="168"/>
  <c r="E16" i="193"/>
  <c r="C7" i="142"/>
  <c r="E37" i="188"/>
  <c r="D10" i="169"/>
  <c r="D320" i="26"/>
  <c r="E10" i="102"/>
  <c r="D14" i="156"/>
  <c r="D691" i="26"/>
  <c r="F22" i="12"/>
  <c r="D285" i="26"/>
  <c r="F35" i="76"/>
  <c r="D25" i="157"/>
  <c r="E27" i="176"/>
  <c r="D589" i="26"/>
  <c r="D482" i="26"/>
  <c r="E36" i="165"/>
  <c r="C13" i="142"/>
  <c r="D14" i="190"/>
  <c r="D7" i="189"/>
  <c r="E22" i="162"/>
  <c r="D311" i="26"/>
  <c r="E823" i="26"/>
  <c r="E20" i="162"/>
  <c r="D28" i="194"/>
  <c r="G16" i="5"/>
  <c r="D9" i="139"/>
  <c r="D34" i="164"/>
  <c r="D10" i="143"/>
  <c r="E10" i="155"/>
  <c r="E30" i="161"/>
  <c r="E20" i="175"/>
  <c r="D36" i="189"/>
  <c r="E45" i="153"/>
  <c r="E253" i="26"/>
  <c r="E13" i="190"/>
  <c r="E22" i="182"/>
  <c r="E21" i="160"/>
  <c r="C9" i="146"/>
  <c r="D9" i="170"/>
  <c r="E22" i="166"/>
  <c r="E8" i="163"/>
  <c r="E28" i="183"/>
  <c r="D27" i="78"/>
  <c r="D30" i="188"/>
  <c r="E16" i="26"/>
  <c r="D10" i="192"/>
  <c r="D24" i="16"/>
  <c r="D28" i="171"/>
  <c r="E44" i="160"/>
  <c r="E17" i="156"/>
  <c r="E8" i="170"/>
  <c r="D486" i="26"/>
  <c r="E353" i="26"/>
  <c r="E8" i="186"/>
  <c r="E19" i="181"/>
  <c r="E596" i="26"/>
  <c r="D24" i="146"/>
  <c r="C21" i="143"/>
  <c r="D39" i="4"/>
  <c r="E31" i="167"/>
  <c r="D23" i="175"/>
  <c r="D7" i="185"/>
  <c r="E467" i="26"/>
  <c r="E38" i="185"/>
  <c r="E33" i="16"/>
  <c r="E32" i="102"/>
  <c r="E39" i="157"/>
  <c r="D31" i="183"/>
  <c r="E37" i="190"/>
  <c r="E365" i="26"/>
  <c r="E547" i="26"/>
  <c r="C10" i="140"/>
  <c r="D532" i="26"/>
  <c r="E9" i="166"/>
  <c r="E44" i="194"/>
  <c r="D82" i="26"/>
  <c r="D40" i="162"/>
  <c r="D25" i="136"/>
  <c r="E21" i="186"/>
  <c r="C23" i="4"/>
  <c r="D13" i="155"/>
  <c r="D79" i="26"/>
  <c r="E9" i="168"/>
  <c r="E106" i="26"/>
  <c r="D143" i="26"/>
  <c r="D787" i="26"/>
  <c r="E262" i="26"/>
  <c r="C10" i="144"/>
  <c r="C24" i="78"/>
  <c r="D19" i="168"/>
  <c r="D41" i="193"/>
  <c r="D738" i="26"/>
  <c r="D371" i="26"/>
  <c r="D13" i="180"/>
  <c r="C26" i="145"/>
  <c r="D7" i="145"/>
  <c r="D11" i="141"/>
  <c r="D23" i="145"/>
  <c r="D32" i="157"/>
  <c r="E32" i="175"/>
  <c r="E526" i="26"/>
  <c r="E39" i="161"/>
  <c r="E20" i="12"/>
  <c r="D26" i="166"/>
  <c r="E44" i="163"/>
  <c r="E848" i="26"/>
  <c r="D43" i="191"/>
  <c r="H19" i="75"/>
  <c r="E32" i="194"/>
  <c r="E11" i="177"/>
  <c r="D369" i="26"/>
  <c r="E13" i="186"/>
  <c r="E844" i="26"/>
  <c r="F14" i="197"/>
  <c r="E31" i="159"/>
  <c r="C58" i="4"/>
  <c r="D17" i="167"/>
  <c r="D454" i="26"/>
  <c r="D27" i="171"/>
  <c r="C7" i="137"/>
  <c r="E29" i="166"/>
  <c r="E720" i="26"/>
  <c r="E22" i="193"/>
  <c r="E7" i="173"/>
  <c r="E156" i="26"/>
  <c r="D22" i="192"/>
  <c r="D13" i="140"/>
  <c r="C22" i="80"/>
  <c r="D16" i="188"/>
  <c r="D6" i="178"/>
  <c r="D12" i="155"/>
  <c r="D18" i="189"/>
  <c r="E26" i="161"/>
  <c r="E802" i="26"/>
  <c r="E267" i="26"/>
  <c r="E314" i="26"/>
  <c r="D6" i="159"/>
  <c r="C13" i="4"/>
  <c r="D11" i="183"/>
  <c r="E27" i="16"/>
  <c r="D8" i="144"/>
  <c r="E165" i="26"/>
  <c r="C55" i="4"/>
  <c r="D10" i="185"/>
  <c r="E289" i="26"/>
  <c r="D735" i="26"/>
  <c r="E13" i="193"/>
  <c r="D9" i="188"/>
  <c r="E27" i="184"/>
  <c r="E259" i="26"/>
  <c r="E669" i="26"/>
  <c r="D16" i="178"/>
  <c r="E15" i="185"/>
  <c r="D28" i="167"/>
  <c r="E15" i="187"/>
  <c r="C17" i="143"/>
  <c r="D23" i="148"/>
  <c r="E303" i="26"/>
  <c r="D20" i="171"/>
  <c r="E35" i="76"/>
  <c r="D22" i="159"/>
  <c r="D21" i="186"/>
  <c r="D18" i="162"/>
  <c r="E42" i="160"/>
  <c r="E11" i="164"/>
  <c r="D588" i="26"/>
  <c r="D33" i="184"/>
  <c r="D24" i="165"/>
  <c r="E16" i="16"/>
  <c r="D27" i="80"/>
  <c r="D19" i="4"/>
  <c r="D41" i="186"/>
  <c r="E539" i="26"/>
  <c r="E27" i="157"/>
  <c r="D8" i="145"/>
  <c r="D39" i="161"/>
  <c r="E16" i="159"/>
  <c r="D9" i="173"/>
  <c r="E28" i="160"/>
  <c r="E492" i="26"/>
  <c r="D38" i="156"/>
  <c r="E35" i="160"/>
  <c r="D43" i="184"/>
  <c r="D43" i="194"/>
  <c r="D24" i="164"/>
  <c r="E22" i="159"/>
  <c r="E443" i="26"/>
  <c r="D21" i="189"/>
  <c r="E644" i="26"/>
  <c r="D21" i="145"/>
  <c r="E18" i="170"/>
  <c r="D42" i="183"/>
  <c r="E291" i="26"/>
  <c r="E19" i="173"/>
  <c r="E29" i="179"/>
  <c r="E709" i="26"/>
  <c r="D15" i="194"/>
  <c r="D81" i="26"/>
  <c r="D32" i="189"/>
  <c r="E11" i="179"/>
  <c r="D14" i="80"/>
  <c r="E29" i="168"/>
  <c r="C16" i="147"/>
  <c r="C9" i="4"/>
  <c r="E622" i="26"/>
  <c r="D37" i="165"/>
  <c r="E13" i="156"/>
  <c r="E435" i="26"/>
  <c r="D6" i="169"/>
  <c r="D323" i="26"/>
  <c r="D569" i="26"/>
  <c r="E284" i="26"/>
  <c r="D24" i="183"/>
  <c r="E17" i="26"/>
  <c r="D70" i="26"/>
  <c r="E18" i="12"/>
  <c r="E20" i="16"/>
  <c r="D15" i="169"/>
  <c r="D823" i="26"/>
  <c r="D19" i="139"/>
  <c r="D12" i="183"/>
  <c r="C15" i="140"/>
  <c r="D31" i="170"/>
  <c r="E20" i="169"/>
  <c r="E8" i="161"/>
  <c r="D138" i="26"/>
  <c r="D26" i="168"/>
  <c r="E27" i="7"/>
  <c r="E14" i="158"/>
  <c r="E18" i="161"/>
  <c r="D12" i="179"/>
  <c r="D14" i="163"/>
  <c r="E24" i="155"/>
  <c r="D29" i="187"/>
  <c r="E406" i="26"/>
  <c r="D770" i="26"/>
  <c r="D18" i="138"/>
  <c r="E466" i="26"/>
  <c r="F8" i="76"/>
  <c r="D21" i="182"/>
  <c r="E112" i="26"/>
  <c r="E28" i="182"/>
  <c r="E11" i="102"/>
  <c r="E11" i="12"/>
  <c r="E9" i="180"/>
  <c r="D795" i="26"/>
  <c r="C10" i="148"/>
  <c r="E8" i="196"/>
  <c r="D22" i="137"/>
  <c r="D9" i="102"/>
  <c r="E40" i="154"/>
  <c r="D6" i="188"/>
  <c r="D388" i="26"/>
  <c r="D11" i="159"/>
  <c r="E22" i="188"/>
  <c r="E264" i="26"/>
  <c r="E29" i="180"/>
  <c r="E25" i="196"/>
  <c r="D42" i="16"/>
  <c r="D24" i="139"/>
  <c r="D23" i="165"/>
  <c r="D29" i="178"/>
  <c r="D30" i="162"/>
  <c r="D12" i="140"/>
  <c r="D35" i="165"/>
  <c r="D221" i="26"/>
  <c r="D228" i="26"/>
  <c r="E7" i="163"/>
  <c r="D39" i="182"/>
  <c r="E20" i="159"/>
  <c r="E618" i="26"/>
  <c r="E19" i="76"/>
  <c r="D170" i="26"/>
  <c r="E38" i="190"/>
  <c r="E8" i="7"/>
  <c r="D36" i="182"/>
  <c r="D35" i="183"/>
  <c r="D708" i="26"/>
  <c r="E44" i="182"/>
  <c r="D22" i="144"/>
  <c r="D25" i="26"/>
  <c r="E16" i="157"/>
  <c r="E207" i="26"/>
  <c r="D568" i="26"/>
  <c r="D16" i="155"/>
  <c r="C27" i="80"/>
  <c r="D488" i="26"/>
  <c r="D391" i="26"/>
  <c r="E193" i="26"/>
  <c r="E19" i="172"/>
  <c r="H24" i="75"/>
  <c r="E12" i="165"/>
  <c r="D27" i="168"/>
  <c r="C20" i="9"/>
  <c r="E22" i="26"/>
  <c r="E25" i="155"/>
  <c r="D695" i="26"/>
  <c r="D222" i="26"/>
  <c r="D21" i="184"/>
  <c r="D585" i="26"/>
  <c r="E556" i="26"/>
  <c r="C19" i="137"/>
  <c r="E12" i="168"/>
  <c r="E23" i="173"/>
  <c r="E19" i="185"/>
  <c r="E37" i="153"/>
  <c r="D53" i="26"/>
  <c r="E20" i="185"/>
  <c r="G9" i="5"/>
  <c r="E34" i="192"/>
  <c r="D23" i="157"/>
  <c r="E32" i="76"/>
  <c r="D274" i="26"/>
  <c r="D11" i="190"/>
  <c r="D261" i="26"/>
  <c r="C19" i="147"/>
  <c r="C10" i="80"/>
  <c r="E22" i="187"/>
  <c r="E37" i="181"/>
  <c r="D34" i="187"/>
  <c r="D18" i="4"/>
  <c r="D113" i="26"/>
  <c r="D21" i="159"/>
  <c r="E78" i="26"/>
  <c r="D25" i="176"/>
  <c r="D390" i="26"/>
  <c r="D7" i="174"/>
  <c r="C17" i="80"/>
  <c r="D566" i="26"/>
  <c r="E23" i="185"/>
  <c r="D12" i="16"/>
  <c r="C20" i="141"/>
  <c r="D12" i="79"/>
  <c r="C9" i="144"/>
  <c r="E13" i="189"/>
  <c r="E7" i="156"/>
  <c r="E22" i="163"/>
  <c r="D190" i="26"/>
  <c r="E23" i="178"/>
  <c r="H18" i="5"/>
  <c r="D38" i="183"/>
  <c r="E8" i="194"/>
  <c r="D11" i="158"/>
  <c r="D25" i="191"/>
  <c r="D11" i="176"/>
  <c r="D6" i="191"/>
  <c r="D20" i="155"/>
  <c r="E76" i="26"/>
  <c r="D18" i="140"/>
  <c r="E377" i="26"/>
  <c r="E42" i="162"/>
  <c r="E777" i="26"/>
  <c r="E15" i="16"/>
  <c r="D28" i="180"/>
  <c r="E18" i="193"/>
  <c r="E678" i="26"/>
  <c r="C8" i="9"/>
  <c r="D150" i="26"/>
  <c r="D18" i="77"/>
  <c r="D257" i="26"/>
  <c r="D29" i="26"/>
  <c r="D21" i="178"/>
  <c r="D737" i="26"/>
  <c r="E42" i="76"/>
  <c r="D27" i="136"/>
  <c r="D29" i="4"/>
  <c r="E214" i="26"/>
  <c r="D9" i="78"/>
  <c r="D8" i="140"/>
  <c r="D799" i="26"/>
  <c r="D37" i="26"/>
  <c r="D839" i="26"/>
  <c r="E7" i="179"/>
  <c r="E15" i="157"/>
  <c r="E834" i="26"/>
  <c r="D12" i="187"/>
  <c r="F34" i="76"/>
  <c r="D31" i="175"/>
  <c r="D17" i="168"/>
  <c r="H11" i="75"/>
  <c r="C16" i="78"/>
  <c r="E29" i="194"/>
  <c r="D657" i="26"/>
  <c r="D240" i="26"/>
  <c r="E525" i="26"/>
  <c r="C14" i="4"/>
  <c r="E35" i="183"/>
  <c r="E17" i="12"/>
  <c r="D10" i="188"/>
  <c r="E30" i="26"/>
  <c r="D14" i="159"/>
  <c r="D27" i="141"/>
  <c r="C20" i="148"/>
  <c r="E245" i="26"/>
  <c r="D29" i="162"/>
  <c r="D20" i="177"/>
  <c r="C6" i="10"/>
  <c r="E37" i="191"/>
  <c r="D404" i="26"/>
  <c r="D714" i="26"/>
  <c r="D15" i="136"/>
  <c r="C40" i="4"/>
  <c r="E666" i="26"/>
  <c r="E442" i="26"/>
  <c r="D25" i="196"/>
  <c r="E674" i="26"/>
  <c r="E13" i="159"/>
  <c r="E458" i="26"/>
  <c r="E38" i="165"/>
  <c r="D28" i="156"/>
  <c r="D38" i="189"/>
  <c r="D65" i="4"/>
  <c r="D23" i="4"/>
  <c r="D29" i="167"/>
  <c r="E743" i="26"/>
  <c r="D610" i="26"/>
  <c r="E388" i="26"/>
  <c r="E29" i="164"/>
  <c r="E10" i="163"/>
  <c r="I8" i="75"/>
  <c r="D48" i="26"/>
  <c r="D8" i="186"/>
  <c r="E11" i="159"/>
  <c r="C22" i="144"/>
  <c r="D21" i="169"/>
  <c r="E7" i="171"/>
  <c r="E355" i="26"/>
  <c r="D35" i="190"/>
  <c r="E20" i="182"/>
  <c r="E8" i="178"/>
  <c r="E10" i="77"/>
  <c r="D15" i="181"/>
  <c r="D295" i="26"/>
  <c r="D29" i="157"/>
  <c r="D8" i="153"/>
  <c r="C44" i="4"/>
  <c r="E33" i="181"/>
  <c r="C17" i="144"/>
  <c r="D741" i="26"/>
  <c r="E8" i="77"/>
  <c r="E13" i="155"/>
  <c r="E38" i="187"/>
  <c r="D15" i="149"/>
  <c r="D39" i="194"/>
  <c r="D765" i="26"/>
  <c r="D692" i="26"/>
  <c r="E36" i="154"/>
  <c r="D26" i="144"/>
  <c r="D237" i="26"/>
  <c r="D833" i="26"/>
  <c r="E34" i="182"/>
  <c r="D719" i="26"/>
  <c r="E13" i="163"/>
  <c r="D687" i="26"/>
  <c r="E569" i="26"/>
  <c r="E32" i="162"/>
  <c r="E27" i="163"/>
  <c r="C9" i="137"/>
  <c r="C8" i="148"/>
  <c r="E17" i="7"/>
  <c r="D31" i="184"/>
  <c r="D136" i="26"/>
  <c r="D42" i="181"/>
  <c r="D11" i="187"/>
  <c r="E152" i="26"/>
  <c r="C26" i="78"/>
  <c r="D717" i="26"/>
  <c r="C10" i="145"/>
  <c r="E478" i="26"/>
  <c r="D720" i="26"/>
  <c r="C26" i="136"/>
  <c r="D26" i="156"/>
  <c r="D13" i="158"/>
  <c r="D14" i="193"/>
  <c r="D773" i="26"/>
  <c r="E40" i="76"/>
  <c r="F17" i="12"/>
  <c r="I17" i="75"/>
  <c r="E65" i="26"/>
  <c r="C6" i="79"/>
  <c r="E14" i="159"/>
  <c r="D37" i="193"/>
  <c r="E15" i="186"/>
  <c r="D26" i="139"/>
  <c r="D26" i="26"/>
  <c r="D29" i="170"/>
  <c r="C21" i="144"/>
  <c r="C18" i="9"/>
  <c r="E8" i="191"/>
  <c r="D23" i="184"/>
  <c r="E149" i="26"/>
  <c r="E30" i="188"/>
  <c r="D28" i="162"/>
  <c r="E18" i="191"/>
  <c r="D43" i="78"/>
  <c r="D7" i="141"/>
  <c r="E212" i="26"/>
  <c r="E13" i="194"/>
  <c r="D483" i="26"/>
  <c r="E332" i="26"/>
  <c r="E11" i="167"/>
  <c r="E730" i="26"/>
  <c r="D37" i="7"/>
  <c r="H11" i="5"/>
  <c r="E13" i="165"/>
  <c r="F32" i="76"/>
  <c r="D16" i="180"/>
  <c r="E615" i="26"/>
  <c r="C15" i="142"/>
  <c r="D10" i="137"/>
  <c r="G13" i="5"/>
  <c r="C17" i="140"/>
  <c r="E706" i="26"/>
  <c r="D44" i="4"/>
  <c r="E7" i="182"/>
  <c r="D9" i="164"/>
  <c r="E15" i="165"/>
  <c r="D23" i="18"/>
  <c r="E31" i="102"/>
  <c r="D12" i="157"/>
  <c r="D44" i="162"/>
  <c r="E16" i="170"/>
  <c r="E11" i="176"/>
  <c r="E10" i="194"/>
  <c r="E12" i="151"/>
  <c r="D19" i="188"/>
  <c r="D530" i="26"/>
  <c r="D17" i="147"/>
  <c r="E28" i="189"/>
  <c r="E49" i="26"/>
  <c r="D19" i="167"/>
  <c r="E15" i="192"/>
  <c r="E39" i="26"/>
  <c r="D672" i="26"/>
  <c r="D19" i="149"/>
  <c r="E124" i="26"/>
  <c r="D10" i="154"/>
  <c r="D648" i="26"/>
  <c r="D61" i="26"/>
  <c r="D234" i="26"/>
  <c r="E440" i="26"/>
  <c r="D123" i="26"/>
  <c r="C6" i="141"/>
  <c r="E32" i="180"/>
  <c r="E36" i="156"/>
  <c r="D32" i="173"/>
  <c r="E520" i="26"/>
  <c r="E514" i="26"/>
  <c r="E533" i="26"/>
  <c r="C57" i="4"/>
  <c r="D748" i="26"/>
  <c r="D27" i="179"/>
  <c r="F8" i="197"/>
  <c r="D21" i="136"/>
  <c r="E33" i="182"/>
  <c r="D268" i="26"/>
  <c r="E628" i="26"/>
  <c r="D690" i="26"/>
  <c r="D15" i="159"/>
  <c r="H15" i="75"/>
  <c r="D45" i="153"/>
  <c r="E44" i="161"/>
  <c r="D22" i="190"/>
  <c r="E81" i="26"/>
  <c r="D23" i="149"/>
  <c r="C9" i="80"/>
  <c r="D19" i="136"/>
  <c r="E20" i="177"/>
  <c r="D29" i="161"/>
  <c r="D26" i="194"/>
  <c r="C25" i="137"/>
  <c r="D22" i="4"/>
  <c r="D346" i="26"/>
  <c r="E219" i="26"/>
  <c r="E77" i="26"/>
  <c r="D6" i="179"/>
  <c r="E35" i="163"/>
  <c r="E529" i="26"/>
  <c r="D25" i="180"/>
  <c r="C21" i="141"/>
  <c r="E8" i="171"/>
  <c r="D12" i="184"/>
  <c r="E31" i="172"/>
  <c r="D8" i="169"/>
  <c r="E25" i="26"/>
  <c r="D15" i="157"/>
  <c r="E8" i="164"/>
  <c r="E797" i="26"/>
  <c r="C21" i="79"/>
  <c r="D10" i="191"/>
  <c r="D362" i="26"/>
  <c r="D443" i="26"/>
  <c r="E8" i="154"/>
  <c r="E13" i="7"/>
  <c r="E41" i="157"/>
  <c r="D9" i="26"/>
  <c r="E24" i="77"/>
  <c r="E53" i="26"/>
  <c r="E8" i="175"/>
  <c r="H15" i="5"/>
  <c r="D22" i="193"/>
  <c r="D33" i="194"/>
  <c r="D26" i="173"/>
  <c r="E23" i="189"/>
  <c r="E11" i="151"/>
  <c r="D42" i="182"/>
  <c r="E829" i="26"/>
  <c r="D19" i="157"/>
  <c r="D24" i="196"/>
  <c r="D40" i="7"/>
  <c r="C7" i="136"/>
  <c r="E35" i="181"/>
  <c r="C25" i="140"/>
  <c r="E45" i="161"/>
  <c r="C21" i="145"/>
  <c r="D20" i="169"/>
  <c r="E41" i="188"/>
  <c r="D19" i="142"/>
  <c r="E715" i="26"/>
  <c r="D668" i="26"/>
  <c r="D28" i="176"/>
  <c r="C16" i="137"/>
  <c r="D12" i="172"/>
  <c r="C8" i="149"/>
  <c r="D575" i="26"/>
  <c r="E35" i="158"/>
  <c r="E18" i="160"/>
  <c r="C11" i="78"/>
  <c r="E18" i="157"/>
  <c r="E637" i="26"/>
  <c r="D8" i="143"/>
  <c r="D35" i="187"/>
  <c r="D465" i="26"/>
  <c r="D20" i="16"/>
  <c r="E15" i="178"/>
  <c r="E14" i="163"/>
  <c r="C25" i="145"/>
  <c r="E654" i="26"/>
  <c r="D125" i="26"/>
  <c r="D189" i="26"/>
  <c r="D118" i="26"/>
  <c r="D31" i="189"/>
  <c r="D698" i="26"/>
  <c r="D162" i="26"/>
  <c r="D832" i="26"/>
  <c r="E21" i="165"/>
  <c r="D13" i="136"/>
  <c r="D16" i="170"/>
  <c r="D331" i="26"/>
  <c r="D324" i="26"/>
  <c r="E32" i="190"/>
  <c r="C19" i="142"/>
  <c r="E24" i="158"/>
  <c r="D22" i="149"/>
  <c r="E24" i="76"/>
  <c r="E23" i="153"/>
  <c r="D394" i="26"/>
  <c r="D41" i="159"/>
  <c r="D43" i="187"/>
  <c r="D24" i="26"/>
  <c r="D41" i="188"/>
  <c r="E656" i="26"/>
  <c r="E19" i="77"/>
  <c r="E8" i="153"/>
  <c r="D18" i="78"/>
  <c r="D12" i="190"/>
  <c r="D21" i="80"/>
  <c r="E21" i="159"/>
  <c r="C27" i="136"/>
  <c r="E9" i="186"/>
  <c r="D11" i="169"/>
  <c r="D28" i="174"/>
  <c r="E15" i="26"/>
  <c r="D17" i="26"/>
  <c r="D12" i="146"/>
  <c r="E23" i="76"/>
  <c r="E116" i="26"/>
  <c r="E17" i="177"/>
  <c r="D29" i="196"/>
  <c r="D12" i="7"/>
  <c r="E24" i="186"/>
  <c r="C27" i="145"/>
  <c r="D523" i="26"/>
  <c r="D22" i="166"/>
  <c r="E278" i="26"/>
  <c r="D339" i="26"/>
  <c r="D252" i="26"/>
  <c r="E564" i="26"/>
  <c r="D9" i="144"/>
  <c r="D45" i="163"/>
  <c r="D38" i="185"/>
  <c r="D19" i="183"/>
  <c r="D16" i="157"/>
  <c r="D27" i="192"/>
  <c r="D21" i="162"/>
  <c r="E60" i="26"/>
  <c r="D44" i="159"/>
  <c r="E20" i="181"/>
  <c r="E817" i="26"/>
  <c r="C12" i="149"/>
  <c r="D25" i="175"/>
  <c r="E39" i="162"/>
  <c r="C10" i="142"/>
  <c r="D17" i="144"/>
  <c r="D24" i="166"/>
  <c r="E10" i="170"/>
  <c r="D18" i="177"/>
  <c r="C25" i="148"/>
  <c r="E835" i="26"/>
  <c r="D25" i="143"/>
  <c r="E35" i="185"/>
  <c r="D788" i="26"/>
  <c r="H17" i="75"/>
  <c r="E19" i="7"/>
  <c r="E23" i="163"/>
  <c r="D44" i="183"/>
  <c r="D44" i="194"/>
  <c r="I18" i="75"/>
  <c r="E33" i="162"/>
  <c r="E26" i="176"/>
  <c r="E14" i="191"/>
  <c r="E15" i="183"/>
  <c r="E307" i="26"/>
  <c r="C20" i="78"/>
  <c r="C6" i="149"/>
  <c r="E40" i="157"/>
  <c r="E35" i="184"/>
  <c r="D44" i="190"/>
  <c r="C32" i="78"/>
  <c r="D26" i="149"/>
  <c r="E17" i="102"/>
  <c r="E31" i="76"/>
  <c r="D34" i="26"/>
  <c r="D101" i="26"/>
  <c r="D182" i="26"/>
  <c r="D253" i="26"/>
  <c r="D42" i="156"/>
  <c r="D107" i="26"/>
  <c r="D141" i="26"/>
  <c r="C24" i="147"/>
  <c r="D650" i="26"/>
  <c r="D783" i="26"/>
  <c r="D740" i="26"/>
  <c r="E8" i="76"/>
  <c r="C24" i="144"/>
  <c r="E770" i="26"/>
  <c r="D583" i="26"/>
  <c r="D12" i="136"/>
  <c r="D30" i="78"/>
  <c r="D13" i="166"/>
  <c r="D28" i="144" l="1"/>
  <c r="C17" i="10" s="1"/>
  <c r="C28" i="144"/>
  <c r="E45" i="183"/>
  <c r="D11" i="20" s="1"/>
  <c r="D45" i="183"/>
  <c r="D45" i="193"/>
  <c r="E45" i="193"/>
  <c r="C21" i="20" s="1"/>
  <c r="C28" i="136"/>
  <c r="D28" i="136"/>
  <c r="C9" i="10" s="1"/>
  <c r="E46" i="158"/>
  <c r="D18" i="18" s="1"/>
  <c r="D46" i="158"/>
  <c r="D45" i="185"/>
  <c r="E45" i="185"/>
  <c r="D13" i="20" s="1"/>
  <c r="D45" i="192"/>
  <c r="E45" i="192"/>
  <c r="D20" i="20" s="1"/>
  <c r="E46" i="163"/>
  <c r="C13" i="18" s="1"/>
  <c r="D46" i="163"/>
  <c r="A54" i="1"/>
  <c r="C21" i="150" s="1"/>
  <c r="A28" i="1"/>
  <c r="B21" i="150" s="1"/>
  <c r="E33" i="170"/>
  <c r="C12" i="19" s="1"/>
  <c r="D33" i="170"/>
  <c r="D46" i="157"/>
  <c r="E46" i="157"/>
  <c r="D19" i="18" s="1"/>
  <c r="D28" i="139"/>
  <c r="C12" i="10" s="1"/>
  <c r="C28" i="139"/>
  <c r="A56" i="1"/>
  <c r="C23" i="150" s="1"/>
  <c r="A30" i="1"/>
  <c r="B23" i="150" s="1"/>
  <c r="D28" i="147"/>
  <c r="D20" i="10" s="1"/>
  <c r="C28" i="147"/>
  <c r="A40" i="1"/>
  <c r="C7" i="150" s="1"/>
  <c r="A14" i="1"/>
  <c r="B7" i="150" s="1"/>
  <c r="E33" i="174"/>
  <c r="C16" i="19" s="1"/>
  <c r="D33" i="174"/>
  <c r="D46" i="166"/>
  <c r="E46" i="166"/>
  <c r="D10" i="18" s="1"/>
  <c r="E33" i="102"/>
  <c r="D8" i="19" s="1"/>
  <c r="D33" i="102"/>
  <c r="D22" i="79"/>
  <c r="A27" i="1" s="1"/>
  <c r="B20" i="150" s="1"/>
  <c r="C22" i="79"/>
  <c r="D28" i="9"/>
  <c r="D8" i="10" s="1"/>
  <c r="C28" i="9"/>
  <c r="E33" i="168"/>
  <c r="D10" i="19" s="1"/>
  <c r="D33" i="168"/>
  <c r="D45" i="187"/>
  <c r="E45" i="187"/>
  <c r="D15" i="20" s="1"/>
  <c r="E33" i="167"/>
  <c r="D9" i="19" s="1"/>
  <c r="D33" i="167"/>
  <c r="D45" i="188"/>
  <c r="E45" i="188"/>
  <c r="C16" i="20" s="1"/>
  <c r="D28" i="146"/>
  <c r="D19" i="10" s="1"/>
  <c r="C28" i="146"/>
  <c r="D46" i="154"/>
  <c r="E46" i="154"/>
  <c r="D22" i="18" s="1"/>
  <c r="D7" i="16"/>
  <c r="D7" i="182"/>
  <c r="D7" i="181"/>
  <c r="E45" i="184"/>
  <c r="D12" i="20" s="1"/>
  <c r="D45" i="184"/>
  <c r="D33" i="172"/>
  <c r="E33" i="172"/>
  <c r="D14" i="19" s="1"/>
  <c r="D33" i="169"/>
  <c r="E33" i="169"/>
  <c r="D11" i="19" s="1"/>
  <c r="E46" i="161"/>
  <c r="C15" i="18" s="1"/>
  <c r="D46" i="161"/>
  <c r="A20" i="1"/>
  <c r="B13" i="150" s="1" a="1"/>
  <c r="B13" i="150" s="1"/>
  <c r="A46" i="1"/>
  <c r="C13" i="150" s="1" a="1"/>
  <c r="C13" i="150" s="1"/>
  <c r="E46" i="164"/>
  <c r="C12" i="18" s="1"/>
  <c r="D46" i="164"/>
  <c r="C28" i="137"/>
  <c r="D28" i="137"/>
  <c r="C10" i="10" s="1"/>
  <c r="D33" i="178"/>
  <c r="E33" i="178"/>
  <c r="D20" i="19" s="1"/>
  <c r="D45" i="190"/>
  <c r="E45" i="190"/>
  <c r="C18" i="20" s="1"/>
  <c r="E33" i="176"/>
  <c r="D18" i="19" s="1"/>
  <c r="D33" i="176"/>
  <c r="D33" i="180"/>
  <c r="E33" i="180"/>
  <c r="D22" i="19" s="1"/>
  <c r="D33" i="177"/>
  <c r="E33" i="177"/>
  <c r="D19" i="19" s="1"/>
  <c r="A49" i="1"/>
  <c r="C16" i="150" s="1"/>
  <c r="A23" i="1"/>
  <c r="B16" i="150" s="1"/>
  <c r="E46" i="155"/>
  <c r="D21" i="18" s="1"/>
  <c r="D46" i="155"/>
  <c r="E45" i="182"/>
  <c r="D10" i="20" s="1"/>
  <c r="D45" i="182"/>
  <c r="D33" i="171"/>
  <c r="E33" i="171"/>
  <c r="D13" i="19" s="1"/>
  <c r="E46" i="162"/>
  <c r="C14" i="18" s="1"/>
  <c r="D46" i="162"/>
  <c r="D46" i="160"/>
  <c r="E46" i="160"/>
  <c r="C16" i="18" s="1"/>
  <c r="A29" i="1"/>
  <c r="B22" i="150" s="1"/>
  <c r="D28" i="140"/>
  <c r="C13" i="10" s="1"/>
  <c r="C28" i="140"/>
  <c r="E45" i="191"/>
  <c r="D19" i="20" s="1"/>
  <c r="D45" i="191"/>
  <c r="D28" i="141"/>
  <c r="D14" i="10" s="1"/>
  <c r="C28" i="141"/>
  <c r="A41" i="1"/>
  <c r="C8" i="150" s="1"/>
  <c r="A15" i="1"/>
  <c r="B8" i="150" s="1"/>
  <c r="A24" i="1"/>
  <c r="B17" i="150" s="1"/>
  <c r="A50" i="1"/>
  <c r="C17" i="150" s="1"/>
  <c r="E33" i="179"/>
  <c r="C21" i="19" s="1"/>
  <c r="D33" i="179"/>
  <c r="A21" i="1"/>
  <c r="B14" i="150" s="1"/>
  <c r="A47" i="1"/>
  <c r="C14" i="150" s="1"/>
  <c r="A25" i="1"/>
  <c r="B18" i="150" s="1"/>
  <c r="A51" i="1"/>
  <c r="C18" i="150" s="1"/>
  <c r="C28" i="149"/>
  <c r="D28" i="149"/>
  <c r="D22" i="10" s="1"/>
  <c r="E46" i="165"/>
  <c r="C11" i="18" s="1"/>
  <c r="D46" i="165"/>
  <c r="C28" i="145"/>
  <c r="D28" i="145"/>
  <c r="C18" i="10" s="1"/>
  <c r="A22" i="1"/>
  <c r="B15" i="150" s="1"/>
  <c r="A48" i="1"/>
  <c r="C15" i="150" s="1"/>
  <c r="E46" i="7"/>
  <c r="A42" i="1" s="1"/>
  <c r="C9" i="150" s="1"/>
  <c r="D46" i="7"/>
  <c r="E45" i="194"/>
  <c r="D22" i="20" s="1"/>
  <c r="D45" i="194"/>
  <c r="D46" i="159"/>
  <c r="E46" i="159"/>
  <c r="D17" i="18" s="1"/>
  <c r="E45" i="181"/>
  <c r="D9" i="20" s="1"/>
  <c r="D45" i="181"/>
  <c r="D28" i="143"/>
  <c r="C16" i="10" s="1"/>
  <c r="C28" i="143"/>
  <c r="C28" i="142"/>
  <c r="D28" i="142"/>
  <c r="D15" i="10" s="1"/>
  <c r="D45" i="189"/>
  <c r="E45" i="189"/>
  <c r="D17" i="20" s="1"/>
  <c r="D46" i="153"/>
  <c r="E46" i="153"/>
  <c r="C9" i="18" s="1"/>
  <c r="E45" i="186"/>
  <c r="D14" i="20" s="1"/>
  <c r="D45" i="186"/>
  <c r="C28" i="148"/>
  <c r="D28" i="148"/>
  <c r="C21" i="10" s="1"/>
  <c r="D45" i="16"/>
  <c r="E45" i="16"/>
  <c r="D8" i="20" s="1"/>
  <c r="E33" i="173"/>
  <c r="C15" i="19" s="1"/>
  <c r="D33" i="173"/>
  <c r="A52" i="1"/>
  <c r="C19" i="150" s="1"/>
  <c r="A26" i="1"/>
  <c r="B19" i="150" s="1"/>
  <c r="C28" i="138"/>
  <c r="D28" i="138"/>
  <c r="C11" i="10" s="1"/>
  <c r="D33" i="175"/>
  <c r="E33" i="175"/>
  <c r="C17" i="19" s="1"/>
  <c r="E46" i="156"/>
  <c r="D20" i="18" s="1"/>
  <c r="D46" i="156"/>
  <c r="C17" i="18" l="1"/>
  <c r="C13" i="19"/>
  <c r="C18" i="19"/>
  <c r="C22" i="19"/>
  <c r="C10" i="18"/>
  <c r="C22" i="20"/>
  <c r="D15" i="18"/>
  <c r="C22" i="18"/>
  <c r="D21" i="20"/>
  <c r="C11" i="19"/>
  <c r="C19" i="10"/>
  <c r="D18" i="10"/>
  <c r="C20" i="19"/>
  <c r="D9" i="10"/>
  <c r="D15" i="19"/>
  <c r="A53" i="1"/>
  <c r="C20" i="150" s="1"/>
  <c r="D16" i="20"/>
  <c r="C8" i="20"/>
  <c r="D18" i="20"/>
  <c r="C8" i="19"/>
  <c r="D13" i="10"/>
  <c r="C21" i="18"/>
  <c r="D10" i="10"/>
  <c r="D13" i="18"/>
  <c r="C8" i="18"/>
  <c r="C22" i="10"/>
  <c r="D8" i="18"/>
  <c r="C14" i="10"/>
  <c r="C12" i="20"/>
  <c r="C19" i="18"/>
  <c r="C11" i="20"/>
  <c r="C19" i="19"/>
  <c r="C14" i="20"/>
  <c r="C19" i="20"/>
  <c r="D17" i="10"/>
  <c r="C20" i="10"/>
  <c r="C20" i="18"/>
  <c r="D21" i="10"/>
  <c r="C17" i="20"/>
  <c r="C9" i="20"/>
  <c r="D11" i="18"/>
  <c r="D21" i="19"/>
  <c r="D16" i="18"/>
  <c r="C10" i="20"/>
  <c r="C9" i="19"/>
  <c r="C8" i="10"/>
  <c r="D12" i="19"/>
  <c r="C13" i="20"/>
  <c r="C14" i="19"/>
  <c r="C15" i="20"/>
  <c r="D14" i="18"/>
  <c r="D16" i="19"/>
  <c r="D12" i="10"/>
  <c r="D17" i="19"/>
  <c r="C15" i="10"/>
  <c r="C18" i="18"/>
  <c r="C10" i="19"/>
  <c r="A55" i="1"/>
  <c r="C22" i="150" s="1"/>
  <c r="D12" i="18"/>
  <c r="C20" i="20"/>
  <c r="D11" i="10"/>
  <c r="D9" i="18"/>
  <c r="D16" i="10"/>
  <c r="A19" i="1" l="1"/>
  <c r="B12" i="150" s="1"/>
  <c r="A18" i="1"/>
  <c r="B11" i="150" s="1"/>
  <c r="A44" i="1"/>
  <c r="C11" i="150" s="1"/>
  <c r="A43" i="1"/>
  <c r="C10" i="150" s="1"/>
  <c r="A45" i="1"/>
  <c r="C12" i="150" s="1"/>
  <c r="A16" i="1"/>
  <c r="B9" i="150" s="1"/>
  <c r="A17" i="1"/>
  <c r="B10" i="150" s="1"/>
  <c r="B24" i="150" l="1"/>
  <c r="B25" i="150" s="1"/>
  <c r="C24" i="150"/>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<sst xmlns="http://schemas.openxmlformats.org/spreadsheetml/2006/main" count="25623" uniqueCount="1684">
  <si>
    <t>Value</t>
  </si>
  <si>
    <t>Source</t>
  </si>
  <si>
    <t>Description / Notes</t>
  </si>
  <si>
    <t>These are the key variables associated with the form itself</t>
  </si>
  <si>
    <t>GovEntity_GovEntityID</t>
  </si>
  <si>
    <t>Populated*</t>
  </si>
  <si>
    <t>This is the ID number for the TIF district (*May enter for development/testing but will be overwritten/populated)</t>
  </si>
  <si>
    <t>GovEntity_GovEntityName</t>
  </si>
  <si>
    <t>This is the name of the TIF district (*May enter for development/testing but will be overwritten/populated)</t>
  </si>
  <si>
    <t>Spruce City</t>
  </si>
  <si>
    <t>GovEntity_GovEntityName_Parent</t>
  </si>
  <si>
    <t>This is the name of the TIF authority (*May enter for development/testing but will be overwritten/populated)</t>
  </si>
  <si>
    <t>Year_SourceYearID</t>
  </si>
  <si>
    <t>This is the source year for prepopulated prior-year data fields (*May enter for development/testing but will be overwritten/populated)</t>
  </si>
  <si>
    <t>Year_DestinationYearID</t>
  </si>
  <si>
    <t>This is the reporting year (*May enter for development/testing but will be overwritten/populated)</t>
  </si>
  <si>
    <t>VersionNumber</t>
  </si>
  <si>
    <t>Entered</t>
  </si>
  <si>
    <t>This is the version of the form (the year followed by letters starting with A) - Increment the letter as corrections/updates are released after the initial form (the "A" version) is released</t>
  </si>
  <si>
    <t>Dist</t>
  </si>
  <si>
    <t>FormName</t>
  </si>
  <si>
    <t>This is the form name ("Dist" for the TIF Annual Reporting Form)</t>
  </si>
  <si>
    <t>ConfirmationId</t>
  </si>
  <si>
    <t>Populated</t>
  </si>
  <si>
    <t>This is the confirmation code populated upon successful submission of the form</t>
  </si>
  <si>
    <t>SubmissionDate</t>
  </si>
  <si>
    <t>---Error Count Variables---</t>
  </si>
  <si>
    <t>These are the variables for identifying a count of error messages on each tab</t>
  </si>
  <si>
    <t>ErrorCheck_DistInfo</t>
  </si>
  <si>
    <t>Formula</t>
  </si>
  <si>
    <t>This is a count of errors on the Dist Info tab</t>
  </si>
  <si>
    <t>ErrorCheck_SpecLeg</t>
  </si>
  <si>
    <t>This is a count of errors on the Spec Leg tab</t>
  </si>
  <si>
    <t>ErrorCheck_Expenditures</t>
  </si>
  <si>
    <t>This is a count of errors on the Expenditures tab</t>
  </si>
  <si>
    <t>ErrorCheck_LentFunds</t>
  </si>
  <si>
    <t>This is a count of errors on the Lent Funds tab</t>
  </si>
  <si>
    <t>--------LISTS TAB RULES--------</t>
  </si>
  <si>
    <t>SpecLegMinYear</t>
  </si>
  <si>
    <t>Special sessions must be 1980 or later.</t>
  </si>
  <si>
    <t>Error</t>
  </si>
  <si>
    <t>Select One</t>
  </si>
  <si>
    <t>Regular Session</t>
  </si>
  <si>
    <t>Reg</t>
  </si>
  <si>
    <t>Redevelopment</t>
  </si>
  <si>
    <t>Current</t>
  </si>
  <si>
    <t>General Obligation TIF Bond</t>
  </si>
  <si>
    <t>Lists must be separated by a single blank column with a column width of 2</t>
  </si>
  <si>
    <t>SpecLegMaxYear</t>
  </si>
  <si>
    <t>Yes</t>
  </si>
  <si>
    <t>1st Special Session</t>
  </si>
  <si>
    <t>1SS</t>
  </si>
  <si>
    <t>Economic Development</t>
  </si>
  <si>
    <t>Former Parcel ID</t>
  </si>
  <si>
    <t>Revenue TIF Bond</t>
  </si>
  <si>
    <t>Use formula for Address [example: "=@CELL("address",D:E"] so the index updates when a list is deleted</t>
  </si>
  <si>
    <t>YearFormat</t>
  </si>
  <si>
    <t>No</t>
  </si>
  <si>
    <t>2nd Special Session</t>
  </si>
  <si>
    <t>2SS</t>
  </si>
  <si>
    <t>Housing</t>
  </si>
  <si>
    <t>Removed</t>
  </si>
  <si>
    <t>Other TIF Debt</t>
  </si>
  <si>
    <t>Delete obsolete lists</t>
  </si>
  <si>
    <t>SelectDropdown</t>
  </si>
  <si>
    <t>N/A</t>
  </si>
  <si>
    <t>Renewal &amp; Renovation</t>
  </si>
  <si>
    <t>Non-TIF Bond</t>
  </si>
  <si>
    <t>One set of columns per list, no stacking of lists above/below each other</t>
  </si>
  <si>
    <t>CompleteLine</t>
  </si>
  <si>
    <t>Please complete the row.</t>
  </si>
  <si>
    <t>Soils Condition</t>
  </si>
  <si>
    <t>No header rows, notes, cautions, or text below or above lists; use the "Notes" column in the index</t>
  </si>
  <si>
    <t>YesNoAnswer</t>
  </si>
  <si>
    <t>You must select Yes or No.</t>
  </si>
  <si>
    <t>Uncodified Law</t>
  </si>
  <si>
    <t>Color code lists using the following repeating fill colors (apply to column and list name in index)</t>
  </si>
  <si>
    <t>AnsweredNo</t>
  </si>
  <si>
    <t>Do not enter values if you indicated No above.</t>
  </si>
  <si>
    <t>(deleted lists may disrupt pattern)</t>
  </si>
  <si>
    <t xml:space="preserve">--------INDEX--------   </t>
  </si>
  <si>
    <t>List</t>
  </si>
  <si>
    <t>Address</t>
  </si>
  <si>
    <t>Name Ranges</t>
  </si>
  <si>
    <t>Notes</t>
  </si>
  <si>
    <t>Validation Messages</t>
  </si>
  <si>
    <t>Fixed</t>
  </si>
  <si>
    <t>Yes No Selection</t>
  </si>
  <si>
    <t>YesNo, SelOneYesNo, SelOneYesNoNA, YesNoNA</t>
  </si>
  <si>
    <t>Session Type</t>
  </si>
  <si>
    <t>Sessions, SessionLabel</t>
  </si>
  <si>
    <t>District Type</t>
  </si>
  <si>
    <t>DistrictType</t>
  </si>
  <si>
    <t>Parcel Status</t>
  </si>
  <si>
    <t>ParcelStatus</t>
  </si>
  <si>
    <t>Bond Type</t>
  </si>
  <si>
    <t>BondType</t>
  </si>
  <si>
    <t>Tab</t>
  </si>
  <si>
    <t>Validation Cell</t>
  </si>
  <si>
    <t>Message Cell</t>
  </si>
  <si>
    <t>Calculation</t>
  </si>
  <si>
    <t>Message Name</t>
  </si>
  <si>
    <t>Message Type</t>
  </si>
  <si>
    <t>Message Text</t>
  </si>
  <si>
    <t>Validation Cell Address</t>
  </si>
  <si>
    <t>Message Cell Address</t>
  </si>
  <si>
    <t>Tab with Message</t>
  </si>
  <si>
    <t>Spec Leg</t>
  </si>
  <si>
    <t>Bonds</t>
  </si>
  <si>
    <t>PAYGs</t>
  </si>
  <si>
    <t>Loans</t>
  </si>
  <si>
    <t>Parcels</t>
  </si>
  <si>
    <t>ParcelYesInfo</t>
  </si>
  <si>
    <t>Information</t>
  </si>
  <si>
    <t>Parcel reporting is required below.</t>
  </si>
  <si>
    <t>ParcelNoInfo</t>
  </si>
  <si>
    <t>Parcel entries are not yet required. You may skip this tab.</t>
  </si>
  <si>
    <t>District Information</t>
  </si>
  <si>
    <t>Review populated data for accuracy and correct (if cell allows) or note correction in Comments (if cell is locked). Complete cells requiring entry.</t>
  </si>
  <si>
    <t>(hide)</t>
  </si>
  <si>
    <t>Current Value</t>
  </si>
  <si>
    <r>
      <t>Message (</t>
    </r>
    <r>
      <rPr>
        <b/>
        <sz val="11"/>
        <color rgb="FFC00000"/>
        <rFont val="Calibri"/>
        <family val="2"/>
        <scheme val="minor"/>
      </rPr>
      <t>Error</t>
    </r>
    <r>
      <rPr>
        <b/>
        <sz val="11"/>
        <color theme="1"/>
        <rFont val="Calibri"/>
        <family val="2"/>
        <scheme val="minor"/>
      </rPr>
      <t xml:space="preserve">, </t>
    </r>
    <r>
      <rPr>
        <b/>
        <sz val="11"/>
        <color theme="7" tint="-0.249977111117893"/>
        <rFont val="Calibri"/>
        <family val="2"/>
        <scheme val="minor"/>
      </rPr>
      <t>Alert</t>
    </r>
    <r>
      <rPr>
        <b/>
        <sz val="11"/>
        <color theme="1"/>
        <rFont val="Calibri"/>
        <family val="2"/>
        <scheme val="minor"/>
      </rPr>
      <t xml:space="preserve">, </t>
    </r>
    <r>
      <rPr>
        <b/>
        <sz val="11"/>
        <color theme="0" tint="-0.499984740745262"/>
        <rFont val="Calibri"/>
        <family val="2"/>
        <scheme val="minor"/>
      </rPr>
      <t>Information</t>
    </r>
    <r>
      <rPr>
        <b/>
        <sz val="11"/>
        <color theme="1"/>
        <rFont val="Calibri"/>
        <family val="2"/>
        <scheme val="minor"/>
      </rPr>
      <t>)</t>
    </r>
  </si>
  <si>
    <t>Identifiers</t>
  </si>
  <si>
    <t>TIF District Name</t>
  </si>
  <si>
    <t>OSA's District ID</t>
  </si>
  <si>
    <t>County's District ID (if any)</t>
  </si>
  <si>
    <t>Entities</t>
  </si>
  <si>
    <t>TIF Authority Name</t>
  </si>
  <si>
    <t>OSA's Authority ID</t>
  </si>
  <si>
    <t>Municipality</t>
  </si>
  <si>
    <t>County</t>
  </si>
  <si>
    <t>Attributes</t>
  </si>
  <si>
    <t>Small City Exception</t>
  </si>
  <si>
    <t>Workforce Housing Project</t>
  </si>
  <si>
    <t>Located in Fiscal Disparities Area</t>
  </si>
  <si>
    <t>Fiscal Disparities Option</t>
  </si>
  <si>
    <t>Fiscal Disparities Option A Increase</t>
  </si>
  <si>
    <t>Plan Specifies Shorter Duration</t>
  </si>
  <si>
    <t>Election to Delay First Receipt</t>
  </si>
  <si>
    <t>Election to Pool for Housing</t>
  </si>
  <si>
    <t>District Has Been Decertified</t>
  </si>
  <si>
    <t>Dates</t>
  </si>
  <si>
    <t>Approval Date</t>
  </si>
  <si>
    <t>Certification Request Date</t>
  </si>
  <si>
    <t>Certification Date</t>
  </si>
  <si>
    <t>Four-Year Rule Date</t>
  </si>
  <si>
    <t>Four-Year Rule Notification Due to County</t>
  </si>
  <si>
    <t>Five-Year Rule Date</t>
  </si>
  <si>
    <t>Required Decertification Date</t>
  </si>
  <si>
    <t>Actual Decertification Date</t>
  </si>
  <si>
    <t>Values</t>
  </si>
  <si>
    <t>Current Net Tax Capacity</t>
  </si>
  <si>
    <t>Original Net Tax Capacity</t>
  </si>
  <si>
    <t>Captured Net Tax Capacity</t>
  </si>
  <si>
    <t>Shared Net Tax Capacity</t>
  </si>
  <si>
    <t>Retained Captured Net Tax Capacity</t>
  </si>
  <si>
    <t>TIF Plan Estimates</t>
  </si>
  <si>
    <t>Tax Increment Distributions</t>
  </si>
  <si>
    <t>TIF Credit Distributions</t>
  </si>
  <si>
    <t>Interest/Earnings</t>
  </si>
  <si>
    <t>Sales Proceeds</t>
  </si>
  <si>
    <t>Lease Proceeds</t>
  </si>
  <si>
    <t>Total Estimate of Tax Increment Revenue</t>
  </si>
  <si>
    <t>Land/Building Acquisition Costs</t>
  </si>
  <si>
    <t>Site Improvement Costs</t>
  </si>
  <si>
    <t>Utility Costs</t>
  </si>
  <si>
    <t>Affordable Housing Construction Costs</t>
  </si>
  <si>
    <t>Other Public Improvement Costs</t>
  </si>
  <si>
    <t>Administrative Costs</t>
  </si>
  <si>
    <t>Total Estimate of Project Costs</t>
  </si>
  <si>
    <t>Interest as a Financing Cost</t>
  </si>
  <si>
    <t>Total Project and Financing Costs</t>
  </si>
  <si>
    <t>Balanced, Unbalanced, or Non-Compliant</t>
  </si>
  <si>
    <t>Estimate of Bonds to be Issued</t>
  </si>
  <si>
    <t>Correction of Errors</t>
  </si>
  <si>
    <t>Special Legislation</t>
  </si>
  <si>
    <t>Comments</t>
  </si>
  <si>
    <t>Review previously reported data for accuracy and note corrections in Comments. Add new or missing special laws, if any.</t>
  </si>
  <si>
    <r>
      <t>Message (</t>
    </r>
    <r>
      <rPr>
        <b/>
        <sz val="11"/>
        <color rgb="FFC00000"/>
        <rFont val="Calibri"/>
        <family val="2"/>
        <scheme val="minor"/>
      </rPr>
      <t>Error</t>
    </r>
    <r>
      <rPr>
        <b/>
        <sz val="11"/>
        <color theme="1"/>
        <rFont val="Calibri"/>
        <family val="2"/>
        <scheme val="minor"/>
      </rPr>
      <t xml:space="preserve">, </t>
    </r>
    <r>
      <rPr>
        <b/>
        <sz val="11"/>
        <color theme="7" tint="-0.249977111117893"/>
        <rFont val="Calibri"/>
        <family val="2"/>
        <scheme val="minor"/>
      </rPr>
      <t>Alert</t>
    </r>
    <r>
      <rPr>
        <b/>
        <sz val="11"/>
        <color theme="1"/>
        <rFont val="Calibri"/>
        <family val="2"/>
        <scheme val="minor"/>
      </rPr>
      <t xml:space="preserve">, </t>
    </r>
    <r>
      <rPr>
        <b/>
        <sz val="11"/>
        <color rgb="FF595959"/>
        <rFont val="Calibri"/>
        <family val="2"/>
        <scheme val="minor"/>
      </rPr>
      <t>Information</t>
    </r>
    <r>
      <rPr>
        <b/>
        <sz val="11"/>
        <color theme="1"/>
        <rFont val="Calibri"/>
        <family val="2"/>
        <scheme val="minor"/>
      </rPr>
      <t>)</t>
    </r>
  </si>
  <si>
    <t>Do any special laws apply to this district?</t>
  </si>
  <si>
    <t>Special Laws Applicable to District</t>
  </si>
  <si>
    <t>Year</t>
  </si>
  <si>
    <t>Session</t>
  </si>
  <si>
    <t>Chapter</t>
  </si>
  <si>
    <t>Article</t>
  </si>
  <si>
    <t>Section</t>
  </si>
  <si>
    <t>Special Law #1</t>
  </si>
  <si>
    <t>Special Law #2</t>
  </si>
  <si>
    <t>Special Law #3</t>
  </si>
  <si>
    <t>Special Law #4</t>
  </si>
  <si>
    <t>Special Law #5</t>
  </si>
  <si>
    <t>Special Law #6</t>
  </si>
  <si>
    <t>Special Law #7</t>
  </si>
  <si>
    <t>Special Law #8</t>
  </si>
  <si>
    <t>Special Law #9</t>
  </si>
  <si>
    <t>Special Law #10</t>
  </si>
  <si>
    <t>Name (link)</t>
  </si>
  <si>
    <t>Does this district have any bonds to report?</t>
  </si>
  <si>
    <t>Bond 1</t>
  </si>
  <si>
    <t>Pay-As-You-Go (PAYG) Notes</t>
  </si>
  <si>
    <t>This tab is for reporting pay-as-you-go notes. Click on each PAYG Note's name in the Name (link) column to go to the related tab where activity for each PAYG Note can be entered. Return to this tab using the return link to go to the next PAYG Note. Add any new or previously unreported PAYG Note by clicking on "Click here to add another PAYG Note" in the Name (link) column. Report all PAYG notes of the TIF district.
Go to the Debt Summary Tab to review completed reporting for all debt obligations.</t>
  </si>
  <si>
    <t>Does this district have any PAYG Notes to report?</t>
  </si>
  <si>
    <t>PAYG Notes</t>
  </si>
  <si>
    <t>PAYG 1</t>
  </si>
  <si>
    <t>Interfund Loans (Due To)</t>
  </si>
  <si>
    <t>Loan 1</t>
  </si>
  <si>
    <t>Bond Entry Screen</t>
  </si>
  <si>
    <t xml:space="preserve">Verify any prepopulated values and complete entries for all empty cells. </t>
  </si>
  <si>
    <t>Bond Details</t>
  </si>
  <si>
    <t>Debt Type</t>
  </si>
  <si>
    <t>Debt Name</t>
  </si>
  <si>
    <t>Issue Date</t>
  </si>
  <si>
    <t>Final Maturity Date</t>
  </si>
  <si>
    <t>Low Interest Rate</t>
  </si>
  <si>
    <t>High Interest Rate</t>
  </si>
  <si>
    <t>Total Issue Amount</t>
  </si>
  <si>
    <t>Amount Refunded</t>
  </si>
  <si>
    <t>Principal Paid in Prior Years from This District's Increment</t>
  </si>
  <si>
    <t>Principal Paid in Prior Years from Other Sources or Districts</t>
  </si>
  <si>
    <t>Principal Additions/Reductions in Prior Years</t>
  </si>
  <si>
    <t>Principal Additions/Reductions in 2023</t>
  </si>
  <si>
    <t>Principal Outstanding</t>
  </si>
  <si>
    <t>Principal Due in 2024</t>
  </si>
  <si>
    <t>Accrued Unpaid Interest Not Added to Principal</t>
  </si>
  <si>
    <t>Interest Paid in Prior Years from This District's Increment</t>
  </si>
  <si>
    <t>Interest Paid in Prior Years from Other Sources or Districts</t>
  </si>
  <si>
    <t>Interest Due in 2024</t>
  </si>
  <si>
    <t>Was this obligation refunded?</t>
  </si>
  <si>
    <t>Did this obligation refund another obligation?</t>
  </si>
  <si>
    <t>Is this a pooled debt obligation?</t>
  </si>
  <si>
    <t>Bond Discount</t>
  </si>
  <si>
    <t>Bond Premium</t>
  </si>
  <si>
    <t>Does this obligation meet the Five-Year Rule?</t>
  </si>
  <si>
    <t>Pay-As-You-Go (PAYG) Note Entry Screen</t>
  </si>
  <si>
    <t>PAYG Note Details</t>
  </si>
  <si>
    <t>Note Amount</t>
  </si>
  <si>
    <t>Total Documented Amount</t>
  </si>
  <si>
    <t>Were the terms of this obligation modified in 2023?</t>
  </si>
  <si>
    <t>Due-To Interfund Loan Entry Screen</t>
  </si>
  <si>
    <t>Due-To Interfund Loan Details</t>
  </si>
  <si>
    <t>Issue or Resolution Date</t>
  </si>
  <si>
    <t>Interest Rate Fixed or Fluctuates</t>
  </si>
  <si>
    <t>Resolution Amount</t>
  </si>
  <si>
    <t>Amount Drawn in Prior Years</t>
  </si>
  <si>
    <t>Amount Drawn in 2023</t>
  </si>
  <si>
    <t>Total Draw Amount</t>
  </si>
  <si>
    <t>Debt Summary</t>
  </si>
  <si>
    <t xml:space="preserve">This tab summarizes all reported debt obligations and is for review purposes. Make any corrections via the Debt tab. </t>
  </si>
  <si>
    <t>Debt Obligations of the District (active since 2010)</t>
  </si>
  <si>
    <r>
      <t xml:space="preserve">Interest Rate Fixed or Fluctuates </t>
    </r>
    <r>
      <rPr>
        <sz val="8"/>
        <color theme="1"/>
        <rFont val="Calibri"/>
        <family val="2"/>
        <scheme val="minor"/>
      </rPr>
      <t>(Loans only)</t>
    </r>
  </si>
  <si>
    <r>
      <t xml:space="preserve">Note/Resolution Amount </t>
    </r>
    <r>
      <rPr>
        <sz val="8"/>
        <color theme="1"/>
        <rFont val="Calibri"/>
        <family val="2"/>
        <scheme val="minor"/>
      </rPr>
      <t>(PAYG/Loan)</t>
    </r>
  </si>
  <si>
    <t>Total Issue/Documented/Draw Amt (Bond/PAYG/Loan)</t>
  </si>
  <si>
    <t>Totals by Major Debt Type (for debts active since 2010)</t>
  </si>
  <si>
    <t>TIF BONDS</t>
  </si>
  <si>
    <t>NON-TIF BONDS</t>
  </si>
  <si>
    <t>DUE-Tos</t>
  </si>
  <si>
    <t>ALL DEBT</t>
  </si>
  <si>
    <t>Final Maturity Date (of last outstanding obligation)</t>
  </si>
  <si>
    <t>Debts Retired Before 2010</t>
  </si>
  <si>
    <t>Totals</t>
  </si>
  <si>
    <t>TIF Bonds Issued (Excluding Refunding Bonds)</t>
  </si>
  <si>
    <t>TIF Refunding Bonds Issued</t>
  </si>
  <si>
    <t>Principal Paid with Increment (TIF Bonds Only)</t>
  </si>
  <si>
    <t>Interest Paid with Increment (TIF &amp; Non-TIF Bonds)</t>
  </si>
  <si>
    <t>Interest Paid with Increment (Interfund Loans)</t>
  </si>
  <si>
    <t>Expenditures</t>
  </si>
  <si>
    <t>Land/Building Acquisition</t>
  </si>
  <si>
    <t>Site Improvements</t>
  </si>
  <si>
    <t>Utilities</t>
  </si>
  <si>
    <t>Affordable Housing Construction</t>
  </si>
  <si>
    <t>Other Public Improvements</t>
  </si>
  <si>
    <t>Authority Administrative Costs</t>
  </si>
  <si>
    <t>Temporary Jobs Stimulus</t>
  </si>
  <si>
    <t>Temporary Transfer Authority</t>
  </si>
  <si>
    <t>Total</t>
  </si>
  <si>
    <t>Paid in Prior Years</t>
  </si>
  <si>
    <t>County Administrative Costs</t>
  </si>
  <si>
    <t>Lent Funds</t>
  </si>
  <si>
    <t>Due-From Interfund Loans</t>
  </si>
  <si>
    <t>Principal Received in Prior Years</t>
  </si>
  <si>
    <t>Additions/Reductions in Prior Years</t>
  </si>
  <si>
    <t>Interest Received in Prior Years</t>
  </si>
  <si>
    <t>Revenues</t>
  </si>
  <si>
    <t>Prior Years</t>
  </si>
  <si>
    <t>Tax Increment Distributed by County</t>
  </si>
  <si>
    <t>TIF Credit Reimbursements</t>
  </si>
  <si>
    <t>Interest and Investment Earnings</t>
  </si>
  <si>
    <t>Sale Proceeds</t>
  </si>
  <si>
    <t>Loan/Advance Repayments</t>
  </si>
  <si>
    <t>Repayments/Returns Per Agreements</t>
  </si>
  <si>
    <t>Total Tax Increment Revenues</t>
  </si>
  <si>
    <t>Has the year of the Five-Year Rule Date been reached?</t>
  </si>
  <si>
    <t>Parcel ID Number</t>
  </si>
  <si>
    <t>Status</t>
  </si>
  <si>
    <t>Associated PAYG Note</t>
  </si>
  <si>
    <t>Tab Name</t>
  </si>
  <si>
    <t>Instructions</t>
  </si>
  <si>
    <t>A</t>
  </si>
  <si>
    <t>B</t>
  </si>
  <si>
    <t>C</t>
  </si>
  <si>
    <t>D</t>
  </si>
  <si>
    <t>Beginning with reporting for the year in which the Five-Year Rule Date is reached, identify all parcels located in the TIF district and mark their Status as Current. Identify any PAYG Notes associated with each parcel, if any. 
In subsequent years: 
1) If a prepopulated Parcel ID Number is no longer used due to a split, combination, platting, or other change, mark it as a Former Parcel ID using the drop-down under status. 
2) If a prepopulated parcel was removed from the district, mark it as Removed using the drop-down under status. 
3) If parcels have been added or parcel ID numbers have changed, add new Parcel ID Numbers and mark them as Current using the drop-down under Status.
4) Continue to identify any PAYG Notes associated with each parcel. Report the parcel on multiple lines if associated with multiple PAYG Notes.</t>
  </si>
  <si>
    <t>Bond 2</t>
  </si>
  <si>
    <t>Bond 3</t>
  </si>
  <si>
    <t>Bond 4</t>
  </si>
  <si>
    <t>Bond 5</t>
  </si>
  <si>
    <t>Bond 6</t>
  </si>
  <si>
    <t>Bond 7</t>
  </si>
  <si>
    <t>Bond 8</t>
  </si>
  <si>
    <t>Bond 9</t>
  </si>
  <si>
    <t>Bond 10</t>
  </si>
  <si>
    <t>Bond 11</t>
  </si>
  <si>
    <t>Bond 12</t>
  </si>
  <si>
    <t>Bond 13</t>
  </si>
  <si>
    <t>Bond 14</t>
  </si>
  <si>
    <t>Bond 15</t>
  </si>
  <si>
    <t>PAYG Dropdown List</t>
  </si>
  <si>
    <t>Used to identify the PAYG dropdown on the Parcels Tab</t>
  </si>
  <si>
    <t>PAYG_List</t>
  </si>
  <si>
    <t>Has this district ever had transfers to/from other districts?</t>
  </si>
  <si>
    <t>Transfers</t>
  </si>
  <si>
    <r>
      <rPr>
        <b/>
        <sz val="11"/>
        <color theme="1"/>
        <rFont val="Calibri"/>
        <family val="2"/>
        <scheme val="minor"/>
      </rPr>
      <t xml:space="preserve">Regular Transfers To/From Other Districts </t>
    </r>
    <r>
      <rPr>
        <sz val="11"/>
        <color theme="1"/>
        <rFont val="Calibri"/>
        <family val="2"/>
        <scheme val="minor"/>
      </rPr>
      <t xml:space="preserve">
</t>
    </r>
    <r>
      <rPr>
        <sz val="10"/>
        <color theme="1"/>
        <rFont val="Calibri"/>
        <family val="2"/>
        <scheme val="minor"/>
      </rPr>
      <t>(See separate 2021 Temp Transfer Authority section below)</t>
    </r>
  </si>
  <si>
    <t>Fund/Account Receiving Transfer</t>
  </si>
  <si>
    <t>Expenditures in Prior Years of Transferred Amounts</t>
  </si>
  <si>
    <t>Transfers Back to TIF District (Cumulative Total)</t>
  </si>
  <si>
    <t>Remaining Unspent Balance of Transferred Amounts</t>
  </si>
  <si>
    <r>
      <rPr>
        <b/>
        <sz val="11"/>
        <color theme="1"/>
        <rFont val="Calibri"/>
        <family val="2"/>
        <scheme val="minor"/>
      </rPr>
      <t xml:space="preserve">Transfers Under 2021 Temporary Transfer Authority </t>
    </r>
    <r>
      <rPr>
        <sz val="11"/>
        <color theme="1"/>
        <rFont val="Calibri"/>
        <family val="2"/>
        <scheme val="minor"/>
      </rPr>
      <t xml:space="preserve">
</t>
    </r>
    <r>
      <rPr>
        <sz val="10"/>
        <color theme="1"/>
        <rFont val="Calibri"/>
        <family val="2"/>
        <scheme val="minor"/>
      </rPr>
      <t>(Under Minn. Stat. § 469.176, subd. 4n)</t>
    </r>
  </si>
  <si>
    <t>Other District
(to which or from which the transfer was made)</t>
  </si>
  <si>
    <t>Prior Year 
Transfers IN 
from other district</t>
  </si>
  <si>
    <t>Total
Transfers IN
from other district</t>
  </si>
  <si>
    <t>Prior Year 
Transfers OUT 
to other district</t>
  </si>
  <si>
    <t>Total
Transfers OUT
to other district</t>
  </si>
  <si>
    <t>Total Tax Increment From Captured Value</t>
  </si>
  <si>
    <t>Current:</t>
  </si>
  <si>
    <t>Debt Service:</t>
  </si>
  <si>
    <t>Project Costs (Excluding Documented PAYG Costs)</t>
  </si>
  <si>
    <t>PAYG Payment of Principal</t>
  </si>
  <si>
    <t>TIF Bond Payment of Principal</t>
  </si>
  <si>
    <t>PAYG Payment of Interest</t>
  </si>
  <si>
    <t>TIF Bond Payment of Interest</t>
  </si>
  <si>
    <t>Interfund Loan Payment of Interest</t>
  </si>
  <si>
    <t>Total Expenditures</t>
  </si>
  <si>
    <t>Revenues Over (Under) Expenditures</t>
  </si>
  <si>
    <t>Other Sources and (Uses)</t>
  </si>
  <si>
    <t>Transfers In</t>
  </si>
  <si>
    <t>Transfers Out</t>
  </si>
  <si>
    <t>TIF Bonds Issued (excluding refunding bonds)</t>
  </si>
  <si>
    <t>TIF Bond Premium</t>
  </si>
  <si>
    <t>Other (see instructions, comment required)</t>
  </si>
  <si>
    <t>Tax Increment Returned/Paid to County Auditor</t>
  </si>
  <si>
    <t>TIF Bond Discount</t>
  </si>
  <si>
    <t>TIF Bonds Refunded</t>
  </si>
  <si>
    <t>Total Other Sources and (Uses)</t>
  </si>
  <si>
    <t>Net Change in Tax Increment Balance</t>
  </si>
  <si>
    <t>Tax Increment Balance (Beginning January 1)</t>
  </si>
  <si>
    <t>Tax Increment Balance (Ending December 31)</t>
  </si>
  <si>
    <t>Assets</t>
  </si>
  <si>
    <t>Cash</t>
  </si>
  <si>
    <t>Investments</t>
  </si>
  <si>
    <t>Due From Other TIF Districts</t>
  </si>
  <si>
    <t>Interest Receivable</t>
  </si>
  <si>
    <t>Taxes Receivable</t>
  </si>
  <si>
    <t>Other Receivables</t>
  </si>
  <si>
    <t>Property Held For Resale</t>
  </si>
  <si>
    <t>Total Assets</t>
  </si>
  <si>
    <t>Liabilities</t>
  </si>
  <si>
    <t>Due To Other TIF Districts</t>
  </si>
  <si>
    <t>Due To Non-TIF Accounts</t>
  </si>
  <si>
    <t>Due From Non-TIF Accounts</t>
  </si>
  <si>
    <t>Accounts Payable</t>
  </si>
  <si>
    <t>Unearned Revenue</t>
  </si>
  <si>
    <t>Total Liabilities</t>
  </si>
  <si>
    <t>Deferred Inflows</t>
  </si>
  <si>
    <t>Tax Increment Balance</t>
  </si>
  <si>
    <t>Total Liabilities, Deferred Inflows and Tax Increment Balance</t>
  </si>
  <si>
    <t>Balance Sheet</t>
  </si>
  <si>
    <t>Revenues, Expenditures, and Changes in Tax Increment Balance</t>
  </si>
  <si>
    <t>Six-Year Rule Tracking</t>
  </si>
  <si>
    <t>Alert</t>
  </si>
  <si>
    <t>TIF District Type</t>
  </si>
  <si>
    <t>Year Six</t>
  </si>
  <si>
    <t xml:space="preserve">Total In-District Costs and Obligations </t>
  </si>
  <si>
    <t xml:space="preserve">Total of Qualifying PAYG Obligations. </t>
  </si>
  <si>
    <t>Amount Sufficient To Pay In-District Obligations Excl PAYGs</t>
  </si>
  <si>
    <t>Excess Increment Calculation</t>
  </si>
  <si>
    <t>Determination of Calculation Requirement or Exemption</t>
  </si>
  <si>
    <t>Total Tax Increment Revenues Since Certification</t>
  </si>
  <si>
    <t>120% of Tax Increment Revenues Threshold</t>
  </si>
  <si>
    <t>Completion of This Calculation Is</t>
  </si>
  <si>
    <t>Total Costs Authorized By TIF Plan (to be paid w/ tax incr)</t>
  </si>
  <si>
    <t>(minus) Tax Increment Returned to the County Auditor</t>
  </si>
  <si>
    <t>Subtotal A (Retained Tax Increment Revenue)</t>
  </si>
  <si>
    <t>(minus) Auth. Costs Paid, or To Be Paid, By Other Sources</t>
  </si>
  <si>
    <t>(minus) Principal and Interest Due After Dec. 31, 2022</t>
  </si>
  <si>
    <t>(plus) Transfers of Increment Made to Pay Deficits</t>
  </si>
  <si>
    <t>Subtotal B (Current Authorized Costs Payable w/ Tax Incr)</t>
  </si>
  <si>
    <t>Excess Increment (Subtotal A minus Subtotal B)</t>
  </si>
  <si>
    <t>Annual Disclosure Statement</t>
  </si>
  <si>
    <t>Information About the Annual Disclosure Statement</t>
  </si>
  <si>
    <t>Name of Newspaper</t>
  </si>
  <si>
    <t>Date of Publication</t>
  </si>
  <si>
    <t>Required Information To Be Included in the Disclosure</t>
  </si>
  <si>
    <t>Year of First Receipt of Increment</t>
  </si>
  <si>
    <t>Required or Actual Decertification Date</t>
  </si>
  <si>
    <t>Increased Property Taxes Due To Fiscal Disparities Option A (if applicable)*</t>
  </si>
  <si>
    <t>Required Additional Information Statement</t>
  </si>
  <si>
    <t>Entry needed. (See instructions.)</t>
  </si>
  <si>
    <t>EntryNeededSeeInstr</t>
  </si>
  <si>
    <t>Dist Info</t>
  </si>
  <si>
    <t>District Information Review Completed</t>
  </si>
  <si>
    <t>Is above data accurate except as noted in comments below?</t>
  </si>
  <si>
    <t>MustAnswerYes</t>
  </si>
  <si>
    <t>You must be able to answer Yes before form can be submitted.</t>
  </si>
  <si>
    <t>FourYrPastDue</t>
  </si>
  <si>
    <t>FourYrDueSoon</t>
  </si>
  <si>
    <t>Planned activity has yet to commence</t>
  </si>
  <si>
    <t>Activity has commenced, restoration pending</t>
  </si>
  <si>
    <t>Parcel has been restored</t>
  </si>
  <si>
    <t>Parcel was removed from district by plan modification</t>
  </si>
  <si>
    <t>Four-Year Rule Status</t>
  </si>
  <si>
    <t>FourYrStatus</t>
  </si>
  <si>
    <t>Year When Six-Year Rule Begins to Apply</t>
  </si>
  <si>
    <t>Year Six has been reached. See Six-Yr Rule Tab for alerts and tracking.</t>
  </si>
  <si>
    <t>YearSixReached</t>
  </si>
  <si>
    <t>Spec Leg dropdown choice, database value</t>
  </si>
  <si>
    <t>Parcel Status dropdown choice</t>
  </si>
  <si>
    <t>Bond Type dropdown choice</t>
  </si>
  <si>
    <t>Four-Yr Tab dropdown choic</t>
  </si>
  <si>
    <t>Dropdown choices involving Yes and No</t>
  </si>
  <si>
    <t>Dist Type dropdown choice on Dist Info Tab</t>
  </si>
  <si>
    <t>EntryReqValue</t>
  </si>
  <si>
    <t>Entry Required: If decertified or fully exempt, enter $0. Otherwise, enter value.</t>
  </si>
  <si>
    <t>Fiscal Disparities Contribution (if Option B)</t>
  </si>
  <si>
    <t>Amount may not be negative. Enter an amount greater than or equal to zero.</t>
  </si>
  <si>
    <t>NoNegative</t>
  </si>
  <si>
    <t>NumberOnly</t>
  </si>
  <si>
    <t>RoundDollar</t>
  </si>
  <si>
    <t>Amount must be rounded to the nearest dollar.</t>
  </si>
  <si>
    <t>---Major Form Variables---</t>
  </si>
  <si>
    <r>
      <rPr>
        <b/>
        <i/>
        <sz val="11"/>
        <color theme="1"/>
        <rFont val="Calibri"/>
        <family val="2"/>
        <scheme val="minor"/>
      </rPr>
      <t xml:space="preserve">---Group--- </t>
    </r>
    <r>
      <rPr>
        <sz val="11"/>
        <color theme="1"/>
        <rFont val="Calibri"/>
        <family val="2"/>
        <scheme val="minor"/>
      </rPr>
      <t xml:space="preserve"> </t>
    </r>
    <r>
      <rPr>
        <b/>
        <i/>
        <sz val="11"/>
        <color theme="1"/>
        <rFont val="Calibri"/>
        <family val="2"/>
        <scheme val="minor"/>
      </rPr>
      <t xml:space="preserve"> </t>
    </r>
    <r>
      <rPr>
        <b/>
        <sz val="11"/>
        <color theme="1"/>
        <rFont val="Calibri"/>
        <family val="2"/>
        <scheme val="minor"/>
      </rPr>
      <t>Range Name</t>
    </r>
  </si>
  <si>
    <t>ErrorCheck_Bonds</t>
  </si>
  <si>
    <t>ErrorCheck_PAYGs</t>
  </si>
  <si>
    <t>ErrorCheck_Loans</t>
  </si>
  <si>
    <t>ErrorCheck_RevExpBal</t>
  </si>
  <si>
    <t>ErrorCheck_Transfers</t>
  </si>
  <si>
    <t>ErrorCheck_BalSheet</t>
  </si>
  <si>
    <t>ErrorCheck_EIC</t>
  </si>
  <si>
    <t>ErrorCheck_ADS</t>
  </si>
  <si>
    <t>ErrorCheck_Parcels</t>
  </si>
  <si>
    <t>This is a count of errors on the Bonds tab</t>
  </si>
  <si>
    <t>This is a count of errors on the Loans tab</t>
  </si>
  <si>
    <t>This is a count of errors on the PAYGs tab</t>
  </si>
  <si>
    <t>This is a count of errors on the Revenues tab</t>
  </si>
  <si>
    <t>This is a count of errors on the Transfers tab</t>
  </si>
  <si>
    <t>This is a count of errors on the EIC tab</t>
  </si>
  <si>
    <t>This is a count of errors on the ADS tab</t>
  </si>
  <si>
    <t>This is a count of errors on the Parcels tab</t>
  </si>
  <si>
    <t>This is a count of errors on the Rev Exp Bal tab</t>
  </si>
  <si>
    <t>This is a count of errors on the Bal Sheet tab</t>
  </si>
  <si>
    <t>This is a count of errors on the Six-Yr Rule tab</t>
  </si>
  <si>
    <t>---Dist Info Variables---</t>
  </si>
  <si>
    <t>These are the variables used on the Dist Info tab</t>
  </si>
  <si>
    <t>TIF_District_SmallCityExceptionInd</t>
  </si>
  <si>
    <t>TIF_FiscalDisparityOption_OptionId</t>
  </si>
  <si>
    <t>This indicates the small city exception status using codes 1,2,3</t>
  </si>
  <si>
    <t>This indicates the FD option that applies using codes a,b,n</t>
  </si>
  <si>
    <t>ErrorCheck_SixYrRule</t>
  </si>
  <si>
    <t>This is the date of submission of the form populated upon successful submission of the form</t>
  </si>
  <si>
    <t>TIF_District_WorkforceHousingInd</t>
  </si>
  <si>
    <r>
      <t xml:space="preserve">This indicates that workforce housing applies using </t>
    </r>
    <r>
      <rPr>
        <sz val="11"/>
        <color rgb="FFFF0000"/>
        <rFont val="Calibri"/>
        <family val="2"/>
        <scheme val="minor"/>
      </rPr>
      <t>??? (Will this be T/F or 1/0?)</t>
    </r>
  </si>
  <si>
    <t>BudgetUnbalanced</t>
  </si>
  <si>
    <t>BudgetNoncompliant</t>
  </si>
  <si>
    <t>Note that authorized costs are less than estimated tax increment revenues.</t>
  </si>
  <si>
    <t>AdminBudget</t>
  </si>
  <si>
    <t>Enter an amount only. Do not enter text or spaces.</t>
  </si>
  <si>
    <t>Input</t>
  </si>
  <si>
    <t>Output</t>
  </si>
  <si>
    <t>Evidence of activity is due to county auditor soon.</t>
  </si>
  <si>
    <t>Evidence of activity was due to county auditor by Feb 1. Verify that it was provided.</t>
  </si>
  <si>
    <t>Non-compliant plan needs modification! Total Costs must not exceed Est Revenue.</t>
  </si>
  <si>
    <t>Estimated admin costs exceed what may be permitted.</t>
  </si>
  <si>
    <t>This tab is for reporting bonds (excluding pay-as-you-go notes, interfund loans, and bonds retired prior to 2010 that are identified in the pre-2010 section on the Debt Summary Tab). Click on each bond's name in the Name (link) column to go to the related tab where activity for each bond can be entered. Return to this tab using the return link to go to the next bond. Add any new or previously unreported bond by clicking on "Click here to add another bond" in the Name (link) column. Report all bonds of the TIF district.
Go to the Debt Summary Tab to review completed reporting for all debt obligations.</t>
  </si>
  <si>
    <t>This tab is for reporting Interfund Loans. Report only due-to interfund loans; due-from interfund loans of lent increment are reported on the Lent Funds Tab. Click on each loan's name in the Name (link) column to go to the related tab where activity for each loan can be entered. Return to this tab using the return link to go to the next loan. Add any new or previously unreported loan by clicking on "Click here to add another loan" in the Name (link) column. Report all loans of the TIF district.
Go to the Debt Summary Tab to review completed reporting for all debt obligations.</t>
  </si>
  <si>
    <t>=IF(TIF_District_ActualDecertificationDateInd_Input=TRUE,"Yes","Select One")</t>
  </si>
  <si>
    <t>Initial Formula</t>
  </si>
  <si>
    <t>This is the ID number for the TIF authority (*May enter for development/testing but will be overwritten/populated)</t>
  </si>
  <si>
    <t>GovEntity_GovEntityID_Parent</t>
  </si>
  <si>
    <t>SkipNotOptionA</t>
  </si>
  <si>
    <t>Skip this line. Fiscal Disparities Option A does not apply to this district.</t>
  </si>
  <si>
    <t>NoEntryNotOptionA</t>
  </si>
  <si>
    <t>Delete entry and leave blank. Fiscal Disparities Option A does not apply to this district.</t>
  </si>
  <si>
    <t>YesPrevSelected</t>
  </si>
  <si>
    <t>Original Anticipated Year of First Receipt</t>
  </si>
  <si>
    <t>Verified Actual Year of First Receipt</t>
  </si>
  <si>
    <t>Entry required.</t>
  </si>
  <si>
    <t>EntryReq</t>
  </si>
  <si>
    <t>SkipADD</t>
  </si>
  <si>
    <t>Skip this line. Reporting above indicated the district has not yet been decertified.</t>
  </si>
  <si>
    <t>DateOnly</t>
  </si>
  <si>
    <t>Enter a date only (MM/DD/YYYY). Do not enter text, spaces, or amounts.</t>
  </si>
  <si>
    <t>NoFutureDate</t>
  </si>
  <si>
    <t>DateBeforeCert</t>
  </si>
  <si>
    <t>Date cannot be a future date.</t>
  </si>
  <si>
    <t>Date cannot preceed district's certification date.</t>
  </si>
  <si>
    <t>=IF(TIF_ErrorCorrection_Year_Input=TRUE,"Yes","Select One")</t>
  </si>
  <si>
    <t>This hidden sheet is for populating data that will be located on the Bond 1 to Bond 15 tabs.</t>
  </si>
  <si>
    <t>Range Name</t>
  </si>
  <si>
    <t>TIF_Debt_Description_Input</t>
  </si>
  <si>
    <t>TIF_DebtType_TypeName_Input</t>
  </si>
  <si>
    <t>TIF_Debt_PooledInd_Input</t>
  </si>
  <si>
    <t>TIF_Debt_RefundingInd_Input</t>
  </si>
  <si>
    <t>TIF_Debt_RefundedInd_Input</t>
  </si>
  <si>
    <t>TIF_Debt_IssueDate_Input</t>
  </si>
  <si>
    <t>TIF_Debt_FinalMaturityDate_Input</t>
  </si>
  <si>
    <t>TIF_Debt_InterestRateLow_Input</t>
  </si>
  <si>
    <t>TIF_Debt_InterestRateHigh_Input</t>
  </si>
  <si>
    <t>TIF_Debt_IssueAmt_Input</t>
  </si>
  <si>
    <t>TIF_DebtAnnual_RefundedAmt_Input</t>
  </si>
  <si>
    <t>TIF_DebtAnnual_PrincipalPaidTiPriorAdj_Input</t>
  </si>
  <si>
    <t>TIF_DebtAnnual_PrincipalPaidOtherPriorAdj_Input</t>
  </si>
  <si>
    <t>TIF_DebtAnnual_PrincipalPaidTI_Input</t>
  </si>
  <si>
    <t>TIF_DebtAnnual_PrincipalPaidOther_Input</t>
  </si>
  <si>
    <t>TIF_DebtAnnual_PrincipalAdditionsPriorAdj_Input</t>
  </si>
  <si>
    <t>TIF_DebtAnnual_PrincipalAdditions_Input</t>
  </si>
  <si>
    <t>TIF_DebtAnnual_PrincipalOutstanding_Input</t>
  </si>
  <si>
    <t>TIF_DebtAnnual_PrincipalDueTI_Input</t>
  </si>
  <si>
    <t>TIF_DebtAnnual_InterestPaidTiPriorAdj_Input</t>
  </si>
  <si>
    <t>TIF_DebtAnnual_InterestPaidOtherPriorAdj_Input</t>
  </si>
  <si>
    <t>TIF_DebtAnnual_InterestPaidTI_Input</t>
  </si>
  <si>
    <t>TIF_DebtAnnual_InterestPaidOther_Input</t>
  </si>
  <si>
    <t>Input Tab for the Bond 1 … Bond 15 Tabs</t>
  </si>
  <si>
    <t>TIF_DebtAnnual_InterestDue_Input</t>
  </si>
  <si>
    <t>TIF_DebtAnnual_UnpaidInterest_Input</t>
  </si>
  <si>
    <t>=IF(TIF_SpecialLegislation_SpecialLegislationInd_Input=TRUE,"Yes","Select One")</t>
  </si>
  <si>
    <t>spec leg id</t>
  </si>
  <si>
    <t>Issue Amount</t>
  </si>
  <si>
    <t>TIF_Debt_BondDiscount_Input</t>
  </si>
  <si>
    <t>TIF_Debt_BondPremium_Input</t>
  </si>
  <si>
    <t>TIF_DebtType_TypeName_Output</t>
  </si>
  <si>
    <t>TIF_Debt_Description_Output</t>
  </si>
  <si>
    <t>TIF_Debt_RefundedInd_Output</t>
  </si>
  <si>
    <t>TIF_Debt_RefundingInd_Output</t>
  </si>
  <si>
    <t>TIF_Debt_PooledInd_Output</t>
  </si>
  <si>
    <t>TIF_Debt_IssueDate_Output</t>
  </si>
  <si>
    <t>TIF_Debt_FinalMaturityDate_Output</t>
  </si>
  <si>
    <t>TIF_Debt_InterestRateLow_Output</t>
  </si>
  <si>
    <t>TIF_Debt_InterestRateHigh_Output</t>
  </si>
  <si>
    <t>TIF_Debt_IssueAmt_Output</t>
  </si>
  <si>
    <t>TIF_Debt_BondDiscount_Output</t>
  </si>
  <si>
    <t>TIF_Debt_BondPremium_Output</t>
  </si>
  <si>
    <t>TIF_DebtAnnual_RefundedAmt_Output</t>
  </si>
  <si>
    <t>TIF_DebtAnnual_PrincipalPaidTiPriorAdj_Output</t>
  </si>
  <si>
    <t>TIF_DebtAnnual_PrincipalPaidOtherPriorAdj_Output</t>
  </si>
  <si>
    <t>TIF_DebtAnnual_PrincipalPaidTI_Output</t>
  </si>
  <si>
    <t>TIF_DebtAnnual_PrincipalPaidOther_Output</t>
  </si>
  <si>
    <t>TIF_DebtAnnual_PrincipalAdditionsPriorAdj_Output</t>
  </si>
  <si>
    <t>TIF_DebtAnnual_PrincipalAdditions_Output</t>
  </si>
  <si>
    <t>TIF_DebtAnnual_PrincipalOutstanding_Output</t>
  </si>
  <si>
    <t>TIF_DebtAnnual_PrincipalDueTI_Output</t>
  </si>
  <si>
    <t>TIF_DebtAnnual_UnpaidInterest_Output</t>
  </si>
  <si>
    <t>TIF_DebtAnnual_InterestPaidTiPriorAdj_Output</t>
  </si>
  <si>
    <t>TIF_DebtAnnual_InterestPaidOtherPriorAdj_Output</t>
  </si>
  <si>
    <t>TIF_DebtAnnual_InterestPaidTI_Output</t>
  </si>
  <si>
    <t>TIF_DebtAnnual_InterestPaidOther_Output</t>
  </si>
  <si>
    <t>TIF_DebtAnnual_InterestDue_Output</t>
  </si>
  <si>
    <t>Output Tab for the Bond 1 … Bond 15 Tabs</t>
  </si>
  <si>
    <t>This hidden sheet is for importing data entered on the Bond 1 to Bond 15 tabs.</t>
  </si>
  <si>
    <t>TIF_Debt_MeetsFiveYrRuleInd_Output</t>
  </si>
  <si>
    <t>TIF_DebtAnnual_UserCommentsBond_Ouput</t>
  </si>
  <si>
    <t>TIF_Debt_MeetsFiveYrRuleInd_Input</t>
  </si>
  <si>
    <t>=IF(TIF_Debt_DebtInd_Input=TRUE,"Yes","Select One")</t>
  </si>
  <si>
    <t>IfYesAtLeast1Bond</t>
  </si>
  <si>
    <t>MustAnswerYesIfBond</t>
  </si>
  <si>
    <t>If Yes, you must report at least one bond below.</t>
  </si>
  <si>
    <t>Yes was previously reported and must be selected. Contact TIF Division to change.</t>
  </si>
  <si>
    <t>You must answer Yes to report bond information below.</t>
  </si>
  <si>
    <t>If No, skip the remainder of this tab and continue to the next tab.</t>
  </si>
  <si>
    <t>IfNoSkipRemainder</t>
  </si>
  <si>
    <t>You must make a selection from the dropdown list.</t>
  </si>
  <si>
    <t>Requirement and Due Date</t>
  </si>
  <si>
    <t>Click here for instructional videos</t>
  </si>
  <si>
    <t>In addition, instructional videos about completing this form are available at the following link (under the heading TIF Annual Reporting Form Videos):</t>
  </si>
  <si>
    <t>Technical Troubles and Questions</t>
  </si>
  <si>
    <t>ErrorInDescription</t>
  </si>
  <si>
    <t>Error in description. Delete and re-enter.</t>
  </si>
  <si>
    <t>TextLength100</t>
  </si>
  <si>
    <t>Entry cannot exceed 100 characters. Please re-enter.</t>
  </si>
  <si>
    <t>EnterNameFirst</t>
  </si>
  <si>
    <t>NoBadSpaces</t>
  </si>
  <si>
    <t>Do not use leading, trailing, or double spaces. Delete and re-enter.</t>
  </si>
  <si>
    <t>Initial Formula on Bond 1 to Bond 15 Tabs</t>
  </si>
  <si>
    <t>NoChangeDebtType</t>
  </si>
  <si>
    <t>NoChangeRefunding</t>
  </si>
  <si>
    <t>=IF(NOT(ISBLANK('Bond Input'!C4)),'Bond Input'!C4,"")   &lt;---CHANGE COL REFERENCES AS APPROPRIATE</t>
  </si>
  <si>
    <t>=IF(NOT(ISBLANK('Bond Input'!C10)),'Bond Input'!C10,"")   &lt;---CHANGE COL REFERENCES AS APPROPRIATE</t>
  </si>
  <si>
    <t>=IF(NOT(ISBLANK('Bond Input'!C11)),'Bond Input'!C11,"")   &lt;---CHANGE COL REFERENCES AS APPROPRIATE</t>
  </si>
  <si>
    <t>=IF(NOT(ISBLANK('Bond Input'!C12)),'Bond Input'!C12,"")   &lt;---CHANGE COL REFERENCES AS APPROPRIATE</t>
  </si>
  <si>
    <t>=IF(NOT(ISBLANK('Bond Input'!C13)),'Bond Input'!C13,"")   &lt;---CHANGE COL REFERENCES AS APPROPRIATE</t>
  </si>
  <si>
    <t>=IF(NOT(ISBLANK('Bond Input'!C14)),'Bond Input'!C14,"")   &lt;---CHANGE COL REFERENCES AS APPROPRIATE</t>
  </si>
  <si>
    <t>=IF(NOT(ISBLANK('Bond Input'!C15)),'Bond Input'!C15,"")   &lt;---CHANGE COL REFERENCES AS APPROPRIATE</t>
  </si>
  <si>
    <t>=IF(NOT(ISBLANK('Bond Input'!C16)),'Bond Input'!C16,"")   &lt;---CHANGE COL REFERENCES AS APPROPRIATE</t>
  </si>
  <si>
    <t>=IF(NOT(ISBLANK('Bond Input'!C17)),'Bond Input'!C17,"")   &lt;---CHANGE COL REFERENCES AS APPROPRIATE</t>
  </si>
  <si>
    <t>=IF(NOT(ISBLANK('Bond Input'!C21)),'Bond Input'!C21,"")   &lt;---CHANGE COL REFERENCES AS APPROPRIATE</t>
  </si>
  <si>
    <t>=IF(NOT(ISBLANK('Bond Input'!C27)),'Bond Input'!C27,"")   &lt;---CHANGE COL REFERENCES AS APPROPRIATE</t>
  </si>
  <si>
    <t>=IF(NOT(ISBLANK('Bond Input'!C6)),'Bond Input'!C6,"Select One")   &lt;---CHANGE COL REFERENCES AS APPROPRIATE</t>
  </si>
  <si>
    <t>=IF(NOT(ISBLANK('Bond Input'!C7)),'Bond Input'!C7,"Select One")   &lt;---CHANGE COL REFERENCES AS APPROPRIATE</t>
  </si>
  <si>
    <t>=IF(NOT(ISBLANK('Bond Input'!C8)),'Bond Input'!C8,"Select One")   &lt;---CHANGE COL REFERENCES AS APPROPRIATE</t>
  </si>
  <si>
    <t>NoChangePooledBond</t>
  </si>
  <si>
    <t>NoFutureIssueDate</t>
  </si>
  <si>
    <t>NoIssueDatePreApproval</t>
  </si>
  <si>
    <t>Issue date must be on or after the original TIF plan approval date.</t>
  </si>
  <si>
    <t>EnterIssueDateFirst</t>
  </si>
  <si>
    <t>Enter the issue date first.</t>
  </si>
  <si>
    <t>MaturityAfterIssue</t>
  </si>
  <si>
    <t>MaturityTooLong</t>
  </si>
  <si>
    <t xml:space="preserve"> </t>
  </si>
  <si>
    <t>ThreeDecimalsMax</t>
  </si>
  <si>
    <t>Interest rate cannot have more than three decimals.</t>
  </si>
  <si>
    <t>High interest rate must equal or exceed the low interest rate.</t>
  </si>
  <si>
    <t>Final maturity date must be after the issue date.</t>
  </si>
  <si>
    <t>DiscountMustBeNegative</t>
  </si>
  <si>
    <t>Enter bond discount as a negative number.</t>
  </si>
  <si>
    <t>RefundedYesToEnterAmt</t>
  </si>
  <si>
    <t>Refunded question must be answered Yes to enter a refunded amount.</t>
  </si>
  <si>
    <t>RefundedAmtTooBig</t>
  </si>
  <si>
    <t>Amount refunded cannot exceed issue amt (+additions/redcutions) less principal paid.</t>
  </si>
  <si>
    <t>NoNegativeOutstanding</t>
  </si>
  <si>
    <t>Principal outstanding cannot be negative.</t>
  </si>
  <si>
    <t>Due&gt;Outstanding</t>
  </si>
  <si>
    <t>Principal due cannot exceed principal outstanding.</t>
  </si>
  <si>
    <t>NonTIFBondZeroes</t>
  </si>
  <si>
    <t>Enter $0 if debt type is Non-TIF Bond.</t>
  </si>
  <si>
    <t>CompleteColumn</t>
  </si>
  <si>
    <t xml:space="preserve">Complete entry of all rows on this tab. (Enter zero when appropriate.) </t>
  </si>
  <si>
    <t>PriorYearAdjustment</t>
  </si>
  <si>
    <t>InsufficientComment</t>
  </si>
  <si>
    <t>CommentTooLong</t>
  </si>
  <si>
    <t>Insufficient information. Please provide a longer comment.</t>
  </si>
  <si>
    <t>Comments cannot exceed 500 characters. (Limit length. Send email to further explain.)</t>
  </si>
  <si>
    <t>Validation Exceptions !!!</t>
  </si>
  <si>
    <t>Bonds Tab | C8:C22 | Example Formula: =IF(COUNTIF('Bond 1'!D:D,"Error")=1,"There is "&amp;COUNTIF('Bond 1'!D:D,"Error")&amp;" unresolved error on the entry screen. Click link to return and resolve it.",IF(COUNTIF('Bond 1'!D:D,"Error")&gt;0,"There are "&amp;COUNTIF('Bond 1'!D:D,"Error")&amp;" unresolved errors on the entry screen. Click link to return and resolve them.",""))</t>
  </si>
  <si>
    <t>Bonds Tab | D8:D22 | Example Formula: =IF(COUNTIF('Bond 1'!D:D,"Error")&gt;0,"Error","")</t>
  </si>
  <si>
    <t>SpecLegYesIfSpLawDist</t>
  </si>
  <si>
    <t>Must answer Yes and make entry if district type is Uncodified Law.</t>
  </si>
  <si>
    <t>DoNotSkipRow</t>
  </si>
  <si>
    <t>Do not skip rows.</t>
  </si>
  <si>
    <t>CompleteARow</t>
  </si>
  <si>
    <t>Yes selected: Complete at least one row (but enter all special laws that apply).</t>
  </si>
  <si>
    <t>Year must have format YYYY.</t>
  </si>
  <si>
    <t>NumberOnlySpecLaw</t>
  </si>
  <si>
    <t>Enter chapter, article, and section references as numbers only. (Enter 0 if no article.)</t>
  </si>
  <si>
    <t>PAYG 2</t>
  </si>
  <si>
    <t>PAYG 3</t>
  </si>
  <si>
    <t>PAYG 4</t>
  </si>
  <si>
    <t>PAYG 5</t>
  </si>
  <si>
    <t>PAYG 6</t>
  </si>
  <si>
    <t>PAYG 7</t>
  </si>
  <si>
    <t>PAYG 8</t>
  </si>
  <si>
    <t>PAYG 9</t>
  </si>
  <si>
    <t>PAYG 10</t>
  </si>
  <si>
    <t>PAYG 11</t>
  </si>
  <si>
    <t>PAYG 12</t>
  </si>
  <si>
    <t>PAYG 13</t>
  </si>
  <si>
    <t>PAYG 14</t>
  </si>
  <si>
    <t>PAYG 15</t>
  </si>
  <si>
    <t>This hidden sheet is for populating data that will be located on the PAYG 1 to PAYG 15 tabs.</t>
  </si>
  <si>
    <t>TIF_PAYG_ContractAmt_Input</t>
  </si>
  <si>
    <t>TIF_PAYG_FinalMaturityDate_Input</t>
  </si>
  <si>
    <t>TIF_PAYG_HolderName_Input</t>
  </si>
  <si>
    <t>TIF_PAYG_IssueDate_Input</t>
  </si>
  <si>
    <t>TIF_PAYG_InterestRateLow_Input</t>
  </si>
  <si>
    <t>TIF_PAYG_InterestRateHigh_Input</t>
  </si>
  <si>
    <t>TIF_PaygAnnual_PrincipalPaidPriorAdj_Input</t>
  </si>
  <si>
    <t>TIF_PaygAnnual_InterestPaidPriorAdj_Input</t>
  </si>
  <si>
    <t>TIF_PaygAnnual_PrincipalPaid_Input</t>
  </si>
  <si>
    <t>TIF_PaygAnnual_InterestPaid_Input</t>
  </si>
  <si>
    <t>TIF_PaygAnnual_PrincipalAdditionsPriorAdj_Input</t>
  </si>
  <si>
    <t>TIF_PaygAnnual_PrincipalAdditions_Input</t>
  </si>
  <si>
    <t>TIF_PaygAnnual_PrincipalOutstanding_Input</t>
  </si>
  <si>
    <t>TIF_PaygAnnual_PrincipalDue_Input</t>
  </si>
  <si>
    <t>TIF_PaygAnnual_InterestDue_Input</t>
  </si>
  <si>
    <t>PAYG Note Documented Costs</t>
  </si>
  <si>
    <t>Total In-District Amount</t>
  </si>
  <si>
    <t>Total Out-District Amount</t>
  </si>
  <si>
    <t>Bond Activity</t>
  </si>
  <si>
    <t>TIF_PaygAnnual_LandBldgAcquisitionCost_Input</t>
  </si>
  <si>
    <t>TIF_PaygAnnual_SiteImprovementsCost_Input</t>
  </si>
  <si>
    <t>TIF_PaygAnnual_UtilitiesCost_Input</t>
  </si>
  <si>
    <t>TIF_PaygAnnual_AffordableHsgCost_Input</t>
  </si>
  <si>
    <t>TIF_PaygAnnual_JobsBillCost_Input</t>
  </si>
  <si>
    <t>TIF_PAYG_MeetsFiveYrRuleInd_Input</t>
  </si>
  <si>
    <r>
      <t xml:space="preserve">TIF_PaygAnnual_OtherPublicCost_Input </t>
    </r>
    <r>
      <rPr>
        <sz val="11"/>
        <color rgb="FFFF0000"/>
        <rFont val="Calibri"/>
        <family val="2"/>
        <scheme val="minor"/>
      </rPr>
      <t>***</t>
    </r>
  </si>
  <si>
    <t>***Any TIF_PaygAnnual_SmallCityCost should be folded in here</t>
  </si>
  <si>
    <t>TIF_PaygAnnual_InDistrictCost_Input</t>
  </si>
  <si>
    <t>TIF_PaygAnnual_OutDistrictCost_Input</t>
  </si>
  <si>
    <t>TIF_PaygAnnual_UnpaidInterest_Input</t>
  </si>
  <si>
    <t>=IF(TIF_Debt_PAYGInd_Input=TRUE,"Yes","Select One")</t>
  </si>
  <si>
    <t>PAYGs Tab | C8:C22 | Example Formula: =IF(COUNTIF('PAYG 1'!D:D,"Error")=1,"There is "&amp;COUNTIF('PAYG 1'!D:D,"Error")&amp;" unresolved error on the entry screen. Click link to return and resolve it.",IF(COUNTIF('PAYG 1'!D:D,"Error")&gt;0,"There are "&amp;COUNTIF('PAYG 1'!D:D,"Error")&amp;" unresolved errors on the entry screen. Click link to return and resolve them.",""))</t>
  </si>
  <si>
    <t>PAYGs Tab | D8:D22 | Example Formula: =IF(COUNTIF('PAYG 1'!D:D,"Error")&gt;0,"Error","")</t>
  </si>
  <si>
    <t>IfYesAtLeast1PAYG</t>
  </si>
  <si>
    <t>If Yes, you must report at least one PAYG note below.</t>
  </si>
  <si>
    <t>DuplicateDebt</t>
  </si>
  <si>
    <t>Duplicate debt name. Do not enter the same obligation more than once.</t>
  </si>
  <si>
    <t>MustAnswerYesIfPAYG</t>
  </si>
  <si>
    <t>You must answer Yes to report PAYG information below.</t>
  </si>
  <si>
    <t>Enter the debt name first.</t>
  </si>
  <si>
    <t>Low interest rate must be greater than or equal to zero.</t>
  </si>
  <si>
    <t>MaxLowInterest</t>
  </si>
  <si>
    <t>MinHighInterest</t>
  </si>
  <si>
    <t>MaxHighInterest</t>
  </si>
  <si>
    <t>Amount must be greater than zero.</t>
  </si>
  <si>
    <t>MustBe&gt;Zero</t>
  </si>
  <si>
    <t>DocAmtNot&gt;NoteAmt</t>
  </si>
  <si>
    <t>Total documented costs may not exceed the note amount.</t>
  </si>
  <si>
    <t>TIF_PAYG_HolderName_Output</t>
  </si>
  <si>
    <t>TIF_PAYG_IssueDate_Output</t>
  </si>
  <si>
    <t>TIF_PAYG_FinalMaturityDate_Output</t>
  </si>
  <si>
    <t>TIF_PAYG_InterestRateLow_Output</t>
  </si>
  <si>
    <t>TIF_PAYG_InterestRateHigh_Output</t>
  </si>
  <si>
    <t>TIF_PAYG_ContractAmt_Output</t>
  </si>
  <si>
    <t>TIF_PAYG_MeetsFiveYrRuleInd_Output</t>
  </si>
  <si>
    <t>TIF_PaygAnnual_LandBldgAcquisitionCost_Output</t>
  </si>
  <si>
    <t>TIF_PaygAnnual_SiteImprovementsCost_Output</t>
  </si>
  <si>
    <t>TIF_PaygAnnual_UtilitiesCost_Output</t>
  </si>
  <si>
    <t>TIF_PaygAnnual_AffordableHsgCost_Output</t>
  </si>
  <si>
    <t>TIF_PaygAnnual_OtherPublicCost_Output ***</t>
  </si>
  <si>
    <t>TIF_PaygAnnual_JobsBillCost_Output</t>
  </si>
  <si>
    <t>TIF_PaygAnnual_InDistrictCost_Output</t>
  </si>
  <si>
    <t>TIF_PaygAnnual_OutDistrictCost_Output</t>
  </si>
  <si>
    <t>TIF_PaygAnnual_PrincipalPaidPriorAdj_Output</t>
  </si>
  <si>
    <t>TIF_PaygAnnual_PrincipalPaid_Output</t>
  </si>
  <si>
    <t>TIF_PaygAnnual_PrincipalAdditionsPriorAdj_Output</t>
  </si>
  <si>
    <t>TIF_PaygAnnual_PrincipalAdditions_Output</t>
  </si>
  <si>
    <t>TIF_PaygAnnual_PrincipalOutstanding_Output</t>
  </si>
  <si>
    <t>TIF_PaygAnnual_PrincipalDue_Output</t>
  </si>
  <si>
    <t>TIF_PaygAnnual_UnpaidInterest_Output</t>
  </si>
  <si>
    <t>TIF_PaygAnnual_InterestPaidPriorAdj_Output</t>
  </si>
  <si>
    <t>TIF_PaygAnnual_InterestPaid_Output</t>
  </si>
  <si>
    <t>TIF_PaygAnnual_InterestDue_Output</t>
  </si>
  <si>
    <t>Initial Formula on PAYG 1 to PAYG 15 Tabs</t>
  </si>
  <si>
    <t>=IF(NOT(ISBLANK('PAYG Input'!C5)),'PAYG Input'!C5,"")   &lt;---CHANGE COL REFERENCES AS APPROPRIATE</t>
  </si>
  <si>
    <t>=IF(NOT(ISBLANK('PAYG Input'!C6)),'PAYG Input'!C6,"")   &lt;---CHANGE COL REFERENCES AS APPROPRIATE</t>
  </si>
  <si>
    <t>=IF(NOT(ISBLANK('PAYG Input'!C7)),'PAYG Input'!C7,"")   &lt;---CHANGE COL REFERENCES AS APPROPRIATE</t>
  </si>
  <si>
    <t>=IF(NOT(ISBLANK('PAYG Input'!C8)),'PAYG Input'!C8,"")   &lt;---CHANGE COL REFERENCES AS APPROPRIATE</t>
  </si>
  <si>
    <t>=IF(NOT(ISBLANK('PAYG Input'!C9)),'PAYG Input'!C9,"")   &lt;---CHANGE COL REFERENCES AS APPROPRIATE</t>
  </si>
  <si>
    <t>=IF(NOT(ISBLANK('PAYG Input'!C12)),'PAYG Input'!C12,"")   &lt;---CHANGE COL REFERENCES AS APPROPRIATE</t>
  </si>
  <si>
    <t>=IF(NOT(ISBLANK('PAYG Input'!C14)),'PAYG Input'!C14,"")   &lt;---CHANGE COL REFERENCES AS APPROPRIATE</t>
  </si>
  <si>
    <t>=IF(NOT(ISBLANK('PAYG Input'!C16)),'PAYG Input'!C16,"")   &lt;---CHANGE COL REFERENCES AS APPROPRIATE</t>
  </si>
  <si>
    <t>=IF(NOT(ISBLANK('PAYG Input'!C18)),'PAYG Input'!C18,"")   &lt;---CHANGE COL REFERENCES AS APPROPRIATE</t>
  </si>
  <si>
    <t>=IF(NOT(ISBLANK('PAYG Input'!C20)),'PAYG Input'!C20,"")   &lt;---CHANGE COL REFERENCES AS APPROPRIATE</t>
  </si>
  <si>
    <t>=IF(NOT(ISBLANK('PAYG Input'!C22)),'PAYG Input'!C22,"")   &lt;---CHANGE COL REFERENCES AS APPROPRIATE</t>
  </si>
  <si>
    <t>TIF_PaygAnnual_TotalDocumentedCost_Input</t>
  </si>
  <si>
    <t>TIF_PaygAnnual_TotalDocumentedCost_Output</t>
  </si>
  <si>
    <t>TIF_PAYGAnnual_UserCommentsPAYG_Ouput</t>
  </si>
  <si>
    <t>Due-To Interfund Loan Activity</t>
  </si>
  <si>
    <t>Does this district have any Due-To Interfund Loans to report?</t>
  </si>
  <si>
    <t>Input Tab for the Loan 1 … Loan 15 Tabs</t>
  </si>
  <si>
    <t>Input Tab for the PAYG 1 … PAYG 15 Tabs</t>
  </si>
  <si>
    <t>Ouput Tab for the PAYG 1 … PAYG 15 Tabs</t>
  </si>
  <si>
    <t>Initial Formula on Loan 1 to Loan 15 Tabs</t>
  </si>
  <si>
    <t>MinLowInterest</t>
  </si>
  <si>
    <t>Interfund Loan Type</t>
  </si>
  <si>
    <t>Interfund Loan Types</t>
  </si>
  <si>
    <t>Due To Non-TIF Fund</t>
  </si>
  <si>
    <t>Due From Non-TIF Fund</t>
  </si>
  <si>
    <t>Due From Other TIF District</t>
  </si>
  <si>
    <t>Due To Other TIF District</t>
  </si>
  <si>
    <t>IFLType, DueToType, DueFromType</t>
  </si>
  <si>
    <t>Interfund Loan Type dropdown choices</t>
  </si>
  <si>
    <t>Other TIF District Name</t>
  </si>
  <si>
    <t>Non-TIF Fund/Account Name</t>
  </si>
  <si>
    <t xml:space="preserve">District Dropdown </t>
  </si>
  <si>
    <t>TIF 1-1</t>
  </si>
  <si>
    <t>TIF 1-2</t>
  </si>
  <si>
    <t>TIF 1-3</t>
  </si>
  <si>
    <t>TIF 2-1</t>
  </si>
  <si>
    <t>TIF 2-2</t>
  </si>
  <si>
    <t>DistrictDropDown, DistrictColumn, DistrictIdColumn</t>
  </si>
  <si>
    <t>Fluctuates</t>
  </si>
  <si>
    <t>TIF_InterfundLoanAnnual_TermsModifiedInd_Input</t>
  </si>
  <si>
    <t>TIF_InterfundLoan_MeetsFiveYrRuleInd_Input</t>
  </si>
  <si>
    <t>TIF_InterfundLoanAnnual_InterestDue_Input</t>
  </si>
  <si>
    <t>TIF_InterfundLoanType_TypeName_Input</t>
  </si>
  <si>
    <t>TIF_InterfundLoan_OtherDistrictName_Input</t>
  </si>
  <si>
    <t>TIF_InterfundLoan_NonTiAccount_Input</t>
  </si>
  <si>
    <t>TIF_InterfundLoan_ResolutionDate_Input</t>
  </si>
  <si>
    <t>TIF_InterfundLoan_FinalMaturityDate_Input</t>
  </si>
  <si>
    <t>TIF_InterfundLoan_InterestRateLow_Input</t>
  </si>
  <si>
    <t>TIF_InterfundLoan_InterestRateHigh_Input</t>
  </si>
  <si>
    <t>TIF_InterfundLoan_InterestRateType_Input</t>
  </si>
  <si>
    <t>TIF_InterfundLoan_ResolutionAmt_Input</t>
  </si>
  <si>
    <t>TIF_InterfundLoanAnnual_DrawAmountPriorAdj_Input</t>
  </si>
  <si>
    <t>TIF_InterfundLoanAnnual_DrawAmount_Input</t>
  </si>
  <si>
    <t>TIF_InterfundLoanAnnual_PrincipalPaidPriorAdj_Input</t>
  </si>
  <si>
    <t>TIF_InterfundLoanAnnual_PrincipalPaidOtherPriorAdj_Input</t>
  </si>
  <si>
    <t>TIF_InterfundLoanAnnual_PrincipalPaid_Input</t>
  </si>
  <si>
    <t>TIF_InterfundLoanAnnual_PrincipalPaidOther_Input</t>
  </si>
  <si>
    <t>TIF_InterfundLoanAnnual_PrincipalAdditionsPriorAdj_Input</t>
  </si>
  <si>
    <t>TIF_InterfundLoanAnnual_PrincipalAdditions_Input</t>
  </si>
  <si>
    <t>TIF_InterfundLoanAnnual_PrincipalOutstanding_Input</t>
  </si>
  <si>
    <t>TIF_InterfundLoanAnnual_PrincipalDue_Input</t>
  </si>
  <si>
    <t>TIF_InterfundLoanAnnual_InterestPaidPriorAdj_Input</t>
  </si>
  <si>
    <t>TIF_InterfundLoanAnnual_InterestPaidOtherPriorAdj_Input</t>
  </si>
  <si>
    <t>TIF_InterfundLoanAnnual_InterestPaid_Input</t>
  </si>
  <si>
    <t>TIF_InterfundLoanAnnual_InterestPaidOther_Input</t>
  </si>
  <si>
    <t>TIF_InterfundLoanAnnual_UnpaidInterest_Input</t>
  </si>
  <si>
    <t>TIF_InterfundLoanAnnual_TotalDrawAmount_Input</t>
  </si>
  <si>
    <t>This hidden sheet is for importing data entered on the PAYG 1 to PAYG 15 tabs.</t>
  </si>
  <si>
    <t>This hidden sheet is for importing data entered on the Loan 1 to Loan 15 tabs.</t>
  </si>
  <si>
    <t>This hidden sheet is for populating data that will be located on the Loan 1 to Loan 15 tabs.</t>
  </si>
  <si>
    <t>TIF_InterfundLoanType_TypeName_Ouput</t>
  </si>
  <si>
    <t>TIF_InterfundLoan_OtherDistrictName_Ouput</t>
  </si>
  <si>
    <t>TIF_InterfundLoan_NonTiAccount_Ouput</t>
  </si>
  <si>
    <t>TIF_InterfundLoan_ResolutionDate_Ouput</t>
  </si>
  <si>
    <t>TIF_InterfundLoan_FinalMaturityDate_Ouput</t>
  </si>
  <si>
    <t>TIF_InterfundLoan_InterestRateLow_Ouput</t>
  </si>
  <si>
    <t>TIF_InterfundLoan_InterestRateHigh_Ouput</t>
  </si>
  <si>
    <t>TIF_InterfundLoan_InterestRateType_Ouput</t>
  </si>
  <si>
    <t>TIF_InterfundLoan_ResolutionAmt_Ouput</t>
  </si>
  <si>
    <t>TIF_InterfundLoan_MeetsFiveYrRuleInd_Ouput</t>
  </si>
  <si>
    <t>TIF_InterfundLoanAnnual_DrawAmountPriorAdj_Ouput</t>
  </si>
  <si>
    <t>TIF_InterfundLoanAnnual_DrawAmount_Ouput</t>
  </si>
  <si>
    <t>TIF_InterfundLoanAnnual_TotalDrawAmount_Ouput</t>
  </si>
  <si>
    <t>TIF_InterfundLoanAnnual_PrincipalPaidPriorAdj_Ouput</t>
  </si>
  <si>
    <t>TIF_InterfundLoanAnnual_PrincipalPaidOtherPriorAdj_Ouput</t>
  </si>
  <si>
    <t>TIF_InterfundLoanAnnual_PrincipalPaid_Ouput</t>
  </si>
  <si>
    <t>TIF_InterfundLoanAnnual_PrincipalPaidOther_Ouput</t>
  </si>
  <si>
    <t>TIF_InterfundLoanAnnual_PrincipalAdditionsPriorAdj_Ouput</t>
  </si>
  <si>
    <t>TIF_InterfundLoanAnnual_PrincipalAdditions_Ouput</t>
  </si>
  <si>
    <t>TIF_InterfundLoanAnnual_PrincipalOutstanding_Ouput</t>
  </si>
  <si>
    <t>TIF_InterfundLoanAnnual_PrincipalDue_Ouput</t>
  </si>
  <si>
    <t>TIF_InterfundLoanAnnual_UnpaidInterest_Ouput</t>
  </si>
  <si>
    <t>TIF_InterfundLoanAnnual_InterestPaidPriorAdj_Ouput</t>
  </si>
  <si>
    <t>TIF_InterfundLoanAnnual_InterestPaidOtherPriorAdj_Ouput</t>
  </si>
  <si>
    <t>TIF_InterfundLoanAnnual_InterestPaid_Ouput</t>
  </si>
  <si>
    <t>TIF_InterfundLoanAnnual_InterestPaidOther_Ouput</t>
  </si>
  <si>
    <t>TIF_InterfundLoanAnnual_InterestDue_Ouput</t>
  </si>
  <si>
    <t>TIF_InterfundLoanAnnual_TermsModifiedInd_Ouput</t>
  </si>
  <si>
    <t>TIF_InterfundLoan_ImportRow</t>
  </si>
  <si>
    <t>Import?</t>
  </si>
  <si>
    <t>TIF_InterfundLoanAnnual_UserCommentsLoan_Ouput</t>
  </si>
  <si>
    <t>fma</t>
  </si>
  <si>
    <t>fmd</t>
  </si>
  <si>
    <t>tod</t>
  </si>
  <si>
    <t>toa</t>
  </si>
  <si>
    <t>Filter for Loans Tab</t>
  </si>
  <si>
    <t>Filter for Lent Funds Tab</t>
  </si>
  <si>
    <t>Due-From Interfund Loan Details</t>
  </si>
  <si>
    <t>Due-From Interfund Loan Entry Screen</t>
  </si>
  <si>
    <t>Due-From Interfund Loan Activity</t>
  </si>
  <si>
    <t>This hidden sheet is for populating data that will be located on the Loan Input and DFLoan Input tabs.</t>
  </si>
  <si>
    <t>Output Tab for the all interfund loan tabs</t>
  </si>
  <si>
    <t>Input Tab for the Loan Input and DFLoan Input Tabs</t>
  </si>
  <si>
    <t>1</t>
  </si>
  <si>
    <t>2</t>
  </si>
  <si>
    <t>3</t>
  </si>
  <si>
    <t>4</t>
  </si>
  <si>
    <t>5</t>
  </si>
  <si>
    <t>6</t>
  </si>
  <si>
    <t>7</t>
  </si>
  <si>
    <t>8</t>
  </si>
  <si>
    <t>9</t>
  </si>
  <si>
    <t>10</t>
  </si>
  <si>
    <t>11</t>
  </si>
  <si>
    <t>12</t>
  </si>
  <si>
    <t>13</t>
  </si>
  <si>
    <t>14</t>
  </si>
  <si>
    <t>15</t>
  </si>
  <si>
    <t>Does this district have any Due-From Interfund Loans to report?</t>
  </si>
  <si>
    <t>Input Tab for the DFLoan1 … DFLoan15 Tabs</t>
  </si>
  <si>
    <t>This hidden sheet is for populating data that will be located on the DFLoan1 to DFLoan15 tabs.</t>
  </si>
  <si>
    <t>Principal Received in 2023</t>
  </si>
  <si>
    <t>Interest Received in 2023</t>
  </si>
  <si>
    <t>Interfund Loan ID</t>
  </si>
  <si>
    <t>TIF_InterfundLoan_InterfundLoanId</t>
  </si>
  <si>
    <t>IFL Id</t>
  </si>
  <si>
    <t>TIF_InterfundLoan_InterfundLoanId_Output</t>
  </si>
  <si>
    <t>LoanTabs_ResDates</t>
  </si>
  <si>
    <t>LentTabs_ResDates</t>
  </si>
  <si>
    <t>Interfund Loan Id</t>
  </si>
  <si>
    <t>This shading denotes fields not found for Due-From loans.</t>
  </si>
  <si>
    <t>DFLoan1</t>
  </si>
  <si>
    <t>Initial Formula on DFLoan1 to DFLoan15 Tabs</t>
  </si>
  <si>
    <t>=IF(NOT(ISBLANK('Loan Input'!C4)),'Loan Input'!C4,"")</t>
  </si>
  <si>
    <t>=IF(AND(NOT(ISBLANK('Loan Input'!C5)),OR('Loan Input'!C$5=Lists!$AG$2,'Loan Input'!C$5=Lists!$AG$3)),XLOOKUP('Loan Input'!C5,Lists!AG2:AG5,Lists!AH2:AH5),Lists!$AH$1)</t>
  </si>
  <si>
    <t>=IF(AND(NOT(ISBLANK('Loan Input'!C6)),'Loan Input'!C$5=Lists!$AG$2),'Loan Input'!C6,Lists!$AJ$1)</t>
  </si>
  <si>
    <t>=IF(AND(NOT(ISBLANK('Loan Input'!C7)),'Loan Input'!C$5=Lists!$AG$3),'Loan Input'!C7,"")</t>
  </si>
  <si>
    <t>=IF(AND(NOT(ISBLANK('Loan Input'!C8)),OR('Loan Input'!C$5=Lists!$AG$2,'Loan Input'!C$5=Lists!$AG$3)),'Loan Input'!C8,"")</t>
  </si>
  <si>
    <t>=IF(AND(NOT(ISBLANK('Loan Input'!C9)),OR('Loan Input'!C$5=Lists!$AG$2,'Loan Input'!C$5=Lists!$AG$3)),'Loan Input'!C9,"")</t>
  </si>
  <si>
    <t>=IF(AND(NOT(ISBLANK('Loan Input'!C10)),OR('Loan Input'!C$5=Lists!$AG$2,'Loan Input'!C$5=Lists!$AG$3)),'Loan Input'!C10,"")</t>
  </si>
  <si>
    <t>=IF(AND(NOT(ISBLANK('Loan Input'!C11)),OR('Loan Input'!C$5=Lists!$AG$2,'Loan Input'!C$5=Lists!$AG$3)),'Loan Input'!C11,"")</t>
  </si>
  <si>
    <t>=IF(AND(NOT(ISBLANK('Loan Input'!C12)),OR('Loan Input'!C$5=Lists!$AG$2,'Loan Input'!C$5=Lists!$AG$3)),'Loan Input'!C12,Lists!$AM$1)</t>
  </si>
  <si>
    <t>=IF(AND(NOT(ISBLANK('Loan Input'!C13)),OR('Loan Input'!C$5=Lists!$AG$2,'Loan Input'!C$5=Lists!$AG$3)),'Loan Input'!C13,"")</t>
  </si>
  <si>
    <t>=IF(AND(NOT(ISBLANK('Loan Input'!C14)),OR('Loan Input'!C$5=Lists!$AG$2,'Loan Input'!C$5=Lists!$AG$3)),'Loan Input'!C14,Lists!$K$1)</t>
  </si>
  <si>
    <t>=IF(AND(NOT(ISBLANK('Loan Input'!C18)),OR('Loan Input'!C$5=Lists!$AG$2,'Loan Input'!C$5=Lists!$AG$3)),'Loan Input'!C18,"")</t>
  </si>
  <si>
    <t>=IF(AND(NOT(ISBLANK('Loan Input'!C22)),OR('Loan Input'!C$5=Lists!$AG$2,'Loan Input'!C$5=Lists!$AG$3)),'Loan Input'!C22,"")</t>
  </si>
  <si>
    <t>=IF(AND(NOT(ISBLANK('Loan Input'!C26)),OR('Loan Input'!C$5=Lists!$AG$2,'Loan Input'!C$5=Lists!$AG$3)),'Loan Input'!C26,"")</t>
  </si>
  <si>
    <t>=IF(AND(NOT(ISBLANK('Loan Input'!C28)),OR('Loan Input'!C$5=Lists!$AG$2,'Loan Input'!C$5=Lists!$AG$3)),'Loan Input'!C28,"")</t>
  </si>
  <si>
    <t>=IF(NOT(ISBLANK('Lent Input'!C4)),'Lent Input'!C4,"")</t>
  </si>
  <si>
    <t>=IF(AND(NOT(ISBLANK('Lent Input'!C5)),OR('Lent Input'!C$5=Lists!$AG$4,'Lent Input'!C$5=Lists!$AG$5)),XLOOKUP('Lent Input'!C5,Lists!AG2:AG5,Lists!AH2:AH5),Lists!$AH$1)</t>
  </si>
  <si>
    <t>=IF(AND(NOT(ISBLANK('Lent Input'!C6)),'Lent Input'!C$5=Lists!$AG$4),'Lent Input'!C6,Lists!$AJ$1)</t>
  </si>
  <si>
    <t>=IF(AND(NOT(ISBLANK('Lent Input'!C7)),'Lent Input'!C$5=Lists!$AG$5),'Lent Input'!C7,"")</t>
  </si>
  <si>
    <t>=IF(AND(NOT(ISBLANK('Lent Input'!C8)),OR('Lent Input'!C$5=Lists!$AG$4,'Lent Input'!C$5=Lists!$AG$5)),'Lent Input'!C8,"")</t>
  </si>
  <si>
    <t>=IF(AND(NOT(ISBLANK('Lent Input'!C9)),OR('Lent Input'!C$5=Lists!$AG$4,'Lent Input'!C$5=Lists!$AG$5)),'Lent Input'!C9,"")</t>
  </si>
  <si>
    <t>=IF(AND(NOT(ISBLANK('Lent Input'!C10)),OR('Lent Input'!C$5=Lists!$AG$4,'Lent Input'!C$5=Lists!$AG$5)),'Lent Input'!C10,"")</t>
  </si>
  <si>
    <t>=IF(AND(NOT(ISBLANK('Lent Input'!C11)),OR('Lent Input'!C$5=Lists!$AG$4,'Lent Input'!C$5=Lists!$AG$5)),'Lent Input'!C11,"")</t>
  </si>
  <si>
    <t>=IF(AND(NOT(ISBLANK('Lent Input'!C12)),OR('Lent Input'!C$5=Lists!$AG$4,'Lent Input'!C$5=Lists!$AG$5)),'Lent Input'!C12,"")</t>
  </si>
  <si>
    <t>=IF(AND(NOT(ISBLANK('Lent Input'!C13)),OR('Lent Input'!C$5=Lists!$AG$4,'Lent Input'!C$5=Lists!$AG$5)),'Lent Input'!C13,"")</t>
  </si>
  <si>
    <t>=IF(AND(NOT(ISBLANK('Lent Input'!C16)),OR('Lent Input'!C$5=Lists!$AG$4,'Lent Input'!C$5=Lists!$AG$5)),'Lent Input'!C16,"")</t>
  </si>
  <si>
    <t>=IF(AND(NOT(ISBLANK('Lent Input'!C18)),OR('Lent Input'!C$5=Lists!$AG$4,'Lent Input'!C$5=Lists!$AG$5)),'Lent Input'!C18,"")</t>
  </si>
  <si>
    <t>=IF(AND(NOT(ISBLANK('Lent Input'!C22)),OR('Lent Input'!C$5=Lists!$AG$4,'Lent Input'!C$5=Lists!$AG$5)),'Lent Input'!C22,"")</t>
  </si>
  <si>
    <t>=IF(TIF_InterfundLoan_InterfundLoanInd_Input=TRUE,"Yes","Select One")</t>
  </si>
  <si>
    <t>IfYesAtLeast1Loan</t>
  </si>
  <si>
    <t>If Yes, you must report at least one Loan below.</t>
  </si>
  <si>
    <t>MustAnswerYesIfLoan</t>
  </si>
  <si>
    <t>You must answer Yes to report Loan information below.</t>
  </si>
  <si>
    <t>Loans Tab | C8:C22 | Example Formula: =IF(COUNTIF('Loan 1'!D:D,"Error")=1,"There is "&amp;COUNTIF('Loan 1'!D:D,"Error")&amp;" unresolved error on the entry screen. Click link to return and resolve it.",IF(COUNTIF('Loan 1'!D:D,"Error")&gt;0,"There are "&amp;COUNTIF('Loan 1'!D:D,"Error")&amp;" unresolved errors on the entry screen. Click link to return and resolve them.",""))</t>
  </si>
  <si>
    <t>Loans Tab | D8:D22 | Example Formula: =IF(COUNTIF('Loan 1'!D:D,"Error")&gt;0,"Error","")</t>
  </si>
  <si>
    <t>SelectLoanTypeFirst</t>
  </si>
  <si>
    <t>You must select the Interfund Loan Type First.</t>
  </si>
  <si>
    <t>NoDistrictForLoanType</t>
  </si>
  <si>
    <t>Skip this line for this loan type. Enter a Non-TIF fund/account on next line instead.</t>
  </si>
  <si>
    <t>NoFundForLoanType</t>
  </si>
  <si>
    <t>Skip this line for this loan type. Select a district on prior line instead.</t>
  </si>
  <si>
    <t>SkipOtherDist</t>
  </si>
  <si>
    <t>SkipFund</t>
  </si>
  <si>
    <t>TextLength50</t>
  </si>
  <si>
    <t>Entry cannot exceed 50 characters. Please re-enter.</t>
  </si>
  <si>
    <t>DateAfter1969</t>
  </si>
  <si>
    <t>Date must be on or after January 1, 1970.</t>
  </si>
  <si>
    <t>DrawExceedsResolAmt</t>
  </si>
  <si>
    <t>Resolution Date</t>
  </si>
  <si>
    <t>Loan 2</t>
  </si>
  <si>
    <t>Loan 3</t>
  </si>
  <si>
    <t>Loan 4</t>
  </si>
  <si>
    <t>Loan 5</t>
  </si>
  <si>
    <t>Loan 6</t>
  </si>
  <si>
    <t>Loan 7</t>
  </si>
  <si>
    <t>Loan 8</t>
  </si>
  <si>
    <t>Loan 9</t>
  </si>
  <si>
    <t>Loan 10</t>
  </si>
  <si>
    <t>Loan 11</t>
  </si>
  <si>
    <t>Loan 12</t>
  </si>
  <si>
    <t>Loan 13</t>
  </si>
  <si>
    <t>Loan 14</t>
  </si>
  <si>
    <t>Loan 15</t>
  </si>
  <si>
    <t>Bond 1 - Bond 15 Tabs | C36 | Example Formula: =IF(AND(ISBLANK(A37),OR(COUNTIF(D6:D35,"Alert")&gt;0,SUM(B26:B27)&lt;&gt;0)),"Comment(s) required for remaining alert(s) and/or additions to principal.",IFERROR(INDEX(Validation!G:G,MATCH("Bond 1"&amp;@CELL("address",C37),Validation!I:I,0)),""))</t>
  </si>
  <si>
    <t>Bond 1 - Bond 15 Tabs | D36 | Example Formula: =IF(AND(ISBLANK(A37),OR(COUNTIF(D6:D35,"Alert")&gt;0,SUM(B26:B27)&lt;&gt;0)),"Error",IFERROR(INDEX(Validation!F:F,MATCH("Bond 1"&amp;@CELL("address",C37),Validation!I:I,0)),""))</t>
  </si>
  <si>
    <t>PAYG 1 - PAYG 15 Tabs | C36 | Example Formula: =IF(AND(ISBLANK(A37),OR(COUNTIF(D6:D35,"Alert")&gt;0,SUM(B28:B29)&lt;&gt;0)),"Comment(s) required for remaining alert(s) and/or additions to principal.",IFERROR(INDEX(Validation!G:G,MATCH("PAYG 1"&amp;@CELL("address",C37),Validation!I:I,0)),""))</t>
  </si>
  <si>
    <t>PAYG 1 - PAYG 15 Tabs | D36 | Example Formula: =IF(AND(ISBLANK(A37),OR(COUNTIF(D6:D35,"Alert")&gt;0,SUM(B28:B29)&lt;&gt;0)),"Error",IFERROR(INDEX(Validation!F:F,MATCH("PAYG 1"&amp;@CELL("address",C37),Validation!I:I,0)),""))</t>
  </si>
  <si>
    <t>Loan 1 - Loan 15 Tabs | C36 | Example Formula: =IF(AND(ISBLANK(A37),OR(COUNTIF(D6:D35,"Alert")&gt;0,SUM(B28:B29)&lt;&gt;0)),"Comment(s) required for remaining alert(s) and/or additions to principal.",IFERROR(INDEX(Validation!G:G,MATCH("Loan 1"&amp;@CELL("address",C37),Validation!I:I,0)),""))</t>
  </si>
  <si>
    <t>Loan 1 - Loan 15 Tabs | D36 | Example Formula: =IF(AND(ISBLANK(A37),OR(COUNTIF(D6:D35,"Alert")&gt;0,SUM(B28:B29)&lt;&gt;0)),"Error",IFERROR(INDEX(Validation!F:F,MATCH("Loan 1"&amp;@CELL("address",C37),Validation!I:I,0)),""))</t>
  </si>
  <si>
    <t>'=IF(TIF_InterfundLoan_InterfundLentInd_Input=TRUE,"Yes","Select One")</t>
  </si>
  <si>
    <t>DFLoan2</t>
  </si>
  <si>
    <t>DFLoan3</t>
  </si>
  <si>
    <t>DFLoan4</t>
  </si>
  <si>
    <t>DFLoan5</t>
  </si>
  <si>
    <t>DFLoan6</t>
  </si>
  <si>
    <t>DFLoan7</t>
  </si>
  <si>
    <t>DFLoan8</t>
  </si>
  <si>
    <t>DFLoan9</t>
  </si>
  <si>
    <t>DFLoan10</t>
  </si>
  <si>
    <t>DFLoan11</t>
  </si>
  <si>
    <t>DFLoan12</t>
  </si>
  <si>
    <t>DFLoan13</t>
  </si>
  <si>
    <t>DFLoan14</t>
  </si>
  <si>
    <t>DFLoan15</t>
  </si>
  <si>
    <t>Lent Funds Tab | C8:C22 | Example Formula: =IF(COUNTIF('DFLoan1'!D:D,"Error")=1,"There is "&amp;COUNTIF('DFLoan1'!D:D,"Error")&amp;" unresolved error on the entry screen. Click link to return and resolve it.",IF(COUNTIF('DFLoan1'!D:D,"Error")&gt;0,"There are "&amp;COUNTIF('DFLoan1'!D:D,"Error")&amp;" unresolved errors on the entry screen. Click link to return and resolve them.",""))</t>
  </si>
  <si>
    <t>Lent Funds Tab | D8:D22 | Example Formula: =IF(COUNTIF('DFLoan1'!D:D,"Error")&gt;0,"Error","")</t>
  </si>
  <si>
    <t>This list is documentation of validation column cells that deviate from the norm</t>
  </si>
  <si>
    <t>DFLoan1 - DFLoan15 Tabs | C23 | Example Formula: ==IF(AND(ISBLANK(A29),OR(COUNTIF(D6:D27,"Alert")&gt;0,SUM(B21:B22)&lt;&gt;0)),"Comment(s) required for remaining alert(s) and/or additions to principal.",IFERROR(INDEX(Validation!G:G,MATCH("DFLoan1"&amp;@CELL("address",C28),Validation!I:I,0)),""))</t>
  </si>
  <si>
    <t>DFLoan1 - DFLoan15 Tabs | D23 | Example Formula: ==IF(AND(ISBLANK(A29),OR(COUNTIF(D6:D27,"Alert")&gt;0,SUM(B21:B22)&lt;&gt;0)),"Error",IFERROR(INDEX(Validation!F:F,MATCH("DFLoan1"&amp;@CELL("address",C28),Validation!I:I,0)),""))</t>
  </si>
  <si>
    <t>Was this obligation refunded? (Bonds only)</t>
  </si>
  <si>
    <t>Is this a pooled debt obligation? (Bonds only)</t>
  </si>
  <si>
    <t>Bond Discount (Bonds only)</t>
  </si>
  <si>
    <t>Bond Premium (Bonds only)</t>
  </si>
  <si>
    <t>Amount Refunded (Bonds only)</t>
  </si>
  <si>
    <t>Total Issue/Documented/Draw Amt (Bonds/PAYGs/Loans)</t>
  </si>
  <si>
    <t>---Debt Summary Variables---</t>
  </si>
  <si>
    <t>These are the variables used to compile the Debt Summary table</t>
  </si>
  <si>
    <t>Number of PAYGs</t>
  </si>
  <si>
    <t>Number of Loans (Due-To only)</t>
  </si>
  <si>
    <t>Number of Bonds</t>
  </si>
  <si>
    <t>This is a count of the bonds from the Bond Output tab.</t>
  </si>
  <si>
    <t>This is a count of the PAYGs from the PAYG Output tab.</t>
  </si>
  <si>
    <t>This is a count of the due-to loans from the IFL Output tab.</t>
  </si>
  <si>
    <t>Review and Submit</t>
  </si>
  <si>
    <t xml:space="preserve">Once all errors have been resolved please submit the completed form through SAFES. </t>
  </si>
  <si>
    <t>Click here to go to SAFES</t>
  </si>
  <si>
    <t>Total Count</t>
  </si>
  <si>
    <t xml:space="preserve">Form Design </t>
  </si>
  <si>
    <t>Detailed Instructions</t>
  </si>
  <si>
    <t>Click here for form instructions</t>
  </si>
  <si>
    <t>TIF@osa.state.mn.us</t>
  </si>
  <si>
    <t>If you have any questions or issues, please contact our team at:</t>
  </si>
  <si>
    <t>Please refer to the instruction document linked below for more detailed information about each line of the reporting form and commonly asked questions:</t>
  </si>
  <si>
    <r>
      <t xml:space="preserve">Annual reporting to the Office of the State Auditor for each TIF district is required by statute. 
Copies of this report must also be provided to the county auditor and, if the authority is not the municipality, to the governing body of the municipality. 
Reporting </t>
    </r>
    <r>
      <rPr>
        <u/>
        <sz val="11"/>
        <color theme="1"/>
        <rFont val="Calibri"/>
        <family val="2"/>
        <scheme val="minor"/>
      </rPr>
      <t>begins</t>
    </r>
    <r>
      <rPr>
        <sz val="11"/>
        <color theme="1"/>
        <rFont val="Calibri"/>
        <family val="2"/>
        <scheme val="minor"/>
      </rPr>
      <t xml:space="preserve"> with reports for the year in which the district was certified and </t>
    </r>
    <r>
      <rPr>
        <u/>
        <sz val="11"/>
        <color theme="1"/>
        <rFont val="Calibri"/>
        <family val="2"/>
        <scheme val="minor"/>
      </rPr>
      <t>ends</t>
    </r>
    <r>
      <rPr>
        <sz val="11"/>
        <color theme="1"/>
        <rFont val="Calibri"/>
        <family val="2"/>
        <scheme val="minor"/>
      </rPr>
      <t xml:space="preserve"> with reporting for the year in which both of the following have occurred: 
(1) decertification of the district, and 
(2) expenditure or return to the county auditor of all remaining tax increments. </t>
    </r>
  </si>
  <si>
    <t>Did this obligation refund another obligation? (Bonds only)</t>
  </si>
  <si>
    <r>
      <t xml:space="preserve">Amount Drawn in Prior Years </t>
    </r>
    <r>
      <rPr>
        <sz val="8"/>
        <color theme="1"/>
        <rFont val="Calibri"/>
        <family val="2"/>
        <scheme val="minor"/>
      </rPr>
      <t>(Loans only)</t>
    </r>
  </si>
  <si>
    <r>
      <t>Amount Drawn in Prior Years (</t>
    </r>
    <r>
      <rPr>
        <sz val="8"/>
        <color theme="1"/>
        <rFont val="Calibri"/>
        <family val="2"/>
        <scheme val="minor"/>
      </rPr>
      <t>Loans only)</t>
    </r>
  </si>
  <si>
    <t>ALL TIF DEBT</t>
  </si>
  <si>
    <t>Principal and Balance</t>
  </si>
  <si>
    <t>Interest</t>
  </si>
  <si>
    <t>Rev Exp Bal</t>
  </si>
  <si>
    <t>TIF_PAYG_PaygId_Input</t>
  </si>
  <si>
    <t>TIF_PAYG_PaygId_Output</t>
  </si>
  <si>
    <t>PAYG Id</t>
  </si>
  <si>
    <t>TIF_Debt_DebtId_Input</t>
  </si>
  <si>
    <t>Debt Id</t>
  </si>
  <si>
    <t>TIF_Debt_DebtId_Output</t>
  </si>
  <si>
    <t>Populated list of districts and IDs for use as dropdown choices (see Loan # Tabs and Transfers Tab)</t>
  </si>
  <si>
    <t>InterestRateType</t>
  </si>
  <si>
    <t>Interest Rate Type</t>
  </si>
  <si>
    <t>Dropdown choices for Loan interest rates</t>
  </si>
  <si>
    <t>2021 Transfers</t>
  </si>
  <si>
    <t>2022 Transfers</t>
  </si>
  <si>
    <t>Fund ID</t>
  </si>
  <si>
    <t>Total 2021 &amp; 2022 Transfers</t>
  </si>
  <si>
    <t>Temp Transfer indicator</t>
  </si>
  <si>
    <t>NoTempTransfers</t>
  </si>
  <si>
    <t>This section does not apply to this district. Skip to next tab.</t>
  </si>
  <si>
    <t>'=IF(TIF_Transfer_TransferInd_Input=TRUE,"Yes","Select One")</t>
  </si>
  <si>
    <t>Identify transfers of tax increment below. The first section is for reporting transfers to and from other TIF districts. The second section is for reporting transfers under the 2021 Temporary Transfer Authority.</t>
  </si>
  <si>
    <t>IfYesAtLeast1Transfer</t>
  </si>
  <si>
    <t>If Yes, you must report at least one transfer below.</t>
  </si>
  <si>
    <t>MustAnswerYesIfTransfer</t>
  </si>
  <si>
    <t>You must answer Yes to report a transfer below.</t>
  </si>
  <si>
    <t>IfNoSkipSection</t>
  </si>
  <si>
    <t>If No, skip this section and check the Temporary Transfers section below.</t>
  </si>
  <si>
    <t>Other District ID</t>
  </si>
  <si>
    <t>DuplicateDistrict</t>
  </si>
  <si>
    <t>Duplicate district name. Do not enter the same district more than once.</t>
  </si>
  <si>
    <t>CompleteRow</t>
  </si>
  <si>
    <t xml:space="preserve">Complete entry of all columns on this row. (Enter zero when appropriate.) </t>
  </si>
  <si>
    <t>SelectDistrictFirst</t>
  </si>
  <si>
    <t>Select the district from the dropdown first before entering values.</t>
  </si>
  <si>
    <t>Expend&gt;Transfers</t>
  </si>
  <si>
    <t>Expenditures of transferred increment cannot exceed total transfer amount.</t>
  </si>
  <si>
    <t>Unspent transfers as of 12/31/2025 were required to be returned to the district!</t>
  </si>
  <si>
    <t>UnreturnedTransfers</t>
  </si>
  <si>
    <t>NegativeRemainBal</t>
  </si>
  <si>
    <t>TransferBack&gt;Transfers</t>
  </si>
  <si>
    <t>Transfer back to district exceeds unspent transfers.</t>
  </si>
  <si>
    <t>Remaining balance cannot be negative.</t>
  </si>
  <si>
    <t>Ask Todd about summing these numbers in the population process and let him know its only one row per district</t>
  </si>
  <si>
    <t>Applicable In-District Percentage</t>
  </si>
  <si>
    <t>Revenue Benchmark</t>
  </si>
  <si>
    <t>Cumulative Tax Increment Revenues</t>
  </si>
  <si>
    <t>Amounts Paid By Other Sources or Districts</t>
  </si>
  <si>
    <t>Returned Increment</t>
  </si>
  <si>
    <t>Report returns or payments of tax increment to the county auditor.</t>
  </si>
  <si>
    <t>Return/Payment Type</t>
  </si>
  <si>
    <t>Standard Pooling % Per TIF District Type</t>
  </si>
  <si>
    <t xml:space="preserve">Extra 10% Pooling for 2d Housing (if elected) </t>
  </si>
  <si>
    <t>Additional Pooling % Per Special Law</t>
  </si>
  <si>
    <t>Total Allowable Pooling Percentage</t>
  </si>
  <si>
    <t>Revenue Benchmark (for decertification)</t>
  </si>
  <si>
    <t>Returns of Excess Increment</t>
  </si>
  <si>
    <t>Returns To Remedy Improper Receipts</t>
  </si>
  <si>
    <t>Return of Excess Increment (identified on EIC Tab)</t>
  </si>
  <si>
    <t>Return of Surplus (Unneeded) Increment</t>
  </si>
  <si>
    <t>Remedy Payment for Improperly Received Increment</t>
  </si>
  <si>
    <t>Remedy Payment for Improper Expenditures</t>
  </si>
  <si>
    <t>Total Returned Increment</t>
  </si>
  <si>
    <t>Time To Decertify Per Paragraph (a)?</t>
  </si>
  <si>
    <t>Total In-District Obligations Excluding PAYG Obligations</t>
  </si>
  <si>
    <t>Applicability of Deferral Under Paragraph (b)</t>
  </si>
  <si>
    <t>Qualifying PAYG Remains Outstanding at Year End?</t>
  </si>
  <si>
    <t>Parcel Removal Required?</t>
  </si>
  <si>
    <t>District Type and Key Dates</t>
  </si>
  <si>
    <t>Amount Sufficient to Pay In-District Costs/Obligs (Excl PAYGs)</t>
  </si>
  <si>
    <t>Six-Year Rule's Paragraph (a) Decertification Trigger</t>
  </si>
  <si>
    <t>In-Dist % of Rev Sufficient To Pay Remaining In-Dist Obligs?</t>
  </si>
  <si>
    <t>Six-Yr Rule</t>
  </si>
  <si>
    <t>SixYrHousingDist</t>
  </si>
  <si>
    <t>The Six-Year Rule does not apply to housing districts. Tracking not needed. Skip this tab.</t>
  </si>
  <si>
    <t>NotYetYrSix</t>
  </si>
  <si>
    <t>Year Six has not yet been reached. Tracking not yet needed. Skip this tab.</t>
  </si>
  <si>
    <t>SixYrSpecLawEntryNeeded</t>
  </si>
  <si>
    <t>If special law increased allowable pooling, enter additional %. Otherwise enter 0.</t>
  </si>
  <si>
    <t>Pooling&gt;100%</t>
  </si>
  <si>
    <t>Total pooling cannot exceed 100%. Correct entry.</t>
  </si>
  <si>
    <t>NoSpecLaw</t>
  </si>
  <si>
    <t>No special law was reported on the Spec Leg Tab. Correct entry here or report special law.</t>
  </si>
  <si>
    <t>Add Administrative Costs If All Pooling Is For 2d Housing</t>
  </si>
  <si>
    <t>SixYrAddAdminNA</t>
  </si>
  <si>
    <t>Skip this line. (It only applies if plan contained election for 2d housing.)</t>
  </si>
  <si>
    <t>SixYrAddAdminInstruct</t>
  </si>
  <si>
    <t>SixYrAddAdminNot0</t>
  </si>
  <si>
    <t>This line does not apply to this district. Delete entry or enter $0.</t>
  </si>
  <si>
    <t>ADS</t>
  </si>
  <si>
    <t>The TIF Act requires an annual disclosure to be published in a newspaper of general circulation by August 15th of each year providing information for each TIF district. The reporting on this tab suffices as meeting the requirement to provide a copy to the State Auditor by August 1st. Rows 10-18 are required content and the OSA recommends the noted text be used for line 18. Row 21 should contain the required statement that informs readers that additional information regarding each district may be obtained from the authority and explains how the additional information may be requested. See the instruction document for more information and a sample statement.</t>
  </si>
  <si>
    <t>*Fiscal disparities property tax law requires a portion of the growth in certain values to be shared throughout a regional area, but TIF districts also capture growth in values. Two options exist to resolve this conflict: (A) Contributing value to the area from outside the TIF district (causing tax increases shown here), or (B) Contributing value from the TIF district (reducing tax increments).</t>
  </si>
  <si>
    <t>ADSPubDateYear</t>
  </si>
  <si>
    <t>TextLength1000</t>
  </si>
  <si>
    <t>Entry cannot exceed 1000 characters. Please scan and email a copy of the disclosure.</t>
  </si>
  <si>
    <t>InsufficientStatement</t>
  </si>
  <si>
    <t>ADS | C22 | Formula: =IF(AND(ISBLANK(TIF_DistrictYear_UserCommentsADS),COUNTIF(D6:D21,"Alert")&gt;0),"Comment(s) required for remaining alert(s).",IFERROR(INDEX(Validation!G:G,MATCH("ADS"&amp;@CELL("address",C22),Validation!I:I,0)),""))</t>
  </si>
  <si>
    <t>ADS | D22 | Formula: =IF(AND(ISBLANK(TIF_DistrictYear_UserCommentsADS),COUNTIF(D6:D21,"Alert")&gt;0),"Error",IFERROR(INDEX(Validation!F:F,MATCH("ADS"&amp;@CELL("address",C22),Validation!I:I,0)),""))</t>
  </si>
  <si>
    <t>Row 10 will indicate, based on the data carried over  from prior tabs on rows 7-9, whether completion of the remainder of this tab is required. When required, review and complete rows 11-20. Excess increment, if any, will be computed on row 20. If excess increment is computed, identify how it will be handled on rows 21-26.</t>
  </si>
  <si>
    <t>EIC</t>
  </si>
  <si>
    <t>Out-District 2d Housing</t>
  </si>
  <si>
    <t>Returned</t>
  </si>
  <si>
    <t>Return&gt;Received</t>
  </si>
  <si>
    <t>Returned amt exceeds increment revenues. Enter revenues on next tab or correct entries.</t>
  </si>
  <si>
    <t>ErrorCheck_Returned</t>
  </si>
  <si>
    <t>These are the variables for identifying a count of alert messages on each tab</t>
  </si>
  <si>
    <t>This is a count of alerts on the Dist Info tab</t>
  </si>
  <si>
    <t>This is a count of alerts on the Spec Leg tab</t>
  </si>
  <si>
    <t>This is a count of alerts on the Bonds tab</t>
  </si>
  <si>
    <t>This is a count of alerts on the PAYGs tab</t>
  </si>
  <si>
    <t>This is a count of alerts on the Loans tab</t>
  </si>
  <si>
    <t>This is a count of alerts on the Lent Funds tab</t>
  </si>
  <si>
    <t>This is a count of alerts on the Expenditures tab</t>
  </si>
  <si>
    <t>This is a count of alerts on the Transfers tab</t>
  </si>
  <si>
    <t>This is a count of alerts on the Revenues tab</t>
  </si>
  <si>
    <t>This is a count of alerts on the Rev Exp Bal tab</t>
  </si>
  <si>
    <t>This is a count of alerts on the Bal Sheet tab</t>
  </si>
  <si>
    <t>This is a count of alerts on the EIC tab</t>
  </si>
  <si>
    <t>This is a count of alerts on the ADS tab</t>
  </si>
  <si>
    <t>This is a count of alerts on the Parcels tab</t>
  </si>
  <si>
    <t>This is a count of alerts on the Six-Yr Rule tab</t>
  </si>
  <si>
    <t>AlertCheck_DistInfo</t>
  </si>
  <si>
    <t>AlertCheck_SpecLeg</t>
  </si>
  <si>
    <t>AlertCheck_Bonds</t>
  </si>
  <si>
    <t>AlertCheck_PAYGs</t>
  </si>
  <si>
    <t>AlertCheck_Loans</t>
  </si>
  <si>
    <t>AlertCheck_LentFunds</t>
  </si>
  <si>
    <t>AlertCheck_Expenditures</t>
  </si>
  <si>
    <t>AlertCheck_Transfers</t>
  </si>
  <si>
    <t>AlertCheck_Returned</t>
  </si>
  <si>
    <t>AlertCheck_RevExpBal</t>
  </si>
  <si>
    <t>AlertCheck_BalSheet</t>
  </si>
  <si>
    <t>AlertCheck_EIC</t>
  </si>
  <si>
    <t>AlertCheck_ADS</t>
  </si>
  <si>
    <t>AlertCheck_Parcels</t>
  </si>
  <si>
    <t>AlertCheck_SixYrRule</t>
  </si>
  <si>
    <t>---Alert Count Variables---</t>
  </si>
  <si>
    <t>Message</t>
  </si>
  <si>
    <t>Cell</t>
  </si>
  <si>
    <t>EntryReqReturnedPY</t>
  </si>
  <si>
    <t>EntryReqReturnedCY</t>
  </si>
  <si>
    <t>Entries&lt;&gt;Total</t>
  </si>
  <si>
    <t>Prior Year line entries do not equal total. Make corrections. Comment if total changed.</t>
  </si>
  <si>
    <t>SixYrPAYGNotApplicable</t>
  </si>
  <si>
    <t xml:space="preserve">This district has no PAYG obligations so this section does not apply. </t>
  </si>
  <si>
    <t>The purpose of this tab is to identify the sources and uses of tax increment in this district through calendar year 2022. An entry is required on each line.</t>
  </si>
  <si>
    <t>This tab records the assets, liabilities, deferred inflows, and fund balances of the district at the beginning and end of the current reporting period. An entry is required on each line.</t>
  </si>
  <si>
    <t>SixYrDecertified</t>
  </si>
  <si>
    <t>This district is decertified so this tab no longer applies. Skip this tab.</t>
  </si>
  <si>
    <t>SixYrNotYetDeferral</t>
  </si>
  <si>
    <t>Initial decertification trigger has not been reached; deferral section does not yet apply.</t>
  </si>
  <si>
    <t>SixYrInitialTrigger</t>
  </si>
  <si>
    <t>Decertification was likely required in 2024 unless a deferral applied. (See instructions)</t>
  </si>
  <si>
    <t xml:space="preserve">Reporting of an outstanding PAYG signals that a deferral applies. Skip to parcel removal. </t>
  </si>
  <si>
    <t>=TIF_DistrictYear_TaxIncRevPriorAdj_Input'</t>
  </si>
  <si>
    <t>=TIF_DistrictYear_MVHCPriorAdj_Input'</t>
  </si>
  <si>
    <t>=TIF_DistrictYear_InvestmentEarningsPriorAdj_Input'</t>
  </si>
  <si>
    <t>=TIF_DistrictYear_PropertySalesPriorAdj_Input'</t>
  </si>
  <si>
    <t>=TIF_DistrictYear_LeaseProceedsPriorAdj_Input'</t>
  </si>
  <si>
    <t>=TIF_DistrictYear_LoanAdvanceRepaymentsPriorAdj_Input'</t>
  </si>
  <si>
    <t>=TIF_DistrictYear_AgreementRepaymentPriorAdj_Input'</t>
  </si>
  <si>
    <t>=TIF_DistrictYear_OtherSourcesUsesPriorAdj_Input'</t>
  </si>
  <si>
    <t>Bal Sheet</t>
  </si>
  <si>
    <t>This tab identifies errors and alerts to note or address before submitting. If the table below identifies any remaining errors, you will not be able to submit the form until they are cleared. Click on the tab name to return to the relevant tab. Once the data has been been entered or corrected, the error message will no longer be displayed. Alert messages do not need to be cleared and do not affect the submission of the form, but some may require some degree of attention or follow up actions.</t>
  </si>
  <si>
    <r>
      <t xml:space="preserve">Errors
</t>
    </r>
    <r>
      <rPr>
        <b/>
        <sz val="10"/>
        <color theme="1"/>
        <rFont val="Calibri"/>
        <family val="2"/>
        <scheme val="minor"/>
      </rPr>
      <t>Must clear to submit</t>
    </r>
  </si>
  <si>
    <r>
      <t xml:space="preserve">Alerts
</t>
    </r>
    <r>
      <rPr>
        <b/>
        <sz val="10"/>
        <color theme="1"/>
        <rFont val="Calibri"/>
        <family val="2"/>
        <scheme val="minor"/>
      </rPr>
      <t>Submit but take note</t>
    </r>
  </si>
  <si>
    <t>Summary Table of Errors and Alerts</t>
  </si>
  <si>
    <t>Alerts listed below</t>
  </si>
  <si>
    <t>List of Alerts (Note, Monitor, Follow Up, or Take Remedial Action as Appropriate)</t>
  </si>
  <si>
    <t>Overall Pooling Limit Monitoring</t>
  </si>
  <si>
    <t>Administrative Expense Limit Monitoring</t>
  </si>
  <si>
    <t>(Note: This is presented as a monitoring aid and is not intended to be conclusive. Seek legal advice if warranted.)</t>
  </si>
  <si>
    <t>Errors, Alerts, and Informational Messages</t>
  </si>
  <si>
    <r>
      <rPr>
        <b/>
        <sz val="11"/>
        <color theme="1"/>
        <rFont val="Calibri"/>
        <family val="2"/>
        <scheme val="minor"/>
      </rPr>
      <t>Error messages</t>
    </r>
    <r>
      <rPr>
        <sz val="11"/>
        <color theme="1"/>
        <rFont val="Calibri"/>
        <family val="2"/>
        <scheme val="minor"/>
      </rPr>
      <t xml:space="preserve"> (shaded red with white text) identify that an entry is incomplete or contains an incorrect value. All error messages must be resolved before the form can be successfully submitted. See the Review and Submit Tab prior to submitting to see whether any error messages remain.
</t>
    </r>
    <r>
      <rPr>
        <b/>
        <sz val="11"/>
        <color theme="1"/>
        <rFont val="Calibri"/>
        <family val="2"/>
        <scheme val="minor"/>
      </rPr>
      <t>Alert messages</t>
    </r>
    <r>
      <rPr>
        <sz val="11"/>
        <color theme="1"/>
        <rFont val="Calibri"/>
        <family val="2"/>
        <scheme val="minor"/>
      </rPr>
      <t xml:space="preserve"> (shaded gold with black text) identify that an entry might identify a problem and/or require some follow up or corrective action. The form may still be submitted, but the noted issue should be understood or addressed. Alerts might not be conclusive in identifying problems and legal advice should be sought as appropriate.
</t>
    </r>
    <r>
      <rPr>
        <b/>
        <sz val="11"/>
        <color theme="1"/>
        <rFont val="Calibri"/>
        <family val="2"/>
        <scheme val="minor"/>
      </rPr>
      <t>Informational messages</t>
    </r>
    <r>
      <rPr>
        <sz val="11"/>
        <color theme="1"/>
        <rFont val="Calibri"/>
        <family val="2"/>
        <scheme val="minor"/>
      </rPr>
      <t xml:space="preserve"> (shaded white with dark grey text) are simple instructions or notes to aid in completing the form.
</t>
    </r>
  </si>
  <si>
    <t xml:space="preserve">Please read the information below before completing the form. </t>
  </si>
  <si>
    <t>This form is a workbook consisting of multiple tabs for reporting separate subsets of information. Many tabs include prepopulated information from prior reporting. Review and/or complete all tabs before submitting through the State Auditor's Form Entry System (SAFES). Make use of comment boxes to share any notes or pertinent information. The blue shaded tabs are summary tabs that do not require any data entry.
Color coding identifies cells that need entry (white), cells that are locked with prepopulated data or data carried over from elsewhere in the form (light gold), cells that are automatically computed (dark gold), and cells that do not apply (grey). The shading may change based on entries in other cells.</t>
  </si>
  <si>
    <t>Administrative Expenses Reported</t>
  </si>
  <si>
    <t>Administrative Expenses Subject To Limit</t>
  </si>
  <si>
    <t>Subtraction For Returned Increment</t>
  </si>
  <si>
    <t>Current Status</t>
  </si>
  <si>
    <t>Total Out-District Expenditures Reported</t>
  </si>
  <si>
    <t>Subtraction For Maintenance and Operating Costs Paid With Lease Proceeds</t>
  </si>
  <si>
    <t>Use of Proceeds</t>
  </si>
  <si>
    <t>Total Uses</t>
  </si>
  <si>
    <t>Remaining Proceeds</t>
  </si>
  <si>
    <t>In-District Share of Total Uses</t>
  </si>
  <si>
    <t>Out-District Share of Total Uses</t>
  </si>
  <si>
    <t>Principal Paid from This District's Increment</t>
  </si>
  <si>
    <t>Principal Paid from Other Sources or Districts</t>
  </si>
  <si>
    <t>Principal Additions/Reductions</t>
  </si>
  <si>
    <t>Interest Paid from This District's Increment</t>
  </si>
  <si>
    <t>Interest Paid from Other Sources or Districts</t>
  </si>
  <si>
    <t>Land/Building Acquisition PY</t>
  </si>
  <si>
    <t>TIF_DebtAnnual_LandBldgAcquisitionCostPriorAdj_Input</t>
  </si>
  <si>
    <t>Land/Building Acquisition CY</t>
  </si>
  <si>
    <t>TIF_DebtAnnual_LandBldgAcquisitionCost_Input</t>
  </si>
  <si>
    <t>Site Improvements PY</t>
  </si>
  <si>
    <t>TIF_DebtAnnual_SiteImprovementsCostPriorAdj_Input</t>
  </si>
  <si>
    <t>Site Improvements CY</t>
  </si>
  <si>
    <t>TIF_DebtAnnual_SiteImprovementsCost_Input</t>
  </si>
  <si>
    <t>Utilities PY</t>
  </si>
  <si>
    <t>TIF_DebtAnnual_UtilitiesCostPriorAdj_Input</t>
  </si>
  <si>
    <t>Utilities CY</t>
  </si>
  <si>
    <t>TIF_DebtAnnual_UtilitiesCost_Input</t>
  </si>
  <si>
    <t>Affordable Housing Construction PY</t>
  </si>
  <si>
    <t>TIF_DebtAnnual_AffordableHsgCostPriorAdj_Input</t>
  </si>
  <si>
    <t>Affordable Housing Construction CY</t>
  </si>
  <si>
    <t>TIF_DebtAnnual_AffordableHsgCost_Input</t>
  </si>
  <si>
    <t>Out-District 2d Housing PY</t>
  </si>
  <si>
    <t>Out-District 2d Housing CY</t>
  </si>
  <si>
    <t>Other Public Improvements PY</t>
  </si>
  <si>
    <t>TIF_DebtAnnual_OtherPublicCostPriorAdj_Input</t>
  </si>
  <si>
    <t>Other Public Improvements CY</t>
  </si>
  <si>
    <t>TIF_DebtAnnual_OtherPublicCost_Input</t>
  </si>
  <si>
    <t>Authority Administrative Costs PY</t>
  </si>
  <si>
    <t>TIF_DebtAnnual_AuthorityAdminCostPriorAdj_Input</t>
  </si>
  <si>
    <t>Authority Administrative Costs CY</t>
  </si>
  <si>
    <t>TIF_DebtAnnual_AuthorityAdminCost_Input</t>
  </si>
  <si>
    <t>Temporary Jobs Stimulus PY</t>
  </si>
  <si>
    <t>TIF_DebtAnnual_JobsBillCostPriorAdj_Input</t>
  </si>
  <si>
    <t>Temporary Jobs Stimulus CY</t>
  </si>
  <si>
    <t>TIF_DebtAnnual_JobsBillCost_Input</t>
  </si>
  <si>
    <t>Temporary Transfer Authority PY</t>
  </si>
  <si>
    <t>TIF_DebtAnnual_TempTransferAuthorityPriorAdj_Input</t>
  </si>
  <si>
    <t>Temporary Transfer Authority CY</t>
  </si>
  <si>
    <t>TIF_DebtAnnual_TempTransferAuthority_Input</t>
  </si>
  <si>
    <t>Total Uses CY</t>
  </si>
  <si>
    <t>TIF_DebtAnnual_TotalUsesPriorAdj_Input</t>
  </si>
  <si>
    <t>Total Uses PY</t>
  </si>
  <si>
    <t>TIF_DebtAnnual_TotalUses_Input</t>
  </si>
  <si>
    <t>Remaining Proceeds CY</t>
  </si>
  <si>
    <t>TIF_DebtAnnual_RemainingProceedsPriorAdj_Input</t>
  </si>
  <si>
    <t>Remaining Proceeds PY</t>
  </si>
  <si>
    <t>TIF_DebtAnnual_RemainingProceeds_Input</t>
  </si>
  <si>
    <t>In-District Uses CY</t>
  </si>
  <si>
    <t>TIF_DebtAnnual_InDistrictCostPriorAdj_Input</t>
  </si>
  <si>
    <t>In-District Uses PY</t>
  </si>
  <si>
    <t>TIF_DebtAnnual_InDistrictCost_Input</t>
  </si>
  <si>
    <t>Out-District Uses CY</t>
  </si>
  <si>
    <t>TIF_DebtAnnual_OutDistrictCostPriorAdj_Input</t>
  </si>
  <si>
    <t>Out-District Uses PY</t>
  </si>
  <si>
    <t>TIF_DebtAnnual_OutDistrictCost_Input</t>
  </si>
  <si>
    <t>Principal Paid from This District's Increment PY</t>
  </si>
  <si>
    <t>Principal Paid from This District's Increment CY</t>
  </si>
  <si>
    <t>Principal Paid from Other Sources or Districts PY</t>
  </si>
  <si>
    <t>Principal Paid from Other Sources or Districts CY</t>
  </si>
  <si>
    <t>Principal Additions/Reductions PY</t>
  </si>
  <si>
    <t>Principal Additions/Reductions CY</t>
  </si>
  <si>
    <t>Principal Outstanding PY</t>
  </si>
  <si>
    <t>TIF_DebtAnnual_PrincipalOutstandingPriorAdj_Input</t>
  </si>
  <si>
    <t>Principal Outstanding CY</t>
  </si>
  <si>
    <t>Accrued Unpaid Interest Not Added to Principal PY</t>
  </si>
  <si>
    <t>TIF_DebtAnnual_UnpaidInterestPriorAdj_Input</t>
  </si>
  <si>
    <t>Accrued Unpaid Interest Not Added to Principal CY</t>
  </si>
  <si>
    <t>Interest Paid from This District's Increment PY</t>
  </si>
  <si>
    <t>Interest Paid from This District's Increment CY</t>
  </si>
  <si>
    <t>Interest Paid from Other Sources or Districts PY</t>
  </si>
  <si>
    <t>Interest Paid from Other Sources or Districts CY</t>
  </si>
  <si>
    <t>TIF_DebtAnnual_ElectedHsgCostPriorAdj_Input</t>
  </si>
  <si>
    <t>TIF_DebtAnnual_ElectedHsgCost_Input</t>
  </si>
  <si>
    <t>TIF_DebtAnnual_LandBldgAcquisitionCostPriorAdj_Output</t>
  </si>
  <si>
    <t>TIF_DebtAnnual_LandBldgAcquisitionCost_Output</t>
  </si>
  <si>
    <t>TIF_DebtAnnual_SiteImprovementsCostPriorAdj_Output</t>
  </si>
  <si>
    <t>TIF_DebtAnnual_SiteImprovementsCost_Output</t>
  </si>
  <si>
    <t>TIF_DebtAnnual_UtilitiesCostPriorAdj_Output</t>
  </si>
  <si>
    <t>TIF_DebtAnnual_UtilitiesCost_Output</t>
  </si>
  <si>
    <t>TIF_DebtAnnual_AffordableHsgCostPriorAdj_Output</t>
  </si>
  <si>
    <t>TIF_DebtAnnual_AffordableHsgCost_Output</t>
  </si>
  <si>
    <t>TIF_DebtAnnual_OtherPublicCostPriorAdj_Output</t>
  </si>
  <si>
    <t>TIF_DebtAnnual_OtherPublicCost_Output</t>
  </si>
  <si>
    <t>TIF_DebtAnnual_AuthorityAdminCostPriorAdj_Output</t>
  </si>
  <si>
    <t>TIF_DebtAnnual_AuthorityAdminCost_Output</t>
  </si>
  <si>
    <t>TIF_DebtAnnual_JobsBillCostPriorAdj_Output</t>
  </si>
  <si>
    <t>TIF_DebtAnnual_JobsBillCost_Output</t>
  </si>
  <si>
    <t>TIF_DebtAnnual_TempTransferAuthorityPriorAdj_Output</t>
  </si>
  <si>
    <t>TIF_DebtAnnual_TempTransferAuthority_Output</t>
  </si>
  <si>
    <t>TIF_DebtAnnual_TotalUsesPriorAdj_Output</t>
  </si>
  <si>
    <t>TIF_DebtAnnual_TotalUses_Output</t>
  </si>
  <si>
    <t>TIF_DebtAnnual_RemainingProceedsPriorAdj_Output</t>
  </si>
  <si>
    <t>TIF_DebtAnnual_RemainingProceeds_Output</t>
  </si>
  <si>
    <t>TIF_DebtAnnual_InDistrictCostPriorAdj_Output</t>
  </si>
  <si>
    <t>TIF_DebtAnnual_InDistrictCost_Output</t>
  </si>
  <si>
    <t>TIF_DebtAnnual_OutDistrictCostPriorAdj_Output</t>
  </si>
  <si>
    <t>TIF_DebtAnnual_OutDistrictCost_Output</t>
  </si>
  <si>
    <t>TIF_DebtAnnual_PrincipalOutstandingPriorAdj_Output</t>
  </si>
  <si>
    <t>TIF_DebtAnnual_UnpaidInterestPriorAdj_Output</t>
  </si>
  <si>
    <t>TIF_DebtAnnual_ElectedHsgCostPriorAdj_Output</t>
  </si>
  <si>
    <t>TIF_DebtAnnual_ElectedHsgCost_Output</t>
  </si>
  <si>
    <t>=IF(NOT(ISBLANK('Bond Input'!C18)),'Bond Input'!C18,"Select One")   &lt;---CHANGE COL REFERENCES AS APPROPRIATE</t>
  </si>
  <si>
    <t>=IF(NOT(ISBLANK('Bond Input'!C5)),'Bond Input'!C5,"")   &lt;---CHANGE COL REFERENCES AS APPROPRIATE</t>
  </si>
  <si>
    <t>=IF(NOT(ISBLANK('Bond Input'!C9)),'Bond Input'!C9,"Select One")   &lt;---CHANGE COL REFERENCES AS APPROPRIATE</t>
  </si>
  <si>
    <t>=IF(NOT(ISBLANK('Bond Input'!C19)),'Bond Input'!C19,"")   &lt;---CHANGE COL REFERENCES AS APPROPRIATE</t>
  </si>
  <si>
    <t>=IF(NOT(ISBLANK('Bond Input'!C23)),'Bond Input'!C23,"")   &lt;---CHANGE COL REFERENCES AS APPROPRIATE</t>
  </si>
  <si>
    <t>=IF(NOT(ISBLANK('Bond Input'!C25)),'Bond Input'!C25,"")   &lt;---CHANGE COL REFERENCES AS APPROPRIATE</t>
  </si>
  <si>
    <t>=IF(NOT(ISBLANK('Bond Input'!C29)),'Bond Input'!C29,"")   &lt;---CHANGE COL REFERENCES AS APPROPRIATE</t>
  </si>
  <si>
    <t>=IF(NOT(ISBLANK('Bond Input'!C31)),'Bond Input'!C31,"")   &lt;---CHANGE COL REFERENCES AS APPROPRIATE</t>
  </si>
  <si>
    <t>=IF(NOT(ISBLANK('Bond Input'!C33)),'Bond Input'!C33,"")   &lt;---CHANGE COL REFERENCES AS APPROPRIATE</t>
  </si>
  <si>
    <t>=IF(NOT(ISBLANK('Bond Input'!C35)),'Bond Input'!C35,"")   &lt;---CHANGE COL REFERENCES AS APPROPRIATE</t>
  </si>
  <si>
    <t>=IF(NOT(ISBLANK('Bond Input'!C41)),'Bond Input'!C41,"")   &lt;---CHANGE COL REFERENCES AS APPROPRIATE</t>
  </si>
  <si>
    <t>=IF(NOT(ISBLANK('Bond Input'!C43)),'Bond Input'!C43,"")   &lt;---CHANGE COL REFERENCES AS APPROPRIATE</t>
  </si>
  <si>
    <t>=IF(NOT(ISBLANK('Bond Input'!C45)),'Bond Input'!C45,"")   &lt;---CHANGE COL REFERENCES AS APPROPRIATE</t>
  </si>
  <si>
    <t>=IF(NOT(ISBLANK('Bond Input'!C47)),'Bond Input'!C47,"")   &lt;---CHANGE COL REFERENCES AS APPROPRIATE</t>
  </si>
  <si>
    <t>=IF(NOT(ISBLANK('Bond Input'!C49)),'Bond Input'!C49,"")   &lt;---CHANGE COL REFERENCES AS APPROPRIATE</t>
  </si>
  <si>
    <t>=IF(NOT(ISBLANK('Bond Input'!C55)),'Bond Input'!C55,"")   &lt;---CHANGE COL REFERENCES AS APPROPRIATE</t>
  </si>
  <si>
    <t>=IF(NOT(ISBLANK('Bond Input'!C57)),'Bond Input'!C57,"")   &lt;---CHANGE COL REFERENCES AS APPROPRIATE</t>
  </si>
  <si>
    <t>=IF(NOT(ISBLANK('Bond Input'!C53)),'Bond Input'!C53,"")   &lt;---CHANGE COL REFERENCES AS APPROPRIATE</t>
  </si>
  <si>
    <t>Uses&gt;Proceeds</t>
  </si>
  <si>
    <t>Uses cannot exceed total proceeds. Correct entries.</t>
  </si>
  <si>
    <t>Remaining proceeds cannot be negative. Correct entries.</t>
  </si>
  <si>
    <t>NegativeRemainProceeds</t>
  </si>
  <si>
    <t>PAYG Note Payment Activity</t>
  </si>
  <si>
    <t>TIF_PaygAnnual_LandBldgAcquisitionCostPriorAdj_Input</t>
  </si>
  <si>
    <t>TIF_PaygAnnual_SiteImprovementsCostPriorAdj_Input</t>
  </si>
  <si>
    <t>TIF_PaygAnnual_UtilitiesCostPriorAdj_Input</t>
  </si>
  <si>
    <t>TIF_PaygAnnual_AffordableHsgCostPriorAdj_Input</t>
  </si>
  <si>
    <t>TIF_PaygAnnual_OtherPublicCostPriorAdj_Input ***</t>
  </si>
  <si>
    <t>TIF_PaygAnnual_JobsBillCostPriorAdj_Input</t>
  </si>
  <si>
    <t>Total Documented Amount PY</t>
  </si>
  <si>
    <t>Total Documented Amount CY</t>
  </si>
  <si>
    <t>TIF_PaygAnnual_TotalDocumentedCostPriorAdj_Input</t>
  </si>
  <si>
    <t>Total In-District Amount PY</t>
  </si>
  <si>
    <t>Total In-District Amount CY</t>
  </si>
  <si>
    <t>Total Out-District Amount PY</t>
  </si>
  <si>
    <t>Total Out-District Amount CY</t>
  </si>
  <si>
    <t>TIF_PaygAnnual_InDistrictCostPriorAdj_Input</t>
  </si>
  <si>
    <t>TIF_PaygAnnual_OutDistrictCostPriorAdj_Input</t>
  </si>
  <si>
    <t>TIF_PaygAnnual_PrincipalOutstandingPriorAdj_Input</t>
  </si>
  <si>
    <t>TIF_PaygAnnual_UnpaidInterestPriorAdj_Input</t>
  </si>
  <si>
    <t>=IF(NOT(ISBLANK('PAYG Input'!C4)),'PAYG Input'!C4,"")  &lt;---CHANGE COL REFERENCES AS APPROPRIATE</t>
  </si>
  <si>
    <t>=IF(NOT(ISBLANK('PAYG Input'!C10)),'PAYG Input'!C10,"")   &lt;---CHANGE COL REFERENCES AS APPROPRIATE</t>
  </si>
  <si>
    <t>=IF(NOT(ISBLANK('PAYG Input'!C11)),'PAYG Input'!C11,"Select One")   &lt;---CHANGE COL REFERENCES AS APPROPRIATE</t>
  </si>
  <si>
    <t>=IF(NOT(ISBLANK('PAYG Input'!C26)),'PAYG Input'!C26,"")   &lt;---CHANGE COL REFERENCES AS APPROPRIATE</t>
  </si>
  <si>
    <t>=IF(NOT(ISBLANK('PAYG Input'!C28)),'PAYG Input'!C28,"")   &lt;---CHANGE COL REFERENCES AS APPROPRIATE</t>
  </si>
  <si>
    <t>=IF(NOT(ISBLANK('PAYG Input'!C30)),'PAYG Input'!C30,"")   &lt;---CHANGE COL REFERENCES AS APPROPRIATE</t>
  </si>
  <si>
    <t>=IF(NOT(ISBLANK('PAYG Input'!C32)),'PAYG Input'!C32,"")   &lt;---CHANGE COL REFERENCES AS APPROPRIATE</t>
  </si>
  <si>
    <t>=IF(NOT(ISBLANK('PAYG Input'!C36)),'PAYG Input'!C36,"")   &lt;---CHANGE COL REFERENCES AS APPROPRIATE</t>
  </si>
  <si>
    <t>=IF(NOT(ISBLANK('PAYG Input'!C38)),'PAYG Input'!C38,"")   &lt;---CHANGE COL REFERENCES AS APPROPRIATE</t>
  </si>
  <si>
    <t>TIF_PaygAnnual_LandBldgAcquisitionCostPriorAdj_Output</t>
  </si>
  <si>
    <t>TIF_PaygAnnual_SiteImprovementsCostPriorAdj_Output</t>
  </si>
  <si>
    <t>TIF_PaygAnnual_UtilitiesCostPriorAdj_Output</t>
  </si>
  <si>
    <t>TIF_PaygAnnual_AffordableHsgCostPriorAdj_Output</t>
  </si>
  <si>
    <t>TIF_PaygAnnual_OtherPublicCostPriorAdj_Output ***</t>
  </si>
  <si>
    <t>TIF_PaygAnnual_JobsBillCostPriorAdj_Output</t>
  </si>
  <si>
    <t>TIF_PaygAnnual_TotalDocumentedCostPriorAdj_Output</t>
  </si>
  <si>
    <t>TIF_PaygAnnual_InDistrictCostPriorAdj_Output</t>
  </si>
  <si>
    <t>TIF_PaygAnnual_OutDistrictCostPriorAdj_Output</t>
  </si>
  <si>
    <t>TIF_PaygAnnual_PrincipalOutstandingPriorAdj_Output</t>
  </si>
  <si>
    <t>TIF_PaygAnnual_UnpaidInterestPriorAdj_Output</t>
  </si>
  <si>
    <t>The sum of Lines 22 and 23 must equal Line 21.</t>
  </si>
  <si>
    <t>Draw Amount</t>
  </si>
  <si>
    <t>TIF_InterfundLoanAnnual_LandBldgAcquisitionCostPriorAdj_Input</t>
  </si>
  <si>
    <t>TIF_InterfundLoanAnnual_LandBldgAcquisitionCost_Input</t>
  </si>
  <si>
    <t>TIF_InterfundLoanAnnual_SiteImprovementsCostPriorAdj_Input</t>
  </si>
  <si>
    <t>TIF_InterfundLoanAnnual_SiteImprovementsCost_Input</t>
  </si>
  <si>
    <t>TIF_InterfundLoanAnnual_UtilitiesCostPriorAdj_Input</t>
  </si>
  <si>
    <t>TIF_InterfundLoanAnnual_UtilitiesCost_Input</t>
  </si>
  <si>
    <t>TIF_InterfundLoanAnnual_AffordableHsgCostPriorAdj_Input</t>
  </si>
  <si>
    <t>TIF_InterfundLoanAnnual_AffordableHsgCost_Input</t>
  </si>
  <si>
    <t>TIF_InterfundLoanAnnual_OtherPublicCostPriorAdj_Input</t>
  </si>
  <si>
    <t>TIF_InterfundLoanAnnual_OtherPublicCost_Input</t>
  </si>
  <si>
    <t>TIF_InterfundLoanAnnual_AuthorityAdminCostPriorAdj_Input</t>
  </si>
  <si>
    <t>TIF_InterfundLoanAnnual_AuthorityAdminCost_Input</t>
  </si>
  <si>
    <t>TIF_InterfundLoanAnnual_JobsBillCostPriorAdj_Input</t>
  </si>
  <si>
    <t>TIF_InterfundLoanAnnual_JobsBillCost_Input</t>
  </si>
  <si>
    <t>TIF_InterfundLoanAnnual_TempTransferAuthorityPriorAdj_Input</t>
  </si>
  <si>
    <t>TIF_InterfundLoanAnnual_TempTransferAuthority_Input</t>
  </si>
  <si>
    <t>TIF_InterfundLoanAnnual_TotalUsesPriorAdj_Input</t>
  </si>
  <si>
    <t>TIF_InterfundLoanAnnual_TotalUses_Input</t>
  </si>
  <si>
    <t>TIF_InterfundLoanAnnual_RemainingProceedsPriorAdj_Input</t>
  </si>
  <si>
    <t>TIF_InterfundLoanAnnual_RemainingProceeds_Input</t>
  </si>
  <si>
    <t>TIF_InterfundLoanAnnual_InDistrictCostPriorAdj_Input</t>
  </si>
  <si>
    <t>TIF_InterfundLoanAnnual_InDistrictCost_Input</t>
  </si>
  <si>
    <t>TIF_InterfundLoanAnnual_OutDistrictCostPriorAdj_Input</t>
  </si>
  <si>
    <t>TIF_InterfundLoanAnnual_OutDistrictCost_Input</t>
  </si>
  <si>
    <t>TIF_InterfundLoanAnnual_ElectedHsgCostPriorAdj_Input</t>
  </si>
  <si>
    <t>TIF_InterfundLoanAnnual_ElectedHsgCost_Input</t>
  </si>
  <si>
    <t>Amount Drawn PY</t>
  </si>
  <si>
    <t>Amount Drawn CY</t>
  </si>
  <si>
    <t>TIF_InterfundLoanAnnual_PrincipalOutstandingPriorAdj_Input</t>
  </si>
  <si>
    <t>TIF_InterfundLoanAnnual_UnpaidInterestPriorAdj_Input</t>
  </si>
  <si>
    <t>=IF(AND(NOT(ISBLANK('Loan Input'!C47)),OR('Loan Input'!C$5=Lists!$AG$2,'Loan Input'!C$5=Lists!$AG$3)),'Loan Input'!C47,"")</t>
  </si>
  <si>
    <t>=IF(AND(NOT(ISBLANK('Loan Input'!C49)),OR('Loan Input'!C$5=Lists!$AG$2,'Loan Input'!C$5=Lists!$AG$3)),'Loan Input'!C49,"")</t>
  </si>
  <si>
    <t>=IF(AND(NOT(ISBLANK('Loan Input'!C55)),OR('Loan Input'!C$5=Lists!$AG$2,'Loan Input'!C$5=Lists!$AG$3)),'Loan Input'!C55,"")</t>
  </si>
  <si>
    <t>=IF(AND(NOT(ISBLANK('Loan Input'!C16)),OR('Loan Input'!C$5=Lists!$AG$2,'Loan Input'!C$5=Lists!$AG$3)),'Loan Input'!C16,"")</t>
  </si>
  <si>
    <t>=IF(AND(NOT(ISBLANK('Loan Input'!C20)),OR('Loan Input'!C$5=Lists!$AG$2,'Loan Input'!C$5=Lists!$AG$3)),'Loan Input'!C20,"")</t>
  </si>
  <si>
    <t>=IF(AND(NOT(ISBLANK('Loan Input'!C24)),OR('Loan Input'!C$5=Lists!$AG$2,'Loan Input'!C$5=Lists!$AG$3)),'Loan Input'!C24,"")</t>
  </si>
  <si>
    <t>=IF(AND(NOT(ISBLANK('Loan Input'!C30)),OR('Loan Input'!C$5=Lists!$AG$2,'Loan Input'!C$5=Lists!$AG$3)),'Loan Input'!C30,"")</t>
  </si>
  <si>
    <t>=IF(AND(NOT(ISBLANK('Loan Input'!C32)),OR('Loan Input'!C$5=Lists!$AG$2,'Loan Input'!C$5=Lists!$AG$3)),'Loan Input'!C32,"")</t>
  </si>
  <si>
    <t>=IF(AND(NOT(ISBLANK('Loan Input'!C41)),OR('Loan Input'!C$5=Lists!$AG$2,'Loan Input'!C$5=Lists!$AG$3)),'Loan Input'!C41,"")</t>
  </si>
  <si>
    <t>TIF_InterfundLoanAnnual_LandBldgAcquisitionCostPriorAdj_Output</t>
  </si>
  <si>
    <t>TIF_InterfundLoanAnnual_LandBldgAcquisitionCost_Output</t>
  </si>
  <si>
    <t>TIF_InterfundLoanAnnual_SiteImprovementsCostPriorAdj_Output</t>
  </si>
  <si>
    <t>TIF_InterfundLoanAnnual_SiteImprovementsCost_Output</t>
  </si>
  <si>
    <t>TIF_InterfundLoanAnnual_UtilitiesCostPriorAdj_Output</t>
  </si>
  <si>
    <t>TIF_InterfundLoanAnnual_UtilitiesCost_Output</t>
  </si>
  <si>
    <t>TIF_InterfundLoanAnnual_AffordableHsgCostPriorAdj_Output</t>
  </si>
  <si>
    <t>TIF_InterfundLoanAnnual_AffordableHsgCost_Output</t>
  </si>
  <si>
    <t>TIF_InterfundLoanAnnual_OtherPublicCostPriorAdj_Output</t>
  </si>
  <si>
    <t>TIF_InterfundLoanAnnual_OtherPublicCost_Output</t>
  </si>
  <si>
    <t>TIF_InterfundLoanAnnual_AuthorityAdminCostPriorAdj_Output</t>
  </si>
  <si>
    <t>TIF_InterfundLoanAnnual_AuthorityAdminCost_Output</t>
  </si>
  <si>
    <t>TIF_InterfundLoanAnnual_JobsBillCostPriorAdj_Output</t>
  </si>
  <si>
    <t>TIF_InterfundLoanAnnual_JobsBillCost_Output</t>
  </si>
  <si>
    <t>TIF_InterfundLoanAnnual_TempTransferAuthorityPriorAdj_Output</t>
  </si>
  <si>
    <t>TIF_InterfundLoanAnnual_TempTransferAuthority_Output</t>
  </si>
  <si>
    <t>TIF_InterfundLoanAnnual_TotalUsesPriorAdj_Output</t>
  </si>
  <si>
    <t>TIF_InterfundLoanAnnual_TotalUses_Output</t>
  </si>
  <si>
    <t>TIF_InterfundLoanAnnual_RemainingProceedsPriorAdj_Output</t>
  </si>
  <si>
    <t>TIF_InterfundLoanAnnual_RemainingProceeds_Output</t>
  </si>
  <si>
    <t>TIF_InterfundLoanAnnual_InDistrictCostPriorAdj_Output</t>
  </si>
  <si>
    <t>TIF_InterfundLoanAnnual_InDistrictCost_Output</t>
  </si>
  <si>
    <t>TIF_InterfundLoanAnnual_OutDistrictCostPriorAdj_Output</t>
  </si>
  <si>
    <t>TIF_InterfundLoanAnnual_OutDistrictCost_Output</t>
  </si>
  <si>
    <t>TIF_InterfundLoanAnnual_PrincipalOutstandingPriorAdj_Ouput</t>
  </si>
  <si>
    <t>TIF_InterfundLoanAnnual_UnpaidInterestPriorAdj_Ouput</t>
  </si>
  <si>
    <t>TIF_InterfundLoanAnnual_ElectedHsgCostPriorAdj_Output</t>
  </si>
  <si>
    <t>TIF_InterfundLoanAnnual_ElectedHsgCost_Output</t>
  </si>
  <si>
    <t>Direct Expenditures of Increment (NOT Use of Debt Proceeds)</t>
  </si>
  <si>
    <t>Portion of row 13 used for maintenance/operating costs</t>
  </si>
  <si>
    <t>Portion of row 21 paid with lease proceed tax increments</t>
  </si>
  <si>
    <t>Administrative Expense Details</t>
  </si>
  <si>
    <r>
      <t xml:space="preserve">This tab is for reporting direct expenditures of tax increment revenue (meaning those costs that are not initially financed by a bond, loan, or PAYG note), administrative expense details, and county costs. 
</t>
    </r>
    <r>
      <rPr>
        <b/>
        <sz val="11"/>
        <color theme="1"/>
        <rFont val="Calibri"/>
        <family val="2"/>
        <scheme val="minor"/>
      </rPr>
      <t>NOTE:</t>
    </r>
    <r>
      <rPr>
        <sz val="11"/>
        <color theme="1"/>
        <rFont val="Calibri"/>
        <family val="2"/>
        <scheme val="minor"/>
      </rPr>
      <t xml:space="preserve"> For 2024 only, the total prior year column is not populated. In future years all prior year costs will be pre-populated. </t>
    </r>
  </si>
  <si>
    <t>Project Costs with Increment and Proceeds</t>
  </si>
  <si>
    <t>Direct Expenditures in Prior Years</t>
  </si>
  <si>
    <t>Direct Expenditures in Current Year</t>
  </si>
  <si>
    <t>Total Direct Expenditures</t>
  </si>
  <si>
    <t>Bond Proceed Uses in Prior Years</t>
  </si>
  <si>
    <t>Bond Proceed Uses in Current Year</t>
  </si>
  <si>
    <t>Total Bond Proceed Uses</t>
  </si>
  <si>
    <t>Loan Proceed Uses in Prior Years</t>
  </si>
  <si>
    <t>Loan Proceed Uses in Current Year</t>
  </si>
  <si>
    <t>Total Loan Proceed Uses</t>
  </si>
  <si>
    <t>Total Bond, Loan, and Direct Uses in Prior Yrs</t>
  </si>
  <si>
    <t>Total Bond, Loan, and Direct Uses in Curr Year</t>
  </si>
  <si>
    <t>Total Bond, Loan, and Direct Uses</t>
  </si>
  <si>
    <t>Subtract Pre-2010 Costs Paid With Non-Increment Funds</t>
  </si>
  <si>
    <t>Documented Costs and Total Project Costs</t>
  </si>
  <si>
    <t>PAYG Documented Costs in Prior Yrs</t>
  </si>
  <si>
    <t>PAYG Documented Costs in Curr Yr</t>
  </si>
  <si>
    <t>Total PAYG Documented Costs</t>
  </si>
  <si>
    <t>Total Costs in Prior Years</t>
  </si>
  <si>
    <t>Total Costs in Current Year</t>
  </si>
  <si>
    <t>Total Costs</t>
  </si>
  <si>
    <t>PAYGInOutBreakout</t>
  </si>
  <si>
    <t>LoanInOutBreakout</t>
  </si>
  <si>
    <t>BondInOutBreakout</t>
  </si>
  <si>
    <t>Does this district have a hazardous substance subdistrict?</t>
  </si>
  <si>
    <t>Subdistrict Info</t>
  </si>
  <si>
    <t>Hazardous Substance Subdistrict</t>
  </si>
  <si>
    <t>Subdistrict Certification Request Date</t>
  </si>
  <si>
    <t>Subdistrict Certification Date</t>
  </si>
  <si>
    <t>PCA Approval Date of the Development Action Response Plan</t>
  </si>
  <si>
    <t>Subdistrict Approval Date</t>
  </si>
  <si>
    <t>Use of Subdistrict Increment</t>
  </si>
  <si>
    <t>Year of First Receipt of Subdistrict Increment</t>
  </si>
  <si>
    <t>Removal/Remedial Action</t>
  </si>
  <si>
    <t>Pollution Testing, Demolition, and Soil Compaction</t>
  </si>
  <si>
    <t>Subdistrict Increment</t>
  </si>
  <si>
    <t>Insurance and Guaranty Deposits</t>
  </si>
  <si>
    <t/>
  </si>
  <si>
    <t>This is a count of errors on the HSS tab</t>
  </si>
  <si>
    <t>ErrorCheck_HSS</t>
  </si>
  <si>
    <t>AlertCheck_HSS</t>
  </si>
  <si>
    <t>This is a count of alerts on the HSS tab</t>
  </si>
  <si>
    <t>Enter the tax increment revenues for the district by type of tax increment revenue.</t>
  </si>
  <si>
    <t>This is a count of errors on the Returned tab</t>
  </si>
  <si>
    <t>This is a count of alerts on the Returned tab</t>
  </si>
  <si>
    <t>AlertCheck_Revenues</t>
  </si>
  <si>
    <t>ErrorCheck_Revenues</t>
  </si>
  <si>
    <t>Portion of Revenues Tab Row 15 for Subdistrict</t>
  </si>
  <si>
    <t>Estimated Cost of Removal/Remedial Actions</t>
  </si>
  <si>
    <t>=TIF_DistrictYear_LandBldgAcquisitionCostPriorAdj_Input</t>
  </si>
  <si>
    <t>=TIF_DistrictYear_SiteImprovementsCostPriorAdj_Input</t>
  </si>
  <si>
    <t>=TIF_DistrictYear_UtilitiesCostPriorAdj_Input</t>
  </si>
  <si>
    <t>=TIF_DistrictYear_AffordableHsgCostPriorAdj_Input</t>
  </si>
  <si>
    <t>=TIF_DistrictYear_OutDistrictElectedHousingPriorAdj_Input</t>
  </si>
  <si>
    <t>=TIF_DistrictYear_OtherPublicCostPriorAdj_Input</t>
  </si>
  <si>
    <t>=TIF_DistrictYear_AuthorityAdminCostPriorAdj_Input</t>
  </si>
  <si>
    <t>=TIF_DistrictYear_JobsBillCostPriorAdj_Input</t>
  </si>
  <si>
    <t>=TIF_DistrictYear_TempTransferAuthorityPriorAdj_Input</t>
  </si>
  <si>
    <t>=TIF_DistrictYear_InDistProjCostsIncPriorAdj_Input</t>
  </si>
  <si>
    <t>=TIF_DistrictYear_OutDistProjCostsIncPriorAdj_Input</t>
  </si>
  <si>
    <t>=TIF_DistrictYear_AuthorityAdminOperCostPriorAdj_Input</t>
  </si>
  <si>
    <t>=TIF_DistrictYear_AuthorityAdminOperCostLeaseProceedTIPriorAdj_Input</t>
  </si>
  <si>
    <t>=TIF_DistrictYear_CountyAdminCostPriorAdj_Input</t>
  </si>
  <si>
    <t>NotExceedAdminCosts</t>
  </si>
  <si>
    <t xml:space="preserve">These amounts may not exceed admin costs on Row 13. </t>
  </si>
  <si>
    <t>The sum of Rows 33 and 34 must equal Row 31.</t>
  </si>
  <si>
    <t>NotExceedMaintCosts</t>
  </si>
  <si>
    <t>NotExceedLeaseProceeds</t>
  </si>
  <si>
    <t>Entry required. Identify each line's share of Prior Years Total. Enter $0 if applicable.</t>
  </si>
  <si>
    <t>TIF_InterfundLoanAnnual_CountyAdminCostPriorAdj_Input</t>
  </si>
  <si>
    <t>TIF_InterfundLoanAnnual_CountyAdminCost_Input</t>
  </si>
  <si>
    <t>County Administrative Costs PY</t>
  </si>
  <si>
    <t>County Administrative Costs CY</t>
  </si>
  <si>
    <t>=IF(AND(NOT(ISBLANK('Loan Input'!C34)),OR('Loan Input'!C$5=Lists!$AG$2,'Loan Input'!C$5=Lists!$AG$3)),'Loan Input'!C34,"")</t>
  </si>
  <si>
    <t>=IF(AND(NOT(ISBLANK('Loan Input'!C43)),OR('Loan Input'!C$5=Lists!$AG$2,'Loan Input'!C$5=Lists!$AG$3)),'Loan Input'!C43,"")</t>
  </si>
  <si>
    <t>=IF(AND(NOT(ISBLANK('Loan Input'!C44)),OR('Loan Input'!C$5=Lists!$AG$2,'Loan Input'!C$5=Lists!$AG$3)),'Loan Input'!C44,"")</t>
  </si>
  <si>
    <t>=IF(AND(NOT(ISBLANK('Loan Input'!C51)),OR('Loan Input'!C$5=Lists!$AG$2,'Loan Input'!C$5=Lists!$AG$3)),'Loan Input'!C51,"")</t>
  </si>
  <si>
    <t>=IF(AND(NOT(ISBLANK('Loan Input'!C57)),OR('Loan Input'!C$5=Lists!$AG$2,'Loan Input'!C$5=Lists!$AG$3)),'Loan Input'!C57,"")</t>
  </si>
  <si>
    <t>=IF(AND(NOT(ISBLANK('Loan Input'!C59)),OR('Loan Input'!C$5=Lists!$AG$2,'Loan Input'!C$5=Lists!$AG$3)),'Loan Input'!C59,"")</t>
  </si>
  <si>
    <t>TIF_InterfundLoanAnnual_CountyAdminCostPriorAdj_Output</t>
  </si>
  <si>
    <t>TIF_InterfundLoanAnnual_CountyAdminCost_Output</t>
  </si>
  <si>
    <t xml:space="preserve">These amounts may not exceed admin costs on Row 21. </t>
  </si>
  <si>
    <t xml:space="preserve">These amounts may not exceed sale and lease proceeds on Revenues Tab Row 11 &amp; 12. </t>
  </si>
  <si>
    <t>EICViolation</t>
  </si>
  <si>
    <t>Remaining excess increment is a likely violation needing remedy. (See instructions)</t>
  </si>
  <si>
    <t>Remaining Prior Year Excess Increment</t>
  </si>
  <si>
    <t>OtherLineExplanation</t>
  </si>
  <si>
    <t>Please explain in comments box.</t>
  </si>
  <si>
    <t>Statement length is insufficient. Correct entry or explain in comments box.</t>
  </si>
  <si>
    <t>Draw exceeds resolution amount! Submit form but explain in comments box and remedy.</t>
  </si>
  <si>
    <t>You have changed previously reported data. Explain in the comments box.</t>
  </si>
  <si>
    <t>High interest rate exceeds typical rates. Correct entry or explain in comments box.</t>
  </si>
  <si>
    <t>Final maturity date exceeds a typical length. Correct entry or explain in comments box.</t>
  </si>
  <si>
    <t>Low interest rate exceeds typical rates. Correct entry or explain in comments box.</t>
  </si>
  <si>
    <t>Debt type previously reported. Undo and explain desired change in comments box.</t>
  </si>
  <si>
    <t>Refunding status previously reported. Undo and explain desired change in comments box.</t>
  </si>
  <si>
    <t>Pooled status previously reported. Undo and explain desired change in comments box.</t>
  </si>
  <si>
    <t>=TIF_DistrictYear_AssetsCashPriorAdj_Input</t>
  </si>
  <si>
    <t>=TIF_DistrictYear_AssetsInvestmentsPriorAdj_Input</t>
  </si>
  <si>
    <t>=TIF_DistrictYear_AssetsInterestPriorAdj_Input</t>
  </si>
  <si>
    <t>=TIF_DistrictYear_AssetsTaxesPriorAdj_Input</t>
  </si>
  <si>
    <t>=TIF_DistrictYear_AssetsOtherPriorAdj_Input</t>
  </si>
  <si>
    <t>=TIF_DistrictYear_AssetsPropertyPriorAdj_Input</t>
  </si>
  <si>
    <t>=TIF_DistrictYear_LiabilitiesAccountsPayablePriorAdj_Input</t>
  </si>
  <si>
    <t>=TIF_DistrictYear_LiabilitiesUnearnedRevenuePriorAdj_Input</t>
  </si>
  <si>
    <t>=TIF_DistrictYear_DeferredInflowsPriorAdj_Input</t>
  </si>
  <si>
    <t>Total Liabilities and Deferred Inflows</t>
  </si>
  <si>
    <t>Costs Recovered by Civil Action</t>
  </si>
  <si>
    <t xml:space="preserve">Recovered Costs </t>
  </si>
  <si>
    <t>B6</t>
  </si>
  <si>
    <t>Assets=LiabDefInfTIBal</t>
  </si>
  <si>
    <t>Total Assets must equal the Total Liab, Def. Infl., and Tax Incr. Balance for each year.</t>
  </si>
  <si>
    <t>HSS</t>
  </si>
  <si>
    <t>=IF(TIF_Plan_HssInd_Input=TRUE,"Yes","Select One")</t>
  </si>
  <si>
    <t>=IF(ISBLANK(TIF_HazardousSubstanceSubdistrict_ApprovalDate_Input),"",TIF_HazardousSubstanceSubdistrict_ApprovalDate_Input)</t>
  </si>
  <si>
    <t>=IF(ISBLANK(TIF_HazardousSubstanceSubdistrict_CertificationRequestDate_Input),"",TIF_HazardousSubstanceSubdistrict_CertificationRequestDate_Input)</t>
  </si>
  <si>
    <t>=IF(ISBLANK(TIF_HazardousSubstanceSubdistrict_CertificationDate_Input),"",TIF_HazardousSubstanceSubdistrict_CertificationDate_Input)</t>
  </si>
  <si>
    <t>Hazardous Substance Subdistrict Has Been Decertified</t>
  </si>
  <si>
    <t>=IF(ISBLANK(TIF_DistrictAnnual_HssIncrementPriorAdj_Input),"",TIF_DistrictAnnual_HssIncrementPriorAdj_Input)</t>
  </si>
  <si>
    <t>=IF(ISBLANK(TIF_DistrictAnnual_HssRemedialCostPriorAdj_Input),"",TIF_DistrictAnnual_HssRemedialCostPriorAdj_Input)</t>
  </si>
  <si>
    <t>=IF(ISBLANK(TIF_DistrictAnnual_HssTestDemoSoilCostPriorAdj_Input),"",TIF_DistrictAnnual_HssTestDemoSoilCostPriorAdj_Input)</t>
  </si>
  <si>
    <t>=IF(ISBLANK(TIF_DistrictAnnual_HssInsurGuarantyCostPriorAdj_Input),"",TIF_DistrictAnnual_HssInsurGuarantyCostPriorAdj_Input)</t>
  </si>
  <si>
    <t>=IF(ISBLANK(TIF_DistrictAnnual_HssAdminCostPriorAdj_Input),"",TIF_DistrictAnnual_HssAdminCostPriorAdj_Input)</t>
  </si>
  <si>
    <t>=IF(ISBLANK(TIF_DistrictAnnual_HssFinancingCostPriorAdj_Input),"",TIF_DistrictAnnual_HssFinancingCostPriorAdj_Input)</t>
  </si>
  <si>
    <t>=IF(ISBLANK(TIF_DistrictAnnual_HssRecoveredCosts_Input),"",TIF_DistrictAnnual_HssRecoveredCosts_Input)</t>
  </si>
  <si>
    <t>=IF(ISBLANK(TIF_DistrictAnnual_HssPCAReimbursement_Input),"",TIF_DistrictAnnual_HssPCAReimbursement_Input)</t>
  </si>
  <si>
    <t>=IF(ISBLANK(TIF_DistrictAnnual_HssAttyGenReimbursement_Input),"",TIF_DistrictAnnual_HssAttyGenReimbursement_Input)</t>
  </si>
  <si>
    <t>=IFERROR(B25-B26-B27,"")</t>
  </si>
  <si>
    <t xml:space="preserve">Indicate on row 6 whether this district has a hazardous substance subdistrict (HSS). If so, provide the required information. </t>
  </si>
  <si>
    <t>DateBeforeTIFApproval</t>
  </si>
  <si>
    <t>DateBeforeHSSApproval</t>
  </si>
  <si>
    <t>DateBeforeHSSRequest</t>
  </si>
  <si>
    <t>Date may not be before the TIF plan approval date for the TIF district.</t>
  </si>
  <si>
    <t>Date may not be before the subdistrict approval date.</t>
  </si>
  <si>
    <t>Date may not be before subdistrict certification request date.</t>
  </si>
  <si>
    <t>HSSYearOnly</t>
  </si>
  <si>
    <t>HSSYearError</t>
  </si>
  <si>
    <t>Entry required if certification has been requested.</t>
  </si>
  <si>
    <t>HSSCertReqDateAlert</t>
  </si>
  <si>
    <t>HSSCertDateAlert</t>
  </si>
  <si>
    <t>Entry required if subdistrict has been certified.</t>
  </si>
  <si>
    <t>Year must be after the year of approval and no later than the current year.</t>
  </si>
  <si>
    <t>Enter a four-digit year only.</t>
  </si>
  <si>
    <t>HSSDecertBeforeCert</t>
  </si>
  <si>
    <t>Decertification date cannot be before the certification date.</t>
  </si>
  <si>
    <t>SkipHSSDecertDate</t>
  </si>
  <si>
    <t>Skip this line. Prior line indicates subdistrict has not been decertified.</t>
  </si>
  <si>
    <t>=IF(TIF_HazardousSubstanceSubdistrict_ActualDecertificationDate_Input=TRUE,"Yes",IF(TIF_Plan_HssInd_Entry="Yes","Select One",""))</t>
  </si>
  <si>
    <t>Entry required. Enter $0 if applicable.</t>
  </si>
  <si>
    <t>EntryReqZeroIfAppl</t>
  </si>
  <si>
    <t>HSSUseWarning</t>
  </si>
  <si>
    <t>Sum of uses is less than increment for prior and/or current year. (See instructions)</t>
  </si>
  <si>
    <t>HSSUseError</t>
  </si>
  <si>
    <t>Sum of uses exceeds increment for prior and/or current year. Correct entries.</t>
  </si>
  <si>
    <t>Total Uses of Subdistrict Increment</t>
  </si>
  <si>
    <t>Have Any Costs Been Recovered by Civil Action?</t>
  </si>
  <si>
    <t>=IF(TIF_DistrictAnnual_HssRecoveredCostsInd_Input=TRUE,"Yes",IF(TIF_Plan_HssInd_Entry="Yes","Select One",""))</t>
  </si>
  <si>
    <t>HSSReimb&gt;Recovered</t>
  </si>
  <si>
    <t>Reimbursements exceed recovered costs. Correct entries.</t>
  </si>
  <si>
    <t>PCA Reimbursements From Recovered Costs</t>
  </si>
  <si>
    <t>Attorney General Reimbursements From Recovered Costs</t>
  </si>
  <si>
    <t>Recovered Costs Net of PCA/AG Reimbursements</t>
  </si>
  <si>
    <t>HSSRecoveredCostTrue</t>
  </si>
  <si>
    <t>Recovered costs were previously reported. Update amounts if changes apply.</t>
  </si>
  <si>
    <t>Financing Costs Related to Rows 19-22</t>
  </si>
  <si>
    <t>HSSNoExcessRecCost</t>
  </si>
  <si>
    <t>Skip this line; it does not apply.</t>
  </si>
  <si>
    <t>Was the Full Row 30 Amount Returned as Excess Increment?</t>
  </si>
  <si>
    <t>HSSExcessRecCostNoRet</t>
  </si>
  <si>
    <t>Return is required by law. Submit form but remedy. (See instructions)</t>
  </si>
  <si>
    <t>=IF(TIF_DistrictAnnnual_HssRecoveredCostReturnInd_Input=TRUE,IF(AND(TIF_DistrictAnnual_HssRecoveredCosts_Entry=TIF_DistrictAnnual_HssRecoveredCosts_Input,TIF_DistrictAnnual_HssPCAReimbursement_Entry=TIF_DistrictAnnual_HssPCAReimbursement_Input,TIF_DistrictAnnual_HssAttyGenReimbursement_Entry=TIF_DistrictAnnual_HssAttyGenReimbursement_Input),"Yes","Select One"),IF(TIF_DistrictAnnual_HssNetRecoveredCost_Entry&lt;=0,"","Select One"))</t>
  </si>
  <si>
    <t>SixYrAddAdminError</t>
  </si>
  <si>
    <t>Amount does not match admin costs (Expenditures D13). Correct entry.</t>
  </si>
  <si>
    <t>If all pooling is for 2d housing, enter admin costs (Expenditures D13) here. Else enter $0.</t>
  </si>
  <si>
    <t>=TIF_DistrictType_DistrictTypeName</t>
  </si>
  <si>
    <t>=TIF_District_FYRDate</t>
  </si>
  <si>
    <t>=YEAR(B8)+1</t>
  </si>
  <si>
    <t>='Debt Summary'!E47+Expenditures!D17</t>
  </si>
  <si>
    <t>='Debt Summary'!C47</t>
  </si>
  <si>
    <t>=B11+B12-B13</t>
  </si>
  <si>
    <t>='Debt Summary'!E50+'Debt Summary'!E52</t>
  </si>
  <si>
    <t>=IF(B7="Redevelopment",25%,20%)</t>
  </si>
  <si>
    <t>=IF(TIF_District_PoolingElectionForHousingInd="Yes",10%,0%)</t>
  </si>
  <si>
    <t>='Rev Exp Bal'!D7</t>
  </si>
  <si>
    <t>='Rev Exp Bal'!D8</t>
  </si>
  <si>
    <t>=Returned!D7</t>
  </si>
  <si>
    <t>Other In-District Oblig. Remains Outstanding at Year End?</t>
  </si>
  <si>
    <t>Amt Sufficient To Pay In-Dist Obligations Excl PAYGs (B17)</t>
  </si>
  <si>
    <t>=B17</t>
  </si>
  <si>
    <t>=IFERROR(B23*B31,"")</t>
  </si>
  <si>
    <t>=(B27+B28-B29-B30)</t>
  </si>
  <si>
    <t>=Returned!D9</t>
  </si>
  <si>
    <t>=100%-B22</t>
  </si>
  <si>
    <t>=B19+B20+B21</t>
  </si>
  <si>
    <t>=B14-B15-B16</t>
  </si>
  <si>
    <t>Appl In-District % (B23) x Cum Tax Incr Revenues (B31)</t>
  </si>
  <si>
    <t>Cumulative Tax Increment Revenues (B27+B28-B29-B30)</t>
  </si>
  <si>
    <r>
      <t xml:space="preserve">This tab is meant to aid in monitoring compliance with the Six-Year Rule. It's accuracy is dependent on complete and accurate entries and responses throughout this form. If other tabs have not yet been completed, the information here may be subject to change. </t>
    </r>
    <r>
      <rPr>
        <b/>
        <sz val="11"/>
        <color theme="1"/>
        <rFont val="Calibri"/>
        <family val="2"/>
        <scheme val="minor"/>
      </rPr>
      <t>This information relies on some assumptions, is meant to provide potential indications, and does not substitute for legal advice. Authorities remain solely responsible for ensuring compliance, and are encouraged to verify results.</t>
    </r>
    <r>
      <rPr>
        <sz val="11"/>
        <color theme="1"/>
        <rFont val="Calibri"/>
        <family val="2"/>
        <scheme val="minor"/>
      </rPr>
      <t xml:space="preserve"> See instructions for further information and resources.</t>
    </r>
  </si>
  <si>
    <t>SixYrPAYGDeferNo</t>
  </si>
  <si>
    <t>SixYrPAYGDeferYes</t>
  </si>
  <si>
    <t>SixYrPriorDeferralYes</t>
  </si>
  <si>
    <t>SixYrPriorDeferralNo</t>
  </si>
  <si>
    <t>Reporting implies a prior deferral applied but verify and see next.</t>
  </si>
  <si>
    <t xml:space="preserve">No remaining PAYG and no prior deferral suggest no deferral and decertification applies. </t>
  </si>
  <si>
    <t>SixYrOtherRemYes</t>
  </si>
  <si>
    <t>SixYrOtherRemNo</t>
  </si>
  <si>
    <t>No remaining in-district debt suggests deferral has ended and decertification applies.</t>
  </si>
  <si>
    <t xml:space="preserve">No remaining PAYG signals no deferral but a prior deferral might continue. See next. </t>
  </si>
  <si>
    <t>Reporting implies remaining in-dist debt and continued deferral but verify and see next.</t>
  </si>
  <si>
    <t>SixYrSufficientOtherYes</t>
  </si>
  <si>
    <t>SixYrSufficientOtherNo</t>
  </si>
  <si>
    <t>Reporting suggests sufficient revenue to end deferral and decertification applies.</t>
  </si>
  <si>
    <t>Reporting suggests revenues insufficient and continued deferral but verify.</t>
  </si>
  <si>
    <t>SixYrOtherIncrement</t>
  </si>
  <si>
    <t>SixYrOtherIncrementError</t>
  </si>
  <si>
    <t>Amount exceeds the total of reported other increment.</t>
  </si>
  <si>
    <t>Enter amount of other increment used to pay in-district obligations here. Enter $0 if none.</t>
  </si>
  <si>
    <t>Amounts Paid By Other Increment (see instructions)</t>
  </si>
  <si>
    <t>ParcelRetentionAlert</t>
  </si>
  <si>
    <t>This parcel does not appear to be pledged to an outstanding in-district obligation.</t>
  </si>
  <si>
    <t>SixYrParcelRemoveYes</t>
  </si>
  <si>
    <t>SixYrParcelRemoveNo</t>
  </si>
  <si>
    <t>If correct, no parcel removals expected. (Note any alerts on the Parcel Tab and verify.)</t>
  </si>
  <si>
    <t>Parcel removal may be required. (See instructions)</t>
  </si>
  <si>
    <t>Are there any parcels in the district where the increment from the parcel is not obligated on any outstanding in-district obligation beyond the end of the year?</t>
  </si>
  <si>
    <t>=IF(OR(B33="",B34=0,B9&gt;Year_DestinationYearID),"",IF(B33&gt;=B34,"Yes","No"))</t>
  </si>
  <si>
    <t>=IF(B9&gt;Year_DestinationYearID,"",IF(SUMIFS(TIF_PaygAnnual_PrincipalOutstanding_Output,TIF_PAYG_MeetsFiveYrRuleInd_Output,TRUE,TIF_PAYG_FinalMaturityDate_Output,"&gt;"&amp;DATE(Year_DestinationYearID,12,31))&gt;0,"Yes","No"))</t>
  </si>
  <si>
    <t>=IF(B9&gt;Year_DestinationYearID,"",IF(B37="Yes","",IF(AND((B31-TIF_DistrictYear_TaxIncRevAmt)*'Six-Yr Rule'!B23&gt;='Six-Yr Rule'!B34,SUMIFS(TIF_PaygAnnual_PrincipalOutstanding_Output,TIF_PAYG_MeetsFiveYrRuleInd_Output,TRUE,TIF_PAYG_FinalMaturityDate_Output,"&gt;"&amp;DATE(Year_DestinationYearID-1,12,31))&gt;0),"Yes","No")))</t>
  </si>
  <si>
    <t>=IF(B9&gt;Year_DestinationYearID,"",IF(B38="Yes",IF(OR(SUMIFS('Bond Output'!TIF_DebtAnnual_PrincipalOutstanding_Output,TIF_Debt_MeetsFiveYrRuleInd_Output,TRUE,'Bond Output'!TIF_Debt_FinalMaturityDate_Output,"&gt;"&amp;DATE(Year_DestinationYearID,12,31))&gt;0,SUMIFS(TIF_InterfundLoanAnnual_PrincipalOutstanding_Ouput,'IFL Ouput'!TIF_InterfundLoan_MeetsFiveYrRuleInd_Output,TRUE,'IFL Ouput'!TIF_InterfundLoan_FinalMaturityDate_Output,"&gt;"&amp;DATE(Year_DestinationYearID,12,31))&gt;0),"Yes","No"),""))</t>
  </si>
  <si>
    <t>=IF(B9&gt;Year_DestinationYearID,"",IF(B39="Yes",IF(B33&gt;(SUMIFS('Bond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Ouput'!TIF_InterfundLoan_MeetsFiveYrRuleInd_Output,TRUE)),"Yes","No"),""))</t>
  </si>
  <si>
    <t>=IF(B23="","",B17/B23)</t>
  </si>
  <si>
    <t>Tax Increment Distributions and TIF Credits</t>
  </si>
  <si>
    <t>Total Estimated Expenditures Authorized by the TIF Plan</t>
  </si>
  <si>
    <t>Current Amount Over/(Under) Limit</t>
  </si>
  <si>
    <t>Administrative Expenses</t>
  </si>
  <si>
    <t>Plan Authorized Costs Measure</t>
  </si>
  <si>
    <t>10% of Plan Authorized Costs (=B34*10%)</t>
  </si>
  <si>
    <t>Total TIF Expenditures for the Project (see instructions)</t>
  </si>
  <si>
    <t>Total Tax Increment (=B37-B38)</t>
  </si>
  <si>
    <t>Administrative Expense Limit (thru reporting year; lesser of B35 or B41)</t>
  </si>
  <si>
    <t>Limit and Current Status</t>
  </si>
  <si>
    <t>10% of Total Increment | TIF Expenditures for the Project (=10%*B39 or 10%*B40)</t>
  </si>
  <si>
    <r>
      <t xml:space="preserve">Tax Increment </t>
    </r>
    <r>
      <rPr>
        <b/>
        <sz val="9"/>
        <rFont val="Calibri"/>
        <family val="2"/>
        <scheme val="minor"/>
      </rPr>
      <t>(RCD post 7/31/01)</t>
    </r>
    <r>
      <rPr>
        <b/>
        <sz val="11"/>
        <rFont val="Calibri"/>
        <family val="2"/>
        <scheme val="minor"/>
      </rPr>
      <t xml:space="preserve"> | TIF Expenditures for Project </t>
    </r>
    <r>
      <rPr>
        <b/>
        <sz val="9"/>
        <rFont val="Calibri"/>
        <family val="2"/>
        <scheme val="minor"/>
      </rPr>
      <t>(RCD pre 8/1/01)</t>
    </r>
    <r>
      <rPr>
        <b/>
        <sz val="11"/>
        <rFont val="Calibri"/>
        <family val="2"/>
        <scheme val="minor"/>
      </rPr>
      <t xml:space="preserve"> Measure</t>
    </r>
  </si>
  <si>
    <t>Generally, administrative expenses may not exceed the lesser of 10% of costs authorized in the TIF plan or 10% of total tax increment revenues. For a district with a request for certification before 8/1/2001, the latter measure is instead 10% of TIF expenditures for the project, and entry in B40 is required for these older districts. Compliance with the limit is not examined until decertification. It is not uncommon to exceed 10% during the early years of a district but be within compliance by decertification. See our Statement of Position on TIF Administrative Expenses for more info. For monitoring purposes only, the following identifies whether administrative expenses appear to exceed the limit if decertification had occurred at the end of the reporting year.</t>
  </si>
  <si>
    <t>Generally, out-district expenditures may not exceed the overall pooling limit over the life of the district. Compliance with the limit is not examined until decertification. It is not uncommon to exceed the limit during the early years of a district. See our Statement of Position on TIF Pooling for more info. For monitoring purposes only, the following identifies whether out-district expenditures appear to exceed the limit if decertification had occurred at the end of the reporting year.</t>
  </si>
  <si>
    <t>Pooling (Out-District) Expenses</t>
  </si>
  <si>
    <t>Limit Calculation Factors</t>
  </si>
  <si>
    <t>Pooling Limit (=(B52-B53)*B54</t>
  </si>
  <si>
    <t>2017 GO TIF Bond</t>
  </si>
  <si>
    <t>Expenditure Summary</t>
  </si>
  <si>
    <t>This tab is for reporting interfund loans made to other TIF districts or funds and tracks amounts due from other those districts. These are assets rather than debt obligations of the district. 
Click on each loan's name the Name (link) column to go to a separate tab for each where reporting can be completed for each loan. Return to this tab from each separate tab to go to the next loan. Complete entries for all listed loans. Add any new or previously unreported loan by clicking on "Click here to add another loan" in the Name (link) column. Report all loans of the TIF district.</t>
  </si>
  <si>
    <t>Elevator Inc</t>
  </si>
  <si>
    <t>Ricks Lumber</t>
  </si>
  <si>
    <t>General Fund</t>
  </si>
  <si>
    <t>TIF 1-1 Downtown Redev</t>
  </si>
  <si>
    <t>n</t>
  </si>
  <si>
    <t>Lincoln</t>
  </si>
  <si>
    <t>This tab summarizes direct expenditures of tax increments along with the use of bond and loan proceeds, as well as the documented costs of pay-as-you-go (PAYG) notes to identify all direct and financed costs.</t>
  </si>
  <si>
    <t xml:space="preserve">Upon opening the form in Microsoft Excel, there may be a yellow banner at the top warning about being in Protected View. Click the Enable Editing button to allow the form to generate with prepopulated data and allow you to complete the form.
If you notice issues with form calculations appearing to be incorrect, you can press the Ctrl, Alt and F9 keys at the same time to refresh all calculations.
</t>
  </si>
  <si>
    <t>This section not yet programmed</t>
  </si>
  <si>
    <t>The sum of Rows 31 and 32 must equal Row 29.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</si>
</sst>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43" formatCode="_(* #,##0.00_);_(* \(#,##0.00\);_(* &quot;-&quot;??_);_(@_)"/>
    <numFmt numFmtId="164" formatCode="@*."/>
    <numFmt numFmtId="165" formatCode="@* "/>
    <numFmt numFmtId="166" formatCode="_(&quot;$&quot;* #,##0_);_(&quot;$&quot;* \(#,##0\);_(&quot;$&quot;* &quot;-&quot;??_);_(@_)"/>
    <numFmt numFmtId="167" formatCode="&quot;$&quot;#,##0"/>
    <numFmt numFmtId="168" formatCode="_(&quot;$&quot;* #,##0_);_(&quot;$&quot;* \(#,##0\);_(&quot;$&quot;* 0_);_(@_)"/>
    <numFmt numFmtId="169" formatCode="0.000"/>
    <numFmt numFmtId="170" formatCode="?.000&quot; &quot;\%"/>
    <numFmt numFmtId="171" formatCode="_(&quot;$&quot;* #,##0_);_(&quot;$&quot;* \(#,##0\);_(&quot;$&quot;* &quot;-&quot;?_);_(@_)"/>
  </numFmts>
  <fonts count="31" x14ac:knownFonts="1">
    <font>
      <sz val="11"/>
      <color theme="1"/>
      <name val="Calibri"/>
      <family val="2"/>
      <scheme val="minor"/>
    </font>
    <font>
      <b/>
      <sz val="11"/>
      <color theme="1"/>
      <name val="Calibri"/>
      <family val="2"/>
      <scheme val="minor"/>
    </font>
    <font>
      <b/>
      <sz val="11"/>
      <name val="Calibri"/>
      <family val="2"/>
      <scheme val="minor"/>
    </font>
    <font>
      <b/>
      <sz val="14"/>
      <color theme="1"/>
      <name val="Calibri"/>
      <family val="2"/>
      <scheme val="minor"/>
    </font>
    <font>
      <sz val="14"/>
      <color theme="1"/>
      <name val="Calibri"/>
      <family val="2"/>
      <scheme val="minor"/>
    </font>
    <font>
      <b/>
      <sz val="11"/>
      <color theme="7" tint="-0.249977111117893"/>
      <name val="Calibri"/>
      <family val="2"/>
      <scheme val="minor"/>
    </font>
    <font>
      <b/>
      <sz val="11"/>
      <color theme="0" tint="-0.499984740745262"/>
      <name val="Calibri"/>
      <family val="2"/>
      <scheme val="minor"/>
    </font>
    <font>
      <sz val="8"/>
      <name val="Calibri"/>
      <family val="2"/>
      <scheme val="minor"/>
    </font>
    <font>
      <b/>
      <sz val="16"/>
      <color rgb="FFEED382"/>
      <name val="Calibri"/>
      <family val="2"/>
      <scheme val="minor"/>
    </font>
    <font>
      <b/>
      <sz val="11"/>
      <color rgb="FF595959"/>
      <name val="Calibri"/>
      <family val="2"/>
      <scheme val="minor"/>
    </font>
    <font>
      <b/>
      <sz val="11"/>
      <color rgb="FFC00000"/>
      <name val="Calibri"/>
      <family val="2"/>
      <scheme val="minor"/>
    </font>
    <font>
      <sz val="8"/>
      <color theme="1"/>
      <name val="Calibri"/>
      <family val="2"/>
      <scheme val="minor"/>
    </font>
    <font>
      <sz val="11"/>
      <name val="Calibri"/>
      <family val="2"/>
    </font>
    <font>
      <i/>
      <sz val="11"/>
      <name val="Calibri"/>
      <family val="2"/>
    </font>
    <font>
      <i/>
      <sz val="11"/>
      <color theme="1"/>
      <name val="Calibri"/>
      <family val="2"/>
      <scheme val="minor"/>
    </font>
    <font>
      <b/>
      <i/>
      <sz val="11"/>
      <color theme="1"/>
      <name val="Calibri"/>
      <family val="2"/>
      <scheme val="minor"/>
    </font>
    <font>
      <sz val="11"/>
      <name val="Calibri"/>
      <family val="2"/>
      <scheme val="minor"/>
    </font>
    <font>
      <sz val="11"/>
      <color rgb="FF000000"/>
      <name val="Calibri"/>
      <family val="2"/>
    </font>
    <font>
      <sz val="11"/>
      <color rgb="FF444444"/>
      <name val="Calibri"/>
      <family val="2"/>
    </font>
    <font>
      <sz val="11"/>
      <color theme="1"/>
      <name val="Calibri"/>
      <family val="2"/>
      <scheme val="minor"/>
    </font>
    <font>
      <u/>
      <sz val="11"/>
      <color theme="10"/>
      <name val="Calibri"/>
      <family val="2"/>
      <scheme val="minor"/>
    </font>
    <font>
      <sz val="11"/>
      <color rgb="FF000000"/>
      <name val="Calibri"/>
      <family val="2"/>
    </font>
    <font>
      <sz val="10"/>
      <color theme="1"/>
      <name val="Calibri"/>
      <family val="2"/>
      <scheme val="minor"/>
    </font>
    <font>
      <sz val="12"/>
      <name val="Calibri"/>
      <family val="2"/>
      <scheme val="minor"/>
    </font>
    <font>
      <sz val="11"/>
      <color rgb="FFFF0000"/>
      <name val="Calibri"/>
      <family val="2"/>
      <scheme val="minor"/>
    </font>
    <font>
      <u/>
      <sz val="11"/>
      <color theme="1"/>
      <name val="Calibri"/>
      <family val="2"/>
      <scheme val="minor"/>
    </font>
    <font>
      <b/>
      <sz val="11"/>
      <color rgb="FFFF0000"/>
      <name val="Calibri"/>
      <family val="2"/>
      <scheme val="minor"/>
    </font>
    <font>
      <b/>
      <sz val="11"/>
      <color theme="0"/>
      <name val="Calibri"/>
      <family val="2"/>
      <scheme val="minor"/>
    </font>
    <font>
      <b/>
      <sz val="10"/>
      <color theme="1"/>
      <name val="Calibri"/>
      <family val="2"/>
      <scheme val="minor"/>
    </font>
    <font>
      <sz val="11"/>
      <color theme="1"/>
      <name val="Aptos"/>
      <family val="2"/>
    </font>
    <font>
      <b/>
      <sz val="9"/>
      <name val="Calibri"/>
      <family val="2"/>
      <scheme val="minor"/>
    </font>
  </fonts>
  <fills count="18">
    <fill>
      <patternFill patternType="none"/>
    </fill>
    <fill>
      <patternFill patternType="gray125"/>
    </fill>
    <fill>
      <patternFill patternType="solid">
        <fgColor theme="4" tint="0.39997558519241921"/>
        <bgColor indexed="64"/>
      </patternFill>
    </fill>
    <fill>
      <patternFill patternType="solid">
        <fgColor theme="5" tint="0.39997558519241921"/>
        <bgColor indexed="64"/>
      </patternFill>
    </fill>
    <fill>
      <patternFill patternType="solid">
        <fgColor rgb="FF245A91"/>
        <bgColor indexed="64"/>
      </patternFill>
    </fill>
    <fill>
      <patternFill patternType="solid">
        <fgColor rgb="FFEED386"/>
        <bgColor indexed="64"/>
      </patternFill>
    </fill>
    <fill>
      <patternFill patternType="solid">
        <fgColor rgb="FFEAEAEA"/>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rgb="FFFFFBCC"/>
        <bgColor indexed="64"/>
      </patternFill>
    </fill>
    <fill>
      <patternFill patternType="solid">
        <fgColor theme="8" tint="0.39997558519241921"/>
        <bgColor indexed="64"/>
      </patternFill>
    </fill>
    <fill>
      <patternFill patternType="solid">
        <fgColor rgb="FFEED382"/>
        <bgColor indexed="64"/>
      </patternFill>
    </fill>
    <fill>
      <patternFill patternType="solid">
        <fgColor rgb="FFC6E0B4"/>
        <bgColor indexed="64"/>
      </patternFill>
    </fill>
    <fill>
      <patternFill patternType="solid">
        <fgColor theme="9" tint="0.39997558519241921"/>
        <bgColor indexed="64"/>
      </patternFill>
    </fill>
    <fill>
      <patternFill patternType="solid">
        <fgColor rgb="FF3FCDFF"/>
        <bgColor indexed="64"/>
      </patternFill>
    </fill>
    <fill>
      <patternFill patternType="solid">
        <fgColor rgb="FFFFC000"/>
        <bgColor indexed="64"/>
      </patternFill>
    </fill>
    <fill>
      <patternFill patternType="solid">
        <fgColor theme="0" tint="-0.249977111117893"/>
        <bgColor indexed="64"/>
      </patternFill>
    </fill>
    <fill>
      <patternFill patternType="solid">
        <fgColor theme="7" tint="0.59999389629810485"/>
        <bgColor indexed="64"/>
      </patternFill>
    </fill>
  </fills>
  <borders count="1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ck">
        <color indexed="64"/>
      </right>
      <top/>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style="thick">
        <color indexed="64"/>
      </left>
      <right style="thick">
        <color indexed="64"/>
      </right>
      <top style="thick">
        <color indexed="64"/>
      </top>
      <bottom style="thick">
        <color indexed="64"/>
      </bottom>
      <diagonal/>
    </border>
    <border>
      <left style="thick">
        <color indexed="64"/>
      </left>
      <right style="thick">
        <color indexed="64"/>
      </right>
      <top/>
      <bottom style="thin">
        <color indexed="64"/>
      </bottom>
      <diagonal/>
    </border>
    <border>
      <left style="thick">
        <color indexed="64"/>
      </left>
      <right style="thick">
        <color indexed="64"/>
      </right>
      <top style="thin">
        <color indexed="64"/>
      </top>
      <bottom style="thin">
        <color indexed="64"/>
      </bottom>
      <diagonal/>
    </border>
    <border>
      <left style="thick">
        <color indexed="64"/>
      </left>
      <right style="thick">
        <color indexed="64"/>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ck">
        <color indexed="64"/>
      </top>
      <bottom style="thin">
        <color indexed="64"/>
      </bottom>
      <diagonal/>
    </border>
  </borders>
  <cellStyleXfs count="6">
    <xf numFmtId="0" fontId="0" fillId="0" borderId="0"/>
    <xf numFmtId="165" fontId="19" fillId="0" borderId="0">
      <alignment horizontal="centerContinuous" vertical="center" wrapText="1" readingOrder="1"/>
    </xf>
    <xf numFmtId="0" fontId="20" fillId="0" borderId="0" applyNumberFormat="0" applyFill="0" applyBorder="0" applyAlignment="0" applyProtection="0"/>
    <xf numFmtId="44"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cellStyleXfs>
  <cellXfs count="220">
    <xf numFmtId="0" fontId="0" fillId="0" borderId="0" xfId="0"/>
    <xf numFmtId="0" fontId="1" fillId="0" borderId="0" xfId="0" applyFont="1"/>
    <xf numFmtId="0" fontId="0" fillId="2" borderId="0" xfId="0" applyFill="1"/>
    <xf numFmtId="0" fontId="0" fillId="3" borderId="0" xfId="0" applyFill="1"/>
    <xf numFmtId="0" fontId="4" fillId="0" borderId="0" xfId="0" applyFont="1"/>
    <xf numFmtId="0" fontId="0" fillId="0" borderId="4" xfId="0" applyBorder="1"/>
    <xf numFmtId="0" fontId="0" fillId="0" borderId="0" xfId="0" applyAlignment="1">
      <alignment vertical="top"/>
    </xf>
    <xf numFmtId="164" fontId="0" fillId="0" borderId="0" xfId="0" applyNumberFormat="1" applyAlignment="1">
      <alignment horizontal="left" indent="1"/>
    </xf>
    <xf numFmtId="0" fontId="4" fillId="0" borderId="0" xfId="0" applyFont="1" applyAlignment="1">
      <alignment vertical="center"/>
    </xf>
    <xf numFmtId="0" fontId="0" fillId="0" borderId="0" xfId="0" applyAlignment="1">
      <alignment vertical="center"/>
    </xf>
    <xf numFmtId="0" fontId="1" fillId="0" borderId="0" xfId="0" applyFont="1" applyAlignment="1">
      <alignment wrapText="1"/>
    </xf>
    <xf numFmtId="0" fontId="12" fillId="0" borderId="0" xfId="0" applyFont="1"/>
    <xf numFmtId="0" fontId="1" fillId="0" borderId="0" xfId="0" quotePrefix="1" applyFont="1" applyAlignment="1">
      <alignment wrapText="1"/>
    </xf>
    <xf numFmtId="0" fontId="13" fillId="0" borderId="0" xfId="0" quotePrefix="1" applyFont="1"/>
    <xf numFmtId="0" fontId="14" fillId="0" borderId="0" xfId="0" applyFont="1"/>
    <xf numFmtId="0" fontId="14" fillId="0" borderId="0" xfId="0" quotePrefix="1" applyFont="1"/>
    <xf numFmtId="0" fontId="17" fillId="0" borderId="0" xfId="0" applyFont="1"/>
    <xf numFmtId="0" fontId="17" fillId="0" borderId="5" xfId="0" applyFont="1" applyBorder="1"/>
    <xf numFmtId="0" fontId="18" fillId="0" borderId="0" xfId="0" quotePrefix="1" applyFont="1"/>
    <xf numFmtId="0" fontId="0" fillId="7" borderId="0" xfId="0" applyFill="1"/>
    <xf numFmtId="0" fontId="0" fillId="8" borderId="0" xfId="0" applyFill="1"/>
    <xf numFmtId="0" fontId="0" fillId="3" borderId="0" xfId="0" applyFill="1" applyAlignment="1">
      <alignment horizontal="left"/>
    </xf>
    <xf numFmtId="0" fontId="0" fillId="10" borderId="0" xfId="0" applyFill="1"/>
    <xf numFmtId="0" fontId="0" fillId="12" borderId="0" xfId="0" applyFill="1"/>
    <xf numFmtId="0" fontId="20" fillId="0" borderId="0" xfId="2" applyAlignment="1">
      <alignment horizontal="center"/>
    </xf>
    <xf numFmtId="0" fontId="21" fillId="0" borderId="0" xfId="0" applyFont="1"/>
    <xf numFmtId="0" fontId="21" fillId="0" borderId="5" xfId="0" applyFont="1" applyBorder="1"/>
    <xf numFmtId="0" fontId="0" fillId="13" borderId="0" xfId="0" applyFill="1"/>
    <xf numFmtId="0" fontId="0" fillId="14" borderId="4" xfId="0" applyFill="1" applyBorder="1"/>
    <xf numFmtId="0" fontId="3" fillId="15" borderId="0" xfId="0" applyFont="1" applyFill="1"/>
    <xf numFmtId="168" fontId="0" fillId="11" borderId="4" xfId="0" applyNumberFormat="1" applyFill="1" applyBorder="1" applyAlignment="1" applyProtection="1">
      <alignment horizontal="left"/>
      <protection hidden="1"/>
    </xf>
    <xf numFmtId="168" fontId="0" fillId="11" borderId="4" xfId="5" applyNumberFormat="1" applyFont="1" applyFill="1" applyBorder="1" applyAlignment="1" applyProtection="1">
      <alignment horizontal="left"/>
      <protection hidden="1"/>
    </xf>
    <xf numFmtId="0" fontId="24" fillId="0" borderId="0" xfId="0" applyFont="1"/>
    <xf numFmtId="164" fontId="0" fillId="16" borderId="0" xfId="0" applyNumberFormat="1" applyFill="1" applyAlignment="1">
      <alignment horizontal="left" indent="1"/>
    </xf>
    <xf numFmtId="0" fontId="0" fillId="16" borderId="0" xfId="0" applyFill="1"/>
    <xf numFmtId="0" fontId="0" fillId="16" borderId="4" xfId="0" applyFill="1" applyBorder="1"/>
    <xf numFmtId="0" fontId="24" fillId="16" borderId="0" xfId="0" applyFont="1" applyFill="1"/>
    <xf numFmtId="14" fontId="0" fillId="14" borderId="4" xfId="0" applyNumberFormat="1" applyFill="1" applyBorder="1"/>
    <xf numFmtId="14" fontId="0" fillId="0" borderId="4" xfId="0" applyNumberFormat="1" applyBorder="1"/>
    <xf numFmtId="169" fontId="0" fillId="14" borderId="4" xfId="0" applyNumberFormat="1" applyFill="1" applyBorder="1"/>
    <xf numFmtId="14" fontId="0" fillId="14" borderId="4" xfId="0" quotePrefix="1" applyNumberFormat="1" applyFill="1" applyBorder="1"/>
    <xf numFmtId="14" fontId="0" fillId="0" borderId="0" xfId="0" applyNumberFormat="1"/>
    <xf numFmtId="0" fontId="1" fillId="7" borderId="0" xfId="0" applyFont="1" applyFill="1"/>
    <xf numFmtId="0" fontId="8" fillId="0" borderId="0" xfId="0" applyFont="1" applyAlignment="1">
      <alignment vertical="center"/>
    </xf>
    <xf numFmtId="0" fontId="24" fillId="0" borderId="0" xfId="0" applyFont="1" applyAlignment="1">
      <alignment vertical="top"/>
    </xf>
    <xf numFmtId="0" fontId="0" fillId="14" borderId="4" xfId="0" quotePrefix="1" applyFill="1" applyBorder="1"/>
    <xf numFmtId="0" fontId="0" fillId="0" borderId="0" xfId="0" quotePrefix="1"/>
    <xf numFmtId="0" fontId="1" fillId="0" borderId="0" xfId="0" applyFont="1" applyAlignment="1">
      <alignment vertical="top"/>
    </xf>
    <xf numFmtId="0" fontId="0" fillId="0" borderId="0" xfId="0" applyAlignment="1">
      <alignment horizontal="right"/>
    </xf>
    <xf numFmtId="0" fontId="24" fillId="17" borderId="0" xfId="0" applyFont="1" applyFill="1"/>
    <xf numFmtId="0" fontId="0" fillId="17" borderId="0" xfId="0" applyFill="1"/>
    <xf numFmtId="0" fontId="0" fillId="17" borderId="0" xfId="0" applyFill="1" applyAlignment="1">
      <alignment vertical="top"/>
    </xf>
    <xf numFmtId="0" fontId="0" fillId="0" borderId="6" xfId="0" applyBorder="1"/>
    <xf numFmtId="0" fontId="0" fillId="14" borderId="4" xfId="0" applyFill="1" applyBorder="1" applyAlignment="1">
      <alignment vertical="top"/>
    </xf>
    <xf numFmtId="0" fontId="20" fillId="0" borderId="0" xfId="2" applyAlignment="1">
      <alignment horizontal="left" vertical="top"/>
    </xf>
    <xf numFmtId="14" fontId="0" fillId="16" borderId="4" xfId="0" quotePrefix="1" applyNumberFormat="1" applyFill="1" applyBorder="1"/>
    <xf numFmtId="0" fontId="0" fillId="16" borderId="4" xfId="0" quotePrefix="1" applyFill="1" applyBorder="1"/>
    <xf numFmtId="14" fontId="0" fillId="16" borderId="4" xfId="0" applyNumberFormat="1" applyFill="1" applyBorder="1"/>
    <xf numFmtId="0" fontId="3" fillId="0" borderId="0" xfId="0" applyFont="1" applyAlignment="1" applyProtection="1">
      <alignment vertical="center"/>
      <protection hidden="1"/>
    </xf>
    <xf numFmtId="0" fontId="8" fillId="4" borderId="0" xfId="0" applyFont="1" applyFill="1" applyAlignment="1" applyProtection="1">
      <alignment vertical="center"/>
      <protection hidden="1"/>
    </xf>
    <xf numFmtId="0" fontId="8" fillId="4" borderId="0" xfId="0" applyFont="1" applyFill="1" applyAlignment="1" applyProtection="1">
      <alignment horizontal="left" vertical="center" indent="1"/>
      <protection hidden="1"/>
    </xf>
    <xf numFmtId="0" fontId="8" fillId="14" borderId="0" xfId="0" applyFont="1" applyFill="1" applyAlignment="1" applyProtection="1">
      <alignment vertical="center"/>
      <protection hidden="1"/>
    </xf>
    <xf numFmtId="0" fontId="4" fillId="0" borderId="0" xfId="0" applyFont="1" applyAlignment="1" applyProtection="1">
      <alignment vertical="center"/>
      <protection hidden="1"/>
    </xf>
    <xf numFmtId="0" fontId="4" fillId="0" borderId="0" xfId="0" applyFont="1" applyAlignment="1" applyProtection="1">
      <alignment horizontal="left" vertical="center" indent="1"/>
      <protection hidden="1"/>
    </xf>
    <xf numFmtId="0" fontId="4" fillId="14" borderId="0" xfId="0" applyFont="1" applyFill="1" applyAlignment="1" applyProtection="1">
      <alignment vertical="center"/>
      <protection hidden="1"/>
    </xf>
    <xf numFmtId="0" fontId="3" fillId="0" borderId="0" xfId="0" applyFont="1" applyProtection="1">
      <protection hidden="1"/>
    </xf>
    <xf numFmtId="0" fontId="0" fillId="0" borderId="0" xfId="0" applyProtection="1">
      <protection hidden="1"/>
    </xf>
    <xf numFmtId="0" fontId="4" fillId="0" borderId="0" xfId="0" applyFont="1" applyAlignment="1" applyProtection="1">
      <alignment horizontal="left" indent="1"/>
      <protection hidden="1"/>
    </xf>
    <xf numFmtId="0" fontId="4" fillId="0" borderId="0" xfId="0" applyFont="1" applyProtection="1">
      <protection hidden="1"/>
    </xf>
    <xf numFmtId="0" fontId="4" fillId="14" borderId="0" xfId="0" applyFont="1" applyFill="1" applyProtection="1">
      <protection hidden="1"/>
    </xf>
    <xf numFmtId="0" fontId="0" fillId="0" borderId="0" xfId="0" applyAlignment="1" applyProtection="1">
      <alignment horizontal="left" vertical="center"/>
      <protection hidden="1"/>
    </xf>
    <xf numFmtId="0" fontId="0" fillId="0" borderId="0" xfId="0" applyAlignment="1" applyProtection="1">
      <alignment vertical="center"/>
      <protection hidden="1"/>
    </xf>
    <xf numFmtId="0" fontId="0" fillId="14" borderId="0" xfId="0" applyFill="1" applyAlignment="1" applyProtection="1">
      <alignment vertical="center"/>
      <protection hidden="1"/>
    </xf>
    <xf numFmtId="0" fontId="20" fillId="0" borderId="0" xfId="2" applyAlignment="1" applyProtection="1">
      <alignment horizontal="center"/>
      <protection hidden="1"/>
    </xf>
    <xf numFmtId="0" fontId="1" fillId="0" borderId="0" xfId="0" applyFont="1" applyProtection="1">
      <protection hidden="1"/>
    </xf>
    <xf numFmtId="0" fontId="1" fillId="0" borderId="0" xfId="0" applyFont="1" applyAlignment="1" applyProtection="1">
      <alignment horizontal="left" indent="1"/>
      <protection hidden="1"/>
    </xf>
    <xf numFmtId="0" fontId="1" fillId="14" borderId="0" xfId="0" applyFont="1" applyFill="1" applyProtection="1">
      <protection hidden="1"/>
    </xf>
    <xf numFmtId="0" fontId="0" fillId="0" borderId="0" xfId="0" applyAlignment="1" applyProtection="1">
      <alignment horizontal="left" indent="1"/>
      <protection hidden="1"/>
    </xf>
    <xf numFmtId="0" fontId="0" fillId="14" borderId="0" xfId="0" applyFill="1" applyProtection="1">
      <protection hidden="1"/>
    </xf>
    <xf numFmtId="164" fontId="0" fillId="0" borderId="0" xfId="0" applyNumberFormat="1" applyAlignment="1" applyProtection="1">
      <alignment horizontal="left" indent="1"/>
      <protection hidden="1"/>
    </xf>
    <xf numFmtId="0" fontId="0" fillId="9" borderId="4" xfId="0" applyFill="1" applyBorder="1" applyAlignment="1" applyProtection="1">
      <alignment horizontal="left"/>
      <protection hidden="1"/>
    </xf>
    <xf numFmtId="0" fontId="0" fillId="0" borderId="0" xfId="0" applyAlignment="1" applyProtection="1">
      <alignment horizontal="left"/>
      <protection hidden="1"/>
    </xf>
    <xf numFmtId="168" fontId="0" fillId="0" borderId="4" xfId="3" applyNumberFormat="1" applyFont="1" applyBorder="1" applyAlignment="1" applyProtection="1">
      <alignment horizontal="left"/>
      <protection locked="0" hidden="1"/>
    </xf>
    <xf numFmtId="0" fontId="0" fillId="0" borderId="4" xfId="0" applyBorder="1" applyAlignment="1" applyProtection="1">
      <alignment horizontal="left"/>
      <protection locked="0" hidden="1"/>
    </xf>
    <xf numFmtId="0" fontId="0" fillId="14" borderId="4" xfId="0" applyFill="1" applyBorder="1" applyAlignment="1" applyProtection="1">
      <alignment horizontal="center"/>
      <protection hidden="1"/>
    </xf>
    <xf numFmtId="0" fontId="0" fillId="14" borderId="4" xfId="0" applyFill="1" applyBorder="1" applyProtection="1">
      <protection hidden="1"/>
    </xf>
    <xf numFmtId="0" fontId="0" fillId="14" borderId="0" xfId="0" quotePrefix="1" applyFill="1" applyProtection="1">
      <protection hidden="1"/>
    </xf>
    <xf numFmtId="14" fontId="0" fillId="9" borderId="4" xfId="0" applyNumberFormat="1" applyFill="1" applyBorder="1" applyAlignment="1" applyProtection="1">
      <alignment horizontal="left"/>
      <protection hidden="1"/>
    </xf>
    <xf numFmtId="14" fontId="16" fillId="11" borderId="4" xfId="0" applyNumberFormat="1" applyFont="1" applyFill="1" applyBorder="1" applyAlignment="1" applyProtection="1">
      <alignment horizontal="left" vertical="center"/>
      <protection hidden="1"/>
    </xf>
    <xf numFmtId="1" fontId="0" fillId="11" borderId="4" xfId="0" applyNumberFormat="1" applyFill="1" applyBorder="1" applyAlignment="1" applyProtection="1">
      <alignment horizontal="left"/>
      <protection hidden="1"/>
    </xf>
    <xf numFmtId="1" fontId="0" fillId="9" borderId="4" xfId="0" applyNumberFormat="1" applyFill="1" applyBorder="1" applyAlignment="1" applyProtection="1">
      <alignment horizontal="left"/>
      <protection hidden="1"/>
    </xf>
    <xf numFmtId="14" fontId="0" fillId="0" borderId="4" xfId="0" applyNumberFormat="1" applyBorder="1" applyAlignment="1" applyProtection="1">
      <alignment horizontal="left"/>
      <protection locked="0" hidden="1"/>
    </xf>
    <xf numFmtId="168" fontId="0" fillId="0" borderId="4" xfId="0" applyNumberFormat="1" applyBorder="1" applyAlignment="1" applyProtection="1">
      <alignment horizontal="left"/>
      <protection locked="0" hidden="1"/>
    </xf>
    <xf numFmtId="168" fontId="0" fillId="9" borderId="4" xfId="0" applyNumberFormat="1" applyFill="1" applyBorder="1" applyAlignment="1" applyProtection="1">
      <alignment horizontal="left"/>
      <protection hidden="1"/>
    </xf>
    <xf numFmtId="166" fontId="0" fillId="9" borderId="4" xfId="0" applyNumberFormat="1" applyFill="1" applyBorder="1" applyProtection="1">
      <protection hidden="1"/>
    </xf>
    <xf numFmtId="0" fontId="0" fillId="11" borderId="4" xfId="0" applyFill="1" applyBorder="1" applyAlignment="1" applyProtection="1">
      <alignment horizontal="left"/>
      <protection hidden="1"/>
    </xf>
    <xf numFmtId="164" fontId="0" fillId="0" borderId="0" xfId="0" applyNumberFormat="1" applyAlignment="1" applyProtection="1">
      <alignment horizontal="left" vertical="top" indent="1"/>
      <protection hidden="1"/>
    </xf>
    <xf numFmtId="0" fontId="2" fillId="0" borderId="0" xfId="0" applyFont="1" applyAlignment="1" applyProtection="1">
      <alignment horizontal="left"/>
      <protection hidden="1"/>
    </xf>
    <xf numFmtId="0" fontId="0" fillId="0" borderId="0" xfId="0" applyAlignment="1" applyProtection="1">
      <alignment vertical="top"/>
      <protection hidden="1"/>
    </xf>
    <xf numFmtId="0" fontId="29" fillId="0" borderId="4" xfId="0" applyFont="1" applyBorder="1" applyAlignment="1" applyProtection="1">
      <alignment vertical="top" wrapText="1"/>
      <protection locked="0" hidden="1"/>
    </xf>
    <xf numFmtId="0" fontId="20" fillId="0" borderId="0" xfId="2" applyAlignment="1" applyProtection="1">
      <alignment horizontal="left" vertical="top"/>
      <protection hidden="1"/>
    </xf>
    <xf numFmtId="168" fontId="0" fillId="0" borderId="4" xfId="3" applyNumberFormat="1" applyFont="1" applyBorder="1" applyAlignment="1" applyProtection="1">
      <alignment horizontal="left"/>
      <protection hidden="1"/>
    </xf>
    <xf numFmtId="0" fontId="20" fillId="0" borderId="0" xfId="2" applyProtection="1">
      <protection hidden="1"/>
    </xf>
    <xf numFmtId="0" fontId="0" fillId="0" borderId="4" xfId="0" applyBorder="1" applyProtection="1">
      <protection locked="0" hidden="1"/>
    </xf>
    <xf numFmtId="166" fontId="0" fillId="0" borderId="4" xfId="0" applyNumberFormat="1" applyBorder="1" applyProtection="1">
      <protection locked="0" hidden="1"/>
    </xf>
    <xf numFmtId="166" fontId="0" fillId="0" borderId="4" xfId="3" applyNumberFormat="1" applyFont="1" applyBorder="1" applyProtection="1">
      <protection locked="0" hidden="1"/>
    </xf>
    <xf numFmtId="0" fontId="16" fillId="0" borderId="4" xfId="0" applyFont="1" applyBorder="1" applyAlignment="1" applyProtection="1">
      <alignment horizontal="right" vertical="center" indent="1"/>
      <protection locked="0" hidden="1"/>
    </xf>
    <xf numFmtId="0" fontId="16" fillId="9" borderId="4" xfId="0" applyFont="1" applyFill="1" applyBorder="1" applyAlignment="1" applyProtection="1">
      <alignment horizontal="right" vertical="center" indent="1"/>
      <protection hidden="1"/>
    </xf>
    <xf numFmtId="14" fontId="16" fillId="9" borderId="4" xfId="0" applyNumberFormat="1" applyFont="1" applyFill="1" applyBorder="1" applyAlignment="1" applyProtection="1">
      <alignment horizontal="right" vertical="center" indent="1"/>
      <protection hidden="1"/>
    </xf>
    <xf numFmtId="1" fontId="16" fillId="9" borderId="4" xfId="0" applyNumberFormat="1" applyFont="1" applyFill="1" applyBorder="1" applyAlignment="1" applyProtection="1">
      <alignment horizontal="right" vertical="center" indent="1"/>
      <protection hidden="1"/>
    </xf>
    <xf numFmtId="0" fontId="16" fillId="0" borderId="0" xfId="0" applyFont="1" applyAlignment="1" applyProtection="1">
      <alignment horizontal="right" vertical="center" indent="1"/>
      <protection hidden="1"/>
    </xf>
    <xf numFmtId="166" fontId="16" fillId="9" borderId="4" xfId="0" applyNumberFormat="1" applyFont="1" applyFill="1" applyBorder="1" applyAlignment="1" applyProtection="1">
      <alignment horizontal="right" vertical="center" indent="1"/>
      <protection hidden="1"/>
    </xf>
    <xf numFmtId="167" fontId="16" fillId="0" borderId="4" xfId="0" applyNumberFormat="1" applyFont="1" applyBorder="1" applyAlignment="1" applyProtection="1">
      <alignment horizontal="right" vertical="center" indent="1"/>
      <protection hidden="1"/>
    </xf>
    <xf numFmtId="166" fontId="16" fillId="11" borderId="4" xfId="0" applyNumberFormat="1" applyFont="1" applyFill="1" applyBorder="1" applyAlignment="1" applyProtection="1">
      <alignment horizontal="right" vertical="center" indent="1"/>
      <protection hidden="1"/>
    </xf>
    <xf numFmtId="9" fontId="16" fillId="11" borderId="4" xfId="4" applyFont="1" applyFill="1" applyBorder="1" applyAlignment="1" applyProtection="1">
      <alignment horizontal="right" vertical="center" indent="1"/>
      <protection hidden="1"/>
    </xf>
    <xf numFmtId="9" fontId="23" fillId="11" borderId="4" xfId="0" applyNumberFormat="1" applyFont="1" applyFill="1" applyBorder="1" applyAlignment="1" applyProtection="1">
      <alignment horizontal="right" vertical="center" indent="1"/>
      <protection hidden="1"/>
    </xf>
    <xf numFmtId="0" fontId="23" fillId="0" borderId="0" xfId="0" applyFont="1" applyAlignment="1" applyProtection="1">
      <alignment horizontal="right" vertical="center" indent="1"/>
      <protection hidden="1"/>
    </xf>
    <xf numFmtId="0" fontId="16" fillId="11" borderId="4" xfId="0" applyFont="1" applyFill="1" applyBorder="1" applyAlignment="1" applyProtection="1">
      <alignment horizontal="right" vertical="center" indent="1"/>
      <protection hidden="1"/>
    </xf>
    <xf numFmtId="167" fontId="16" fillId="0" borderId="4" xfId="0" applyNumberFormat="1" applyFont="1" applyBorder="1" applyAlignment="1" applyProtection="1">
      <alignment horizontal="right" vertical="center" indent="1"/>
      <protection locked="0" hidden="1"/>
    </xf>
    <xf numFmtId="9" fontId="16" fillId="0" borderId="4" xfId="4" applyFont="1" applyBorder="1" applyAlignment="1" applyProtection="1">
      <alignment horizontal="right" vertical="center" indent="1"/>
      <protection locked="0" hidden="1"/>
    </xf>
    <xf numFmtId="14" fontId="0" fillId="0" borderId="4" xfId="0" applyNumberFormat="1" applyBorder="1" applyProtection="1">
      <protection locked="0" hidden="1"/>
    </xf>
    <xf numFmtId="170" fontId="0" fillId="0" borderId="4" xfId="0" applyNumberFormat="1" applyBorder="1" applyProtection="1">
      <protection locked="0" hidden="1"/>
    </xf>
    <xf numFmtId="168" fontId="0" fillId="0" borderId="4" xfId="0" applyNumberFormat="1" applyBorder="1" applyProtection="1">
      <protection locked="0" hidden="1"/>
    </xf>
    <xf numFmtId="0" fontId="0" fillId="0" borderId="4" xfId="0" applyBorder="1" applyAlignment="1" applyProtection="1">
      <alignment horizontal="left" vertical="top" wrapText="1"/>
      <protection locked="0" hidden="1"/>
    </xf>
    <xf numFmtId="0" fontId="0" fillId="0" borderId="0" xfId="0" applyAlignment="1" applyProtection="1">
      <alignment horizontal="center"/>
      <protection hidden="1"/>
    </xf>
    <xf numFmtId="168" fontId="0" fillId="11" borderId="4" xfId="0" applyNumberFormat="1" applyFill="1" applyBorder="1" applyProtection="1">
      <protection hidden="1"/>
    </xf>
    <xf numFmtId="0" fontId="0" fillId="14" borderId="0" xfId="0" applyFill="1" applyAlignment="1" applyProtection="1">
      <alignment horizontal="center"/>
      <protection hidden="1"/>
    </xf>
    <xf numFmtId="0" fontId="0" fillId="0" borderId="0" xfId="0" applyAlignment="1" applyProtection="1">
      <alignment horizontal="left" vertical="top" indent="1"/>
      <protection hidden="1"/>
    </xf>
    <xf numFmtId="168" fontId="0" fillId="0" borderId="0" xfId="0" applyNumberFormat="1" applyProtection="1">
      <protection hidden="1"/>
    </xf>
    <xf numFmtId="14" fontId="0" fillId="0" borderId="0" xfId="0" applyNumberFormat="1" applyProtection="1">
      <protection hidden="1"/>
    </xf>
    <xf numFmtId="164" fontId="1" fillId="0" borderId="0" xfId="0" applyNumberFormat="1" applyFont="1" applyAlignment="1" applyProtection="1">
      <alignment horizontal="left" indent="1"/>
      <protection hidden="1"/>
    </xf>
    <xf numFmtId="164" fontId="0" fillId="0" borderId="0" xfId="0" applyNumberFormat="1" applyAlignment="1" applyProtection="1">
      <alignment horizontal="left" indent="2"/>
      <protection hidden="1"/>
    </xf>
    <xf numFmtId="170" fontId="0" fillId="0" borderId="0" xfId="0" applyNumberFormat="1" applyProtection="1">
      <protection hidden="1"/>
    </xf>
    <xf numFmtId="0" fontId="0" fillId="0" borderId="0" xfId="0" applyAlignment="1" applyProtection="1">
      <alignment horizontal="left" vertical="center" wrapText="1" indent="1"/>
      <protection hidden="1"/>
    </xf>
    <xf numFmtId="0" fontId="0" fillId="0" borderId="0" xfId="0" applyAlignment="1" applyProtection="1">
      <alignment vertical="center" wrapText="1"/>
      <protection hidden="1"/>
    </xf>
    <xf numFmtId="0" fontId="1" fillId="0" borderId="0" xfId="0" applyFont="1" applyAlignment="1" applyProtection="1">
      <alignment wrapText="1"/>
      <protection hidden="1"/>
    </xf>
    <xf numFmtId="0" fontId="0" fillId="0" borderId="0" xfId="0" applyAlignment="1" applyProtection="1">
      <alignment wrapText="1"/>
      <protection hidden="1"/>
    </xf>
    <xf numFmtId="0" fontId="0" fillId="0" borderId="0" xfId="0" applyAlignment="1" applyProtection="1">
      <alignment horizontal="left" wrapText="1" indent="1"/>
      <protection hidden="1"/>
    </xf>
    <xf numFmtId="0" fontId="20" fillId="0" borderId="0" xfId="2" applyAlignment="1" applyProtection="1">
      <alignment horizontal="center" vertical="center" wrapText="1"/>
      <protection hidden="1"/>
    </xf>
    <xf numFmtId="0" fontId="0" fillId="0" borderId="0" xfId="0" applyAlignment="1" applyProtection="1">
      <alignment vertical="top" wrapText="1"/>
      <protection hidden="1"/>
    </xf>
    <xf numFmtId="0" fontId="0" fillId="0" borderId="0" xfId="0" applyAlignment="1" applyProtection="1">
      <alignment horizontal="left" vertical="top" wrapText="1" indent="1"/>
      <protection hidden="1"/>
    </xf>
    <xf numFmtId="0" fontId="26" fillId="0" borderId="0" xfId="0" applyFont="1" applyAlignment="1" applyProtection="1">
      <alignment horizontal="center" vertical="top" wrapText="1"/>
      <protection hidden="1"/>
    </xf>
    <xf numFmtId="0" fontId="20" fillId="0" borderId="0" xfId="2" applyAlignment="1" applyProtection="1">
      <alignment horizontal="left" wrapText="1"/>
      <protection hidden="1"/>
    </xf>
    <xf numFmtId="0" fontId="20" fillId="0" borderId="0" xfId="2" applyAlignment="1" applyProtection="1">
      <alignment horizontal="left" vertical="top" indent="1"/>
      <protection hidden="1"/>
    </xf>
    <xf numFmtId="0" fontId="29" fillId="0" borderId="4" xfId="0" applyFont="1" applyBorder="1" applyAlignment="1" applyProtection="1">
      <alignment horizontal="left" vertical="top" wrapText="1"/>
      <protection locked="0" hidden="1"/>
    </xf>
    <xf numFmtId="0" fontId="20" fillId="0" borderId="0" xfId="2" quotePrefix="1" applyProtection="1">
      <protection hidden="1"/>
    </xf>
    <xf numFmtId="0" fontId="27" fillId="0" borderId="0" xfId="0" applyFont="1" applyProtection="1">
      <protection hidden="1"/>
    </xf>
    <xf numFmtId="0" fontId="1" fillId="0" borderId="0" xfId="0" quotePrefix="1" applyFont="1" applyProtection="1">
      <protection hidden="1"/>
    </xf>
    <xf numFmtId="0" fontId="0" fillId="0" borderId="4" xfId="0" applyBorder="1" applyProtection="1">
      <protection hidden="1"/>
    </xf>
    <xf numFmtId="14" fontId="0" fillId="0" borderId="4" xfId="0" applyNumberFormat="1" applyBorder="1" applyProtection="1">
      <protection hidden="1"/>
    </xf>
    <xf numFmtId="170" fontId="0" fillId="0" borderId="4" xfId="0" applyNumberFormat="1" applyBorder="1" applyProtection="1">
      <protection hidden="1"/>
    </xf>
    <xf numFmtId="168" fontId="0" fillId="0" borderId="4" xfId="0" applyNumberFormat="1" applyBorder="1" applyProtection="1">
      <protection hidden="1"/>
    </xf>
    <xf numFmtId="14" fontId="0" fillId="5" borderId="4" xfId="0" applyNumberFormat="1" applyFill="1" applyBorder="1" applyProtection="1">
      <protection hidden="1"/>
    </xf>
    <xf numFmtId="168" fontId="0" fillId="6" borderId="4" xfId="0" applyNumberFormat="1" applyFill="1" applyBorder="1" applyProtection="1">
      <protection hidden="1"/>
    </xf>
    <xf numFmtId="168" fontId="0" fillId="5" borderId="4" xfId="0" applyNumberFormat="1" applyFill="1" applyBorder="1" applyProtection="1">
      <protection hidden="1"/>
    </xf>
    <xf numFmtId="0" fontId="0" fillId="9" borderId="4" xfId="0" applyFill="1" applyBorder="1" applyProtection="1">
      <protection hidden="1"/>
    </xf>
    <xf numFmtId="0" fontId="0" fillId="0" borderId="0" xfId="0" applyAlignment="1" applyProtection="1">
      <alignment horizontal="center" vertical="top"/>
      <protection hidden="1"/>
    </xf>
    <xf numFmtId="0" fontId="0" fillId="0" borderId="0" xfId="0" applyAlignment="1" applyProtection="1">
      <alignment horizontal="left" vertical="top" wrapText="1"/>
      <protection hidden="1"/>
    </xf>
    <xf numFmtId="0" fontId="0" fillId="0" borderId="0" xfId="0" applyAlignment="1" applyProtection="1">
      <alignment horizontal="left" vertical="top"/>
      <protection hidden="1"/>
    </xf>
    <xf numFmtId="166" fontId="0" fillId="11" borderId="4" xfId="0" applyNumberFormat="1" applyFill="1" applyBorder="1" applyProtection="1">
      <protection hidden="1"/>
    </xf>
    <xf numFmtId="0" fontId="0" fillId="14" borderId="1" xfId="0" applyFill="1" applyBorder="1" applyProtection="1">
      <protection hidden="1"/>
    </xf>
    <xf numFmtId="0" fontId="0" fillId="14" borderId="9" xfId="0" quotePrefix="1" applyFill="1" applyBorder="1" applyProtection="1">
      <protection hidden="1"/>
    </xf>
    <xf numFmtId="166" fontId="0" fillId="5" borderId="4" xfId="0" applyNumberFormat="1" applyFill="1" applyBorder="1" applyProtection="1">
      <protection hidden="1"/>
    </xf>
    <xf numFmtId="0" fontId="1" fillId="0" borderId="0" xfId="0" applyFont="1" applyAlignment="1" applyProtection="1">
      <alignment horizontal="left" indent="2"/>
      <protection hidden="1"/>
    </xf>
    <xf numFmtId="0" fontId="0" fillId="0" borderId="4" xfId="0" applyBorder="1" applyAlignment="1" applyProtection="1">
      <alignment vertical="top" wrapText="1"/>
      <protection locked="0" hidden="1"/>
    </xf>
    <xf numFmtId="0" fontId="1" fillId="0" borderId="0" xfId="0" applyFont="1" applyAlignment="1" applyProtection="1">
      <alignment horizontal="left" wrapText="1"/>
      <protection hidden="1"/>
    </xf>
    <xf numFmtId="0" fontId="1" fillId="14" borderId="0" xfId="0" applyFont="1" applyFill="1" applyAlignment="1" applyProtection="1">
      <alignment wrapText="1"/>
      <protection hidden="1"/>
    </xf>
    <xf numFmtId="166" fontId="0" fillId="14" borderId="0" xfId="3" quotePrefix="1" applyNumberFormat="1" applyFont="1" applyFill="1" applyBorder="1" applyProtection="1">
      <protection hidden="1"/>
    </xf>
    <xf numFmtId="166" fontId="0" fillId="14" borderId="0" xfId="0" quotePrefix="1" applyNumberFormat="1" applyFill="1" applyProtection="1">
      <protection hidden="1"/>
    </xf>
    <xf numFmtId="0" fontId="0" fillId="14" borderId="0" xfId="0" applyFill="1" applyAlignment="1" applyProtection="1">
      <alignment horizontal="center" vertical="top"/>
      <protection hidden="1"/>
    </xf>
    <xf numFmtId="0" fontId="0" fillId="14" borderId="0" xfId="0" applyFill="1" applyAlignment="1" applyProtection="1">
      <alignment vertical="top"/>
      <protection hidden="1"/>
    </xf>
    <xf numFmtId="166" fontId="0" fillId="9" borderId="4" xfId="3" applyNumberFormat="1" applyFont="1" applyFill="1" applyBorder="1" applyProtection="1">
      <protection hidden="1"/>
    </xf>
    <xf numFmtId="166" fontId="0" fillId="11" borderId="4" xfId="3" applyNumberFormat="1" applyFont="1" applyFill="1" applyBorder="1" applyProtection="1">
      <protection hidden="1"/>
    </xf>
    <xf numFmtId="166" fontId="0" fillId="6" borderId="4" xfId="3" applyNumberFormat="1" applyFont="1" applyFill="1" applyBorder="1" applyProtection="1">
      <protection hidden="1"/>
    </xf>
    <xf numFmtId="166" fontId="0" fillId="6" borderId="2" xfId="3" applyNumberFormat="1" applyFont="1" applyFill="1" applyBorder="1" applyProtection="1">
      <protection hidden="1"/>
    </xf>
    <xf numFmtId="166" fontId="0" fillId="0" borderId="0" xfId="0" applyNumberFormat="1" applyProtection="1">
      <protection hidden="1"/>
    </xf>
    <xf numFmtId="166" fontId="0" fillId="6" borderId="4" xfId="0" applyNumberFormat="1" applyFill="1" applyBorder="1" applyProtection="1">
      <protection hidden="1"/>
    </xf>
    <xf numFmtId="0" fontId="0" fillId="14" borderId="0" xfId="0" applyFill="1" applyAlignment="1" applyProtection="1">
      <alignment wrapText="1"/>
      <protection hidden="1"/>
    </xf>
    <xf numFmtId="0" fontId="0" fillId="14" borderId="0" xfId="0" applyFill="1" applyAlignment="1" applyProtection="1">
      <alignment horizontal="left" wrapText="1"/>
      <protection hidden="1"/>
    </xf>
    <xf numFmtId="166" fontId="0" fillId="0" borderId="4" xfId="3" applyNumberFormat="1" applyFont="1" applyBorder="1" applyProtection="1">
      <protection hidden="1"/>
    </xf>
    <xf numFmtId="14" fontId="1" fillId="0" borderId="0" xfId="0" applyNumberFormat="1" applyFont="1" applyAlignment="1" applyProtection="1">
      <alignment horizontal="center"/>
      <protection hidden="1"/>
    </xf>
    <xf numFmtId="0" fontId="0" fillId="14" borderId="8" xfId="0" applyFill="1" applyBorder="1" applyProtection="1">
      <protection hidden="1"/>
    </xf>
    <xf numFmtId="0" fontId="0" fillId="14" borderId="7" xfId="0" applyFill="1" applyBorder="1" applyProtection="1">
      <protection hidden="1"/>
    </xf>
    <xf numFmtId="171" fontId="0" fillId="11" borderId="4" xfId="0" applyNumberFormat="1" applyFill="1" applyBorder="1" applyProtection="1">
      <protection hidden="1"/>
    </xf>
    <xf numFmtId="0" fontId="0" fillId="11" borderId="4" xfId="0" applyFill="1" applyBorder="1" applyAlignment="1" applyProtection="1">
      <alignment horizontal="center"/>
      <protection hidden="1"/>
    </xf>
    <xf numFmtId="164" fontId="1" fillId="0" borderId="0" xfId="0" applyNumberFormat="1" applyFont="1" applyAlignment="1" applyProtection="1">
      <alignment horizontal="left" indent="2"/>
      <protection hidden="1"/>
    </xf>
    <xf numFmtId="14" fontId="0" fillId="9" borderId="4" xfId="0" applyNumberFormat="1" applyFill="1" applyBorder="1" applyProtection="1">
      <protection hidden="1"/>
    </xf>
    <xf numFmtId="164" fontId="0" fillId="0" borderId="0" xfId="0" applyNumberFormat="1" applyAlignment="1" applyProtection="1">
      <alignment horizontal="left" wrapText="1" indent="1"/>
      <protection hidden="1"/>
    </xf>
    <xf numFmtId="0" fontId="2" fillId="0" borderId="0" xfId="0" applyFont="1" applyAlignment="1" applyProtection="1">
      <alignment horizontal="left" wrapText="1"/>
      <protection hidden="1"/>
    </xf>
    <xf numFmtId="167" fontId="0" fillId="14" borderId="0" xfId="0" quotePrefix="1" applyNumberFormat="1" applyFill="1" applyProtection="1">
      <protection hidden="1"/>
    </xf>
    <xf numFmtId="0" fontId="0" fillId="0" borderId="0" xfId="0" quotePrefix="1" applyProtection="1">
      <protection hidden="1"/>
    </xf>
    <xf numFmtId="0" fontId="1" fillId="0" borderId="1" xfId="0" applyFont="1" applyBorder="1" applyAlignment="1" applyProtection="1">
      <alignment horizontal="left" wrapText="1" indent="1"/>
      <protection hidden="1"/>
    </xf>
    <xf numFmtId="0" fontId="1" fillId="0" borderId="10" xfId="0" applyFont="1" applyBorder="1" applyAlignment="1" applyProtection="1">
      <alignment horizontal="center" wrapText="1"/>
      <protection hidden="1"/>
    </xf>
    <xf numFmtId="0" fontId="1" fillId="0" borderId="3" xfId="0" applyFont="1" applyBorder="1" applyAlignment="1" applyProtection="1">
      <alignment horizontal="center" wrapText="1"/>
      <protection hidden="1"/>
    </xf>
    <xf numFmtId="0" fontId="20" fillId="0" borderId="1" xfId="2" applyBorder="1" applyAlignment="1" applyProtection="1">
      <alignment horizontal="left" wrapText="1" indent="1"/>
      <protection hidden="1"/>
    </xf>
    <xf numFmtId="0" fontId="0" fillId="0" borderId="11" xfId="0" applyBorder="1" applyAlignment="1" applyProtection="1">
      <alignment horizontal="center" wrapText="1"/>
      <protection hidden="1"/>
    </xf>
    <xf numFmtId="0" fontId="0" fillId="0" borderId="3" xfId="0" applyBorder="1" applyAlignment="1" applyProtection="1">
      <alignment horizontal="center" wrapText="1"/>
      <protection hidden="1"/>
    </xf>
    <xf numFmtId="0" fontId="0" fillId="0" borderId="12" xfId="0" applyBorder="1" applyAlignment="1" applyProtection="1">
      <alignment horizontal="center" wrapText="1"/>
      <protection hidden="1"/>
    </xf>
    <xf numFmtId="0" fontId="0" fillId="0" borderId="13" xfId="0" applyBorder="1" applyAlignment="1" applyProtection="1">
      <alignment horizontal="center" wrapText="1"/>
      <protection hidden="1"/>
    </xf>
    <xf numFmtId="0" fontId="0" fillId="0" borderId="14" xfId="0" applyBorder="1" applyAlignment="1" applyProtection="1">
      <alignment horizontal="center" wrapText="1"/>
      <protection hidden="1"/>
    </xf>
    <xf numFmtId="0" fontId="1" fillId="0" borderId="1" xfId="0" applyFont="1" applyBorder="1" applyAlignment="1" applyProtection="1">
      <alignment horizontal="left" indent="1"/>
      <protection hidden="1"/>
    </xf>
    <xf numFmtId="0" fontId="0" fillId="0" borderId="10" xfId="0" applyBorder="1" applyAlignment="1" applyProtection="1">
      <alignment horizontal="center" wrapText="1"/>
      <protection hidden="1"/>
    </xf>
    <xf numFmtId="0" fontId="0" fillId="0" borderId="7" xfId="0" applyBorder="1" applyProtection="1">
      <protection hidden="1"/>
    </xf>
    <xf numFmtId="0" fontId="1" fillId="0" borderId="16" xfId="0" applyFont="1" applyBorder="1" applyAlignment="1" applyProtection="1">
      <alignment horizontal="center"/>
      <protection hidden="1"/>
    </xf>
    <xf numFmtId="0" fontId="0" fillId="0" borderId="15" xfId="0" applyBorder="1" applyAlignment="1" applyProtection="1">
      <alignment horizontal="center"/>
      <protection hidden="1"/>
    </xf>
    <xf numFmtId="0" fontId="20" fillId="0" borderId="0" xfId="2" applyFill="1" applyAlignment="1" applyProtection="1">
      <alignment horizontal="center"/>
      <protection hidden="1"/>
    </xf>
    <xf numFmtId="0" fontId="2" fillId="0" borderId="0" xfId="0" applyFont="1" applyAlignment="1" applyProtection="1">
      <alignment horizontal="left" indent="1"/>
      <protection hidden="1"/>
    </xf>
    <xf numFmtId="0" fontId="0" fillId="14" borderId="0" xfId="0" applyFill="1" applyAlignment="1" applyProtection="1">
      <alignment horizontal="left" indent="1"/>
      <protection hidden="1"/>
    </xf>
    <xf numFmtId="166" fontId="16" fillId="0" borderId="4" xfId="0" applyNumberFormat="1" applyFont="1" applyBorder="1" applyAlignment="1" applyProtection="1">
      <alignment horizontal="right" vertical="center" indent="1"/>
      <protection hidden="1"/>
    </xf>
    <xf numFmtId="166" fontId="0" fillId="0" borderId="4" xfId="0" applyNumberFormat="1" applyBorder="1" applyAlignment="1" applyProtection="1">
      <alignment horizontal="center"/>
      <protection hidden="1"/>
    </xf>
    <xf numFmtId="9" fontId="0" fillId="9" borderId="4" xfId="4" applyFont="1" applyFill="1" applyBorder="1" applyProtection="1">
      <protection hidden="1"/>
    </xf>
    <xf numFmtId="14" fontId="0" fillId="14" borderId="4" xfId="0" applyNumberFormat="1" applyFill="1" applyBorder="1" applyProtection="1">
      <protection hidden="1"/>
    </xf>
    <xf numFmtId="0" fontId="1" fillId="0" borderId="1" xfId="0" quotePrefix="1" applyFont="1" applyBorder="1" applyAlignment="1">
      <alignment horizontal="center"/>
    </xf>
    <xf numFmtId="0" fontId="1" fillId="0" borderId="2" xfId="0" quotePrefix="1" applyFont="1" applyBorder="1" applyAlignment="1">
      <alignment horizontal="center"/>
    </xf>
    <xf numFmtId="0" fontId="1" fillId="0" borderId="3" xfId="0" quotePrefix="1" applyFont="1" applyBorder="1" applyAlignment="1">
      <alignment horizontal="center"/>
    </xf>
    <xf numFmtId="0" fontId="0" fillId="0" borderId="0" xfId="0" applyAlignment="1" applyProtection="1">
      <alignment horizontal="left" vertical="center"/>
      <protection hidden="1"/>
    </xf>
    <xf numFmtId="0" fontId="0" fillId="0" borderId="0" xfId="0" applyAlignment="1" applyProtection="1">
      <alignment horizontal="left"/>
      <protection hidden="1"/>
    </xf>
    <xf numFmtId="0" fontId="0" fillId="0" borderId="0" xfId="0" applyAlignment="1" applyProtection="1">
      <alignment horizontal="left" vertical="center" wrapText="1"/>
      <protection hidden="1"/>
    </xf>
    <xf numFmtId="0" fontId="0" fillId="0" borderId="0" xfId="0" applyAlignment="1" applyProtection="1">
      <alignment horizontal="left" vertical="top" wrapText="1"/>
      <protection hidden="1"/>
    </xf>
    <xf numFmtId="0" fontId="0" fillId="0" borderId="0" xfId="0" applyAlignment="1" applyProtection="1">
      <alignment horizontal="left" vertical="top" wrapText="1" indent="2"/>
      <protection hidden="1"/>
    </xf>
  </cellXfs>
  <cellStyles count="6">
    <cellStyle name="Comma" xfId="5" builtinId="3"/>
    <cellStyle name="Currency" xfId="3" builtinId="4"/>
    <cellStyle name="Hyperlink" xfId="2" builtinId="8"/>
    <cellStyle name="Normal" xfId="0" builtinId="0"/>
    <cellStyle name="Percent" xfId="4" builtinId="5"/>
    <cellStyle name="Text L AS" xfId="1" xr:uid="{A82A4576-DC5D-4057-8AF8-73C5975DEA79}"/>
  </cellStyles>
  <dxfs count="752">
    <dxf>
      <font>
        <b val="0"/>
        <i val="0"/>
      </font>
      <fill>
        <patternFill>
          <bgColor rgb="FFA6A6A6"/>
        </patternFill>
      </fill>
    </dxf>
    <dxf>
      <font>
        <b/>
        <i val="0"/>
      </font>
      <fill>
        <patternFill>
          <bgColor rgb="FFEBBB10"/>
        </patternFill>
      </fill>
    </dxf>
    <dxf>
      <font>
        <b/>
        <i val="0"/>
        <color theme="0"/>
      </font>
      <fill>
        <patternFill>
          <bgColor rgb="FFC00000"/>
        </patternFill>
      </fill>
    </dxf>
    <dxf>
      <font>
        <b/>
        <i val="0"/>
        <color rgb="FF595959"/>
      </font>
      <fill>
        <patternFill patternType="none">
          <bgColor auto="1"/>
        </patternFill>
      </fill>
    </dxf>
    <dxf>
      <fill>
        <patternFill>
          <bgColor rgb="FFEAEAEA"/>
        </patternFill>
      </fill>
    </dxf>
    <dxf>
      <fill>
        <patternFill>
          <bgColor rgb="FFEAEAEA"/>
        </patternFill>
      </fill>
    </dxf>
    <dxf>
      <font>
        <b val="0"/>
        <i val="0"/>
      </font>
      <fill>
        <patternFill>
          <bgColor rgb="FFA6A6A6"/>
        </patternFill>
      </fill>
    </dxf>
    <dxf>
      <font>
        <b/>
        <i val="0"/>
        <color rgb="FFC00000"/>
      </font>
      <numFmt numFmtId="172" formatCode="_(\!* #,##0_);_(\!* \(#,##0\);_(\!* \-??_);_(\!\ @_)"/>
    </dxf>
    <dxf>
      <font>
        <b/>
        <i val="0"/>
        <color rgb="FFC00000"/>
      </font>
      <fill>
        <patternFill patternType="none">
          <bgColor auto="1"/>
        </patternFill>
      </fill>
    </dxf>
    <dxf>
      <font>
        <b val="0"/>
        <i val="0"/>
      </font>
      <fill>
        <patternFill>
          <bgColor rgb="FFA6A6A6"/>
        </patternFill>
      </fill>
    </dxf>
    <dxf>
      <font>
        <b/>
        <i val="0"/>
      </font>
      <fill>
        <patternFill>
          <bgColor rgb="FFEBBB10"/>
        </patternFill>
      </fill>
    </dxf>
    <dxf>
      <font>
        <b/>
        <i val="0"/>
        <color theme="0"/>
      </font>
      <fill>
        <patternFill>
          <bgColor rgb="FFC00000"/>
        </patternFill>
      </fill>
    </dxf>
    <dxf>
      <font>
        <b/>
        <i val="0"/>
        <color rgb="FF595959"/>
      </font>
      <fill>
        <patternFill patternType="none">
          <bgColor auto="1"/>
        </patternFill>
      </fill>
    </dxf>
    <dxf>
      <fill>
        <patternFill>
          <bgColor rgb="FFEAEAEA"/>
        </patternFill>
      </fill>
    </dxf>
    <dxf>
      <fill>
        <patternFill>
          <bgColor rgb="FFEAEAEA"/>
        </patternFill>
      </fill>
    </dxf>
    <dxf>
      <font>
        <b val="0"/>
        <i val="0"/>
      </font>
      <fill>
        <patternFill>
          <bgColor rgb="FFA6A6A6"/>
        </patternFill>
      </fill>
    </dxf>
    <dxf>
      <font>
        <b/>
        <i val="0"/>
        <color rgb="FFC00000"/>
      </font>
      <numFmt numFmtId="172" formatCode="_(\!* #,##0_);_(\!* \(#,##0\);_(\!* \-??_);_(\!\ @_)"/>
    </dxf>
    <dxf>
      <font>
        <b/>
        <i val="0"/>
        <color rgb="FFC00000"/>
      </font>
      <fill>
        <patternFill patternType="none">
          <bgColor auto="1"/>
        </patternFill>
      </fill>
    </dxf>
    <dxf>
      <font>
        <b val="0"/>
        <i val="0"/>
      </font>
      <fill>
        <patternFill>
          <bgColor rgb="FFA6A6A6"/>
        </patternFill>
      </fill>
    </dxf>
    <dxf>
      <font>
        <b/>
        <i val="0"/>
      </font>
      <fill>
        <patternFill>
          <bgColor rgb="FFEBBB10"/>
        </patternFill>
      </fill>
    </dxf>
    <dxf>
      <font>
        <b/>
        <i val="0"/>
        <color theme="0"/>
      </font>
      <fill>
        <patternFill>
          <bgColor rgb="FFC00000"/>
        </patternFill>
      </fill>
    </dxf>
    <dxf>
      <font>
        <b/>
        <i val="0"/>
        <color rgb="FF595959"/>
      </font>
      <fill>
        <patternFill patternType="none">
          <bgColor auto="1"/>
        </patternFill>
      </fill>
    </dxf>
    <dxf>
      <fill>
        <patternFill>
          <bgColor rgb="FFEAEAEA"/>
        </patternFill>
      </fill>
    </dxf>
    <dxf>
      <fill>
        <patternFill>
          <bgColor rgb="FFEAEAEA"/>
        </patternFill>
      </fill>
    </dxf>
    <dxf>
      <font>
        <b val="0"/>
        <i val="0"/>
      </font>
      <fill>
        <patternFill>
          <bgColor rgb="FFA6A6A6"/>
        </patternFill>
      </fill>
    </dxf>
    <dxf>
      <font>
        <b/>
        <i val="0"/>
        <color rgb="FFC00000"/>
      </font>
      <numFmt numFmtId="172" formatCode="_(\!* #,##0_);_(\!* \(#,##0\);_(\!* \-??_);_(\!\ @_)"/>
    </dxf>
    <dxf>
      <font>
        <b/>
        <i val="0"/>
        <color rgb="FFC00000"/>
      </font>
      <fill>
        <patternFill patternType="none">
          <bgColor auto="1"/>
        </patternFill>
      </fill>
    </dxf>
    <dxf>
      <font>
        <b val="0"/>
        <i val="0"/>
      </font>
      <fill>
        <patternFill>
          <bgColor rgb="FFA6A6A6"/>
        </patternFill>
      </fill>
    </dxf>
    <dxf>
      <font>
        <b/>
        <i val="0"/>
      </font>
      <fill>
        <patternFill>
          <bgColor rgb="FFEBBB10"/>
        </patternFill>
      </fill>
    </dxf>
    <dxf>
      <font>
        <b/>
        <i val="0"/>
        <color theme="0"/>
      </font>
      <fill>
        <patternFill>
          <bgColor rgb="FFC00000"/>
        </patternFill>
      </fill>
    </dxf>
    <dxf>
      <font>
        <b/>
        <i val="0"/>
        <color rgb="FF595959"/>
      </font>
      <fill>
        <patternFill patternType="none">
          <bgColor auto="1"/>
        </patternFill>
      </fill>
    </dxf>
    <dxf>
      <fill>
        <patternFill>
          <bgColor rgb="FFEAEAEA"/>
        </patternFill>
      </fill>
    </dxf>
    <dxf>
      <fill>
        <patternFill>
          <bgColor rgb="FFEAEAEA"/>
        </patternFill>
      </fill>
    </dxf>
    <dxf>
      <font>
        <b val="0"/>
        <i val="0"/>
      </font>
      <fill>
        <patternFill>
          <bgColor rgb="FFA6A6A6"/>
        </patternFill>
      </fill>
    </dxf>
    <dxf>
      <font>
        <b/>
        <i val="0"/>
        <color rgb="FFC00000"/>
      </font>
      <numFmt numFmtId="172" formatCode="_(\!* #,##0_);_(\!* \(#,##0\);_(\!* \-??_);_(\!\ @_)"/>
    </dxf>
    <dxf>
      <font>
        <b/>
        <i val="0"/>
        <color rgb="FFC00000"/>
      </font>
      <fill>
        <patternFill patternType="none">
          <bgColor auto="1"/>
        </patternFill>
      </fill>
    </dxf>
    <dxf>
      <font>
        <b val="0"/>
        <i val="0"/>
      </font>
      <fill>
        <patternFill>
          <bgColor rgb="FFA6A6A6"/>
        </patternFill>
      </fill>
    </dxf>
    <dxf>
      <font>
        <b/>
        <i val="0"/>
      </font>
      <fill>
        <patternFill>
          <bgColor rgb="FFEBBB10"/>
        </patternFill>
      </fill>
    </dxf>
    <dxf>
      <font>
        <b/>
        <i val="0"/>
        <color theme="0"/>
      </font>
      <fill>
        <patternFill>
          <bgColor rgb="FFC00000"/>
        </patternFill>
      </fill>
    </dxf>
    <dxf>
      <font>
        <b/>
        <i val="0"/>
        <color rgb="FF595959"/>
      </font>
      <fill>
        <patternFill patternType="none">
          <bgColor auto="1"/>
        </patternFill>
      </fill>
    </dxf>
    <dxf>
      <fill>
        <patternFill>
          <bgColor rgb="FFEAEAEA"/>
        </patternFill>
      </fill>
    </dxf>
    <dxf>
      <fill>
        <patternFill>
          <bgColor rgb="FFEAEAEA"/>
        </patternFill>
      </fill>
    </dxf>
    <dxf>
      <font>
        <b val="0"/>
        <i val="0"/>
      </font>
      <fill>
        <patternFill>
          <bgColor rgb="FFA6A6A6"/>
        </patternFill>
      </fill>
    </dxf>
    <dxf>
      <font>
        <b/>
        <i val="0"/>
        <color rgb="FFC00000"/>
      </font>
      <numFmt numFmtId="172" formatCode="_(\!* #,##0_);_(\!* \(#,##0\);_(\!* \-??_);_(\!\ @_)"/>
    </dxf>
    <dxf>
      <font>
        <b/>
        <i val="0"/>
        <color rgb="FFC00000"/>
      </font>
      <fill>
        <patternFill patternType="none">
          <bgColor auto="1"/>
        </patternFill>
      </fill>
    </dxf>
    <dxf>
      <font>
        <b val="0"/>
        <i val="0"/>
      </font>
      <fill>
        <patternFill>
          <bgColor rgb="FFA6A6A6"/>
        </patternFill>
      </fill>
    </dxf>
    <dxf>
      <font>
        <b/>
        <i val="0"/>
      </font>
      <fill>
        <patternFill>
          <bgColor rgb="FFEBBB10"/>
        </patternFill>
      </fill>
    </dxf>
    <dxf>
      <font>
        <b/>
        <i val="0"/>
        <color theme="0"/>
      </font>
      <fill>
        <patternFill>
          <bgColor rgb="FFC00000"/>
        </patternFill>
      </fill>
    </dxf>
    <dxf>
      <font>
        <b/>
        <i val="0"/>
        <color rgb="FF595959"/>
      </font>
      <fill>
        <patternFill patternType="none">
          <bgColor auto="1"/>
        </patternFill>
      </fill>
    </dxf>
    <dxf>
      <fill>
        <patternFill>
          <bgColor rgb="FFEAEAEA"/>
        </patternFill>
      </fill>
    </dxf>
    <dxf>
      <fill>
        <patternFill>
          <bgColor rgb="FFEAEAEA"/>
        </patternFill>
      </fill>
    </dxf>
    <dxf>
      <font>
        <b val="0"/>
        <i val="0"/>
      </font>
      <fill>
        <patternFill>
          <bgColor rgb="FFA6A6A6"/>
        </patternFill>
      </fill>
    </dxf>
    <dxf>
      <font>
        <b/>
        <i val="0"/>
        <color rgb="FFC00000"/>
      </font>
      <numFmt numFmtId="172" formatCode="_(\!* #,##0_);_(\!* \(#,##0\);_(\!* \-??_);_(\!\ @_)"/>
    </dxf>
    <dxf>
      <font>
        <b/>
        <i val="0"/>
        <color rgb="FFC00000"/>
      </font>
      <fill>
        <patternFill patternType="none">
          <bgColor auto="1"/>
        </patternFill>
      </fill>
    </dxf>
    <dxf>
      <font>
        <b val="0"/>
        <i val="0"/>
      </font>
      <fill>
        <patternFill>
          <bgColor rgb="FFA6A6A6"/>
        </patternFill>
      </fill>
    </dxf>
    <dxf>
      <font>
        <b/>
        <i val="0"/>
      </font>
      <fill>
        <patternFill>
          <bgColor rgb="FFEBBB10"/>
        </patternFill>
      </fill>
    </dxf>
    <dxf>
      <font>
        <b/>
        <i val="0"/>
        <color theme="0"/>
      </font>
      <fill>
        <patternFill>
          <bgColor rgb="FFC00000"/>
        </patternFill>
      </fill>
    </dxf>
    <dxf>
      <font>
        <b/>
        <i val="0"/>
        <color rgb="FF595959"/>
      </font>
      <fill>
        <patternFill patternType="none">
          <bgColor auto="1"/>
        </patternFill>
      </fill>
    </dxf>
    <dxf>
      <fill>
        <patternFill>
          <bgColor rgb="FFEAEAEA"/>
        </patternFill>
      </fill>
    </dxf>
    <dxf>
      <fill>
        <patternFill>
          <bgColor rgb="FFEAEAEA"/>
        </patternFill>
      </fill>
    </dxf>
    <dxf>
      <font>
        <b val="0"/>
        <i val="0"/>
      </font>
      <fill>
        <patternFill>
          <bgColor rgb="FFA6A6A6"/>
        </patternFill>
      </fill>
    </dxf>
    <dxf>
      <font>
        <b/>
        <i val="0"/>
        <color rgb="FFC00000"/>
      </font>
      <numFmt numFmtId="172" formatCode="_(\!* #,##0_);_(\!* \(#,##0\);_(\!* \-??_);_(\!\ @_)"/>
    </dxf>
    <dxf>
      <font>
        <b/>
        <i val="0"/>
        <color rgb="FFC00000"/>
      </font>
      <fill>
        <patternFill patternType="none">
          <bgColor auto="1"/>
        </patternFill>
      </fill>
    </dxf>
    <dxf>
      <font>
        <b val="0"/>
        <i val="0"/>
      </font>
      <fill>
        <patternFill>
          <bgColor rgb="FFA6A6A6"/>
        </patternFill>
      </fill>
    </dxf>
    <dxf>
      <font>
        <b/>
        <i val="0"/>
      </font>
      <fill>
        <patternFill>
          <bgColor rgb="FFEBBB10"/>
        </patternFill>
      </fill>
    </dxf>
    <dxf>
      <font>
        <b/>
        <i val="0"/>
        <color theme="0"/>
      </font>
      <fill>
        <patternFill>
          <bgColor rgb="FFC00000"/>
        </patternFill>
      </fill>
    </dxf>
    <dxf>
      <font>
        <b/>
        <i val="0"/>
        <color rgb="FF595959"/>
      </font>
      <fill>
        <patternFill patternType="none">
          <bgColor auto="1"/>
        </patternFill>
      </fill>
    </dxf>
    <dxf>
      <fill>
        <patternFill>
          <bgColor rgb="FFEAEAEA"/>
        </patternFill>
      </fill>
    </dxf>
    <dxf>
      <fill>
        <patternFill>
          <bgColor rgb="FFEAEAEA"/>
        </patternFill>
      </fill>
    </dxf>
    <dxf>
      <font>
        <b val="0"/>
        <i val="0"/>
      </font>
      <fill>
        <patternFill>
          <bgColor rgb="FFA6A6A6"/>
        </patternFill>
      </fill>
    </dxf>
    <dxf>
      <font>
        <b/>
        <i val="0"/>
        <color rgb="FFC00000"/>
      </font>
      <numFmt numFmtId="172" formatCode="_(\!* #,##0_);_(\!* \(#,##0\);_(\!* \-??_);_(\!\ @_)"/>
    </dxf>
    <dxf>
      <font>
        <b/>
        <i val="0"/>
        <color rgb="FFC00000"/>
      </font>
      <fill>
        <patternFill patternType="none">
          <bgColor auto="1"/>
        </patternFill>
      </fill>
    </dxf>
    <dxf>
      <font>
        <b val="0"/>
        <i val="0"/>
      </font>
      <fill>
        <patternFill>
          <bgColor rgb="FFA6A6A6"/>
        </patternFill>
      </fill>
    </dxf>
    <dxf>
      <font>
        <b/>
        <i val="0"/>
      </font>
      <fill>
        <patternFill>
          <bgColor rgb="FFEBBB10"/>
        </patternFill>
      </fill>
    </dxf>
    <dxf>
      <font>
        <b/>
        <i val="0"/>
        <color theme="0"/>
      </font>
      <fill>
        <patternFill>
          <bgColor rgb="FFC00000"/>
        </patternFill>
      </fill>
    </dxf>
    <dxf>
      <font>
        <b/>
        <i val="0"/>
        <color rgb="FF595959"/>
      </font>
      <fill>
        <patternFill patternType="none">
          <bgColor auto="1"/>
        </patternFill>
      </fill>
    </dxf>
    <dxf>
      <fill>
        <patternFill>
          <bgColor rgb="FFEAEAEA"/>
        </patternFill>
      </fill>
    </dxf>
    <dxf>
      <fill>
        <patternFill>
          <bgColor rgb="FFEAEAEA"/>
        </patternFill>
      </fill>
    </dxf>
    <dxf>
      <font>
        <b val="0"/>
        <i val="0"/>
      </font>
      <fill>
        <patternFill>
          <bgColor rgb="FFA6A6A6"/>
        </patternFill>
      </fill>
    </dxf>
    <dxf>
      <font>
        <b/>
        <i val="0"/>
        <color rgb="FFC00000"/>
      </font>
      <numFmt numFmtId="172" formatCode="_(\!* #,##0_);_(\!* \(#,##0\);_(\!* \-??_);_(\!\ @_)"/>
    </dxf>
    <dxf>
      <font>
        <b/>
        <i val="0"/>
        <color rgb="FFC00000"/>
      </font>
      <fill>
        <patternFill patternType="none">
          <bgColor auto="1"/>
        </patternFill>
      </fill>
    </dxf>
    <dxf>
      <font>
        <b val="0"/>
        <i val="0"/>
      </font>
      <fill>
        <patternFill>
          <bgColor rgb="FFA6A6A6"/>
        </patternFill>
      </fill>
    </dxf>
    <dxf>
      <font>
        <b/>
        <i val="0"/>
      </font>
      <fill>
        <patternFill>
          <bgColor rgb="FFEBBB10"/>
        </patternFill>
      </fill>
    </dxf>
    <dxf>
      <font>
        <b/>
        <i val="0"/>
        <color theme="0"/>
      </font>
      <fill>
        <patternFill>
          <bgColor rgb="FFC00000"/>
        </patternFill>
      </fill>
    </dxf>
    <dxf>
      <font>
        <b/>
        <i val="0"/>
        <color rgb="FF595959"/>
      </font>
      <fill>
        <patternFill patternType="none">
          <bgColor auto="1"/>
        </patternFill>
      </fill>
    </dxf>
    <dxf>
      <fill>
        <patternFill>
          <bgColor rgb="FFEAEAEA"/>
        </patternFill>
      </fill>
    </dxf>
    <dxf>
      <fill>
        <patternFill>
          <bgColor rgb="FFEAEAEA"/>
        </patternFill>
      </fill>
    </dxf>
    <dxf>
      <font>
        <b val="0"/>
        <i val="0"/>
      </font>
      <fill>
        <patternFill>
          <bgColor rgb="FFA6A6A6"/>
        </patternFill>
      </fill>
    </dxf>
    <dxf>
      <font>
        <b/>
        <i val="0"/>
        <color rgb="FFC00000"/>
      </font>
      <numFmt numFmtId="172" formatCode="_(\!* #,##0_);_(\!* \(#,##0\);_(\!* \-??_);_(\!\ @_)"/>
    </dxf>
    <dxf>
      <font>
        <b/>
        <i val="0"/>
        <color rgb="FFC00000"/>
      </font>
      <fill>
        <patternFill patternType="none">
          <bgColor auto="1"/>
        </patternFill>
      </fill>
    </dxf>
    <dxf>
      <font>
        <b val="0"/>
        <i val="0"/>
      </font>
      <fill>
        <patternFill>
          <bgColor rgb="FFA6A6A6"/>
        </patternFill>
      </fill>
    </dxf>
    <dxf>
      <font>
        <b/>
        <i val="0"/>
      </font>
      <fill>
        <patternFill>
          <bgColor rgb="FFEBBB10"/>
        </patternFill>
      </fill>
    </dxf>
    <dxf>
      <font>
        <b/>
        <i val="0"/>
        <color theme="0"/>
      </font>
      <fill>
        <patternFill>
          <bgColor rgb="FFC00000"/>
        </patternFill>
      </fill>
    </dxf>
    <dxf>
      <font>
        <b/>
        <i val="0"/>
        <color rgb="FF595959"/>
      </font>
      <fill>
        <patternFill patternType="none">
          <bgColor auto="1"/>
        </patternFill>
      </fill>
    </dxf>
    <dxf>
      <fill>
        <patternFill>
          <bgColor rgb="FFEAEAEA"/>
        </patternFill>
      </fill>
    </dxf>
    <dxf>
      <fill>
        <patternFill>
          <bgColor rgb="FFEAEAEA"/>
        </patternFill>
      </fill>
    </dxf>
    <dxf>
      <font>
        <b val="0"/>
        <i val="0"/>
      </font>
      <fill>
        <patternFill>
          <bgColor rgb="FFA6A6A6"/>
        </patternFill>
      </fill>
    </dxf>
    <dxf>
      <font>
        <b/>
        <i val="0"/>
        <color rgb="FFC00000"/>
      </font>
      <numFmt numFmtId="172" formatCode="_(\!* #,##0_);_(\!* \(#,##0\);_(\!* \-??_);_(\!\ @_)"/>
    </dxf>
    <dxf>
      <font>
        <b/>
        <i val="0"/>
        <color rgb="FFC00000"/>
      </font>
      <fill>
        <patternFill patternType="none">
          <bgColor auto="1"/>
        </patternFill>
      </fill>
    </dxf>
    <dxf>
      <font>
        <b val="0"/>
        <i val="0"/>
      </font>
      <fill>
        <patternFill>
          <bgColor rgb="FFA6A6A6"/>
        </patternFill>
      </fill>
    </dxf>
    <dxf>
      <font>
        <b/>
        <i val="0"/>
      </font>
      <fill>
        <patternFill>
          <bgColor rgb="FFEBBB10"/>
        </patternFill>
      </fill>
    </dxf>
    <dxf>
      <font>
        <b/>
        <i val="0"/>
        <color theme="0"/>
      </font>
      <fill>
        <patternFill>
          <bgColor rgb="FFC00000"/>
        </patternFill>
      </fill>
    </dxf>
    <dxf>
      <font>
        <b/>
        <i val="0"/>
        <color rgb="FF595959"/>
      </font>
      <fill>
        <patternFill patternType="none">
          <bgColor auto="1"/>
        </patternFill>
      </fill>
    </dxf>
    <dxf>
      <fill>
        <patternFill>
          <bgColor rgb="FFEAEAEA"/>
        </patternFill>
      </fill>
    </dxf>
    <dxf>
      <fill>
        <patternFill>
          <bgColor rgb="FFEAEAEA"/>
        </patternFill>
      </fill>
    </dxf>
    <dxf>
      <font>
        <b val="0"/>
        <i val="0"/>
      </font>
      <fill>
        <patternFill>
          <bgColor rgb="FFA6A6A6"/>
        </patternFill>
      </fill>
    </dxf>
    <dxf>
      <font>
        <b/>
        <i val="0"/>
        <color rgb="FFC00000"/>
      </font>
      <numFmt numFmtId="172" formatCode="_(\!* #,##0_);_(\!* \(#,##0\);_(\!* \-??_);_(\!\ @_)"/>
    </dxf>
    <dxf>
      <font>
        <b/>
        <i val="0"/>
        <color rgb="FFC00000"/>
      </font>
      <fill>
        <patternFill patternType="none">
          <bgColor auto="1"/>
        </patternFill>
      </fill>
    </dxf>
    <dxf>
      <font>
        <b val="0"/>
        <i val="0"/>
      </font>
      <fill>
        <patternFill>
          <bgColor rgb="FFA6A6A6"/>
        </patternFill>
      </fill>
    </dxf>
    <dxf>
      <font>
        <b/>
        <i val="0"/>
      </font>
      <fill>
        <patternFill>
          <bgColor rgb="FFEBBB10"/>
        </patternFill>
      </fill>
    </dxf>
    <dxf>
      <font>
        <b/>
        <i val="0"/>
        <color theme="0"/>
      </font>
      <fill>
        <patternFill>
          <bgColor rgb="FFC00000"/>
        </patternFill>
      </fill>
    </dxf>
    <dxf>
      <font>
        <b/>
        <i val="0"/>
        <color rgb="FF595959"/>
      </font>
      <fill>
        <patternFill patternType="none">
          <bgColor auto="1"/>
        </patternFill>
      </fill>
    </dxf>
    <dxf>
      <fill>
        <patternFill>
          <bgColor rgb="FFEAEAEA"/>
        </patternFill>
      </fill>
    </dxf>
    <dxf>
      <fill>
        <patternFill>
          <bgColor rgb="FFEAEAEA"/>
        </patternFill>
      </fill>
    </dxf>
    <dxf>
      <font>
        <b val="0"/>
        <i val="0"/>
      </font>
      <fill>
        <patternFill>
          <bgColor rgb="FFA6A6A6"/>
        </patternFill>
      </fill>
    </dxf>
    <dxf>
      <font>
        <b/>
        <i val="0"/>
        <color rgb="FFC00000"/>
      </font>
      <numFmt numFmtId="172" formatCode="_(\!* #,##0_);_(\!* \(#,##0\);_(\!* \-??_);_(\!\ @_)"/>
    </dxf>
    <dxf>
      <font>
        <b/>
        <i val="0"/>
        <color rgb="FFC00000"/>
      </font>
      <fill>
        <patternFill patternType="none">
          <bgColor auto="1"/>
        </patternFill>
      </fill>
    </dxf>
    <dxf>
      <font>
        <b val="0"/>
        <i val="0"/>
      </font>
      <fill>
        <patternFill>
          <bgColor rgb="FFA6A6A6"/>
        </patternFill>
      </fill>
    </dxf>
    <dxf>
      <font>
        <b/>
        <i val="0"/>
      </font>
      <fill>
        <patternFill>
          <bgColor rgb="FFEBBB10"/>
        </patternFill>
      </fill>
    </dxf>
    <dxf>
      <font>
        <b/>
        <i val="0"/>
        <color theme="0"/>
      </font>
      <fill>
        <patternFill>
          <bgColor rgb="FFC00000"/>
        </patternFill>
      </fill>
    </dxf>
    <dxf>
      <font>
        <b/>
        <i val="0"/>
        <color rgb="FF595959"/>
      </font>
      <fill>
        <patternFill patternType="none">
          <bgColor auto="1"/>
        </patternFill>
      </fill>
    </dxf>
    <dxf>
      <fill>
        <patternFill>
          <bgColor rgb="FFEAEAEA"/>
        </patternFill>
      </fill>
    </dxf>
    <dxf>
      <fill>
        <patternFill>
          <bgColor rgb="FFEAEAEA"/>
        </patternFill>
      </fill>
    </dxf>
    <dxf>
      <font>
        <b val="0"/>
        <i val="0"/>
      </font>
      <fill>
        <patternFill>
          <bgColor rgb="FFA6A6A6"/>
        </patternFill>
      </fill>
    </dxf>
    <dxf>
      <font>
        <b/>
        <i val="0"/>
        <color rgb="FFC00000"/>
      </font>
      <numFmt numFmtId="172" formatCode="_(\!* #,##0_);_(\!* \(#,##0\);_(\!* \-??_);_(\!\ @_)"/>
    </dxf>
    <dxf>
      <font>
        <b/>
        <i val="0"/>
        <color rgb="FFC00000"/>
      </font>
      <fill>
        <patternFill patternType="none">
          <bgColor auto="1"/>
        </patternFill>
      </fill>
    </dxf>
    <dxf>
      <font>
        <b val="0"/>
        <i val="0"/>
      </font>
      <fill>
        <patternFill>
          <bgColor rgb="FFA6A6A6"/>
        </patternFill>
      </fill>
    </dxf>
    <dxf>
      <font>
        <b/>
        <i val="0"/>
      </font>
      <fill>
        <patternFill>
          <bgColor rgb="FFEBBB10"/>
        </patternFill>
      </fill>
    </dxf>
    <dxf>
      <font>
        <b/>
        <i val="0"/>
        <color theme="0"/>
      </font>
      <fill>
        <patternFill>
          <bgColor rgb="FFC00000"/>
        </patternFill>
      </fill>
    </dxf>
    <dxf>
      <font>
        <b/>
        <i val="0"/>
        <color rgb="FF595959"/>
      </font>
      <fill>
        <patternFill patternType="none">
          <bgColor auto="1"/>
        </patternFill>
      </fill>
    </dxf>
    <dxf>
      <fill>
        <patternFill>
          <bgColor rgb="FFEAEAEA"/>
        </patternFill>
      </fill>
    </dxf>
    <dxf>
      <fill>
        <patternFill>
          <bgColor rgb="FFEAEAEA"/>
        </patternFill>
      </fill>
    </dxf>
    <dxf>
      <font>
        <b val="0"/>
        <i val="0"/>
      </font>
      <fill>
        <patternFill>
          <bgColor rgb="FFA6A6A6"/>
        </patternFill>
      </fill>
    </dxf>
    <dxf>
      <font>
        <b/>
        <i val="0"/>
        <color rgb="FFC00000"/>
      </font>
      <numFmt numFmtId="172" formatCode="_(\!* #,##0_);_(\!* \(#,##0\);_(\!* \-??_);_(\!\ @_)"/>
    </dxf>
    <dxf>
      <font>
        <b/>
        <i val="0"/>
        <color rgb="FFC00000"/>
      </font>
      <fill>
        <patternFill patternType="none">
          <bgColor auto="1"/>
        </patternFill>
      </fill>
    </dxf>
    <dxf>
      <font>
        <b val="0"/>
        <i val="0"/>
      </font>
      <fill>
        <patternFill>
          <bgColor rgb="FFA6A6A6"/>
        </patternFill>
      </fill>
    </dxf>
    <dxf>
      <font>
        <b/>
        <i val="0"/>
      </font>
      <fill>
        <patternFill>
          <bgColor rgb="FFEBBB10"/>
        </patternFill>
      </fill>
    </dxf>
    <dxf>
      <font>
        <b/>
        <i val="0"/>
        <color theme="0"/>
      </font>
      <fill>
        <patternFill>
          <bgColor rgb="FFC00000"/>
        </patternFill>
      </fill>
    </dxf>
    <dxf>
      <font>
        <b/>
        <i val="0"/>
        <color rgb="FF595959"/>
      </font>
      <fill>
        <patternFill patternType="none">
          <bgColor auto="1"/>
        </patternFill>
      </fill>
    </dxf>
    <dxf>
      <fill>
        <patternFill>
          <bgColor rgb="FFEAEAEA"/>
        </patternFill>
      </fill>
    </dxf>
    <dxf>
      <fill>
        <patternFill>
          <bgColor rgb="FFEAEAEA"/>
        </patternFill>
      </fill>
    </dxf>
    <dxf>
      <font>
        <b val="0"/>
        <i val="0"/>
      </font>
      <fill>
        <patternFill>
          <bgColor rgb="FFA6A6A6"/>
        </patternFill>
      </fill>
    </dxf>
    <dxf>
      <font>
        <b/>
        <i val="0"/>
        <color rgb="FFC00000"/>
      </font>
      <numFmt numFmtId="172" formatCode="_(\!* #,##0_);_(\!* \(#,##0\);_(\!* \-??_);_(\!\ @_)"/>
    </dxf>
    <dxf>
      <font>
        <b/>
        <i val="0"/>
        <color rgb="FFC00000"/>
      </font>
      <fill>
        <patternFill patternType="none">
          <bgColor auto="1"/>
        </patternFill>
      </fill>
    </dxf>
    <dxf>
      <font>
        <b val="0"/>
        <i val="0"/>
      </font>
      <fill>
        <patternFill>
          <bgColor rgb="FFA6A6A6"/>
        </patternFill>
      </fill>
    </dxf>
    <dxf>
      <font>
        <b/>
        <i val="0"/>
      </font>
      <fill>
        <patternFill>
          <bgColor rgb="FFEBBB10"/>
        </patternFill>
      </fill>
    </dxf>
    <dxf>
      <font>
        <b/>
        <i val="0"/>
        <color theme="0"/>
      </font>
      <fill>
        <patternFill>
          <bgColor rgb="FFC00000"/>
        </patternFill>
      </fill>
    </dxf>
    <dxf>
      <font>
        <b/>
        <i val="0"/>
        <color rgb="FF595959"/>
      </font>
      <fill>
        <patternFill patternType="none">
          <bgColor auto="1"/>
        </patternFill>
      </fill>
    </dxf>
    <dxf>
      <fill>
        <patternFill>
          <bgColor rgb="FFEAEAEA"/>
        </patternFill>
      </fill>
    </dxf>
    <dxf>
      <fill>
        <patternFill>
          <bgColor rgb="FFEAEAEA"/>
        </patternFill>
      </fill>
    </dxf>
    <dxf>
      <font>
        <b val="0"/>
        <i val="0"/>
      </font>
      <fill>
        <patternFill>
          <bgColor rgb="FFA6A6A6"/>
        </patternFill>
      </fill>
    </dxf>
    <dxf>
      <font>
        <b/>
        <i val="0"/>
        <color rgb="FFC00000"/>
      </font>
      <numFmt numFmtId="172" formatCode="_(\!* #,##0_);_(\!* \(#,##0\);_(\!* \-??_);_(\!\ @_)"/>
    </dxf>
    <dxf>
      <font>
        <b/>
        <i val="0"/>
        <color rgb="FFC00000"/>
      </font>
      <fill>
        <patternFill patternType="none">
          <bgColor auto="1"/>
        </patternFill>
      </fill>
    </dxf>
    <dxf>
      <font>
        <b val="0"/>
        <i val="0"/>
      </font>
      <fill>
        <patternFill>
          <bgColor rgb="FFA6A6A6"/>
        </patternFill>
      </fill>
    </dxf>
    <dxf>
      <font>
        <b/>
        <i val="0"/>
      </font>
      <fill>
        <patternFill>
          <bgColor rgb="FFEBBB10"/>
        </patternFill>
      </fill>
    </dxf>
    <dxf>
      <font>
        <b/>
        <i val="0"/>
        <color theme="0"/>
      </font>
      <fill>
        <patternFill>
          <bgColor rgb="FFC00000"/>
        </patternFill>
      </fill>
    </dxf>
    <dxf>
      <font>
        <b/>
        <i val="0"/>
        <color rgb="FF595959"/>
      </font>
      <fill>
        <patternFill patternType="none">
          <bgColor auto="1"/>
        </patternFill>
      </fill>
    </dxf>
    <dxf>
      <fill>
        <patternFill>
          <bgColor rgb="FFEAEAEA"/>
        </patternFill>
      </fill>
    </dxf>
    <dxf>
      <fill>
        <patternFill>
          <bgColor rgb="FFEAEAEA"/>
        </patternFill>
      </fill>
    </dxf>
    <dxf>
      <font>
        <b val="0"/>
        <i val="0"/>
      </font>
      <fill>
        <patternFill>
          <bgColor rgb="FFA6A6A6"/>
        </patternFill>
      </fill>
    </dxf>
    <dxf>
      <font>
        <b/>
        <i val="0"/>
        <color rgb="FFC00000"/>
      </font>
      <numFmt numFmtId="172" formatCode="_(\!* #,##0_);_(\!* \(#,##0\);_(\!* \-??_);_(\!\ @_)"/>
    </dxf>
    <dxf>
      <font>
        <b/>
        <i val="0"/>
        <color rgb="FFC00000"/>
      </font>
      <fill>
        <patternFill patternType="none">
          <bgColor auto="1"/>
        </patternFill>
      </fill>
    </dxf>
    <dxf>
      <font>
        <b val="0"/>
        <i val="0"/>
      </font>
      <fill>
        <patternFill>
          <bgColor rgb="FFA6A6A6"/>
        </patternFill>
      </fill>
    </dxf>
    <dxf>
      <font>
        <b/>
        <i val="0"/>
      </font>
      <fill>
        <patternFill>
          <bgColor rgb="FFEBBB10"/>
        </patternFill>
      </fill>
    </dxf>
    <dxf>
      <font>
        <b/>
        <i val="0"/>
        <color theme="0"/>
      </font>
      <fill>
        <patternFill>
          <bgColor rgb="FFC00000"/>
        </patternFill>
      </fill>
    </dxf>
    <dxf>
      <font>
        <b/>
        <i val="0"/>
        <color rgb="FF595959"/>
      </font>
      <fill>
        <patternFill patternType="none">
          <bgColor auto="1"/>
        </patternFill>
      </fill>
    </dxf>
    <dxf>
      <fill>
        <patternFill>
          <bgColor rgb="FFEAEAEA"/>
        </patternFill>
      </fill>
    </dxf>
    <dxf>
      <fill>
        <patternFill>
          <bgColor rgb="FFEAEAEA"/>
        </patternFill>
      </fill>
    </dxf>
    <dxf>
      <font>
        <b val="0"/>
        <i val="0"/>
      </font>
      <fill>
        <patternFill>
          <bgColor rgb="FFA6A6A6"/>
        </patternFill>
      </fill>
    </dxf>
    <dxf>
      <font>
        <b/>
        <i val="0"/>
        <color rgb="FFC00000"/>
      </font>
      <numFmt numFmtId="172" formatCode="_(\!* #,##0_);_(\!* \(#,##0\);_(\!* \-??_);_(\!\ @_)"/>
    </dxf>
    <dxf>
      <font>
        <b/>
        <i val="0"/>
        <color rgb="FFC00000"/>
      </font>
      <fill>
        <patternFill patternType="none">
          <bgColor auto="1"/>
        </patternFill>
      </fill>
    </dxf>
    <dxf>
      <font>
        <b val="0"/>
        <i val="0"/>
      </font>
      <fill>
        <patternFill>
          <bgColor rgb="FFA6A6A6"/>
        </patternFill>
      </fill>
    </dxf>
    <dxf>
      <font>
        <b/>
        <i val="0"/>
      </font>
      <fill>
        <patternFill>
          <bgColor rgb="FFEBBB10"/>
        </patternFill>
      </fill>
    </dxf>
    <dxf>
      <font>
        <b/>
        <i val="0"/>
        <color theme="0"/>
      </font>
      <fill>
        <patternFill>
          <bgColor rgb="FFC00000"/>
        </patternFill>
      </fill>
    </dxf>
    <dxf>
      <font>
        <b/>
        <i val="0"/>
        <color rgb="FF595959"/>
      </font>
      <fill>
        <patternFill patternType="none">
          <bgColor auto="1"/>
        </patternFill>
      </fill>
    </dxf>
    <dxf>
      <fill>
        <patternFill>
          <bgColor rgb="FFEAEAEA"/>
        </patternFill>
      </fill>
    </dxf>
    <dxf>
      <fill>
        <patternFill>
          <bgColor rgb="FFEAEAEA"/>
        </patternFill>
      </fill>
    </dxf>
    <dxf>
      <font>
        <b val="0"/>
        <i val="0"/>
      </font>
      <fill>
        <patternFill>
          <bgColor rgb="FFA6A6A6"/>
        </patternFill>
      </fill>
    </dxf>
    <dxf>
      <font>
        <b/>
        <i val="0"/>
        <color rgb="FFC00000"/>
      </font>
      <numFmt numFmtId="172" formatCode="_(\!* #,##0_);_(\!* \(#,##0\);_(\!* \-??_);_(\!\ @_)"/>
    </dxf>
    <dxf>
      <font>
        <b/>
        <i val="0"/>
        <color rgb="FFC00000"/>
      </font>
      <fill>
        <patternFill patternType="none">
          <bgColor auto="1"/>
        </patternFill>
      </fill>
    </dxf>
    <dxf>
      <font>
        <b val="0"/>
        <i val="0"/>
      </font>
      <fill>
        <patternFill>
          <bgColor rgb="FFA6A6A6"/>
        </patternFill>
      </fill>
    </dxf>
    <dxf>
      <font>
        <b/>
        <i val="0"/>
      </font>
      <fill>
        <patternFill>
          <bgColor rgb="FFEBBB10"/>
        </patternFill>
      </fill>
    </dxf>
    <dxf>
      <font>
        <b/>
        <i val="0"/>
        <color theme="0"/>
      </font>
      <fill>
        <patternFill>
          <bgColor rgb="FFC00000"/>
        </patternFill>
      </fill>
    </dxf>
    <dxf>
      <font>
        <b/>
        <i val="0"/>
        <color rgb="FF595959"/>
      </font>
      <fill>
        <patternFill patternType="none">
          <bgColor auto="1"/>
        </patternFill>
      </fill>
    </dxf>
    <dxf>
      <fill>
        <patternFill>
          <bgColor rgb="FFEAEAEA"/>
        </patternFill>
      </fill>
    </dxf>
    <dxf>
      <fill>
        <patternFill>
          <bgColor rgb="FFEAEAEA"/>
        </patternFill>
      </fill>
    </dxf>
    <dxf>
      <font>
        <b val="0"/>
        <i val="0"/>
      </font>
      <fill>
        <patternFill>
          <bgColor rgb="FFA6A6A6"/>
        </patternFill>
      </fill>
    </dxf>
    <dxf>
      <font>
        <b/>
        <i val="0"/>
        <color rgb="FFC00000"/>
      </font>
      <numFmt numFmtId="172" formatCode="_(\!* #,##0_);_(\!* \(#,##0\);_(\!* \-??_);_(\!\ @_)"/>
    </dxf>
    <dxf>
      <font>
        <b/>
        <i val="0"/>
        <color rgb="FFC00000"/>
      </font>
      <fill>
        <patternFill patternType="none">
          <bgColor auto="1"/>
        </patternFill>
      </fill>
    </dxf>
    <dxf>
      <font>
        <b val="0"/>
        <i val="0"/>
      </font>
      <fill>
        <patternFill>
          <bgColor rgb="FFA6A6A6"/>
        </patternFill>
      </fill>
    </dxf>
    <dxf>
      <font>
        <b/>
        <i val="0"/>
      </font>
      <fill>
        <patternFill>
          <bgColor rgb="FFEBBB10"/>
        </patternFill>
      </fill>
    </dxf>
    <dxf>
      <font>
        <b/>
        <i val="0"/>
        <color theme="0"/>
      </font>
      <fill>
        <patternFill>
          <bgColor rgb="FFC00000"/>
        </patternFill>
      </fill>
    </dxf>
    <dxf>
      <font>
        <b/>
        <i val="0"/>
        <color rgb="FF595959"/>
      </font>
      <fill>
        <patternFill patternType="none">
          <bgColor auto="1"/>
        </patternFill>
      </fill>
    </dxf>
    <dxf>
      <fill>
        <patternFill>
          <bgColor rgb="FFEAEAEA"/>
        </patternFill>
      </fill>
    </dxf>
    <dxf>
      <fill>
        <patternFill>
          <bgColor rgb="FFEAEAEA"/>
        </patternFill>
      </fill>
    </dxf>
    <dxf>
      <font>
        <b val="0"/>
        <i val="0"/>
      </font>
      <fill>
        <patternFill>
          <bgColor rgb="FFA6A6A6"/>
        </patternFill>
      </fill>
    </dxf>
    <dxf>
      <font>
        <b/>
        <i val="0"/>
        <color rgb="FFC00000"/>
      </font>
      <numFmt numFmtId="172" formatCode="_(\!* #,##0_);_(\!* \(#,##0\);_(\!* \-??_);_(\!\ @_)"/>
    </dxf>
    <dxf>
      <font>
        <b/>
        <i val="0"/>
        <color rgb="FFC00000"/>
      </font>
      <fill>
        <patternFill patternType="none">
          <bgColor auto="1"/>
        </patternFill>
      </fill>
    </dxf>
    <dxf>
      <font>
        <b val="0"/>
        <i val="0"/>
      </font>
      <fill>
        <patternFill>
          <bgColor rgb="FFA6A6A6"/>
        </patternFill>
      </fill>
    </dxf>
    <dxf>
      <font>
        <b/>
        <i val="0"/>
      </font>
      <fill>
        <patternFill>
          <bgColor rgb="FFEBBB10"/>
        </patternFill>
      </fill>
    </dxf>
    <dxf>
      <font>
        <b/>
        <i val="0"/>
        <color theme="0"/>
      </font>
      <fill>
        <patternFill>
          <bgColor rgb="FFC00000"/>
        </patternFill>
      </fill>
    </dxf>
    <dxf>
      <font>
        <b/>
        <i val="0"/>
        <color rgb="FF595959"/>
      </font>
      <fill>
        <patternFill patternType="none">
          <bgColor auto="1"/>
        </patternFill>
      </fill>
    </dxf>
    <dxf>
      <fill>
        <patternFill>
          <bgColor rgb="FFEAEAEA"/>
        </patternFill>
      </fill>
    </dxf>
    <dxf>
      <fill>
        <patternFill>
          <bgColor rgb="FFEAEAEA"/>
        </patternFill>
      </fill>
    </dxf>
    <dxf>
      <font>
        <b val="0"/>
        <i val="0"/>
      </font>
      <fill>
        <patternFill>
          <bgColor rgb="FFA6A6A6"/>
        </patternFill>
      </fill>
    </dxf>
    <dxf>
      <font>
        <b/>
        <i val="0"/>
        <color rgb="FFC00000"/>
      </font>
      <numFmt numFmtId="172" formatCode="_(\!* #,##0_);_(\!* \(#,##0\);_(\!* \-??_);_(\!\ @_)"/>
    </dxf>
    <dxf>
      <font>
        <b/>
        <i val="0"/>
        <color rgb="FFC00000"/>
      </font>
      <fill>
        <patternFill patternType="none">
          <bgColor auto="1"/>
        </patternFill>
      </fill>
    </dxf>
    <dxf>
      <font>
        <b val="0"/>
        <i val="0"/>
      </font>
      <fill>
        <patternFill>
          <bgColor rgb="FFA6A6A6"/>
        </patternFill>
      </fill>
    </dxf>
    <dxf>
      <font>
        <b/>
        <i val="0"/>
      </font>
      <fill>
        <patternFill>
          <bgColor rgb="FFEBBB10"/>
        </patternFill>
      </fill>
    </dxf>
    <dxf>
      <font>
        <b/>
        <i val="0"/>
        <color theme="0"/>
      </font>
      <fill>
        <patternFill>
          <bgColor rgb="FFC00000"/>
        </patternFill>
      </fill>
    </dxf>
    <dxf>
      <font>
        <b/>
        <i val="0"/>
        <color rgb="FF595959"/>
      </font>
      <fill>
        <patternFill patternType="none">
          <bgColor auto="1"/>
        </patternFill>
      </fill>
    </dxf>
    <dxf>
      <fill>
        <patternFill>
          <bgColor rgb="FFEAEAEA"/>
        </patternFill>
      </fill>
    </dxf>
    <dxf>
      <fill>
        <patternFill>
          <bgColor rgb="FFEAEAEA"/>
        </patternFill>
      </fill>
    </dxf>
    <dxf>
      <font>
        <b val="0"/>
        <i val="0"/>
      </font>
      <fill>
        <patternFill>
          <bgColor rgb="FFA6A6A6"/>
        </patternFill>
      </fill>
    </dxf>
    <dxf>
      <font>
        <b/>
        <i val="0"/>
        <color rgb="FFC00000"/>
      </font>
      <numFmt numFmtId="172" formatCode="_(\!* #,##0_);_(\!* \(#,##0\);_(\!* \-??_);_(\!\ @_)"/>
    </dxf>
    <dxf>
      <font>
        <b/>
        <i val="0"/>
        <color rgb="FFC00000"/>
      </font>
      <fill>
        <patternFill patternType="none">
          <bgColor auto="1"/>
        </patternFill>
      </fill>
    </dxf>
    <dxf>
      <font>
        <b val="0"/>
        <i val="0"/>
      </font>
      <fill>
        <patternFill>
          <bgColor rgb="FFA6A6A6"/>
        </patternFill>
      </fill>
    </dxf>
    <dxf>
      <font>
        <b/>
        <i val="0"/>
      </font>
      <fill>
        <patternFill>
          <bgColor rgb="FFEBBB10"/>
        </patternFill>
      </fill>
    </dxf>
    <dxf>
      <font>
        <b/>
        <i val="0"/>
        <color theme="0"/>
      </font>
      <fill>
        <patternFill>
          <bgColor rgb="FFC00000"/>
        </patternFill>
      </fill>
    </dxf>
    <dxf>
      <font>
        <b/>
        <i val="0"/>
        <color rgb="FF595959"/>
      </font>
      <fill>
        <patternFill patternType="none">
          <bgColor auto="1"/>
        </patternFill>
      </fill>
    </dxf>
    <dxf>
      <fill>
        <patternFill>
          <bgColor rgb="FFEAEAEA"/>
        </patternFill>
      </fill>
    </dxf>
    <dxf>
      <fill>
        <patternFill>
          <bgColor rgb="FFEAEAEA"/>
        </patternFill>
      </fill>
    </dxf>
    <dxf>
      <font>
        <b val="0"/>
        <i val="0"/>
      </font>
      <fill>
        <patternFill>
          <bgColor rgb="FFA6A6A6"/>
        </patternFill>
      </fill>
    </dxf>
    <dxf>
      <font>
        <b/>
        <i val="0"/>
        <color rgb="FFC00000"/>
      </font>
      <numFmt numFmtId="172" formatCode="_(\!* #,##0_);_(\!* \(#,##0\);_(\!* \-??_);_(\!\ @_)"/>
    </dxf>
    <dxf>
      <font>
        <b/>
        <i val="0"/>
        <color rgb="FFC00000"/>
      </font>
      <fill>
        <patternFill patternType="none">
          <bgColor auto="1"/>
        </patternFill>
      </fill>
    </dxf>
    <dxf>
      <font>
        <b val="0"/>
        <i val="0"/>
      </font>
      <fill>
        <patternFill>
          <bgColor rgb="FFA6A6A6"/>
        </patternFill>
      </fill>
    </dxf>
    <dxf>
      <font>
        <b/>
        <i val="0"/>
      </font>
      <fill>
        <patternFill>
          <bgColor rgb="FFEBBB10"/>
        </patternFill>
      </fill>
    </dxf>
    <dxf>
      <font>
        <b/>
        <i val="0"/>
        <color theme="0"/>
      </font>
      <fill>
        <patternFill>
          <bgColor rgb="FFC00000"/>
        </patternFill>
      </fill>
    </dxf>
    <dxf>
      <font>
        <b/>
        <i val="0"/>
        <color rgb="FF595959"/>
      </font>
      <fill>
        <patternFill patternType="none">
          <bgColor auto="1"/>
        </patternFill>
      </fill>
    </dxf>
    <dxf>
      <fill>
        <patternFill>
          <bgColor rgb="FFEAEAEA"/>
        </patternFill>
      </fill>
    </dxf>
    <dxf>
      <fill>
        <patternFill>
          <bgColor rgb="FFEAEAEA"/>
        </patternFill>
      </fill>
    </dxf>
    <dxf>
      <font>
        <b val="0"/>
        <i val="0"/>
      </font>
      <fill>
        <patternFill>
          <bgColor rgb="FFA6A6A6"/>
        </patternFill>
      </fill>
    </dxf>
    <dxf>
      <font>
        <b/>
        <i val="0"/>
        <color rgb="FFC00000"/>
      </font>
      <numFmt numFmtId="172" formatCode="_(\!* #,##0_);_(\!* \(#,##0\);_(\!* \-??_);_(\!\ @_)"/>
    </dxf>
    <dxf>
      <font>
        <b/>
        <i val="0"/>
        <color rgb="FFC00000"/>
      </font>
      <fill>
        <patternFill patternType="none">
          <bgColor auto="1"/>
        </patternFill>
      </fill>
    </dxf>
    <dxf>
      <font>
        <b val="0"/>
        <i val="0"/>
      </font>
      <fill>
        <patternFill>
          <bgColor rgb="FFA6A6A6"/>
        </patternFill>
      </fill>
    </dxf>
    <dxf>
      <font>
        <b/>
        <i val="0"/>
      </font>
      <fill>
        <patternFill>
          <bgColor rgb="FFEBBB10"/>
        </patternFill>
      </fill>
    </dxf>
    <dxf>
      <font>
        <b/>
        <i val="0"/>
        <color theme="0"/>
      </font>
      <fill>
        <patternFill>
          <bgColor rgb="FFC00000"/>
        </patternFill>
      </fill>
    </dxf>
    <dxf>
      <font>
        <b/>
        <i val="0"/>
        <color rgb="FF595959"/>
      </font>
      <fill>
        <patternFill patternType="none">
          <bgColor auto="1"/>
        </patternFill>
      </fill>
    </dxf>
    <dxf>
      <fill>
        <patternFill>
          <bgColor rgb="FFEAEAEA"/>
        </patternFill>
      </fill>
    </dxf>
    <dxf>
      <fill>
        <patternFill>
          <bgColor rgb="FFEAEAEA"/>
        </patternFill>
      </fill>
    </dxf>
    <dxf>
      <font>
        <b val="0"/>
        <i val="0"/>
      </font>
      <fill>
        <patternFill>
          <bgColor rgb="FFA6A6A6"/>
        </patternFill>
      </fill>
    </dxf>
    <dxf>
      <font>
        <b/>
        <i val="0"/>
        <color rgb="FFC00000"/>
      </font>
      <numFmt numFmtId="172" formatCode="_(\!* #,##0_);_(\!* \(#,##0\);_(\!* \-??_);_(\!\ @_)"/>
    </dxf>
    <dxf>
      <font>
        <b/>
        <i val="0"/>
        <color rgb="FFC00000"/>
      </font>
      <fill>
        <patternFill patternType="none">
          <bgColor auto="1"/>
        </patternFill>
      </fill>
    </dxf>
    <dxf>
      <font>
        <b val="0"/>
        <i val="0"/>
      </font>
      <fill>
        <patternFill>
          <bgColor rgb="FFA6A6A6"/>
        </patternFill>
      </fill>
    </dxf>
    <dxf>
      <font>
        <b/>
        <i val="0"/>
      </font>
      <fill>
        <patternFill>
          <bgColor rgb="FFEBBB10"/>
        </patternFill>
      </fill>
    </dxf>
    <dxf>
      <font>
        <b/>
        <i val="0"/>
        <color theme="0"/>
      </font>
      <fill>
        <patternFill>
          <bgColor rgb="FFC00000"/>
        </patternFill>
      </fill>
    </dxf>
    <dxf>
      <font>
        <b/>
        <i val="0"/>
        <color rgb="FF595959"/>
      </font>
      <fill>
        <patternFill patternType="none">
          <bgColor auto="1"/>
        </patternFill>
      </fill>
    </dxf>
    <dxf>
      <fill>
        <patternFill>
          <bgColor rgb="FFEAEAEA"/>
        </patternFill>
      </fill>
    </dxf>
    <dxf>
      <fill>
        <patternFill>
          <bgColor rgb="FFEAEAEA"/>
        </patternFill>
      </fill>
    </dxf>
    <dxf>
      <font>
        <b val="0"/>
        <i val="0"/>
      </font>
      <fill>
        <patternFill>
          <bgColor rgb="FFA6A6A6"/>
        </patternFill>
      </fill>
    </dxf>
    <dxf>
      <font>
        <b/>
        <i val="0"/>
        <color rgb="FFC00000"/>
      </font>
      <numFmt numFmtId="172" formatCode="_(\!* #,##0_);_(\!* \(#,##0\);_(\!* \-??_);_(\!\ @_)"/>
    </dxf>
    <dxf>
      <font>
        <b/>
        <i val="0"/>
        <color rgb="FFC00000"/>
      </font>
      <fill>
        <patternFill patternType="none">
          <bgColor auto="1"/>
        </patternFill>
      </fill>
    </dxf>
    <dxf>
      <font>
        <b val="0"/>
        <i val="0"/>
      </font>
      <fill>
        <patternFill>
          <bgColor rgb="FFA6A6A6"/>
        </patternFill>
      </fill>
    </dxf>
    <dxf>
      <font>
        <b/>
        <i val="0"/>
      </font>
      <fill>
        <patternFill>
          <bgColor rgb="FFEBBB10"/>
        </patternFill>
      </fill>
    </dxf>
    <dxf>
      <font>
        <b/>
        <i val="0"/>
        <color theme="0"/>
      </font>
      <fill>
        <patternFill>
          <bgColor rgb="FFC00000"/>
        </patternFill>
      </fill>
    </dxf>
    <dxf>
      <font>
        <b/>
        <i val="0"/>
        <color rgb="FF595959"/>
      </font>
      <fill>
        <patternFill patternType="none">
          <bgColor auto="1"/>
        </patternFill>
      </fill>
    </dxf>
    <dxf>
      <fill>
        <patternFill>
          <bgColor rgb="FFEAEAEA"/>
        </patternFill>
      </fill>
    </dxf>
    <dxf>
      <fill>
        <patternFill>
          <bgColor rgb="FFEAEAEA"/>
        </patternFill>
      </fill>
    </dxf>
    <dxf>
      <font>
        <b val="0"/>
        <i val="0"/>
      </font>
      <fill>
        <patternFill>
          <bgColor rgb="FFA6A6A6"/>
        </patternFill>
      </fill>
    </dxf>
    <dxf>
      <font>
        <b/>
        <i val="0"/>
        <color rgb="FFC00000"/>
      </font>
      <numFmt numFmtId="172" formatCode="_(\!* #,##0_);_(\!* \(#,##0\);_(\!* \-??_);_(\!\ @_)"/>
    </dxf>
    <dxf>
      <font>
        <b/>
        <i val="0"/>
        <color rgb="FFC00000"/>
      </font>
      <fill>
        <patternFill patternType="none">
          <bgColor auto="1"/>
        </patternFill>
      </fill>
    </dxf>
    <dxf>
      <font>
        <b val="0"/>
        <i val="0"/>
      </font>
      <fill>
        <patternFill>
          <bgColor rgb="FFA6A6A6"/>
        </patternFill>
      </fill>
    </dxf>
    <dxf>
      <font>
        <b/>
        <i val="0"/>
      </font>
      <fill>
        <patternFill>
          <bgColor rgb="FFEBBB10"/>
        </patternFill>
      </fill>
    </dxf>
    <dxf>
      <font>
        <b/>
        <i val="0"/>
        <color theme="0"/>
      </font>
      <fill>
        <patternFill>
          <bgColor rgb="FFC00000"/>
        </patternFill>
      </fill>
    </dxf>
    <dxf>
      <font>
        <b/>
        <i val="0"/>
        <color rgb="FF595959"/>
      </font>
      <fill>
        <patternFill patternType="none">
          <bgColor auto="1"/>
        </patternFill>
      </fill>
    </dxf>
    <dxf>
      <fill>
        <patternFill>
          <bgColor rgb="FFEAEAEA"/>
        </patternFill>
      </fill>
    </dxf>
    <dxf>
      <fill>
        <patternFill>
          <bgColor rgb="FFEAEAEA"/>
        </patternFill>
      </fill>
    </dxf>
    <dxf>
      <font>
        <b val="0"/>
        <i val="0"/>
      </font>
      <fill>
        <patternFill>
          <bgColor rgb="FFA6A6A6"/>
        </patternFill>
      </fill>
    </dxf>
    <dxf>
      <font>
        <b/>
        <i val="0"/>
        <color rgb="FFC00000"/>
      </font>
      <numFmt numFmtId="172" formatCode="_(\!* #,##0_);_(\!* \(#,##0\);_(\!* \-??_);_(\!\ @_)"/>
    </dxf>
    <dxf>
      <font>
        <b/>
        <i val="0"/>
        <color rgb="FFC00000"/>
      </font>
      <fill>
        <patternFill patternType="none">
          <bgColor auto="1"/>
        </patternFill>
      </fill>
    </dxf>
    <dxf>
      <font>
        <b val="0"/>
        <i val="0"/>
      </font>
      <fill>
        <patternFill>
          <bgColor rgb="FFA6A6A6"/>
        </patternFill>
      </fill>
    </dxf>
    <dxf>
      <font>
        <b/>
        <i val="0"/>
      </font>
      <fill>
        <patternFill>
          <bgColor rgb="FFEBBB10"/>
        </patternFill>
      </fill>
    </dxf>
    <dxf>
      <font>
        <b/>
        <i val="0"/>
        <color theme="0"/>
      </font>
      <fill>
        <patternFill>
          <bgColor rgb="FFC00000"/>
        </patternFill>
      </fill>
    </dxf>
    <dxf>
      <font>
        <b/>
        <i val="0"/>
        <color rgb="FF595959"/>
      </font>
      <fill>
        <patternFill patternType="none">
          <bgColor auto="1"/>
        </patternFill>
      </fill>
    </dxf>
    <dxf>
      <font>
        <b val="0"/>
        <i val="0"/>
      </font>
      <fill>
        <patternFill>
          <bgColor rgb="FFA6A6A6"/>
        </patternFill>
      </fill>
    </dxf>
    <dxf>
      <font>
        <b/>
        <i val="0"/>
        <color rgb="FFC00000"/>
      </font>
      <numFmt numFmtId="172" formatCode="_(\!* #,##0_);_(\!* \(#,##0\);_(\!* \-??_);_(\!\ @_)"/>
    </dxf>
    <dxf>
      <font>
        <b/>
        <i val="0"/>
        <color rgb="FFC00000"/>
      </font>
      <fill>
        <patternFill patternType="none">
          <bgColor auto="1"/>
        </patternFill>
      </fill>
    </dxf>
    <dxf>
      <font>
        <b val="0"/>
        <i val="0"/>
      </font>
      <fill>
        <patternFill>
          <bgColor rgb="FFA6A6A6"/>
        </patternFill>
      </fill>
    </dxf>
    <dxf>
      <font>
        <b/>
        <i val="0"/>
      </font>
      <fill>
        <patternFill>
          <bgColor rgb="FFEBBB10"/>
        </patternFill>
      </fill>
    </dxf>
    <dxf>
      <font>
        <b/>
        <i val="0"/>
        <color theme="0"/>
      </font>
      <fill>
        <patternFill>
          <bgColor rgb="FFC00000"/>
        </patternFill>
      </fill>
    </dxf>
    <dxf>
      <font>
        <b/>
        <i val="0"/>
        <color rgb="FF595959"/>
      </font>
      <fill>
        <patternFill patternType="none">
          <bgColor auto="1"/>
        </patternFill>
      </fill>
    </dxf>
    <dxf>
      <font>
        <b val="0"/>
        <i val="0"/>
      </font>
      <fill>
        <patternFill>
          <bgColor rgb="FFA6A6A6"/>
        </patternFill>
      </fill>
    </dxf>
    <dxf>
      <font>
        <b/>
        <i val="0"/>
        <color rgb="FFC00000"/>
      </font>
      <numFmt numFmtId="172" formatCode="_(\!* #,##0_);_(\!* \(#,##0\);_(\!* \-??_);_(\!\ @_)"/>
    </dxf>
    <dxf>
      <font>
        <b/>
        <i val="0"/>
        <color rgb="FFC00000"/>
      </font>
      <fill>
        <patternFill patternType="none">
          <bgColor auto="1"/>
        </patternFill>
      </fill>
    </dxf>
    <dxf>
      <font>
        <b val="0"/>
        <i val="0"/>
      </font>
      <fill>
        <patternFill>
          <bgColor rgb="FFA6A6A6"/>
        </patternFill>
      </fill>
    </dxf>
    <dxf>
      <font>
        <b/>
        <i val="0"/>
      </font>
      <fill>
        <patternFill>
          <bgColor rgb="FFEBBB10"/>
        </patternFill>
      </fill>
    </dxf>
    <dxf>
      <font>
        <b/>
        <i val="0"/>
        <color theme="0"/>
      </font>
      <fill>
        <patternFill>
          <bgColor rgb="FFC00000"/>
        </patternFill>
      </fill>
    </dxf>
    <dxf>
      <font>
        <b/>
        <i val="0"/>
        <color rgb="FF595959"/>
      </font>
      <fill>
        <patternFill patternType="none">
          <bgColor auto="1"/>
        </patternFill>
      </fill>
    </dxf>
    <dxf>
      <font>
        <b val="0"/>
        <i val="0"/>
      </font>
      <fill>
        <patternFill>
          <bgColor rgb="FFA6A6A6"/>
        </patternFill>
      </fill>
    </dxf>
    <dxf>
      <font>
        <b/>
        <i val="0"/>
        <color rgb="FFC00000"/>
      </font>
      <numFmt numFmtId="172" formatCode="_(\!* #,##0_);_(\!* \(#,##0\);_(\!* \-??_);_(\!\ @_)"/>
    </dxf>
    <dxf>
      <font>
        <b/>
        <i val="0"/>
        <color rgb="FFC00000"/>
      </font>
      <fill>
        <patternFill patternType="none">
          <bgColor auto="1"/>
        </patternFill>
      </fill>
    </dxf>
    <dxf>
      <font>
        <b val="0"/>
        <i val="0"/>
      </font>
      <fill>
        <patternFill>
          <bgColor rgb="FFA6A6A6"/>
        </patternFill>
      </fill>
    </dxf>
    <dxf>
      <font>
        <b/>
        <i val="0"/>
      </font>
      <fill>
        <patternFill>
          <bgColor rgb="FFEBBB10"/>
        </patternFill>
      </fill>
    </dxf>
    <dxf>
      <font>
        <b/>
        <i val="0"/>
        <color theme="0"/>
      </font>
      <fill>
        <patternFill>
          <bgColor rgb="FFC00000"/>
        </patternFill>
      </fill>
    </dxf>
    <dxf>
      <font>
        <b/>
        <i val="0"/>
        <color rgb="FF595959"/>
      </font>
      <fill>
        <patternFill patternType="none">
          <bgColor auto="1"/>
        </patternFill>
      </fill>
    </dxf>
    <dxf>
      <font>
        <b val="0"/>
        <i val="0"/>
      </font>
      <fill>
        <patternFill>
          <bgColor rgb="FFA6A6A6"/>
        </patternFill>
      </fill>
    </dxf>
    <dxf>
      <font>
        <b/>
        <i val="0"/>
        <color rgb="FFC00000"/>
      </font>
      <numFmt numFmtId="172" formatCode="_(\!* #,##0_);_(\!* \(#,##0\);_(\!* \-??_);_(\!\ @_)"/>
    </dxf>
    <dxf>
      <font>
        <b/>
        <i val="0"/>
        <color rgb="FFC00000"/>
      </font>
      <fill>
        <patternFill patternType="none">
          <bgColor auto="1"/>
        </patternFill>
      </fill>
    </dxf>
    <dxf>
      <font>
        <b val="0"/>
        <i val="0"/>
      </font>
      <fill>
        <patternFill>
          <bgColor rgb="FFA6A6A6"/>
        </patternFill>
      </fill>
    </dxf>
    <dxf>
      <font>
        <b/>
        <i val="0"/>
      </font>
      <fill>
        <patternFill>
          <bgColor rgb="FFEBBB10"/>
        </patternFill>
      </fill>
    </dxf>
    <dxf>
      <font>
        <b/>
        <i val="0"/>
        <color theme="0"/>
      </font>
      <fill>
        <patternFill>
          <bgColor rgb="FFC00000"/>
        </patternFill>
      </fill>
    </dxf>
    <dxf>
      <font>
        <b/>
        <i val="0"/>
        <color rgb="FF595959"/>
      </font>
      <fill>
        <patternFill patternType="none">
          <bgColor auto="1"/>
        </patternFill>
      </fill>
    </dxf>
    <dxf>
      <font>
        <b val="0"/>
        <i val="0"/>
      </font>
      <fill>
        <patternFill>
          <bgColor rgb="FFA6A6A6"/>
        </patternFill>
      </fill>
    </dxf>
    <dxf>
      <font>
        <b/>
        <i val="0"/>
        <color rgb="FFC00000"/>
      </font>
      <numFmt numFmtId="172" formatCode="_(\!* #,##0_);_(\!* \(#,##0\);_(\!* \-??_);_(\!\ @_)"/>
    </dxf>
    <dxf>
      <font>
        <b/>
        <i val="0"/>
        <color rgb="FFC00000"/>
      </font>
      <fill>
        <patternFill patternType="none">
          <bgColor auto="1"/>
        </patternFill>
      </fill>
    </dxf>
    <dxf>
      <font>
        <b val="0"/>
        <i val="0"/>
      </font>
      <fill>
        <patternFill>
          <bgColor rgb="FFA6A6A6"/>
        </patternFill>
      </fill>
    </dxf>
    <dxf>
      <font>
        <b/>
        <i val="0"/>
      </font>
      <fill>
        <patternFill>
          <bgColor rgb="FFEBBB10"/>
        </patternFill>
      </fill>
    </dxf>
    <dxf>
      <font>
        <b/>
        <i val="0"/>
        <color theme="0"/>
      </font>
      <fill>
        <patternFill>
          <bgColor rgb="FFC00000"/>
        </patternFill>
      </fill>
    </dxf>
    <dxf>
      <font>
        <b/>
        <i val="0"/>
        <color rgb="FF595959"/>
      </font>
      <fill>
        <patternFill patternType="none">
          <bgColor auto="1"/>
        </patternFill>
      </fill>
    </dxf>
    <dxf>
      <font>
        <b val="0"/>
        <i val="0"/>
      </font>
      <fill>
        <patternFill>
          <bgColor rgb="FFA6A6A6"/>
        </patternFill>
      </fill>
    </dxf>
    <dxf>
      <font>
        <b/>
        <i val="0"/>
        <color rgb="FFC00000"/>
      </font>
      <numFmt numFmtId="172" formatCode="_(\!* #,##0_);_(\!* \(#,##0\);_(\!* \-??_);_(\!\ @_)"/>
    </dxf>
    <dxf>
      <font>
        <b/>
        <i val="0"/>
        <color rgb="FFC00000"/>
      </font>
      <fill>
        <patternFill patternType="none">
          <bgColor auto="1"/>
        </patternFill>
      </fill>
    </dxf>
    <dxf>
      <font>
        <b val="0"/>
        <i val="0"/>
      </font>
      <fill>
        <patternFill>
          <bgColor rgb="FFA6A6A6"/>
        </patternFill>
      </fill>
    </dxf>
    <dxf>
      <font>
        <b/>
        <i val="0"/>
      </font>
      <fill>
        <patternFill>
          <bgColor rgb="FFEBBB10"/>
        </patternFill>
      </fill>
    </dxf>
    <dxf>
      <font>
        <b/>
        <i val="0"/>
        <color theme="0"/>
      </font>
      <fill>
        <patternFill>
          <bgColor rgb="FFC00000"/>
        </patternFill>
      </fill>
    </dxf>
    <dxf>
      <font>
        <b/>
        <i val="0"/>
        <color rgb="FF595959"/>
      </font>
      <fill>
        <patternFill patternType="none">
          <bgColor auto="1"/>
        </patternFill>
      </fill>
    </dxf>
    <dxf>
      <font>
        <b val="0"/>
        <i val="0"/>
      </font>
      <fill>
        <patternFill>
          <bgColor rgb="FFA6A6A6"/>
        </patternFill>
      </fill>
    </dxf>
    <dxf>
      <font>
        <b/>
        <i val="0"/>
        <color rgb="FFC00000"/>
      </font>
      <numFmt numFmtId="172" formatCode="_(\!* #,##0_);_(\!* \(#,##0\);_(\!* \-??_);_(\!\ @_)"/>
    </dxf>
    <dxf>
      <font>
        <b/>
        <i val="0"/>
        <color rgb="FFC00000"/>
      </font>
      <fill>
        <patternFill patternType="none">
          <bgColor auto="1"/>
        </patternFill>
      </fill>
    </dxf>
    <dxf>
      <font>
        <b val="0"/>
        <i val="0"/>
      </font>
      <fill>
        <patternFill>
          <bgColor rgb="FFA6A6A6"/>
        </patternFill>
      </fill>
    </dxf>
    <dxf>
      <font>
        <b/>
        <i val="0"/>
      </font>
      <fill>
        <patternFill>
          <bgColor rgb="FFEBBB10"/>
        </patternFill>
      </fill>
    </dxf>
    <dxf>
      <font>
        <b/>
        <i val="0"/>
        <color theme="0"/>
      </font>
      <fill>
        <patternFill>
          <bgColor rgb="FFC00000"/>
        </patternFill>
      </fill>
    </dxf>
    <dxf>
      <font>
        <b/>
        <i val="0"/>
        <color rgb="FF595959"/>
      </font>
      <fill>
        <patternFill patternType="none">
          <bgColor auto="1"/>
        </patternFill>
      </fill>
    </dxf>
    <dxf>
      <font>
        <b val="0"/>
        <i val="0"/>
      </font>
      <fill>
        <patternFill>
          <bgColor rgb="FFA6A6A6"/>
        </patternFill>
      </fill>
    </dxf>
    <dxf>
      <font>
        <b/>
        <i val="0"/>
        <color rgb="FFC00000"/>
      </font>
      <numFmt numFmtId="172" formatCode="_(\!* #,##0_);_(\!* \(#,##0\);_(\!* \-??_);_(\!\ @_)"/>
    </dxf>
    <dxf>
      <font>
        <b/>
        <i val="0"/>
        <color rgb="FFC00000"/>
      </font>
      <fill>
        <patternFill patternType="none">
          <bgColor auto="1"/>
        </patternFill>
      </fill>
    </dxf>
    <dxf>
      <font>
        <b val="0"/>
        <i val="0"/>
      </font>
      <fill>
        <patternFill>
          <bgColor rgb="FFA6A6A6"/>
        </patternFill>
      </fill>
    </dxf>
    <dxf>
      <font>
        <b/>
        <i val="0"/>
      </font>
      <fill>
        <patternFill>
          <bgColor rgb="FFEBBB10"/>
        </patternFill>
      </fill>
    </dxf>
    <dxf>
      <font>
        <b/>
        <i val="0"/>
        <color theme="0"/>
      </font>
      <fill>
        <patternFill>
          <bgColor rgb="FFC00000"/>
        </patternFill>
      </fill>
    </dxf>
    <dxf>
      <font>
        <b/>
        <i val="0"/>
        <color rgb="FF595959"/>
      </font>
      <fill>
        <patternFill patternType="none">
          <bgColor auto="1"/>
        </patternFill>
      </fill>
    </dxf>
    <dxf>
      <font>
        <b val="0"/>
        <i val="0"/>
      </font>
      <fill>
        <patternFill>
          <bgColor rgb="FFA6A6A6"/>
        </patternFill>
      </fill>
    </dxf>
    <dxf>
      <font>
        <b/>
        <i val="0"/>
        <color rgb="FFC00000"/>
      </font>
      <numFmt numFmtId="172" formatCode="_(\!* #,##0_);_(\!* \(#,##0\);_(\!* \-??_);_(\!\ @_)"/>
    </dxf>
    <dxf>
      <font>
        <b/>
        <i val="0"/>
        <color rgb="FFC00000"/>
      </font>
      <fill>
        <patternFill patternType="none">
          <bgColor auto="1"/>
        </patternFill>
      </fill>
    </dxf>
    <dxf>
      <font>
        <b val="0"/>
        <i val="0"/>
      </font>
      <fill>
        <patternFill>
          <bgColor rgb="FFA6A6A6"/>
        </patternFill>
      </fill>
    </dxf>
    <dxf>
      <font>
        <b/>
        <i val="0"/>
      </font>
      <fill>
        <patternFill>
          <bgColor rgb="FFEBBB10"/>
        </patternFill>
      </fill>
    </dxf>
    <dxf>
      <font>
        <b/>
        <i val="0"/>
        <color theme="0"/>
      </font>
      <fill>
        <patternFill>
          <bgColor rgb="FFC00000"/>
        </patternFill>
      </fill>
    </dxf>
    <dxf>
      <font>
        <b/>
        <i val="0"/>
        <color rgb="FF595959"/>
      </font>
      <fill>
        <patternFill patternType="none">
          <bgColor auto="1"/>
        </patternFill>
      </fill>
    </dxf>
    <dxf>
      <font>
        <b val="0"/>
        <i val="0"/>
      </font>
      <fill>
        <patternFill>
          <bgColor rgb="FFA6A6A6"/>
        </patternFill>
      </fill>
    </dxf>
    <dxf>
      <font>
        <b/>
        <i val="0"/>
        <color rgb="FFC00000"/>
      </font>
      <numFmt numFmtId="172" formatCode="_(\!* #,##0_);_(\!* \(#,##0\);_(\!* \-??_);_(\!\ @_)"/>
    </dxf>
    <dxf>
      <font>
        <b/>
        <i val="0"/>
        <color rgb="FFC00000"/>
      </font>
      <fill>
        <patternFill patternType="none">
          <bgColor auto="1"/>
        </patternFill>
      </fill>
    </dxf>
    <dxf>
      <font>
        <b val="0"/>
        <i val="0"/>
      </font>
      <fill>
        <patternFill>
          <bgColor rgb="FFA6A6A6"/>
        </patternFill>
      </fill>
    </dxf>
    <dxf>
      <font>
        <b/>
        <i val="0"/>
      </font>
      <fill>
        <patternFill>
          <bgColor rgb="FFEBBB10"/>
        </patternFill>
      </fill>
    </dxf>
    <dxf>
      <font>
        <b/>
        <i val="0"/>
        <color theme="0"/>
      </font>
      <fill>
        <patternFill>
          <bgColor rgb="FFC00000"/>
        </patternFill>
      </fill>
    </dxf>
    <dxf>
      <font>
        <b/>
        <i val="0"/>
        <color rgb="FF595959"/>
      </font>
      <fill>
        <patternFill patternType="none">
          <bgColor auto="1"/>
        </patternFill>
      </fill>
    </dxf>
    <dxf>
      <font>
        <b val="0"/>
        <i val="0"/>
      </font>
      <fill>
        <patternFill>
          <bgColor rgb="FFA6A6A6"/>
        </patternFill>
      </fill>
    </dxf>
    <dxf>
      <font>
        <b/>
        <i val="0"/>
        <color rgb="FFC00000"/>
      </font>
      <numFmt numFmtId="172" formatCode="_(\!* #,##0_);_(\!* \(#,##0\);_(\!* \-??_);_(\!\ @_)"/>
    </dxf>
    <dxf>
      <font>
        <b/>
        <i val="0"/>
        <color rgb="FFC00000"/>
      </font>
      <fill>
        <patternFill patternType="none">
          <bgColor auto="1"/>
        </patternFill>
      </fill>
    </dxf>
    <dxf>
      <font>
        <b val="0"/>
        <i val="0"/>
      </font>
      <fill>
        <patternFill>
          <bgColor rgb="FFA6A6A6"/>
        </patternFill>
      </fill>
    </dxf>
    <dxf>
      <font>
        <b/>
        <i val="0"/>
      </font>
      <fill>
        <patternFill>
          <bgColor rgb="FFEBBB10"/>
        </patternFill>
      </fill>
    </dxf>
    <dxf>
      <font>
        <b/>
        <i val="0"/>
        <color theme="0"/>
      </font>
      <fill>
        <patternFill>
          <bgColor rgb="FFC00000"/>
        </patternFill>
      </fill>
    </dxf>
    <dxf>
      <font>
        <b/>
        <i val="0"/>
        <color rgb="FF595959"/>
      </font>
      <fill>
        <patternFill patternType="none">
          <bgColor auto="1"/>
        </patternFill>
      </fill>
    </dxf>
    <dxf>
      <font>
        <b val="0"/>
        <i val="0"/>
      </font>
      <fill>
        <patternFill>
          <bgColor rgb="FFA6A6A6"/>
        </patternFill>
      </fill>
    </dxf>
    <dxf>
      <font>
        <b/>
        <i val="0"/>
        <color rgb="FFC00000"/>
      </font>
      <numFmt numFmtId="172" formatCode="_(\!* #,##0_);_(\!* \(#,##0\);_(\!* \-??_);_(\!\ @_)"/>
    </dxf>
    <dxf>
      <font>
        <b/>
        <i val="0"/>
        <color rgb="FFC00000"/>
      </font>
      <fill>
        <patternFill patternType="none">
          <bgColor auto="1"/>
        </patternFill>
      </fill>
    </dxf>
    <dxf>
      <font>
        <b val="0"/>
        <i val="0"/>
      </font>
      <fill>
        <patternFill>
          <bgColor rgb="FFA6A6A6"/>
        </patternFill>
      </fill>
    </dxf>
    <dxf>
      <font>
        <b/>
        <i val="0"/>
      </font>
      <fill>
        <patternFill>
          <bgColor rgb="FFEBBB10"/>
        </patternFill>
      </fill>
    </dxf>
    <dxf>
      <font>
        <b/>
        <i val="0"/>
        <color theme="0"/>
      </font>
      <fill>
        <patternFill>
          <bgColor rgb="FFC00000"/>
        </patternFill>
      </fill>
    </dxf>
    <dxf>
      <font>
        <b/>
        <i val="0"/>
        <color rgb="FF595959"/>
      </font>
      <fill>
        <patternFill patternType="none">
          <bgColor auto="1"/>
        </patternFill>
      </fill>
    </dxf>
    <dxf>
      <font>
        <b val="0"/>
        <i val="0"/>
      </font>
      <fill>
        <patternFill>
          <bgColor rgb="FFA6A6A6"/>
        </patternFill>
      </fill>
    </dxf>
    <dxf>
      <font>
        <b/>
        <i val="0"/>
        <color rgb="FFC00000"/>
      </font>
      <numFmt numFmtId="172" formatCode="_(\!* #,##0_);_(\!* \(#,##0\);_(\!* \-??_);_(\!\ @_)"/>
    </dxf>
    <dxf>
      <font>
        <b/>
        <i val="0"/>
        <color rgb="FFC00000"/>
      </font>
      <fill>
        <patternFill patternType="none">
          <bgColor auto="1"/>
        </patternFill>
      </fill>
    </dxf>
    <dxf>
      <font>
        <b val="0"/>
        <i val="0"/>
      </font>
      <fill>
        <patternFill>
          <bgColor rgb="FFA6A6A6"/>
        </patternFill>
      </fill>
    </dxf>
    <dxf>
      <font>
        <b/>
        <i val="0"/>
      </font>
      <fill>
        <patternFill>
          <bgColor rgb="FFEBBB10"/>
        </patternFill>
      </fill>
    </dxf>
    <dxf>
      <font>
        <b/>
        <i val="0"/>
        <color theme="0"/>
      </font>
      <fill>
        <patternFill>
          <bgColor rgb="FFC00000"/>
        </patternFill>
      </fill>
    </dxf>
    <dxf>
      <font>
        <b/>
        <i val="0"/>
        <color rgb="FF595959"/>
      </font>
      <fill>
        <patternFill patternType="none">
          <bgColor auto="1"/>
        </patternFill>
      </fill>
    </dxf>
    <dxf>
      <font>
        <b val="0"/>
        <i val="0"/>
      </font>
      <fill>
        <patternFill>
          <bgColor rgb="FFA6A6A6"/>
        </patternFill>
      </fill>
    </dxf>
    <dxf>
      <font>
        <b/>
        <i val="0"/>
        <color rgb="FFC00000"/>
      </font>
      <numFmt numFmtId="172" formatCode="_(\!* #,##0_);_(\!* \(#,##0\);_(\!* \-??_);_(\!\ @_)"/>
    </dxf>
    <dxf>
      <font>
        <b/>
        <i val="0"/>
        <color rgb="FFC00000"/>
      </font>
      <fill>
        <patternFill patternType="none">
          <bgColor auto="1"/>
        </patternFill>
      </fill>
    </dxf>
    <dxf>
      <font>
        <b val="0"/>
        <i val="0"/>
      </font>
      <fill>
        <patternFill>
          <bgColor rgb="FFA6A6A6"/>
        </patternFill>
      </fill>
    </dxf>
    <dxf>
      <font>
        <b/>
        <i val="0"/>
      </font>
      <fill>
        <patternFill>
          <bgColor rgb="FFEBBB10"/>
        </patternFill>
      </fill>
    </dxf>
    <dxf>
      <font>
        <b/>
        <i val="0"/>
        <color theme="0"/>
      </font>
      <fill>
        <patternFill>
          <bgColor rgb="FFC00000"/>
        </patternFill>
      </fill>
    </dxf>
    <dxf>
      <font>
        <b/>
        <i val="0"/>
        <color rgb="FF595959"/>
      </font>
      <fill>
        <patternFill patternType="none">
          <bgColor auto="1"/>
        </patternFill>
      </fill>
    </dxf>
    <dxf>
      <font>
        <b val="0"/>
        <i val="0"/>
      </font>
      <fill>
        <patternFill>
          <bgColor rgb="FFA6A6A6"/>
        </patternFill>
      </fill>
    </dxf>
    <dxf>
      <font>
        <b/>
        <i val="0"/>
        <color rgb="FFC00000"/>
      </font>
      <numFmt numFmtId="172" formatCode="_(\!* #,##0_);_(\!* \(#,##0\);_(\!* \-??_);_(\!\ @_)"/>
    </dxf>
    <dxf>
      <font>
        <b/>
        <i val="0"/>
        <color rgb="FFC00000"/>
      </font>
      <fill>
        <patternFill patternType="none">
          <bgColor auto="1"/>
        </patternFill>
      </fill>
    </dxf>
    <dxf>
      <font>
        <b/>
        <i val="0"/>
      </font>
      <fill>
        <patternFill>
          <bgColor rgb="FFEBBB10"/>
        </patternFill>
      </fill>
    </dxf>
    <dxf>
      <font>
        <b/>
        <i val="0"/>
        <color theme="0"/>
      </font>
      <fill>
        <patternFill>
          <bgColor rgb="FFC00000"/>
        </patternFill>
      </fill>
    </dxf>
    <dxf>
      <font>
        <b/>
        <i val="0"/>
        <color rgb="FF595959"/>
      </font>
      <fill>
        <patternFill patternType="none">
          <bgColor auto="1"/>
        </patternFill>
      </fill>
    </dxf>
    <dxf>
      <font>
        <b/>
        <i val="0"/>
        <color rgb="FFC00000"/>
      </font>
      <numFmt numFmtId="172" formatCode="_(\!* #,##0_);_(\!* \(#,##0\);_(\!* \-??_);_(\!\ @_)"/>
    </dxf>
    <dxf>
      <font>
        <b/>
        <i val="0"/>
        <color rgb="FFC00000"/>
      </font>
      <fill>
        <patternFill patternType="none">
          <bgColor auto="1"/>
        </patternFill>
      </fill>
    </dxf>
    <dxf>
      <font>
        <b val="0"/>
        <i val="0"/>
      </font>
      <fill>
        <patternFill>
          <bgColor rgb="FFA6A6A6"/>
        </patternFill>
      </fill>
    </dxf>
    <dxf>
      <font>
        <b/>
        <i val="0"/>
      </font>
      <fill>
        <patternFill>
          <bgColor rgb="FFEBBB10"/>
        </patternFill>
      </fill>
    </dxf>
    <dxf>
      <font>
        <b/>
        <i val="0"/>
        <color theme="0"/>
      </font>
      <fill>
        <patternFill>
          <bgColor rgb="FFC00000"/>
        </patternFill>
      </fill>
    </dxf>
    <dxf>
      <font>
        <b/>
        <i val="0"/>
        <color rgb="FF595959"/>
      </font>
      <fill>
        <patternFill patternType="none">
          <bgColor auto="1"/>
        </patternFill>
      </fill>
    </dxf>
    <dxf>
      <font>
        <b/>
        <i val="0"/>
        <color rgb="FFC00000"/>
      </font>
      <numFmt numFmtId="172" formatCode="_(\!* #,##0_);_(\!* \(#,##0\);_(\!* \-??_);_(\!\ @_)"/>
    </dxf>
    <dxf>
      <font>
        <b/>
        <i val="0"/>
        <color rgb="FFC00000"/>
      </font>
      <fill>
        <patternFill patternType="none">
          <bgColor auto="1"/>
        </patternFill>
      </fill>
    </dxf>
    <dxf>
      <font>
        <b val="0"/>
        <i val="0"/>
      </font>
      <fill>
        <patternFill>
          <bgColor rgb="FFA6A6A6"/>
        </patternFill>
      </fill>
    </dxf>
    <dxf>
      <font>
        <b/>
        <i val="0"/>
      </font>
      <fill>
        <patternFill>
          <bgColor rgb="FFEBBB10"/>
        </patternFill>
      </fill>
    </dxf>
    <dxf>
      <font>
        <b/>
        <i val="0"/>
        <color theme="0"/>
      </font>
      <fill>
        <patternFill>
          <bgColor rgb="FFC00000"/>
        </patternFill>
      </fill>
    </dxf>
    <dxf>
      <font>
        <b/>
        <i val="0"/>
        <color rgb="FF595959"/>
      </font>
      <fill>
        <patternFill patternType="none">
          <bgColor auto="1"/>
        </patternFill>
      </fill>
    </dxf>
    <dxf>
      <font>
        <b/>
        <i val="0"/>
        <color rgb="FFC00000"/>
      </font>
      <numFmt numFmtId="172" formatCode="_(\!* #,##0_);_(\!* \(#,##0\);_(\!* \-??_);_(\!\ @_)"/>
    </dxf>
    <dxf>
      <font>
        <b/>
        <i val="0"/>
        <color rgb="FFC00000"/>
      </font>
      <fill>
        <patternFill patternType="none">
          <bgColor auto="1"/>
        </patternFill>
      </fill>
    </dxf>
    <dxf>
      <font>
        <b val="0"/>
        <i val="0"/>
      </font>
      <fill>
        <patternFill>
          <bgColor rgb="FFA6A6A6"/>
        </patternFill>
      </fill>
    </dxf>
    <dxf>
      <font>
        <b/>
        <i val="0"/>
      </font>
      <fill>
        <patternFill>
          <bgColor rgb="FFEBBB10"/>
        </patternFill>
      </fill>
    </dxf>
    <dxf>
      <font>
        <b/>
        <i val="0"/>
        <color theme="0"/>
      </font>
      <fill>
        <patternFill>
          <bgColor rgb="FFC00000"/>
        </patternFill>
      </fill>
    </dxf>
    <dxf>
      <font>
        <b/>
        <i val="0"/>
        <color rgb="FF595959"/>
      </font>
      <fill>
        <patternFill patternType="none">
          <bgColor auto="1"/>
        </patternFill>
      </fill>
    </dxf>
    <dxf>
      <font>
        <b/>
        <i val="0"/>
        <color rgb="FFC00000"/>
      </font>
      <numFmt numFmtId="172" formatCode="_(\!* #,##0_);_(\!* \(#,##0\);_(\!* \-??_);_(\!\ @_)"/>
    </dxf>
    <dxf>
      <font>
        <b/>
        <i val="0"/>
        <color rgb="FFC00000"/>
      </font>
      <fill>
        <patternFill patternType="none">
          <bgColor auto="1"/>
        </patternFill>
      </fill>
    </dxf>
    <dxf>
      <font>
        <b val="0"/>
        <i val="0"/>
      </font>
      <fill>
        <patternFill>
          <bgColor rgb="FFA6A6A6"/>
        </patternFill>
      </fill>
    </dxf>
    <dxf>
      <font>
        <b/>
        <i val="0"/>
      </font>
      <fill>
        <patternFill>
          <bgColor rgb="FFEBBB10"/>
        </patternFill>
      </fill>
    </dxf>
    <dxf>
      <font>
        <b/>
        <i val="0"/>
        <color theme="0"/>
      </font>
      <fill>
        <patternFill>
          <bgColor rgb="FFC00000"/>
        </patternFill>
      </fill>
    </dxf>
    <dxf>
      <font>
        <b/>
        <i val="0"/>
        <color rgb="FF595959"/>
      </font>
      <fill>
        <patternFill patternType="none">
          <bgColor auto="1"/>
        </patternFill>
      </fill>
    </dxf>
    <dxf>
      <font>
        <b/>
        <i val="0"/>
        <color rgb="FFC00000"/>
      </font>
      <numFmt numFmtId="172" formatCode="_(\!* #,##0_);_(\!* \(#,##0\);_(\!* \-??_);_(\!\ @_)"/>
    </dxf>
    <dxf>
      <font>
        <b/>
        <i val="0"/>
        <color rgb="FFC00000"/>
      </font>
      <fill>
        <patternFill patternType="none">
          <bgColor auto="1"/>
        </patternFill>
      </fill>
    </dxf>
    <dxf>
      <font>
        <b val="0"/>
        <i val="0"/>
      </font>
      <fill>
        <patternFill>
          <bgColor rgb="FFA6A6A6"/>
        </patternFill>
      </fill>
    </dxf>
    <dxf>
      <font>
        <b/>
        <i val="0"/>
      </font>
      <fill>
        <patternFill>
          <bgColor rgb="FFEBBB10"/>
        </patternFill>
      </fill>
    </dxf>
    <dxf>
      <font>
        <b/>
        <i val="0"/>
        <color theme="0"/>
      </font>
      <fill>
        <patternFill>
          <bgColor rgb="FFC00000"/>
        </patternFill>
      </fill>
    </dxf>
    <dxf>
      <font>
        <b/>
        <i val="0"/>
        <color rgb="FF595959"/>
      </font>
      <fill>
        <patternFill patternType="none">
          <bgColor auto="1"/>
        </patternFill>
      </fill>
    </dxf>
    <dxf>
      <font>
        <b/>
        <i val="0"/>
        <color rgb="FFC00000"/>
      </font>
      <numFmt numFmtId="172" formatCode="_(\!* #,##0_);_(\!* \(#,##0\);_(\!* \-??_);_(\!\ @_)"/>
    </dxf>
    <dxf>
      <font>
        <b/>
        <i val="0"/>
        <color rgb="FFC00000"/>
      </font>
      <fill>
        <patternFill patternType="none">
          <bgColor auto="1"/>
        </patternFill>
      </fill>
    </dxf>
    <dxf>
      <font>
        <b val="0"/>
        <i val="0"/>
      </font>
      <fill>
        <patternFill>
          <bgColor rgb="FFA6A6A6"/>
        </patternFill>
      </fill>
    </dxf>
    <dxf>
      <font>
        <b/>
        <i val="0"/>
      </font>
      <fill>
        <patternFill>
          <bgColor rgb="FFEBBB10"/>
        </patternFill>
      </fill>
    </dxf>
    <dxf>
      <font>
        <b/>
        <i val="0"/>
        <color theme="0"/>
      </font>
      <fill>
        <patternFill>
          <bgColor rgb="FFC00000"/>
        </patternFill>
      </fill>
    </dxf>
    <dxf>
      <font>
        <b/>
        <i val="0"/>
        <color rgb="FF595959"/>
      </font>
      <fill>
        <patternFill patternType="none">
          <bgColor auto="1"/>
        </patternFill>
      </fill>
    </dxf>
    <dxf>
      <font>
        <b/>
        <i val="0"/>
        <color rgb="FFC00000"/>
      </font>
      <numFmt numFmtId="172" formatCode="_(\!* #,##0_);_(\!* \(#,##0\);_(\!* \-??_);_(\!\ @_)"/>
    </dxf>
    <dxf>
      <font>
        <b/>
        <i val="0"/>
        <color rgb="FFC00000"/>
      </font>
      <fill>
        <patternFill patternType="none">
          <bgColor auto="1"/>
        </patternFill>
      </fill>
    </dxf>
    <dxf>
      <font>
        <b val="0"/>
        <i val="0"/>
      </font>
      <fill>
        <patternFill>
          <bgColor rgb="FFA6A6A6"/>
        </patternFill>
      </fill>
    </dxf>
    <dxf>
      <font>
        <b/>
        <i val="0"/>
      </font>
      <fill>
        <patternFill>
          <bgColor rgb="FFEBBB10"/>
        </patternFill>
      </fill>
    </dxf>
    <dxf>
      <font>
        <b/>
        <i val="0"/>
        <color theme="0"/>
      </font>
      <fill>
        <patternFill>
          <bgColor rgb="FFC00000"/>
        </patternFill>
      </fill>
    </dxf>
    <dxf>
      <font>
        <b/>
        <i val="0"/>
        <color rgb="FF595959"/>
      </font>
      <fill>
        <patternFill patternType="none">
          <bgColor auto="1"/>
        </patternFill>
      </fill>
    </dxf>
    <dxf>
      <font>
        <b/>
        <i val="0"/>
        <color rgb="FFC00000"/>
      </font>
      <numFmt numFmtId="172" formatCode="_(\!* #,##0_);_(\!* \(#,##0\);_(\!* \-??_);_(\!\ @_)"/>
    </dxf>
    <dxf>
      <font>
        <b/>
        <i val="0"/>
        <color rgb="FFC00000"/>
      </font>
      <fill>
        <patternFill patternType="none">
          <bgColor auto="1"/>
        </patternFill>
      </fill>
    </dxf>
    <dxf>
      <font>
        <b val="0"/>
        <i val="0"/>
      </font>
      <fill>
        <patternFill>
          <bgColor rgb="FFA6A6A6"/>
        </patternFill>
      </fill>
    </dxf>
    <dxf>
      <font>
        <b/>
        <i val="0"/>
      </font>
      <fill>
        <patternFill>
          <bgColor rgb="FFEBBB10"/>
        </patternFill>
      </fill>
    </dxf>
    <dxf>
      <font>
        <b/>
        <i val="0"/>
        <color theme="0"/>
      </font>
      <fill>
        <patternFill>
          <bgColor rgb="FFC00000"/>
        </patternFill>
      </fill>
    </dxf>
    <dxf>
      <font>
        <b/>
        <i val="0"/>
        <color rgb="FF595959"/>
      </font>
      <fill>
        <patternFill patternType="none">
          <bgColor auto="1"/>
        </patternFill>
      </fill>
    </dxf>
    <dxf>
      <font>
        <b/>
        <i val="0"/>
        <color rgb="FFC00000"/>
      </font>
      <numFmt numFmtId="172" formatCode="_(\!* #,##0_);_(\!* \(#,##0\);_(\!* \-??_);_(\!\ @_)"/>
    </dxf>
    <dxf>
      <font>
        <b/>
        <i val="0"/>
        <color rgb="FFC00000"/>
      </font>
      <fill>
        <patternFill patternType="none">
          <bgColor auto="1"/>
        </patternFill>
      </fill>
    </dxf>
    <dxf>
      <font>
        <b val="0"/>
        <i val="0"/>
      </font>
      <fill>
        <patternFill>
          <bgColor rgb="FFA6A6A6"/>
        </patternFill>
      </fill>
    </dxf>
    <dxf>
      <font>
        <b/>
        <i val="0"/>
      </font>
      <fill>
        <patternFill>
          <bgColor rgb="FFEBBB10"/>
        </patternFill>
      </fill>
    </dxf>
    <dxf>
      <font>
        <b/>
        <i val="0"/>
        <color theme="0"/>
      </font>
      <fill>
        <patternFill>
          <bgColor rgb="FFC00000"/>
        </patternFill>
      </fill>
    </dxf>
    <dxf>
      <font>
        <b/>
        <i val="0"/>
        <color rgb="FF595959"/>
      </font>
      <fill>
        <patternFill patternType="none">
          <bgColor auto="1"/>
        </patternFill>
      </fill>
    </dxf>
    <dxf>
      <font>
        <b/>
        <i val="0"/>
        <color rgb="FFC00000"/>
      </font>
      <numFmt numFmtId="172" formatCode="_(\!* #,##0_);_(\!* \(#,##0\);_(\!* \-??_);_(\!\ @_)"/>
    </dxf>
    <dxf>
      <font>
        <b/>
        <i val="0"/>
        <color rgb="FFC00000"/>
      </font>
      <fill>
        <patternFill patternType="none">
          <bgColor auto="1"/>
        </patternFill>
      </fill>
    </dxf>
    <dxf>
      <font>
        <b val="0"/>
        <i val="0"/>
      </font>
      <fill>
        <patternFill>
          <bgColor rgb="FFA6A6A6"/>
        </patternFill>
      </fill>
    </dxf>
    <dxf>
      <font>
        <b/>
        <i val="0"/>
      </font>
      <fill>
        <patternFill>
          <bgColor rgb="FFEBBB10"/>
        </patternFill>
      </fill>
    </dxf>
    <dxf>
      <font>
        <b/>
        <i val="0"/>
        <color theme="0"/>
      </font>
      <fill>
        <patternFill>
          <bgColor rgb="FFC00000"/>
        </patternFill>
      </fill>
    </dxf>
    <dxf>
      <font>
        <b/>
        <i val="0"/>
        <color rgb="FF595959"/>
      </font>
      <fill>
        <patternFill patternType="none">
          <bgColor auto="1"/>
        </patternFill>
      </fill>
    </dxf>
    <dxf>
      <font>
        <b/>
        <i val="0"/>
        <color rgb="FFC00000"/>
      </font>
      <numFmt numFmtId="172" formatCode="_(\!* #,##0_);_(\!* \(#,##0\);_(\!* \-??_);_(\!\ @_)"/>
    </dxf>
    <dxf>
      <font>
        <b/>
        <i val="0"/>
        <color rgb="FFC00000"/>
      </font>
      <fill>
        <patternFill patternType="none">
          <bgColor auto="1"/>
        </patternFill>
      </fill>
    </dxf>
    <dxf>
      <font>
        <b val="0"/>
        <i val="0"/>
      </font>
      <fill>
        <patternFill>
          <bgColor rgb="FFA6A6A6"/>
        </patternFill>
      </fill>
    </dxf>
    <dxf>
      <font>
        <b/>
        <i val="0"/>
      </font>
      <fill>
        <patternFill>
          <bgColor rgb="FFEBBB10"/>
        </patternFill>
      </fill>
    </dxf>
    <dxf>
      <font>
        <b/>
        <i val="0"/>
        <color theme="0"/>
      </font>
      <fill>
        <patternFill>
          <bgColor rgb="FFC00000"/>
        </patternFill>
      </fill>
    </dxf>
    <dxf>
      <font>
        <b/>
        <i val="0"/>
        <color rgb="FF595959"/>
      </font>
      <fill>
        <patternFill patternType="none">
          <bgColor auto="1"/>
        </patternFill>
      </fill>
    </dxf>
    <dxf>
      <font>
        <b/>
        <i val="0"/>
        <color rgb="FFC00000"/>
      </font>
      <numFmt numFmtId="172" formatCode="_(\!* #,##0_);_(\!* \(#,##0\);_(\!* \-??_);_(\!\ @_)"/>
    </dxf>
    <dxf>
      <font>
        <b/>
        <i val="0"/>
        <color rgb="FFC00000"/>
      </font>
      <fill>
        <patternFill patternType="none">
          <bgColor auto="1"/>
        </patternFill>
      </fill>
    </dxf>
    <dxf>
      <font>
        <b val="0"/>
        <i val="0"/>
      </font>
      <fill>
        <patternFill>
          <bgColor rgb="FFA6A6A6"/>
        </patternFill>
      </fill>
    </dxf>
    <dxf>
      <font>
        <b/>
        <i val="0"/>
      </font>
      <fill>
        <patternFill>
          <bgColor rgb="FFEBBB10"/>
        </patternFill>
      </fill>
    </dxf>
    <dxf>
      <font>
        <b/>
        <i val="0"/>
        <color theme="0"/>
      </font>
      <fill>
        <patternFill>
          <bgColor rgb="FFC00000"/>
        </patternFill>
      </fill>
    </dxf>
    <dxf>
      <font>
        <b/>
        <i val="0"/>
        <color rgb="FF595959"/>
      </font>
      <fill>
        <patternFill patternType="none">
          <bgColor auto="1"/>
        </patternFill>
      </fill>
    </dxf>
    <dxf>
      <font>
        <b/>
        <i val="0"/>
        <color rgb="FFC00000"/>
      </font>
      <numFmt numFmtId="172" formatCode="_(\!* #,##0_);_(\!* \(#,##0\);_(\!* \-??_);_(\!\ @_)"/>
    </dxf>
    <dxf>
      <font>
        <b/>
        <i val="0"/>
        <color rgb="FFC00000"/>
      </font>
      <fill>
        <patternFill patternType="none">
          <bgColor auto="1"/>
        </patternFill>
      </fill>
    </dxf>
    <dxf>
      <font>
        <b val="0"/>
        <i val="0"/>
      </font>
      <fill>
        <patternFill>
          <bgColor rgb="FFA6A6A6"/>
        </patternFill>
      </fill>
    </dxf>
    <dxf>
      <font>
        <b/>
        <i val="0"/>
      </font>
      <fill>
        <patternFill>
          <bgColor rgb="FFEBBB10"/>
        </patternFill>
      </fill>
    </dxf>
    <dxf>
      <font>
        <b/>
        <i val="0"/>
        <color theme="0"/>
      </font>
      <fill>
        <patternFill>
          <bgColor rgb="FFC00000"/>
        </patternFill>
      </fill>
    </dxf>
    <dxf>
      <font>
        <b/>
        <i val="0"/>
        <color rgb="FF595959"/>
      </font>
      <fill>
        <patternFill patternType="none">
          <bgColor auto="1"/>
        </patternFill>
      </fill>
    </dxf>
    <dxf>
      <font>
        <b/>
        <i val="0"/>
        <color rgb="FFC00000"/>
      </font>
      <numFmt numFmtId="172" formatCode="_(\!* #,##0_);_(\!* \(#,##0\);_(\!* \-??_);_(\!\ @_)"/>
    </dxf>
    <dxf>
      <font>
        <b/>
        <i val="0"/>
        <color rgb="FFC00000"/>
      </font>
      <fill>
        <patternFill patternType="none">
          <bgColor auto="1"/>
        </patternFill>
      </fill>
    </dxf>
    <dxf>
      <font>
        <b val="0"/>
        <i val="0"/>
      </font>
      <fill>
        <patternFill>
          <bgColor rgb="FFA6A6A6"/>
        </patternFill>
      </fill>
    </dxf>
    <dxf>
      <font>
        <b/>
        <i val="0"/>
      </font>
      <fill>
        <patternFill>
          <bgColor rgb="FFEBBB10"/>
        </patternFill>
      </fill>
    </dxf>
    <dxf>
      <font>
        <b/>
        <i val="0"/>
        <color theme="0"/>
      </font>
      <fill>
        <patternFill>
          <bgColor rgb="FFC00000"/>
        </patternFill>
      </fill>
    </dxf>
    <dxf>
      <font>
        <b/>
        <i val="0"/>
        <color rgb="FF595959"/>
      </font>
      <fill>
        <patternFill patternType="none">
          <bgColor auto="1"/>
        </patternFill>
      </fill>
    </dxf>
    <dxf>
      <font>
        <b/>
        <i val="0"/>
        <color rgb="FFC00000"/>
      </font>
      <numFmt numFmtId="172" formatCode="_(\!* #,##0_);_(\!* \(#,##0\);_(\!* \-??_);_(\!\ @_)"/>
    </dxf>
    <dxf>
      <font>
        <b/>
        <i val="0"/>
        <color rgb="FFC00000"/>
      </font>
      <fill>
        <patternFill patternType="none">
          <bgColor auto="1"/>
        </patternFill>
      </fill>
    </dxf>
    <dxf>
      <font>
        <b val="0"/>
        <i val="0"/>
      </font>
      <fill>
        <patternFill>
          <bgColor rgb="FFA6A6A6"/>
        </patternFill>
      </fill>
    </dxf>
    <dxf>
      <font>
        <b/>
        <i val="0"/>
        <color auto="1"/>
      </font>
      <fill>
        <patternFill>
          <bgColor rgb="FFEBBB10"/>
        </patternFill>
      </fill>
    </dxf>
    <dxf>
      <fill>
        <patternFill>
          <bgColor theme="9" tint="0.59996337778862885"/>
        </patternFill>
      </fill>
    </dxf>
    <dxf>
      <font>
        <b/>
        <i val="0"/>
      </font>
      <fill>
        <patternFill>
          <bgColor rgb="FFEBBB10"/>
        </patternFill>
      </fill>
    </dxf>
    <dxf>
      <fill>
        <patternFill>
          <bgColor theme="9" tint="0.59996337778862885"/>
        </patternFill>
      </fill>
    </dxf>
    <dxf>
      <font>
        <b/>
        <i val="0"/>
      </font>
      <fill>
        <patternFill>
          <bgColor rgb="FFEBBB10"/>
        </patternFill>
      </fill>
    </dxf>
    <dxf>
      <fill>
        <patternFill>
          <bgColor rgb="FFEAEAEA"/>
        </patternFill>
      </fill>
    </dxf>
    <dxf>
      <font>
        <color rgb="FFEAEAEA"/>
      </font>
    </dxf>
    <dxf>
      <fill>
        <patternFill>
          <bgColor rgb="FFEAEAEA"/>
        </patternFill>
      </fill>
    </dxf>
    <dxf>
      <font>
        <color rgb="FFEAEAEA"/>
      </font>
    </dxf>
    <dxf>
      <font>
        <color rgb="FFEAEAEA"/>
      </font>
    </dxf>
    <dxf>
      <fill>
        <patternFill>
          <bgColor rgb="FFEAEAEA"/>
        </patternFill>
      </fill>
    </dxf>
    <dxf>
      <fill>
        <patternFill>
          <bgColor rgb="FFEAEAEA"/>
        </patternFill>
      </fill>
    </dxf>
    <dxf>
      <font>
        <color rgb="FFEAEAEA"/>
      </font>
    </dxf>
    <dxf>
      <fill>
        <patternFill>
          <bgColor rgb="FFEAEAEA"/>
        </patternFill>
      </fill>
    </dxf>
    <dxf>
      <font>
        <color rgb="FFEAEAEA"/>
      </font>
    </dxf>
    <dxf>
      <font>
        <color rgb="FFEAEAEA"/>
      </font>
    </dxf>
    <dxf>
      <fill>
        <patternFill>
          <bgColor rgb="FFEAEAEA"/>
        </patternFill>
      </fill>
    </dxf>
    <dxf>
      <font>
        <b/>
        <i val="0"/>
        <color auto="1"/>
      </font>
      <fill>
        <patternFill>
          <bgColor theme="9" tint="0.59996337778862885"/>
        </patternFill>
      </fill>
    </dxf>
    <dxf>
      <font>
        <b/>
        <i val="0"/>
        <color theme="0"/>
      </font>
      <fill>
        <patternFill>
          <bgColor rgb="FFC00000"/>
        </patternFill>
      </fill>
    </dxf>
    <dxf>
      <font>
        <b/>
        <i val="0"/>
        <color theme="0"/>
      </font>
      <fill>
        <patternFill>
          <bgColor rgb="FFC00000"/>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ont>
        <b val="0"/>
        <i val="0"/>
      </font>
      <fill>
        <patternFill>
          <bgColor rgb="FFA6A6A6"/>
        </patternFill>
      </fill>
    </dxf>
    <dxf>
      <font>
        <b/>
        <i val="0"/>
      </font>
      <fill>
        <patternFill>
          <bgColor rgb="FFEBBB10"/>
        </patternFill>
      </fill>
    </dxf>
    <dxf>
      <font>
        <b/>
        <i val="0"/>
        <color theme="0"/>
      </font>
      <fill>
        <patternFill>
          <bgColor rgb="FFC00000"/>
        </patternFill>
      </fill>
    </dxf>
    <dxf>
      <font>
        <b/>
        <i val="0"/>
        <color rgb="FF595959"/>
      </font>
      <fill>
        <patternFill patternType="none">
          <bgColor auto="1"/>
        </patternFill>
      </fill>
    </dxf>
    <dxf>
      <font>
        <color rgb="FFEAEAEA"/>
      </font>
    </dxf>
    <dxf>
      <font>
        <b/>
        <i val="0"/>
        <color rgb="FFC00000"/>
      </font>
      <numFmt numFmtId="173" formatCode="_(\!_$* #,##0_);_(\!_$* \(#,##0\);_(\!_$* \-??_);_(\!\ @_)"/>
    </dxf>
    <dxf>
      <font>
        <color rgb="FFEAEAEA"/>
      </font>
    </dxf>
    <dxf>
      <font>
        <color rgb="FFEAEAEA"/>
      </font>
    </dxf>
    <dxf>
      <font>
        <color rgb="FFEAEAEA"/>
      </font>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ont>
        <b val="0"/>
        <i val="0"/>
      </font>
      <fill>
        <patternFill>
          <bgColor rgb="FFA6A6A6"/>
        </patternFill>
      </fill>
    </dxf>
    <dxf>
      <font>
        <b/>
        <i val="0"/>
      </font>
      <fill>
        <patternFill>
          <bgColor rgb="FFEBBB10"/>
        </patternFill>
      </fill>
    </dxf>
    <dxf>
      <font>
        <b/>
        <i val="0"/>
        <color theme="0"/>
      </font>
      <fill>
        <patternFill>
          <bgColor rgb="FFC00000"/>
        </patternFill>
      </fill>
    </dxf>
    <dxf>
      <font>
        <b/>
        <i val="0"/>
        <color rgb="FF595959"/>
      </font>
      <fill>
        <patternFill patternType="none">
          <bgColor auto="1"/>
        </patternFill>
      </fill>
    </dxf>
    <dxf>
      <font>
        <b val="0"/>
        <i val="0"/>
      </font>
      <fill>
        <patternFill>
          <bgColor rgb="FFA6A6A6"/>
        </patternFill>
      </fill>
    </dxf>
    <dxf>
      <font>
        <b/>
        <i val="0"/>
      </font>
      <fill>
        <patternFill>
          <bgColor rgb="FFEBBB10"/>
        </patternFill>
      </fill>
    </dxf>
    <dxf>
      <font>
        <b/>
        <i val="0"/>
        <color theme="0"/>
      </font>
      <fill>
        <patternFill>
          <bgColor rgb="FFC00000"/>
        </patternFill>
      </fill>
    </dxf>
    <dxf>
      <font>
        <b/>
        <i val="0"/>
        <color rgb="FF595959"/>
      </font>
      <fill>
        <patternFill patternType="none">
          <bgColor auto="1"/>
        </patternFill>
      </fill>
    </dxf>
    <dxf>
      <font>
        <b/>
        <i val="0"/>
      </font>
      <fill>
        <patternFill>
          <bgColor rgb="FFEBBB10"/>
        </patternFill>
      </fill>
    </dxf>
    <dxf>
      <font>
        <b/>
        <i val="0"/>
        <color theme="0"/>
      </font>
      <fill>
        <patternFill>
          <bgColor rgb="FFC00000"/>
        </patternFill>
      </fill>
    </dxf>
    <dxf>
      <font>
        <b/>
        <i val="0"/>
        <color rgb="FF595959"/>
      </font>
      <fill>
        <patternFill patternType="none">
          <bgColor auto="1"/>
        </patternFill>
      </fill>
    </dxf>
    <dxf>
      <font>
        <b/>
        <i val="0"/>
        <color rgb="FFC00000"/>
      </font>
      <fill>
        <patternFill patternType="none">
          <bgColor auto="1"/>
        </patternFill>
      </fill>
    </dxf>
    <dxf>
      <font>
        <b/>
        <i val="0"/>
        <color rgb="FFC00000"/>
      </font>
      <numFmt numFmtId="174" formatCode="_(\!* #,##0.00_);_(\!* \(#,##0.00\);_(\!* \-??_);_(\!\ @_)"/>
      <fill>
        <patternFill patternType="none">
          <bgColor auto="1"/>
        </patternFill>
      </fill>
    </dxf>
    <dxf>
      <font>
        <b val="0"/>
        <i val="0"/>
      </font>
      <fill>
        <patternFill>
          <bgColor rgb="FFA6A6A6"/>
        </patternFill>
      </fill>
    </dxf>
    <dxf>
      <font>
        <b val="0"/>
        <i val="0"/>
      </font>
      <fill>
        <patternFill>
          <bgColor rgb="FFA6A6A6"/>
        </patternFill>
      </fill>
    </dxf>
    <dxf>
      <font>
        <b val="0"/>
        <i val="0"/>
      </font>
      <fill>
        <patternFill>
          <bgColor rgb="FFA6A6A6"/>
        </patternFill>
      </fill>
    </dxf>
    <dxf>
      <font>
        <b/>
        <i val="0"/>
      </font>
      <fill>
        <patternFill>
          <bgColor rgb="FFEBBB10"/>
        </patternFill>
      </fill>
    </dxf>
    <dxf>
      <font>
        <b/>
        <i val="0"/>
        <color theme="0"/>
      </font>
      <fill>
        <patternFill>
          <bgColor rgb="FFC00000"/>
        </patternFill>
      </fill>
    </dxf>
    <dxf>
      <font>
        <b/>
        <i val="0"/>
        <color rgb="FF595959"/>
      </font>
      <fill>
        <patternFill patternType="none">
          <bgColor auto="1"/>
        </patternFill>
      </fill>
    </dxf>
    <dxf>
      <font>
        <b val="0"/>
        <i val="0"/>
      </font>
      <fill>
        <patternFill>
          <bgColor rgb="FFA6A6A6"/>
        </patternFill>
      </fill>
    </dxf>
    <dxf>
      <font>
        <b/>
        <i val="0"/>
      </font>
      <fill>
        <patternFill>
          <bgColor rgb="FFEBBB10"/>
        </patternFill>
      </fill>
    </dxf>
    <dxf>
      <font>
        <b/>
        <i val="0"/>
        <color theme="0"/>
      </font>
      <fill>
        <patternFill>
          <bgColor rgb="FFC00000"/>
        </patternFill>
      </fill>
    </dxf>
    <dxf>
      <font>
        <b/>
        <i val="0"/>
        <color rgb="FF595959"/>
      </font>
      <fill>
        <patternFill patternType="none">
          <bgColor auto="1"/>
        </patternFill>
      </fill>
    </dxf>
    <dxf>
      <font>
        <b/>
        <i val="0"/>
        <color rgb="FFC00000"/>
      </font>
      <numFmt numFmtId="172" formatCode="_(\!* #,##0_);_(\!* \(#,##0\);_(\!* \-??_);_(\!\ @_)"/>
    </dxf>
    <dxf>
      <fill>
        <patternFill>
          <bgColor rgb="FFEAEAEA"/>
        </patternFill>
      </fill>
    </dxf>
    <dxf>
      <font>
        <b val="0"/>
        <i val="0"/>
      </font>
      <fill>
        <patternFill>
          <bgColor rgb="FFA6A6A6"/>
        </patternFill>
      </fill>
    </dxf>
    <dxf>
      <font>
        <b/>
        <i val="0"/>
      </font>
      <fill>
        <patternFill>
          <bgColor rgb="FFEBBB10"/>
        </patternFill>
      </fill>
    </dxf>
    <dxf>
      <font>
        <b/>
        <i val="0"/>
        <color theme="0"/>
      </font>
      <fill>
        <patternFill>
          <bgColor rgb="FFC00000"/>
        </patternFill>
      </fill>
    </dxf>
    <dxf>
      <font>
        <b/>
        <i val="0"/>
        <color rgb="FF595959"/>
      </font>
      <fill>
        <patternFill patternType="none">
          <bgColor auto="1"/>
        </patternFill>
      </fill>
    </dxf>
    <dxf>
      <font>
        <b val="0"/>
        <i val="0"/>
      </font>
      <fill>
        <patternFill>
          <bgColor rgb="FFA6A6A6"/>
        </patternFill>
      </fill>
    </dxf>
    <dxf>
      <font>
        <b/>
        <i val="0"/>
      </font>
      <fill>
        <patternFill>
          <bgColor rgb="FFEBBB10"/>
        </patternFill>
      </fill>
    </dxf>
    <dxf>
      <font>
        <b/>
        <i val="0"/>
        <color theme="0"/>
      </font>
      <fill>
        <patternFill>
          <bgColor rgb="FFC00000"/>
        </patternFill>
      </fill>
    </dxf>
    <dxf>
      <font>
        <b/>
        <i val="0"/>
        <color rgb="FF595959"/>
      </font>
      <fill>
        <patternFill patternType="none">
          <bgColor auto="1"/>
        </patternFill>
      </fill>
    </dxf>
    <dxf>
      <font>
        <b/>
        <i val="0"/>
        <color rgb="FFC00000"/>
      </font>
      <numFmt numFmtId="173" formatCode="_(\!_$* #,##0_);_(\!_$* \(#,##0\);_(\!_$* \-??_);_(\!\ @_)"/>
    </dxf>
    <dxf>
      <font>
        <b val="0"/>
        <i val="0"/>
      </font>
      <fill>
        <patternFill>
          <bgColor rgb="FFA6A6A6"/>
        </patternFill>
      </fill>
    </dxf>
    <dxf>
      <font>
        <b/>
        <i val="0"/>
      </font>
      <fill>
        <patternFill>
          <bgColor rgb="FFEBBB10"/>
        </patternFill>
      </fill>
    </dxf>
    <dxf>
      <font>
        <b/>
        <i val="0"/>
        <color theme="0"/>
      </font>
      <fill>
        <patternFill>
          <bgColor rgb="FFC00000"/>
        </patternFill>
      </fill>
    </dxf>
    <dxf>
      <font>
        <b/>
        <i val="0"/>
        <color rgb="FF595959"/>
      </font>
      <fill>
        <patternFill patternType="none">
          <bgColor auto="1"/>
        </patternFill>
      </fill>
    </dxf>
    <dxf>
      <font>
        <b/>
        <i val="0"/>
        <color rgb="FFC00000"/>
      </font>
      <numFmt numFmtId="173" formatCode="_(\!_$* #,##0_);_(\!_$* \(#,##0\);_(\!_$* \-??_);_(\!\ @_)"/>
    </dxf>
    <dxf>
      <font>
        <b val="0"/>
        <i val="0"/>
      </font>
      <fill>
        <patternFill>
          <bgColor rgb="FFA6A6A6"/>
        </patternFill>
      </fill>
    </dxf>
    <dxf>
      <font>
        <b/>
        <i val="0"/>
      </font>
      <fill>
        <patternFill>
          <bgColor rgb="FFEBBB10"/>
        </patternFill>
      </fill>
    </dxf>
    <dxf>
      <font>
        <b/>
        <i val="0"/>
        <color theme="0"/>
      </font>
      <fill>
        <patternFill>
          <bgColor rgb="FFC00000"/>
        </patternFill>
      </fill>
    </dxf>
    <dxf>
      <font>
        <b/>
        <i val="0"/>
        <color rgb="FF595959"/>
      </font>
      <fill>
        <patternFill patternType="none">
          <bgColor auto="1"/>
        </patternFill>
      </fill>
    </dxf>
    <dxf>
      <font>
        <b/>
        <i val="0"/>
        <color rgb="FFC00000"/>
      </font>
      <numFmt numFmtId="173" formatCode="_(\!_$* #,##0_);_(\!_$* \(#,##0\);_(\!_$* \-??_);_(\!\ @_)"/>
    </dxf>
    <dxf>
      <font>
        <b/>
        <i val="0"/>
        <color rgb="FFC00000"/>
      </font>
      <numFmt numFmtId="172" formatCode="_(\!* #,##0_);_(\!* \(#,##0\);_(\!* \-??_);_(\!\ @_)"/>
    </dxf>
    <dxf>
      <font>
        <b val="0"/>
        <i val="0"/>
      </font>
      <fill>
        <patternFill>
          <bgColor rgb="FFA6A6A6"/>
        </patternFill>
      </fill>
    </dxf>
    <dxf>
      <font>
        <b/>
        <i val="0"/>
      </font>
      <fill>
        <patternFill>
          <bgColor rgb="FFEBBB10"/>
        </patternFill>
      </fill>
    </dxf>
    <dxf>
      <font>
        <b/>
        <i val="0"/>
        <color theme="0"/>
      </font>
      <fill>
        <patternFill>
          <bgColor rgb="FFC00000"/>
        </patternFill>
      </fill>
    </dxf>
    <dxf>
      <font>
        <b/>
        <i val="0"/>
        <color rgb="FF595959"/>
      </font>
      <fill>
        <patternFill patternType="none">
          <bgColor auto="1"/>
        </patternFill>
      </fill>
    </dxf>
    <dxf>
      <fill>
        <patternFill>
          <bgColor rgb="FFEAEAEA"/>
        </patternFill>
      </fill>
    </dxf>
    <dxf>
      <fill>
        <patternFill>
          <bgColor rgb="FFEAEAEA"/>
        </patternFill>
      </fill>
    </dxf>
    <dxf>
      <font>
        <b/>
        <i val="0"/>
      </font>
      <fill>
        <patternFill>
          <bgColor rgb="FFEBBB10"/>
        </patternFill>
      </fill>
    </dxf>
    <dxf>
      <font>
        <b/>
        <i val="0"/>
        <color theme="0"/>
      </font>
      <fill>
        <patternFill>
          <bgColor rgb="FFC00000"/>
        </patternFill>
      </fill>
    </dxf>
    <dxf>
      <font>
        <b/>
        <i val="0"/>
        <color rgb="FF595959"/>
      </font>
      <fill>
        <patternFill patternType="none">
          <bgColor auto="1"/>
        </patternFill>
      </fill>
    </dxf>
    <dxf>
      <font>
        <b/>
        <i val="0"/>
        <color rgb="FFFFFFFF"/>
      </font>
      <fill>
        <patternFill patternType="solid">
          <bgColor rgb="FFC00000"/>
        </patternFill>
      </fill>
    </dxf>
    <dxf>
      <font>
        <b/>
        <i val="0"/>
        <color rgb="FFFFFFFF"/>
      </font>
      <fill>
        <patternFill patternType="solid">
          <bgColor rgb="FFC00000"/>
        </patternFill>
      </fill>
    </dxf>
    <dxf>
      <font>
        <b val="0"/>
        <i val="0"/>
      </font>
      <fill>
        <patternFill>
          <bgColor rgb="FFA6A6A6"/>
        </patternFill>
      </fill>
    </dxf>
    <dxf>
      <font>
        <b/>
        <i val="0"/>
        <color rgb="FFC00000"/>
      </font>
      <numFmt numFmtId="174" formatCode="_(\!* #,##0.00_);_(\!* \(#,##0.00\);_(\!* \-??_);_(\!\ @_)"/>
      <fill>
        <patternFill patternType="none">
          <bgColor auto="1"/>
        </patternFill>
      </fill>
    </dxf>
    <dxf>
      <font>
        <b/>
        <i val="0"/>
        <color rgb="FFC00000"/>
      </font>
      <numFmt numFmtId="172" formatCode="_(\!* #,##0_);_(\!* \(#,##0\);_(\!* \-??_);_(\!\ @_)"/>
    </dxf>
    <dxf>
      <font>
        <b/>
        <i val="0"/>
        <color rgb="FFC00000"/>
      </font>
      <fill>
        <patternFill patternType="none">
          <bgColor auto="1"/>
        </patternFill>
      </fill>
    </dxf>
    <dxf>
      <font>
        <b val="0"/>
        <i val="0"/>
      </font>
      <fill>
        <patternFill>
          <bgColor rgb="FFA6A6A6"/>
        </patternFill>
      </fill>
    </dxf>
    <dxf>
      <font>
        <b/>
        <i val="0"/>
        <color rgb="FFC00000"/>
      </font>
      <fill>
        <patternFill patternType="none">
          <bgColor auto="1"/>
        </patternFill>
      </fill>
    </dxf>
    <dxf>
      <font>
        <b val="0"/>
        <i val="0"/>
      </font>
      <fill>
        <patternFill>
          <bgColor rgb="FFA6A6A6"/>
        </patternFill>
      </fill>
    </dxf>
    <dxf>
      <font>
        <b/>
        <i val="0"/>
      </font>
      <fill>
        <patternFill>
          <bgColor rgb="FFEBBB10"/>
        </patternFill>
      </fill>
    </dxf>
    <dxf>
      <font>
        <b/>
        <i val="0"/>
        <color theme="0"/>
      </font>
      <fill>
        <patternFill>
          <bgColor rgb="FFC00000"/>
        </patternFill>
      </fill>
    </dxf>
    <dxf>
      <font>
        <b/>
        <i val="0"/>
        <color rgb="FF595959"/>
      </font>
      <fill>
        <patternFill patternType="none">
          <bgColor auto="1"/>
        </patternFill>
      </fill>
    </dxf>
    <dxf>
      <font>
        <b/>
        <i val="0"/>
      </font>
      <fill>
        <patternFill>
          <bgColor rgb="FFEBBB10"/>
        </patternFill>
      </fill>
    </dxf>
    <dxf>
      <font>
        <b/>
        <i val="0"/>
        <color theme="0"/>
      </font>
      <fill>
        <patternFill>
          <bgColor rgb="FFC00000"/>
        </patternFill>
      </fill>
    </dxf>
    <dxf>
      <font>
        <b/>
        <i val="0"/>
        <color rgb="FF595959"/>
      </font>
      <fill>
        <patternFill patternType="none">
          <bgColor auto="1"/>
        </patternFill>
      </fill>
    </dxf>
    <dxf>
      <font>
        <b val="0"/>
        <i val="0"/>
      </font>
      <fill>
        <patternFill>
          <bgColor rgb="FFA6A6A6"/>
        </patternFill>
      </fill>
    </dxf>
    <dxf>
      <font>
        <b/>
        <i val="0"/>
      </font>
      <fill>
        <patternFill>
          <bgColor rgb="FFEBBB10"/>
        </patternFill>
      </fill>
    </dxf>
    <dxf>
      <font>
        <b/>
        <i val="0"/>
        <color theme="0"/>
      </font>
      <fill>
        <patternFill>
          <bgColor rgb="FFC00000"/>
        </patternFill>
      </fill>
    </dxf>
    <dxf>
      <font>
        <b/>
        <i val="0"/>
        <color rgb="FF595959"/>
      </font>
      <fill>
        <patternFill patternType="none">
          <bgColor auto="1"/>
        </patternFill>
      </fill>
    </dxf>
    <dxf>
      <font>
        <b/>
        <i val="0"/>
      </font>
      <fill>
        <patternFill>
          <bgColor rgb="FFEBBB10"/>
        </patternFill>
      </fill>
    </dxf>
    <dxf>
      <font>
        <b/>
        <i val="0"/>
        <color theme="0"/>
      </font>
      <fill>
        <patternFill>
          <bgColor rgb="FFC00000"/>
        </patternFill>
      </fill>
    </dxf>
    <dxf>
      <font>
        <b/>
        <i val="0"/>
        <color rgb="FF595959"/>
      </font>
      <fill>
        <patternFill patternType="none">
          <bgColor auto="1"/>
        </patternFill>
      </fill>
    </dxf>
    <dxf>
      <font>
        <b val="0"/>
        <i val="0"/>
      </font>
      <fill>
        <patternFill>
          <bgColor rgb="FFA6A6A6"/>
        </patternFill>
      </fill>
    </dxf>
    <dxf>
      <font>
        <b val="0"/>
        <i val="0"/>
      </font>
      <fill>
        <patternFill>
          <bgColor rgb="FFA6A6A6"/>
        </patternFill>
      </fill>
    </dxf>
    <dxf>
      <font>
        <b/>
        <i val="0"/>
        <color rgb="FFC00000"/>
      </font>
      <fill>
        <patternFill patternType="none">
          <bgColor auto="1"/>
        </patternFill>
      </fill>
    </dxf>
    <dxf>
      <font>
        <b/>
        <i val="0"/>
        <color rgb="FFC00000"/>
      </font>
      <numFmt numFmtId="174" formatCode="_(\!* #,##0.00_);_(\!* \(#,##0.00\);_(\!* \-??_);_(\!\ @_)"/>
      <fill>
        <patternFill patternType="none">
          <bgColor auto="1"/>
        </patternFill>
      </fill>
    </dxf>
    <dxf>
      <font>
        <b/>
        <i val="0"/>
        <color rgb="FFC00000"/>
      </font>
      <fill>
        <patternFill patternType="none">
          <bgColor auto="1"/>
        </patternFill>
      </fill>
    </dxf>
    <dxf>
      <font>
        <b/>
        <i val="0"/>
        <color rgb="FFC00000"/>
      </font>
      <numFmt numFmtId="172" formatCode="_(\!* #,##0_);_(\!* \(#,##0\);_(\!* \-??_);_(\!\ @_)"/>
    </dxf>
    <dxf>
      <font>
        <b/>
        <i val="0"/>
        <color rgb="FFC00000"/>
      </font>
      <numFmt numFmtId="173" formatCode="_(\!_$* #,##0_);_(\!_$* \(#,##0\);_(\!_$* \-??_);_(\!\ @_)"/>
    </dxf>
    <dxf>
      <font>
        <b val="0"/>
        <i val="0"/>
      </font>
      <fill>
        <patternFill>
          <bgColor rgb="FFA6A6A6"/>
        </patternFill>
      </fill>
    </dxf>
    <dxf>
      <font>
        <b/>
        <i val="0"/>
        <color rgb="FFC00000"/>
      </font>
      <fill>
        <patternFill patternType="none">
          <bgColor auto="1"/>
        </patternFill>
      </fill>
    </dxf>
    <dxf>
      <font>
        <b/>
        <i val="0"/>
        <color rgb="FF595959"/>
      </font>
      <fill>
        <patternFill patternType="none">
          <bgColor auto="1"/>
        </patternFill>
      </fill>
    </dxf>
    <dxf>
      <font>
        <b/>
        <i val="0"/>
        <color theme="0"/>
      </font>
      <fill>
        <patternFill>
          <bgColor rgb="FFC00000"/>
        </patternFill>
      </fill>
    </dxf>
    <dxf>
      <font>
        <b/>
        <i val="0"/>
        <color auto="1"/>
      </font>
      <fill>
        <patternFill patternType="solid">
          <bgColor rgb="FFEBBB10"/>
        </patternFill>
      </fill>
    </dxf>
    <dxf>
      <font>
        <b/>
        <i val="0"/>
        <color rgb="FFFFFFFF"/>
      </font>
      <fill>
        <patternFill patternType="solid">
          <bgColor rgb="FFC00000"/>
        </patternFill>
      </fill>
    </dxf>
    <dxf>
      <font>
        <b/>
        <i val="0"/>
        <color rgb="FFFFFFFF"/>
      </font>
      <fill>
        <patternFill patternType="solid">
          <bgColor rgb="FFC00000"/>
        </patternFill>
      </fill>
    </dxf>
    <dxf>
      <font>
        <b/>
        <i val="0"/>
        <color rgb="FFFFFFFF"/>
      </font>
      <fill>
        <patternFill patternType="solid">
          <bgColor rgb="FFC00000"/>
        </patternFill>
      </fill>
    </dxf>
    <dxf>
      <font>
        <b/>
        <i val="0"/>
        <color rgb="FFC00000"/>
      </font>
      <numFmt numFmtId="175" formatCode="_(\!* ###0_);_(\!* \(###0\);_(\!* \-??_);_(\!\ @_)"/>
    </dxf>
    <dxf>
      <fill>
        <patternFill>
          <bgColor rgb="FFEAEAEA"/>
        </patternFill>
      </fill>
    </dxf>
    <dxf>
      <font>
        <color auto="1"/>
      </font>
      <numFmt numFmtId="164" formatCode="@*."/>
    </dxf>
    <dxf>
      <font>
        <b/>
        <i val="0"/>
        <color rgb="FFC00000"/>
      </font>
      <fill>
        <patternFill patternType="solid">
          <bgColor rgb="FFFFFFFF"/>
        </patternFill>
      </fill>
    </dxf>
    <dxf>
      <font>
        <b val="0"/>
        <i val="0"/>
      </font>
      <fill>
        <patternFill>
          <bgColor rgb="FFA6A6A6"/>
        </patternFill>
      </fill>
    </dxf>
    <dxf>
      <font>
        <b/>
        <i val="0"/>
        <color rgb="FFC00000"/>
      </font>
      <numFmt numFmtId="172" formatCode="_(\!* #,##0_);_(\!* \(#,##0\);_(\!* \-??_);_(\!\ @_)"/>
    </dxf>
    <dxf>
      <font>
        <b/>
        <i val="0"/>
        <color rgb="FFC00000"/>
      </font>
      <fill>
        <patternFill patternType="none">
          <bgColor auto="1"/>
        </patternFill>
      </fill>
    </dxf>
    <dxf>
      <fill>
        <patternFill>
          <bgColor rgb="FFC00000"/>
        </patternFill>
      </fill>
    </dxf>
    <dxf>
      <font>
        <b/>
        <i val="0"/>
        <color rgb="FFFFFFFF"/>
      </font>
      <fill>
        <patternFill patternType="solid">
          <bgColor rgb="FFC00000"/>
        </patternFill>
      </fill>
    </dxf>
    <dxf>
      <font>
        <b/>
        <i val="0"/>
        <color rgb="FFFFFFFF"/>
      </font>
      <fill>
        <patternFill patternType="solid">
          <bgColor rgb="FFC00000"/>
        </patternFill>
      </fill>
    </dxf>
    <dxf>
      <font>
        <b/>
        <i val="0"/>
        <color rgb="FFFFFFFF"/>
      </font>
      <fill>
        <patternFill patternType="solid">
          <bgColor rgb="FFC00000"/>
        </patternFill>
      </fill>
    </dxf>
    <dxf>
      <fill>
        <patternFill>
          <bgColor rgb="FFFFFBCC"/>
        </patternFill>
      </fill>
    </dxf>
    <dxf>
      <font>
        <color rgb="FFEAEAEA"/>
      </font>
      <fill>
        <patternFill>
          <bgColor rgb="FFEAEAEA"/>
        </patternFill>
      </fill>
    </dxf>
    <dxf>
      <fill>
        <patternFill>
          <bgColor rgb="FFC00000"/>
        </patternFill>
      </fill>
    </dxf>
    <dxf>
      <font>
        <b val="0"/>
        <i val="0"/>
      </font>
      <fill>
        <patternFill>
          <bgColor rgb="FFA6A6A6"/>
        </patternFill>
      </fill>
    </dxf>
    <dxf>
      <font>
        <b/>
        <i val="0"/>
        <color rgb="FFC00000"/>
      </font>
      <numFmt numFmtId="172" formatCode="_(\!* #,##0_);_(\!* \(#,##0\);_(\!* \-??_);_(\!\ @_)"/>
    </dxf>
    <dxf>
      <font>
        <b/>
        <i val="0"/>
        <color rgb="FFC00000"/>
      </font>
      <fill>
        <patternFill patternType="none">
          <bgColor auto="1"/>
        </patternFill>
      </fill>
    </dxf>
    <dxf>
      <font>
        <b/>
        <i val="0"/>
        <color rgb="FF595959"/>
      </font>
      <fill>
        <patternFill patternType="none">
          <bgColor auto="1"/>
        </patternFill>
      </fill>
    </dxf>
    <dxf>
      <font>
        <b/>
        <i val="0"/>
        <color theme="0"/>
      </font>
      <fill>
        <patternFill>
          <bgColor rgb="FFC00000"/>
        </patternFill>
      </fill>
    </dxf>
    <dxf>
      <font>
        <b/>
        <i val="0"/>
        <color auto="1"/>
      </font>
      <fill>
        <patternFill patternType="solid">
          <bgColor rgb="FFEBBB10"/>
        </patternFill>
      </fill>
    </dxf>
    <dxf>
      <font>
        <b/>
        <i val="0"/>
        <color rgb="FFFFFFFF"/>
      </font>
      <fill>
        <patternFill patternType="solid">
          <bgColor rgb="FFC00000"/>
        </patternFill>
      </fill>
    </dxf>
    <dxf>
      <font>
        <b/>
        <i val="0"/>
        <color rgb="FFFFFFFF"/>
      </font>
      <fill>
        <patternFill patternType="solid">
          <bgColor rgb="FFC00000"/>
        </patternFill>
      </fill>
    </dxf>
    <dxf>
      <font>
        <b/>
        <i val="0"/>
        <color rgb="FFFFFFFF"/>
      </font>
      <fill>
        <patternFill patternType="solid">
          <bgColor rgb="FFC00000"/>
        </patternFill>
      </fill>
    </dxf>
    <dxf>
      <font>
        <b/>
        <i val="0"/>
        <color rgb="FFC00000"/>
      </font>
      <fill>
        <patternFill patternType="solid">
          <bgColor rgb="FFFFFFFF"/>
        </patternFill>
      </fill>
    </dxf>
    <dxf>
      <font>
        <b/>
        <i val="0"/>
        <color rgb="FFC00000"/>
      </font>
      <numFmt numFmtId="175" formatCode="_(\!* ###0_);_(\!* \(###0\);_(\!* \-??_);_(\!\ @_)"/>
    </dxf>
    <dxf>
      <font>
        <b/>
        <i val="0"/>
        <color rgb="FFC00000"/>
      </font>
      <fill>
        <patternFill patternType="solid">
          <bgColor rgb="FFFFFFFF"/>
        </patternFill>
      </fill>
    </dxf>
    <dxf>
      <fill>
        <patternFill>
          <bgColor rgb="FFEAEAEA"/>
        </patternFill>
      </fill>
    </dxf>
    <dxf>
      <font>
        <color rgb="FF000000"/>
      </font>
      <fill>
        <patternFill patternType="solid">
          <bgColor rgb="FFEAEAEA"/>
        </patternFill>
      </fill>
    </dxf>
    <dxf>
      <font>
        <color auto="1"/>
      </font>
      <numFmt numFmtId="164" formatCode="@*."/>
    </dxf>
    <dxf>
      <font>
        <b val="0"/>
        <i val="0"/>
      </font>
      <fill>
        <patternFill>
          <bgColor rgb="FFA6A6A6"/>
        </patternFill>
      </fill>
    </dxf>
    <dxf>
      <font>
        <b/>
        <i val="0"/>
        <color rgb="FFC00000"/>
      </font>
      <numFmt numFmtId="172" formatCode="_(\!* #,##0_);_(\!* \(#,##0\);_(\!* \-??_);_(\!\ @_)"/>
    </dxf>
    <dxf>
      <font>
        <b/>
        <i val="0"/>
        <color rgb="FFC00000"/>
      </font>
      <fill>
        <patternFill patternType="none">
          <bgColor auto="1"/>
        </patternFill>
      </fill>
    </dxf>
    <dxf>
      <font>
        <b/>
        <i val="0"/>
        <color rgb="FF595959"/>
      </font>
      <fill>
        <patternFill patternType="none">
          <bgColor auto="1"/>
        </patternFill>
      </fill>
    </dxf>
    <dxf>
      <font>
        <b/>
        <i val="0"/>
        <color theme="0"/>
      </font>
      <fill>
        <patternFill>
          <bgColor rgb="FFC00000"/>
        </patternFill>
      </fill>
    </dxf>
    <dxf>
      <font>
        <b/>
        <i val="0"/>
        <color auto="1"/>
      </font>
      <fill>
        <patternFill patternType="solid">
          <bgColor rgb="FFEBBB10"/>
        </patternFill>
      </fill>
    </dxf>
    <dxf>
      <font>
        <b/>
        <i val="0"/>
        <color rgb="FFFFFFFF"/>
      </font>
      <fill>
        <patternFill patternType="solid">
          <bgColor rgb="FFC00000"/>
        </patternFill>
      </fill>
    </dxf>
    <dxf>
      <font>
        <b/>
        <i val="0"/>
        <color rgb="FFC00000"/>
      </font>
      <numFmt numFmtId="175" formatCode="_(\!* ###0_);_(\!* \(###0\);_(\!* \-??_);_(\!\ @_)"/>
    </dxf>
    <dxf>
      <fill>
        <patternFill>
          <bgColor rgb="FFEAEAEA"/>
        </patternFill>
      </fill>
    </dxf>
    <dxf>
      <font>
        <color auto="1"/>
      </font>
      <numFmt numFmtId="164" formatCode="@*."/>
    </dxf>
    <dxf>
      <font>
        <b val="0"/>
        <i val="0"/>
      </font>
      <fill>
        <patternFill>
          <bgColor rgb="FFA6A6A6"/>
        </patternFill>
      </fill>
    </dxf>
    <dxf>
      <font>
        <b/>
        <i val="0"/>
        <color rgb="FFC00000"/>
      </font>
      <numFmt numFmtId="172" formatCode="_(\!* #,##0_);_(\!* \(#,##0\);_(\!* \-??_);_(\!\ @_)"/>
    </dxf>
    <dxf>
      <font>
        <b/>
        <i val="0"/>
        <color rgb="FFC00000"/>
      </font>
      <fill>
        <patternFill patternType="none">
          <bgColor auto="1"/>
        </patternFill>
      </fill>
    </dxf>
    <dxf>
      <font>
        <b/>
        <i val="0"/>
        <color rgb="FF595959"/>
      </font>
      <fill>
        <patternFill patternType="none">
          <bgColor auto="1"/>
        </patternFill>
      </fill>
    </dxf>
    <dxf>
      <font>
        <b/>
        <i val="0"/>
        <color theme="0"/>
      </font>
      <fill>
        <patternFill>
          <bgColor rgb="FFC00000"/>
        </patternFill>
      </fill>
    </dxf>
    <dxf>
      <font>
        <b/>
        <i val="0"/>
        <color auto="1"/>
      </font>
      <fill>
        <patternFill patternType="solid">
          <bgColor rgb="FFEBBB10"/>
        </patternFill>
      </fill>
    </dxf>
    <dxf>
      <fill>
        <patternFill>
          <bgColor rgb="FFEAEAEA"/>
        </patternFill>
      </fill>
    </dxf>
    <dxf>
      <font>
        <b/>
        <i val="0"/>
        <color rgb="FFC00000"/>
      </font>
      <numFmt numFmtId="175" formatCode="_(\!* ###0_);_(\!* \(###0\);_(\!* \-??_);_(\!\ @_)"/>
    </dxf>
    <dxf>
      <font>
        <color auto="1"/>
      </font>
      <numFmt numFmtId="164" formatCode="@*."/>
    </dxf>
    <dxf>
      <font>
        <b val="0"/>
        <i val="0"/>
      </font>
      <fill>
        <patternFill>
          <bgColor rgb="FFA6A6A6"/>
        </patternFill>
      </fill>
    </dxf>
    <dxf>
      <font>
        <b/>
        <i val="0"/>
        <color rgb="FFC00000"/>
      </font>
      <numFmt numFmtId="172" formatCode="_(\!* #,##0_);_(\!* \(#,##0\);_(\!* \-??_);_(\!\ @_)"/>
    </dxf>
    <dxf>
      <font>
        <b/>
        <i val="0"/>
        <color rgb="FFC00000"/>
      </font>
      <fill>
        <patternFill patternType="none">
          <bgColor auto="1"/>
        </patternFill>
      </fill>
    </dxf>
    <dxf>
      <font>
        <b val="0"/>
        <i val="0"/>
      </font>
      <fill>
        <patternFill>
          <bgColor rgb="FFA6A6A6"/>
        </patternFill>
      </fill>
    </dxf>
    <dxf>
      <font>
        <b/>
        <i val="0"/>
      </font>
      <fill>
        <patternFill>
          <bgColor rgb="FFEBBB10"/>
        </patternFill>
      </fill>
    </dxf>
    <dxf>
      <font>
        <b/>
        <i val="0"/>
        <color theme="0"/>
      </font>
      <fill>
        <patternFill>
          <bgColor rgb="FFC00000"/>
        </patternFill>
      </fill>
    </dxf>
    <dxf>
      <font>
        <b/>
        <i val="0"/>
        <color rgb="FF595959"/>
      </font>
      <fill>
        <patternFill patternType="none">
          <bgColor auto="1"/>
        </patternFill>
      </fill>
    </dxf>
    <dxf>
      <font>
        <b/>
        <i val="0"/>
        <color rgb="FFC00000"/>
      </font>
      <numFmt numFmtId="173" formatCode="_(\!_$* #,##0_);_(\!_$* \(#,##0\);_(\!_$* \-??_);_(\!\ @_)"/>
    </dxf>
    <dxf>
      <font>
        <b val="0"/>
        <i val="0"/>
      </font>
      <fill>
        <patternFill>
          <bgColor rgb="FFA6A6A6"/>
        </patternFill>
      </fill>
    </dxf>
    <dxf>
      <font>
        <b/>
        <i val="0"/>
      </font>
      <fill>
        <patternFill>
          <bgColor rgb="FFEBBB10"/>
        </patternFill>
      </fill>
    </dxf>
    <dxf>
      <font>
        <b/>
        <i val="0"/>
        <color theme="0"/>
      </font>
      <fill>
        <patternFill>
          <bgColor rgb="FFC00000"/>
        </patternFill>
      </fill>
    </dxf>
    <dxf>
      <font>
        <b/>
        <i val="0"/>
        <color rgb="FF595959"/>
      </font>
      <fill>
        <patternFill patternType="none">
          <bgColor auto="1"/>
        </patternFill>
      </fill>
    </dxf>
    <dxf>
      <font>
        <color rgb="FFC00000"/>
      </font>
      <numFmt numFmtId="174" formatCode="_(\!* #,##0.00_);_(\!* \(#,##0.00\);_(\!* \-??_);_(\!\ @_)"/>
    </dxf>
    <dxf>
      <font>
        <color rgb="FFC00000"/>
      </font>
      <numFmt numFmtId="174" formatCode="_(\!* #,##0.00_);_(\!* \(#,##0.00\);_(\!* \-??_);_(\!\ @_)"/>
    </dxf>
    <dxf>
      <font>
        <color rgb="FFC00000"/>
      </font>
      <numFmt numFmtId="174" formatCode="_(\!* #,##0.00_);_(\!* \(#,##0.00\);_(\!* \-??_);_(\!\ @_)"/>
    </dxf>
    <dxf>
      <font>
        <color rgb="FFC00000"/>
      </font>
      <numFmt numFmtId="174" formatCode="_(\!* #,##0.00_);_(\!* \(#,##0.00\);_(\!* \-??_);_(\!\ @_)"/>
    </dxf>
    <dxf>
      <fill>
        <patternFill>
          <bgColor rgb="FFFFFBCC"/>
        </patternFill>
      </fill>
    </dxf>
    <dxf>
      <fill>
        <patternFill>
          <fgColor theme="0"/>
          <bgColor theme="0"/>
        </patternFill>
      </fill>
    </dxf>
    <dxf>
      <fill>
        <patternFill>
          <bgColor rgb="FFE7E7E7"/>
        </patternFill>
      </fill>
    </dxf>
    <dxf>
      <fill>
        <patternFill>
          <bgColor rgb="FFFFFBCC"/>
        </patternFill>
      </fill>
    </dxf>
    <dxf>
      <font>
        <color rgb="FFC00000"/>
      </font>
      <numFmt numFmtId="174" formatCode="_(\!* #,##0.00_);_(\!* \(#,##0.00\);_(\!* \-??_);_(\!\ @_)"/>
    </dxf>
    <dxf>
      <font>
        <b val="0"/>
        <i/>
        <color theme="1" tint="0.499984740745262"/>
      </font>
    </dxf>
    <dxf>
      <fill>
        <patternFill>
          <bgColor rgb="FFEAEAEA"/>
        </patternFill>
      </fill>
    </dxf>
    <dxf>
      <fill>
        <patternFill>
          <bgColor rgb="FFEAEAEA"/>
        </patternFill>
      </fill>
    </dxf>
    <dxf>
      <fill>
        <patternFill>
          <bgColor rgb="FFEAEAEA"/>
        </patternFill>
      </fill>
    </dxf>
    <dxf>
      <font>
        <b val="0"/>
        <i val="0"/>
      </font>
      <fill>
        <patternFill>
          <bgColor rgb="FFA6A6A6"/>
        </patternFill>
      </fill>
    </dxf>
    <dxf>
      <font>
        <b/>
        <i val="0"/>
        <color rgb="FFC00000"/>
      </font>
      <numFmt numFmtId="172" formatCode="_(\!* #,##0_);_(\!* \(#,##0\);_(\!* \-??_);_(\!\ @_)"/>
    </dxf>
    <dxf>
      <font>
        <b/>
        <i val="0"/>
        <color rgb="FFC00000"/>
      </font>
      <fill>
        <patternFill patternType="none">
          <bgColor auto="1"/>
        </patternFill>
      </fill>
    </dxf>
    <dxf>
      <font>
        <b/>
        <i val="0"/>
        <color rgb="FF595959"/>
      </font>
      <fill>
        <patternFill patternType="none">
          <bgColor auto="1"/>
        </patternFill>
      </fill>
    </dxf>
    <dxf>
      <font>
        <b/>
        <i val="0"/>
        <color theme="0"/>
      </font>
      <fill>
        <patternFill>
          <bgColor rgb="FFC00000"/>
        </patternFill>
      </fill>
    </dxf>
    <dxf>
      <font>
        <b/>
        <i val="0"/>
      </font>
      <fill>
        <patternFill>
          <bgColor rgb="FFEBBB10"/>
        </patternFill>
      </fill>
    </dxf>
    <dxf>
      <font>
        <b val="0"/>
        <i val="0"/>
      </font>
      <fill>
        <patternFill>
          <bgColor rgb="FFA6A6A6"/>
        </patternFill>
      </fill>
    </dxf>
    <dxf>
      <font>
        <b/>
        <i val="0"/>
      </font>
      <fill>
        <patternFill>
          <bgColor rgb="FFEBBB10"/>
        </patternFill>
      </fill>
    </dxf>
    <dxf>
      <font>
        <b/>
        <i val="0"/>
        <color rgb="FF595959"/>
      </font>
      <fill>
        <patternFill patternType="none">
          <bgColor auto="1"/>
        </patternFill>
      </fill>
    </dxf>
    <dxf>
      <font>
        <b/>
        <i val="0"/>
        <color theme="0"/>
      </font>
      <fill>
        <patternFill>
          <bgColor rgb="FFC00000"/>
        </patternFill>
      </fill>
    </dxf>
    <dxf>
      <font>
        <b/>
        <i val="0"/>
      </font>
      <fill>
        <patternFill>
          <bgColor rgb="FFEBBB10"/>
        </patternFill>
      </fill>
    </dxf>
    <dxf>
      <font>
        <b/>
        <i val="0"/>
        <color theme="0"/>
      </font>
      <fill>
        <patternFill>
          <bgColor rgb="FFC00000"/>
        </patternFill>
      </fill>
    </dxf>
    <dxf>
      <font>
        <b/>
        <i val="0"/>
        <color rgb="FF595959"/>
      </font>
      <fill>
        <patternFill patternType="none">
          <bgColor auto="1"/>
        </patternFill>
      </fill>
    </dxf>
    <dxf>
      <font>
        <b val="0"/>
        <i val="0"/>
      </font>
      <fill>
        <patternFill>
          <bgColor rgb="FFA6A6A6"/>
        </patternFill>
      </fill>
    </dxf>
    <dxf>
      <font>
        <b val="0"/>
        <i val="0"/>
      </font>
      <fill>
        <patternFill>
          <bgColor rgb="FFA6A6A6"/>
        </patternFill>
      </fill>
    </dxf>
    <dxf>
      <font>
        <b/>
        <i val="0"/>
        <color rgb="FFC00000"/>
      </font>
      <fill>
        <patternFill patternType="none">
          <bgColor auto="1"/>
        </patternFill>
      </fill>
    </dxf>
    <dxf>
      <font>
        <b/>
        <i val="0"/>
        <color rgb="FFC00000"/>
      </font>
      <numFmt numFmtId="174" formatCode="_(\!* #,##0.00_);_(\!* \(#,##0.00\);_(\!* \-??_);_(\!\ @_)"/>
      <fill>
        <patternFill patternType="none">
          <bgColor auto="1"/>
        </patternFill>
      </fill>
    </dxf>
    <dxf>
      <font>
        <b/>
        <i val="0"/>
        <color rgb="FFC00000"/>
      </font>
      <numFmt numFmtId="172" formatCode="_(\!* #,##0_);_(\!* \(#,##0\);_(\!* \-??_);_(\!\ @_)"/>
    </dxf>
    <dxf>
      <font>
        <b/>
        <i val="0"/>
        <color rgb="FFC00000"/>
      </font>
      <numFmt numFmtId="172" formatCode="_(\!* #,##0_);_(\!* \(#,##0\);_(\!* \-??_);_(\!\ @_)"/>
    </dxf>
    <dxf>
      <font>
        <b/>
        <i val="0"/>
        <color rgb="FFC00000"/>
      </font>
      <numFmt numFmtId="174" formatCode="_(\!* #,##0.00_);_(\!* \(#,##0.00\);_(\!* \-??_);_(\!\ @_)"/>
      <fill>
        <patternFill patternType="none">
          <bgColor auto="1"/>
        </patternFill>
      </fill>
    </dxf>
    <dxf>
      <font>
        <b/>
        <i val="0"/>
        <color rgb="FFC00000"/>
      </font>
      <fill>
        <patternFill patternType="none">
          <bgColor auto="1"/>
        </patternFill>
      </fill>
    </dxf>
    <dxf>
      <font>
        <b/>
        <i val="0"/>
        <color rgb="FFC00000"/>
      </font>
      <fill>
        <patternFill patternType="none">
          <bgColor auto="1"/>
        </patternFill>
      </fill>
    </dxf>
    <dxf>
      <font>
        <b/>
        <i val="0"/>
        <color rgb="FFC00000"/>
      </font>
      <numFmt numFmtId="174" formatCode="_(\!* #,##0.00_);_(\!* \(#,##0.00\);_(\!* \-??_);_(\!\ @_)"/>
      <fill>
        <patternFill patternType="none">
          <bgColor auto="1"/>
        </patternFill>
      </fill>
    </dxf>
    <dxf>
      <font>
        <b/>
        <i val="0"/>
        <color rgb="FFC00000"/>
      </font>
      <fill>
        <patternFill patternType="none">
          <bgColor auto="1"/>
        </patternFill>
      </fill>
    </dxf>
    <dxf>
      <font>
        <b val="0"/>
        <i val="0"/>
      </font>
      <fill>
        <patternFill>
          <bgColor rgb="FFA6A6A6"/>
        </patternFill>
      </fill>
    </dxf>
    <dxf>
      <font>
        <b/>
        <i val="0"/>
        <color rgb="FFC00000"/>
      </font>
      <fill>
        <patternFill patternType="none">
          <bgColor auto="1"/>
        </patternFill>
      </fill>
    </dxf>
    <dxf>
      <font>
        <b val="0"/>
        <i val="0"/>
      </font>
      <fill>
        <patternFill>
          <bgColor rgb="FFA6A6A6"/>
        </patternFill>
      </fill>
    </dxf>
    <dxf>
      <font>
        <b/>
        <i val="0"/>
        <color rgb="FFC00000"/>
      </font>
      <fill>
        <patternFill patternType="none">
          <bgColor auto="1"/>
        </patternFill>
      </fill>
    </dxf>
    <dxf>
      <font>
        <b val="0"/>
        <i val="0"/>
      </font>
      <fill>
        <patternFill>
          <bgColor rgb="FFA6A6A6"/>
        </patternFill>
      </fill>
    </dxf>
    <dxf>
      <font>
        <b val="0"/>
        <i val="0"/>
      </font>
      <fill>
        <patternFill>
          <bgColor rgb="FFA6A6A6"/>
        </patternFill>
      </fill>
    </dxf>
    <dxf>
      <font>
        <b/>
        <i val="0"/>
        <color rgb="FFC00000"/>
      </font>
      <fill>
        <patternFill patternType="none">
          <bgColor auto="1"/>
        </patternFill>
      </fill>
    </dxf>
    <dxf>
      <font>
        <b val="0"/>
        <i val="0"/>
      </font>
      <fill>
        <patternFill>
          <bgColor rgb="FFA6A6A6"/>
        </patternFill>
      </fill>
    </dxf>
    <dxf>
      <font>
        <b/>
        <i val="0"/>
        <color rgb="FFC00000"/>
      </font>
      <fill>
        <patternFill patternType="none">
          <bgColor auto="1"/>
        </patternFill>
      </fill>
    </dxf>
    <dxf>
      <font>
        <b/>
        <i val="0"/>
        <color rgb="FFC00000"/>
      </font>
      <fill>
        <patternFill patternType="none">
          <bgColor auto="1"/>
        </patternFill>
      </fill>
    </dxf>
    <dxf>
      <font>
        <b val="0"/>
        <i val="0"/>
      </font>
      <fill>
        <patternFill>
          <bgColor rgb="FFA6A6A6"/>
        </patternFill>
      </fill>
    </dxf>
    <dxf>
      <font>
        <b/>
        <i val="0"/>
        <color rgb="FFC00000"/>
      </font>
      <fill>
        <patternFill patternType="none">
          <bgColor auto="1"/>
        </patternFill>
      </fill>
    </dxf>
    <dxf>
      <font>
        <b val="0"/>
        <i val="0"/>
      </font>
      <fill>
        <patternFill>
          <bgColor rgb="FFA6A6A6"/>
        </patternFill>
      </fill>
    </dxf>
    <dxf>
      <font>
        <b/>
        <i val="0"/>
        <color rgb="FFC00000"/>
      </font>
      <fill>
        <patternFill patternType="none">
          <bgColor auto="1"/>
        </patternFill>
      </fill>
    </dxf>
    <dxf>
      <font>
        <b val="0"/>
        <i val="0"/>
      </font>
      <fill>
        <patternFill>
          <bgColor rgb="FFA6A6A6"/>
        </patternFill>
      </fill>
    </dxf>
    <dxf>
      <font>
        <b val="0"/>
        <i val="0"/>
      </font>
      <fill>
        <patternFill>
          <bgColor rgb="FFA6A6A6"/>
        </patternFill>
      </fill>
    </dxf>
    <dxf>
      <font>
        <b/>
        <i val="0"/>
        <color rgb="FFC00000"/>
      </font>
      <fill>
        <patternFill patternType="none">
          <bgColor auto="1"/>
        </patternFill>
      </fill>
    </dxf>
    <dxf>
      <font>
        <b/>
        <i val="0"/>
        <color rgb="FFC00000"/>
      </font>
      <fill>
        <patternFill patternType="none">
          <bgColor auto="1"/>
        </patternFill>
      </fill>
    </dxf>
    <dxf>
      <font>
        <b val="0"/>
        <i val="0"/>
      </font>
      <fill>
        <patternFill>
          <bgColor rgb="FFA6A6A6"/>
        </patternFill>
      </fill>
    </dxf>
    <dxf>
      <font>
        <b/>
        <i val="0"/>
        <color rgb="FFC00000"/>
      </font>
      <numFmt numFmtId="172" formatCode="_(\!* #,##0_);_(\!* \(#,##0\);_(\!* \-??_);_(\!\ @_)"/>
    </dxf>
    <dxf>
      <font>
        <b/>
        <i val="0"/>
        <color rgb="FFC00000"/>
      </font>
      <fill>
        <patternFill patternType="none">
          <bgColor auto="1"/>
        </patternFill>
      </fill>
    </dxf>
    <dxf>
      <font>
        <b val="0"/>
        <i val="0"/>
      </font>
      <fill>
        <patternFill>
          <bgColor rgb="FFA6A6A6"/>
        </patternFill>
      </fill>
    </dxf>
    <dxf>
      <font>
        <b/>
        <i val="0"/>
        <color rgb="FFC00000"/>
      </font>
      <fill>
        <patternFill patternType="none">
          <bgColor auto="1"/>
        </patternFill>
      </fill>
    </dxf>
    <dxf>
      <font>
        <b val="0"/>
        <i val="0"/>
      </font>
      <fill>
        <patternFill>
          <bgColor rgb="FFA6A6A6"/>
        </patternFill>
      </fill>
    </dxf>
    <dxf>
      <font>
        <b/>
        <i val="0"/>
        <color rgb="FFC00000"/>
      </font>
      <numFmt numFmtId="172" formatCode="_(\!* #,##0_);_(\!* \(#,##0\);_(\!* \-??_);_(\!\ @_)"/>
    </dxf>
    <dxf>
      <font>
        <b/>
        <i val="0"/>
        <color rgb="FFC00000"/>
      </font>
      <fill>
        <patternFill patternType="none">
          <bgColor auto="1"/>
        </patternFill>
      </fill>
    </dxf>
    <dxf>
      <font>
        <b val="0"/>
        <i val="0"/>
      </font>
      <fill>
        <patternFill>
          <bgColor rgb="FFA6A6A6"/>
        </patternFill>
      </fill>
    </dxf>
    <dxf>
      <font>
        <b/>
        <i val="0"/>
        <color rgb="FFC00000"/>
      </font>
      <fill>
        <patternFill patternType="none">
          <bgColor auto="1"/>
        </patternFill>
      </fill>
    </dxf>
    <dxf>
      <font>
        <b val="0"/>
        <i val="0"/>
      </font>
      <fill>
        <patternFill>
          <bgColor rgb="FFA6A6A6"/>
        </patternFill>
      </fill>
    </dxf>
    <dxf>
      <font>
        <b/>
        <i val="0"/>
        <color rgb="FFC00000"/>
      </font>
      <numFmt numFmtId="172" formatCode="_(\!* #,##0_);_(\!* \(#,##0\);_(\!* \-??_);_(\!\ @_)"/>
    </dxf>
    <dxf>
      <font>
        <b/>
        <i val="0"/>
        <color rgb="FFC00000"/>
      </font>
      <fill>
        <patternFill patternType="none">
          <bgColor auto="1"/>
        </patternFill>
      </fill>
    </dxf>
    <dxf>
      <font>
        <b val="0"/>
        <i val="0"/>
      </font>
      <fill>
        <patternFill>
          <bgColor rgb="FFA6A6A6"/>
        </patternFill>
      </fill>
    </dxf>
    <dxf>
      <font>
        <b/>
        <i val="0"/>
        <color rgb="FFC00000"/>
      </font>
      <fill>
        <patternFill patternType="none">
          <bgColor auto="1"/>
        </patternFill>
      </fill>
    </dxf>
    <dxf>
      <font>
        <b val="0"/>
        <i val="0"/>
      </font>
      <fill>
        <patternFill>
          <bgColor rgb="FFA6A6A6"/>
        </patternFill>
      </fill>
    </dxf>
    <dxf>
      <font>
        <b/>
        <i val="0"/>
        <color rgb="FFC00000"/>
      </font>
      <numFmt numFmtId="172" formatCode="_(\!* #,##0_);_(\!* \(#,##0\);_(\!* \-??_);_(\!\ @_)"/>
    </dxf>
    <dxf>
      <font>
        <b/>
        <i val="0"/>
        <color rgb="FFC00000"/>
      </font>
      <fill>
        <patternFill patternType="none">
          <bgColor auto="1"/>
        </patternFill>
      </fill>
    </dxf>
    <dxf>
      <font>
        <b val="0"/>
        <i val="0"/>
      </font>
      <fill>
        <patternFill>
          <bgColor rgb="FFA6A6A6"/>
        </patternFill>
      </fill>
    </dxf>
    <dxf>
      <font>
        <b/>
        <i val="0"/>
        <color theme="0"/>
      </font>
      <fill>
        <patternFill>
          <bgColor rgb="FFC00000"/>
        </patternFill>
      </fill>
    </dxf>
    <dxf>
      <font>
        <b/>
        <i val="0"/>
        <color rgb="FFC00000"/>
      </font>
      <fill>
        <patternFill patternType="none">
          <bgColor auto="1"/>
        </patternFill>
      </fill>
    </dxf>
    <dxf>
      <font>
        <b val="0"/>
        <i val="0"/>
      </font>
      <fill>
        <patternFill>
          <bgColor rgb="FFA6A6A6"/>
        </patternFill>
      </fill>
    </dxf>
    <dxf>
      <font>
        <b/>
        <i val="0"/>
        <color rgb="FFC00000"/>
      </font>
      <fill>
        <patternFill patternType="none">
          <bgColor auto="1"/>
        </patternFill>
      </fill>
    </dxf>
    <dxf>
      <font>
        <b val="0"/>
        <i val="0"/>
      </font>
      <fill>
        <patternFill>
          <bgColor rgb="FFA6A6A6"/>
        </patternFill>
      </fill>
    </dxf>
    <dxf>
      <font>
        <b/>
        <i val="0"/>
        <color rgb="FFC00000"/>
      </font>
      <numFmt numFmtId="172" formatCode="_(\!* #,##0_);_(\!* \(#,##0\);_(\!* \-??_);_(\!\ @_)"/>
    </dxf>
    <dxf>
      <font>
        <b/>
        <i val="0"/>
        <color rgb="FFC00000"/>
      </font>
      <fill>
        <patternFill patternType="none">
          <bgColor auto="1"/>
        </patternFill>
      </fill>
    </dxf>
    <dxf>
      <font>
        <b val="0"/>
        <i val="0"/>
      </font>
      <fill>
        <patternFill>
          <bgColor rgb="FFA6A6A6"/>
        </patternFill>
      </fill>
    </dxf>
    <dxf>
      <font>
        <b/>
        <i val="0"/>
        <color theme="0"/>
      </font>
      <fill>
        <patternFill>
          <bgColor rgb="FFC00000"/>
        </patternFill>
      </fill>
    </dxf>
    <dxf>
      <font>
        <b/>
        <i val="0"/>
        <color rgb="FFC00000"/>
      </font>
      <fill>
        <patternFill patternType="none">
          <bgColor auto="1"/>
        </patternFill>
      </fill>
    </dxf>
    <dxf>
      <font>
        <b val="0"/>
        <i val="0"/>
      </font>
      <fill>
        <patternFill>
          <bgColor rgb="FFA6A6A6"/>
        </patternFill>
      </fill>
    </dxf>
    <dxf>
      <font>
        <b/>
        <i val="0"/>
        <color rgb="FFC00000"/>
      </font>
      <numFmt numFmtId="172" formatCode="_(\!* #,##0_);_(\!* \(#,##0\);_(\!* \-??_);_(\!\ @_)"/>
    </dxf>
    <dxf>
      <font>
        <b/>
        <i val="0"/>
        <color rgb="FFC00000"/>
      </font>
      <fill>
        <patternFill patternType="none">
          <bgColor auto="1"/>
        </patternFill>
      </fill>
    </dxf>
    <dxf>
      <font>
        <b val="0"/>
        <i val="0"/>
      </font>
      <fill>
        <patternFill>
          <bgColor rgb="FFA6A6A6"/>
        </patternFill>
      </fill>
    </dxf>
    <dxf>
      <font>
        <b/>
        <i val="0"/>
        <color rgb="FFC00000"/>
      </font>
      <fill>
        <patternFill patternType="none">
          <bgColor auto="1"/>
        </patternFill>
      </fill>
    </dxf>
    <dxf>
      <font>
        <b val="0"/>
        <i val="0"/>
      </font>
      <fill>
        <patternFill>
          <bgColor rgb="FFA6A6A6"/>
        </patternFill>
      </fill>
    </dxf>
    <dxf>
      <font>
        <b/>
        <i val="0"/>
        <color rgb="FFC00000"/>
      </font>
      <numFmt numFmtId="172" formatCode="_(\!* #,##0_);_(\!* \(#,##0\);_(\!* \-??_);_(\!\ @_)"/>
    </dxf>
    <dxf>
      <font>
        <b/>
        <i val="0"/>
        <color rgb="FFC00000"/>
      </font>
      <fill>
        <patternFill patternType="none">
          <bgColor auto="1"/>
        </patternFill>
      </fill>
    </dxf>
    <dxf>
      <font>
        <b val="0"/>
        <i val="0"/>
      </font>
      <fill>
        <patternFill>
          <bgColor rgb="FFA6A6A6"/>
        </patternFill>
      </fill>
    </dxf>
    <dxf>
      <font>
        <b/>
        <i val="0"/>
        <color rgb="FFC00000"/>
      </font>
      <numFmt numFmtId="172" formatCode="_(\!* #,##0_);_(\!* \(#,##0\);_(\!* \-??_);_(\!\ @_)"/>
    </dxf>
  </dxfs>
  <tableStyles count="0" defaultTableStyle="TableStyleMedium2" defaultPivotStyle="PivotStyleLight16"/>
  <colors>
    <mruColors>
      <color rgb="FFEBBB10"/>
      <color rgb="FFEED396"/>
      <color rgb="FFEAEAEA"/>
      <color rgb="FFEED382"/>
      <color rgb="FF3FCDFF"/>
      <color rgb="FFFFFBCC"/>
      <color rgb="FFFFFF00"/>
      <color rgb="FFC00000"/>
      <color rgb="FFEBAF10"/>
      <color rgb="FF59595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sharedStrings" Target="sharedString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styles" Target="styles.xml"/><Relationship Id="rId9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theme" Target="theme/theme1.xml"/><Relationship Id="rId98"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0</xdr:col>
      <xdr:colOff>47625</xdr:colOff>
      <xdr:row>7</xdr:row>
      <xdr:rowOff>28575</xdr:rowOff>
    </xdr:from>
    <xdr:to>
      <xdr:col>0</xdr:col>
      <xdr:colOff>400050</xdr:colOff>
      <xdr:row>8</xdr:row>
      <xdr:rowOff>0</xdr:rowOff>
    </xdr:to>
    <xdr:sp macro="" textlink="">
      <xdr:nvSpPr>
        <xdr:cNvPr id="2" name="Rectangle 1" descr="Blue">
          <a:extLst>
            <a:ext uri="{FF2B5EF4-FFF2-40B4-BE49-F238E27FC236}">
              <a16:creationId xmlns:a16="http://schemas.microsoft.com/office/drawing/2014/main" id="{A72C97EE-0191-65DB-F0CA-056ACD10C4EC}"/>
            </a:ext>
          </a:extLst>
        </xdr:cNvPr>
        <xdr:cNvSpPr/>
      </xdr:nvSpPr>
      <xdr:spPr>
        <a:xfrm>
          <a:off x="47625" y="1362075"/>
          <a:ext cx="352425" cy="161925"/>
        </a:xfrm>
        <a:prstGeom prst="rect">
          <a:avLst/>
        </a:prstGeom>
        <a:solidFill>
          <a:schemeClr val="accent1">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438150</xdr:colOff>
      <xdr:row>7</xdr:row>
      <xdr:rowOff>28575</xdr:rowOff>
    </xdr:from>
    <xdr:to>
      <xdr:col>0</xdr:col>
      <xdr:colOff>790575</xdr:colOff>
      <xdr:row>8</xdr:row>
      <xdr:rowOff>0</xdr:rowOff>
    </xdr:to>
    <xdr:sp macro="" textlink="">
      <xdr:nvSpPr>
        <xdr:cNvPr id="3" name="Rectangle 2" descr="Orange">
          <a:extLst>
            <a:ext uri="{FF2B5EF4-FFF2-40B4-BE49-F238E27FC236}">
              <a16:creationId xmlns:a16="http://schemas.microsoft.com/office/drawing/2014/main" id="{D48184AC-CEB6-4418-8BE2-B8C3658091B3}"/>
            </a:ext>
          </a:extLst>
        </xdr:cNvPr>
        <xdr:cNvSpPr/>
      </xdr:nvSpPr>
      <xdr:spPr>
        <a:xfrm>
          <a:off x="438150" y="1362075"/>
          <a:ext cx="352425" cy="161925"/>
        </a:xfrm>
        <a:prstGeom prst="rect">
          <a:avLst/>
        </a:prstGeom>
        <a:solidFill>
          <a:schemeClr val="accent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828675</xdr:colOff>
      <xdr:row>7</xdr:row>
      <xdr:rowOff>28575</xdr:rowOff>
    </xdr:from>
    <xdr:to>
      <xdr:col>0</xdr:col>
      <xdr:colOff>1181100</xdr:colOff>
      <xdr:row>8</xdr:row>
      <xdr:rowOff>0</xdr:rowOff>
    </xdr:to>
    <xdr:sp macro="" textlink="">
      <xdr:nvSpPr>
        <xdr:cNvPr id="4" name="Rectangle 3" descr="Grey">
          <a:extLst>
            <a:ext uri="{FF2B5EF4-FFF2-40B4-BE49-F238E27FC236}">
              <a16:creationId xmlns:a16="http://schemas.microsoft.com/office/drawing/2014/main" id="{56709F39-B53D-4217-A4CE-5F6470C218C3}"/>
            </a:ext>
          </a:extLst>
        </xdr:cNvPr>
        <xdr:cNvSpPr/>
      </xdr:nvSpPr>
      <xdr:spPr>
        <a:xfrm>
          <a:off x="828675" y="1362075"/>
          <a:ext cx="352425" cy="161925"/>
        </a:xfrm>
        <a:prstGeom prst="rect">
          <a:avLst/>
        </a:prstGeom>
        <a:solidFill>
          <a:schemeClr val="accent3">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1219200</xdr:colOff>
      <xdr:row>7</xdr:row>
      <xdr:rowOff>28575</xdr:rowOff>
    </xdr:from>
    <xdr:to>
      <xdr:col>0</xdr:col>
      <xdr:colOff>1571625</xdr:colOff>
      <xdr:row>8</xdr:row>
      <xdr:rowOff>0</xdr:rowOff>
    </xdr:to>
    <xdr:sp macro="" textlink="">
      <xdr:nvSpPr>
        <xdr:cNvPr id="5" name="Rectangle 4" descr="Yellow">
          <a:extLst>
            <a:ext uri="{FF2B5EF4-FFF2-40B4-BE49-F238E27FC236}">
              <a16:creationId xmlns:a16="http://schemas.microsoft.com/office/drawing/2014/main" id="{E0548753-D99A-41E4-8A4D-BEA47143E1DD}"/>
            </a:ext>
          </a:extLst>
        </xdr:cNvPr>
        <xdr:cNvSpPr/>
      </xdr:nvSpPr>
      <xdr:spPr>
        <a:xfrm>
          <a:off x="1219200" y="1362075"/>
          <a:ext cx="352425" cy="161925"/>
        </a:xfrm>
        <a:prstGeom prst="rect">
          <a:avLst/>
        </a:prstGeom>
        <a:solidFill>
          <a:schemeClr val="accent4">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1609725</xdr:colOff>
      <xdr:row>7</xdr:row>
      <xdr:rowOff>28575</xdr:rowOff>
    </xdr:from>
    <xdr:to>
      <xdr:col>1</xdr:col>
      <xdr:colOff>47625</xdr:colOff>
      <xdr:row>8</xdr:row>
      <xdr:rowOff>0</xdr:rowOff>
    </xdr:to>
    <xdr:sp macro="" textlink="">
      <xdr:nvSpPr>
        <xdr:cNvPr id="6" name="Rectangle 5" descr="Light Blue">
          <a:extLst>
            <a:ext uri="{FF2B5EF4-FFF2-40B4-BE49-F238E27FC236}">
              <a16:creationId xmlns:a16="http://schemas.microsoft.com/office/drawing/2014/main" id="{54863EDA-F903-4965-A018-211EBF18DE1E}"/>
            </a:ext>
          </a:extLst>
        </xdr:cNvPr>
        <xdr:cNvSpPr/>
      </xdr:nvSpPr>
      <xdr:spPr>
        <a:xfrm>
          <a:off x="1609725" y="1362075"/>
          <a:ext cx="352425" cy="161925"/>
        </a:xfrm>
        <a:prstGeom prst="rect">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85725</xdr:colOff>
      <xdr:row>7</xdr:row>
      <xdr:rowOff>28575</xdr:rowOff>
    </xdr:from>
    <xdr:to>
      <xdr:col>1</xdr:col>
      <xdr:colOff>438150</xdr:colOff>
      <xdr:row>8</xdr:row>
      <xdr:rowOff>0</xdr:rowOff>
    </xdr:to>
    <xdr:sp macro="" textlink="">
      <xdr:nvSpPr>
        <xdr:cNvPr id="7" name="Rectangle 6" descr="Green">
          <a:extLst>
            <a:ext uri="{FF2B5EF4-FFF2-40B4-BE49-F238E27FC236}">
              <a16:creationId xmlns:a16="http://schemas.microsoft.com/office/drawing/2014/main" id="{F1FD413F-07DA-4AAF-A6AE-07C04C9E5489}"/>
            </a:ext>
          </a:extLst>
        </xdr:cNvPr>
        <xdr:cNvSpPr/>
      </xdr:nvSpPr>
      <xdr:spPr>
        <a:xfrm>
          <a:off x="2000250" y="1362075"/>
          <a:ext cx="352425" cy="161925"/>
        </a:xfrm>
        <a:prstGeom prst="rect">
          <a:avLst/>
        </a:prstGeom>
        <a:solidFill>
          <a:schemeClr val="accent6">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hyperlink" Target="https://www.osa.state.mn.us/training-guidance/training/training-opportunities/" TargetMode="External"/><Relationship Id="rId2" Type="http://schemas.openxmlformats.org/officeDocument/2006/relationships/hyperlink" Target="mailto:TIF@osa.state.mn.us" TargetMode="External"/><Relationship Id="rId1" Type="http://schemas.openxmlformats.org/officeDocument/2006/relationships/hyperlink" Target="https://www.osa.state.mn.us/forms-deadlines/forms/tif-forms/" TargetMode="External"/><Relationship Id="rId4"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afes.osa.state.mn.us/"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81B15B-ACEE-46CE-B972-B9C301A99516}">
  <sheetPr>
    <tabColor rgb="FFFFC000"/>
  </sheetPr>
  <dimension ref="A1:R60"/>
  <sheetViews>
    <sheetView workbookViewId="0">
      <selection activeCell="C12" sqref="C12"/>
    </sheetView>
  </sheetViews>
  <sheetFormatPr defaultRowHeight="15" x14ac:dyDescent="0.25"/>
  <cols>
    <col min="1" max="1" width="49.28515625" customWidth="1"/>
    <col min="2" max="2" width="48.7109375" customWidth="1"/>
    <col min="3" max="3" width="20.7109375" customWidth="1"/>
    <col min="4" max="4" width="9.7109375" customWidth="1"/>
    <col min="5" max="17" width="8.28515625" customWidth="1"/>
  </cols>
  <sheetData>
    <row r="1" spans="1:18" s="4" customFormat="1" ht="24.95" customHeight="1" x14ac:dyDescent="0.3">
      <c r="A1" s="29" t="s">
        <v>530</v>
      </c>
    </row>
    <row r="2" spans="1:18" s="9" customFormat="1" ht="45" customHeight="1" x14ac:dyDescent="0.25">
      <c r="A2" s="9" t="s">
        <v>505</v>
      </c>
    </row>
    <row r="3" spans="1:18" x14ac:dyDescent="0.25">
      <c r="B3" t="s">
        <v>506</v>
      </c>
      <c r="C3" t="s">
        <v>198</v>
      </c>
      <c r="D3" t="s">
        <v>302</v>
      </c>
      <c r="E3" t="s">
        <v>303</v>
      </c>
      <c r="F3" t="s">
        <v>304</v>
      </c>
      <c r="G3" t="s">
        <v>305</v>
      </c>
      <c r="H3" t="s">
        <v>306</v>
      </c>
      <c r="I3" t="s">
        <v>307</v>
      </c>
      <c r="J3" t="s">
        <v>308</v>
      </c>
      <c r="K3" t="s">
        <v>309</v>
      </c>
      <c r="L3" t="s">
        <v>310</v>
      </c>
      <c r="M3" t="s">
        <v>311</v>
      </c>
      <c r="N3" t="s">
        <v>312</v>
      </c>
      <c r="O3" t="s">
        <v>313</v>
      </c>
      <c r="P3" t="s">
        <v>314</v>
      </c>
      <c r="Q3" t="s">
        <v>315</v>
      </c>
      <c r="R3" t="s">
        <v>590</v>
      </c>
    </row>
    <row r="4" spans="1:18" x14ac:dyDescent="0.25">
      <c r="A4" s="7" t="s">
        <v>1008</v>
      </c>
      <c r="B4" t="s">
        <v>1007</v>
      </c>
      <c r="C4" s="28">
        <v>1233</v>
      </c>
      <c r="D4" s="28"/>
      <c r="E4" s="28"/>
      <c r="F4" s="28"/>
      <c r="G4" s="28"/>
      <c r="H4" s="28"/>
      <c r="I4" s="28"/>
      <c r="J4" s="28"/>
      <c r="K4" s="28"/>
      <c r="L4" s="28"/>
      <c r="M4" s="28"/>
      <c r="N4" s="28"/>
      <c r="O4" s="28"/>
      <c r="P4" s="28"/>
      <c r="Q4" s="28"/>
      <c r="R4" s="40" t="s">
        <v>593</v>
      </c>
    </row>
    <row r="5" spans="1:18" x14ac:dyDescent="0.25">
      <c r="A5" s="7" t="s">
        <v>210</v>
      </c>
      <c r="B5" t="s">
        <v>507</v>
      </c>
      <c r="C5" s="28" t="s">
        <v>1671</v>
      </c>
      <c r="D5" s="28"/>
      <c r="E5" s="28"/>
      <c r="F5" s="28"/>
      <c r="G5" s="28"/>
      <c r="H5" s="28"/>
      <c r="I5" s="28"/>
      <c r="J5" s="28"/>
      <c r="K5" s="28"/>
      <c r="L5" s="28"/>
      <c r="M5" s="28"/>
      <c r="N5" s="28"/>
      <c r="O5" s="28"/>
      <c r="P5" s="28"/>
      <c r="Q5" s="28"/>
      <c r="R5" s="40" t="s">
        <v>1290</v>
      </c>
    </row>
    <row r="6" spans="1:18" x14ac:dyDescent="0.25">
      <c r="A6" s="7" t="s">
        <v>209</v>
      </c>
      <c r="B6" t="s">
        <v>508</v>
      </c>
      <c r="C6" s="28" t="s">
        <v>46</v>
      </c>
      <c r="D6" s="28"/>
      <c r="E6" s="28"/>
      <c r="F6" s="28"/>
      <c r="G6" s="28"/>
      <c r="H6" s="28"/>
      <c r="I6" s="28"/>
      <c r="J6" s="28"/>
      <c r="K6" s="28"/>
      <c r="L6" s="28"/>
      <c r="M6" s="28"/>
      <c r="N6" s="28"/>
      <c r="O6" s="28"/>
      <c r="P6" s="28"/>
      <c r="Q6" s="28"/>
      <c r="R6" s="40" t="s">
        <v>604</v>
      </c>
    </row>
    <row r="7" spans="1:18" x14ac:dyDescent="0.25">
      <c r="A7" s="7" t="s">
        <v>227</v>
      </c>
      <c r="B7" t="s">
        <v>511</v>
      </c>
      <c r="C7" s="28" t="s">
        <v>57</v>
      </c>
      <c r="D7" s="28"/>
      <c r="E7" s="28"/>
      <c r="F7" s="28"/>
      <c r="G7" s="28"/>
      <c r="H7" s="28"/>
      <c r="I7" s="28"/>
      <c r="J7" s="28"/>
      <c r="K7" s="28"/>
      <c r="L7" s="28"/>
      <c r="M7" s="28"/>
      <c r="N7" s="28"/>
      <c r="O7" s="28"/>
      <c r="P7" s="28"/>
      <c r="Q7" s="28"/>
      <c r="R7" s="40" t="s">
        <v>605</v>
      </c>
    </row>
    <row r="8" spans="1:18" x14ac:dyDescent="0.25">
      <c r="A8" s="7" t="s">
        <v>228</v>
      </c>
      <c r="B8" t="s">
        <v>510</v>
      </c>
      <c r="C8" s="28" t="s">
        <v>57</v>
      </c>
      <c r="D8" s="28"/>
      <c r="E8" s="28"/>
      <c r="F8" s="28"/>
      <c r="G8" s="28"/>
      <c r="H8" s="28"/>
      <c r="I8" s="28"/>
      <c r="J8" s="28"/>
      <c r="K8" s="28"/>
      <c r="L8" s="28"/>
      <c r="M8" s="28"/>
      <c r="N8" s="28"/>
      <c r="O8" s="28"/>
      <c r="P8" s="28"/>
      <c r="Q8" s="28"/>
      <c r="R8" s="40" t="s">
        <v>606</v>
      </c>
    </row>
    <row r="9" spans="1:18" x14ac:dyDescent="0.25">
      <c r="A9" s="7" t="s">
        <v>229</v>
      </c>
      <c r="B9" t="s">
        <v>509</v>
      </c>
      <c r="C9" s="28" t="s">
        <v>57</v>
      </c>
      <c r="D9" s="28"/>
      <c r="E9" s="28"/>
      <c r="F9" s="28"/>
      <c r="G9" s="28"/>
      <c r="H9" s="28"/>
      <c r="I9" s="28"/>
      <c r="J9" s="28"/>
      <c r="K9" s="28"/>
      <c r="L9" s="28"/>
      <c r="M9" s="28"/>
      <c r="N9" s="28"/>
      <c r="O9" s="28"/>
      <c r="P9" s="28"/>
      <c r="Q9" s="28"/>
      <c r="R9" s="40" t="s">
        <v>1291</v>
      </c>
    </row>
    <row r="10" spans="1:18" x14ac:dyDescent="0.25">
      <c r="A10" s="7" t="s">
        <v>211</v>
      </c>
      <c r="B10" t="s">
        <v>512</v>
      </c>
      <c r="C10" s="37">
        <v>42887</v>
      </c>
      <c r="D10" s="37"/>
      <c r="E10" s="37"/>
      <c r="F10" s="37"/>
      <c r="G10" s="28"/>
      <c r="H10" s="28"/>
      <c r="I10" s="28"/>
      <c r="J10" s="28"/>
      <c r="K10" s="28"/>
      <c r="L10" s="28"/>
      <c r="M10" s="28"/>
      <c r="N10" s="28"/>
      <c r="O10" s="28"/>
      <c r="P10" s="28"/>
      <c r="Q10" s="28"/>
      <c r="R10" s="40" t="s">
        <v>594</v>
      </c>
    </row>
    <row r="11" spans="1:18" x14ac:dyDescent="0.25">
      <c r="A11" s="7" t="s">
        <v>212</v>
      </c>
      <c r="B11" t="s">
        <v>513</v>
      </c>
      <c r="C11" s="37">
        <v>50437</v>
      </c>
      <c r="D11" s="37"/>
      <c r="E11" s="37"/>
      <c r="F11" s="37"/>
      <c r="G11" s="28"/>
      <c r="H11" s="28"/>
      <c r="I11" s="28"/>
      <c r="J11" s="28"/>
      <c r="K11" s="28"/>
      <c r="L11" s="28"/>
      <c r="M11" s="28"/>
      <c r="N11" s="28"/>
      <c r="O11" s="28"/>
      <c r="P11" s="28"/>
      <c r="Q11" s="28"/>
      <c r="R11" s="40" t="s">
        <v>595</v>
      </c>
    </row>
    <row r="12" spans="1:18" x14ac:dyDescent="0.25">
      <c r="A12" s="7" t="s">
        <v>213</v>
      </c>
      <c r="B12" t="s">
        <v>514</v>
      </c>
      <c r="C12" s="39">
        <v>2.15</v>
      </c>
      <c r="D12" s="28"/>
      <c r="E12" s="28"/>
      <c r="F12" s="28"/>
      <c r="G12" s="28"/>
      <c r="H12" s="28"/>
      <c r="I12" s="28"/>
      <c r="J12" s="28"/>
      <c r="K12" s="28"/>
      <c r="L12" s="28"/>
      <c r="M12" s="28"/>
      <c r="N12" s="28"/>
      <c r="O12" s="28"/>
      <c r="P12" s="28"/>
      <c r="Q12" s="28"/>
      <c r="R12" s="40" t="s">
        <v>596</v>
      </c>
    </row>
    <row r="13" spans="1:18" x14ac:dyDescent="0.25">
      <c r="A13" s="7" t="s">
        <v>214</v>
      </c>
      <c r="B13" t="s">
        <v>515</v>
      </c>
      <c r="C13" s="39">
        <v>3.9</v>
      </c>
      <c r="D13" s="28"/>
      <c r="E13" s="28"/>
      <c r="F13" s="28"/>
      <c r="G13" s="28"/>
      <c r="H13" s="28"/>
      <c r="I13" s="28"/>
      <c r="J13" s="28"/>
      <c r="K13" s="28"/>
      <c r="L13" s="28"/>
      <c r="M13" s="28"/>
      <c r="N13" s="28"/>
      <c r="O13" s="28"/>
      <c r="P13" s="28"/>
      <c r="Q13" s="28"/>
      <c r="R13" s="40" t="s">
        <v>597</v>
      </c>
    </row>
    <row r="14" spans="1:18" x14ac:dyDescent="0.25">
      <c r="A14" s="7" t="s">
        <v>215</v>
      </c>
      <c r="B14" t="s">
        <v>516</v>
      </c>
      <c r="C14" s="28">
        <v>350000</v>
      </c>
      <c r="D14" s="28"/>
      <c r="E14" s="28"/>
      <c r="F14" s="28"/>
      <c r="G14" s="28"/>
      <c r="H14" s="28"/>
      <c r="I14" s="28"/>
      <c r="J14" s="28"/>
      <c r="K14" s="28"/>
      <c r="L14" s="28"/>
      <c r="M14" s="28"/>
      <c r="N14" s="28"/>
      <c r="O14" s="28"/>
      <c r="P14" s="28"/>
      <c r="Q14" s="28"/>
      <c r="R14" s="40" t="s">
        <v>598</v>
      </c>
    </row>
    <row r="15" spans="1:18" x14ac:dyDescent="0.25">
      <c r="A15" s="7" t="s">
        <v>230</v>
      </c>
      <c r="B15" s="32" t="s">
        <v>536</v>
      </c>
      <c r="C15" s="28">
        <v>0</v>
      </c>
      <c r="D15" s="28"/>
      <c r="E15" s="28"/>
      <c r="F15" s="28"/>
      <c r="G15" s="28"/>
      <c r="H15" s="28"/>
      <c r="I15" s="28"/>
      <c r="J15" s="28"/>
      <c r="K15" s="28"/>
      <c r="L15" s="28"/>
      <c r="M15" s="28"/>
      <c r="N15" s="28"/>
      <c r="O15" s="28"/>
      <c r="P15" s="28"/>
      <c r="Q15" s="28"/>
      <c r="R15" s="40" t="s">
        <v>599</v>
      </c>
    </row>
    <row r="16" spans="1:18" x14ac:dyDescent="0.25">
      <c r="A16" s="7" t="s">
        <v>231</v>
      </c>
      <c r="B16" s="32" t="s">
        <v>537</v>
      </c>
      <c r="C16" s="28">
        <v>0</v>
      </c>
      <c r="D16" s="28"/>
      <c r="E16" s="28"/>
      <c r="F16" s="28"/>
      <c r="G16" s="28"/>
      <c r="H16" s="28"/>
      <c r="I16" s="28"/>
      <c r="J16" s="28"/>
      <c r="K16" s="28"/>
      <c r="L16" s="28"/>
      <c r="M16" s="28"/>
      <c r="N16" s="28"/>
      <c r="O16" s="28"/>
      <c r="P16" s="28"/>
      <c r="Q16" s="28"/>
      <c r="R16" s="40" t="s">
        <v>600</v>
      </c>
    </row>
    <row r="17" spans="1:18" x14ac:dyDescent="0.25">
      <c r="A17" s="7" t="s">
        <v>216</v>
      </c>
      <c r="B17" t="s">
        <v>517</v>
      </c>
      <c r="C17" s="28">
        <v>0</v>
      </c>
      <c r="D17" s="28"/>
      <c r="E17" s="28"/>
      <c r="F17" s="28"/>
      <c r="G17" s="28"/>
      <c r="H17" s="28"/>
      <c r="I17" s="28"/>
      <c r="J17" s="28"/>
      <c r="K17" s="28"/>
      <c r="L17" s="28"/>
      <c r="M17" s="28"/>
      <c r="N17" s="28"/>
      <c r="O17" s="28"/>
      <c r="P17" s="28"/>
      <c r="Q17" s="28"/>
      <c r="R17" s="40" t="s">
        <v>601</v>
      </c>
    </row>
    <row r="18" spans="1:18" x14ac:dyDescent="0.25">
      <c r="A18" s="7" t="s">
        <v>232</v>
      </c>
      <c r="B18" s="32" t="s">
        <v>569</v>
      </c>
      <c r="C18" s="28" t="b">
        <v>1</v>
      </c>
      <c r="D18" s="28"/>
      <c r="E18" s="28"/>
      <c r="F18" s="28"/>
      <c r="G18" s="28"/>
      <c r="H18" s="28"/>
      <c r="I18" s="28"/>
      <c r="J18" s="28"/>
      <c r="K18" s="28"/>
      <c r="L18" s="28"/>
      <c r="M18" s="28"/>
      <c r="N18" s="28"/>
      <c r="O18" s="28"/>
      <c r="P18" s="28"/>
      <c r="Q18" s="28"/>
      <c r="R18" s="40" t="s">
        <v>1289</v>
      </c>
    </row>
    <row r="19" spans="1:18" x14ac:dyDescent="0.25">
      <c r="A19" s="7" t="s">
        <v>1193</v>
      </c>
      <c r="B19" s="32" t="s">
        <v>1194</v>
      </c>
      <c r="C19" s="28"/>
      <c r="D19" s="28"/>
      <c r="E19" s="28"/>
      <c r="F19" s="28"/>
      <c r="G19" s="28"/>
      <c r="H19" s="28"/>
      <c r="I19" s="28"/>
      <c r="J19" s="28"/>
      <c r="K19" s="28"/>
      <c r="L19" s="28"/>
      <c r="M19" s="28"/>
      <c r="N19" s="28"/>
      <c r="O19" s="28"/>
      <c r="P19" s="28"/>
      <c r="Q19" s="28"/>
      <c r="R19" s="40" t="s">
        <v>1292</v>
      </c>
    </row>
    <row r="20" spans="1:18" x14ac:dyDescent="0.25">
      <c r="A20" s="33" t="s">
        <v>1195</v>
      </c>
      <c r="B20" s="36" t="s">
        <v>1196</v>
      </c>
      <c r="C20" s="35"/>
      <c r="D20" s="35"/>
      <c r="E20" s="35"/>
      <c r="F20" s="35"/>
      <c r="G20" s="35"/>
      <c r="H20" s="35"/>
      <c r="I20" s="35"/>
      <c r="J20" s="35"/>
      <c r="K20" s="35"/>
      <c r="L20" s="35"/>
      <c r="M20" s="35"/>
      <c r="N20" s="35"/>
      <c r="O20" s="35"/>
      <c r="P20" s="35"/>
      <c r="Q20" s="35"/>
      <c r="R20" s="55"/>
    </row>
    <row r="21" spans="1:18" x14ac:dyDescent="0.25">
      <c r="A21" s="7" t="s">
        <v>1197</v>
      </c>
      <c r="B21" s="32" t="s">
        <v>1198</v>
      </c>
      <c r="C21" s="28"/>
      <c r="D21" s="28"/>
      <c r="E21" s="28"/>
      <c r="F21" s="28"/>
      <c r="G21" s="28"/>
      <c r="H21" s="28"/>
      <c r="I21" s="28"/>
      <c r="J21" s="28"/>
      <c r="K21" s="28"/>
      <c r="L21" s="28"/>
      <c r="M21" s="28"/>
      <c r="N21" s="28"/>
      <c r="O21" s="28"/>
      <c r="P21" s="28"/>
      <c r="Q21" s="28"/>
      <c r="R21" s="40" t="s">
        <v>602</v>
      </c>
    </row>
    <row r="22" spans="1:18" x14ac:dyDescent="0.25">
      <c r="A22" s="33" t="s">
        <v>1199</v>
      </c>
      <c r="B22" s="36" t="s">
        <v>1200</v>
      </c>
      <c r="C22" s="35"/>
      <c r="D22" s="35"/>
      <c r="E22" s="35"/>
      <c r="F22" s="35"/>
      <c r="G22" s="35"/>
      <c r="H22" s="35"/>
      <c r="I22" s="35"/>
      <c r="J22" s="35"/>
      <c r="K22" s="35"/>
      <c r="L22" s="35"/>
      <c r="M22" s="35"/>
      <c r="N22" s="35"/>
      <c r="O22" s="35"/>
      <c r="P22" s="35"/>
      <c r="Q22" s="35"/>
      <c r="R22" s="55"/>
    </row>
    <row r="23" spans="1:18" x14ac:dyDescent="0.25">
      <c r="A23" s="7" t="s">
        <v>1201</v>
      </c>
      <c r="B23" s="32" t="s">
        <v>1202</v>
      </c>
      <c r="C23" s="28"/>
      <c r="D23" s="28"/>
      <c r="E23" s="28"/>
      <c r="F23" s="28"/>
      <c r="G23" s="28"/>
      <c r="H23" s="28"/>
      <c r="I23" s="28"/>
      <c r="J23" s="28"/>
      <c r="K23" s="28"/>
      <c r="L23" s="28"/>
      <c r="M23" s="28"/>
      <c r="N23" s="28"/>
      <c r="O23" s="28"/>
      <c r="P23" s="28"/>
      <c r="Q23" s="28"/>
      <c r="R23" s="40" t="s">
        <v>1293</v>
      </c>
    </row>
    <row r="24" spans="1:18" x14ac:dyDescent="0.25">
      <c r="A24" s="33" t="s">
        <v>1203</v>
      </c>
      <c r="B24" s="36" t="s">
        <v>1204</v>
      </c>
      <c r="C24" s="35"/>
      <c r="D24" s="35"/>
      <c r="E24" s="35"/>
      <c r="F24" s="35"/>
      <c r="G24" s="35"/>
      <c r="H24" s="35"/>
      <c r="I24" s="35"/>
      <c r="J24" s="35"/>
      <c r="K24" s="35"/>
      <c r="L24" s="35"/>
      <c r="M24" s="35"/>
      <c r="N24" s="35"/>
      <c r="O24" s="35"/>
      <c r="P24" s="35"/>
      <c r="Q24" s="35"/>
      <c r="R24" s="55"/>
    </row>
    <row r="25" spans="1:18" x14ac:dyDescent="0.25">
      <c r="A25" s="7" t="s">
        <v>1205</v>
      </c>
      <c r="B25" s="32" t="s">
        <v>1206</v>
      </c>
      <c r="C25" s="28"/>
      <c r="D25" s="28"/>
      <c r="E25" s="28"/>
      <c r="F25" s="28"/>
      <c r="G25" s="28"/>
      <c r="H25" s="28"/>
      <c r="I25" s="28"/>
      <c r="J25" s="28"/>
      <c r="K25" s="28"/>
      <c r="L25" s="28"/>
      <c r="M25" s="28"/>
      <c r="N25" s="28"/>
      <c r="O25" s="28"/>
      <c r="P25" s="28"/>
      <c r="Q25" s="28"/>
      <c r="R25" s="40" t="s">
        <v>1294</v>
      </c>
    </row>
    <row r="26" spans="1:18" x14ac:dyDescent="0.25">
      <c r="A26" s="33" t="s">
        <v>1207</v>
      </c>
      <c r="B26" s="36" t="s">
        <v>1208</v>
      </c>
      <c r="C26" s="35"/>
      <c r="D26" s="35"/>
      <c r="E26" s="35"/>
      <c r="F26" s="35"/>
      <c r="G26" s="35"/>
      <c r="H26" s="35"/>
      <c r="I26" s="35"/>
      <c r="J26" s="35"/>
      <c r="K26" s="35"/>
      <c r="L26" s="35"/>
      <c r="M26" s="35"/>
      <c r="N26" s="35"/>
      <c r="O26" s="35"/>
      <c r="P26" s="35"/>
      <c r="Q26" s="35"/>
      <c r="R26" s="55"/>
    </row>
    <row r="27" spans="1:18" x14ac:dyDescent="0.25">
      <c r="A27" s="7" t="s">
        <v>1209</v>
      </c>
      <c r="B27" s="32" t="s">
        <v>1259</v>
      </c>
      <c r="C27" s="28"/>
      <c r="D27" s="28"/>
      <c r="E27" s="28"/>
      <c r="F27" s="28"/>
      <c r="G27" s="28"/>
      <c r="H27" s="28"/>
      <c r="I27" s="28"/>
      <c r="J27" s="28"/>
      <c r="K27" s="28"/>
      <c r="L27" s="28"/>
      <c r="M27" s="28"/>
      <c r="N27" s="28"/>
      <c r="O27" s="28"/>
      <c r="P27" s="28"/>
      <c r="Q27" s="28"/>
      <c r="R27" s="40" t="s">
        <v>603</v>
      </c>
    </row>
    <row r="28" spans="1:18" x14ac:dyDescent="0.25">
      <c r="A28" s="33" t="s">
        <v>1210</v>
      </c>
      <c r="B28" s="36" t="s">
        <v>1260</v>
      </c>
      <c r="C28" s="35"/>
      <c r="D28" s="35"/>
      <c r="E28" s="35"/>
      <c r="F28" s="35"/>
      <c r="G28" s="35"/>
      <c r="H28" s="35"/>
      <c r="I28" s="35"/>
      <c r="J28" s="35"/>
      <c r="K28" s="35"/>
      <c r="L28" s="35"/>
      <c r="M28" s="35"/>
      <c r="N28" s="35"/>
      <c r="O28" s="35"/>
      <c r="P28" s="35"/>
      <c r="Q28" s="35"/>
      <c r="R28" s="55"/>
    </row>
    <row r="29" spans="1:18" x14ac:dyDescent="0.25">
      <c r="A29" s="7" t="s">
        <v>1211</v>
      </c>
      <c r="B29" s="32" t="s">
        <v>1212</v>
      </c>
      <c r="C29" s="28"/>
      <c r="D29" s="28"/>
      <c r="E29" s="28"/>
      <c r="F29" s="28"/>
      <c r="G29" s="28"/>
      <c r="H29" s="28"/>
      <c r="I29" s="28"/>
      <c r="J29" s="28"/>
      <c r="K29" s="28"/>
      <c r="L29" s="28"/>
      <c r="M29" s="28"/>
      <c r="N29" s="28"/>
      <c r="O29" s="28"/>
      <c r="P29" s="28"/>
      <c r="Q29" s="28"/>
      <c r="R29" s="40" t="s">
        <v>1295</v>
      </c>
    </row>
    <row r="30" spans="1:18" x14ac:dyDescent="0.25">
      <c r="A30" s="33" t="s">
        <v>1213</v>
      </c>
      <c r="B30" s="36" t="s">
        <v>1214</v>
      </c>
      <c r="C30" s="35"/>
      <c r="D30" s="35"/>
      <c r="E30" s="35"/>
      <c r="F30" s="35"/>
      <c r="G30" s="35"/>
      <c r="H30" s="35"/>
      <c r="I30" s="35"/>
      <c r="J30" s="35"/>
      <c r="K30" s="35"/>
      <c r="L30" s="35"/>
      <c r="M30" s="35"/>
      <c r="N30" s="35"/>
      <c r="O30" s="35"/>
      <c r="P30" s="35"/>
      <c r="Q30" s="35"/>
      <c r="R30" s="55"/>
    </row>
    <row r="31" spans="1:18" x14ac:dyDescent="0.25">
      <c r="A31" s="7" t="s">
        <v>1215</v>
      </c>
      <c r="B31" s="32" t="s">
        <v>1216</v>
      </c>
      <c r="C31" s="28"/>
      <c r="D31" s="28"/>
      <c r="E31" s="28"/>
      <c r="F31" s="28"/>
      <c r="G31" s="28"/>
      <c r="H31" s="28"/>
      <c r="I31" s="28"/>
      <c r="J31" s="28"/>
      <c r="K31" s="28"/>
      <c r="L31" s="28"/>
      <c r="M31" s="28"/>
      <c r="N31" s="28"/>
      <c r="O31" s="28"/>
      <c r="P31" s="28"/>
      <c r="Q31" s="28"/>
      <c r="R31" s="40" t="s">
        <v>1296</v>
      </c>
    </row>
    <row r="32" spans="1:18" x14ac:dyDescent="0.25">
      <c r="A32" s="33" t="s">
        <v>1217</v>
      </c>
      <c r="B32" s="36" t="s">
        <v>1218</v>
      </c>
      <c r="C32" s="35"/>
      <c r="D32" s="35"/>
      <c r="E32" s="35"/>
      <c r="F32" s="35"/>
      <c r="G32" s="35"/>
      <c r="H32" s="35"/>
      <c r="I32" s="35"/>
      <c r="J32" s="35"/>
      <c r="K32" s="35"/>
      <c r="L32" s="35"/>
      <c r="M32" s="35"/>
      <c r="N32" s="35"/>
      <c r="O32" s="35"/>
      <c r="P32" s="35"/>
      <c r="Q32" s="35"/>
      <c r="R32" s="55"/>
    </row>
    <row r="33" spans="1:18" x14ac:dyDescent="0.25">
      <c r="A33" s="7" t="s">
        <v>1219</v>
      </c>
      <c r="B33" s="32" t="s">
        <v>1220</v>
      </c>
      <c r="C33" s="28"/>
      <c r="D33" s="28"/>
      <c r="E33" s="28"/>
      <c r="F33" s="28"/>
      <c r="G33" s="28"/>
      <c r="H33" s="28"/>
      <c r="I33" s="28"/>
      <c r="J33" s="28"/>
      <c r="K33" s="28"/>
      <c r="L33" s="28"/>
      <c r="M33" s="28"/>
      <c r="N33" s="28"/>
      <c r="O33" s="28"/>
      <c r="P33" s="28"/>
      <c r="Q33" s="28"/>
      <c r="R33" s="40" t="s">
        <v>1297</v>
      </c>
    </row>
    <row r="34" spans="1:18" x14ac:dyDescent="0.25">
      <c r="A34" s="33" t="s">
        <v>1221</v>
      </c>
      <c r="B34" s="36" t="s">
        <v>1222</v>
      </c>
      <c r="C34" s="35"/>
      <c r="D34" s="35"/>
      <c r="E34" s="35"/>
      <c r="F34" s="35"/>
      <c r="G34" s="35"/>
      <c r="H34" s="35"/>
      <c r="I34" s="35"/>
      <c r="J34" s="35"/>
      <c r="K34" s="35"/>
      <c r="L34" s="35"/>
      <c r="M34" s="35"/>
      <c r="N34" s="35"/>
      <c r="O34" s="35"/>
      <c r="P34" s="35"/>
      <c r="Q34" s="35"/>
      <c r="R34" s="55"/>
    </row>
    <row r="35" spans="1:18" x14ac:dyDescent="0.25">
      <c r="A35" s="7" t="s">
        <v>1223</v>
      </c>
      <c r="B35" s="32" t="s">
        <v>1224</v>
      </c>
      <c r="C35" s="28"/>
      <c r="D35" s="28"/>
      <c r="E35" s="28"/>
      <c r="F35" s="28"/>
      <c r="G35" s="28"/>
      <c r="H35" s="28"/>
      <c r="I35" s="28"/>
      <c r="J35" s="28"/>
      <c r="K35" s="28"/>
      <c r="L35" s="28"/>
      <c r="M35" s="28"/>
      <c r="N35" s="28"/>
      <c r="O35" s="28"/>
      <c r="P35" s="28"/>
      <c r="Q35" s="28"/>
      <c r="R35" s="40" t="s">
        <v>1298</v>
      </c>
    </row>
    <row r="36" spans="1:18" x14ac:dyDescent="0.25">
      <c r="A36" s="33" t="s">
        <v>1225</v>
      </c>
      <c r="B36" s="36" t="s">
        <v>1226</v>
      </c>
      <c r="C36" s="35"/>
      <c r="D36" s="35"/>
      <c r="E36" s="35"/>
      <c r="F36" s="35"/>
      <c r="G36" s="35"/>
      <c r="H36" s="35"/>
      <c r="I36" s="35"/>
      <c r="J36" s="35"/>
      <c r="K36" s="35"/>
      <c r="L36" s="35"/>
      <c r="M36" s="35"/>
      <c r="N36" s="35"/>
      <c r="O36" s="35"/>
      <c r="P36" s="35"/>
      <c r="Q36" s="35"/>
      <c r="R36" s="55"/>
    </row>
    <row r="37" spans="1:18" x14ac:dyDescent="0.25">
      <c r="A37" s="33" t="s">
        <v>1229</v>
      </c>
      <c r="B37" s="36" t="s">
        <v>1228</v>
      </c>
      <c r="C37" s="35"/>
      <c r="D37" s="35"/>
      <c r="E37" s="35"/>
      <c r="F37" s="35"/>
      <c r="G37" s="35"/>
      <c r="H37" s="35"/>
      <c r="I37" s="35"/>
      <c r="J37" s="35"/>
      <c r="K37" s="35"/>
      <c r="L37" s="35"/>
      <c r="M37" s="35"/>
      <c r="N37" s="35"/>
      <c r="O37" s="35"/>
      <c r="P37" s="35"/>
      <c r="Q37" s="35"/>
      <c r="R37" s="55"/>
    </row>
    <row r="38" spans="1:18" x14ac:dyDescent="0.25">
      <c r="A38" s="33" t="s">
        <v>1227</v>
      </c>
      <c r="B38" s="36" t="s">
        <v>1230</v>
      </c>
      <c r="C38" s="35"/>
      <c r="D38" s="35"/>
      <c r="E38" s="35"/>
      <c r="F38" s="35"/>
      <c r="G38" s="35"/>
      <c r="H38" s="35"/>
      <c r="I38" s="35"/>
      <c r="J38" s="35"/>
      <c r="K38" s="35"/>
      <c r="L38" s="35"/>
      <c r="M38" s="35"/>
      <c r="N38" s="35"/>
      <c r="O38" s="35"/>
      <c r="P38" s="35"/>
      <c r="Q38" s="35"/>
      <c r="R38" s="55"/>
    </row>
    <row r="39" spans="1:18" x14ac:dyDescent="0.25">
      <c r="A39" s="33" t="s">
        <v>1233</v>
      </c>
      <c r="B39" s="36" t="s">
        <v>1232</v>
      </c>
      <c r="C39" s="35"/>
      <c r="D39" s="35"/>
      <c r="E39" s="35"/>
      <c r="F39" s="35"/>
      <c r="G39" s="35"/>
      <c r="H39" s="35"/>
      <c r="I39" s="35"/>
      <c r="J39" s="35"/>
      <c r="K39" s="35"/>
      <c r="L39" s="35"/>
      <c r="M39" s="35"/>
      <c r="N39" s="35"/>
      <c r="O39" s="35"/>
      <c r="P39" s="35"/>
      <c r="Q39" s="35"/>
      <c r="R39" s="55"/>
    </row>
    <row r="40" spans="1:18" x14ac:dyDescent="0.25">
      <c r="A40" s="33" t="s">
        <v>1231</v>
      </c>
      <c r="B40" s="36" t="s">
        <v>1234</v>
      </c>
      <c r="C40" s="35"/>
      <c r="D40" s="35"/>
      <c r="E40" s="35"/>
      <c r="F40" s="35"/>
      <c r="G40" s="35"/>
      <c r="H40" s="35"/>
      <c r="I40" s="35"/>
      <c r="J40" s="35"/>
      <c r="K40" s="35"/>
      <c r="L40" s="35"/>
      <c r="M40" s="35"/>
      <c r="N40" s="35"/>
      <c r="O40" s="35"/>
      <c r="P40" s="35"/>
      <c r="Q40" s="35"/>
      <c r="R40" s="55"/>
    </row>
    <row r="41" spans="1:18" x14ac:dyDescent="0.25">
      <c r="A41" s="7" t="s">
        <v>1237</v>
      </c>
      <c r="B41" s="32" t="s">
        <v>1236</v>
      </c>
      <c r="C41" s="28"/>
      <c r="D41" s="28"/>
      <c r="E41" s="28"/>
      <c r="F41" s="28"/>
      <c r="G41" s="28"/>
      <c r="H41" s="28"/>
      <c r="I41" s="28"/>
      <c r="J41" s="28"/>
      <c r="K41" s="28"/>
      <c r="L41" s="28"/>
      <c r="M41" s="28"/>
      <c r="N41" s="28"/>
      <c r="O41" s="28"/>
      <c r="P41" s="28"/>
      <c r="Q41" s="28"/>
      <c r="R41" s="40" t="s">
        <v>1299</v>
      </c>
    </row>
    <row r="42" spans="1:18" x14ac:dyDescent="0.25">
      <c r="A42" s="33" t="s">
        <v>1235</v>
      </c>
      <c r="B42" s="36" t="s">
        <v>1238</v>
      </c>
      <c r="C42" s="35"/>
      <c r="D42" s="35"/>
      <c r="E42" s="35"/>
      <c r="F42" s="35"/>
      <c r="G42" s="35"/>
      <c r="H42" s="35"/>
      <c r="I42" s="35"/>
      <c r="J42" s="35"/>
      <c r="K42" s="35"/>
      <c r="L42" s="35"/>
      <c r="M42" s="35"/>
      <c r="N42" s="35"/>
      <c r="O42" s="35"/>
      <c r="P42" s="35"/>
      <c r="Q42" s="35"/>
      <c r="R42" s="55"/>
    </row>
    <row r="43" spans="1:18" x14ac:dyDescent="0.25">
      <c r="A43" s="7" t="s">
        <v>1241</v>
      </c>
      <c r="B43" s="32" t="s">
        <v>1240</v>
      </c>
      <c r="C43" s="28"/>
      <c r="D43" s="28"/>
      <c r="E43" s="28"/>
      <c r="F43" s="28"/>
      <c r="G43" s="28"/>
      <c r="H43" s="28"/>
      <c r="I43" s="28"/>
      <c r="J43" s="28"/>
      <c r="K43" s="28"/>
      <c r="L43" s="28"/>
      <c r="M43" s="28"/>
      <c r="N43" s="28"/>
      <c r="O43" s="28"/>
      <c r="P43" s="28"/>
      <c r="Q43" s="28"/>
      <c r="R43" s="40" t="s">
        <v>1300</v>
      </c>
    </row>
    <row r="44" spans="1:18" x14ac:dyDescent="0.25">
      <c r="A44" s="33" t="s">
        <v>1239</v>
      </c>
      <c r="B44" s="36" t="s">
        <v>1242</v>
      </c>
      <c r="C44" s="35"/>
      <c r="D44" s="35"/>
      <c r="E44" s="35"/>
      <c r="F44" s="35"/>
      <c r="G44" s="35"/>
      <c r="H44" s="35"/>
      <c r="I44" s="35"/>
      <c r="J44" s="35"/>
      <c r="K44" s="35"/>
      <c r="L44" s="35"/>
      <c r="M44" s="35"/>
      <c r="N44" s="35"/>
      <c r="O44" s="35"/>
      <c r="P44" s="35"/>
      <c r="Q44" s="35"/>
      <c r="R44" s="55"/>
    </row>
    <row r="45" spans="1:18" x14ac:dyDescent="0.25">
      <c r="A45" s="7" t="s">
        <v>1243</v>
      </c>
      <c r="B45" t="s">
        <v>518</v>
      </c>
      <c r="C45" s="28">
        <v>38220</v>
      </c>
      <c r="D45" s="28"/>
      <c r="E45" s="28"/>
      <c r="F45" s="28"/>
      <c r="G45" s="28"/>
      <c r="H45" s="28"/>
      <c r="I45" s="28"/>
      <c r="J45" s="28"/>
      <c r="K45" s="28"/>
      <c r="L45" s="28"/>
      <c r="M45" s="28"/>
      <c r="N45" s="28"/>
      <c r="O45" s="28"/>
      <c r="P45" s="28"/>
      <c r="Q45" s="28"/>
      <c r="R45" s="40" t="s">
        <v>1301</v>
      </c>
    </row>
    <row r="46" spans="1:18" x14ac:dyDescent="0.25">
      <c r="A46" s="33" t="s">
        <v>1244</v>
      </c>
      <c r="B46" s="34" t="s">
        <v>520</v>
      </c>
      <c r="C46" s="35"/>
      <c r="D46" s="35"/>
      <c r="E46" s="35"/>
      <c r="F46" s="35"/>
      <c r="G46" s="35"/>
      <c r="H46" s="35"/>
      <c r="I46" s="35"/>
      <c r="J46" s="35"/>
      <c r="K46" s="35"/>
      <c r="L46" s="35"/>
      <c r="M46" s="35"/>
      <c r="N46" s="35"/>
      <c r="O46" s="35"/>
      <c r="P46" s="35"/>
      <c r="Q46" s="35"/>
      <c r="R46" s="35"/>
    </row>
    <row r="47" spans="1:18" x14ac:dyDescent="0.25">
      <c r="A47" s="7" t="s">
        <v>1245</v>
      </c>
      <c r="B47" t="s">
        <v>519</v>
      </c>
      <c r="C47" s="28">
        <v>0</v>
      </c>
      <c r="D47" s="28"/>
      <c r="E47" s="28"/>
      <c r="F47" s="28"/>
      <c r="G47" s="28"/>
      <c r="H47" s="28"/>
      <c r="I47" s="28"/>
      <c r="J47" s="28"/>
      <c r="K47" s="28"/>
      <c r="L47" s="28"/>
      <c r="M47" s="28"/>
      <c r="N47" s="28"/>
      <c r="O47" s="28"/>
      <c r="P47" s="28"/>
      <c r="Q47" s="28"/>
      <c r="R47" s="40" t="s">
        <v>1302</v>
      </c>
    </row>
    <row r="48" spans="1:18" x14ac:dyDescent="0.25">
      <c r="A48" s="33" t="s">
        <v>1246</v>
      </c>
      <c r="B48" s="34" t="s">
        <v>521</v>
      </c>
      <c r="C48" s="35"/>
      <c r="D48" s="35"/>
      <c r="E48" s="35"/>
      <c r="F48" s="35"/>
      <c r="G48" s="35"/>
      <c r="H48" s="35"/>
      <c r="I48" s="35"/>
      <c r="J48" s="35"/>
      <c r="K48" s="35"/>
      <c r="L48" s="35"/>
      <c r="M48" s="35"/>
      <c r="N48" s="35"/>
      <c r="O48" s="35"/>
      <c r="P48" s="35"/>
      <c r="Q48" s="35"/>
      <c r="R48" s="35"/>
    </row>
    <row r="49" spans="1:18" x14ac:dyDescent="0.25">
      <c r="A49" s="7" t="s">
        <v>1247</v>
      </c>
      <c r="B49" t="s">
        <v>522</v>
      </c>
      <c r="C49" s="28">
        <v>0</v>
      </c>
      <c r="D49" s="28"/>
      <c r="E49" s="28"/>
      <c r="F49" s="28"/>
      <c r="G49" s="28"/>
      <c r="H49" s="28"/>
      <c r="I49" s="28"/>
      <c r="J49" s="28"/>
      <c r="K49" s="28"/>
      <c r="L49" s="28"/>
      <c r="M49" s="28"/>
      <c r="N49" s="28"/>
      <c r="O49" s="28"/>
      <c r="P49" s="28"/>
      <c r="Q49" s="28"/>
      <c r="R49" s="40" t="s">
        <v>1303</v>
      </c>
    </row>
    <row r="50" spans="1:18" x14ac:dyDescent="0.25">
      <c r="A50" s="33" t="s">
        <v>1248</v>
      </c>
      <c r="B50" s="34" t="s">
        <v>523</v>
      </c>
      <c r="C50" s="35"/>
      <c r="D50" s="35"/>
      <c r="E50" s="35"/>
      <c r="F50" s="35"/>
      <c r="G50" s="35"/>
      <c r="H50" s="35"/>
      <c r="I50" s="35"/>
      <c r="J50" s="35"/>
      <c r="K50" s="35"/>
      <c r="L50" s="35"/>
      <c r="M50" s="35"/>
      <c r="N50" s="35"/>
      <c r="O50" s="35"/>
      <c r="P50" s="35"/>
      <c r="Q50" s="35"/>
      <c r="R50" s="35"/>
    </row>
    <row r="51" spans="1:18" x14ac:dyDescent="0.25">
      <c r="A51" s="33" t="s">
        <v>1249</v>
      </c>
      <c r="B51" s="34" t="s">
        <v>1250</v>
      </c>
      <c r="C51" s="35"/>
      <c r="D51" s="35"/>
      <c r="E51" s="35"/>
      <c r="F51" s="35"/>
      <c r="G51" s="35"/>
      <c r="H51" s="35"/>
      <c r="I51" s="35"/>
      <c r="J51" s="35"/>
      <c r="K51" s="35"/>
      <c r="L51" s="35"/>
      <c r="M51" s="35"/>
      <c r="N51" s="35"/>
      <c r="O51" s="35"/>
      <c r="P51" s="35"/>
      <c r="Q51" s="35"/>
      <c r="R51" s="35"/>
    </row>
    <row r="52" spans="1:18" x14ac:dyDescent="0.25">
      <c r="A52" s="33" t="s">
        <v>1251</v>
      </c>
      <c r="B52" s="34" t="s">
        <v>524</v>
      </c>
      <c r="C52" s="35"/>
      <c r="D52" s="35"/>
      <c r="E52" s="35"/>
      <c r="F52" s="35"/>
      <c r="G52" s="35"/>
      <c r="H52" s="35"/>
      <c r="I52" s="35"/>
      <c r="J52" s="35"/>
      <c r="K52" s="35"/>
      <c r="L52" s="35"/>
      <c r="M52" s="35"/>
      <c r="N52" s="35"/>
      <c r="O52" s="35"/>
      <c r="P52" s="35"/>
      <c r="Q52" s="35"/>
      <c r="R52" s="35"/>
    </row>
    <row r="53" spans="1:18" x14ac:dyDescent="0.25">
      <c r="A53" s="7" t="s">
        <v>1252</v>
      </c>
      <c r="B53" s="32" t="s">
        <v>1253</v>
      </c>
      <c r="C53" s="28">
        <v>0</v>
      </c>
      <c r="D53" s="28"/>
      <c r="E53" s="28"/>
      <c r="F53" s="28"/>
      <c r="G53" s="28"/>
      <c r="H53" s="28"/>
      <c r="I53" s="28"/>
      <c r="J53" s="28"/>
      <c r="K53" s="28"/>
      <c r="L53" s="28"/>
      <c r="M53" s="28"/>
      <c r="N53" s="28"/>
      <c r="O53" s="28"/>
      <c r="P53" s="28"/>
      <c r="Q53" s="28"/>
      <c r="R53" s="40" t="s">
        <v>1306</v>
      </c>
    </row>
    <row r="54" spans="1:18" x14ac:dyDescent="0.25">
      <c r="A54" s="33" t="s">
        <v>1254</v>
      </c>
      <c r="B54" s="36" t="s">
        <v>532</v>
      </c>
      <c r="C54" s="35"/>
      <c r="D54" s="35"/>
      <c r="E54" s="35"/>
      <c r="F54" s="35"/>
      <c r="G54" s="35"/>
      <c r="H54" s="35"/>
      <c r="I54" s="35"/>
      <c r="J54" s="35"/>
      <c r="K54" s="35"/>
      <c r="L54" s="35"/>
      <c r="M54" s="35"/>
      <c r="N54" s="35"/>
      <c r="O54" s="35"/>
      <c r="P54" s="35"/>
      <c r="Q54" s="35"/>
      <c r="R54" s="35"/>
    </row>
    <row r="55" spans="1:18" x14ac:dyDescent="0.25">
      <c r="A55" s="7" t="s">
        <v>1255</v>
      </c>
      <c r="B55" t="s">
        <v>526</v>
      </c>
      <c r="C55" s="28">
        <v>81045</v>
      </c>
      <c r="D55" s="28"/>
      <c r="E55" s="28"/>
      <c r="F55" s="28"/>
      <c r="G55" s="28"/>
      <c r="H55" s="28"/>
      <c r="I55" s="28"/>
      <c r="J55" s="28"/>
      <c r="K55" s="28"/>
      <c r="L55" s="28"/>
      <c r="M55" s="28"/>
      <c r="N55" s="28"/>
      <c r="O55" s="28"/>
      <c r="P55" s="28"/>
      <c r="Q55" s="28"/>
      <c r="R55" s="40" t="s">
        <v>1304</v>
      </c>
    </row>
    <row r="56" spans="1:18" x14ac:dyDescent="0.25">
      <c r="A56" s="33" t="s">
        <v>1256</v>
      </c>
      <c r="B56" s="34" t="s">
        <v>528</v>
      </c>
      <c r="C56" s="35"/>
      <c r="D56" s="35"/>
      <c r="E56" s="35"/>
      <c r="F56" s="35"/>
      <c r="G56" s="35"/>
      <c r="H56" s="35"/>
      <c r="I56" s="35"/>
      <c r="J56" s="35"/>
      <c r="K56" s="35"/>
      <c r="L56" s="35"/>
      <c r="M56" s="35"/>
      <c r="N56" s="35"/>
      <c r="O56" s="35"/>
      <c r="P56" s="35"/>
      <c r="Q56" s="35"/>
      <c r="R56" s="35"/>
    </row>
    <row r="57" spans="1:18" x14ac:dyDescent="0.25">
      <c r="A57" s="7" t="s">
        <v>1257</v>
      </c>
      <c r="B57" t="s">
        <v>527</v>
      </c>
      <c r="C57" s="28">
        <v>0</v>
      </c>
      <c r="D57" s="28"/>
      <c r="E57" s="28"/>
      <c r="F57" s="28"/>
      <c r="G57" s="28"/>
      <c r="H57" s="28"/>
      <c r="I57" s="28"/>
      <c r="J57" s="28"/>
      <c r="K57" s="28"/>
      <c r="L57" s="28"/>
      <c r="M57" s="28"/>
      <c r="N57" s="28"/>
      <c r="O57" s="28"/>
      <c r="P57" s="28"/>
      <c r="Q57" s="28"/>
      <c r="R57" s="40" t="s">
        <v>1305</v>
      </c>
    </row>
    <row r="58" spans="1:18" x14ac:dyDescent="0.25">
      <c r="A58" s="33" t="s">
        <v>1258</v>
      </c>
      <c r="B58" s="34" t="s">
        <v>529</v>
      </c>
      <c r="C58" s="35"/>
      <c r="D58" s="35"/>
      <c r="E58" s="35"/>
      <c r="F58" s="35"/>
      <c r="G58" s="35"/>
      <c r="H58" s="35"/>
      <c r="I58" s="35"/>
      <c r="J58" s="35"/>
      <c r="K58" s="35"/>
      <c r="L58" s="35"/>
      <c r="M58" s="35"/>
      <c r="N58" s="35"/>
      <c r="O58" s="35"/>
      <c r="P58" s="35"/>
      <c r="Q58" s="35"/>
      <c r="R58" s="35"/>
    </row>
    <row r="59" spans="1:18" x14ac:dyDescent="0.25">
      <c r="A59" s="33" t="str">
        <f>"Principal Due in "&amp;Year_DestinationYearID+1</f>
        <v>Principal Due in 2025</v>
      </c>
      <c r="B59" s="34" t="s">
        <v>525</v>
      </c>
      <c r="C59" s="35"/>
      <c r="D59" s="35"/>
      <c r="E59" s="35"/>
      <c r="F59" s="35"/>
      <c r="G59" s="35"/>
      <c r="H59" s="35"/>
      <c r="I59" s="35"/>
      <c r="J59" s="35"/>
      <c r="K59" s="35"/>
      <c r="L59" s="35"/>
      <c r="M59" s="35"/>
      <c r="N59" s="35"/>
      <c r="O59" s="35"/>
      <c r="P59" s="35"/>
      <c r="Q59" s="35"/>
      <c r="R59" s="35"/>
    </row>
    <row r="60" spans="1:18" x14ac:dyDescent="0.25">
      <c r="A60" s="33" t="str">
        <f>"Interest Due in "&amp;Year_DestinationYearID+1</f>
        <v>Interest Due in 2025</v>
      </c>
      <c r="B60" s="34" t="s">
        <v>531</v>
      </c>
      <c r="C60" s="35"/>
      <c r="D60" s="35"/>
      <c r="E60" s="35"/>
      <c r="F60" s="35"/>
      <c r="G60" s="35"/>
      <c r="H60" s="35"/>
      <c r="I60" s="35"/>
      <c r="J60" s="35"/>
      <c r="K60" s="35"/>
      <c r="L60" s="35"/>
      <c r="M60" s="35"/>
      <c r="N60" s="35"/>
      <c r="O60" s="35"/>
      <c r="P60" s="35"/>
      <c r="Q60" s="35"/>
      <c r="R60" s="35"/>
    </row>
  </sheetData>
  <phoneticPr fontId="7" type="noConversion"/>
  <conditionalFormatting sqref="A1:A5 A61:A1048576">
    <cfRule type="expression" dxfId="750" priority="162">
      <formula>#REF!="Exclude"</formula>
    </cfRule>
    <cfRule type="expression" dxfId="749" priority="164">
      <formula>#REF!="Error"</formula>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29" id="{4DA53292-36A0-4436-86E0-8C2532701B08}">
            <xm:f>COUNTIFS(Validation!$H:$H,MID(CELL("filename",A1),FIND("]",CELL("filename",A1))+1,255)&amp;CELL("address",A1))&gt;0</xm:f>
            <x14:dxf>
              <font>
                <b/>
                <i val="0"/>
                <color rgb="FFC00000"/>
              </font>
              <numFmt numFmtId="172" formatCode="_(\!* #,##0_);_(\!* \(#,##0\);_(\!* \-??_);_(\!\ @_)"/>
            </x14:dxf>
          </x14:cfRule>
          <xm:sqref>A1:A5 A61:A1048576</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0288D-9C43-4C3D-90A7-27DC42AB5F8F}">
  <sheetPr codeName="Sheet2">
    <tabColor rgb="FF00B0F0"/>
  </sheetPr>
  <dimension ref="A1:AM300"/>
  <sheetViews>
    <sheetView topLeftCell="A91" workbookViewId="0">
      <selection activeCell="H120" sqref="H120"/>
    </sheetView>
  </sheetViews>
  <sheetFormatPr defaultRowHeight="15" x14ac:dyDescent="0.25"/>
  <cols>
    <col min="1" max="1" width="28.7109375" customWidth="1"/>
    <col min="3" max="3" width="10.42578125" bestFit="1" customWidth="1"/>
    <col min="4" max="4" width="17.7109375" customWidth="1"/>
    <col min="5" max="5" width="45.7109375" customWidth="1"/>
    <col min="6" max="6" width="2.7109375" customWidth="1"/>
    <col min="7" max="7" width="23.85546875" style="2" bestFit="1" customWidth="1"/>
    <col min="8" max="8" width="80.7109375" style="2" customWidth="1"/>
    <col min="9" max="9" width="11.5703125" style="2" bestFit="1" customWidth="1"/>
    <col min="10" max="10" width="2.7109375" customWidth="1"/>
    <col min="11" max="11" width="10.5703125" style="21" bestFit="1" customWidth="1"/>
    <col min="12" max="12" width="9.140625" style="3"/>
    <col min="13" max="13" width="2.7109375" customWidth="1"/>
    <col min="14" max="14" width="20.5703125" style="19" customWidth="1"/>
    <col min="15" max="15" width="6.42578125" style="19" customWidth="1"/>
    <col min="16" max="16" width="2.7109375" customWidth="1"/>
    <col min="17" max="17" width="22.42578125" style="20" bestFit="1" customWidth="1"/>
    <col min="18" max="18" width="7.42578125" style="20" customWidth="1"/>
    <col min="19" max="19" width="2.7109375" customWidth="1"/>
    <col min="20" max="20" width="15.28515625" style="22" customWidth="1"/>
    <col min="21" max="21" width="9.140625" style="22"/>
    <col min="22" max="22" width="2.7109375" customWidth="1"/>
    <col min="23" max="23" width="26.140625" style="23" bestFit="1" customWidth="1"/>
    <col min="24" max="24" width="2.28515625" style="23" bestFit="1" customWidth="1"/>
    <col min="25" max="25" width="2.7109375" customWidth="1"/>
    <col min="26" max="26" width="27" style="2" customWidth="1"/>
    <col min="27" max="27" width="9.140625" style="2"/>
    <col min="28" max="28" width="2.7109375" customWidth="1"/>
    <col min="29" max="29" width="46.42578125" style="3" customWidth="1"/>
    <col min="30" max="30" width="2.7109375" customWidth="1"/>
    <col min="31" max="31" width="60.5703125" style="19" customWidth="1"/>
    <col min="32" max="32" width="2.7109375" customWidth="1"/>
    <col min="33" max="33" width="4.5703125" style="20" bestFit="1" customWidth="1"/>
    <col min="34" max="34" width="25" style="20" customWidth="1"/>
    <col min="35" max="35" width="2.7109375" customWidth="1"/>
    <col min="36" max="36" width="23.7109375" customWidth="1"/>
    <col min="37" max="37" width="6.7109375" customWidth="1"/>
    <col min="38" max="38" width="2.7109375" customWidth="1"/>
    <col min="39" max="39" width="10.5703125" style="27" bestFit="1" customWidth="1"/>
  </cols>
  <sheetData>
    <row r="1" spans="1:39" x14ac:dyDescent="0.25">
      <c r="A1" s="212" t="s">
        <v>37</v>
      </c>
      <c r="B1" s="213"/>
      <c r="C1" s="213"/>
      <c r="D1" s="213"/>
      <c r="E1" s="214"/>
      <c r="G1" s="2" t="s">
        <v>38</v>
      </c>
      <c r="H1" s="2" t="s">
        <v>39</v>
      </c>
      <c r="I1" s="2" t="s">
        <v>40</v>
      </c>
      <c r="K1" s="21" t="s">
        <v>41</v>
      </c>
      <c r="L1" s="3" t="s">
        <v>40</v>
      </c>
      <c r="N1" s="19" t="s">
        <v>42</v>
      </c>
      <c r="O1" s="19" t="s">
        <v>43</v>
      </c>
      <c r="Q1" s="20" t="s">
        <v>44</v>
      </c>
      <c r="R1" s="20">
        <v>2</v>
      </c>
      <c r="T1" s="22" t="s">
        <v>45</v>
      </c>
      <c r="W1" s="23" t="s">
        <v>41</v>
      </c>
      <c r="Z1" s="2" t="str" cm="1">
        <f t="array" aca="1" ref="Z1:Z15" ca="1">OFFSET(PAYGs!$B$8,0,0,COUNTIF(PAYGs!$B$8:$B$22,"&lt;&gt;"))</f>
        <v>Elevator Inc</v>
      </c>
      <c r="AA1" s="2" t="str">
        <f ca="1">IF(OR(Z1="Click here to enter a new PAYG",ISBLANK(Z1)),"",Z1)</f>
        <v>Elevator Inc</v>
      </c>
      <c r="AC1" s="3" t="s">
        <v>415</v>
      </c>
      <c r="AE1" s="42" t="s">
        <v>969</v>
      </c>
      <c r="AF1" t="s">
        <v>615</v>
      </c>
      <c r="AH1" s="20" t="s">
        <v>41</v>
      </c>
      <c r="AJ1" s="22" t="s">
        <v>41</v>
      </c>
      <c r="AK1" s="22"/>
      <c r="AM1" s="27" t="s">
        <v>41</v>
      </c>
    </row>
    <row r="2" spans="1:39" x14ac:dyDescent="0.25">
      <c r="A2" t="s">
        <v>47</v>
      </c>
      <c r="G2" s="2" t="s">
        <v>48</v>
      </c>
      <c r="H2" s="2" t="str">
        <f>"Special sessions must be "&amp;Year_DestinationYearID&amp;" or earlier."</f>
        <v>Special sessions must be 2024 or earlier.</v>
      </c>
      <c r="I2" s="2" t="s">
        <v>40</v>
      </c>
      <c r="K2" s="21" t="s">
        <v>49</v>
      </c>
      <c r="L2" s="3" t="b">
        <f>TRUE()</f>
        <v>1</v>
      </c>
      <c r="N2" s="19" t="s">
        <v>50</v>
      </c>
      <c r="O2" s="19" t="s">
        <v>51</v>
      </c>
      <c r="Q2" s="20" t="s">
        <v>52</v>
      </c>
      <c r="R2" s="20">
        <v>5</v>
      </c>
      <c r="T2" s="22" t="s">
        <v>53</v>
      </c>
      <c r="W2" s="23" t="s">
        <v>46</v>
      </c>
      <c r="X2" s="23" t="s">
        <v>297</v>
      </c>
      <c r="Z2" s="2" t="str">
        <f ca="1"/>
        <v>Ricks Lumber</v>
      </c>
      <c r="AA2" s="2" t="str">
        <f t="shared" ref="AA2:AA15" ca="1" si="0">IF(OR(Z2="Click here to enter a new PAYG",ISBLANK(Z2)),"",Z2)</f>
        <v>Ricks Lumber</v>
      </c>
      <c r="AC2" s="3" t="s">
        <v>416</v>
      </c>
      <c r="AE2" s="19" t="s">
        <v>640</v>
      </c>
      <c r="AF2" t="s">
        <v>615</v>
      </c>
      <c r="AG2" s="20" t="s">
        <v>842</v>
      </c>
      <c r="AH2" s="20" t="s">
        <v>766</v>
      </c>
      <c r="AJ2" s="22" t="s">
        <v>772</v>
      </c>
      <c r="AK2" s="22">
        <v>99234</v>
      </c>
      <c r="AM2" s="27" t="s">
        <v>86</v>
      </c>
    </row>
    <row r="3" spans="1:39" x14ac:dyDescent="0.25">
      <c r="A3" t="s">
        <v>55</v>
      </c>
      <c r="G3" s="2" t="s">
        <v>56</v>
      </c>
      <c r="H3" s="2" t="s">
        <v>648</v>
      </c>
      <c r="I3" s="2" t="s">
        <v>40</v>
      </c>
      <c r="K3" s="21" t="s">
        <v>57</v>
      </c>
      <c r="L3" s="3" t="b">
        <f>FALSE()</f>
        <v>0</v>
      </c>
      <c r="N3" s="19" t="s">
        <v>58</v>
      </c>
      <c r="O3" s="19" t="s">
        <v>59</v>
      </c>
      <c r="Q3" s="20" t="s">
        <v>60</v>
      </c>
      <c r="R3" s="20">
        <v>4</v>
      </c>
      <c r="T3" s="22" t="s">
        <v>61</v>
      </c>
      <c r="W3" s="23" t="s">
        <v>54</v>
      </c>
      <c r="X3" s="23" t="s">
        <v>298</v>
      </c>
      <c r="Z3" s="2" t="str">
        <f ca="1"/>
        <v>Click here to enter a new PAYG</v>
      </c>
      <c r="AA3" s="2" t="str">
        <f t="shared" ca="1" si="0"/>
        <v/>
      </c>
      <c r="AC3" s="3" t="s">
        <v>417</v>
      </c>
      <c r="AE3" s="19" t="s">
        <v>641</v>
      </c>
      <c r="AF3" t="s">
        <v>615</v>
      </c>
      <c r="AG3" s="20" t="s">
        <v>841</v>
      </c>
      <c r="AH3" s="20" t="s">
        <v>763</v>
      </c>
      <c r="AJ3" s="22" t="s">
        <v>773</v>
      </c>
      <c r="AK3" s="22">
        <v>99473</v>
      </c>
      <c r="AM3" s="27" t="s">
        <v>778</v>
      </c>
    </row>
    <row r="4" spans="1:39" x14ac:dyDescent="0.25">
      <c r="A4" t="s">
        <v>63</v>
      </c>
      <c r="G4" s="2" t="s">
        <v>64</v>
      </c>
      <c r="H4" s="2" t="s">
        <v>578</v>
      </c>
      <c r="I4" s="2" t="s">
        <v>40</v>
      </c>
      <c r="K4" s="21" t="s">
        <v>65</v>
      </c>
      <c r="L4" s="3" t="b">
        <f>FALSE()</f>
        <v>0</v>
      </c>
      <c r="Q4" s="20" t="s">
        <v>66</v>
      </c>
      <c r="R4" s="20">
        <v>3</v>
      </c>
      <c r="W4" s="23" t="s">
        <v>62</v>
      </c>
      <c r="X4" s="23" t="s">
        <v>299</v>
      </c>
      <c r="Z4" s="2" t="str">
        <f ca="1"/>
        <v/>
      </c>
      <c r="AA4" s="2" t="str">
        <f t="shared" ca="1" si="0"/>
        <v/>
      </c>
      <c r="AC4" s="3" t="s">
        <v>418</v>
      </c>
      <c r="AE4" s="19" t="s">
        <v>946</v>
      </c>
      <c r="AF4" t="s">
        <v>615</v>
      </c>
      <c r="AG4" s="20" t="s">
        <v>843</v>
      </c>
      <c r="AH4" s="20" t="s">
        <v>765</v>
      </c>
      <c r="AJ4" s="22" t="s">
        <v>774</v>
      </c>
      <c r="AK4" s="22">
        <v>99678</v>
      </c>
    </row>
    <row r="5" spans="1:39" x14ac:dyDescent="0.25">
      <c r="A5" t="s">
        <v>68</v>
      </c>
      <c r="G5" s="2" t="s">
        <v>69</v>
      </c>
      <c r="H5" s="2" t="s">
        <v>70</v>
      </c>
      <c r="I5" s="2" t="s">
        <v>40</v>
      </c>
      <c r="Q5" s="20" t="s">
        <v>71</v>
      </c>
      <c r="R5" s="20">
        <v>6</v>
      </c>
      <c r="W5" s="23" t="s">
        <v>67</v>
      </c>
      <c r="X5" s="23" t="s">
        <v>300</v>
      </c>
      <c r="Z5" s="2" t="str">
        <f ca="1"/>
        <v/>
      </c>
      <c r="AA5" s="2" t="str">
        <f t="shared" ca="1" si="0"/>
        <v/>
      </c>
      <c r="AE5" s="19" t="s">
        <v>947</v>
      </c>
      <c r="AF5" t="s">
        <v>615</v>
      </c>
      <c r="AG5" s="20" t="s">
        <v>844</v>
      </c>
      <c r="AH5" s="20" t="s">
        <v>764</v>
      </c>
      <c r="AJ5" s="22" t="s">
        <v>775</v>
      </c>
      <c r="AK5" s="22">
        <v>99817</v>
      </c>
    </row>
    <row r="6" spans="1:39" x14ac:dyDescent="0.25">
      <c r="A6" t="s">
        <v>72</v>
      </c>
      <c r="G6" s="2" t="s">
        <v>73</v>
      </c>
      <c r="H6" s="2" t="s">
        <v>74</v>
      </c>
      <c r="I6" s="2" t="s">
        <v>40</v>
      </c>
      <c r="Q6" s="20" t="s">
        <v>75</v>
      </c>
      <c r="R6" s="20">
        <v>7</v>
      </c>
      <c r="Z6" s="2" t="str">
        <f ca="1"/>
        <v/>
      </c>
      <c r="AA6" s="2" t="str">
        <f t="shared" ca="1" si="0"/>
        <v/>
      </c>
      <c r="AE6" s="19" t="s">
        <v>697</v>
      </c>
      <c r="AF6" t="s">
        <v>615</v>
      </c>
      <c r="AH6" s="20" t="s">
        <v>41</v>
      </c>
      <c r="AJ6" s="22" t="s">
        <v>776</v>
      </c>
      <c r="AK6" s="22">
        <v>99866</v>
      </c>
    </row>
    <row r="7" spans="1:39" x14ac:dyDescent="0.25">
      <c r="A7" t="s">
        <v>76</v>
      </c>
      <c r="G7" s="2" t="s">
        <v>77</v>
      </c>
      <c r="H7" s="2" t="s">
        <v>78</v>
      </c>
      <c r="I7" s="2" t="s">
        <v>40</v>
      </c>
      <c r="Z7" s="2" t="str">
        <f ca="1"/>
        <v/>
      </c>
      <c r="AA7" s="2" t="str">
        <f t="shared" ca="1" si="0"/>
        <v/>
      </c>
      <c r="AE7" s="19" t="s">
        <v>698</v>
      </c>
      <c r="AF7" t="s">
        <v>615</v>
      </c>
      <c r="AJ7" s="22"/>
      <c r="AK7" s="22"/>
    </row>
    <row r="8" spans="1:39" x14ac:dyDescent="0.25">
      <c r="C8" t="s">
        <v>79</v>
      </c>
      <c r="G8" s="2" t="s">
        <v>112</v>
      </c>
      <c r="H8" s="2" t="s">
        <v>114</v>
      </c>
      <c r="I8" s="2" t="s">
        <v>113</v>
      </c>
      <c r="Z8" s="2" t="str">
        <f ca="1"/>
        <v/>
      </c>
      <c r="AA8" s="2" t="str">
        <f t="shared" ca="1" si="0"/>
        <v/>
      </c>
      <c r="AE8" s="19" t="s">
        <v>948</v>
      </c>
      <c r="AF8" t="s">
        <v>615</v>
      </c>
      <c r="AJ8" s="22"/>
      <c r="AK8" s="22"/>
    </row>
    <row r="9" spans="1:39" x14ac:dyDescent="0.25">
      <c r="G9" s="2" t="s">
        <v>115</v>
      </c>
      <c r="H9" s="2" t="s">
        <v>116</v>
      </c>
      <c r="I9" s="2" t="s">
        <v>113</v>
      </c>
      <c r="Z9" s="2" t="str">
        <f ca="1"/>
        <v/>
      </c>
      <c r="AA9" s="2" t="str">
        <f t="shared" ca="1" si="0"/>
        <v/>
      </c>
      <c r="AE9" s="19" t="s">
        <v>949</v>
      </c>
      <c r="AF9" t="s">
        <v>615</v>
      </c>
      <c r="AJ9" s="22"/>
      <c r="AK9" s="22"/>
    </row>
    <row r="10" spans="1:39" x14ac:dyDescent="0.25">
      <c r="A10" s="212" t="s">
        <v>80</v>
      </c>
      <c r="B10" s="213"/>
      <c r="C10" s="213"/>
      <c r="D10" s="213"/>
      <c r="E10" s="214"/>
      <c r="G10" s="2" t="s">
        <v>407</v>
      </c>
      <c r="H10" s="2" t="s">
        <v>406</v>
      </c>
      <c r="I10" s="2" t="s">
        <v>40</v>
      </c>
      <c r="Z10" s="2" t="str">
        <f ca="1"/>
        <v/>
      </c>
      <c r="AA10" s="2" t="str">
        <f t="shared" ca="1" si="0"/>
        <v/>
      </c>
      <c r="AE10" s="19" t="s">
        <v>916</v>
      </c>
      <c r="AF10" t="s">
        <v>615</v>
      </c>
      <c r="AJ10" s="22"/>
      <c r="AK10" s="22"/>
    </row>
    <row r="11" spans="1:39" x14ac:dyDescent="0.25">
      <c r="A11" s="1" t="s">
        <v>81</v>
      </c>
      <c r="B11" s="1" t="s">
        <v>82</v>
      </c>
      <c r="C11" s="1" t="s">
        <v>1</v>
      </c>
      <c r="D11" s="1" t="s">
        <v>83</v>
      </c>
      <c r="E11" s="1" t="s">
        <v>84</v>
      </c>
      <c r="G11" s="2" t="s">
        <v>411</v>
      </c>
      <c r="H11" s="2" t="s">
        <v>412</v>
      </c>
      <c r="I11" s="2" t="s">
        <v>40</v>
      </c>
      <c r="Z11" s="2" t="str">
        <f ca="1"/>
        <v/>
      </c>
      <c r="AA11" s="2" t="str">
        <f t="shared" ca="1" si="0"/>
        <v/>
      </c>
      <c r="AE11" s="19" t="s">
        <v>917</v>
      </c>
      <c r="AF11" t="s">
        <v>615</v>
      </c>
      <c r="AJ11" s="22"/>
      <c r="AK11" s="22"/>
    </row>
    <row r="12" spans="1:39" x14ac:dyDescent="0.25">
      <c r="A12" s="2" t="s">
        <v>85</v>
      </c>
      <c r="B12" t="str">
        <f ca="1">CELL("address",G:I)</f>
        <v>$G$1</v>
      </c>
      <c r="C12" t="s">
        <v>86</v>
      </c>
      <c r="G12" s="2" t="s">
        <v>414</v>
      </c>
      <c r="H12" s="2" t="s">
        <v>477</v>
      </c>
      <c r="I12" s="2" t="s">
        <v>378</v>
      </c>
      <c r="Z12" s="2" t="str">
        <f ca="1"/>
        <v/>
      </c>
      <c r="AA12" s="2" t="str">
        <f t="shared" ca="1" si="0"/>
        <v/>
      </c>
      <c r="AE12" s="19" t="s">
        <v>950</v>
      </c>
      <c r="AF12" t="s">
        <v>615</v>
      </c>
      <c r="AJ12" s="22"/>
      <c r="AK12" s="22"/>
    </row>
    <row r="13" spans="1:39" x14ac:dyDescent="0.25">
      <c r="A13" s="3" t="s">
        <v>87</v>
      </c>
      <c r="B13" t="str">
        <f ca="1">CELL("address",K:L)</f>
        <v>$K$1</v>
      </c>
      <c r="C13" t="s">
        <v>86</v>
      </c>
      <c r="D13" t="s">
        <v>88</v>
      </c>
      <c r="E13" t="s">
        <v>428</v>
      </c>
      <c r="G13" s="2" t="s">
        <v>413</v>
      </c>
      <c r="H13" s="2" t="s">
        <v>478</v>
      </c>
      <c r="I13" s="2" t="s">
        <v>378</v>
      </c>
      <c r="Z13" s="2" t="str">
        <f ca="1"/>
        <v/>
      </c>
      <c r="AA13" s="2" t="str">
        <f t="shared" ca="1" si="0"/>
        <v/>
      </c>
      <c r="AE13" s="19" t="s">
        <v>951</v>
      </c>
      <c r="AF13" t="s">
        <v>615</v>
      </c>
      <c r="AJ13" s="22"/>
      <c r="AK13" s="22"/>
    </row>
    <row r="14" spans="1:39" x14ac:dyDescent="0.25">
      <c r="A14" s="19" t="s">
        <v>89</v>
      </c>
      <c r="B14" t="str">
        <f ca="1">CELL("address",N:O)</f>
        <v>$N$1</v>
      </c>
      <c r="C14" t="s">
        <v>86</v>
      </c>
      <c r="D14" t="s">
        <v>90</v>
      </c>
      <c r="E14" t="s">
        <v>424</v>
      </c>
      <c r="G14" s="2" t="s">
        <v>423</v>
      </c>
      <c r="H14" s="2" t="s">
        <v>422</v>
      </c>
      <c r="I14" s="2" t="s">
        <v>113</v>
      </c>
      <c r="Z14" s="2" t="str">
        <f ca="1"/>
        <v/>
      </c>
      <c r="AA14" s="2" t="str">
        <f t="shared" ca="1" si="0"/>
        <v/>
      </c>
      <c r="AE14" s="19" t="s">
        <v>967</v>
      </c>
      <c r="AF14" t="s">
        <v>615</v>
      </c>
      <c r="AJ14" s="22"/>
      <c r="AK14" s="22"/>
    </row>
    <row r="15" spans="1:39" x14ac:dyDescent="0.25">
      <c r="A15" s="20" t="s">
        <v>91</v>
      </c>
      <c r="B15" t="str">
        <f ca="1">CELL("address",Q:R)</f>
        <v>$Q$1</v>
      </c>
      <c r="C15" t="s">
        <v>86</v>
      </c>
      <c r="D15" t="s">
        <v>92</v>
      </c>
      <c r="E15" t="s">
        <v>429</v>
      </c>
      <c r="G15" s="2" t="s">
        <v>430</v>
      </c>
      <c r="H15" s="2" t="s">
        <v>431</v>
      </c>
      <c r="I15" s="2" t="s">
        <v>40</v>
      </c>
      <c r="Z15" s="2" t="str">
        <f ca="1"/>
        <v/>
      </c>
      <c r="AA15" s="2" t="str">
        <f t="shared" ca="1" si="0"/>
        <v/>
      </c>
      <c r="AE15" s="19" t="s">
        <v>968</v>
      </c>
      <c r="AF15" t="s">
        <v>615</v>
      </c>
      <c r="AJ15" s="22"/>
      <c r="AK15" s="22"/>
    </row>
    <row r="16" spans="1:39" x14ac:dyDescent="0.25">
      <c r="A16" s="22" t="s">
        <v>93</v>
      </c>
      <c r="B16" t="str">
        <f ca="1">CELL("address",T:U)</f>
        <v>$T$1</v>
      </c>
      <c r="C16" t="s">
        <v>86</v>
      </c>
      <c r="D16" t="s">
        <v>94</v>
      </c>
      <c r="E16" t="s">
        <v>425</v>
      </c>
      <c r="G16" s="2" t="s">
        <v>436</v>
      </c>
      <c r="H16" s="2" t="s">
        <v>437</v>
      </c>
      <c r="I16" s="2" t="s">
        <v>40</v>
      </c>
      <c r="AE16" s="19" t="s">
        <v>970</v>
      </c>
      <c r="AF16" t="s">
        <v>615</v>
      </c>
      <c r="AJ16" s="22"/>
      <c r="AK16" s="22"/>
    </row>
    <row r="17" spans="1:37" x14ac:dyDescent="0.25">
      <c r="A17" s="23" t="s">
        <v>95</v>
      </c>
      <c r="B17" t="str">
        <f ca="1">CELL("address",W:X)</f>
        <v>$W$1</v>
      </c>
      <c r="C17" t="s">
        <v>86</v>
      </c>
      <c r="D17" t="s">
        <v>96</v>
      </c>
      <c r="E17" t="s">
        <v>426</v>
      </c>
      <c r="G17" s="2" t="s">
        <v>434</v>
      </c>
      <c r="H17" s="2" t="s">
        <v>433</v>
      </c>
      <c r="I17" s="2" t="s">
        <v>40</v>
      </c>
      <c r="AE17" s="19" t="s">
        <v>971</v>
      </c>
      <c r="AF17" t="s">
        <v>615</v>
      </c>
      <c r="AJ17" s="22"/>
      <c r="AK17" s="22"/>
    </row>
    <row r="18" spans="1:37" x14ac:dyDescent="0.25">
      <c r="A18" s="2" t="s">
        <v>316</v>
      </c>
      <c r="B18" t="str">
        <f ca="1">CELL("address",Z:AA)</f>
        <v>$Z$1</v>
      </c>
      <c r="C18" t="s">
        <v>29</v>
      </c>
      <c r="D18" t="s">
        <v>318</v>
      </c>
      <c r="E18" t="s">
        <v>317</v>
      </c>
      <c r="G18" s="2" t="s">
        <v>435</v>
      </c>
      <c r="H18" s="2" t="s">
        <v>474</v>
      </c>
      <c r="I18" s="2" t="s">
        <v>40</v>
      </c>
      <c r="AE18" s="19" t="s">
        <v>1097</v>
      </c>
      <c r="AF18" t="s">
        <v>615</v>
      </c>
      <c r="AJ18" s="22"/>
      <c r="AK18" s="22"/>
    </row>
    <row r="19" spans="1:37" x14ac:dyDescent="0.25">
      <c r="A19" s="3" t="s">
        <v>419</v>
      </c>
      <c r="B19" t="str">
        <f ca="1">CELL("address",AC:AC)</f>
        <v>$AC$1</v>
      </c>
      <c r="C19" t="s">
        <v>86</v>
      </c>
      <c r="D19" t="s">
        <v>420</v>
      </c>
      <c r="E19" t="s">
        <v>427</v>
      </c>
      <c r="G19" s="2" t="s">
        <v>470</v>
      </c>
      <c r="H19" s="2" t="s">
        <v>472</v>
      </c>
      <c r="I19" s="2" t="s">
        <v>113</v>
      </c>
      <c r="AE19" s="19" t="s">
        <v>1098</v>
      </c>
      <c r="AF19" t="s">
        <v>615</v>
      </c>
      <c r="AJ19" s="22"/>
      <c r="AK19" s="22"/>
    </row>
    <row r="20" spans="1:37" x14ac:dyDescent="0.25">
      <c r="A20" s="19" t="s">
        <v>639</v>
      </c>
      <c r="B20" t="str">
        <f ca="1">CELL("address",AE:AE)</f>
        <v>$AE$1</v>
      </c>
      <c r="C20" t="s">
        <v>86</v>
      </c>
      <c r="G20" s="2" t="s">
        <v>471</v>
      </c>
      <c r="H20" s="2" t="s">
        <v>479</v>
      </c>
      <c r="I20" s="2" t="s">
        <v>378</v>
      </c>
      <c r="AJ20" s="22"/>
      <c r="AK20" s="22"/>
    </row>
    <row r="21" spans="1:37" x14ac:dyDescent="0.25">
      <c r="A21" s="20" t="s">
        <v>762</v>
      </c>
      <c r="B21" t="str">
        <f ca="1">CELL("address",AH:AH)</f>
        <v>$AH$1</v>
      </c>
      <c r="C21" t="s">
        <v>86</v>
      </c>
      <c r="D21" t="s">
        <v>767</v>
      </c>
      <c r="E21" t="s">
        <v>768</v>
      </c>
      <c r="G21" s="2" t="s">
        <v>473</v>
      </c>
      <c r="H21" s="2" t="s">
        <v>480</v>
      </c>
      <c r="I21" s="2" t="s">
        <v>378</v>
      </c>
      <c r="AJ21" s="22"/>
      <c r="AK21" s="22"/>
    </row>
    <row r="22" spans="1:37" x14ac:dyDescent="0.25">
      <c r="A22" s="22" t="s">
        <v>771</v>
      </c>
      <c r="B22" t="str">
        <f ca="1">CELL("address",AJ:AJ)</f>
        <v>$AJ$1</v>
      </c>
      <c r="C22" t="s">
        <v>23</v>
      </c>
      <c r="D22" t="s">
        <v>777</v>
      </c>
      <c r="E22" t="s">
        <v>1010</v>
      </c>
      <c r="G22" s="2" t="s">
        <v>487</v>
      </c>
      <c r="H22" s="2" t="s">
        <v>488</v>
      </c>
      <c r="I22" s="2" t="s">
        <v>113</v>
      </c>
      <c r="AJ22" s="22"/>
      <c r="AK22" s="22"/>
    </row>
    <row r="23" spans="1:37" x14ac:dyDescent="0.25">
      <c r="A23" s="27" t="s">
        <v>1012</v>
      </c>
      <c r="B23" t="str">
        <f ca="1">CELL("address",AM:AM)</f>
        <v>$AM$1</v>
      </c>
      <c r="C23" t="s">
        <v>86</v>
      </c>
      <c r="D23" t="s">
        <v>1011</v>
      </c>
      <c r="E23" t="s">
        <v>1013</v>
      </c>
      <c r="G23" s="2" t="s">
        <v>489</v>
      </c>
      <c r="H23" s="2" t="s">
        <v>490</v>
      </c>
      <c r="I23" s="2" t="s">
        <v>40</v>
      </c>
      <c r="AJ23" s="22"/>
      <c r="AK23" s="22"/>
    </row>
    <row r="24" spans="1:37" x14ac:dyDescent="0.25">
      <c r="G24" s="2" t="s">
        <v>491</v>
      </c>
      <c r="H24" s="2" t="s">
        <v>574</v>
      </c>
      <c r="I24" s="2" t="s">
        <v>40</v>
      </c>
      <c r="AJ24" s="22"/>
      <c r="AK24" s="22"/>
    </row>
    <row r="25" spans="1:37" x14ac:dyDescent="0.25">
      <c r="G25" s="2" t="s">
        <v>495</v>
      </c>
      <c r="H25" s="2" t="s">
        <v>494</v>
      </c>
      <c r="I25" s="2" t="s">
        <v>40</v>
      </c>
      <c r="AJ25" s="22"/>
      <c r="AK25" s="22"/>
    </row>
    <row r="26" spans="1:37" x14ac:dyDescent="0.25">
      <c r="G26" s="2" t="s">
        <v>496</v>
      </c>
      <c r="H26" s="2" t="s">
        <v>497</v>
      </c>
      <c r="I26" s="2" t="s">
        <v>113</v>
      </c>
      <c r="AJ26" s="22"/>
      <c r="AK26" s="22"/>
    </row>
    <row r="27" spans="1:37" x14ac:dyDescent="0.25">
      <c r="G27" s="2" t="s">
        <v>498</v>
      </c>
      <c r="H27" s="2" t="s">
        <v>499</v>
      </c>
      <c r="I27" s="2" t="s">
        <v>40</v>
      </c>
      <c r="AJ27" s="22"/>
      <c r="AK27" s="22"/>
    </row>
    <row r="28" spans="1:37" x14ac:dyDescent="0.25">
      <c r="G28" s="2" t="s">
        <v>500</v>
      </c>
      <c r="H28" s="2" t="s">
        <v>502</v>
      </c>
      <c r="I28" s="2" t="s">
        <v>40</v>
      </c>
      <c r="AJ28" s="22"/>
      <c r="AK28" s="22"/>
    </row>
    <row r="29" spans="1:37" x14ac:dyDescent="0.25">
      <c r="G29" s="2" t="s">
        <v>501</v>
      </c>
      <c r="H29" s="2" t="s">
        <v>503</v>
      </c>
      <c r="I29" s="2" t="s">
        <v>40</v>
      </c>
      <c r="AJ29" s="22"/>
      <c r="AK29" s="22"/>
    </row>
    <row r="30" spans="1:37" x14ac:dyDescent="0.25">
      <c r="G30" s="2" t="s">
        <v>571</v>
      </c>
      <c r="H30" s="2" t="s">
        <v>573</v>
      </c>
      <c r="I30" s="2" t="s">
        <v>40</v>
      </c>
      <c r="AJ30" s="22"/>
      <c r="AK30" s="22"/>
    </row>
    <row r="31" spans="1:37" x14ac:dyDescent="0.25">
      <c r="G31" s="2" t="s">
        <v>572</v>
      </c>
      <c r="H31" s="2" t="s">
        <v>575</v>
      </c>
      <c r="I31" s="2" t="s">
        <v>40</v>
      </c>
      <c r="AJ31" s="22"/>
      <c r="AK31" s="22"/>
    </row>
    <row r="32" spans="1:37" x14ac:dyDescent="0.25">
      <c r="G32" s="2" t="s">
        <v>577</v>
      </c>
      <c r="H32" s="2" t="s">
        <v>576</v>
      </c>
      <c r="I32" s="2" t="s">
        <v>113</v>
      </c>
      <c r="AJ32" s="22"/>
      <c r="AK32" s="22"/>
    </row>
    <row r="33" spans="7:37" x14ac:dyDescent="0.25">
      <c r="G33" s="2" t="s">
        <v>583</v>
      </c>
      <c r="H33" s="2" t="s">
        <v>584</v>
      </c>
      <c r="I33" s="2" t="s">
        <v>40</v>
      </c>
      <c r="AJ33" s="22"/>
      <c r="AK33" s="22"/>
    </row>
    <row r="34" spans="7:37" x14ac:dyDescent="0.25">
      <c r="G34" s="2" t="s">
        <v>585</v>
      </c>
      <c r="H34" s="2" t="s">
        <v>586</v>
      </c>
      <c r="I34" s="2" t="s">
        <v>40</v>
      </c>
      <c r="AJ34" s="22"/>
      <c r="AK34" s="22"/>
    </row>
    <row r="35" spans="7:37" x14ac:dyDescent="0.25">
      <c r="G35" s="2" t="s">
        <v>701</v>
      </c>
      <c r="H35" s="2" t="s">
        <v>702</v>
      </c>
      <c r="I35" s="2" t="s">
        <v>40</v>
      </c>
      <c r="AJ35" s="22"/>
      <c r="AK35" s="22"/>
    </row>
    <row r="36" spans="7:37" x14ac:dyDescent="0.25">
      <c r="G36" s="2" t="s">
        <v>587</v>
      </c>
      <c r="H36" s="2" t="s">
        <v>705</v>
      </c>
      <c r="I36" s="2" t="s">
        <v>40</v>
      </c>
      <c r="AJ36" s="22"/>
      <c r="AK36" s="22"/>
    </row>
    <row r="37" spans="7:37" x14ac:dyDescent="0.25">
      <c r="G37" s="2" t="s">
        <v>588</v>
      </c>
      <c r="H37" s="2" t="s">
        <v>589</v>
      </c>
      <c r="I37" s="2" t="s">
        <v>40</v>
      </c>
      <c r="AJ37" s="22"/>
      <c r="AK37" s="22"/>
    </row>
    <row r="38" spans="7:37" x14ac:dyDescent="0.25">
      <c r="G38" s="2" t="s">
        <v>591</v>
      </c>
      <c r="H38" s="2" t="s">
        <v>1517</v>
      </c>
      <c r="I38" s="2" t="s">
        <v>40</v>
      </c>
      <c r="AJ38" s="22"/>
      <c r="AK38" s="22"/>
    </row>
    <row r="39" spans="7:37" x14ac:dyDescent="0.25">
      <c r="G39" s="2" t="s">
        <v>592</v>
      </c>
      <c r="H39" s="2" t="s">
        <v>1518</v>
      </c>
      <c r="I39" s="2" t="s">
        <v>40</v>
      </c>
      <c r="AJ39" s="22"/>
      <c r="AK39" s="22"/>
    </row>
    <row r="40" spans="7:37" x14ac:dyDescent="0.25">
      <c r="G40" s="2" t="s">
        <v>607</v>
      </c>
      <c r="H40" s="2" t="s">
        <v>1519</v>
      </c>
      <c r="I40" s="2" t="s">
        <v>40</v>
      </c>
      <c r="AJ40" s="22"/>
      <c r="AK40" s="22"/>
    </row>
    <row r="41" spans="7:37" x14ac:dyDescent="0.25">
      <c r="G41" s="2" t="s">
        <v>608</v>
      </c>
      <c r="H41" s="2" t="str">
        <f>"Issue date must be on or before December 31, "&amp;Year_DestinationYearID&amp;"."</f>
        <v>Issue date must be on or before December 31, 2024.</v>
      </c>
      <c r="I41" s="2" t="s">
        <v>40</v>
      </c>
      <c r="AJ41" s="22"/>
      <c r="AK41" s="22"/>
    </row>
    <row r="42" spans="7:37" x14ac:dyDescent="0.25">
      <c r="G42" s="2" t="s">
        <v>609</v>
      </c>
      <c r="H42" s="2" t="s">
        <v>610</v>
      </c>
      <c r="I42" s="2" t="s">
        <v>40</v>
      </c>
      <c r="AJ42" s="22"/>
      <c r="AK42" s="22"/>
    </row>
    <row r="43" spans="7:37" x14ac:dyDescent="0.25">
      <c r="G43" s="2" t="s">
        <v>611</v>
      </c>
      <c r="H43" s="2" t="s">
        <v>612</v>
      </c>
      <c r="I43" s="2" t="s">
        <v>40</v>
      </c>
      <c r="AJ43" s="22"/>
      <c r="AK43" s="22"/>
    </row>
    <row r="44" spans="7:37" x14ac:dyDescent="0.25">
      <c r="G44" s="2" t="s">
        <v>613</v>
      </c>
      <c r="H44" s="2" t="s">
        <v>619</v>
      </c>
      <c r="I44" s="2" t="s">
        <v>40</v>
      </c>
      <c r="AJ44" s="22"/>
      <c r="AK44" s="22"/>
    </row>
    <row r="45" spans="7:37" x14ac:dyDescent="0.25">
      <c r="G45" s="2" t="s">
        <v>614</v>
      </c>
      <c r="H45" s="2" t="s">
        <v>1515</v>
      </c>
      <c r="I45" s="2" t="s">
        <v>378</v>
      </c>
      <c r="AJ45" s="22"/>
      <c r="AK45" s="22"/>
    </row>
    <row r="46" spans="7:37" x14ac:dyDescent="0.25">
      <c r="G46" s="2" t="s">
        <v>707</v>
      </c>
      <c r="H46" s="2" t="s">
        <v>1516</v>
      </c>
      <c r="I46" s="2" t="s">
        <v>378</v>
      </c>
      <c r="AJ46" s="22"/>
      <c r="AK46" s="22"/>
    </row>
    <row r="47" spans="7:37" x14ac:dyDescent="0.25">
      <c r="G47" s="2" t="s">
        <v>616</v>
      </c>
      <c r="H47" s="2" t="s">
        <v>617</v>
      </c>
      <c r="I47" s="2" t="s">
        <v>40</v>
      </c>
      <c r="AJ47" s="22"/>
      <c r="AK47" s="22"/>
    </row>
    <row r="48" spans="7:37" x14ac:dyDescent="0.25">
      <c r="G48" s="2" t="s">
        <v>708</v>
      </c>
      <c r="H48" s="2" t="s">
        <v>618</v>
      </c>
      <c r="I48" s="2" t="s">
        <v>40</v>
      </c>
      <c r="AJ48" s="22"/>
      <c r="AK48" s="22"/>
    </row>
    <row r="49" spans="7:37" x14ac:dyDescent="0.25">
      <c r="G49" s="2" t="s">
        <v>709</v>
      </c>
      <c r="H49" s="2" t="s">
        <v>1514</v>
      </c>
      <c r="I49" s="2" t="s">
        <v>378</v>
      </c>
      <c r="AJ49" s="22"/>
      <c r="AK49" s="22"/>
    </row>
    <row r="50" spans="7:37" x14ac:dyDescent="0.25">
      <c r="G50" s="2" t="s">
        <v>620</v>
      </c>
      <c r="H50" s="2" t="s">
        <v>621</v>
      </c>
      <c r="I50" s="2" t="s">
        <v>40</v>
      </c>
      <c r="AJ50" s="22"/>
      <c r="AK50" s="22"/>
    </row>
    <row r="51" spans="7:37" x14ac:dyDescent="0.25">
      <c r="G51" s="2" t="s">
        <v>622</v>
      </c>
      <c r="H51" s="2" t="s">
        <v>623</v>
      </c>
      <c r="I51" s="2" t="s">
        <v>40</v>
      </c>
      <c r="AJ51" s="22"/>
      <c r="AK51" s="22"/>
    </row>
    <row r="52" spans="7:37" x14ac:dyDescent="0.25">
      <c r="G52" s="2" t="s">
        <v>624</v>
      </c>
      <c r="H52" s="2" t="s">
        <v>625</v>
      </c>
      <c r="I52" s="2" t="s">
        <v>40</v>
      </c>
      <c r="AJ52" s="22"/>
      <c r="AK52" s="22"/>
    </row>
    <row r="53" spans="7:37" x14ac:dyDescent="0.25">
      <c r="G53" s="2" t="s">
        <v>626</v>
      </c>
      <c r="H53" s="2" t="s">
        <v>627</v>
      </c>
      <c r="I53" s="2" t="s">
        <v>40</v>
      </c>
      <c r="AJ53" s="22"/>
      <c r="AK53" s="22"/>
    </row>
    <row r="54" spans="7:37" x14ac:dyDescent="0.25">
      <c r="G54" s="2" t="s">
        <v>628</v>
      </c>
      <c r="H54" s="2" t="s">
        <v>629</v>
      </c>
      <c r="I54" s="2" t="s">
        <v>40</v>
      </c>
      <c r="AJ54" s="22"/>
      <c r="AK54" s="22"/>
    </row>
    <row r="55" spans="7:37" x14ac:dyDescent="0.25">
      <c r="G55" s="2" t="s">
        <v>630</v>
      </c>
      <c r="H55" s="2" t="s">
        <v>631</v>
      </c>
      <c r="I55" s="2" t="s">
        <v>40</v>
      </c>
      <c r="AJ55" s="22"/>
      <c r="AK55" s="22"/>
    </row>
    <row r="56" spans="7:37" x14ac:dyDescent="0.25">
      <c r="G56" s="2" t="s">
        <v>632</v>
      </c>
      <c r="H56" s="2" t="s">
        <v>633</v>
      </c>
      <c r="I56" s="2" t="s">
        <v>40</v>
      </c>
      <c r="AJ56" s="22"/>
      <c r="AK56" s="22"/>
    </row>
    <row r="57" spans="7:37" x14ac:dyDescent="0.25">
      <c r="G57" s="2" t="s">
        <v>634</v>
      </c>
      <c r="H57" s="2" t="s">
        <v>1513</v>
      </c>
      <c r="I57" s="2" t="s">
        <v>378</v>
      </c>
      <c r="AJ57" s="22"/>
      <c r="AK57" s="22"/>
    </row>
    <row r="58" spans="7:37" x14ac:dyDescent="0.25">
      <c r="G58" s="2" t="s">
        <v>635</v>
      </c>
      <c r="H58" s="2" t="s">
        <v>637</v>
      </c>
      <c r="I58" s="2" t="s">
        <v>40</v>
      </c>
      <c r="AJ58" s="22"/>
      <c r="AK58" s="22"/>
    </row>
    <row r="59" spans="7:37" x14ac:dyDescent="0.25">
      <c r="G59" s="2" t="s">
        <v>636</v>
      </c>
      <c r="H59" s="2" t="s">
        <v>638</v>
      </c>
      <c r="I59" s="2" t="s">
        <v>40</v>
      </c>
      <c r="AJ59" s="22"/>
      <c r="AK59" s="22"/>
    </row>
    <row r="60" spans="7:37" x14ac:dyDescent="0.25">
      <c r="G60" s="2" t="s">
        <v>642</v>
      </c>
      <c r="H60" s="2" t="s">
        <v>643</v>
      </c>
      <c r="I60" s="2" t="s">
        <v>40</v>
      </c>
      <c r="AJ60" s="22"/>
      <c r="AK60" s="22"/>
    </row>
    <row r="61" spans="7:37" x14ac:dyDescent="0.25">
      <c r="G61" s="2" t="s">
        <v>644</v>
      </c>
      <c r="H61" s="2" t="s">
        <v>645</v>
      </c>
      <c r="I61" s="2" t="s">
        <v>40</v>
      </c>
      <c r="AJ61" s="22"/>
      <c r="AK61" s="22"/>
    </row>
    <row r="62" spans="7:37" x14ac:dyDescent="0.25">
      <c r="G62" s="2" t="s">
        <v>646</v>
      </c>
      <c r="H62" s="2" t="s">
        <v>647</v>
      </c>
      <c r="I62" s="2" t="s">
        <v>40</v>
      </c>
      <c r="AJ62" s="22"/>
      <c r="AK62" s="22"/>
    </row>
    <row r="63" spans="7:37" x14ac:dyDescent="0.25">
      <c r="G63" s="2" t="s">
        <v>649</v>
      </c>
      <c r="H63" s="2" t="s">
        <v>650</v>
      </c>
      <c r="I63" s="2" t="s">
        <v>40</v>
      </c>
      <c r="AJ63" s="22"/>
      <c r="AK63" s="22"/>
    </row>
    <row r="64" spans="7:37" x14ac:dyDescent="0.25">
      <c r="G64" s="2" t="s">
        <v>699</v>
      </c>
      <c r="H64" s="2" t="s">
        <v>700</v>
      </c>
      <c r="I64" s="2" t="s">
        <v>40</v>
      </c>
      <c r="AJ64" s="22"/>
      <c r="AK64" s="22"/>
    </row>
    <row r="65" spans="7:37" x14ac:dyDescent="0.25">
      <c r="G65" s="2" t="s">
        <v>1444</v>
      </c>
      <c r="H65" s="2" t="s">
        <v>1349</v>
      </c>
      <c r="I65" s="2" t="s">
        <v>40</v>
      </c>
      <c r="AJ65" s="22"/>
      <c r="AK65" s="22"/>
    </row>
    <row r="66" spans="7:37" x14ac:dyDescent="0.25">
      <c r="G66" s="2" t="s">
        <v>703</v>
      </c>
      <c r="H66" s="2" t="s">
        <v>704</v>
      </c>
      <c r="I66" s="2" t="s">
        <v>40</v>
      </c>
      <c r="AJ66" s="22"/>
      <c r="AK66" s="22"/>
    </row>
    <row r="67" spans="7:37" x14ac:dyDescent="0.25">
      <c r="G67" s="2" t="s">
        <v>760</v>
      </c>
      <c r="H67" s="2" t="s">
        <v>706</v>
      </c>
      <c r="I67" s="2" t="s">
        <v>40</v>
      </c>
      <c r="AJ67" s="22"/>
      <c r="AK67" s="22"/>
    </row>
    <row r="68" spans="7:37" x14ac:dyDescent="0.25">
      <c r="G68" s="2" t="s">
        <v>711</v>
      </c>
      <c r="H68" s="2" t="s">
        <v>710</v>
      </c>
      <c r="I68" s="2" t="s">
        <v>40</v>
      </c>
      <c r="AJ68" s="22"/>
      <c r="AK68" s="22"/>
    </row>
    <row r="69" spans="7:37" x14ac:dyDescent="0.25">
      <c r="G69" s="2" t="s">
        <v>712</v>
      </c>
      <c r="H69" s="2" t="s">
        <v>713</v>
      </c>
      <c r="I69" s="2" t="s">
        <v>40</v>
      </c>
      <c r="AJ69" s="22"/>
      <c r="AK69" s="22"/>
    </row>
    <row r="70" spans="7:37" x14ac:dyDescent="0.25">
      <c r="G70" s="2" t="s">
        <v>912</v>
      </c>
      <c r="H70" s="2" t="s">
        <v>913</v>
      </c>
      <c r="I70" s="2" t="s">
        <v>40</v>
      </c>
      <c r="AJ70" s="22"/>
      <c r="AK70" s="22"/>
    </row>
    <row r="71" spans="7:37" x14ac:dyDescent="0.25">
      <c r="G71" s="2" t="s">
        <v>914</v>
      </c>
      <c r="H71" s="2" t="s">
        <v>915</v>
      </c>
      <c r="I71" s="2" t="s">
        <v>40</v>
      </c>
      <c r="AJ71" s="22"/>
      <c r="AK71" s="22"/>
    </row>
    <row r="72" spans="7:37" x14ac:dyDescent="0.25">
      <c r="G72" s="2" t="s">
        <v>918</v>
      </c>
      <c r="H72" s="2" t="s">
        <v>919</v>
      </c>
      <c r="I72" s="2" t="s">
        <v>40</v>
      </c>
      <c r="AJ72" s="22"/>
      <c r="AK72" s="22"/>
    </row>
    <row r="73" spans="7:37" x14ac:dyDescent="0.25">
      <c r="G73" s="2" t="s">
        <v>920</v>
      </c>
      <c r="H73" s="2" t="s">
        <v>921</v>
      </c>
      <c r="I73" s="2" t="s">
        <v>40</v>
      </c>
      <c r="AJ73" s="22"/>
      <c r="AK73" s="22"/>
    </row>
    <row r="74" spans="7:37" x14ac:dyDescent="0.25">
      <c r="G74" s="2" t="s">
        <v>922</v>
      </c>
      <c r="H74" s="2" t="s">
        <v>923</v>
      </c>
      <c r="I74" s="2" t="s">
        <v>40</v>
      </c>
      <c r="AJ74" s="22"/>
      <c r="AK74" s="22"/>
    </row>
    <row r="75" spans="7:37" x14ac:dyDescent="0.25">
      <c r="G75" s="2" t="s">
        <v>924</v>
      </c>
      <c r="H75" s="2" t="s">
        <v>921</v>
      </c>
      <c r="I75" s="2" t="s">
        <v>113</v>
      </c>
      <c r="AJ75" s="22"/>
      <c r="AK75" s="22"/>
    </row>
    <row r="76" spans="7:37" x14ac:dyDescent="0.25">
      <c r="G76" s="2" t="s">
        <v>925</v>
      </c>
      <c r="H76" s="2" t="s">
        <v>923</v>
      </c>
      <c r="I76" s="2" t="s">
        <v>113</v>
      </c>
      <c r="AJ76" s="22"/>
      <c r="AK76" s="22"/>
    </row>
    <row r="77" spans="7:37" x14ac:dyDescent="0.25">
      <c r="G77" s="2" t="s">
        <v>926</v>
      </c>
      <c r="H77" s="2" t="s">
        <v>927</v>
      </c>
      <c r="I77" s="2" t="s">
        <v>40</v>
      </c>
      <c r="AJ77" s="22"/>
      <c r="AK77" s="22"/>
    </row>
    <row r="78" spans="7:37" x14ac:dyDescent="0.25">
      <c r="G78" s="2" t="s">
        <v>928</v>
      </c>
      <c r="H78" s="2" t="s">
        <v>929</v>
      </c>
      <c r="I78" s="2" t="s">
        <v>40</v>
      </c>
      <c r="AJ78" s="22"/>
      <c r="AK78" s="22"/>
    </row>
    <row r="79" spans="7:37" x14ac:dyDescent="0.25">
      <c r="G79" s="2" t="s">
        <v>930</v>
      </c>
      <c r="H79" s="2" t="s">
        <v>1512</v>
      </c>
      <c r="I79" s="2" t="s">
        <v>378</v>
      </c>
      <c r="AJ79" s="22"/>
      <c r="AK79" s="22"/>
    </row>
    <row r="80" spans="7:37" x14ac:dyDescent="0.25">
      <c r="G80" s="2" t="s">
        <v>1019</v>
      </c>
      <c r="H80" s="2" t="s">
        <v>1020</v>
      </c>
      <c r="I80" s="2" t="s">
        <v>113</v>
      </c>
      <c r="AJ80" s="22"/>
      <c r="AK80" s="22"/>
    </row>
    <row r="81" spans="7:37" x14ac:dyDescent="0.25">
      <c r="G81" s="2" t="s">
        <v>1023</v>
      </c>
      <c r="H81" s="2" t="s">
        <v>1024</v>
      </c>
      <c r="I81" s="2" t="s">
        <v>40</v>
      </c>
      <c r="AJ81" s="22"/>
      <c r="AK81" s="22"/>
    </row>
    <row r="82" spans="7:37" x14ac:dyDescent="0.25">
      <c r="G82" s="2" t="s">
        <v>1025</v>
      </c>
      <c r="H82" s="2" t="s">
        <v>1026</v>
      </c>
      <c r="I82" s="2" t="s">
        <v>40</v>
      </c>
      <c r="AJ82" s="22"/>
      <c r="AK82" s="22"/>
    </row>
    <row r="83" spans="7:37" x14ac:dyDescent="0.25">
      <c r="G83" s="2" t="s">
        <v>1027</v>
      </c>
      <c r="H83" s="2" t="s">
        <v>1028</v>
      </c>
      <c r="I83" s="2" t="s">
        <v>113</v>
      </c>
      <c r="AJ83" s="22"/>
      <c r="AK83" s="22"/>
    </row>
    <row r="84" spans="7:37" x14ac:dyDescent="0.25">
      <c r="G84" s="2" t="s">
        <v>1030</v>
      </c>
      <c r="H84" s="2" t="s">
        <v>1031</v>
      </c>
      <c r="I84" s="2" t="s">
        <v>40</v>
      </c>
      <c r="AJ84" s="22"/>
      <c r="AK84" s="22"/>
    </row>
    <row r="85" spans="7:37" x14ac:dyDescent="0.25">
      <c r="G85" s="2" t="s">
        <v>1032</v>
      </c>
      <c r="H85" s="2" t="s">
        <v>1033</v>
      </c>
      <c r="I85" s="2" t="s">
        <v>40</v>
      </c>
      <c r="AJ85" s="22"/>
      <c r="AK85" s="22"/>
    </row>
    <row r="86" spans="7:37" x14ac:dyDescent="0.25">
      <c r="G86" s="2" t="s">
        <v>1034</v>
      </c>
      <c r="H86" s="2" t="s">
        <v>1035</v>
      </c>
      <c r="I86" s="2" t="s">
        <v>40</v>
      </c>
      <c r="AJ86" s="22"/>
      <c r="AK86" s="22"/>
    </row>
    <row r="87" spans="7:37" x14ac:dyDescent="0.25">
      <c r="G87" s="2" t="s">
        <v>1036</v>
      </c>
      <c r="H87" s="2" t="s">
        <v>1037</v>
      </c>
      <c r="I87" s="2" t="s">
        <v>40</v>
      </c>
      <c r="AJ87" s="22"/>
      <c r="AK87" s="22"/>
    </row>
    <row r="88" spans="7:37" x14ac:dyDescent="0.25">
      <c r="G88" s="2" t="s">
        <v>1039</v>
      </c>
      <c r="H88" s="2" t="s">
        <v>1038</v>
      </c>
      <c r="I88" s="2" t="s">
        <v>378</v>
      </c>
      <c r="AJ88" s="22"/>
      <c r="AK88" s="22"/>
    </row>
    <row r="89" spans="7:37" x14ac:dyDescent="0.25">
      <c r="G89" s="2" t="s">
        <v>1041</v>
      </c>
      <c r="H89" s="2" t="s">
        <v>1042</v>
      </c>
      <c r="I89" s="2" t="s">
        <v>40</v>
      </c>
      <c r="AJ89" s="22"/>
      <c r="AK89" s="22"/>
    </row>
    <row r="90" spans="7:37" x14ac:dyDescent="0.25">
      <c r="G90" s="2" t="s">
        <v>1040</v>
      </c>
      <c r="H90" s="2" t="s">
        <v>1043</v>
      </c>
      <c r="I90" s="2" t="s">
        <v>40</v>
      </c>
      <c r="AJ90" s="22"/>
      <c r="AK90" s="22"/>
    </row>
    <row r="91" spans="7:37" x14ac:dyDescent="0.25">
      <c r="G91" s="2" t="s">
        <v>1074</v>
      </c>
      <c r="H91" s="2" t="s">
        <v>1075</v>
      </c>
      <c r="I91" s="2" t="s">
        <v>113</v>
      </c>
      <c r="AJ91" s="22"/>
      <c r="AK91" s="22"/>
    </row>
    <row r="92" spans="7:37" x14ac:dyDescent="0.25">
      <c r="G92" s="2" t="s">
        <v>1076</v>
      </c>
      <c r="H92" s="2" t="s">
        <v>1077</v>
      </c>
      <c r="I92" s="2" t="s">
        <v>113</v>
      </c>
      <c r="AJ92" s="22"/>
      <c r="AK92" s="22"/>
    </row>
    <row r="93" spans="7:37" x14ac:dyDescent="0.25">
      <c r="G93" s="2" t="s">
        <v>1078</v>
      </c>
      <c r="H93" s="2" t="s">
        <v>1079</v>
      </c>
      <c r="I93" s="2" t="s">
        <v>40</v>
      </c>
      <c r="AJ93" s="22"/>
      <c r="AK93" s="22"/>
    </row>
    <row r="94" spans="7:37" x14ac:dyDescent="0.25">
      <c r="G94" s="2" t="s">
        <v>1080</v>
      </c>
      <c r="H94" s="2" t="s">
        <v>1081</v>
      </c>
      <c r="I94" s="2" t="s">
        <v>40</v>
      </c>
      <c r="AJ94" s="22"/>
      <c r="AK94" s="22"/>
    </row>
    <row r="95" spans="7:37" x14ac:dyDescent="0.25">
      <c r="G95" s="2" t="s">
        <v>1082</v>
      </c>
      <c r="H95" s="2" t="s">
        <v>1083</v>
      </c>
      <c r="I95" s="2" t="s">
        <v>40</v>
      </c>
      <c r="AJ95" s="22"/>
      <c r="AK95" s="22"/>
    </row>
    <row r="96" spans="7:37" x14ac:dyDescent="0.25">
      <c r="G96" s="2" t="s">
        <v>1085</v>
      </c>
      <c r="H96" s="2" t="s">
        <v>1086</v>
      </c>
      <c r="I96" s="2" t="s">
        <v>113</v>
      </c>
      <c r="AJ96" s="22"/>
      <c r="AK96" s="22"/>
    </row>
    <row r="97" spans="7:37" x14ac:dyDescent="0.25">
      <c r="G97" s="2" t="s">
        <v>1088</v>
      </c>
      <c r="H97" s="2" t="s">
        <v>1089</v>
      </c>
      <c r="I97" s="2" t="s">
        <v>40</v>
      </c>
      <c r="AJ97" s="22"/>
      <c r="AK97" s="22"/>
    </row>
    <row r="98" spans="7:37" x14ac:dyDescent="0.25">
      <c r="G98" s="2" t="s">
        <v>1087</v>
      </c>
      <c r="H98" s="2" t="s">
        <v>1596</v>
      </c>
      <c r="I98" s="2" t="s">
        <v>40</v>
      </c>
      <c r="AJ98" s="22"/>
      <c r="AK98" s="22"/>
    </row>
    <row r="99" spans="7:37" x14ac:dyDescent="0.25">
      <c r="G99" s="2" t="s">
        <v>1093</v>
      </c>
      <c r="H99" s="2" t="str">
        <f>_xlfn.CONCAT("Publication date must be during ",Year_DestinationYearID+1,". Correct entry or explain in comments box.")</f>
        <v>Publication date must be during 2025. Correct entry or explain in comments box.</v>
      </c>
      <c r="I99" s="2" t="s">
        <v>378</v>
      </c>
      <c r="AJ99" s="22"/>
      <c r="AK99" s="22"/>
    </row>
    <row r="100" spans="7:37" x14ac:dyDescent="0.25">
      <c r="G100" s="2" t="s">
        <v>1094</v>
      </c>
      <c r="H100" s="2" t="s">
        <v>1095</v>
      </c>
      <c r="I100" s="2" t="s">
        <v>40</v>
      </c>
      <c r="AJ100" s="22"/>
      <c r="AK100" s="22"/>
    </row>
    <row r="101" spans="7:37" x14ac:dyDescent="0.25">
      <c r="G101" s="2" t="s">
        <v>1096</v>
      </c>
      <c r="H101" s="2" t="s">
        <v>1511</v>
      </c>
      <c r="I101" s="2" t="s">
        <v>40</v>
      </c>
      <c r="AJ101" s="22"/>
      <c r="AK101" s="22"/>
    </row>
    <row r="102" spans="7:37" x14ac:dyDescent="0.25">
      <c r="G102" s="2" t="s">
        <v>1103</v>
      </c>
      <c r="H102" s="2" t="s">
        <v>1104</v>
      </c>
      <c r="I102" s="2" t="s">
        <v>40</v>
      </c>
      <c r="AJ102" s="22"/>
      <c r="AK102" s="22"/>
    </row>
    <row r="103" spans="7:37" x14ac:dyDescent="0.25">
      <c r="G103" s="2" t="s">
        <v>1140</v>
      </c>
      <c r="H103" s="2" t="s">
        <v>1491</v>
      </c>
      <c r="I103" s="2" t="s">
        <v>40</v>
      </c>
      <c r="AJ103" s="22"/>
      <c r="AK103" s="22"/>
    </row>
    <row r="104" spans="7:37" x14ac:dyDescent="0.25">
      <c r="G104" s="2" t="s">
        <v>1141</v>
      </c>
      <c r="H104" s="2" t="str">
        <f>_xlfn.CONCAT("Entry required in "&amp;Year_DestinationYearID&amp;" Amount column. Enter $0 if applicable.")</f>
        <v>Entry required in 2024 Amount column. Enter $0 if applicable.</v>
      </c>
      <c r="I104" s="2" t="s">
        <v>40</v>
      </c>
      <c r="AJ104" s="22"/>
      <c r="AK104" s="22"/>
    </row>
    <row r="105" spans="7:37" x14ac:dyDescent="0.25">
      <c r="G105" s="2" t="s">
        <v>1142</v>
      </c>
      <c r="H105" s="2" t="s">
        <v>1143</v>
      </c>
      <c r="I105" s="2" t="s">
        <v>40</v>
      </c>
      <c r="AJ105" s="22"/>
      <c r="AK105" s="22"/>
    </row>
    <row r="106" spans="7:37" x14ac:dyDescent="0.25">
      <c r="G106" s="2" t="s">
        <v>1144</v>
      </c>
      <c r="H106" s="2" t="s">
        <v>1145</v>
      </c>
      <c r="I106" s="2" t="s">
        <v>113</v>
      </c>
      <c r="AJ106" s="22"/>
      <c r="AK106" s="22"/>
    </row>
    <row r="107" spans="7:37" x14ac:dyDescent="0.25">
      <c r="G107" s="2" t="s">
        <v>1622</v>
      </c>
      <c r="H107" s="2" t="s">
        <v>1154</v>
      </c>
      <c r="I107" s="2" t="s">
        <v>113</v>
      </c>
      <c r="AJ107" s="22"/>
      <c r="AK107" s="22"/>
    </row>
    <row r="108" spans="7:37" x14ac:dyDescent="0.25">
      <c r="G108" s="2" t="s">
        <v>1621</v>
      </c>
      <c r="H108" s="2" t="s">
        <v>1630</v>
      </c>
      <c r="I108" s="2" t="s">
        <v>113</v>
      </c>
      <c r="AJ108" s="22"/>
      <c r="AK108" s="22"/>
    </row>
    <row r="109" spans="7:37" x14ac:dyDescent="0.25">
      <c r="G109" s="2" t="s">
        <v>1148</v>
      </c>
      <c r="H109" s="2" t="s">
        <v>1149</v>
      </c>
      <c r="I109" s="2" t="s">
        <v>113</v>
      </c>
      <c r="AJ109" s="22"/>
      <c r="AK109" s="22"/>
    </row>
    <row r="110" spans="7:37" x14ac:dyDescent="0.25">
      <c r="G110" s="2" t="s">
        <v>1623</v>
      </c>
      <c r="H110" s="2" t="s">
        <v>1625</v>
      </c>
      <c r="I110" s="2" t="s">
        <v>113</v>
      </c>
      <c r="AJ110" s="22"/>
      <c r="AK110" s="22"/>
    </row>
    <row r="111" spans="7:37" x14ac:dyDescent="0.25">
      <c r="G111" s="2" t="s">
        <v>1624</v>
      </c>
      <c r="H111" s="2" t="s">
        <v>1626</v>
      </c>
      <c r="I111" s="2" t="s">
        <v>378</v>
      </c>
      <c r="AJ111" s="22"/>
      <c r="AK111" s="22"/>
    </row>
    <row r="112" spans="7:37" x14ac:dyDescent="0.25">
      <c r="G112" s="2" t="s">
        <v>1627</v>
      </c>
      <c r="H112" s="2" t="s">
        <v>1631</v>
      </c>
      <c r="I112" s="2" t="s">
        <v>113</v>
      </c>
      <c r="AJ112" s="22"/>
      <c r="AK112" s="22"/>
    </row>
    <row r="113" spans="7:37" x14ac:dyDescent="0.25">
      <c r="G113" s="2" t="s">
        <v>1628</v>
      </c>
      <c r="H113" s="2" t="s">
        <v>1629</v>
      </c>
      <c r="I113" s="2" t="s">
        <v>378</v>
      </c>
      <c r="AJ113" s="22"/>
      <c r="AK113" s="22"/>
    </row>
    <row r="114" spans="7:37" x14ac:dyDescent="0.25">
      <c r="G114" s="2" t="s">
        <v>1150</v>
      </c>
      <c r="H114" s="2" t="s">
        <v>1151</v>
      </c>
      <c r="I114" s="2" t="s">
        <v>113</v>
      </c>
      <c r="AJ114" s="22"/>
      <c r="AK114" s="22"/>
    </row>
    <row r="115" spans="7:37" x14ac:dyDescent="0.25">
      <c r="G115" s="2" t="s">
        <v>1152</v>
      </c>
      <c r="H115" s="2" t="s">
        <v>1153</v>
      </c>
      <c r="I115" s="2" t="s">
        <v>378</v>
      </c>
      <c r="AJ115" s="22"/>
      <c r="AK115" s="22"/>
    </row>
    <row r="116" spans="7:37" x14ac:dyDescent="0.25">
      <c r="G116" s="2" t="s">
        <v>1632</v>
      </c>
      <c r="H116" s="2" t="s">
        <v>1634</v>
      </c>
      <c r="I116" s="2" t="s">
        <v>378</v>
      </c>
      <c r="AJ116" s="22"/>
      <c r="AK116" s="22"/>
    </row>
    <row r="117" spans="7:37" x14ac:dyDescent="0.25">
      <c r="G117" s="2" t="s">
        <v>1633</v>
      </c>
      <c r="H117" s="2" t="s">
        <v>1635</v>
      </c>
      <c r="I117" s="2" t="s">
        <v>113</v>
      </c>
      <c r="AJ117" s="22"/>
      <c r="AK117" s="22"/>
    </row>
    <row r="118" spans="7:37" x14ac:dyDescent="0.25">
      <c r="G118" s="2" t="s">
        <v>1307</v>
      </c>
      <c r="H118" s="2" t="s">
        <v>1308</v>
      </c>
      <c r="I118" s="2" t="s">
        <v>40</v>
      </c>
      <c r="AJ118" s="22"/>
      <c r="AK118" s="22"/>
    </row>
    <row r="119" spans="7:37" x14ac:dyDescent="0.25">
      <c r="G119" s="2" t="s">
        <v>1310</v>
      </c>
      <c r="H119" s="2" t="s">
        <v>1309</v>
      </c>
      <c r="I119" s="2" t="s">
        <v>40</v>
      </c>
      <c r="AJ119" s="22"/>
      <c r="AK119" s="22"/>
    </row>
    <row r="120" spans="7:37" x14ac:dyDescent="0.25">
      <c r="G120" s="2" t="s">
        <v>1445</v>
      </c>
      <c r="H120" s="2" t="s">
        <v>1683</v>
      </c>
      <c r="I120" s="2" t="s">
        <v>40</v>
      </c>
      <c r="AJ120" s="22"/>
      <c r="AK120" s="22"/>
    </row>
    <row r="121" spans="7:37" x14ac:dyDescent="0.25">
      <c r="G121" s="2" t="s">
        <v>1446</v>
      </c>
      <c r="H121" s="2" t="s">
        <v>1488</v>
      </c>
      <c r="I121" s="2" t="s">
        <v>40</v>
      </c>
      <c r="AJ121" s="22"/>
      <c r="AK121" s="22"/>
    </row>
    <row r="122" spans="7:37" x14ac:dyDescent="0.25">
      <c r="G122" s="2" t="s">
        <v>1486</v>
      </c>
      <c r="H122" s="2" t="s">
        <v>1487</v>
      </c>
      <c r="I122" s="2" t="s">
        <v>40</v>
      </c>
      <c r="AJ122" s="22"/>
      <c r="AK122" s="22"/>
    </row>
    <row r="123" spans="7:37" x14ac:dyDescent="0.25">
      <c r="G123" s="2" t="s">
        <v>1489</v>
      </c>
      <c r="H123" s="2" t="s">
        <v>1504</v>
      </c>
      <c r="I123" s="2" t="s">
        <v>40</v>
      </c>
      <c r="AJ123" s="22"/>
      <c r="AK123" s="22"/>
    </row>
    <row r="124" spans="7:37" x14ac:dyDescent="0.25">
      <c r="G124" s="2" t="s">
        <v>1490</v>
      </c>
      <c r="H124" s="2" t="s">
        <v>1505</v>
      </c>
      <c r="I124" s="2" t="s">
        <v>40</v>
      </c>
      <c r="AJ124" s="22"/>
      <c r="AK124" s="22"/>
    </row>
    <row r="125" spans="7:37" x14ac:dyDescent="0.25">
      <c r="G125" s="2" t="s">
        <v>1506</v>
      </c>
      <c r="H125" s="2" t="s">
        <v>1507</v>
      </c>
      <c r="I125" s="2" t="s">
        <v>378</v>
      </c>
      <c r="AJ125" s="22"/>
      <c r="AK125" s="22"/>
    </row>
    <row r="126" spans="7:37" x14ac:dyDescent="0.25">
      <c r="G126" s="2" t="s">
        <v>1509</v>
      </c>
      <c r="H126" s="2" t="s">
        <v>1510</v>
      </c>
      <c r="I126" s="2" t="s">
        <v>378</v>
      </c>
      <c r="AJ126" s="22"/>
      <c r="AK126" s="22"/>
    </row>
    <row r="127" spans="7:37" x14ac:dyDescent="0.25">
      <c r="G127" s="2" t="s">
        <v>1533</v>
      </c>
      <c r="H127" s="2" t="s">
        <v>1534</v>
      </c>
      <c r="I127" s="2" t="s">
        <v>40</v>
      </c>
      <c r="AJ127" s="22"/>
      <c r="AK127" s="22"/>
    </row>
    <row r="128" spans="7:37" x14ac:dyDescent="0.25">
      <c r="G128" s="2" t="s">
        <v>1552</v>
      </c>
      <c r="H128" s="2" t="s">
        <v>1555</v>
      </c>
      <c r="I128" s="2" t="s">
        <v>40</v>
      </c>
      <c r="AJ128" s="22"/>
      <c r="AK128" s="22"/>
    </row>
    <row r="129" spans="7:37" x14ac:dyDescent="0.25">
      <c r="G129" s="2" t="s">
        <v>1553</v>
      </c>
      <c r="H129" s="2" t="s">
        <v>1556</v>
      </c>
      <c r="I129" s="2" t="s">
        <v>40</v>
      </c>
      <c r="AJ129" s="22"/>
      <c r="AK129" s="22"/>
    </row>
    <row r="130" spans="7:37" x14ac:dyDescent="0.25">
      <c r="G130" s="2" t="s">
        <v>1554</v>
      </c>
      <c r="H130" s="2" t="s">
        <v>1557</v>
      </c>
      <c r="I130" s="2" t="s">
        <v>40</v>
      </c>
      <c r="AJ130" s="22"/>
      <c r="AK130" s="22"/>
    </row>
    <row r="131" spans="7:37" x14ac:dyDescent="0.25">
      <c r="G131" s="2" t="s">
        <v>1559</v>
      </c>
      <c r="H131" s="2" t="s">
        <v>1564</v>
      </c>
      <c r="I131" s="2" t="s">
        <v>40</v>
      </c>
      <c r="AJ131" s="22"/>
      <c r="AK131" s="22"/>
    </row>
    <row r="132" spans="7:37" x14ac:dyDescent="0.25">
      <c r="G132" s="2" t="s">
        <v>1561</v>
      </c>
      <c r="H132" s="2" t="s">
        <v>1560</v>
      </c>
      <c r="I132" s="2" t="s">
        <v>378</v>
      </c>
      <c r="AJ132" s="22"/>
      <c r="AK132" s="22"/>
    </row>
    <row r="133" spans="7:37" x14ac:dyDescent="0.25">
      <c r="G133" s="2" t="s">
        <v>1562</v>
      </c>
      <c r="H133" s="2" t="s">
        <v>1563</v>
      </c>
      <c r="I133" s="2" t="s">
        <v>378</v>
      </c>
      <c r="AJ133" s="22"/>
      <c r="AK133" s="22"/>
    </row>
    <row r="134" spans="7:37" x14ac:dyDescent="0.25">
      <c r="G134" s="2" t="s">
        <v>1558</v>
      </c>
      <c r="H134" s="2" t="s">
        <v>1565</v>
      </c>
      <c r="I134" s="2" t="s">
        <v>40</v>
      </c>
      <c r="AJ134" s="22"/>
      <c r="AK134" s="22"/>
    </row>
    <row r="135" spans="7:37" x14ac:dyDescent="0.25">
      <c r="G135" s="2" t="s">
        <v>1566</v>
      </c>
      <c r="H135" s="2" t="s">
        <v>1567</v>
      </c>
      <c r="I135" s="2" t="s">
        <v>40</v>
      </c>
      <c r="AJ135" s="22"/>
      <c r="AK135" s="22"/>
    </row>
    <row r="136" spans="7:37" x14ac:dyDescent="0.25">
      <c r="G136" s="2" t="s">
        <v>1568</v>
      </c>
      <c r="H136" s="2" t="s">
        <v>1569</v>
      </c>
      <c r="I136" s="2" t="s">
        <v>113</v>
      </c>
      <c r="AJ136" s="22"/>
      <c r="AK136" s="22"/>
    </row>
    <row r="137" spans="7:37" x14ac:dyDescent="0.25">
      <c r="G137" s="2" t="s">
        <v>1572</v>
      </c>
      <c r="H137" s="2" t="s">
        <v>1571</v>
      </c>
      <c r="I137" s="2" t="s">
        <v>40</v>
      </c>
      <c r="AJ137" s="22"/>
      <c r="AK137" s="22"/>
    </row>
    <row r="138" spans="7:37" x14ac:dyDescent="0.25">
      <c r="G138" s="2" t="s">
        <v>1573</v>
      </c>
      <c r="H138" s="2" t="s">
        <v>1574</v>
      </c>
      <c r="I138" s="2" t="s">
        <v>378</v>
      </c>
      <c r="AJ138" s="22"/>
      <c r="AK138" s="22"/>
    </row>
    <row r="139" spans="7:37" x14ac:dyDescent="0.25">
      <c r="G139" s="2" t="s">
        <v>1575</v>
      </c>
      <c r="H139" s="2" t="s">
        <v>1576</v>
      </c>
      <c r="I139" s="2" t="s">
        <v>40</v>
      </c>
      <c r="AJ139" s="22"/>
      <c r="AK139" s="22"/>
    </row>
    <row r="140" spans="7:37" x14ac:dyDescent="0.25">
      <c r="G140" s="2" t="s">
        <v>1580</v>
      </c>
      <c r="H140" s="2" t="s">
        <v>1581</v>
      </c>
      <c r="I140" s="2" t="s">
        <v>40</v>
      </c>
      <c r="AJ140" s="22"/>
      <c r="AK140" s="22"/>
    </row>
    <row r="141" spans="7:37" x14ac:dyDescent="0.25">
      <c r="G141" s="2" t="s">
        <v>1585</v>
      </c>
      <c r="H141" s="2" t="s">
        <v>1586</v>
      </c>
      <c r="I141" s="2" t="s">
        <v>113</v>
      </c>
      <c r="AJ141" s="22"/>
      <c r="AK141" s="22"/>
    </row>
    <row r="142" spans="7:37" x14ac:dyDescent="0.25">
      <c r="G142" s="2" t="s">
        <v>1588</v>
      </c>
      <c r="H142" s="2" t="s">
        <v>1589</v>
      </c>
      <c r="I142" s="2" t="s">
        <v>113</v>
      </c>
      <c r="AJ142" s="22"/>
      <c r="AK142" s="22"/>
    </row>
    <row r="143" spans="7:37" x14ac:dyDescent="0.25">
      <c r="G143" s="2" t="s">
        <v>1591</v>
      </c>
      <c r="H143" s="2" t="s">
        <v>1592</v>
      </c>
      <c r="I143" s="2" t="s">
        <v>378</v>
      </c>
      <c r="AJ143" s="22"/>
      <c r="AK143" s="22"/>
    </row>
    <row r="144" spans="7:37" x14ac:dyDescent="0.25">
      <c r="G144" s="2" t="s">
        <v>1594</v>
      </c>
      <c r="H144" s="2" t="s">
        <v>1595</v>
      </c>
      <c r="I144" s="2" t="s">
        <v>40</v>
      </c>
      <c r="AJ144" s="22"/>
      <c r="AK144" s="22"/>
    </row>
    <row r="145" spans="7:37" x14ac:dyDescent="0.25">
      <c r="G145" s="2" t="s">
        <v>1636</v>
      </c>
      <c r="H145" s="2" t="s">
        <v>1639</v>
      </c>
      <c r="I145" s="2" t="s">
        <v>40</v>
      </c>
      <c r="AJ145" s="22"/>
      <c r="AK145" s="22"/>
    </row>
    <row r="146" spans="7:37" x14ac:dyDescent="0.25">
      <c r="G146" s="2" t="s">
        <v>1637</v>
      </c>
      <c r="H146" s="2" t="s">
        <v>1638</v>
      </c>
      <c r="I146" s="2" t="s">
        <v>40</v>
      </c>
      <c r="AJ146" s="22"/>
      <c r="AK146" s="22"/>
    </row>
    <row r="147" spans="7:37" x14ac:dyDescent="0.25">
      <c r="G147" s="2" t="s">
        <v>1641</v>
      </c>
      <c r="H147" s="2" t="s">
        <v>1642</v>
      </c>
      <c r="I147" s="2" t="s">
        <v>378</v>
      </c>
      <c r="AJ147" s="22"/>
      <c r="AK147" s="22"/>
    </row>
    <row r="148" spans="7:37" x14ac:dyDescent="0.25">
      <c r="G148" s="2" t="s">
        <v>1643</v>
      </c>
      <c r="H148" s="2" t="s">
        <v>1646</v>
      </c>
      <c r="I148" s="2" t="s">
        <v>378</v>
      </c>
      <c r="AJ148" s="22"/>
      <c r="AK148" s="22"/>
    </row>
    <row r="149" spans="7:37" x14ac:dyDescent="0.25">
      <c r="G149" s="2" t="s">
        <v>1644</v>
      </c>
      <c r="H149" s="2" t="s">
        <v>1645</v>
      </c>
      <c r="I149" s="2" t="s">
        <v>113</v>
      </c>
      <c r="AJ149" s="22"/>
      <c r="AK149" s="22"/>
    </row>
    <row r="150" spans="7:37" x14ac:dyDescent="0.25">
      <c r="AJ150" s="22"/>
      <c r="AK150" s="22"/>
    </row>
    <row r="151" spans="7:37" x14ac:dyDescent="0.25">
      <c r="AJ151" s="22"/>
      <c r="AK151" s="22"/>
    </row>
    <row r="152" spans="7:37" x14ac:dyDescent="0.25">
      <c r="AJ152" s="22"/>
      <c r="AK152" s="22"/>
    </row>
    <row r="153" spans="7:37" x14ac:dyDescent="0.25">
      <c r="AJ153" s="22"/>
      <c r="AK153" s="22"/>
    </row>
    <row r="154" spans="7:37" x14ac:dyDescent="0.25">
      <c r="AJ154" s="22"/>
      <c r="AK154" s="22"/>
    </row>
    <row r="155" spans="7:37" x14ac:dyDescent="0.25">
      <c r="AJ155" s="22"/>
      <c r="AK155" s="22"/>
    </row>
    <row r="156" spans="7:37" x14ac:dyDescent="0.25">
      <c r="AJ156" s="22"/>
      <c r="AK156" s="22"/>
    </row>
    <row r="157" spans="7:37" x14ac:dyDescent="0.25">
      <c r="AJ157" s="22"/>
      <c r="AK157" s="22"/>
    </row>
    <row r="158" spans="7:37" x14ac:dyDescent="0.25">
      <c r="AJ158" s="22"/>
      <c r="AK158" s="22"/>
    </row>
    <row r="159" spans="7:37" x14ac:dyDescent="0.25">
      <c r="AJ159" s="22"/>
      <c r="AK159" s="22"/>
    </row>
    <row r="160" spans="7:37" x14ac:dyDescent="0.25">
      <c r="AJ160" s="22"/>
      <c r="AK160" s="22"/>
    </row>
    <row r="161" spans="36:37" x14ac:dyDescent="0.25">
      <c r="AJ161" s="22"/>
      <c r="AK161" s="22"/>
    </row>
    <row r="162" spans="36:37" x14ac:dyDescent="0.25">
      <c r="AJ162" s="22"/>
      <c r="AK162" s="22"/>
    </row>
    <row r="163" spans="36:37" x14ac:dyDescent="0.25">
      <c r="AJ163" s="22"/>
      <c r="AK163" s="22"/>
    </row>
    <row r="164" spans="36:37" x14ac:dyDescent="0.25">
      <c r="AJ164" s="22"/>
      <c r="AK164" s="22"/>
    </row>
    <row r="165" spans="36:37" x14ac:dyDescent="0.25">
      <c r="AJ165" s="22"/>
      <c r="AK165" s="22"/>
    </row>
    <row r="166" spans="36:37" x14ac:dyDescent="0.25">
      <c r="AJ166" s="22"/>
      <c r="AK166" s="22"/>
    </row>
    <row r="167" spans="36:37" x14ac:dyDescent="0.25">
      <c r="AJ167" s="22"/>
      <c r="AK167" s="22"/>
    </row>
    <row r="168" spans="36:37" x14ac:dyDescent="0.25">
      <c r="AJ168" s="22"/>
      <c r="AK168" s="22"/>
    </row>
    <row r="169" spans="36:37" x14ac:dyDescent="0.25">
      <c r="AJ169" s="22"/>
      <c r="AK169" s="22"/>
    </row>
    <row r="170" spans="36:37" x14ac:dyDescent="0.25">
      <c r="AJ170" s="22"/>
      <c r="AK170" s="22"/>
    </row>
    <row r="171" spans="36:37" x14ac:dyDescent="0.25">
      <c r="AJ171" s="22"/>
      <c r="AK171" s="22"/>
    </row>
    <row r="172" spans="36:37" x14ac:dyDescent="0.25">
      <c r="AJ172" s="22"/>
      <c r="AK172" s="22"/>
    </row>
    <row r="173" spans="36:37" x14ac:dyDescent="0.25">
      <c r="AJ173" s="22"/>
      <c r="AK173" s="22"/>
    </row>
    <row r="174" spans="36:37" x14ac:dyDescent="0.25">
      <c r="AJ174" s="22"/>
      <c r="AK174" s="22"/>
    </row>
    <row r="175" spans="36:37" x14ac:dyDescent="0.25">
      <c r="AJ175" s="22"/>
      <c r="AK175" s="22"/>
    </row>
    <row r="176" spans="36:37" x14ac:dyDescent="0.25">
      <c r="AJ176" s="22"/>
      <c r="AK176" s="22"/>
    </row>
    <row r="177" spans="36:37" x14ac:dyDescent="0.25">
      <c r="AJ177" s="22"/>
      <c r="AK177" s="22"/>
    </row>
    <row r="178" spans="36:37" x14ac:dyDescent="0.25">
      <c r="AJ178" s="22"/>
      <c r="AK178" s="22"/>
    </row>
    <row r="179" spans="36:37" x14ac:dyDescent="0.25">
      <c r="AJ179" s="22"/>
      <c r="AK179" s="22"/>
    </row>
    <row r="180" spans="36:37" x14ac:dyDescent="0.25">
      <c r="AJ180" s="22"/>
      <c r="AK180" s="22"/>
    </row>
    <row r="181" spans="36:37" x14ac:dyDescent="0.25">
      <c r="AJ181" s="22"/>
      <c r="AK181" s="22"/>
    </row>
    <row r="182" spans="36:37" x14ac:dyDescent="0.25">
      <c r="AJ182" s="22"/>
      <c r="AK182" s="22"/>
    </row>
    <row r="183" spans="36:37" x14ac:dyDescent="0.25">
      <c r="AJ183" s="22"/>
      <c r="AK183" s="22"/>
    </row>
    <row r="184" spans="36:37" x14ac:dyDescent="0.25">
      <c r="AJ184" s="22"/>
      <c r="AK184" s="22"/>
    </row>
    <row r="185" spans="36:37" x14ac:dyDescent="0.25">
      <c r="AJ185" s="22"/>
      <c r="AK185" s="22"/>
    </row>
    <row r="186" spans="36:37" x14ac:dyDescent="0.25">
      <c r="AJ186" s="22"/>
      <c r="AK186" s="22"/>
    </row>
    <row r="187" spans="36:37" x14ac:dyDescent="0.25">
      <c r="AJ187" s="22"/>
      <c r="AK187" s="22"/>
    </row>
    <row r="188" spans="36:37" x14ac:dyDescent="0.25">
      <c r="AJ188" s="22"/>
      <c r="AK188" s="22"/>
    </row>
    <row r="189" spans="36:37" x14ac:dyDescent="0.25">
      <c r="AJ189" s="22"/>
      <c r="AK189" s="22"/>
    </row>
    <row r="190" spans="36:37" x14ac:dyDescent="0.25">
      <c r="AJ190" s="22"/>
      <c r="AK190" s="22"/>
    </row>
    <row r="191" spans="36:37" x14ac:dyDescent="0.25">
      <c r="AJ191" s="22"/>
      <c r="AK191" s="22"/>
    </row>
    <row r="192" spans="36:37" x14ac:dyDescent="0.25">
      <c r="AJ192" s="22"/>
      <c r="AK192" s="22"/>
    </row>
    <row r="193" spans="36:37" x14ac:dyDescent="0.25">
      <c r="AJ193" s="22"/>
      <c r="AK193" s="22"/>
    </row>
    <row r="194" spans="36:37" x14ac:dyDescent="0.25">
      <c r="AJ194" s="22"/>
      <c r="AK194" s="22"/>
    </row>
    <row r="195" spans="36:37" x14ac:dyDescent="0.25">
      <c r="AJ195" s="22"/>
      <c r="AK195" s="22"/>
    </row>
    <row r="196" spans="36:37" x14ac:dyDescent="0.25">
      <c r="AJ196" s="22"/>
      <c r="AK196" s="22"/>
    </row>
    <row r="197" spans="36:37" x14ac:dyDescent="0.25">
      <c r="AJ197" s="22"/>
      <c r="AK197" s="22"/>
    </row>
    <row r="198" spans="36:37" x14ac:dyDescent="0.25">
      <c r="AJ198" s="22"/>
      <c r="AK198" s="22"/>
    </row>
    <row r="199" spans="36:37" x14ac:dyDescent="0.25">
      <c r="AJ199" s="22"/>
      <c r="AK199" s="22"/>
    </row>
    <row r="200" spans="36:37" x14ac:dyDescent="0.25">
      <c r="AJ200" s="22"/>
      <c r="AK200" s="22"/>
    </row>
    <row r="201" spans="36:37" x14ac:dyDescent="0.25">
      <c r="AJ201" s="22"/>
      <c r="AK201" s="22"/>
    </row>
    <row r="202" spans="36:37" x14ac:dyDescent="0.25">
      <c r="AJ202" s="22"/>
      <c r="AK202" s="22"/>
    </row>
    <row r="203" spans="36:37" x14ac:dyDescent="0.25">
      <c r="AJ203" s="22"/>
      <c r="AK203" s="22"/>
    </row>
    <row r="204" spans="36:37" x14ac:dyDescent="0.25">
      <c r="AJ204" s="22"/>
      <c r="AK204" s="22"/>
    </row>
    <row r="205" spans="36:37" x14ac:dyDescent="0.25">
      <c r="AJ205" s="22"/>
      <c r="AK205" s="22"/>
    </row>
    <row r="206" spans="36:37" x14ac:dyDescent="0.25">
      <c r="AJ206" s="22"/>
      <c r="AK206" s="22"/>
    </row>
    <row r="207" spans="36:37" x14ac:dyDescent="0.25">
      <c r="AJ207" s="22"/>
      <c r="AK207" s="22"/>
    </row>
    <row r="208" spans="36:37" x14ac:dyDescent="0.25">
      <c r="AJ208" s="22"/>
      <c r="AK208" s="22"/>
    </row>
    <row r="209" spans="36:37" x14ac:dyDescent="0.25">
      <c r="AJ209" s="22"/>
      <c r="AK209" s="22"/>
    </row>
    <row r="210" spans="36:37" x14ac:dyDescent="0.25">
      <c r="AJ210" s="22"/>
      <c r="AK210" s="22"/>
    </row>
    <row r="211" spans="36:37" x14ac:dyDescent="0.25">
      <c r="AJ211" s="22"/>
      <c r="AK211" s="22"/>
    </row>
    <row r="212" spans="36:37" x14ac:dyDescent="0.25">
      <c r="AJ212" s="22"/>
      <c r="AK212" s="22"/>
    </row>
    <row r="213" spans="36:37" x14ac:dyDescent="0.25">
      <c r="AJ213" s="22"/>
      <c r="AK213" s="22"/>
    </row>
    <row r="214" spans="36:37" x14ac:dyDescent="0.25">
      <c r="AJ214" s="22"/>
      <c r="AK214" s="22"/>
    </row>
    <row r="215" spans="36:37" x14ac:dyDescent="0.25">
      <c r="AJ215" s="22"/>
      <c r="AK215" s="22"/>
    </row>
    <row r="216" spans="36:37" x14ac:dyDescent="0.25">
      <c r="AJ216" s="22"/>
      <c r="AK216" s="22"/>
    </row>
    <row r="217" spans="36:37" x14ac:dyDescent="0.25">
      <c r="AJ217" s="22"/>
      <c r="AK217" s="22"/>
    </row>
    <row r="218" spans="36:37" x14ac:dyDescent="0.25">
      <c r="AJ218" s="22"/>
      <c r="AK218" s="22"/>
    </row>
    <row r="219" spans="36:37" x14ac:dyDescent="0.25">
      <c r="AJ219" s="22"/>
      <c r="AK219" s="22"/>
    </row>
    <row r="220" spans="36:37" x14ac:dyDescent="0.25">
      <c r="AJ220" s="22"/>
      <c r="AK220" s="22"/>
    </row>
    <row r="221" spans="36:37" x14ac:dyDescent="0.25">
      <c r="AJ221" s="22"/>
      <c r="AK221" s="22"/>
    </row>
    <row r="222" spans="36:37" x14ac:dyDescent="0.25">
      <c r="AJ222" s="22"/>
      <c r="AK222" s="22"/>
    </row>
    <row r="223" spans="36:37" x14ac:dyDescent="0.25">
      <c r="AJ223" s="22"/>
      <c r="AK223" s="22"/>
    </row>
    <row r="224" spans="36:37" x14ac:dyDescent="0.25">
      <c r="AJ224" s="22"/>
      <c r="AK224" s="22"/>
    </row>
    <row r="225" spans="36:37" x14ac:dyDescent="0.25">
      <c r="AJ225" s="22"/>
      <c r="AK225" s="22"/>
    </row>
    <row r="226" spans="36:37" x14ac:dyDescent="0.25">
      <c r="AJ226" s="22"/>
      <c r="AK226" s="22"/>
    </row>
    <row r="227" spans="36:37" x14ac:dyDescent="0.25">
      <c r="AJ227" s="22"/>
      <c r="AK227" s="22"/>
    </row>
    <row r="228" spans="36:37" x14ac:dyDescent="0.25">
      <c r="AJ228" s="22"/>
      <c r="AK228" s="22"/>
    </row>
    <row r="229" spans="36:37" x14ac:dyDescent="0.25">
      <c r="AJ229" s="22"/>
      <c r="AK229" s="22"/>
    </row>
    <row r="230" spans="36:37" x14ac:dyDescent="0.25">
      <c r="AJ230" s="22"/>
      <c r="AK230" s="22"/>
    </row>
    <row r="231" spans="36:37" x14ac:dyDescent="0.25">
      <c r="AJ231" s="22"/>
      <c r="AK231" s="22"/>
    </row>
    <row r="232" spans="36:37" x14ac:dyDescent="0.25">
      <c r="AJ232" s="22"/>
      <c r="AK232" s="22"/>
    </row>
    <row r="233" spans="36:37" x14ac:dyDescent="0.25">
      <c r="AJ233" s="22"/>
      <c r="AK233" s="22"/>
    </row>
    <row r="234" spans="36:37" x14ac:dyDescent="0.25">
      <c r="AJ234" s="22"/>
      <c r="AK234" s="22"/>
    </row>
    <row r="235" spans="36:37" x14ac:dyDescent="0.25">
      <c r="AJ235" s="22"/>
      <c r="AK235" s="22"/>
    </row>
    <row r="236" spans="36:37" x14ac:dyDescent="0.25">
      <c r="AJ236" s="22"/>
      <c r="AK236" s="22"/>
    </row>
    <row r="237" spans="36:37" x14ac:dyDescent="0.25">
      <c r="AJ237" s="22"/>
      <c r="AK237" s="22"/>
    </row>
    <row r="238" spans="36:37" x14ac:dyDescent="0.25">
      <c r="AJ238" s="22"/>
      <c r="AK238" s="22"/>
    </row>
    <row r="239" spans="36:37" x14ac:dyDescent="0.25">
      <c r="AJ239" s="22"/>
      <c r="AK239" s="22"/>
    </row>
    <row r="240" spans="36:37" x14ac:dyDescent="0.25">
      <c r="AJ240" s="22"/>
      <c r="AK240" s="22"/>
    </row>
    <row r="241" spans="36:37" x14ac:dyDescent="0.25">
      <c r="AJ241" s="22"/>
      <c r="AK241" s="22"/>
    </row>
    <row r="242" spans="36:37" x14ac:dyDescent="0.25">
      <c r="AJ242" s="22"/>
      <c r="AK242" s="22"/>
    </row>
    <row r="243" spans="36:37" x14ac:dyDescent="0.25">
      <c r="AJ243" s="22"/>
      <c r="AK243" s="22"/>
    </row>
    <row r="244" spans="36:37" x14ac:dyDescent="0.25">
      <c r="AJ244" s="22"/>
      <c r="AK244" s="22"/>
    </row>
    <row r="245" spans="36:37" x14ac:dyDescent="0.25">
      <c r="AJ245" s="22"/>
      <c r="AK245" s="22"/>
    </row>
    <row r="246" spans="36:37" x14ac:dyDescent="0.25">
      <c r="AJ246" s="22"/>
      <c r="AK246" s="22"/>
    </row>
    <row r="247" spans="36:37" x14ac:dyDescent="0.25">
      <c r="AJ247" s="22"/>
      <c r="AK247" s="22"/>
    </row>
    <row r="248" spans="36:37" x14ac:dyDescent="0.25">
      <c r="AJ248" s="22"/>
      <c r="AK248" s="22"/>
    </row>
    <row r="249" spans="36:37" x14ac:dyDescent="0.25">
      <c r="AJ249" s="22"/>
      <c r="AK249" s="22"/>
    </row>
    <row r="250" spans="36:37" x14ac:dyDescent="0.25">
      <c r="AJ250" s="22"/>
      <c r="AK250" s="22"/>
    </row>
    <row r="251" spans="36:37" x14ac:dyDescent="0.25">
      <c r="AJ251" s="22"/>
      <c r="AK251" s="22"/>
    </row>
    <row r="252" spans="36:37" x14ac:dyDescent="0.25">
      <c r="AJ252" s="22"/>
      <c r="AK252" s="22"/>
    </row>
    <row r="253" spans="36:37" x14ac:dyDescent="0.25">
      <c r="AJ253" s="22"/>
      <c r="AK253" s="22"/>
    </row>
    <row r="254" spans="36:37" x14ac:dyDescent="0.25">
      <c r="AJ254" s="22"/>
      <c r="AK254" s="22"/>
    </row>
    <row r="255" spans="36:37" x14ac:dyDescent="0.25">
      <c r="AJ255" s="22"/>
      <c r="AK255" s="22"/>
    </row>
    <row r="256" spans="36:37" x14ac:dyDescent="0.25">
      <c r="AJ256" s="22"/>
      <c r="AK256" s="22"/>
    </row>
    <row r="257" spans="36:37" x14ac:dyDescent="0.25">
      <c r="AJ257" s="22"/>
      <c r="AK257" s="22"/>
    </row>
    <row r="258" spans="36:37" x14ac:dyDescent="0.25">
      <c r="AJ258" s="22"/>
      <c r="AK258" s="22"/>
    </row>
    <row r="259" spans="36:37" x14ac:dyDescent="0.25">
      <c r="AJ259" s="22"/>
      <c r="AK259" s="22"/>
    </row>
    <row r="260" spans="36:37" x14ac:dyDescent="0.25">
      <c r="AJ260" s="22"/>
      <c r="AK260" s="22"/>
    </row>
    <row r="261" spans="36:37" x14ac:dyDescent="0.25">
      <c r="AJ261" s="22"/>
      <c r="AK261" s="22"/>
    </row>
    <row r="262" spans="36:37" x14ac:dyDescent="0.25">
      <c r="AJ262" s="22"/>
      <c r="AK262" s="22"/>
    </row>
    <row r="263" spans="36:37" x14ac:dyDescent="0.25">
      <c r="AJ263" s="22"/>
      <c r="AK263" s="22"/>
    </row>
    <row r="264" spans="36:37" x14ac:dyDescent="0.25">
      <c r="AJ264" s="22"/>
      <c r="AK264" s="22"/>
    </row>
    <row r="265" spans="36:37" x14ac:dyDescent="0.25">
      <c r="AJ265" s="22"/>
      <c r="AK265" s="22"/>
    </row>
    <row r="266" spans="36:37" x14ac:dyDescent="0.25">
      <c r="AJ266" s="22"/>
      <c r="AK266" s="22"/>
    </row>
    <row r="267" spans="36:37" x14ac:dyDescent="0.25">
      <c r="AJ267" s="22"/>
      <c r="AK267" s="22"/>
    </row>
    <row r="268" spans="36:37" x14ac:dyDescent="0.25">
      <c r="AJ268" s="22"/>
      <c r="AK268" s="22"/>
    </row>
    <row r="269" spans="36:37" x14ac:dyDescent="0.25">
      <c r="AJ269" s="22"/>
      <c r="AK269" s="22"/>
    </row>
    <row r="270" spans="36:37" x14ac:dyDescent="0.25">
      <c r="AJ270" s="22"/>
      <c r="AK270" s="22"/>
    </row>
    <row r="271" spans="36:37" x14ac:dyDescent="0.25">
      <c r="AJ271" s="22"/>
      <c r="AK271" s="22"/>
    </row>
    <row r="272" spans="36:37" x14ac:dyDescent="0.25">
      <c r="AJ272" s="22"/>
      <c r="AK272" s="22"/>
    </row>
    <row r="273" spans="36:37" x14ac:dyDescent="0.25">
      <c r="AJ273" s="22"/>
      <c r="AK273" s="22"/>
    </row>
    <row r="274" spans="36:37" x14ac:dyDescent="0.25">
      <c r="AJ274" s="22"/>
      <c r="AK274" s="22"/>
    </row>
    <row r="275" spans="36:37" x14ac:dyDescent="0.25">
      <c r="AJ275" s="22"/>
      <c r="AK275" s="22"/>
    </row>
    <row r="276" spans="36:37" x14ac:dyDescent="0.25">
      <c r="AJ276" s="22"/>
      <c r="AK276" s="22"/>
    </row>
    <row r="277" spans="36:37" x14ac:dyDescent="0.25">
      <c r="AJ277" s="22"/>
      <c r="AK277" s="22"/>
    </row>
    <row r="278" spans="36:37" x14ac:dyDescent="0.25">
      <c r="AJ278" s="22"/>
      <c r="AK278" s="22"/>
    </row>
    <row r="279" spans="36:37" x14ac:dyDescent="0.25">
      <c r="AJ279" s="22"/>
      <c r="AK279" s="22"/>
    </row>
    <row r="280" spans="36:37" x14ac:dyDescent="0.25">
      <c r="AJ280" s="22"/>
      <c r="AK280" s="22"/>
    </row>
    <row r="281" spans="36:37" x14ac:dyDescent="0.25">
      <c r="AJ281" s="22"/>
      <c r="AK281" s="22"/>
    </row>
    <row r="282" spans="36:37" x14ac:dyDescent="0.25">
      <c r="AJ282" s="22"/>
      <c r="AK282" s="22"/>
    </row>
    <row r="283" spans="36:37" x14ac:dyDescent="0.25">
      <c r="AJ283" s="22"/>
      <c r="AK283" s="22"/>
    </row>
    <row r="284" spans="36:37" x14ac:dyDescent="0.25">
      <c r="AJ284" s="22"/>
      <c r="AK284" s="22"/>
    </row>
    <row r="285" spans="36:37" x14ac:dyDescent="0.25">
      <c r="AJ285" s="22"/>
      <c r="AK285" s="22"/>
    </row>
    <row r="286" spans="36:37" x14ac:dyDescent="0.25">
      <c r="AJ286" s="22"/>
      <c r="AK286" s="22"/>
    </row>
    <row r="287" spans="36:37" x14ac:dyDescent="0.25">
      <c r="AJ287" s="22"/>
      <c r="AK287" s="22"/>
    </row>
    <row r="288" spans="36:37" x14ac:dyDescent="0.25">
      <c r="AJ288" s="22"/>
      <c r="AK288" s="22"/>
    </row>
    <row r="289" spans="36:37" x14ac:dyDescent="0.25">
      <c r="AJ289" s="22"/>
      <c r="AK289" s="22"/>
    </row>
    <row r="290" spans="36:37" x14ac:dyDescent="0.25">
      <c r="AJ290" s="22"/>
      <c r="AK290" s="22"/>
    </row>
    <row r="291" spans="36:37" x14ac:dyDescent="0.25">
      <c r="AJ291" s="22"/>
      <c r="AK291" s="22"/>
    </row>
    <row r="292" spans="36:37" x14ac:dyDescent="0.25">
      <c r="AJ292" s="22"/>
      <c r="AK292" s="22"/>
    </row>
    <row r="293" spans="36:37" x14ac:dyDescent="0.25">
      <c r="AJ293" s="22"/>
      <c r="AK293" s="22"/>
    </row>
    <row r="294" spans="36:37" x14ac:dyDescent="0.25">
      <c r="AJ294" s="22"/>
      <c r="AK294" s="22"/>
    </row>
    <row r="295" spans="36:37" x14ac:dyDescent="0.25">
      <c r="AJ295" s="22"/>
      <c r="AK295" s="22"/>
    </row>
    <row r="296" spans="36:37" x14ac:dyDescent="0.25">
      <c r="AJ296" s="22"/>
      <c r="AK296" s="22"/>
    </row>
    <row r="297" spans="36:37" x14ac:dyDescent="0.25">
      <c r="AJ297" s="22"/>
      <c r="AK297" s="22"/>
    </row>
    <row r="298" spans="36:37" x14ac:dyDescent="0.25">
      <c r="AJ298" s="22"/>
      <c r="AK298" s="22"/>
    </row>
    <row r="299" spans="36:37" x14ac:dyDescent="0.25">
      <c r="AJ299" s="22"/>
      <c r="AK299" s="22"/>
    </row>
    <row r="300" spans="36:37" x14ac:dyDescent="0.25">
      <c r="AJ300" s="22"/>
      <c r="AK300" s="22"/>
    </row>
  </sheetData>
  <mergeCells count="2">
    <mergeCell ref="A1:E1"/>
    <mergeCell ref="A10:E10"/>
  </mergeCells>
  <pageMargins left="0.7" right="0.7" top="0.75" bottom="0.75" header="0.3" footer="0.3"/>
  <pageSetup orientation="portrait" horizontalDpi="1200" verticalDpi="12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4C9712-F7BE-4C03-9210-5EF30302EE22}">
  <sheetPr codeName="Sheet3">
    <tabColor rgb="FFC00000"/>
  </sheetPr>
  <dimension ref="A1:J10454"/>
  <sheetViews>
    <sheetView topLeftCell="A3322" workbookViewId="0">
      <selection activeCell="D3371" sqref="D3371"/>
    </sheetView>
  </sheetViews>
  <sheetFormatPr defaultRowHeight="15" x14ac:dyDescent="0.25"/>
  <cols>
    <col min="1" max="1" width="25.7109375" customWidth="1"/>
    <col min="2" max="2" width="14.140625" customWidth="1"/>
    <col min="3" max="3" width="12.5703125" bestFit="1" customWidth="1"/>
    <col min="4" max="4" width="10.85546875" bestFit="1" customWidth="1"/>
    <col min="5" max="5" width="25.7109375" customWidth="1"/>
    <col min="6" max="6" width="13.5703125" bestFit="1" customWidth="1"/>
    <col min="7" max="7" width="80.7109375" customWidth="1"/>
    <col min="8" max="8" width="22" bestFit="1" customWidth="1"/>
    <col min="9" max="9" width="20.42578125" bestFit="1" customWidth="1"/>
    <col min="10" max="10" width="16.85546875" bestFit="1" customWidth="1"/>
  </cols>
  <sheetData>
    <row r="1" spans="1:10" x14ac:dyDescent="0.25">
      <c r="A1" t="s">
        <v>97</v>
      </c>
      <c r="B1" t="s">
        <v>98</v>
      </c>
      <c r="C1" t="s">
        <v>99</v>
      </c>
      <c r="D1" t="s">
        <v>100</v>
      </c>
      <c r="E1" t="s">
        <v>101</v>
      </c>
      <c r="F1" t="s">
        <v>102</v>
      </c>
      <c r="G1" t="s">
        <v>103</v>
      </c>
      <c r="H1" t="s">
        <v>104</v>
      </c>
      <c r="I1" t="s">
        <v>105</v>
      </c>
      <c r="J1" t="s">
        <v>106</v>
      </c>
    </row>
    <row r="2" spans="1:10" x14ac:dyDescent="0.25">
      <c r="A2" t="s">
        <v>408</v>
      </c>
      <c r="B2" t="str">
        <f t="shared" ref="B2:B7" si="0">ADDRESS(ROW(TIF_DistrictYear_FiscalDisparitiesIncrease),COLUMN(TIF_DistrictYear_FiscalDisparitiesIncrease),4)</f>
        <v>B21</v>
      </c>
      <c r="C2" t="str">
        <f>ADDRESS(ROW('Dist Info'!C$21),COLUMN('Dist Info'!C$21),4)</f>
        <v>C21</v>
      </c>
      <c r="D2" t="b">
        <f>IF(AND('Dist Info'!B19="Yes",'Dist Info'!B20="Option A",ISBLANK('Dist Info'!B21)),TRUE,FALSE)</f>
        <v>0</v>
      </c>
      <c r="E2" t="s">
        <v>407</v>
      </c>
      <c r="F2" t="str">
        <f>INDEX(Lists!I:I,MATCH(Validation!E2,Lists!G:G,0))</f>
        <v>Error</v>
      </c>
      <c r="G2" t="str">
        <f>INDEX(Lists!H:H,MATCH(Validation!E2,Lists!G:G,0))</f>
        <v>Entry needed. (See instructions.)</v>
      </c>
      <c r="H2" s="25" t="str">
        <f t="shared" ref="H2:H14" ca="1" si="1">IFERROR(IF(OR(NOT(D2),F2&lt;&gt;"Error"),"",A2&amp;CELL("address",INDIRECT(B2))),"")</f>
        <v/>
      </c>
      <c r="I2" s="25" t="str">
        <f t="shared" ref="I2:I14" ca="1" si="2">IFERROR(IF(NOT(D2),"",A2&amp;CELL("address",INDIRECT(C2))),"")</f>
        <v/>
      </c>
      <c r="J2" s="26" t="str">
        <f t="shared" ref="J2:J14" si="3">IFERROR(IF(NOT(D2),"",A2),"")</f>
        <v/>
      </c>
    </row>
    <row r="3" spans="1:10" x14ac:dyDescent="0.25">
      <c r="A3" t="s">
        <v>408</v>
      </c>
      <c r="B3" t="str">
        <f t="shared" si="0"/>
        <v>B21</v>
      </c>
      <c r="C3" t="str">
        <f>ADDRESS(ROW('Dist Info'!C$21),COLUMN('Dist Info'!C$21),4)</f>
        <v>C21</v>
      </c>
      <c r="D3" t="b">
        <f>IF(AND(OR(TIF_FiscalDisparityOption_OptionId="n",TIF_FiscalDisparityOption_OptionId="b"),NOT(ISBLANK(TIF_DistrictYear_FiscalDisparitiesIncrease))),TRUE,FALSE)</f>
        <v>0</v>
      </c>
      <c r="E3" t="s">
        <v>489</v>
      </c>
      <c r="F3" t="str">
        <f>INDEX(Lists!I:I,MATCH(Validation!E3,Lists!G:G,0))</f>
        <v>Error</v>
      </c>
      <c r="G3" t="str">
        <f>INDEX(Lists!H:H,MATCH(Validation!E3,Lists!G:G,0))</f>
        <v>Delete entry and leave blank. Fiscal Disparities Option A does not apply to this district.</v>
      </c>
      <c r="H3" s="25" t="str">
        <f t="shared" ca="1" si="1"/>
        <v/>
      </c>
      <c r="I3" s="25" t="str">
        <f t="shared" ca="1" si="2"/>
        <v/>
      </c>
      <c r="J3" s="26" t="str">
        <f t="shared" si="3"/>
        <v/>
      </c>
    </row>
    <row r="4" spans="1:10" x14ac:dyDescent="0.25">
      <c r="A4" t="s">
        <v>408</v>
      </c>
      <c r="B4" t="str">
        <f t="shared" si="0"/>
        <v>B21</v>
      </c>
      <c r="C4" t="str">
        <f>ADDRESS(ROW('Dist Info'!C$21),COLUMN('Dist Info'!C$21),4)</f>
        <v>C21</v>
      </c>
      <c r="D4" t="b">
        <f>IF(NOT(TIF_FiscalDisparityOption_OptionId="a"),TRUE,FALSE)</f>
        <v>1</v>
      </c>
      <c r="E4" t="s">
        <v>487</v>
      </c>
      <c r="F4" t="str">
        <f>INDEX(Lists!I:I,MATCH(Validation!E4,Lists!G:G,0))</f>
        <v>Information</v>
      </c>
      <c r="G4" t="str">
        <f>INDEX(Lists!H:H,MATCH(Validation!E4,Lists!G:G,0))</f>
        <v>Skip this line. Fiscal Disparities Option A does not apply to this district.</v>
      </c>
      <c r="H4" s="25" t="str">
        <f t="shared" ca="1" si="1"/>
        <v/>
      </c>
      <c r="I4" s="25" t="str">
        <f t="shared" ca="1" si="2"/>
        <v>Dist Info$C$21</v>
      </c>
      <c r="J4" s="26" t="str">
        <f t="shared" si="3"/>
        <v>Dist Info</v>
      </c>
    </row>
    <row r="5" spans="1:10" x14ac:dyDescent="0.25">
      <c r="A5" t="s">
        <v>408</v>
      </c>
      <c r="B5" t="str">
        <f t="shared" si="0"/>
        <v>B21</v>
      </c>
      <c r="C5" t="str">
        <f>ADDRESS(ROW('Dist Info'!C$21),COLUMN('Dist Info'!C$21),4)</f>
        <v>C21</v>
      </c>
      <c r="D5" t="b">
        <f>IF(TRUNC(TIF_DistrictYear_FiscalDisparitiesIncrease)=TIF_DistrictYear_FiscalDisparitiesIncrease,FALSE,TRUE)</f>
        <v>0</v>
      </c>
      <c r="E5" t="s">
        <v>436</v>
      </c>
      <c r="F5" t="str">
        <f>INDEX(Lists!I:I,MATCH(Validation!E5,Lists!G:G,0))</f>
        <v>Error</v>
      </c>
      <c r="G5" t="str">
        <f>INDEX(Lists!H:H,MATCH(Validation!E5,Lists!G:G,0))</f>
        <v>Amount must be rounded to the nearest dollar.</v>
      </c>
      <c r="H5" s="25" t="str">
        <f t="shared" ca="1" si="1"/>
        <v/>
      </c>
      <c r="I5" s="25" t="str">
        <f t="shared" ca="1" si="2"/>
        <v/>
      </c>
      <c r="J5" s="26" t="str">
        <f t="shared" si="3"/>
        <v/>
      </c>
    </row>
    <row r="6" spans="1:10" x14ac:dyDescent="0.25">
      <c r="A6" t="s">
        <v>408</v>
      </c>
      <c r="B6" t="str">
        <f t="shared" si="0"/>
        <v>B21</v>
      </c>
      <c r="C6" t="str">
        <f>ADDRESS(ROW('Dist Info'!C$21),COLUMN('Dist Info'!C$21),4)</f>
        <v>C21</v>
      </c>
      <c r="D6" t="b">
        <f>TIF_DistrictYear_FiscalDisparitiesIncrease&lt;0</f>
        <v>0</v>
      </c>
      <c r="E6" t="s">
        <v>434</v>
      </c>
      <c r="F6" t="str">
        <f>INDEX(Lists!I:I,MATCH(Validation!E6,Lists!G:G,0))</f>
        <v>Error</v>
      </c>
      <c r="G6" t="str">
        <f>INDEX(Lists!H:H,MATCH(Validation!E6,Lists!G:G,0))</f>
        <v>Amount may not be negative. Enter an amount greater than or equal to zero.</v>
      </c>
      <c r="H6" s="25" t="str">
        <f t="shared" ca="1" si="1"/>
        <v/>
      </c>
      <c r="I6" s="25" t="str">
        <f t="shared" ca="1" si="2"/>
        <v/>
      </c>
      <c r="J6" s="26" t="str">
        <f t="shared" si="3"/>
        <v/>
      </c>
    </row>
    <row r="7" spans="1:10" x14ac:dyDescent="0.25">
      <c r="A7" t="s">
        <v>408</v>
      </c>
      <c r="B7" t="str">
        <f t="shared" si="0"/>
        <v>B21</v>
      </c>
      <c r="C7" t="str">
        <f>ADDRESS(ROW('Dist Info'!C$21),COLUMN('Dist Info'!C$21),4)</f>
        <v>C21</v>
      </c>
      <c r="D7" t="b">
        <f>NOT(ISNUMBER(TIF_DistrictYear_FiscalDisparitiesIncrease))</f>
        <v>1</v>
      </c>
      <c r="E7" t="s">
        <v>435</v>
      </c>
      <c r="F7" t="str">
        <f>INDEX(Lists!I:I,MATCH(Validation!E7,Lists!G:G,0))</f>
        <v>Error</v>
      </c>
      <c r="G7" t="str">
        <f>INDEX(Lists!H:H,MATCH(Validation!E7,Lists!G:G,0))</f>
        <v>Enter an amount only. Do not enter text or spaces.</v>
      </c>
      <c r="H7" s="25" t="str">
        <f t="shared" ca="1" si="1"/>
        <v>Dist Info$B$21</v>
      </c>
      <c r="I7" s="25" t="str">
        <f t="shared" ca="1" si="2"/>
        <v>Dist Info$C$21</v>
      </c>
      <c r="J7" s="26" t="str">
        <f t="shared" si="3"/>
        <v>Dist Info</v>
      </c>
    </row>
    <row r="8" spans="1:10" x14ac:dyDescent="0.25">
      <c r="A8" t="s">
        <v>408</v>
      </c>
      <c r="B8" t="str">
        <f>ADDRESS(ROW(TIF_District_ActualDecertificationDateInd_Entry),COLUMN(TIF_District_ActualDecertificationDateInd_Entry),4)</f>
        <v>B25</v>
      </c>
      <c r="C8" t="str">
        <f>ADDRESS(ROW('Dist Info'!C$25),COLUMN('Dist Info'!C$25),4)</f>
        <v>C25</v>
      </c>
      <c r="D8" t="b">
        <f>TIF_District_ActualDecertificationDateInd_Entry="Select One"</f>
        <v>1</v>
      </c>
      <c r="E8" t="s">
        <v>73</v>
      </c>
      <c r="F8" t="str">
        <f>INDEX(Lists!I:I,MATCH(Validation!E8,Lists!G:G,0))</f>
        <v>Error</v>
      </c>
      <c r="G8" t="str">
        <f>INDEX(Lists!H:H,MATCH(Validation!E8,Lists!G:G,0))</f>
        <v>You must select Yes or No.</v>
      </c>
      <c r="H8" s="25" t="str">
        <f t="shared" ca="1" si="1"/>
        <v>Dist Info$B$25</v>
      </c>
      <c r="I8" s="25" t="str">
        <f t="shared" ca="1" si="2"/>
        <v>Dist Info$C$25</v>
      </c>
      <c r="J8" s="26" t="str">
        <f t="shared" si="3"/>
        <v>Dist Info</v>
      </c>
    </row>
    <row r="9" spans="1:10" x14ac:dyDescent="0.25">
      <c r="A9" t="s">
        <v>408</v>
      </c>
      <c r="B9" t="str">
        <f>ADDRESS(ROW(TIF_District_ActualDecertificationDateInd_Entry),COLUMN(TIF_District_ActualDecertificationDateInd_Entry),4)</f>
        <v>B25</v>
      </c>
      <c r="C9" t="str">
        <f>ADDRESS(ROW('Dist Info'!C$25),COLUMN('Dist Info'!C$25),4)</f>
        <v>C25</v>
      </c>
      <c r="D9" t="b">
        <f>IF(AND(TIF_District_ActualDecertificationDateInd_Input=TRUE,TIF_District_ActualDecertificationDateInd_Entry="No"),TRUE,FALSE)</f>
        <v>0</v>
      </c>
      <c r="E9" t="s">
        <v>491</v>
      </c>
      <c r="F9" t="str">
        <f>INDEX(Lists!I:I,MATCH(Validation!E9,Lists!G:G,0))</f>
        <v>Error</v>
      </c>
      <c r="G9" t="str">
        <f>INDEX(Lists!H:H,MATCH(Validation!E9,Lists!G:G,0))</f>
        <v>Yes was previously reported and must be selected. Contact TIF Division to change.</v>
      </c>
      <c r="H9" s="25" t="str">
        <f t="shared" ca="1" si="1"/>
        <v/>
      </c>
      <c r="I9" s="25" t="str">
        <f t="shared" ca="1" si="2"/>
        <v/>
      </c>
      <c r="J9" s="26" t="str">
        <f t="shared" si="3"/>
        <v/>
      </c>
    </row>
    <row r="10" spans="1:10" x14ac:dyDescent="0.25">
      <c r="A10" t="s">
        <v>408</v>
      </c>
      <c r="B10" t="str">
        <f>ADDRESS(ROW('Dist Info'!B31),COLUMN('Dist Info'!B31),4)</f>
        <v>B31</v>
      </c>
      <c r="C10" t="str">
        <f>ADDRESS(ROW('Dist Info'!C$31),COLUMN('Dist Info'!C$31),4)</f>
        <v>C31</v>
      </c>
      <c r="D10" t="b">
        <f>IF(YEAR('Dist Info'!B31)=(Year_DestinationYearID+2),TRUE,FALSE)</f>
        <v>0</v>
      </c>
      <c r="E10" t="s">
        <v>414</v>
      </c>
      <c r="F10" t="str">
        <f>INDEX(Lists!I:I,MATCH(Validation!E10,Lists!G:G,0))</f>
        <v>Alert</v>
      </c>
      <c r="G10" t="str">
        <f>INDEX(Lists!H:H,MATCH(Validation!E10,Lists!G:G,0))</f>
        <v>Evidence of activity is due to county auditor soon.</v>
      </c>
      <c r="H10" s="25" t="str">
        <f t="shared" ca="1" si="1"/>
        <v/>
      </c>
      <c r="I10" s="25" t="str">
        <f t="shared" ca="1" si="2"/>
        <v/>
      </c>
      <c r="J10" s="26" t="str">
        <f t="shared" si="3"/>
        <v/>
      </c>
    </row>
    <row r="11" spans="1:10" x14ac:dyDescent="0.25">
      <c r="A11" t="s">
        <v>408</v>
      </c>
      <c r="B11" t="str">
        <f>ADDRESS(ROW('Dist Info'!B31),COLUMN('Dist Info'!B31),4)</f>
        <v>B31</v>
      </c>
      <c r="C11" t="str">
        <f>ADDRESS(ROW('Dist Info'!C$31),COLUMN('Dist Info'!C$31),4)</f>
        <v>C31</v>
      </c>
      <c r="D11" t="b">
        <f>IF(YEAR('Dist Info'!B31)=(Year_DestinationYearID+1),TRUE,FALSE)</f>
        <v>0</v>
      </c>
      <c r="E11" t="s">
        <v>413</v>
      </c>
      <c r="F11" t="str">
        <f>INDEX(Lists!I:I,MATCH(Validation!E11,Lists!G:G,0))</f>
        <v>Alert</v>
      </c>
      <c r="G11" t="str">
        <f>INDEX(Lists!H:H,MATCH(Validation!E11,Lists!G:G,0))</f>
        <v>Evidence of activity was due to county auditor by Feb 1. Verify that it was provided.</v>
      </c>
      <c r="H11" s="25" t="str">
        <f t="shared" ca="1" si="1"/>
        <v/>
      </c>
      <c r="I11" s="25" t="str">
        <f t="shared" ca="1" si="2"/>
        <v/>
      </c>
      <c r="J11" s="26" t="str">
        <f t="shared" si="3"/>
        <v/>
      </c>
    </row>
    <row r="12" spans="1:10" x14ac:dyDescent="0.25">
      <c r="A12" t="s">
        <v>408</v>
      </c>
      <c r="B12" t="str">
        <f>ADDRESS(ROW('Dist Info'!B33),COLUMN('Dist Info'!B33),4)</f>
        <v>B33</v>
      </c>
      <c r="C12" t="str">
        <f>ADDRESS(ROW('Dist Info'!C$33),COLUMN('Dist Info'!C$33),4)</f>
        <v>C33</v>
      </c>
      <c r="D12" t="b">
        <f>'Dist Info'!B33&lt;=(Year_DestinationYearID+1)</f>
        <v>1</v>
      </c>
      <c r="E12" t="s">
        <v>423</v>
      </c>
      <c r="F12" t="str">
        <f>INDEX(Lists!I:I,MATCH(Validation!E12,Lists!G:G,0))</f>
        <v>Information</v>
      </c>
      <c r="G12" t="str">
        <f>INDEX(Lists!H:H,MATCH(Validation!E12,Lists!G:G,0))</f>
        <v>Year Six has been reached. See Six-Yr Rule Tab for alerts and tracking.</v>
      </c>
      <c r="H12" s="25" t="str">
        <f t="shared" ca="1" si="1"/>
        <v/>
      </c>
      <c r="I12" s="25" t="str">
        <f t="shared" ca="1" si="2"/>
        <v>Dist Info$C$33</v>
      </c>
      <c r="J12" s="26" t="str">
        <f t="shared" si="3"/>
        <v>Dist Info</v>
      </c>
    </row>
    <row r="13" spans="1:10" x14ac:dyDescent="0.25">
      <c r="A13" t="s">
        <v>408</v>
      </c>
      <c r="B13" t="str">
        <f>ADDRESS(ROW(TIF_District_ActualDecertificationDate),COLUMN(TIF_District_ActualDecertificationDate),4)</f>
        <v>B37</v>
      </c>
      <c r="C13" t="str">
        <f>ADDRESS(ROW('Dist Info'!C$37),COLUMN('Dist Info'!C$37),4)</f>
        <v>C37</v>
      </c>
      <c r="D13" t="b">
        <f>IF(AND(TIF_District_ActualDecertificationDateInd_Entry=TRUE,ISBLANK(TIF_District_ActualDecertificationDate)),TRUE,FALSE)</f>
        <v>0</v>
      </c>
      <c r="E13" t="s">
        <v>495</v>
      </c>
      <c r="F13" t="str">
        <f>INDEX(Lists!I:I,MATCH(Validation!E13,Lists!G:G,0))</f>
        <v>Error</v>
      </c>
      <c r="G13" t="str">
        <f>INDEX(Lists!H:H,MATCH(Validation!E13,Lists!G:G,0))</f>
        <v>Entry required.</v>
      </c>
      <c r="H13" s="25" t="str">
        <f t="shared" ca="1" si="1"/>
        <v/>
      </c>
      <c r="I13" s="25" t="str">
        <f t="shared" ca="1" si="2"/>
        <v/>
      </c>
      <c r="J13" s="26" t="str">
        <f t="shared" si="3"/>
        <v/>
      </c>
    </row>
    <row r="14" spans="1:10" x14ac:dyDescent="0.25">
      <c r="A14" t="s">
        <v>408</v>
      </c>
      <c r="B14" t="str">
        <f>ADDRESS(ROW(TIF_District_ActualDecertificationDate),COLUMN(TIF_District_ActualDecertificationDate),4)</f>
        <v>B37</v>
      </c>
      <c r="C14" t="str">
        <f>ADDRESS(ROW('Dist Info'!C$37),COLUMN('Dist Info'!C$37),4)</f>
        <v>C37</v>
      </c>
      <c r="D14" t="b">
        <f>TIF_District_ActualDecertificationDateInd_Entry="No"</f>
        <v>0</v>
      </c>
      <c r="E14" t="s">
        <v>496</v>
      </c>
      <c r="F14" t="str">
        <f>INDEX(Lists!I:I,MATCH(Validation!E14,Lists!G:G,0))</f>
        <v>Information</v>
      </c>
      <c r="G14" t="str">
        <f>INDEX(Lists!H:H,MATCH(Validation!E14,Lists!G:G,0))</f>
        <v>Skip this line. Reporting above indicated the district has not yet been decertified.</v>
      </c>
      <c r="H14" s="25" t="str">
        <f t="shared" ca="1" si="1"/>
        <v/>
      </c>
      <c r="I14" s="25" t="str">
        <f t="shared" ca="1" si="2"/>
        <v/>
      </c>
      <c r="J14" s="26" t="str">
        <f t="shared" si="3"/>
        <v/>
      </c>
    </row>
    <row r="15" spans="1:10" x14ac:dyDescent="0.25">
      <c r="A15" t="s">
        <v>408</v>
      </c>
      <c r="B15" t="str">
        <f>ADDRESS(ROW(TIF_District_ActualDecertificationDate),COLUMN(TIF_District_ActualDecertificationDate),4)</f>
        <v>B37</v>
      </c>
      <c r="C15" t="str">
        <f>ADDRESS(ROW('Dist Info'!C$37),COLUMN('Dist Info'!C$37),4)</f>
        <v>C37</v>
      </c>
      <c r="D15" t="b">
        <f>ISERROR(DATE(TIF_District_ActualDecertificationDate,,))</f>
        <v>1</v>
      </c>
      <c r="E15" t="s">
        <v>498</v>
      </c>
      <c r="F15" t="str">
        <f>INDEX(Lists!I:I,MATCH(Validation!E15,Lists!G:G,0))</f>
        <v>Error</v>
      </c>
      <c r="G15" t="str">
        <f>INDEX(Lists!H:H,MATCH(Validation!E15,Lists!G:G,0))</f>
        <v>Enter a date only (MM/DD/YYYY). Do not enter text, spaces, or amounts.</v>
      </c>
      <c r="H15" s="25" t="str">
        <f t="shared" ref="H15:H17" ca="1" si="4">IFERROR(IF(OR(NOT(D15),F15&lt;&gt;"Error"),"",A15&amp;CELL("address",INDIRECT(B15))),"")</f>
        <v>Dist Info$B$37</v>
      </c>
      <c r="I15" s="25" t="str">
        <f t="shared" ref="I15:I17" ca="1" si="5">IFERROR(IF(NOT(D15),"",A15&amp;CELL("address",INDIRECT(C15))),"")</f>
        <v>Dist Info$C$37</v>
      </c>
      <c r="J15" s="26" t="str">
        <f t="shared" ref="J15:J17" si="6">IFERROR(IF(NOT(D15),"",A15),"")</f>
        <v>Dist Info</v>
      </c>
    </row>
    <row r="16" spans="1:10" x14ac:dyDescent="0.25">
      <c r="A16" t="s">
        <v>408</v>
      </c>
      <c r="B16" t="str">
        <f>ADDRESS(ROW(TIF_District_ActualDecertificationDate),COLUMN(TIF_District_ActualDecertificationDate),4)</f>
        <v>B37</v>
      </c>
      <c r="C16" t="str">
        <f>ADDRESS(ROW('Dist Info'!C$37),COLUMN('Dist Info'!C$37),4)</f>
        <v>C37</v>
      </c>
      <c r="D16" t="b">
        <f ca="1">IF(TIF_District_ActualDecertificationDate&gt;TODAY(),TRUE,FALSE)</f>
        <v>0</v>
      </c>
      <c r="E16" t="s">
        <v>500</v>
      </c>
      <c r="F16" t="str">
        <f>INDEX(Lists!I:I,MATCH(Validation!E16,Lists!G:G,0))</f>
        <v>Error</v>
      </c>
      <c r="G16" t="str">
        <f>INDEX(Lists!H:H,MATCH(Validation!E16,Lists!G:G,0))</f>
        <v>Date cannot be a future date.</v>
      </c>
      <c r="H16" s="25" t="str">
        <f t="shared" ref="H16" ca="1" si="7">IFERROR(IF(OR(NOT(D16),F16&lt;&gt;"Error"),"",A16&amp;CELL("address",INDIRECT(B16))),"")</f>
        <v/>
      </c>
      <c r="I16" s="25" t="str">
        <f t="shared" ref="I16" ca="1" si="8">IFERROR(IF(NOT(D16),"",A16&amp;CELL("address",INDIRECT(C16))),"")</f>
        <v/>
      </c>
      <c r="J16" s="26" t="str">
        <f t="shared" ref="J16" ca="1" si="9">IFERROR(IF(NOT(D16),"",A16),"")</f>
        <v/>
      </c>
    </row>
    <row r="17" spans="1:10" x14ac:dyDescent="0.25">
      <c r="A17" t="s">
        <v>408</v>
      </c>
      <c r="B17" t="str">
        <f>ADDRESS(ROW(TIF_District_ActualDecertificationDate),COLUMN(TIF_District_ActualDecertificationDate),4)</f>
        <v>B37</v>
      </c>
      <c r="C17" t="str">
        <f>ADDRESS(ROW('Dist Info'!C$37),COLUMN('Dist Info'!C$37),4)</f>
        <v>C37</v>
      </c>
      <c r="D17" t="b">
        <f>IF(TIF_District_ActualDecertificationDate&lt;TIF_District_OriginalCertificationDate,TRUE,FALSE)</f>
        <v>1</v>
      </c>
      <c r="E17" t="s">
        <v>501</v>
      </c>
      <c r="F17" t="str">
        <f>INDEX(Lists!I:I,MATCH(Validation!E17,Lists!G:G,0))</f>
        <v>Error</v>
      </c>
      <c r="G17" t="str">
        <f>INDEX(Lists!H:H,MATCH(Validation!E17,Lists!G:G,0))</f>
        <v>Date cannot preceed district's certification date.</v>
      </c>
      <c r="H17" s="25" t="str">
        <f t="shared" ca="1" si="4"/>
        <v>Dist Info$B$37</v>
      </c>
      <c r="I17" s="25" t="str">
        <f t="shared" ca="1" si="5"/>
        <v>Dist Info$C$37</v>
      </c>
      <c r="J17" s="26" t="str">
        <f t="shared" si="6"/>
        <v>Dist Info</v>
      </c>
    </row>
    <row r="18" spans="1:10" x14ac:dyDescent="0.25">
      <c r="A18" t="s">
        <v>408</v>
      </c>
      <c r="B18" t="str">
        <f>ADDRESS(ROW(TIF_DistrictYear_TaxCapacityCurrent),COLUMN(TIF_DistrictYear_TaxCapacityCurrent),4)</f>
        <v>B39</v>
      </c>
      <c r="C18" t="str">
        <f>ADDRESS(ROW('Dist Info'!C$39),COLUMN('Dist Info'!C$39),4)</f>
        <v>C39</v>
      </c>
      <c r="D18" t="b">
        <f>ISBLANK(TIF_DistrictYear_TaxCapacityCurrent)</f>
        <v>0</v>
      </c>
      <c r="E18" t="s">
        <v>430</v>
      </c>
      <c r="F18" t="str">
        <f>INDEX(Lists!I:I,MATCH(Validation!E18,Lists!G:G,0))</f>
        <v>Error</v>
      </c>
      <c r="G18" t="str">
        <f>INDEX(Lists!H:H,MATCH(Validation!E18,Lists!G:G,0))</f>
        <v>Entry Required: If decertified or fully exempt, enter $0. Otherwise, enter value.</v>
      </c>
      <c r="H18" s="25" t="str">
        <f t="shared" ref="H18:H40" ca="1" si="10">IFERROR(IF(OR(NOT(D18),F18&lt;&gt;"Error"),"",A18&amp;CELL("address",INDIRECT(B18))),"")</f>
        <v/>
      </c>
      <c r="I18" s="25" t="str">
        <f t="shared" ref="I18:I40" ca="1" si="11">IFERROR(IF(NOT(D18),"",A18&amp;CELL("address",INDIRECT(C18))),"")</f>
        <v/>
      </c>
      <c r="J18" s="26" t="str">
        <f t="shared" ref="J18:J40" si="12">IFERROR(IF(NOT(D18),"",A18),"")</f>
        <v/>
      </c>
    </row>
    <row r="19" spans="1:10" x14ac:dyDescent="0.25">
      <c r="A19" t="s">
        <v>408</v>
      </c>
      <c r="B19" t="str">
        <f>ADDRESS(ROW(TIF_DistrictYear_TaxCapacityCurrent),COLUMN(TIF_DistrictYear_TaxCapacityCurrent),4)</f>
        <v>B39</v>
      </c>
      <c r="C19" t="str">
        <f>ADDRESS(ROW('Dist Info'!C$39),COLUMN('Dist Info'!C$39),4)</f>
        <v>C39</v>
      </c>
      <c r="D19" t="b">
        <f>IF(TRUNC(TIF_DistrictYear_TaxCapacityCurrent)=TIF_DistrictYear_TaxCapacityCurrent,FALSE,TRUE)</f>
        <v>0</v>
      </c>
      <c r="E19" t="s">
        <v>436</v>
      </c>
      <c r="F19" t="str">
        <f>INDEX(Lists!I:I,MATCH(Validation!E19,Lists!G:G,0))</f>
        <v>Error</v>
      </c>
      <c r="G19" t="str">
        <f>INDEX(Lists!H:H,MATCH(Validation!E19,Lists!G:G,0))</f>
        <v>Amount must be rounded to the nearest dollar.</v>
      </c>
      <c r="H19" s="25" t="str">
        <f t="shared" ca="1" si="10"/>
        <v/>
      </c>
      <c r="I19" s="25" t="str">
        <f t="shared" ca="1" si="11"/>
        <v/>
      </c>
      <c r="J19" s="26" t="str">
        <f t="shared" si="12"/>
        <v/>
      </c>
    </row>
    <row r="20" spans="1:10" x14ac:dyDescent="0.25">
      <c r="A20" t="s">
        <v>408</v>
      </c>
      <c r="B20" t="str">
        <f>ADDRESS(ROW(TIF_DistrictYear_TaxCapacityCurrent),COLUMN(TIF_DistrictYear_TaxCapacityCurrent),4)</f>
        <v>B39</v>
      </c>
      <c r="C20" t="str">
        <f>ADDRESS(ROW('Dist Info'!C$39),COLUMN('Dist Info'!C$39),4)</f>
        <v>C39</v>
      </c>
      <c r="D20" t="b">
        <f>TIF_DistrictYear_TaxCapacityCurrent&lt;0</f>
        <v>0</v>
      </c>
      <c r="E20" t="s">
        <v>434</v>
      </c>
      <c r="F20" t="str">
        <f>INDEX(Lists!I:I,MATCH(Validation!E20,Lists!G:G,0))</f>
        <v>Error</v>
      </c>
      <c r="G20" t="str">
        <f>INDEX(Lists!H:H,MATCH(Validation!E20,Lists!G:G,0))</f>
        <v>Amount may not be negative. Enter an amount greater than or equal to zero.</v>
      </c>
      <c r="H20" s="25" t="str">
        <f t="shared" ca="1" si="10"/>
        <v/>
      </c>
      <c r="I20" s="25" t="str">
        <f t="shared" ca="1" si="11"/>
        <v/>
      </c>
      <c r="J20" s="26" t="str">
        <f t="shared" si="12"/>
        <v/>
      </c>
    </row>
    <row r="21" spans="1:10" x14ac:dyDescent="0.25">
      <c r="A21" t="s">
        <v>408</v>
      </c>
      <c r="B21" t="str">
        <f>ADDRESS(ROW(TIF_DistrictYear_TaxCapacityCurrent),COLUMN(TIF_DistrictYear_TaxCapacityCurrent),4)</f>
        <v>B39</v>
      </c>
      <c r="C21" t="str">
        <f>ADDRESS(ROW('Dist Info'!C$39),COLUMN('Dist Info'!C$39),4)</f>
        <v>C39</v>
      </c>
      <c r="D21" t="b">
        <f>NOT(ISNUMBER(TIF_DistrictYear_TaxCapacityCurrent))</f>
        <v>0</v>
      </c>
      <c r="E21" t="s">
        <v>435</v>
      </c>
      <c r="F21" t="str">
        <f>INDEX(Lists!I:I,MATCH(Validation!E21,Lists!G:G,0))</f>
        <v>Error</v>
      </c>
      <c r="G21" t="str">
        <f>INDEX(Lists!H:H,MATCH(Validation!E21,Lists!G:G,0))</f>
        <v>Enter an amount only. Do not enter text or spaces.</v>
      </c>
      <c r="H21" s="25" t="str">
        <f t="shared" ca="1" si="10"/>
        <v/>
      </c>
      <c r="I21" s="25" t="str">
        <f t="shared" ca="1" si="11"/>
        <v/>
      </c>
      <c r="J21" s="26" t="str">
        <f t="shared" si="12"/>
        <v/>
      </c>
    </row>
    <row r="22" spans="1:10" x14ac:dyDescent="0.25">
      <c r="A22" t="s">
        <v>408</v>
      </c>
      <c r="B22" t="str">
        <f>ADDRESS(ROW(TIF_DistrictYear_TaxCapacityOriginal),COLUMN(TIF_DistrictYear_TaxCapacityOriginal),4)</f>
        <v>B40</v>
      </c>
      <c r="C22" t="str">
        <f>ADDRESS(ROW('Dist Info'!C$40),COLUMN('Dist Info'!C$40),4)</f>
        <v>C40</v>
      </c>
      <c r="D22" t="b">
        <f>ISBLANK(TIF_DistrictYear_TaxCapacityOriginal)</f>
        <v>0</v>
      </c>
      <c r="E22" t="s">
        <v>430</v>
      </c>
      <c r="F22" t="str">
        <f>INDEX(Lists!I:I,MATCH(Validation!E22,Lists!G:G,0))</f>
        <v>Error</v>
      </c>
      <c r="G22" t="str">
        <f>INDEX(Lists!H:H,MATCH(Validation!E22,Lists!G:G,0))</f>
        <v>Entry Required: If decertified or fully exempt, enter $0. Otherwise, enter value.</v>
      </c>
      <c r="H22" s="25" t="str">
        <f t="shared" ca="1" si="10"/>
        <v/>
      </c>
      <c r="I22" s="25" t="str">
        <f t="shared" ca="1" si="11"/>
        <v/>
      </c>
      <c r="J22" s="26" t="str">
        <f t="shared" si="12"/>
        <v/>
      </c>
    </row>
    <row r="23" spans="1:10" x14ac:dyDescent="0.25">
      <c r="A23" t="s">
        <v>408</v>
      </c>
      <c r="B23" t="str">
        <f>ADDRESS(ROW(TIF_DistrictYear_TaxCapacityOriginal),COLUMN(TIF_DistrictYear_TaxCapacityOriginal),4)</f>
        <v>B40</v>
      </c>
      <c r="C23" t="str">
        <f>ADDRESS(ROW('Dist Info'!C$40),COLUMN('Dist Info'!C$40),4)</f>
        <v>C40</v>
      </c>
      <c r="D23" t="b">
        <f>IF(TRUNC(TIF_DistrictYear_TaxCapacityOriginal)=TIF_DistrictYear_TaxCapacityOriginal,FALSE,TRUE)</f>
        <v>0</v>
      </c>
      <c r="E23" t="s">
        <v>436</v>
      </c>
      <c r="F23" t="str">
        <f>INDEX(Lists!I:I,MATCH(Validation!E23,Lists!G:G,0))</f>
        <v>Error</v>
      </c>
      <c r="G23" t="str">
        <f>INDEX(Lists!H:H,MATCH(Validation!E23,Lists!G:G,0))</f>
        <v>Amount must be rounded to the nearest dollar.</v>
      </c>
      <c r="H23" s="25" t="str">
        <f t="shared" ca="1" si="10"/>
        <v/>
      </c>
      <c r="I23" s="25" t="str">
        <f t="shared" ca="1" si="11"/>
        <v/>
      </c>
      <c r="J23" s="26" t="str">
        <f t="shared" si="12"/>
        <v/>
      </c>
    </row>
    <row r="24" spans="1:10" x14ac:dyDescent="0.25">
      <c r="A24" t="s">
        <v>408</v>
      </c>
      <c r="B24" t="str">
        <f>ADDRESS(ROW(TIF_DistrictYear_TaxCapacityOriginal),COLUMN(TIF_DistrictYear_TaxCapacityOriginal),4)</f>
        <v>B40</v>
      </c>
      <c r="C24" t="str">
        <f>ADDRESS(ROW('Dist Info'!C$40),COLUMN('Dist Info'!C$40),4)</f>
        <v>C40</v>
      </c>
      <c r="D24" t="b">
        <f>TIF_DistrictYear_TaxCapacityOriginal&lt;0</f>
        <v>0</v>
      </c>
      <c r="E24" t="s">
        <v>434</v>
      </c>
      <c r="F24" t="str">
        <f>INDEX(Lists!I:I,MATCH(Validation!E24,Lists!G:G,0))</f>
        <v>Error</v>
      </c>
      <c r="G24" t="str">
        <f>INDEX(Lists!H:H,MATCH(Validation!E24,Lists!G:G,0))</f>
        <v>Amount may not be negative. Enter an amount greater than or equal to zero.</v>
      </c>
      <c r="H24" s="25" t="str">
        <f t="shared" ca="1" si="10"/>
        <v/>
      </c>
      <c r="I24" s="25" t="str">
        <f t="shared" ca="1" si="11"/>
        <v/>
      </c>
      <c r="J24" s="26" t="str">
        <f t="shared" si="12"/>
        <v/>
      </c>
    </row>
    <row r="25" spans="1:10" x14ac:dyDescent="0.25">
      <c r="A25" t="s">
        <v>408</v>
      </c>
      <c r="B25" t="str">
        <f>ADDRESS(ROW(TIF_DistrictYear_TaxCapacityOriginal),COLUMN(TIF_DistrictYear_TaxCapacityOriginal),4)</f>
        <v>B40</v>
      </c>
      <c r="C25" t="str">
        <f>ADDRESS(ROW('Dist Info'!C$40),COLUMN('Dist Info'!C$40),4)</f>
        <v>C40</v>
      </c>
      <c r="D25" t="b">
        <f>NOT(ISNUMBER(TIF_DistrictYear_TaxCapacityOriginal))</f>
        <v>0</v>
      </c>
      <c r="E25" t="s">
        <v>435</v>
      </c>
      <c r="F25" t="str">
        <f>INDEX(Lists!I:I,MATCH(Validation!E25,Lists!G:G,0))</f>
        <v>Error</v>
      </c>
      <c r="G25" t="str">
        <f>INDEX(Lists!H:H,MATCH(Validation!E25,Lists!G:G,0))</f>
        <v>Enter an amount only. Do not enter text or spaces.</v>
      </c>
      <c r="H25" s="25" t="str">
        <f t="shared" ca="1" si="10"/>
        <v/>
      </c>
      <c r="I25" s="25" t="str">
        <f t="shared" ca="1" si="11"/>
        <v/>
      </c>
      <c r="J25" s="26" t="str">
        <f t="shared" si="12"/>
        <v/>
      </c>
    </row>
    <row r="26" spans="1:10" x14ac:dyDescent="0.25">
      <c r="A26" t="s">
        <v>408</v>
      </c>
      <c r="B26" t="str">
        <f>ADDRESS(ROW(TIF_DistrictYear_FiscalDisparityDeduction),COLUMN(TIF_DistrictYear_FiscalDisparityDeduction),4)</f>
        <v>B42</v>
      </c>
      <c r="C26" t="str">
        <f>ADDRESS(ROW('Dist Info'!C$42),COLUMN('Dist Info'!C$42),4)</f>
        <v>C42</v>
      </c>
      <c r="D26" t="b">
        <f>ISBLANK(TIF_DistrictYear_FiscalDisparityDeduction)</f>
        <v>0</v>
      </c>
      <c r="E26" t="s">
        <v>430</v>
      </c>
      <c r="F26" t="str">
        <f>INDEX(Lists!I:I,MATCH(Validation!E26,Lists!G:G,0))</f>
        <v>Error</v>
      </c>
      <c r="G26" t="str">
        <f>INDEX(Lists!H:H,MATCH(Validation!E26,Lists!G:G,0))</f>
        <v>Entry Required: If decertified or fully exempt, enter $0. Otherwise, enter value.</v>
      </c>
      <c r="H26" s="25" t="str">
        <f t="shared" ca="1" si="10"/>
        <v/>
      </c>
      <c r="I26" s="25" t="str">
        <f t="shared" ca="1" si="11"/>
        <v/>
      </c>
      <c r="J26" s="26" t="str">
        <f t="shared" si="12"/>
        <v/>
      </c>
    </row>
    <row r="27" spans="1:10" x14ac:dyDescent="0.25">
      <c r="A27" t="s">
        <v>408</v>
      </c>
      <c r="B27" t="str">
        <f>ADDRESS(ROW(TIF_DistrictYear_FiscalDisparityDeduction),COLUMN(TIF_DistrictYear_FiscalDisparityDeduction),4)</f>
        <v>B42</v>
      </c>
      <c r="C27" t="str">
        <f>ADDRESS(ROW('Dist Info'!C$42),COLUMN('Dist Info'!C$42),4)</f>
        <v>C42</v>
      </c>
      <c r="D27" t="b">
        <f>IF(TRUNC(TIF_DistrictYear_FiscalDisparityDeduction)=TIF_DistrictYear_FiscalDisparityDeduction,FALSE,TRUE)</f>
        <v>0</v>
      </c>
      <c r="E27" t="s">
        <v>436</v>
      </c>
      <c r="F27" t="str">
        <f>INDEX(Lists!I:I,MATCH(Validation!E27,Lists!G:G,0))</f>
        <v>Error</v>
      </c>
      <c r="G27" t="str">
        <f>INDEX(Lists!H:H,MATCH(Validation!E27,Lists!G:G,0))</f>
        <v>Amount must be rounded to the nearest dollar.</v>
      </c>
      <c r="H27" s="25" t="str">
        <f t="shared" ca="1" si="10"/>
        <v/>
      </c>
      <c r="I27" s="25" t="str">
        <f t="shared" ca="1" si="11"/>
        <v/>
      </c>
      <c r="J27" s="26" t="str">
        <f t="shared" si="12"/>
        <v/>
      </c>
    </row>
    <row r="28" spans="1:10" x14ac:dyDescent="0.25">
      <c r="A28" t="s">
        <v>408</v>
      </c>
      <c r="B28" t="str">
        <f>ADDRESS(ROW(TIF_DistrictYear_FiscalDisparityDeduction),COLUMN(TIF_DistrictYear_FiscalDisparityDeduction),4)</f>
        <v>B42</v>
      </c>
      <c r="C28" t="str">
        <f>ADDRESS(ROW('Dist Info'!C$42),COLUMN('Dist Info'!C$42),4)</f>
        <v>C42</v>
      </c>
      <c r="D28" t="b">
        <f>TIF_DistrictYear_FiscalDisparityDeduction&lt;0</f>
        <v>0</v>
      </c>
      <c r="E28" t="s">
        <v>434</v>
      </c>
      <c r="F28" t="str">
        <f>INDEX(Lists!I:I,MATCH(Validation!E28,Lists!G:G,0))</f>
        <v>Error</v>
      </c>
      <c r="G28" t="str">
        <f>INDEX(Lists!H:H,MATCH(Validation!E28,Lists!G:G,0))</f>
        <v>Amount may not be negative. Enter an amount greater than or equal to zero.</v>
      </c>
      <c r="H28" s="25" t="str">
        <f t="shared" ca="1" si="10"/>
        <v/>
      </c>
      <c r="I28" s="25" t="str">
        <f t="shared" ca="1" si="11"/>
        <v/>
      </c>
      <c r="J28" s="26" t="str">
        <f t="shared" si="12"/>
        <v/>
      </c>
    </row>
    <row r="29" spans="1:10" x14ac:dyDescent="0.25">
      <c r="A29" t="s">
        <v>408</v>
      </c>
      <c r="B29" t="str">
        <f>ADDRESS(ROW(TIF_DistrictYear_FiscalDisparityDeduction),COLUMN(TIF_DistrictYear_FiscalDisparityDeduction),4)</f>
        <v>B42</v>
      </c>
      <c r="C29" t="str">
        <f>ADDRESS(ROW('Dist Info'!C$42),COLUMN('Dist Info'!C$42),4)</f>
        <v>C42</v>
      </c>
      <c r="D29" t="b">
        <f>NOT(ISNUMBER(TIF_DistrictYear_FiscalDisparityDeduction))</f>
        <v>0</v>
      </c>
      <c r="E29" t="s">
        <v>435</v>
      </c>
      <c r="F29" t="str">
        <f>INDEX(Lists!I:I,MATCH(Validation!E29,Lists!G:G,0))</f>
        <v>Error</v>
      </c>
      <c r="G29" t="str">
        <f>INDEX(Lists!H:H,MATCH(Validation!E29,Lists!G:G,0))</f>
        <v>Enter an amount only. Do not enter text or spaces.</v>
      </c>
      <c r="H29" s="25" t="str">
        <f t="shared" ca="1" si="10"/>
        <v/>
      </c>
      <c r="I29" s="25" t="str">
        <f t="shared" ca="1" si="11"/>
        <v/>
      </c>
      <c r="J29" s="26" t="str">
        <f t="shared" si="12"/>
        <v/>
      </c>
    </row>
    <row r="30" spans="1:10" x14ac:dyDescent="0.25">
      <c r="A30" t="s">
        <v>408</v>
      </c>
      <c r="B30" t="str">
        <f>ADDRESS(ROW(TIF_DistrictYear_TaxCapacityShared),COLUMN(TIF_DistrictYear_TaxCapacityShared),4)</f>
        <v>B43</v>
      </c>
      <c r="C30" t="str">
        <f>ADDRESS(ROW('Dist Info'!C$43),COLUMN('Dist Info'!C$43),4)</f>
        <v>C43</v>
      </c>
      <c r="D30" t="b">
        <f>ISBLANK(TIF_DistrictYear_TaxCapacityShared)</f>
        <v>0</v>
      </c>
      <c r="E30" t="s">
        <v>430</v>
      </c>
      <c r="F30" t="str">
        <f>INDEX(Lists!I:I,MATCH(Validation!E30,Lists!G:G,0))</f>
        <v>Error</v>
      </c>
      <c r="G30" t="str">
        <f>INDEX(Lists!H:H,MATCH(Validation!E30,Lists!G:G,0))</f>
        <v>Entry Required: If decertified or fully exempt, enter $0. Otherwise, enter value.</v>
      </c>
      <c r="H30" s="25" t="str">
        <f t="shared" ca="1" si="10"/>
        <v/>
      </c>
      <c r="I30" s="25" t="str">
        <f t="shared" ca="1" si="11"/>
        <v/>
      </c>
      <c r="J30" s="26" t="str">
        <f t="shared" si="12"/>
        <v/>
      </c>
    </row>
    <row r="31" spans="1:10" x14ac:dyDescent="0.25">
      <c r="A31" t="s">
        <v>408</v>
      </c>
      <c r="B31" t="str">
        <f>ADDRESS(ROW(TIF_DistrictYear_TaxCapacityShared),COLUMN(TIF_DistrictYear_TaxCapacityShared),4)</f>
        <v>B43</v>
      </c>
      <c r="C31" t="str">
        <f>ADDRESS(ROW('Dist Info'!C$43),COLUMN('Dist Info'!C$43),4)</f>
        <v>C43</v>
      </c>
      <c r="D31" t="b">
        <f>IF(TRUNC(TIF_DistrictYear_TaxCapacityShared)=TIF_DistrictYear_TaxCapacityShared,FALSE,TRUE)</f>
        <v>0</v>
      </c>
      <c r="E31" t="s">
        <v>436</v>
      </c>
      <c r="F31" t="str">
        <f>INDEX(Lists!I:I,MATCH(Validation!E31,Lists!G:G,0))</f>
        <v>Error</v>
      </c>
      <c r="G31" t="str">
        <f>INDEX(Lists!H:H,MATCH(Validation!E31,Lists!G:G,0))</f>
        <v>Amount must be rounded to the nearest dollar.</v>
      </c>
      <c r="H31" s="25" t="str">
        <f t="shared" ca="1" si="10"/>
        <v/>
      </c>
      <c r="I31" s="25" t="str">
        <f t="shared" ca="1" si="11"/>
        <v/>
      </c>
      <c r="J31" s="26" t="str">
        <f t="shared" si="12"/>
        <v/>
      </c>
    </row>
    <row r="32" spans="1:10" x14ac:dyDescent="0.25">
      <c r="A32" t="s">
        <v>408</v>
      </c>
      <c r="B32" t="str">
        <f>ADDRESS(ROW(TIF_DistrictYear_TaxCapacityShared),COLUMN(TIF_DistrictYear_TaxCapacityShared),4)</f>
        <v>B43</v>
      </c>
      <c r="C32" t="str">
        <f>ADDRESS(ROW('Dist Info'!C$43),COLUMN('Dist Info'!C$43),4)</f>
        <v>C43</v>
      </c>
      <c r="D32" t="b">
        <f>TIF_DistrictYear_TaxCapacityShared&lt;0</f>
        <v>0</v>
      </c>
      <c r="E32" t="s">
        <v>434</v>
      </c>
      <c r="F32" t="str">
        <f>INDEX(Lists!I:I,MATCH(Validation!E32,Lists!G:G,0))</f>
        <v>Error</v>
      </c>
      <c r="G32" t="str">
        <f>INDEX(Lists!H:H,MATCH(Validation!E32,Lists!G:G,0))</f>
        <v>Amount may not be negative. Enter an amount greater than or equal to zero.</v>
      </c>
      <c r="H32" s="25" t="str">
        <f t="shared" ca="1" si="10"/>
        <v/>
      </c>
      <c r="I32" s="25" t="str">
        <f t="shared" ca="1" si="11"/>
        <v/>
      </c>
      <c r="J32" s="26" t="str">
        <f t="shared" si="12"/>
        <v/>
      </c>
    </row>
    <row r="33" spans="1:10" x14ac:dyDescent="0.25">
      <c r="A33" t="s">
        <v>408</v>
      </c>
      <c r="B33" t="str">
        <f>ADDRESS(ROW(TIF_DistrictYear_TaxCapacityShared),COLUMN(TIF_DistrictYear_TaxCapacityShared),4)</f>
        <v>B43</v>
      </c>
      <c r="C33" t="str">
        <f>ADDRESS(ROW('Dist Info'!C$43),COLUMN('Dist Info'!C$43),4)</f>
        <v>C43</v>
      </c>
      <c r="D33" t="b">
        <f>NOT(ISNUMBER(TIF_DistrictYear_TaxCapacityShared))</f>
        <v>0</v>
      </c>
      <c r="E33" t="s">
        <v>435</v>
      </c>
      <c r="F33" t="str">
        <f>INDEX(Lists!I:I,MATCH(Validation!E33,Lists!G:G,0))</f>
        <v>Error</v>
      </c>
      <c r="G33" t="str">
        <f>INDEX(Lists!H:H,MATCH(Validation!E33,Lists!G:G,0))</f>
        <v>Enter an amount only. Do not enter text or spaces.</v>
      </c>
      <c r="H33" s="25" t="str">
        <f t="shared" ca="1" si="10"/>
        <v/>
      </c>
      <c r="I33" s="25" t="str">
        <f t="shared" ca="1" si="11"/>
        <v/>
      </c>
      <c r="J33" s="26" t="str">
        <f t="shared" si="12"/>
        <v/>
      </c>
    </row>
    <row r="34" spans="1:10" x14ac:dyDescent="0.25">
      <c r="A34" t="s">
        <v>408</v>
      </c>
      <c r="B34" t="str">
        <f>ADDRESS(ROW(TIF_Budget_AdministrativeCost),COLUMN(TIF_Budget_AdministrativeCost),4)</f>
        <v>B57</v>
      </c>
      <c r="C34" t="str">
        <f>ADDRESS(ROW('Dist Info'!C57),COLUMN('Dist Info'!C57),4)</f>
        <v>C57</v>
      </c>
      <c r="D34" t="b">
        <f>IF(TIF_Budget_AdministrativeCost&gt;ROUND((0.1*(TIF_Budget_TaxIncRevAmt+TIF_Budget_CreditsAmt)+1),0),TRUE,FALSE)</f>
        <v>0</v>
      </c>
      <c r="E34" t="s">
        <v>473</v>
      </c>
      <c r="F34" t="str">
        <f>INDEX(Lists!I:I,MATCH(Validation!E34,Lists!G:G,0))</f>
        <v>Alert</v>
      </c>
      <c r="G34" t="str">
        <f>INDEX(Lists!H:H,MATCH(Validation!E34,Lists!G:G,0))</f>
        <v>Estimated admin costs exceed what may be permitted.</v>
      </c>
      <c r="H34" s="25" t="str">
        <f t="shared" ca="1" si="10"/>
        <v/>
      </c>
      <c r="I34" s="25" t="str">
        <f t="shared" ca="1" si="11"/>
        <v/>
      </c>
      <c r="J34" s="26" t="str">
        <f t="shared" si="12"/>
        <v/>
      </c>
    </row>
    <row r="35" spans="1:10" x14ac:dyDescent="0.25">
      <c r="A35" t="s">
        <v>408</v>
      </c>
      <c r="B35" t="str">
        <f>ADDRESS(ROW('Dist Info'!B61),COLUMN('Dist Info'!B61),4)</f>
        <v>B61</v>
      </c>
      <c r="C35" t="str">
        <f>ADDRESS(ROW('Dist Info'!C61),COLUMN('Dist Info'!C61),4)</f>
        <v>C61</v>
      </c>
      <c r="D35" t="b">
        <f>'Dist Info'!B61="Unbalanced"</f>
        <v>0</v>
      </c>
      <c r="E35" t="s">
        <v>470</v>
      </c>
      <c r="F35" t="str">
        <f>INDEX(Lists!I:I,MATCH(Validation!E35,Lists!G:G,0))</f>
        <v>Information</v>
      </c>
      <c r="G35" t="str">
        <f>INDEX(Lists!H:H,MATCH(Validation!E35,Lists!G:G,0))</f>
        <v>Note that authorized costs are less than estimated tax increment revenues.</v>
      </c>
      <c r="H35" s="25" t="str">
        <f t="shared" ca="1" si="10"/>
        <v/>
      </c>
      <c r="I35" s="25" t="str">
        <f t="shared" ca="1" si="11"/>
        <v/>
      </c>
      <c r="J35" s="26" t="str">
        <f t="shared" si="12"/>
        <v/>
      </c>
    </row>
    <row r="36" spans="1:10" x14ac:dyDescent="0.25">
      <c r="A36" t="s">
        <v>408</v>
      </c>
      <c r="B36" t="str">
        <f>ADDRESS(ROW('Dist Info'!B61),COLUMN('Dist Info'!B61),4)</f>
        <v>B61</v>
      </c>
      <c r="C36" t="str">
        <f>ADDRESS(ROW('Dist Info'!C61),COLUMN('Dist Info'!C61),4)</f>
        <v>C61</v>
      </c>
      <c r="D36" t="b">
        <f>'Dist Info'!B61="Non-Compliant"</f>
        <v>0</v>
      </c>
      <c r="E36" t="s">
        <v>471</v>
      </c>
      <c r="F36" t="str">
        <f>INDEX(Lists!I:I,MATCH(Validation!E36,Lists!G:G,0))</f>
        <v>Alert</v>
      </c>
      <c r="G36" t="str">
        <f>INDEX(Lists!H:H,MATCH(Validation!E36,Lists!G:G,0))</f>
        <v>Non-compliant plan needs modification! Total Costs must not exceed Est Revenue.</v>
      </c>
      <c r="H36" s="25" t="str">
        <f t="shared" ca="1" si="10"/>
        <v/>
      </c>
      <c r="I36" s="25" t="str">
        <f t="shared" ca="1" si="11"/>
        <v/>
      </c>
      <c r="J36" s="26" t="str">
        <f t="shared" si="12"/>
        <v/>
      </c>
    </row>
    <row r="37" spans="1:10" x14ac:dyDescent="0.25">
      <c r="A37" t="s">
        <v>408</v>
      </c>
      <c r="B37" t="str">
        <f>ADDRESS(ROW(TIF_ErrorCorrection_Year_Entry),COLUMN(TIF_ErrorCorrection_Year_Entry),4)</f>
        <v>B64</v>
      </c>
      <c r="C37" t="str">
        <f>ADDRESS(ROW('Dist Info'!C64),COLUMN('Dist Info'!C64),4)</f>
        <v>C64</v>
      </c>
      <c r="D37" t="b">
        <f>TIF_ErrorCorrection_Year_Entry="Select One"</f>
        <v>1</v>
      </c>
      <c r="E37" t="s">
        <v>73</v>
      </c>
      <c r="F37" t="str">
        <f>INDEX(Lists!I:I,MATCH(Validation!E37,Lists!G:G,0))</f>
        <v>Error</v>
      </c>
      <c r="G37" t="str">
        <f>INDEX(Lists!H:H,MATCH(Validation!E37,Lists!G:G,0))</f>
        <v>You must select Yes or No.</v>
      </c>
      <c r="H37" s="25" t="str">
        <f t="shared" ca="1" si="10"/>
        <v>Dist Info$B$64</v>
      </c>
      <c r="I37" s="25" t="str">
        <f t="shared" ca="1" si="11"/>
        <v>Dist Info$C$64</v>
      </c>
      <c r="J37" s="26" t="str">
        <f t="shared" si="12"/>
        <v>Dist Info</v>
      </c>
    </row>
    <row r="38" spans="1:10" x14ac:dyDescent="0.25">
      <c r="A38" t="s">
        <v>408</v>
      </c>
      <c r="B38" t="str">
        <f>ADDRESS(ROW('Dist Info'!B66),COLUMN('Dist Info'!B66),4)</f>
        <v>B66</v>
      </c>
      <c r="C38" t="str">
        <f>ADDRESS(ROW('Dist Info'!C66),COLUMN('Dist Info'!C66),4)</f>
        <v>C66</v>
      </c>
      <c r="D38" t="b">
        <f>NOT('Dist Info'!B66="Yes")</f>
        <v>1</v>
      </c>
      <c r="E38" t="s">
        <v>411</v>
      </c>
      <c r="F38" t="str">
        <f>INDEX(Lists!I:I,MATCH(Validation!E38,Lists!G:G,0))</f>
        <v>Error</v>
      </c>
      <c r="G38" t="str">
        <f>INDEX(Lists!H:H,MATCH(Validation!E38,Lists!G:G,0))</f>
        <v>You must be able to answer Yes before form can be submitted.</v>
      </c>
      <c r="H38" s="25" t="str">
        <f t="shared" ca="1" si="10"/>
        <v>Dist Info$B$66</v>
      </c>
      <c r="I38" s="25" t="str">
        <f t="shared" ca="1" si="11"/>
        <v>Dist Info$C$66</v>
      </c>
      <c r="J38" s="26" t="str">
        <f t="shared" si="12"/>
        <v>Dist Info</v>
      </c>
    </row>
    <row r="39" spans="1:10" x14ac:dyDescent="0.25">
      <c r="A39" t="s">
        <v>408</v>
      </c>
      <c r="B39" t="str">
        <f>ADDRESS(ROW(TIF_DistrictYear_UserCommentsDistInfo),COLUMN(TIF_DistrictYear_UserCommentsDistInfo),4)</f>
        <v>A68</v>
      </c>
      <c r="C39" t="str">
        <f>ADDRESS(ROW('Dist Info'!C67),COLUMN('Dist Info'!C67),4)</f>
        <v>C67</v>
      </c>
      <c r="D39" t="b" cm="1">
        <f t="array" aca="1" ref="D39" ca="1">IF(ISBLANK(INDIRECT("'"&amp;A39&amp;"'!"&amp;B39)),FALSE,IF(LEN(TRIM(CLEAN(INDIRECT("'"&amp;A39&amp;"'!"&amp;B39))))&lt;15,TRUE,FALSE))</f>
        <v>0</v>
      </c>
      <c r="E39" t="s">
        <v>635</v>
      </c>
      <c r="F39" t="str">
        <f>INDEX(Lists!I:I,MATCH(Validation!E39,Lists!G:G,0))</f>
        <v>Error</v>
      </c>
      <c r="G39" t="str">
        <f>INDEX(Lists!H:H,MATCH(Validation!E39,Lists!G:G,0))</f>
        <v>Insufficient information. Please provide a longer comment.</v>
      </c>
      <c r="H39" s="25" t="str">
        <f t="shared" ca="1" si="10"/>
        <v/>
      </c>
      <c r="I39" s="25" t="str">
        <f t="shared" ca="1" si="11"/>
        <v/>
      </c>
      <c r="J39" s="26" t="str">
        <f t="shared" ca="1" si="12"/>
        <v/>
      </c>
    </row>
    <row r="40" spans="1:10" x14ac:dyDescent="0.25">
      <c r="A40" t="s">
        <v>408</v>
      </c>
      <c r="B40" t="str">
        <f>ADDRESS(ROW(TIF_DistrictYear_UserCommentsDistInfo),COLUMN(TIF_DistrictYear_UserCommentsDistInfo),4)</f>
        <v>A68</v>
      </c>
      <c r="C40" t="str">
        <f>ADDRESS(ROW('Dist Info'!C67),COLUMN('Dist Info'!C67),4)</f>
        <v>C67</v>
      </c>
      <c r="D40" t="b" cm="1">
        <f t="array" aca="1" ref="D40" ca="1">IF(LEN(INDIRECT("'"&amp;A40&amp;"'!"&amp;B40))&gt;500,TRUE,FALSE)</f>
        <v>0</v>
      </c>
      <c r="E40" t="s">
        <v>636</v>
      </c>
      <c r="F40" t="str">
        <f>INDEX(Lists!I:I,MATCH(Validation!E40,Lists!G:G,0))</f>
        <v>Error</v>
      </c>
      <c r="G40" t="str">
        <f>INDEX(Lists!H:H,MATCH(Validation!E40,Lists!G:G,0))</f>
        <v>Comments cannot exceed 500 characters. (Limit length. Send email to further explain.)</v>
      </c>
      <c r="H40" s="25" t="str">
        <f t="shared" ca="1" si="10"/>
        <v/>
      </c>
      <c r="I40" s="25" t="str">
        <f t="shared" ca="1" si="11"/>
        <v/>
      </c>
      <c r="J40" s="26" t="str">
        <f t="shared" ca="1" si="12"/>
        <v/>
      </c>
    </row>
    <row r="41" spans="1:10" x14ac:dyDescent="0.25">
      <c r="A41" t="s">
        <v>107</v>
      </c>
      <c r="B41" t="str">
        <f>ADDRESS(ROW('Spec Leg'!B$6),COLUMN('Spec Leg'!B$6),4)</f>
        <v>B6</v>
      </c>
      <c r="C41" t="str">
        <f>ADDRESS(ROW('Spec Leg'!G$6),COLUMN('Spec Leg'!G$6),4)</f>
        <v>G6</v>
      </c>
      <c r="D41" s="18" t="b">
        <f>TIF_SpecialLegislation_SpecialLegislationInd_Entry="Select One"</f>
        <v>1</v>
      </c>
      <c r="E41" t="s">
        <v>73</v>
      </c>
      <c r="F41" t="str">
        <f>INDEX(Lists!I:I,MATCH(Validation!E41,Lists!G:G,0))</f>
        <v>Error</v>
      </c>
      <c r="G41" t="str">
        <f>INDEX(Lists!H:H,MATCH(Validation!E41,Lists!G:G,0))</f>
        <v>You must select Yes or No.</v>
      </c>
      <c r="H41" s="16" t="str">
        <f t="shared" ref="H41:H54" ca="1" si="13">IFERROR(IF(OR(NOT(D41),F41&lt;&gt;"Error"),"",A41&amp;CELL("address",INDIRECT(B41))),"")</f>
        <v>Spec Leg$B$6</v>
      </c>
      <c r="I41" s="16" t="str">
        <f t="shared" ref="I41:I54" ca="1" si="14">IFERROR(IF(NOT(D41),"",A41&amp;CELL("address",INDIRECT(C41))),"")</f>
        <v>Spec Leg$G$6</v>
      </c>
      <c r="J41" s="17" t="str">
        <f t="shared" ref="J41:J54" si="15">IFERROR(IF(NOT(D41),"",A41),"")</f>
        <v>Spec Leg</v>
      </c>
    </row>
    <row r="42" spans="1:10" x14ac:dyDescent="0.25">
      <c r="A42" t="s">
        <v>107</v>
      </c>
      <c r="B42" t="str">
        <f>ADDRESS(ROW('Spec Leg'!B$6),COLUMN('Spec Leg'!B$6),4)</f>
        <v>B6</v>
      </c>
      <c r="C42" t="str">
        <f>ADDRESS(ROW('Spec Leg'!G$6),COLUMN('Spec Leg'!G$6),4)</f>
        <v>G6</v>
      </c>
      <c r="D42" s="18" t="b">
        <f>IF(AND(TIF_SpecialLegislation_SpecialLegislationInd_Input=TRUE,TIF_SpecialLegislation_SpecialLegislationInd_Entry="No"),TRUE,FALSE)</f>
        <v>0</v>
      </c>
      <c r="E42" t="s">
        <v>491</v>
      </c>
      <c r="F42" t="str">
        <f>INDEX(Lists!I:I,MATCH(Validation!E42,Lists!G:G,0))</f>
        <v>Error</v>
      </c>
      <c r="G42" t="str">
        <f>INDEX(Lists!H:H,MATCH(Validation!E42,Lists!G:G,0))</f>
        <v>Yes was previously reported and must be selected. Contact TIF Division to change.</v>
      </c>
      <c r="H42" s="16" t="str">
        <f t="shared" ref="H42" ca="1" si="16">IFERROR(IF(OR(NOT(D42),F42&lt;&gt;"Error"),"",A42&amp;CELL("address",INDIRECT(B42))),"")</f>
        <v/>
      </c>
      <c r="I42" s="16" t="str">
        <f t="shared" ref="I42" ca="1" si="17">IFERROR(IF(NOT(D42),"",A42&amp;CELL("address",INDIRECT(C42))),"")</f>
        <v/>
      </c>
      <c r="J42" s="17" t="str">
        <f t="shared" ref="J42" si="18">IFERROR(IF(NOT(D42),"",A42),"")</f>
        <v/>
      </c>
    </row>
    <row r="43" spans="1:10" x14ac:dyDescent="0.25">
      <c r="A43" t="s">
        <v>107</v>
      </c>
      <c r="B43" t="str">
        <f>ADDRESS(ROW('Spec Leg'!B$6),COLUMN('Spec Leg'!B$6),4)</f>
        <v>B6</v>
      </c>
      <c r="C43" t="str">
        <f>ADDRESS(ROW('Spec Leg'!G$6),COLUMN('Spec Leg'!G$6),4)</f>
        <v>G6</v>
      </c>
      <c r="D43" s="18" t="b">
        <f>AND(TIF_DistrictType_DistrictTypeName="Uncodified Law",TIF_SpecialLegislation_SpecialLegislationInd_Entry="No")</f>
        <v>0</v>
      </c>
      <c r="E43" t="s">
        <v>642</v>
      </c>
      <c r="F43" t="str">
        <f>INDEX(Lists!I:I,MATCH(Validation!E43,Lists!G:G,0))</f>
        <v>Error</v>
      </c>
      <c r="G43" t="str">
        <f>INDEX(Lists!H:H,MATCH(Validation!E43,Lists!G:G,0))</f>
        <v>Must answer Yes and make entry if district type is Uncodified Law.</v>
      </c>
      <c r="H43" s="16" t="str">
        <f t="shared" ref="H43" ca="1" si="19">IFERROR(IF(OR(NOT(D43),F43&lt;&gt;"Error"),"",A43&amp;CELL("address",INDIRECT(B43))),"")</f>
        <v/>
      </c>
      <c r="I43" s="16" t="str">
        <f t="shared" ref="I43" ca="1" si="20">IFERROR(IF(NOT(D43),"",A43&amp;CELL("address",INDIRECT(C43))),"")</f>
        <v/>
      </c>
      <c r="J43" s="17" t="str">
        <f t="shared" ref="J43" si="21">IFERROR(IF(NOT(D43),"",A43),"")</f>
        <v/>
      </c>
    </row>
    <row r="44" spans="1:10" x14ac:dyDescent="0.25">
      <c r="A44" t="s">
        <v>107</v>
      </c>
      <c r="B44" t="str">
        <f>ADDRESS(ROW('Spec Leg'!B$8),COLUMN('Spec Leg'!B$8),4)</f>
        <v>B8</v>
      </c>
      <c r="C44" t="str">
        <f>ADDRESS(ROW('Spec Leg'!G$8),COLUMN('Spec Leg'!G$8),4)</f>
        <v>G8</v>
      </c>
      <c r="D44" s="18" t="b">
        <f>AND(TIF_SpecialLegislation_SpecialLegislationInd_Entry="Yes",COUNTBLANK('Spec Leg'!B8:F8)=5)</f>
        <v>0</v>
      </c>
      <c r="E44" t="s">
        <v>646</v>
      </c>
      <c r="F44" t="str">
        <f>INDEX(Lists!I:I,MATCH(Validation!E44,Lists!G:G,0))</f>
        <v>Error</v>
      </c>
      <c r="G44" t="str">
        <f>INDEX(Lists!H:H,MATCH(Validation!E44,Lists!G:G,0))</f>
        <v>Yes selected: Complete at least one row (but enter all special laws that apply).</v>
      </c>
      <c r="H44" s="16" t="str">
        <f t="shared" ref="H44" ca="1" si="22">IFERROR(IF(OR(NOT(D44),F44&lt;&gt;"Error"),"",A44&amp;CELL("address",INDIRECT(B44))),"")</f>
        <v/>
      </c>
      <c r="I44" s="16" t="str">
        <f t="shared" ref="I44" ca="1" si="23">IFERROR(IF(NOT(D44),"",A44&amp;CELL("address",INDIRECT(C44))),"")</f>
        <v/>
      </c>
      <c r="J44" s="17" t="str">
        <f t="shared" ref="J44" si="24">IFERROR(IF(NOT(D44),"",A44),"")</f>
        <v/>
      </c>
    </row>
    <row r="45" spans="1:10" x14ac:dyDescent="0.25">
      <c r="A45" t="s">
        <v>107</v>
      </c>
      <c r="B45" t="str">
        <f>ADDRESS(ROW('Spec Leg'!B$8),COLUMN('Spec Leg'!B$8),4)</f>
        <v>B8</v>
      </c>
      <c r="C45" t="str">
        <f>ADDRESS(ROW('Spec Leg'!G$8),COLUMN('Spec Leg'!G$8),4)</f>
        <v>G8</v>
      </c>
      <c r="D45" s="18" t="b">
        <f>AND(TIF_SpecialLegislation_SpecialLegislationInd_Entry="No",NOT(COUNTBLANK('Spec Leg'!B8:F8)=5))</f>
        <v>0</v>
      </c>
      <c r="E45" t="s">
        <v>77</v>
      </c>
      <c r="F45" t="str">
        <f>INDEX(Lists!I:I,MATCH(Validation!E45,Lists!G:G,0))</f>
        <v>Error</v>
      </c>
      <c r="G45" t="str">
        <f>INDEX(Lists!H:H,MATCH(Validation!E45,Lists!G:G,0))</f>
        <v>Do not enter values if you indicated No above.</v>
      </c>
      <c r="H45" s="16" t="str">
        <f t="shared" ca="1" si="13"/>
        <v/>
      </c>
      <c r="I45" s="16" t="str">
        <f t="shared" ca="1" si="14"/>
        <v/>
      </c>
      <c r="J45" s="17" t="str">
        <f t="shared" si="15"/>
        <v/>
      </c>
    </row>
    <row r="46" spans="1:10" x14ac:dyDescent="0.25">
      <c r="A46" t="s">
        <v>107</v>
      </c>
      <c r="B46" t="str">
        <f>ADDRESS(ROW('Spec Leg'!B$9),COLUMN('Spec Leg'!B$9),4)</f>
        <v>B9</v>
      </c>
      <c r="C46" t="str">
        <f>ADDRESS(ROW('Spec Leg'!G$9),COLUMN('Spec Leg'!G$9),4)</f>
        <v>G9</v>
      </c>
      <c r="D46" s="18" t="b">
        <f>AND(TIF_SpecialLegislation_SpecialLegislationInd_Entry="No",NOT(COUNTBLANK('Spec Leg'!B9:F9)=5))</f>
        <v>0</v>
      </c>
      <c r="E46" t="s">
        <v>77</v>
      </c>
      <c r="F46" t="str">
        <f>INDEX(Lists!I:I,MATCH(Validation!E46,Lists!G:G,0))</f>
        <v>Error</v>
      </c>
      <c r="G46" t="str">
        <f>INDEX(Lists!H:H,MATCH(Validation!E46,Lists!G:G,0))</f>
        <v>Do not enter values if you indicated No above.</v>
      </c>
      <c r="H46" s="16" t="str">
        <f t="shared" ca="1" si="13"/>
        <v/>
      </c>
      <c r="I46" s="16" t="str">
        <f t="shared" ca="1" si="14"/>
        <v/>
      </c>
      <c r="J46" s="17" t="str">
        <f t="shared" si="15"/>
        <v/>
      </c>
    </row>
    <row r="47" spans="1:10" x14ac:dyDescent="0.25">
      <c r="A47" t="s">
        <v>107</v>
      </c>
      <c r="B47" t="str">
        <f>ADDRESS(ROW('Spec Leg'!B$10),COLUMN('Spec Leg'!B$10),4)</f>
        <v>B10</v>
      </c>
      <c r="C47" t="str">
        <f>ADDRESS(ROW('Spec Leg'!G$10),COLUMN('Spec Leg'!G$10),4)</f>
        <v>G10</v>
      </c>
      <c r="D47" s="18" t="b">
        <f>AND(TIF_SpecialLegislation_SpecialLegislationInd_Entry="No",NOT(COUNTBLANK('Spec Leg'!B10:F10)=5))</f>
        <v>0</v>
      </c>
      <c r="E47" t="s">
        <v>77</v>
      </c>
      <c r="F47" t="str">
        <f>INDEX(Lists!I:I,MATCH(Validation!E47,Lists!G:G,0))</f>
        <v>Error</v>
      </c>
      <c r="G47" t="str">
        <f>INDEX(Lists!H:H,MATCH(Validation!E47,Lists!G:G,0))</f>
        <v>Do not enter values if you indicated No above.</v>
      </c>
      <c r="H47" s="16" t="str">
        <f t="shared" ca="1" si="13"/>
        <v/>
      </c>
      <c r="I47" s="16" t="str">
        <f t="shared" ca="1" si="14"/>
        <v/>
      </c>
      <c r="J47" s="17" t="str">
        <f t="shared" si="15"/>
        <v/>
      </c>
    </row>
    <row r="48" spans="1:10" x14ac:dyDescent="0.25">
      <c r="A48" t="s">
        <v>107</v>
      </c>
      <c r="B48" t="str">
        <f>ADDRESS(ROW('Spec Leg'!B$11),COLUMN('Spec Leg'!B$11),4)</f>
        <v>B11</v>
      </c>
      <c r="C48" t="str">
        <f>ADDRESS(ROW('Spec Leg'!G$11),COLUMN('Spec Leg'!G$11),4)</f>
        <v>G11</v>
      </c>
      <c r="D48" s="18" t="b">
        <f>AND(TIF_SpecialLegislation_SpecialLegislationInd_Entry="No",NOT(COUNTBLANK('Spec Leg'!B11:F11)=5))</f>
        <v>0</v>
      </c>
      <c r="E48" t="s">
        <v>77</v>
      </c>
      <c r="F48" t="str">
        <f>INDEX(Lists!I:I,MATCH(Validation!E48,Lists!G:G,0))</f>
        <v>Error</v>
      </c>
      <c r="G48" t="str">
        <f>INDEX(Lists!H:H,MATCH(Validation!E48,Lists!G:G,0))</f>
        <v>Do not enter values if you indicated No above.</v>
      </c>
      <c r="H48" s="16" t="str">
        <f t="shared" ca="1" si="13"/>
        <v/>
      </c>
      <c r="I48" s="16" t="str">
        <f t="shared" ca="1" si="14"/>
        <v/>
      </c>
      <c r="J48" s="17" t="str">
        <f t="shared" si="15"/>
        <v/>
      </c>
    </row>
    <row r="49" spans="1:10" x14ac:dyDescent="0.25">
      <c r="A49" t="s">
        <v>107</v>
      </c>
      <c r="B49" t="str">
        <f>ADDRESS(ROW('Spec Leg'!B$12),COLUMN('Spec Leg'!B$12),4)</f>
        <v>B12</v>
      </c>
      <c r="C49" t="str">
        <f>ADDRESS(ROW('Spec Leg'!G$12),COLUMN('Spec Leg'!G$12),4)</f>
        <v>G12</v>
      </c>
      <c r="D49" s="18" t="b">
        <f>AND(TIF_SpecialLegislation_SpecialLegislationInd_Entry="No",NOT(COUNTBLANK('Spec Leg'!B12:F12)=5))</f>
        <v>0</v>
      </c>
      <c r="E49" t="s">
        <v>77</v>
      </c>
      <c r="F49" t="str">
        <f>INDEX(Lists!I:I,MATCH(Validation!E49,Lists!G:G,0))</f>
        <v>Error</v>
      </c>
      <c r="G49" t="str">
        <f>INDEX(Lists!H:H,MATCH(Validation!E49,Lists!G:G,0))</f>
        <v>Do not enter values if you indicated No above.</v>
      </c>
      <c r="H49" s="16" t="str">
        <f t="shared" ca="1" si="13"/>
        <v/>
      </c>
      <c r="I49" s="16" t="str">
        <f t="shared" ca="1" si="14"/>
        <v/>
      </c>
      <c r="J49" s="17" t="str">
        <f t="shared" si="15"/>
        <v/>
      </c>
    </row>
    <row r="50" spans="1:10" x14ac:dyDescent="0.25">
      <c r="A50" t="s">
        <v>107</v>
      </c>
      <c r="B50" t="str">
        <f>ADDRESS(ROW('Spec Leg'!B$13),COLUMN('Spec Leg'!B$13),4)</f>
        <v>B13</v>
      </c>
      <c r="C50" t="str">
        <f>ADDRESS(ROW('Spec Leg'!G$13),COLUMN('Spec Leg'!G$13),4)</f>
        <v>G13</v>
      </c>
      <c r="D50" s="18" t="b">
        <f>AND(TIF_SpecialLegislation_SpecialLegislationInd_Entry="No",NOT(COUNTBLANK('Spec Leg'!B13:F13)=5))</f>
        <v>0</v>
      </c>
      <c r="E50" t="s">
        <v>77</v>
      </c>
      <c r="F50" t="str">
        <f>INDEX(Lists!I:I,MATCH(Validation!E50,Lists!G:G,0))</f>
        <v>Error</v>
      </c>
      <c r="G50" t="str">
        <f>INDEX(Lists!H:H,MATCH(Validation!E50,Lists!G:G,0))</f>
        <v>Do not enter values if you indicated No above.</v>
      </c>
      <c r="H50" s="16" t="str">
        <f t="shared" ca="1" si="13"/>
        <v/>
      </c>
      <c r="I50" s="16" t="str">
        <f t="shared" ca="1" si="14"/>
        <v/>
      </c>
      <c r="J50" s="17" t="str">
        <f t="shared" si="15"/>
        <v/>
      </c>
    </row>
    <row r="51" spans="1:10" x14ac:dyDescent="0.25">
      <c r="A51" t="s">
        <v>107</v>
      </c>
      <c r="B51" t="str">
        <f>ADDRESS(ROW('Spec Leg'!B$14),COLUMN('Spec Leg'!B$14),4)</f>
        <v>B14</v>
      </c>
      <c r="C51" t="str">
        <f>ADDRESS(ROW('Spec Leg'!G$14),COLUMN('Spec Leg'!G$14),4)</f>
        <v>G14</v>
      </c>
      <c r="D51" s="18" t="b">
        <f>AND(TIF_SpecialLegislation_SpecialLegislationInd_Entry="No",NOT(COUNTBLANK('Spec Leg'!B14:F14)=5))</f>
        <v>0</v>
      </c>
      <c r="E51" t="s">
        <v>77</v>
      </c>
      <c r="F51" t="str">
        <f>INDEX(Lists!I:I,MATCH(Validation!E51,Lists!G:G,0))</f>
        <v>Error</v>
      </c>
      <c r="G51" t="str">
        <f>INDEX(Lists!H:H,MATCH(Validation!E51,Lists!G:G,0))</f>
        <v>Do not enter values if you indicated No above.</v>
      </c>
      <c r="H51" s="16"/>
      <c r="I51" s="16" t="str">
        <f t="shared" ca="1" si="14"/>
        <v/>
      </c>
      <c r="J51" s="17" t="str">
        <f t="shared" si="15"/>
        <v/>
      </c>
    </row>
    <row r="52" spans="1:10" x14ac:dyDescent="0.25">
      <c r="A52" t="s">
        <v>107</v>
      </c>
      <c r="B52" t="str">
        <f>ADDRESS(ROW('Spec Leg'!B$15),COLUMN('Spec Leg'!B$15),4)</f>
        <v>B15</v>
      </c>
      <c r="C52" t="str">
        <f>ADDRESS(ROW('Spec Leg'!G$15),COLUMN('Spec Leg'!G$15),4)</f>
        <v>G15</v>
      </c>
      <c r="D52" s="18" t="b">
        <f>AND(TIF_SpecialLegislation_SpecialLegislationInd_Entry="No",NOT(COUNTBLANK('Spec Leg'!B15:F15)=5))</f>
        <v>0</v>
      </c>
      <c r="E52" t="s">
        <v>77</v>
      </c>
      <c r="F52" t="str">
        <f>INDEX(Lists!I:I,MATCH(Validation!E52,Lists!G:G,0))</f>
        <v>Error</v>
      </c>
      <c r="G52" t="str">
        <f>INDEX(Lists!H:H,MATCH(Validation!E52,Lists!G:G,0))</f>
        <v>Do not enter values if you indicated No above.</v>
      </c>
      <c r="H52" s="16" t="str">
        <f t="shared" ca="1" si="13"/>
        <v/>
      </c>
      <c r="I52" s="16" t="str">
        <f t="shared" ca="1" si="14"/>
        <v/>
      </c>
      <c r="J52" s="17" t="str">
        <f t="shared" si="15"/>
        <v/>
      </c>
    </row>
    <row r="53" spans="1:10" x14ac:dyDescent="0.25">
      <c r="A53" t="s">
        <v>107</v>
      </c>
      <c r="B53" t="str">
        <f>ADDRESS(ROW('Spec Leg'!B$16),COLUMN('Spec Leg'!B$16),4)</f>
        <v>B16</v>
      </c>
      <c r="C53" t="str">
        <f>ADDRESS(ROW('Spec Leg'!G$16),COLUMN('Spec Leg'!G$16),4)</f>
        <v>G16</v>
      </c>
      <c r="D53" s="18" t="b">
        <f>AND(TIF_SpecialLegislation_SpecialLegislationInd_Entry="No",NOT(COUNTBLANK('Spec Leg'!B16:F16)=5))</f>
        <v>0</v>
      </c>
      <c r="E53" t="s">
        <v>77</v>
      </c>
      <c r="F53" t="str">
        <f>INDEX(Lists!I:I,MATCH(Validation!E53,Lists!G:G,0))</f>
        <v>Error</v>
      </c>
      <c r="G53" t="str">
        <f>INDEX(Lists!H:H,MATCH(Validation!E53,Lists!G:G,0))</f>
        <v>Do not enter values if you indicated No above.</v>
      </c>
      <c r="H53" s="16" t="str">
        <f t="shared" ca="1" si="13"/>
        <v/>
      </c>
      <c r="I53" s="16" t="str">
        <f t="shared" ca="1" si="14"/>
        <v/>
      </c>
      <c r="J53" s="17" t="str">
        <f t="shared" si="15"/>
        <v/>
      </c>
    </row>
    <row r="54" spans="1:10" x14ac:dyDescent="0.25">
      <c r="A54" t="s">
        <v>107</v>
      </c>
      <c r="B54" t="str">
        <f>ADDRESS(ROW('Spec Leg'!B$17),COLUMN('Spec Leg'!B$17),4)</f>
        <v>B17</v>
      </c>
      <c r="C54" t="str">
        <f>ADDRESS(ROW('Spec Leg'!G$17),COLUMN('Spec Leg'!G$17),4)</f>
        <v>G17</v>
      </c>
      <c r="D54" s="18" t="b">
        <f>AND(TIF_SpecialLegislation_SpecialLegislationInd_Entry="No",NOT(COUNTBLANK('Spec Leg'!B17:F17)=5))</f>
        <v>0</v>
      </c>
      <c r="E54" t="s">
        <v>77</v>
      </c>
      <c r="F54" t="str">
        <f>INDEX(Lists!I:I,MATCH(Validation!E54,Lists!G:G,0))</f>
        <v>Error</v>
      </c>
      <c r="G54" t="str">
        <f>INDEX(Lists!H:H,MATCH(Validation!E54,Lists!G:G,0))</f>
        <v>Do not enter values if you indicated No above.</v>
      </c>
      <c r="H54" s="16" t="str">
        <f t="shared" ca="1" si="13"/>
        <v/>
      </c>
      <c r="I54" s="16" t="str">
        <f t="shared" ca="1" si="14"/>
        <v/>
      </c>
      <c r="J54" s="17" t="str">
        <f t="shared" si="15"/>
        <v/>
      </c>
    </row>
    <row r="55" spans="1:10" x14ac:dyDescent="0.25">
      <c r="A55" t="s">
        <v>107</v>
      </c>
      <c r="B55" t="str">
        <f>ADDRESS(ROW('Spec Leg'!B$8),COLUMN('Spec Leg'!B$8),4)</f>
        <v>B8</v>
      </c>
      <c r="C55" t="str">
        <f>ADDRESS(ROW('Spec Leg'!G$8),COLUMN('Spec Leg'!G$8),4)</f>
        <v>G8</v>
      </c>
      <c r="D55" s="18" t="b">
        <f>AND(ISBLANK('Spec Leg'!B8),(NOT(ISBLANK('Spec Leg'!B9))))</f>
        <v>0</v>
      </c>
      <c r="E55" t="s">
        <v>644</v>
      </c>
      <c r="F55" t="str">
        <f>INDEX(Lists!I:I,MATCH(Validation!E55,Lists!G:G,0))</f>
        <v>Error</v>
      </c>
      <c r="G55" t="str">
        <f>INDEX(Lists!H:H,MATCH(Validation!E55,Lists!G:G,0))</f>
        <v>Do not skip rows.</v>
      </c>
      <c r="H55" s="16" t="str">
        <f t="shared" ref="H55:H64" ca="1" si="25">IFERROR(IF(OR(NOT(D55),F55&lt;&gt;"Error"),"",A55&amp;CELL("address",INDIRECT(B55))),"")</f>
        <v/>
      </c>
      <c r="I55" s="16" t="str">
        <f t="shared" ref="I55:I64" ca="1" si="26">IFERROR(IF(NOT(D55),"",A55&amp;CELL("address",INDIRECT(C55))),"")</f>
        <v/>
      </c>
      <c r="J55" s="17" t="str">
        <f t="shared" ref="J55:J64" si="27">IFERROR(IF(NOT(D55),"",A55),"")</f>
        <v/>
      </c>
    </row>
    <row r="56" spans="1:10" x14ac:dyDescent="0.25">
      <c r="A56" t="s">
        <v>107</v>
      </c>
      <c r="B56" t="str">
        <f>ADDRESS(ROW('Spec Leg'!B$9),COLUMN('Spec Leg'!B$9),4)</f>
        <v>B9</v>
      </c>
      <c r="C56" t="str">
        <f>ADDRESS(ROW('Spec Leg'!G$9),COLUMN('Spec Leg'!G$9),4)</f>
        <v>G9</v>
      </c>
      <c r="D56" s="18" t="b">
        <f>AND(ISBLANK('Spec Leg'!B9),(NOT(ISBLANK('Spec Leg'!B10))))</f>
        <v>0</v>
      </c>
      <c r="E56" t="s">
        <v>644</v>
      </c>
      <c r="F56" t="str">
        <f>INDEX(Lists!I:I,MATCH(Validation!E56,Lists!G:G,0))</f>
        <v>Error</v>
      </c>
      <c r="G56" t="str">
        <f>INDEX(Lists!H:H,MATCH(Validation!E56,Lists!G:G,0))</f>
        <v>Do not skip rows.</v>
      </c>
      <c r="H56" s="16" t="str">
        <f t="shared" ca="1" si="25"/>
        <v/>
      </c>
      <c r="I56" s="16" t="str">
        <f t="shared" ca="1" si="26"/>
        <v/>
      </c>
      <c r="J56" s="17" t="str">
        <f t="shared" si="27"/>
        <v/>
      </c>
    </row>
    <row r="57" spans="1:10" x14ac:dyDescent="0.25">
      <c r="A57" t="s">
        <v>107</v>
      </c>
      <c r="B57" t="str">
        <f>ADDRESS(ROW('Spec Leg'!B$10),COLUMN('Spec Leg'!B$10),4)</f>
        <v>B10</v>
      </c>
      <c r="C57" t="str">
        <f>ADDRESS(ROW('Spec Leg'!G$10),COLUMN('Spec Leg'!G$10),4)</f>
        <v>G10</v>
      </c>
      <c r="D57" s="18" t="b">
        <f>AND(ISBLANK('Spec Leg'!B10),(NOT(ISBLANK('Spec Leg'!B11))))</f>
        <v>0</v>
      </c>
      <c r="E57" t="s">
        <v>644</v>
      </c>
      <c r="F57" t="str">
        <f>INDEX(Lists!I:I,MATCH(Validation!E57,Lists!G:G,0))</f>
        <v>Error</v>
      </c>
      <c r="G57" t="str">
        <f>INDEX(Lists!H:H,MATCH(Validation!E57,Lists!G:G,0))</f>
        <v>Do not skip rows.</v>
      </c>
      <c r="H57" s="16" t="str">
        <f t="shared" ca="1" si="25"/>
        <v/>
      </c>
      <c r="I57" s="16" t="str">
        <f t="shared" ca="1" si="26"/>
        <v/>
      </c>
      <c r="J57" s="17" t="str">
        <f t="shared" si="27"/>
        <v/>
      </c>
    </row>
    <row r="58" spans="1:10" x14ac:dyDescent="0.25">
      <c r="A58" t="s">
        <v>107</v>
      </c>
      <c r="B58" t="str">
        <f>ADDRESS(ROW('Spec Leg'!B$11),COLUMN('Spec Leg'!B$11),4)</f>
        <v>B11</v>
      </c>
      <c r="C58" t="str">
        <f>ADDRESS(ROW('Spec Leg'!G$11),COLUMN('Spec Leg'!G$11),4)</f>
        <v>G11</v>
      </c>
      <c r="D58" s="18" t="b">
        <f>AND(ISBLANK('Spec Leg'!B11),(NOT(ISBLANK('Spec Leg'!B12))))</f>
        <v>0</v>
      </c>
      <c r="E58" t="s">
        <v>644</v>
      </c>
      <c r="F58" t="str">
        <f>INDEX(Lists!I:I,MATCH(Validation!E58,Lists!G:G,0))</f>
        <v>Error</v>
      </c>
      <c r="G58" t="str">
        <f>INDEX(Lists!H:H,MATCH(Validation!E58,Lists!G:G,0))</f>
        <v>Do not skip rows.</v>
      </c>
      <c r="H58" s="16" t="str">
        <f t="shared" ca="1" si="25"/>
        <v/>
      </c>
      <c r="I58" s="16" t="str">
        <f t="shared" ca="1" si="26"/>
        <v/>
      </c>
      <c r="J58" s="17" t="str">
        <f t="shared" si="27"/>
        <v/>
      </c>
    </row>
    <row r="59" spans="1:10" x14ac:dyDescent="0.25">
      <c r="A59" t="s">
        <v>107</v>
      </c>
      <c r="B59" t="str">
        <f>ADDRESS(ROW('Spec Leg'!B$12),COLUMN('Spec Leg'!B$12),4)</f>
        <v>B12</v>
      </c>
      <c r="C59" t="str">
        <f>ADDRESS(ROW('Spec Leg'!G$12),COLUMN('Spec Leg'!G$12),4)</f>
        <v>G12</v>
      </c>
      <c r="D59" s="18" t="b">
        <f>AND(ISBLANK('Spec Leg'!B12),(NOT(ISBLANK('Spec Leg'!B13))))</f>
        <v>0</v>
      </c>
      <c r="E59" t="s">
        <v>644</v>
      </c>
      <c r="F59" t="str">
        <f>INDEX(Lists!I:I,MATCH(Validation!E59,Lists!G:G,0))</f>
        <v>Error</v>
      </c>
      <c r="G59" t="str">
        <f>INDEX(Lists!H:H,MATCH(Validation!E59,Lists!G:G,0))</f>
        <v>Do not skip rows.</v>
      </c>
      <c r="H59" s="16" t="str">
        <f t="shared" ca="1" si="25"/>
        <v/>
      </c>
      <c r="I59" s="16" t="str">
        <f t="shared" ca="1" si="26"/>
        <v/>
      </c>
      <c r="J59" s="17" t="str">
        <f t="shared" si="27"/>
        <v/>
      </c>
    </row>
    <row r="60" spans="1:10" x14ac:dyDescent="0.25">
      <c r="A60" t="s">
        <v>107</v>
      </c>
      <c r="B60" t="str">
        <f>ADDRESS(ROW('Spec Leg'!B$13),COLUMN('Spec Leg'!B$13),4)</f>
        <v>B13</v>
      </c>
      <c r="C60" t="str">
        <f>ADDRESS(ROW('Spec Leg'!G$13),COLUMN('Spec Leg'!G$13),4)</f>
        <v>G13</v>
      </c>
      <c r="D60" s="18" t="b">
        <f>AND(ISBLANK('Spec Leg'!B13),(NOT(ISBLANK('Spec Leg'!B14))))</f>
        <v>0</v>
      </c>
      <c r="E60" t="s">
        <v>644</v>
      </c>
      <c r="F60" t="str">
        <f>INDEX(Lists!I:I,MATCH(Validation!E60,Lists!G:G,0))</f>
        <v>Error</v>
      </c>
      <c r="G60" t="str">
        <f>INDEX(Lists!H:H,MATCH(Validation!E60,Lists!G:G,0))</f>
        <v>Do not skip rows.</v>
      </c>
      <c r="H60" s="16" t="str">
        <f t="shared" ca="1" si="25"/>
        <v/>
      </c>
      <c r="I60" s="16" t="str">
        <f t="shared" ca="1" si="26"/>
        <v/>
      </c>
      <c r="J60" s="17" t="str">
        <f t="shared" si="27"/>
        <v/>
      </c>
    </row>
    <row r="61" spans="1:10" x14ac:dyDescent="0.25">
      <c r="A61" t="s">
        <v>107</v>
      </c>
      <c r="B61" t="str">
        <f>ADDRESS(ROW('Spec Leg'!B$14),COLUMN('Spec Leg'!B$14),4)</f>
        <v>B14</v>
      </c>
      <c r="C61" t="str">
        <f>ADDRESS(ROW('Spec Leg'!G$14),COLUMN('Spec Leg'!G$14),4)</f>
        <v>G14</v>
      </c>
      <c r="D61" s="18" t="b">
        <f>AND(ISBLANK('Spec Leg'!B14),(NOT(ISBLANK('Spec Leg'!B15))))</f>
        <v>0</v>
      </c>
      <c r="E61" t="s">
        <v>644</v>
      </c>
      <c r="F61" t="str">
        <f>INDEX(Lists!I:I,MATCH(Validation!E61,Lists!G:G,0))</f>
        <v>Error</v>
      </c>
      <c r="G61" t="str">
        <f>INDEX(Lists!H:H,MATCH(Validation!E61,Lists!G:G,0))</f>
        <v>Do not skip rows.</v>
      </c>
      <c r="H61" s="16" t="str">
        <f t="shared" ca="1" si="25"/>
        <v/>
      </c>
      <c r="I61" s="16" t="str">
        <f t="shared" ca="1" si="26"/>
        <v/>
      </c>
      <c r="J61" s="17" t="str">
        <f t="shared" si="27"/>
        <v/>
      </c>
    </row>
    <row r="62" spans="1:10" x14ac:dyDescent="0.25">
      <c r="A62" t="s">
        <v>107</v>
      </c>
      <c r="B62" t="str">
        <f>ADDRESS(ROW('Spec Leg'!B$15),COLUMN('Spec Leg'!B$15),4)</f>
        <v>B15</v>
      </c>
      <c r="C62" t="str">
        <f>ADDRESS(ROW('Spec Leg'!G$15),COLUMN('Spec Leg'!G$15),4)</f>
        <v>G15</v>
      </c>
      <c r="D62" s="18" t="b">
        <f>AND(ISBLANK('Spec Leg'!B15),(NOT(ISBLANK('Spec Leg'!B16))))</f>
        <v>0</v>
      </c>
      <c r="E62" t="s">
        <v>644</v>
      </c>
      <c r="F62" t="str">
        <f>INDEX(Lists!I:I,MATCH(Validation!E62,Lists!G:G,0))</f>
        <v>Error</v>
      </c>
      <c r="G62" t="str">
        <f>INDEX(Lists!H:H,MATCH(Validation!E62,Lists!G:G,0))</f>
        <v>Do not skip rows.</v>
      </c>
      <c r="H62" s="16" t="str">
        <f t="shared" ca="1" si="25"/>
        <v/>
      </c>
      <c r="I62" s="16" t="str">
        <f t="shared" ca="1" si="26"/>
        <v/>
      </c>
      <c r="J62" s="17" t="str">
        <f t="shared" si="27"/>
        <v/>
      </c>
    </row>
    <row r="63" spans="1:10" x14ac:dyDescent="0.25">
      <c r="A63" t="s">
        <v>107</v>
      </c>
      <c r="B63" t="str">
        <f>ADDRESS(ROW('Spec Leg'!B$16),COLUMN('Spec Leg'!B$16),4)</f>
        <v>B16</v>
      </c>
      <c r="C63" t="str">
        <f>ADDRESS(ROW('Spec Leg'!G$16),COLUMN('Spec Leg'!G$16),4)</f>
        <v>G16</v>
      </c>
      <c r="D63" s="18" t="b">
        <f>AND(ISBLANK('Spec Leg'!B16),(NOT(ISBLANK('Spec Leg'!B17))))</f>
        <v>0</v>
      </c>
      <c r="E63" t="s">
        <v>644</v>
      </c>
      <c r="F63" t="str">
        <f>INDEX(Lists!I:I,MATCH(Validation!E63,Lists!G:G,0))</f>
        <v>Error</v>
      </c>
      <c r="G63" t="str">
        <f>INDEX(Lists!H:H,MATCH(Validation!E63,Lists!G:G,0))</f>
        <v>Do not skip rows.</v>
      </c>
      <c r="H63" s="16" t="str">
        <f t="shared" ca="1" si="25"/>
        <v/>
      </c>
      <c r="I63" s="16" t="str">
        <f t="shared" ca="1" si="26"/>
        <v/>
      </c>
      <c r="J63" s="17" t="str">
        <f t="shared" si="27"/>
        <v/>
      </c>
    </row>
    <row r="64" spans="1:10" x14ac:dyDescent="0.25">
      <c r="A64" t="s">
        <v>107</v>
      </c>
      <c r="B64" t="str">
        <f>ADDRESS(ROW('Spec Leg'!B$17),COLUMN('Spec Leg'!B$17),4)</f>
        <v>B17</v>
      </c>
      <c r="C64" t="str">
        <f>ADDRESS(ROW('Spec Leg'!G$17),COLUMN('Spec Leg'!G$17),4)</f>
        <v>G17</v>
      </c>
      <c r="D64" s="18" t="b">
        <f>AND(ISBLANK('Spec Leg'!B17),(NOT(ISBLANK('Spec Leg'!B18))))</f>
        <v>0</v>
      </c>
      <c r="E64" t="s">
        <v>644</v>
      </c>
      <c r="F64" t="str">
        <f>INDEX(Lists!I:I,MATCH(Validation!E64,Lists!G:G,0))</f>
        <v>Error</v>
      </c>
      <c r="G64" t="str">
        <f>INDEX(Lists!H:H,MATCH(Validation!E64,Lists!G:G,0))</f>
        <v>Do not skip rows.</v>
      </c>
      <c r="H64" s="16" t="str">
        <f t="shared" ca="1" si="25"/>
        <v/>
      </c>
      <c r="I64" s="16" t="str">
        <f t="shared" ca="1" si="26"/>
        <v/>
      </c>
      <c r="J64" s="17" t="str">
        <f t="shared" si="27"/>
        <v/>
      </c>
    </row>
    <row r="65" spans="1:10" x14ac:dyDescent="0.25">
      <c r="A65" t="s">
        <v>107</v>
      </c>
      <c r="B65" t="str">
        <f>ADDRESS(ROW('Spec Leg'!B$8),COLUMN('Spec Leg'!B$8),4)</f>
        <v>B8</v>
      </c>
      <c r="C65" t="str">
        <f>ADDRESS(ROW('Spec Leg'!G$8),COLUMN('Spec Leg'!G$8),4)</f>
        <v>G8</v>
      </c>
      <c r="D65" s="18" t="b">
        <f>IF(ISBLANK('Spec Leg'!B8),FALSE,IF(AND(LEN('Spec Leg'!B8)=4,ISNUMBER('Spec Leg'!B8)),FALSE,TRUE))</f>
        <v>0</v>
      </c>
      <c r="E65" t="s">
        <v>56</v>
      </c>
      <c r="F65" t="str">
        <f>INDEX(Lists!I:I,MATCH(Validation!E65,Lists!G:G,0))</f>
        <v>Error</v>
      </c>
      <c r="G65" t="str">
        <f>INDEX(Lists!H:H,MATCH(Validation!E65,Lists!G:G,0))</f>
        <v>Year must have format YYYY.</v>
      </c>
      <c r="H65" s="16" t="str">
        <f ca="1">IFERROR(IF(OR(NOT(D65),F65&lt;&gt;"Error"),"",A65&amp;CELL("address",INDIRECT(B65))),"")</f>
        <v/>
      </c>
      <c r="I65" s="16" t="str">
        <f ca="1">IFERROR(IF(NOT(D65),"",A65&amp;CELL("address",INDIRECT(C65))),"")</f>
        <v/>
      </c>
      <c r="J65" s="17" t="str">
        <f>IFERROR(IF(NOT(D65),"",A65),"")</f>
        <v/>
      </c>
    </row>
    <row r="66" spans="1:10" x14ac:dyDescent="0.25">
      <c r="A66" t="s">
        <v>107</v>
      </c>
      <c r="B66" t="str">
        <f>ADDRESS(ROW('Spec Leg'!B$9),COLUMN('Spec Leg'!B$9),4)</f>
        <v>B9</v>
      </c>
      <c r="C66" t="str">
        <f>ADDRESS(ROW('Spec Leg'!G$9),COLUMN('Spec Leg'!G$9),4)</f>
        <v>G9</v>
      </c>
      <c r="D66" s="18" t="b">
        <f>IF(ISBLANK('Spec Leg'!B9),FALSE,IF(AND(LEN('Spec Leg'!B9)=4,ISNUMBER('Spec Leg'!B9)),FALSE,TRUE))</f>
        <v>0</v>
      </c>
      <c r="E66" t="s">
        <v>56</v>
      </c>
      <c r="F66" t="str">
        <f>INDEX(Lists!I:I,MATCH(Validation!E66,Lists!G:G,0))</f>
        <v>Error</v>
      </c>
      <c r="G66" t="str">
        <f>INDEX(Lists!H:H,MATCH(Validation!E66,Lists!G:G,0))</f>
        <v>Year must have format YYYY.</v>
      </c>
      <c r="H66" s="16" t="str">
        <f t="shared" ref="H66:H74" ca="1" si="28">IFERROR(IF(OR(NOT(D66),F66&lt;&gt;"Error"),"",A66&amp;CELL("address",INDIRECT(B66))),"")</f>
        <v/>
      </c>
      <c r="I66" s="16" t="str">
        <f t="shared" ref="I66:I74" ca="1" si="29">IFERROR(IF(NOT(D66),"",A66&amp;CELL("address",INDIRECT(C66))),"")</f>
        <v/>
      </c>
      <c r="J66" s="17" t="str">
        <f t="shared" ref="J66:J74" si="30">IFERROR(IF(NOT(D66),"",A66),"")</f>
        <v/>
      </c>
    </row>
    <row r="67" spans="1:10" x14ac:dyDescent="0.25">
      <c r="A67" t="s">
        <v>107</v>
      </c>
      <c r="B67" t="str">
        <f>ADDRESS(ROW('Spec Leg'!B$10),COLUMN('Spec Leg'!B$10),4)</f>
        <v>B10</v>
      </c>
      <c r="C67" t="str">
        <f>ADDRESS(ROW('Spec Leg'!G$10),COLUMN('Spec Leg'!G$10),4)</f>
        <v>G10</v>
      </c>
      <c r="D67" s="18" t="b">
        <f>IF(ISBLANK('Spec Leg'!B10),FALSE,IF(AND(LEN('Spec Leg'!B10)=4,ISNUMBER('Spec Leg'!B10)),FALSE,TRUE))</f>
        <v>0</v>
      </c>
      <c r="E67" t="s">
        <v>56</v>
      </c>
      <c r="F67" t="str">
        <f>INDEX(Lists!I:I,MATCH(Validation!E67,Lists!G:G,0))</f>
        <v>Error</v>
      </c>
      <c r="G67" t="str">
        <f>INDEX(Lists!H:H,MATCH(Validation!E67,Lists!G:G,0))</f>
        <v>Year must have format YYYY.</v>
      </c>
      <c r="H67" s="16" t="str">
        <f t="shared" ca="1" si="28"/>
        <v/>
      </c>
      <c r="I67" s="16" t="str">
        <f t="shared" ca="1" si="29"/>
        <v/>
      </c>
      <c r="J67" s="17" t="str">
        <f t="shared" si="30"/>
        <v/>
      </c>
    </row>
    <row r="68" spans="1:10" x14ac:dyDescent="0.25">
      <c r="A68" t="s">
        <v>107</v>
      </c>
      <c r="B68" t="str">
        <f>ADDRESS(ROW('Spec Leg'!B$11),COLUMN('Spec Leg'!B$11),4)</f>
        <v>B11</v>
      </c>
      <c r="C68" t="str">
        <f>ADDRESS(ROW('Spec Leg'!G$11),COLUMN('Spec Leg'!G$11),4)</f>
        <v>G11</v>
      </c>
      <c r="D68" s="18" t="b">
        <f>IF(ISBLANK('Spec Leg'!B11),FALSE,IF(AND(LEN('Spec Leg'!B11)=4,ISNUMBER('Spec Leg'!B11)),FALSE,TRUE))</f>
        <v>0</v>
      </c>
      <c r="E68" t="s">
        <v>56</v>
      </c>
      <c r="F68" t="str">
        <f>INDEX(Lists!I:I,MATCH(Validation!E68,Lists!G:G,0))</f>
        <v>Error</v>
      </c>
      <c r="G68" t="str">
        <f>INDEX(Lists!H:H,MATCH(Validation!E68,Lists!G:G,0))</f>
        <v>Year must have format YYYY.</v>
      </c>
      <c r="H68" s="16" t="str">
        <f t="shared" ca="1" si="28"/>
        <v/>
      </c>
      <c r="I68" s="16" t="str">
        <f t="shared" ca="1" si="29"/>
        <v/>
      </c>
      <c r="J68" s="17" t="str">
        <f t="shared" si="30"/>
        <v/>
      </c>
    </row>
    <row r="69" spans="1:10" x14ac:dyDescent="0.25">
      <c r="A69" t="s">
        <v>107</v>
      </c>
      <c r="B69" t="str">
        <f>ADDRESS(ROW('Spec Leg'!B$12),COLUMN('Spec Leg'!B$12),4)</f>
        <v>B12</v>
      </c>
      <c r="C69" t="str">
        <f>ADDRESS(ROW('Spec Leg'!G$12),COLUMN('Spec Leg'!G$12),4)</f>
        <v>G12</v>
      </c>
      <c r="D69" s="18" t="b">
        <f>IF(ISBLANK('Spec Leg'!B12),FALSE,IF(AND(LEN('Spec Leg'!B12)=4,ISNUMBER('Spec Leg'!B12)),FALSE,TRUE))</f>
        <v>0</v>
      </c>
      <c r="E69" t="s">
        <v>56</v>
      </c>
      <c r="F69" t="str">
        <f>INDEX(Lists!I:I,MATCH(Validation!E69,Lists!G:G,0))</f>
        <v>Error</v>
      </c>
      <c r="G69" t="str">
        <f>INDEX(Lists!H:H,MATCH(Validation!E69,Lists!G:G,0))</f>
        <v>Year must have format YYYY.</v>
      </c>
      <c r="H69" s="16" t="str">
        <f t="shared" ca="1" si="28"/>
        <v/>
      </c>
      <c r="I69" s="16" t="str">
        <f t="shared" ca="1" si="29"/>
        <v/>
      </c>
      <c r="J69" s="17" t="str">
        <f t="shared" si="30"/>
        <v/>
      </c>
    </row>
    <row r="70" spans="1:10" x14ac:dyDescent="0.25">
      <c r="A70" t="s">
        <v>107</v>
      </c>
      <c r="B70" t="str">
        <f>ADDRESS(ROW('Spec Leg'!B$13),COLUMN('Spec Leg'!B$13),4)</f>
        <v>B13</v>
      </c>
      <c r="C70" t="str">
        <f>ADDRESS(ROW('Spec Leg'!G$13),COLUMN('Spec Leg'!G$13),4)</f>
        <v>G13</v>
      </c>
      <c r="D70" s="18" t="b">
        <f>IF(ISBLANK('Spec Leg'!B13),FALSE,IF(AND(LEN('Spec Leg'!B13)=4,ISNUMBER('Spec Leg'!B13)),FALSE,TRUE))</f>
        <v>0</v>
      </c>
      <c r="E70" t="s">
        <v>56</v>
      </c>
      <c r="F70" t="str">
        <f>INDEX(Lists!I:I,MATCH(Validation!E70,Lists!G:G,0))</f>
        <v>Error</v>
      </c>
      <c r="G70" t="str">
        <f>INDEX(Lists!H:H,MATCH(Validation!E70,Lists!G:G,0))</f>
        <v>Year must have format YYYY.</v>
      </c>
      <c r="H70" s="16" t="str">
        <f t="shared" ca="1" si="28"/>
        <v/>
      </c>
      <c r="I70" s="16" t="str">
        <f t="shared" ca="1" si="29"/>
        <v/>
      </c>
      <c r="J70" s="17" t="str">
        <f t="shared" si="30"/>
        <v/>
      </c>
    </row>
    <row r="71" spans="1:10" x14ac:dyDescent="0.25">
      <c r="A71" t="s">
        <v>107</v>
      </c>
      <c r="B71" t="str">
        <f>ADDRESS(ROW('Spec Leg'!B$14),COLUMN('Spec Leg'!B$14),4)</f>
        <v>B14</v>
      </c>
      <c r="C71" t="str">
        <f>ADDRESS(ROW('Spec Leg'!G$14),COLUMN('Spec Leg'!G$14),4)</f>
        <v>G14</v>
      </c>
      <c r="D71" s="18" t="b">
        <f>IF(ISBLANK('Spec Leg'!B14),FALSE,IF(AND(LEN('Spec Leg'!B14)=4,ISNUMBER('Spec Leg'!B14)),FALSE,TRUE))</f>
        <v>0</v>
      </c>
      <c r="E71" t="s">
        <v>56</v>
      </c>
      <c r="F71" t="str">
        <f>INDEX(Lists!I:I,MATCH(Validation!E71,Lists!G:G,0))</f>
        <v>Error</v>
      </c>
      <c r="G71" t="str">
        <f>INDEX(Lists!H:H,MATCH(Validation!E71,Lists!G:G,0))</f>
        <v>Year must have format YYYY.</v>
      </c>
      <c r="H71" s="16" t="str">
        <f t="shared" ca="1" si="28"/>
        <v/>
      </c>
      <c r="I71" s="16" t="str">
        <f t="shared" ca="1" si="29"/>
        <v/>
      </c>
      <c r="J71" s="17" t="str">
        <f t="shared" si="30"/>
        <v/>
      </c>
    </row>
    <row r="72" spans="1:10" x14ac:dyDescent="0.25">
      <c r="A72" t="s">
        <v>107</v>
      </c>
      <c r="B72" t="str">
        <f>ADDRESS(ROW('Spec Leg'!B$15),COLUMN('Spec Leg'!B$15),4)</f>
        <v>B15</v>
      </c>
      <c r="C72" t="str">
        <f>ADDRESS(ROW('Spec Leg'!G$15),COLUMN('Spec Leg'!G$15),4)</f>
        <v>G15</v>
      </c>
      <c r="D72" s="18" t="b">
        <f>IF(ISBLANK('Spec Leg'!B15),FALSE,IF(AND(LEN('Spec Leg'!B15)=4,ISNUMBER('Spec Leg'!B15)),FALSE,TRUE))</f>
        <v>0</v>
      </c>
      <c r="E72" t="s">
        <v>56</v>
      </c>
      <c r="F72" t="str">
        <f>INDEX(Lists!I:I,MATCH(Validation!E72,Lists!G:G,0))</f>
        <v>Error</v>
      </c>
      <c r="G72" t="str">
        <f>INDEX(Lists!H:H,MATCH(Validation!E72,Lists!G:G,0))</f>
        <v>Year must have format YYYY.</v>
      </c>
      <c r="H72" s="16" t="str">
        <f t="shared" ca="1" si="28"/>
        <v/>
      </c>
      <c r="I72" s="16" t="str">
        <f t="shared" ca="1" si="29"/>
        <v/>
      </c>
      <c r="J72" s="17" t="str">
        <f t="shared" si="30"/>
        <v/>
      </c>
    </row>
    <row r="73" spans="1:10" x14ac:dyDescent="0.25">
      <c r="A73" t="s">
        <v>107</v>
      </c>
      <c r="B73" t="str">
        <f>ADDRESS(ROW('Spec Leg'!B$16),COLUMN('Spec Leg'!B$16),4)</f>
        <v>B16</v>
      </c>
      <c r="C73" t="str">
        <f>ADDRESS(ROW('Spec Leg'!G$16),COLUMN('Spec Leg'!G$16),4)</f>
        <v>G16</v>
      </c>
      <c r="D73" s="18" t="b">
        <f>IF(ISBLANK('Spec Leg'!B16),FALSE,IF(AND(LEN('Spec Leg'!B16)=4,ISNUMBER('Spec Leg'!B16)),FALSE,TRUE))</f>
        <v>0</v>
      </c>
      <c r="E73" t="s">
        <v>56</v>
      </c>
      <c r="F73" t="str">
        <f>INDEX(Lists!I:I,MATCH(Validation!E73,Lists!G:G,0))</f>
        <v>Error</v>
      </c>
      <c r="G73" t="str">
        <f>INDEX(Lists!H:H,MATCH(Validation!E73,Lists!G:G,0))</f>
        <v>Year must have format YYYY.</v>
      </c>
      <c r="H73" s="16" t="str">
        <f t="shared" ca="1" si="28"/>
        <v/>
      </c>
      <c r="I73" s="16" t="str">
        <f t="shared" ca="1" si="29"/>
        <v/>
      </c>
      <c r="J73" s="17" t="str">
        <f t="shared" si="30"/>
        <v/>
      </c>
    </row>
    <row r="74" spans="1:10" x14ac:dyDescent="0.25">
      <c r="A74" t="s">
        <v>107</v>
      </c>
      <c r="B74" t="str">
        <f>ADDRESS(ROW('Spec Leg'!B$17),COLUMN('Spec Leg'!B$17),4)</f>
        <v>B17</v>
      </c>
      <c r="C74" t="str">
        <f>ADDRESS(ROW('Spec Leg'!G$17),COLUMN('Spec Leg'!G$17),4)</f>
        <v>G17</v>
      </c>
      <c r="D74" s="18" t="b">
        <f>IF(ISBLANK('Spec Leg'!B17),FALSE,IF(AND(LEN('Spec Leg'!B17)=4,ISNUMBER('Spec Leg'!B17)),FALSE,TRUE))</f>
        <v>0</v>
      </c>
      <c r="E74" t="s">
        <v>56</v>
      </c>
      <c r="F74" t="str">
        <f>INDEX(Lists!I:I,MATCH(Validation!E74,Lists!G:G,0))</f>
        <v>Error</v>
      </c>
      <c r="G74" t="str">
        <f>INDEX(Lists!H:H,MATCH(Validation!E74,Lists!G:G,0))</f>
        <v>Year must have format YYYY.</v>
      </c>
      <c r="H74" s="16" t="str">
        <f t="shared" ca="1" si="28"/>
        <v/>
      </c>
      <c r="I74" s="16" t="str">
        <f t="shared" ca="1" si="29"/>
        <v/>
      </c>
      <c r="J74" s="17" t="str">
        <f t="shared" si="30"/>
        <v/>
      </c>
    </row>
    <row r="75" spans="1:10" x14ac:dyDescent="0.25">
      <c r="A75" t="s">
        <v>107</v>
      </c>
      <c r="B75" t="str">
        <f>ADDRESS(ROW('Spec Leg'!B$8),COLUMN('Spec Leg'!B$8),4)</f>
        <v>B8</v>
      </c>
      <c r="C75" t="str">
        <f>ADDRESS(ROW('Spec Leg'!G$8),COLUMN('Spec Leg'!G$8),4)</f>
        <v>G8</v>
      </c>
      <c r="D75" t="b">
        <f>AND('Spec Leg'!B8&lt;1980,NOT('Spec Leg'!B8=""))</f>
        <v>0</v>
      </c>
      <c r="E75" t="s">
        <v>38</v>
      </c>
      <c r="F75" t="str">
        <f>INDEX(Lists!I:I,MATCH(Validation!E75,Lists!G:G,0))</f>
        <v>Error</v>
      </c>
      <c r="G75" t="str">
        <f>INDEX(Lists!H:H,MATCH(Validation!E75,Lists!G:G,0))</f>
        <v>Special sessions must be 1980 or later.</v>
      </c>
      <c r="H75" s="16" t="str">
        <f t="shared" ref="H75:H87" ca="1" si="31">IFERROR(IF(OR(NOT(D75),F75&lt;&gt;"Error"),"",A75&amp;CELL("address",INDIRECT(B75))),"")</f>
        <v/>
      </c>
      <c r="I75" s="16" t="str">
        <f t="shared" ref="I75:I87" ca="1" si="32">IFERROR(IF(NOT(D75),"",A75&amp;CELL("address",INDIRECT(C75))),"")</f>
        <v/>
      </c>
      <c r="J75" s="17" t="str">
        <f t="shared" ref="J75:J87" si="33">IFERROR(IF(NOT(D75),"",A75),"")</f>
        <v/>
      </c>
    </row>
    <row r="76" spans="1:10" x14ac:dyDescent="0.25">
      <c r="A76" t="s">
        <v>107</v>
      </c>
      <c r="B76" t="str">
        <f>ADDRESS(ROW('Spec Leg'!B$9),COLUMN('Spec Leg'!B$9),4)</f>
        <v>B9</v>
      </c>
      <c r="C76" t="str">
        <f>ADDRESS(ROW('Spec Leg'!G$9),COLUMN('Spec Leg'!G$9),4)</f>
        <v>G9</v>
      </c>
      <c r="D76" t="b">
        <f>AND('Spec Leg'!B9&lt;1980,NOT('Spec Leg'!B9=""))</f>
        <v>0</v>
      </c>
      <c r="E76" t="s">
        <v>38</v>
      </c>
      <c r="F76" t="str">
        <f>INDEX(Lists!I:I,MATCH(Validation!E76,Lists!G:G,0))</f>
        <v>Error</v>
      </c>
      <c r="G76" t="str">
        <f>INDEX(Lists!H:H,MATCH(Validation!E76,Lists!G:G,0))</f>
        <v>Special sessions must be 1980 or later.</v>
      </c>
      <c r="H76" s="16" t="str">
        <f t="shared" ca="1" si="31"/>
        <v/>
      </c>
      <c r="I76" s="16" t="str">
        <f t="shared" ca="1" si="32"/>
        <v/>
      </c>
      <c r="J76" s="17" t="str">
        <f t="shared" si="33"/>
        <v/>
      </c>
    </row>
    <row r="77" spans="1:10" x14ac:dyDescent="0.25">
      <c r="A77" t="s">
        <v>107</v>
      </c>
      <c r="B77" t="str">
        <f>ADDRESS(ROW('Spec Leg'!B$10),COLUMN('Spec Leg'!B$10),4)</f>
        <v>B10</v>
      </c>
      <c r="C77" t="str">
        <f>ADDRESS(ROW('Spec Leg'!G$10),COLUMN('Spec Leg'!G$10),4)</f>
        <v>G10</v>
      </c>
      <c r="D77" t="b">
        <f>AND('Spec Leg'!B10&lt;1980,NOT('Spec Leg'!B10=""))</f>
        <v>0</v>
      </c>
      <c r="E77" t="s">
        <v>38</v>
      </c>
      <c r="F77" t="str">
        <f>INDEX(Lists!I:I,MATCH(Validation!E77,Lists!G:G,0))</f>
        <v>Error</v>
      </c>
      <c r="G77" t="str">
        <f>INDEX(Lists!H:H,MATCH(Validation!E77,Lists!G:G,0))</f>
        <v>Special sessions must be 1980 or later.</v>
      </c>
      <c r="H77" s="16" t="str">
        <f t="shared" ca="1" si="31"/>
        <v/>
      </c>
      <c r="I77" s="16" t="str">
        <f t="shared" ca="1" si="32"/>
        <v/>
      </c>
      <c r="J77" s="17" t="str">
        <f t="shared" si="33"/>
        <v/>
      </c>
    </row>
    <row r="78" spans="1:10" x14ac:dyDescent="0.25">
      <c r="A78" t="s">
        <v>107</v>
      </c>
      <c r="B78" t="str">
        <f>ADDRESS(ROW('Spec Leg'!B$11),COLUMN('Spec Leg'!B$11),4)</f>
        <v>B11</v>
      </c>
      <c r="C78" t="str">
        <f>ADDRESS(ROW('Spec Leg'!G$11),COLUMN('Spec Leg'!G$11),4)</f>
        <v>G11</v>
      </c>
      <c r="D78" t="b">
        <f>AND('Spec Leg'!B11&lt;1980,NOT('Spec Leg'!B11=""))</f>
        <v>0</v>
      </c>
      <c r="E78" t="s">
        <v>38</v>
      </c>
      <c r="F78" t="str">
        <f>INDEX(Lists!I:I,MATCH(Validation!E78,Lists!G:G,0))</f>
        <v>Error</v>
      </c>
      <c r="G78" t="str">
        <f>INDEX(Lists!H:H,MATCH(Validation!E78,Lists!G:G,0))</f>
        <v>Special sessions must be 1980 or later.</v>
      </c>
      <c r="H78" s="16" t="str">
        <f t="shared" ca="1" si="31"/>
        <v/>
      </c>
      <c r="I78" s="16" t="str">
        <f t="shared" ca="1" si="32"/>
        <v/>
      </c>
      <c r="J78" s="17" t="str">
        <f t="shared" si="33"/>
        <v/>
      </c>
    </row>
    <row r="79" spans="1:10" x14ac:dyDescent="0.25">
      <c r="A79" t="s">
        <v>107</v>
      </c>
      <c r="B79" t="str">
        <f>ADDRESS(ROW('Spec Leg'!B$12),COLUMN('Spec Leg'!B$12),4)</f>
        <v>B12</v>
      </c>
      <c r="C79" t="str">
        <f>ADDRESS(ROW('Spec Leg'!G$12),COLUMN('Spec Leg'!G$12),4)</f>
        <v>G12</v>
      </c>
      <c r="D79" t="b">
        <f>AND('Spec Leg'!B12&lt;1980,NOT('Spec Leg'!B12=""))</f>
        <v>0</v>
      </c>
      <c r="E79" t="s">
        <v>38</v>
      </c>
      <c r="F79" t="str">
        <f>INDEX(Lists!I:I,MATCH(Validation!E79,Lists!G:G,0))</f>
        <v>Error</v>
      </c>
      <c r="G79" t="str">
        <f>INDEX(Lists!H:H,MATCH(Validation!E79,Lists!G:G,0))</f>
        <v>Special sessions must be 1980 or later.</v>
      </c>
      <c r="H79" s="16" t="str">
        <f t="shared" ca="1" si="31"/>
        <v/>
      </c>
      <c r="I79" s="16" t="str">
        <f t="shared" ca="1" si="32"/>
        <v/>
      </c>
      <c r="J79" s="17" t="str">
        <f t="shared" si="33"/>
        <v/>
      </c>
    </row>
    <row r="80" spans="1:10" x14ac:dyDescent="0.25">
      <c r="A80" t="s">
        <v>107</v>
      </c>
      <c r="B80" t="str">
        <f>ADDRESS(ROW('Spec Leg'!B$13),COLUMN('Spec Leg'!B$13),4)</f>
        <v>B13</v>
      </c>
      <c r="C80" t="str">
        <f>ADDRESS(ROW('Spec Leg'!G$13),COLUMN('Spec Leg'!G$13),4)</f>
        <v>G13</v>
      </c>
      <c r="D80" t="b">
        <f>AND('Spec Leg'!B13&lt;1980,NOT('Spec Leg'!B13=""))</f>
        <v>0</v>
      </c>
      <c r="E80" t="s">
        <v>38</v>
      </c>
      <c r="F80" t="str">
        <f>INDEX(Lists!I:I,MATCH(Validation!E80,Lists!G:G,0))</f>
        <v>Error</v>
      </c>
      <c r="G80" t="str">
        <f>INDEX(Lists!H:H,MATCH(Validation!E80,Lists!G:G,0))</f>
        <v>Special sessions must be 1980 or later.</v>
      </c>
      <c r="H80" s="16" t="str">
        <f t="shared" ca="1" si="31"/>
        <v/>
      </c>
      <c r="I80" s="16" t="str">
        <f t="shared" ca="1" si="32"/>
        <v/>
      </c>
      <c r="J80" s="17" t="str">
        <f t="shared" si="33"/>
        <v/>
      </c>
    </row>
    <row r="81" spans="1:10" x14ac:dyDescent="0.25">
      <c r="A81" t="s">
        <v>107</v>
      </c>
      <c r="B81" t="str">
        <f>ADDRESS(ROW('Spec Leg'!B$14),COLUMN('Spec Leg'!B$14),4)</f>
        <v>B14</v>
      </c>
      <c r="C81" t="str">
        <f>ADDRESS(ROW('Spec Leg'!G$14),COLUMN('Spec Leg'!G$14),4)</f>
        <v>G14</v>
      </c>
      <c r="D81" t="b">
        <f>AND('Spec Leg'!B14&lt;1980,NOT('Spec Leg'!B14=""))</f>
        <v>0</v>
      </c>
      <c r="E81" t="s">
        <v>38</v>
      </c>
      <c r="F81" t="str">
        <f>INDEX(Lists!I:I,MATCH(Validation!E81,Lists!G:G,0))</f>
        <v>Error</v>
      </c>
      <c r="G81" t="str">
        <f>INDEX(Lists!H:H,MATCH(Validation!E81,Lists!G:G,0))</f>
        <v>Special sessions must be 1980 or later.</v>
      </c>
      <c r="H81" s="16" t="str">
        <f t="shared" ca="1" si="31"/>
        <v/>
      </c>
      <c r="I81" s="16" t="str">
        <f t="shared" ca="1" si="32"/>
        <v/>
      </c>
      <c r="J81" s="17" t="str">
        <f t="shared" si="33"/>
        <v/>
      </c>
    </row>
    <row r="82" spans="1:10" x14ac:dyDescent="0.25">
      <c r="A82" t="s">
        <v>107</v>
      </c>
      <c r="B82" t="str">
        <f>ADDRESS(ROW('Spec Leg'!B$15),COLUMN('Spec Leg'!B$15),4)</f>
        <v>B15</v>
      </c>
      <c r="C82" t="str">
        <f>ADDRESS(ROW('Spec Leg'!G$15),COLUMN('Spec Leg'!G$15),4)</f>
        <v>G15</v>
      </c>
      <c r="D82" t="b">
        <f>AND('Spec Leg'!B15&lt;1980,NOT('Spec Leg'!B15=""))</f>
        <v>0</v>
      </c>
      <c r="E82" t="s">
        <v>38</v>
      </c>
      <c r="F82" t="str">
        <f>INDEX(Lists!I:I,MATCH(Validation!E82,Lists!G:G,0))</f>
        <v>Error</v>
      </c>
      <c r="G82" t="str">
        <f>INDEX(Lists!H:H,MATCH(Validation!E82,Lists!G:G,0))</f>
        <v>Special sessions must be 1980 or later.</v>
      </c>
      <c r="H82" s="16" t="str">
        <f t="shared" ca="1" si="31"/>
        <v/>
      </c>
      <c r="I82" s="16" t="str">
        <f t="shared" ca="1" si="32"/>
        <v/>
      </c>
      <c r="J82" s="17" t="str">
        <f t="shared" si="33"/>
        <v/>
      </c>
    </row>
    <row r="83" spans="1:10" x14ac:dyDescent="0.25">
      <c r="A83" t="s">
        <v>107</v>
      </c>
      <c r="B83" t="str">
        <f>ADDRESS(ROW('Spec Leg'!B$16),COLUMN('Spec Leg'!B$16),4)</f>
        <v>B16</v>
      </c>
      <c r="C83" t="str">
        <f>ADDRESS(ROW('Spec Leg'!G$16),COLUMN('Spec Leg'!G$16),4)</f>
        <v>G16</v>
      </c>
      <c r="D83" t="b">
        <f>AND('Spec Leg'!B16&lt;1980,NOT('Spec Leg'!B16=""))</f>
        <v>0</v>
      </c>
      <c r="E83" t="s">
        <v>38</v>
      </c>
      <c r="F83" t="str">
        <f>INDEX(Lists!I:I,MATCH(Validation!E83,Lists!G:G,0))</f>
        <v>Error</v>
      </c>
      <c r="G83" t="str">
        <f>INDEX(Lists!H:H,MATCH(Validation!E83,Lists!G:G,0))</f>
        <v>Special sessions must be 1980 or later.</v>
      </c>
      <c r="H83" s="16" t="str">
        <f t="shared" ca="1" si="31"/>
        <v/>
      </c>
      <c r="I83" s="16" t="str">
        <f t="shared" ca="1" si="32"/>
        <v/>
      </c>
      <c r="J83" s="17" t="str">
        <f t="shared" si="33"/>
        <v/>
      </c>
    </row>
    <row r="84" spans="1:10" x14ac:dyDescent="0.25">
      <c r="A84" t="s">
        <v>107</v>
      </c>
      <c r="B84" t="str">
        <f>ADDRESS(ROW('Spec Leg'!B$17),COLUMN('Spec Leg'!B$17),4)</f>
        <v>B17</v>
      </c>
      <c r="C84" t="str">
        <f>ADDRESS(ROW('Spec Leg'!G$17),COLUMN('Spec Leg'!G$17),4)</f>
        <v>G17</v>
      </c>
      <c r="D84" t="b">
        <f>AND('Spec Leg'!B17&lt;1980,NOT('Spec Leg'!B17=""))</f>
        <v>0</v>
      </c>
      <c r="E84" t="s">
        <v>38</v>
      </c>
      <c r="F84" t="str">
        <f>INDEX(Lists!I:I,MATCH(Validation!E84,Lists!G:G,0))</f>
        <v>Error</v>
      </c>
      <c r="G84" t="str">
        <f>INDEX(Lists!H:H,MATCH(Validation!E84,Lists!G:G,0))</f>
        <v>Special sessions must be 1980 or later.</v>
      </c>
      <c r="H84" s="16" t="str">
        <f t="shared" ca="1" si="31"/>
        <v/>
      </c>
      <c r="I84" s="16" t="str">
        <f t="shared" ca="1" si="32"/>
        <v/>
      </c>
      <c r="J84" s="17" t="str">
        <f t="shared" si="33"/>
        <v/>
      </c>
    </row>
    <row r="85" spans="1:10" x14ac:dyDescent="0.25">
      <c r="A85" t="s">
        <v>107</v>
      </c>
      <c r="B85" t="str">
        <f>ADDRESS(ROW('Spec Leg'!B$8),COLUMN('Spec Leg'!B$8),4)</f>
        <v>B8</v>
      </c>
      <c r="C85" t="str">
        <f>ADDRESS(ROW('Spec Leg'!G$8),COLUMN('Spec Leg'!G$8),4)</f>
        <v>G8</v>
      </c>
      <c r="D85" s="18" t="b">
        <f>'Spec Leg'!B8&gt;Year_DestinationYearID</f>
        <v>0</v>
      </c>
      <c r="E85" t="s">
        <v>48</v>
      </c>
      <c r="F85" t="str">
        <f>INDEX(Lists!I:I,MATCH(Validation!E85,Lists!G:G,0))</f>
        <v>Error</v>
      </c>
      <c r="G85" t="str">
        <f>INDEX(Lists!H:H,MATCH(Validation!E85,Lists!G:G,0))</f>
        <v>Special sessions must be 2024 or earlier.</v>
      </c>
      <c r="H85" s="16" t="str">
        <f t="shared" ca="1" si="31"/>
        <v/>
      </c>
      <c r="I85" s="16" t="str">
        <f t="shared" ca="1" si="32"/>
        <v/>
      </c>
      <c r="J85" s="17" t="str">
        <f t="shared" si="33"/>
        <v/>
      </c>
    </row>
    <row r="86" spans="1:10" x14ac:dyDescent="0.25">
      <c r="A86" t="s">
        <v>107</v>
      </c>
      <c r="B86" t="str">
        <f>ADDRESS(ROW('Spec Leg'!B$9),COLUMN('Spec Leg'!B$9),4)</f>
        <v>B9</v>
      </c>
      <c r="C86" t="str">
        <f>ADDRESS(ROW('Spec Leg'!G$9),COLUMN('Spec Leg'!G$9),4)</f>
        <v>G9</v>
      </c>
      <c r="D86" s="18" t="b">
        <f>'Spec Leg'!B9&gt;Year_DestinationYearID</f>
        <v>0</v>
      </c>
      <c r="E86" t="s">
        <v>48</v>
      </c>
      <c r="F86" t="str">
        <f>INDEX(Lists!I:I,MATCH(Validation!E86,Lists!G:G,0))</f>
        <v>Error</v>
      </c>
      <c r="G86" t="str">
        <f>INDEX(Lists!H:H,MATCH(Validation!E86,Lists!G:G,0))</f>
        <v>Special sessions must be 2024 or earlier.</v>
      </c>
      <c r="H86" s="16" t="str">
        <f t="shared" ca="1" si="31"/>
        <v/>
      </c>
      <c r="I86" s="16" t="str">
        <f t="shared" ca="1" si="32"/>
        <v/>
      </c>
      <c r="J86" s="17" t="str">
        <f t="shared" si="33"/>
        <v/>
      </c>
    </row>
    <row r="87" spans="1:10" x14ac:dyDescent="0.25">
      <c r="A87" t="s">
        <v>107</v>
      </c>
      <c r="B87" t="str">
        <f>ADDRESS(ROW('Spec Leg'!B$10),COLUMN('Spec Leg'!B$10),4)</f>
        <v>B10</v>
      </c>
      <c r="C87" t="str">
        <f>ADDRESS(ROW('Spec Leg'!G$10),COLUMN('Spec Leg'!G$10),4)</f>
        <v>G10</v>
      </c>
      <c r="D87" s="18" t="b">
        <f>'Spec Leg'!B10&gt;Year_DestinationYearID</f>
        <v>0</v>
      </c>
      <c r="E87" t="s">
        <v>48</v>
      </c>
      <c r="F87" t="str">
        <f>INDEX(Lists!I:I,MATCH(Validation!E87,Lists!G:G,0))</f>
        <v>Error</v>
      </c>
      <c r="G87" t="str">
        <f>INDEX(Lists!H:H,MATCH(Validation!E87,Lists!G:G,0))</f>
        <v>Special sessions must be 2024 or earlier.</v>
      </c>
      <c r="H87" s="16" t="str">
        <f t="shared" ca="1" si="31"/>
        <v/>
      </c>
      <c r="I87" s="16" t="str">
        <f t="shared" ca="1" si="32"/>
        <v/>
      </c>
      <c r="J87" s="17" t="str">
        <f t="shared" si="33"/>
        <v/>
      </c>
    </row>
    <row r="88" spans="1:10" x14ac:dyDescent="0.25">
      <c r="A88" t="s">
        <v>107</v>
      </c>
      <c r="B88" t="str">
        <f>ADDRESS(ROW('Spec Leg'!B$11),COLUMN('Spec Leg'!B$11),4)</f>
        <v>B11</v>
      </c>
      <c r="C88" t="str">
        <f>ADDRESS(ROW('Spec Leg'!G$11),COLUMN('Spec Leg'!G$11),4)</f>
        <v>G11</v>
      </c>
      <c r="D88" s="18" t="b">
        <f>'Spec Leg'!B11&gt;Year_DestinationYearID</f>
        <v>0</v>
      </c>
      <c r="E88" t="s">
        <v>48</v>
      </c>
      <c r="F88" t="str">
        <f>INDEX(Lists!I:I,MATCH(Validation!E88,Lists!G:G,0))</f>
        <v>Error</v>
      </c>
      <c r="G88" t="str">
        <f>INDEX(Lists!H:H,MATCH(Validation!E88,Lists!G:G,0))</f>
        <v>Special sessions must be 2024 or earlier.</v>
      </c>
      <c r="H88" s="16" t="str">
        <f t="shared" ref="H88:H146" ca="1" si="34">IFERROR(IF(OR(NOT(D88),F88&lt;&gt;"Error"),"",A88&amp;CELL("address",INDIRECT(B88))),"")</f>
        <v/>
      </c>
      <c r="I88" s="16" t="str">
        <f t="shared" ref="I88:I146" ca="1" si="35">IFERROR(IF(NOT(D88),"",A88&amp;CELL("address",INDIRECT(C88))),"")</f>
        <v/>
      </c>
      <c r="J88" s="17" t="str">
        <f t="shared" ref="J88:J146" si="36">IFERROR(IF(NOT(D88),"",A88),"")</f>
        <v/>
      </c>
    </row>
    <row r="89" spans="1:10" x14ac:dyDescent="0.25">
      <c r="A89" t="s">
        <v>107</v>
      </c>
      <c r="B89" t="str">
        <f>ADDRESS(ROW('Spec Leg'!B$12),COLUMN('Spec Leg'!B$12),4)</f>
        <v>B12</v>
      </c>
      <c r="C89" t="str">
        <f>ADDRESS(ROW('Spec Leg'!G$12),COLUMN('Spec Leg'!G$12),4)</f>
        <v>G12</v>
      </c>
      <c r="D89" s="18" t="b">
        <f>'Spec Leg'!B12&gt;Year_DestinationYearID</f>
        <v>0</v>
      </c>
      <c r="E89" t="s">
        <v>48</v>
      </c>
      <c r="F89" t="str">
        <f>INDEX(Lists!I:I,MATCH(Validation!E89,Lists!G:G,0))</f>
        <v>Error</v>
      </c>
      <c r="G89" t="str">
        <f>INDEX(Lists!H:H,MATCH(Validation!E89,Lists!G:G,0))</f>
        <v>Special sessions must be 2024 or earlier.</v>
      </c>
      <c r="H89" s="16" t="str">
        <f t="shared" ca="1" si="34"/>
        <v/>
      </c>
      <c r="I89" s="16" t="str">
        <f t="shared" ca="1" si="35"/>
        <v/>
      </c>
      <c r="J89" s="17" t="str">
        <f t="shared" si="36"/>
        <v/>
      </c>
    </row>
    <row r="90" spans="1:10" x14ac:dyDescent="0.25">
      <c r="A90" t="s">
        <v>107</v>
      </c>
      <c r="B90" t="str">
        <f>ADDRESS(ROW('Spec Leg'!B$13),COLUMN('Spec Leg'!B$13),4)</f>
        <v>B13</v>
      </c>
      <c r="C90" t="str">
        <f>ADDRESS(ROW('Spec Leg'!G$13),COLUMN('Spec Leg'!G$13),4)</f>
        <v>G13</v>
      </c>
      <c r="D90" s="18" t="b">
        <f>'Spec Leg'!B13&gt;Year_DestinationYearID</f>
        <v>0</v>
      </c>
      <c r="E90" t="s">
        <v>48</v>
      </c>
      <c r="F90" t="str">
        <f>INDEX(Lists!I:I,MATCH(Validation!E90,Lists!G:G,0))</f>
        <v>Error</v>
      </c>
      <c r="G90" t="str">
        <f>INDEX(Lists!H:H,MATCH(Validation!E90,Lists!G:G,0))</f>
        <v>Special sessions must be 2024 or earlier.</v>
      </c>
      <c r="H90" s="16" t="str">
        <f t="shared" ca="1" si="34"/>
        <v/>
      </c>
      <c r="I90" s="16" t="str">
        <f t="shared" ca="1" si="35"/>
        <v/>
      </c>
      <c r="J90" s="17" t="str">
        <f t="shared" si="36"/>
        <v/>
      </c>
    </row>
    <row r="91" spans="1:10" x14ac:dyDescent="0.25">
      <c r="A91" t="s">
        <v>107</v>
      </c>
      <c r="B91" t="str">
        <f>ADDRESS(ROW('Spec Leg'!B$14),COLUMN('Spec Leg'!B$14),4)</f>
        <v>B14</v>
      </c>
      <c r="C91" t="str">
        <f>ADDRESS(ROW('Spec Leg'!G$14),COLUMN('Spec Leg'!G$14),4)</f>
        <v>G14</v>
      </c>
      <c r="D91" s="18" t="b">
        <f>'Spec Leg'!B14&gt;Year_DestinationYearID</f>
        <v>0</v>
      </c>
      <c r="E91" t="s">
        <v>48</v>
      </c>
      <c r="F91" t="str">
        <f>INDEX(Lists!I:I,MATCH(Validation!E91,Lists!G:G,0))</f>
        <v>Error</v>
      </c>
      <c r="G91" t="str">
        <f>INDEX(Lists!H:H,MATCH(Validation!E91,Lists!G:G,0))</f>
        <v>Special sessions must be 2024 or earlier.</v>
      </c>
      <c r="H91" s="16" t="str">
        <f t="shared" ca="1" si="34"/>
        <v/>
      </c>
      <c r="I91" s="16" t="str">
        <f t="shared" ca="1" si="35"/>
        <v/>
      </c>
      <c r="J91" s="17" t="str">
        <f t="shared" si="36"/>
        <v/>
      </c>
    </row>
    <row r="92" spans="1:10" x14ac:dyDescent="0.25">
      <c r="A92" t="s">
        <v>107</v>
      </c>
      <c r="B92" t="str">
        <f>ADDRESS(ROW('Spec Leg'!B$15),COLUMN('Spec Leg'!B$15),4)</f>
        <v>B15</v>
      </c>
      <c r="C92" t="str">
        <f>ADDRESS(ROW('Spec Leg'!G$15),COLUMN('Spec Leg'!G$15),4)</f>
        <v>G15</v>
      </c>
      <c r="D92" s="18" t="b">
        <f>'Spec Leg'!B15&gt;Year_DestinationYearID</f>
        <v>0</v>
      </c>
      <c r="E92" t="s">
        <v>48</v>
      </c>
      <c r="F92" t="str">
        <f>INDEX(Lists!I:I,MATCH(Validation!E92,Lists!G:G,0))</f>
        <v>Error</v>
      </c>
      <c r="G92" t="str">
        <f>INDEX(Lists!H:H,MATCH(Validation!E92,Lists!G:G,0))</f>
        <v>Special sessions must be 2024 or earlier.</v>
      </c>
      <c r="H92" s="16" t="str">
        <f t="shared" ca="1" si="34"/>
        <v/>
      </c>
      <c r="I92" s="16" t="str">
        <f t="shared" ca="1" si="35"/>
        <v/>
      </c>
      <c r="J92" s="17" t="str">
        <f t="shared" si="36"/>
        <v/>
      </c>
    </row>
    <row r="93" spans="1:10" x14ac:dyDescent="0.25">
      <c r="A93" t="s">
        <v>107</v>
      </c>
      <c r="B93" t="str">
        <f>ADDRESS(ROW('Spec Leg'!B$16),COLUMN('Spec Leg'!B$16),4)</f>
        <v>B16</v>
      </c>
      <c r="C93" t="str">
        <f>ADDRESS(ROW('Spec Leg'!G$16),COLUMN('Spec Leg'!G$16),4)</f>
        <v>G16</v>
      </c>
      <c r="D93" s="18" t="b">
        <f>'Spec Leg'!B16&gt;Year_DestinationYearID</f>
        <v>0</v>
      </c>
      <c r="E93" t="s">
        <v>48</v>
      </c>
      <c r="F93" t="str">
        <f>INDEX(Lists!I:I,MATCH(Validation!E93,Lists!G:G,0))</f>
        <v>Error</v>
      </c>
      <c r="G93" t="str">
        <f>INDEX(Lists!H:H,MATCH(Validation!E93,Lists!G:G,0))</f>
        <v>Special sessions must be 2024 or earlier.</v>
      </c>
      <c r="H93" s="16" t="str">
        <f t="shared" ca="1" si="34"/>
        <v/>
      </c>
      <c r="I93" s="16" t="str">
        <f t="shared" ca="1" si="35"/>
        <v/>
      </c>
      <c r="J93" s="17" t="str">
        <f t="shared" si="36"/>
        <v/>
      </c>
    </row>
    <row r="94" spans="1:10" x14ac:dyDescent="0.25">
      <c r="A94" t="s">
        <v>107</v>
      </c>
      <c r="B94" t="str">
        <f>ADDRESS(ROW('Spec Leg'!B$17),COLUMN('Spec Leg'!B$17),4)</f>
        <v>B17</v>
      </c>
      <c r="C94" t="str">
        <f>ADDRESS(ROW('Spec Leg'!G$17),COLUMN('Spec Leg'!G$17),4)</f>
        <v>G17</v>
      </c>
      <c r="D94" s="18" t="b">
        <f>'Spec Leg'!B17&gt;Year_DestinationYearID</f>
        <v>0</v>
      </c>
      <c r="E94" t="s">
        <v>48</v>
      </c>
      <c r="F94" t="str">
        <f>INDEX(Lists!I:I,MATCH(Validation!E94,Lists!G:G,0))</f>
        <v>Error</v>
      </c>
      <c r="G94" t="str">
        <f>INDEX(Lists!H:H,MATCH(Validation!E94,Lists!G:G,0))</f>
        <v>Special sessions must be 2024 or earlier.</v>
      </c>
      <c r="H94" s="16" t="str">
        <f t="shared" ca="1" si="34"/>
        <v/>
      </c>
      <c r="I94" s="16" t="str">
        <f t="shared" ca="1" si="35"/>
        <v/>
      </c>
      <c r="J94" s="17" t="str">
        <f t="shared" si="36"/>
        <v/>
      </c>
    </row>
    <row r="95" spans="1:10" x14ac:dyDescent="0.25">
      <c r="A95" t="s">
        <v>107</v>
      </c>
      <c r="B95" t="str">
        <f>ADDRESS(ROW('Spec Leg'!C$8),COLUMN('Spec Leg'!C$8),4)</f>
        <v>C8</v>
      </c>
      <c r="C95" t="str">
        <f>ADDRESS(ROW('Spec Leg'!G$8),COLUMN('Spec Leg'!G$8),4)</f>
        <v>G8</v>
      </c>
      <c r="D95" s="18" t="b" cm="1">
        <f t="array" ref="D95">AND(NOT(OR('Spec Leg'!C8=SessionLabel)),NOT(ISBLANK('Spec Leg'!C8)))</f>
        <v>0</v>
      </c>
      <c r="E95" t="s">
        <v>64</v>
      </c>
      <c r="F95" t="str">
        <f>INDEX(Lists!I:I,MATCH(Validation!E95,Lists!G:G,0))</f>
        <v>Error</v>
      </c>
      <c r="G95" t="str">
        <f>INDEX(Lists!H:H,MATCH(Validation!E95,Lists!G:G,0))</f>
        <v>You must make a selection from the dropdown list.</v>
      </c>
      <c r="H95" s="16" t="str">
        <f t="shared" ca="1" si="34"/>
        <v/>
      </c>
      <c r="I95" s="16" t="str">
        <f t="shared" ca="1" si="35"/>
        <v/>
      </c>
      <c r="J95" s="17" t="str">
        <f t="shared" si="36"/>
        <v/>
      </c>
    </row>
    <row r="96" spans="1:10" x14ac:dyDescent="0.25">
      <c r="A96" t="s">
        <v>107</v>
      </c>
      <c r="B96" t="str">
        <f>ADDRESS(ROW('Spec Leg'!C$9),COLUMN('Spec Leg'!C$9),4)</f>
        <v>C9</v>
      </c>
      <c r="C96" t="str">
        <f>ADDRESS(ROW('Spec Leg'!G$9),COLUMN('Spec Leg'!G$9),4)</f>
        <v>G9</v>
      </c>
      <c r="D96" s="18" t="b" cm="1">
        <f t="array" ref="D96">AND(NOT(OR('Spec Leg'!C9=SessionLabel)),NOT(ISBLANK('Spec Leg'!C9)))</f>
        <v>0</v>
      </c>
      <c r="E96" t="s">
        <v>64</v>
      </c>
      <c r="F96" t="str">
        <f>INDEX(Lists!I:I,MATCH(Validation!E96,Lists!G:G,0))</f>
        <v>Error</v>
      </c>
      <c r="G96" t="str">
        <f>INDEX(Lists!H:H,MATCH(Validation!E96,Lists!G:G,0))</f>
        <v>You must make a selection from the dropdown list.</v>
      </c>
      <c r="H96" s="16" t="str">
        <f t="shared" ca="1" si="34"/>
        <v/>
      </c>
      <c r="I96" s="16" t="str">
        <f t="shared" ca="1" si="35"/>
        <v/>
      </c>
      <c r="J96" s="17" t="str">
        <f t="shared" si="36"/>
        <v/>
      </c>
    </row>
    <row r="97" spans="1:10" x14ac:dyDescent="0.25">
      <c r="A97" t="s">
        <v>107</v>
      </c>
      <c r="B97" t="str">
        <f>ADDRESS(ROW('Spec Leg'!C$10),COLUMN('Spec Leg'!C$10),4)</f>
        <v>C10</v>
      </c>
      <c r="C97" t="str">
        <f>ADDRESS(ROW('Spec Leg'!G$10),COLUMN('Spec Leg'!G$10),4)</f>
        <v>G10</v>
      </c>
      <c r="D97" s="18" t="b" cm="1">
        <f t="array" ref="D97">AND(NOT(OR('Spec Leg'!C10=SessionLabel)),NOT(ISBLANK('Spec Leg'!C10)))</f>
        <v>0</v>
      </c>
      <c r="E97" t="s">
        <v>64</v>
      </c>
      <c r="F97" t="str">
        <f>INDEX(Lists!I:I,MATCH(Validation!E97,Lists!G:G,0))</f>
        <v>Error</v>
      </c>
      <c r="G97" t="str">
        <f>INDEX(Lists!H:H,MATCH(Validation!E97,Lists!G:G,0))</f>
        <v>You must make a selection from the dropdown list.</v>
      </c>
      <c r="H97" s="16" t="str">
        <f t="shared" ca="1" si="34"/>
        <v/>
      </c>
      <c r="I97" s="16" t="str">
        <f t="shared" ca="1" si="35"/>
        <v/>
      </c>
      <c r="J97" s="17" t="str">
        <f t="shared" si="36"/>
        <v/>
      </c>
    </row>
    <row r="98" spans="1:10" x14ac:dyDescent="0.25">
      <c r="A98" t="s">
        <v>107</v>
      </c>
      <c r="B98" t="str">
        <f>ADDRESS(ROW('Spec Leg'!C$11),COLUMN('Spec Leg'!C$11),4)</f>
        <v>C11</v>
      </c>
      <c r="C98" t="str">
        <f>ADDRESS(ROW('Spec Leg'!G$11),COLUMN('Spec Leg'!G$11),4)</f>
        <v>G11</v>
      </c>
      <c r="D98" s="18" t="b" cm="1">
        <f t="array" ref="D98">AND(NOT(OR('Spec Leg'!C11=SessionLabel)),NOT(ISBLANK('Spec Leg'!C11)))</f>
        <v>0</v>
      </c>
      <c r="E98" t="s">
        <v>64</v>
      </c>
      <c r="F98" t="str">
        <f>INDEX(Lists!I:I,MATCH(Validation!E98,Lists!G:G,0))</f>
        <v>Error</v>
      </c>
      <c r="G98" t="str">
        <f>INDEX(Lists!H:H,MATCH(Validation!E98,Lists!G:G,0))</f>
        <v>You must make a selection from the dropdown list.</v>
      </c>
      <c r="H98" s="16" t="str">
        <f t="shared" ca="1" si="34"/>
        <v/>
      </c>
      <c r="I98" s="16" t="str">
        <f t="shared" ca="1" si="35"/>
        <v/>
      </c>
      <c r="J98" s="17" t="str">
        <f t="shared" si="36"/>
        <v/>
      </c>
    </row>
    <row r="99" spans="1:10" x14ac:dyDescent="0.25">
      <c r="A99" t="s">
        <v>107</v>
      </c>
      <c r="B99" t="str">
        <f>ADDRESS(ROW('Spec Leg'!C$12),COLUMN('Spec Leg'!C$12),4)</f>
        <v>C12</v>
      </c>
      <c r="C99" t="str">
        <f>ADDRESS(ROW('Spec Leg'!G$12),COLUMN('Spec Leg'!G$12),4)</f>
        <v>G12</v>
      </c>
      <c r="D99" s="18" t="b" cm="1">
        <f t="array" ref="D99">AND(NOT(OR('Spec Leg'!C12=SessionLabel)),NOT(ISBLANK('Spec Leg'!C12)))</f>
        <v>0</v>
      </c>
      <c r="E99" t="s">
        <v>64</v>
      </c>
      <c r="F99" t="str">
        <f>INDEX(Lists!I:I,MATCH(Validation!E99,Lists!G:G,0))</f>
        <v>Error</v>
      </c>
      <c r="G99" t="str">
        <f>INDEX(Lists!H:H,MATCH(Validation!E99,Lists!G:G,0))</f>
        <v>You must make a selection from the dropdown list.</v>
      </c>
      <c r="H99" s="16" t="str">
        <f t="shared" ca="1" si="34"/>
        <v/>
      </c>
      <c r="I99" s="16" t="str">
        <f t="shared" ca="1" si="35"/>
        <v/>
      </c>
      <c r="J99" s="17" t="str">
        <f t="shared" si="36"/>
        <v/>
      </c>
    </row>
    <row r="100" spans="1:10" x14ac:dyDescent="0.25">
      <c r="A100" t="s">
        <v>107</v>
      </c>
      <c r="B100" t="str">
        <f>ADDRESS(ROW('Spec Leg'!C$13),COLUMN('Spec Leg'!C$13),4)</f>
        <v>C13</v>
      </c>
      <c r="C100" t="str">
        <f>ADDRESS(ROW('Spec Leg'!G$13),COLUMN('Spec Leg'!G$13),4)</f>
        <v>G13</v>
      </c>
      <c r="D100" s="18" t="b" cm="1">
        <f t="array" ref="D100">AND(NOT(OR('Spec Leg'!C13=SessionLabel)),NOT(ISBLANK('Spec Leg'!C13)))</f>
        <v>0</v>
      </c>
      <c r="E100" t="s">
        <v>64</v>
      </c>
      <c r="F100" t="str">
        <f>INDEX(Lists!I:I,MATCH(Validation!E100,Lists!G:G,0))</f>
        <v>Error</v>
      </c>
      <c r="G100" t="str">
        <f>INDEX(Lists!H:H,MATCH(Validation!E100,Lists!G:G,0))</f>
        <v>You must make a selection from the dropdown list.</v>
      </c>
      <c r="H100" s="16" t="str">
        <f t="shared" ca="1" si="34"/>
        <v/>
      </c>
      <c r="I100" s="16" t="str">
        <f t="shared" ca="1" si="35"/>
        <v/>
      </c>
      <c r="J100" s="17" t="str">
        <f t="shared" si="36"/>
        <v/>
      </c>
    </row>
    <row r="101" spans="1:10" x14ac:dyDescent="0.25">
      <c r="A101" t="s">
        <v>107</v>
      </c>
      <c r="B101" t="str">
        <f>ADDRESS(ROW('Spec Leg'!C$14),COLUMN('Spec Leg'!C$14),4)</f>
        <v>C14</v>
      </c>
      <c r="C101" t="str">
        <f>ADDRESS(ROW('Spec Leg'!G$14),COLUMN('Spec Leg'!G$14),4)</f>
        <v>G14</v>
      </c>
      <c r="D101" s="18" t="b" cm="1">
        <f t="array" ref="D101">AND(NOT(OR('Spec Leg'!C14=SessionLabel)),NOT(ISBLANK('Spec Leg'!C14)))</f>
        <v>0</v>
      </c>
      <c r="E101" t="s">
        <v>64</v>
      </c>
      <c r="F101" t="str">
        <f>INDEX(Lists!I:I,MATCH(Validation!E101,Lists!G:G,0))</f>
        <v>Error</v>
      </c>
      <c r="G101" t="str">
        <f>INDEX(Lists!H:H,MATCH(Validation!E101,Lists!G:G,0))</f>
        <v>You must make a selection from the dropdown list.</v>
      </c>
      <c r="H101" s="16" t="str">
        <f t="shared" ca="1" si="34"/>
        <v/>
      </c>
      <c r="I101" s="16" t="str">
        <f t="shared" ca="1" si="35"/>
        <v/>
      </c>
      <c r="J101" s="17" t="str">
        <f t="shared" si="36"/>
        <v/>
      </c>
    </row>
    <row r="102" spans="1:10" x14ac:dyDescent="0.25">
      <c r="A102" t="s">
        <v>107</v>
      </c>
      <c r="B102" t="str">
        <f>ADDRESS(ROW('Spec Leg'!C$15),COLUMN('Spec Leg'!C$15),4)</f>
        <v>C15</v>
      </c>
      <c r="C102" t="str">
        <f>ADDRESS(ROW('Spec Leg'!G$15),COLUMN('Spec Leg'!G$15),4)</f>
        <v>G15</v>
      </c>
      <c r="D102" s="18" t="b" cm="1">
        <f t="array" ref="D102">AND(NOT(OR('Spec Leg'!C15=SessionLabel)),NOT(ISBLANK('Spec Leg'!C15)))</f>
        <v>0</v>
      </c>
      <c r="E102" t="s">
        <v>64</v>
      </c>
      <c r="F102" t="str">
        <f>INDEX(Lists!I:I,MATCH(Validation!E102,Lists!G:G,0))</f>
        <v>Error</v>
      </c>
      <c r="G102" t="str">
        <f>INDEX(Lists!H:H,MATCH(Validation!E102,Lists!G:G,0))</f>
        <v>You must make a selection from the dropdown list.</v>
      </c>
      <c r="H102" s="16" t="str">
        <f t="shared" ca="1" si="34"/>
        <v/>
      </c>
      <c r="I102" s="16" t="str">
        <f t="shared" ca="1" si="35"/>
        <v/>
      </c>
      <c r="J102" s="17" t="str">
        <f t="shared" si="36"/>
        <v/>
      </c>
    </row>
    <row r="103" spans="1:10" x14ac:dyDescent="0.25">
      <c r="A103" t="s">
        <v>107</v>
      </c>
      <c r="B103" t="str">
        <f>ADDRESS(ROW('Spec Leg'!C$16),COLUMN('Spec Leg'!C$16),4)</f>
        <v>C16</v>
      </c>
      <c r="C103" t="str">
        <f>ADDRESS(ROW('Spec Leg'!G$16),COLUMN('Spec Leg'!G$16),4)</f>
        <v>G16</v>
      </c>
      <c r="D103" s="18" t="b" cm="1">
        <f t="array" ref="D103">AND(NOT(OR('Spec Leg'!C16=SessionLabel)),NOT(ISBLANK('Spec Leg'!C16)))</f>
        <v>0</v>
      </c>
      <c r="E103" t="s">
        <v>64</v>
      </c>
      <c r="F103" t="str">
        <f>INDEX(Lists!I:I,MATCH(Validation!E103,Lists!G:G,0))</f>
        <v>Error</v>
      </c>
      <c r="G103" t="str">
        <f>INDEX(Lists!H:H,MATCH(Validation!E103,Lists!G:G,0))</f>
        <v>You must make a selection from the dropdown list.</v>
      </c>
      <c r="H103" s="16" t="str">
        <f t="shared" ca="1" si="34"/>
        <v/>
      </c>
      <c r="I103" s="16" t="str">
        <f t="shared" ca="1" si="35"/>
        <v/>
      </c>
      <c r="J103" s="17" t="str">
        <f t="shared" si="36"/>
        <v/>
      </c>
    </row>
    <row r="104" spans="1:10" x14ac:dyDescent="0.25">
      <c r="A104" t="s">
        <v>107</v>
      </c>
      <c r="B104" t="str">
        <f>ADDRESS(ROW('Spec Leg'!C$17),COLUMN('Spec Leg'!C$17),4)</f>
        <v>C17</v>
      </c>
      <c r="C104" t="str">
        <f>ADDRESS(ROW('Spec Leg'!G$17),COLUMN('Spec Leg'!G$17),4)</f>
        <v>G17</v>
      </c>
      <c r="D104" s="18" t="b" cm="1">
        <f t="array" ref="D104">AND(NOT(OR('Spec Leg'!C17=SessionLabel)),NOT(ISBLANK('Spec Leg'!C17)))</f>
        <v>0</v>
      </c>
      <c r="E104" t="s">
        <v>64</v>
      </c>
      <c r="F104" t="str">
        <f>INDEX(Lists!I:I,MATCH(Validation!E104,Lists!G:G,0))</f>
        <v>Error</v>
      </c>
      <c r="G104" t="str">
        <f>INDEX(Lists!H:H,MATCH(Validation!E104,Lists!G:G,0))</f>
        <v>You must make a selection from the dropdown list.</v>
      </c>
      <c r="H104" s="16" t="str">
        <f t="shared" ca="1" si="34"/>
        <v/>
      </c>
      <c r="I104" s="16" t="str">
        <f t="shared" ca="1" si="35"/>
        <v/>
      </c>
      <c r="J104" s="17" t="str">
        <f t="shared" si="36"/>
        <v/>
      </c>
    </row>
    <row r="105" spans="1:10" x14ac:dyDescent="0.25">
      <c r="A105" t="s">
        <v>107</v>
      </c>
      <c r="B105" t="str">
        <f>ADDRESS(ROW('Spec Leg'!D$8),COLUMN('Spec Leg'!D$8),4)</f>
        <v>D8</v>
      </c>
      <c r="C105" t="str">
        <f>ADDRESS(ROW('Spec Leg'!G$8),COLUMN('Spec Leg'!G$8),4)</f>
        <v>G8</v>
      </c>
      <c r="D105" t="b" cm="1">
        <f t="array" aca="1" ref="D105" ca="1">IF(INDIRECT("'"&amp;A105&amp;"'!"&amp;B105)="",FALSE,IF(NOT(ISNUMBER(INDIRECT("'"&amp;A105&amp;"'!"&amp;B105))),TRUE,FALSE))</f>
        <v>0</v>
      </c>
      <c r="E105" t="s">
        <v>649</v>
      </c>
      <c r="F105" t="str">
        <f>INDEX(Lists!I:I,MATCH(Validation!E105,Lists!G:G,0))</f>
        <v>Error</v>
      </c>
      <c r="G105" t="str">
        <f>INDEX(Lists!H:H,MATCH(Validation!E105,Lists!G:G,0))</f>
        <v>Enter chapter, article, and section references as numbers only. (Enter 0 if no article.)</v>
      </c>
      <c r="H105" s="16" t="str">
        <f t="shared" ref="H105:H114" ca="1" si="37">IFERROR(IF(OR(NOT(D105),F105&lt;&gt;"Error"),"",A105&amp;CELL("address",INDIRECT(B105))),"")</f>
        <v/>
      </c>
      <c r="I105" s="16" t="str">
        <f t="shared" ref="I105:I114" ca="1" si="38">IFERROR(IF(NOT(D105),"",A105&amp;CELL("address",INDIRECT(C105))),"")</f>
        <v/>
      </c>
      <c r="J105" s="17" t="str">
        <f t="shared" ref="J105:J114" ca="1" si="39">IFERROR(IF(NOT(D105),"",A105),"")</f>
        <v/>
      </c>
    </row>
    <row r="106" spans="1:10" x14ac:dyDescent="0.25">
      <c r="A106" t="s">
        <v>107</v>
      </c>
      <c r="B106" t="str">
        <f>ADDRESS(ROW('Spec Leg'!D$9),COLUMN('Spec Leg'!D$9),4)</f>
        <v>D9</v>
      </c>
      <c r="C106" t="str">
        <f>ADDRESS(ROW('Spec Leg'!G$9),COLUMN('Spec Leg'!G$9),4)</f>
        <v>G9</v>
      </c>
      <c r="D106" t="b" cm="1">
        <f t="array" aca="1" ref="D106" ca="1">IF(INDIRECT("'"&amp;A106&amp;"'!"&amp;B106)="",FALSE,IF(NOT(ISNUMBER(INDIRECT("'"&amp;A106&amp;"'!"&amp;B106))),TRUE,FALSE))</f>
        <v>0</v>
      </c>
      <c r="E106" t="s">
        <v>649</v>
      </c>
      <c r="F106" t="str">
        <f>INDEX(Lists!I:I,MATCH(Validation!E106,Lists!G:G,0))</f>
        <v>Error</v>
      </c>
      <c r="G106" t="str">
        <f>INDEX(Lists!H:H,MATCH(Validation!E106,Lists!G:G,0))</f>
        <v>Enter chapter, article, and section references as numbers only. (Enter 0 if no article.)</v>
      </c>
      <c r="H106" s="16" t="str">
        <f t="shared" ca="1" si="37"/>
        <v/>
      </c>
      <c r="I106" s="16" t="str">
        <f t="shared" ca="1" si="38"/>
        <v/>
      </c>
      <c r="J106" s="17" t="str">
        <f t="shared" ca="1" si="39"/>
        <v/>
      </c>
    </row>
    <row r="107" spans="1:10" x14ac:dyDescent="0.25">
      <c r="A107" t="s">
        <v>107</v>
      </c>
      <c r="B107" t="str">
        <f>ADDRESS(ROW('Spec Leg'!D$10),COLUMN('Spec Leg'!D$10),4)</f>
        <v>D10</v>
      </c>
      <c r="C107" t="str">
        <f>ADDRESS(ROW('Spec Leg'!G$10),COLUMN('Spec Leg'!G$10),4)</f>
        <v>G10</v>
      </c>
      <c r="D107" t="b" cm="1">
        <f t="array" aca="1" ref="D107" ca="1">IF(INDIRECT("'"&amp;A107&amp;"'!"&amp;B107)="",FALSE,IF(NOT(ISNUMBER(INDIRECT("'"&amp;A107&amp;"'!"&amp;B107))),TRUE,FALSE))</f>
        <v>0</v>
      </c>
      <c r="E107" t="s">
        <v>649</v>
      </c>
      <c r="F107" t="str">
        <f>INDEX(Lists!I:I,MATCH(Validation!E107,Lists!G:G,0))</f>
        <v>Error</v>
      </c>
      <c r="G107" t="str">
        <f>INDEX(Lists!H:H,MATCH(Validation!E107,Lists!G:G,0))</f>
        <v>Enter chapter, article, and section references as numbers only. (Enter 0 if no article.)</v>
      </c>
      <c r="H107" s="16" t="str">
        <f t="shared" ca="1" si="37"/>
        <v/>
      </c>
      <c r="I107" s="16" t="str">
        <f t="shared" ca="1" si="38"/>
        <v/>
      </c>
      <c r="J107" s="17" t="str">
        <f t="shared" ca="1" si="39"/>
        <v/>
      </c>
    </row>
    <row r="108" spans="1:10" x14ac:dyDescent="0.25">
      <c r="A108" t="s">
        <v>107</v>
      </c>
      <c r="B108" t="str">
        <f>ADDRESS(ROW('Spec Leg'!D$11),COLUMN('Spec Leg'!D$11),4)</f>
        <v>D11</v>
      </c>
      <c r="C108" t="str">
        <f>ADDRESS(ROW('Spec Leg'!G$11),COLUMN('Spec Leg'!G$11),4)</f>
        <v>G11</v>
      </c>
      <c r="D108" t="b" cm="1">
        <f t="array" aca="1" ref="D108" ca="1">IF(INDIRECT("'"&amp;A108&amp;"'!"&amp;B108)="",FALSE,IF(NOT(ISNUMBER(INDIRECT("'"&amp;A108&amp;"'!"&amp;B108))),TRUE,FALSE))</f>
        <v>0</v>
      </c>
      <c r="E108" t="s">
        <v>649</v>
      </c>
      <c r="F108" t="str">
        <f>INDEX(Lists!I:I,MATCH(Validation!E108,Lists!G:G,0))</f>
        <v>Error</v>
      </c>
      <c r="G108" t="str">
        <f>INDEX(Lists!H:H,MATCH(Validation!E108,Lists!G:G,0))</f>
        <v>Enter chapter, article, and section references as numbers only. (Enter 0 if no article.)</v>
      </c>
      <c r="H108" s="16" t="str">
        <f t="shared" ca="1" si="37"/>
        <v/>
      </c>
      <c r="I108" s="16" t="str">
        <f t="shared" ca="1" si="38"/>
        <v/>
      </c>
      <c r="J108" s="17" t="str">
        <f t="shared" ca="1" si="39"/>
        <v/>
      </c>
    </row>
    <row r="109" spans="1:10" x14ac:dyDescent="0.25">
      <c r="A109" t="s">
        <v>107</v>
      </c>
      <c r="B109" t="str">
        <f>ADDRESS(ROW('Spec Leg'!D$12),COLUMN('Spec Leg'!D$12),4)</f>
        <v>D12</v>
      </c>
      <c r="C109" t="str">
        <f>ADDRESS(ROW('Spec Leg'!G$12),COLUMN('Spec Leg'!G$12),4)</f>
        <v>G12</v>
      </c>
      <c r="D109" t="b" cm="1">
        <f t="array" aca="1" ref="D109" ca="1">IF(INDIRECT("'"&amp;A109&amp;"'!"&amp;B109)="",FALSE,IF(NOT(ISNUMBER(INDIRECT("'"&amp;A109&amp;"'!"&amp;B109))),TRUE,FALSE))</f>
        <v>0</v>
      </c>
      <c r="E109" t="s">
        <v>649</v>
      </c>
      <c r="F109" t="str">
        <f>INDEX(Lists!I:I,MATCH(Validation!E109,Lists!G:G,0))</f>
        <v>Error</v>
      </c>
      <c r="G109" t="str">
        <f>INDEX(Lists!H:H,MATCH(Validation!E109,Lists!G:G,0))</f>
        <v>Enter chapter, article, and section references as numbers only. (Enter 0 if no article.)</v>
      </c>
      <c r="H109" s="16" t="str">
        <f t="shared" ca="1" si="37"/>
        <v/>
      </c>
      <c r="I109" s="16" t="str">
        <f t="shared" ca="1" si="38"/>
        <v/>
      </c>
      <c r="J109" s="17" t="str">
        <f t="shared" ca="1" si="39"/>
        <v/>
      </c>
    </row>
    <row r="110" spans="1:10" x14ac:dyDescent="0.25">
      <c r="A110" t="s">
        <v>107</v>
      </c>
      <c r="B110" t="str">
        <f>ADDRESS(ROW('Spec Leg'!D$13),COLUMN('Spec Leg'!D$13),4)</f>
        <v>D13</v>
      </c>
      <c r="C110" t="str">
        <f>ADDRESS(ROW('Spec Leg'!G$13),COLUMN('Spec Leg'!G$13),4)</f>
        <v>G13</v>
      </c>
      <c r="D110" t="b" cm="1">
        <f t="array" aca="1" ref="D110" ca="1">IF(INDIRECT("'"&amp;A110&amp;"'!"&amp;B110)="",FALSE,IF(NOT(ISNUMBER(INDIRECT("'"&amp;A110&amp;"'!"&amp;B110))),TRUE,FALSE))</f>
        <v>0</v>
      </c>
      <c r="E110" t="s">
        <v>649</v>
      </c>
      <c r="F110" t="str">
        <f>INDEX(Lists!I:I,MATCH(Validation!E110,Lists!G:G,0))</f>
        <v>Error</v>
      </c>
      <c r="G110" t="str">
        <f>INDEX(Lists!H:H,MATCH(Validation!E110,Lists!G:G,0))</f>
        <v>Enter chapter, article, and section references as numbers only. (Enter 0 if no article.)</v>
      </c>
      <c r="H110" s="16" t="str">
        <f t="shared" ca="1" si="37"/>
        <v/>
      </c>
      <c r="I110" s="16" t="str">
        <f t="shared" ca="1" si="38"/>
        <v/>
      </c>
      <c r="J110" s="17" t="str">
        <f t="shared" ca="1" si="39"/>
        <v/>
      </c>
    </row>
    <row r="111" spans="1:10" x14ac:dyDescent="0.25">
      <c r="A111" t="s">
        <v>107</v>
      </c>
      <c r="B111" t="str">
        <f>ADDRESS(ROW('Spec Leg'!D$14),COLUMN('Spec Leg'!D$14),4)</f>
        <v>D14</v>
      </c>
      <c r="C111" t="str">
        <f>ADDRESS(ROW('Spec Leg'!G$14),COLUMN('Spec Leg'!G$14),4)</f>
        <v>G14</v>
      </c>
      <c r="D111" t="b" cm="1">
        <f t="array" aca="1" ref="D111" ca="1">IF(INDIRECT("'"&amp;A111&amp;"'!"&amp;B111)="",FALSE,IF(NOT(ISNUMBER(INDIRECT("'"&amp;A111&amp;"'!"&amp;B111))),TRUE,FALSE))</f>
        <v>0</v>
      </c>
      <c r="E111" t="s">
        <v>649</v>
      </c>
      <c r="F111" t="str">
        <f>INDEX(Lists!I:I,MATCH(Validation!E111,Lists!G:G,0))</f>
        <v>Error</v>
      </c>
      <c r="G111" t="str">
        <f>INDEX(Lists!H:H,MATCH(Validation!E111,Lists!G:G,0))</f>
        <v>Enter chapter, article, and section references as numbers only. (Enter 0 if no article.)</v>
      </c>
      <c r="H111" s="16" t="str">
        <f t="shared" ca="1" si="37"/>
        <v/>
      </c>
      <c r="I111" s="16" t="str">
        <f t="shared" ca="1" si="38"/>
        <v/>
      </c>
      <c r="J111" s="17" t="str">
        <f t="shared" ca="1" si="39"/>
        <v/>
      </c>
    </row>
    <row r="112" spans="1:10" x14ac:dyDescent="0.25">
      <c r="A112" t="s">
        <v>107</v>
      </c>
      <c r="B112" t="str">
        <f>ADDRESS(ROW('Spec Leg'!D$15),COLUMN('Spec Leg'!D$15),4)</f>
        <v>D15</v>
      </c>
      <c r="C112" t="str">
        <f>ADDRESS(ROW('Spec Leg'!G$15),COLUMN('Spec Leg'!G$15),4)</f>
        <v>G15</v>
      </c>
      <c r="D112" t="b" cm="1">
        <f t="array" aca="1" ref="D112" ca="1">IF(INDIRECT("'"&amp;A112&amp;"'!"&amp;B112)="",FALSE,IF(NOT(ISNUMBER(INDIRECT("'"&amp;A112&amp;"'!"&amp;B112))),TRUE,FALSE))</f>
        <v>0</v>
      </c>
      <c r="E112" t="s">
        <v>649</v>
      </c>
      <c r="F112" t="str">
        <f>INDEX(Lists!I:I,MATCH(Validation!E112,Lists!G:G,0))</f>
        <v>Error</v>
      </c>
      <c r="G112" t="str">
        <f>INDEX(Lists!H:H,MATCH(Validation!E112,Lists!G:G,0))</f>
        <v>Enter chapter, article, and section references as numbers only. (Enter 0 if no article.)</v>
      </c>
      <c r="H112" s="16" t="str">
        <f t="shared" ca="1" si="37"/>
        <v/>
      </c>
      <c r="I112" s="16" t="str">
        <f t="shared" ca="1" si="38"/>
        <v/>
      </c>
      <c r="J112" s="17" t="str">
        <f t="shared" ca="1" si="39"/>
        <v/>
      </c>
    </row>
    <row r="113" spans="1:10" x14ac:dyDescent="0.25">
      <c r="A113" t="s">
        <v>107</v>
      </c>
      <c r="B113" t="str">
        <f>ADDRESS(ROW('Spec Leg'!D$16),COLUMN('Spec Leg'!D$16),4)</f>
        <v>D16</v>
      </c>
      <c r="C113" t="str">
        <f>ADDRESS(ROW('Spec Leg'!G$16),COLUMN('Spec Leg'!G$16),4)</f>
        <v>G16</v>
      </c>
      <c r="D113" t="b" cm="1">
        <f t="array" aca="1" ref="D113" ca="1">IF(INDIRECT("'"&amp;A113&amp;"'!"&amp;B113)="",FALSE,IF(NOT(ISNUMBER(INDIRECT("'"&amp;A113&amp;"'!"&amp;B113))),TRUE,FALSE))</f>
        <v>0</v>
      </c>
      <c r="E113" t="s">
        <v>649</v>
      </c>
      <c r="F113" t="str">
        <f>INDEX(Lists!I:I,MATCH(Validation!E113,Lists!G:G,0))</f>
        <v>Error</v>
      </c>
      <c r="G113" t="str">
        <f>INDEX(Lists!H:H,MATCH(Validation!E113,Lists!G:G,0))</f>
        <v>Enter chapter, article, and section references as numbers only. (Enter 0 if no article.)</v>
      </c>
      <c r="H113" s="16" t="str">
        <f t="shared" ca="1" si="37"/>
        <v/>
      </c>
      <c r="I113" s="16" t="str">
        <f t="shared" ca="1" si="38"/>
        <v/>
      </c>
      <c r="J113" s="17" t="str">
        <f t="shared" ca="1" si="39"/>
        <v/>
      </c>
    </row>
    <row r="114" spans="1:10" x14ac:dyDescent="0.25">
      <c r="A114" t="s">
        <v>107</v>
      </c>
      <c r="B114" t="str">
        <f>ADDRESS(ROW('Spec Leg'!D$17),COLUMN('Spec Leg'!D$17),4)</f>
        <v>D17</v>
      </c>
      <c r="C114" t="str">
        <f>ADDRESS(ROW('Spec Leg'!G$17),COLUMN('Spec Leg'!G$17),4)</f>
        <v>G17</v>
      </c>
      <c r="D114" t="b" cm="1">
        <f t="array" aca="1" ref="D114" ca="1">IF(INDIRECT("'"&amp;A114&amp;"'!"&amp;B114)="",FALSE,IF(NOT(ISNUMBER(INDIRECT("'"&amp;A114&amp;"'!"&amp;B114))),TRUE,FALSE))</f>
        <v>0</v>
      </c>
      <c r="E114" t="s">
        <v>649</v>
      </c>
      <c r="F114" t="str">
        <f>INDEX(Lists!I:I,MATCH(Validation!E114,Lists!G:G,0))</f>
        <v>Error</v>
      </c>
      <c r="G114" t="str">
        <f>INDEX(Lists!H:H,MATCH(Validation!E114,Lists!G:G,0))</f>
        <v>Enter chapter, article, and section references as numbers only. (Enter 0 if no article.)</v>
      </c>
      <c r="H114" s="16" t="str">
        <f t="shared" ca="1" si="37"/>
        <v/>
      </c>
      <c r="I114" s="16" t="str">
        <f t="shared" ca="1" si="38"/>
        <v/>
      </c>
      <c r="J114" s="17" t="str">
        <f t="shared" ca="1" si="39"/>
        <v/>
      </c>
    </row>
    <row r="115" spans="1:10" x14ac:dyDescent="0.25">
      <c r="A115" t="s">
        <v>107</v>
      </c>
      <c r="B115" t="str">
        <f>ADDRESS(ROW('Spec Leg'!E$8),COLUMN('Spec Leg'!E$8),4)</f>
        <v>E8</v>
      </c>
      <c r="C115" t="str">
        <f>ADDRESS(ROW('Spec Leg'!G$8),COLUMN('Spec Leg'!G$8),4)</f>
        <v>G8</v>
      </c>
      <c r="D115" t="b" cm="1">
        <f t="array" aca="1" ref="D115" ca="1">IF(INDIRECT("'"&amp;A115&amp;"'!"&amp;B115)="",FALSE,IF(NOT(ISNUMBER(INDIRECT("'"&amp;A115&amp;"'!"&amp;B115))),TRUE,FALSE))</f>
        <v>0</v>
      </c>
      <c r="E115" t="s">
        <v>649</v>
      </c>
      <c r="F115" t="str">
        <f>INDEX(Lists!I:I,MATCH(Validation!E115,Lists!G:G,0))</f>
        <v>Error</v>
      </c>
      <c r="G115" t="str">
        <f>INDEX(Lists!H:H,MATCH(Validation!E115,Lists!G:G,0))</f>
        <v>Enter chapter, article, and section references as numbers only. (Enter 0 if no article.)</v>
      </c>
      <c r="H115" s="16" t="str">
        <f t="shared" ca="1" si="34"/>
        <v/>
      </c>
      <c r="I115" s="16" t="str">
        <f t="shared" ca="1" si="35"/>
        <v/>
      </c>
      <c r="J115" s="17" t="str">
        <f t="shared" ca="1" si="36"/>
        <v/>
      </c>
    </row>
    <row r="116" spans="1:10" x14ac:dyDescent="0.25">
      <c r="A116" t="s">
        <v>107</v>
      </c>
      <c r="B116" t="str">
        <f>ADDRESS(ROW('Spec Leg'!E$9),COLUMN('Spec Leg'!E$9),4)</f>
        <v>E9</v>
      </c>
      <c r="C116" t="str">
        <f>ADDRESS(ROW('Spec Leg'!G$9),COLUMN('Spec Leg'!G$9),4)</f>
        <v>G9</v>
      </c>
      <c r="D116" t="b" cm="1">
        <f t="array" aca="1" ref="D116" ca="1">IF(INDIRECT("'"&amp;A116&amp;"'!"&amp;B116)="",FALSE,IF(NOT(ISNUMBER(INDIRECT("'"&amp;A116&amp;"'!"&amp;B116))),TRUE,FALSE))</f>
        <v>0</v>
      </c>
      <c r="E116" t="s">
        <v>649</v>
      </c>
      <c r="F116" t="str">
        <f>INDEX(Lists!I:I,MATCH(Validation!E116,Lists!G:G,0))</f>
        <v>Error</v>
      </c>
      <c r="G116" t="str">
        <f>INDEX(Lists!H:H,MATCH(Validation!E116,Lists!G:G,0))</f>
        <v>Enter chapter, article, and section references as numbers only. (Enter 0 if no article.)</v>
      </c>
      <c r="H116" s="16" t="str">
        <f t="shared" ca="1" si="34"/>
        <v/>
      </c>
      <c r="I116" s="16" t="str">
        <f t="shared" ca="1" si="35"/>
        <v/>
      </c>
      <c r="J116" s="17" t="str">
        <f t="shared" ca="1" si="36"/>
        <v/>
      </c>
    </row>
    <row r="117" spans="1:10" x14ac:dyDescent="0.25">
      <c r="A117" t="s">
        <v>107</v>
      </c>
      <c r="B117" t="str">
        <f>ADDRESS(ROW('Spec Leg'!E$10),COLUMN('Spec Leg'!E$10),4)</f>
        <v>E10</v>
      </c>
      <c r="C117" t="str">
        <f>ADDRESS(ROW('Spec Leg'!G$10),COLUMN('Spec Leg'!G$10),4)</f>
        <v>G10</v>
      </c>
      <c r="D117" t="b" cm="1">
        <f t="array" aca="1" ref="D117" ca="1">IF(INDIRECT("'"&amp;A117&amp;"'!"&amp;B117)="",FALSE,IF(NOT(ISNUMBER(INDIRECT("'"&amp;A117&amp;"'!"&amp;B117))),TRUE,FALSE))</f>
        <v>0</v>
      </c>
      <c r="E117" t="s">
        <v>649</v>
      </c>
      <c r="F117" t="str">
        <f>INDEX(Lists!I:I,MATCH(Validation!E117,Lists!G:G,0))</f>
        <v>Error</v>
      </c>
      <c r="G117" t="str">
        <f>INDEX(Lists!H:H,MATCH(Validation!E117,Lists!G:G,0))</f>
        <v>Enter chapter, article, and section references as numbers only. (Enter 0 if no article.)</v>
      </c>
      <c r="H117" s="16" t="str">
        <f t="shared" ca="1" si="34"/>
        <v/>
      </c>
      <c r="I117" s="16" t="str">
        <f t="shared" ca="1" si="35"/>
        <v/>
      </c>
      <c r="J117" s="17" t="str">
        <f t="shared" ca="1" si="36"/>
        <v/>
      </c>
    </row>
    <row r="118" spans="1:10" x14ac:dyDescent="0.25">
      <c r="A118" t="s">
        <v>107</v>
      </c>
      <c r="B118" t="str">
        <f>ADDRESS(ROW('Spec Leg'!E$11),COLUMN('Spec Leg'!E$11),4)</f>
        <v>E11</v>
      </c>
      <c r="C118" t="str">
        <f>ADDRESS(ROW('Spec Leg'!G$11),COLUMN('Spec Leg'!G$11),4)</f>
        <v>G11</v>
      </c>
      <c r="D118" t="b" cm="1">
        <f t="array" aca="1" ref="D118" ca="1">IF(INDIRECT("'"&amp;A118&amp;"'!"&amp;B118)="",FALSE,IF(NOT(ISNUMBER(INDIRECT("'"&amp;A118&amp;"'!"&amp;B118))),TRUE,FALSE))</f>
        <v>0</v>
      </c>
      <c r="E118" t="s">
        <v>649</v>
      </c>
      <c r="F118" t="str">
        <f>INDEX(Lists!I:I,MATCH(Validation!E118,Lists!G:G,0))</f>
        <v>Error</v>
      </c>
      <c r="G118" t="str">
        <f>INDEX(Lists!H:H,MATCH(Validation!E118,Lists!G:G,0))</f>
        <v>Enter chapter, article, and section references as numbers only. (Enter 0 if no article.)</v>
      </c>
      <c r="H118" s="16" t="str">
        <f t="shared" ca="1" si="34"/>
        <v/>
      </c>
      <c r="I118" s="16" t="str">
        <f t="shared" ca="1" si="35"/>
        <v/>
      </c>
      <c r="J118" s="17" t="str">
        <f t="shared" ca="1" si="36"/>
        <v/>
      </c>
    </row>
    <row r="119" spans="1:10" x14ac:dyDescent="0.25">
      <c r="A119" t="s">
        <v>107</v>
      </c>
      <c r="B119" t="str">
        <f>ADDRESS(ROW('Spec Leg'!E$12),COLUMN('Spec Leg'!E$12),4)</f>
        <v>E12</v>
      </c>
      <c r="C119" t="str">
        <f>ADDRESS(ROW('Spec Leg'!G$12),COLUMN('Spec Leg'!G$12),4)</f>
        <v>G12</v>
      </c>
      <c r="D119" t="b" cm="1">
        <f t="array" aca="1" ref="D119" ca="1">IF(INDIRECT("'"&amp;A119&amp;"'!"&amp;B119)="",FALSE,IF(NOT(ISNUMBER(INDIRECT("'"&amp;A119&amp;"'!"&amp;B119))),TRUE,FALSE))</f>
        <v>0</v>
      </c>
      <c r="E119" t="s">
        <v>649</v>
      </c>
      <c r="F119" t="str">
        <f>INDEX(Lists!I:I,MATCH(Validation!E119,Lists!G:G,0))</f>
        <v>Error</v>
      </c>
      <c r="G119" t="str">
        <f>INDEX(Lists!H:H,MATCH(Validation!E119,Lists!G:G,0))</f>
        <v>Enter chapter, article, and section references as numbers only. (Enter 0 if no article.)</v>
      </c>
      <c r="H119" s="16" t="str">
        <f t="shared" ca="1" si="34"/>
        <v/>
      </c>
      <c r="I119" s="16" t="str">
        <f t="shared" ca="1" si="35"/>
        <v/>
      </c>
      <c r="J119" s="17" t="str">
        <f t="shared" ca="1" si="36"/>
        <v/>
      </c>
    </row>
    <row r="120" spans="1:10" x14ac:dyDescent="0.25">
      <c r="A120" t="s">
        <v>107</v>
      </c>
      <c r="B120" t="str">
        <f>ADDRESS(ROW('Spec Leg'!E$13),COLUMN('Spec Leg'!E$13),4)</f>
        <v>E13</v>
      </c>
      <c r="C120" t="str">
        <f>ADDRESS(ROW('Spec Leg'!G$13),COLUMN('Spec Leg'!G$13),4)</f>
        <v>G13</v>
      </c>
      <c r="D120" t="b" cm="1">
        <f t="array" aca="1" ref="D120" ca="1">IF(INDIRECT("'"&amp;A120&amp;"'!"&amp;B120)="",FALSE,IF(NOT(ISNUMBER(INDIRECT("'"&amp;A120&amp;"'!"&amp;B120))),TRUE,FALSE))</f>
        <v>0</v>
      </c>
      <c r="E120" t="s">
        <v>649</v>
      </c>
      <c r="F120" t="str">
        <f>INDEX(Lists!I:I,MATCH(Validation!E120,Lists!G:G,0))</f>
        <v>Error</v>
      </c>
      <c r="G120" t="str">
        <f>INDEX(Lists!H:H,MATCH(Validation!E120,Lists!G:G,0))</f>
        <v>Enter chapter, article, and section references as numbers only. (Enter 0 if no article.)</v>
      </c>
      <c r="H120" s="16" t="str">
        <f t="shared" ca="1" si="34"/>
        <v/>
      </c>
      <c r="I120" s="16" t="str">
        <f t="shared" ca="1" si="35"/>
        <v/>
      </c>
      <c r="J120" s="17" t="str">
        <f t="shared" ca="1" si="36"/>
        <v/>
      </c>
    </row>
    <row r="121" spans="1:10" x14ac:dyDescent="0.25">
      <c r="A121" t="s">
        <v>107</v>
      </c>
      <c r="B121" t="str">
        <f>ADDRESS(ROW('Spec Leg'!E$14),COLUMN('Spec Leg'!E$14),4)</f>
        <v>E14</v>
      </c>
      <c r="C121" t="str">
        <f>ADDRESS(ROW('Spec Leg'!G$14),COLUMN('Spec Leg'!G$14),4)</f>
        <v>G14</v>
      </c>
      <c r="D121" t="b" cm="1">
        <f t="array" aca="1" ref="D121" ca="1">IF(INDIRECT("'"&amp;A121&amp;"'!"&amp;B121)="",FALSE,IF(NOT(ISNUMBER(INDIRECT("'"&amp;A121&amp;"'!"&amp;B121))),TRUE,FALSE))</f>
        <v>0</v>
      </c>
      <c r="E121" t="s">
        <v>649</v>
      </c>
      <c r="F121" t="str">
        <f>INDEX(Lists!I:I,MATCH(Validation!E121,Lists!G:G,0))</f>
        <v>Error</v>
      </c>
      <c r="G121" t="str">
        <f>INDEX(Lists!H:H,MATCH(Validation!E121,Lists!G:G,0))</f>
        <v>Enter chapter, article, and section references as numbers only. (Enter 0 if no article.)</v>
      </c>
      <c r="H121" s="16" t="str">
        <f t="shared" ca="1" si="34"/>
        <v/>
      </c>
      <c r="I121" s="16" t="str">
        <f t="shared" ca="1" si="35"/>
        <v/>
      </c>
      <c r="J121" s="17" t="str">
        <f t="shared" ca="1" si="36"/>
        <v/>
      </c>
    </row>
    <row r="122" spans="1:10" x14ac:dyDescent="0.25">
      <c r="A122" t="s">
        <v>107</v>
      </c>
      <c r="B122" t="str">
        <f>ADDRESS(ROW('Spec Leg'!E$15),COLUMN('Spec Leg'!E$15),4)</f>
        <v>E15</v>
      </c>
      <c r="C122" t="str">
        <f>ADDRESS(ROW('Spec Leg'!G$15),COLUMN('Spec Leg'!G$15),4)</f>
        <v>G15</v>
      </c>
      <c r="D122" t="b" cm="1">
        <f t="array" aca="1" ref="D122" ca="1">IF(INDIRECT("'"&amp;A122&amp;"'!"&amp;B122)="",FALSE,IF(NOT(ISNUMBER(INDIRECT("'"&amp;A122&amp;"'!"&amp;B122))),TRUE,FALSE))</f>
        <v>0</v>
      </c>
      <c r="E122" t="s">
        <v>649</v>
      </c>
      <c r="F122" t="str">
        <f>INDEX(Lists!I:I,MATCH(Validation!E122,Lists!G:G,0))</f>
        <v>Error</v>
      </c>
      <c r="G122" t="str">
        <f>INDEX(Lists!H:H,MATCH(Validation!E122,Lists!G:G,0))</f>
        <v>Enter chapter, article, and section references as numbers only. (Enter 0 if no article.)</v>
      </c>
      <c r="H122" s="16" t="str">
        <f t="shared" ca="1" si="34"/>
        <v/>
      </c>
      <c r="I122" s="16" t="str">
        <f t="shared" ca="1" si="35"/>
        <v/>
      </c>
      <c r="J122" s="17" t="str">
        <f t="shared" ca="1" si="36"/>
        <v/>
      </c>
    </row>
    <row r="123" spans="1:10" x14ac:dyDescent="0.25">
      <c r="A123" t="s">
        <v>107</v>
      </c>
      <c r="B123" t="str">
        <f>ADDRESS(ROW('Spec Leg'!E$16),COLUMN('Spec Leg'!E$16),4)</f>
        <v>E16</v>
      </c>
      <c r="C123" t="str">
        <f>ADDRESS(ROW('Spec Leg'!G$16),COLUMN('Spec Leg'!G$16),4)</f>
        <v>G16</v>
      </c>
      <c r="D123" t="b" cm="1">
        <f t="array" aca="1" ref="D123" ca="1">IF(INDIRECT("'"&amp;A123&amp;"'!"&amp;B123)="",FALSE,IF(NOT(ISNUMBER(INDIRECT("'"&amp;A123&amp;"'!"&amp;B123))),TRUE,FALSE))</f>
        <v>0</v>
      </c>
      <c r="E123" t="s">
        <v>649</v>
      </c>
      <c r="F123" t="str">
        <f>INDEX(Lists!I:I,MATCH(Validation!E123,Lists!G:G,0))</f>
        <v>Error</v>
      </c>
      <c r="G123" t="str">
        <f>INDEX(Lists!H:H,MATCH(Validation!E123,Lists!G:G,0))</f>
        <v>Enter chapter, article, and section references as numbers only. (Enter 0 if no article.)</v>
      </c>
      <c r="H123" s="16" t="str">
        <f t="shared" ca="1" si="34"/>
        <v/>
      </c>
      <c r="I123" s="16" t="str">
        <f t="shared" ca="1" si="35"/>
        <v/>
      </c>
      <c r="J123" s="17" t="str">
        <f t="shared" ca="1" si="36"/>
        <v/>
      </c>
    </row>
    <row r="124" spans="1:10" x14ac:dyDescent="0.25">
      <c r="A124" t="s">
        <v>107</v>
      </c>
      <c r="B124" t="str">
        <f>ADDRESS(ROW('Spec Leg'!E$17),COLUMN('Spec Leg'!E$17),4)</f>
        <v>E17</v>
      </c>
      <c r="C124" t="str">
        <f>ADDRESS(ROW('Spec Leg'!G$17),COLUMN('Spec Leg'!G$17),4)</f>
        <v>G17</v>
      </c>
      <c r="D124" t="b" cm="1">
        <f t="array" aca="1" ref="D124" ca="1">IF(INDIRECT("'"&amp;A124&amp;"'!"&amp;B124)="",FALSE,IF(NOT(ISNUMBER(INDIRECT("'"&amp;A124&amp;"'!"&amp;B124))),TRUE,FALSE))</f>
        <v>0</v>
      </c>
      <c r="E124" t="s">
        <v>649</v>
      </c>
      <c r="F124" t="str">
        <f>INDEX(Lists!I:I,MATCH(Validation!E124,Lists!G:G,0))</f>
        <v>Error</v>
      </c>
      <c r="G124" t="str">
        <f>INDEX(Lists!H:H,MATCH(Validation!E124,Lists!G:G,0))</f>
        <v>Enter chapter, article, and section references as numbers only. (Enter 0 if no article.)</v>
      </c>
      <c r="H124" s="16" t="str">
        <f t="shared" ca="1" si="34"/>
        <v/>
      </c>
      <c r="I124" s="16" t="str">
        <f t="shared" ca="1" si="35"/>
        <v/>
      </c>
      <c r="J124" s="17" t="str">
        <f t="shared" ca="1" si="36"/>
        <v/>
      </c>
    </row>
    <row r="125" spans="1:10" x14ac:dyDescent="0.25">
      <c r="A125" t="s">
        <v>107</v>
      </c>
      <c r="B125" t="str">
        <f>ADDRESS(ROW('Spec Leg'!F$8),COLUMN('Spec Leg'!F$8),4)</f>
        <v>F8</v>
      </c>
      <c r="C125" t="str">
        <f>ADDRESS(ROW('Spec Leg'!G$8),COLUMN('Spec Leg'!G$8),4)</f>
        <v>G8</v>
      </c>
      <c r="D125" t="b" cm="1">
        <f t="array" aca="1" ref="D125" ca="1">IF(INDIRECT("'"&amp;A125&amp;"'!"&amp;B125)="",FALSE,IF(NOT(ISNUMBER(INDIRECT("'"&amp;A125&amp;"'!"&amp;B125))),TRUE,FALSE))</f>
        <v>0</v>
      </c>
      <c r="E125" t="s">
        <v>649</v>
      </c>
      <c r="F125" t="str">
        <f>INDEX(Lists!I:I,MATCH(Validation!E125,Lists!G:G,0))</f>
        <v>Error</v>
      </c>
      <c r="G125" t="str">
        <f>INDEX(Lists!H:H,MATCH(Validation!E125,Lists!G:G,0))</f>
        <v>Enter chapter, article, and section references as numbers only. (Enter 0 if no article.)</v>
      </c>
      <c r="H125" s="16" t="str">
        <f t="shared" ref="H125:H134" ca="1" si="40">IFERROR(IF(OR(NOT(D125),F125&lt;&gt;"Error"),"",A125&amp;CELL("address",INDIRECT(B125))),"")</f>
        <v/>
      </c>
      <c r="I125" s="16" t="str">
        <f t="shared" ref="I125:I134" ca="1" si="41">IFERROR(IF(NOT(D125),"",A125&amp;CELL("address",INDIRECT(C125))),"")</f>
        <v/>
      </c>
      <c r="J125" s="17" t="str">
        <f t="shared" ref="J125:J134" ca="1" si="42">IFERROR(IF(NOT(D125),"",A125),"")</f>
        <v/>
      </c>
    </row>
    <row r="126" spans="1:10" x14ac:dyDescent="0.25">
      <c r="A126" t="s">
        <v>107</v>
      </c>
      <c r="B126" t="str">
        <f>ADDRESS(ROW('Spec Leg'!F$9),COLUMN('Spec Leg'!F$9),4)</f>
        <v>F9</v>
      </c>
      <c r="C126" t="str">
        <f>ADDRESS(ROW('Spec Leg'!G$9),COLUMN('Spec Leg'!G$9),4)</f>
        <v>G9</v>
      </c>
      <c r="D126" t="b" cm="1">
        <f t="array" aca="1" ref="D126" ca="1">IF(INDIRECT("'"&amp;A126&amp;"'!"&amp;B126)="",FALSE,IF(NOT(ISNUMBER(INDIRECT("'"&amp;A126&amp;"'!"&amp;B126))),TRUE,FALSE))</f>
        <v>0</v>
      </c>
      <c r="E126" t="s">
        <v>649</v>
      </c>
      <c r="F126" t="str">
        <f>INDEX(Lists!I:I,MATCH(Validation!E126,Lists!G:G,0))</f>
        <v>Error</v>
      </c>
      <c r="G126" t="str">
        <f>INDEX(Lists!H:H,MATCH(Validation!E126,Lists!G:G,0))</f>
        <v>Enter chapter, article, and section references as numbers only. (Enter 0 if no article.)</v>
      </c>
      <c r="H126" s="16" t="str">
        <f t="shared" ca="1" si="40"/>
        <v/>
      </c>
      <c r="I126" s="16" t="str">
        <f t="shared" ca="1" si="41"/>
        <v/>
      </c>
      <c r="J126" s="17" t="str">
        <f t="shared" ca="1" si="42"/>
        <v/>
      </c>
    </row>
    <row r="127" spans="1:10" x14ac:dyDescent="0.25">
      <c r="A127" t="s">
        <v>107</v>
      </c>
      <c r="B127" t="str">
        <f>ADDRESS(ROW('Spec Leg'!F$10),COLUMN('Spec Leg'!F$10),4)</f>
        <v>F10</v>
      </c>
      <c r="C127" t="str">
        <f>ADDRESS(ROW('Spec Leg'!G$10),COLUMN('Spec Leg'!G$10),4)</f>
        <v>G10</v>
      </c>
      <c r="D127" t="b" cm="1">
        <f t="array" aca="1" ref="D127" ca="1">IF(INDIRECT("'"&amp;A127&amp;"'!"&amp;B127)="",FALSE,IF(NOT(ISNUMBER(INDIRECT("'"&amp;A127&amp;"'!"&amp;B127))),TRUE,FALSE))</f>
        <v>0</v>
      </c>
      <c r="E127" t="s">
        <v>649</v>
      </c>
      <c r="F127" t="str">
        <f>INDEX(Lists!I:I,MATCH(Validation!E127,Lists!G:G,0))</f>
        <v>Error</v>
      </c>
      <c r="G127" t="str">
        <f>INDEX(Lists!H:H,MATCH(Validation!E127,Lists!G:G,0))</f>
        <v>Enter chapter, article, and section references as numbers only. (Enter 0 if no article.)</v>
      </c>
      <c r="H127" s="16" t="str">
        <f t="shared" ca="1" si="40"/>
        <v/>
      </c>
      <c r="I127" s="16" t="str">
        <f t="shared" ca="1" si="41"/>
        <v/>
      </c>
      <c r="J127" s="17" t="str">
        <f t="shared" ca="1" si="42"/>
        <v/>
      </c>
    </row>
    <row r="128" spans="1:10" x14ac:dyDescent="0.25">
      <c r="A128" t="s">
        <v>107</v>
      </c>
      <c r="B128" t="str">
        <f>ADDRESS(ROW('Spec Leg'!F$11),COLUMN('Spec Leg'!F$11),4)</f>
        <v>F11</v>
      </c>
      <c r="C128" t="str">
        <f>ADDRESS(ROW('Spec Leg'!G$11),COLUMN('Spec Leg'!G$11),4)</f>
        <v>G11</v>
      </c>
      <c r="D128" t="b" cm="1">
        <f t="array" aca="1" ref="D128" ca="1">IF(INDIRECT("'"&amp;A128&amp;"'!"&amp;B128)="",FALSE,IF(NOT(ISNUMBER(INDIRECT("'"&amp;A128&amp;"'!"&amp;B128))),TRUE,FALSE))</f>
        <v>0</v>
      </c>
      <c r="E128" t="s">
        <v>649</v>
      </c>
      <c r="F128" t="str">
        <f>INDEX(Lists!I:I,MATCH(Validation!E128,Lists!G:G,0))</f>
        <v>Error</v>
      </c>
      <c r="G128" t="str">
        <f>INDEX(Lists!H:H,MATCH(Validation!E128,Lists!G:G,0))</f>
        <v>Enter chapter, article, and section references as numbers only. (Enter 0 if no article.)</v>
      </c>
      <c r="H128" s="16" t="str">
        <f t="shared" ca="1" si="40"/>
        <v/>
      </c>
      <c r="I128" s="16" t="str">
        <f t="shared" ca="1" si="41"/>
        <v/>
      </c>
      <c r="J128" s="17" t="str">
        <f t="shared" ca="1" si="42"/>
        <v/>
      </c>
    </row>
    <row r="129" spans="1:10" x14ac:dyDescent="0.25">
      <c r="A129" t="s">
        <v>107</v>
      </c>
      <c r="B129" t="str">
        <f>ADDRESS(ROW('Spec Leg'!F$12),COLUMN('Spec Leg'!F$12),4)</f>
        <v>F12</v>
      </c>
      <c r="C129" t="str">
        <f>ADDRESS(ROW('Spec Leg'!G$12),COLUMN('Spec Leg'!G$12),4)</f>
        <v>G12</v>
      </c>
      <c r="D129" t="b" cm="1">
        <f t="array" aca="1" ref="D129" ca="1">IF(INDIRECT("'"&amp;A129&amp;"'!"&amp;B129)="",FALSE,IF(NOT(ISNUMBER(INDIRECT("'"&amp;A129&amp;"'!"&amp;B129))),TRUE,FALSE))</f>
        <v>0</v>
      </c>
      <c r="E129" t="s">
        <v>649</v>
      </c>
      <c r="F129" t="str">
        <f>INDEX(Lists!I:I,MATCH(Validation!E129,Lists!G:G,0))</f>
        <v>Error</v>
      </c>
      <c r="G129" t="str">
        <f>INDEX(Lists!H:H,MATCH(Validation!E129,Lists!G:G,0))</f>
        <v>Enter chapter, article, and section references as numbers only. (Enter 0 if no article.)</v>
      </c>
      <c r="H129" s="16" t="str">
        <f t="shared" ca="1" si="40"/>
        <v/>
      </c>
      <c r="I129" s="16" t="str">
        <f t="shared" ca="1" si="41"/>
        <v/>
      </c>
      <c r="J129" s="17" t="str">
        <f t="shared" ca="1" si="42"/>
        <v/>
      </c>
    </row>
    <row r="130" spans="1:10" x14ac:dyDescent="0.25">
      <c r="A130" t="s">
        <v>107</v>
      </c>
      <c r="B130" t="str">
        <f>ADDRESS(ROW('Spec Leg'!F$13),COLUMN('Spec Leg'!F$13),4)</f>
        <v>F13</v>
      </c>
      <c r="C130" t="str">
        <f>ADDRESS(ROW('Spec Leg'!G$13),COLUMN('Spec Leg'!G$13),4)</f>
        <v>G13</v>
      </c>
      <c r="D130" t="b" cm="1">
        <f t="array" aca="1" ref="D130" ca="1">IF(INDIRECT("'"&amp;A130&amp;"'!"&amp;B130)="",FALSE,IF(NOT(ISNUMBER(INDIRECT("'"&amp;A130&amp;"'!"&amp;B130))),TRUE,FALSE))</f>
        <v>0</v>
      </c>
      <c r="E130" t="s">
        <v>649</v>
      </c>
      <c r="F130" t="str">
        <f>INDEX(Lists!I:I,MATCH(Validation!E130,Lists!G:G,0))</f>
        <v>Error</v>
      </c>
      <c r="G130" t="str">
        <f>INDEX(Lists!H:H,MATCH(Validation!E130,Lists!G:G,0))</f>
        <v>Enter chapter, article, and section references as numbers only. (Enter 0 if no article.)</v>
      </c>
      <c r="H130" s="16" t="str">
        <f t="shared" ca="1" si="40"/>
        <v/>
      </c>
      <c r="I130" s="16" t="str">
        <f t="shared" ca="1" si="41"/>
        <v/>
      </c>
      <c r="J130" s="17" t="str">
        <f t="shared" ca="1" si="42"/>
        <v/>
      </c>
    </row>
    <row r="131" spans="1:10" x14ac:dyDescent="0.25">
      <c r="A131" t="s">
        <v>107</v>
      </c>
      <c r="B131" t="str">
        <f>ADDRESS(ROW('Spec Leg'!F$14),COLUMN('Spec Leg'!F$14),4)</f>
        <v>F14</v>
      </c>
      <c r="C131" t="str">
        <f>ADDRESS(ROW('Spec Leg'!G$14),COLUMN('Spec Leg'!G$14),4)</f>
        <v>G14</v>
      </c>
      <c r="D131" t="b" cm="1">
        <f t="array" aca="1" ref="D131" ca="1">IF(INDIRECT("'"&amp;A131&amp;"'!"&amp;B131)="",FALSE,IF(NOT(ISNUMBER(INDIRECT("'"&amp;A131&amp;"'!"&amp;B131))),TRUE,FALSE))</f>
        <v>0</v>
      </c>
      <c r="E131" t="s">
        <v>649</v>
      </c>
      <c r="F131" t="str">
        <f>INDEX(Lists!I:I,MATCH(Validation!E131,Lists!G:G,0))</f>
        <v>Error</v>
      </c>
      <c r="G131" t="str">
        <f>INDEX(Lists!H:H,MATCH(Validation!E131,Lists!G:G,0))</f>
        <v>Enter chapter, article, and section references as numbers only. (Enter 0 if no article.)</v>
      </c>
      <c r="H131" s="16" t="str">
        <f t="shared" ca="1" si="40"/>
        <v/>
      </c>
      <c r="I131" s="16" t="str">
        <f t="shared" ca="1" si="41"/>
        <v/>
      </c>
      <c r="J131" s="17" t="str">
        <f t="shared" ca="1" si="42"/>
        <v/>
      </c>
    </row>
    <row r="132" spans="1:10" x14ac:dyDescent="0.25">
      <c r="A132" t="s">
        <v>107</v>
      </c>
      <c r="B132" t="str">
        <f>ADDRESS(ROW('Spec Leg'!F$15),COLUMN('Spec Leg'!F$15),4)</f>
        <v>F15</v>
      </c>
      <c r="C132" t="str">
        <f>ADDRESS(ROW('Spec Leg'!G$15),COLUMN('Spec Leg'!G$15),4)</f>
        <v>G15</v>
      </c>
      <c r="D132" t="b" cm="1">
        <f t="array" aca="1" ref="D132" ca="1">IF(INDIRECT("'"&amp;A132&amp;"'!"&amp;B132)="",FALSE,IF(NOT(ISNUMBER(INDIRECT("'"&amp;A132&amp;"'!"&amp;B132))),TRUE,FALSE))</f>
        <v>0</v>
      </c>
      <c r="E132" t="s">
        <v>649</v>
      </c>
      <c r="F132" t="str">
        <f>INDEX(Lists!I:I,MATCH(Validation!E132,Lists!G:G,0))</f>
        <v>Error</v>
      </c>
      <c r="G132" t="str">
        <f>INDEX(Lists!H:H,MATCH(Validation!E132,Lists!G:G,0))</f>
        <v>Enter chapter, article, and section references as numbers only. (Enter 0 if no article.)</v>
      </c>
      <c r="H132" s="16" t="str">
        <f t="shared" ca="1" si="40"/>
        <v/>
      </c>
      <c r="I132" s="16" t="str">
        <f t="shared" ca="1" si="41"/>
        <v/>
      </c>
      <c r="J132" s="17" t="str">
        <f t="shared" ca="1" si="42"/>
        <v/>
      </c>
    </row>
    <row r="133" spans="1:10" x14ac:dyDescent="0.25">
      <c r="A133" t="s">
        <v>107</v>
      </c>
      <c r="B133" t="str">
        <f>ADDRESS(ROW('Spec Leg'!F$16),COLUMN('Spec Leg'!F$16),4)</f>
        <v>F16</v>
      </c>
      <c r="C133" t="str">
        <f>ADDRESS(ROW('Spec Leg'!G$16),COLUMN('Spec Leg'!G$16),4)</f>
        <v>G16</v>
      </c>
      <c r="D133" t="b" cm="1">
        <f t="array" aca="1" ref="D133" ca="1">IF(INDIRECT("'"&amp;A133&amp;"'!"&amp;B133)="",FALSE,IF(NOT(ISNUMBER(INDIRECT("'"&amp;A133&amp;"'!"&amp;B133))),TRUE,FALSE))</f>
        <v>0</v>
      </c>
      <c r="E133" t="s">
        <v>649</v>
      </c>
      <c r="F133" t="str">
        <f>INDEX(Lists!I:I,MATCH(Validation!E133,Lists!G:G,0))</f>
        <v>Error</v>
      </c>
      <c r="G133" t="str">
        <f>INDEX(Lists!H:H,MATCH(Validation!E133,Lists!G:G,0))</f>
        <v>Enter chapter, article, and section references as numbers only. (Enter 0 if no article.)</v>
      </c>
      <c r="H133" s="16" t="str">
        <f t="shared" ca="1" si="40"/>
        <v/>
      </c>
      <c r="I133" s="16" t="str">
        <f t="shared" ca="1" si="41"/>
        <v/>
      </c>
      <c r="J133" s="17" t="str">
        <f t="shared" ca="1" si="42"/>
        <v/>
      </c>
    </row>
    <row r="134" spans="1:10" x14ac:dyDescent="0.25">
      <c r="A134" t="s">
        <v>107</v>
      </c>
      <c r="B134" t="str">
        <f>ADDRESS(ROW('Spec Leg'!F$17),COLUMN('Spec Leg'!F$17),4)</f>
        <v>F17</v>
      </c>
      <c r="C134" t="str">
        <f>ADDRESS(ROW('Spec Leg'!G$17),COLUMN('Spec Leg'!G$17),4)</f>
        <v>G17</v>
      </c>
      <c r="D134" t="b" cm="1">
        <f t="array" aca="1" ref="D134" ca="1">IF(INDIRECT("'"&amp;A134&amp;"'!"&amp;B134)="",FALSE,IF(NOT(ISNUMBER(INDIRECT("'"&amp;A134&amp;"'!"&amp;B134))),TRUE,FALSE))</f>
        <v>0</v>
      </c>
      <c r="E134" t="s">
        <v>649</v>
      </c>
      <c r="F134" t="str">
        <f>INDEX(Lists!I:I,MATCH(Validation!E134,Lists!G:G,0))</f>
        <v>Error</v>
      </c>
      <c r="G134" t="str">
        <f>INDEX(Lists!H:H,MATCH(Validation!E134,Lists!G:G,0))</f>
        <v>Enter chapter, article, and section references as numbers only. (Enter 0 if no article.)</v>
      </c>
      <c r="H134" s="16" t="str">
        <f t="shared" ca="1" si="40"/>
        <v/>
      </c>
      <c r="I134" s="16" t="str">
        <f t="shared" ca="1" si="41"/>
        <v/>
      </c>
      <c r="J134" s="17" t="str">
        <f t="shared" ca="1" si="42"/>
        <v/>
      </c>
    </row>
    <row r="135" spans="1:10" x14ac:dyDescent="0.25">
      <c r="A135" t="s">
        <v>107</v>
      </c>
      <c r="B135" t="str">
        <f>ADDRESS(ROW('Spec Leg'!C$8),COLUMN('Spec Leg'!$C8),4)</f>
        <v>C8</v>
      </c>
      <c r="C135" t="str">
        <f>ADDRESS(ROW('Spec Leg'!G$8),COLUMN('Spec Leg'!G$8),4)</f>
        <v>G8</v>
      </c>
      <c r="D135" s="18" t="b">
        <f>AND(NOT(COUNTBLANK('Spec Leg'!B8:F8)=5),NOT(COUNTBLANK('Spec Leg'!B8:F8)=0))</f>
        <v>0</v>
      </c>
      <c r="E135" t="s">
        <v>69</v>
      </c>
      <c r="F135" t="str">
        <f>INDEX(Lists!I:I,MATCH(Validation!E135,Lists!G:G,0))</f>
        <v>Error</v>
      </c>
      <c r="G135" t="str">
        <f>INDEX(Lists!H:H,MATCH(Validation!E135,Lists!G:G,0))</f>
        <v>Please complete the row.</v>
      </c>
      <c r="H135" s="16" t="str">
        <f t="shared" ca="1" si="34"/>
        <v/>
      </c>
      <c r="I135" s="16" t="str">
        <f t="shared" ca="1" si="35"/>
        <v/>
      </c>
      <c r="J135" s="17" t="str">
        <f t="shared" si="36"/>
        <v/>
      </c>
    </row>
    <row r="136" spans="1:10" x14ac:dyDescent="0.25">
      <c r="A136" t="s">
        <v>107</v>
      </c>
      <c r="B136" t="str">
        <f>ADDRESS(ROW('Spec Leg'!C$9),COLUMN('Spec Leg'!C$9),4)</f>
        <v>C9</v>
      </c>
      <c r="C136" t="str">
        <f>ADDRESS(ROW('Spec Leg'!G$9),COLUMN('Spec Leg'!G$9),4)</f>
        <v>G9</v>
      </c>
      <c r="D136" s="18" t="b">
        <f>AND(NOT(COUNTBLANK('Spec Leg'!B9:F9)=5),NOT(COUNTBLANK('Spec Leg'!B9:F9)=0))</f>
        <v>0</v>
      </c>
      <c r="E136" t="s">
        <v>69</v>
      </c>
      <c r="F136" t="str">
        <f>INDEX(Lists!I:I,MATCH(Validation!E136,Lists!G:G,0))</f>
        <v>Error</v>
      </c>
      <c r="G136" t="str">
        <f>INDEX(Lists!H:H,MATCH(Validation!E136,Lists!G:G,0))</f>
        <v>Please complete the row.</v>
      </c>
      <c r="H136" s="16" t="str">
        <f t="shared" ca="1" si="34"/>
        <v/>
      </c>
      <c r="I136" s="16" t="str">
        <f t="shared" ca="1" si="35"/>
        <v/>
      </c>
      <c r="J136" s="17" t="str">
        <f t="shared" si="36"/>
        <v/>
      </c>
    </row>
    <row r="137" spans="1:10" x14ac:dyDescent="0.25">
      <c r="A137" t="s">
        <v>107</v>
      </c>
      <c r="B137" t="str">
        <f>ADDRESS(ROW('Spec Leg'!C$10),COLUMN('Spec Leg'!C$10),4)</f>
        <v>C10</v>
      </c>
      <c r="C137" t="str">
        <f>ADDRESS(ROW('Spec Leg'!G$10),COLUMN('Spec Leg'!G$10),4)</f>
        <v>G10</v>
      </c>
      <c r="D137" s="18" t="b">
        <f>AND(NOT(COUNTBLANK('Spec Leg'!B10:F10)=5),NOT(COUNTBLANK('Spec Leg'!B10:F10)=0))</f>
        <v>0</v>
      </c>
      <c r="E137" t="s">
        <v>69</v>
      </c>
      <c r="F137" t="str">
        <f>INDEX(Lists!I:I,MATCH(Validation!E137,Lists!G:G,0))</f>
        <v>Error</v>
      </c>
      <c r="G137" t="str">
        <f>INDEX(Lists!H:H,MATCH(Validation!E137,Lists!G:G,0))</f>
        <v>Please complete the row.</v>
      </c>
      <c r="H137" s="16" t="str">
        <f t="shared" ca="1" si="34"/>
        <v/>
      </c>
      <c r="I137" s="16" t="str">
        <f t="shared" ca="1" si="35"/>
        <v/>
      </c>
      <c r="J137" s="17" t="str">
        <f t="shared" si="36"/>
        <v/>
      </c>
    </row>
    <row r="138" spans="1:10" x14ac:dyDescent="0.25">
      <c r="A138" t="s">
        <v>107</v>
      </c>
      <c r="B138" t="str">
        <f>ADDRESS(ROW('Spec Leg'!C$11),COLUMN('Spec Leg'!C$11),4)</f>
        <v>C11</v>
      </c>
      <c r="C138" t="str">
        <f>ADDRESS(ROW('Spec Leg'!G$11),COLUMN('Spec Leg'!G$11),4)</f>
        <v>G11</v>
      </c>
      <c r="D138" s="18" t="b">
        <f>AND(NOT(COUNTBLANK('Spec Leg'!B11:F11)=5),NOT(COUNTBLANK('Spec Leg'!B11:F11)=0))</f>
        <v>0</v>
      </c>
      <c r="E138" t="s">
        <v>69</v>
      </c>
      <c r="F138" t="str">
        <f>INDEX(Lists!I:I,MATCH(Validation!E138,Lists!G:G,0))</f>
        <v>Error</v>
      </c>
      <c r="G138" t="str">
        <f>INDEX(Lists!H:H,MATCH(Validation!E138,Lists!G:G,0))</f>
        <v>Please complete the row.</v>
      </c>
      <c r="H138" s="16" t="str">
        <f t="shared" ca="1" si="34"/>
        <v/>
      </c>
      <c r="I138" s="16" t="str">
        <f t="shared" ca="1" si="35"/>
        <v/>
      </c>
      <c r="J138" s="17" t="str">
        <f t="shared" si="36"/>
        <v/>
      </c>
    </row>
    <row r="139" spans="1:10" x14ac:dyDescent="0.25">
      <c r="A139" t="s">
        <v>107</v>
      </c>
      <c r="B139" t="str">
        <f>ADDRESS(ROW('Spec Leg'!C$12),COLUMN('Spec Leg'!C$12),4)</f>
        <v>C12</v>
      </c>
      <c r="C139" t="str">
        <f>ADDRESS(ROW('Spec Leg'!G$12),COLUMN('Spec Leg'!G$12),4)</f>
        <v>G12</v>
      </c>
      <c r="D139" s="18" t="b">
        <f>AND(NOT(COUNTBLANK('Spec Leg'!B12:F12)=5),NOT(COUNTBLANK('Spec Leg'!B12:F12)=0))</f>
        <v>0</v>
      </c>
      <c r="E139" t="s">
        <v>69</v>
      </c>
      <c r="F139" t="str">
        <f>INDEX(Lists!I:I,MATCH(Validation!E139,Lists!G:G,0))</f>
        <v>Error</v>
      </c>
      <c r="G139" t="str">
        <f>INDEX(Lists!H:H,MATCH(Validation!E139,Lists!G:G,0))</f>
        <v>Please complete the row.</v>
      </c>
      <c r="H139" s="16" t="str">
        <f t="shared" ca="1" si="34"/>
        <v/>
      </c>
      <c r="I139" s="16" t="str">
        <f t="shared" ca="1" si="35"/>
        <v/>
      </c>
      <c r="J139" s="17" t="str">
        <f t="shared" si="36"/>
        <v/>
      </c>
    </row>
    <row r="140" spans="1:10" x14ac:dyDescent="0.25">
      <c r="A140" t="s">
        <v>107</v>
      </c>
      <c r="B140" t="str">
        <f>ADDRESS(ROW('Spec Leg'!C$13),COLUMN('Spec Leg'!C$13),4)</f>
        <v>C13</v>
      </c>
      <c r="C140" t="str">
        <f>ADDRESS(ROW('Spec Leg'!G$13),COLUMN('Spec Leg'!G$13),4)</f>
        <v>G13</v>
      </c>
      <c r="D140" s="18" t="b">
        <f>AND(NOT(COUNTBLANK('Spec Leg'!B13:F13)=5),NOT(COUNTBLANK('Spec Leg'!B13:F13)=0))</f>
        <v>0</v>
      </c>
      <c r="E140" t="s">
        <v>69</v>
      </c>
      <c r="F140" t="str">
        <f>INDEX(Lists!I:I,MATCH(Validation!E140,Lists!G:G,0))</f>
        <v>Error</v>
      </c>
      <c r="G140" t="str">
        <f>INDEX(Lists!H:H,MATCH(Validation!E140,Lists!G:G,0))</f>
        <v>Please complete the row.</v>
      </c>
      <c r="H140" s="16" t="str">
        <f t="shared" ca="1" si="34"/>
        <v/>
      </c>
      <c r="I140" s="16" t="str">
        <f t="shared" ca="1" si="35"/>
        <v/>
      </c>
      <c r="J140" s="17" t="str">
        <f t="shared" si="36"/>
        <v/>
      </c>
    </row>
    <row r="141" spans="1:10" x14ac:dyDescent="0.25">
      <c r="A141" t="s">
        <v>107</v>
      </c>
      <c r="B141" t="str">
        <f>ADDRESS(ROW('Spec Leg'!C$14),COLUMN('Spec Leg'!C$14),4)</f>
        <v>C14</v>
      </c>
      <c r="C141" t="str">
        <f>ADDRESS(ROW('Spec Leg'!G$14),COLUMN('Spec Leg'!G$14),4)</f>
        <v>G14</v>
      </c>
      <c r="D141" s="18" t="b">
        <f>AND(NOT(COUNTBLANK('Spec Leg'!B14:F14)=5),NOT(COUNTBLANK('Spec Leg'!B14:F14)=0))</f>
        <v>0</v>
      </c>
      <c r="E141" t="s">
        <v>69</v>
      </c>
      <c r="F141" t="str">
        <f>INDEX(Lists!I:I,MATCH(Validation!E141,Lists!G:G,0))</f>
        <v>Error</v>
      </c>
      <c r="G141" t="str">
        <f>INDEX(Lists!H:H,MATCH(Validation!E141,Lists!G:G,0))</f>
        <v>Please complete the row.</v>
      </c>
      <c r="H141" s="16" t="str">
        <f t="shared" ca="1" si="34"/>
        <v/>
      </c>
      <c r="I141" s="16" t="str">
        <f t="shared" ca="1" si="35"/>
        <v/>
      </c>
      <c r="J141" s="17" t="str">
        <f t="shared" si="36"/>
        <v/>
      </c>
    </row>
    <row r="142" spans="1:10" x14ac:dyDescent="0.25">
      <c r="A142" t="s">
        <v>107</v>
      </c>
      <c r="B142" t="str">
        <f>ADDRESS(ROW('Spec Leg'!C$15),COLUMN('Spec Leg'!C$15),4)</f>
        <v>C15</v>
      </c>
      <c r="C142" t="str">
        <f>ADDRESS(ROW('Spec Leg'!G$15),COLUMN('Spec Leg'!G$15),4)</f>
        <v>G15</v>
      </c>
      <c r="D142" s="18" t="b">
        <f>AND(NOT(COUNTBLANK('Spec Leg'!B15:F15)=5),NOT(COUNTBLANK('Spec Leg'!B15:F15)=0))</f>
        <v>0</v>
      </c>
      <c r="E142" t="s">
        <v>69</v>
      </c>
      <c r="F142" t="str">
        <f>INDEX(Lists!I:I,MATCH(Validation!E142,Lists!G:G,0))</f>
        <v>Error</v>
      </c>
      <c r="G142" t="str">
        <f>INDEX(Lists!H:H,MATCH(Validation!E142,Lists!G:G,0))</f>
        <v>Please complete the row.</v>
      </c>
      <c r="H142" s="16" t="str">
        <f t="shared" ca="1" si="34"/>
        <v/>
      </c>
      <c r="I142" s="16" t="str">
        <f t="shared" ca="1" si="35"/>
        <v/>
      </c>
      <c r="J142" s="17" t="str">
        <f t="shared" si="36"/>
        <v/>
      </c>
    </row>
    <row r="143" spans="1:10" x14ac:dyDescent="0.25">
      <c r="A143" t="s">
        <v>107</v>
      </c>
      <c r="B143" t="str">
        <f>ADDRESS(ROW('Spec Leg'!C$16),COLUMN('Spec Leg'!C$16),4)</f>
        <v>C16</v>
      </c>
      <c r="C143" t="str">
        <f>ADDRESS(ROW('Spec Leg'!G$16),COLUMN('Spec Leg'!G$16),4)</f>
        <v>G16</v>
      </c>
      <c r="D143" s="18" t="b">
        <f>AND(NOT(COUNTBLANK('Spec Leg'!B16:F16)=5),NOT(COUNTBLANK('Spec Leg'!B16:F16)=0))</f>
        <v>0</v>
      </c>
      <c r="E143" t="s">
        <v>69</v>
      </c>
      <c r="F143" t="str">
        <f>INDEX(Lists!I:I,MATCH(Validation!E143,Lists!G:G,0))</f>
        <v>Error</v>
      </c>
      <c r="G143" t="str">
        <f>INDEX(Lists!H:H,MATCH(Validation!E143,Lists!G:G,0))</f>
        <v>Please complete the row.</v>
      </c>
      <c r="H143" s="16" t="str">
        <f t="shared" ca="1" si="34"/>
        <v/>
      </c>
      <c r="I143" s="16" t="str">
        <f t="shared" ca="1" si="35"/>
        <v/>
      </c>
      <c r="J143" s="17" t="str">
        <f t="shared" si="36"/>
        <v/>
      </c>
    </row>
    <row r="144" spans="1:10" x14ac:dyDescent="0.25">
      <c r="A144" t="s">
        <v>107</v>
      </c>
      <c r="B144" t="str">
        <f>ADDRESS(ROW('Spec Leg'!C$17),COLUMN('Spec Leg'!C$17),4)</f>
        <v>C17</v>
      </c>
      <c r="C144" t="str">
        <f>ADDRESS(ROW('Spec Leg'!G$17),COLUMN('Spec Leg'!G$17),4)</f>
        <v>G17</v>
      </c>
      <c r="D144" s="18" t="b">
        <f>AND(NOT(COUNTBLANK('Spec Leg'!B17:F17)=5),NOT(COUNTBLANK('Spec Leg'!B17:F17)=0))</f>
        <v>0</v>
      </c>
      <c r="E144" s="11" t="s">
        <v>69</v>
      </c>
      <c r="F144" t="str">
        <f>INDEX(Lists!I:I,MATCH(Validation!E144,Lists!G:G,0))</f>
        <v>Error</v>
      </c>
      <c r="G144" t="str">
        <f>INDEX(Lists!H:H,MATCH(Validation!E144,Lists!G:G,0))</f>
        <v>Please complete the row.</v>
      </c>
      <c r="H144" s="16" t="str">
        <f t="shared" ca="1" si="34"/>
        <v/>
      </c>
      <c r="I144" s="16" t="str">
        <f t="shared" ca="1" si="35"/>
        <v/>
      </c>
      <c r="J144" s="17" t="str">
        <f t="shared" si="36"/>
        <v/>
      </c>
    </row>
    <row r="145" spans="1:10" x14ac:dyDescent="0.25">
      <c r="A145" t="s">
        <v>107</v>
      </c>
      <c r="B145" t="str">
        <f>ADDRESS(ROW(TIF_DistrictYear_UserCommentsSpecLeg),COLUMN(TIF_DistrictYear_UserCommentsSpecLeg),4)</f>
        <v>A19</v>
      </c>
      <c r="C145" t="str">
        <f>ADDRESS(ROW('Spec Leg'!G18),COLUMN('Spec Leg'!G18),4)</f>
        <v>G18</v>
      </c>
      <c r="D145" t="b" cm="1">
        <f t="array" aca="1" ref="D145" ca="1">IF(ISBLANK(INDIRECT("'"&amp;A145&amp;"'!"&amp;B145)),FALSE,IF(LEN(TRIM(CLEAN(INDIRECT("'"&amp;A145&amp;"'!"&amp;B145))))&lt;15,TRUE,FALSE))</f>
        <v>0</v>
      </c>
      <c r="E145" t="s">
        <v>635</v>
      </c>
      <c r="F145" t="str">
        <f>INDEX(Lists!I:I,MATCH(Validation!E145,Lists!G:G,0))</f>
        <v>Error</v>
      </c>
      <c r="G145" t="str">
        <f>INDEX(Lists!H:H,MATCH(Validation!E145,Lists!G:G,0))</f>
        <v>Insufficient information. Please provide a longer comment.</v>
      </c>
      <c r="H145" s="25" t="str">
        <f t="shared" ca="1" si="34"/>
        <v/>
      </c>
      <c r="I145" s="25" t="str">
        <f t="shared" ca="1" si="35"/>
        <v/>
      </c>
      <c r="J145" s="26" t="str">
        <f t="shared" ca="1" si="36"/>
        <v/>
      </c>
    </row>
    <row r="146" spans="1:10" x14ac:dyDescent="0.25">
      <c r="A146" t="s">
        <v>107</v>
      </c>
      <c r="B146" t="str">
        <f>ADDRESS(ROW(TIF_DistrictYear_UserCommentsSpecLeg),COLUMN(TIF_DistrictYear_UserCommentsSpecLeg),4)</f>
        <v>A19</v>
      </c>
      <c r="C146" t="str">
        <f>ADDRESS(ROW('Spec Leg'!G18),COLUMN('Spec Leg'!G18),4)</f>
        <v>G18</v>
      </c>
      <c r="D146" t="b" cm="1">
        <f t="array" aca="1" ref="D146" ca="1">IF(LEN(INDIRECT("'"&amp;A146&amp;"'!"&amp;B146))&gt;500,TRUE,FALSE)</f>
        <v>0</v>
      </c>
      <c r="E146" t="s">
        <v>636</v>
      </c>
      <c r="F146" t="str">
        <f>INDEX(Lists!I:I,MATCH(Validation!E146,Lists!G:G,0))</f>
        <v>Error</v>
      </c>
      <c r="G146" t="str">
        <f>INDEX(Lists!H:H,MATCH(Validation!E146,Lists!G:G,0))</f>
        <v>Comments cannot exceed 500 characters. (Limit length. Send email to further explain.)</v>
      </c>
      <c r="H146" s="25" t="str">
        <f t="shared" ca="1" si="34"/>
        <v/>
      </c>
      <c r="I146" s="25" t="str">
        <f t="shared" ca="1" si="35"/>
        <v/>
      </c>
      <c r="J146" s="26" t="str">
        <f t="shared" ca="1" si="36"/>
        <v/>
      </c>
    </row>
    <row r="147" spans="1:10" x14ac:dyDescent="0.25">
      <c r="A147" t="s">
        <v>108</v>
      </c>
      <c r="B147" t="str">
        <f>ADDRESS(ROW(TIF_Debt_DebtInd_Entry),COLUMN(TIF_Debt_DebtInd_Entry),4)</f>
        <v>B6</v>
      </c>
      <c r="C147" t="str">
        <f>ADDRESS(ROW(Bonds!$C$6),COLUMN(Bonds!$C$6),4)</f>
        <v>C6</v>
      </c>
      <c r="D147" s="18" t="b">
        <f>IF(TIF_Debt_DebtInd_Entry="Select One",TRUE,FALSE)</f>
        <v>0</v>
      </c>
      <c r="E147" t="s">
        <v>73</v>
      </c>
      <c r="F147" t="str">
        <f>INDEX(Lists!I:I,MATCH(Validation!E147,Lists!G:G,0))</f>
        <v>Error</v>
      </c>
      <c r="G147" t="str">
        <f>INDEX(Lists!H:H,MATCH(Validation!E147,Lists!G:G,0))</f>
        <v>You must select Yes or No.</v>
      </c>
      <c r="H147" s="16" t="str">
        <f t="shared" ref="H147:H153" ca="1" si="43">IFERROR(IF(OR(NOT(D147),F147&lt;&gt;"Error"),"",A147&amp;CELL("address",INDIRECT(B147))),"")</f>
        <v/>
      </c>
      <c r="I147" s="16" t="str">
        <f t="shared" ref="I147:I169" ca="1" si="44">IFERROR(IF(NOT(D147),"",A147&amp;CELL("address",INDIRECT(C147))),"")</f>
        <v/>
      </c>
      <c r="J147" s="17" t="str">
        <f t="shared" ref="J147:J153" si="45">IFERROR(IF(NOT(D147),"",A147),"")</f>
        <v/>
      </c>
    </row>
    <row r="148" spans="1:10" x14ac:dyDescent="0.25">
      <c r="A148" t="s">
        <v>108</v>
      </c>
      <c r="B148" t="str">
        <f>ADDRESS(ROW(TIF_Debt_DebtInd_Entry),COLUMN(TIF_Debt_DebtInd_Entry),4)</f>
        <v>B6</v>
      </c>
      <c r="C148" t="str">
        <f>ADDRESS(ROW(Bonds!$C$6),COLUMN(Bonds!$C$6),4)</f>
        <v>C6</v>
      </c>
      <c r="D148" s="18" t="b">
        <f>IF(AND(TIF_Debt_DebtInd_Input=TRUE,TIF_Debt_DebtInd_Entry="No"),TRUE,FALSE)</f>
        <v>0</v>
      </c>
      <c r="E148" t="s">
        <v>491</v>
      </c>
      <c r="F148" t="str">
        <f>INDEX(Lists!I:I,MATCH(Validation!E148,Lists!G:G,0))</f>
        <v>Error</v>
      </c>
      <c r="G148" t="str">
        <f>INDEX(Lists!H:H,MATCH(Validation!E148,Lists!G:G,0))</f>
        <v>Yes was previously reported and must be selected. Contact TIF Division to change.</v>
      </c>
      <c r="H148" s="16" t="str">
        <f t="shared" ca="1" si="43"/>
        <v/>
      </c>
      <c r="I148" s="16" t="str">
        <f t="shared" ca="1" si="44"/>
        <v/>
      </c>
      <c r="J148" s="17" t="str">
        <f t="shared" si="45"/>
        <v/>
      </c>
    </row>
    <row r="149" spans="1:10" x14ac:dyDescent="0.25">
      <c r="A149" t="s">
        <v>108</v>
      </c>
      <c r="B149" t="str">
        <f>ADDRESS(ROW(TIF_Debt_DebtInd_Entry),COLUMN(TIF_Debt_DebtInd_Entry),4)</f>
        <v>B6</v>
      </c>
      <c r="C149" t="str">
        <f>ADDRESS(ROW(Bonds!$C$6),COLUMN(Bonds!$C$6),4)</f>
        <v>C6</v>
      </c>
      <c r="D149" s="18" t="b">
        <f>IF(AND(TIF_Debt_DebtInd_Entry="Yes",ISBLANK('Bond Input'!C5)),TRUE,FALSE)</f>
        <v>0</v>
      </c>
      <c r="E149" t="s">
        <v>571</v>
      </c>
      <c r="F149" t="str">
        <f>INDEX(Lists!I:I,MATCH(Validation!E149,Lists!G:G,0))</f>
        <v>Error</v>
      </c>
      <c r="G149" t="str">
        <f>INDEX(Lists!H:H,MATCH(Validation!E149,Lists!G:G,0))</f>
        <v>If Yes, you must report at least one bond below.</v>
      </c>
      <c r="H149" s="16" t="str">
        <f t="shared" ca="1" si="43"/>
        <v/>
      </c>
      <c r="I149" s="16" t="str">
        <f t="shared" ca="1" si="44"/>
        <v/>
      </c>
      <c r="J149" s="17" t="str">
        <f t="shared" si="45"/>
        <v/>
      </c>
    </row>
    <row r="150" spans="1:10" x14ac:dyDescent="0.25">
      <c r="A150" t="s">
        <v>108</v>
      </c>
      <c r="B150" t="str">
        <f>ADDRESS(ROW(TIF_Debt_DebtInd_Entry),COLUMN(TIF_Debt_DebtInd_Entry),4)</f>
        <v>B6</v>
      </c>
      <c r="C150" t="str">
        <f>ADDRESS(ROW(Bonds!$C$6),COLUMN(Bonds!$C$6),4)</f>
        <v>C6</v>
      </c>
      <c r="D150" s="18" t="b">
        <f>IF(AND(TIF_Debt_DebtInd_Entry="No",NOT(ISBLANK('Bond Input'!C5))),TRUE,FALSE)</f>
        <v>0</v>
      </c>
      <c r="E150" t="s">
        <v>572</v>
      </c>
      <c r="F150" t="str">
        <f>INDEX(Lists!I:I,MATCH(Validation!E150,Lists!G:G,0))</f>
        <v>Error</v>
      </c>
      <c r="G150" t="str">
        <f>INDEX(Lists!H:H,MATCH(Validation!E150,Lists!G:G,0))</f>
        <v>You must answer Yes to report bond information below.</v>
      </c>
      <c r="H150" s="16" t="str">
        <f t="shared" ca="1" si="43"/>
        <v/>
      </c>
      <c r="I150" s="16" t="str">
        <f t="shared" ca="1" si="44"/>
        <v/>
      </c>
      <c r="J150" s="17" t="str">
        <f t="shared" si="45"/>
        <v/>
      </c>
    </row>
    <row r="151" spans="1:10" x14ac:dyDescent="0.25">
      <c r="A151" t="s">
        <v>108</v>
      </c>
      <c r="B151" t="str">
        <f>ADDRESS(ROW(TIF_Debt_DebtInd_Entry),COLUMN(TIF_Debt_DebtInd_Entry),4)</f>
        <v>B6</v>
      </c>
      <c r="C151" t="str">
        <f>ADDRESS(ROW(Bonds!$C$6),COLUMN(Bonds!$C$6),4)</f>
        <v>C6</v>
      </c>
      <c r="D151" s="18" t="b">
        <f>IF(TIF_Debt_DebtInd_Entry="No",TRUE,FALSE)</f>
        <v>0</v>
      </c>
      <c r="E151" t="s">
        <v>577</v>
      </c>
      <c r="F151" t="str">
        <f>INDEX(Lists!I:I,MATCH(Validation!E151,Lists!G:G,0))</f>
        <v>Information</v>
      </c>
      <c r="G151" t="str">
        <f>INDEX(Lists!H:H,MATCH(Validation!E151,Lists!G:G,0))</f>
        <v>If No, skip the remainder of this tab and continue to the next tab.</v>
      </c>
      <c r="H151" s="16" t="str">
        <f t="shared" ca="1" si="43"/>
        <v/>
      </c>
      <c r="I151" s="16" t="str">
        <f t="shared" ca="1" si="44"/>
        <v/>
      </c>
      <c r="J151" s="17" t="str">
        <f t="shared" si="45"/>
        <v/>
      </c>
    </row>
    <row r="152" spans="1:10" x14ac:dyDescent="0.25">
      <c r="A152" t="s">
        <v>108</v>
      </c>
      <c r="B152" t="str">
        <f>ADDRESS(ROW(TIF_DebtAnnual_UserCommentsBonds),COLUMN(TIF_DebtAnnual_UserCommentsBonds),4)</f>
        <v>A24</v>
      </c>
      <c r="C152" t="str">
        <f>ADDRESS(ROW(Bonds!C$23),COLUMN(Bonds!C$23),4)</f>
        <v>C23</v>
      </c>
      <c r="D152" t="b" cm="1">
        <f t="array" aca="1" ref="D152" ca="1">IF(ISBLANK(INDIRECT("'"&amp;A152&amp;"'!"&amp;B152)),FALSE,IF(LEN(TRIM(CLEAN(INDIRECT("'"&amp;A152&amp;"'!"&amp;B152))))&lt;15,TRUE,FALSE))</f>
        <v>0</v>
      </c>
      <c r="E152" t="s">
        <v>635</v>
      </c>
      <c r="F152" t="str">
        <f>INDEX(Lists!I:I,MATCH(Validation!E152,Lists!G:G,0))</f>
        <v>Error</v>
      </c>
      <c r="G152" t="str">
        <f>INDEX(Lists!H:H,MATCH(Validation!E152,Lists!G:G,0))</f>
        <v>Insufficient information. Please provide a longer comment.</v>
      </c>
      <c r="H152" s="25" t="str">
        <f t="shared" ca="1" si="43"/>
        <v/>
      </c>
      <c r="I152" s="25" t="str">
        <f t="shared" ca="1" si="44"/>
        <v/>
      </c>
      <c r="J152" s="26" t="str">
        <f t="shared" ca="1" si="45"/>
        <v/>
      </c>
    </row>
    <row r="153" spans="1:10" x14ac:dyDescent="0.25">
      <c r="A153" t="s">
        <v>108</v>
      </c>
      <c r="B153" t="str">
        <f>ADDRESS(ROW(TIF_DebtAnnual_UserCommentsBonds),COLUMN(TIF_DebtAnnual_UserCommentsBonds),4)</f>
        <v>A24</v>
      </c>
      <c r="C153" t="str">
        <f>ADDRESS(ROW(Bonds!C$23),COLUMN(Bonds!C$23),4)</f>
        <v>C23</v>
      </c>
      <c r="D153" t="b" cm="1">
        <f t="array" aca="1" ref="D153" ca="1">IF(LEN(INDIRECT("'"&amp;A153&amp;"'!"&amp;B153))&gt;500,TRUE,FALSE)</f>
        <v>0</v>
      </c>
      <c r="E153" t="s">
        <v>636</v>
      </c>
      <c r="F153" t="str">
        <f>INDEX(Lists!I:I,MATCH(Validation!E153,Lists!G:G,0))</f>
        <v>Error</v>
      </c>
      <c r="G153" t="str">
        <f>INDEX(Lists!H:H,MATCH(Validation!E153,Lists!G:G,0))</f>
        <v>Comments cannot exceed 500 characters. (Limit length. Send email to further explain.)</v>
      </c>
      <c r="H153" s="25" t="str">
        <f t="shared" ca="1" si="43"/>
        <v/>
      </c>
      <c r="I153" s="25" t="str">
        <f t="shared" ca="1" si="44"/>
        <v/>
      </c>
      <c r="J153" s="26" t="str">
        <f t="shared" ca="1" si="45"/>
        <v/>
      </c>
    </row>
    <row r="154" spans="1:10" x14ac:dyDescent="0.25">
      <c r="A154" t="s">
        <v>198</v>
      </c>
      <c r="B154" t="str">
        <f>ADDRESS(ROW('Bond 1'!$B$6),COLUMN('Bond 1'!$B$6),4)</f>
        <v>B6</v>
      </c>
      <c r="C154" t="str">
        <f>ADDRESS(ROW('Bond 1'!$D$6),COLUMN('Bond 1'!$D$6),4)</f>
        <v>D6</v>
      </c>
      <c r="D154" s="41" t="b">
        <f>IF(NOT('Bond 1'!B$7=""),IF((COUNTIF('Bond 1'!B$12:B$19,"")+COUNTIF('Bond 1'!B$22:B$34,"")+COUNTIF('Bond 1'!C$22:C$34,"")+COUNTIF('Bond 1'!B$36:B$42,"")+COUNTBLANK('Bond 1'!C$36:C$42)+COUNTBLANK('Bond 1'!B$44:B$45))&gt;0,TRUE,FALSE))</f>
        <v>1</v>
      </c>
      <c r="E154" t="s">
        <v>632</v>
      </c>
      <c r="F154" t="str">
        <f>INDEX(Lists!I:I,MATCH(Validation!E154,Lists!G:G,0))</f>
        <v>Error</v>
      </c>
      <c r="G154" t="str">
        <f>INDEX(Lists!H:H,MATCH(Validation!E154,Lists!G:G,0))</f>
        <v xml:space="preserve">Complete entry of all rows on this tab. (Enter zero when appropriate.) </v>
      </c>
      <c r="H154" s="25" t="str">
        <f t="shared" ref="H154:H168" ca="1" si="46">IFERROR(IF(OR(NOT(D154),F154&lt;&gt;"Error"),"",A154&amp;CELL("address",INDIRECT(B154))),"")</f>
        <v>Bond 1$B$6</v>
      </c>
      <c r="I154" s="25" t="str">
        <f t="shared" ref="I154:I168" ca="1" si="47">IFERROR(IF(NOT(D154),"",A154&amp;CELL("address",INDIRECT(C154))),"")</f>
        <v>Bond 1$D$6</v>
      </c>
      <c r="J154" s="26" t="str">
        <f t="shared" ref="J154:J168" si="48">IFERROR(IF(NOT(D154),"",A154),"")</f>
        <v>Bond 1</v>
      </c>
    </row>
    <row r="155" spans="1:10" x14ac:dyDescent="0.25">
      <c r="A155" t="s">
        <v>302</v>
      </c>
      <c r="B155" t="str">
        <f>ADDRESS(ROW('Bond 1'!$B$6),COLUMN('Bond 1'!$B$6),4)</f>
        <v>B6</v>
      </c>
      <c r="C155" t="str">
        <f>ADDRESS(ROW('Bond 1'!$D$6),COLUMN('Bond 1'!$D$6),4)</f>
        <v>D6</v>
      </c>
      <c r="D155" s="41" t="b">
        <f>IF(NOT('Bond 2'!B$7=""),IF((COUNTIF('Bond 2'!B$12:B$19,"")+COUNTIF('Bond 2'!B$22:B$34,"")+COUNTIF('Bond 2'!C$22:C$34,"")+COUNTIF('Bond 2'!B$36:B$42,"")+COUNTBLANK('Bond 2'!C$36:C$42)+COUNTBLANK('Bond 2'!B$44:B$45))&gt;0,TRUE,FALSE))</f>
        <v>0</v>
      </c>
      <c r="E155" t="s">
        <v>632</v>
      </c>
      <c r="F155" t="str">
        <f>INDEX(Lists!I:I,MATCH(Validation!E155,Lists!G:G,0))</f>
        <v>Error</v>
      </c>
      <c r="G155" t="str">
        <f>INDEX(Lists!H:H,MATCH(Validation!E155,Lists!G:G,0))</f>
        <v xml:space="preserve">Complete entry of all rows on this tab. (Enter zero when appropriate.) </v>
      </c>
      <c r="H155" s="25" t="str">
        <f t="shared" ca="1" si="46"/>
        <v/>
      </c>
      <c r="I155" s="25" t="str">
        <f t="shared" ca="1" si="47"/>
        <v/>
      </c>
      <c r="J155" s="26" t="str">
        <f t="shared" si="48"/>
        <v/>
      </c>
    </row>
    <row r="156" spans="1:10" x14ac:dyDescent="0.25">
      <c r="A156" t="s">
        <v>303</v>
      </c>
      <c r="B156" t="str">
        <f>ADDRESS(ROW('Bond 1'!$B$6),COLUMN('Bond 1'!$B$6),4)</f>
        <v>B6</v>
      </c>
      <c r="C156" t="str">
        <f>ADDRESS(ROW('Bond 1'!$D$6),COLUMN('Bond 1'!$D$6),4)</f>
        <v>D6</v>
      </c>
      <c r="D156" s="41" t="b">
        <f>IF(NOT('Bond 3'!B$7=""),IF((COUNTIF('Bond 3'!B$12:B$19,"")+COUNTIF('Bond 3'!B$22:B$34,"")+COUNTIF('Bond 3'!C$22:C$34,"")+COUNTIF('Bond 3'!B$36:B$42,"")+COUNTBLANK('Bond 3'!C$36:C$42)+COUNTBLANK('Bond 3'!B$44:B$45))&gt;0,TRUE,FALSE))</f>
        <v>0</v>
      </c>
      <c r="E156" t="s">
        <v>632</v>
      </c>
      <c r="F156" t="str">
        <f>INDEX(Lists!I:I,MATCH(Validation!E156,Lists!G:G,0))</f>
        <v>Error</v>
      </c>
      <c r="G156" t="str">
        <f>INDEX(Lists!H:H,MATCH(Validation!E156,Lists!G:G,0))</f>
        <v xml:space="preserve">Complete entry of all rows on this tab. (Enter zero when appropriate.) </v>
      </c>
      <c r="H156" s="25" t="str">
        <f t="shared" ca="1" si="46"/>
        <v/>
      </c>
      <c r="I156" s="25" t="str">
        <f t="shared" ca="1" si="47"/>
        <v/>
      </c>
      <c r="J156" s="26" t="str">
        <f t="shared" si="48"/>
        <v/>
      </c>
    </row>
    <row r="157" spans="1:10" x14ac:dyDescent="0.25">
      <c r="A157" t="s">
        <v>304</v>
      </c>
      <c r="B157" t="str">
        <f>ADDRESS(ROW('Bond 1'!$B$6),COLUMN('Bond 1'!$B$6),4)</f>
        <v>B6</v>
      </c>
      <c r="C157" t="str">
        <f>ADDRESS(ROW('Bond 1'!$D$6),COLUMN('Bond 1'!$D$6),4)</f>
        <v>D6</v>
      </c>
      <c r="D157" s="41" t="b">
        <f>IF(NOT('Bond 4'!B$7=""),IF((COUNTIF('Bond 4'!B$12:B$19,"")+COUNTIF('Bond 4'!B$22:B$34,"")+COUNTIF('Bond 4'!C$22:C$34,"")+COUNTIF('Bond 4'!B$36:B$42,"")+COUNTBLANK('Bond 4'!C$36:C$42)+COUNTBLANK('Bond 4'!B$44:B$45))&gt;0,TRUE,FALSE))</f>
        <v>0</v>
      </c>
      <c r="E157" t="s">
        <v>632</v>
      </c>
      <c r="F157" t="str">
        <f>INDEX(Lists!I:I,MATCH(Validation!E157,Lists!G:G,0))</f>
        <v>Error</v>
      </c>
      <c r="G157" t="str">
        <f>INDEX(Lists!H:H,MATCH(Validation!E157,Lists!G:G,0))</f>
        <v xml:space="preserve">Complete entry of all rows on this tab. (Enter zero when appropriate.) </v>
      </c>
      <c r="H157" s="25" t="str">
        <f t="shared" ca="1" si="46"/>
        <v/>
      </c>
      <c r="I157" s="25" t="str">
        <f t="shared" ca="1" si="47"/>
        <v/>
      </c>
      <c r="J157" s="26" t="str">
        <f t="shared" si="48"/>
        <v/>
      </c>
    </row>
    <row r="158" spans="1:10" x14ac:dyDescent="0.25">
      <c r="A158" t="s">
        <v>305</v>
      </c>
      <c r="B158" t="str">
        <f>ADDRESS(ROW('Bond 1'!$B$6),COLUMN('Bond 1'!$B$6),4)</f>
        <v>B6</v>
      </c>
      <c r="C158" t="str">
        <f>ADDRESS(ROW('Bond 1'!$D$6),COLUMN('Bond 1'!$D$6),4)</f>
        <v>D6</v>
      </c>
      <c r="D158" s="41" t="b">
        <f>IF(NOT('Bond 5'!B$7=""),IF((COUNTIF('Bond 5'!B$12:B$19,"")+COUNTIF('Bond 5'!B$22:B$34,"")+COUNTIF('Bond 5'!C$22:C$34,"")+COUNTIF('Bond 5'!B$36:B$42,"")+COUNTBLANK('Bond 5'!C$36:C$42)+COUNTBLANK('Bond 5'!B$44:B$45))&gt;0,TRUE,FALSE))</f>
        <v>0</v>
      </c>
      <c r="E158" t="s">
        <v>632</v>
      </c>
      <c r="F158" t="str">
        <f>INDEX(Lists!I:I,MATCH(Validation!E158,Lists!G:G,0))</f>
        <v>Error</v>
      </c>
      <c r="G158" t="str">
        <f>INDEX(Lists!H:H,MATCH(Validation!E158,Lists!G:G,0))</f>
        <v xml:space="preserve">Complete entry of all rows on this tab. (Enter zero when appropriate.) </v>
      </c>
      <c r="H158" s="25" t="str">
        <f t="shared" ca="1" si="46"/>
        <v/>
      </c>
      <c r="I158" s="25" t="str">
        <f t="shared" ca="1" si="47"/>
        <v/>
      </c>
      <c r="J158" s="26" t="str">
        <f t="shared" si="48"/>
        <v/>
      </c>
    </row>
    <row r="159" spans="1:10" x14ac:dyDescent="0.25">
      <c r="A159" t="s">
        <v>306</v>
      </c>
      <c r="B159" t="str">
        <f>ADDRESS(ROW('Bond 1'!$B$6),COLUMN('Bond 1'!$B$6),4)</f>
        <v>B6</v>
      </c>
      <c r="C159" t="str">
        <f>ADDRESS(ROW('Bond 1'!$D$6),COLUMN('Bond 1'!$D$6),4)</f>
        <v>D6</v>
      </c>
      <c r="D159" s="41" t="b">
        <f>IF(NOT('Bond 6'!B$7=""),IF((COUNTIF('Bond 6'!B$12:B$19,"")+COUNTIF('Bond 6'!B$22:B$34,"")+COUNTIF('Bond 6'!C$22:C$34,"")+COUNTIF('Bond 6'!B$36:B$42,"")+COUNTBLANK('Bond 6'!C$36:C$42)+COUNTBLANK('Bond 6'!B$44:B$45))&gt;0,TRUE,FALSE))</f>
        <v>0</v>
      </c>
      <c r="E159" t="s">
        <v>632</v>
      </c>
      <c r="F159" t="str">
        <f>INDEX(Lists!I:I,MATCH(Validation!E159,Lists!G:G,0))</f>
        <v>Error</v>
      </c>
      <c r="G159" t="str">
        <f>INDEX(Lists!H:H,MATCH(Validation!E159,Lists!G:G,0))</f>
        <v xml:space="preserve">Complete entry of all rows on this tab. (Enter zero when appropriate.) </v>
      </c>
      <c r="H159" s="25" t="str">
        <f t="shared" ca="1" si="46"/>
        <v/>
      </c>
      <c r="I159" s="25" t="str">
        <f t="shared" ca="1" si="47"/>
        <v/>
      </c>
      <c r="J159" s="26" t="str">
        <f t="shared" si="48"/>
        <v/>
      </c>
    </row>
    <row r="160" spans="1:10" x14ac:dyDescent="0.25">
      <c r="A160" t="s">
        <v>307</v>
      </c>
      <c r="B160" t="str">
        <f>ADDRESS(ROW('Bond 1'!$B$6),COLUMN('Bond 1'!$B$6),4)</f>
        <v>B6</v>
      </c>
      <c r="C160" t="str">
        <f>ADDRESS(ROW('Bond 1'!$D$6),COLUMN('Bond 1'!$D$6),4)</f>
        <v>D6</v>
      </c>
      <c r="D160" s="41" t="b">
        <f>IF(NOT('Bond 7'!B$7=""),IF((COUNTIF('Bond 7'!B$12:B$19,"")+COUNTIF('Bond 7'!B$22:B$34,"")+COUNTIF('Bond 7'!C$22:C$34,"")+COUNTIF('Bond 7'!B$36:B$42,"")+COUNTBLANK('Bond 7'!C$36:C$42)+COUNTBLANK('Bond 7'!B$44:B$45))&gt;0,TRUE,FALSE))</f>
        <v>0</v>
      </c>
      <c r="E160" t="s">
        <v>632</v>
      </c>
      <c r="F160" t="str">
        <f>INDEX(Lists!I:I,MATCH(Validation!E160,Lists!G:G,0))</f>
        <v>Error</v>
      </c>
      <c r="G160" t="str">
        <f>INDEX(Lists!H:H,MATCH(Validation!E160,Lists!G:G,0))</f>
        <v xml:space="preserve">Complete entry of all rows on this tab. (Enter zero when appropriate.) </v>
      </c>
      <c r="H160" s="25" t="str">
        <f t="shared" ca="1" si="46"/>
        <v/>
      </c>
      <c r="I160" s="25" t="str">
        <f t="shared" ca="1" si="47"/>
        <v/>
      </c>
      <c r="J160" s="26" t="str">
        <f t="shared" si="48"/>
        <v/>
      </c>
    </row>
    <row r="161" spans="1:10" x14ac:dyDescent="0.25">
      <c r="A161" t="s">
        <v>308</v>
      </c>
      <c r="B161" t="str">
        <f>ADDRESS(ROW('Bond 1'!$B$6),COLUMN('Bond 1'!$B$6),4)</f>
        <v>B6</v>
      </c>
      <c r="C161" t="str">
        <f>ADDRESS(ROW('Bond 1'!$D$6),COLUMN('Bond 1'!$D$6),4)</f>
        <v>D6</v>
      </c>
      <c r="D161" s="41" t="b">
        <f>IF(NOT('Bond 8'!B$7=""),IF((COUNTIF('Bond 8'!B$12:B$19,"")+COUNTIF('Bond 8'!B$22:B$34,"")+COUNTIF('Bond 8'!C$22:C$34,"")+COUNTIF('Bond 8'!B$36:B$42,"")+COUNTBLANK('Bond 8'!C$36:C$42)+COUNTBLANK('Bond 8'!B$44:B$45))&gt;0,TRUE,FALSE))</f>
        <v>0</v>
      </c>
      <c r="E161" t="s">
        <v>632</v>
      </c>
      <c r="F161" t="str">
        <f>INDEX(Lists!I:I,MATCH(Validation!E161,Lists!G:G,0))</f>
        <v>Error</v>
      </c>
      <c r="G161" t="str">
        <f>INDEX(Lists!H:H,MATCH(Validation!E161,Lists!G:G,0))</f>
        <v xml:space="preserve">Complete entry of all rows on this tab. (Enter zero when appropriate.) </v>
      </c>
      <c r="H161" s="25" t="str">
        <f t="shared" ca="1" si="46"/>
        <v/>
      </c>
      <c r="I161" s="25" t="str">
        <f t="shared" ca="1" si="47"/>
        <v/>
      </c>
      <c r="J161" s="26" t="str">
        <f t="shared" si="48"/>
        <v/>
      </c>
    </row>
    <row r="162" spans="1:10" x14ac:dyDescent="0.25">
      <c r="A162" t="s">
        <v>309</v>
      </c>
      <c r="B162" t="str">
        <f>ADDRESS(ROW('Bond 1'!$B$6),COLUMN('Bond 1'!$B$6),4)</f>
        <v>B6</v>
      </c>
      <c r="C162" t="str">
        <f>ADDRESS(ROW('Bond 1'!$D$6),COLUMN('Bond 1'!$D$6),4)</f>
        <v>D6</v>
      </c>
      <c r="D162" s="41" t="b">
        <f>IF(NOT('Bond 9'!B$7=""),IF((COUNTIF('Bond 9'!B$12:B$19,"")+COUNTIF('Bond 9'!B$22:B$34,"")+COUNTIF('Bond 9'!C$22:C$34,"")+COUNTIF('Bond 9'!B$36:B$42,"")+COUNTBLANK('Bond 9'!C$36:C$42)+COUNTBLANK('Bond 9'!B$44:B$45))&gt;0,TRUE,FALSE))</f>
        <v>0</v>
      </c>
      <c r="E162" t="s">
        <v>632</v>
      </c>
      <c r="F162" t="str">
        <f>INDEX(Lists!I:I,MATCH(Validation!E162,Lists!G:G,0))</f>
        <v>Error</v>
      </c>
      <c r="G162" t="str">
        <f>INDEX(Lists!H:H,MATCH(Validation!E162,Lists!G:G,0))</f>
        <v xml:space="preserve">Complete entry of all rows on this tab. (Enter zero when appropriate.) </v>
      </c>
      <c r="H162" s="25" t="str">
        <f t="shared" ca="1" si="46"/>
        <v/>
      </c>
      <c r="I162" s="25" t="str">
        <f t="shared" ca="1" si="47"/>
        <v/>
      </c>
      <c r="J162" s="26" t="str">
        <f t="shared" si="48"/>
        <v/>
      </c>
    </row>
    <row r="163" spans="1:10" x14ac:dyDescent="0.25">
      <c r="A163" t="s">
        <v>310</v>
      </c>
      <c r="B163" t="str">
        <f>ADDRESS(ROW('Bond 1'!$B$6),COLUMN('Bond 1'!$B$6),4)</f>
        <v>B6</v>
      </c>
      <c r="C163" t="str">
        <f>ADDRESS(ROW('Bond 1'!$D$6),COLUMN('Bond 1'!$D$6),4)</f>
        <v>D6</v>
      </c>
      <c r="D163" s="41" t="b">
        <f>IF(NOT('Bond 10'!B$7=""),IF((COUNTIF('Bond 10'!B$12:B$19,"")+COUNTIF('Bond 10'!B$22:B$34,"")+COUNTIF('Bond 10'!C$22:C$34,"")+COUNTIF('Bond 10'!B$36:B$42,"")+COUNTBLANK('Bond 10'!C$36:C$42)+COUNTBLANK('Bond 10'!B$44:B$45))&gt;0,TRUE,FALSE))</f>
        <v>0</v>
      </c>
      <c r="E163" t="s">
        <v>632</v>
      </c>
      <c r="F163" t="str">
        <f>INDEX(Lists!I:I,MATCH(Validation!E163,Lists!G:G,0))</f>
        <v>Error</v>
      </c>
      <c r="G163" t="str">
        <f>INDEX(Lists!H:H,MATCH(Validation!E163,Lists!G:G,0))</f>
        <v xml:space="preserve">Complete entry of all rows on this tab. (Enter zero when appropriate.) </v>
      </c>
      <c r="H163" s="25" t="str">
        <f t="shared" ca="1" si="46"/>
        <v/>
      </c>
      <c r="I163" s="25" t="str">
        <f t="shared" ca="1" si="47"/>
        <v/>
      </c>
      <c r="J163" s="26" t="str">
        <f t="shared" si="48"/>
        <v/>
      </c>
    </row>
    <row r="164" spans="1:10" x14ac:dyDescent="0.25">
      <c r="A164" t="s">
        <v>311</v>
      </c>
      <c r="B164" t="str">
        <f>ADDRESS(ROW('Bond 1'!$B$6),COLUMN('Bond 1'!$B$6),4)</f>
        <v>B6</v>
      </c>
      <c r="C164" t="str">
        <f>ADDRESS(ROW('Bond 1'!$D$6),COLUMN('Bond 1'!$D$6),4)</f>
        <v>D6</v>
      </c>
      <c r="D164" s="41" t="b">
        <f>IF(NOT('Bond 11'!B$7=""),IF((COUNTIF('Bond 11'!B$12:B$19,"")+COUNTIF('Bond 11'!B$22:B$34,"")+COUNTIF('Bond 11'!C$22:C$34,"")+COUNTIF('Bond 11'!B$36:B$42,"")+COUNTBLANK('Bond 11'!C$36:C$42)+COUNTBLANK('Bond 11'!B$44:B$45))&gt;0,TRUE,FALSE))</f>
        <v>0</v>
      </c>
      <c r="E164" t="s">
        <v>632</v>
      </c>
      <c r="F164" t="str">
        <f>INDEX(Lists!I:I,MATCH(Validation!E164,Lists!G:G,0))</f>
        <v>Error</v>
      </c>
      <c r="G164" t="str">
        <f>INDEX(Lists!H:H,MATCH(Validation!E164,Lists!G:G,0))</f>
        <v xml:space="preserve">Complete entry of all rows on this tab. (Enter zero when appropriate.) </v>
      </c>
      <c r="H164" s="25" t="str">
        <f t="shared" ca="1" si="46"/>
        <v/>
      </c>
      <c r="I164" s="25" t="str">
        <f t="shared" ca="1" si="47"/>
        <v/>
      </c>
      <c r="J164" s="26" t="str">
        <f t="shared" si="48"/>
        <v/>
      </c>
    </row>
    <row r="165" spans="1:10" x14ac:dyDescent="0.25">
      <c r="A165" t="s">
        <v>312</v>
      </c>
      <c r="B165" t="str">
        <f>ADDRESS(ROW('Bond 1'!$B$6),COLUMN('Bond 1'!$B$6),4)</f>
        <v>B6</v>
      </c>
      <c r="C165" t="str">
        <f>ADDRESS(ROW('Bond 1'!$D$6),COLUMN('Bond 1'!$D$6),4)</f>
        <v>D6</v>
      </c>
      <c r="D165" s="41" t="b">
        <f>IF(NOT('Bond 12'!B$7=""),IF((COUNTIF('Bond 12'!B$12:B$19,"")+COUNTIF('Bond 12'!B$22:B$34,"")+COUNTIF('Bond 12'!C$22:C$34,"")+COUNTIF('Bond 12'!B$36:B$42,"")+COUNTBLANK('Bond 12'!C$36:C$42)+COUNTBLANK('Bond 12'!B$44:B$45))&gt;0,TRUE,FALSE))</f>
        <v>0</v>
      </c>
      <c r="E165" t="s">
        <v>632</v>
      </c>
      <c r="F165" t="str">
        <f>INDEX(Lists!I:I,MATCH(Validation!E165,Lists!G:G,0))</f>
        <v>Error</v>
      </c>
      <c r="G165" t="str">
        <f>INDEX(Lists!H:H,MATCH(Validation!E165,Lists!G:G,0))</f>
        <v xml:space="preserve">Complete entry of all rows on this tab. (Enter zero when appropriate.) </v>
      </c>
      <c r="H165" s="25" t="str">
        <f t="shared" ca="1" si="46"/>
        <v/>
      </c>
      <c r="I165" s="25" t="str">
        <f t="shared" ca="1" si="47"/>
        <v/>
      </c>
      <c r="J165" s="26" t="str">
        <f t="shared" si="48"/>
        <v/>
      </c>
    </row>
    <row r="166" spans="1:10" x14ac:dyDescent="0.25">
      <c r="A166" t="s">
        <v>313</v>
      </c>
      <c r="B166" t="str">
        <f>ADDRESS(ROW('Bond 1'!$B$6),COLUMN('Bond 1'!$B$6),4)</f>
        <v>B6</v>
      </c>
      <c r="C166" t="str">
        <f>ADDRESS(ROW('Bond 1'!$D$6),COLUMN('Bond 1'!$D$6),4)</f>
        <v>D6</v>
      </c>
      <c r="D166" s="41" t="b">
        <f>IF(NOT('Bond 13'!B$7=""),IF((COUNTIF('Bond 13'!B$12:B$19,"")+COUNTIF('Bond 13'!B$22:B$34,"")+COUNTIF('Bond 13'!C$22:C$34,"")+COUNTIF('Bond 13'!B$36:B$42,"")+COUNTBLANK('Bond 13'!C$36:C$42)+COUNTBLANK('Bond 13'!B$44:B$45))&gt;0,TRUE,FALSE))</f>
        <v>0</v>
      </c>
      <c r="E166" t="s">
        <v>632</v>
      </c>
      <c r="F166" t="str">
        <f>INDEX(Lists!I:I,MATCH(Validation!E166,Lists!G:G,0))</f>
        <v>Error</v>
      </c>
      <c r="G166" t="str">
        <f>INDEX(Lists!H:H,MATCH(Validation!E166,Lists!G:G,0))</f>
        <v xml:space="preserve">Complete entry of all rows on this tab. (Enter zero when appropriate.) </v>
      </c>
      <c r="H166" s="25" t="str">
        <f t="shared" ca="1" si="46"/>
        <v/>
      </c>
      <c r="I166" s="25" t="str">
        <f t="shared" ca="1" si="47"/>
        <v/>
      </c>
      <c r="J166" s="26" t="str">
        <f t="shared" si="48"/>
        <v/>
      </c>
    </row>
    <row r="167" spans="1:10" x14ac:dyDescent="0.25">
      <c r="A167" t="s">
        <v>314</v>
      </c>
      <c r="B167" t="str">
        <f>ADDRESS(ROW('Bond 1'!$B$6),COLUMN('Bond 1'!$B$6),4)</f>
        <v>B6</v>
      </c>
      <c r="C167" t="str">
        <f>ADDRESS(ROW('Bond 1'!$D$6),COLUMN('Bond 1'!$D$6),4)</f>
        <v>D6</v>
      </c>
      <c r="D167" s="41" t="b">
        <f>IF(NOT('Bond 14'!B$7=""),IF((COUNTIF('Bond 14'!B$12:B$19,"")+COUNTIF('Bond 14'!B$22:B$34,"")+COUNTIF('Bond 14'!C$22:C$34,"")+COUNTIF('Bond 14'!B$36:B$42,"")+COUNTBLANK('Bond 14'!C$36:C$42)+COUNTBLANK('Bond 14'!B$44:B$45))&gt;0,TRUE,FALSE))</f>
        <v>0</v>
      </c>
      <c r="E167" t="s">
        <v>632</v>
      </c>
      <c r="F167" t="str">
        <f>INDEX(Lists!I:I,MATCH(Validation!E167,Lists!G:G,0))</f>
        <v>Error</v>
      </c>
      <c r="G167" t="str">
        <f>INDEX(Lists!H:H,MATCH(Validation!E167,Lists!G:G,0))</f>
        <v xml:space="preserve">Complete entry of all rows on this tab. (Enter zero when appropriate.) </v>
      </c>
      <c r="H167" s="25" t="str">
        <f t="shared" ca="1" si="46"/>
        <v/>
      </c>
      <c r="I167" s="25" t="str">
        <f t="shared" ca="1" si="47"/>
        <v/>
      </c>
      <c r="J167" s="26" t="str">
        <f t="shared" si="48"/>
        <v/>
      </c>
    </row>
    <row r="168" spans="1:10" x14ac:dyDescent="0.25">
      <c r="A168" t="s">
        <v>315</v>
      </c>
      <c r="B168" t="str">
        <f>ADDRESS(ROW('Bond 1'!$B$6),COLUMN('Bond 1'!$B$6),4)</f>
        <v>B6</v>
      </c>
      <c r="C168" t="str">
        <f>ADDRESS(ROW('Bond 1'!$D$6),COLUMN('Bond 1'!$D$6),4)</f>
        <v>D6</v>
      </c>
      <c r="D168" s="41" t="b">
        <f>IF(NOT('Bond 15'!B$7=""),IF((COUNTIF('Bond 15'!B$12:B$19,"")+COUNTIF('Bond 15'!B$22:B$34,"")+COUNTIF('Bond 15'!C$22:C$34,"")+COUNTIF('Bond 15'!B$36:B$42,"")+COUNTBLANK('Bond 15'!C$36:C$42)+COUNTBLANK('Bond 15'!B$44:B$45))&gt;0,TRUE,FALSE))</f>
        <v>0</v>
      </c>
      <c r="E168" t="s">
        <v>632</v>
      </c>
      <c r="F168" t="str">
        <f>INDEX(Lists!I:I,MATCH(Validation!E168,Lists!G:G,0))</f>
        <v>Error</v>
      </c>
      <c r="G168" t="str">
        <f>INDEX(Lists!H:H,MATCH(Validation!E168,Lists!G:G,0))</f>
        <v xml:space="preserve">Complete entry of all rows on this tab. (Enter zero when appropriate.) </v>
      </c>
      <c r="H168" s="25" t="str">
        <f t="shared" ca="1" si="46"/>
        <v/>
      </c>
      <c r="I168" s="25" t="str">
        <f t="shared" ca="1" si="47"/>
        <v/>
      </c>
      <c r="J168" s="26" t="str">
        <f t="shared" si="48"/>
        <v/>
      </c>
    </row>
    <row r="169" spans="1:10" x14ac:dyDescent="0.25">
      <c r="A169" t="s">
        <v>198</v>
      </c>
      <c r="B169" t="str">
        <f>ADDRESS(ROW('Bond 1'!$B$7),COLUMN('Bond 1'!$B$7),4)</f>
        <v>B7</v>
      </c>
      <c r="C169" t="str">
        <f>ADDRESS(ROW('Bond 1'!$D$7),COLUMN('Bond 1'!$D$7),4)</f>
        <v>D7</v>
      </c>
      <c r="D169" t="b">
        <f>IF(ISERROR('Bond 1'!B7),TRUE,FALSE)</f>
        <v>0</v>
      </c>
      <c r="E169" t="s">
        <v>583</v>
      </c>
      <c r="F169" t="str">
        <f>INDEX(Lists!I:I,MATCH(Validation!E169,Lists!G:G,0))</f>
        <v>Error</v>
      </c>
      <c r="G169" t="str">
        <f>INDEX(Lists!H:H,MATCH(Validation!E169,Lists!G:G,0))</f>
        <v>Error in description. Delete and re-enter.</v>
      </c>
      <c r="H169" s="25" t="str">
        <f t="shared" ref="H169" ca="1" si="49">IFERROR(IF(OR(NOT(D169),F169&lt;&gt;"Error"),"",A169&amp;CELL("address",INDIRECT(B169))),"")</f>
        <v/>
      </c>
      <c r="I169" s="16" t="str">
        <f t="shared" ca="1" si="44"/>
        <v/>
      </c>
      <c r="J169" s="26" t="str">
        <f t="shared" ref="J169" si="50">IFERROR(IF(NOT(D169),"",A169),"")</f>
        <v/>
      </c>
    </row>
    <row r="170" spans="1:10" x14ac:dyDescent="0.25">
      <c r="A170" t="s">
        <v>302</v>
      </c>
      <c r="B170" t="str">
        <f>ADDRESS(ROW('Bond 1'!$B$7),COLUMN('Bond 1'!$B$7),4)</f>
        <v>B7</v>
      </c>
      <c r="C170" t="str">
        <f>ADDRESS(ROW('Bond 1'!$D$7),COLUMN('Bond 1'!$D$7),4)</f>
        <v>D7</v>
      </c>
      <c r="D170" t="b">
        <f>IF(ISERROR('Bond 2'!B7),TRUE,FALSE)</f>
        <v>0</v>
      </c>
      <c r="E170" t="s">
        <v>583</v>
      </c>
      <c r="F170" t="str">
        <f>INDEX(Lists!I:I,MATCH(Validation!E170,Lists!G:G,0))</f>
        <v>Error</v>
      </c>
      <c r="G170" t="str">
        <f>INDEX(Lists!H:H,MATCH(Validation!E170,Lists!G:G,0))</f>
        <v>Error in description. Delete and re-enter.</v>
      </c>
      <c r="H170" s="25" t="str">
        <f t="shared" ref="H170:H183" ca="1" si="51">IFERROR(IF(OR(NOT(D170),F170&lt;&gt;"Error"),"",A170&amp;CELL("address",INDIRECT(B170))),"")</f>
        <v/>
      </c>
      <c r="I170" s="16" t="str">
        <f t="shared" ref="I170:I183" ca="1" si="52">IFERROR(IF(NOT(D170),"",A170&amp;CELL("address",INDIRECT(C170))),"")</f>
        <v/>
      </c>
      <c r="J170" s="26" t="str">
        <f t="shared" ref="J170:J183" si="53">IFERROR(IF(NOT(D170),"",A170),"")</f>
        <v/>
      </c>
    </row>
    <row r="171" spans="1:10" x14ac:dyDescent="0.25">
      <c r="A171" t="s">
        <v>303</v>
      </c>
      <c r="B171" t="str">
        <f>ADDRESS(ROW('Bond 1'!$B$7),COLUMN('Bond 1'!$B$7),4)</f>
        <v>B7</v>
      </c>
      <c r="C171" t="str">
        <f>ADDRESS(ROW('Bond 1'!$D$7),COLUMN('Bond 1'!$D$7),4)</f>
        <v>D7</v>
      </c>
      <c r="D171" t="b">
        <f>IF(ISERROR('Bond 3'!B7),TRUE,FALSE)</f>
        <v>0</v>
      </c>
      <c r="E171" t="s">
        <v>583</v>
      </c>
      <c r="F171" t="str">
        <f>INDEX(Lists!I:I,MATCH(Validation!E171,Lists!G:G,0))</f>
        <v>Error</v>
      </c>
      <c r="G171" t="str">
        <f>INDEX(Lists!H:H,MATCH(Validation!E171,Lists!G:G,0))</f>
        <v>Error in description. Delete and re-enter.</v>
      </c>
      <c r="H171" s="25" t="str">
        <f t="shared" ca="1" si="51"/>
        <v/>
      </c>
      <c r="I171" s="16" t="str">
        <f t="shared" ca="1" si="52"/>
        <v/>
      </c>
      <c r="J171" s="26" t="str">
        <f t="shared" si="53"/>
        <v/>
      </c>
    </row>
    <row r="172" spans="1:10" x14ac:dyDescent="0.25">
      <c r="A172" t="s">
        <v>304</v>
      </c>
      <c r="B172" t="str">
        <f>ADDRESS(ROW('Bond 1'!$B$7),COLUMN('Bond 1'!$B$7),4)</f>
        <v>B7</v>
      </c>
      <c r="C172" t="str">
        <f>ADDRESS(ROW('Bond 1'!$D$7),COLUMN('Bond 1'!$D$7),4)</f>
        <v>D7</v>
      </c>
      <c r="D172" t="b">
        <f>IF(ISERROR('Bond 4'!B7),TRUE,FALSE)</f>
        <v>0</v>
      </c>
      <c r="E172" t="s">
        <v>583</v>
      </c>
      <c r="F172" t="str">
        <f>INDEX(Lists!I:I,MATCH(Validation!E172,Lists!G:G,0))</f>
        <v>Error</v>
      </c>
      <c r="G172" t="str">
        <f>INDEX(Lists!H:H,MATCH(Validation!E172,Lists!G:G,0))</f>
        <v>Error in description. Delete and re-enter.</v>
      </c>
      <c r="H172" s="25" t="str">
        <f t="shared" ca="1" si="51"/>
        <v/>
      </c>
      <c r="I172" s="16" t="str">
        <f t="shared" ca="1" si="52"/>
        <v/>
      </c>
      <c r="J172" s="26" t="str">
        <f t="shared" si="53"/>
        <v/>
      </c>
    </row>
    <row r="173" spans="1:10" x14ac:dyDescent="0.25">
      <c r="A173" t="s">
        <v>305</v>
      </c>
      <c r="B173" t="str">
        <f>ADDRESS(ROW('Bond 1'!$B$7),COLUMN('Bond 1'!$B$7),4)</f>
        <v>B7</v>
      </c>
      <c r="C173" t="str">
        <f>ADDRESS(ROW('Bond 1'!$D$7),COLUMN('Bond 1'!$D$7),4)</f>
        <v>D7</v>
      </c>
      <c r="D173" t="b">
        <f>IF(ISERROR('Bond 5'!B7),TRUE,FALSE)</f>
        <v>0</v>
      </c>
      <c r="E173" t="s">
        <v>583</v>
      </c>
      <c r="F173" t="str">
        <f>INDEX(Lists!I:I,MATCH(Validation!E173,Lists!G:G,0))</f>
        <v>Error</v>
      </c>
      <c r="G173" t="str">
        <f>INDEX(Lists!H:H,MATCH(Validation!E173,Lists!G:G,0))</f>
        <v>Error in description. Delete and re-enter.</v>
      </c>
      <c r="H173" s="25" t="str">
        <f t="shared" ca="1" si="51"/>
        <v/>
      </c>
      <c r="I173" s="16" t="str">
        <f t="shared" ca="1" si="52"/>
        <v/>
      </c>
      <c r="J173" s="26" t="str">
        <f t="shared" si="53"/>
        <v/>
      </c>
    </row>
    <row r="174" spans="1:10" x14ac:dyDescent="0.25">
      <c r="A174" t="s">
        <v>306</v>
      </c>
      <c r="B174" t="str">
        <f>ADDRESS(ROW('Bond 1'!$B$7),COLUMN('Bond 1'!$B$7),4)</f>
        <v>B7</v>
      </c>
      <c r="C174" t="str">
        <f>ADDRESS(ROW('Bond 1'!$D$7),COLUMN('Bond 1'!$D$7),4)</f>
        <v>D7</v>
      </c>
      <c r="D174" t="b">
        <f>IF(ISERROR('Bond 6'!B7),TRUE,FALSE)</f>
        <v>0</v>
      </c>
      <c r="E174" t="s">
        <v>583</v>
      </c>
      <c r="F174" t="str">
        <f>INDEX(Lists!I:I,MATCH(Validation!E174,Lists!G:G,0))</f>
        <v>Error</v>
      </c>
      <c r="G174" t="str">
        <f>INDEX(Lists!H:H,MATCH(Validation!E174,Lists!G:G,0))</f>
        <v>Error in description. Delete and re-enter.</v>
      </c>
      <c r="H174" s="25" t="str">
        <f t="shared" ca="1" si="51"/>
        <v/>
      </c>
      <c r="I174" s="16" t="str">
        <f t="shared" ca="1" si="52"/>
        <v/>
      </c>
      <c r="J174" s="26" t="str">
        <f t="shared" si="53"/>
        <v/>
      </c>
    </row>
    <row r="175" spans="1:10" x14ac:dyDescent="0.25">
      <c r="A175" t="s">
        <v>307</v>
      </c>
      <c r="B175" t="str">
        <f>ADDRESS(ROW('Bond 1'!$B$7),COLUMN('Bond 1'!$B$7),4)</f>
        <v>B7</v>
      </c>
      <c r="C175" t="str">
        <f>ADDRESS(ROW('Bond 1'!$D$7),COLUMN('Bond 1'!$D$7),4)</f>
        <v>D7</v>
      </c>
      <c r="D175" t="b">
        <f>IF(ISERROR('Bond 7'!B7),TRUE,FALSE)</f>
        <v>0</v>
      </c>
      <c r="E175" t="s">
        <v>583</v>
      </c>
      <c r="F175" t="str">
        <f>INDEX(Lists!I:I,MATCH(Validation!E175,Lists!G:G,0))</f>
        <v>Error</v>
      </c>
      <c r="G175" t="str">
        <f>INDEX(Lists!H:H,MATCH(Validation!E175,Lists!G:G,0))</f>
        <v>Error in description. Delete and re-enter.</v>
      </c>
      <c r="H175" s="25" t="str">
        <f t="shared" ca="1" si="51"/>
        <v/>
      </c>
      <c r="I175" s="16" t="str">
        <f t="shared" ca="1" si="52"/>
        <v/>
      </c>
      <c r="J175" s="26" t="str">
        <f t="shared" si="53"/>
        <v/>
      </c>
    </row>
    <row r="176" spans="1:10" x14ac:dyDescent="0.25">
      <c r="A176" t="s">
        <v>308</v>
      </c>
      <c r="B176" t="str">
        <f>ADDRESS(ROW('Bond 1'!$B$7),COLUMN('Bond 1'!$B$7),4)</f>
        <v>B7</v>
      </c>
      <c r="C176" t="str">
        <f>ADDRESS(ROW('Bond 1'!$D$7),COLUMN('Bond 1'!$D$7),4)</f>
        <v>D7</v>
      </c>
      <c r="D176" t="b">
        <f>IF(ISERROR('Bond 8'!B7),TRUE,FALSE)</f>
        <v>0</v>
      </c>
      <c r="E176" t="s">
        <v>583</v>
      </c>
      <c r="F176" t="str">
        <f>INDEX(Lists!I:I,MATCH(Validation!E176,Lists!G:G,0))</f>
        <v>Error</v>
      </c>
      <c r="G176" t="str">
        <f>INDEX(Lists!H:H,MATCH(Validation!E176,Lists!G:G,0))</f>
        <v>Error in description. Delete and re-enter.</v>
      </c>
      <c r="H176" s="25" t="str">
        <f t="shared" ca="1" si="51"/>
        <v/>
      </c>
      <c r="I176" s="16" t="str">
        <f t="shared" ca="1" si="52"/>
        <v/>
      </c>
      <c r="J176" s="26" t="str">
        <f t="shared" si="53"/>
        <v/>
      </c>
    </row>
    <row r="177" spans="1:10" x14ac:dyDescent="0.25">
      <c r="A177" t="s">
        <v>309</v>
      </c>
      <c r="B177" t="str">
        <f>ADDRESS(ROW('Bond 1'!$B$7),COLUMN('Bond 1'!$B$7),4)</f>
        <v>B7</v>
      </c>
      <c r="C177" t="str">
        <f>ADDRESS(ROW('Bond 1'!$D$7),COLUMN('Bond 1'!$D$7),4)</f>
        <v>D7</v>
      </c>
      <c r="D177" t="b">
        <f>IF(ISERROR('Bond 9'!B7),TRUE,FALSE)</f>
        <v>0</v>
      </c>
      <c r="E177" t="s">
        <v>583</v>
      </c>
      <c r="F177" t="str">
        <f>INDEX(Lists!I:I,MATCH(Validation!E177,Lists!G:G,0))</f>
        <v>Error</v>
      </c>
      <c r="G177" t="str">
        <f>INDEX(Lists!H:H,MATCH(Validation!E177,Lists!G:G,0))</f>
        <v>Error in description. Delete and re-enter.</v>
      </c>
      <c r="H177" s="25" t="str">
        <f t="shared" ca="1" si="51"/>
        <v/>
      </c>
      <c r="I177" s="16" t="str">
        <f t="shared" ca="1" si="52"/>
        <v/>
      </c>
      <c r="J177" s="26" t="str">
        <f t="shared" si="53"/>
        <v/>
      </c>
    </row>
    <row r="178" spans="1:10" x14ac:dyDescent="0.25">
      <c r="A178" t="s">
        <v>310</v>
      </c>
      <c r="B178" t="str">
        <f>ADDRESS(ROW('Bond 1'!$B$7),COLUMN('Bond 1'!$B$7),4)</f>
        <v>B7</v>
      </c>
      <c r="C178" t="str">
        <f>ADDRESS(ROW('Bond 1'!$D$7),COLUMN('Bond 1'!$D$7),4)</f>
        <v>D7</v>
      </c>
      <c r="D178" t="b">
        <f>IF(ISERROR('Bond 10'!B7),TRUE,FALSE)</f>
        <v>0</v>
      </c>
      <c r="E178" t="s">
        <v>583</v>
      </c>
      <c r="F178" t="str">
        <f>INDEX(Lists!I:I,MATCH(Validation!E178,Lists!G:G,0))</f>
        <v>Error</v>
      </c>
      <c r="G178" t="str">
        <f>INDEX(Lists!H:H,MATCH(Validation!E178,Lists!G:G,0))</f>
        <v>Error in description. Delete and re-enter.</v>
      </c>
      <c r="H178" s="25" t="str">
        <f t="shared" ca="1" si="51"/>
        <v/>
      </c>
      <c r="I178" s="16" t="str">
        <f t="shared" ca="1" si="52"/>
        <v/>
      </c>
      <c r="J178" s="26" t="str">
        <f t="shared" si="53"/>
        <v/>
      </c>
    </row>
    <row r="179" spans="1:10" x14ac:dyDescent="0.25">
      <c r="A179" t="s">
        <v>311</v>
      </c>
      <c r="B179" t="str">
        <f>ADDRESS(ROW('Bond 1'!$B$7),COLUMN('Bond 1'!$B$7),4)</f>
        <v>B7</v>
      </c>
      <c r="C179" t="str">
        <f>ADDRESS(ROW('Bond 1'!$D$7),COLUMN('Bond 1'!$D$7),4)</f>
        <v>D7</v>
      </c>
      <c r="D179" t="b">
        <f>IF(ISERROR('Bond 11'!B7),TRUE,FALSE)</f>
        <v>0</v>
      </c>
      <c r="E179" t="s">
        <v>583</v>
      </c>
      <c r="F179" t="str">
        <f>INDEX(Lists!I:I,MATCH(Validation!E179,Lists!G:G,0))</f>
        <v>Error</v>
      </c>
      <c r="G179" t="str">
        <f>INDEX(Lists!H:H,MATCH(Validation!E179,Lists!G:G,0))</f>
        <v>Error in description. Delete and re-enter.</v>
      </c>
      <c r="H179" s="25" t="str">
        <f t="shared" ca="1" si="51"/>
        <v/>
      </c>
      <c r="I179" s="16" t="str">
        <f t="shared" ca="1" si="52"/>
        <v/>
      </c>
      <c r="J179" s="26" t="str">
        <f t="shared" si="53"/>
        <v/>
      </c>
    </row>
    <row r="180" spans="1:10" x14ac:dyDescent="0.25">
      <c r="A180" t="s">
        <v>312</v>
      </c>
      <c r="B180" t="str">
        <f>ADDRESS(ROW('Bond 1'!$B$7),COLUMN('Bond 1'!$B$7),4)</f>
        <v>B7</v>
      </c>
      <c r="C180" t="str">
        <f>ADDRESS(ROW('Bond 1'!$D$7),COLUMN('Bond 1'!$D$7),4)</f>
        <v>D7</v>
      </c>
      <c r="D180" t="b">
        <f>IF(ISERROR('Bond 12'!B7),TRUE,FALSE)</f>
        <v>0</v>
      </c>
      <c r="E180" t="s">
        <v>583</v>
      </c>
      <c r="F180" t="str">
        <f>INDEX(Lists!I:I,MATCH(Validation!E180,Lists!G:G,0))</f>
        <v>Error</v>
      </c>
      <c r="G180" t="str">
        <f>INDEX(Lists!H:H,MATCH(Validation!E180,Lists!G:G,0))</f>
        <v>Error in description. Delete and re-enter.</v>
      </c>
      <c r="H180" s="25" t="str">
        <f t="shared" ca="1" si="51"/>
        <v/>
      </c>
      <c r="I180" s="16" t="str">
        <f t="shared" ca="1" si="52"/>
        <v/>
      </c>
      <c r="J180" s="26" t="str">
        <f t="shared" si="53"/>
        <v/>
      </c>
    </row>
    <row r="181" spans="1:10" x14ac:dyDescent="0.25">
      <c r="A181" t="s">
        <v>313</v>
      </c>
      <c r="B181" t="str">
        <f>ADDRESS(ROW('Bond 1'!$B$7),COLUMN('Bond 1'!$B$7),4)</f>
        <v>B7</v>
      </c>
      <c r="C181" t="str">
        <f>ADDRESS(ROW('Bond 1'!$D$7),COLUMN('Bond 1'!$D$7),4)</f>
        <v>D7</v>
      </c>
      <c r="D181" t="b">
        <f>IF(ISERROR('Bond 13'!B7),TRUE,FALSE)</f>
        <v>0</v>
      </c>
      <c r="E181" t="s">
        <v>583</v>
      </c>
      <c r="F181" t="str">
        <f>INDEX(Lists!I:I,MATCH(Validation!E181,Lists!G:G,0))</f>
        <v>Error</v>
      </c>
      <c r="G181" t="str">
        <f>INDEX(Lists!H:H,MATCH(Validation!E181,Lists!G:G,0))</f>
        <v>Error in description. Delete and re-enter.</v>
      </c>
      <c r="H181" s="25" t="str">
        <f t="shared" ca="1" si="51"/>
        <v/>
      </c>
      <c r="I181" s="16" t="str">
        <f t="shared" ca="1" si="52"/>
        <v/>
      </c>
      <c r="J181" s="26" t="str">
        <f t="shared" si="53"/>
        <v/>
      </c>
    </row>
    <row r="182" spans="1:10" x14ac:dyDescent="0.25">
      <c r="A182" t="s">
        <v>314</v>
      </c>
      <c r="B182" t="str">
        <f>ADDRESS(ROW('Bond 1'!$B$7),COLUMN('Bond 1'!$B$7),4)</f>
        <v>B7</v>
      </c>
      <c r="C182" t="str">
        <f>ADDRESS(ROW('Bond 1'!$D$7),COLUMN('Bond 1'!$D$7),4)</f>
        <v>D7</v>
      </c>
      <c r="D182" t="b">
        <f>IF(ISERROR('Bond 14'!B7),TRUE,FALSE)</f>
        <v>0</v>
      </c>
      <c r="E182" t="s">
        <v>583</v>
      </c>
      <c r="F182" t="str">
        <f>INDEX(Lists!I:I,MATCH(Validation!E182,Lists!G:G,0))</f>
        <v>Error</v>
      </c>
      <c r="G182" t="str">
        <f>INDEX(Lists!H:H,MATCH(Validation!E182,Lists!G:G,0))</f>
        <v>Error in description. Delete and re-enter.</v>
      </c>
      <c r="H182" s="25" t="str">
        <f t="shared" ca="1" si="51"/>
        <v/>
      </c>
      <c r="I182" s="16" t="str">
        <f t="shared" ca="1" si="52"/>
        <v/>
      </c>
      <c r="J182" s="26" t="str">
        <f t="shared" si="53"/>
        <v/>
      </c>
    </row>
    <row r="183" spans="1:10" x14ac:dyDescent="0.25">
      <c r="A183" t="s">
        <v>315</v>
      </c>
      <c r="B183" t="str">
        <f>ADDRESS(ROW('Bond 1'!$B$7),COLUMN('Bond 1'!$B$7),4)</f>
        <v>B7</v>
      </c>
      <c r="C183" t="str">
        <f>ADDRESS(ROW('Bond 1'!$D$7),COLUMN('Bond 1'!$D$7),4)</f>
        <v>D7</v>
      </c>
      <c r="D183" t="b">
        <f>IF(ISERROR('Bond 15'!B7),TRUE,FALSE)</f>
        <v>0</v>
      </c>
      <c r="E183" t="s">
        <v>583</v>
      </c>
      <c r="F183" t="str">
        <f>INDEX(Lists!I:I,MATCH(Validation!E183,Lists!G:G,0))</f>
        <v>Error</v>
      </c>
      <c r="G183" t="str">
        <f>INDEX(Lists!H:H,MATCH(Validation!E183,Lists!G:G,0))</f>
        <v>Error in description. Delete and re-enter.</v>
      </c>
      <c r="H183" s="25" t="str">
        <f t="shared" ca="1" si="51"/>
        <v/>
      </c>
      <c r="I183" s="16" t="str">
        <f t="shared" ca="1" si="52"/>
        <v/>
      </c>
      <c r="J183" s="26" t="str">
        <f t="shared" si="53"/>
        <v/>
      </c>
    </row>
    <row r="184" spans="1:10" x14ac:dyDescent="0.25">
      <c r="A184" t="s">
        <v>198</v>
      </c>
      <c r="B184" t="str">
        <f>ADDRESS(ROW('Bond 1'!$B$7),COLUMN('Bond 1'!$B$7),4)</f>
        <v>B7</v>
      </c>
      <c r="C184" t="str">
        <f>ADDRESS(ROW('Bond 1'!$D$7),COLUMN('Bond 1'!$D$7),4)</f>
        <v>D7</v>
      </c>
      <c r="D184" t="b">
        <f>IF(LEN('Bond 1'!B7)&gt;100,TRUE,FALSE)</f>
        <v>0</v>
      </c>
      <c r="E184" t="s">
        <v>585</v>
      </c>
      <c r="F184" t="str">
        <f>INDEX(Lists!I:I,MATCH(Validation!E184,Lists!G:G,0))</f>
        <v>Error</v>
      </c>
      <c r="G184" t="str">
        <f>INDEX(Lists!H:H,MATCH(Validation!E184,Lists!G:G,0))</f>
        <v>Entry cannot exceed 100 characters. Please re-enter.</v>
      </c>
      <c r="H184" s="25" t="str">
        <f t="shared" ref="H184" ca="1" si="54">IFERROR(IF(OR(NOT(D184),F184&lt;&gt;"Error"),"",A184&amp;CELL("address",INDIRECT(B184))),"")</f>
        <v/>
      </c>
      <c r="I184" s="16" t="str">
        <f t="shared" ref="I184" ca="1" si="55">IFERROR(IF(NOT(D184),"",A184&amp;CELL("address",INDIRECT(C184))),"")</f>
        <v/>
      </c>
      <c r="J184" s="26" t="str">
        <f t="shared" ref="J184" si="56">IFERROR(IF(NOT(D184),"",A184),"")</f>
        <v/>
      </c>
    </row>
    <row r="185" spans="1:10" x14ac:dyDescent="0.25">
      <c r="A185" t="s">
        <v>302</v>
      </c>
      <c r="B185" t="str">
        <f>ADDRESS(ROW('Bond 1'!$B$7),COLUMN('Bond 1'!$B$7),4)</f>
        <v>B7</v>
      </c>
      <c r="C185" t="str">
        <f>ADDRESS(ROW('Bond 1'!$D$7),COLUMN('Bond 1'!$D$7),4)</f>
        <v>D7</v>
      </c>
      <c r="D185" t="b">
        <f>IF(LEN('Bond 2'!B8)&gt;100,TRUE,FALSE)</f>
        <v>0</v>
      </c>
      <c r="E185" t="s">
        <v>585</v>
      </c>
      <c r="F185" t="str">
        <f>INDEX(Lists!I:I,MATCH(Validation!E185,Lists!G:G,0))</f>
        <v>Error</v>
      </c>
      <c r="G185" t="str">
        <f>INDEX(Lists!H:H,MATCH(Validation!E185,Lists!G:G,0))</f>
        <v>Entry cannot exceed 100 characters. Please re-enter.</v>
      </c>
      <c r="H185" s="25" t="str">
        <f t="shared" ref="H185:H198" ca="1" si="57">IFERROR(IF(OR(NOT(D185),F185&lt;&gt;"Error"),"",A185&amp;CELL("address",INDIRECT(B185))),"")</f>
        <v/>
      </c>
      <c r="I185" s="16" t="str">
        <f t="shared" ref="I185:I198" ca="1" si="58">IFERROR(IF(NOT(D185),"",A185&amp;CELL("address",INDIRECT(C185))),"")</f>
        <v/>
      </c>
      <c r="J185" s="26" t="str">
        <f t="shared" ref="J185:J198" si="59">IFERROR(IF(NOT(D185),"",A185),"")</f>
        <v/>
      </c>
    </row>
    <row r="186" spans="1:10" x14ac:dyDescent="0.25">
      <c r="A186" t="s">
        <v>303</v>
      </c>
      <c r="B186" t="str">
        <f>ADDRESS(ROW('Bond 1'!$B$7),COLUMN('Bond 1'!$B$7),4)</f>
        <v>B7</v>
      </c>
      <c r="C186" t="str">
        <f>ADDRESS(ROW('Bond 1'!$D$7),COLUMN('Bond 1'!$D$7),4)</f>
        <v>D7</v>
      </c>
      <c r="D186" t="b">
        <f>IF(LEN('Bond 3'!B9)&gt;100,TRUE,FALSE)</f>
        <v>0</v>
      </c>
      <c r="E186" t="s">
        <v>585</v>
      </c>
      <c r="F186" t="str">
        <f>INDEX(Lists!I:I,MATCH(Validation!E186,Lists!G:G,0))</f>
        <v>Error</v>
      </c>
      <c r="G186" t="str">
        <f>INDEX(Lists!H:H,MATCH(Validation!E186,Lists!G:G,0))</f>
        <v>Entry cannot exceed 100 characters. Please re-enter.</v>
      </c>
      <c r="H186" s="25" t="str">
        <f t="shared" ca="1" si="57"/>
        <v/>
      </c>
      <c r="I186" s="16" t="str">
        <f t="shared" ca="1" si="58"/>
        <v/>
      </c>
      <c r="J186" s="26" t="str">
        <f t="shared" si="59"/>
        <v/>
      </c>
    </row>
    <row r="187" spans="1:10" x14ac:dyDescent="0.25">
      <c r="A187" t="s">
        <v>304</v>
      </c>
      <c r="B187" t="str">
        <f>ADDRESS(ROW('Bond 1'!$B$7),COLUMN('Bond 1'!$B$7),4)</f>
        <v>B7</v>
      </c>
      <c r="C187" t="str">
        <f>ADDRESS(ROW('Bond 1'!$D$7),COLUMN('Bond 1'!$D$7),4)</f>
        <v>D7</v>
      </c>
      <c r="D187" t="b">
        <f>IF(LEN('Bond 4'!B10)&gt;100,TRUE,FALSE)</f>
        <v>0</v>
      </c>
      <c r="E187" t="s">
        <v>585</v>
      </c>
      <c r="F187" t="str">
        <f>INDEX(Lists!I:I,MATCH(Validation!E187,Lists!G:G,0))</f>
        <v>Error</v>
      </c>
      <c r="G187" t="str">
        <f>INDEX(Lists!H:H,MATCH(Validation!E187,Lists!G:G,0))</f>
        <v>Entry cannot exceed 100 characters. Please re-enter.</v>
      </c>
      <c r="H187" s="25" t="str">
        <f t="shared" ca="1" si="57"/>
        <v/>
      </c>
      <c r="I187" s="16" t="str">
        <f t="shared" ca="1" si="58"/>
        <v/>
      </c>
      <c r="J187" s="26" t="str">
        <f t="shared" si="59"/>
        <v/>
      </c>
    </row>
    <row r="188" spans="1:10" x14ac:dyDescent="0.25">
      <c r="A188" t="s">
        <v>305</v>
      </c>
      <c r="B188" t="str">
        <f>ADDRESS(ROW('Bond 1'!$B$7),COLUMN('Bond 1'!$B$7),4)</f>
        <v>B7</v>
      </c>
      <c r="C188" t="str">
        <f>ADDRESS(ROW('Bond 1'!$D$7),COLUMN('Bond 1'!$D$7),4)</f>
        <v>D7</v>
      </c>
      <c r="D188" t="b">
        <f>IF(LEN('Bond 5'!B11)&gt;100,TRUE,FALSE)</f>
        <v>0</v>
      </c>
      <c r="E188" t="s">
        <v>585</v>
      </c>
      <c r="F188" t="str">
        <f>INDEX(Lists!I:I,MATCH(Validation!E188,Lists!G:G,0))</f>
        <v>Error</v>
      </c>
      <c r="G188" t="str">
        <f>INDEX(Lists!H:H,MATCH(Validation!E188,Lists!G:G,0))</f>
        <v>Entry cannot exceed 100 characters. Please re-enter.</v>
      </c>
      <c r="H188" s="25" t="str">
        <f t="shared" ca="1" si="57"/>
        <v/>
      </c>
      <c r="I188" s="16" t="str">
        <f t="shared" ca="1" si="58"/>
        <v/>
      </c>
      <c r="J188" s="26" t="str">
        <f t="shared" si="59"/>
        <v/>
      </c>
    </row>
    <row r="189" spans="1:10" x14ac:dyDescent="0.25">
      <c r="A189" t="s">
        <v>306</v>
      </c>
      <c r="B189" t="str">
        <f>ADDRESS(ROW('Bond 1'!$B$7),COLUMN('Bond 1'!$B$7),4)</f>
        <v>B7</v>
      </c>
      <c r="C189" t="str">
        <f>ADDRESS(ROW('Bond 1'!$D$7),COLUMN('Bond 1'!$D$7),4)</f>
        <v>D7</v>
      </c>
      <c r="D189" t="b">
        <f>IF(LEN('Bond 6'!B12)&gt;100,TRUE,FALSE)</f>
        <v>0</v>
      </c>
      <c r="E189" t="s">
        <v>585</v>
      </c>
      <c r="F189" t="str">
        <f>INDEX(Lists!I:I,MATCH(Validation!E189,Lists!G:G,0))</f>
        <v>Error</v>
      </c>
      <c r="G189" t="str">
        <f>INDEX(Lists!H:H,MATCH(Validation!E189,Lists!G:G,0))</f>
        <v>Entry cannot exceed 100 characters. Please re-enter.</v>
      </c>
      <c r="H189" s="25" t="str">
        <f t="shared" ca="1" si="57"/>
        <v/>
      </c>
      <c r="I189" s="16" t="str">
        <f t="shared" ca="1" si="58"/>
        <v/>
      </c>
      <c r="J189" s="26" t="str">
        <f t="shared" si="59"/>
        <v/>
      </c>
    </row>
    <row r="190" spans="1:10" x14ac:dyDescent="0.25">
      <c r="A190" t="s">
        <v>307</v>
      </c>
      <c r="B190" t="str">
        <f>ADDRESS(ROW('Bond 1'!$B$7),COLUMN('Bond 1'!$B$7),4)</f>
        <v>B7</v>
      </c>
      <c r="C190" t="str">
        <f>ADDRESS(ROW('Bond 1'!$D$7),COLUMN('Bond 1'!$D$7),4)</f>
        <v>D7</v>
      </c>
      <c r="D190" t="b">
        <f>IF(LEN('Bond 7'!B13)&gt;100,TRUE,FALSE)</f>
        <v>0</v>
      </c>
      <c r="E190" t="s">
        <v>585</v>
      </c>
      <c r="F190" t="str">
        <f>INDEX(Lists!I:I,MATCH(Validation!E190,Lists!G:G,0))</f>
        <v>Error</v>
      </c>
      <c r="G190" t="str">
        <f>INDEX(Lists!H:H,MATCH(Validation!E190,Lists!G:G,0))</f>
        <v>Entry cannot exceed 100 characters. Please re-enter.</v>
      </c>
      <c r="H190" s="25" t="str">
        <f t="shared" ca="1" si="57"/>
        <v/>
      </c>
      <c r="I190" s="16" t="str">
        <f t="shared" ca="1" si="58"/>
        <v/>
      </c>
      <c r="J190" s="26" t="str">
        <f t="shared" si="59"/>
        <v/>
      </c>
    </row>
    <row r="191" spans="1:10" x14ac:dyDescent="0.25">
      <c r="A191" t="s">
        <v>308</v>
      </c>
      <c r="B191" t="str">
        <f>ADDRESS(ROW('Bond 1'!$B$7),COLUMN('Bond 1'!$B$7),4)</f>
        <v>B7</v>
      </c>
      <c r="C191" t="str">
        <f>ADDRESS(ROW('Bond 1'!$D$7),COLUMN('Bond 1'!$D$7),4)</f>
        <v>D7</v>
      </c>
      <c r="D191" t="b">
        <f>IF(LEN('Bond 8'!B14)&gt;100,TRUE,FALSE)</f>
        <v>0</v>
      </c>
      <c r="E191" t="s">
        <v>585</v>
      </c>
      <c r="F191" t="str">
        <f>INDEX(Lists!I:I,MATCH(Validation!E191,Lists!G:G,0))</f>
        <v>Error</v>
      </c>
      <c r="G191" t="str">
        <f>INDEX(Lists!H:H,MATCH(Validation!E191,Lists!G:G,0))</f>
        <v>Entry cannot exceed 100 characters. Please re-enter.</v>
      </c>
      <c r="H191" s="25" t="str">
        <f t="shared" ca="1" si="57"/>
        <v/>
      </c>
      <c r="I191" s="16" t="str">
        <f t="shared" ca="1" si="58"/>
        <v/>
      </c>
      <c r="J191" s="26" t="str">
        <f t="shared" si="59"/>
        <v/>
      </c>
    </row>
    <row r="192" spans="1:10" x14ac:dyDescent="0.25">
      <c r="A192" t="s">
        <v>309</v>
      </c>
      <c r="B192" t="str">
        <f>ADDRESS(ROW('Bond 1'!$B$7),COLUMN('Bond 1'!$B$7),4)</f>
        <v>B7</v>
      </c>
      <c r="C192" t="str">
        <f>ADDRESS(ROW('Bond 1'!$D$7),COLUMN('Bond 1'!$D$7),4)</f>
        <v>D7</v>
      </c>
      <c r="D192" t="b">
        <f>IF(LEN('Bond 9'!B15)&gt;100,TRUE,FALSE)</f>
        <v>0</v>
      </c>
      <c r="E192" t="s">
        <v>585</v>
      </c>
      <c r="F192" t="str">
        <f>INDEX(Lists!I:I,MATCH(Validation!E192,Lists!G:G,0))</f>
        <v>Error</v>
      </c>
      <c r="G192" t="str">
        <f>INDEX(Lists!H:H,MATCH(Validation!E192,Lists!G:G,0))</f>
        <v>Entry cannot exceed 100 characters. Please re-enter.</v>
      </c>
      <c r="H192" s="25" t="str">
        <f t="shared" ca="1" si="57"/>
        <v/>
      </c>
      <c r="I192" s="16" t="str">
        <f t="shared" ca="1" si="58"/>
        <v/>
      </c>
      <c r="J192" s="26" t="str">
        <f t="shared" si="59"/>
        <v/>
      </c>
    </row>
    <row r="193" spans="1:10" x14ac:dyDescent="0.25">
      <c r="A193" t="s">
        <v>310</v>
      </c>
      <c r="B193" t="str">
        <f>ADDRESS(ROW('Bond 1'!$B$7),COLUMN('Bond 1'!$B$7),4)</f>
        <v>B7</v>
      </c>
      <c r="C193" t="str">
        <f>ADDRESS(ROW('Bond 1'!$D$7),COLUMN('Bond 1'!$D$7),4)</f>
        <v>D7</v>
      </c>
      <c r="D193" t="b">
        <f>IF(LEN('Bond 10'!B16)&gt;100,TRUE,FALSE)</f>
        <v>0</v>
      </c>
      <c r="E193" t="s">
        <v>585</v>
      </c>
      <c r="F193" t="str">
        <f>INDEX(Lists!I:I,MATCH(Validation!E193,Lists!G:G,0))</f>
        <v>Error</v>
      </c>
      <c r="G193" t="str">
        <f>INDEX(Lists!H:H,MATCH(Validation!E193,Lists!G:G,0))</f>
        <v>Entry cannot exceed 100 characters. Please re-enter.</v>
      </c>
      <c r="H193" s="25" t="str">
        <f t="shared" ca="1" si="57"/>
        <v/>
      </c>
      <c r="I193" s="16" t="str">
        <f t="shared" ca="1" si="58"/>
        <v/>
      </c>
      <c r="J193" s="26" t="str">
        <f t="shared" si="59"/>
        <v/>
      </c>
    </row>
    <row r="194" spans="1:10" x14ac:dyDescent="0.25">
      <c r="A194" t="s">
        <v>311</v>
      </c>
      <c r="B194" t="str">
        <f>ADDRESS(ROW('Bond 1'!$B$7),COLUMN('Bond 1'!$B$7),4)</f>
        <v>B7</v>
      </c>
      <c r="C194" t="str">
        <f>ADDRESS(ROW('Bond 1'!$D$7),COLUMN('Bond 1'!$D$7),4)</f>
        <v>D7</v>
      </c>
      <c r="D194" t="b">
        <f>IF(LEN('Bond 11'!B17)&gt;100,TRUE,FALSE)</f>
        <v>0</v>
      </c>
      <c r="E194" t="s">
        <v>585</v>
      </c>
      <c r="F194" t="str">
        <f>INDEX(Lists!I:I,MATCH(Validation!E194,Lists!G:G,0))</f>
        <v>Error</v>
      </c>
      <c r="G194" t="str">
        <f>INDEX(Lists!H:H,MATCH(Validation!E194,Lists!G:G,0))</f>
        <v>Entry cannot exceed 100 characters. Please re-enter.</v>
      </c>
      <c r="H194" s="25" t="str">
        <f t="shared" ca="1" si="57"/>
        <v/>
      </c>
      <c r="I194" s="16" t="str">
        <f t="shared" ca="1" si="58"/>
        <v/>
      </c>
      <c r="J194" s="26" t="str">
        <f t="shared" si="59"/>
        <v/>
      </c>
    </row>
    <row r="195" spans="1:10" x14ac:dyDescent="0.25">
      <c r="A195" t="s">
        <v>312</v>
      </c>
      <c r="B195" t="str">
        <f>ADDRESS(ROW('Bond 1'!$B$7),COLUMN('Bond 1'!$B$7),4)</f>
        <v>B7</v>
      </c>
      <c r="C195" t="str">
        <f>ADDRESS(ROW('Bond 1'!$D$7),COLUMN('Bond 1'!$D$7),4)</f>
        <v>D7</v>
      </c>
      <c r="D195" t="b">
        <f>IF(LEN('Bond 12'!B18)&gt;100,TRUE,FALSE)</f>
        <v>0</v>
      </c>
      <c r="E195" t="s">
        <v>585</v>
      </c>
      <c r="F195" t="str">
        <f>INDEX(Lists!I:I,MATCH(Validation!E195,Lists!G:G,0))</f>
        <v>Error</v>
      </c>
      <c r="G195" t="str">
        <f>INDEX(Lists!H:H,MATCH(Validation!E195,Lists!G:G,0))</f>
        <v>Entry cannot exceed 100 characters. Please re-enter.</v>
      </c>
      <c r="H195" s="25" t="str">
        <f t="shared" ca="1" si="57"/>
        <v/>
      </c>
      <c r="I195" s="16" t="str">
        <f t="shared" ca="1" si="58"/>
        <v/>
      </c>
      <c r="J195" s="26" t="str">
        <f t="shared" si="59"/>
        <v/>
      </c>
    </row>
    <row r="196" spans="1:10" x14ac:dyDescent="0.25">
      <c r="A196" t="s">
        <v>313</v>
      </c>
      <c r="B196" t="str">
        <f>ADDRESS(ROW('Bond 1'!$B$7),COLUMN('Bond 1'!$B$7),4)</f>
        <v>B7</v>
      </c>
      <c r="C196" t="str">
        <f>ADDRESS(ROW('Bond 1'!$D$7),COLUMN('Bond 1'!$D$7),4)</f>
        <v>D7</v>
      </c>
      <c r="D196" t="b">
        <f>IF(LEN('Bond 13'!B19)&gt;100,TRUE,FALSE)</f>
        <v>0</v>
      </c>
      <c r="E196" t="s">
        <v>585</v>
      </c>
      <c r="F196" t="str">
        <f>INDEX(Lists!I:I,MATCH(Validation!E196,Lists!G:G,0))</f>
        <v>Error</v>
      </c>
      <c r="G196" t="str">
        <f>INDEX(Lists!H:H,MATCH(Validation!E196,Lists!G:G,0))</f>
        <v>Entry cannot exceed 100 characters. Please re-enter.</v>
      </c>
      <c r="H196" s="25" t="str">
        <f t="shared" ca="1" si="57"/>
        <v/>
      </c>
      <c r="I196" s="16" t="str">
        <f t="shared" ca="1" si="58"/>
        <v/>
      </c>
      <c r="J196" s="26" t="str">
        <f t="shared" si="59"/>
        <v/>
      </c>
    </row>
    <row r="197" spans="1:10" x14ac:dyDescent="0.25">
      <c r="A197" t="s">
        <v>314</v>
      </c>
      <c r="B197" t="str">
        <f>ADDRESS(ROW('Bond 1'!$B$7),COLUMN('Bond 1'!$B$7),4)</f>
        <v>B7</v>
      </c>
      <c r="C197" t="str">
        <f>ADDRESS(ROW('Bond 1'!$D$7),COLUMN('Bond 1'!$D$7),4)</f>
        <v>D7</v>
      </c>
      <c r="D197" t="b">
        <f>IF(LEN('Bond 14'!B20)&gt;100,TRUE,FALSE)</f>
        <v>0</v>
      </c>
      <c r="E197" t="s">
        <v>585</v>
      </c>
      <c r="F197" t="str">
        <f>INDEX(Lists!I:I,MATCH(Validation!E197,Lists!G:G,0))</f>
        <v>Error</v>
      </c>
      <c r="G197" t="str">
        <f>INDEX(Lists!H:H,MATCH(Validation!E197,Lists!G:G,0))</f>
        <v>Entry cannot exceed 100 characters. Please re-enter.</v>
      </c>
      <c r="H197" s="25" t="str">
        <f t="shared" ca="1" si="57"/>
        <v/>
      </c>
      <c r="I197" s="16" t="str">
        <f t="shared" ca="1" si="58"/>
        <v/>
      </c>
      <c r="J197" s="26" t="str">
        <f t="shared" si="59"/>
        <v/>
      </c>
    </row>
    <row r="198" spans="1:10" x14ac:dyDescent="0.25">
      <c r="A198" t="s">
        <v>315</v>
      </c>
      <c r="B198" t="str">
        <f>ADDRESS(ROW('Bond 1'!$B$7),COLUMN('Bond 1'!$B$7),4)</f>
        <v>B7</v>
      </c>
      <c r="C198" t="str">
        <f>ADDRESS(ROW('Bond 1'!$D$7),COLUMN('Bond 1'!$D$7),4)</f>
        <v>D7</v>
      </c>
      <c r="D198" t="b">
        <f>IF(LEN('Bond 15'!B21)&gt;100,TRUE,FALSE)</f>
        <v>0</v>
      </c>
      <c r="E198" t="s">
        <v>585</v>
      </c>
      <c r="F198" t="str">
        <f>INDEX(Lists!I:I,MATCH(Validation!E198,Lists!G:G,0))</f>
        <v>Error</v>
      </c>
      <c r="G198" t="str">
        <f>INDEX(Lists!H:H,MATCH(Validation!E198,Lists!G:G,0))</f>
        <v>Entry cannot exceed 100 characters. Please re-enter.</v>
      </c>
      <c r="H198" s="25" t="str">
        <f t="shared" ca="1" si="57"/>
        <v/>
      </c>
      <c r="I198" s="16" t="str">
        <f t="shared" ca="1" si="58"/>
        <v/>
      </c>
      <c r="J198" s="26" t="str">
        <f t="shared" si="59"/>
        <v/>
      </c>
    </row>
    <row r="199" spans="1:10" x14ac:dyDescent="0.25">
      <c r="A199" t="s">
        <v>198</v>
      </c>
      <c r="B199" t="str">
        <f>ADDRESS(ROW('Bond 1'!$B$7),COLUMN('Bond 1'!$B$7),4)</f>
        <v>B7</v>
      </c>
      <c r="C199" t="str">
        <f>ADDRESS(ROW('Bond 1'!$D$7),COLUMN('Bond 1'!$D$7),4)</f>
        <v>D7</v>
      </c>
      <c r="D199" t="b">
        <f ca="1">IF('Bond 1'!B7="",FALSE,IF(COUNTIF(BondList,'Bond 1'!B7)&gt;1,TRUE,FALSE))</f>
        <v>0</v>
      </c>
      <c r="E199" t="s">
        <v>701</v>
      </c>
      <c r="F199" t="str">
        <f>INDEX(Lists!I:I,MATCH(Validation!E199,Lists!G:G,0))</f>
        <v>Error</v>
      </c>
      <c r="G199" t="str">
        <f>INDEX(Lists!H:H,MATCH(Validation!E199,Lists!G:G,0))</f>
        <v>Duplicate debt name. Do not enter the same obligation more than once.</v>
      </c>
      <c r="H199" s="25" t="str">
        <f t="shared" ref="H199" ca="1" si="60">IFERROR(IF(OR(NOT(D199),F199&lt;&gt;"Error"),"",A199&amp;CELL("address",INDIRECT(B199))),"")</f>
        <v/>
      </c>
      <c r="I199" s="25" t="str">
        <f t="shared" ref="I199" ca="1" si="61">IFERROR(IF(NOT(D199),"",A199&amp;CELL("address",INDIRECT(C199))),"")</f>
        <v/>
      </c>
      <c r="J199" s="26" t="str">
        <f t="shared" ref="J199" ca="1" si="62">IFERROR(IF(NOT(D199),"",A199),"")</f>
        <v/>
      </c>
    </row>
    <row r="200" spans="1:10" x14ac:dyDescent="0.25">
      <c r="A200" t="s">
        <v>302</v>
      </c>
      <c r="B200" t="str">
        <f>ADDRESS(ROW('Bond 1'!$B$7),COLUMN('Bond 1'!$B$7),4)</f>
        <v>B7</v>
      </c>
      <c r="C200" t="str">
        <f>ADDRESS(ROW('Bond 1'!$D$7),COLUMN('Bond 1'!$D$7),4)</f>
        <v>D7</v>
      </c>
      <c r="D200" t="b">
        <f ca="1">IF('Bond 2'!B8="",FALSE,IF(COUNTIF(BondList,'Bond 2'!B8)&gt;1,TRUE,FALSE))</f>
        <v>0</v>
      </c>
      <c r="E200" t="s">
        <v>701</v>
      </c>
      <c r="F200" t="str">
        <f>INDEX(Lists!I:I,MATCH(Validation!E200,Lists!G:G,0))</f>
        <v>Error</v>
      </c>
      <c r="G200" t="str">
        <f>INDEX(Lists!H:H,MATCH(Validation!E200,Lists!G:G,0))</f>
        <v>Duplicate debt name. Do not enter the same obligation more than once.</v>
      </c>
      <c r="H200" s="25" t="str">
        <f t="shared" ref="H200:H213" ca="1" si="63">IFERROR(IF(OR(NOT(D200),F200&lt;&gt;"Error"),"",A200&amp;CELL("address",INDIRECT(B200))),"")</f>
        <v/>
      </c>
      <c r="I200" s="25" t="str">
        <f t="shared" ref="I200:I213" ca="1" si="64">IFERROR(IF(NOT(D200),"",A200&amp;CELL("address",INDIRECT(C200))),"")</f>
        <v/>
      </c>
      <c r="J200" s="26" t="str">
        <f t="shared" ref="J200:J213" ca="1" si="65">IFERROR(IF(NOT(D200),"",A200),"")</f>
        <v/>
      </c>
    </row>
    <row r="201" spans="1:10" x14ac:dyDescent="0.25">
      <c r="A201" t="s">
        <v>303</v>
      </c>
      <c r="B201" t="str">
        <f>ADDRESS(ROW('Bond 1'!$B$7),COLUMN('Bond 1'!$B$7),4)</f>
        <v>B7</v>
      </c>
      <c r="C201" t="str">
        <f>ADDRESS(ROW('Bond 1'!$D$7),COLUMN('Bond 1'!$D$7),4)</f>
        <v>D7</v>
      </c>
      <c r="D201" t="b">
        <f ca="1">IF('Bond 3'!B9="",FALSE,IF(COUNTIF(BondList,'Bond 3'!B9)&gt;1,TRUE,FALSE))</f>
        <v>0</v>
      </c>
      <c r="E201" t="s">
        <v>701</v>
      </c>
      <c r="F201" t="str">
        <f>INDEX(Lists!I:I,MATCH(Validation!E201,Lists!G:G,0))</f>
        <v>Error</v>
      </c>
      <c r="G201" t="str">
        <f>INDEX(Lists!H:H,MATCH(Validation!E201,Lists!G:G,0))</f>
        <v>Duplicate debt name. Do not enter the same obligation more than once.</v>
      </c>
      <c r="H201" s="25" t="str">
        <f t="shared" ca="1" si="63"/>
        <v/>
      </c>
      <c r="I201" s="25" t="str">
        <f t="shared" ca="1" si="64"/>
        <v/>
      </c>
      <c r="J201" s="26" t="str">
        <f t="shared" ca="1" si="65"/>
        <v/>
      </c>
    </row>
    <row r="202" spans="1:10" x14ac:dyDescent="0.25">
      <c r="A202" t="s">
        <v>304</v>
      </c>
      <c r="B202" t="str">
        <f>ADDRESS(ROW('Bond 1'!$B$7),COLUMN('Bond 1'!$B$7),4)</f>
        <v>B7</v>
      </c>
      <c r="C202" t="str">
        <f>ADDRESS(ROW('Bond 1'!$D$7),COLUMN('Bond 1'!$D$7),4)</f>
        <v>D7</v>
      </c>
      <c r="D202" t="b">
        <f ca="1">IF('Bond 4'!B10="",FALSE,IF(COUNTIF(BondList,'Bond 4'!B10)&gt;1,TRUE,FALSE))</f>
        <v>0</v>
      </c>
      <c r="E202" t="s">
        <v>701</v>
      </c>
      <c r="F202" t="str">
        <f>INDEX(Lists!I:I,MATCH(Validation!E202,Lists!G:G,0))</f>
        <v>Error</v>
      </c>
      <c r="G202" t="str">
        <f>INDEX(Lists!H:H,MATCH(Validation!E202,Lists!G:G,0))</f>
        <v>Duplicate debt name. Do not enter the same obligation more than once.</v>
      </c>
      <c r="H202" s="25" t="str">
        <f t="shared" ca="1" si="63"/>
        <v/>
      </c>
      <c r="I202" s="25" t="str">
        <f t="shared" ca="1" si="64"/>
        <v/>
      </c>
      <c r="J202" s="26" t="str">
        <f t="shared" ca="1" si="65"/>
        <v/>
      </c>
    </row>
    <row r="203" spans="1:10" x14ac:dyDescent="0.25">
      <c r="A203" t="s">
        <v>305</v>
      </c>
      <c r="B203" t="str">
        <f>ADDRESS(ROW('Bond 1'!$B$7),COLUMN('Bond 1'!$B$7),4)</f>
        <v>B7</v>
      </c>
      <c r="C203" t="str">
        <f>ADDRESS(ROW('Bond 1'!$D$7),COLUMN('Bond 1'!$D$7),4)</f>
        <v>D7</v>
      </c>
      <c r="D203" t="b">
        <f ca="1">IF('Bond 5'!B11="",FALSE,IF(COUNTIF(BondList,'Bond 5'!B11)&gt;1,TRUE,FALSE))</f>
        <v>0</v>
      </c>
      <c r="E203" t="s">
        <v>701</v>
      </c>
      <c r="F203" t="str">
        <f>INDEX(Lists!I:I,MATCH(Validation!E203,Lists!G:G,0))</f>
        <v>Error</v>
      </c>
      <c r="G203" t="str">
        <f>INDEX(Lists!H:H,MATCH(Validation!E203,Lists!G:G,0))</f>
        <v>Duplicate debt name. Do not enter the same obligation more than once.</v>
      </c>
      <c r="H203" s="25" t="str">
        <f t="shared" ca="1" si="63"/>
        <v/>
      </c>
      <c r="I203" s="25" t="str">
        <f t="shared" ca="1" si="64"/>
        <v/>
      </c>
      <c r="J203" s="26" t="str">
        <f t="shared" ca="1" si="65"/>
        <v/>
      </c>
    </row>
    <row r="204" spans="1:10" x14ac:dyDescent="0.25">
      <c r="A204" t="s">
        <v>306</v>
      </c>
      <c r="B204" t="str">
        <f>ADDRESS(ROW('Bond 1'!$B$7),COLUMN('Bond 1'!$B$7),4)</f>
        <v>B7</v>
      </c>
      <c r="C204" t="str">
        <f>ADDRESS(ROW('Bond 1'!$D$7),COLUMN('Bond 1'!$D$7),4)</f>
        <v>D7</v>
      </c>
      <c r="D204" t="b">
        <f>IF('Bond 6'!B12="",FALSE,IF(COUNTIF(BondList,'Bond 6'!B12)&gt;1,TRUE,FALSE))</f>
        <v>0</v>
      </c>
      <c r="E204" t="s">
        <v>701</v>
      </c>
      <c r="F204" t="str">
        <f>INDEX(Lists!I:I,MATCH(Validation!E204,Lists!G:G,0))</f>
        <v>Error</v>
      </c>
      <c r="G204" t="str">
        <f>INDEX(Lists!H:H,MATCH(Validation!E204,Lists!G:G,0))</f>
        <v>Duplicate debt name. Do not enter the same obligation more than once.</v>
      </c>
      <c r="H204" s="25" t="str">
        <f t="shared" ca="1" si="63"/>
        <v/>
      </c>
      <c r="I204" s="25" t="str">
        <f t="shared" ca="1" si="64"/>
        <v/>
      </c>
      <c r="J204" s="26" t="str">
        <f t="shared" si="65"/>
        <v/>
      </c>
    </row>
    <row r="205" spans="1:10" x14ac:dyDescent="0.25">
      <c r="A205" t="s">
        <v>307</v>
      </c>
      <c r="B205" t="str">
        <f>ADDRESS(ROW('Bond 1'!$B$7),COLUMN('Bond 1'!$B$7),4)</f>
        <v>B7</v>
      </c>
      <c r="C205" t="str">
        <f>ADDRESS(ROW('Bond 1'!$D$7),COLUMN('Bond 1'!$D$7),4)</f>
        <v>D7</v>
      </c>
      <c r="D205" t="b">
        <f>IF('Bond 7'!B13="",FALSE,IF(COUNTIF(BondList,'Bond 7'!B13)&gt;1,TRUE,FALSE))</f>
        <v>0</v>
      </c>
      <c r="E205" t="s">
        <v>701</v>
      </c>
      <c r="F205" t="str">
        <f>INDEX(Lists!I:I,MATCH(Validation!E205,Lists!G:G,0))</f>
        <v>Error</v>
      </c>
      <c r="G205" t="str">
        <f>INDEX(Lists!H:H,MATCH(Validation!E205,Lists!G:G,0))</f>
        <v>Duplicate debt name. Do not enter the same obligation more than once.</v>
      </c>
      <c r="H205" s="25" t="str">
        <f t="shared" ca="1" si="63"/>
        <v/>
      </c>
      <c r="I205" s="25" t="str">
        <f t="shared" ca="1" si="64"/>
        <v/>
      </c>
      <c r="J205" s="26" t="str">
        <f t="shared" si="65"/>
        <v/>
      </c>
    </row>
    <row r="206" spans="1:10" x14ac:dyDescent="0.25">
      <c r="A206" t="s">
        <v>308</v>
      </c>
      <c r="B206" t="str">
        <f>ADDRESS(ROW('Bond 1'!$B$7),COLUMN('Bond 1'!$B$7),4)</f>
        <v>B7</v>
      </c>
      <c r="C206" t="str">
        <f>ADDRESS(ROW('Bond 1'!$D$7),COLUMN('Bond 1'!$D$7),4)</f>
        <v>D7</v>
      </c>
      <c r="D206" t="b">
        <f>IF('Bond 8'!B14="",FALSE,IF(COUNTIF(BondList,'Bond 8'!B14)&gt;1,TRUE,FALSE))</f>
        <v>0</v>
      </c>
      <c r="E206" t="s">
        <v>701</v>
      </c>
      <c r="F206" t="str">
        <f>INDEX(Lists!I:I,MATCH(Validation!E206,Lists!G:G,0))</f>
        <v>Error</v>
      </c>
      <c r="G206" t="str">
        <f>INDEX(Lists!H:H,MATCH(Validation!E206,Lists!G:G,0))</f>
        <v>Duplicate debt name. Do not enter the same obligation more than once.</v>
      </c>
      <c r="H206" s="25" t="str">
        <f t="shared" ca="1" si="63"/>
        <v/>
      </c>
      <c r="I206" s="25" t="str">
        <f t="shared" ca="1" si="64"/>
        <v/>
      </c>
      <c r="J206" s="26" t="str">
        <f t="shared" si="65"/>
        <v/>
      </c>
    </row>
    <row r="207" spans="1:10" x14ac:dyDescent="0.25">
      <c r="A207" t="s">
        <v>309</v>
      </c>
      <c r="B207" t="str">
        <f>ADDRESS(ROW('Bond 1'!$B$7),COLUMN('Bond 1'!$B$7),4)</f>
        <v>B7</v>
      </c>
      <c r="C207" t="str">
        <f>ADDRESS(ROW('Bond 1'!$D$7),COLUMN('Bond 1'!$D$7),4)</f>
        <v>D7</v>
      </c>
      <c r="D207" t="b">
        <f>IF('Bond 9'!B15="",FALSE,IF(COUNTIF(BondList,'Bond 9'!B15)&gt;1,TRUE,FALSE))</f>
        <v>0</v>
      </c>
      <c r="E207" t="s">
        <v>701</v>
      </c>
      <c r="F207" t="str">
        <f>INDEX(Lists!I:I,MATCH(Validation!E207,Lists!G:G,0))</f>
        <v>Error</v>
      </c>
      <c r="G207" t="str">
        <f>INDEX(Lists!H:H,MATCH(Validation!E207,Lists!G:G,0))</f>
        <v>Duplicate debt name. Do not enter the same obligation more than once.</v>
      </c>
      <c r="H207" s="25" t="str">
        <f t="shared" ca="1" si="63"/>
        <v/>
      </c>
      <c r="I207" s="25" t="str">
        <f t="shared" ca="1" si="64"/>
        <v/>
      </c>
      <c r="J207" s="26" t="str">
        <f t="shared" si="65"/>
        <v/>
      </c>
    </row>
    <row r="208" spans="1:10" x14ac:dyDescent="0.25">
      <c r="A208" t="s">
        <v>310</v>
      </c>
      <c r="B208" t="str">
        <f>ADDRESS(ROW('Bond 1'!$B$7),COLUMN('Bond 1'!$B$7),4)</f>
        <v>B7</v>
      </c>
      <c r="C208" t="str">
        <f>ADDRESS(ROW('Bond 1'!$D$7),COLUMN('Bond 1'!$D$7),4)</f>
        <v>D7</v>
      </c>
      <c r="D208" t="b">
        <f>IF('Bond 10'!B16="",FALSE,IF(COUNTIF(BondList,'Bond 10'!B16)&gt;1,TRUE,FALSE))</f>
        <v>0</v>
      </c>
      <c r="E208" t="s">
        <v>701</v>
      </c>
      <c r="F208" t="str">
        <f>INDEX(Lists!I:I,MATCH(Validation!E208,Lists!G:G,0))</f>
        <v>Error</v>
      </c>
      <c r="G208" t="str">
        <f>INDEX(Lists!H:H,MATCH(Validation!E208,Lists!G:G,0))</f>
        <v>Duplicate debt name. Do not enter the same obligation more than once.</v>
      </c>
      <c r="H208" s="25" t="str">
        <f t="shared" ca="1" si="63"/>
        <v/>
      </c>
      <c r="I208" s="25" t="str">
        <f t="shared" ca="1" si="64"/>
        <v/>
      </c>
      <c r="J208" s="26" t="str">
        <f t="shared" si="65"/>
        <v/>
      </c>
    </row>
    <row r="209" spans="1:10" x14ac:dyDescent="0.25">
      <c r="A209" t="s">
        <v>311</v>
      </c>
      <c r="B209" t="str">
        <f>ADDRESS(ROW('Bond 1'!$B$7),COLUMN('Bond 1'!$B$7),4)</f>
        <v>B7</v>
      </c>
      <c r="C209" t="str">
        <f>ADDRESS(ROW('Bond 1'!$D$7),COLUMN('Bond 1'!$D$7),4)</f>
        <v>D7</v>
      </c>
      <c r="D209" t="b">
        <f>IF('Bond 11'!B17="",FALSE,IF(COUNTIF(BondList,'Bond 11'!B17)&gt;1,TRUE,FALSE))</f>
        <v>0</v>
      </c>
      <c r="E209" t="s">
        <v>701</v>
      </c>
      <c r="F209" t="str">
        <f>INDEX(Lists!I:I,MATCH(Validation!E209,Lists!G:G,0))</f>
        <v>Error</v>
      </c>
      <c r="G209" t="str">
        <f>INDEX(Lists!H:H,MATCH(Validation!E209,Lists!G:G,0))</f>
        <v>Duplicate debt name. Do not enter the same obligation more than once.</v>
      </c>
      <c r="H209" s="25" t="str">
        <f t="shared" ca="1" si="63"/>
        <v/>
      </c>
      <c r="I209" s="25" t="str">
        <f t="shared" ca="1" si="64"/>
        <v/>
      </c>
      <c r="J209" s="26" t="str">
        <f t="shared" si="65"/>
        <v/>
      </c>
    </row>
    <row r="210" spans="1:10" x14ac:dyDescent="0.25">
      <c r="A210" t="s">
        <v>312</v>
      </c>
      <c r="B210" t="str">
        <f>ADDRESS(ROW('Bond 1'!$B$7),COLUMN('Bond 1'!$B$7),4)</f>
        <v>B7</v>
      </c>
      <c r="C210" t="str">
        <f>ADDRESS(ROW('Bond 1'!$D$7),COLUMN('Bond 1'!$D$7),4)</f>
        <v>D7</v>
      </c>
      <c r="D210" t="b">
        <f>IF('Bond 12'!B18="",FALSE,IF(COUNTIF(BondList,'Bond 12'!B18)&gt;1,TRUE,FALSE))</f>
        <v>0</v>
      </c>
      <c r="E210" t="s">
        <v>701</v>
      </c>
      <c r="F210" t="str">
        <f>INDEX(Lists!I:I,MATCH(Validation!E210,Lists!G:G,0))</f>
        <v>Error</v>
      </c>
      <c r="G210" t="str">
        <f>INDEX(Lists!H:H,MATCH(Validation!E210,Lists!G:G,0))</f>
        <v>Duplicate debt name. Do not enter the same obligation more than once.</v>
      </c>
      <c r="H210" s="25" t="str">
        <f t="shared" ca="1" si="63"/>
        <v/>
      </c>
      <c r="I210" s="25" t="str">
        <f t="shared" ca="1" si="64"/>
        <v/>
      </c>
      <c r="J210" s="26" t="str">
        <f t="shared" si="65"/>
        <v/>
      </c>
    </row>
    <row r="211" spans="1:10" x14ac:dyDescent="0.25">
      <c r="A211" t="s">
        <v>313</v>
      </c>
      <c r="B211" t="str">
        <f>ADDRESS(ROW('Bond 1'!$B$7),COLUMN('Bond 1'!$B$7),4)</f>
        <v>B7</v>
      </c>
      <c r="C211" t="str">
        <f>ADDRESS(ROW('Bond 1'!$D$7),COLUMN('Bond 1'!$D$7),4)</f>
        <v>D7</v>
      </c>
      <c r="D211" t="b">
        <f>IF('Bond 13'!B19="",FALSE,IF(COUNTIF(BondList,'Bond 13'!B19)&gt;1,TRUE,FALSE))</f>
        <v>0</v>
      </c>
      <c r="E211" t="s">
        <v>701</v>
      </c>
      <c r="F211" t="str">
        <f>INDEX(Lists!I:I,MATCH(Validation!E211,Lists!G:G,0))</f>
        <v>Error</v>
      </c>
      <c r="G211" t="str">
        <f>INDEX(Lists!H:H,MATCH(Validation!E211,Lists!G:G,0))</f>
        <v>Duplicate debt name. Do not enter the same obligation more than once.</v>
      </c>
      <c r="H211" s="25" t="str">
        <f t="shared" ca="1" si="63"/>
        <v/>
      </c>
      <c r="I211" s="25" t="str">
        <f t="shared" ca="1" si="64"/>
        <v/>
      </c>
      <c r="J211" s="26" t="str">
        <f t="shared" si="65"/>
        <v/>
      </c>
    </row>
    <row r="212" spans="1:10" x14ac:dyDescent="0.25">
      <c r="A212" t="s">
        <v>314</v>
      </c>
      <c r="B212" t="str">
        <f>ADDRESS(ROW('Bond 1'!$B$7),COLUMN('Bond 1'!$B$7),4)</f>
        <v>B7</v>
      </c>
      <c r="C212" t="str">
        <f>ADDRESS(ROW('Bond 1'!$D$7),COLUMN('Bond 1'!$D$7),4)</f>
        <v>D7</v>
      </c>
      <c r="D212" t="b">
        <f ca="1">IF('Bond 14'!B20="",FALSE,IF(COUNTIF(BondList,'Bond 14'!B20)&gt;1,TRUE,FALSE))</f>
        <v>0</v>
      </c>
      <c r="E212" t="s">
        <v>701</v>
      </c>
      <c r="F212" t="str">
        <f>INDEX(Lists!I:I,MATCH(Validation!E212,Lists!G:G,0))</f>
        <v>Error</v>
      </c>
      <c r="G212" t="str">
        <f>INDEX(Lists!H:H,MATCH(Validation!E212,Lists!G:G,0))</f>
        <v>Duplicate debt name. Do not enter the same obligation more than once.</v>
      </c>
      <c r="H212" s="25" t="str">
        <f t="shared" ca="1" si="63"/>
        <v/>
      </c>
      <c r="I212" s="25" t="str">
        <f t="shared" ca="1" si="64"/>
        <v/>
      </c>
      <c r="J212" s="26" t="str">
        <f t="shared" ca="1" si="65"/>
        <v/>
      </c>
    </row>
    <row r="213" spans="1:10" x14ac:dyDescent="0.25">
      <c r="A213" t="s">
        <v>315</v>
      </c>
      <c r="B213" t="str">
        <f>ADDRESS(ROW('Bond 1'!$B$7),COLUMN('Bond 1'!$B$7),4)</f>
        <v>B7</v>
      </c>
      <c r="C213" t="str">
        <f>ADDRESS(ROW('Bond 1'!$D$7),COLUMN('Bond 1'!$D$7),4)</f>
        <v>D7</v>
      </c>
      <c r="D213" t="b">
        <f ca="1">IF('Bond 15'!B21="",FALSE,IF(COUNTIF(BondList,'Bond 15'!B21)&gt;1,TRUE,FALSE))</f>
        <v>0</v>
      </c>
      <c r="E213" t="s">
        <v>701</v>
      </c>
      <c r="F213" t="str">
        <f>INDEX(Lists!I:I,MATCH(Validation!E213,Lists!G:G,0))</f>
        <v>Error</v>
      </c>
      <c r="G213" t="str">
        <f>INDEX(Lists!H:H,MATCH(Validation!E213,Lists!G:G,0))</f>
        <v>Duplicate debt name. Do not enter the same obligation more than once.</v>
      </c>
      <c r="H213" s="25" t="str">
        <f t="shared" ca="1" si="63"/>
        <v/>
      </c>
      <c r="I213" s="25" t="str">
        <f t="shared" ca="1" si="64"/>
        <v/>
      </c>
      <c r="J213" s="26" t="str">
        <f t="shared" ca="1" si="65"/>
        <v/>
      </c>
    </row>
    <row r="214" spans="1:10" x14ac:dyDescent="0.25">
      <c r="A214" t="s">
        <v>198</v>
      </c>
      <c r="B214" t="str">
        <f>ADDRESS(ROW('Bond 1'!$B$7),COLUMN('Bond 1'!$B$7),4)</f>
        <v>B7</v>
      </c>
      <c r="C214" t="str">
        <f>ADDRESS(ROW('Bond 1'!$D$7),COLUMN('Bond 1'!$D$7),4)</f>
        <v>D7</v>
      </c>
      <c r="D214" t="b">
        <f>IF('Bond 1'!B$7="",IF(AND('Bond 1'!B$8="Select One",'Bond 1'!B$9="Select One",'Bond 1'!B$10="Select One",'Bond 1'!B$11="Select One",'Bond 1'!B$12="",'Bond 1'!B$16=""),FALSE,TRUE))</f>
        <v>0</v>
      </c>
      <c r="E214" t="s">
        <v>587</v>
      </c>
      <c r="F214" t="str">
        <f>INDEX(Lists!I:I,MATCH(Validation!E214,Lists!G:G,0))</f>
        <v>Error</v>
      </c>
      <c r="G214" t="str">
        <f>INDEX(Lists!H:H,MATCH(Validation!E214,Lists!G:G,0))</f>
        <v>Enter the debt name first.</v>
      </c>
      <c r="H214" s="25" t="str">
        <f ca="1">IFERROR(IF(OR(NOT(D214),F214&lt;&gt;"Error"),"",A214&amp;CELL("address",INDIRECT(B214))),"")</f>
        <v/>
      </c>
      <c r="I214" s="25" t="str">
        <f ca="1">IFERROR(IF(NOT(D214),"",A214&amp;CELL("address",INDIRECT(C214))),"")</f>
        <v/>
      </c>
      <c r="J214" s="26" t="str">
        <f>IFERROR(IF(NOT(D214),"",A214),"")</f>
        <v/>
      </c>
    </row>
    <row r="215" spans="1:10" x14ac:dyDescent="0.25">
      <c r="A215" t="s">
        <v>302</v>
      </c>
      <c r="B215" t="str">
        <f>ADDRESS(ROW('Bond 1'!$B$7),COLUMN('Bond 1'!$B$7),4)</f>
        <v>B7</v>
      </c>
      <c r="C215" t="str">
        <f>ADDRESS(ROW('Bond 1'!$D$7),COLUMN('Bond 1'!$D$7),4)</f>
        <v>D7</v>
      </c>
      <c r="D215" t="b">
        <f>IF('Bond 2'!B$7="",IF(AND('Bond 2'!B$8="Select One",'Bond 2'!B$9="Select One",'Bond 2'!B$10="Select One",'Bond 2'!B$11="Select One",'Bond 2'!B$12="",'Bond 2'!B$16=""),FALSE,TRUE))</f>
        <v>0</v>
      </c>
      <c r="E215" t="s">
        <v>587</v>
      </c>
      <c r="F215" t="str">
        <f>INDEX(Lists!I:I,MATCH(Validation!E215,Lists!G:G,0))</f>
        <v>Error</v>
      </c>
      <c r="G215" t="str">
        <f>INDEX(Lists!H:H,MATCH(Validation!E215,Lists!G:G,0))</f>
        <v>Enter the debt name first.</v>
      </c>
      <c r="H215" s="25" t="str">
        <f t="shared" ref="H215:H228" ca="1" si="66">IFERROR(IF(OR(NOT(D215),F215&lt;&gt;"Error"),"",A215&amp;CELL("address",INDIRECT(B215))),"")</f>
        <v/>
      </c>
      <c r="I215" s="25" t="str">
        <f t="shared" ref="I215:I228" ca="1" si="67">IFERROR(IF(NOT(D215),"",A215&amp;CELL("address",INDIRECT(C215))),"")</f>
        <v/>
      </c>
      <c r="J215" s="26" t="str">
        <f t="shared" ref="J215:J228" si="68">IFERROR(IF(NOT(D215),"",A215),"")</f>
        <v/>
      </c>
    </row>
    <row r="216" spans="1:10" x14ac:dyDescent="0.25">
      <c r="A216" t="s">
        <v>303</v>
      </c>
      <c r="B216" t="str">
        <f>ADDRESS(ROW('Bond 1'!$B$7),COLUMN('Bond 1'!$B$7),4)</f>
        <v>B7</v>
      </c>
      <c r="C216" t="str">
        <f>ADDRESS(ROW('Bond 1'!$D$7),COLUMN('Bond 1'!$D$7),4)</f>
        <v>D7</v>
      </c>
      <c r="D216" t="b">
        <f>IF('Bond 3'!B$7="",IF(AND('Bond 3'!B$8="Select One",'Bond 3'!B$9="Select One",'Bond 3'!B$10="Select One",'Bond 3'!B$11="Select One",'Bond 3'!B$12="",'Bond 3'!B$16=""),FALSE,TRUE))</f>
        <v>0</v>
      </c>
      <c r="E216" t="s">
        <v>587</v>
      </c>
      <c r="F216" t="str">
        <f>INDEX(Lists!I:I,MATCH(Validation!E216,Lists!G:G,0))</f>
        <v>Error</v>
      </c>
      <c r="G216" t="str">
        <f>INDEX(Lists!H:H,MATCH(Validation!E216,Lists!G:G,0))</f>
        <v>Enter the debt name first.</v>
      </c>
      <c r="H216" s="25" t="str">
        <f t="shared" ca="1" si="66"/>
        <v/>
      </c>
      <c r="I216" s="25" t="str">
        <f t="shared" ca="1" si="67"/>
        <v/>
      </c>
      <c r="J216" s="26" t="str">
        <f t="shared" si="68"/>
        <v/>
      </c>
    </row>
    <row r="217" spans="1:10" x14ac:dyDescent="0.25">
      <c r="A217" t="s">
        <v>304</v>
      </c>
      <c r="B217" t="str">
        <f>ADDRESS(ROW('Bond 1'!$B$7),COLUMN('Bond 1'!$B$7),4)</f>
        <v>B7</v>
      </c>
      <c r="C217" t="str">
        <f>ADDRESS(ROW('Bond 1'!$D$7),COLUMN('Bond 1'!$D$7),4)</f>
        <v>D7</v>
      </c>
      <c r="D217" t="b">
        <f>IF('Bond 4'!B$7="",IF(AND('Bond 4'!B$8="Select One",'Bond 4'!B$9="Select One",'Bond 4'!B$10="Select One",'Bond 4'!B$11="Select One",'Bond 4'!B$12="",'Bond 4'!B$16=""),FALSE,TRUE))</f>
        <v>0</v>
      </c>
      <c r="E217" t="s">
        <v>587</v>
      </c>
      <c r="F217" t="str">
        <f>INDEX(Lists!I:I,MATCH(Validation!E217,Lists!G:G,0))</f>
        <v>Error</v>
      </c>
      <c r="G217" t="str">
        <f>INDEX(Lists!H:H,MATCH(Validation!E217,Lists!G:G,0))</f>
        <v>Enter the debt name first.</v>
      </c>
      <c r="H217" s="25" t="str">
        <f t="shared" ca="1" si="66"/>
        <v/>
      </c>
      <c r="I217" s="25" t="str">
        <f t="shared" ca="1" si="67"/>
        <v/>
      </c>
      <c r="J217" s="26" t="str">
        <f t="shared" si="68"/>
        <v/>
      </c>
    </row>
    <row r="218" spans="1:10" x14ac:dyDescent="0.25">
      <c r="A218" t="s">
        <v>305</v>
      </c>
      <c r="B218" t="str">
        <f>ADDRESS(ROW('Bond 1'!$B$7),COLUMN('Bond 1'!$B$7),4)</f>
        <v>B7</v>
      </c>
      <c r="C218" t="str">
        <f>ADDRESS(ROW('Bond 1'!$D$7),COLUMN('Bond 1'!$D$7),4)</f>
        <v>D7</v>
      </c>
      <c r="D218" t="b">
        <f>IF('Bond 5'!B$7="",IF(AND('Bond 5'!B$8="Select One",'Bond 5'!B$9="Select One",'Bond 5'!B$10="Select One",'Bond 5'!B$11="Select One",'Bond 5'!B$12="",'Bond 5'!B$16=""),FALSE,TRUE))</f>
        <v>0</v>
      </c>
      <c r="E218" t="s">
        <v>587</v>
      </c>
      <c r="F218" t="str">
        <f>INDEX(Lists!I:I,MATCH(Validation!E218,Lists!G:G,0))</f>
        <v>Error</v>
      </c>
      <c r="G218" t="str">
        <f>INDEX(Lists!H:H,MATCH(Validation!E218,Lists!G:G,0))</f>
        <v>Enter the debt name first.</v>
      </c>
      <c r="H218" s="25" t="str">
        <f t="shared" ca="1" si="66"/>
        <v/>
      </c>
      <c r="I218" s="25" t="str">
        <f t="shared" ca="1" si="67"/>
        <v/>
      </c>
      <c r="J218" s="26" t="str">
        <f t="shared" si="68"/>
        <v/>
      </c>
    </row>
    <row r="219" spans="1:10" x14ac:dyDescent="0.25">
      <c r="A219" t="s">
        <v>306</v>
      </c>
      <c r="B219" t="str">
        <f>ADDRESS(ROW('Bond 1'!$B$7),COLUMN('Bond 1'!$B$7),4)</f>
        <v>B7</v>
      </c>
      <c r="C219" t="str">
        <f>ADDRESS(ROW('Bond 1'!$D$7),COLUMN('Bond 1'!$D$7),4)</f>
        <v>D7</v>
      </c>
      <c r="D219" t="b">
        <f>IF('Bond 6'!B$7="",IF(AND('Bond 6'!B$8="Select One",'Bond 6'!B$9="Select One",'Bond 6'!B$10="Select One",'Bond 6'!B$11="Select One",'Bond 6'!B$12="",'Bond 6'!B$16=""),FALSE,TRUE))</f>
        <v>0</v>
      </c>
      <c r="E219" t="s">
        <v>587</v>
      </c>
      <c r="F219" t="str">
        <f>INDEX(Lists!I:I,MATCH(Validation!E219,Lists!G:G,0))</f>
        <v>Error</v>
      </c>
      <c r="G219" t="str">
        <f>INDEX(Lists!H:H,MATCH(Validation!E219,Lists!G:G,0))</f>
        <v>Enter the debt name first.</v>
      </c>
      <c r="H219" s="25" t="str">
        <f t="shared" ca="1" si="66"/>
        <v/>
      </c>
      <c r="I219" s="25" t="str">
        <f t="shared" ca="1" si="67"/>
        <v/>
      </c>
      <c r="J219" s="26" t="str">
        <f t="shared" si="68"/>
        <v/>
      </c>
    </row>
    <row r="220" spans="1:10" x14ac:dyDescent="0.25">
      <c r="A220" t="s">
        <v>307</v>
      </c>
      <c r="B220" t="str">
        <f>ADDRESS(ROW('Bond 1'!$B$7),COLUMN('Bond 1'!$B$7),4)</f>
        <v>B7</v>
      </c>
      <c r="C220" t="str">
        <f>ADDRESS(ROW('Bond 1'!$D$7),COLUMN('Bond 1'!$D$7),4)</f>
        <v>D7</v>
      </c>
      <c r="D220" t="b">
        <f>IF('Bond 7'!B$7="",IF(AND('Bond 7'!B$8="Select One",'Bond 7'!B$9="Select One",'Bond 7'!B$10="Select One",'Bond 7'!B$11="Select One",'Bond 7'!B$12="",'Bond 7'!B$16=""),FALSE,TRUE))</f>
        <v>0</v>
      </c>
      <c r="E220" t="s">
        <v>587</v>
      </c>
      <c r="F220" t="str">
        <f>INDEX(Lists!I:I,MATCH(Validation!E220,Lists!G:G,0))</f>
        <v>Error</v>
      </c>
      <c r="G220" t="str">
        <f>INDEX(Lists!H:H,MATCH(Validation!E220,Lists!G:G,0))</f>
        <v>Enter the debt name first.</v>
      </c>
      <c r="H220" s="25" t="str">
        <f t="shared" ca="1" si="66"/>
        <v/>
      </c>
      <c r="I220" s="25" t="str">
        <f t="shared" ca="1" si="67"/>
        <v/>
      </c>
      <c r="J220" s="26" t="str">
        <f t="shared" si="68"/>
        <v/>
      </c>
    </row>
    <row r="221" spans="1:10" x14ac:dyDescent="0.25">
      <c r="A221" t="s">
        <v>308</v>
      </c>
      <c r="B221" t="str">
        <f>ADDRESS(ROW('Bond 1'!$B$7),COLUMN('Bond 1'!$B$7),4)</f>
        <v>B7</v>
      </c>
      <c r="C221" t="str">
        <f>ADDRESS(ROW('Bond 1'!$D$7),COLUMN('Bond 1'!$D$7),4)</f>
        <v>D7</v>
      </c>
      <c r="D221" t="b">
        <f>IF('Bond 8'!B$7="",IF(AND('Bond 8'!B$8="Select One",'Bond 8'!B$9="Select One",'Bond 8'!B$10="Select One",'Bond 8'!B$11="Select One",'Bond 8'!B$12="",'Bond 8'!B$16=""),FALSE,TRUE))</f>
        <v>0</v>
      </c>
      <c r="E221" t="s">
        <v>587</v>
      </c>
      <c r="F221" t="str">
        <f>INDEX(Lists!I:I,MATCH(Validation!E221,Lists!G:G,0))</f>
        <v>Error</v>
      </c>
      <c r="G221" t="str">
        <f>INDEX(Lists!H:H,MATCH(Validation!E221,Lists!G:G,0))</f>
        <v>Enter the debt name first.</v>
      </c>
      <c r="H221" s="25" t="str">
        <f t="shared" ca="1" si="66"/>
        <v/>
      </c>
      <c r="I221" s="25" t="str">
        <f t="shared" ca="1" si="67"/>
        <v/>
      </c>
      <c r="J221" s="26" t="str">
        <f t="shared" si="68"/>
        <v/>
      </c>
    </row>
    <row r="222" spans="1:10" x14ac:dyDescent="0.25">
      <c r="A222" t="s">
        <v>309</v>
      </c>
      <c r="B222" t="str">
        <f>ADDRESS(ROW('Bond 1'!$B$7),COLUMN('Bond 1'!$B$7),4)</f>
        <v>B7</v>
      </c>
      <c r="C222" t="str">
        <f>ADDRESS(ROW('Bond 1'!$D$7),COLUMN('Bond 1'!$D$7),4)</f>
        <v>D7</v>
      </c>
      <c r="D222" t="b">
        <f>IF('Bond 9'!B$7="",IF(AND('Bond 9'!B$8="Select One",'Bond 9'!B$9="Select One",'Bond 9'!B$10="Select One",'Bond 9'!B$11="Select One",'Bond 9'!B$12="",'Bond 9'!B$16=""),FALSE,TRUE))</f>
        <v>0</v>
      </c>
      <c r="E222" t="s">
        <v>587</v>
      </c>
      <c r="F222" t="str">
        <f>INDEX(Lists!I:I,MATCH(Validation!E222,Lists!G:G,0))</f>
        <v>Error</v>
      </c>
      <c r="G222" t="str">
        <f>INDEX(Lists!H:H,MATCH(Validation!E222,Lists!G:G,0))</f>
        <v>Enter the debt name first.</v>
      </c>
      <c r="H222" s="25" t="str">
        <f t="shared" ca="1" si="66"/>
        <v/>
      </c>
      <c r="I222" s="25" t="str">
        <f t="shared" ca="1" si="67"/>
        <v/>
      </c>
      <c r="J222" s="26" t="str">
        <f t="shared" si="68"/>
        <v/>
      </c>
    </row>
    <row r="223" spans="1:10" x14ac:dyDescent="0.25">
      <c r="A223" t="s">
        <v>310</v>
      </c>
      <c r="B223" t="str">
        <f>ADDRESS(ROW('Bond 1'!$B$7),COLUMN('Bond 1'!$B$7),4)</f>
        <v>B7</v>
      </c>
      <c r="C223" t="str">
        <f>ADDRESS(ROW('Bond 1'!$D$7),COLUMN('Bond 1'!$D$7),4)</f>
        <v>D7</v>
      </c>
      <c r="D223" t="b">
        <f>IF('Bond 10'!B$7="",IF(AND('Bond 10'!B$8="Select One",'Bond 10'!B$9="Select One",'Bond 10'!B$10="Select One",'Bond 10'!B$11="Select One",'Bond 10'!B$12="",'Bond 10'!B$16=""),FALSE,TRUE))</f>
        <v>0</v>
      </c>
      <c r="E223" t="s">
        <v>587</v>
      </c>
      <c r="F223" t="str">
        <f>INDEX(Lists!I:I,MATCH(Validation!E223,Lists!G:G,0))</f>
        <v>Error</v>
      </c>
      <c r="G223" t="str">
        <f>INDEX(Lists!H:H,MATCH(Validation!E223,Lists!G:G,0))</f>
        <v>Enter the debt name first.</v>
      </c>
      <c r="H223" s="25" t="str">
        <f t="shared" ca="1" si="66"/>
        <v/>
      </c>
      <c r="I223" s="25" t="str">
        <f t="shared" ca="1" si="67"/>
        <v/>
      </c>
      <c r="J223" s="26" t="str">
        <f t="shared" si="68"/>
        <v/>
      </c>
    </row>
    <row r="224" spans="1:10" x14ac:dyDescent="0.25">
      <c r="A224" t="s">
        <v>311</v>
      </c>
      <c r="B224" t="str">
        <f>ADDRESS(ROW('Bond 1'!$B$7),COLUMN('Bond 1'!$B$7),4)</f>
        <v>B7</v>
      </c>
      <c r="C224" t="str">
        <f>ADDRESS(ROW('Bond 1'!$D$7),COLUMN('Bond 1'!$D$7),4)</f>
        <v>D7</v>
      </c>
      <c r="D224" t="b">
        <f>IF('Bond 11'!B$7="",IF(AND('Bond 11'!B$8="Select One",'Bond 11'!B$9="Select One",'Bond 11'!B$10="Select One",'Bond 11'!B$11="Select One",'Bond 11'!B$12="",'Bond 11'!B$16=""),FALSE,TRUE))</f>
        <v>0</v>
      </c>
      <c r="E224" t="s">
        <v>587</v>
      </c>
      <c r="F224" t="str">
        <f>INDEX(Lists!I:I,MATCH(Validation!E224,Lists!G:G,0))</f>
        <v>Error</v>
      </c>
      <c r="G224" t="str">
        <f>INDEX(Lists!H:H,MATCH(Validation!E224,Lists!G:G,0))</f>
        <v>Enter the debt name first.</v>
      </c>
      <c r="H224" s="25" t="str">
        <f t="shared" ca="1" si="66"/>
        <v/>
      </c>
      <c r="I224" s="25" t="str">
        <f t="shared" ca="1" si="67"/>
        <v/>
      </c>
      <c r="J224" s="26" t="str">
        <f t="shared" si="68"/>
        <v/>
      </c>
    </row>
    <row r="225" spans="1:10" x14ac:dyDescent="0.25">
      <c r="A225" t="s">
        <v>312</v>
      </c>
      <c r="B225" t="str">
        <f>ADDRESS(ROW('Bond 1'!$B$7),COLUMN('Bond 1'!$B$7),4)</f>
        <v>B7</v>
      </c>
      <c r="C225" t="str">
        <f>ADDRESS(ROW('Bond 1'!$D$7),COLUMN('Bond 1'!$D$7),4)</f>
        <v>D7</v>
      </c>
      <c r="D225" t="b">
        <f>IF('Bond 12'!B$7="",IF(AND('Bond 12'!B$8="Select One",'Bond 12'!B$9="Select One",'Bond 12'!B$10="Select One",'Bond 12'!B$11="Select One",'Bond 12'!B$12="",'Bond 12'!B$16=""),FALSE,TRUE))</f>
        <v>0</v>
      </c>
      <c r="E225" t="s">
        <v>587</v>
      </c>
      <c r="F225" t="str">
        <f>INDEX(Lists!I:I,MATCH(Validation!E225,Lists!G:G,0))</f>
        <v>Error</v>
      </c>
      <c r="G225" t="str">
        <f>INDEX(Lists!H:H,MATCH(Validation!E225,Lists!G:G,0))</f>
        <v>Enter the debt name first.</v>
      </c>
      <c r="H225" s="25" t="str">
        <f t="shared" ca="1" si="66"/>
        <v/>
      </c>
      <c r="I225" s="25" t="str">
        <f t="shared" ca="1" si="67"/>
        <v/>
      </c>
      <c r="J225" s="26" t="str">
        <f t="shared" si="68"/>
        <v/>
      </c>
    </row>
    <row r="226" spans="1:10" x14ac:dyDescent="0.25">
      <c r="A226" t="s">
        <v>313</v>
      </c>
      <c r="B226" t="str">
        <f>ADDRESS(ROW('Bond 1'!$B$7),COLUMN('Bond 1'!$B$7),4)</f>
        <v>B7</v>
      </c>
      <c r="C226" t="str">
        <f>ADDRESS(ROW('Bond 1'!$D$7),COLUMN('Bond 1'!$D$7),4)</f>
        <v>D7</v>
      </c>
      <c r="D226" t="b">
        <f>IF('Bond 13'!B$7="",IF(AND('Bond 13'!B$8="Select One",'Bond 13'!B$9="Select One",'Bond 13'!B$10="Select One",'Bond 13'!B$11="Select One",'Bond 13'!B$12="",'Bond 13'!B$16=""),FALSE,TRUE))</f>
        <v>0</v>
      </c>
      <c r="E226" t="s">
        <v>587</v>
      </c>
      <c r="F226" t="str">
        <f>INDEX(Lists!I:I,MATCH(Validation!E226,Lists!G:G,0))</f>
        <v>Error</v>
      </c>
      <c r="G226" t="str">
        <f>INDEX(Lists!H:H,MATCH(Validation!E226,Lists!G:G,0))</f>
        <v>Enter the debt name first.</v>
      </c>
      <c r="H226" s="25" t="str">
        <f t="shared" ca="1" si="66"/>
        <v/>
      </c>
      <c r="I226" s="25" t="str">
        <f t="shared" ca="1" si="67"/>
        <v/>
      </c>
      <c r="J226" s="26" t="str">
        <f t="shared" si="68"/>
        <v/>
      </c>
    </row>
    <row r="227" spans="1:10" x14ac:dyDescent="0.25">
      <c r="A227" t="s">
        <v>314</v>
      </c>
      <c r="B227" t="str">
        <f>ADDRESS(ROW('Bond 1'!$B$7),COLUMN('Bond 1'!$B$7),4)</f>
        <v>B7</v>
      </c>
      <c r="C227" t="str">
        <f>ADDRESS(ROW('Bond 1'!$D$7),COLUMN('Bond 1'!$D$7),4)</f>
        <v>D7</v>
      </c>
      <c r="D227" t="b">
        <f>IF('Bond 14'!B$7="",IF(AND('Bond 14'!B$8="Select One",'Bond 14'!B$9="Select One",'Bond 14'!B$10="Select One",'Bond 14'!B$11="Select One",'Bond 14'!B$12="",'Bond 14'!B$16=""),FALSE,TRUE))</f>
        <v>0</v>
      </c>
      <c r="E227" t="s">
        <v>587</v>
      </c>
      <c r="F227" t="str">
        <f>INDEX(Lists!I:I,MATCH(Validation!E227,Lists!G:G,0))</f>
        <v>Error</v>
      </c>
      <c r="G227" t="str">
        <f>INDEX(Lists!H:H,MATCH(Validation!E227,Lists!G:G,0))</f>
        <v>Enter the debt name first.</v>
      </c>
      <c r="H227" s="25" t="str">
        <f t="shared" ca="1" si="66"/>
        <v/>
      </c>
      <c r="I227" s="25" t="str">
        <f t="shared" ca="1" si="67"/>
        <v/>
      </c>
      <c r="J227" s="26" t="str">
        <f t="shared" si="68"/>
        <v/>
      </c>
    </row>
    <row r="228" spans="1:10" x14ac:dyDescent="0.25">
      <c r="A228" t="s">
        <v>315</v>
      </c>
      <c r="B228" t="str">
        <f>ADDRESS(ROW('Bond 1'!$B$7),COLUMN('Bond 1'!$B$7),4)</f>
        <v>B7</v>
      </c>
      <c r="C228" t="str">
        <f>ADDRESS(ROW('Bond 1'!$D$7),COLUMN('Bond 1'!$D$7),4)</f>
        <v>D7</v>
      </c>
      <c r="D228" t="b">
        <f>IF('Bond 15'!B$7="",IF(AND('Bond 15'!B$8="Select One",'Bond 15'!B$9="Select One",'Bond 15'!B$10="Select One",'Bond 15'!B$11="Select One",'Bond 15'!B$12="",'Bond 15'!B$16=""),FALSE,TRUE))</f>
        <v>0</v>
      </c>
      <c r="E228" t="s">
        <v>587</v>
      </c>
      <c r="F228" t="str">
        <f>INDEX(Lists!I:I,MATCH(Validation!E228,Lists!G:G,0))</f>
        <v>Error</v>
      </c>
      <c r="G228" t="str">
        <f>INDEX(Lists!H:H,MATCH(Validation!E228,Lists!G:G,0))</f>
        <v>Enter the debt name first.</v>
      </c>
      <c r="H228" s="25" t="str">
        <f t="shared" ca="1" si="66"/>
        <v/>
      </c>
      <c r="I228" s="25" t="str">
        <f t="shared" ca="1" si="67"/>
        <v/>
      </c>
      <c r="J228" s="26" t="str">
        <f t="shared" si="68"/>
        <v/>
      </c>
    </row>
    <row r="229" spans="1:10" x14ac:dyDescent="0.25">
      <c r="A229" t="s">
        <v>198</v>
      </c>
      <c r="B229" t="str">
        <f>ADDRESS(ROW('Bond 1'!$B$7),COLUMN('Bond 1'!$B$7),4)</f>
        <v>B7</v>
      </c>
      <c r="C229" t="str">
        <f>ADDRESS(ROW('Bond 1'!$D$7),COLUMN('Bond 1'!$D$7),4)</f>
        <v>D7</v>
      </c>
      <c r="D229" t="b">
        <f>IF('Bond 1'!B$7="",FALSE,IF(LEN('Bond 1'!B$7)=LEN(TRIM(CLEAN('Bond 1'!B$7))),FALSE,TRUE))</f>
        <v>0</v>
      </c>
      <c r="E229" t="s">
        <v>588</v>
      </c>
      <c r="F229" t="str">
        <f>INDEX(Lists!I:I,MATCH(Validation!E229,Lists!G:G,0))</f>
        <v>Error</v>
      </c>
      <c r="G229" t="str">
        <f>INDEX(Lists!H:H,MATCH(Validation!E229,Lists!G:G,0))</f>
        <v>Do not use leading, trailing, or double spaces. Delete and re-enter.</v>
      </c>
      <c r="H229" s="25" t="str">
        <f ca="1">IFERROR(IF(OR(NOT(D229),F229&lt;&gt;"Error"),"",A229&amp;CELL("address",INDIRECT(B229))),"")</f>
        <v/>
      </c>
      <c r="I229" s="25" t="str">
        <f ca="1">IFERROR(IF(NOT(D229),"",A229&amp;CELL("address",INDIRECT(C229))),"")</f>
        <v/>
      </c>
      <c r="J229" s="26" t="str">
        <f>IFERROR(IF(NOT(D229),"",A229),"")</f>
        <v/>
      </c>
    </row>
    <row r="230" spans="1:10" x14ac:dyDescent="0.25">
      <c r="A230" t="s">
        <v>302</v>
      </c>
      <c r="B230" t="str">
        <f>ADDRESS(ROW('Bond 1'!$B$7),COLUMN('Bond 1'!$B$7),4)</f>
        <v>B7</v>
      </c>
      <c r="C230" t="str">
        <f>ADDRESS(ROW('Bond 1'!$D$7),COLUMN('Bond 1'!$D$7),4)</f>
        <v>D7</v>
      </c>
      <c r="D230" t="b">
        <f>IF('Bond 2'!B$7="",FALSE,IF(LEN('Bond 2'!B$7)=LEN(TRIM(CLEAN('Bond 2'!B$7))),FALSE,TRUE))</f>
        <v>0</v>
      </c>
      <c r="E230" t="s">
        <v>588</v>
      </c>
      <c r="F230" t="str">
        <f>INDEX(Lists!I:I,MATCH(Validation!E230,Lists!G:G,0))</f>
        <v>Error</v>
      </c>
      <c r="G230" t="str">
        <f>INDEX(Lists!H:H,MATCH(Validation!E230,Lists!G:G,0))</f>
        <v>Do not use leading, trailing, or double spaces. Delete and re-enter.</v>
      </c>
      <c r="H230" s="25" t="str">
        <f t="shared" ref="H230:H243" ca="1" si="69">IFERROR(IF(OR(NOT(D230),F230&lt;&gt;"Error"),"",A230&amp;CELL("address",INDIRECT(B230))),"")</f>
        <v/>
      </c>
      <c r="I230" s="25" t="str">
        <f t="shared" ref="I230:I243" ca="1" si="70">IFERROR(IF(NOT(D230),"",A230&amp;CELL("address",INDIRECT(C230))),"")</f>
        <v/>
      </c>
      <c r="J230" s="26" t="str">
        <f t="shared" ref="J230:J243" si="71">IFERROR(IF(NOT(D230),"",A230),"")</f>
        <v/>
      </c>
    </row>
    <row r="231" spans="1:10" x14ac:dyDescent="0.25">
      <c r="A231" t="s">
        <v>303</v>
      </c>
      <c r="B231" t="str">
        <f>ADDRESS(ROW('Bond 1'!$B$7),COLUMN('Bond 1'!$B$7),4)</f>
        <v>B7</v>
      </c>
      <c r="C231" t="str">
        <f>ADDRESS(ROW('Bond 1'!$D$7),COLUMN('Bond 1'!$D$7),4)</f>
        <v>D7</v>
      </c>
      <c r="D231" t="b">
        <f>IF('Bond 3'!B$7="",FALSE,IF(LEN('Bond 3'!B$7)=LEN(TRIM(CLEAN('Bond 3'!B$7))),FALSE,TRUE))</f>
        <v>0</v>
      </c>
      <c r="E231" t="s">
        <v>588</v>
      </c>
      <c r="F231" t="str">
        <f>INDEX(Lists!I:I,MATCH(Validation!E231,Lists!G:G,0))</f>
        <v>Error</v>
      </c>
      <c r="G231" t="str">
        <f>INDEX(Lists!H:H,MATCH(Validation!E231,Lists!G:G,0))</f>
        <v>Do not use leading, trailing, or double spaces. Delete and re-enter.</v>
      </c>
      <c r="H231" s="25" t="str">
        <f t="shared" ca="1" si="69"/>
        <v/>
      </c>
      <c r="I231" s="25" t="str">
        <f t="shared" ca="1" si="70"/>
        <v/>
      </c>
      <c r="J231" s="26" t="str">
        <f t="shared" si="71"/>
        <v/>
      </c>
    </row>
    <row r="232" spans="1:10" x14ac:dyDescent="0.25">
      <c r="A232" t="s">
        <v>304</v>
      </c>
      <c r="B232" t="str">
        <f>ADDRESS(ROW('Bond 1'!$B$7),COLUMN('Bond 1'!$B$7),4)</f>
        <v>B7</v>
      </c>
      <c r="C232" t="str">
        <f>ADDRESS(ROW('Bond 1'!$D$7),COLUMN('Bond 1'!$D$7),4)</f>
        <v>D7</v>
      </c>
      <c r="D232" t="b">
        <f>IF('Bond 4'!B$7="",FALSE,IF(LEN('Bond 4'!B$7)=LEN(TRIM(CLEAN('Bond 4'!B$7))),FALSE,TRUE))</f>
        <v>0</v>
      </c>
      <c r="E232" t="s">
        <v>588</v>
      </c>
      <c r="F232" t="str">
        <f>INDEX(Lists!I:I,MATCH(Validation!E232,Lists!G:G,0))</f>
        <v>Error</v>
      </c>
      <c r="G232" t="str">
        <f>INDEX(Lists!H:H,MATCH(Validation!E232,Lists!G:G,0))</f>
        <v>Do not use leading, trailing, or double spaces. Delete and re-enter.</v>
      </c>
      <c r="H232" s="25" t="str">
        <f t="shared" ca="1" si="69"/>
        <v/>
      </c>
      <c r="I232" s="25" t="str">
        <f t="shared" ca="1" si="70"/>
        <v/>
      </c>
      <c r="J232" s="26" t="str">
        <f t="shared" si="71"/>
        <v/>
      </c>
    </row>
    <row r="233" spans="1:10" x14ac:dyDescent="0.25">
      <c r="A233" t="s">
        <v>305</v>
      </c>
      <c r="B233" t="str">
        <f>ADDRESS(ROW('Bond 1'!$B$7),COLUMN('Bond 1'!$B$7),4)</f>
        <v>B7</v>
      </c>
      <c r="C233" t="str">
        <f>ADDRESS(ROW('Bond 1'!$D$7),COLUMN('Bond 1'!$D$7),4)</f>
        <v>D7</v>
      </c>
      <c r="D233" t="b">
        <f>IF('Bond 5'!B$7="",FALSE,IF(LEN('Bond 5'!B$7)=LEN(TRIM(CLEAN('Bond 5'!B$7))),FALSE,TRUE))</f>
        <v>0</v>
      </c>
      <c r="E233" t="s">
        <v>588</v>
      </c>
      <c r="F233" t="str">
        <f>INDEX(Lists!I:I,MATCH(Validation!E233,Lists!G:G,0))</f>
        <v>Error</v>
      </c>
      <c r="G233" t="str">
        <f>INDEX(Lists!H:H,MATCH(Validation!E233,Lists!G:G,0))</f>
        <v>Do not use leading, trailing, or double spaces. Delete and re-enter.</v>
      </c>
      <c r="H233" s="25" t="str">
        <f t="shared" ca="1" si="69"/>
        <v/>
      </c>
      <c r="I233" s="25" t="str">
        <f t="shared" ca="1" si="70"/>
        <v/>
      </c>
      <c r="J233" s="26" t="str">
        <f t="shared" si="71"/>
        <v/>
      </c>
    </row>
    <row r="234" spans="1:10" x14ac:dyDescent="0.25">
      <c r="A234" t="s">
        <v>306</v>
      </c>
      <c r="B234" t="str">
        <f>ADDRESS(ROW('Bond 1'!$B$7),COLUMN('Bond 1'!$B$7),4)</f>
        <v>B7</v>
      </c>
      <c r="C234" t="str">
        <f>ADDRESS(ROW('Bond 1'!$D$7),COLUMN('Bond 1'!$D$7),4)</f>
        <v>D7</v>
      </c>
      <c r="D234" t="b">
        <f>IF('Bond 6'!B$7="",FALSE,IF(LEN('Bond 6'!B$7)=LEN(TRIM(CLEAN('Bond 6'!B$7))),FALSE,TRUE))</f>
        <v>0</v>
      </c>
      <c r="E234" t="s">
        <v>588</v>
      </c>
      <c r="F234" t="str">
        <f>INDEX(Lists!I:I,MATCH(Validation!E234,Lists!G:G,0))</f>
        <v>Error</v>
      </c>
      <c r="G234" t="str">
        <f>INDEX(Lists!H:H,MATCH(Validation!E234,Lists!G:G,0))</f>
        <v>Do not use leading, trailing, or double spaces. Delete and re-enter.</v>
      </c>
      <c r="H234" s="25" t="str">
        <f t="shared" ca="1" si="69"/>
        <v/>
      </c>
      <c r="I234" s="25" t="str">
        <f t="shared" ca="1" si="70"/>
        <v/>
      </c>
      <c r="J234" s="26" t="str">
        <f t="shared" si="71"/>
        <v/>
      </c>
    </row>
    <row r="235" spans="1:10" x14ac:dyDescent="0.25">
      <c r="A235" t="s">
        <v>307</v>
      </c>
      <c r="B235" t="str">
        <f>ADDRESS(ROW('Bond 1'!$B$7),COLUMN('Bond 1'!$B$7),4)</f>
        <v>B7</v>
      </c>
      <c r="C235" t="str">
        <f>ADDRESS(ROW('Bond 1'!$D$7),COLUMN('Bond 1'!$D$7),4)</f>
        <v>D7</v>
      </c>
      <c r="D235" t="b">
        <f>IF('Bond 7'!B$7="",FALSE,IF(LEN('Bond 7'!B$7)=LEN(TRIM(CLEAN('Bond 7'!B$7))),FALSE,TRUE))</f>
        <v>0</v>
      </c>
      <c r="E235" t="s">
        <v>588</v>
      </c>
      <c r="F235" t="str">
        <f>INDEX(Lists!I:I,MATCH(Validation!E235,Lists!G:G,0))</f>
        <v>Error</v>
      </c>
      <c r="G235" t="str">
        <f>INDEX(Lists!H:H,MATCH(Validation!E235,Lists!G:G,0))</f>
        <v>Do not use leading, trailing, or double spaces. Delete and re-enter.</v>
      </c>
      <c r="H235" s="25" t="str">
        <f t="shared" ca="1" si="69"/>
        <v/>
      </c>
      <c r="I235" s="25" t="str">
        <f t="shared" ca="1" si="70"/>
        <v/>
      </c>
      <c r="J235" s="26" t="str">
        <f t="shared" si="71"/>
        <v/>
      </c>
    </row>
    <row r="236" spans="1:10" x14ac:dyDescent="0.25">
      <c r="A236" t="s">
        <v>308</v>
      </c>
      <c r="B236" t="str">
        <f>ADDRESS(ROW('Bond 1'!$B$7),COLUMN('Bond 1'!$B$7),4)</f>
        <v>B7</v>
      </c>
      <c r="C236" t="str">
        <f>ADDRESS(ROW('Bond 1'!$D$7),COLUMN('Bond 1'!$D$7),4)</f>
        <v>D7</v>
      </c>
      <c r="D236" t="b">
        <f>IF('Bond 8'!B$7="",FALSE,IF(LEN('Bond 8'!B$7)=LEN(TRIM(CLEAN('Bond 8'!B$7))),FALSE,TRUE))</f>
        <v>0</v>
      </c>
      <c r="E236" t="s">
        <v>588</v>
      </c>
      <c r="F236" t="str">
        <f>INDEX(Lists!I:I,MATCH(Validation!E236,Lists!G:G,0))</f>
        <v>Error</v>
      </c>
      <c r="G236" t="str">
        <f>INDEX(Lists!H:H,MATCH(Validation!E236,Lists!G:G,0))</f>
        <v>Do not use leading, trailing, or double spaces. Delete and re-enter.</v>
      </c>
      <c r="H236" s="25" t="str">
        <f t="shared" ca="1" si="69"/>
        <v/>
      </c>
      <c r="I236" s="25" t="str">
        <f t="shared" ca="1" si="70"/>
        <v/>
      </c>
      <c r="J236" s="26" t="str">
        <f t="shared" si="71"/>
        <v/>
      </c>
    </row>
    <row r="237" spans="1:10" x14ac:dyDescent="0.25">
      <c r="A237" t="s">
        <v>309</v>
      </c>
      <c r="B237" t="str">
        <f>ADDRESS(ROW('Bond 1'!$B$7),COLUMN('Bond 1'!$B$7),4)</f>
        <v>B7</v>
      </c>
      <c r="C237" t="str">
        <f>ADDRESS(ROW('Bond 1'!$D$7),COLUMN('Bond 1'!$D$7),4)</f>
        <v>D7</v>
      </c>
      <c r="D237" t="b">
        <f>IF('Bond 9'!B$7="",FALSE,IF(LEN('Bond 9'!B$7)=LEN(TRIM(CLEAN('Bond 9'!B$7))),FALSE,TRUE))</f>
        <v>0</v>
      </c>
      <c r="E237" t="s">
        <v>588</v>
      </c>
      <c r="F237" t="str">
        <f>INDEX(Lists!I:I,MATCH(Validation!E237,Lists!G:G,0))</f>
        <v>Error</v>
      </c>
      <c r="G237" t="str">
        <f>INDEX(Lists!H:H,MATCH(Validation!E237,Lists!G:G,0))</f>
        <v>Do not use leading, trailing, or double spaces. Delete and re-enter.</v>
      </c>
      <c r="H237" s="25" t="str">
        <f t="shared" ca="1" si="69"/>
        <v/>
      </c>
      <c r="I237" s="25" t="str">
        <f t="shared" ca="1" si="70"/>
        <v/>
      </c>
      <c r="J237" s="26" t="str">
        <f t="shared" si="71"/>
        <v/>
      </c>
    </row>
    <row r="238" spans="1:10" x14ac:dyDescent="0.25">
      <c r="A238" t="s">
        <v>310</v>
      </c>
      <c r="B238" t="str">
        <f>ADDRESS(ROW('Bond 1'!$B$7),COLUMN('Bond 1'!$B$7),4)</f>
        <v>B7</v>
      </c>
      <c r="C238" t="str">
        <f>ADDRESS(ROW('Bond 1'!$D$7),COLUMN('Bond 1'!$D$7),4)</f>
        <v>D7</v>
      </c>
      <c r="D238" t="b">
        <f>IF('Bond 10'!B$7="",FALSE,IF(LEN('Bond 10'!B$7)=LEN(TRIM(CLEAN('Bond 10'!B$7))),FALSE,TRUE))</f>
        <v>0</v>
      </c>
      <c r="E238" t="s">
        <v>588</v>
      </c>
      <c r="F238" t="str">
        <f>INDEX(Lists!I:I,MATCH(Validation!E238,Lists!G:G,0))</f>
        <v>Error</v>
      </c>
      <c r="G238" t="str">
        <f>INDEX(Lists!H:H,MATCH(Validation!E238,Lists!G:G,0))</f>
        <v>Do not use leading, trailing, or double spaces. Delete and re-enter.</v>
      </c>
      <c r="H238" s="25" t="str">
        <f t="shared" ca="1" si="69"/>
        <v/>
      </c>
      <c r="I238" s="25" t="str">
        <f t="shared" ca="1" si="70"/>
        <v/>
      </c>
      <c r="J238" s="26" t="str">
        <f t="shared" si="71"/>
        <v/>
      </c>
    </row>
    <row r="239" spans="1:10" x14ac:dyDescent="0.25">
      <c r="A239" t="s">
        <v>311</v>
      </c>
      <c r="B239" t="str">
        <f>ADDRESS(ROW('Bond 1'!$B$7),COLUMN('Bond 1'!$B$7),4)</f>
        <v>B7</v>
      </c>
      <c r="C239" t="str">
        <f>ADDRESS(ROW('Bond 1'!$D$7),COLUMN('Bond 1'!$D$7),4)</f>
        <v>D7</v>
      </c>
      <c r="D239" t="b">
        <f>IF('Bond 11'!B$7="",FALSE,IF(LEN('Bond 11'!B$7)=LEN(TRIM(CLEAN('Bond 11'!B$7))),FALSE,TRUE))</f>
        <v>0</v>
      </c>
      <c r="E239" t="s">
        <v>588</v>
      </c>
      <c r="F239" t="str">
        <f>INDEX(Lists!I:I,MATCH(Validation!E239,Lists!G:G,0))</f>
        <v>Error</v>
      </c>
      <c r="G239" t="str">
        <f>INDEX(Lists!H:H,MATCH(Validation!E239,Lists!G:G,0))</f>
        <v>Do not use leading, trailing, or double spaces. Delete and re-enter.</v>
      </c>
      <c r="H239" s="25" t="str">
        <f t="shared" ca="1" si="69"/>
        <v/>
      </c>
      <c r="I239" s="25" t="str">
        <f t="shared" ca="1" si="70"/>
        <v/>
      </c>
      <c r="J239" s="26" t="str">
        <f t="shared" si="71"/>
        <v/>
      </c>
    </row>
    <row r="240" spans="1:10" x14ac:dyDescent="0.25">
      <c r="A240" t="s">
        <v>312</v>
      </c>
      <c r="B240" t="str">
        <f>ADDRESS(ROW('Bond 1'!$B$7),COLUMN('Bond 1'!$B$7),4)</f>
        <v>B7</v>
      </c>
      <c r="C240" t="str">
        <f>ADDRESS(ROW('Bond 1'!$D$7),COLUMN('Bond 1'!$D$7),4)</f>
        <v>D7</v>
      </c>
      <c r="D240" t="b">
        <f>IF('Bond 12'!B$7="",FALSE,IF(LEN('Bond 12'!B$7)=LEN(TRIM(CLEAN('Bond 12'!B$7))),FALSE,TRUE))</f>
        <v>0</v>
      </c>
      <c r="E240" t="s">
        <v>588</v>
      </c>
      <c r="F240" t="str">
        <f>INDEX(Lists!I:I,MATCH(Validation!E240,Lists!G:G,0))</f>
        <v>Error</v>
      </c>
      <c r="G240" t="str">
        <f>INDEX(Lists!H:H,MATCH(Validation!E240,Lists!G:G,0))</f>
        <v>Do not use leading, trailing, or double spaces. Delete and re-enter.</v>
      </c>
      <c r="H240" s="25" t="str">
        <f t="shared" ca="1" si="69"/>
        <v/>
      </c>
      <c r="I240" s="25" t="str">
        <f t="shared" ca="1" si="70"/>
        <v/>
      </c>
      <c r="J240" s="26" t="str">
        <f t="shared" si="71"/>
        <v/>
      </c>
    </row>
    <row r="241" spans="1:10" x14ac:dyDescent="0.25">
      <c r="A241" t="s">
        <v>313</v>
      </c>
      <c r="B241" t="str">
        <f>ADDRESS(ROW('Bond 1'!$B$7),COLUMN('Bond 1'!$B$7),4)</f>
        <v>B7</v>
      </c>
      <c r="C241" t="str">
        <f>ADDRESS(ROW('Bond 1'!$D$7),COLUMN('Bond 1'!$D$7),4)</f>
        <v>D7</v>
      </c>
      <c r="D241" t="b">
        <f>IF('Bond 13'!B$7="",FALSE,IF(LEN('Bond 13'!B$7)=LEN(TRIM(CLEAN('Bond 13'!B$7))),FALSE,TRUE))</f>
        <v>0</v>
      </c>
      <c r="E241" t="s">
        <v>588</v>
      </c>
      <c r="F241" t="str">
        <f>INDEX(Lists!I:I,MATCH(Validation!E241,Lists!G:G,0))</f>
        <v>Error</v>
      </c>
      <c r="G241" t="str">
        <f>INDEX(Lists!H:H,MATCH(Validation!E241,Lists!G:G,0))</f>
        <v>Do not use leading, trailing, or double spaces. Delete and re-enter.</v>
      </c>
      <c r="H241" s="25" t="str">
        <f t="shared" ca="1" si="69"/>
        <v/>
      </c>
      <c r="I241" s="25" t="str">
        <f t="shared" ca="1" si="70"/>
        <v/>
      </c>
      <c r="J241" s="26" t="str">
        <f t="shared" si="71"/>
        <v/>
      </c>
    </row>
    <row r="242" spans="1:10" x14ac:dyDescent="0.25">
      <c r="A242" t="s">
        <v>314</v>
      </c>
      <c r="B242" t="str">
        <f>ADDRESS(ROW('Bond 1'!$B$7),COLUMN('Bond 1'!$B$7),4)</f>
        <v>B7</v>
      </c>
      <c r="C242" t="str">
        <f>ADDRESS(ROW('Bond 1'!$D$7),COLUMN('Bond 1'!$D$7),4)</f>
        <v>D7</v>
      </c>
      <c r="D242" t="b">
        <f>IF('Bond 14'!B$7="",FALSE,IF(LEN('Bond 14'!B$7)=LEN(TRIM(CLEAN('Bond 14'!B$7))),FALSE,TRUE))</f>
        <v>0</v>
      </c>
      <c r="E242" t="s">
        <v>588</v>
      </c>
      <c r="F242" t="str">
        <f>INDEX(Lists!I:I,MATCH(Validation!E242,Lists!G:G,0))</f>
        <v>Error</v>
      </c>
      <c r="G242" t="str">
        <f>INDEX(Lists!H:H,MATCH(Validation!E242,Lists!G:G,0))</f>
        <v>Do not use leading, trailing, or double spaces. Delete and re-enter.</v>
      </c>
      <c r="H242" s="25" t="str">
        <f t="shared" ca="1" si="69"/>
        <v/>
      </c>
      <c r="I242" s="25" t="str">
        <f t="shared" ca="1" si="70"/>
        <v/>
      </c>
      <c r="J242" s="26" t="str">
        <f t="shared" si="71"/>
        <v/>
      </c>
    </row>
    <row r="243" spans="1:10" x14ac:dyDescent="0.25">
      <c r="A243" t="s">
        <v>315</v>
      </c>
      <c r="B243" t="str">
        <f>ADDRESS(ROW('Bond 1'!$B$7),COLUMN('Bond 1'!$B$7),4)</f>
        <v>B7</v>
      </c>
      <c r="C243" t="str">
        <f>ADDRESS(ROW('Bond 1'!$D$7),COLUMN('Bond 1'!$D$7),4)</f>
        <v>D7</v>
      </c>
      <c r="D243" t="b">
        <f>IF('Bond 15'!B$7="",FALSE,IF(LEN('Bond 15'!B$7)=LEN(TRIM(CLEAN('Bond 15'!B$7))),FALSE,TRUE))</f>
        <v>0</v>
      </c>
      <c r="E243" t="s">
        <v>588</v>
      </c>
      <c r="F243" t="str">
        <f>INDEX(Lists!I:I,MATCH(Validation!E243,Lists!G:G,0))</f>
        <v>Error</v>
      </c>
      <c r="G243" t="str">
        <f>INDEX(Lists!H:H,MATCH(Validation!E243,Lists!G:G,0))</f>
        <v>Do not use leading, trailing, or double spaces. Delete and re-enter.</v>
      </c>
      <c r="H243" s="25" t="str">
        <f t="shared" ca="1" si="69"/>
        <v/>
      </c>
      <c r="I243" s="25" t="str">
        <f t="shared" ca="1" si="70"/>
        <v/>
      </c>
      <c r="J243" s="26" t="str">
        <f t="shared" si="71"/>
        <v/>
      </c>
    </row>
    <row r="244" spans="1:10" x14ac:dyDescent="0.25">
      <c r="A244" t="s">
        <v>198</v>
      </c>
      <c r="B244" t="str">
        <f>ADDRESS(ROW('Bond 1'!$B$8),COLUMN('Bond 1'!$B$8),4)</f>
        <v>B8</v>
      </c>
      <c r="C244" t="str">
        <f>ADDRESS(ROW('Bond 1'!$D$8),COLUMN('Bond 1'!$D$8),4)</f>
        <v>D8</v>
      </c>
      <c r="D244" t="b" cm="1">
        <f t="array" aca="1" ref="D244" ca="1">AND(NOT('Bond 1'!B$7=""),INDIRECT("'"&amp;A244&amp;"'!"&amp;B244)="Select One")</f>
        <v>0</v>
      </c>
      <c r="E244" t="s">
        <v>64</v>
      </c>
      <c r="F244" t="str">
        <f>INDEX(Lists!I:I,MATCH(Validation!E244,Lists!G:G,0))</f>
        <v>Error</v>
      </c>
      <c r="G244" t="str">
        <f>INDEX(Lists!H:H,MATCH(Validation!E244,Lists!G:G,0))</f>
        <v>You must make a selection from the dropdown list.</v>
      </c>
      <c r="H244" s="25" t="str">
        <f t="shared" ref="H244" ca="1" si="72">IFERROR(IF(OR(NOT(D244),F244&lt;&gt;"Error"),"",A244&amp;CELL("address",INDIRECT(B244))),"")</f>
        <v/>
      </c>
      <c r="I244" s="16" t="str">
        <f ca="1">IFERROR(IF(NOT(D244),"",A244&amp;CELL("address",INDIRECT(C244))),"")</f>
        <v/>
      </c>
      <c r="J244" s="26" t="str">
        <f t="shared" ref="J244" ca="1" si="73">IFERROR(IF(NOT(D244),"",A244),"")</f>
        <v/>
      </c>
    </row>
    <row r="245" spans="1:10" x14ac:dyDescent="0.25">
      <c r="A245" t="s">
        <v>302</v>
      </c>
      <c r="B245" t="str">
        <f>ADDRESS(ROW('Bond 1'!$B$8),COLUMN('Bond 1'!$B$8),4)</f>
        <v>B8</v>
      </c>
      <c r="C245" t="str">
        <f>ADDRESS(ROW('Bond 1'!$D$8),COLUMN('Bond 1'!$D$8),4)</f>
        <v>D8</v>
      </c>
      <c r="D245" t="b" cm="1">
        <f t="array" aca="1" ref="D245" ca="1">AND(NOT('Bond 2'!B$7=""),INDIRECT("'"&amp;A245&amp;"'!"&amp;B245)="Select One")</f>
        <v>0</v>
      </c>
      <c r="E245" t="s">
        <v>64</v>
      </c>
      <c r="F245" t="str">
        <f>INDEX(Lists!I:I,MATCH(Validation!E245,Lists!G:G,0))</f>
        <v>Error</v>
      </c>
      <c r="G245" t="str">
        <f>INDEX(Lists!H:H,MATCH(Validation!E245,Lists!G:G,0))</f>
        <v>You must make a selection from the dropdown list.</v>
      </c>
      <c r="H245" s="25" t="str">
        <f t="shared" ref="H245:H258" ca="1" si="74">IFERROR(IF(OR(NOT(D245),F245&lt;&gt;"Error"),"",A245&amp;CELL("address",INDIRECT(B245))),"")</f>
        <v/>
      </c>
      <c r="I245" s="16" t="str">
        <f t="shared" ref="I245:I258" ca="1" si="75">IFERROR(IF(NOT(D245),"",A245&amp;CELL("address",INDIRECT(C245))),"")</f>
        <v/>
      </c>
      <c r="J245" s="26" t="str">
        <f t="shared" ref="J245:J258" ca="1" si="76">IFERROR(IF(NOT(D245),"",A245),"")</f>
        <v/>
      </c>
    </row>
    <row r="246" spans="1:10" x14ac:dyDescent="0.25">
      <c r="A246" t="s">
        <v>303</v>
      </c>
      <c r="B246" t="str">
        <f>ADDRESS(ROW('Bond 1'!$B$8),COLUMN('Bond 1'!$B$8),4)</f>
        <v>B8</v>
      </c>
      <c r="C246" t="str">
        <f>ADDRESS(ROW('Bond 1'!$D$8),COLUMN('Bond 1'!$D$8),4)</f>
        <v>D8</v>
      </c>
      <c r="D246" t="b" cm="1">
        <f t="array" aca="1" ref="D246" ca="1">AND(NOT('Bond 3'!B$7=""),INDIRECT("'"&amp;A246&amp;"'!"&amp;B246)="Select One")</f>
        <v>0</v>
      </c>
      <c r="E246" t="s">
        <v>64</v>
      </c>
      <c r="F246" t="str">
        <f>INDEX(Lists!I:I,MATCH(Validation!E246,Lists!G:G,0))</f>
        <v>Error</v>
      </c>
      <c r="G246" t="str">
        <f>INDEX(Lists!H:H,MATCH(Validation!E246,Lists!G:G,0))</f>
        <v>You must make a selection from the dropdown list.</v>
      </c>
      <c r="H246" s="25" t="str">
        <f t="shared" ca="1" si="74"/>
        <v/>
      </c>
      <c r="I246" s="16" t="str">
        <f t="shared" ca="1" si="75"/>
        <v/>
      </c>
      <c r="J246" s="26" t="str">
        <f t="shared" ca="1" si="76"/>
        <v/>
      </c>
    </row>
    <row r="247" spans="1:10" x14ac:dyDescent="0.25">
      <c r="A247" t="s">
        <v>304</v>
      </c>
      <c r="B247" t="str">
        <f>ADDRESS(ROW('Bond 1'!$B$8),COLUMN('Bond 1'!$B$8),4)</f>
        <v>B8</v>
      </c>
      <c r="C247" t="str">
        <f>ADDRESS(ROW('Bond 1'!$D$8),COLUMN('Bond 1'!$D$8),4)</f>
        <v>D8</v>
      </c>
      <c r="D247" t="b" cm="1">
        <f t="array" aca="1" ref="D247" ca="1">AND(NOT('Bond 4'!B$7=""),INDIRECT("'"&amp;A247&amp;"'!"&amp;B247)="Select One")</f>
        <v>0</v>
      </c>
      <c r="E247" t="s">
        <v>64</v>
      </c>
      <c r="F247" t="str">
        <f>INDEX(Lists!I:I,MATCH(Validation!E247,Lists!G:G,0))</f>
        <v>Error</v>
      </c>
      <c r="G247" t="str">
        <f>INDEX(Lists!H:H,MATCH(Validation!E247,Lists!G:G,0))</f>
        <v>You must make a selection from the dropdown list.</v>
      </c>
      <c r="H247" s="25" t="str">
        <f t="shared" ca="1" si="74"/>
        <v/>
      </c>
      <c r="I247" s="16" t="str">
        <f t="shared" ca="1" si="75"/>
        <v/>
      </c>
      <c r="J247" s="26" t="str">
        <f t="shared" ca="1" si="76"/>
        <v/>
      </c>
    </row>
    <row r="248" spans="1:10" x14ac:dyDescent="0.25">
      <c r="A248" t="s">
        <v>305</v>
      </c>
      <c r="B248" t="str">
        <f>ADDRESS(ROW('Bond 1'!$B$8),COLUMN('Bond 1'!$B$8),4)</f>
        <v>B8</v>
      </c>
      <c r="C248" t="str">
        <f>ADDRESS(ROW('Bond 1'!$D$8),COLUMN('Bond 1'!$D$8),4)</f>
        <v>D8</v>
      </c>
      <c r="D248" t="b" cm="1">
        <f t="array" aca="1" ref="D248" ca="1">AND(NOT('Bond 5'!B$7=""),INDIRECT("'"&amp;A248&amp;"'!"&amp;B248)="Select One")</f>
        <v>0</v>
      </c>
      <c r="E248" t="s">
        <v>64</v>
      </c>
      <c r="F248" t="str">
        <f>INDEX(Lists!I:I,MATCH(Validation!E248,Lists!G:G,0))</f>
        <v>Error</v>
      </c>
      <c r="G248" t="str">
        <f>INDEX(Lists!H:H,MATCH(Validation!E248,Lists!G:G,0))</f>
        <v>You must make a selection from the dropdown list.</v>
      </c>
      <c r="H248" s="25" t="str">
        <f t="shared" ca="1" si="74"/>
        <v/>
      </c>
      <c r="I248" s="16" t="str">
        <f t="shared" ca="1" si="75"/>
        <v/>
      </c>
      <c r="J248" s="26" t="str">
        <f t="shared" ca="1" si="76"/>
        <v/>
      </c>
    </row>
    <row r="249" spans="1:10" x14ac:dyDescent="0.25">
      <c r="A249" t="s">
        <v>306</v>
      </c>
      <c r="B249" t="str">
        <f>ADDRESS(ROW('Bond 1'!$B$8),COLUMN('Bond 1'!$B$8),4)</f>
        <v>B8</v>
      </c>
      <c r="C249" t="str">
        <f>ADDRESS(ROW('Bond 1'!$D$8),COLUMN('Bond 1'!$D$8),4)</f>
        <v>D8</v>
      </c>
      <c r="D249" t="b" cm="1">
        <f t="array" aca="1" ref="D249" ca="1">AND(NOT('Bond 6'!B$7=""),INDIRECT("'"&amp;A249&amp;"'!"&amp;B249)="Select One")</f>
        <v>0</v>
      </c>
      <c r="E249" t="s">
        <v>64</v>
      </c>
      <c r="F249" t="str">
        <f>INDEX(Lists!I:I,MATCH(Validation!E249,Lists!G:G,0))</f>
        <v>Error</v>
      </c>
      <c r="G249" t="str">
        <f>INDEX(Lists!H:H,MATCH(Validation!E249,Lists!G:G,0))</f>
        <v>You must make a selection from the dropdown list.</v>
      </c>
      <c r="H249" s="25" t="str">
        <f t="shared" ca="1" si="74"/>
        <v/>
      </c>
      <c r="I249" s="16" t="str">
        <f t="shared" ca="1" si="75"/>
        <v/>
      </c>
      <c r="J249" s="26" t="str">
        <f t="shared" ca="1" si="76"/>
        <v/>
      </c>
    </row>
    <row r="250" spans="1:10" x14ac:dyDescent="0.25">
      <c r="A250" t="s">
        <v>307</v>
      </c>
      <c r="B250" t="str">
        <f>ADDRESS(ROW('Bond 1'!$B$8),COLUMN('Bond 1'!$B$8),4)</f>
        <v>B8</v>
      </c>
      <c r="C250" t="str">
        <f>ADDRESS(ROW('Bond 1'!$D$8),COLUMN('Bond 1'!$D$8),4)</f>
        <v>D8</v>
      </c>
      <c r="D250" t="b" cm="1">
        <f t="array" aca="1" ref="D250" ca="1">AND(NOT('Bond 7'!B$7=""),INDIRECT("'"&amp;A250&amp;"'!"&amp;B250)="Select One")</f>
        <v>0</v>
      </c>
      <c r="E250" t="s">
        <v>64</v>
      </c>
      <c r="F250" t="str">
        <f>INDEX(Lists!I:I,MATCH(Validation!E250,Lists!G:G,0))</f>
        <v>Error</v>
      </c>
      <c r="G250" t="str">
        <f>INDEX(Lists!H:H,MATCH(Validation!E250,Lists!G:G,0))</f>
        <v>You must make a selection from the dropdown list.</v>
      </c>
      <c r="H250" s="25" t="str">
        <f t="shared" ca="1" si="74"/>
        <v/>
      </c>
      <c r="I250" s="16" t="str">
        <f t="shared" ca="1" si="75"/>
        <v/>
      </c>
      <c r="J250" s="26" t="str">
        <f t="shared" ca="1" si="76"/>
        <v/>
      </c>
    </row>
    <row r="251" spans="1:10" x14ac:dyDescent="0.25">
      <c r="A251" t="s">
        <v>308</v>
      </c>
      <c r="B251" t="str">
        <f>ADDRESS(ROW('Bond 1'!$B$8),COLUMN('Bond 1'!$B$8),4)</f>
        <v>B8</v>
      </c>
      <c r="C251" t="str">
        <f>ADDRESS(ROW('Bond 1'!$D$8),COLUMN('Bond 1'!$D$8),4)</f>
        <v>D8</v>
      </c>
      <c r="D251" t="b" cm="1">
        <f t="array" aca="1" ref="D251" ca="1">AND(NOT('Bond 8'!B$7=""),INDIRECT("'"&amp;A251&amp;"'!"&amp;B251)="Select One")</f>
        <v>0</v>
      </c>
      <c r="E251" t="s">
        <v>64</v>
      </c>
      <c r="F251" t="str">
        <f>INDEX(Lists!I:I,MATCH(Validation!E251,Lists!G:G,0))</f>
        <v>Error</v>
      </c>
      <c r="G251" t="str">
        <f>INDEX(Lists!H:H,MATCH(Validation!E251,Lists!G:G,0))</f>
        <v>You must make a selection from the dropdown list.</v>
      </c>
      <c r="H251" s="25" t="str">
        <f t="shared" ca="1" si="74"/>
        <v/>
      </c>
      <c r="I251" s="16" t="str">
        <f t="shared" ca="1" si="75"/>
        <v/>
      </c>
      <c r="J251" s="26" t="str">
        <f t="shared" ca="1" si="76"/>
        <v/>
      </c>
    </row>
    <row r="252" spans="1:10" x14ac:dyDescent="0.25">
      <c r="A252" t="s">
        <v>309</v>
      </c>
      <c r="B252" t="str">
        <f>ADDRESS(ROW('Bond 1'!$B$8),COLUMN('Bond 1'!$B$8),4)</f>
        <v>B8</v>
      </c>
      <c r="C252" t="str">
        <f>ADDRESS(ROW('Bond 1'!$D$8),COLUMN('Bond 1'!$D$8),4)</f>
        <v>D8</v>
      </c>
      <c r="D252" t="b" cm="1">
        <f t="array" aca="1" ref="D252" ca="1">AND(NOT('Bond 9'!B$7=""),INDIRECT("'"&amp;A252&amp;"'!"&amp;B252)="Select One")</f>
        <v>0</v>
      </c>
      <c r="E252" t="s">
        <v>64</v>
      </c>
      <c r="F252" t="str">
        <f>INDEX(Lists!I:I,MATCH(Validation!E252,Lists!G:G,0))</f>
        <v>Error</v>
      </c>
      <c r="G252" t="str">
        <f>INDEX(Lists!H:H,MATCH(Validation!E252,Lists!G:G,0))</f>
        <v>You must make a selection from the dropdown list.</v>
      </c>
      <c r="H252" s="25" t="str">
        <f t="shared" ca="1" si="74"/>
        <v/>
      </c>
      <c r="I252" s="16" t="str">
        <f t="shared" ca="1" si="75"/>
        <v/>
      </c>
      <c r="J252" s="26" t="str">
        <f t="shared" ca="1" si="76"/>
        <v/>
      </c>
    </row>
    <row r="253" spans="1:10" x14ac:dyDescent="0.25">
      <c r="A253" t="s">
        <v>310</v>
      </c>
      <c r="B253" t="str">
        <f>ADDRESS(ROW('Bond 1'!$B$8),COLUMN('Bond 1'!$B$8),4)</f>
        <v>B8</v>
      </c>
      <c r="C253" t="str">
        <f>ADDRESS(ROW('Bond 1'!$D$8),COLUMN('Bond 1'!$D$8),4)</f>
        <v>D8</v>
      </c>
      <c r="D253" t="b" cm="1">
        <f t="array" aca="1" ref="D253" ca="1">AND(NOT('Bond 10'!B$7=""),INDIRECT("'"&amp;A253&amp;"'!"&amp;B253)="Select One")</f>
        <v>0</v>
      </c>
      <c r="E253" t="s">
        <v>64</v>
      </c>
      <c r="F253" t="str">
        <f>INDEX(Lists!I:I,MATCH(Validation!E253,Lists!G:G,0))</f>
        <v>Error</v>
      </c>
      <c r="G253" t="str">
        <f>INDEX(Lists!H:H,MATCH(Validation!E253,Lists!G:G,0))</f>
        <v>You must make a selection from the dropdown list.</v>
      </c>
      <c r="H253" s="25" t="str">
        <f t="shared" ca="1" si="74"/>
        <v/>
      </c>
      <c r="I253" s="16" t="str">
        <f t="shared" ca="1" si="75"/>
        <v/>
      </c>
      <c r="J253" s="26" t="str">
        <f t="shared" ca="1" si="76"/>
        <v/>
      </c>
    </row>
    <row r="254" spans="1:10" x14ac:dyDescent="0.25">
      <c r="A254" t="s">
        <v>311</v>
      </c>
      <c r="B254" t="str">
        <f>ADDRESS(ROW('Bond 1'!$B$8),COLUMN('Bond 1'!$B$8),4)</f>
        <v>B8</v>
      </c>
      <c r="C254" t="str">
        <f>ADDRESS(ROW('Bond 1'!$D$8),COLUMN('Bond 1'!$D$8),4)</f>
        <v>D8</v>
      </c>
      <c r="D254" t="b" cm="1">
        <f t="array" aca="1" ref="D254" ca="1">AND(NOT('Bond 11'!B$7=""),INDIRECT("'"&amp;A254&amp;"'!"&amp;B254)="Select One")</f>
        <v>0</v>
      </c>
      <c r="E254" t="s">
        <v>64</v>
      </c>
      <c r="F254" t="str">
        <f>INDEX(Lists!I:I,MATCH(Validation!E254,Lists!G:G,0))</f>
        <v>Error</v>
      </c>
      <c r="G254" t="str">
        <f>INDEX(Lists!H:H,MATCH(Validation!E254,Lists!G:G,0))</f>
        <v>You must make a selection from the dropdown list.</v>
      </c>
      <c r="H254" s="25" t="str">
        <f t="shared" ca="1" si="74"/>
        <v/>
      </c>
      <c r="I254" s="16" t="str">
        <f t="shared" ca="1" si="75"/>
        <v/>
      </c>
      <c r="J254" s="26" t="str">
        <f t="shared" ca="1" si="76"/>
        <v/>
      </c>
    </row>
    <row r="255" spans="1:10" x14ac:dyDescent="0.25">
      <c r="A255" t="s">
        <v>312</v>
      </c>
      <c r="B255" t="str">
        <f>ADDRESS(ROW('Bond 1'!$B$8),COLUMN('Bond 1'!$B$8),4)</f>
        <v>B8</v>
      </c>
      <c r="C255" t="str">
        <f>ADDRESS(ROW('Bond 1'!$D$8),COLUMN('Bond 1'!$D$8),4)</f>
        <v>D8</v>
      </c>
      <c r="D255" t="b" cm="1">
        <f t="array" aca="1" ref="D255" ca="1">AND(NOT('Bond 12'!B$7=""),INDIRECT("'"&amp;A255&amp;"'!"&amp;B255)="Select One")</f>
        <v>0</v>
      </c>
      <c r="E255" t="s">
        <v>64</v>
      </c>
      <c r="F255" t="str">
        <f>INDEX(Lists!I:I,MATCH(Validation!E255,Lists!G:G,0))</f>
        <v>Error</v>
      </c>
      <c r="G255" t="str">
        <f>INDEX(Lists!H:H,MATCH(Validation!E255,Lists!G:G,0))</f>
        <v>You must make a selection from the dropdown list.</v>
      </c>
      <c r="H255" s="25" t="str">
        <f t="shared" ca="1" si="74"/>
        <v/>
      </c>
      <c r="I255" s="16" t="str">
        <f t="shared" ca="1" si="75"/>
        <v/>
      </c>
      <c r="J255" s="26" t="str">
        <f t="shared" ca="1" si="76"/>
        <v/>
      </c>
    </row>
    <row r="256" spans="1:10" x14ac:dyDescent="0.25">
      <c r="A256" t="s">
        <v>313</v>
      </c>
      <c r="B256" t="str">
        <f>ADDRESS(ROW('Bond 1'!$B$8),COLUMN('Bond 1'!$B$8),4)</f>
        <v>B8</v>
      </c>
      <c r="C256" t="str">
        <f>ADDRESS(ROW('Bond 1'!$D$8),COLUMN('Bond 1'!$D$8),4)</f>
        <v>D8</v>
      </c>
      <c r="D256" t="b" cm="1">
        <f t="array" aca="1" ref="D256" ca="1">AND(NOT('Bond 13'!B$7=""),INDIRECT("'"&amp;A256&amp;"'!"&amp;B256)="Select One")</f>
        <v>0</v>
      </c>
      <c r="E256" t="s">
        <v>64</v>
      </c>
      <c r="F256" t="str">
        <f>INDEX(Lists!I:I,MATCH(Validation!E256,Lists!G:G,0))</f>
        <v>Error</v>
      </c>
      <c r="G256" t="str">
        <f>INDEX(Lists!H:H,MATCH(Validation!E256,Lists!G:G,0))</f>
        <v>You must make a selection from the dropdown list.</v>
      </c>
      <c r="H256" s="25" t="str">
        <f t="shared" ca="1" si="74"/>
        <v/>
      </c>
      <c r="I256" s="16" t="str">
        <f t="shared" ca="1" si="75"/>
        <v/>
      </c>
      <c r="J256" s="26" t="str">
        <f t="shared" ca="1" si="76"/>
        <v/>
      </c>
    </row>
    <row r="257" spans="1:10" x14ac:dyDescent="0.25">
      <c r="A257" t="s">
        <v>314</v>
      </c>
      <c r="B257" t="str">
        <f>ADDRESS(ROW('Bond 1'!$B$8),COLUMN('Bond 1'!$B$8),4)</f>
        <v>B8</v>
      </c>
      <c r="C257" t="str">
        <f>ADDRESS(ROW('Bond 1'!$D$8),COLUMN('Bond 1'!$D$8),4)</f>
        <v>D8</v>
      </c>
      <c r="D257" t="b" cm="1">
        <f t="array" aca="1" ref="D257" ca="1">AND(NOT('Bond 14'!B$7=""),INDIRECT("'"&amp;A257&amp;"'!"&amp;B257)="Select One")</f>
        <v>0</v>
      </c>
      <c r="E257" t="s">
        <v>64</v>
      </c>
      <c r="F257" t="str">
        <f>INDEX(Lists!I:I,MATCH(Validation!E257,Lists!G:G,0))</f>
        <v>Error</v>
      </c>
      <c r="G257" t="str">
        <f>INDEX(Lists!H:H,MATCH(Validation!E257,Lists!G:G,0))</f>
        <v>You must make a selection from the dropdown list.</v>
      </c>
      <c r="H257" s="25" t="str">
        <f t="shared" ca="1" si="74"/>
        <v/>
      </c>
      <c r="I257" s="16" t="str">
        <f t="shared" ca="1" si="75"/>
        <v/>
      </c>
      <c r="J257" s="26" t="str">
        <f t="shared" ca="1" si="76"/>
        <v/>
      </c>
    </row>
    <row r="258" spans="1:10" x14ac:dyDescent="0.25">
      <c r="A258" t="s">
        <v>315</v>
      </c>
      <c r="B258" t="str">
        <f>ADDRESS(ROW('Bond 1'!$B$8),COLUMN('Bond 1'!$B$8),4)</f>
        <v>B8</v>
      </c>
      <c r="C258" t="str">
        <f>ADDRESS(ROW('Bond 1'!$D$8),COLUMN('Bond 1'!$D$8),4)</f>
        <v>D8</v>
      </c>
      <c r="D258" t="b" cm="1">
        <f t="array" aca="1" ref="D258" ca="1">AND(NOT('Bond 15'!B$7=""),INDIRECT("'"&amp;A258&amp;"'!"&amp;B258)="Select One")</f>
        <v>0</v>
      </c>
      <c r="E258" t="s">
        <v>64</v>
      </c>
      <c r="F258" t="str">
        <f>INDEX(Lists!I:I,MATCH(Validation!E258,Lists!G:G,0))</f>
        <v>Error</v>
      </c>
      <c r="G258" t="str">
        <f>INDEX(Lists!H:H,MATCH(Validation!E258,Lists!G:G,0))</f>
        <v>You must make a selection from the dropdown list.</v>
      </c>
      <c r="H258" s="25" t="str">
        <f t="shared" ca="1" si="74"/>
        <v/>
      </c>
      <c r="I258" s="16" t="str">
        <f t="shared" ca="1" si="75"/>
        <v/>
      </c>
      <c r="J258" s="26" t="str">
        <f t="shared" ca="1" si="76"/>
        <v/>
      </c>
    </row>
    <row r="259" spans="1:10" x14ac:dyDescent="0.25">
      <c r="A259" t="s">
        <v>198</v>
      </c>
      <c r="B259" t="str">
        <f>ADDRESS(ROW('Bond 1'!$B$8),COLUMN('Bond 1'!$B$8),4)</f>
        <v>B8</v>
      </c>
      <c r="C259" t="str">
        <f>ADDRESS(ROW('Bond 1'!$D$8),COLUMN('Bond 1'!$D$8),4)</f>
        <v>D8</v>
      </c>
      <c r="D259" t="b">
        <f>IF(NOT(ISBLANK('Bond Input'!C$6)),IF('Bond 1'!B$8='Bond Input'!C$6,FALSE,TRUE))</f>
        <v>0</v>
      </c>
      <c r="E259" t="s">
        <v>591</v>
      </c>
      <c r="F259" t="str">
        <f>INDEX(Lists!I:I,MATCH(Validation!E259,Lists!G:G,0))</f>
        <v>Error</v>
      </c>
      <c r="G259" t="str">
        <f>INDEX(Lists!H:H,MATCH(Validation!E259,Lists!G:G,0))</f>
        <v>Debt type previously reported. Undo and explain desired change in comments box.</v>
      </c>
      <c r="H259" s="25" t="str">
        <f ca="1">IFERROR(IF(OR(NOT(D259),F259&lt;&gt;"Error"),"",A259&amp;CELL("address",INDIRECT(B259))),"")</f>
        <v/>
      </c>
      <c r="I259" s="25" t="str">
        <f ca="1">IFERROR(IF(NOT(D259),"",A259&amp;CELL("address",INDIRECT(C259))),"")</f>
        <v/>
      </c>
      <c r="J259" s="26" t="str">
        <f>IFERROR(IF(NOT(D259),"",A259),"")</f>
        <v/>
      </c>
    </row>
    <row r="260" spans="1:10" x14ac:dyDescent="0.25">
      <c r="A260" t="s">
        <v>302</v>
      </c>
      <c r="B260" t="str">
        <f>ADDRESS(ROW('Bond 1'!$B$8),COLUMN('Bond 1'!$B$8),4)</f>
        <v>B8</v>
      </c>
      <c r="C260" t="str">
        <f>ADDRESS(ROW('Bond 1'!$D$8),COLUMN('Bond 1'!$D$8),4)</f>
        <v>D8</v>
      </c>
      <c r="D260" t="b">
        <f>IF(NOT(ISBLANK('Bond Input'!D$6)),IF('Bond 2'!B$8='Bond Input'!D$6,FALSE,TRUE))</f>
        <v>0</v>
      </c>
      <c r="E260" t="s">
        <v>591</v>
      </c>
      <c r="F260" t="str">
        <f>INDEX(Lists!I:I,MATCH(Validation!E260,Lists!G:G,0))</f>
        <v>Error</v>
      </c>
      <c r="G260" t="str">
        <f>INDEX(Lists!H:H,MATCH(Validation!E260,Lists!G:G,0))</f>
        <v>Debt type previously reported. Undo and explain desired change in comments box.</v>
      </c>
      <c r="H260" s="25" t="str">
        <f t="shared" ref="H260:H273" ca="1" si="77">IFERROR(IF(OR(NOT(D260),F260&lt;&gt;"Error"),"",A260&amp;CELL("address",INDIRECT(B260))),"")</f>
        <v/>
      </c>
      <c r="I260" s="25" t="str">
        <f t="shared" ref="I260:I273" ca="1" si="78">IFERROR(IF(NOT(D260),"",A260&amp;CELL("address",INDIRECT(C260))),"")</f>
        <v/>
      </c>
      <c r="J260" s="26" t="str">
        <f t="shared" ref="J260:J273" si="79">IFERROR(IF(NOT(D260),"",A260),"")</f>
        <v/>
      </c>
    </row>
    <row r="261" spans="1:10" x14ac:dyDescent="0.25">
      <c r="A261" t="s">
        <v>303</v>
      </c>
      <c r="B261" t="str">
        <f>ADDRESS(ROW('Bond 1'!$B$8),COLUMN('Bond 1'!$B$8),4)</f>
        <v>B8</v>
      </c>
      <c r="C261" t="str">
        <f>ADDRESS(ROW('Bond 1'!$D$8),COLUMN('Bond 1'!$D$8),4)</f>
        <v>D8</v>
      </c>
      <c r="D261" t="b">
        <f>IF(NOT(ISBLANK('Bond Input'!E$6)),IF('Bond 3'!B$8='Bond Input'!E$6,FALSE,TRUE))</f>
        <v>0</v>
      </c>
      <c r="E261" t="s">
        <v>591</v>
      </c>
      <c r="F261" t="str">
        <f>INDEX(Lists!I:I,MATCH(Validation!E261,Lists!G:G,0))</f>
        <v>Error</v>
      </c>
      <c r="G261" t="str">
        <f>INDEX(Lists!H:H,MATCH(Validation!E261,Lists!G:G,0))</f>
        <v>Debt type previously reported. Undo and explain desired change in comments box.</v>
      </c>
      <c r="H261" s="25" t="str">
        <f t="shared" ca="1" si="77"/>
        <v/>
      </c>
      <c r="I261" s="25" t="str">
        <f t="shared" ca="1" si="78"/>
        <v/>
      </c>
      <c r="J261" s="26" t="str">
        <f t="shared" si="79"/>
        <v/>
      </c>
    </row>
    <row r="262" spans="1:10" x14ac:dyDescent="0.25">
      <c r="A262" t="s">
        <v>304</v>
      </c>
      <c r="B262" t="str">
        <f>ADDRESS(ROW('Bond 1'!$B$8),COLUMN('Bond 1'!$B$8),4)</f>
        <v>B8</v>
      </c>
      <c r="C262" t="str">
        <f>ADDRESS(ROW('Bond 1'!$D$8),COLUMN('Bond 1'!$D$8),4)</f>
        <v>D8</v>
      </c>
      <c r="D262" t="b">
        <f>IF(NOT(ISBLANK('Bond Input'!F$6)),IF('Bond 4'!B$8='Bond Input'!F$6,FALSE,TRUE))</f>
        <v>0</v>
      </c>
      <c r="E262" t="s">
        <v>591</v>
      </c>
      <c r="F262" t="str">
        <f>INDEX(Lists!I:I,MATCH(Validation!E262,Lists!G:G,0))</f>
        <v>Error</v>
      </c>
      <c r="G262" t="str">
        <f>INDEX(Lists!H:H,MATCH(Validation!E262,Lists!G:G,0))</f>
        <v>Debt type previously reported. Undo and explain desired change in comments box.</v>
      </c>
      <c r="H262" s="25" t="str">
        <f t="shared" ca="1" si="77"/>
        <v/>
      </c>
      <c r="I262" s="25" t="str">
        <f t="shared" ca="1" si="78"/>
        <v/>
      </c>
      <c r="J262" s="26" t="str">
        <f t="shared" si="79"/>
        <v/>
      </c>
    </row>
    <row r="263" spans="1:10" x14ac:dyDescent="0.25">
      <c r="A263" t="s">
        <v>305</v>
      </c>
      <c r="B263" t="str">
        <f>ADDRESS(ROW('Bond 1'!$B$8),COLUMN('Bond 1'!$B$8),4)</f>
        <v>B8</v>
      </c>
      <c r="C263" t="str">
        <f>ADDRESS(ROW('Bond 1'!$D$8),COLUMN('Bond 1'!$D$8),4)</f>
        <v>D8</v>
      </c>
      <c r="D263" t="b">
        <f>IF(NOT(ISBLANK('Bond Input'!G$6)),IF('Bond 5'!B$8='Bond Input'!G$6,FALSE,TRUE))</f>
        <v>0</v>
      </c>
      <c r="E263" t="s">
        <v>591</v>
      </c>
      <c r="F263" t="str">
        <f>INDEX(Lists!I:I,MATCH(Validation!E263,Lists!G:G,0))</f>
        <v>Error</v>
      </c>
      <c r="G263" t="str">
        <f>INDEX(Lists!H:H,MATCH(Validation!E263,Lists!G:G,0))</f>
        <v>Debt type previously reported. Undo and explain desired change in comments box.</v>
      </c>
      <c r="H263" s="25" t="str">
        <f t="shared" ca="1" si="77"/>
        <v/>
      </c>
      <c r="I263" s="25" t="str">
        <f t="shared" ca="1" si="78"/>
        <v/>
      </c>
      <c r="J263" s="26" t="str">
        <f t="shared" si="79"/>
        <v/>
      </c>
    </row>
    <row r="264" spans="1:10" x14ac:dyDescent="0.25">
      <c r="A264" t="s">
        <v>306</v>
      </c>
      <c r="B264" t="str">
        <f>ADDRESS(ROW('Bond 1'!$B$8),COLUMN('Bond 1'!$B$8),4)</f>
        <v>B8</v>
      </c>
      <c r="C264" t="str">
        <f>ADDRESS(ROW('Bond 1'!$D$8),COLUMN('Bond 1'!$D$8),4)</f>
        <v>D8</v>
      </c>
      <c r="D264" t="b">
        <f>IF(NOT(ISBLANK('Bond Input'!H$6)),IF('Bond 6'!B$8='Bond Input'!H$6,FALSE,TRUE))</f>
        <v>0</v>
      </c>
      <c r="E264" t="s">
        <v>591</v>
      </c>
      <c r="F264" t="str">
        <f>INDEX(Lists!I:I,MATCH(Validation!E264,Lists!G:G,0))</f>
        <v>Error</v>
      </c>
      <c r="G264" t="str">
        <f>INDEX(Lists!H:H,MATCH(Validation!E264,Lists!G:G,0))</f>
        <v>Debt type previously reported. Undo and explain desired change in comments box.</v>
      </c>
      <c r="H264" s="25" t="str">
        <f t="shared" ca="1" si="77"/>
        <v/>
      </c>
      <c r="I264" s="25" t="str">
        <f t="shared" ca="1" si="78"/>
        <v/>
      </c>
      <c r="J264" s="26" t="str">
        <f t="shared" si="79"/>
        <v/>
      </c>
    </row>
    <row r="265" spans="1:10" x14ac:dyDescent="0.25">
      <c r="A265" t="s">
        <v>307</v>
      </c>
      <c r="B265" t="str">
        <f>ADDRESS(ROW('Bond 1'!$B$8),COLUMN('Bond 1'!$B$8),4)</f>
        <v>B8</v>
      </c>
      <c r="C265" t="str">
        <f>ADDRESS(ROW('Bond 1'!$D$8),COLUMN('Bond 1'!$D$8),4)</f>
        <v>D8</v>
      </c>
      <c r="D265" t="b">
        <f>IF(NOT(ISBLANK('Bond Input'!I$6)),IF('Bond 7'!B$8='Bond Input'!I$6,FALSE,TRUE))</f>
        <v>0</v>
      </c>
      <c r="E265" t="s">
        <v>591</v>
      </c>
      <c r="F265" t="str">
        <f>INDEX(Lists!I:I,MATCH(Validation!E265,Lists!G:G,0))</f>
        <v>Error</v>
      </c>
      <c r="G265" t="str">
        <f>INDEX(Lists!H:H,MATCH(Validation!E265,Lists!G:G,0))</f>
        <v>Debt type previously reported. Undo and explain desired change in comments box.</v>
      </c>
      <c r="H265" s="25" t="str">
        <f t="shared" ca="1" si="77"/>
        <v/>
      </c>
      <c r="I265" s="25" t="str">
        <f t="shared" ca="1" si="78"/>
        <v/>
      </c>
      <c r="J265" s="26" t="str">
        <f t="shared" si="79"/>
        <v/>
      </c>
    </row>
    <row r="266" spans="1:10" x14ac:dyDescent="0.25">
      <c r="A266" t="s">
        <v>308</v>
      </c>
      <c r="B266" t="str">
        <f>ADDRESS(ROW('Bond 1'!$B$8),COLUMN('Bond 1'!$B$8),4)</f>
        <v>B8</v>
      </c>
      <c r="C266" t="str">
        <f>ADDRESS(ROW('Bond 1'!$D$8),COLUMN('Bond 1'!$D$8),4)</f>
        <v>D8</v>
      </c>
      <c r="D266" t="b">
        <f>IF(NOT(ISBLANK('Bond Input'!J$6)),IF('Bond 8'!B$8='Bond Input'!J$6,FALSE,TRUE))</f>
        <v>0</v>
      </c>
      <c r="E266" t="s">
        <v>591</v>
      </c>
      <c r="F266" t="str">
        <f>INDEX(Lists!I:I,MATCH(Validation!E266,Lists!G:G,0))</f>
        <v>Error</v>
      </c>
      <c r="G266" t="str">
        <f>INDEX(Lists!H:H,MATCH(Validation!E266,Lists!G:G,0))</f>
        <v>Debt type previously reported. Undo and explain desired change in comments box.</v>
      </c>
      <c r="H266" s="25" t="str">
        <f t="shared" ca="1" si="77"/>
        <v/>
      </c>
      <c r="I266" s="25" t="str">
        <f t="shared" ca="1" si="78"/>
        <v/>
      </c>
      <c r="J266" s="26" t="str">
        <f t="shared" si="79"/>
        <v/>
      </c>
    </row>
    <row r="267" spans="1:10" x14ac:dyDescent="0.25">
      <c r="A267" t="s">
        <v>309</v>
      </c>
      <c r="B267" t="str">
        <f>ADDRESS(ROW('Bond 1'!$B$8),COLUMN('Bond 1'!$B$8),4)</f>
        <v>B8</v>
      </c>
      <c r="C267" t="str">
        <f>ADDRESS(ROW('Bond 1'!$D$8),COLUMN('Bond 1'!$D$8),4)</f>
        <v>D8</v>
      </c>
      <c r="D267" t="b">
        <f>IF(NOT(ISBLANK('Bond Input'!K$6)),IF('Bond 9'!B$8='Bond Input'!K$6,FALSE,TRUE))</f>
        <v>0</v>
      </c>
      <c r="E267" t="s">
        <v>591</v>
      </c>
      <c r="F267" t="str">
        <f>INDEX(Lists!I:I,MATCH(Validation!E267,Lists!G:G,0))</f>
        <v>Error</v>
      </c>
      <c r="G267" t="str">
        <f>INDEX(Lists!H:H,MATCH(Validation!E267,Lists!G:G,0))</f>
        <v>Debt type previously reported. Undo and explain desired change in comments box.</v>
      </c>
      <c r="H267" s="25" t="str">
        <f t="shared" ca="1" si="77"/>
        <v/>
      </c>
      <c r="I267" s="25" t="str">
        <f t="shared" ca="1" si="78"/>
        <v/>
      </c>
      <c r="J267" s="26" t="str">
        <f t="shared" si="79"/>
        <v/>
      </c>
    </row>
    <row r="268" spans="1:10" x14ac:dyDescent="0.25">
      <c r="A268" t="s">
        <v>310</v>
      </c>
      <c r="B268" t="str">
        <f>ADDRESS(ROW('Bond 1'!$B$8),COLUMN('Bond 1'!$B$8),4)</f>
        <v>B8</v>
      </c>
      <c r="C268" t="str">
        <f>ADDRESS(ROW('Bond 1'!$D$8),COLUMN('Bond 1'!$D$8),4)</f>
        <v>D8</v>
      </c>
      <c r="D268" t="b">
        <f>IF(NOT(ISBLANK('Bond Input'!L$6)),IF('Bond 10'!B$8='Bond Input'!L$6,FALSE,TRUE))</f>
        <v>0</v>
      </c>
      <c r="E268" t="s">
        <v>591</v>
      </c>
      <c r="F268" t="str">
        <f>INDEX(Lists!I:I,MATCH(Validation!E268,Lists!G:G,0))</f>
        <v>Error</v>
      </c>
      <c r="G268" t="str">
        <f>INDEX(Lists!H:H,MATCH(Validation!E268,Lists!G:G,0))</f>
        <v>Debt type previously reported. Undo and explain desired change in comments box.</v>
      </c>
      <c r="H268" s="25" t="str">
        <f t="shared" ca="1" si="77"/>
        <v/>
      </c>
      <c r="I268" s="25" t="str">
        <f t="shared" ca="1" si="78"/>
        <v/>
      </c>
      <c r="J268" s="26" t="str">
        <f t="shared" si="79"/>
        <v/>
      </c>
    </row>
    <row r="269" spans="1:10" x14ac:dyDescent="0.25">
      <c r="A269" t="s">
        <v>311</v>
      </c>
      <c r="B269" t="str">
        <f>ADDRESS(ROW('Bond 1'!$B$8),COLUMN('Bond 1'!$B$8),4)</f>
        <v>B8</v>
      </c>
      <c r="C269" t="str">
        <f>ADDRESS(ROW('Bond 1'!$D$8),COLUMN('Bond 1'!$D$8),4)</f>
        <v>D8</v>
      </c>
      <c r="D269" t="b">
        <f>IF(NOT(ISBLANK('Bond Input'!M$6)),IF('Bond 11'!B$8='Bond Input'!M$6,FALSE,TRUE))</f>
        <v>0</v>
      </c>
      <c r="E269" t="s">
        <v>591</v>
      </c>
      <c r="F269" t="str">
        <f>INDEX(Lists!I:I,MATCH(Validation!E269,Lists!G:G,0))</f>
        <v>Error</v>
      </c>
      <c r="G269" t="str">
        <f>INDEX(Lists!H:H,MATCH(Validation!E269,Lists!G:G,0))</f>
        <v>Debt type previously reported. Undo and explain desired change in comments box.</v>
      </c>
      <c r="H269" s="25" t="str">
        <f t="shared" ca="1" si="77"/>
        <v/>
      </c>
      <c r="I269" s="25" t="str">
        <f t="shared" ca="1" si="78"/>
        <v/>
      </c>
      <c r="J269" s="26" t="str">
        <f t="shared" si="79"/>
        <v/>
      </c>
    </row>
    <row r="270" spans="1:10" x14ac:dyDescent="0.25">
      <c r="A270" t="s">
        <v>312</v>
      </c>
      <c r="B270" t="str">
        <f>ADDRESS(ROW('Bond 1'!$B$8),COLUMN('Bond 1'!$B$8),4)</f>
        <v>B8</v>
      </c>
      <c r="C270" t="str">
        <f>ADDRESS(ROW('Bond 1'!$D$8),COLUMN('Bond 1'!$D$8),4)</f>
        <v>D8</v>
      </c>
      <c r="D270" t="b">
        <f>IF(NOT(ISBLANK('Bond Input'!N$6)),IF('Bond 12'!B$8='Bond Input'!N$6,FALSE,TRUE))</f>
        <v>0</v>
      </c>
      <c r="E270" t="s">
        <v>591</v>
      </c>
      <c r="F270" t="str">
        <f>INDEX(Lists!I:I,MATCH(Validation!E270,Lists!G:G,0))</f>
        <v>Error</v>
      </c>
      <c r="G270" t="str">
        <f>INDEX(Lists!H:H,MATCH(Validation!E270,Lists!G:G,0))</f>
        <v>Debt type previously reported. Undo and explain desired change in comments box.</v>
      </c>
      <c r="H270" s="25" t="str">
        <f t="shared" ca="1" si="77"/>
        <v/>
      </c>
      <c r="I270" s="25" t="str">
        <f t="shared" ca="1" si="78"/>
        <v/>
      </c>
      <c r="J270" s="26" t="str">
        <f t="shared" si="79"/>
        <v/>
      </c>
    </row>
    <row r="271" spans="1:10" x14ac:dyDescent="0.25">
      <c r="A271" t="s">
        <v>313</v>
      </c>
      <c r="B271" t="str">
        <f>ADDRESS(ROW('Bond 1'!$B$8),COLUMN('Bond 1'!$B$8),4)</f>
        <v>B8</v>
      </c>
      <c r="C271" t="str">
        <f>ADDRESS(ROW('Bond 1'!$D$8),COLUMN('Bond 1'!$D$8),4)</f>
        <v>D8</v>
      </c>
      <c r="D271" t="b">
        <f>IF(NOT(ISBLANK('Bond Input'!O$6)),IF('Bond 13'!B$8='Bond Input'!O$6,FALSE,TRUE))</f>
        <v>0</v>
      </c>
      <c r="E271" t="s">
        <v>591</v>
      </c>
      <c r="F271" t="str">
        <f>INDEX(Lists!I:I,MATCH(Validation!E271,Lists!G:G,0))</f>
        <v>Error</v>
      </c>
      <c r="G271" t="str">
        <f>INDEX(Lists!H:H,MATCH(Validation!E271,Lists!G:G,0))</f>
        <v>Debt type previously reported. Undo and explain desired change in comments box.</v>
      </c>
      <c r="H271" s="25" t="str">
        <f t="shared" ca="1" si="77"/>
        <v/>
      </c>
      <c r="I271" s="25" t="str">
        <f t="shared" ca="1" si="78"/>
        <v/>
      </c>
      <c r="J271" s="26" t="str">
        <f t="shared" si="79"/>
        <v/>
      </c>
    </row>
    <row r="272" spans="1:10" x14ac:dyDescent="0.25">
      <c r="A272" t="s">
        <v>314</v>
      </c>
      <c r="B272" t="str">
        <f>ADDRESS(ROW('Bond 1'!$B$8),COLUMN('Bond 1'!$B$8),4)</f>
        <v>B8</v>
      </c>
      <c r="C272" t="str">
        <f>ADDRESS(ROW('Bond 1'!$D$8),COLUMN('Bond 1'!$D$8),4)</f>
        <v>D8</v>
      </c>
      <c r="D272" t="b">
        <f>IF(NOT(ISBLANK('Bond Input'!P$6)),IF('Bond 14'!B$8='Bond Input'!P$6,FALSE,TRUE))</f>
        <v>0</v>
      </c>
      <c r="E272" t="s">
        <v>591</v>
      </c>
      <c r="F272" t="str">
        <f>INDEX(Lists!I:I,MATCH(Validation!E272,Lists!G:G,0))</f>
        <v>Error</v>
      </c>
      <c r="G272" t="str">
        <f>INDEX(Lists!H:H,MATCH(Validation!E272,Lists!G:G,0))</f>
        <v>Debt type previously reported. Undo and explain desired change in comments box.</v>
      </c>
      <c r="H272" s="25" t="str">
        <f t="shared" ca="1" si="77"/>
        <v/>
      </c>
      <c r="I272" s="25" t="str">
        <f t="shared" ca="1" si="78"/>
        <v/>
      </c>
      <c r="J272" s="26" t="str">
        <f t="shared" si="79"/>
        <v/>
      </c>
    </row>
    <row r="273" spans="1:10" x14ac:dyDescent="0.25">
      <c r="A273" t="s">
        <v>315</v>
      </c>
      <c r="B273" t="str">
        <f>ADDRESS(ROW('Bond 1'!$B$8),COLUMN('Bond 1'!$B$8),4)</f>
        <v>B8</v>
      </c>
      <c r="C273" t="str">
        <f>ADDRESS(ROW('Bond 1'!$D$8),COLUMN('Bond 1'!$D$8),4)</f>
        <v>D8</v>
      </c>
      <c r="D273" t="b">
        <f>IF(NOT(ISBLANK('Bond Input'!Q$6)),IF('Bond 15'!B$8='Bond Input'!Q$6,FALSE,TRUE))</f>
        <v>0</v>
      </c>
      <c r="E273" t="s">
        <v>591</v>
      </c>
      <c r="F273" t="str">
        <f>INDEX(Lists!I:I,MATCH(Validation!E273,Lists!G:G,0))</f>
        <v>Error</v>
      </c>
      <c r="G273" t="str">
        <f>INDEX(Lists!H:H,MATCH(Validation!E273,Lists!G:G,0))</f>
        <v>Debt type previously reported. Undo and explain desired change in comments box.</v>
      </c>
      <c r="H273" s="25" t="str">
        <f t="shared" ca="1" si="77"/>
        <v/>
      </c>
      <c r="I273" s="25" t="str">
        <f t="shared" ca="1" si="78"/>
        <v/>
      </c>
      <c r="J273" s="26" t="str">
        <f t="shared" si="79"/>
        <v/>
      </c>
    </row>
    <row r="274" spans="1:10" x14ac:dyDescent="0.25">
      <c r="A274" t="s">
        <v>198</v>
      </c>
      <c r="B274" t="str">
        <f>ADDRESS(ROW('Bond 1'!$B$9),COLUMN('Bond 1'!$B$9),4)</f>
        <v>B9</v>
      </c>
      <c r="C274" t="str">
        <f>ADDRESS(ROW('Bond 1'!$D$9),COLUMN('Bond 1'!$D$9),4)</f>
        <v>D9</v>
      </c>
      <c r="D274" t="b" cm="1">
        <f t="array" aca="1" ref="D274" ca="1">AND(NOT('Bond 1'!B$7=""),INDIRECT("'"&amp;A274&amp;"'!"&amp;B274)="Select One")</f>
        <v>0</v>
      </c>
      <c r="E274" t="s">
        <v>64</v>
      </c>
      <c r="F274" t="str">
        <f>INDEX(Lists!I:I,MATCH(Validation!E274,Lists!G:G,0))</f>
        <v>Error</v>
      </c>
      <c r="G274" t="str">
        <f>INDEX(Lists!H:H,MATCH(Validation!E274,Lists!G:G,0))</f>
        <v>You must make a selection from the dropdown list.</v>
      </c>
      <c r="H274" s="25" t="str">
        <f t="shared" ref="H274:H289" ca="1" si="80">IFERROR(IF(OR(NOT(D274),F274&lt;&gt;"Error"),"",A274&amp;CELL("address",INDIRECT(B274))),"")</f>
        <v/>
      </c>
      <c r="I274" s="16" t="str">
        <f ca="1">IFERROR(IF(NOT(D274),"",A274&amp;CELL("address",INDIRECT(C274))),"")</f>
        <v/>
      </c>
      <c r="J274" s="26" t="str">
        <f t="shared" ref="J274:J289" ca="1" si="81">IFERROR(IF(NOT(D274),"",A274),"")</f>
        <v/>
      </c>
    </row>
    <row r="275" spans="1:10" x14ac:dyDescent="0.25">
      <c r="A275" t="s">
        <v>302</v>
      </c>
      <c r="B275" t="str">
        <f>ADDRESS(ROW('Bond 1'!$B$9),COLUMN('Bond 1'!$B$9),4)</f>
        <v>B9</v>
      </c>
      <c r="C275" t="str">
        <f>ADDRESS(ROW('Bond 1'!$D$9),COLUMN('Bond 1'!$D$9),4)</f>
        <v>D9</v>
      </c>
      <c r="D275" t="b" cm="1">
        <f t="array" aca="1" ref="D275" ca="1">AND(NOT('Bond 2'!B$7=""),INDIRECT("'"&amp;A275&amp;"'!"&amp;B275)="Select One")</f>
        <v>0</v>
      </c>
      <c r="E275" t="s">
        <v>64</v>
      </c>
      <c r="F275" t="str">
        <f>INDEX(Lists!I:I,MATCH(Validation!E275,Lists!G:G,0))</f>
        <v>Error</v>
      </c>
      <c r="G275" t="str">
        <f>INDEX(Lists!H:H,MATCH(Validation!E275,Lists!G:G,0))</f>
        <v>You must make a selection from the dropdown list.</v>
      </c>
      <c r="H275" s="25" t="str">
        <f t="shared" ref="H275:H288" ca="1" si="82">IFERROR(IF(OR(NOT(D275),F275&lt;&gt;"Error"),"",A275&amp;CELL("address",INDIRECT(B275))),"")</f>
        <v/>
      </c>
      <c r="I275" s="16" t="str">
        <f t="shared" ref="I275:I288" ca="1" si="83">IFERROR(IF(NOT(D275),"",A275&amp;CELL("address",INDIRECT(C275))),"")</f>
        <v/>
      </c>
      <c r="J275" s="26" t="str">
        <f t="shared" ref="J275:J288" ca="1" si="84">IFERROR(IF(NOT(D275),"",A275),"")</f>
        <v/>
      </c>
    </row>
    <row r="276" spans="1:10" x14ac:dyDescent="0.25">
      <c r="A276" t="s">
        <v>303</v>
      </c>
      <c r="B276" t="str">
        <f>ADDRESS(ROW('Bond 1'!$B$9),COLUMN('Bond 1'!$B$9),4)</f>
        <v>B9</v>
      </c>
      <c r="C276" t="str">
        <f>ADDRESS(ROW('Bond 1'!$D$9),COLUMN('Bond 1'!$D$9),4)</f>
        <v>D9</v>
      </c>
      <c r="D276" t="b" cm="1">
        <f t="array" aca="1" ref="D276" ca="1">AND(NOT('Bond 3'!B$7=""),INDIRECT("'"&amp;A276&amp;"'!"&amp;B276)="Select One")</f>
        <v>0</v>
      </c>
      <c r="E276" t="s">
        <v>64</v>
      </c>
      <c r="F276" t="str">
        <f>INDEX(Lists!I:I,MATCH(Validation!E276,Lists!G:G,0))</f>
        <v>Error</v>
      </c>
      <c r="G276" t="str">
        <f>INDEX(Lists!H:H,MATCH(Validation!E276,Lists!G:G,0))</f>
        <v>You must make a selection from the dropdown list.</v>
      </c>
      <c r="H276" s="25" t="str">
        <f t="shared" ca="1" si="82"/>
        <v/>
      </c>
      <c r="I276" s="16" t="str">
        <f t="shared" ca="1" si="83"/>
        <v/>
      </c>
      <c r="J276" s="26" t="str">
        <f t="shared" ca="1" si="84"/>
        <v/>
      </c>
    </row>
    <row r="277" spans="1:10" x14ac:dyDescent="0.25">
      <c r="A277" t="s">
        <v>304</v>
      </c>
      <c r="B277" t="str">
        <f>ADDRESS(ROW('Bond 1'!$B$9),COLUMN('Bond 1'!$B$9),4)</f>
        <v>B9</v>
      </c>
      <c r="C277" t="str">
        <f>ADDRESS(ROW('Bond 1'!$D$9),COLUMN('Bond 1'!$D$9),4)</f>
        <v>D9</v>
      </c>
      <c r="D277" t="b" cm="1">
        <f t="array" aca="1" ref="D277" ca="1">AND(NOT('Bond 4'!B$7=""),INDIRECT("'"&amp;A277&amp;"'!"&amp;B277)="Select One")</f>
        <v>0</v>
      </c>
      <c r="E277" t="s">
        <v>64</v>
      </c>
      <c r="F277" t="str">
        <f>INDEX(Lists!I:I,MATCH(Validation!E277,Lists!G:G,0))</f>
        <v>Error</v>
      </c>
      <c r="G277" t="str">
        <f>INDEX(Lists!H:H,MATCH(Validation!E277,Lists!G:G,0))</f>
        <v>You must make a selection from the dropdown list.</v>
      </c>
      <c r="H277" s="25" t="str">
        <f t="shared" ca="1" si="82"/>
        <v/>
      </c>
      <c r="I277" s="16" t="str">
        <f t="shared" ca="1" si="83"/>
        <v/>
      </c>
      <c r="J277" s="26" t="str">
        <f t="shared" ca="1" si="84"/>
        <v/>
      </c>
    </row>
    <row r="278" spans="1:10" x14ac:dyDescent="0.25">
      <c r="A278" t="s">
        <v>305</v>
      </c>
      <c r="B278" t="str">
        <f>ADDRESS(ROW('Bond 1'!$B$9),COLUMN('Bond 1'!$B$9),4)</f>
        <v>B9</v>
      </c>
      <c r="C278" t="str">
        <f>ADDRESS(ROW('Bond 1'!$D$9),COLUMN('Bond 1'!$D$9),4)</f>
        <v>D9</v>
      </c>
      <c r="D278" t="b" cm="1">
        <f t="array" aca="1" ref="D278" ca="1">AND(NOT('Bond 5'!B$7=""),INDIRECT("'"&amp;A278&amp;"'!"&amp;B278)="Select One")</f>
        <v>0</v>
      </c>
      <c r="E278" t="s">
        <v>64</v>
      </c>
      <c r="F278" t="str">
        <f>INDEX(Lists!I:I,MATCH(Validation!E278,Lists!G:G,0))</f>
        <v>Error</v>
      </c>
      <c r="G278" t="str">
        <f>INDEX(Lists!H:H,MATCH(Validation!E278,Lists!G:G,0))</f>
        <v>You must make a selection from the dropdown list.</v>
      </c>
      <c r="H278" s="25" t="str">
        <f t="shared" ca="1" si="82"/>
        <v/>
      </c>
      <c r="I278" s="16" t="str">
        <f t="shared" ca="1" si="83"/>
        <v/>
      </c>
      <c r="J278" s="26" t="str">
        <f t="shared" ca="1" si="84"/>
        <v/>
      </c>
    </row>
    <row r="279" spans="1:10" x14ac:dyDescent="0.25">
      <c r="A279" t="s">
        <v>306</v>
      </c>
      <c r="B279" t="str">
        <f>ADDRESS(ROW('Bond 1'!$B$9),COLUMN('Bond 1'!$B$9),4)</f>
        <v>B9</v>
      </c>
      <c r="C279" t="str">
        <f>ADDRESS(ROW('Bond 1'!$D$9),COLUMN('Bond 1'!$D$9),4)</f>
        <v>D9</v>
      </c>
      <c r="D279" t="b" cm="1">
        <f t="array" aca="1" ref="D279" ca="1">AND(NOT('Bond 6'!B$7=""),INDIRECT("'"&amp;A279&amp;"'!"&amp;B279)="Select One")</f>
        <v>0</v>
      </c>
      <c r="E279" t="s">
        <v>64</v>
      </c>
      <c r="F279" t="str">
        <f>INDEX(Lists!I:I,MATCH(Validation!E279,Lists!G:G,0))</f>
        <v>Error</v>
      </c>
      <c r="G279" t="str">
        <f>INDEX(Lists!H:H,MATCH(Validation!E279,Lists!G:G,0))</f>
        <v>You must make a selection from the dropdown list.</v>
      </c>
      <c r="H279" s="25" t="str">
        <f t="shared" ca="1" si="82"/>
        <v/>
      </c>
      <c r="I279" s="16" t="str">
        <f t="shared" ca="1" si="83"/>
        <v/>
      </c>
      <c r="J279" s="26" t="str">
        <f t="shared" ca="1" si="84"/>
        <v/>
      </c>
    </row>
    <row r="280" spans="1:10" x14ac:dyDescent="0.25">
      <c r="A280" t="s">
        <v>307</v>
      </c>
      <c r="B280" t="str">
        <f>ADDRESS(ROW('Bond 1'!$B$9),COLUMN('Bond 1'!$B$9),4)</f>
        <v>B9</v>
      </c>
      <c r="C280" t="str">
        <f>ADDRESS(ROW('Bond 1'!$D$9),COLUMN('Bond 1'!$D$9),4)</f>
        <v>D9</v>
      </c>
      <c r="D280" t="b" cm="1">
        <f t="array" aca="1" ref="D280" ca="1">AND(NOT('Bond 7'!B$7=""),INDIRECT("'"&amp;A280&amp;"'!"&amp;B280)="Select One")</f>
        <v>0</v>
      </c>
      <c r="E280" t="s">
        <v>64</v>
      </c>
      <c r="F280" t="str">
        <f>INDEX(Lists!I:I,MATCH(Validation!E280,Lists!G:G,0))</f>
        <v>Error</v>
      </c>
      <c r="G280" t="str">
        <f>INDEX(Lists!H:H,MATCH(Validation!E280,Lists!G:G,0))</f>
        <v>You must make a selection from the dropdown list.</v>
      </c>
      <c r="H280" s="25" t="str">
        <f t="shared" ca="1" si="82"/>
        <v/>
      </c>
      <c r="I280" s="16" t="str">
        <f t="shared" ca="1" si="83"/>
        <v/>
      </c>
      <c r="J280" s="26" t="str">
        <f t="shared" ca="1" si="84"/>
        <v/>
      </c>
    </row>
    <row r="281" spans="1:10" x14ac:dyDescent="0.25">
      <c r="A281" t="s">
        <v>308</v>
      </c>
      <c r="B281" t="str">
        <f>ADDRESS(ROW('Bond 1'!$B$9),COLUMN('Bond 1'!$B$9),4)</f>
        <v>B9</v>
      </c>
      <c r="C281" t="str">
        <f>ADDRESS(ROW('Bond 1'!$D$9),COLUMN('Bond 1'!$D$9),4)</f>
        <v>D9</v>
      </c>
      <c r="D281" t="b" cm="1">
        <f t="array" aca="1" ref="D281" ca="1">AND(NOT('Bond 8'!B$7=""),INDIRECT("'"&amp;A281&amp;"'!"&amp;B281)="Select One")</f>
        <v>0</v>
      </c>
      <c r="E281" t="s">
        <v>64</v>
      </c>
      <c r="F281" t="str">
        <f>INDEX(Lists!I:I,MATCH(Validation!E281,Lists!G:G,0))</f>
        <v>Error</v>
      </c>
      <c r="G281" t="str">
        <f>INDEX(Lists!H:H,MATCH(Validation!E281,Lists!G:G,0))</f>
        <v>You must make a selection from the dropdown list.</v>
      </c>
      <c r="H281" s="25" t="str">
        <f t="shared" ca="1" si="82"/>
        <v/>
      </c>
      <c r="I281" s="16" t="str">
        <f t="shared" ca="1" si="83"/>
        <v/>
      </c>
      <c r="J281" s="26" t="str">
        <f t="shared" ca="1" si="84"/>
        <v/>
      </c>
    </row>
    <row r="282" spans="1:10" x14ac:dyDescent="0.25">
      <c r="A282" t="s">
        <v>309</v>
      </c>
      <c r="B282" t="str">
        <f>ADDRESS(ROW('Bond 1'!$B$9),COLUMN('Bond 1'!$B$9),4)</f>
        <v>B9</v>
      </c>
      <c r="C282" t="str">
        <f>ADDRESS(ROW('Bond 1'!$D$9),COLUMN('Bond 1'!$D$9),4)</f>
        <v>D9</v>
      </c>
      <c r="D282" t="b" cm="1">
        <f t="array" aca="1" ref="D282" ca="1">AND(NOT('Bond 9'!B$7=""),INDIRECT("'"&amp;A282&amp;"'!"&amp;B282)="Select One")</f>
        <v>0</v>
      </c>
      <c r="E282" t="s">
        <v>64</v>
      </c>
      <c r="F282" t="str">
        <f>INDEX(Lists!I:I,MATCH(Validation!E282,Lists!G:G,0))</f>
        <v>Error</v>
      </c>
      <c r="G282" t="str">
        <f>INDEX(Lists!H:H,MATCH(Validation!E282,Lists!G:G,0))</f>
        <v>You must make a selection from the dropdown list.</v>
      </c>
      <c r="H282" s="25" t="str">
        <f t="shared" ca="1" si="82"/>
        <v/>
      </c>
      <c r="I282" s="16" t="str">
        <f t="shared" ca="1" si="83"/>
        <v/>
      </c>
      <c r="J282" s="26" t="str">
        <f t="shared" ca="1" si="84"/>
        <v/>
      </c>
    </row>
    <row r="283" spans="1:10" x14ac:dyDescent="0.25">
      <c r="A283" t="s">
        <v>310</v>
      </c>
      <c r="B283" t="str">
        <f>ADDRESS(ROW('Bond 1'!$B$9),COLUMN('Bond 1'!$B$9),4)</f>
        <v>B9</v>
      </c>
      <c r="C283" t="str">
        <f>ADDRESS(ROW('Bond 1'!$D$9),COLUMN('Bond 1'!$D$9),4)</f>
        <v>D9</v>
      </c>
      <c r="D283" t="b" cm="1">
        <f t="array" aca="1" ref="D283" ca="1">AND(NOT('Bond 10'!B$7=""),INDIRECT("'"&amp;A283&amp;"'!"&amp;B283)="Select One")</f>
        <v>0</v>
      </c>
      <c r="E283" t="s">
        <v>64</v>
      </c>
      <c r="F283" t="str">
        <f>INDEX(Lists!I:I,MATCH(Validation!E283,Lists!G:G,0))</f>
        <v>Error</v>
      </c>
      <c r="G283" t="str">
        <f>INDEX(Lists!H:H,MATCH(Validation!E283,Lists!G:G,0))</f>
        <v>You must make a selection from the dropdown list.</v>
      </c>
      <c r="H283" s="25" t="str">
        <f t="shared" ca="1" si="82"/>
        <v/>
      </c>
      <c r="I283" s="16" t="str">
        <f t="shared" ca="1" si="83"/>
        <v/>
      </c>
      <c r="J283" s="26" t="str">
        <f t="shared" ca="1" si="84"/>
        <v/>
      </c>
    </row>
    <row r="284" spans="1:10" x14ac:dyDescent="0.25">
      <c r="A284" t="s">
        <v>311</v>
      </c>
      <c r="B284" t="str">
        <f>ADDRESS(ROW('Bond 1'!$B$9),COLUMN('Bond 1'!$B$9),4)</f>
        <v>B9</v>
      </c>
      <c r="C284" t="str">
        <f>ADDRESS(ROW('Bond 1'!$D$9),COLUMN('Bond 1'!$D$9),4)</f>
        <v>D9</v>
      </c>
      <c r="D284" t="b" cm="1">
        <f t="array" aca="1" ref="D284" ca="1">AND(NOT('Bond 11'!B$7=""),INDIRECT("'"&amp;A284&amp;"'!"&amp;B284)="Select One")</f>
        <v>0</v>
      </c>
      <c r="E284" t="s">
        <v>64</v>
      </c>
      <c r="F284" t="str">
        <f>INDEX(Lists!I:I,MATCH(Validation!E284,Lists!G:G,0))</f>
        <v>Error</v>
      </c>
      <c r="G284" t="str">
        <f>INDEX(Lists!H:H,MATCH(Validation!E284,Lists!G:G,0))</f>
        <v>You must make a selection from the dropdown list.</v>
      </c>
      <c r="H284" s="25" t="str">
        <f t="shared" ca="1" si="82"/>
        <v/>
      </c>
      <c r="I284" s="16" t="str">
        <f t="shared" ca="1" si="83"/>
        <v/>
      </c>
      <c r="J284" s="26" t="str">
        <f t="shared" ca="1" si="84"/>
        <v/>
      </c>
    </row>
    <row r="285" spans="1:10" x14ac:dyDescent="0.25">
      <c r="A285" t="s">
        <v>312</v>
      </c>
      <c r="B285" t="str">
        <f>ADDRESS(ROW('Bond 1'!$B$9),COLUMN('Bond 1'!$B$9),4)</f>
        <v>B9</v>
      </c>
      <c r="C285" t="str">
        <f>ADDRESS(ROW('Bond 1'!$D$9),COLUMN('Bond 1'!$D$9),4)</f>
        <v>D9</v>
      </c>
      <c r="D285" t="b" cm="1">
        <f t="array" aca="1" ref="D285" ca="1">AND(NOT('Bond 12'!B$7=""),INDIRECT("'"&amp;A285&amp;"'!"&amp;B285)="Select One")</f>
        <v>0</v>
      </c>
      <c r="E285" t="s">
        <v>64</v>
      </c>
      <c r="F285" t="str">
        <f>INDEX(Lists!I:I,MATCH(Validation!E285,Lists!G:G,0))</f>
        <v>Error</v>
      </c>
      <c r="G285" t="str">
        <f>INDEX(Lists!H:H,MATCH(Validation!E285,Lists!G:G,0))</f>
        <v>You must make a selection from the dropdown list.</v>
      </c>
      <c r="H285" s="25" t="str">
        <f t="shared" ca="1" si="82"/>
        <v/>
      </c>
      <c r="I285" s="16" t="str">
        <f t="shared" ca="1" si="83"/>
        <v/>
      </c>
      <c r="J285" s="26" t="str">
        <f t="shared" ca="1" si="84"/>
        <v/>
      </c>
    </row>
    <row r="286" spans="1:10" x14ac:dyDescent="0.25">
      <c r="A286" t="s">
        <v>313</v>
      </c>
      <c r="B286" t="str">
        <f>ADDRESS(ROW('Bond 1'!$B$9),COLUMN('Bond 1'!$B$9),4)</f>
        <v>B9</v>
      </c>
      <c r="C286" t="str">
        <f>ADDRESS(ROW('Bond 1'!$D$9),COLUMN('Bond 1'!$D$9),4)</f>
        <v>D9</v>
      </c>
      <c r="D286" t="b" cm="1">
        <f t="array" aca="1" ref="D286" ca="1">AND(NOT('Bond 13'!B$7=""),INDIRECT("'"&amp;A286&amp;"'!"&amp;B286)="Select One")</f>
        <v>0</v>
      </c>
      <c r="E286" t="s">
        <v>64</v>
      </c>
      <c r="F286" t="str">
        <f>INDEX(Lists!I:I,MATCH(Validation!E286,Lists!G:G,0))</f>
        <v>Error</v>
      </c>
      <c r="G286" t="str">
        <f>INDEX(Lists!H:H,MATCH(Validation!E286,Lists!G:G,0))</f>
        <v>You must make a selection from the dropdown list.</v>
      </c>
      <c r="H286" s="25" t="str">
        <f t="shared" ca="1" si="82"/>
        <v/>
      </c>
      <c r="I286" s="16" t="str">
        <f t="shared" ca="1" si="83"/>
        <v/>
      </c>
      <c r="J286" s="26" t="str">
        <f t="shared" ca="1" si="84"/>
        <v/>
      </c>
    </row>
    <row r="287" spans="1:10" x14ac:dyDescent="0.25">
      <c r="A287" t="s">
        <v>314</v>
      </c>
      <c r="B287" t="str">
        <f>ADDRESS(ROW('Bond 1'!$B$9),COLUMN('Bond 1'!$B$9),4)</f>
        <v>B9</v>
      </c>
      <c r="C287" t="str">
        <f>ADDRESS(ROW('Bond 1'!$D$9),COLUMN('Bond 1'!$D$9),4)</f>
        <v>D9</v>
      </c>
      <c r="D287" t="b" cm="1">
        <f t="array" aca="1" ref="D287" ca="1">AND(NOT('Bond 14'!B$7=""),INDIRECT("'"&amp;A287&amp;"'!"&amp;B287)="Select One")</f>
        <v>0</v>
      </c>
      <c r="E287" t="s">
        <v>64</v>
      </c>
      <c r="F287" t="str">
        <f>INDEX(Lists!I:I,MATCH(Validation!E287,Lists!G:G,0))</f>
        <v>Error</v>
      </c>
      <c r="G287" t="str">
        <f>INDEX(Lists!H:H,MATCH(Validation!E287,Lists!G:G,0))</f>
        <v>You must make a selection from the dropdown list.</v>
      </c>
      <c r="H287" s="25" t="str">
        <f t="shared" ca="1" si="82"/>
        <v/>
      </c>
      <c r="I287" s="16" t="str">
        <f t="shared" ca="1" si="83"/>
        <v/>
      </c>
      <c r="J287" s="26" t="str">
        <f t="shared" ca="1" si="84"/>
        <v/>
      </c>
    </row>
    <row r="288" spans="1:10" x14ac:dyDescent="0.25">
      <c r="A288" t="s">
        <v>315</v>
      </c>
      <c r="B288" t="str">
        <f>ADDRESS(ROW('Bond 1'!$B$9),COLUMN('Bond 1'!$B$9),4)</f>
        <v>B9</v>
      </c>
      <c r="C288" t="str">
        <f>ADDRESS(ROW('Bond 1'!$D$9),COLUMN('Bond 1'!$D$9),4)</f>
        <v>D9</v>
      </c>
      <c r="D288" t="b" cm="1">
        <f t="array" aca="1" ref="D288" ca="1">AND(NOT('Bond 15'!B$7=""),INDIRECT("'"&amp;A288&amp;"'!"&amp;B288)="Select One")</f>
        <v>0</v>
      </c>
      <c r="E288" t="s">
        <v>64</v>
      </c>
      <c r="F288" t="str">
        <f>INDEX(Lists!I:I,MATCH(Validation!E288,Lists!G:G,0))</f>
        <v>Error</v>
      </c>
      <c r="G288" t="str">
        <f>INDEX(Lists!H:H,MATCH(Validation!E288,Lists!G:G,0))</f>
        <v>You must make a selection from the dropdown list.</v>
      </c>
      <c r="H288" s="25" t="str">
        <f t="shared" ca="1" si="82"/>
        <v/>
      </c>
      <c r="I288" s="16" t="str">
        <f t="shared" ca="1" si="83"/>
        <v/>
      </c>
      <c r="J288" s="26" t="str">
        <f t="shared" ca="1" si="84"/>
        <v/>
      </c>
    </row>
    <row r="289" spans="1:10" x14ac:dyDescent="0.25">
      <c r="A289" t="s">
        <v>198</v>
      </c>
      <c r="B289" t="str">
        <f>ADDRESS(ROW('Bond 1'!$B$10),COLUMN('Bond 1'!$B$10),4)</f>
        <v>B10</v>
      </c>
      <c r="C289" t="str">
        <f>ADDRESS(ROW('Bond 1'!$D$10),COLUMN('Bond 1'!$D$10),4)</f>
        <v>D10</v>
      </c>
      <c r="D289" t="b" cm="1">
        <f t="array" aca="1" ref="D289" ca="1">AND(NOT('Bond 1'!B$7=""),INDIRECT("'"&amp;A289&amp;"'!"&amp;B289)="Select One")</f>
        <v>0</v>
      </c>
      <c r="E289" t="s">
        <v>64</v>
      </c>
      <c r="F289" t="str">
        <f>INDEX(Lists!I:I,MATCH(Validation!E289,Lists!G:G,0))</f>
        <v>Error</v>
      </c>
      <c r="G289" t="str">
        <f>INDEX(Lists!H:H,MATCH(Validation!E289,Lists!G:G,0))</f>
        <v>You must make a selection from the dropdown list.</v>
      </c>
      <c r="H289" s="25" t="str">
        <f t="shared" ca="1" si="80"/>
        <v/>
      </c>
      <c r="I289" s="16" t="str">
        <f ca="1">IFERROR(IF(NOT(D289),"",A289&amp;CELL("address",INDIRECT(C289))),"")</f>
        <v/>
      </c>
      <c r="J289" s="26" t="str">
        <f t="shared" ca="1" si="81"/>
        <v/>
      </c>
    </row>
    <row r="290" spans="1:10" x14ac:dyDescent="0.25">
      <c r="A290" t="s">
        <v>302</v>
      </c>
      <c r="B290" t="str">
        <f>ADDRESS(ROW('Bond 1'!$B$10),COLUMN('Bond 1'!$B$10),4)</f>
        <v>B10</v>
      </c>
      <c r="C290" t="str">
        <f>ADDRESS(ROW('Bond 1'!$D$10),COLUMN('Bond 1'!$D$10),4)</f>
        <v>D10</v>
      </c>
      <c r="D290" t="b" cm="1">
        <f t="array" aca="1" ref="D290" ca="1">AND(NOT('Bond 2'!B$7=""),INDIRECT("'"&amp;A290&amp;"'!"&amp;B290)="Select One")</f>
        <v>0</v>
      </c>
      <c r="E290" t="s">
        <v>64</v>
      </c>
      <c r="F290" t="str">
        <f>INDEX(Lists!I:I,MATCH(Validation!E290,Lists!G:G,0))</f>
        <v>Error</v>
      </c>
      <c r="G290" t="str">
        <f>INDEX(Lists!H:H,MATCH(Validation!E290,Lists!G:G,0))</f>
        <v>You must make a selection from the dropdown list.</v>
      </c>
      <c r="H290" s="25" t="str">
        <f t="shared" ref="H290:H303" ca="1" si="85">IFERROR(IF(OR(NOT(D290),F290&lt;&gt;"Error"),"",A290&amp;CELL("address",INDIRECT(B290))),"")</f>
        <v/>
      </c>
      <c r="I290" s="16" t="str">
        <f t="shared" ref="I290:I303" ca="1" si="86">IFERROR(IF(NOT(D290),"",A290&amp;CELL("address",INDIRECT(C290))),"")</f>
        <v/>
      </c>
      <c r="J290" s="26" t="str">
        <f t="shared" ref="J290:J303" ca="1" si="87">IFERROR(IF(NOT(D290),"",A290),"")</f>
        <v/>
      </c>
    </row>
    <row r="291" spans="1:10" x14ac:dyDescent="0.25">
      <c r="A291" t="s">
        <v>303</v>
      </c>
      <c r="B291" t="str">
        <f>ADDRESS(ROW('Bond 1'!$B$10),COLUMN('Bond 1'!$B$10),4)</f>
        <v>B10</v>
      </c>
      <c r="C291" t="str">
        <f>ADDRESS(ROW('Bond 1'!$D$10),COLUMN('Bond 1'!$D$10),4)</f>
        <v>D10</v>
      </c>
      <c r="D291" t="b" cm="1">
        <f t="array" aca="1" ref="D291" ca="1">AND(NOT('Bond 3'!B$7=""),INDIRECT("'"&amp;A291&amp;"'!"&amp;B291)="Select One")</f>
        <v>0</v>
      </c>
      <c r="E291" t="s">
        <v>64</v>
      </c>
      <c r="F291" t="str">
        <f>INDEX(Lists!I:I,MATCH(Validation!E291,Lists!G:G,0))</f>
        <v>Error</v>
      </c>
      <c r="G291" t="str">
        <f>INDEX(Lists!H:H,MATCH(Validation!E291,Lists!G:G,0))</f>
        <v>You must make a selection from the dropdown list.</v>
      </c>
      <c r="H291" s="25" t="str">
        <f t="shared" ca="1" si="85"/>
        <v/>
      </c>
      <c r="I291" s="16" t="str">
        <f t="shared" ca="1" si="86"/>
        <v/>
      </c>
      <c r="J291" s="26" t="str">
        <f t="shared" ca="1" si="87"/>
        <v/>
      </c>
    </row>
    <row r="292" spans="1:10" x14ac:dyDescent="0.25">
      <c r="A292" t="s">
        <v>304</v>
      </c>
      <c r="B292" t="str">
        <f>ADDRESS(ROW('Bond 1'!$B$10),COLUMN('Bond 1'!$B$10),4)</f>
        <v>B10</v>
      </c>
      <c r="C292" t="str">
        <f>ADDRESS(ROW('Bond 1'!$D$10),COLUMN('Bond 1'!$D$10),4)</f>
        <v>D10</v>
      </c>
      <c r="D292" t="b" cm="1">
        <f t="array" aca="1" ref="D292" ca="1">AND(NOT('Bond 4'!B$7=""),INDIRECT("'"&amp;A292&amp;"'!"&amp;B292)="Select One")</f>
        <v>0</v>
      </c>
      <c r="E292" t="s">
        <v>64</v>
      </c>
      <c r="F292" t="str">
        <f>INDEX(Lists!I:I,MATCH(Validation!E292,Lists!G:G,0))</f>
        <v>Error</v>
      </c>
      <c r="G292" t="str">
        <f>INDEX(Lists!H:H,MATCH(Validation!E292,Lists!G:G,0))</f>
        <v>You must make a selection from the dropdown list.</v>
      </c>
      <c r="H292" s="25" t="str">
        <f t="shared" ca="1" si="85"/>
        <v/>
      </c>
      <c r="I292" s="16" t="str">
        <f t="shared" ca="1" si="86"/>
        <v/>
      </c>
      <c r="J292" s="26" t="str">
        <f t="shared" ca="1" si="87"/>
        <v/>
      </c>
    </row>
    <row r="293" spans="1:10" x14ac:dyDescent="0.25">
      <c r="A293" t="s">
        <v>305</v>
      </c>
      <c r="B293" t="str">
        <f>ADDRESS(ROW('Bond 1'!$B$10),COLUMN('Bond 1'!$B$10),4)</f>
        <v>B10</v>
      </c>
      <c r="C293" t="str">
        <f>ADDRESS(ROW('Bond 1'!$D$10),COLUMN('Bond 1'!$D$10),4)</f>
        <v>D10</v>
      </c>
      <c r="D293" t="b" cm="1">
        <f t="array" aca="1" ref="D293" ca="1">AND(NOT('Bond 5'!B$7=""),INDIRECT("'"&amp;A293&amp;"'!"&amp;B293)="Select One")</f>
        <v>0</v>
      </c>
      <c r="E293" t="s">
        <v>64</v>
      </c>
      <c r="F293" t="str">
        <f>INDEX(Lists!I:I,MATCH(Validation!E293,Lists!G:G,0))</f>
        <v>Error</v>
      </c>
      <c r="G293" t="str">
        <f>INDEX(Lists!H:H,MATCH(Validation!E293,Lists!G:G,0))</f>
        <v>You must make a selection from the dropdown list.</v>
      </c>
      <c r="H293" s="25" t="str">
        <f t="shared" ca="1" si="85"/>
        <v/>
      </c>
      <c r="I293" s="16" t="str">
        <f t="shared" ca="1" si="86"/>
        <v/>
      </c>
      <c r="J293" s="26" t="str">
        <f t="shared" ca="1" si="87"/>
        <v/>
      </c>
    </row>
    <row r="294" spans="1:10" x14ac:dyDescent="0.25">
      <c r="A294" t="s">
        <v>306</v>
      </c>
      <c r="B294" t="str">
        <f>ADDRESS(ROW('Bond 1'!$B$10),COLUMN('Bond 1'!$B$10),4)</f>
        <v>B10</v>
      </c>
      <c r="C294" t="str">
        <f>ADDRESS(ROW('Bond 1'!$D$10),COLUMN('Bond 1'!$D$10),4)</f>
        <v>D10</v>
      </c>
      <c r="D294" t="b" cm="1">
        <f t="array" aca="1" ref="D294" ca="1">AND(NOT('Bond 6'!B$7=""),INDIRECT("'"&amp;A294&amp;"'!"&amp;B294)="Select One")</f>
        <v>0</v>
      </c>
      <c r="E294" t="s">
        <v>64</v>
      </c>
      <c r="F294" t="str">
        <f>INDEX(Lists!I:I,MATCH(Validation!E294,Lists!G:G,0))</f>
        <v>Error</v>
      </c>
      <c r="G294" t="str">
        <f>INDEX(Lists!H:H,MATCH(Validation!E294,Lists!G:G,0))</f>
        <v>You must make a selection from the dropdown list.</v>
      </c>
      <c r="H294" s="25" t="str">
        <f t="shared" ca="1" si="85"/>
        <v/>
      </c>
      <c r="I294" s="16" t="str">
        <f t="shared" ca="1" si="86"/>
        <v/>
      </c>
      <c r="J294" s="26" t="str">
        <f t="shared" ca="1" si="87"/>
        <v/>
      </c>
    </row>
    <row r="295" spans="1:10" x14ac:dyDescent="0.25">
      <c r="A295" t="s">
        <v>307</v>
      </c>
      <c r="B295" t="str">
        <f>ADDRESS(ROW('Bond 1'!$B$10),COLUMN('Bond 1'!$B$10),4)</f>
        <v>B10</v>
      </c>
      <c r="C295" t="str">
        <f>ADDRESS(ROW('Bond 1'!$D$10),COLUMN('Bond 1'!$D$10),4)</f>
        <v>D10</v>
      </c>
      <c r="D295" t="b" cm="1">
        <f t="array" aca="1" ref="D295" ca="1">AND(NOT('Bond 7'!B$7=""),INDIRECT("'"&amp;A295&amp;"'!"&amp;B295)="Select One")</f>
        <v>0</v>
      </c>
      <c r="E295" t="s">
        <v>64</v>
      </c>
      <c r="F295" t="str">
        <f>INDEX(Lists!I:I,MATCH(Validation!E295,Lists!G:G,0))</f>
        <v>Error</v>
      </c>
      <c r="G295" t="str">
        <f>INDEX(Lists!H:H,MATCH(Validation!E295,Lists!G:G,0))</f>
        <v>You must make a selection from the dropdown list.</v>
      </c>
      <c r="H295" s="25" t="str">
        <f t="shared" ca="1" si="85"/>
        <v/>
      </c>
      <c r="I295" s="16" t="str">
        <f t="shared" ca="1" si="86"/>
        <v/>
      </c>
      <c r="J295" s="26" t="str">
        <f t="shared" ca="1" si="87"/>
        <v/>
      </c>
    </row>
    <row r="296" spans="1:10" x14ac:dyDescent="0.25">
      <c r="A296" t="s">
        <v>308</v>
      </c>
      <c r="B296" t="str">
        <f>ADDRESS(ROW('Bond 1'!$B$10),COLUMN('Bond 1'!$B$10),4)</f>
        <v>B10</v>
      </c>
      <c r="C296" t="str">
        <f>ADDRESS(ROW('Bond 1'!$D$10),COLUMN('Bond 1'!$D$10),4)</f>
        <v>D10</v>
      </c>
      <c r="D296" t="b" cm="1">
        <f t="array" aca="1" ref="D296" ca="1">AND(NOT('Bond 8'!B$7=""),INDIRECT("'"&amp;A296&amp;"'!"&amp;B296)="Select One")</f>
        <v>0</v>
      </c>
      <c r="E296" t="s">
        <v>64</v>
      </c>
      <c r="F296" t="str">
        <f>INDEX(Lists!I:I,MATCH(Validation!E296,Lists!G:G,0))</f>
        <v>Error</v>
      </c>
      <c r="G296" t="str">
        <f>INDEX(Lists!H:H,MATCH(Validation!E296,Lists!G:G,0))</f>
        <v>You must make a selection from the dropdown list.</v>
      </c>
      <c r="H296" s="25" t="str">
        <f t="shared" ca="1" si="85"/>
        <v/>
      </c>
      <c r="I296" s="16" t="str">
        <f t="shared" ca="1" si="86"/>
        <v/>
      </c>
      <c r="J296" s="26" t="str">
        <f t="shared" ca="1" si="87"/>
        <v/>
      </c>
    </row>
    <row r="297" spans="1:10" x14ac:dyDescent="0.25">
      <c r="A297" t="s">
        <v>309</v>
      </c>
      <c r="B297" t="str">
        <f>ADDRESS(ROW('Bond 1'!$B$10),COLUMN('Bond 1'!$B$10),4)</f>
        <v>B10</v>
      </c>
      <c r="C297" t="str">
        <f>ADDRESS(ROW('Bond 1'!$D$10),COLUMN('Bond 1'!$D$10),4)</f>
        <v>D10</v>
      </c>
      <c r="D297" t="b" cm="1">
        <f t="array" aca="1" ref="D297" ca="1">AND(NOT('Bond 9'!B$7=""),INDIRECT("'"&amp;A297&amp;"'!"&amp;B297)="Select One")</f>
        <v>0</v>
      </c>
      <c r="E297" t="s">
        <v>64</v>
      </c>
      <c r="F297" t="str">
        <f>INDEX(Lists!I:I,MATCH(Validation!E297,Lists!G:G,0))</f>
        <v>Error</v>
      </c>
      <c r="G297" t="str">
        <f>INDEX(Lists!H:H,MATCH(Validation!E297,Lists!G:G,0))</f>
        <v>You must make a selection from the dropdown list.</v>
      </c>
      <c r="H297" s="25" t="str">
        <f t="shared" ca="1" si="85"/>
        <v/>
      </c>
      <c r="I297" s="16" t="str">
        <f t="shared" ca="1" si="86"/>
        <v/>
      </c>
      <c r="J297" s="26" t="str">
        <f t="shared" ca="1" si="87"/>
        <v/>
      </c>
    </row>
    <row r="298" spans="1:10" x14ac:dyDescent="0.25">
      <c r="A298" t="s">
        <v>310</v>
      </c>
      <c r="B298" t="str">
        <f>ADDRESS(ROW('Bond 1'!$B$10),COLUMN('Bond 1'!$B$10),4)</f>
        <v>B10</v>
      </c>
      <c r="C298" t="str">
        <f>ADDRESS(ROW('Bond 1'!$D$10),COLUMN('Bond 1'!$D$10),4)</f>
        <v>D10</v>
      </c>
      <c r="D298" t="b" cm="1">
        <f t="array" aca="1" ref="D298" ca="1">AND(NOT('Bond 10'!B$7=""),INDIRECT("'"&amp;A298&amp;"'!"&amp;B298)="Select One")</f>
        <v>0</v>
      </c>
      <c r="E298" t="s">
        <v>64</v>
      </c>
      <c r="F298" t="str">
        <f>INDEX(Lists!I:I,MATCH(Validation!E298,Lists!G:G,0))</f>
        <v>Error</v>
      </c>
      <c r="G298" t="str">
        <f>INDEX(Lists!H:H,MATCH(Validation!E298,Lists!G:G,0))</f>
        <v>You must make a selection from the dropdown list.</v>
      </c>
      <c r="H298" s="25" t="str">
        <f t="shared" ca="1" si="85"/>
        <v/>
      </c>
      <c r="I298" s="16" t="str">
        <f t="shared" ca="1" si="86"/>
        <v/>
      </c>
      <c r="J298" s="26" t="str">
        <f t="shared" ca="1" si="87"/>
        <v/>
      </c>
    </row>
    <row r="299" spans="1:10" x14ac:dyDescent="0.25">
      <c r="A299" t="s">
        <v>311</v>
      </c>
      <c r="B299" t="str">
        <f>ADDRESS(ROW('Bond 1'!$B$10),COLUMN('Bond 1'!$B$10),4)</f>
        <v>B10</v>
      </c>
      <c r="C299" t="str">
        <f>ADDRESS(ROW('Bond 1'!$D$10),COLUMN('Bond 1'!$D$10),4)</f>
        <v>D10</v>
      </c>
      <c r="D299" t="b" cm="1">
        <f t="array" aca="1" ref="D299" ca="1">AND(NOT('Bond 11'!B$7=""),INDIRECT("'"&amp;A299&amp;"'!"&amp;B299)="Select One")</f>
        <v>0</v>
      </c>
      <c r="E299" t="s">
        <v>64</v>
      </c>
      <c r="F299" t="str">
        <f>INDEX(Lists!I:I,MATCH(Validation!E299,Lists!G:G,0))</f>
        <v>Error</v>
      </c>
      <c r="G299" t="str">
        <f>INDEX(Lists!H:H,MATCH(Validation!E299,Lists!G:G,0))</f>
        <v>You must make a selection from the dropdown list.</v>
      </c>
      <c r="H299" s="25" t="str">
        <f t="shared" ca="1" si="85"/>
        <v/>
      </c>
      <c r="I299" s="16" t="str">
        <f t="shared" ca="1" si="86"/>
        <v/>
      </c>
      <c r="J299" s="26" t="str">
        <f t="shared" ca="1" si="87"/>
        <v/>
      </c>
    </row>
    <row r="300" spans="1:10" x14ac:dyDescent="0.25">
      <c r="A300" t="s">
        <v>312</v>
      </c>
      <c r="B300" t="str">
        <f>ADDRESS(ROW('Bond 1'!$B$10),COLUMN('Bond 1'!$B$10),4)</f>
        <v>B10</v>
      </c>
      <c r="C300" t="str">
        <f>ADDRESS(ROW('Bond 1'!$D$10),COLUMN('Bond 1'!$D$10),4)</f>
        <v>D10</v>
      </c>
      <c r="D300" t="b" cm="1">
        <f t="array" aca="1" ref="D300" ca="1">AND(NOT('Bond 12'!B$7=""),INDIRECT("'"&amp;A300&amp;"'!"&amp;B300)="Select One")</f>
        <v>0</v>
      </c>
      <c r="E300" t="s">
        <v>64</v>
      </c>
      <c r="F300" t="str">
        <f>INDEX(Lists!I:I,MATCH(Validation!E300,Lists!G:G,0))</f>
        <v>Error</v>
      </c>
      <c r="G300" t="str">
        <f>INDEX(Lists!H:H,MATCH(Validation!E300,Lists!G:G,0))</f>
        <v>You must make a selection from the dropdown list.</v>
      </c>
      <c r="H300" s="25" t="str">
        <f t="shared" ca="1" si="85"/>
        <v/>
      </c>
      <c r="I300" s="16" t="str">
        <f t="shared" ca="1" si="86"/>
        <v/>
      </c>
      <c r="J300" s="26" t="str">
        <f t="shared" ca="1" si="87"/>
        <v/>
      </c>
    </row>
    <row r="301" spans="1:10" x14ac:dyDescent="0.25">
      <c r="A301" t="s">
        <v>313</v>
      </c>
      <c r="B301" t="str">
        <f>ADDRESS(ROW('Bond 1'!$B$10),COLUMN('Bond 1'!$B$10),4)</f>
        <v>B10</v>
      </c>
      <c r="C301" t="str">
        <f>ADDRESS(ROW('Bond 1'!$D$10),COLUMN('Bond 1'!$D$10),4)</f>
        <v>D10</v>
      </c>
      <c r="D301" t="b" cm="1">
        <f t="array" aca="1" ref="D301" ca="1">AND(NOT('Bond 13'!B$7=""),INDIRECT("'"&amp;A301&amp;"'!"&amp;B301)="Select One")</f>
        <v>0</v>
      </c>
      <c r="E301" t="s">
        <v>64</v>
      </c>
      <c r="F301" t="str">
        <f>INDEX(Lists!I:I,MATCH(Validation!E301,Lists!G:G,0))</f>
        <v>Error</v>
      </c>
      <c r="G301" t="str">
        <f>INDEX(Lists!H:H,MATCH(Validation!E301,Lists!G:G,0))</f>
        <v>You must make a selection from the dropdown list.</v>
      </c>
      <c r="H301" s="25" t="str">
        <f t="shared" ca="1" si="85"/>
        <v/>
      </c>
      <c r="I301" s="16" t="str">
        <f t="shared" ca="1" si="86"/>
        <v/>
      </c>
      <c r="J301" s="26" t="str">
        <f t="shared" ca="1" si="87"/>
        <v/>
      </c>
    </row>
    <row r="302" spans="1:10" x14ac:dyDescent="0.25">
      <c r="A302" t="s">
        <v>314</v>
      </c>
      <c r="B302" t="str">
        <f>ADDRESS(ROW('Bond 1'!$B$10),COLUMN('Bond 1'!$B$10),4)</f>
        <v>B10</v>
      </c>
      <c r="C302" t="str">
        <f>ADDRESS(ROW('Bond 1'!$D$10),COLUMN('Bond 1'!$D$10),4)</f>
        <v>D10</v>
      </c>
      <c r="D302" t="b" cm="1">
        <f t="array" aca="1" ref="D302" ca="1">AND(NOT('Bond 14'!B$7=""),INDIRECT("'"&amp;A302&amp;"'!"&amp;B302)="Select One")</f>
        <v>0</v>
      </c>
      <c r="E302" t="s">
        <v>64</v>
      </c>
      <c r="F302" t="str">
        <f>INDEX(Lists!I:I,MATCH(Validation!E302,Lists!G:G,0))</f>
        <v>Error</v>
      </c>
      <c r="G302" t="str">
        <f>INDEX(Lists!H:H,MATCH(Validation!E302,Lists!G:G,0))</f>
        <v>You must make a selection from the dropdown list.</v>
      </c>
      <c r="H302" s="25" t="str">
        <f t="shared" ca="1" si="85"/>
        <v/>
      </c>
      <c r="I302" s="16" t="str">
        <f t="shared" ca="1" si="86"/>
        <v/>
      </c>
      <c r="J302" s="26" t="str">
        <f t="shared" ca="1" si="87"/>
        <v/>
      </c>
    </row>
    <row r="303" spans="1:10" x14ac:dyDescent="0.25">
      <c r="A303" t="s">
        <v>315</v>
      </c>
      <c r="B303" t="str">
        <f>ADDRESS(ROW('Bond 1'!$B$10),COLUMN('Bond 1'!$B$10),4)</f>
        <v>B10</v>
      </c>
      <c r="C303" t="str">
        <f>ADDRESS(ROW('Bond 1'!$D$10),COLUMN('Bond 1'!$D$10),4)</f>
        <v>D10</v>
      </c>
      <c r="D303" t="b" cm="1">
        <f t="array" aca="1" ref="D303" ca="1">AND(NOT('Bond 15'!B$7=""),INDIRECT("'"&amp;A303&amp;"'!"&amp;B303)="Select One")</f>
        <v>0</v>
      </c>
      <c r="E303" t="s">
        <v>64</v>
      </c>
      <c r="F303" t="str">
        <f>INDEX(Lists!I:I,MATCH(Validation!E303,Lists!G:G,0))</f>
        <v>Error</v>
      </c>
      <c r="G303" t="str">
        <f>INDEX(Lists!H:H,MATCH(Validation!E303,Lists!G:G,0))</f>
        <v>You must make a selection from the dropdown list.</v>
      </c>
      <c r="H303" s="25" t="str">
        <f t="shared" ca="1" si="85"/>
        <v/>
      </c>
      <c r="I303" s="16" t="str">
        <f t="shared" ca="1" si="86"/>
        <v/>
      </c>
      <c r="J303" s="26" t="str">
        <f t="shared" ca="1" si="87"/>
        <v/>
      </c>
    </row>
    <row r="304" spans="1:10" x14ac:dyDescent="0.25">
      <c r="A304" t="s">
        <v>198</v>
      </c>
      <c r="B304" t="str">
        <f>ADDRESS(ROW('Bond 1'!$B$10),COLUMN('Bond 1'!$B$10),4)</f>
        <v>B10</v>
      </c>
      <c r="C304" t="str">
        <f>ADDRESS(ROW('Bond 1'!$D$10),COLUMN('Bond 1'!$D$10),4)</f>
        <v>D10</v>
      </c>
      <c r="D304" t="b">
        <f>IF(NOT(ISBLANK('Bond Input'!C$8)),IF('Bond 1'!B$10='Bond Input'!C$8,FALSE,TRUE))</f>
        <v>0</v>
      </c>
      <c r="E304" t="s">
        <v>592</v>
      </c>
      <c r="F304" t="str">
        <f>INDEX(Lists!I:I,MATCH(Validation!E304,Lists!G:G,0))</f>
        <v>Error</v>
      </c>
      <c r="G304" t="str">
        <f>INDEX(Lists!H:H,MATCH(Validation!E304,Lists!G:G,0))</f>
        <v>Refunding status previously reported. Undo and explain desired change in comments box.</v>
      </c>
      <c r="H304" s="25" t="str">
        <f ca="1">IFERROR(IF(OR(NOT(D304),F304&lt;&gt;"Error"),"",A304&amp;CELL("address",INDIRECT(B304))),"")</f>
        <v/>
      </c>
      <c r="I304" s="25" t="str">
        <f ca="1">IFERROR(IF(NOT(D304),"",A304&amp;CELL("address",INDIRECT(C304))),"")</f>
        <v/>
      </c>
      <c r="J304" s="26" t="str">
        <f>IFERROR(IF(NOT(D304),"",A304),"")</f>
        <v/>
      </c>
    </row>
    <row r="305" spans="1:10" x14ac:dyDescent="0.25">
      <c r="A305" t="s">
        <v>302</v>
      </c>
      <c r="B305" t="str">
        <f>ADDRESS(ROW('Bond 1'!$B$10),COLUMN('Bond 1'!$B$10),4)</f>
        <v>B10</v>
      </c>
      <c r="C305" t="str">
        <f>ADDRESS(ROW('Bond 1'!$D$10),COLUMN('Bond 1'!$D$10),4)</f>
        <v>D10</v>
      </c>
      <c r="D305" t="b">
        <f>IF(NOT(ISBLANK('Bond Input'!D$8)),IF('Bond 2'!B$10='Bond Input'!D$8,FALSE,TRUE))</f>
        <v>0</v>
      </c>
      <c r="E305" t="s">
        <v>592</v>
      </c>
      <c r="F305" t="str">
        <f>INDEX(Lists!I:I,MATCH(Validation!E305,Lists!G:G,0))</f>
        <v>Error</v>
      </c>
      <c r="G305" t="str">
        <f>INDEX(Lists!H:H,MATCH(Validation!E305,Lists!G:G,0))</f>
        <v>Refunding status previously reported. Undo and explain desired change in comments box.</v>
      </c>
      <c r="H305" s="25" t="str">
        <f t="shared" ref="H305:H318" ca="1" si="88">IFERROR(IF(OR(NOT(D305),F305&lt;&gt;"Error"),"",A305&amp;CELL("address",INDIRECT(B305))),"")</f>
        <v/>
      </c>
      <c r="I305" s="25" t="str">
        <f t="shared" ref="I305:I318" ca="1" si="89">IFERROR(IF(NOT(D305),"",A305&amp;CELL("address",INDIRECT(C305))),"")</f>
        <v/>
      </c>
      <c r="J305" s="26" t="str">
        <f t="shared" ref="J305:J318" si="90">IFERROR(IF(NOT(D305),"",A305),"")</f>
        <v/>
      </c>
    </row>
    <row r="306" spans="1:10" x14ac:dyDescent="0.25">
      <c r="A306" t="s">
        <v>303</v>
      </c>
      <c r="B306" t="str">
        <f>ADDRESS(ROW('Bond 1'!$B$10),COLUMN('Bond 1'!$B$10),4)</f>
        <v>B10</v>
      </c>
      <c r="C306" t="str">
        <f>ADDRESS(ROW('Bond 1'!$D$10),COLUMN('Bond 1'!$D$10),4)</f>
        <v>D10</v>
      </c>
      <c r="D306" t="b">
        <f>IF(NOT(ISBLANK('Bond Input'!E$8)),IF('Bond 3'!B$10='Bond Input'!E$8,FALSE,TRUE))</f>
        <v>0</v>
      </c>
      <c r="E306" t="s">
        <v>592</v>
      </c>
      <c r="F306" t="str">
        <f>INDEX(Lists!I:I,MATCH(Validation!E306,Lists!G:G,0))</f>
        <v>Error</v>
      </c>
      <c r="G306" t="str">
        <f>INDEX(Lists!H:H,MATCH(Validation!E306,Lists!G:G,0))</f>
        <v>Refunding status previously reported. Undo and explain desired change in comments box.</v>
      </c>
      <c r="H306" s="25" t="str">
        <f t="shared" ca="1" si="88"/>
        <v/>
      </c>
      <c r="I306" s="25" t="str">
        <f t="shared" ca="1" si="89"/>
        <v/>
      </c>
      <c r="J306" s="26" t="str">
        <f t="shared" si="90"/>
        <v/>
      </c>
    </row>
    <row r="307" spans="1:10" x14ac:dyDescent="0.25">
      <c r="A307" t="s">
        <v>304</v>
      </c>
      <c r="B307" t="str">
        <f>ADDRESS(ROW('Bond 1'!$B$10),COLUMN('Bond 1'!$B$10),4)</f>
        <v>B10</v>
      </c>
      <c r="C307" t="str">
        <f>ADDRESS(ROW('Bond 1'!$D$10),COLUMN('Bond 1'!$D$10),4)</f>
        <v>D10</v>
      </c>
      <c r="D307" t="b">
        <f>IF(NOT(ISBLANK('Bond Input'!F$8)),IF('Bond 4'!B$10='Bond Input'!F$8,FALSE,TRUE))</f>
        <v>0</v>
      </c>
      <c r="E307" t="s">
        <v>592</v>
      </c>
      <c r="F307" t="str">
        <f>INDEX(Lists!I:I,MATCH(Validation!E307,Lists!G:G,0))</f>
        <v>Error</v>
      </c>
      <c r="G307" t="str">
        <f>INDEX(Lists!H:H,MATCH(Validation!E307,Lists!G:G,0))</f>
        <v>Refunding status previously reported. Undo and explain desired change in comments box.</v>
      </c>
      <c r="H307" s="25" t="str">
        <f t="shared" ca="1" si="88"/>
        <v/>
      </c>
      <c r="I307" s="25" t="str">
        <f t="shared" ca="1" si="89"/>
        <v/>
      </c>
      <c r="J307" s="26" t="str">
        <f t="shared" si="90"/>
        <v/>
      </c>
    </row>
    <row r="308" spans="1:10" x14ac:dyDescent="0.25">
      <c r="A308" t="s">
        <v>305</v>
      </c>
      <c r="B308" t="str">
        <f>ADDRESS(ROW('Bond 1'!$B$10),COLUMN('Bond 1'!$B$10),4)</f>
        <v>B10</v>
      </c>
      <c r="C308" t="str">
        <f>ADDRESS(ROW('Bond 1'!$D$10),COLUMN('Bond 1'!$D$10),4)</f>
        <v>D10</v>
      </c>
      <c r="D308" t="b">
        <f>IF(NOT(ISBLANK('Bond Input'!G$8)),IF('Bond 5'!B$10='Bond Input'!G$8,FALSE,TRUE))</f>
        <v>0</v>
      </c>
      <c r="E308" t="s">
        <v>592</v>
      </c>
      <c r="F308" t="str">
        <f>INDEX(Lists!I:I,MATCH(Validation!E308,Lists!G:G,0))</f>
        <v>Error</v>
      </c>
      <c r="G308" t="str">
        <f>INDEX(Lists!H:H,MATCH(Validation!E308,Lists!G:G,0))</f>
        <v>Refunding status previously reported. Undo and explain desired change in comments box.</v>
      </c>
      <c r="H308" s="25" t="str">
        <f t="shared" ca="1" si="88"/>
        <v/>
      </c>
      <c r="I308" s="25" t="str">
        <f t="shared" ca="1" si="89"/>
        <v/>
      </c>
      <c r="J308" s="26" t="str">
        <f t="shared" si="90"/>
        <v/>
      </c>
    </row>
    <row r="309" spans="1:10" x14ac:dyDescent="0.25">
      <c r="A309" t="s">
        <v>306</v>
      </c>
      <c r="B309" t="str">
        <f>ADDRESS(ROW('Bond 1'!$B$10),COLUMN('Bond 1'!$B$10),4)</f>
        <v>B10</v>
      </c>
      <c r="C309" t="str">
        <f>ADDRESS(ROW('Bond 1'!$D$10),COLUMN('Bond 1'!$D$10),4)</f>
        <v>D10</v>
      </c>
      <c r="D309" t="b">
        <f>IF(NOT(ISBLANK('Bond Input'!H$8)),IF('Bond 6'!B$10='Bond Input'!H$8,FALSE,TRUE))</f>
        <v>0</v>
      </c>
      <c r="E309" t="s">
        <v>592</v>
      </c>
      <c r="F309" t="str">
        <f>INDEX(Lists!I:I,MATCH(Validation!E309,Lists!G:G,0))</f>
        <v>Error</v>
      </c>
      <c r="G309" t="str">
        <f>INDEX(Lists!H:H,MATCH(Validation!E309,Lists!G:G,0))</f>
        <v>Refunding status previously reported. Undo and explain desired change in comments box.</v>
      </c>
      <c r="H309" s="25" t="str">
        <f t="shared" ca="1" si="88"/>
        <v/>
      </c>
      <c r="I309" s="25" t="str">
        <f t="shared" ca="1" si="89"/>
        <v/>
      </c>
      <c r="J309" s="26" t="str">
        <f t="shared" si="90"/>
        <v/>
      </c>
    </row>
    <row r="310" spans="1:10" x14ac:dyDescent="0.25">
      <c r="A310" t="s">
        <v>307</v>
      </c>
      <c r="B310" t="str">
        <f>ADDRESS(ROW('Bond 1'!$B$10),COLUMN('Bond 1'!$B$10),4)</f>
        <v>B10</v>
      </c>
      <c r="C310" t="str">
        <f>ADDRESS(ROW('Bond 1'!$D$10),COLUMN('Bond 1'!$D$10),4)</f>
        <v>D10</v>
      </c>
      <c r="D310" t="b">
        <f>IF(NOT(ISBLANK('Bond Input'!I$8)),IF('Bond 7'!B$10='Bond Input'!I$8,FALSE,TRUE))</f>
        <v>0</v>
      </c>
      <c r="E310" t="s">
        <v>592</v>
      </c>
      <c r="F310" t="str">
        <f>INDEX(Lists!I:I,MATCH(Validation!E310,Lists!G:G,0))</f>
        <v>Error</v>
      </c>
      <c r="G310" t="str">
        <f>INDEX(Lists!H:H,MATCH(Validation!E310,Lists!G:G,0))</f>
        <v>Refunding status previously reported. Undo and explain desired change in comments box.</v>
      </c>
      <c r="H310" s="25" t="str">
        <f t="shared" ca="1" si="88"/>
        <v/>
      </c>
      <c r="I310" s="25" t="str">
        <f t="shared" ca="1" si="89"/>
        <v/>
      </c>
      <c r="J310" s="26" t="str">
        <f t="shared" si="90"/>
        <v/>
      </c>
    </row>
    <row r="311" spans="1:10" x14ac:dyDescent="0.25">
      <c r="A311" t="s">
        <v>308</v>
      </c>
      <c r="B311" t="str">
        <f>ADDRESS(ROW('Bond 1'!$B$10),COLUMN('Bond 1'!$B$10),4)</f>
        <v>B10</v>
      </c>
      <c r="C311" t="str">
        <f>ADDRESS(ROW('Bond 1'!$D$10),COLUMN('Bond 1'!$D$10),4)</f>
        <v>D10</v>
      </c>
      <c r="D311" t="b">
        <f>IF(NOT(ISBLANK('Bond Input'!J$8)),IF('Bond 8'!B$10='Bond Input'!J$8,FALSE,TRUE))</f>
        <v>0</v>
      </c>
      <c r="E311" t="s">
        <v>592</v>
      </c>
      <c r="F311" t="str">
        <f>INDEX(Lists!I:I,MATCH(Validation!E311,Lists!G:G,0))</f>
        <v>Error</v>
      </c>
      <c r="G311" t="str">
        <f>INDEX(Lists!H:H,MATCH(Validation!E311,Lists!G:G,0))</f>
        <v>Refunding status previously reported. Undo and explain desired change in comments box.</v>
      </c>
      <c r="H311" s="25" t="str">
        <f t="shared" ca="1" si="88"/>
        <v/>
      </c>
      <c r="I311" s="25" t="str">
        <f t="shared" ca="1" si="89"/>
        <v/>
      </c>
      <c r="J311" s="26" t="str">
        <f t="shared" si="90"/>
        <v/>
      </c>
    </row>
    <row r="312" spans="1:10" x14ac:dyDescent="0.25">
      <c r="A312" t="s">
        <v>309</v>
      </c>
      <c r="B312" t="str">
        <f>ADDRESS(ROW('Bond 1'!$B$10),COLUMN('Bond 1'!$B$10),4)</f>
        <v>B10</v>
      </c>
      <c r="C312" t="str">
        <f>ADDRESS(ROW('Bond 1'!$D$10),COLUMN('Bond 1'!$D$10),4)</f>
        <v>D10</v>
      </c>
      <c r="D312" t="b">
        <f>IF(NOT(ISBLANK('Bond Input'!K$8)),IF('Bond 9'!B$10='Bond Input'!K$8,FALSE,TRUE))</f>
        <v>0</v>
      </c>
      <c r="E312" t="s">
        <v>592</v>
      </c>
      <c r="F312" t="str">
        <f>INDEX(Lists!I:I,MATCH(Validation!E312,Lists!G:G,0))</f>
        <v>Error</v>
      </c>
      <c r="G312" t="str">
        <f>INDEX(Lists!H:H,MATCH(Validation!E312,Lists!G:G,0))</f>
        <v>Refunding status previously reported. Undo and explain desired change in comments box.</v>
      </c>
      <c r="H312" s="25" t="str">
        <f t="shared" ca="1" si="88"/>
        <v/>
      </c>
      <c r="I312" s="25" t="str">
        <f t="shared" ca="1" si="89"/>
        <v/>
      </c>
      <c r="J312" s="26" t="str">
        <f t="shared" si="90"/>
        <v/>
      </c>
    </row>
    <row r="313" spans="1:10" x14ac:dyDescent="0.25">
      <c r="A313" t="s">
        <v>310</v>
      </c>
      <c r="B313" t="str">
        <f>ADDRESS(ROW('Bond 1'!$B$10),COLUMN('Bond 1'!$B$10),4)</f>
        <v>B10</v>
      </c>
      <c r="C313" t="str">
        <f>ADDRESS(ROW('Bond 1'!$D$10),COLUMN('Bond 1'!$D$10),4)</f>
        <v>D10</v>
      </c>
      <c r="D313" t="b">
        <f>IF(NOT(ISBLANK('Bond Input'!L$8)),IF('Bond 10'!B$10='Bond Input'!L$8,FALSE,TRUE))</f>
        <v>0</v>
      </c>
      <c r="E313" t="s">
        <v>592</v>
      </c>
      <c r="F313" t="str">
        <f>INDEX(Lists!I:I,MATCH(Validation!E313,Lists!G:G,0))</f>
        <v>Error</v>
      </c>
      <c r="G313" t="str">
        <f>INDEX(Lists!H:H,MATCH(Validation!E313,Lists!G:G,0))</f>
        <v>Refunding status previously reported. Undo and explain desired change in comments box.</v>
      </c>
      <c r="H313" s="25" t="str">
        <f t="shared" ca="1" si="88"/>
        <v/>
      </c>
      <c r="I313" s="25" t="str">
        <f t="shared" ca="1" si="89"/>
        <v/>
      </c>
      <c r="J313" s="26" t="str">
        <f t="shared" si="90"/>
        <v/>
      </c>
    </row>
    <row r="314" spans="1:10" x14ac:dyDescent="0.25">
      <c r="A314" t="s">
        <v>311</v>
      </c>
      <c r="B314" t="str">
        <f>ADDRESS(ROW('Bond 1'!$B$10),COLUMN('Bond 1'!$B$10),4)</f>
        <v>B10</v>
      </c>
      <c r="C314" t="str">
        <f>ADDRESS(ROW('Bond 1'!$D$10),COLUMN('Bond 1'!$D$10),4)</f>
        <v>D10</v>
      </c>
      <c r="D314" t="b">
        <f>IF(NOT(ISBLANK('Bond Input'!M$8)),IF('Bond 11'!B$10='Bond Input'!M$8,FALSE,TRUE))</f>
        <v>0</v>
      </c>
      <c r="E314" t="s">
        <v>592</v>
      </c>
      <c r="F314" t="str">
        <f>INDEX(Lists!I:I,MATCH(Validation!E314,Lists!G:G,0))</f>
        <v>Error</v>
      </c>
      <c r="G314" t="str">
        <f>INDEX(Lists!H:H,MATCH(Validation!E314,Lists!G:G,0))</f>
        <v>Refunding status previously reported. Undo and explain desired change in comments box.</v>
      </c>
      <c r="H314" s="25" t="str">
        <f t="shared" ca="1" si="88"/>
        <v/>
      </c>
      <c r="I314" s="25" t="str">
        <f t="shared" ca="1" si="89"/>
        <v/>
      </c>
      <c r="J314" s="26" t="str">
        <f t="shared" si="90"/>
        <v/>
      </c>
    </row>
    <row r="315" spans="1:10" x14ac:dyDescent="0.25">
      <c r="A315" t="s">
        <v>312</v>
      </c>
      <c r="B315" t="str">
        <f>ADDRESS(ROW('Bond 1'!$B$10),COLUMN('Bond 1'!$B$10),4)</f>
        <v>B10</v>
      </c>
      <c r="C315" t="str">
        <f>ADDRESS(ROW('Bond 1'!$D$10),COLUMN('Bond 1'!$D$10),4)</f>
        <v>D10</v>
      </c>
      <c r="D315" t="b">
        <f>IF(NOT(ISBLANK('Bond Input'!N$8)),IF('Bond 12'!B$10='Bond Input'!N$8,FALSE,TRUE))</f>
        <v>0</v>
      </c>
      <c r="E315" t="s">
        <v>592</v>
      </c>
      <c r="F315" t="str">
        <f>INDEX(Lists!I:I,MATCH(Validation!E315,Lists!G:G,0))</f>
        <v>Error</v>
      </c>
      <c r="G315" t="str">
        <f>INDEX(Lists!H:H,MATCH(Validation!E315,Lists!G:G,0))</f>
        <v>Refunding status previously reported. Undo and explain desired change in comments box.</v>
      </c>
      <c r="H315" s="25" t="str">
        <f t="shared" ca="1" si="88"/>
        <v/>
      </c>
      <c r="I315" s="25" t="str">
        <f t="shared" ca="1" si="89"/>
        <v/>
      </c>
      <c r="J315" s="26" t="str">
        <f t="shared" si="90"/>
        <v/>
      </c>
    </row>
    <row r="316" spans="1:10" x14ac:dyDescent="0.25">
      <c r="A316" t="s">
        <v>313</v>
      </c>
      <c r="B316" t="str">
        <f>ADDRESS(ROW('Bond 1'!$B$10),COLUMN('Bond 1'!$B$10),4)</f>
        <v>B10</v>
      </c>
      <c r="C316" t="str">
        <f>ADDRESS(ROW('Bond 1'!$D$10),COLUMN('Bond 1'!$D$10),4)</f>
        <v>D10</v>
      </c>
      <c r="D316" t="b">
        <f>IF(NOT(ISBLANK('Bond Input'!O$8)),IF('Bond 13'!B$10='Bond Input'!O$8,FALSE,TRUE))</f>
        <v>0</v>
      </c>
      <c r="E316" t="s">
        <v>592</v>
      </c>
      <c r="F316" t="str">
        <f>INDEX(Lists!I:I,MATCH(Validation!E316,Lists!G:G,0))</f>
        <v>Error</v>
      </c>
      <c r="G316" t="str">
        <f>INDEX(Lists!H:H,MATCH(Validation!E316,Lists!G:G,0))</f>
        <v>Refunding status previously reported. Undo and explain desired change in comments box.</v>
      </c>
      <c r="H316" s="25" t="str">
        <f t="shared" ca="1" si="88"/>
        <v/>
      </c>
      <c r="I316" s="25" t="str">
        <f t="shared" ca="1" si="89"/>
        <v/>
      </c>
      <c r="J316" s="26" t="str">
        <f t="shared" si="90"/>
        <v/>
      </c>
    </row>
    <row r="317" spans="1:10" x14ac:dyDescent="0.25">
      <c r="A317" t="s">
        <v>314</v>
      </c>
      <c r="B317" t="str">
        <f>ADDRESS(ROW('Bond 1'!$B$10),COLUMN('Bond 1'!$B$10),4)</f>
        <v>B10</v>
      </c>
      <c r="C317" t="str">
        <f>ADDRESS(ROW('Bond 1'!$D$10),COLUMN('Bond 1'!$D$10),4)</f>
        <v>D10</v>
      </c>
      <c r="D317" t="b">
        <f>IF(NOT(ISBLANK('Bond Input'!P$8)),IF('Bond 14'!B$10='Bond Input'!P$8,FALSE,TRUE))</f>
        <v>0</v>
      </c>
      <c r="E317" t="s">
        <v>592</v>
      </c>
      <c r="F317" t="str">
        <f>INDEX(Lists!I:I,MATCH(Validation!E317,Lists!G:G,0))</f>
        <v>Error</v>
      </c>
      <c r="G317" t="str">
        <f>INDEX(Lists!H:H,MATCH(Validation!E317,Lists!G:G,0))</f>
        <v>Refunding status previously reported. Undo and explain desired change in comments box.</v>
      </c>
      <c r="H317" s="25" t="str">
        <f t="shared" ca="1" si="88"/>
        <v/>
      </c>
      <c r="I317" s="25" t="str">
        <f t="shared" ca="1" si="89"/>
        <v/>
      </c>
      <c r="J317" s="26" t="str">
        <f t="shared" si="90"/>
        <v/>
      </c>
    </row>
    <row r="318" spans="1:10" x14ac:dyDescent="0.25">
      <c r="A318" t="s">
        <v>315</v>
      </c>
      <c r="B318" t="str">
        <f>ADDRESS(ROW('Bond 1'!$B$10),COLUMN('Bond 1'!$B$10),4)</f>
        <v>B10</v>
      </c>
      <c r="C318" t="str">
        <f>ADDRESS(ROW('Bond 1'!$D$10),COLUMN('Bond 1'!$D$10),4)</f>
        <v>D10</v>
      </c>
      <c r="D318" t="b">
        <f>IF(NOT(ISBLANK('Bond Input'!Q$8)),IF('Bond 15'!B$10='Bond Input'!Q$8,FALSE,TRUE))</f>
        <v>0</v>
      </c>
      <c r="E318" t="s">
        <v>592</v>
      </c>
      <c r="F318" t="str">
        <f>INDEX(Lists!I:I,MATCH(Validation!E318,Lists!G:G,0))</f>
        <v>Error</v>
      </c>
      <c r="G318" t="str">
        <f>INDEX(Lists!H:H,MATCH(Validation!E318,Lists!G:G,0))</f>
        <v>Refunding status previously reported. Undo and explain desired change in comments box.</v>
      </c>
      <c r="H318" s="25" t="str">
        <f t="shared" ca="1" si="88"/>
        <v/>
      </c>
      <c r="I318" s="25" t="str">
        <f t="shared" ca="1" si="89"/>
        <v/>
      </c>
      <c r="J318" s="26" t="str">
        <f t="shared" si="90"/>
        <v/>
      </c>
    </row>
    <row r="319" spans="1:10" x14ac:dyDescent="0.25">
      <c r="A319" t="s">
        <v>198</v>
      </c>
      <c r="B319" t="str">
        <f>ADDRESS(ROW('Bond 1'!$B$11),COLUMN('Bond 1'!$B$11),4)</f>
        <v>B11</v>
      </c>
      <c r="C319" t="str">
        <f>ADDRESS(ROW('Bond 1'!$D$11),COLUMN('Bond 1'!$D$11),4)</f>
        <v>D11</v>
      </c>
      <c r="D319" t="b" cm="1">
        <f t="array" aca="1" ref="D319" ca="1">AND(NOT('Bond 1'!B$7=""),INDIRECT("'"&amp;A319&amp;"'!"&amp;B319)="Select One")</f>
        <v>0</v>
      </c>
      <c r="E319" t="s">
        <v>64</v>
      </c>
      <c r="F319" t="str">
        <f>INDEX(Lists!I:I,MATCH(Validation!E319,Lists!G:G,0))</f>
        <v>Error</v>
      </c>
      <c r="G319" t="str">
        <f>INDEX(Lists!H:H,MATCH(Validation!E319,Lists!G:G,0))</f>
        <v>You must make a selection from the dropdown list.</v>
      </c>
      <c r="H319" s="25" t="str">
        <f t="shared" ref="H319" ca="1" si="91">IFERROR(IF(OR(NOT(D319),F319&lt;&gt;"Error"),"",A319&amp;CELL("address",INDIRECT(B319))),"")</f>
        <v/>
      </c>
      <c r="I319" s="16" t="str">
        <f ca="1">IFERROR(IF(NOT(D319),"",A319&amp;CELL("address",INDIRECT(C319))),"")</f>
        <v/>
      </c>
      <c r="J319" s="26" t="str">
        <f t="shared" ref="J319" ca="1" si="92">IFERROR(IF(NOT(D319),"",A319),"")</f>
        <v/>
      </c>
    </row>
    <row r="320" spans="1:10" x14ac:dyDescent="0.25">
      <c r="A320" t="s">
        <v>302</v>
      </c>
      <c r="B320" t="str">
        <f>ADDRESS(ROW('Bond 1'!$B$11),COLUMN('Bond 1'!$B$11),4)</f>
        <v>B11</v>
      </c>
      <c r="C320" t="str">
        <f>ADDRESS(ROW('Bond 1'!$D$11),COLUMN('Bond 1'!$D$11),4)</f>
        <v>D11</v>
      </c>
      <c r="D320" t="b" cm="1">
        <f t="array" aca="1" ref="D320" ca="1">AND(NOT('Bond 2'!B$7=""),INDIRECT("'"&amp;A320&amp;"'!"&amp;B320)="Select One")</f>
        <v>0</v>
      </c>
      <c r="E320" t="s">
        <v>64</v>
      </c>
      <c r="F320" t="str">
        <f>INDEX(Lists!I:I,MATCH(Validation!E320,Lists!G:G,0))</f>
        <v>Error</v>
      </c>
      <c r="G320" t="str">
        <f>INDEX(Lists!H:H,MATCH(Validation!E320,Lists!G:G,0))</f>
        <v>You must make a selection from the dropdown list.</v>
      </c>
      <c r="H320" s="25" t="str">
        <f t="shared" ref="H320:H333" ca="1" si="93">IFERROR(IF(OR(NOT(D320),F320&lt;&gt;"Error"),"",A320&amp;CELL("address",INDIRECT(B320))),"")</f>
        <v/>
      </c>
      <c r="I320" s="16" t="str">
        <f t="shared" ref="I320:I333" ca="1" si="94">IFERROR(IF(NOT(D320),"",A320&amp;CELL("address",INDIRECT(C320))),"")</f>
        <v/>
      </c>
      <c r="J320" s="26" t="str">
        <f t="shared" ref="J320:J333" ca="1" si="95">IFERROR(IF(NOT(D320),"",A320),"")</f>
        <v/>
      </c>
    </row>
    <row r="321" spans="1:10" x14ac:dyDescent="0.25">
      <c r="A321" t="s">
        <v>303</v>
      </c>
      <c r="B321" t="str">
        <f>ADDRESS(ROW('Bond 1'!$B$11),COLUMN('Bond 1'!$B$11),4)</f>
        <v>B11</v>
      </c>
      <c r="C321" t="str">
        <f>ADDRESS(ROW('Bond 1'!$D$11),COLUMN('Bond 1'!$D$11),4)</f>
        <v>D11</v>
      </c>
      <c r="D321" t="b" cm="1">
        <f t="array" aca="1" ref="D321" ca="1">AND(NOT('Bond 3'!B$7=""),INDIRECT("'"&amp;A321&amp;"'!"&amp;B321)="Select One")</f>
        <v>0</v>
      </c>
      <c r="E321" t="s">
        <v>64</v>
      </c>
      <c r="F321" t="str">
        <f>INDEX(Lists!I:I,MATCH(Validation!E321,Lists!G:G,0))</f>
        <v>Error</v>
      </c>
      <c r="G321" t="str">
        <f>INDEX(Lists!H:H,MATCH(Validation!E321,Lists!G:G,0))</f>
        <v>You must make a selection from the dropdown list.</v>
      </c>
      <c r="H321" s="25" t="str">
        <f t="shared" ca="1" si="93"/>
        <v/>
      </c>
      <c r="I321" s="16" t="str">
        <f t="shared" ca="1" si="94"/>
        <v/>
      </c>
      <c r="J321" s="26" t="str">
        <f t="shared" ca="1" si="95"/>
        <v/>
      </c>
    </row>
    <row r="322" spans="1:10" x14ac:dyDescent="0.25">
      <c r="A322" t="s">
        <v>304</v>
      </c>
      <c r="B322" t="str">
        <f>ADDRESS(ROW('Bond 1'!$B$11),COLUMN('Bond 1'!$B$11),4)</f>
        <v>B11</v>
      </c>
      <c r="C322" t="str">
        <f>ADDRESS(ROW('Bond 1'!$D$11),COLUMN('Bond 1'!$D$11),4)</f>
        <v>D11</v>
      </c>
      <c r="D322" t="b" cm="1">
        <f t="array" aca="1" ref="D322" ca="1">AND(NOT('Bond 4'!B$7=""),INDIRECT("'"&amp;A322&amp;"'!"&amp;B322)="Select One")</f>
        <v>0</v>
      </c>
      <c r="E322" t="s">
        <v>64</v>
      </c>
      <c r="F322" t="str">
        <f>INDEX(Lists!I:I,MATCH(Validation!E322,Lists!G:G,0))</f>
        <v>Error</v>
      </c>
      <c r="G322" t="str">
        <f>INDEX(Lists!H:H,MATCH(Validation!E322,Lists!G:G,0))</f>
        <v>You must make a selection from the dropdown list.</v>
      </c>
      <c r="H322" s="25" t="str">
        <f t="shared" ca="1" si="93"/>
        <v/>
      </c>
      <c r="I322" s="16" t="str">
        <f t="shared" ca="1" si="94"/>
        <v/>
      </c>
      <c r="J322" s="26" t="str">
        <f t="shared" ca="1" si="95"/>
        <v/>
      </c>
    </row>
    <row r="323" spans="1:10" x14ac:dyDescent="0.25">
      <c r="A323" t="s">
        <v>305</v>
      </c>
      <c r="B323" t="str">
        <f>ADDRESS(ROW('Bond 1'!$B$11),COLUMN('Bond 1'!$B$11),4)</f>
        <v>B11</v>
      </c>
      <c r="C323" t="str">
        <f>ADDRESS(ROW('Bond 1'!$D$11),COLUMN('Bond 1'!$D$11),4)</f>
        <v>D11</v>
      </c>
      <c r="D323" t="b" cm="1">
        <f t="array" aca="1" ref="D323" ca="1">AND(NOT('Bond 5'!B$7=""),INDIRECT("'"&amp;A323&amp;"'!"&amp;B323)="Select One")</f>
        <v>0</v>
      </c>
      <c r="E323" t="s">
        <v>64</v>
      </c>
      <c r="F323" t="str">
        <f>INDEX(Lists!I:I,MATCH(Validation!E323,Lists!G:G,0))</f>
        <v>Error</v>
      </c>
      <c r="G323" t="str">
        <f>INDEX(Lists!H:H,MATCH(Validation!E323,Lists!G:G,0))</f>
        <v>You must make a selection from the dropdown list.</v>
      </c>
      <c r="H323" s="25" t="str">
        <f t="shared" ca="1" si="93"/>
        <v/>
      </c>
      <c r="I323" s="16" t="str">
        <f t="shared" ca="1" si="94"/>
        <v/>
      </c>
      <c r="J323" s="26" t="str">
        <f t="shared" ca="1" si="95"/>
        <v/>
      </c>
    </row>
    <row r="324" spans="1:10" x14ac:dyDescent="0.25">
      <c r="A324" t="s">
        <v>306</v>
      </c>
      <c r="B324" t="str">
        <f>ADDRESS(ROW('Bond 1'!$B$11),COLUMN('Bond 1'!$B$11),4)</f>
        <v>B11</v>
      </c>
      <c r="C324" t="str">
        <f>ADDRESS(ROW('Bond 1'!$D$11),COLUMN('Bond 1'!$D$11),4)</f>
        <v>D11</v>
      </c>
      <c r="D324" t="b" cm="1">
        <f t="array" aca="1" ref="D324" ca="1">AND(NOT('Bond 6'!B$7=""),INDIRECT("'"&amp;A324&amp;"'!"&amp;B324)="Select One")</f>
        <v>0</v>
      </c>
      <c r="E324" t="s">
        <v>64</v>
      </c>
      <c r="F324" t="str">
        <f>INDEX(Lists!I:I,MATCH(Validation!E324,Lists!G:G,0))</f>
        <v>Error</v>
      </c>
      <c r="G324" t="str">
        <f>INDEX(Lists!H:H,MATCH(Validation!E324,Lists!G:G,0))</f>
        <v>You must make a selection from the dropdown list.</v>
      </c>
      <c r="H324" s="25" t="str">
        <f t="shared" ca="1" si="93"/>
        <v/>
      </c>
      <c r="I324" s="16" t="str">
        <f t="shared" ca="1" si="94"/>
        <v/>
      </c>
      <c r="J324" s="26" t="str">
        <f t="shared" ca="1" si="95"/>
        <v/>
      </c>
    </row>
    <row r="325" spans="1:10" x14ac:dyDescent="0.25">
      <c r="A325" t="s">
        <v>307</v>
      </c>
      <c r="B325" t="str">
        <f>ADDRESS(ROW('Bond 1'!$B$11),COLUMN('Bond 1'!$B$11),4)</f>
        <v>B11</v>
      </c>
      <c r="C325" t="str">
        <f>ADDRESS(ROW('Bond 1'!$D$11),COLUMN('Bond 1'!$D$11),4)</f>
        <v>D11</v>
      </c>
      <c r="D325" t="b" cm="1">
        <f t="array" aca="1" ref="D325" ca="1">AND(NOT('Bond 7'!B$7=""),INDIRECT("'"&amp;A325&amp;"'!"&amp;B325)="Select One")</f>
        <v>0</v>
      </c>
      <c r="E325" t="s">
        <v>64</v>
      </c>
      <c r="F325" t="str">
        <f>INDEX(Lists!I:I,MATCH(Validation!E325,Lists!G:G,0))</f>
        <v>Error</v>
      </c>
      <c r="G325" t="str">
        <f>INDEX(Lists!H:H,MATCH(Validation!E325,Lists!G:G,0))</f>
        <v>You must make a selection from the dropdown list.</v>
      </c>
      <c r="H325" s="25" t="str">
        <f t="shared" ca="1" si="93"/>
        <v/>
      </c>
      <c r="I325" s="16" t="str">
        <f t="shared" ca="1" si="94"/>
        <v/>
      </c>
      <c r="J325" s="26" t="str">
        <f t="shared" ca="1" si="95"/>
        <v/>
      </c>
    </row>
    <row r="326" spans="1:10" x14ac:dyDescent="0.25">
      <c r="A326" t="s">
        <v>308</v>
      </c>
      <c r="B326" t="str">
        <f>ADDRESS(ROW('Bond 1'!$B$11),COLUMN('Bond 1'!$B$11),4)</f>
        <v>B11</v>
      </c>
      <c r="C326" t="str">
        <f>ADDRESS(ROW('Bond 1'!$D$11),COLUMN('Bond 1'!$D$11),4)</f>
        <v>D11</v>
      </c>
      <c r="D326" t="b" cm="1">
        <f t="array" aca="1" ref="D326" ca="1">AND(NOT('Bond 8'!B$7=""),INDIRECT("'"&amp;A326&amp;"'!"&amp;B326)="Select One")</f>
        <v>0</v>
      </c>
      <c r="E326" t="s">
        <v>64</v>
      </c>
      <c r="F326" t="str">
        <f>INDEX(Lists!I:I,MATCH(Validation!E326,Lists!G:G,0))</f>
        <v>Error</v>
      </c>
      <c r="G326" t="str">
        <f>INDEX(Lists!H:H,MATCH(Validation!E326,Lists!G:G,0))</f>
        <v>You must make a selection from the dropdown list.</v>
      </c>
      <c r="H326" s="25" t="str">
        <f t="shared" ca="1" si="93"/>
        <v/>
      </c>
      <c r="I326" s="16" t="str">
        <f t="shared" ca="1" si="94"/>
        <v/>
      </c>
      <c r="J326" s="26" t="str">
        <f t="shared" ca="1" si="95"/>
        <v/>
      </c>
    </row>
    <row r="327" spans="1:10" x14ac:dyDescent="0.25">
      <c r="A327" t="s">
        <v>309</v>
      </c>
      <c r="B327" t="str">
        <f>ADDRESS(ROW('Bond 1'!$B$11),COLUMN('Bond 1'!$B$11),4)</f>
        <v>B11</v>
      </c>
      <c r="C327" t="str">
        <f>ADDRESS(ROW('Bond 1'!$D$11),COLUMN('Bond 1'!$D$11),4)</f>
        <v>D11</v>
      </c>
      <c r="D327" t="b" cm="1">
        <f t="array" aca="1" ref="D327" ca="1">AND(NOT('Bond 9'!B$7=""),INDIRECT("'"&amp;A327&amp;"'!"&amp;B327)="Select One")</f>
        <v>0</v>
      </c>
      <c r="E327" t="s">
        <v>64</v>
      </c>
      <c r="F327" t="str">
        <f>INDEX(Lists!I:I,MATCH(Validation!E327,Lists!G:G,0))</f>
        <v>Error</v>
      </c>
      <c r="G327" t="str">
        <f>INDEX(Lists!H:H,MATCH(Validation!E327,Lists!G:G,0))</f>
        <v>You must make a selection from the dropdown list.</v>
      </c>
      <c r="H327" s="25" t="str">
        <f t="shared" ca="1" si="93"/>
        <v/>
      </c>
      <c r="I327" s="16" t="str">
        <f t="shared" ca="1" si="94"/>
        <v/>
      </c>
      <c r="J327" s="26" t="str">
        <f t="shared" ca="1" si="95"/>
        <v/>
      </c>
    </row>
    <row r="328" spans="1:10" x14ac:dyDescent="0.25">
      <c r="A328" t="s">
        <v>310</v>
      </c>
      <c r="B328" t="str">
        <f>ADDRESS(ROW('Bond 1'!$B$11),COLUMN('Bond 1'!$B$11),4)</f>
        <v>B11</v>
      </c>
      <c r="C328" t="str">
        <f>ADDRESS(ROW('Bond 1'!$D$11),COLUMN('Bond 1'!$D$11),4)</f>
        <v>D11</v>
      </c>
      <c r="D328" t="b" cm="1">
        <f t="array" aca="1" ref="D328" ca="1">AND(NOT('Bond 10'!B$7=""),INDIRECT("'"&amp;A328&amp;"'!"&amp;B328)="Select One")</f>
        <v>0</v>
      </c>
      <c r="E328" t="s">
        <v>64</v>
      </c>
      <c r="F328" t="str">
        <f>INDEX(Lists!I:I,MATCH(Validation!E328,Lists!G:G,0))</f>
        <v>Error</v>
      </c>
      <c r="G328" t="str">
        <f>INDEX(Lists!H:H,MATCH(Validation!E328,Lists!G:G,0))</f>
        <v>You must make a selection from the dropdown list.</v>
      </c>
      <c r="H328" s="25" t="str">
        <f t="shared" ca="1" si="93"/>
        <v/>
      </c>
      <c r="I328" s="16" t="str">
        <f t="shared" ca="1" si="94"/>
        <v/>
      </c>
      <c r="J328" s="26" t="str">
        <f t="shared" ca="1" si="95"/>
        <v/>
      </c>
    </row>
    <row r="329" spans="1:10" x14ac:dyDescent="0.25">
      <c r="A329" t="s">
        <v>311</v>
      </c>
      <c r="B329" t="str">
        <f>ADDRESS(ROW('Bond 1'!$B$11),COLUMN('Bond 1'!$B$11),4)</f>
        <v>B11</v>
      </c>
      <c r="C329" t="str">
        <f>ADDRESS(ROW('Bond 1'!$D$11),COLUMN('Bond 1'!$D$11),4)</f>
        <v>D11</v>
      </c>
      <c r="D329" t="b" cm="1">
        <f t="array" aca="1" ref="D329" ca="1">AND(NOT('Bond 11'!B$7=""),INDIRECT("'"&amp;A329&amp;"'!"&amp;B329)="Select One")</f>
        <v>0</v>
      </c>
      <c r="E329" t="s">
        <v>64</v>
      </c>
      <c r="F329" t="str">
        <f>INDEX(Lists!I:I,MATCH(Validation!E329,Lists!G:G,0))</f>
        <v>Error</v>
      </c>
      <c r="G329" t="str">
        <f>INDEX(Lists!H:H,MATCH(Validation!E329,Lists!G:G,0))</f>
        <v>You must make a selection from the dropdown list.</v>
      </c>
      <c r="H329" s="25" t="str">
        <f t="shared" ca="1" si="93"/>
        <v/>
      </c>
      <c r="I329" s="16" t="str">
        <f t="shared" ca="1" si="94"/>
        <v/>
      </c>
      <c r="J329" s="26" t="str">
        <f t="shared" ca="1" si="95"/>
        <v/>
      </c>
    </row>
    <row r="330" spans="1:10" x14ac:dyDescent="0.25">
      <c r="A330" t="s">
        <v>312</v>
      </c>
      <c r="B330" t="str">
        <f>ADDRESS(ROW('Bond 1'!$B$11),COLUMN('Bond 1'!$B$11),4)</f>
        <v>B11</v>
      </c>
      <c r="C330" t="str">
        <f>ADDRESS(ROW('Bond 1'!$D$11),COLUMN('Bond 1'!$D$11),4)</f>
        <v>D11</v>
      </c>
      <c r="D330" t="b" cm="1">
        <f t="array" aca="1" ref="D330" ca="1">AND(NOT('Bond 12'!B$7=""),INDIRECT("'"&amp;A330&amp;"'!"&amp;B330)="Select One")</f>
        <v>0</v>
      </c>
      <c r="E330" t="s">
        <v>64</v>
      </c>
      <c r="F330" t="str">
        <f>INDEX(Lists!I:I,MATCH(Validation!E330,Lists!G:G,0))</f>
        <v>Error</v>
      </c>
      <c r="G330" t="str">
        <f>INDEX(Lists!H:H,MATCH(Validation!E330,Lists!G:G,0))</f>
        <v>You must make a selection from the dropdown list.</v>
      </c>
      <c r="H330" s="25" t="str">
        <f t="shared" ca="1" si="93"/>
        <v/>
      </c>
      <c r="I330" s="16" t="str">
        <f t="shared" ca="1" si="94"/>
        <v/>
      </c>
      <c r="J330" s="26" t="str">
        <f t="shared" ca="1" si="95"/>
        <v/>
      </c>
    </row>
    <row r="331" spans="1:10" x14ac:dyDescent="0.25">
      <c r="A331" t="s">
        <v>313</v>
      </c>
      <c r="B331" t="str">
        <f>ADDRESS(ROW('Bond 1'!$B$11),COLUMN('Bond 1'!$B$11),4)</f>
        <v>B11</v>
      </c>
      <c r="C331" t="str">
        <f>ADDRESS(ROW('Bond 1'!$D$11),COLUMN('Bond 1'!$D$11),4)</f>
        <v>D11</v>
      </c>
      <c r="D331" t="b" cm="1">
        <f t="array" aca="1" ref="D331" ca="1">AND(NOT('Bond 13'!B$7=""),INDIRECT("'"&amp;A331&amp;"'!"&amp;B331)="Select One")</f>
        <v>0</v>
      </c>
      <c r="E331" t="s">
        <v>64</v>
      </c>
      <c r="F331" t="str">
        <f>INDEX(Lists!I:I,MATCH(Validation!E331,Lists!G:G,0))</f>
        <v>Error</v>
      </c>
      <c r="G331" t="str">
        <f>INDEX(Lists!H:H,MATCH(Validation!E331,Lists!G:G,0))</f>
        <v>You must make a selection from the dropdown list.</v>
      </c>
      <c r="H331" s="25" t="str">
        <f t="shared" ca="1" si="93"/>
        <v/>
      </c>
      <c r="I331" s="16" t="str">
        <f t="shared" ca="1" si="94"/>
        <v/>
      </c>
      <c r="J331" s="26" t="str">
        <f t="shared" ca="1" si="95"/>
        <v/>
      </c>
    </row>
    <row r="332" spans="1:10" x14ac:dyDescent="0.25">
      <c r="A332" t="s">
        <v>314</v>
      </c>
      <c r="B332" t="str">
        <f>ADDRESS(ROW('Bond 1'!$B$11),COLUMN('Bond 1'!$B$11),4)</f>
        <v>B11</v>
      </c>
      <c r="C332" t="str">
        <f>ADDRESS(ROW('Bond 1'!$D$11),COLUMN('Bond 1'!$D$11),4)</f>
        <v>D11</v>
      </c>
      <c r="D332" t="b" cm="1">
        <f t="array" aca="1" ref="D332" ca="1">AND(NOT('Bond 14'!B$7=""),INDIRECT("'"&amp;A332&amp;"'!"&amp;B332)="Select One")</f>
        <v>0</v>
      </c>
      <c r="E332" t="s">
        <v>64</v>
      </c>
      <c r="F332" t="str">
        <f>INDEX(Lists!I:I,MATCH(Validation!E332,Lists!G:G,0))</f>
        <v>Error</v>
      </c>
      <c r="G332" t="str">
        <f>INDEX(Lists!H:H,MATCH(Validation!E332,Lists!G:G,0))</f>
        <v>You must make a selection from the dropdown list.</v>
      </c>
      <c r="H332" s="25" t="str">
        <f t="shared" ca="1" si="93"/>
        <v/>
      </c>
      <c r="I332" s="16" t="str">
        <f t="shared" ca="1" si="94"/>
        <v/>
      </c>
      <c r="J332" s="26" t="str">
        <f t="shared" ca="1" si="95"/>
        <v/>
      </c>
    </row>
    <row r="333" spans="1:10" x14ac:dyDescent="0.25">
      <c r="A333" t="s">
        <v>315</v>
      </c>
      <c r="B333" t="str">
        <f>ADDRESS(ROW('Bond 1'!$B$11),COLUMN('Bond 1'!$B$11),4)</f>
        <v>B11</v>
      </c>
      <c r="C333" t="str">
        <f>ADDRESS(ROW('Bond 1'!$D$11),COLUMN('Bond 1'!$D$11),4)</f>
        <v>D11</v>
      </c>
      <c r="D333" t="b" cm="1">
        <f t="array" aca="1" ref="D333" ca="1">AND(NOT('Bond 15'!B$7=""),INDIRECT("'"&amp;A333&amp;"'!"&amp;B333)="Select One")</f>
        <v>0</v>
      </c>
      <c r="E333" t="s">
        <v>64</v>
      </c>
      <c r="F333" t="str">
        <f>INDEX(Lists!I:I,MATCH(Validation!E333,Lists!G:G,0))</f>
        <v>Error</v>
      </c>
      <c r="G333" t="str">
        <f>INDEX(Lists!H:H,MATCH(Validation!E333,Lists!G:G,0))</f>
        <v>You must make a selection from the dropdown list.</v>
      </c>
      <c r="H333" s="25" t="str">
        <f t="shared" ca="1" si="93"/>
        <v/>
      </c>
      <c r="I333" s="16" t="str">
        <f t="shared" ca="1" si="94"/>
        <v/>
      </c>
      <c r="J333" s="26" t="str">
        <f t="shared" ca="1" si="95"/>
        <v/>
      </c>
    </row>
    <row r="334" spans="1:10" x14ac:dyDescent="0.25">
      <c r="A334" t="s">
        <v>198</v>
      </c>
      <c r="B334" t="str">
        <f>ADDRESS(ROW('Bond 1'!$B$11),COLUMN('Bond 1'!$B$11),4)</f>
        <v>B11</v>
      </c>
      <c r="C334" t="str">
        <f>ADDRESS(ROW('Bond 1'!$D$11),COLUMN('Bond 1'!$D$11),4)</f>
        <v>D11</v>
      </c>
      <c r="D334" t="b">
        <f>IF(NOT(ISBLANK('Bond Input'!C$9)),IF('Bond 1'!B$11='Bond Input'!C$9,FALSE,TRUE))</f>
        <v>0</v>
      </c>
      <c r="E334" t="s">
        <v>607</v>
      </c>
      <c r="F334" t="str">
        <f>INDEX(Lists!I:I,MATCH(Validation!E334,Lists!G:G,0))</f>
        <v>Error</v>
      </c>
      <c r="G334" t="str">
        <f>INDEX(Lists!H:H,MATCH(Validation!E334,Lists!G:G,0))</f>
        <v>Pooled status previously reported. Undo and explain desired change in comments box.</v>
      </c>
      <c r="H334" s="25" t="str">
        <f ca="1">IFERROR(IF(OR(NOT(D334),F334&lt;&gt;"Error"),"",A334&amp;CELL("address",INDIRECT(B334))),"")</f>
        <v/>
      </c>
      <c r="I334" s="25" t="str">
        <f ca="1">IFERROR(IF(NOT(D334),"",A334&amp;CELL("address",INDIRECT(C334))),"")</f>
        <v/>
      </c>
      <c r="J334" s="26" t="str">
        <f>IFERROR(IF(NOT(D334),"",A334),"")</f>
        <v/>
      </c>
    </row>
    <row r="335" spans="1:10" x14ac:dyDescent="0.25">
      <c r="A335" t="s">
        <v>302</v>
      </c>
      <c r="B335" t="str">
        <f>ADDRESS(ROW('Bond 1'!$B$11),COLUMN('Bond 1'!$B$11),4)</f>
        <v>B11</v>
      </c>
      <c r="C335" t="str">
        <f>ADDRESS(ROW('Bond 1'!$D$11),COLUMN('Bond 1'!$D$11),4)</f>
        <v>D11</v>
      </c>
      <c r="D335" t="b">
        <f>IF(NOT(ISBLANK('Bond Input'!D$9)),IF('Bond 2'!B$11='Bond Input'!D$9,FALSE,TRUE))</f>
        <v>0</v>
      </c>
      <c r="E335" t="s">
        <v>607</v>
      </c>
      <c r="F335" t="str">
        <f>INDEX(Lists!I:I,MATCH(Validation!E335,Lists!G:G,0))</f>
        <v>Error</v>
      </c>
      <c r="G335" t="str">
        <f>INDEX(Lists!H:H,MATCH(Validation!E335,Lists!G:G,0))</f>
        <v>Pooled status previously reported. Undo and explain desired change in comments box.</v>
      </c>
      <c r="H335" s="25" t="str">
        <f t="shared" ref="H335:H348" ca="1" si="96">IFERROR(IF(OR(NOT(D335),F335&lt;&gt;"Error"),"",A335&amp;CELL("address",INDIRECT(B335))),"")</f>
        <v/>
      </c>
      <c r="I335" s="25" t="str">
        <f t="shared" ref="I335:I348" ca="1" si="97">IFERROR(IF(NOT(D335),"",A335&amp;CELL("address",INDIRECT(C335))),"")</f>
        <v/>
      </c>
      <c r="J335" s="26" t="str">
        <f t="shared" ref="J335:J348" si="98">IFERROR(IF(NOT(D335),"",A335),"")</f>
        <v/>
      </c>
    </row>
    <row r="336" spans="1:10" x14ac:dyDescent="0.25">
      <c r="A336" t="s">
        <v>303</v>
      </c>
      <c r="B336" t="str">
        <f>ADDRESS(ROW('Bond 1'!$B$11),COLUMN('Bond 1'!$B$11),4)</f>
        <v>B11</v>
      </c>
      <c r="C336" t="str">
        <f>ADDRESS(ROW('Bond 1'!$D$11),COLUMN('Bond 1'!$D$11),4)</f>
        <v>D11</v>
      </c>
      <c r="D336" t="b">
        <f>IF(NOT(ISBLANK('Bond Input'!E$9)),IF('Bond 3'!B$11='Bond Input'!E$9,FALSE,TRUE))</f>
        <v>0</v>
      </c>
      <c r="E336" t="s">
        <v>607</v>
      </c>
      <c r="F336" t="str">
        <f>INDEX(Lists!I:I,MATCH(Validation!E336,Lists!G:G,0))</f>
        <v>Error</v>
      </c>
      <c r="G336" t="str">
        <f>INDEX(Lists!H:H,MATCH(Validation!E336,Lists!G:G,0))</f>
        <v>Pooled status previously reported. Undo and explain desired change in comments box.</v>
      </c>
      <c r="H336" s="25" t="str">
        <f t="shared" ca="1" si="96"/>
        <v/>
      </c>
      <c r="I336" s="25" t="str">
        <f t="shared" ca="1" si="97"/>
        <v/>
      </c>
      <c r="J336" s="26" t="str">
        <f t="shared" si="98"/>
        <v/>
      </c>
    </row>
    <row r="337" spans="1:10" x14ac:dyDescent="0.25">
      <c r="A337" t="s">
        <v>304</v>
      </c>
      <c r="B337" t="str">
        <f>ADDRESS(ROW('Bond 1'!$B$11),COLUMN('Bond 1'!$B$11),4)</f>
        <v>B11</v>
      </c>
      <c r="C337" t="str">
        <f>ADDRESS(ROW('Bond 1'!$D$11),COLUMN('Bond 1'!$D$11),4)</f>
        <v>D11</v>
      </c>
      <c r="D337" t="b">
        <f>IF(NOT(ISBLANK('Bond Input'!F$9)),IF('Bond 4'!B$11='Bond Input'!F$9,FALSE,TRUE))</f>
        <v>0</v>
      </c>
      <c r="E337" t="s">
        <v>607</v>
      </c>
      <c r="F337" t="str">
        <f>INDEX(Lists!I:I,MATCH(Validation!E337,Lists!G:G,0))</f>
        <v>Error</v>
      </c>
      <c r="G337" t="str">
        <f>INDEX(Lists!H:H,MATCH(Validation!E337,Lists!G:G,0))</f>
        <v>Pooled status previously reported. Undo and explain desired change in comments box.</v>
      </c>
      <c r="H337" s="25" t="str">
        <f t="shared" ca="1" si="96"/>
        <v/>
      </c>
      <c r="I337" s="25" t="str">
        <f t="shared" ca="1" si="97"/>
        <v/>
      </c>
      <c r="J337" s="26" t="str">
        <f t="shared" si="98"/>
        <v/>
      </c>
    </row>
    <row r="338" spans="1:10" x14ac:dyDescent="0.25">
      <c r="A338" t="s">
        <v>305</v>
      </c>
      <c r="B338" t="str">
        <f>ADDRESS(ROW('Bond 1'!$B$11),COLUMN('Bond 1'!$B$11),4)</f>
        <v>B11</v>
      </c>
      <c r="C338" t="str">
        <f>ADDRESS(ROW('Bond 1'!$D$11),COLUMN('Bond 1'!$D$11),4)</f>
        <v>D11</v>
      </c>
      <c r="D338" t="b">
        <f>IF(NOT(ISBLANK('Bond Input'!G$9)),IF('Bond 5'!B$11='Bond Input'!G$9,FALSE,TRUE))</f>
        <v>0</v>
      </c>
      <c r="E338" t="s">
        <v>607</v>
      </c>
      <c r="F338" t="str">
        <f>INDEX(Lists!I:I,MATCH(Validation!E338,Lists!G:G,0))</f>
        <v>Error</v>
      </c>
      <c r="G338" t="str">
        <f>INDEX(Lists!H:H,MATCH(Validation!E338,Lists!G:G,0))</f>
        <v>Pooled status previously reported. Undo and explain desired change in comments box.</v>
      </c>
      <c r="H338" s="25" t="str">
        <f t="shared" ca="1" si="96"/>
        <v/>
      </c>
      <c r="I338" s="25" t="str">
        <f t="shared" ca="1" si="97"/>
        <v/>
      </c>
      <c r="J338" s="26" t="str">
        <f t="shared" si="98"/>
        <v/>
      </c>
    </row>
    <row r="339" spans="1:10" x14ac:dyDescent="0.25">
      <c r="A339" t="s">
        <v>306</v>
      </c>
      <c r="B339" t="str">
        <f>ADDRESS(ROW('Bond 1'!$B$11),COLUMN('Bond 1'!$B$11),4)</f>
        <v>B11</v>
      </c>
      <c r="C339" t="str">
        <f>ADDRESS(ROW('Bond 1'!$D$11),COLUMN('Bond 1'!$D$11),4)</f>
        <v>D11</v>
      </c>
      <c r="D339" t="b">
        <f>IF(NOT(ISBLANK('Bond Input'!H$9)),IF('Bond 6'!B$11='Bond Input'!H$9,FALSE,TRUE))</f>
        <v>0</v>
      </c>
      <c r="E339" t="s">
        <v>607</v>
      </c>
      <c r="F339" t="str">
        <f>INDEX(Lists!I:I,MATCH(Validation!E339,Lists!G:G,0))</f>
        <v>Error</v>
      </c>
      <c r="G339" t="str">
        <f>INDEX(Lists!H:H,MATCH(Validation!E339,Lists!G:G,0))</f>
        <v>Pooled status previously reported. Undo and explain desired change in comments box.</v>
      </c>
      <c r="H339" s="25" t="str">
        <f t="shared" ca="1" si="96"/>
        <v/>
      </c>
      <c r="I339" s="25" t="str">
        <f t="shared" ca="1" si="97"/>
        <v/>
      </c>
      <c r="J339" s="26" t="str">
        <f t="shared" si="98"/>
        <v/>
      </c>
    </row>
    <row r="340" spans="1:10" x14ac:dyDescent="0.25">
      <c r="A340" t="s">
        <v>307</v>
      </c>
      <c r="B340" t="str">
        <f>ADDRESS(ROW('Bond 1'!$B$11),COLUMN('Bond 1'!$B$11),4)</f>
        <v>B11</v>
      </c>
      <c r="C340" t="str">
        <f>ADDRESS(ROW('Bond 1'!$D$11),COLUMN('Bond 1'!$D$11),4)</f>
        <v>D11</v>
      </c>
      <c r="D340" t="b">
        <f>IF(NOT(ISBLANK('Bond Input'!I$9)),IF('Bond 7'!B$11='Bond Input'!I$9,FALSE,TRUE))</f>
        <v>0</v>
      </c>
      <c r="E340" t="s">
        <v>607</v>
      </c>
      <c r="F340" t="str">
        <f>INDEX(Lists!I:I,MATCH(Validation!E340,Lists!G:G,0))</f>
        <v>Error</v>
      </c>
      <c r="G340" t="str">
        <f>INDEX(Lists!H:H,MATCH(Validation!E340,Lists!G:G,0))</f>
        <v>Pooled status previously reported. Undo and explain desired change in comments box.</v>
      </c>
      <c r="H340" s="25" t="str">
        <f t="shared" ca="1" si="96"/>
        <v/>
      </c>
      <c r="I340" s="25" t="str">
        <f t="shared" ca="1" si="97"/>
        <v/>
      </c>
      <c r="J340" s="26" t="str">
        <f t="shared" si="98"/>
        <v/>
      </c>
    </row>
    <row r="341" spans="1:10" x14ac:dyDescent="0.25">
      <c r="A341" t="s">
        <v>308</v>
      </c>
      <c r="B341" t="str">
        <f>ADDRESS(ROW('Bond 1'!$B$11),COLUMN('Bond 1'!$B$11),4)</f>
        <v>B11</v>
      </c>
      <c r="C341" t="str">
        <f>ADDRESS(ROW('Bond 1'!$D$11),COLUMN('Bond 1'!$D$11),4)</f>
        <v>D11</v>
      </c>
      <c r="D341" t="b">
        <f>IF(NOT(ISBLANK('Bond Input'!J$9)),IF('Bond 8'!B$11='Bond Input'!J$9,FALSE,TRUE))</f>
        <v>0</v>
      </c>
      <c r="E341" t="s">
        <v>607</v>
      </c>
      <c r="F341" t="str">
        <f>INDEX(Lists!I:I,MATCH(Validation!E341,Lists!G:G,0))</f>
        <v>Error</v>
      </c>
      <c r="G341" t="str">
        <f>INDEX(Lists!H:H,MATCH(Validation!E341,Lists!G:G,0))</f>
        <v>Pooled status previously reported. Undo and explain desired change in comments box.</v>
      </c>
      <c r="H341" s="25" t="str">
        <f t="shared" ca="1" si="96"/>
        <v/>
      </c>
      <c r="I341" s="25" t="str">
        <f t="shared" ca="1" si="97"/>
        <v/>
      </c>
      <c r="J341" s="26" t="str">
        <f t="shared" si="98"/>
        <v/>
      </c>
    </row>
    <row r="342" spans="1:10" x14ac:dyDescent="0.25">
      <c r="A342" t="s">
        <v>309</v>
      </c>
      <c r="B342" t="str">
        <f>ADDRESS(ROW('Bond 1'!$B$11),COLUMN('Bond 1'!$B$11),4)</f>
        <v>B11</v>
      </c>
      <c r="C342" t="str">
        <f>ADDRESS(ROW('Bond 1'!$D$11),COLUMN('Bond 1'!$D$11),4)</f>
        <v>D11</v>
      </c>
      <c r="D342" t="b">
        <f>IF(NOT(ISBLANK('Bond Input'!K$9)),IF('Bond 9'!B$11='Bond Input'!K$9,FALSE,TRUE))</f>
        <v>0</v>
      </c>
      <c r="E342" t="s">
        <v>607</v>
      </c>
      <c r="F342" t="str">
        <f>INDEX(Lists!I:I,MATCH(Validation!E342,Lists!G:G,0))</f>
        <v>Error</v>
      </c>
      <c r="G342" t="str">
        <f>INDEX(Lists!H:H,MATCH(Validation!E342,Lists!G:G,0))</f>
        <v>Pooled status previously reported. Undo and explain desired change in comments box.</v>
      </c>
      <c r="H342" s="25" t="str">
        <f t="shared" ca="1" si="96"/>
        <v/>
      </c>
      <c r="I342" s="25" t="str">
        <f t="shared" ca="1" si="97"/>
        <v/>
      </c>
      <c r="J342" s="26" t="str">
        <f t="shared" si="98"/>
        <v/>
      </c>
    </row>
    <row r="343" spans="1:10" x14ac:dyDescent="0.25">
      <c r="A343" t="s">
        <v>310</v>
      </c>
      <c r="B343" t="str">
        <f>ADDRESS(ROW('Bond 1'!$B$11),COLUMN('Bond 1'!$B$11),4)</f>
        <v>B11</v>
      </c>
      <c r="C343" t="str">
        <f>ADDRESS(ROW('Bond 1'!$D$11),COLUMN('Bond 1'!$D$11),4)</f>
        <v>D11</v>
      </c>
      <c r="D343" t="b">
        <f>IF(NOT(ISBLANK('Bond Input'!L$9)),IF('Bond 10'!B$11='Bond Input'!L$9,FALSE,TRUE))</f>
        <v>0</v>
      </c>
      <c r="E343" t="s">
        <v>607</v>
      </c>
      <c r="F343" t="str">
        <f>INDEX(Lists!I:I,MATCH(Validation!E343,Lists!G:G,0))</f>
        <v>Error</v>
      </c>
      <c r="G343" t="str">
        <f>INDEX(Lists!H:H,MATCH(Validation!E343,Lists!G:G,0))</f>
        <v>Pooled status previously reported. Undo and explain desired change in comments box.</v>
      </c>
      <c r="H343" s="25" t="str">
        <f t="shared" ca="1" si="96"/>
        <v/>
      </c>
      <c r="I343" s="25" t="str">
        <f t="shared" ca="1" si="97"/>
        <v/>
      </c>
      <c r="J343" s="26" t="str">
        <f t="shared" si="98"/>
        <v/>
      </c>
    </row>
    <row r="344" spans="1:10" x14ac:dyDescent="0.25">
      <c r="A344" t="s">
        <v>311</v>
      </c>
      <c r="B344" t="str">
        <f>ADDRESS(ROW('Bond 1'!$B$11),COLUMN('Bond 1'!$B$11),4)</f>
        <v>B11</v>
      </c>
      <c r="C344" t="str">
        <f>ADDRESS(ROW('Bond 1'!$D$11),COLUMN('Bond 1'!$D$11),4)</f>
        <v>D11</v>
      </c>
      <c r="D344" t="b">
        <f>IF(NOT(ISBLANK('Bond Input'!M$9)),IF('Bond 11'!B$11='Bond Input'!M$9,FALSE,TRUE))</f>
        <v>0</v>
      </c>
      <c r="E344" t="s">
        <v>607</v>
      </c>
      <c r="F344" t="str">
        <f>INDEX(Lists!I:I,MATCH(Validation!E344,Lists!G:G,0))</f>
        <v>Error</v>
      </c>
      <c r="G344" t="str">
        <f>INDEX(Lists!H:H,MATCH(Validation!E344,Lists!G:G,0))</f>
        <v>Pooled status previously reported. Undo and explain desired change in comments box.</v>
      </c>
      <c r="H344" s="25" t="str">
        <f t="shared" ca="1" si="96"/>
        <v/>
      </c>
      <c r="I344" s="25" t="str">
        <f t="shared" ca="1" si="97"/>
        <v/>
      </c>
      <c r="J344" s="26" t="str">
        <f t="shared" si="98"/>
        <v/>
      </c>
    </row>
    <row r="345" spans="1:10" x14ac:dyDescent="0.25">
      <c r="A345" t="s">
        <v>312</v>
      </c>
      <c r="B345" t="str">
        <f>ADDRESS(ROW('Bond 1'!$B$11),COLUMN('Bond 1'!$B$11),4)</f>
        <v>B11</v>
      </c>
      <c r="C345" t="str">
        <f>ADDRESS(ROW('Bond 1'!$D$11),COLUMN('Bond 1'!$D$11),4)</f>
        <v>D11</v>
      </c>
      <c r="D345" t="b">
        <f>IF(NOT(ISBLANK('Bond Input'!N$9)),IF('Bond 12'!B$11='Bond Input'!N$9,FALSE,TRUE))</f>
        <v>0</v>
      </c>
      <c r="E345" t="s">
        <v>607</v>
      </c>
      <c r="F345" t="str">
        <f>INDEX(Lists!I:I,MATCH(Validation!E345,Lists!G:G,0))</f>
        <v>Error</v>
      </c>
      <c r="G345" t="str">
        <f>INDEX(Lists!H:H,MATCH(Validation!E345,Lists!G:G,0))</f>
        <v>Pooled status previously reported. Undo and explain desired change in comments box.</v>
      </c>
      <c r="H345" s="25" t="str">
        <f t="shared" ca="1" si="96"/>
        <v/>
      </c>
      <c r="I345" s="25" t="str">
        <f t="shared" ca="1" si="97"/>
        <v/>
      </c>
      <c r="J345" s="26" t="str">
        <f t="shared" si="98"/>
        <v/>
      </c>
    </row>
    <row r="346" spans="1:10" x14ac:dyDescent="0.25">
      <c r="A346" t="s">
        <v>313</v>
      </c>
      <c r="B346" t="str">
        <f>ADDRESS(ROW('Bond 1'!$B$11),COLUMN('Bond 1'!$B$11),4)</f>
        <v>B11</v>
      </c>
      <c r="C346" t="str">
        <f>ADDRESS(ROW('Bond 1'!$D$11),COLUMN('Bond 1'!$D$11),4)</f>
        <v>D11</v>
      </c>
      <c r="D346" t="b">
        <f>IF(NOT(ISBLANK('Bond Input'!O$9)),IF('Bond 13'!B$11='Bond Input'!O$9,FALSE,TRUE))</f>
        <v>0</v>
      </c>
      <c r="E346" t="s">
        <v>607</v>
      </c>
      <c r="F346" t="str">
        <f>INDEX(Lists!I:I,MATCH(Validation!E346,Lists!G:G,0))</f>
        <v>Error</v>
      </c>
      <c r="G346" t="str">
        <f>INDEX(Lists!H:H,MATCH(Validation!E346,Lists!G:G,0))</f>
        <v>Pooled status previously reported. Undo and explain desired change in comments box.</v>
      </c>
      <c r="H346" s="25" t="str">
        <f t="shared" ca="1" si="96"/>
        <v/>
      </c>
      <c r="I346" s="25" t="str">
        <f t="shared" ca="1" si="97"/>
        <v/>
      </c>
      <c r="J346" s="26" t="str">
        <f t="shared" si="98"/>
        <v/>
      </c>
    </row>
    <row r="347" spans="1:10" x14ac:dyDescent="0.25">
      <c r="A347" t="s">
        <v>314</v>
      </c>
      <c r="B347" t="str">
        <f>ADDRESS(ROW('Bond 1'!$B$11),COLUMN('Bond 1'!$B$11),4)</f>
        <v>B11</v>
      </c>
      <c r="C347" t="str">
        <f>ADDRESS(ROW('Bond 1'!$D$11),COLUMN('Bond 1'!$D$11),4)</f>
        <v>D11</v>
      </c>
      <c r="D347" t="b">
        <f>IF(NOT(ISBLANK('Bond Input'!P$9)),IF('Bond 14'!B$11='Bond Input'!P$9,FALSE,TRUE))</f>
        <v>0</v>
      </c>
      <c r="E347" t="s">
        <v>607</v>
      </c>
      <c r="F347" t="str">
        <f>INDEX(Lists!I:I,MATCH(Validation!E347,Lists!G:G,0))</f>
        <v>Error</v>
      </c>
      <c r="G347" t="str">
        <f>INDEX(Lists!H:H,MATCH(Validation!E347,Lists!G:G,0))</f>
        <v>Pooled status previously reported. Undo and explain desired change in comments box.</v>
      </c>
      <c r="H347" s="25" t="str">
        <f t="shared" ca="1" si="96"/>
        <v/>
      </c>
      <c r="I347" s="25" t="str">
        <f t="shared" ca="1" si="97"/>
        <v/>
      </c>
      <c r="J347" s="26" t="str">
        <f t="shared" si="98"/>
        <v/>
      </c>
    </row>
    <row r="348" spans="1:10" x14ac:dyDescent="0.25">
      <c r="A348" t="s">
        <v>315</v>
      </c>
      <c r="B348" t="str">
        <f>ADDRESS(ROW('Bond 1'!$B$11),COLUMN('Bond 1'!$B$11),4)</f>
        <v>B11</v>
      </c>
      <c r="C348" t="str">
        <f>ADDRESS(ROW('Bond 1'!$D$11),COLUMN('Bond 1'!$D$11),4)</f>
        <v>D11</v>
      </c>
      <c r="D348" t="b">
        <f>IF(NOT(ISBLANK('Bond Input'!Q$9)),IF('Bond 15'!B$11='Bond Input'!Q$9,FALSE,TRUE))</f>
        <v>0</v>
      </c>
      <c r="E348" t="s">
        <v>607</v>
      </c>
      <c r="F348" t="str">
        <f>INDEX(Lists!I:I,MATCH(Validation!E348,Lists!G:G,0))</f>
        <v>Error</v>
      </c>
      <c r="G348" t="str">
        <f>INDEX(Lists!H:H,MATCH(Validation!E348,Lists!G:G,0))</f>
        <v>Pooled status previously reported. Undo and explain desired change in comments box.</v>
      </c>
      <c r="H348" s="25" t="str">
        <f t="shared" ca="1" si="96"/>
        <v/>
      </c>
      <c r="I348" s="25" t="str">
        <f t="shared" ca="1" si="97"/>
        <v/>
      </c>
      <c r="J348" s="26" t="str">
        <f t="shared" si="98"/>
        <v/>
      </c>
    </row>
    <row r="349" spans="1:10" x14ac:dyDescent="0.25">
      <c r="A349" t="s">
        <v>198</v>
      </c>
      <c r="B349" t="str">
        <f>ADDRESS(ROW('Bond 1'!$B$12),COLUMN('Bond 1'!$B$12),4)</f>
        <v>B12</v>
      </c>
      <c r="C349" t="str">
        <f>ADDRESS(ROW('Bond 1'!$D$12),COLUMN('Bond 1'!$D$12),4)</f>
        <v>D12</v>
      </c>
      <c r="D349" t="b" cm="1">
        <f t="array" aca="1" ref="D349" ca="1">IF(INDIRECT("'"&amp;A349&amp;"'!"&amp;B349)="",FALSE,ISERROR(DATE(INDIRECT("'"&amp;A349&amp;"'!"&amp;B349),,)))</f>
        <v>0</v>
      </c>
      <c r="E349" t="s">
        <v>498</v>
      </c>
      <c r="F349" t="str">
        <f>INDEX(Lists!I:I,MATCH(Validation!E349,Lists!G:G,0))</f>
        <v>Error</v>
      </c>
      <c r="G349" t="str">
        <f>INDEX(Lists!H:H,MATCH(Validation!E349,Lists!G:G,0))</f>
        <v>Enter a date only (MM/DD/YYYY). Do not enter text, spaces, or amounts.</v>
      </c>
      <c r="H349" s="25" t="str">
        <f t="shared" ref="H349:H363" ca="1" si="99">IFERROR(IF(OR(NOT(D349),F349&lt;&gt;"Error"),"",A349&amp;CELL("address",INDIRECT(B349))),"")</f>
        <v/>
      </c>
      <c r="I349" s="25" t="str">
        <f t="shared" ref="I349:I363" ca="1" si="100">IFERROR(IF(NOT(D349),"",A349&amp;CELL("address",INDIRECT(C349))),"")</f>
        <v/>
      </c>
      <c r="J349" s="26" t="str">
        <f t="shared" ref="J349:J363" ca="1" si="101">IFERROR(IF(NOT(D349),"",A349),"")</f>
        <v/>
      </c>
    </row>
    <row r="350" spans="1:10" x14ac:dyDescent="0.25">
      <c r="A350" t="s">
        <v>302</v>
      </c>
      <c r="B350" t="str">
        <f>ADDRESS(ROW('Bond 1'!$B$12),COLUMN('Bond 1'!$B$12),4)</f>
        <v>B12</v>
      </c>
      <c r="C350" t="str">
        <f>ADDRESS(ROW('Bond 1'!$D$12),COLUMN('Bond 1'!$D$12),4)</f>
        <v>D12</v>
      </c>
      <c r="D350" t="b" cm="1">
        <f t="array" aca="1" ref="D350" ca="1">IF(INDIRECT("'"&amp;A350&amp;"'!"&amp;B350)="",FALSE,ISERROR(DATE(INDIRECT("'"&amp;A350&amp;"'!"&amp;B350),,)))</f>
        <v>0</v>
      </c>
      <c r="E350" t="s">
        <v>498</v>
      </c>
      <c r="F350" t="str">
        <f>INDEX(Lists!I:I,MATCH(Validation!E350,Lists!G:G,0))</f>
        <v>Error</v>
      </c>
      <c r="G350" t="str">
        <f>INDEX(Lists!H:H,MATCH(Validation!E350,Lists!G:G,0))</f>
        <v>Enter a date only (MM/DD/YYYY). Do not enter text, spaces, or amounts.</v>
      </c>
      <c r="H350" s="25" t="str">
        <f t="shared" ca="1" si="99"/>
        <v/>
      </c>
      <c r="I350" s="25" t="str">
        <f t="shared" ca="1" si="100"/>
        <v/>
      </c>
      <c r="J350" s="26" t="str">
        <f t="shared" ca="1" si="101"/>
        <v/>
      </c>
    </row>
    <row r="351" spans="1:10" x14ac:dyDescent="0.25">
      <c r="A351" t="s">
        <v>303</v>
      </c>
      <c r="B351" t="str">
        <f>ADDRESS(ROW('Bond 1'!$B$12),COLUMN('Bond 1'!$B$12),4)</f>
        <v>B12</v>
      </c>
      <c r="C351" t="str">
        <f>ADDRESS(ROW('Bond 1'!$D$12),COLUMN('Bond 1'!$D$12),4)</f>
        <v>D12</v>
      </c>
      <c r="D351" t="b" cm="1">
        <f t="array" aca="1" ref="D351" ca="1">IF(INDIRECT("'"&amp;A351&amp;"'!"&amp;B351)="",FALSE,ISERROR(DATE(INDIRECT("'"&amp;A351&amp;"'!"&amp;B351),,)))</f>
        <v>0</v>
      </c>
      <c r="E351" t="s">
        <v>498</v>
      </c>
      <c r="F351" t="str">
        <f>INDEX(Lists!I:I,MATCH(Validation!E351,Lists!G:G,0))</f>
        <v>Error</v>
      </c>
      <c r="G351" t="str">
        <f>INDEX(Lists!H:H,MATCH(Validation!E351,Lists!G:G,0))</f>
        <v>Enter a date only (MM/DD/YYYY). Do not enter text, spaces, or amounts.</v>
      </c>
      <c r="H351" s="25" t="str">
        <f t="shared" ca="1" si="99"/>
        <v/>
      </c>
      <c r="I351" s="25" t="str">
        <f t="shared" ca="1" si="100"/>
        <v/>
      </c>
      <c r="J351" s="26" t="str">
        <f t="shared" ca="1" si="101"/>
        <v/>
      </c>
    </row>
    <row r="352" spans="1:10" x14ac:dyDescent="0.25">
      <c r="A352" t="s">
        <v>304</v>
      </c>
      <c r="B352" t="str">
        <f>ADDRESS(ROW('Bond 1'!$B$12),COLUMN('Bond 1'!$B$12),4)</f>
        <v>B12</v>
      </c>
      <c r="C352" t="str">
        <f>ADDRESS(ROW('Bond 1'!$D$12),COLUMN('Bond 1'!$D$12),4)</f>
        <v>D12</v>
      </c>
      <c r="D352" t="b" cm="1">
        <f t="array" aca="1" ref="D352" ca="1">IF(INDIRECT("'"&amp;A352&amp;"'!"&amp;B352)="",FALSE,ISERROR(DATE(INDIRECT("'"&amp;A352&amp;"'!"&amp;B352),,)))</f>
        <v>0</v>
      </c>
      <c r="E352" t="s">
        <v>498</v>
      </c>
      <c r="F352" t="str">
        <f>INDEX(Lists!I:I,MATCH(Validation!E352,Lists!G:G,0))</f>
        <v>Error</v>
      </c>
      <c r="G352" t="str">
        <f>INDEX(Lists!H:H,MATCH(Validation!E352,Lists!G:G,0))</f>
        <v>Enter a date only (MM/DD/YYYY). Do not enter text, spaces, or amounts.</v>
      </c>
      <c r="H352" s="25" t="str">
        <f t="shared" ca="1" si="99"/>
        <v/>
      </c>
      <c r="I352" s="25" t="str">
        <f t="shared" ca="1" si="100"/>
        <v/>
      </c>
      <c r="J352" s="26" t="str">
        <f t="shared" ca="1" si="101"/>
        <v/>
      </c>
    </row>
    <row r="353" spans="1:10" x14ac:dyDescent="0.25">
      <c r="A353" t="s">
        <v>305</v>
      </c>
      <c r="B353" t="str">
        <f>ADDRESS(ROW('Bond 1'!$B$12),COLUMN('Bond 1'!$B$12),4)</f>
        <v>B12</v>
      </c>
      <c r="C353" t="str">
        <f>ADDRESS(ROW('Bond 1'!$D$12),COLUMN('Bond 1'!$D$12),4)</f>
        <v>D12</v>
      </c>
      <c r="D353" t="b" cm="1">
        <f t="array" aca="1" ref="D353" ca="1">IF(INDIRECT("'"&amp;A353&amp;"'!"&amp;B353)="",FALSE,ISERROR(DATE(INDIRECT("'"&amp;A353&amp;"'!"&amp;B353),,)))</f>
        <v>0</v>
      </c>
      <c r="E353" t="s">
        <v>498</v>
      </c>
      <c r="F353" t="str">
        <f>INDEX(Lists!I:I,MATCH(Validation!E353,Lists!G:G,0))</f>
        <v>Error</v>
      </c>
      <c r="G353" t="str">
        <f>INDEX(Lists!H:H,MATCH(Validation!E353,Lists!G:G,0))</f>
        <v>Enter a date only (MM/DD/YYYY). Do not enter text, spaces, or amounts.</v>
      </c>
      <c r="H353" s="25" t="str">
        <f t="shared" ca="1" si="99"/>
        <v/>
      </c>
      <c r="I353" s="25" t="str">
        <f t="shared" ca="1" si="100"/>
        <v/>
      </c>
      <c r="J353" s="26" t="str">
        <f t="shared" ca="1" si="101"/>
        <v/>
      </c>
    </row>
    <row r="354" spans="1:10" x14ac:dyDescent="0.25">
      <c r="A354" t="s">
        <v>306</v>
      </c>
      <c r="B354" t="str">
        <f>ADDRESS(ROW('Bond 1'!$B$12),COLUMN('Bond 1'!$B$12),4)</f>
        <v>B12</v>
      </c>
      <c r="C354" t="str">
        <f>ADDRESS(ROW('Bond 1'!$D$12),COLUMN('Bond 1'!$D$12),4)</f>
        <v>D12</v>
      </c>
      <c r="D354" t="b" cm="1">
        <f t="array" aca="1" ref="D354" ca="1">IF(INDIRECT("'"&amp;A354&amp;"'!"&amp;B354)="",FALSE,ISERROR(DATE(INDIRECT("'"&amp;A354&amp;"'!"&amp;B354),,)))</f>
        <v>0</v>
      </c>
      <c r="E354" t="s">
        <v>498</v>
      </c>
      <c r="F354" t="str">
        <f>INDEX(Lists!I:I,MATCH(Validation!E354,Lists!G:G,0))</f>
        <v>Error</v>
      </c>
      <c r="G354" t="str">
        <f>INDEX(Lists!H:H,MATCH(Validation!E354,Lists!G:G,0))</f>
        <v>Enter a date only (MM/DD/YYYY). Do not enter text, spaces, or amounts.</v>
      </c>
      <c r="H354" s="25" t="str">
        <f t="shared" ca="1" si="99"/>
        <v/>
      </c>
      <c r="I354" s="25" t="str">
        <f t="shared" ca="1" si="100"/>
        <v/>
      </c>
      <c r="J354" s="26" t="str">
        <f t="shared" ca="1" si="101"/>
        <v/>
      </c>
    </row>
    <row r="355" spans="1:10" x14ac:dyDescent="0.25">
      <c r="A355" t="s">
        <v>307</v>
      </c>
      <c r="B355" t="str">
        <f>ADDRESS(ROW('Bond 1'!$B$12),COLUMN('Bond 1'!$B$12),4)</f>
        <v>B12</v>
      </c>
      <c r="C355" t="str">
        <f>ADDRESS(ROW('Bond 1'!$D$12),COLUMN('Bond 1'!$D$12),4)</f>
        <v>D12</v>
      </c>
      <c r="D355" t="b" cm="1">
        <f t="array" aca="1" ref="D355" ca="1">IF(INDIRECT("'"&amp;A355&amp;"'!"&amp;B355)="",FALSE,ISERROR(DATE(INDIRECT("'"&amp;A355&amp;"'!"&amp;B355),,)))</f>
        <v>0</v>
      </c>
      <c r="E355" t="s">
        <v>498</v>
      </c>
      <c r="F355" t="str">
        <f>INDEX(Lists!I:I,MATCH(Validation!E355,Lists!G:G,0))</f>
        <v>Error</v>
      </c>
      <c r="G355" t="str">
        <f>INDEX(Lists!H:H,MATCH(Validation!E355,Lists!G:G,0))</f>
        <v>Enter a date only (MM/DD/YYYY). Do not enter text, spaces, or amounts.</v>
      </c>
      <c r="H355" s="25" t="str">
        <f t="shared" ca="1" si="99"/>
        <v/>
      </c>
      <c r="I355" s="25" t="str">
        <f t="shared" ca="1" si="100"/>
        <v/>
      </c>
      <c r="J355" s="26" t="str">
        <f t="shared" ca="1" si="101"/>
        <v/>
      </c>
    </row>
    <row r="356" spans="1:10" x14ac:dyDescent="0.25">
      <c r="A356" t="s">
        <v>308</v>
      </c>
      <c r="B356" t="str">
        <f>ADDRESS(ROW('Bond 1'!$B$12),COLUMN('Bond 1'!$B$12),4)</f>
        <v>B12</v>
      </c>
      <c r="C356" t="str">
        <f>ADDRESS(ROW('Bond 1'!$D$12),COLUMN('Bond 1'!$D$12),4)</f>
        <v>D12</v>
      </c>
      <c r="D356" t="b" cm="1">
        <f t="array" aca="1" ref="D356" ca="1">IF(INDIRECT("'"&amp;A356&amp;"'!"&amp;B356)="",FALSE,ISERROR(DATE(INDIRECT("'"&amp;A356&amp;"'!"&amp;B356),,)))</f>
        <v>0</v>
      </c>
      <c r="E356" t="s">
        <v>498</v>
      </c>
      <c r="F356" t="str">
        <f>INDEX(Lists!I:I,MATCH(Validation!E356,Lists!G:G,0))</f>
        <v>Error</v>
      </c>
      <c r="G356" t="str">
        <f>INDEX(Lists!H:H,MATCH(Validation!E356,Lists!G:G,0))</f>
        <v>Enter a date only (MM/DD/YYYY). Do not enter text, spaces, or amounts.</v>
      </c>
      <c r="H356" s="25" t="str">
        <f t="shared" ca="1" si="99"/>
        <v/>
      </c>
      <c r="I356" s="25" t="str">
        <f t="shared" ca="1" si="100"/>
        <v/>
      </c>
      <c r="J356" s="26" t="str">
        <f t="shared" ca="1" si="101"/>
        <v/>
      </c>
    </row>
    <row r="357" spans="1:10" x14ac:dyDescent="0.25">
      <c r="A357" t="s">
        <v>309</v>
      </c>
      <c r="B357" t="str">
        <f>ADDRESS(ROW('Bond 1'!$B$12),COLUMN('Bond 1'!$B$12),4)</f>
        <v>B12</v>
      </c>
      <c r="C357" t="str">
        <f>ADDRESS(ROW('Bond 1'!$D$12),COLUMN('Bond 1'!$D$12),4)</f>
        <v>D12</v>
      </c>
      <c r="D357" t="b" cm="1">
        <f t="array" aca="1" ref="D357" ca="1">IF(INDIRECT("'"&amp;A357&amp;"'!"&amp;B357)="",FALSE,ISERROR(DATE(INDIRECT("'"&amp;A357&amp;"'!"&amp;B357),,)))</f>
        <v>0</v>
      </c>
      <c r="E357" t="s">
        <v>498</v>
      </c>
      <c r="F357" t="str">
        <f>INDEX(Lists!I:I,MATCH(Validation!E357,Lists!G:G,0))</f>
        <v>Error</v>
      </c>
      <c r="G357" t="str">
        <f>INDEX(Lists!H:H,MATCH(Validation!E357,Lists!G:G,0))</f>
        <v>Enter a date only (MM/DD/YYYY). Do not enter text, spaces, or amounts.</v>
      </c>
      <c r="H357" s="25" t="str">
        <f t="shared" ca="1" si="99"/>
        <v/>
      </c>
      <c r="I357" s="25" t="str">
        <f t="shared" ca="1" si="100"/>
        <v/>
      </c>
      <c r="J357" s="26" t="str">
        <f t="shared" ca="1" si="101"/>
        <v/>
      </c>
    </row>
    <row r="358" spans="1:10" x14ac:dyDescent="0.25">
      <c r="A358" t="s">
        <v>310</v>
      </c>
      <c r="B358" t="str">
        <f>ADDRESS(ROW('Bond 1'!$B$12),COLUMN('Bond 1'!$B$12),4)</f>
        <v>B12</v>
      </c>
      <c r="C358" t="str">
        <f>ADDRESS(ROW('Bond 1'!$D$12),COLUMN('Bond 1'!$D$12),4)</f>
        <v>D12</v>
      </c>
      <c r="D358" t="b" cm="1">
        <f t="array" aca="1" ref="D358" ca="1">IF(INDIRECT("'"&amp;A358&amp;"'!"&amp;B358)="",FALSE,ISERROR(DATE(INDIRECT("'"&amp;A358&amp;"'!"&amp;B358),,)))</f>
        <v>0</v>
      </c>
      <c r="E358" t="s">
        <v>498</v>
      </c>
      <c r="F358" t="str">
        <f>INDEX(Lists!I:I,MATCH(Validation!E358,Lists!G:G,0))</f>
        <v>Error</v>
      </c>
      <c r="G358" t="str">
        <f>INDEX(Lists!H:H,MATCH(Validation!E358,Lists!G:G,0))</f>
        <v>Enter a date only (MM/DD/YYYY). Do not enter text, spaces, or amounts.</v>
      </c>
      <c r="H358" s="25" t="str">
        <f t="shared" ca="1" si="99"/>
        <v/>
      </c>
      <c r="I358" s="25" t="str">
        <f t="shared" ca="1" si="100"/>
        <v/>
      </c>
      <c r="J358" s="26" t="str">
        <f t="shared" ca="1" si="101"/>
        <v/>
      </c>
    </row>
    <row r="359" spans="1:10" x14ac:dyDescent="0.25">
      <c r="A359" t="s">
        <v>311</v>
      </c>
      <c r="B359" t="str">
        <f>ADDRESS(ROW('Bond 1'!$B$12),COLUMN('Bond 1'!$B$12),4)</f>
        <v>B12</v>
      </c>
      <c r="C359" t="str">
        <f>ADDRESS(ROW('Bond 1'!$D$12),COLUMN('Bond 1'!$D$12),4)</f>
        <v>D12</v>
      </c>
      <c r="D359" t="b" cm="1">
        <f t="array" aca="1" ref="D359" ca="1">IF(INDIRECT("'"&amp;A359&amp;"'!"&amp;B359)="",FALSE,ISERROR(DATE(INDIRECT("'"&amp;A359&amp;"'!"&amp;B359),,)))</f>
        <v>0</v>
      </c>
      <c r="E359" t="s">
        <v>498</v>
      </c>
      <c r="F359" t="str">
        <f>INDEX(Lists!I:I,MATCH(Validation!E359,Lists!G:G,0))</f>
        <v>Error</v>
      </c>
      <c r="G359" t="str">
        <f>INDEX(Lists!H:H,MATCH(Validation!E359,Lists!G:G,0))</f>
        <v>Enter a date only (MM/DD/YYYY). Do not enter text, spaces, or amounts.</v>
      </c>
      <c r="H359" s="25" t="str">
        <f t="shared" ca="1" si="99"/>
        <v/>
      </c>
      <c r="I359" s="25" t="str">
        <f t="shared" ca="1" si="100"/>
        <v/>
      </c>
      <c r="J359" s="26" t="str">
        <f t="shared" ca="1" si="101"/>
        <v/>
      </c>
    </row>
    <row r="360" spans="1:10" x14ac:dyDescent="0.25">
      <c r="A360" t="s">
        <v>312</v>
      </c>
      <c r="B360" t="str">
        <f>ADDRESS(ROW('Bond 1'!$B$12),COLUMN('Bond 1'!$B$12),4)</f>
        <v>B12</v>
      </c>
      <c r="C360" t="str">
        <f>ADDRESS(ROW('Bond 1'!$D$12),COLUMN('Bond 1'!$D$12),4)</f>
        <v>D12</v>
      </c>
      <c r="D360" t="b" cm="1">
        <f t="array" aca="1" ref="D360" ca="1">IF(INDIRECT("'"&amp;A360&amp;"'!"&amp;B360)="",FALSE,ISERROR(DATE(INDIRECT("'"&amp;A360&amp;"'!"&amp;B360),,)))</f>
        <v>0</v>
      </c>
      <c r="E360" t="s">
        <v>498</v>
      </c>
      <c r="F360" t="str">
        <f>INDEX(Lists!I:I,MATCH(Validation!E360,Lists!G:G,0))</f>
        <v>Error</v>
      </c>
      <c r="G360" t="str">
        <f>INDEX(Lists!H:H,MATCH(Validation!E360,Lists!G:G,0))</f>
        <v>Enter a date only (MM/DD/YYYY). Do not enter text, spaces, or amounts.</v>
      </c>
      <c r="H360" s="25" t="str">
        <f t="shared" ca="1" si="99"/>
        <v/>
      </c>
      <c r="I360" s="25" t="str">
        <f t="shared" ca="1" si="100"/>
        <v/>
      </c>
      <c r="J360" s="26" t="str">
        <f t="shared" ca="1" si="101"/>
        <v/>
      </c>
    </row>
    <row r="361" spans="1:10" x14ac:dyDescent="0.25">
      <c r="A361" t="s">
        <v>313</v>
      </c>
      <c r="B361" t="str">
        <f>ADDRESS(ROW('Bond 1'!$B$12),COLUMN('Bond 1'!$B$12),4)</f>
        <v>B12</v>
      </c>
      <c r="C361" t="str">
        <f>ADDRESS(ROW('Bond 1'!$D$12),COLUMN('Bond 1'!$D$12),4)</f>
        <v>D12</v>
      </c>
      <c r="D361" t="b" cm="1">
        <f t="array" aca="1" ref="D361" ca="1">IF(INDIRECT("'"&amp;A361&amp;"'!"&amp;B361)="",FALSE,ISERROR(DATE(INDIRECT("'"&amp;A361&amp;"'!"&amp;B361),,)))</f>
        <v>0</v>
      </c>
      <c r="E361" t="s">
        <v>498</v>
      </c>
      <c r="F361" t="str">
        <f>INDEX(Lists!I:I,MATCH(Validation!E361,Lists!G:G,0))</f>
        <v>Error</v>
      </c>
      <c r="G361" t="str">
        <f>INDEX(Lists!H:H,MATCH(Validation!E361,Lists!G:G,0))</f>
        <v>Enter a date only (MM/DD/YYYY). Do not enter text, spaces, or amounts.</v>
      </c>
      <c r="H361" s="25" t="str">
        <f t="shared" ca="1" si="99"/>
        <v/>
      </c>
      <c r="I361" s="25" t="str">
        <f t="shared" ca="1" si="100"/>
        <v/>
      </c>
      <c r="J361" s="26" t="str">
        <f t="shared" ca="1" si="101"/>
        <v/>
      </c>
    </row>
    <row r="362" spans="1:10" x14ac:dyDescent="0.25">
      <c r="A362" t="s">
        <v>314</v>
      </c>
      <c r="B362" t="str">
        <f>ADDRESS(ROW('Bond 1'!$B$12),COLUMN('Bond 1'!$B$12),4)</f>
        <v>B12</v>
      </c>
      <c r="C362" t="str">
        <f>ADDRESS(ROW('Bond 1'!$D$12),COLUMN('Bond 1'!$D$12),4)</f>
        <v>D12</v>
      </c>
      <c r="D362" t="b" cm="1">
        <f t="array" aca="1" ref="D362" ca="1">IF(INDIRECT("'"&amp;A362&amp;"'!"&amp;B362)="",FALSE,ISERROR(DATE(INDIRECT("'"&amp;A362&amp;"'!"&amp;B362),,)))</f>
        <v>0</v>
      </c>
      <c r="E362" t="s">
        <v>498</v>
      </c>
      <c r="F362" t="str">
        <f>INDEX(Lists!I:I,MATCH(Validation!E362,Lists!G:G,0))</f>
        <v>Error</v>
      </c>
      <c r="G362" t="str">
        <f>INDEX(Lists!H:H,MATCH(Validation!E362,Lists!G:G,0))</f>
        <v>Enter a date only (MM/DD/YYYY). Do not enter text, spaces, or amounts.</v>
      </c>
      <c r="H362" s="25" t="str">
        <f t="shared" ca="1" si="99"/>
        <v/>
      </c>
      <c r="I362" s="25" t="str">
        <f t="shared" ca="1" si="100"/>
        <v/>
      </c>
      <c r="J362" s="26" t="str">
        <f t="shared" ca="1" si="101"/>
        <v/>
      </c>
    </row>
    <row r="363" spans="1:10" x14ac:dyDescent="0.25">
      <c r="A363" t="s">
        <v>315</v>
      </c>
      <c r="B363" t="str">
        <f>ADDRESS(ROW('Bond 1'!$B$12),COLUMN('Bond 1'!$B$12),4)</f>
        <v>B12</v>
      </c>
      <c r="C363" t="str">
        <f>ADDRESS(ROW('Bond 1'!$D$12),COLUMN('Bond 1'!$D$12),4)</f>
        <v>D12</v>
      </c>
      <c r="D363" t="b" cm="1">
        <f t="array" aca="1" ref="D363" ca="1">IF(INDIRECT("'"&amp;A363&amp;"'!"&amp;B363)="",FALSE,ISERROR(DATE(INDIRECT("'"&amp;A363&amp;"'!"&amp;B363),,)))</f>
        <v>0</v>
      </c>
      <c r="E363" t="s">
        <v>498</v>
      </c>
      <c r="F363" t="str">
        <f>INDEX(Lists!I:I,MATCH(Validation!E363,Lists!G:G,0))</f>
        <v>Error</v>
      </c>
      <c r="G363" t="str">
        <f>INDEX(Lists!H:H,MATCH(Validation!E363,Lists!G:G,0))</f>
        <v>Enter a date only (MM/DD/YYYY). Do not enter text, spaces, or amounts.</v>
      </c>
      <c r="H363" s="25" t="str">
        <f t="shared" ca="1" si="99"/>
        <v/>
      </c>
      <c r="I363" s="25" t="str">
        <f t="shared" ca="1" si="100"/>
        <v/>
      </c>
      <c r="J363" s="26" t="str">
        <f t="shared" ca="1" si="101"/>
        <v/>
      </c>
    </row>
    <row r="364" spans="1:10" x14ac:dyDescent="0.25">
      <c r="A364" t="s">
        <v>198</v>
      </c>
      <c r="B364" t="str">
        <f>ADDRESS(ROW('Bond 1'!$B$12),COLUMN('Bond 1'!$B$12),4)</f>
        <v>B12</v>
      </c>
      <c r="C364" t="str">
        <f>ADDRESS(ROW('Bond 1'!$D$12),COLUMN('Bond 1'!$D$12),4)</f>
        <v>D12</v>
      </c>
      <c r="D364" t="b">
        <f>IF('Bond 1'!B$12="",FALSE,IF('Bond 1'!B$12&gt;DATE(Year_DestinationYearID,12,31),TRUE,FALSE))</f>
        <v>0</v>
      </c>
      <c r="E364" t="s">
        <v>608</v>
      </c>
      <c r="F364" t="str">
        <f>INDEX(Lists!I:I,MATCH(Validation!E364,Lists!G:G,0))</f>
        <v>Error</v>
      </c>
      <c r="G364" t="str">
        <f>INDEX(Lists!H:H,MATCH(Validation!E364,Lists!G:G,0))</f>
        <v>Issue date must be on or before December 31, 2024.</v>
      </c>
      <c r="H364" s="25" t="str">
        <f t="shared" ref="H364:H378" ca="1" si="102">IFERROR(IF(OR(NOT(D364),F364&lt;&gt;"Error"),"",A364&amp;CELL("address",INDIRECT(B364))),"")</f>
        <v/>
      </c>
      <c r="I364" s="25" t="str">
        <f t="shared" ref="I364:I378" ca="1" si="103">IFERROR(IF(NOT(D364),"",A364&amp;CELL("address",INDIRECT(C364))),"")</f>
        <v/>
      </c>
      <c r="J364" s="26" t="str">
        <f t="shared" ref="J364:J378" si="104">IFERROR(IF(NOT(D364),"",A364),"")</f>
        <v/>
      </c>
    </row>
    <row r="365" spans="1:10" x14ac:dyDescent="0.25">
      <c r="A365" t="s">
        <v>302</v>
      </c>
      <c r="B365" t="str">
        <f>ADDRESS(ROW('Bond 1'!$B$12),COLUMN('Bond 1'!$B$12),4)</f>
        <v>B12</v>
      </c>
      <c r="C365" t="str">
        <f>ADDRESS(ROW('Bond 1'!$D$12),COLUMN('Bond 1'!$D$12),4)</f>
        <v>D12</v>
      </c>
      <c r="D365" t="b">
        <f>IF('Bond 2'!B$12="",FALSE,IF('Bond 2'!B$12&gt;DATE(Year_DestinationYearID,12,31),TRUE,FALSE))</f>
        <v>0</v>
      </c>
      <c r="E365" t="s">
        <v>608</v>
      </c>
      <c r="F365" t="str">
        <f>INDEX(Lists!I:I,MATCH(Validation!E365,Lists!G:G,0))</f>
        <v>Error</v>
      </c>
      <c r="G365" t="str">
        <f>INDEX(Lists!H:H,MATCH(Validation!E365,Lists!G:G,0))</f>
        <v>Issue date must be on or before December 31, 2024.</v>
      </c>
      <c r="H365" s="25" t="str">
        <f t="shared" ca="1" si="102"/>
        <v/>
      </c>
      <c r="I365" s="25" t="str">
        <f t="shared" ca="1" si="103"/>
        <v/>
      </c>
      <c r="J365" s="26" t="str">
        <f t="shared" si="104"/>
        <v/>
      </c>
    </row>
    <row r="366" spans="1:10" x14ac:dyDescent="0.25">
      <c r="A366" t="s">
        <v>303</v>
      </c>
      <c r="B366" t="str">
        <f>ADDRESS(ROW('Bond 1'!$B$12),COLUMN('Bond 1'!$B$12),4)</f>
        <v>B12</v>
      </c>
      <c r="C366" t="str">
        <f>ADDRESS(ROW('Bond 1'!$D$12),COLUMN('Bond 1'!$D$12),4)</f>
        <v>D12</v>
      </c>
      <c r="D366" t="b">
        <f>IF('Bond 3'!B$12="",FALSE,IF('Bond 3'!B$12&gt;DATE(Year_DestinationYearID,12,31),TRUE,FALSE))</f>
        <v>0</v>
      </c>
      <c r="E366" t="s">
        <v>608</v>
      </c>
      <c r="F366" t="str">
        <f>INDEX(Lists!I:I,MATCH(Validation!E366,Lists!G:G,0))</f>
        <v>Error</v>
      </c>
      <c r="G366" t="str">
        <f>INDEX(Lists!H:H,MATCH(Validation!E366,Lists!G:G,0))</f>
        <v>Issue date must be on or before December 31, 2024.</v>
      </c>
      <c r="H366" s="25" t="str">
        <f t="shared" ca="1" si="102"/>
        <v/>
      </c>
      <c r="I366" s="25" t="str">
        <f t="shared" ca="1" si="103"/>
        <v/>
      </c>
      <c r="J366" s="26" t="str">
        <f t="shared" si="104"/>
        <v/>
      </c>
    </row>
    <row r="367" spans="1:10" x14ac:dyDescent="0.25">
      <c r="A367" t="s">
        <v>304</v>
      </c>
      <c r="B367" t="str">
        <f>ADDRESS(ROW('Bond 1'!$B$12),COLUMN('Bond 1'!$B$12),4)</f>
        <v>B12</v>
      </c>
      <c r="C367" t="str">
        <f>ADDRESS(ROW('Bond 1'!$D$12),COLUMN('Bond 1'!$D$12),4)</f>
        <v>D12</v>
      </c>
      <c r="D367" t="b">
        <f>IF('Bond 4'!B$12="",FALSE,IF('Bond 4'!B$12&gt;DATE(Year_DestinationYearID,12,31),TRUE,FALSE))</f>
        <v>0</v>
      </c>
      <c r="E367" t="s">
        <v>608</v>
      </c>
      <c r="F367" t="str">
        <f>INDEX(Lists!I:I,MATCH(Validation!E367,Lists!G:G,0))</f>
        <v>Error</v>
      </c>
      <c r="G367" t="str">
        <f>INDEX(Lists!H:H,MATCH(Validation!E367,Lists!G:G,0))</f>
        <v>Issue date must be on or before December 31, 2024.</v>
      </c>
      <c r="H367" s="25" t="str">
        <f t="shared" ca="1" si="102"/>
        <v/>
      </c>
      <c r="I367" s="25" t="str">
        <f t="shared" ca="1" si="103"/>
        <v/>
      </c>
      <c r="J367" s="26" t="str">
        <f t="shared" si="104"/>
        <v/>
      </c>
    </row>
    <row r="368" spans="1:10" x14ac:dyDescent="0.25">
      <c r="A368" t="s">
        <v>305</v>
      </c>
      <c r="B368" t="str">
        <f>ADDRESS(ROW('Bond 1'!$B$12),COLUMN('Bond 1'!$B$12),4)</f>
        <v>B12</v>
      </c>
      <c r="C368" t="str">
        <f>ADDRESS(ROW('Bond 1'!$D$12),COLUMN('Bond 1'!$D$12),4)</f>
        <v>D12</v>
      </c>
      <c r="D368" t="b">
        <f>IF('Bond 5'!B$12="",FALSE,IF('Bond 5'!B$12&gt;DATE(Year_DestinationYearID,12,31),TRUE,FALSE))</f>
        <v>0</v>
      </c>
      <c r="E368" t="s">
        <v>608</v>
      </c>
      <c r="F368" t="str">
        <f>INDEX(Lists!I:I,MATCH(Validation!E368,Lists!G:G,0))</f>
        <v>Error</v>
      </c>
      <c r="G368" t="str">
        <f>INDEX(Lists!H:H,MATCH(Validation!E368,Lists!G:G,0))</f>
        <v>Issue date must be on or before December 31, 2024.</v>
      </c>
      <c r="H368" s="25" t="str">
        <f t="shared" ca="1" si="102"/>
        <v/>
      </c>
      <c r="I368" s="25" t="str">
        <f t="shared" ca="1" si="103"/>
        <v/>
      </c>
      <c r="J368" s="26" t="str">
        <f t="shared" si="104"/>
        <v/>
      </c>
    </row>
    <row r="369" spans="1:10" x14ac:dyDescent="0.25">
      <c r="A369" t="s">
        <v>306</v>
      </c>
      <c r="B369" t="str">
        <f>ADDRESS(ROW('Bond 1'!$B$12),COLUMN('Bond 1'!$B$12),4)</f>
        <v>B12</v>
      </c>
      <c r="C369" t="str">
        <f>ADDRESS(ROW('Bond 1'!$D$12),COLUMN('Bond 1'!$D$12),4)</f>
        <v>D12</v>
      </c>
      <c r="D369" t="b">
        <f>IF('Bond 6'!B$12="",FALSE,IF('Bond 6'!B$12&gt;DATE(Year_DestinationYearID,12,31),TRUE,FALSE))</f>
        <v>0</v>
      </c>
      <c r="E369" t="s">
        <v>608</v>
      </c>
      <c r="F369" t="str">
        <f>INDEX(Lists!I:I,MATCH(Validation!E369,Lists!G:G,0))</f>
        <v>Error</v>
      </c>
      <c r="G369" t="str">
        <f>INDEX(Lists!H:H,MATCH(Validation!E369,Lists!G:G,0))</f>
        <v>Issue date must be on or before December 31, 2024.</v>
      </c>
      <c r="H369" s="25" t="str">
        <f t="shared" ca="1" si="102"/>
        <v/>
      </c>
      <c r="I369" s="25" t="str">
        <f t="shared" ca="1" si="103"/>
        <v/>
      </c>
      <c r="J369" s="26" t="str">
        <f t="shared" si="104"/>
        <v/>
      </c>
    </row>
    <row r="370" spans="1:10" x14ac:dyDescent="0.25">
      <c r="A370" t="s">
        <v>307</v>
      </c>
      <c r="B370" t="str">
        <f>ADDRESS(ROW('Bond 1'!$B$12),COLUMN('Bond 1'!$B$12),4)</f>
        <v>B12</v>
      </c>
      <c r="C370" t="str">
        <f>ADDRESS(ROW('Bond 1'!$D$12),COLUMN('Bond 1'!$D$12),4)</f>
        <v>D12</v>
      </c>
      <c r="D370" t="b">
        <f>IF('Bond 7'!B$12="",FALSE,IF('Bond 7'!B$12&gt;DATE(Year_DestinationYearID,12,31),TRUE,FALSE))</f>
        <v>0</v>
      </c>
      <c r="E370" t="s">
        <v>608</v>
      </c>
      <c r="F370" t="str">
        <f>INDEX(Lists!I:I,MATCH(Validation!E370,Lists!G:G,0))</f>
        <v>Error</v>
      </c>
      <c r="G370" t="str">
        <f>INDEX(Lists!H:H,MATCH(Validation!E370,Lists!G:G,0))</f>
        <v>Issue date must be on or before December 31, 2024.</v>
      </c>
      <c r="H370" s="25" t="str">
        <f t="shared" ca="1" si="102"/>
        <v/>
      </c>
      <c r="I370" s="25" t="str">
        <f t="shared" ca="1" si="103"/>
        <v/>
      </c>
      <c r="J370" s="26" t="str">
        <f t="shared" si="104"/>
        <v/>
      </c>
    </row>
    <row r="371" spans="1:10" x14ac:dyDescent="0.25">
      <c r="A371" t="s">
        <v>308</v>
      </c>
      <c r="B371" t="str">
        <f>ADDRESS(ROW('Bond 1'!$B$12),COLUMN('Bond 1'!$B$12),4)</f>
        <v>B12</v>
      </c>
      <c r="C371" t="str">
        <f>ADDRESS(ROW('Bond 1'!$D$12),COLUMN('Bond 1'!$D$12),4)</f>
        <v>D12</v>
      </c>
      <c r="D371" t="b">
        <f>IF('Bond 8'!B$12="",FALSE,IF('Bond 8'!B$12&gt;DATE(Year_DestinationYearID,12,31),TRUE,FALSE))</f>
        <v>0</v>
      </c>
      <c r="E371" t="s">
        <v>608</v>
      </c>
      <c r="F371" t="str">
        <f>INDEX(Lists!I:I,MATCH(Validation!E371,Lists!G:G,0))</f>
        <v>Error</v>
      </c>
      <c r="G371" t="str">
        <f>INDEX(Lists!H:H,MATCH(Validation!E371,Lists!G:G,0))</f>
        <v>Issue date must be on or before December 31, 2024.</v>
      </c>
      <c r="H371" s="25" t="str">
        <f t="shared" ca="1" si="102"/>
        <v/>
      </c>
      <c r="I371" s="25" t="str">
        <f t="shared" ca="1" si="103"/>
        <v/>
      </c>
      <c r="J371" s="26" t="str">
        <f t="shared" si="104"/>
        <v/>
      </c>
    </row>
    <row r="372" spans="1:10" x14ac:dyDescent="0.25">
      <c r="A372" t="s">
        <v>309</v>
      </c>
      <c r="B372" t="str">
        <f>ADDRESS(ROW('Bond 1'!$B$12),COLUMN('Bond 1'!$B$12),4)</f>
        <v>B12</v>
      </c>
      <c r="C372" t="str">
        <f>ADDRESS(ROW('Bond 1'!$D$12),COLUMN('Bond 1'!$D$12),4)</f>
        <v>D12</v>
      </c>
      <c r="D372" t="b">
        <f>IF('Bond 9'!B$12="",FALSE,IF('Bond 9'!B$12&gt;DATE(Year_DestinationYearID,12,31),TRUE,FALSE))</f>
        <v>0</v>
      </c>
      <c r="E372" t="s">
        <v>608</v>
      </c>
      <c r="F372" t="str">
        <f>INDEX(Lists!I:I,MATCH(Validation!E372,Lists!G:G,0))</f>
        <v>Error</v>
      </c>
      <c r="G372" t="str">
        <f>INDEX(Lists!H:H,MATCH(Validation!E372,Lists!G:G,0))</f>
        <v>Issue date must be on or before December 31, 2024.</v>
      </c>
      <c r="H372" s="25" t="str">
        <f t="shared" ca="1" si="102"/>
        <v/>
      </c>
      <c r="I372" s="25" t="str">
        <f t="shared" ca="1" si="103"/>
        <v/>
      </c>
      <c r="J372" s="26" t="str">
        <f t="shared" si="104"/>
        <v/>
      </c>
    </row>
    <row r="373" spans="1:10" x14ac:dyDescent="0.25">
      <c r="A373" t="s">
        <v>310</v>
      </c>
      <c r="B373" t="str">
        <f>ADDRESS(ROW('Bond 1'!$B$12),COLUMN('Bond 1'!$B$12),4)</f>
        <v>B12</v>
      </c>
      <c r="C373" t="str">
        <f>ADDRESS(ROW('Bond 1'!$D$12),COLUMN('Bond 1'!$D$12),4)</f>
        <v>D12</v>
      </c>
      <c r="D373" t="b">
        <f>IF('Bond 10'!B$12="",FALSE,IF('Bond 10'!B$12&gt;DATE(Year_DestinationYearID,12,31),TRUE,FALSE))</f>
        <v>0</v>
      </c>
      <c r="E373" t="s">
        <v>608</v>
      </c>
      <c r="F373" t="str">
        <f>INDEX(Lists!I:I,MATCH(Validation!E373,Lists!G:G,0))</f>
        <v>Error</v>
      </c>
      <c r="G373" t="str">
        <f>INDEX(Lists!H:H,MATCH(Validation!E373,Lists!G:G,0))</f>
        <v>Issue date must be on or before December 31, 2024.</v>
      </c>
      <c r="H373" s="25" t="str">
        <f t="shared" ca="1" si="102"/>
        <v/>
      </c>
      <c r="I373" s="25" t="str">
        <f t="shared" ca="1" si="103"/>
        <v/>
      </c>
      <c r="J373" s="26" t="str">
        <f t="shared" si="104"/>
        <v/>
      </c>
    </row>
    <row r="374" spans="1:10" x14ac:dyDescent="0.25">
      <c r="A374" t="s">
        <v>311</v>
      </c>
      <c r="B374" t="str">
        <f>ADDRESS(ROW('Bond 1'!$B$12),COLUMN('Bond 1'!$B$12),4)</f>
        <v>B12</v>
      </c>
      <c r="C374" t="str">
        <f>ADDRESS(ROW('Bond 1'!$D$12),COLUMN('Bond 1'!$D$12),4)</f>
        <v>D12</v>
      </c>
      <c r="D374" t="b">
        <f>IF('Bond 11'!B$12="",FALSE,IF('Bond 11'!B$12&gt;DATE(Year_DestinationYearID,12,31),TRUE,FALSE))</f>
        <v>0</v>
      </c>
      <c r="E374" t="s">
        <v>608</v>
      </c>
      <c r="F374" t="str">
        <f>INDEX(Lists!I:I,MATCH(Validation!E374,Lists!G:G,0))</f>
        <v>Error</v>
      </c>
      <c r="G374" t="str">
        <f>INDEX(Lists!H:H,MATCH(Validation!E374,Lists!G:G,0))</f>
        <v>Issue date must be on or before December 31, 2024.</v>
      </c>
      <c r="H374" s="25" t="str">
        <f t="shared" ca="1" si="102"/>
        <v/>
      </c>
      <c r="I374" s="25" t="str">
        <f t="shared" ca="1" si="103"/>
        <v/>
      </c>
      <c r="J374" s="26" t="str">
        <f t="shared" si="104"/>
        <v/>
      </c>
    </row>
    <row r="375" spans="1:10" x14ac:dyDescent="0.25">
      <c r="A375" t="s">
        <v>312</v>
      </c>
      <c r="B375" t="str">
        <f>ADDRESS(ROW('Bond 1'!$B$12),COLUMN('Bond 1'!$B$12),4)</f>
        <v>B12</v>
      </c>
      <c r="C375" t="str">
        <f>ADDRESS(ROW('Bond 1'!$D$12),COLUMN('Bond 1'!$D$12),4)</f>
        <v>D12</v>
      </c>
      <c r="D375" t="b">
        <f>IF('Bond 12'!B$12="",FALSE,IF('Bond 12'!B$12&gt;DATE(Year_DestinationYearID,12,31),TRUE,FALSE))</f>
        <v>0</v>
      </c>
      <c r="E375" t="s">
        <v>608</v>
      </c>
      <c r="F375" t="str">
        <f>INDEX(Lists!I:I,MATCH(Validation!E375,Lists!G:G,0))</f>
        <v>Error</v>
      </c>
      <c r="G375" t="str">
        <f>INDEX(Lists!H:H,MATCH(Validation!E375,Lists!G:G,0))</f>
        <v>Issue date must be on or before December 31, 2024.</v>
      </c>
      <c r="H375" s="25" t="str">
        <f t="shared" ca="1" si="102"/>
        <v/>
      </c>
      <c r="I375" s="25" t="str">
        <f t="shared" ca="1" si="103"/>
        <v/>
      </c>
      <c r="J375" s="26" t="str">
        <f t="shared" si="104"/>
        <v/>
      </c>
    </row>
    <row r="376" spans="1:10" x14ac:dyDescent="0.25">
      <c r="A376" t="s">
        <v>313</v>
      </c>
      <c r="B376" t="str">
        <f>ADDRESS(ROW('Bond 1'!$B$12),COLUMN('Bond 1'!$B$12),4)</f>
        <v>B12</v>
      </c>
      <c r="C376" t="str">
        <f>ADDRESS(ROW('Bond 1'!$D$12),COLUMN('Bond 1'!$D$12),4)</f>
        <v>D12</v>
      </c>
      <c r="D376" t="b">
        <f>IF('Bond 13'!B$12="",FALSE,IF('Bond 13'!B$12&gt;DATE(Year_DestinationYearID,12,31),TRUE,FALSE))</f>
        <v>0</v>
      </c>
      <c r="E376" t="s">
        <v>608</v>
      </c>
      <c r="F376" t="str">
        <f>INDEX(Lists!I:I,MATCH(Validation!E376,Lists!G:G,0))</f>
        <v>Error</v>
      </c>
      <c r="G376" t="str">
        <f>INDEX(Lists!H:H,MATCH(Validation!E376,Lists!G:G,0))</f>
        <v>Issue date must be on or before December 31, 2024.</v>
      </c>
      <c r="H376" s="25" t="str">
        <f t="shared" ca="1" si="102"/>
        <v/>
      </c>
      <c r="I376" s="25" t="str">
        <f t="shared" ca="1" si="103"/>
        <v/>
      </c>
      <c r="J376" s="26" t="str">
        <f t="shared" si="104"/>
        <v/>
      </c>
    </row>
    <row r="377" spans="1:10" x14ac:dyDescent="0.25">
      <c r="A377" t="s">
        <v>314</v>
      </c>
      <c r="B377" t="str">
        <f>ADDRESS(ROW('Bond 1'!$B$12),COLUMN('Bond 1'!$B$12),4)</f>
        <v>B12</v>
      </c>
      <c r="C377" t="str">
        <f>ADDRESS(ROW('Bond 1'!$D$12),COLUMN('Bond 1'!$D$12),4)</f>
        <v>D12</v>
      </c>
      <c r="D377" t="b">
        <f>IF('Bond 14'!B$12="",FALSE,IF('Bond 14'!B$12&gt;DATE(Year_DestinationYearID,12,31),TRUE,FALSE))</f>
        <v>0</v>
      </c>
      <c r="E377" t="s">
        <v>608</v>
      </c>
      <c r="F377" t="str">
        <f>INDEX(Lists!I:I,MATCH(Validation!E377,Lists!G:G,0))</f>
        <v>Error</v>
      </c>
      <c r="G377" t="str">
        <f>INDEX(Lists!H:H,MATCH(Validation!E377,Lists!G:G,0))</f>
        <v>Issue date must be on or before December 31, 2024.</v>
      </c>
      <c r="H377" s="25" t="str">
        <f t="shared" ca="1" si="102"/>
        <v/>
      </c>
      <c r="I377" s="25" t="str">
        <f t="shared" ca="1" si="103"/>
        <v/>
      </c>
      <c r="J377" s="26" t="str">
        <f t="shared" si="104"/>
        <v/>
      </c>
    </row>
    <row r="378" spans="1:10" x14ac:dyDescent="0.25">
      <c r="A378" t="s">
        <v>315</v>
      </c>
      <c r="B378" t="str">
        <f>ADDRESS(ROW('Bond 1'!$B$12),COLUMN('Bond 1'!$B$12),4)</f>
        <v>B12</v>
      </c>
      <c r="C378" t="str">
        <f>ADDRESS(ROW('Bond 1'!$D$12),COLUMN('Bond 1'!$D$12),4)</f>
        <v>D12</v>
      </c>
      <c r="D378" t="b">
        <f>IF('Bond 15'!B$12="",FALSE,IF('Bond 15'!B$12&gt;DATE(Year_DestinationYearID,12,31),TRUE,FALSE))</f>
        <v>0</v>
      </c>
      <c r="E378" t="s">
        <v>608</v>
      </c>
      <c r="F378" t="str">
        <f>INDEX(Lists!I:I,MATCH(Validation!E378,Lists!G:G,0))</f>
        <v>Error</v>
      </c>
      <c r="G378" t="str">
        <f>INDEX(Lists!H:H,MATCH(Validation!E378,Lists!G:G,0))</f>
        <v>Issue date must be on or before December 31, 2024.</v>
      </c>
      <c r="H378" s="25" t="str">
        <f t="shared" ca="1" si="102"/>
        <v/>
      </c>
      <c r="I378" s="25" t="str">
        <f t="shared" ca="1" si="103"/>
        <v/>
      </c>
      <c r="J378" s="26" t="str">
        <f t="shared" si="104"/>
        <v/>
      </c>
    </row>
    <row r="379" spans="1:10" x14ac:dyDescent="0.25">
      <c r="A379" t="s">
        <v>198</v>
      </c>
      <c r="B379" t="str">
        <f>ADDRESS(ROW('Bond 1'!$B$12),COLUMN('Bond 1'!$B$12),4)</f>
        <v>B12</v>
      </c>
      <c r="C379" t="str">
        <f>ADDRESS(ROW('Bond 1'!$D$12),COLUMN('Bond 1'!$D$12),4)</f>
        <v>D12</v>
      </c>
      <c r="D379" t="b">
        <f>IF('Bond 1'!B$12="",FALSE,IF('Bond 1'!B$12&gt;=TIF_Plan_ApprovalDate,FALSE,TRUE))</f>
        <v>0</v>
      </c>
      <c r="E379" t="s">
        <v>609</v>
      </c>
      <c r="F379" t="str">
        <f>INDEX(Lists!I:I,MATCH(Validation!E379,Lists!G:G,0))</f>
        <v>Error</v>
      </c>
      <c r="G379" t="str">
        <f>INDEX(Lists!H:H,MATCH(Validation!E379,Lists!G:G,0))</f>
        <v>Issue date must be on or after the original TIF plan approval date.</v>
      </c>
      <c r="H379" s="25" t="str">
        <f t="shared" ref="H379:H393" ca="1" si="105">IFERROR(IF(OR(NOT(D379),F379&lt;&gt;"Error"),"",A379&amp;CELL("address",INDIRECT(B379))),"")</f>
        <v/>
      </c>
      <c r="I379" s="25" t="str">
        <f t="shared" ref="I379:I393" ca="1" si="106">IFERROR(IF(NOT(D379),"",A379&amp;CELL("address",INDIRECT(C379))),"")</f>
        <v/>
      </c>
      <c r="J379" s="26" t="str">
        <f t="shared" ref="J379:J393" si="107">IFERROR(IF(NOT(D379),"",A379),"")</f>
        <v/>
      </c>
    </row>
    <row r="380" spans="1:10" x14ac:dyDescent="0.25">
      <c r="A380" t="s">
        <v>302</v>
      </c>
      <c r="B380" t="str">
        <f>ADDRESS(ROW('Bond 1'!$B$12),COLUMN('Bond 1'!$B$12),4)</f>
        <v>B12</v>
      </c>
      <c r="C380" t="str">
        <f>ADDRESS(ROW('Bond 1'!$D$12),COLUMN('Bond 1'!$D$12),4)</f>
        <v>D12</v>
      </c>
      <c r="D380" t="b">
        <f>IF('Bond 2'!B$12="",FALSE,IF('Bond 2'!B$12&gt;=TIF_Plan_ApprovalDate,FALSE,TRUE))</f>
        <v>0</v>
      </c>
      <c r="E380" t="s">
        <v>609</v>
      </c>
      <c r="F380" t="str">
        <f>INDEX(Lists!I:I,MATCH(Validation!E380,Lists!G:G,0))</f>
        <v>Error</v>
      </c>
      <c r="G380" t="str">
        <f>INDEX(Lists!H:H,MATCH(Validation!E380,Lists!G:G,0))</f>
        <v>Issue date must be on or after the original TIF plan approval date.</v>
      </c>
      <c r="H380" s="25" t="str">
        <f t="shared" ca="1" si="105"/>
        <v/>
      </c>
      <c r="I380" s="25" t="str">
        <f t="shared" ca="1" si="106"/>
        <v/>
      </c>
      <c r="J380" s="26" t="str">
        <f t="shared" si="107"/>
        <v/>
      </c>
    </row>
    <row r="381" spans="1:10" x14ac:dyDescent="0.25">
      <c r="A381" t="s">
        <v>303</v>
      </c>
      <c r="B381" t="str">
        <f>ADDRESS(ROW('Bond 1'!$B$12),COLUMN('Bond 1'!$B$12),4)</f>
        <v>B12</v>
      </c>
      <c r="C381" t="str">
        <f>ADDRESS(ROW('Bond 1'!$D$12),COLUMN('Bond 1'!$D$12),4)</f>
        <v>D12</v>
      </c>
      <c r="D381" t="b">
        <f>IF('Bond 3'!B$12="",FALSE,IF('Bond 3'!B$12&gt;=TIF_Plan_ApprovalDate,FALSE,TRUE))</f>
        <v>0</v>
      </c>
      <c r="E381" t="s">
        <v>609</v>
      </c>
      <c r="F381" t="str">
        <f>INDEX(Lists!I:I,MATCH(Validation!E381,Lists!G:G,0))</f>
        <v>Error</v>
      </c>
      <c r="G381" t="str">
        <f>INDEX(Lists!H:H,MATCH(Validation!E381,Lists!G:G,0))</f>
        <v>Issue date must be on or after the original TIF plan approval date.</v>
      </c>
      <c r="H381" s="25" t="str">
        <f t="shared" ca="1" si="105"/>
        <v/>
      </c>
      <c r="I381" s="25" t="str">
        <f t="shared" ca="1" si="106"/>
        <v/>
      </c>
      <c r="J381" s="26" t="str">
        <f t="shared" si="107"/>
        <v/>
      </c>
    </row>
    <row r="382" spans="1:10" x14ac:dyDescent="0.25">
      <c r="A382" t="s">
        <v>304</v>
      </c>
      <c r="B382" t="str">
        <f>ADDRESS(ROW('Bond 1'!$B$12),COLUMN('Bond 1'!$B$12),4)</f>
        <v>B12</v>
      </c>
      <c r="C382" t="str">
        <f>ADDRESS(ROW('Bond 1'!$D$12),COLUMN('Bond 1'!$D$12),4)</f>
        <v>D12</v>
      </c>
      <c r="D382" t="b">
        <f>IF('Bond 4'!B$12="",FALSE,IF('Bond 4'!B$12&gt;=TIF_Plan_ApprovalDate,FALSE,TRUE))</f>
        <v>0</v>
      </c>
      <c r="E382" t="s">
        <v>609</v>
      </c>
      <c r="F382" t="str">
        <f>INDEX(Lists!I:I,MATCH(Validation!E382,Lists!G:G,0))</f>
        <v>Error</v>
      </c>
      <c r="G382" t="str">
        <f>INDEX(Lists!H:H,MATCH(Validation!E382,Lists!G:G,0))</f>
        <v>Issue date must be on or after the original TIF plan approval date.</v>
      </c>
      <c r="H382" s="25" t="str">
        <f t="shared" ca="1" si="105"/>
        <v/>
      </c>
      <c r="I382" s="25" t="str">
        <f t="shared" ca="1" si="106"/>
        <v/>
      </c>
      <c r="J382" s="26" t="str">
        <f t="shared" si="107"/>
        <v/>
      </c>
    </row>
    <row r="383" spans="1:10" x14ac:dyDescent="0.25">
      <c r="A383" t="s">
        <v>305</v>
      </c>
      <c r="B383" t="str">
        <f>ADDRESS(ROW('Bond 1'!$B$12),COLUMN('Bond 1'!$B$12),4)</f>
        <v>B12</v>
      </c>
      <c r="C383" t="str">
        <f>ADDRESS(ROW('Bond 1'!$D$12),COLUMN('Bond 1'!$D$12),4)</f>
        <v>D12</v>
      </c>
      <c r="D383" t="b">
        <f>IF('Bond 5'!B$12="",FALSE,IF('Bond 5'!B$12&gt;=TIF_Plan_ApprovalDate,FALSE,TRUE))</f>
        <v>0</v>
      </c>
      <c r="E383" t="s">
        <v>609</v>
      </c>
      <c r="F383" t="str">
        <f>INDEX(Lists!I:I,MATCH(Validation!E383,Lists!G:G,0))</f>
        <v>Error</v>
      </c>
      <c r="G383" t="str">
        <f>INDEX(Lists!H:H,MATCH(Validation!E383,Lists!G:G,0))</f>
        <v>Issue date must be on or after the original TIF plan approval date.</v>
      </c>
      <c r="H383" s="25" t="str">
        <f t="shared" ca="1" si="105"/>
        <v/>
      </c>
      <c r="I383" s="25" t="str">
        <f t="shared" ca="1" si="106"/>
        <v/>
      </c>
      <c r="J383" s="26" t="str">
        <f t="shared" si="107"/>
        <v/>
      </c>
    </row>
    <row r="384" spans="1:10" x14ac:dyDescent="0.25">
      <c r="A384" t="s">
        <v>306</v>
      </c>
      <c r="B384" t="str">
        <f>ADDRESS(ROW('Bond 1'!$B$12),COLUMN('Bond 1'!$B$12),4)</f>
        <v>B12</v>
      </c>
      <c r="C384" t="str">
        <f>ADDRESS(ROW('Bond 1'!$D$12),COLUMN('Bond 1'!$D$12),4)</f>
        <v>D12</v>
      </c>
      <c r="D384" t="b">
        <f>IF('Bond 6'!B$12="",FALSE,IF('Bond 6'!B$12&gt;=TIF_Plan_ApprovalDate,FALSE,TRUE))</f>
        <v>0</v>
      </c>
      <c r="E384" t="s">
        <v>609</v>
      </c>
      <c r="F384" t="str">
        <f>INDEX(Lists!I:I,MATCH(Validation!E384,Lists!G:G,0))</f>
        <v>Error</v>
      </c>
      <c r="G384" t="str">
        <f>INDEX(Lists!H:H,MATCH(Validation!E384,Lists!G:G,0))</f>
        <v>Issue date must be on or after the original TIF plan approval date.</v>
      </c>
      <c r="H384" s="25" t="str">
        <f t="shared" ca="1" si="105"/>
        <v/>
      </c>
      <c r="I384" s="25" t="str">
        <f t="shared" ca="1" si="106"/>
        <v/>
      </c>
      <c r="J384" s="26" t="str">
        <f t="shared" si="107"/>
        <v/>
      </c>
    </row>
    <row r="385" spans="1:10" x14ac:dyDescent="0.25">
      <c r="A385" t="s">
        <v>307</v>
      </c>
      <c r="B385" t="str">
        <f>ADDRESS(ROW('Bond 1'!$B$12),COLUMN('Bond 1'!$B$12),4)</f>
        <v>B12</v>
      </c>
      <c r="C385" t="str">
        <f>ADDRESS(ROW('Bond 1'!$D$12),COLUMN('Bond 1'!$D$12),4)</f>
        <v>D12</v>
      </c>
      <c r="D385" t="b">
        <f>IF('Bond 7'!B$12="",FALSE,IF('Bond 7'!B$12&gt;=TIF_Plan_ApprovalDate,FALSE,TRUE))</f>
        <v>0</v>
      </c>
      <c r="E385" t="s">
        <v>609</v>
      </c>
      <c r="F385" t="str">
        <f>INDEX(Lists!I:I,MATCH(Validation!E385,Lists!G:G,0))</f>
        <v>Error</v>
      </c>
      <c r="G385" t="str">
        <f>INDEX(Lists!H:H,MATCH(Validation!E385,Lists!G:G,0))</f>
        <v>Issue date must be on or after the original TIF plan approval date.</v>
      </c>
      <c r="H385" s="25" t="str">
        <f t="shared" ca="1" si="105"/>
        <v/>
      </c>
      <c r="I385" s="25" t="str">
        <f t="shared" ca="1" si="106"/>
        <v/>
      </c>
      <c r="J385" s="26" t="str">
        <f t="shared" si="107"/>
        <v/>
      </c>
    </row>
    <row r="386" spans="1:10" x14ac:dyDescent="0.25">
      <c r="A386" t="s">
        <v>308</v>
      </c>
      <c r="B386" t="str">
        <f>ADDRESS(ROW('Bond 1'!$B$12),COLUMN('Bond 1'!$B$12),4)</f>
        <v>B12</v>
      </c>
      <c r="C386" t="str">
        <f>ADDRESS(ROW('Bond 1'!$D$12),COLUMN('Bond 1'!$D$12),4)</f>
        <v>D12</v>
      </c>
      <c r="D386" t="b">
        <f>IF('Bond 8'!B$12="",FALSE,IF('Bond 8'!B$12&gt;=TIF_Plan_ApprovalDate,FALSE,TRUE))</f>
        <v>0</v>
      </c>
      <c r="E386" t="s">
        <v>609</v>
      </c>
      <c r="F386" t="str">
        <f>INDEX(Lists!I:I,MATCH(Validation!E386,Lists!G:G,0))</f>
        <v>Error</v>
      </c>
      <c r="G386" t="str">
        <f>INDEX(Lists!H:H,MATCH(Validation!E386,Lists!G:G,0))</f>
        <v>Issue date must be on or after the original TIF plan approval date.</v>
      </c>
      <c r="H386" s="25" t="str">
        <f t="shared" ca="1" si="105"/>
        <v/>
      </c>
      <c r="I386" s="25" t="str">
        <f t="shared" ca="1" si="106"/>
        <v/>
      </c>
      <c r="J386" s="26" t="str">
        <f t="shared" si="107"/>
        <v/>
      </c>
    </row>
    <row r="387" spans="1:10" x14ac:dyDescent="0.25">
      <c r="A387" t="s">
        <v>309</v>
      </c>
      <c r="B387" t="str">
        <f>ADDRESS(ROW('Bond 1'!$B$12),COLUMN('Bond 1'!$B$12),4)</f>
        <v>B12</v>
      </c>
      <c r="C387" t="str">
        <f>ADDRESS(ROW('Bond 1'!$D$12),COLUMN('Bond 1'!$D$12),4)</f>
        <v>D12</v>
      </c>
      <c r="D387" t="b">
        <f>IF('Bond 9'!B$12="",FALSE,IF('Bond 9'!B$12&gt;=TIF_Plan_ApprovalDate,FALSE,TRUE))</f>
        <v>0</v>
      </c>
      <c r="E387" t="s">
        <v>609</v>
      </c>
      <c r="F387" t="str">
        <f>INDEX(Lists!I:I,MATCH(Validation!E387,Lists!G:G,0))</f>
        <v>Error</v>
      </c>
      <c r="G387" t="str">
        <f>INDEX(Lists!H:H,MATCH(Validation!E387,Lists!G:G,0))</f>
        <v>Issue date must be on or after the original TIF plan approval date.</v>
      </c>
      <c r="H387" s="25" t="str">
        <f t="shared" ca="1" si="105"/>
        <v/>
      </c>
      <c r="I387" s="25" t="str">
        <f t="shared" ca="1" si="106"/>
        <v/>
      </c>
      <c r="J387" s="26" t="str">
        <f t="shared" si="107"/>
        <v/>
      </c>
    </row>
    <row r="388" spans="1:10" x14ac:dyDescent="0.25">
      <c r="A388" t="s">
        <v>310</v>
      </c>
      <c r="B388" t="str">
        <f>ADDRESS(ROW('Bond 1'!$B$12),COLUMN('Bond 1'!$B$12),4)</f>
        <v>B12</v>
      </c>
      <c r="C388" t="str">
        <f>ADDRESS(ROW('Bond 1'!$D$12),COLUMN('Bond 1'!$D$12),4)</f>
        <v>D12</v>
      </c>
      <c r="D388" t="b">
        <f>IF('Bond 10'!B$12="",FALSE,IF('Bond 10'!B$12&gt;=TIF_Plan_ApprovalDate,FALSE,TRUE))</f>
        <v>0</v>
      </c>
      <c r="E388" t="s">
        <v>609</v>
      </c>
      <c r="F388" t="str">
        <f>INDEX(Lists!I:I,MATCH(Validation!E388,Lists!G:G,0))</f>
        <v>Error</v>
      </c>
      <c r="G388" t="str">
        <f>INDEX(Lists!H:H,MATCH(Validation!E388,Lists!G:G,0))</f>
        <v>Issue date must be on or after the original TIF plan approval date.</v>
      </c>
      <c r="H388" s="25" t="str">
        <f t="shared" ca="1" si="105"/>
        <v/>
      </c>
      <c r="I388" s="25" t="str">
        <f t="shared" ca="1" si="106"/>
        <v/>
      </c>
      <c r="J388" s="26" t="str">
        <f t="shared" si="107"/>
        <v/>
      </c>
    </row>
    <row r="389" spans="1:10" x14ac:dyDescent="0.25">
      <c r="A389" t="s">
        <v>311</v>
      </c>
      <c r="B389" t="str">
        <f>ADDRESS(ROW('Bond 1'!$B$12),COLUMN('Bond 1'!$B$12),4)</f>
        <v>B12</v>
      </c>
      <c r="C389" t="str">
        <f>ADDRESS(ROW('Bond 1'!$D$12),COLUMN('Bond 1'!$D$12),4)</f>
        <v>D12</v>
      </c>
      <c r="D389" t="b">
        <f>IF('Bond 11'!B$12="",FALSE,IF('Bond 11'!B$12&gt;=TIF_Plan_ApprovalDate,FALSE,TRUE))</f>
        <v>0</v>
      </c>
      <c r="E389" t="s">
        <v>609</v>
      </c>
      <c r="F389" t="str">
        <f>INDEX(Lists!I:I,MATCH(Validation!E389,Lists!G:G,0))</f>
        <v>Error</v>
      </c>
      <c r="G389" t="str">
        <f>INDEX(Lists!H:H,MATCH(Validation!E389,Lists!G:G,0))</f>
        <v>Issue date must be on or after the original TIF plan approval date.</v>
      </c>
      <c r="H389" s="25" t="str">
        <f t="shared" ca="1" si="105"/>
        <v/>
      </c>
      <c r="I389" s="25" t="str">
        <f t="shared" ca="1" si="106"/>
        <v/>
      </c>
      <c r="J389" s="26" t="str">
        <f t="shared" si="107"/>
        <v/>
      </c>
    </row>
    <row r="390" spans="1:10" x14ac:dyDescent="0.25">
      <c r="A390" t="s">
        <v>312</v>
      </c>
      <c r="B390" t="str">
        <f>ADDRESS(ROW('Bond 1'!$B$12),COLUMN('Bond 1'!$B$12),4)</f>
        <v>B12</v>
      </c>
      <c r="C390" t="str">
        <f>ADDRESS(ROW('Bond 1'!$D$12),COLUMN('Bond 1'!$D$12),4)</f>
        <v>D12</v>
      </c>
      <c r="D390" t="b">
        <f>IF('Bond 12'!B$12="",FALSE,IF('Bond 12'!B$12&gt;=TIF_Plan_ApprovalDate,FALSE,TRUE))</f>
        <v>0</v>
      </c>
      <c r="E390" t="s">
        <v>609</v>
      </c>
      <c r="F390" t="str">
        <f>INDEX(Lists!I:I,MATCH(Validation!E390,Lists!G:G,0))</f>
        <v>Error</v>
      </c>
      <c r="G390" t="str">
        <f>INDEX(Lists!H:H,MATCH(Validation!E390,Lists!G:G,0))</f>
        <v>Issue date must be on or after the original TIF plan approval date.</v>
      </c>
      <c r="H390" s="25" t="str">
        <f t="shared" ca="1" si="105"/>
        <v/>
      </c>
      <c r="I390" s="25" t="str">
        <f t="shared" ca="1" si="106"/>
        <v/>
      </c>
      <c r="J390" s="26" t="str">
        <f t="shared" si="107"/>
        <v/>
      </c>
    </row>
    <row r="391" spans="1:10" x14ac:dyDescent="0.25">
      <c r="A391" t="s">
        <v>313</v>
      </c>
      <c r="B391" t="str">
        <f>ADDRESS(ROW('Bond 1'!$B$12),COLUMN('Bond 1'!$B$12),4)</f>
        <v>B12</v>
      </c>
      <c r="C391" t="str">
        <f>ADDRESS(ROW('Bond 1'!$D$12),COLUMN('Bond 1'!$D$12),4)</f>
        <v>D12</v>
      </c>
      <c r="D391" t="b">
        <f>IF('Bond 13'!B$12="",FALSE,IF('Bond 13'!B$12&gt;=TIF_Plan_ApprovalDate,FALSE,TRUE))</f>
        <v>0</v>
      </c>
      <c r="E391" t="s">
        <v>609</v>
      </c>
      <c r="F391" t="str">
        <f>INDEX(Lists!I:I,MATCH(Validation!E391,Lists!G:G,0))</f>
        <v>Error</v>
      </c>
      <c r="G391" t="str">
        <f>INDEX(Lists!H:H,MATCH(Validation!E391,Lists!G:G,0))</f>
        <v>Issue date must be on or after the original TIF plan approval date.</v>
      </c>
      <c r="H391" s="25" t="str">
        <f t="shared" ca="1" si="105"/>
        <v/>
      </c>
      <c r="I391" s="25" t="str">
        <f t="shared" ca="1" si="106"/>
        <v/>
      </c>
      <c r="J391" s="26" t="str">
        <f t="shared" si="107"/>
        <v/>
      </c>
    </row>
    <row r="392" spans="1:10" x14ac:dyDescent="0.25">
      <c r="A392" t="s">
        <v>314</v>
      </c>
      <c r="B392" t="str">
        <f>ADDRESS(ROW('Bond 1'!$B$12),COLUMN('Bond 1'!$B$12),4)</f>
        <v>B12</v>
      </c>
      <c r="C392" t="str">
        <f>ADDRESS(ROW('Bond 1'!$D$12),COLUMN('Bond 1'!$D$12),4)</f>
        <v>D12</v>
      </c>
      <c r="D392" t="b">
        <f>IF('Bond 14'!B$12="",FALSE,IF('Bond 14'!B$12&gt;=TIF_Plan_ApprovalDate,FALSE,TRUE))</f>
        <v>0</v>
      </c>
      <c r="E392" t="s">
        <v>609</v>
      </c>
      <c r="F392" t="str">
        <f>INDEX(Lists!I:I,MATCH(Validation!E392,Lists!G:G,0))</f>
        <v>Error</v>
      </c>
      <c r="G392" t="str">
        <f>INDEX(Lists!H:H,MATCH(Validation!E392,Lists!G:G,0))</f>
        <v>Issue date must be on or after the original TIF plan approval date.</v>
      </c>
      <c r="H392" s="25" t="str">
        <f t="shared" ca="1" si="105"/>
        <v/>
      </c>
      <c r="I392" s="25" t="str">
        <f t="shared" ca="1" si="106"/>
        <v/>
      </c>
      <c r="J392" s="26" t="str">
        <f t="shared" si="107"/>
        <v/>
      </c>
    </row>
    <row r="393" spans="1:10" x14ac:dyDescent="0.25">
      <c r="A393" t="s">
        <v>315</v>
      </c>
      <c r="B393" t="str">
        <f>ADDRESS(ROW('Bond 1'!$B$12),COLUMN('Bond 1'!$B$12),4)</f>
        <v>B12</v>
      </c>
      <c r="C393" t="str">
        <f>ADDRESS(ROW('Bond 1'!$D$12),COLUMN('Bond 1'!$D$12),4)</f>
        <v>D12</v>
      </c>
      <c r="D393" t="b">
        <f>IF('Bond 15'!B$12="",FALSE,IF('Bond 15'!B$12&gt;=TIF_Plan_ApprovalDate,FALSE,TRUE))</f>
        <v>0</v>
      </c>
      <c r="E393" t="s">
        <v>609</v>
      </c>
      <c r="F393" t="str">
        <f>INDEX(Lists!I:I,MATCH(Validation!E393,Lists!G:G,0))</f>
        <v>Error</v>
      </c>
      <c r="G393" t="str">
        <f>INDEX(Lists!H:H,MATCH(Validation!E393,Lists!G:G,0))</f>
        <v>Issue date must be on or after the original TIF plan approval date.</v>
      </c>
      <c r="H393" s="25" t="str">
        <f t="shared" ca="1" si="105"/>
        <v/>
      </c>
      <c r="I393" s="25" t="str">
        <f t="shared" ca="1" si="106"/>
        <v/>
      </c>
      <c r="J393" s="26" t="str">
        <f t="shared" si="107"/>
        <v/>
      </c>
    </row>
    <row r="394" spans="1:10" x14ac:dyDescent="0.25">
      <c r="A394" t="s">
        <v>198</v>
      </c>
      <c r="B394" t="str">
        <f>ADDRESS(ROW('Bond 1'!$B$13),COLUMN('Bond 1'!$B$13),4)</f>
        <v>B13</v>
      </c>
      <c r="C394" t="str">
        <f>ADDRESS(ROW('Bond 1'!$D$13),COLUMN('Bond 1'!$D$13),4)</f>
        <v>D13</v>
      </c>
      <c r="D394" t="b" cm="1">
        <f t="array" aca="1" ref="D394" ca="1">IF(INDIRECT("'"&amp;A394&amp;"'!"&amp;B394)="",FALSE,ISERROR(DATE(INDIRECT("'"&amp;A394&amp;"'!"&amp;B394),,)))</f>
        <v>0</v>
      </c>
      <c r="E394" t="s">
        <v>498</v>
      </c>
      <c r="F394" t="str">
        <f>INDEX(Lists!I:I,MATCH(Validation!E394,Lists!G:G,0))</f>
        <v>Error</v>
      </c>
      <c r="G394" t="str">
        <f>INDEX(Lists!H:H,MATCH(Validation!E394,Lists!G:G,0))</f>
        <v>Enter a date only (MM/DD/YYYY). Do not enter text, spaces, or amounts.</v>
      </c>
      <c r="H394" s="25" t="str">
        <f t="shared" ref="H394:H408" ca="1" si="108">IFERROR(IF(OR(NOT(D394),F394&lt;&gt;"Error"),"",A394&amp;CELL("address",INDIRECT(B394))),"")</f>
        <v/>
      </c>
      <c r="I394" s="25" t="str">
        <f t="shared" ref="I394:I408" ca="1" si="109">IFERROR(IF(NOT(D394),"",A394&amp;CELL("address",INDIRECT(C394))),"")</f>
        <v/>
      </c>
      <c r="J394" s="26" t="str">
        <f t="shared" ref="J394:J408" ca="1" si="110">IFERROR(IF(NOT(D394),"",A394),"")</f>
        <v/>
      </c>
    </row>
    <row r="395" spans="1:10" x14ac:dyDescent="0.25">
      <c r="A395" t="s">
        <v>302</v>
      </c>
      <c r="B395" t="str">
        <f>ADDRESS(ROW('Bond 1'!$B$13),COLUMN('Bond 1'!$B$13),4)</f>
        <v>B13</v>
      </c>
      <c r="C395" t="str">
        <f>ADDRESS(ROW('Bond 1'!$D$13),COLUMN('Bond 1'!$D$13),4)</f>
        <v>D13</v>
      </c>
      <c r="D395" t="b" cm="1">
        <f t="array" aca="1" ref="D395" ca="1">IF(INDIRECT("'"&amp;A395&amp;"'!"&amp;B395)="",FALSE,ISERROR(DATE(INDIRECT("'"&amp;A395&amp;"'!"&amp;B395),,)))</f>
        <v>0</v>
      </c>
      <c r="E395" t="s">
        <v>498</v>
      </c>
      <c r="F395" t="str">
        <f>INDEX(Lists!I:I,MATCH(Validation!E395,Lists!G:G,0))</f>
        <v>Error</v>
      </c>
      <c r="G395" t="str">
        <f>INDEX(Lists!H:H,MATCH(Validation!E395,Lists!G:G,0))</f>
        <v>Enter a date only (MM/DD/YYYY). Do not enter text, spaces, or amounts.</v>
      </c>
      <c r="H395" s="25" t="str">
        <f t="shared" ca="1" si="108"/>
        <v/>
      </c>
      <c r="I395" s="25" t="str">
        <f t="shared" ca="1" si="109"/>
        <v/>
      </c>
      <c r="J395" s="26" t="str">
        <f t="shared" ca="1" si="110"/>
        <v/>
      </c>
    </row>
    <row r="396" spans="1:10" x14ac:dyDescent="0.25">
      <c r="A396" t="s">
        <v>303</v>
      </c>
      <c r="B396" t="str">
        <f>ADDRESS(ROW('Bond 1'!$B$13),COLUMN('Bond 1'!$B$13),4)</f>
        <v>B13</v>
      </c>
      <c r="C396" t="str">
        <f>ADDRESS(ROW('Bond 1'!$D$13),COLUMN('Bond 1'!$D$13),4)</f>
        <v>D13</v>
      </c>
      <c r="D396" t="b" cm="1">
        <f t="array" aca="1" ref="D396" ca="1">IF(INDIRECT("'"&amp;A396&amp;"'!"&amp;B396)="",FALSE,ISERROR(DATE(INDIRECT("'"&amp;A396&amp;"'!"&amp;B396),,)))</f>
        <v>0</v>
      </c>
      <c r="E396" t="s">
        <v>498</v>
      </c>
      <c r="F396" t="str">
        <f>INDEX(Lists!I:I,MATCH(Validation!E396,Lists!G:G,0))</f>
        <v>Error</v>
      </c>
      <c r="G396" t="str">
        <f>INDEX(Lists!H:H,MATCH(Validation!E396,Lists!G:G,0))</f>
        <v>Enter a date only (MM/DD/YYYY). Do not enter text, spaces, or amounts.</v>
      </c>
      <c r="H396" s="25" t="str">
        <f t="shared" ca="1" si="108"/>
        <v/>
      </c>
      <c r="I396" s="25" t="str">
        <f t="shared" ca="1" si="109"/>
        <v/>
      </c>
      <c r="J396" s="26" t="str">
        <f t="shared" ca="1" si="110"/>
        <v/>
      </c>
    </row>
    <row r="397" spans="1:10" x14ac:dyDescent="0.25">
      <c r="A397" t="s">
        <v>304</v>
      </c>
      <c r="B397" t="str">
        <f>ADDRESS(ROW('Bond 1'!$B$13),COLUMN('Bond 1'!$B$13),4)</f>
        <v>B13</v>
      </c>
      <c r="C397" t="str">
        <f>ADDRESS(ROW('Bond 1'!$D$13),COLUMN('Bond 1'!$D$13),4)</f>
        <v>D13</v>
      </c>
      <c r="D397" t="b" cm="1">
        <f t="array" aca="1" ref="D397" ca="1">IF(INDIRECT("'"&amp;A397&amp;"'!"&amp;B397)="",FALSE,ISERROR(DATE(INDIRECT("'"&amp;A397&amp;"'!"&amp;B397),,)))</f>
        <v>0</v>
      </c>
      <c r="E397" t="s">
        <v>498</v>
      </c>
      <c r="F397" t="str">
        <f>INDEX(Lists!I:I,MATCH(Validation!E397,Lists!G:G,0))</f>
        <v>Error</v>
      </c>
      <c r="G397" t="str">
        <f>INDEX(Lists!H:H,MATCH(Validation!E397,Lists!G:G,0))</f>
        <v>Enter a date only (MM/DD/YYYY). Do not enter text, spaces, or amounts.</v>
      </c>
      <c r="H397" s="25" t="str">
        <f t="shared" ca="1" si="108"/>
        <v/>
      </c>
      <c r="I397" s="25" t="str">
        <f t="shared" ca="1" si="109"/>
        <v/>
      </c>
      <c r="J397" s="26" t="str">
        <f t="shared" ca="1" si="110"/>
        <v/>
      </c>
    </row>
    <row r="398" spans="1:10" x14ac:dyDescent="0.25">
      <c r="A398" t="s">
        <v>305</v>
      </c>
      <c r="B398" t="str">
        <f>ADDRESS(ROW('Bond 1'!$B$13),COLUMN('Bond 1'!$B$13),4)</f>
        <v>B13</v>
      </c>
      <c r="C398" t="str">
        <f>ADDRESS(ROW('Bond 1'!$D$13),COLUMN('Bond 1'!$D$13),4)</f>
        <v>D13</v>
      </c>
      <c r="D398" t="b" cm="1">
        <f t="array" aca="1" ref="D398" ca="1">IF(INDIRECT("'"&amp;A398&amp;"'!"&amp;B398)="",FALSE,ISERROR(DATE(INDIRECT("'"&amp;A398&amp;"'!"&amp;B398),,)))</f>
        <v>0</v>
      </c>
      <c r="E398" t="s">
        <v>498</v>
      </c>
      <c r="F398" t="str">
        <f>INDEX(Lists!I:I,MATCH(Validation!E398,Lists!G:G,0))</f>
        <v>Error</v>
      </c>
      <c r="G398" t="str">
        <f>INDEX(Lists!H:H,MATCH(Validation!E398,Lists!G:G,0))</f>
        <v>Enter a date only (MM/DD/YYYY). Do not enter text, spaces, or amounts.</v>
      </c>
      <c r="H398" s="25" t="str">
        <f t="shared" ca="1" si="108"/>
        <v/>
      </c>
      <c r="I398" s="25" t="str">
        <f t="shared" ca="1" si="109"/>
        <v/>
      </c>
      <c r="J398" s="26" t="str">
        <f t="shared" ca="1" si="110"/>
        <v/>
      </c>
    </row>
    <row r="399" spans="1:10" x14ac:dyDescent="0.25">
      <c r="A399" t="s">
        <v>306</v>
      </c>
      <c r="B399" t="str">
        <f>ADDRESS(ROW('Bond 1'!$B$13),COLUMN('Bond 1'!$B$13),4)</f>
        <v>B13</v>
      </c>
      <c r="C399" t="str">
        <f>ADDRESS(ROW('Bond 1'!$D$13),COLUMN('Bond 1'!$D$13),4)</f>
        <v>D13</v>
      </c>
      <c r="D399" t="b" cm="1">
        <f t="array" aca="1" ref="D399" ca="1">IF(INDIRECT("'"&amp;A399&amp;"'!"&amp;B399)="",FALSE,ISERROR(DATE(INDIRECT("'"&amp;A399&amp;"'!"&amp;B399),,)))</f>
        <v>0</v>
      </c>
      <c r="E399" t="s">
        <v>498</v>
      </c>
      <c r="F399" t="str">
        <f>INDEX(Lists!I:I,MATCH(Validation!E399,Lists!G:G,0))</f>
        <v>Error</v>
      </c>
      <c r="G399" t="str">
        <f>INDEX(Lists!H:H,MATCH(Validation!E399,Lists!G:G,0))</f>
        <v>Enter a date only (MM/DD/YYYY). Do not enter text, spaces, or amounts.</v>
      </c>
      <c r="H399" s="25" t="str">
        <f t="shared" ca="1" si="108"/>
        <v/>
      </c>
      <c r="I399" s="25" t="str">
        <f t="shared" ca="1" si="109"/>
        <v/>
      </c>
      <c r="J399" s="26" t="str">
        <f t="shared" ca="1" si="110"/>
        <v/>
      </c>
    </row>
    <row r="400" spans="1:10" x14ac:dyDescent="0.25">
      <c r="A400" t="s">
        <v>307</v>
      </c>
      <c r="B400" t="str">
        <f>ADDRESS(ROW('Bond 1'!$B$13),COLUMN('Bond 1'!$B$13),4)</f>
        <v>B13</v>
      </c>
      <c r="C400" t="str">
        <f>ADDRESS(ROW('Bond 1'!$D$13),COLUMN('Bond 1'!$D$13),4)</f>
        <v>D13</v>
      </c>
      <c r="D400" t="b" cm="1">
        <f t="array" aca="1" ref="D400" ca="1">IF(INDIRECT("'"&amp;A400&amp;"'!"&amp;B400)="",FALSE,ISERROR(DATE(INDIRECT("'"&amp;A400&amp;"'!"&amp;B400),,)))</f>
        <v>0</v>
      </c>
      <c r="E400" t="s">
        <v>498</v>
      </c>
      <c r="F400" t="str">
        <f>INDEX(Lists!I:I,MATCH(Validation!E400,Lists!G:G,0))</f>
        <v>Error</v>
      </c>
      <c r="G400" t="str">
        <f>INDEX(Lists!H:H,MATCH(Validation!E400,Lists!G:G,0))</f>
        <v>Enter a date only (MM/DD/YYYY). Do not enter text, spaces, or amounts.</v>
      </c>
      <c r="H400" s="25" t="str">
        <f t="shared" ca="1" si="108"/>
        <v/>
      </c>
      <c r="I400" s="25" t="str">
        <f t="shared" ca="1" si="109"/>
        <v/>
      </c>
      <c r="J400" s="26" t="str">
        <f t="shared" ca="1" si="110"/>
        <v/>
      </c>
    </row>
    <row r="401" spans="1:10" x14ac:dyDescent="0.25">
      <c r="A401" t="s">
        <v>308</v>
      </c>
      <c r="B401" t="str">
        <f>ADDRESS(ROW('Bond 1'!$B$13),COLUMN('Bond 1'!$B$13),4)</f>
        <v>B13</v>
      </c>
      <c r="C401" t="str">
        <f>ADDRESS(ROW('Bond 1'!$D$13),COLUMN('Bond 1'!$D$13),4)</f>
        <v>D13</v>
      </c>
      <c r="D401" t="b" cm="1">
        <f t="array" aca="1" ref="D401" ca="1">IF(INDIRECT("'"&amp;A401&amp;"'!"&amp;B401)="",FALSE,ISERROR(DATE(INDIRECT("'"&amp;A401&amp;"'!"&amp;B401),,)))</f>
        <v>0</v>
      </c>
      <c r="E401" t="s">
        <v>498</v>
      </c>
      <c r="F401" t="str">
        <f>INDEX(Lists!I:I,MATCH(Validation!E401,Lists!G:G,0))</f>
        <v>Error</v>
      </c>
      <c r="G401" t="str">
        <f>INDEX(Lists!H:H,MATCH(Validation!E401,Lists!G:G,0))</f>
        <v>Enter a date only (MM/DD/YYYY). Do not enter text, spaces, or amounts.</v>
      </c>
      <c r="H401" s="25" t="str">
        <f t="shared" ca="1" si="108"/>
        <v/>
      </c>
      <c r="I401" s="25" t="str">
        <f t="shared" ca="1" si="109"/>
        <v/>
      </c>
      <c r="J401" s="26" t="str">
        <f t="shared" ca="1" si="110"/>
        <v/>
      </c>
    </row>
    <row r="402" spans="1:10" x14ac:dyDescent="0.25">
      <c r="A402" t="s">
        <v>309</v>
      </c>
      <c r="B402" t="str">
        <f>ADDRESS(ROW('Bond 1'!$B$13),COLUMN('Bond 1'!$B$13),4)</f>
        <v>B13</v>
      </c>
      <c r="C402" t="str">
        <f>ADDRESS(ROW('Bond 1'!$D$13),COLUMN('Bond 1'!$D$13),4)</f>
        <v>D13</v>
      </c>
      <c r="D402" t="b" cm="1">
        <f t="array" aca="1" ref="D402" ca="1">IF(INDIRECT("'"&amp;A402&amp;"'!"&amp;B402)="",FALSE,ISERROR(DATE(INDIRECT("'"&amp;A402&amp;"'!"&amp;B402),,)))</f>
        <v>0</v>
      </c>
      <c r="E402" t="s">
        <v>498</v>
      </c>
      <c r="F402" t="str">
        <f>INDEX(Lists!I:I,MATCH(Validation!E402,Lists!G:G,0))</f>
        <v>Error</v>
      </c>
      <c r="G402" t="str">
        <f>INDEX(Lists!H:H,MATCH(Validation!E402,Lists!G:G,0))</f>
        <v>Enter a date only (MM/DD/YYYY). Do not enter text, spaces, or amounts.</v>
      </c>
      <c r="H402" s="25" t="str">
        <f t="shared" ca="1" si="108"/>
        <v/>
      </c>
      <c r="I402" s="25" t="str">
        <f t="shared" ca="1" si="109"/>
        <v/>
      </c>
      <c r="J402" s="26" t="str">
        <f t="shared" ca="1" si="110"/>
        <v/>
      </c>
    </row>
    <row r="403" spans="1:10" x14ac:dyDescent="0.25">
      <c r="A403" t="s">
        <v>310</v>
      </c>
      <c r="B403" t="str">
        <f>ADDRESS(ROW('Bond 1'!$B$13),COLUMN('Bond 1'!$B$13),4)</f>
        <v>B13</v>
      </c>
      <c r="C403" t="str">
        <f>ADDRESS(ROW('Bond 1'!$D$13),COLUMN('Bond 1'!$D$13),4)</f>
        <v>D13</v>
      </c>
      <c r="D403" t="b" cm="1">
        <f t="array" aca="1" ref="D403" ca="1">IF(INDIRECT("'"&amp;A403&amp;"'!"&amp;B403)="",FALSE,ISERROR(DATE(INDIRECT("'"&amp;A403&amp;"'!"&amp;B403),,)))</f>
        <v>0</v>
      </c>
      <c r="E403" t="s">
        <v>498</v>
      </c>
      <c r="F403" t="str">
        <f>INDEX(Lists!I:I,MATCH(Validation!E403,Lists!G:G,0))</f>
        <v>Error</v>
      </c>
      <c r="G403" t="str">
        <f>INDEX(Lists!H:H,MATCH(Validation!E403,Lists!G:G,0))</f>
        <v>Enter a date only (MM/DD/YYYY). Do not enter text, spaces, or amounts.</v>
      </c>
      <c r="H403" s="25" t="str">
        <f t="shared" ca="1" si="108"/>
        <v/>
      </c>
      <c r="I403" s="25" t="str">
        <f t="shared" ca="1" si="109"/>
        <v/>
      </c>
      <c r="J403" s="26" t="str">
        <f t="shared" ca="1" si="110"/>
        <v/>
      </c>
    </row>
    <row r="404" spans="1:10" x14ac:dyDescent="0.25">
      <c r="A404" t="s">
        <v>311</v>
      </c>
      <c r="B404" t="str">
        <f>ADDRESS(ROW('Bond 1'!$B$13),COLUMN('Bond 1'!$B$13),4)</f>
        <v>B13</v>
      </c>
      <c r="C404" t="str">
        <f>ADDRESS(ROW('Bond 1'!$D$13),COLUMN('Bond 1'!$D$13),4)</f>
        <v>D13</v>
      </c>
      <c r="D404" t="b" cm="1">
        <f t="array" aca="1" ref="D404" ca="1">IF(INDIRECT("'"&amp;A404&amp;"'!"&amp;B404)="",FALSE,ISERROR(DATE(INDIRECT("'"&amp;A404&amp;"'!"&amp;B404),,)))</f>
        <v>0</v>
      </c>
      <c r="E404" t="s">
        <v>498</v>
      </c>
      <c r="F404" t="str">
        <f>INDEX(Lists!I:I,MATCH(Validation!E404,Lists!G:G,0))</f>
        <v>Error</v>
      </c>
      <c r="G404" t="str">
        <f>INDEX(Lists!H:H,MATCH(Validation!E404,Lists!G:G,0))</f>
        <v>Enter a date only (MM/DD/YYYY). Do not enter text, spaces, or amounts.</v>
      </c>
      <c r="H404" s="25" t="str">
        <f t="shared" ca="1" si="108"/>
        <v/>
      </c>
      <c r="I404" s="25" t="str">
        <f t="shared" ca="1" si="109"/>
        <v/>
      </c>
      <c r="J404" s="26" t="str">
        <f t="shared" ca="1" si="110"/>
        <v/>
      </c>
    </row>
    <row r="405" spans="1:10" x14ac:dyDescent="0.25">
      <c r="A405" t="s">
        <v>312</v>
      </c>
      <c r="B405" t="str">
        <f>ADDRESS(ROW('Bond 1'!$B$13),COLUMN('Bond 1'!$B$13),4)</f>
        <v>B13</v>
      </c>
      <c r="C405" t="str">
        <f>ADDRESS(ROW('Bond 1'!$D$13),COLUMN('Bond 1'!$D$13),4)</f>
        <v>D13</v>
      </c>
      <c r="D405" t="b" cm="1">
        <f t="array" aca="1" ref="D405" ca="1">IF(INDIRECT("'"&amp;A405&amp;"'!"&amp;B405)="",FALSE,ISERROR(DATE(INDIRECT("'"&amp;A405&amp;"'!"&amp;B405),,)))</f>
        <v>0</v>
      </c>
      <c r="E405" t="s">
        <v>498</v>
      </c>
      <c r="F405" t="str">
        <f>INDEX(Lists!I:I,MATCH(Validation!E405,Lists!G:G,0))</f>
        <v>Error</v>
      </c>
      <c r="G405" t="str">
        <f>INDEX(Lists!H:H,MATCH(Validation!E405,Lists!G:G,0))</f>
        <v>Enter a date only (MM/DD/YYYY). Do not enter text, spaces, or amounts.</v>
      </c>
      <c r="H405" s="25" t="str">
        <f t="shared" ca="1" si="108"/>
        <v/>
      </c>
      <c r="I405" s="25" t="str">
        <f t="shared" ca="1" si="109"/>
        <v/>
      </c>
      <c r="J405" s="26" t="str">
        <f t="shared" ca="1" si="110"/>
        <v/>
      </c>
    </row>
    <row r="406" spans="1:10" x14ac:dyDescent="0.25">
      <c r="A406" t="s">
        <v>313</v>
      </c>
      <c r="B406" t="str">
        <f>ADDRESS(ROW('Bond 1'!$B$13),COLUMN('Bond 1'!$B$13),4)</f>
        <v>B13</v>
      </c>
      <c r="C406" t="str">
        <f>ADDRESS(ROW('Bond 1'!$D$13),COLUMN('Bond 1'!$D$13),4)</f>
        <v>D13</v>
      </c>
      <c r="D406" t="b" cm="1">
        <f t="array" aca="1" ref="D406" ca="1">IF(INDIRECT("'"&amp;A406&amp;"'!"&amp;B406)="",FALSE,ISERROR(DATE(INDIRECT("'"&amp;A406&amp;"'!"&amp;B406),,)))</f>
        <v>0</v>
      </c>
      <c r="E406" t="s">
        <v>498</v>
      </c>
      <c r="F406" t="str">
        <f>INDEX(Lists!I:I,MATCH(Validation!E406,Lists!G:G,0))</f>
        <v>Error</v>
      </c>
      <c r="G406" t="str">
        <f>INDEX(Lists!H:H,MATCH(Validation!E406,Lists!G:G,0))</f>
        <v>Enter a date only (MM/DD/YYYY). Do not enter text, spaces, or amounts.</v>
      </c>
      <c r="H406" s="25" t="str">
        <f t="shared" ca="1" si="108"/>
        <v/>
      </c>
      <c r="I406" s="25" t="str">
        <f t="shared" ca="1" si="109"/>
        <v/>
      </c>
      <c r="J406" s="26" t="str">
        <f t="shared" ca="1" si="110"/>
        <v/>
      </c>
    </row>
    <row r="407" spans="1:10" x14ac:dyDescent="0.25">
      <c r="A407" t="s">
        <v>314</v>
      </c>
      <c r="B407" t="str">
        <f>ADDRESS(ROW('Bond 1'!$B$13),COLUMN('Bond 1'!$B$13),4)</f>
        <v>B13</v>
      </c>
      <c r="C407" t="str">
        <f>ADDRESS(ROW('Bond 1'!$D$13),COLUMN('Bond 1'!$D$13),4)</f>
        <v>D13</v>
      </c>
      <c r="D407" t="b" cm="1">
        <f t="array" aca="1" ref="D407" ca="1">IF(INDIRECT("'"&amp;A407&amp;"'!"&amp;B407)="",FALSE,ISERROR(DATE(INDIRECT("'"&amp;A407&amp;"'!"&amp;B407),,)))</f>
        <v>0</v>
      </c>
      <c r="E407" t="s">
        <v>498</v>
      </c>
      <c r="F407" t="str">
        <f>INDEX(Lists!I:I,MATCH(Validation!E407,Lists!G:G,0))</f>
        <v>Error</v>
      </c>
      <c r="G407" t="str">
        <f>INDEX(Lists!H:H,MATCH(Validation!E407,Lists!G:G,0))</f>
        <v>Enter a date only (MM/DD/YYYY). Do not enter text, spaces, or amounts.</v>
      </c>
      <c r="H407" s="25" t="str">
        <f t="shared" ca="1" si="108"/>
        <v/>
      </c>
      <c r="I407" s="25" t="str">
        <f t="shared" ca="1" si="109"/>
        <v/>
      </c>
      <c r="J407" s="26" t="str">
        <f t="shared" ca="1" si="110"/>
        <v/>
      </c>
    </row>
    <row r="408" spans="1:10" x14ac:dyDescent="0.25">
      <c r="A408" t="s">
        <v>315</v>
      </c>
      <c r="B408" t="str">
        <f>ADDRESS(ROW('Bond 1'!$B$13),COLUMN('Bond 1'!$B$13),4)</f>
        <v>B13</v>
      </c>
      <c r="C408" t="str">
        <f>ADDRESS(ROW('Bond 1'!$D$13),COLUMN('Bond 1'!$D$13),4)</f>
        <v>D13</v>
      </c>
      <c r="D408" t="b" cm="1">
        <f t="array" aca="1" ref="D408" ca="1">IF(INDIRECT("'"&amp;A408&amp;"'!"&amp;B408)="",FALSE,ISERROR(DATE(INDIRECT("'"&amp;A408&amp;"'!"&amp;B408),,)))</f>
        <v>0</v>
      </c>
      <c r="E408" t="s">
        <v>498</v>
      </c>
      <c r="F408" t="str">
        <f>INDEX(Lists!I:I,MATCH(Validation!E408,Lists!G:G,0))</f>
        <v>Error</v>
      </c>
      <c r="G408" t="str">
        <f>INDEX(Lists!H:H,MATCH(Validation!E408,Lists!G:G,0))</f>
        <v>Enter a date only (MM/DD/YYYY). Do not enter text, spaces, or amounts.</v>
      </c>
      <c r="H408" s="25" t="str">
        <f t="shared" ca="1" si="108"/>
        <v/>
      </c>
      <c r="I408" s="25" t="str">
        <f t="shared" ca="1" si="109"/>
        <v/>
      </c>
      <c r="J408" s="26" t="str">
        <f t="shared" ca="1" si="110"/>
        <v/>
      </c>
    </row>
    <row r="409" spans="1:10" x14ac:dyDescent="0.25">
      <c r="A409" t="s">
        <v>198</v>
      </c>
      <c r="B409" t="str">
        <f>ADDRESS(ROW('Bond 1'!$B$13),COLUMN('Bond 1'!$B$13),4)</f>
        <v>B13</v>
      </c>
      <c r="C409" t="str">
        <f>ADDRESS(ROW('Bond 1'!$D$13),COLUMN('Bond 1'!$D$13),4)</f>
        <v>D13</v>
      </c>
      <c r="D409" t="b" cm="1">
        <f t="array" aca="1" ref="D409" ca="1">IF(INDIRECT("'"&amp;A409&amp;"'!"&amp;B409)="",FALSE,IF('Bond 1'!B$12="",TRUE,FALSE))</f>
        <v>0</v>
      </c>
      <c r="E409" t="s">
        <v>611</v>
      </c>
      <c r="F409" t="str">
        <f>INDEX(Lists!I:I,MATCH(Validation!E409,Lists!G:G,0))</f>
        <v>Error</v>
      </c>
      <c r="G409" t="str">
        <f>INDEX(Lists!H:H,MATCH(Validation!E409,Lists!G:G,0))</f>
        <v>Enter the issue date first.</v>
      </c>
      <c r="H409" s="25" t="str">
        <f t="shared" ref="H409:H423" ca="1" si="111">IFERROR(IF(OR(NOT(D409),F409&lt;&gt;"Error"),"",A409&amp;CELL("address",INDIRECT(B409))),"")</f>
        <v/>
      </c>
      <c r="I409" s="25" t="str">
        <f t="shared" ref="I409:I423" ca="1" si="112">IFERROR(IF(NOT(D409),"",A409&amp;CELL("address",INDIRECT(C409))),"")</f>
        <v/>
      </c>
      <c r="J409" s="26" t="str">
        <f t="shared" ref="J409:J423" ca="1" si="113">IFERROR(IF(NOT(D409),"",A409),"")</f>
        <v/>
      </c>
    </row>
    <row r="410" spans="1:10" x14ac:dyDescent="0.25">
      <c r="A410" t="s">
        <v>302</v>
      </c>
      <c r="B410" t="str">
        <f>ADDRESS(ROW('Bond 1'!$B$13),COLUMN('Bond 1'!$B$13),4)</f>
        <v>B13</v>
      </c>
      <c r="C410" t="str">
        <f>ADDRESS(ROW('Bond 1'!$D$13),COLUMN('Bond 1'!$D$13),4)</f>
        <v>D13</v>
      </c>
      <c r="D410" t="b" cm="1">
        <f t="array" aca="1" ref="D410" ca="1">IF(INDIRECT("'"&amp;A410&amp;"'!"&amp;B410)="",FALSE,IF('Bond 2'!B$12="",TRUE,FALSE))</f>
        <v>0</v>
      </c>
      <c r="E410" t="s">
        <v>611</v>
      </c>
      <c r="F410" t="str">
        <f>INDEX(Lists!I:I,MATCH(Validation!E410,Lists!G:G,0))</f>
        <v>Error</v>
      </c>
      <c r="G410" t="str">
        <f>INDEX(Lists!H:H,MATCH(Validation!E410,Lists!G:G,0))</f>
        <v>Enter the issue date first.</v>
      </c>
      <c r="H410" s="25" t="str">
        <f t="shared" ca="1" si="111"/>
        <v/>
      </c>
      <c r="I410" s="25" t="str">
        <f t="shared" ca="1" si="112"/>
        <v/>
      </c>
      <c r="J410" s="26" t="str">
        <f t="shared" ca="1" si="113"/>
        <v/>
      </c>
    </row>
    <row r="411" spans="1:10" x14ac:dyDescent="0.25">
      <c r="A411" t="s">
        <v>303</v>
      </c>
      <c r="B411" t="str">
        <f>ADDRESS(ROW('Bond 1'!$B$13),COLUMN('Bond 1'!$B$13),4)</f>
        <v>B13</v>
      </c>
      <c r="C411" t="str">
        <f>ADDRESS(ROW('Bond 1'!$D$13),COLUMN('Bond 1'!$D$13),4)</f>
        <v>D13</v>
      </c>
      <c r="D411" t="b" cm="1">
        <f t="array" aca="1" ref="D411" ca="1">IF(INDIRECT("'"&amp;A411&amp;"'!"&amp;B411)="",FALSE,IF('Bond 3'!B$12="",TRUE,FALSE))</f>
        <v>0</v>
      </c>
      <c r="E411" t="s">
        <v>611</v>
      </c>
      <c r="F411" t="str">
        <f>INDEX(Lists!I:I,MATCH(Validation!E411,Lists!G:G,0))</f>
        <v>Error</v>
      </c>
      <c r="G411" t="str">
        <f>INDEX(Lists!H:H,MATCH(Validation!E411,Lists!G:G,0))</f>
        <v>Enter the issue date first.</v>
      </c>
      <c r="H411" s="25" t="str">
        <f t="shared" ca="1" si="111"/>
        <v/>
      </c>
      <c r="I411" s="25" t="str">
        <f t="shared" ca="1" si="112"/>
        <v/>
      </c>
      <c r="J411" s="26" t="str">
        <f t="shared" ca="1" si="113"/>
        <v/>
      </c>
    </row>
    <row r="412" spans="1:10" x14ac:dyDescent="0.25">
      <c r="A412" t="s">
        <v>304</v>
      </c>
      <c r="B412" t="str">
        <f>ADDRESS(ROW('Bond 1'!$B$13),COLUMN('Bond 1'!$B$13),4)</f>
        <v>B13</v>
      </c>
      <c r="C412" t="str">
        <f>ADDRESS(ROW('Bond 1'!$D$13),COLUMN('Bond 1'!$D$13),4)</f>
        <v>D13</v>
      </c>
      <c r="D412" t="b" cm="1">
        <f t="array" aca="1" ref="D412" ca="1">IF(INDIRECT("'"&amp;A412&amp;"'!"&amp;B412)="",FALSE,IF('Bond 4'!B$12="",TRUE,FALSE))</f>
        <v>0</v>
      </c>
      <c r="E412" t="s">
        <v>611</v>
      </c>
      <c r="F412" t="str">
        <f>INDEX(Lists!I:I,MATCH(Validation!E412,Lists!G:G,0))</f>
        <v>Error</v>
      </c>
      <c r="G412" t="str">
        <f>INDEX(Lists!H:H,MATCH(Validation!E412,Lists!G:G,0))</f>
        <v>Enter the issue date first.</v>
      </c>
      <c r="H412" s="25" t="str">
        <f t="shared" ca="1" si="111"/>
        <v/>
      </c>
      <c r="I412" s="25" t="str">
        <f t="shared" ca="1" si="112"/>
        <v/>
      </c>
      <c r="J412" s="26" t="str">
        <f t="shared" ca="1" si="113"/>
        <v/>
      </c>
    </row>
    <row r="413" spans="1:10" x14ac:dyDescent="0.25">
      <c r="A413" t="s">
        <v>305</v>
      </c>
      <c r="B413" t="str">
        <f>ADDRESS(ROW('Bond 1'!$B$13),COLUMN('Bond 1'!$B$13),4)</f>
        <v>B13</v>
      </c>
      <c r="C413" t="str">
        <f>ADDRESS(ROW('Bond 1'!$D$13),COLUMN('Bond 1'!$D$13),4)</f>
        <v>D13</v>
      </c>
      <c r="D413" t="b" cm="1">
        <f t="array" aca="1" ref="D413" ca="1">IF(INDIRECT("'"&amp;A413&amp;"'!"&amp;B413)="",FALSE,IF('Bond 5'!B$12="",TRUE,FALSE))</f>
        <v>0</v>
      </c>
      <c r="E413" t="s">
        <v>611</v>
      </c>
      <c r="F413" t="str">
        <f>INDEX(Lists!I:I,MATCH(Validation!E413,Lists!G:G,0))</f>
        <v>Error</v>
      </c>
      <c r="G413" t="str">
        <f>INDEX(Lists!H:H,MATCH(Validation!E413,Lists!G:G,0))</f>
        <v>Enter the issue date first.</v>
      </c>
      <c r="H413" s="25" t="str">
        <f t="shared" ca="1" si="111"/>
        <v/>
      </c>
      <c r="I413" s="25" t="str">
        <f t="shared" ca="1" si="112"/>
        <v/>
      </c>
      <c r="J413" s="26" t="str">
        <f t="shared" ca="1" si="113"/>
        <v/>
      </c>
    </row>
    <row r="414" spans="1:10" x14ac:dyDescent="0.25">
      <c r="A414" t="s">
        <v>306</v>
      </c>
      <c r="B414" t="str">
        <f>ADDRESS(ROW('Bond 1'!$B$13),COLUMN('Bond 1'!$B$13),4)</f>
        <v>B13</v>
      </c>
      <c r="C414" t="str">
        <f>ADDRESS(ROW('Bond 1'!$D$13),COLUMN('Bond 1'!$D$13),4)</f>
        <v>D13</v>
      </c>
      <c r="D414" t="b" cm="1">
        <f t="array" aca="1" ref="D414" ca="1">IF(INDIRECT("'"&amp;A414&amp;"'!"&amp;B414)="",FALSE,IF('Bond 6'!B$12="",TRUE,FALSE))</f>
        <v>0</v>
      </c>
      <c r="E414" t="s">
        <v>611</v>
      </c>
      <c r="F414" t="str">
        <f>INDEX(Lists!I:I,MATCH(Validation!E414,Lists!G:G,0))</f>
        <v>Error</v>
      </c>
      <c r="G414" t="str">
        <f>INDEX(Lists!H:H,MATCH(Validation!E414,Lists!G:G,0))</f>
        <v>Enter the issue date first.</v>
      </c>
      <c r="H414" s="25" t="str">
        <f t="shared" ca="1" si="111"/>
        <v/>
      </c>
      <c r="I414" s="25" t="str">
        <f t="shared" ca="1" si="112"/>
        <v/>
      </c>
      <c r="J414" s="26" t="str">
        <f t="shared" ca="1" si="113"/>
        <v/>
      </c>
    </row>
    <row r="415" spans="1:10" x14ac:dyDescent="0.25">
      <c r="A415" t="s">
        <v>307</v>
      </c>
      <c r="B415" t="str">
        <f>ADDRESS(ROW('Bond 1'!$B$13),COLUMN('Bond 1'!$B$13),4)</f>
        <v>B13</v>
      </c>
      <c r="C415" t="str">
        <f>ADDRESS(ROW('Bond 1'!$D$13),COLUMN('Bond 1'!$D$13),4)</f>
        <v>D13</v>
      </c>
      <c r="D415" t="b" cm="1">
        <f t="array" aca="1" ref="D415" ca="1">IF(INDIRECT("'"&amp;A415&amp;"'!"&amp;B415)="",FALSE,IF('Bond 7'!B$12="",TRUE,FALSE))</f>
        <v>0</v>
      </c>
      <c r="E415" t="s">
        <v>611</v>
      </c>
      <c r="F415" t="str">
        <f>INDEX(Lists!I:I,MATCH(Validation!E415,Lists!G:G,0))</f>
        <v>Error</v>
      </c>
      <c r="G415" t="str">
        <f>INDEX(Lists!H:H,MATCH(Validation!E415,Lists!G:G,0))</f>
        <v>Enter the issue date first.</v>
      </c>
      <c r="H415" s="25" t="str">
        <f t="shared" ca="1" si="111"/>
        <v/>
      </c>
      <c r="I415" s="25" t="str">
        <f t="shared" ca="1" si="112"/>
        <v/>
      </c>
      <c r="J415" s="26" t="str">
        <f t="shared" ca="1" si="113"/>
        <v/>
      </c>
    </row>
    <row r="416" spans="1:10" x14ac:dyDescent="0.25">
      <c r="A416" t="s">
        <v>308</v>
      </c>
      <c r="B416" t="str">
        <f>ADDRESS(ROW('Bond 1'!$B$13),COLUMN('Bond 1'!$B$13),4)</f>
        <v>B13</v>
      </c>
      <c r="C416" t="str">
        <f>ADDRESS(ROW('Bond 1'!$D$13),COLUMN('Bond 1'!$D$13),4)</f>
        <v>D13</v>
      </c>
      <c r="D416" t="b" cm="1">
        <f t="array" aca="1" ref="D416" ca="1">IF(INDIRECT("'"&amp;A416&amp;"'!"&amp;B416)="",FALSE,IF('Bond 8'!B$12="",TRUE,FALSE))</f>
        <v>0</v>
      </c>
      <c r="E416" t="s">
        <v>611</v>
      </c>
      <c r="F416" t="str">
        <f>INDEX(Lists!I:I,MATCH(Validation!E416,Lists!G:G,0))</f>
        <v>Error</v>
      </c>
      <c r="G416" t="str">
        <f>INDEX(Lists!H:H,MATCH(Validation!E416,Lists!G:G,0))</f>
        <v>Enter the issue date first.</v>
      </c>
      <c r="H416" s="25" t="str">
        <f t="shared" ca="1" si="111"/>
        <v/>
      </c>
      <c r="I416" s="25" t="str">
        <f t="shared" ca="1" si="112"/>
        <v/>
      </c>
      <c r="J416" s="26" t="str">
        <f t="shared" ca="1" si="113"/>
        <v/>
      </c>
    </row>
    <row r="417" spans="1:10" x14ac:dyDescent="0.25">
      <c r="A417" t="s">
        <v>309</v>
      </c>
      <c r="B417" t="str">
        <f>ADDRESS(ROW('Bond 1'!$B$13),COLUMN('Bond 1'!$B$13),4)</f>
        <v>B13</v>
      </c>
      <c r="C417" t="str">
        <f>ADDRESS(ROW('Bond 1'!$D$13),COLUMN('Bond 1'!$D$13),4)</f>
        <v>D13</v>
      </c>
      <c r="D417" t="b" cm="1">
        <f t="array" aca="1" ref="D417" ca="1">IF(INDIRECT("'"&amp;A417&amp;"'!"&amp;B417)="",FALSE,IF('Bond 9'!B$12="",TRUE,FALSE))</f>
        <v>0</v>
      </c>
      <c r="E417" t="s">
        <v>611</v>
      </c>
      <c r="F417" t="str">
        <f>INDEX(Lists!I:I,MATCH(Validation!E417,Lists!G:G,0))</f>
        <v>Error</v>
      </c>
      <c r="G417" t="str">
        <f>INDEX(Lists!H:H,MATCH(Validation!E417,Lists!G:G,0))</f>
        <v>Enter the issue date first.</v>
      </c>
      <c r="H417" s="25" t="str">
        <f t="shared" ca="1" si="111"/>
        <v/>
      </c>
      <c r="I417" s="25" t="str">
        <f t="shared" ca="1" si="112"/>
        <v/>
      </c>
      <c r="J417" s="26" t="str">
        <f t="shared" ca="1" si="113"/>
        <v/>
      </c>
    </row>
    <row r="418" spans="1:10" x14ac:dyDescent="0.25">
      <c r="A418" t="s">
        <v>310</v>
      </c>
      <c r="B418" t="str">
        <f>ADDRESS(ROW('Bond 1'!$B$13),COLUMN('Bond 1'!$B$13),4)</f>
        <v>B13</v>
      </c>
      <c r="C418" t="str">
        <f>ADDRESS(ROW('Bond 1'!$D$13),COLUMN('Bond 1'!$D$13),4)</f>
        <v>D13</v>
      </c>
      <c r="D418" t="b" cm="1">
        <f t="array" aca="1" ref="D418" ca="1">IF(INDIRECT("'"&amp;A418&amp;"'!"&amp;B418)="",FALSE,IF('Bond 10'!B$12="",TRUE,FALSE))</f>
        <v>0</v>
      </c>
      <c r="E418" t="s">
        <v>611</v>
      </c>
      <c r="F418" t="str">
        <f>INDEX(Lists!I:I,MATCH(Validation!E418,Lists!G:G,0))</f>
        <v>Error</v>
      </c>
      <c r="G418" t="str">
        <f>INDEX(Lists!H:H,MATCH(Validation!E418,Lists!G:G,0))</f>
        <v>Enter the issue date first.</v>
      </c>
      <c r="H418" s="25" t="str">
        <f t="shared" ca="1" si="111"/>
        <v/>
      </c>
      <c r="I418" s="25" t="str">
        <f t="shared" ca="1" si="112"/>
        <v/>
      </c>
      <c r="J418" s="26" t="str">
        <f t="shared" ca="1" si="113"/>
        <v/>
      </c>
    </row>
    <row r="419" spans="1:10" x14ac:dyDescent="0.25">
      <c r="A419" t="s">
        <v>311</v>
      </c>
      <c r="B419" t="str">
        <f>ADDRESS(ROW('Bond 1'!$B$13),COLUMN('Bond 1'!$B$13),4)</f>
        <v>B13</v>
      </c>
      <c r="C419" t="str">
        <f>ADDRESS(ROW('Bond 1'!$D$13),COLUMN('Bond 1'!$D$13),4)</f>
        <v>D13</v>
      </c>
      <c r="D419" t="b" cm="1">
        <f t="array" aca="1" ref="D419" ca="1">IF(INDIRECT("'"&amp;A419&amp;"'!"&amp;B419)="",FALSE,IF('Bond 11'!B$12="",TRUE,FALSE))</f>
        <v>0</v>
      </c>
      <c r="E419" t="s">
        <v>611</v>
      </c>
      <c r="F419" t="str">
        <f>INDEX(Lists!I:I,MATCH(Validation!E419,Lists!G:G,0))</f>
        <v>Error</v>
      </c>
      <c r="G419" t="str">
        <f>INDEX(Lists!H:H,MATCH(Validation!E419,Lists!G:G,0))</f>
        <v>Enter the issue date first.</v>
      </c>
      <c r="H419" s="25" t="str">
        <f t="shared" ca="1" si="111"/>
        <v/>
      </c>
      <c r="I419" s="25" t="str">
        <f t="shared" ca="1" si="112"/>
        <v/>
      </c>
      <c r="J419" s="26" t="str">
        <f t="shared" ca="1" si="113"/>
        <v/>
      </c>
    </row>
    <row r="420" spans="1:10" x14ac:dyDescent="0.25">
      <c r="A420" t="s">
        <v>312</v>
      </c>
      <c r="B420" t="str">
        <f>ADDRESS(ROW('Bond 1'!$B$13),COLUMN('Bond 1'!$B$13),4)</f>
        <v>B13</v>
      </c>
      <c r="C420" t="str">
        <f>ADDRESS(ROW('Bond 1'!$D$13),COLUMN('Bond 1'!$D$13),4)</f>
        <v>D13</v>
      </c>
      <c r="D420" t="b" cm="1">
        <f t="array" aca="1" ref="D420" ca="1">IF(INDIRECT("'"&amp;A420&amp;"'!"&amp;B420)="",FALSE,IF('Bond 12'!B$12="",TRUE,FALSE))</f>
        <v>0</v>
      </c>
      <c r="E420" t="s">
        <v>611</v>
      </c>
      <c r="F420" t="str">
        <f>INDEX(Lists!I:I,MATCH(Validation!E420,Lists!G:G,0))</f>
        <v>Error</v>
      </c>
      <c r="G420" t="str">
        <f>INDEX(Lists!H:H,MATCH(Validation!E420,Lists!G:G,0))</f>
        <v>Enter the issue date first.</v>
      </c>
      <c r="H420" s="25" t="str">
        <f t="shared" ca="1" si="111"/>
        <v/>
      </c>
      <c r="I420" s="25" t="str">
        <f t="shared" ca="1" si="112"/>
        <v/>
      </c>
      <c r="J420" s="26" t="str">
        <f t="shared" ca="1" si="113"/>
        <v/>
      </c>
    </row>
    <row r="421" spans="1:10" x14ac:dyDescent="0.25">
      <c r="A421" t="s">
        <v>313</v>
      </c>
      <c r="B421" t="str">
        <f>ADDRESS(ROW('Bond 1'!$B$13),COLUMN('Bond 1'!$B$13),4)</f>
        <v>B13</v>
      </c>
      <c r="C421" t="str">
        <f>ADDRESS(ROW('Bond 1'!$D$13),COLUMN('Bond 1'!$D$13),4)</f>
        <v>D13</v>
      </c>
      <c r="D421" t="b" cm="1">
        <f t="array" aca="1" ref="D421" ca="1">IF(INDIRECT("'"&amp;A421&amp;"'!"&amp;B421)="",FALSE,IF('Bond 13'!B$12="",TRUE,FALSE))</f>
        <v>0</v>
      </c>
      <c r="E421" t="s">
        <v>611</v>
      </c>
      <c r="F421" t="str">
        <f>INDEX(Lists!I:I,MATCH(Validation!E421,Lists!G:G,0))</f>
        <v>Error</v>
      </c>
      <c r="G421" t="str">
        <f>INDEX(Lists!H:H,MATCH(Validation!E421,Lists!G:G,0))</f>
        <v>Enter the issue date first.</v>
      </c>
      <c r="H421" s="25" t="str">
        <f t="shared" ca="1" si="111"/>
        <v/>
      </c>
      <c r="I421" s="25" t="str">
        <f t="shared" ca="1" si="112"/>
        <v/>
      </c>
      <c r="J421" s="26" t="str">
        <f t="shared" ca="1" si="113"/>
        <v/>
      </c>
    </row>
    <row r="422" spans="1:10" x14ac:dyDescent="0.25">
      <c r="A422" t="s">
        <v>314</v>
      </c>
      <c r="B422" t="str">
        <f>ADDRESS(ROW('Bond 1'!$B$13),COLUMN('Bond 1'!$B$13),4)</f>
        <v>B13</v>
      </c>
      <c r="C422" t="str">
        <f>ADDRESS(ROW('Bond 1'!$D$13),COLUMN('Bond 1'!$D$13),4)</f>
        <v>D13</v>
      </c>
      <c r="D422" t="b" cm="1">
        <f t="array" aca="1" ref="D422" ca="1">IF(INDIRECT("'"&amp;A422&amp;"'!"&amp;B422)="",FALSE,IF('Bond 14'!B$12="",TRUE,FALSE))</f>
        <v>0</v>
      </c>
      <c r="E422" t="s">
        <v>611</v>
      </c>
      <c r="F422" t="str">
        <f>INDEX(Lists!I:I,MATCH(Validation!E422,Lists!G:G,0))</f>
        <v>Error</v>
      </c>
      <c r="G422" t="str">
        <f>INDEX(Lists!H:H,MATCH(Validation!E422,Lists!G:G,0))</f>
        <v>Enter the issue date first.</v>
      </c>
      <c r="H422" s="25" t="str">
        <f t="shared" ca="1" si="111"/>
        <v/>
      </c>
      <c r="I422" s="25" t="str">
        <f t="shared" ca="1" si="112"/>
        <v/>
      </c>
      <c r="J422" s="26" t="str">
        <f t="shared" ca="1" si="113"/>
        <v/>
      </c>
    </row>
    <row r="423" spans="1:10" x14ac:dyDescent="0.25">
      <c r="A423" t="s">
        <v>315</v>
      </c>
      <c r="B423" t="str">
        <f>ADDRESS(ROW('Bond 1'!$B$13),COLUMN('Bond 1'!$B$13),4)</f>
        <v>B13</v>
      </c>
      <c r="C423" t="str">
        <f>ADDRESS(ROW('Bond 1'!$D$13),COLUMN('Bond 1'!$D$13),4)</f>
        <v>D13</v>
      </c>
      <c r="D423" t="b" cm="1">
        <f t="array" aca="1" ref="D423" ca="1">IF(INDIRECT("'"&amp;A423&amp;"'!"&amp;B423)="",FALSE,IF('Bond 15'!B$12="",TRUE,FALSE))</f>
        <v>0</v>
      </c>
      <c r="E423" t="s">
        <v>611</v>
      </c>
      <c r="F423" t="str">
        <f>INDEX(Lists!I:I,MATCH(Validation!E423,Lists!G:G,0))</f>
        <v>Error</v>
      </c>
      <c r="G423" t="str">
        <f>INDEX(Lists!H:H,MATCH(Validation!E423,Lists!G:G,0))</f>
        <v>Enter the issue date first.</v>
      </c>
      <c r="H423" s="25" t="str">
        <f t="shared" ca="1" si="111"/>
        <v/>
      </c>
      <c r="I423" s="25" t="str">
        <f t="shared" ca="1" si="112"/>
        <v/>
      </c>
      <c r="J423" s="26" t="str">
        <f t="shared" ca="1" si="113"/>
        <v/>
      </c>
    </row>
    <row r="424" spans="1:10" x14ac:dyDescent="0.25">
      <c r="A424" t="s">
        <v>198</v>
      </c>
      <c r="B424" t="str">
        <f>ADDRESS(ROW('Bond 1'!$B$13),COLUMN('Bond 1'!$B$13),4)</f>
        <v>B13</v>
      </c>
      <c r="C424" t="str">
        <f>ADDRESS(ROW('Bond 1'!$D$13),COLUMN('Bond 1'!$D$13),4)</f>
        <v>D13</v>
      </c>
      <c r="D424" t="b">
        <f>IF('Bond 1'!B$13="",FALSE,IF('Bond 1'!B$13&lt;='Bond 1'!B$12,TRUE,FALSE))</f>
        <v>0</v>
      </c>
      <c r="E424" t="s">
        <v>613</v>
      </c>
      <c r="F424" t="str">
        <f>INDEX(Lists!I:I,MATCH(Validation!E424,Lists!G:G,0))</f>
        <v>Error</v>
      </c>
      <c r="G424" t="str">
        <f>INDEX(Lists!H:H,MATCH(Validation!E424,Lists!G:G,0))</f>
        <v>Final maturity date must be after the issue date.</v>
      </c>
      <c r="H424" s="25" t="str">
        <f t="shared" ref="H424:H438" ca="1" si="114">IFERROR(IF(OR(NOT(D424),F424&lt;&gt;"Error"),"",A424&amp;CELL("address",INDIRECT(B424))),"")</f>
        <v/>
      </c>
      <c r="I424" s="25" t="str">
        <f t="shared" ref="I424:I438" ca="1" si="115">IFERROR(IF(NOT(D424),"",A424&amp;CELL("address",INDIRECT(C424))),"")</f>
        <v/>
      </c>
      <c r="J424" s="26" t="str">
        <f t="shared" ref="J424:J438" si="116">IFERROR(IF(NOT(D424),"",A424),"")</f>
        <v/>
      </c>
    </row>
    <row r="425" spans="1:10" x14ac:dyDescent="0.25">
      <c r="A425" t="s">
        <v>302</v>
      </c>
      <c r="B425" t="str">
        <f>ADDRESS(ROW('Bond 1'!$B$13),COLUMN('Bond 1'!$B$13),4)</f>
        <v>B13</v>
      </c>
      <c r="C425" t="str">
        <f>ADDRESS(ROW('Bond 1'!$D$13),COLUMN('Bond 1'!$D$13),4)</f>
        <v>D13</v>
      </c>
      <c r="D425" t="b">
        <f>IF('Bond 2'!B$13="",FALSE,IF('Bond 2'!B$13&lt;='Bond 2'!B$12,TRUE,FALSE))</f>
        <v>0</v>
      </c>
      <c r="E425" t="s">
        <v>613</v>
      </c>
      <c r="F425" t="str">
        <f>INDEX(Lists!I:I,MATCH(Validation!E425,Lists!G:G,0))</f>
        <v>Error</v>
      </c>
      <c r="G425" t="str">
        <f>INDEX(Lists!H:H,MATCH(Validation!E425,Lists!G:G,0))</f>
        <v>Final maturity date must be after the issue date.</v>
      </c>
      <c r="H425" s="25" t="str">
        <f t="shared" ca="1" si="114"/>
        <v/>
      </c>
      <c r="I425" s="25" t="str">
        <f t="shared" ca="1" si="115"/>
        <v/>
      </c>
      <c r="J425" s="26" t="str">
        <f t="shared" si="116"/>
        <v/>
      </c>
    </row>
    <row r="426" spans="1:10" x14ac:dyDescent="0.25">
      <c r="A426" t="s">
        <v>303</v>
      </c>
      <c r="B426" t="str">
        <f>ADDRESS(ROW('Bond 1'!$B$13),COLUMN('Bond 1'!$B$13),4)</f>
        <v>B13</v>
      </c>
      <c r="C426" t="str">
        <f>ADDRESS(ROW('Bond 1'!$D$13),COLUMN('Bond 1'!$D$13),4)</f>
        <v>D13</v>
      </c>
      <c r="D426" t="b">
        <f>IF('Bond 3'!B$13="",FALSE,IF('Bond 3'!B$13&lt;='Bond 3'!B$12,TRUE,FALSE))</f>
        <v>0</v>
      </c>
      <c r="E426" t="s">
        <v>613</v>
      </c>
      <c r="F426" t="str">
        <f>INDEX(Lists!I:I,MATCH(Validation!E426,Lists!G:G,0))</f>
        <v>Error</v>
      </c>
      <c r="G426" t="str">
        <f>INDEX(Lists!H:H,MATCH(Validation!E426,Lists!G:G,0))</f>
        <v>Final maturity date must be after the issue date.</v>
      </c>
      <c r="H426" s="25" t="str">
        <f t="shared" ca="1" si="114"/>
        <v/>
      </c>
      <c r="I426" s="25" t="str">
        <f t="shared" ca="1" si="115"/>
        <v/>
      </c>
      <c r="J426" s="26" t="str">
        <f t="shared" si="116"/>
        <v/>
      </c>
    </row>
    <row r="427" spans="1:10" x14ac:dyDescent="0.25">
      <c r="A427" t="s">
        <v>304</v>
      </c>
      <c r="B427" t="str">
        <f>ADDRESS(ROW('Bond 1'!$B$13),COLUMN('Bond 1'!$B$13),4)</f>
        <v>B13</v>
      </c>
      <c r="C427" t="str">
        <f>ADDRESS(ROW('Bond 1'!$D$13),COLUMN('Bond 1'!$D$13),4)</f>
        <v>D13</v>
      </c>
      <c r="D427" t="b">
        <f>IF('Bond 4'!B$13="",FALSE,IF('Bond 4'!B$13&lt;='Bond 4'!B$12,TRUE,FALSE))</f>
        <v>0</v>
      </c>
      <c r="E427" t="s">
        <v>613</v>
      </c>
      <c r="F427" t="str">
        <f>INDEX(Lists!I:I,MATCH(Validation!E427,Lists!G:G,0))</f>
        <v>Error</v>
      </c>
      <c r="G427" t="str">
        <f>INDEX(Lists!H:H,MATCH(Validation!E427,Lists!G:G,0))</f>
        <v>Final maturity date must be after the issue date.</v>
      </c>
      <c r="H427" s="25" t="str">
        <f t="shared" ca="1" si="114"/>
        <v/>
      </c>
      <c r="I427" s="25" t="str">
        <f t="shared" ca="1" si="115"/>
        <v/>
      </c>
      <c r="J427" s="26" t="str">
        <f t="shared" si="116"/>
        <v/>
      </c>
    </row>
    <row r="428" spans="1:10" x14ac:dyDescent="0.25">
      <c r="A428" t="s">
        <v>305</v>
      </c>
      <c r="B428" t="str">
        <f>ADDRESS(ROW('Bond 1'!$B$13),COLUMN('Bond 1'!$B$13),4)</f>
        <v>B13</v>
      </c>
      <c r="C428" t="str">
        <f>ADDRESS(ROW('Bond 1'!$D$13),COLUMN('Bond 1'!$D$13),4)</f>
        <v>D13</v>
      </c>
      <c r="D428" t="b">
        <f>IF('Bond 5'!B$13="",FALSE,IF('Bond 5'!B$13&lt;='Bond 5'!B$12,TRUE,FALSE))</f>
        <v>0</v>
      </c>
      <c r="E428" t="s">
        <v>613</v>
      </c>
      <c r="F428" t="str">
        <f>INDEX(Lists!I:I,MATCH(Validation!E428,Lists!G:G,0))</f>
        <v>Error</v>
      </c>
      <c r="G428" t="str">
        <f>INDEX(Lists!H:H,MATCH(Validation!E428,Lists!G:G,0))</f>
        <v>Final maturity date must be after the issue date.</v>
      </c>
      <c r="H428" s="25" t="str">
        <f t="shared" ca="1" si="114"/>
        <v/>
      </c>
      <c r="I428" s="25" t="str">
        <f t="shared" ca="1" si="115"/>
        <v/>
      </c>
      <c r="J428" s="26" t="str">
        <f t="shared" si="116"/>
        <v/>
      </c>
    </row>
    <row r="429" spans="1:10" x14ac:dyDescent="0.25">
      <c r="A429" t="s">
        <v>306</v>
      </c>
      <c r="B429" t="str">
        <f>ADDRESS(ROW('Bond 1'!$B$13),COLUMN('Bond 1'!$B$13),4)</f>
        <v>B13</v>
      </c>
      <c r="C429" t="str">
        <f>ADDRESS(ROW('Bond 1'!$D$13),COLUMN('Bond 1'!$D$13),4)</f>
        <v>D13</v>
      </c>
      <c r="D429" t="b">
        <f>IF('Bond 6'!B$13="",FALSE,IF('Bond 6'!B$13&lt;='Bond 6'!B$12,TRUE,FALSE))</f>
        <v>0</v>
      </c>
      <c r="E429" t="s">
        <v>613</v>
      </c>
      <c r="F429" t="str">
        <f>INDEX(Lists!I:I,MATCH(Validation!E429,Lists!G:G,0))</f>
        <v>Error</v>
      </c>
      <c r="G429" t="str">
        <f>INDEX(Lists!H:H,MATCH(Validation!E429,Lists!G:G,0))</f>
        <v>Final maturity date must be after the issue date.</v>
      </c>
      <c r="H429" s="25" t="str">
        <f t="shared" ca="1" si="114"/>
        <v/>
      </c>
      <c r="I429" s="25" t="str">
        <f t="shared" ca="1" si="115"/>
        <v/>
      </c>
      <c r="J429" s="26" t="str">
        <f t="shared" si="116"/>
        <v/>
      </c>
    </row>
    <row r="430" spans="1:10" x14ac:dyDescent="0.25">
      <c r="A430" t="s">
        <v>307</v>
      </c>
      <c r="B430" t="str">
        <f>ADDRESS(ROW('Bond 1'!$B$13),COLUMN('Bond 1'!$B$13),4)</f>
        <v>B13</v>
      </c>
      <c r="C430" t="str">
        <f>ADDRESS(ROW('Bond 1'!$D$13),COLUMN('Bond 1'!$D$13),4)</f>
        <v>D13</v>
      </c>
      <c r="D430" t="b">
        <f>IF('Bond 7'!B$13="",FALSE,IF('Bond 7'!B$13&lt;='Bond 7'!B$12,TRUE,FALSE))</f>
        <v>0</v>
      </c>
      <c r="E430" t="s">
        <v>613</v>
      </c>
      <c r="F430" t="str">
        <f>INDEX(Lists!I:I,MATCH(Validation!E430,Lists!G:G,0))</f>
        <v>Error</v>
      </c>
      <c r="G430" t="str">
        <f>INDEX(Lists!H:H,MATCH(Validation!E430,Lists!G:G,0))</f>
        <v>Final maturity date must be after the issue date.</v>
      </c>
      <c r="H430" s="25" t="str">
        <f t="shared" ca="1" si="114"/>
        <v/>
      </c>
      <c r="I430" s="25" t="str">
        <f t="shared" ca="1" si="115"/>
        <v/>
      </c>
      <c r="J430" s="26" t="str">
        <f t="shared" si="116"/>
        <v/>
      </c>
    </row>
    <row r="431" spans="1:10" x14ac:dyDescent="0.25">
      <c r="A431" t="s">
        <v>308</v>
      </c>
      <c r="B431" t="str">
        <f>ADDRESS(ROW('Bond 1'!$B$13),COLUMN('Bond 1'!$B$13),4)</f>
        <v>B13</v>
      </c>
      <c r="C431" t="str">
        <f>ADDRESS(ROW('Bond 1'!$D$13),COLUMN('Bond 1'!$D$13),4)</f>
        <v>D13</v>
      </c>
      <c r="D431" t="b">
        <f>IF('Bond 8'!B$13="",FALSE,IF('Bond 8'!B$13&lt;='Bond 8'!B$12,TRUE,FALSE))</f>
        <v>0</v>
      </c>
      <c r="E431" t="s">
        <v>613</v>
      </c>
      <c r="F431" t="str">
        <f>INDEX(Lists!I:I,MATCH(Validation!E431,Lists!G:G,0))</f>
        <v>Error</v>
      </c>
      <c r="G431" t="str">
        <f>INDEX(Lists!H:H,MATCH(Validation!E431,Lists!G:G,0))</f>
        <v>Final maturity date must be after the issue date.</v>
      </c>
      <c r="H431" s="25" t="str">
        <f t="shared" ca="1" si="114"/>
        <v/>
      </c>
      <c r="I431" s="25" t="str">
        <f t="shared" ca="1" si="115"/>
        <v/>
      </c>
      <c r="J431" s="26" t="str">
        <f t="shared" si="116"/>
        <v/>
      </c>
    </row>
    <row r="432" spans="1:10" x14ac:dyDescent="0.25">
      <c r="A432" t="s">
        <v>309</v>
      </c>
      <c r="B432" t="str">
        <f>ADDRESS(ROW('Bond 1'!$B$13),COLUMN('Bond 1'!$B$13),4)</f>
        <v>B13</v>
      </c>
      <c r="C432" t="str">
        <f>ADDRESS(ROW('Bond 1'!$D$13),COLUMN('Bond 1'!$D$13),4)</f>
        <v>D13</v>
      </c>
      <c r="D432" t="b">
        <f>IF('Bond 9'!B$13="",FALSE,IF('Bond 9'!B$13&lt;='Bond 9'!B$12,TRUE,FALSE))</f>
        <v>0</v>
      </c>
      <c r="E432" t="s">
        <v>613</v>
      </c>
      <c r="F432" t="str">
        <f>INDEX(Lists!I:I,MATCH(Validation!E432,Lists!G:G,0))</f>
        <v>Error</v>
      </c>
      <c r="G432" t="str">
        <f>INDEX(Lists!H:H,MATCH(Validation!E432,Lists!G:G,0))</f>
        <v>Final maturity date must be after the issue date.</v>
      </c>
      <c r="H432" s="25" t="str">
        <f t="shared" ca="1" si="114"/>
        <v/>
      </c>
      <c r="I432" s="25" t="str">
        <f t="shared" ca="1" si="115"/>
        <v/>
      </c>
      <c r="J432" s="26" t="str">
        <f t="shared" si="116"/>
        <v/>
      </c>
    </row>
    <row r="433" spans="1:10" x14ac:dyDescent="0.25">
      <c r="A433" t="s">
        <v>310</v>
      </c>
      <c r="B433" t="str">
        <f>ADDRESS(ROW('Bond 1'!$B$13),COLUMN('Bond 1'!$B$13),4)</f>
        <v>B13</v>
      </c>
      <c r="C433" t="str">
        <f>ADDRESS(ROW('Bond 1'!$D$13),COLUMN('Bond 1'!$D$13),4)</f>
        <v>D13</v>
      </c>
      <c r="D433" t="b">
        <f>IF('Bond 10'!B$13="",FALSE,IF('Bond 10'!B$13&lt;='Bond 10'!B$12,TRUE,FALSE))</f>
        <v>0</v>
      </c>
      <c r="E433" t="s">
        <v>613</v>
      </c>
      <c r="F433" t="str">
        <f>INDEX(Lists!I:I,MATCH(Validation!E433,Lists!G:G,0))</f>
        <v>Error</v>
      </c>
      <c r="G433" t="str">
        <f>INDEX(Lists!H:H,MATCH(Validation!E433,Lists!G:G,0))</f>
        <v>Final maturity date must be after the issue date.</v>
      </c>
      <c r="H433" s="25" t="str">
        <f t="shared" ca="1" si="114"/>
        <v/>
      </c>
      <c r="I433" s="25" t="str">
        <f t="shared" ca="1" si="115"/>
        <v/>
      </c>
      <c r="J433" s="26" t="str">
        <f t="shared" si="116"/>
        <v/>
      </c>
    </row>
    <row r="434" spans="1:10" x14ac:dyDescent="0.25">
      <c r="A434" t="s">
        <v>311</v>
      </c>
      <c r="B434" t="str">
        <f>ADDRESS(ROW('Bond 1'!$B$13),COLUMN('Bond 1'!$B$13),4)</f>
        <v>B13</v>
      </c>
      <c r="C434" t="str">
        <f>ADDRESS(ROW('Bond 1'!$D$13),COLUMN('Bond 1'!$D$13),4)</f>
        <v>D13</v>
      </c>
      <c r="D434" t="b">
        <f>IF('Bond 11'!B$13="",FALSE,IF('Bond 11'!B$13&lt;='Bond 11'!B$12,TRUE,FALSE))</f>
        <v>0</v>
      </c>
      <c r="E434" t="s">
        <v>613</v>
      </c>
      <c r="F434" t="str">
        <f>INDEX(Lists!I:I,MATCH(Validation!E434,Lists!G:G,0))</f>
        <v>Error</v>
      </c>
      <c r="G434" t="str">
        <f>INDEX(Lists!H:H,MATCH(Validation!E434,Lists!G:G,0))</f>
        <v>Final maturity date must be after the issue date.</v>
      </c>
      <c r="H434" s="25" t="str">
        <f t="shared" ca="1" si="114"/>
        <v/>
      </c>
      <c r="I434" s="25" t="str">
        <f t="shared" ca="1" si="115"/>
        <v/>
      </c>
      <c r="J434" s="26" t="str">
        <f t="shared" si="116"/>
        <v/>
      </c>
    </row>
    <row r="435" spans="1:10" x14ac:dyDescent="0.25">
      <c r="A435" t="s">
        <v>312</v>
      </c>
      <c r="B435" t="str">
        <f>ADDRESS(ROW('Bond 1'!$B$13),COLUMN('Bond 1'!$B$13),4)</f>
        <v>B13</v>
      </c>
      <c r="C435" t="str">
        <f>ADDRESS(ROW('Bond 1'!$D$13),COLUMN('Bond 1'!$D$13),4)</f>
        <v>D13</v>
      </c>
      <c r="D435" t="b">
        <f>IF('Bond 12'!B$13="",FALSE,IF('Bond 12'!B$13&lt;='Bond 12'!B$12,TRUE,FALSE))</f>
        <v>0</v>
      </c>
      <c r="E435" t="s">
        <v>613</v>
      </c>
      <c r="F435" t="str">
        <f>INDEX(Lists!I:I,MATCH(Validation!E435,Lists!G:G,0))</f>
        <v>Error</v>
      </c>
      <c r="G435" t="str">
        <f>INDEX(Lists!H:H,MATCH(Validation!E435,Lists!G:G,0))</f>
        <v>Final maturity date must be after the issue date.</v>
      </c>
      <c r="H435" s="25" t="str">
        <f t="shared" ca="1" si="114"/>
        <v/>
      </c>
      <c r="I435" s="25" t="str">
        <f t="shared" ca="1" si="115"/>
        <v/>
      </c>
      <c r="J435" s="26" t="str">
        <f t="shared" si="116"/>
        <v/>
      </c>
    </row>
    <row r="436" spans="1:10" x14ac:dyDescent="0.25">
      <c r="A436" t="s">
        <v>313</v>
      </c>
      <c r="B436" t="str">
        <f>ADDRESS(ROW('Bond 1'!$B$13),COLUMN('Bond 1'!$B$13),4)</f>
        <v>B13</v>
      </c>
      <c r="C436" t="str">
        <f>ADDRESS(ROW('Bond 1'!$D$13),COLUMN('Bond 1'!$D$13),4)</f>
        <v>D13</v>
      </c>
      <c r="D436" t="b">
        <f>IF('Bond 13'!B$13="",FALSE,IF('Bond 13'!B$13&lt;='Bond 13'!B$12,TRUE,FALSE))</f>
        <v>0</v>
      </c>
      <c r="E436" t="s">
        <v>613</v>
      </c>
      <c r="F436" t="str">
        <f>INDEX(Lists!I:I,MATCH(Validation!E436,Lists!G:G,0))</f>
        <v>Error</v>
      </c>
      <c r="G436" t="str">
        <f>INDEX(Lists!H:H,MATCH(Validation!E436,Lists!G:G,0))</f>
        <v>Final maturity date must be after the issue date.</v>
      </c>
      <c r="H436" s="25" t="str">
        <f t="shared" ca="1" si="114"/>
        <v/>
      </c>
      <c r="I436" s="25" t="str">
        <f t="shared" ca="1" si="115"/>
        <v/>
      </c>
      <c r="J436" s="26" t="str">
        <f t="shared" si="116"/>
        <v/>
      </c>
    </row>
    <row r="437" spans="1:10" x14ac:dyDescent="0.25">
      <c r="A437" t="s">
        <v>314</v>
      </c>
      <c r="B437" t="str">
        <f>ADDRESS(ROW('Bond 1'!$B$13),COLUMN('Bond 1'!$B$13),4)</f>
        <v>B13</v>
      </c>
      <c r="C437" t="str">
        <f>ADDRESS(ROW('Bond 1'!$D$13),COLUMN('Bond 1'!$D$13),4)</f>
        <v>D13</v>
      </c>
      <c r="D437" t="b">
        <f>IF('Bond 14'!B$13="",FALSE,IF('Bond 14'!B$13&lt;='Bond 14'!B$12,TRUE,FALSE))</f>
        <v>0</v>
      </c>
      <c r="E437" t="s">
        <v>613</v>
      </c>
      <c r="F437" t="str">
        <f>INDEX(Lists!I:I,MATCH(Validation!E437,Lists!G:G,0))</f>
        <v>Error</v>
      </c>
      <c r="G437" t="str">
        <f>INDEX(Lists!H:H,MATCH(Validation!E437,Lists!G:G,0))</f>
        <v>Final maturity date must be after the issue date.</v>
      </c>
      <c r="H437" s="25" t="str">
        <f t="shared" ca="1" si="114"/>
        <v/>
      </c>
      <c r="I437" s="25" t="str">
        <f t="shared" ca="1" si="115"/>
        <v/>
      </c>
      <c r="J437" s="26" t="str">
        <f t="shared" si="116"/>
        <v/>
      </c>
    </row>
    <row r="438" spans="1:10" x14ac:dyDescent="0.25">
      <c r="A438" t="s">
        <v>315</v>
      </c>
      <c r="B438" t="str">
        <f>ADDRESS(ROW('Bond 1'!$B$13),COLUMN('Bond 1'!$B$13),4)</f>
        <v>B13</v>
      </c>
      <c r="C438" t="str">
        <f>ADDRESS(ROW('Bond 1'!$D$13),COLUMN('Bond 1'!$D$13),4)</f>
        <v>D13</v>
      </c>
      <c r="D438" t="b">
        <f>IF('Bond 15'!B$13="",FALSE,IF('Bond 15'!B$13&lt;='Bond 15'!B$12,TRUE,FALSE))</f>
        <v>0</v>
      </c>
      <c r="E438" t="s">
        <v>613</v>
      </c>
      <c r="F438" t="str">
        <f>INDEX(Lists!I:I,MATCH(Validation!E438,Lists!G:G,0))</f>
        <v>Error</v>
      </c>
      <c r="G438" t="str">
        <f>INDEX(Lists!H:H,MATCH(Validation!E438,Lists!G:G,0))</f>
        <v>Final maturity date must be after the issue date.</v>
      </c>
      <c r="H438" s="25" t="str">
        <f t="shared" ca="1" si="114"/>
        <v/>
      </c>
      <c r="I438" s="25" t="str">
        <f t="shared" ca="1" si="115"/>
        <v/>
      </c>
      <c r="J438" s="26" t="str">
        <f t="shared" si="116"/>
        <v/>
      </c>
    </row>
    <row r="439" spans="1:10" x14ac:dyDescent="0.25">
      <c r="A439" t="s">
        <v>198</v>
      </c>
      <c r="B439" t="str">
        <f>ADDRESS(ROW('Bond 1'!$B$13),COLUMN('Bond 1'!$B$13),4)</f>
        <v>B13</v>
      </c>
      <c r="C439" t="str">
        <f>ADDRESS(ROW('Bond 1'!$D$13),COLUMN('Bond 1'!$D$13),4)</f>
        <v>D13</v>
      </c>
      <c r="D439" t="b">
        <f>IF('Bond 1'!B$13="",FALSE,IF(YEAR('Bond 1'!B$13)&gt;YEAR('Bond 1'!B$12)+30,TRUE,FALSE))</f>
        <v>0</v>
      </c>
      <c r="E439" t="s">
        <v>614</v>
      </c>
      <c r="F439" t="str">
        <f>INDEX(Lists!I:I,MATCH(Validation!E439,Lists!G:G,0))</f>
        <v>Alert</v>
      </c>
      <c r="G439" t="str">
        <f>INDEX(Lists!H:H,MATCH(Validation!E439,Lists!G:G,0))</f>
        <v>Final maturity date exceeds a typical length. Correct entry or explain in comments box.</v>
      </c>
      <c r="H439" s="25" t="str">
        <f t="shared" ref="H439:H453" ca="1" si="117">IFERROR(IF(OR(NOT(D439),F439&lt;&gt;"Error"),"",A439&amp;CELL("address",INDIRECT(B439))),"")</f>
        <v/>
      </c>
      <c r="I439" s="25" t="str">
        <f t="shared" ref="I439:I453" ca="1" si="118">IFERROR(IF(NOT(D439),"",A439&amp;CELL("address",INDIRECT(C439))),"")</f>
        <v/>
      </c>
      <c r="J439" s="26" t="str">
        <f t="shared" ref="J439:J453" si="119">IFERROR(IF(NOT(D439),"",A439),"")</f>
        <v/>
      </c>
    </row>
    <row r="440" spans="1:10" x14ac:dyDescent="0.25">
      <c r="A440" t="s">
        <v>302</v>
      </c>
      <c r="B440" t="str">
        <f>ADDRESS(ROW('Bond 1'!$B$13),COLUMN('Bond 1'!$B$13),4)</f>
        <v>B13</v>
      </c>
      <c r="C440" t="str">
        <f>ADDRESS(ROW('Bond 1'!$D$13),COLUMN('Bond 1'!$D$13),4)</f>
        <v>D13</v>
      </c>
      <c r="D440" t="b">
        <f>IF('Bond 2'!B$13="",FALSE,IF(YEAR('Bond 2'!B$13)&gt;YEAR('Bond 2'!B$12)+30,TRUE,FALSE))</f>
        <v>0</v>
      </c>
      <c r="E440" t="s">
        <v>614</v>
      </c>
      <c r="F440" t="str">
        <f>INDEX(Lists!I:I,MATCH(Validation!E440,Lists!G:G,0))</f>
        <v>Alert</v>
      </c>
      <c r="G440" t="str">
        <f>INDEX(Lists!H:H,MATCH(Validation!E440,Lists!G:G,0))</f>
        <v>Final maturity date exceeds a typical length. Correct entry or explain in comments box.</v>
      </c>
      <c r="H440" s="25" t="str">
        <f t="shared" ca="1" si="117"/>
        <v/>
      </c>
      <c r="I440" s="25" t="str">
        <f t="shared" ca="1" si="118"/>
        <v/>
      </c>
      <c r="J440" s="26" t="str">
        <f t="shared" si="119"/>
        <v/>
      </c>
    </row>
    <row r="441" spans="1:10" x14ac:dyDescent="0.25">
      <c r="A441" t="s">
        <v>303</v>
      </c>
      <c r="B441" t="str">
        <f>ADDRESS(ROW('Bond 1'!$B$13),COLUMN('Bond 1'!$B$13),4)</f>
        <v>B13</v>
      </c>
      <c r="C441" t="str">
        <f>ADDRESS(ROW('Bond 1'!$D$13),COLUMN('Bond 1'!$D$13),4)</f>
        <v>D13</v>
      </c>
      <c r="D441" t="b">
        <f>IF('Bond 3'!B$13="",FALSE,IF(YEAR('Bond 3'!B$13)&gt;YEAR('Bond 3'!B$12)+30,TRUE,FALSE))</f>
        <v>0</v>
      </c>
      <c r="E441" t="s">
        <v>614</v>
      </c>
      <c r="F441" t="str">
        <f>INDEX(Lists!I:I,MATCH(Validation!E441,Lists!G:G,0))</f>
        <v>Alert</v>
      </c>
      <c r="G441" t="str">
        <f>INDEX(Lists!H:H,MATCH(Validation!E441,Lists!G:G,0))</f>
        <v>Final maturity date exceeds a typical length. Correct entry or explain in comments box.</v>
      </c>
      <c r="H441" s="25" t="str">
        <f t="shared" ca="1" si="117"/>
        <v/>
      </c>
      <c r="I441" s="25" t="str">
        <f t="shared" ca="1" si="118"/>
        <v/>
      </c>
      <c r="J441" s="26" t="str">
        <f t="shared" si="119"/>
        <v/>
      </c>
    </row>
    <row r="442" spans="1:10" x14ac:dyDescent="0.25">
      <c r="A442" t="s">
        <v>304</v>
      </c>
      <c r="B442" t="str">
        <f>ADDRESS(ROW('Bond 1'!$B$13),COLUMN('Bond 1'!$B$13),4)</f>
        <v>B13</v>
      </c>
      <c r="C442" t="str">
        <f>ADDRESS(ROW('Bond 1'!$D$13),COLUMN('Bond 1'!$D$13),4)</f>
        <v>D13</v>
      </c>
      <c r="D442" t="b">
        <f>IF('Bond 4'!B$13="",FALSE,IF(YEAR('Bond 4'!B$13)&gt;YEAR('Bond 4'!B$12)+30,TRUE,FALSE))</f>
        <v>0</v>
      </c>
      <c r="E442" t="s">
        <v>614</v>
      </c>
      <c r="F442" t="str">
        <f>INDEX(Lists!I:I,MATCH(Validation!E442,Lists!G:G,0))</f>
        <v>Alert</v>
      </c>
      <c r="G442" t="str">
        <f>INDEX(Lists!H:H,MATCH(Validation!E442,Lists!G:G,0))</f>
        <v>Final maturity date exceeds a typical length. Correct entry or explain in comments box.</v>
      </c>
      <c r="H442" s="25" t="str">
        <f t="shared" ca="1" si="117"/>
        <v/>
      </c>
      <c r="I442" s="25" t="str">
        <f t="shared" ca="1" si="118"/>
        <v/>
      </c>
      <c r="J442" s="26" t="str">
        <f t="shared" si="119"/>
        <v/>
      </c>
    </row>
    <row r="443" spans="1:10" x14ac:dyDescent="0.25">
      <c r="A443" t="s">
        <v>305</v>
      </c>
      <c r="B443" t="str">
        <f>ADDRESS(ROW('Bond 1'!$B$13),COLUMN('Bond 1'!$B$13),4)</f>
        <v>B13</v>
      </c>
      <c r="C443" t="str">
        <f>ADDRESS(ROW('Bond 1'!$D$13),COLUMN('Bond 1'!$D$13),4)</f>
        <v>D13</v>
      </c>
      <c r="D443" t="b">
        <f>IF('Bond 5'!B$13="",FALSE,IF(YEAR('Bond 5'!B$13)&gt;YEAR('Bond 5'!B$12)+30,TRUE,FALSE))</f>
        <v>0</v>
      </c>
      <c r="E443" t="s">
        <v>614</v>
      </c>
      <c r="F443" t="str">
        <f>INDEX(Lists!I:I,MATCH(Validation!E443,Lists!G:G,0))</f>
        <v>Alert</v>
      </c>
      <c r="G443" t="str">
        <f>INDEX(Lists!H:H,MATCH(Validation!E443,Lists!G:G,0))</f>
        <v>Final maturity date exceeds a typical length. Correct entry or explain in comments box.</v>
      </c>
      <c r="H443" s="25" t="str">
        <f t="shared" ca="1" si="117"/>
        <v/>
      </c>
      <c r="I443" s="25" t="str">
        <f t="shared" ca="1" si="118"/>
        <v/>
      </c>
      <c r="J443" s="26" t="str">
        <f t="shared" si="119"/>
        <v/>
      </c>
    </row>
    <row r="444" spans="1:10" x14ac:dyDescent="0.25">
      <c r="A444" t="s">
        <v>306</v>
      </c>
      <c r="B444" t="str">
        <f>ADDRESS(ROW('Bond 1'!$B$13),COLUMN('Bond 1'!$B$13),4)</f>
        <v>B13</v>
      </c>
      <c r="C444" t="str">
        <f>ADDRESS(ROW('Bond 1'!$D$13),COLUMN('Bond 1'!$D$13),4)</f>
        <v>D13</v>
      </c>
      <c r="D444" t="b">
        <f>IF('Bond 6'!B$13="",FALSE,IF(YEAR('Bond 6'!B$13)&gt;YEAR('Bond 6'!B$12)+30,TRUE,FALSE))</f>
        <v>0</v>
      </c>
      <c r="E444" t="s">
        <v>614</v>
      </c>
      <c r="F444" t="str">
        <f>INDEX(Lists!I:I,MATCH(Validation!E444,Lists!G:G,0))</f>
        <v>Alert</v>
      </c>
      <c r="G444" t="str">
        <f>INDEX(Lists!H:H,MATCH(Validation!E444,Lists!G:G,0))</f>
        <v>Final maturity date exceeds a typical length. Correct entry or explain in comments box.</v>
      </c>
      <c r="H444" s="25" t="str">
        <f t="shared" ca="1" si="117"/>
        <v/>
      </c>
      <c r="I444" s="25" t="str">
        <f t="shared" ca="1" si="118"/>
        <v/>
      </c>
      <c r="J444" s="26" t="str">
        <f t="shared" si="119"/>
        <v/>
      </c>
    </row>
    <row r="445" spans="1:10" x14ac:dyDescent="0.25">
      <c r="A445" t="s">
        <v>307</v>
      </c>
      <c r="B445" t="str">
        <f>ADDRESS(ROW('Bond 1'!$B$13),COLUMN('Bond 1'!$B$13),4)</f>
        <v>B13</v>
      </c>
      <c r="C445" t="str">
        <f>ADDRESS(ROW('Bond 1'!$D$13),COLUMN('Bond 1'!$D$13),4)</f>
        <v>D13</v>
      </c>
      <c r="D445" t="b">
        <f>IF('Bond 7'!B$13="",FALSE,IF(YEAR('Bond 7'!B$13)&gt;YEAR('Bond 7'!B$12)+30,TRUE,FALSE))</f>
        <v>0</v>
      </c>
      <c r="E445" t="s">
        <v>614</v>
      </c>
      <c r="F445" t="str">
        <f>INDEX(Lists!I:I,MATCH(Validation!E445,Lists!G:G,0))</f>
        <v>Alert</v>
      </c>
      <c r="G445" t="str">
        <f>INDEX(Lists!H:H,MATCH(Validation!E445,Lists!G:G,0))</f>
        <v>Final maturity date exceeds a typical length. Correct entry or explain in comments box.</v>
      </c>
      <c r="H445" s="25" t="str">
        <f t="shared" ca="1" si="117"/>
        <v/>
      </c>
      <c r="I445" s="25" t="str">
        <f t="shared" ca="1" si="118"/>
        <v/>
      </c>
      <c r="J445" s="26" t="str">
        <f t="shared" si="119"/>
        <v/>
      </c>
    </row>
    <row r="446" spans="1:10" x14ac:dyDescent="0.25">
      <c r="A446" t="s">
        <v>308</v>
      </c>
      <c r="B446" t="str">
        <f>ADDRESS(ROW('Bond 1'!$B$13),COLUMN('Bond 1'!$B$13),4)</f>
        <v>B13</v>
      </c>
      <c r="C446" t="str">
        <f>ADDRESS(ROW('Bond 1'!$D$13),COLUMN('Bond 1'!$D$13),4)</f>
        <v>D13</v>
      </c>
      <c r="D446" t="b">
        <f>IF('Bond 8'!B$13="",FALSE,IF(YEAR('Bond 8'!B$13)&gt;YEAR('Bond 8'!B$12)+30,TRUE,FALSE))</f>
        <v>0</v>
      </c>
      <c r="E446" t="s">
        <v>614</v>
      </c>
      <c r="F446" t="str">
        <f>INDEX(Lists!I:I,MATCH(Validation!E446,Lists!G:G,0))</f>
        <v>Alert</v>
      </c>
      <c r="G446" t="str">
        <f>INDEX(Lists!H:H,MATCH(Validation!E446,Lists!G:G,0))</f>
        <v>Final maturity date exceeds a typical length. Correct entry or explain in comments box.</v>
      </c>
      <c r="H446" s="25" t="str">
        <f t="shared" ca="1" si="117"/>
        <v/>
      </c>
      <c r="I446" s="25" t="str">
        <f t="shared" ca="1" si="118"/>
        <v/>
      </c>
      <c r="J446" s="26" t="str">
        <f t="shared" si="119"/>
        <v/>
      </c>
    </row>
    <row r="447" spans="1:10" x14ac:dyDescent="0.25">
      <c r="A447" t="s">
        <v>309</v>
      </c>
      <c r="B447" t="str">
        <f>ADDRESS(ROW('Bond 1'!$B$13),COLUMN('Bond 1'!$B$13),4)</f>
        <v>B13</v>
      </c>
      <c r="C447" t="str">
        <f>ADDRESS(ROW('Bond 1'!$D$13),COLUMN('Bond 1'!$D$13),4)</f>
        <v>D13</v>
      </c>
      <c r="D447" t="b">
        <f>IF('Bond 9'!B$13="",FALSE,IF(YEAR('Bond 9'!B$13)&gt;YEAR('Bond 9'!B$12)+30,TRUE,FALSE))</f>
        <v>0</v>
      </c>
      <c r="E447" t="s">
        <v>614</v>
      </c>
      <c r="F447" t="str">
        <f>INDEX(Lists!I:I,MATCH(Validation!E447,Lists!G:G,0))</f>
        <v>Alert</v>
      </c>
      <c r="G447" t="str">
        <f>INDEX(Lists!H:H,MATCH(Validation!E447,Lists!G:G,0))</f>
        <v>Final maturity date exceeds a typical length. Correct entry or explain in comments box.</v>
      </c>
      <c r="H447" s="25" t="str">
        <f t="shared" ca="1" si="117"/>
        <v/>
      </c>
      <c r="I447" s="25" t="str">
        <f t="shared" ca="1" si="118"/>
        <v/>
      </c>
      <c r="J447" s="26" t="str">
        <f t="shared" si="119"/>
        <v/>
      </c>
    </row>
    <row r="448" spans="1:10" x14ac:dyDescent="0.25">
      <c r="A448" t="s">
        <v>310</v>
      </c>
      <c r="B448" t="str">
        <f>ADDRESS(ROW('Bond 1'!$B$13),COLUMN('Bond 1'!$B$13),4)</f>
        <v>B13</v>
      </c>
      <c r="C448" t="str">
        <f>ADDRESS(ROW('Bond 1'!$D$13),COLUMN('Bond 1'!$D$13),4)</f>
        <v>D13</v>
      </c>
      <c r="D448" t="b">
        <f>IF('Bond 10'!B$13="",FALSE,IF(YEAR('Bond 10'!B$13)&gt;YEAR('Bond 10'!B$12)+30,TRUE,FALSE))</f>
        <v>0</v>
      </c>
      <c r="E448" t="s">
        <v>614</v>
      </c>
      <c r="F448" t="str">
        <f>INDEX(Lists!I:I,MATCH(Validation!E448,Lists!G:G,0))</f>
        <v>Alert</v>
      </c>
      <c r="G448" t="str">
        <f>INDEX(Lists!H:H,MATCH(Validation!E448,Lists!G:G,0))</f>
        <v>Final maturity date exceeds a typical length. Correct entry or explain in comments box.</v>
      </c>
      <c r="H448" s="25" t="str">
        <f t="shared" ca="1" si="117"/>
        <v/>
      </c>
      <c r="I448" s="25" t="str">
        <f t="shared" ca="1" si="118"/>
        <v/>
      </c>
      <c r="J448" s="26" t="str">
        <f t="shared" si="119"/>
        <v/>
      </c>
    </row>
    <row r="449" spans="1:10" x14ac:dyDescent="0.25">
      <c r="A449" t="s">
        <v>311</v>
      </c>
      <c r="B449" t="str">
        <f>ADDRESS(ROW('Bond 1'!$B$13),COLUMN('Bond 1'!$B$13),4)</f>
        <v>B13</v>
      </c>
      <c r="C449" t="str">
        <f>ADDRESS(ROW('Bond 1'!$D$13),COLUMN('Bond 1'!$D$13),4)</f>
        <v>D13</v>
      </c>
      <c r="D449" t="b">
        <f>IF('Bond 11'!B$13="",FALSE,IF(YEAR('Bond 11'!B$13)&gt;YEAR('Bond 11'!B$12)+30,TRUE,FALSE))</f>
        <v>0</v>
      </c>
      <c r="E449" t="s">
        <v>614</v>
      </c>
      <c r="F449" t="str">
        <f>INDEX(Lists!I:I,MATCH(Validation!E449,Lists!G:G,0))</f>
        <v>Alert</v>
      </c>
      <c r="G449" t="str">
        <f>INDEX(Lists!H:H,MATCH(Validation!E449,Lists!G:G,0))</f>
        <v>Final maturity date exceeds a typical length. Correct entry or explain in comments box.</v>
      </c>
      <c r="H449" s="25" t="str">
        <f t="shared" ca="1" si="117"/>
        <v/>
      </c>
      <c r="I449" s="25" t="str">
        <f t="shared" ca="1" si="118"/>
        <v/>
      </c>
      <c r="J449" s="26" t="str">
        <f t="shared" si="119"/>
        <v/>
      </c>
    </row>
    <row r="450" spans="1:10" x14ac:dyDescent="0.25">
      <c r="A450" t="s">
        <v>312</v>
      </c>
      <c r="B450" t="str">
        <f>ADDRESS(ROW('Bond 1'!$B$13),COLUMN('Bond 1'!$B$13),4)</f>
        <v>B13</v>
      </c>
      <c r="C450" t="str">
        <f>ADDRESS(ROW('Bond 1'!$D$13),COLUMN('Bond 1'!$D$13),4)</f>
        <v>D13</v>
      </c>
      <c r="D450" t="b">
        <f>IF('Bond 12'!B$13="",FALSE,IF(YEAR('Bond 12'!B$13)&gt;YEAR('Bond 12'!B$12)+30,TRUE,FALSE))</f>
        <v>0</v>
      </c>
      <c r="E450" t="s">
        <v>614</v>
      </c>
      <c r="F450" t="str">
        <f>INDEX(Lists!I:I,MATCH(Validation!E450,Lists!G:G,0))</f>
        <v>Alert</v>
      </c>
      <c r="G450" t="str">
        <f>INDEX(Lists!H:H,MATCH(Validation!E450,Lists!G:G,0))</f>
        <v>Final maturity date exceeds a typical length. Correct entry or explain in comments box.</v>
      </c>
      <c r="H450" s="25" t="str">
        <f t="shared" ca="1" si="117"/>
        <v/>
      </c>
      <c r="I450" s="25" t="str">
        <f t="shared" ca="1" si="118"/>
        <v/>
      </c>
      <c r="J450" s="26" t="str">
        <f t="shared" si="119"/>
        <v/>
      </c>
    </row>
    <row r="451" spans="1:10" x14ac:dyDescent="0.25">
      <c r="A451" t="s">
        <v>313</v>
      </c>
      <c r="B451" t="str">
        <f>ADDRESS(ROW('Bond 1'!$B$13),COLUMN('Bond 1'!$B$13),4)</f>
        <v>B13</v>
      </c>
      <c r="C451" t="str">
        <f>ADDRESS(ROW('Bond 1'!$D$13),COLUMN('Bond 1'!$D$13),4)</f>
        <v>D13</v>
      </c>
      <c r="D451" t="b">
        <f>IF('Bond 13'!B$13="",FALSE,IF(YEAR('Bond 13'!B$13)&gt;YEAR('Bond 13'!B$12)+30,TRUE,FALSE))</f>
        <v>0</v>
      </c>
      <c r="E451" t="s">
        <v>614</v>
      </c>
      <c r="F451" t="str">
        <f>INDEX(Lists!I:I,MATCH(Validation!E451,Lists!G:G,0))</f>
        <v>Alert</v>
      </c>
      <c r="G451" t="str">
        <f>INDEX(Lists!H:H,MATCH(Validation!E451,Lists!G:G,0))</f>
        <v>Final maturity date exceeds a typical length. Correct entry or explain in comments box.</v>
      </c>
      <c r="H451" s="25" t="str">
        <f t="shared" ca="1" si="117"/>
        <v/>
      </c>
      <c r="I451" s="25" t="str">
        <f t="shared" ca="1" si="118"/>
        <v/>
      </c>
      <c r="J451" s="26" t="str">
        <f t="shared" si="119"/>
        <v/>
      </c>
    </row>
    <row r="452" spans="1:10" x14ac:dyDescent="0.25">
      <c r="A452" t="s">
        <v>314</v>
      </c>
      <c r="B452" t="str">
        <f>ADDRESS(ROW('Bond 1'!$B$13),COLUMN('Bond 1'!$B$13),4)</f>
        <v>B13</v>
      </c>
      <c r="C452" t="str">
        <f>ADDRESS(ROW('Bond 1'!$D$13),COLUMN('Bond 1'!$D$13),4)</f>
        <v>D13</v>
      </c>
      <c r="D452" t="b">
        <f>IF('Bond 14'!B$13="",FALSE,IF(YEAR('Bond 14'!B$13)&gt;YEAR('Bond 14'!B$12)+30,TRUE,FALSE))</f>
        <v>0</v>
      </c>
      <c r="E452" t="s">
        <v>614</v>
      </c>
      <c r="F452" t="str">
        <f>INDEX(Lists!I:I,MATCH(Validation!E452,Lists!G:G,0))</f>
        <v>Alert</v>
      </c>
      <c r="G452" t="str">
        <f>INDEX(Lists!H:H,MATCH(Validation!E452,Lists!G:G,0))</f>
        <v>Final maturity date exceeds a typical length. Correct entry or explain in comments box.</v>
      </c>
      <c r="H452" s="25" t="str">
        <f t="shared" ca="1" si="117"/>
        <v/>
      </c>
      <c r="I452" s="25" t="str">
        <f t="shared" ca="1" si="118"/>
        <v/>
      </c>
      <c r="J452" s="26" t="str">
        <f t="shared" si="119"/>
        <v/>
      </c>
    </row>
    <row r="453" spans="1:10" x14ac:dyDescent="0.25">
      <c r="A453" t="s">
        <v>315</v>
      </c>
      <c r="B453" t="str">
        <f>ADDRESS(ROW('Bond 1'!$B$13),COLUMN('Bond 1'!$B$13),4)</f>
        <v>B13</v>
      </c>
      <c r="C453" t="str">
        <f>ADDRESS(ROW('Bond 1'!$D$13),COLUMN('Bond 1'!$D$13),4)</f>
        <v>D13</v>
      </c>
      <c r="D453" t="b">
        <f>IF('Bond 15'!B$13="",FALSE,IF(YEAR('Bond 15'!B$13)&gt;YEAR('Bond 15'!B$12)+30,TRUE,FALSE))</f>
        <v>0</v>
      </c>
      <c r="E453" t="s">
        <v>614</v>
      </c>
      <c r="F453" t="str">
        <f>INDEX(Lists!I:I,MATCH(Validation!E453,Lists!G:G,0))</f>
        <v>Alert</v>
      </c>
      <c r="G453" t="str">
        <f>INDEX(Lists!H:H,MATCH(Validation!E453,Lists!G:G,0))</f>
        <v>Final maturity date exceeds a typical length. Correct entry or explain in comments box.</v>
      </c>
      <c r="H453" s="25" t="str">
        <f t="shared" ca="1" si="117"/>
        <v/>
      </c>
      <c r="I453" s="25" t="str">
        <f t="shared" ca="1" si="118"/>
        <v/>
      </c>
      <c r="J453" s="26" t="str">
        <f t="shared" si="119"/>
        <v/>
      </c>
    </row>
    <row r="454" spans="1:10" x14ac:dyDescent="0.25">
      <c r="A454" t="s">
        <v>198</v>
      </c>
      <c r="B454" t="str">
        <f>ADDRESS(ROW('Bond 1'!$B$14),COLUMN('Bond 1'!$B$14),4)</f>
        <v>B14</v>
      </c>
      <c r="C454" t="str">
        <f>ADDRESS(ROW('Bond 1'!$D$14),COLUMN('Bond 1'!$D$14),4)</f>
        <v>D14</v>
      </c>
      <c r="D454" t="b" cm="1">
        <f t="array" aca="1" ref="D454" ca="1">IF(INDIRECT("'"&amp;A454&amp;"'!"&amp;B454)="",FALSE,IF(NOT(ISNUMBER(INDIRECT("'"&amp;A454&amp;"'!"&amp;B454))),TRUE,FALSE))</f>
        <v>0</v>
      </c>
      <c r="E454" t="s">
        <v>435</v>
      </c>
      <c r="F454" t="str">
        <f>INDEX(Lists!I:I,MATCH(Validation!E454,Lists!G:G,0))</f>
        <v>Error</v>
      </c>
      <c r="G454" t="str">
        <f>INDEX(Lists!H:H,MATCH(Validation!E454,Lists!G:G,0))</f>
        <v>Enter an amount only. Do not enter text or spaces.</v>
      </c>
      <c r="H454" s="25" t="str">
        <f t="shared" ref="H454:H468" ca="1" si="120">IFERROR(IF(OR(NOT(D454),F454&lt;&gt;"Error"),"",A454&amp;CELL("address",INDIRECT(B454))),"")</f>
        <v/>
      </c>
      <c r="I454" s="25" t="str">
        <f t="shared" ref="I454:I468" ca="1" si="121">IFERROR(IF(NOT(D454),"",A454&amp;CELL("address",INDIRECT(C454))),"")</f>
        <v/>
      </c>
      <c r="J454" s="26" t="str">
        <f t="shared" ref="J454:J468" ca="1" si="122">IFERROR(IF(NOT(D454),"",A454),"")</f>
        <v/>
      </c>
    </row>
    <row r="455" spans="1:10" x14ac:dyDescent="0.25">
      <c r="A455" t="s">
        <v>302</v>
      </c>
      <c r="B455" t="str">
        <f>ADDRESS(ROW('Bond 1'!$B$14),COLUMN('Bond 1'!$B$14),4)</f>
        <v>B14</v>
      </c>
      <c r="C455" t="str">
        <f>ADDRESS(ROW('Bond 1'!$D$14),COLUMN('Bond 1'!$D$14),4)</f>
        <v>D14</v>
      </c>
      <c r="D455" t="b" cm="1">
        <f t="array" aca="1" ref="D455" ca="1">IF(INDIRECT("'"&amp;A455&amp;"'!"&amp;B455)="",FALSE,IF(NOT(ISNUMBER(INDIRECT("'"&amp;A455&amp;"'!"&amp;B455))),TRUE,FALSE))</f>
        <v>0</v>
      </c>
      <c r="E455" t="s">
        <v>435</v>
      </c>
      <c r="F455" t="str">
        <f>INDEX(Lists!I:I,MATCH(Validation!E455,Lists!G:G,0))</f>
        <v>Error</v>
      </c>
      <c r="G455" t="str">
        <f>INDEX(Lists!H:H,MATCH(Validation!E455,Lists!G:G,0))</f>
        <v>Enter an amount only. Do not enter text or spaces.</v>
      </c>
      <c r="H455" s="25" t="str">
        <f t="shared" ca="1" si="120"/>
        <v/>
      </c>
      <c r="I455" s="25" t="str">
        <f t="shared" ca="1" si="121"/>
        <v/>
      </c>
      <c r="J455" s="26" t="str">
        <f t="shared" ca="1" si="122"/>
        <v/>
      </c>
    </row>
    <row r="456" spans="1:10" x14ac:dyDescent="0.25">
      <c r="A456" t="s">
        <v>303</v>
      </c>
      <c r="B456" t="str">
        <f>ADDRESS(ROW('Bond 1'!$B$14),COLUMN('Bond 1'!$B$14),4)</f>
        <v>B14</v>
      </c>
      <c r="C456" t="str">
        <f>ADDRESS(ROW('Bond 1'!$D$14),COLUMN('Bond 1'!$D$14),4)</f>
        <v>D14</v>
      </c>
      <c r="D456" t="b" cm="1">
        <f t="array" aca="1" ref="D456" ca="1">IF(INDIRECT("'"&amp;A456&amp;"'!"&amp;B456)="",FALSE,IF(NOT(ISNUMBER(INDIRECT("'"&amp;A456&amp;"'!"&amp;B456))),TRUE,FALSE))</f>
        <v>0</v>
      </c>
      <c r="E456" t="s">
        <v>435</v>
      </c>
      <c r="F456" t="str">
        <f>INDEX(Lists!I:I,MATCH(Validation!E456,Lists!G:G,0))</f>
        <v>Error</v>
      </c>
      <c r="G456" t="str">
        <f>INDEX(Lists!H:H,MATCH(Validation!E456,Lists!G:G,0))</f>
        <v>Enter an amount only. Do not enter text or spaces.</v>
      </c>
      <c r="H456" s="25" t="str">
        <f t="shared" ca="1" si="120"/>
        <v/>
      </c>
      <c r="I456" s="25" t="str">
        <f t="shared" ca="1" si="121"/>
        <v/>
      </c>
      <c r="J456" s="26" t="str">
        <f t="shared" ca="1" si="122"/>
        <v/>
      </c>
    </row>
    <row r="457" spans="1:10" x14ac:dyDescent="0.25">
      <c r="A457" t="s">
        <v>304</v>
      </c>
      <c r="B457" t="str">
        <f>ADDRESS(ROW('Bond 1'!$B$14),COLUMN('Bond 1'!$B$14),4)</f>
        <v>B14</v>
      </c>
      <c r="C457" t="str">
        <f>ADDRESS(ROW('Bond 1'!$D$14),COLUMN('Bond 1'!$D$14),4)</f>
        <v>D14</v>
      </c>
      <c r="D457" t="b" cm="1">
        <f t="array" aca="1" ref="D457" ca="1">IF(INDIRECT("'"&amp;A457&amp;"'!"&amp;B457)="",FALSE,IF(NOT(ISNUMBER(INDIRECT("'"&amp;A457&amp;"'!"&amp;B457))),TRUE,FALSE))</f>
        <v>0</v>
      </c>
      <c r="E457" t="s">
        <v>435</v>
      </c>
      <c r="F457" t="str">
        <f>INDEX(Lists!I:I,MATCH(Validation!E457,Lists!G:G,0))</f>
        <v>Error</v>
      </c>
      <c r="G457" t="str">
        <f>INDEX(Lists!H:H,MATCH(Validation!E457,Lists!G:G,0))</f>
        <v>Enter an amount only. Do not enter text or spaces.</v>
      </c>
      <c r="H457" s="25" t="str">
        <f t="shared" ca="1" si="120"/>
        <v/>
      </c>
      <c r="I457" s="25" t="str">
        <f t="shared" ca="1" si="121"/>
        <v/>
      </c>
      <c r="J457" s="26" t="str">
        <f t="shared" ca="1" si="122"/>
        <v/>
      </c>
    </row>
    <row r="458" spans="1:10" x14ac:dyDescent="0.25">
      <c r="A458" t="s">
        <v>305</v>
      </c>
      <c r="B458" t="str">
        <f>ADDRESS(ROW('Bond 1'!$B$14),COLUMN('Bond 1'!$B$14),4)</f>
        <v>B14</v>
      </c>
      <c r="C458" t="str">
        <f>ADDRESS(ROW('Bond 1'!$D$14),COLUMN('Bond 1'!$D$14),4)</f>
        <v>D14</v>
      </c>
      <c r="D458" t="b" cm="1">
        <f t="array" aca="1" ref="D458" ca="1">IF(INDIRECT("'"&amp;A458&amp;"'!"&amp;B458)="",FALSE,IF(NOT(ISNUMBER(INDIRECT("'"&amp;A458&amp;"'!"&amp;B458))),TRUE,FALSE))</f>
        <v>0</v>
      </c>
      <c r="E458" t="s">
        <v>435</v>
      </c>
      <c r="F458" t="str">
        <f>INDEX(Lists!I:I,MATCH(Validation!E458,Lists!G:G,0))</f>
        <v>Error</v>
      </c>
      <c r="G458" t="str">
        <f>INDEX(Lists!H:H,MATCH(Validation!E458,Lists!G:G,0))</f>
        <v>Enter an amount only. Do not enter text or spaces.</v>
      </c>
      <c r="H458" s="25" t="str">
        <f t="shared" ca="1" si="120"/>
        <v/>
      </c>
      <c r="I458" s="25" t="str">
        <f t="shared" ca="1" si="121"/>
        <v/>
      </c>
      <c r="J458" s="26" t="str">
        <f t="shared" ca="1" si="122"/>
        <v/>
      </c>
    </row>
    <row r="459" spans="1:10" x14ac:dyDescent="0.25">
      <c r="A459" t="s">
        <v>306</v>
      </c>
      <c r="B459" t="str">
        <f>ADDRESS(ROW('Bond 1'!$B$14),COLUMN('Bond 1'!$B$14),4)</f>
        <v>B14</v>
      </c>
      <c r="C459" t="str">
        <f>ADDRESS(ROW('Bond 1'!$D$14),COLUMN('Bond 1'!$D$14),4)</f>
        <v>D14</v>
      </c>
      <c r="D459" t="b" cm="1">
        <f t="array" aca="1" ref="D459" ca="1">IF(INDIRECT("'"&amp;A459&amp;"'!"&amp;B459)="",FALSE,IF(NOT(ISNUMBER(INDIRECT("'"&amp;A459&amp;"'!"&amp;B459))),TRUE,FALSE))</f>
        <v>0</v>
      </c>
      <c r="E459" t="s">
        <v>435</v>
      </c>
      <c r="F459" t="str">
        <f>INDEX(Lists!I:I,MATCH(Validation!E459,Lists!G:G,0))</f>
        <v>Error</v>
      </c>
      <c r="G459" t="str">
        <f>INDEX(Lists!H:H,MATCH(Validation!E459,Lists!G:G,0))</f>
        <v>Enter an amount only. Do not enter text or spaces.</v>
      </c>
      <c r="H459" s="25" t="str">
        <f t="shared" ca="1" si="120"/>
        <v/>
      </c>
      <c r="I459" s="25" t="str">
        <f t="shared" ca="1" si="121"/>
        <v/>
      </c>
      <c r="J459" s="26" t="str">
        <f t="shared" ca="1" si="122"/>
        <v/>
      </c>
    </row>
    <row r="460" spans="1:10" x14ac:dyDescent="0.25">
      <c r="A460" t="s">
        <v>307</v>
      </c>
      <c r="B460" t="str">
        <f>ADDRESS(ROW('Bond 1'!$B$14),COLUMN('Bond 1'!$B$14),4)</f>
        <v>B14</v>
      </c>
      <c r="C460" t="str">
        <f>ADDRESS(ROW('Bond 1'!$D$14),COLUMN('Bond 1'!$D$14),4)</f>
        <v>D14</v>
      </c>
      <c r="D460" t="b" cm="1">
        <f t="array" aca="1" ref="D460" ca="1">IF(INDIRECT("'"&amp;A460&amp;"'!"&amp;B460)="",FALSE,IF(NOT(ISNUMBER(INDIRECT("'"&amp;A460&amp;"'!"&amp;B460))),TRUE,FALSE))</f>
        <v>0</v>
      </c>
      <c r="E460" t="s">
        <v>435</v>
      </c>
      <c r="F460" t="str">
        <f>INDEX(Lists!I:I,MATCH(Validation!E460,Lists!G:G,0))</f>
        <v>Error</v>
      </c>
      <c r="G460" t="str">
        <f>INDEX(Lists!H:H,MATCH(Validation!E460,Lists!G:G,0))</f>
        <v>Enter an amount only. Do not enter text or spaces.</v>
      </c>
      <c r="H460" s="25" t="str">
        <f t="shared" ca="1" si="120"/>
        <v/>
      </c>
      <c r="I460" s="25" t="str">
        <f t="shared" ca="1" si="121"/>
        <v/>
      </c>
      <c r="J460" s="26" t="str">
        <f t="shared" ca="1" si="122"/>
        <v/>
      </c>
    </row>
    <row r="461" spans="1:10" x14ac:dyDescent="0.25">
      <c r="A461" t="s">
        <v>308</v>
      </c>
      <c r="B461" t="str">
        <f>ADDRESS(ROW('Bond 1'!$B$14),COLUMN('Bond 1'!$B$14),4)</f>
        <v>B14</v>
      </c>
      <c r="C461" t="str">
        <f>ADDRESS(ROW('Bond 1'!$D$14),COLUMN('Bond 1'!$D$14),4)</f>
        <v>D14</v>
      </c>
      <c r="D461" t="b" cm="1">
        <f t="array" aca="1" ref="D461" ca="1">IF(INDIRECT("'"&amp;A461&amp;"'!"&amp;B461)="",FALSE,IF(NOT(ISNUMBER(INDIRECT("'"&amp;A461&amp;"'!"&amp;B461))),TRUE,FALSE))</f>
        <v>0</v>
      </c>
      <c r="E461" t="s">
        <v>435</v>
      </c>
      <c r="F461" t="str">
        <f>INDEX(Lists!I:I,MATCH(Validation!E461,Lists!G:G,0))</f>
        <v>Error</v>
      </c>
      <c r="G461" t="str">
        <f>INDEX(Lists!H:H,MATCH(Validation!E461,Lists!G:G,0))</f>
        <v>Enter an amount only. Do not enter text or spaces.</v>
      </c>
      <c r="H461" s="25" t="str">
        <f t="shared" ca="1" si="120"/>
        <v/>
      </c>
      <c r="I461" s="25" t="str">
        <f t="shared" ca="1" si="121"/>
        <v/>
      </c>
      <c r="J461" s="26" t="str">
        <f t="shared" ca="1" si="122"/>
        <v/>
      </c>
    </row>
    <row r="462" spans="1:10" x14ac:dyDescent="0.25">
      <c r="A462" t="s">
        <v>309</v>
      </c>
      <c r="B462" t="str">
        <f>ADDRESS(ROW('Bond 1'!$B$14),COLUMN('Bond 1'!$B$14),4)</f>
        <v>B14</v>
      </c>
      <c r="C462" t="str">
        <f>ADDRESS(ROW('Bond 1'!$D$14),COLUMN('Bond 1'!$D$14),4)</f>
        <v>D14</v>
      </c>
      <c r="D462" t="b" cm="1">
        <f t="array" aca="1" ref="D462" ca="1">IF(INDIRECT("'"&amp;A462&amp;"'!"&amp;B462)="",FALSE,IF(NOT(ISNUMBER(INDIRECT("'"&amp;A462&amp;"'!"&amp;B462))),TRUE,FALSE))</f>
        <v>0</v>
      </c>
      <c r="E462" t="s">
        <v>435</v>
      </c>
      <c r="F462" t="str">
        <f>INDEX(Lists!I:I,MATCH(Validation!E462,Lists!G:G,0))</f>
        <v>Error</v>
      </c>
      <c r="G462" t="str">
        <f>INDEX(Lists!H:H,MATCH(Validation!E462,Lists!G:G,0))</f>
        <v>Enter an amount only. Do not enter text or spaces.</v>
      </c>
      <c r="H462" s="25" t="str">
        <f t="shared" ca="1" si="120"/>
        <v/>
      </c>
      <c r="I462" s="25" t="str">
        <f t="shared" ca="1" si="121"/>
        <v/>
      </c>
      <c r="J462" s="26" t="str">
        <f t="shared" ca="1" si="122"/>
        <v/>
      </c>
    </row>
    <row r="463" spans="1:10" x14ac:dyDescent="0.25">
      <c r="A463" t="s">
        <v>310</v>
      </c>
      <c r="B463" t="str">
        <f>ADDRESS(ROW('Bond 1'!$B$14),COLUMN('Bond 1'!$B$14),4)</f>
        <v>B14</v>
      </c>
      <c r="C463" t="str">
        <f>ADDRESS(ROW('Bond 1'!$D$14),COLUMN('Bond 1'!$D$14),4)</f>
        <v>D14</v>
      </c>
      <c r="D463" t="b" cm="1">
        <f t="array" aca="1" ref="D463" ca="1">IF(INDIRECT("'"&amp;A463&amp;"'!"&amp;B463)="",FALSE,IF(NOT(ISNUMBER(INDIRECT("'"&amp;A463&amp;"'!"&amp;B463))),TRUE,FALSE))</f>
        <v>0</v>
      </c>
      <c r="E463" t="s">
        <v>435</v>
      </c>
      <c r="F463" t="str">
        <f>INDEX(Lists!I:I,MATCH(Validation!E463,Lists!G:G,0))</f>
        <v>Error</v>
      </c>
      <c r="G463" t="str">
        <f>INDEX(Lists!H:H,MATCH(Validation!E463,Lists!G:G,0))</f>
        <v>Enter an amount only. Do not enter text or spaces.</v>
      </c>
      <c r="H463" s="25" t="str">
        <f t="shared" ca="1" si="120"/>
        <v/>
      </c>
      <c r="I463" s="25" t="str">
        <f t="shared" ca="1" si="121"/>
        <v/>
      </c>
      <c r="J463" s="26" t="str">
        <f t="shared" ca="1" si="122"/>
        <v/>
      </c>
    </row>
    <row r="464" spans="1:10" x14ac:dyDescent="0.25">
      <c r="A464" t="s">
        <v>311</v>
      </c>
      <c r="B464" t="str">
        <f>ADDRESS(ROW('Bond 1'!$B$14),COLUMN('Bond 1'!$B$14),4)</f>
        <v>B14</v>
      </c>
      <c r="C464" t="str">
        <f>ADDRESS(ROW('Bond 1'!$D$14),COLUMN('Bond 1'!$D$14),4)</f>
        <v>D14</v>
      </c>
      <c r="D464" t="b" cm="1">
        <f t="array" aca="1" ref="D464" ca="1">IF(INDIRECT("'"&amp;A464&amp;"'!"&amp;B464)="",FALSE,IF(NOT(ISNUMBER(INDIRECT("'"&amp;A464&amp;"'!"&amp;B464))),TRUE,FALSE))</f>
        <v>0</v>
      </c>
      <c r="E464" t="s">
        <v>435</v>
      </c>
      <c r="F464" t="str">
        <f>INDEX(Lists!I:I,MATCH(Validation!E464,Lists!G:G,0))</f>
        <v>Error</v>
      </c>
      <c r="G464" t="str">
        <f>INDEX(Lists!H:H,MATCH(Validation!E464,Lists!G:G,0))</f>
        <v>Enter an amount only. Do not enter text or spaces.</v>
      </c>
      <c r="H464" s="25" t="str">
        <f t="shared" ca="1" si="120"/>
        <v/>
      </c>
      <c r="I464" s="25" t="str">
        <f t="shared" ca="1" si="121"/>
        <v/>
      </c>
      <c r="J464" s="26" t="str">
        <f t="shared" ca="1" si="122"/>
        <v/>
      </c>
    </row>
    <row r="465" spans="1:10" x14ac:dyDescent="0.25">
      <c r="A465" t="s">
        <v>312</v>
      </c>
      <c r="B465" t="str">
        <f>ADDRESS(ROW('Bond 1'!$B$14),COLUMN('Bond 1'!$B$14),4)</f>
        <v>B14</v>
      </c>
      <c r="C465" t="str">
        <f>ADDRESS(ROW('Bond 1'!$D$14),COLUMN('Bond 1'!$D$14),4)</f>
        <v>D14</v>
      </c>
      <c r="D465" t="b" cm="1">
        <f t="array" aca="1" ref="D465" ca="1">IF(INDIRECT("'"&amp;A465&amp;"'!"&amp;B465)="",FALSE,IF(NOT(ISNUMBER(INDIRECT("'"&amp;A465&amp;"'!"&amp;B465))),TRUE,FALSE))</f>
        <v>0</v>
      </c>
      <c r="E465" t="s">
        <v>435</v>
      </c>
      <c r="F465" t="str">
        <f>INDEX(Lists!I:I,MATCH(Validation!E465,Lists!G:G,0))</f>
        <v>Error</v>
      </c>
      <c r="G465" t="str">
        <f>INDEX(Lists!H:H,MATCH(Validation!E465,Lists!G:G,0))</f>
        <v>Enter an amount only. Do not enter text or spaces.</v>
      </c>
      <c r="H465" s="25" t="str">
        <f t="shared" ca="1" si="120"/>
        <v/>
      </c>
      <c r="I465" s="25" t="str">
        <f t="shared" ca="1" si="121"/>
        <v/>
      </c>
      <c r="J465" s="26" t="str">
        <f t="shared" ca="1" si="122"/>
        <v/>
      </c>
    </row>
    <row r="466" spans="1:10" x14ac:dyDescent="0.25">
      <c r="A466" t="s">
        <v>313</v>
      </c>
      <c r="B466" t="str">
        <f>ADDRESS(ROW('Bond 1'!$B$14),COLUMN('Bond 1'!$B$14),4)</f>
        <v>B14</v>
      </c>
      <c r="C466" t="str">
        <f>ADDRESS(ROW('Bond 1'!$D$14),COLUMN('Bond 1'!$D$14),4)</f>
        <v>D14</v>
      </c>
      <c r="D466" t="b" cm="1">
        <f t="array" aca="1" ref="D466" ca="1">IF(INDIRECT("'"&amp;A466&amp;"'!"&amp;B466)="",FALSE,IF(NOT(ISNUMBER(INDIRECT("'"&amp;A466&amp;"'!"&amp;B466))),TRUE,FALSE))</f>
        <v>0</v>
      </c>
      <c r="E466" t="s">
        <v>435</v>
      </c>
      <c r="F466" t="str">
        <f>INDEX(Lists!I:I,MATCH(Validation!E466,Lists!G:G,0))</f>
        <v>Error</v>
      </c>
      <c r="G466" t="str">
        <f>INDEX(Lists!H:H,MATCH(Validation!E466,Lists!G:G,0))</f>
        <v>Enter an amount only. Do not enter text or spaces.</v>
      </c>
      <c r="H466" s="25" t="str">
        <f t="shared" ca="1" si="120"/>
        <v/>
      </c>
      <c r="I466" s="25" t="str">
        <f t="shared" ca="1" si="121"/>
        <v/>
      </c>
      <c r="J466" s="26" t="str">
        <f t="shared" ca="1" si="122"/>
        <v/>
      </c>
    </row>
    <row r="467" spans="1:10" x14ac:dyDescent="0.25">
      <c r="A467" t="s">
        <v>314</v>
      </c>
      <c r="B467" t="str">
        <f>ADDRESS(ROW('Bond 1'!$B$14),COLUMN('Bond 1'!$B$14),4)</f>
        <v>B14</v>
      </c>
      <c r="C467" t="str">
        <f>ADDRESS(ROW('Bond 1'!$D$14),COLUMN('Bond 1'!$D$14),4)</f>
        <v>D14</v>
      </c>
      <c r="D467" t="b" cm="1">
        <f t="array" aca="1" ref="D467" ca="1">IF(INDIRECT("'"&amp;A467&amp;"'!"&amp;B467)="",FALSE,IF(NOT(ISNUMBER(INDIRECT("'"&amp;A467&amp;"'!"&amp;B467))),TRUE,FALSE))</f>
        <v>0</v>
      </c>
      <c r="E467" t="s">
        <v>435</v>
      </c>
      <c r="F467" t="str">
        <f>INDEX(Lists!I:I,MATCH(Validation!E467,Lists!G:G,0))</f>
        <v>Error</v>
      </c>
      <c r="G467" t="str">
        <f>INDEX(Lists!H:H,MATCH(Validation!E467,Lists!G:G,0))</f>
        <v>Enter an amount only. Do not enter text or spaces.</v>
      </c>
      <c r="H467" s="25" t="str">
        <f t="shared" ca="1" si="120"/>
        <v/>
      </c>
      <c r="I467" s="25" t="str">
        <f t="shared" ca="1" si="121"/>
        <v/>
      </c>
      <c r="J467" s="26" t="str">
        <f t="shared" ca="1" si="122"/>
        <v/>
      </c>
    </row>
    <row r="468" spans="1:10" x14ac:dyDescent="0.25">
      <c r="A468" t="s">
        <v>315</v>
      </c>
      <c r="B468" t="str">
        <f>ADDRESS(ROW('Bond 1'!$B$14),COLUMN('Bond 1'!$B$14),4)</f>
        <v>B14</v>
      </c>
      <c r="C468" t="str">
        <f>ADDRESS(ROW('Bond 1'!$D$14),COLUMN('Bond 1'!$D$14),4)</f>
        <v>D14</v>
      </c>
      <c r="D468" t="b" cm="1">
        <f t="array" aca="1" ref="D468" ca="1">IF(INDIRECT("'"&amp;A468&amp;"'!"&amp;B468)="",FALSE,IF(NOT(ISNUMBER(INDIRECT("'"&amp;A468&amp;"'!"&amp;B468))),TRUE,FALSE))</f>
        <v>0</v>
      </c>
      <c r="E468" t="s">
        <v>435</v>
      </c>
      <c r="F468" t="str">
        <f>INDEX(Lists!I:I,MATCH(Validation!E468,Lists!G:G,0))</f>
        <v>Error</v>
      </c>
      <c r="G468" t="str">
        <f>INDEX(Lists!H:H,MATCH(Validation!E468,Lists!G:G,0))</f>
        <v>Enter an amount only. Do not enter text or spaces.</v>
      </c>
      <c r="H468" s="25" t="str">
        <f t="shared" ca="1" si="120"/>
        <v/>
      </c>
      <c r="I468" s="25" t="str">
        <f t="shared" ca="1" si="121"/>
        <v/>
      </c>
      <c r="J468" s="26" t="str">
        <f t="shared" ca="1" si="122"/>
        <v/>
      </c>
    </row>
    <row r="469" spans="1:10" x14ac:dyDescent="0.25">
      <c r="A469" t="s">
        <v>198</v>
      </c>
      <c r="B469" t="str">
        <f>ADDRESS(ROW('Bond 1'!$B$14),COLUMN('Bond 1'!$B$14),4)</f>
        <v>B14</v>
      </c>
      <c r="C469" t="str">
        <f>ADDRESS(ROW('Bond 1'!$D$14),COLUMN('Bond 1'!$D$14),4)</f>
        <v>D14</v>
      </c>
      <c r="D469" t="b" cm="1">
        <f t="array" aca="1" ref="D469" ca="1">IF(INDIRECT("'"&amp;A469&amp;"'!"&amp;B469)="",FALSE,IF(INDIRECT("'"&amp;A469&amp;"'!"&amp;B469)&lt;0,TRUE,FALSE))</f>
        <v>0</v>
      </c>
      <c r="E469" t="s">
        <v>760</v>
      </c>
      <c r="F469" t="str">
        <f>INDEX(Lists!I:I,MATCH(Validation!E469,Lists!G:G,0))</f>
        <v>Error</v>
      </c>
      <c r="G469" t="str">
        <f>INDEX(Lists!H:H,MATCH(Validation!E469,Lists!G:G,0))</f>
        <v>Low interest rate must be greater than or equal to zero.</v>
      </c>
      <c r="H469" s="25" t="str">
        <f t="shared" ref="H469:H483" ca="1" si="123">IFERROR(IF(OR(NOT(D469),F469&lt;&gt;"Error"),"",A469&amp;CELL("address",INDIRECT(B469))),"")</f>
        <v/>
      </c>
      <c r="I469" s="25" t="str">
        <f t="shared" ref="I469:I483" ca="1" si="124">IFERROR(IF(NOT(D469),"",A469&amp;CELL("address",INDIRECT(C469))),"")</f>
        <v/>
      </c>
      <c r="J469" s="26" t="str">
        <f t="shared" ref="J469:J483" ca="1" si="125">IFERROR(IF(NOT(D469),"",A469),"")</f>
        <v/>
      </c>
    </row>
    <row r="470" spans="1:10" x14ac:dyDescent="0.25">
      <c r="A470" t="s">
        <v>302</v>
      </c>
      <c r="B470" t="str">
        <f>ADDRESS(ROW('Bond 1'!$B$14),COLUMN('Bond 1'!$B$14),4)</f>
        <v>B14</v>
      </c>
      <c r="C470" t="str">
        <f>ADDRESS(ROW('Bond 1'!$D$14),COLUMN('Bond 1'!$D$14),4)</f>
        <v>D14</v>
      </c>
      <c r="D470" t="b" cm="1">
        <f t="array" aca="1" ref="D470" ca="1">IF(INDIRECT("'"&amp;A470&amp;"'!"&amp;B470)="",FALSE,IF(INDIRECT("'"&amp;A470&amp;"'!"&amp;B470)&lt;0,TRUE,FALSE))</f>
        <v>0</v>
      </c>
      <c r="E470" t="s">
        <v>760</v>
      </c>
      <c r="F470" t="str">
        <f>INDEX(Lists!I:I,MATCH(Validation!E470,Lists!G:G,0))</f>
        <v>Error</v>
      </c>
      <c r="G470" t="str">
        <f>INDEX(Lists!H:H,MATCH(Validation!E470,Lists!G:G,0))</f>
        <v>Low interest rate must be greater than or equal to zero.</v>
      </c>
      <c r="H470" s="25" t="str">
        <f t="shared" ca="1" si="123"/>
        <v/>
      </c>
      <c r="I470" s="25" t="str">
        <f t="shared" ca="1" si="124"/>
        <v/>
      </c>
      <c r="J470" s="26" t="str">
        <f t="shared" ca="1" si="125"/>
        <v/>
      </c>
    </row>
    <row r="471" spans="1:10" x14ac:dyDescent="0.25">
      <c r="A471" t="s">
        <v>303</v>
      </c>
      <c r="B471" t="str">
        <f>ADDRESS(ROW('Bond 1'!$B$14),COLUMN('Bond 1'!$B$14),4)</f>
        <v>B14</v>
      </c>
      <c r="C471" t="str">
        <f>ADDRESS(ROW('Bond 1'!$D$14),COLUMN('Bond 1'!$D$14),4)</f>
        <v>D14</v>
      </c>
      <c r="D471" t="b" cm="1">
        <f t="array" aca="1" ref="D471" ca="1">IF(INDIRECT("'"&amp;A471&amp;"'!"&amp;B471)="",FALSE,IF(INDIRECT("'"&amp;A471&amp;"'!"&amp;B471)&lt;0,TRUE,FALSE))</f>
        <v>0</v>
      </c>
      <c r="E471" t="s">
        <v>760</v>
      </c>
      <c r="F471" t="str">
        <f>INDEX(Lists!I:I,MATCH(Validation!E471,Lists!G:G,0))</f>
        <v>Error</v>
      </c>
      <c r="G471" t="str">
        <f>INDEX(Lists!H:H,MATCH(Validation!E471,Lists!G:G,0))</f>
        <v>Low interest rate must be greater than or equal to zero.</v>
      </c>
      <c r="H471" s="25" t="str">
        <f t="shared" ca="1" si="123"/>
        <v/>
      </c>
      <c r="I471" s="25" t="str">
        <f t="shared" ca="1" si="124"/>
        <v/>
      </c>
      <c r="J471" s="26" t="str">
        <f t="shared" ca="1" si="125"/>
        <v/>
      </c>
    </row>
    <row r="472" spans="1:10" x14ac:dyDescent="0.25">
      <c r="A472" t="s">
        <v>304</v>
      </c>
      <c r="B472" t="str">
        <f>ADDRESS(ROW('Bond 1'!$B$14),COLUMN('Bond 1'!$B$14),4)</f>
        <v>B14</v>
      </c>
      <c r="C472" t="str">
        <f>ADDRESS(ROW('Bond 1'!$D$14),COLUMN('Bond 1'!$D$14),4)</f>
        <v>D14</v>
      </c>
      <c r="D472" t="b" cm="1">
        <f t="array" aca="1" ref="D472" ca="1">IF(INDIRECT("'"&amp;A472&amp;"'!"&amp;B472)="",FALSE,IF(INDIRECT("'"&amp;A472&amp;"'!"&amp;B472)&lt;0,TRUE,FALSE))</f>
        <v>0</v>
      </c>
      <c r="E472" t="s">
        <v>760</v>
      </c>
      <c r="F472" t="str">
        <f>INDEX(Lists!I:I,MATCH(Validation!E472,Lists!G:G,0))</f>
        <v>Error</v>
      </c>
      <c r="G472" t="str">
        <f>INDEX(Lists!H:H,MATCH(Validation!E472,Lists!G:G,0))</f>
        <v>Low interest rate must be greater than or equal to zero.</v>
      </c>
      <c r="H472" s="25" t="str">
        <f t="shared" ca="1" si="123"/>
        <v/>
      </c>
      <c r="I472" s="25" t="str">
        <f t="shared" ca="1" si="124"/>
        <v/>
      </c>
      <c r="J472" s="26" t="str">
        <f t="shared" ca="1" si="125"/>
        <v/>
      </c>
    </row>
    <row r="473" spans="1:10" x14ac:dyDescent="0.25">
      <c r="A473" t="s">
        <v>305</v>
      </c>
      <c r="B473" t="str">
        <f>ADDRESS(ROW('Bond 1'!$B$14),COLUMN('Bond 1'!$B$14),4)</f>
        <v>B14</v>
      </c>
      <c r="C473" t="str">
        <f>ADDRESS(ROW('Bond 1'!$D$14),COLUMN('Bond 1'!$D$14),4)</f>
        <v>D14</v>
      </c>
      <c r="D473" t="b" cm="1">
        <f t="array" aca="1" ref="D473" ca="1">IF(INDIRECT("'"&amp;A473&amp;"'!"&amp;B473)="",FALSE,IF(INDIRECT("'"&amp;A473&amp;"'!"&amp;B473)&lt;0,TRUE,FALSE))</f>
        <v>0</v>
      </c>
      <c r="E473" t="s">
        <v>760</v>
      </c>
      <c r="F473" t="str">
        <f>INDEX(Lists!I:I,MATCH(Validation!E473,Lists!G:G,0))</f>
        <v>Error</v>
      </c>
      <c r="G473" t="str">
        <f>INDEX(Lists!H:H,MATCH(Validation!E473,Lists!G:G,0))</f>
        <v>Low interest rate must be greater than or equal to zero.</v>
      </c>
      <c r="H473" s="25" t="str">
        <f t="shared" ca="1" si="123"/>
        <v/>
      </c>
      <c r="I473" s="25" t="str">
        <f t="shared" ca="1" si="124"/>
        <v/>
      </c>
      <c r="J473" s="26" t="str">
        <f t="shared" ca="1" si="125"/>
        <v/>
      </c>
    </row>
    <row r="474" spans="1:10" x14ac:dyDescent="0.25">
      <c r="A474" t="s">
        <v>306</v>
      </c>
      <c r="B474" t="str">
        <f>ADDRESS(ROW('Bond 1'!$B$14),COLUMN('Bond 1'!$B$14),4)</f>
        <v>B14</v>
      </c>
      <c r="C474" t="str">
        <f>ADDRESS(ROW('Bond 1'!$D$14),COLUMN('Bond 1'!$D$14),4)</f>
        <v>D14</v>
      </c>
      <c r="D474" t="b" cm="1">
        <f t="array" aca="1" ref="D474" ca="1">IF(INDIRECT("'"&amp;A474&amp;"'!"&amp;B474)="",FALSE,IF(INDIRECT("'"&amp;A474&amp;"'!"&amp;B474)&lt;0,TRUE,FALSE))</f>
        <v>0</v>
      </c>
      <c r="E474" t="s">
        <v>760</v>
      </c>
      <c r="F474" t="str">
        <f>INDEX(Lists!I:I,MATCH(Validation!E474,Lists!G:G,0))</f>
        <v>Error</v>
      </c>
      <c r="G474" t="str">
        <f>INDEX(Lists!H:H,MATCH(Validation!E474,Lists!G:G,0))</f>
        <v>Low interest rate must be greater than or equal to zero.</v>
      </c>
      <c r="H474" s="25" t="str">
        <f t="shared" ca="1" si="123"/>
        <v/>
      </c>
      <c r="I474" s="25" t="str">
        <f t="shared" ca="1" si="124"/>
        <v/>
      </c>
      <c r="J474" s="26" t="str">
        <f t="shared" ca="1" si="125"/>
        <v/>
      </c>
    </row>
    <row r="475" spans="1:10" x14ac:dyDescent="0.25">
      <c r="A475" t="s">
        <v>307</v>
      </c>
      <c r="B475" t="str">
        <f>ADDRESS(ROW('Bond 1'!$B$14),COLUMN('Bond 1'!$B$14),4)</f>
        <v>B14</v>
      </c>
      <c r="C475" t="str">
        <f>ADDRESS(ROW('Bond 1'!$D$14),COLUMN('Bond 1'!$D$14),4)</f>
        <v>D14</v>
      </c>
      <c r="D475" t="b" cm="1">
        <f t="array" aca="1" ref="D475" ca="1">IF(INDIRECT("'"&amp;A475&amp;"'!"&amp;B475)="",FALSE,IF(INDIRECT("'"&amp;A475&amp;"'!"&amp;B475)&lt;0,TRUE,FALSE))</f>
        <v>0</v>
      </c>
      <c r="E475" t="s">
        <v>760</v>
      </c>
      <c r="F475" t="str">
        <f>INDEX(Lists!I:I,MATCH(Validation!E475,Lists!G:G,0))</f>
        <v>Error</v>
      </c>
      <c r="G475" t="str">
        <f>INDEX(Lists!H:H,MATCH(Validation!E475,Lists!G:G,0))</f>
        <v>Low interest rate must be greater than or equal to zero.</v>
      </c>
      <c r="H475" s="25" t="str">
        <f t="shared" ca="1" si="123"/>
        <v/>
      </c>
      <c r="I475" s="25" t="str">
        <f t="shared" ca="1" si="124"/>
        <v/>
      </c>
      <c r="J475" s="26" t="str">
        <f t="shared" ca="1" si="125"/>
        <v/>
      </c>
    </row>
    <row r="476" spans="1:10" x14ac:dyDescent="0.25">
      <c r="A476" t="s">
        <v>308</v>
      </c>
      <c r="B476" t="str">
        <f>ADDRESS(ROW('Bond 1'!$B$14),COLUMN('Bond 1'!$B$14),4)</f>
        <v>B14</v>
      </c>
      <c r="C476" t="str">
        <f>ADDRESS(ROW('Bond 1'!$D$14),COLUMN('Bond 1'!$D$14),4)</f>
        <v>D14</v>
      </c>
      <c r="D476" t="b" cm="1">
        <f t="array" aca="1" ref="D476" ca="1">IF(INDIRECT("'"&amp;A476&amp;"'!"&amp;B476)="",FALSE,IF(INDIRECT("'"&amp;A476&amp;"'!"&amp;B476)&lt;0,TRUE,FALSE))</f>
        <v>0</v>
      </c>
      <c r="E476" t="s">
        <v>760</v>
      </c>
      <c r="F476" t="str">
        <f>INDEX(Lists!I:I,MATCH(Validation!E476,Lists!G:G,0))</f>
        <v>Error</v>
      </c>
      <c r="G476" t="str">
        <f>INDEX(Lists!H:H,MATCH(Validation!E476,Lists!G:G,0))</f>
        <v>Low interest rate must be greater than or equal to zero.</v>
      </c>
      <c r="H476" s="25" t="str">
        <f t="shared" ca="1" si="123"/>
        <v/>
      </c>
      <c r="I476" s="25" t="str">
        <f t="shared" ca="1" si="124"/>
        <v/>
      </c>
      <c r="J476" s="26" t="str">
        <f t="shared" ca="1" si="125"/>
        <v/>
      </c>
    </row>
    <row r="477" spans="1:10" x14ac:dyDescent="0.25">
      <c r="A477" t="s">
        <v>309</v>
      </c>
      <c r="B477" t="str">
        <f>ADDRESS(ROW('Bond 1'!$B$14),COLUMN('Bond 1'!$B$14),4)</f>
        <v>B14</v>
      </c>
      <c r="C477" t="str">
        <f>ADDRESS(ROW('Bond 1'!$D$14),COLUMN('Bond 1'!$D$14),4)</f>
        <v>D14</v>
      </c>
      <c r="D477" t="b" cm="1">
        <f t="array" aca="1" ref="D477" ca="1">IF(INDIRECT("'"&amp;A477&amp;"'!"&amp;B477)="",FALSE,IF(INDIRECT("'"&amp;A477&amp;"'!"&amp;B477)&lt;0,TRUE,FALSE))</f>
        <v>0</v>
      </c>
      <c r="E477" t="s">
        <v>760</v>
      </c>
      <c r="F477" t="str">
        <f>INDEX(Lists!I:I,MATCH(Validation!E477,Lists!G:G,0))</f>
        <v>Error</v>
      </c>
      <c r="G477" t="str">
        <f>INDEX(Lists!H:H,MATCH(Validation!E477,Lists!G:G,0))</f>
        <v>Low interest rate must be greater than or equal to zero.</v>
      </c>
      <c r="H477" s="25" t="str">
        <f t="shared" ca="1" si="123"/>
        <v/>
      </c>
      <c r="I477" s="25" t="str">
        <f t="shared" ca="1" si="124"/>
        <v/>
      </c>
      <c r="J477" s="26" t="str">
        <f t="shared" ca="1" si="125"/>
        <v/>
      </c>
    </row>
    <row r="478" spans="1:10" x14ac:dyDescent="0.25">
      <c r="A478" t="s">
        <v>310</v>
      </c>
      <c r="B478" t="str">
        <f>ADDRESS(ROW('Bond 1'!$B$14),COLUMN('Bond 1'!$B$14),4)</f>
        <v>B14</v>
      </c>
      <c r="C478" t="str">
        <f>ADDRESS(ROW('Bond 1'!$D$14),COLUMN('Bond 1'!$D$14),4)</f>
        <v>D14</v>
      </c>
      <c r="D478" t="b" cm="1">
        <f t="array" aca="1" ref="D478" ca="1">IF(INDIRECT("'"&amp;A478&amp;"'!"&amp;B478)="",FALSE,IF(INDIRECT("'"&amp;A478&amp;"'!"&amp;B478)&lt;0,TRUE,FALSE))</f>
        <v>0</v>
      </c>
      <c r="E478" t="s">
        <v>760</v>
      </c>
      <c r="F478" t="str">
        <f>INDEX(Lists!I:I,MATCH(Validation!E478,Lists!G:G,0))</f>
        <v>Error</v>
      </c>
      <c r="G478" t="str">
        <f>INDEX(Lists!H:H,MATCH(Validation!E478,Lists!G:G,0))</f>
        <v>Low interest rate must be greater than or equal to zero.</v>
      </c>
      <c r="H478" s="25" t="str">
        <f t="shared" ca="1" si="123"/>
        <v/>
      </c>
      <c r="I478" s="25" t="str">
        <f t="shared" ca="1" si="124"/>
        <v/>
      </c>
      <c r="J478" s="26" t="str">
        <f t="shared" ca="1" si="125"/>
        <v/>
      </c>
    </row>
    <row r="479" spans="1:10" x14ac:dyDescent="0.25">
      <c r="A479" t="s">
        <v>311</v>
      </c>
      <c r="B479" t="str">
        <f>ADDRESS(ROW('Bond 1'!$B$14),COLUMN('Bond 1'!$B$14),4)</f>
        <v>B14</v>
      </c>
      <c r="C479" t="str">
        <f>ADDRESS(ROW('Bond 1'!$D$14),COLUMN('Bond 1'!$D$14),4)</f>
        <v>D14</v>
      </c>
      <c r="D479" t="b" cm="1">
        <f t="array" aca="1" ref="D479" ca="1">IF(INDIRECT("'"&amp;A479&amp;"'!"&amp;B479)="",FALSE,IF(INDIRECT("'"&amp;A479&amp;"'!"&amp;B479)&lt;0,TRUE,FALSE))</f>
        <v>0</v>
      </c>
      <c r="E479" t="s">
        <v>760</v>
      </c>
      <c r="F479" t="str">
        <f>INDEX(Lists!I:I,MATCH(Validation!E479,Lists!G:G,0))</f>
        <v>Error</v>
      </c>
      <c r="G479" t="str">
        <f>INDEX(Lists!H:H,MATCH(Validation!E479,Lists!G:G,0))</f>
        <v>Low interest rate must be greater than or equal to zero.</v>
      </c>
      <c r="H479" s="25" t="str">
        <f t="shared" ca="1" si="123"/>
        <v/>
      </c>
      <c r="I479" s="25" t="str">
        <f t="shared" ca="1" si="124"/>
        <v/>
      </c>
      <c r="J479" s="26" t="str">
        <f t="shared" ca="1" si="125"/>
        <v/>
      </c>
    </row>
    <row r="480" spans="1:10" x14ac:dyDescent="0.25">
      <c r="A480" t="s">
        <v>312</v>
      </c>
      <c r="B480" t="str">
        <f>ADDRESS(ROW('Bond 1'!$B$14),COLUMN('Bond 1'!$B$14),4)</f>
        <v>B14</v>
      </c>
      <c r="C480" t="str">
        <f>ADDRESS(ROW('Bond 1'!$D$14),COLUMN('Bond 1'!$D$14),4)</f>
        <v>D14</v>
      </c>
      <c r="D480" t="b" cm="1">
        <f t="array" aca="1" ref="D480" ca="1">IF(INDIRECT("'"&amp;A480&amp;"'!"&amp;B480)="",FALSE,IF(INDIRECT("'"&amp;A480&amp;"'!"&amp;B480)&lt;0,TRUE,FALSE))</f>
        <v>0</v>
      </c>
      <c r="E480" t="s">
        <v>760</v>
      </c>
      <c r="F480" t="str">
        <f>INDEX(Lists!I:I,MATCH(Validation!E480,Lists!G:G,0))</f>
        <v>Error</v>
      </c>
      <c r="G480" t="str">
        <f>INDEX(Lists!H:H,MATCH(Validation!E480,Lists!G:G,0))</f>
        <v>Low interest rate must be greater than or equal to zero.</v>
      </c>
      <c r="H480" s="25" t="str">
        <f t="shared" ca="1" si="123"/>
        <v/>
      </c>
      <c r="I480" s="25" t="str">
        <f t="shared" ca="1" si="124"/>
        <v/>
      </c>
      <c r="J480" s="26" t="str">
        <f t="shared" ca="1" si="125"/>
        <v/>
      </c>
    </row>
    <row r="481" spans="1:10" x14ac:dyDescent="0.25">
      <c r="A481" t="s">
        <v>313</v>
      </c>
      <c r="B481" t="str">
        <f>ADDRESS(ROW('Bond 1'!$B$14),COLUMN('Bond 1'!$B$14),4)</f>
        <v>B14</v>
      </c>
      <c r="C481" t="str">
        <f>ADDRESS(ROW('Bond 1'!$D$14),COLUMN('Bond 1'!$D$14),4)</f>
        <v>D14</v>
      </c>
      <c r="D481" t="b" cm="1">
        <f t="array" aca="1" ref="D481" ca="1">IF(INDIRECT("'"&amp;A481&amp;"'!"&amp;B481)="",FALSE,IF(INDIRECT("'"&amp;A481&amp;"'!"&amp;B481)&lt;0,TRUE,FALSE))</f>
        <v>0</v>
      </c>
      <c r="E481" t="s">
        <v>760</v>
      </c>
      <c r="F481" t="str">
        <f>INDEX(Lists!I:I,MATCH(Validation!E481,Lists!G:G,0))</f>
        <v>Error</v>
      </c>
      <c r="G481" t="str">
        <f>INDEX(Lists!H:H,MATCH(Validation!E481,Lists!G:G,0))</f>
        <v>Low interest rate must be greater than or equal to zero.</v>
      </c>
      <c r="H481" s="25" t="str">
        <f t="shared" ca="1" si="123"/>
        <v/>
      </c>
      <c r="I481" s="25" t="str">
        <f t="shared" ca="1" si="124"/>
        <v/>
      </c>
      <c r="J481" s="26" t="str">
        <f t="shared" ca="1" si="125"/>
        <v/>
      </c>
    </row>
    <row r="482" spans="1:10" x14ac:dyDescent="0.25">
      <c r="A482" t="s">
        <v>314</v>
      </c>
      <c r="B482" t="str">
        <f>ADDRESS(ROW('Bond 1'!$B$14),COLUMN('Bond 1'!$B$14),4)</f>
        <v>B14</v>
      </c>
      <c r="C482" t="str">
        <f>ADDRESS(ROW('Bond 1'!$D$14),COLUMN('Bond 1'!$D$14),4)</f>
        <v>D14</v>
      </c>
      <c r="D482" t="b" cm="1">
        <f t="array" aca="1" ref="D482" ca="1">IF(INDIRECT("'"&amp;A482&amp;"'!"&amp;B482)="",FALSE,IF(INDIRECT("'"&amp;A482&amp;"'!"&amp;B482)&lt;0,TRUE,FALSE))</f>
        <v>0</v>
      </c>
      <c r="E482" t="s">
        <v>760</v>
      </c>
      <c r="F482" t="str">
        <f>INDEX(Lists!I:I,MATCH(Validation!E482,Lists!G:G,0))</f>
        <v>Error</v>
      </c>
      <c r="G482" t="str">
        <f>INDEX(Lists!H:H,MATCH(Validation!E482,Lists!G:G,0))</f>
        <v>Low interest rate must be greater than or equal to zero.</v>
      </c>
      <c r="H482" s="25" t="str">
        <f t="shared" ca="1" si="123"/>
        <v/>
      </c>
      <c r="I482" s="25" t="str">
        <f t="shared" ca="1" si="124"/>
        <v/>
      </c>
      <c r="J482" s="26" t="str">
        <f t="shared" ca="1" si="125"/>
        <v/>
      </c>
    </row>
    <row r="483" spans="1:10" x14ac:dyDescent="0.25">
      <c r="A483" t="s">
        <v>315</v>
      </c>
      <c r="B483" t="str">
        <f>ADDRESS(ROW('Bond 1'!$B$14),COLUMN('Bond 1'!$B$14),4)</f>
        <v>B14</v>
      </c>
      <c r="C483" t="str">
        <f>ADDRESS(ROW('Bond 1'!$D$14),COLUMN('Bond 1'!$D$14),4)</f>
        <v>D14</v>
      </c>
      <c r="D483" t="b" cm="1">
        <f t="array" aca="1" ref="D483" ca="1">IF(INDIRECT("'"&amp;A483&amp;"'!"&amp;B483)="",FALSE,IF(INDIRECT("'"&amp;A483&amp;"'!"&amp;B483)&lt;0,TRUE,FALSE))</f>
        <v>0</v>
      </c>
      <c r="E483" t="s">
        <v>760</v>
      </c>
      <c r="F483" t="str">
        <f>INDEX(Lists!I:I,MATCH(Validation!E483,Lists!G:G,0))</f>
        <v>Error</v>
      </c>
      <c r="G483" t="str">
        <f>INDEX(Lists!H:H,MATCH(Validation!E483,Lists!G:G,0))</f>
        <v>Low interest rate must be greater than or equal to zero.</v>
      </c>
      <c r="H483" s="25" t="str">
        <f t="shared" ca="1" si="123"/>
        <v/>
      </c>
      <c r="I483" s="25" t="str">
        <f t="shared" ca="1" si="124"/>
        <v/>
      </c>
      <c r="J483" s="26" t="str">
        <f t="shared" ca="1" si="125"/>
        <v/>
      </c>
    </row>
    <row r="484" spans="1:10" x14ac:dyDescent="0.25">
      <c r="A484" t="s">
        <v>198</v>
      </c>
      <c r="B484" t="str">
        <f>ADDRESS(ROW('Bond 1'!$B$14),COLUMN('Bond 1'!$B$14),4)</f>
        <v>B14</v>
      </c>
      <c r="C484" t="str">
        <f>ADDRESS(ROW('Bond 1'!$D$14),COLUMN('Bond 1'!$D$14),4)</f>
        <v>D14</v>
      </c>
      <c r="D484" t="b" cm="1">
        <f t="array" aca="1" ref="D484" ca="1">IF(INDIRECT("'"&amp;A484&amp;"'!"&amp;B484)="",FALSE,IF(INDIRECT("'"&amp;A484&amp;"'!"&amp;B484)&gt;9,TRUE,FALSE))</f>
        <v>0</v>
      </c>
      <c r="E484" t="s">
        <v>707</v>
      </c>
      <c r="F484" t="str">
        <f>INDEX(Lists!I:I,MATCH(Validation!E484,Lists!G:G,0))</f>
        <v>Alert</v>
      </c>
      <c r="G484" t="str">
        <f>INDEX(Lists!H:H,MATCH(Validation!E484,Lists!G:G,0))</f>
        <v>Low interest rate exceeds typical rates. Correct entry or explain in comments box.</v>
      </c>
      <c r="H484" s="25" t="str">
        <f t="shared" ref="H484:H498" ca="1" si="126">IFERROR(IF(OR(NOT(D484),F484&lt;&gt;"Error"),"",A484&amp;CELL("address",INDIRECT(B484))),"")</f>
        <v/>
      </c>
      <c r="I484" s="25" t="str">
        <f t="shared" ref="I484:I498" ca="1" si="127">IFERROR(IF(NOT(D484),"",A484&amp;CELL("address",INDIRECT(C484))),"")</f>
        <v/>
      </c>
      <c r="J484" s="26" t="str">
        <f t="shared" ref="J484:J498" ca="1" si="128">IFERROR(IF(NOT(D484),"",A484),"")</f>
        <v/>
      </c>
    </row>
    <row r="485" spans="1:10" x14ac:dyDescent="0.25">
      <c r="A485" t="s">
        <v>302</v>
      </c>
      <c r="B485" t="str">
        <f>ADDRESS(ROW('Bond 1'!$B$14),COLUMN('Bond 1'!$B$14),4)</f>
        <v>B14</v>
      </c>
      <c r="C485" t="str">
        <f>ADDRESS(ROW('Bond 1'!$D$14),COLUMN('Bond 1'!$D$14),4)</f>
        <v>D14</v>
      </c>
      <c r="D485" t="b" cm="1">
        <f t="array" aca="1" ref="D485" ca="1">IF(INDIRECT("'"&amp;A485&amp;"'!"&amp;B485)="",FALSE,IF(INDIRECT("'"&amp;A485&amp;"'!"&amp;B485)&gt;9,TRUE,FALSE))</f>
        <v>0</v>
      </c>
      <c r="E485" t="s">
        <v>707</v>
      </c>
      <c r="F485" t="str">
        <f>INDEX(Lists!I:I,MATCH(Validation!E485,Lists!G:G,0))</f>
        <v>Alert</v>
      </c>
      <c r="G485" t="str">
        <f>INDEX(Lists!H:H,MATCH(Validation!E485,Lists!G:G,0))</f>
        <v>Low interest rate exceeds typical rates. Correct entry or explain in comments box.</v>
      </c>
      <c r="H485" s="25" t="str">
        <f t="shared" ca="1" si="126"/>
        <v/>
      </c>
      <c r="I485" s="25" t="str">
        <f t="shared" ca="1" si="127"/>
        <v/>
      </c>
      <c r="J485" s="26" t="str">
        <f t="shared" ca="1" si="128"/>
        <v/>
      </c>
    </row>
    <row r="486" spans="1:10" x14ac:dyDescent="0.25">
      <c r="A486" t="s">
        <v>303</v>
      </c>
      <c r="B486" t="str">
        <f>ADDRESS(ROW('Bond 1'!$B$14),COLUMN('Bond 1'!$B$14),4)</f>
        <v>B14</v>
      </c>
      <c r="C486" t="str">
        <f>ADDRESS(ROW('Bond 1'!$D$14),COLUMN('Bond 1'!$D$14),4)</f>
        <v>D14</v>
      </c>
      <c r="D486" t="b" cm="1">
        <f t="array" aca="1" ref="D486" ca="1">IF(INDIRECT("'"&amp;A486&amp;"'!"&amp;B486)="",FALSE,IF(INDIRECT("'"&amp;A486&amp;"'!"&amp;B486)&gt;9,TRUE,FALSE))</f>
        <v>0</v>
      </c>
      <c r="E486" t="s">
        <v>707</v>
      </c>
      <c r="F486" t="str">
        <f>INDEX(Lists!I:I,MATCH(Validation!E486,Lists!G:G,0))</f>
        <v>Alert</v>
      </c>
      <c r="G486" t="str">
        <f>INDEX(Lists!H:H,MATCH(Validation!E486,Lists!G:G,0))</f>
        <v>Low interest rate exceeds typical rates. Correct entry or explain in comments box.</v>
      </c>
      <c r="H486" s="25" t="str">
        <f t="shared" ca="1" si="126"/>
        <v/>
      </c>
      <c r="I486" s="25" t="str">
        <f t="shared" ca="1" si="127"/>
        <v/>
      </c>
      <c r="J486" s="26" t="str">
        <f t="shared" ca="1" si="128"/>
        <v/>
      </c>
    </row>
    <row r="487" spans="1:10" x14ac:dyDescent="0.25">
      <c r="A487" t="s">
        <v>304</v>
      </c>
      <c r="B487" t="str">
        <f>ADDRESS(ROW('Bond 1'!$B$14),COLUMN('Bond 1'!$B$14),4)</f>
        <v>B14</v>
      </c>
      <c r="C487" t="str">
        <f>ADDRESS(ROW('Bond 1'!$D$14),COLUMN('Bond 1'!$D$14),4)</f>
        <v>D14</v>
      </c>
      <c r="D487" t="b" cm="1">
        <f t="array" aca="1" ref="D487" ca="1">IF(INDIRECT("'"&amp;A487&amp;"'!"&amp;B487)="",FALSE,IF(INDIRECT("'"&amp;A487&amp;"'!"&amp;B487)&gt;9,TRUE,FALSE))</f>
        <v>0</v>
      </c>
      <c r="E487" t="s">
        <v>707</v>
      </c>
      <c r="F487" t="str">
        <f>INDEX(Lists!I:I,MATCH(Validation!E487,Lists!G:G,0))</f>
        <v>Alert</v>
      </c>
      <c r="G487" t="str">
        <f>INDEX(Lists!H:H,MATCH(Validation!E487,Lists!G:G,0))</f>
        <v>Low interest rate exceeds typical rates. Correct entry or explain in comments box.</v>
      </c>
      <c r="H487" s="25" t="str">
        <f t="shared" ca="1" si="126"/>
        <v/>
      </c>
      <c r="I487" s="25" t="str">
        <f t="shared" ca="1" si="127"/>
        <v/>
      </c>
      <c r="J487" s="26" t="str">
        <f t="shared" ca="1" si="128"/>
        <v/>
      </c>
    </row>
    <row r="488" spans="1:10" x14ac:dyDescent="0.25">
      <c r="A488" t="s">
        <v>305</v>
      </c>
      <c r="B488" t="str">
        <f>ADDRESS(ROW('Bond 1'!$B$14),COLUMN('Bond 1'!$B$14),4)</f>
        <v>B14</v>
      </c>
      <c r="C488" t="str">
        <f>ADDRESS(ROW('Bond 1'!$D$14),COLUMN('Bond 1'!$D$14),4)</f>
        <v>D14</v>
      </c>
      <c r="D488" t="b" cm="1">
        <f t="array" aca="1" ref="D488" ca="1">IF(INDIRECT("'"&amp;A488&amp;"'!"&amp;B488)="",FALSE,IF(INDIRECT("'"&amp;A488&amp;"'!"&amp;B488)&gt;9,TRUE,FALSE))</f>
        <v>0</v>
      </c>
      <c r="E488" t="s">
        <v>707</v>
      </c>
      <c r="F488" t="str">
        <f>INDEX(Lists!I:I,MATCH(Validation!E488,Lists!G:G,0))</f>
        <v>Alert</v>
      </c>
      <c r="G488" t="str">
        <f>INDEX(Lists!H:H,MATCH(Validation!E488,Lists!G:G,0))</f>
        <v>Low interest rate exceeds typical rates. Correct entry or explain in comments box.</v>
      </c>
      <c r="H488" s="25" t="str">
        <f t="shared" ca="1" si="126"/>
        <v/>
      </c>
      <c r="I488" s="25" t="str">
        <f t="shared" ca="1" si="127"/>
        <v/>
      </c>
      <c r="J488" s="26" t="str">
        <f t="shared" ca="1" si="128"/>
        <v/>
      </c>
    </row>
    <row r="489" spans="1:10" x14ac:dyDescent="0.25">
      <c r="A489" t="s">
        <v>306</v>
      </c>
      <c r="B489" t="str">
        <f>ADDRESS(ROW('Bond 1'!$B$14),COLUMN('Bond 1'!$B$14),4)</f>
        <v>B14</v>
      </c>
      <c r="C489" t="str">
        <f>ADDRESS(ROW('Bond 1'!$D$14),COLUMN('Bond 1'!$D$14),4)</f>
        <v>D14</v>
      </c>
      <c r="D489" t="b" cm="1">
        <f t="array" aca="1" ref="D489" ca="1">IF(INDIRECT("'"&amp;A489&amp;"'!"&amp;B489)="",FALSE,IF(INDIRECT("'"&amp;A489&amp;"'!"&amp;B489)&gt;9,TRUE,FALSE))</f>
        <v>0</v>
      </c>
      <c r="E489" t="s">
        <v>707</v>
      </c>
      <c r="F489" t="str">
        <f>INDEX(Lists!I:I,MATCH(Validation!E489,Lists!G:G,0))</f>
        <v>Alert</v>
      </c>
      <c r="G489" t="str">
        <f>INDEX(Lists!H:H,MATCH(Validation!E489,Lists!G:G,0))</f>
        <v>Low interest rate exceeds typical rates. Correct entry or explain in comments box.</v>
      </c>
      <c r="H489" s="25" t="str">
        <f t="shared" ca="1" si="126"/>
        <v/>
      </c>
      <c r="I489" s="25" t="str">
        <f t="shared" ca="1" si="127"/>
        <v/>
      </c>
      <c r="J489" s="26" t="str">
        <f t="shared" ca="1" si="128"/>
        <v/>
      </c>
    </row>
    <row r="490" spans="1:10" x14ac:dyDescent="0.25">
      <c r="A490" t="s">
        <v>307</v>
      </c>
      <c r="B490" t="str">
        <f>ADDRESS(ROW('Bond 1'!$B$14),COLUMN('Bond 1'!$B$14),4)</f>
        <v>B14</v>
      </c>
      <c r="C490" t="str">
        <f>ADDRESS(ROW('Bond 1'!$D$14),COLUMN('Bond 1'!$D$14),4)</f>
        <v>D14</v>
      </c>
      <c r="D490" t="b" cm="1">
        <f t="array" aca="1" ref="D490" ca="1">IF(INDIRECT("'"&amp;A490&amp;"'!"&amp;B490)="",FALSE,IF(INDIRECT("'"&amp;A490&amp;"'!"&amp;B490)&gt;9,TRUE,FALSE))</f>
        <v>0</v>
      </c>
      <c r="E490" t="s">
        <v>707</v>
      </c>
      <c r="F490" t="str">
        <f>INDEX(Lists!I:I,MATCH(Validation!E490,Lists!G:G,0))</f>
        <v>Alert</v>
      </c>
      <c r="G490" t="str">
        <f>INDEX(Lists!H:H,MATCH(Validation!E490,Lists!G:G,0))</f>
        <v>Low interest rate exceeds typical rates. Correct entry or explain in comments box.</v>
      </c>
      <c r="H490" s="25" t="str">
        <f t="shared" ca="1" si="126"/>
        <v/>
      </c>
      <c r="I490" s="25" t="str">
        <f t="shared" ca="1" si="127"/>
        <v/>
      </c>
      <c r="J490" s="26" t="str">
        <f t="shared" ca="1" si="128"/>
        <v/>
      </c>
    </row>
    <row r="491" spans="1:10" x14ac:dyDescent="0.25">
      <c r="A491" t="s">
        <v>308</v>
      </c>
      <c r="B491" t="str">
        <f>ADDRESS(ROW('Bond 1'!$B$14),COLUMN('Bond 1'!$B$14),4)</f>
        <v>B14</v>
      </c>
      <c r="C491" t="str">
        <f>ADDRESS(ROW('Bond 1'!$D$14),COLUMN('Bond 1'!$D$14),4)</f>
        <v>D14</v>
      </c>
      <c r="D491" t="b" cm="1">
        <f t="array" aca="1" ref="D491" ca="1">IF(INDIRECT("'"&amp;A491&amp;"'!"&amp;B491)="",FALSE,IF(INDIRECT("'"&amp;A491&amp;"'!"&amp;B491)&gt;9,TRUE,FALSE))</f>
        <v>0</v>
      </c>
      <c r="E491" t="s">
        <v>707</v>
      </c>
      <c r="F491" t="str">
        <f>INDEX(Lists!I:I,MATCH(Validation!E491,Lists!G:G,0))</f>
        <v>Alert</v>
      </c>
      <c r="G491" t="str">
        <f>INDEX(Lists!H:H,MATCH(Validation!E491,Lists!G:G,0))</f>
        <v>Low interest rate exceeds typical rates. Correct entry or explain in comments box.</v>
      </c>
      <c r="H491" s="25" t="str">
        <f t="shared" ca="1" si="126"/>
        <v/>
      </c>
      <c r="I491" s="25" t="str">
        <f t="shared" ca="1" si="127"/>
        <v/>
      </c>
      <c r="J491" s="26" t="str">
        <f t="shared" ca="1" si="128"/>
        <v/>
      </c>
    </row>
    <row r="492" spans="1:10" x14ac:dyDescent="0.25">
      <c r="A492" t="s">
        <v>309</v>
      </c>
      <c r="B492" t="str">
        <f>ADDRESS(ROW('Bond 1'!$B$14),COLUMN('Bond 1'!$B$14),4)</f>
        <v>B14</v>
      </c>
      <c r="C492" t="str">
        <f>ADDRESS(ROW('Bond 1'!$D$14),COLUMN('Bond 1'!$D$14),4)</f>
        <v>D14</v>
      </c>
      <c r="D492" t="b" cm="1">
        <f t="array" aca="1" ref="D492" ca="1">IF(INDIRECT("'"&amp;A492&amp;"'!"&amp;B492)="",FALSE,IF(INDIRECT("'"&amp;A492&amp;"'!"&amp;B492)&gt;9,TRUE,FALSE))</f>
        <v>0</v>
      </c>
      <c r="E492" t="s">
        <v>707</v>
      </c>
      <c r="F492" t="str">
        <f>INDEX(Lists!I:I,MATCH(Validation!E492,Lists!G:G,0))</f>
        <v>Alert</v>
      </c>
      <c r="G492" t="str">
        <f>INDEX(Lists!H:H,MATCH(Validation!E492,Lists!G:G,0))</f>
        <v>Low interest rate exceeds typical rates. Correct entry or explain in comments box.</v>
      </c>
      <c r="H492" s="25" t="str">
        <f t="shared" ca="1" si="126"/>
        <v/>
      </c>
      <c r="I492" s="25" t="str">
        <f t="shared" ca="1" si="127"/>
        <v/>
      </c>
      <c r="J492" s="26" t="str">
        <f t="shared" ca="1" si="128"/>
        <v/>
      </c>
    </row>
    <row r="493" spans="1:10" x14ac:dyDescent="0.25">
      <c r="A493" t="s">
        <v>310</v>
      </c>
      <c r="B493" t="str">
        <f>ADDRESS(ROW('Bond 1'!$B$14),COLUMN('Bond 1'!$B$14),4)</f>
        <v>B14</v>
      </c>
      <c r="C493" t="str">
        <f>ADDRESS(ROW('Bond 1'!$D$14),COLUMN('Bond 1'!$D$14),4)</f>
        <v>D14</v>
      </c>
      <c r="D493" t="b" cm="1">
        <f t="array" aca="1" ref="D493" ca="1">IF(INDIRECT("'"&amp;A493&amp;"'!"&amp;B493)="",FALSE,IF(INDIRECT("'"&amp;A493&amp;"'!"&amp;B493)&gt;9,TRUE,FALSE))</f>
        <v>0</v>
      </c>
      <c r="E493" t="s">
        <v>707</v>
      </c>
      <c r="F493" t="str">
        <f>INDEX(Lists!I:I,MATCH(Validation!E493,Lists!G:G,0))</f>
        <v>Alert</v>
      </c>
      <c r="G493" t="str">
        <f>INDEX(Lists!H:H,MATCH(Validation!E493,Lists!G:G,0))</f>
        <v>Low interest rate exceeds typical rates. Correct entry or explain in comments box.</v>
      </c>
      <c r="H493" s="25" t="str">
        <f t="shared" ca="1" si="126"/>
        <v/>
      </c>
      <c r="I493" s="25" t="str">
        <f t="shared" ca="1" si="127"/>
        <v/>
      </c>
      <c r="J493" s="26" t="str">
        <f t="shared" ca="1" si="128"/>
        <v/>
      </c>
    </row>
    <row r="494" spans="1:10" x14ac:dyDescent="0.25">
      <c r="A494" t="s">
        <v>311</v>
      </c>
      <c r="B494" t="str">
        <f>ADDRESS(ROW('Bond 1'!$B$14),COLUMN('Bond 1'!$B$14),4)</f>
        <v>B14</v>
      </c>
      <c r="C494" t="str">
        <f>ADDRESS(ROW('Bond 1'!$D$14),COLUMN('Bond 1'!$D$14),4)</f>
        <v>D14</v>
      </c>
      <c r="D494" t="b" cm="1">
        <f t="array" aca="1" ref="D494" ca="1">IF(INDIRECT("'"&amp;A494&amp;"'!"&amp;B494)="",FALSE,IF(INDIRECT("'"&amp;A494&amp;"'!"&amp;B494)&gt;9,TRUE,FALSE))</f>
        <v>0</v>
      </c>
      <c r="E494" t="s">
        <v>707</v>
      </c>
      <c r="F494" t="str">
        <f>INDEX(Lists!I:I,MATCH(Validation!E494,Lists!G:G,0))</f>
        <v>Alert</v>
      </c>
      <c r="G494" t="str">
        <f>INDEX(Lists!H:H,MATCH(Validation!E494,Lists!G:G,0))</f>
        <v>Low interest rate exceeds typical rates. Correct entry or explain in comments box.</v>
      </c>
      <c r="H494" s="25" t="str">
        <f t="shared" ca="1" si="126"/>
        <v/>
      </c>
      <c r="I494" s="25" t="str">
        <f t="shared" ca="1" si="127"/>
        <v/>
      </c>
      <c r="J494" s="26" t="str">
        <f t="shared" ca="1" si="128"/>
        <v/>
      </c>
    </row>
    <row r="495" spans="1:10" x14ac:dyDescent="0.25">
      <c r="A495" t="s">
        <v>312</v>
      </c>
      <c r="B495" t="str">
        <f>ADDRESS(ROW('Bond 1'!$B$14),COLUMN('Bond 1'!$B$14),4)</f>
        <v>B14</v>
      </c>
      <c r="C495" t="str">
        <f>ADDRESS(ROW('Bond 1'!$D$14),COLUMN('Bond 1'!$D$14),4)</f>
        <v>D14</v>
      </c>
      <c r="D495" t="b" cm="1">
        <f t="array" aca="1" ref="D495" ca="1">IF(INDIRECT("'"&amp;A495&amp;"'!"&amp;B495)="",FALSE,IF(INDIRECT("'"&amp;A495&amp;"'!"&amp;B495)&gt;9,TRUE,FALSE))</f>
        <v>0</v>
      </c>
      <c r="E495" t="s">
        <v>707</v>
      </c>
      <c r="F495" t="str">
        <f>INDEX(Lists!I:I,MATCH(Validation!E495,Lists!G:G,0))</f>
        <v>Alert</v>
      </c>
      <c r="G495" t="str">
        <f>INDEX(Lists!H:H,MATCH(Validation!E495,Lists!G:G,0))</f>
        <v>Low interest rate exceeds typical rates. Correct entry or explain in comments box.</v>
      </c>
      <c r="H495" s="25" t="str">
        <f t="shared" ca="1" si="126"/>
        <v/>
      </c>
      <c r="I495" s="25" t="str">
        <f t="shared" ca="1" si="127"/>
        <v/>
      </c>
      <c r="J495" s="26" t="str">
        <f t="shared" ca="1" si="128"/>
        <v/>
      </c>
    </row>
    <row r="496" spans="1:10" x14ac:dyDescent="0.25">
      <c r="A496" t="s">
        <v>313</v>
      </c>
      <c r="B496" t="str">
        <f>ADDRESS(ROW('Bond 1'!$B$14),COLUMN('Bond 1'!$B$14),4)</f>
        <v>B14</v>
      </c>
      <c r="C496" t="str">
        <f>ADDRESS(ROW('Bond 1'!$D$14),COLUMN('Bond 1'!$D$14),4)</f>
        <v>D14</v>
      </c>
      <c r="D496" t="b" cm="1">
        <f t="array" aca="1" ref="D496" ca="1">IF(INDIRECT("'"&amp;A496&amp;"'!"&amp;B496)="",FALSE,IF(INDIRECT("'"&amp;A496&amp;"'!"&amp;B496)&gt;9,TRUE,FALSE))</f>
        <v>0</v>
      </c>
      <c r="E496" t="s">
        <v>707</v>
      </c>
      <c r="F496" t="str">
        <f>INDEX(Lists!I:I,MATCH(Validation!E496,Lists!G:G,0))</f>
        <v>Alert</v>
      </c>
      <c r="G496" t="str">
        <f>INDEX(Lists!H:H,MATCH(Validation!E496,Lists!G:G,0))</f>
        <v>Low interest rate exceeds typical rates. Correct entry or explain in comments box.</v>
      </c>
      <c r="H496" s="25" t="str">
        <f t="shared" ca="1" si="126"/>
        <v/>
      </c>
      <c r="I496" s="25" t="str">
        <f t="shared" ca="1" si="127"/>
        <v/>
      </c>
      <c r="J496" s="26" t="str">
        <f t="shared" ca="1" si="128"/>
        <v/>
      </c>
    </row>
    <row r="497" spans="1:10" x14ac:dyDescent="0.25">
      <c r="A497" t="s">
        <v>314</v>
      </c>
      <c r="B497" t="str">
        <f>ADDRESS(ROW('Bond 1'!$B$14),COLUMN('Bond 1'!$B$14),4)</f>
        <v>B14</v>
      </c>
      <c r="C497" t="str">
        <f>ADDRESS(ROW('Bond 1'!$D$14),COLUMN('Bond 1'!$D$14),4)</f>
        <v>D14</v>
      </c>
      <c r="D497" t="b" cm="1">
        <f t="array" aca="1" ref="D497" ca="1">IF(INDIRECT("'"&amp;A497&amp;"'!"&amp;B497)="",FALSE,IF(INDIRECT("'"&amp;A497&amp;"'!"&amp;B497)&gt;9,TRUE,FALSE))</f>
        <v>0</v>
      </c>
      <c r="E497" t="s">
        <v>707</v>
      </c>
      <c r="F497" t="str">
        <f>INDEX(Lists!I:I,MATCH(Validation!E497,Lists!G:G,0))</f>
        <v>Alert</v>
      </c>
      <c r="G497" t="str">
        <f>INDEX(Lists!H:H,MATCH(Validation!E497,Lists!G:G,0))</f>
        <v>Low interest rate exceeds typical rates. Correct entry or explain in comments box.</v>
      </c>
      <c r="H497" s="25" t="str">
        <f t="shared" ca="1" si="126"/>
        <v/>
      </c>
      <c r="I497" s="25" t="str">
        <f t="shared" ca="1" si="127"/>
        <v/>
      </c>
      <c r="J497" s="26" t="str">
        <f t="shared" ca="1" si="128"/>
        <v/>
      </c>
    </row>
    <row r="498" spans="1:10" x14ac:dyDescent="0.25">
      <c r="A498" t="s">
        <v>315</v>
      </c>
      <c r="B498" t="str">
        <f>ADDRESS(ROW('Bond 1'!$B$14),COLUMN('Bond 1'!$B$14),4)</f>
        <v>B14</v>
      </c>
      <c r="C498" t="str">
        <f>ADDRESS(ROW('Bond 1'!$D$14),COLUMN('Bond 1'!$D$14),4)</f>
        <v>D14</v>
      </c>
      <c r="D498" t="b" cm="1">
        <f t="array" aca="1" ref="D498" ca="1">IF(INDIRECT("'"&amp;A498&amp;"'!"&amp;B498)="",FALSE,IF(INDIRECT("'"&amp;A498&amp;"'!"&amp;B498)&gt;9,TRUE,FALSE))</f>
        <v>0</v>
      </c>
      <c r="E498" t="s">
        <v>707</v>
      </c>
      <c r="F498" t="str">
        <f>INDEX(Lists!I:I,MATCH(Validation!E498,Lists!G:G,0))</f>
        <v>Alert</v>
      </c>
      <c r="G498" t="str">
        <f>INDEX(Lists!H:H,MATCH(Validation!E498,Lists!G:G,0))</f>
        <v>Low interest rate exceeds typical rates. Correct entry or explain in comments box.</v>
      </c>
      <c r="H498" s="25" t="str">
        <f t="shared" ca="1" si="126"/>
        <v/>
      </c>
      <c r="I498" s="25" t="str">
        <f t="shared" ca="1" si="127"/>
        <v/>
      </c>
      <c r="J498" s="26" t="str">
        <f t="shared" ca="1" si="128"/>
        <v/>
      </c>
    </row>
    <row r="499" spans="1:10" x14ac:dyDescent="0.25">
      <c r="A499" t="s">
        <v>198</v>
      </c>
      <c r="B499" t="str">
        <f>ADDRESS(ROW('Bond 1'!$B$14),COLUMN('Bond 1'!$B$14),4)</f>
        <v>B14</v>
      </c>
      <c r="C499" t="str">
        <f>ADDRESS(ROW('Bond 1'!$D$14),COLUMN('Bond 1'!$D$14),4)</f>
        <v>D14</v>
      </c>
      <c r="D499" t="b" cm="1">
        <f t="array" aca="1" ref="D499" ca="1">IF(INDIRECT("'"&amp;A499&amp;"'!"&amp;B499)="",FALSE,IF(TRUNC(INDIRECT("'"&amp;A499&amp;"'!"&amp;B499),3)=INDIRECT("'"&amp;A499&amp;"'!"&amp;B499),FALSE,TRUE))</f>
        <v>0</v>
      </c>
      <c r="E499" t="s">
        <v>616</v>
      </c>
      <c r="F499" t="str">
        <f>INDEX(Lists!I:I,MATCH(Validation!E499,Lists!G:G,0))</f>
        <v>Error</v>
      </c>
      <c r="G499" t="str">
        <f>INDEX(Lists!H:H,MATCH(Validation!E499,Lists!G:G,0))</f>
        <v>Interest rate cannot have more than three decimals.</v>
      </c>
      <c r="H499" s="25" t="str">
        <f t="shared" ref="H499:H513" ca="1" si="129">IFERROR(IF(OR(NOT(D499),F499&lt;&gt;"Error"),"",A499&amp;CELL("address",INDIRECT(B499))),"")</f>
        <v/>
      </c>
      <c r="I499" s="25" t="str">
        <f t="shared" ref="I499:I513" ca="1" si="130">IFERROR(IF(NOT(D499),"",A499&amp;CELL("address",INDIRECT(C499))),"")</f>
        <v/>
      </c>
      <c r="J499" s="26" t="str">
        <f t="shared" ref="J499:J513" ca="1" si="131">IFERROR(IF(NOT(D499),"",A499),"")</f>
        <v/>
      </c>
    </row>
    <row r="500" spans="1:10" x14ac:dyDescent="0.25">
      <c r="A500" t="s">
        <v>302</v>
      </c>
      <c r="B500" t="str">
        <f>ADDRESS(ROW('Bond 1'!$B$14),COLUMN('Bond 1'!$B$14),4)</f>
        <v>B14</v>
      </c>
      <c r="C500" t="str">
        <f>ADDRESS(ROW('Bond 1'!$D$14),COLUMN('Bond 1'!$D$14),4)</f>
        <v>D14</v>
      </c>
      <c r="D500" t="b" cm="1">
        <f t="array" aca="1" ref="D500" ca="1">IF(INDIRECT("'"&amp;A500&amp;"'!"&amp;B500)="",FALSE,IF(TRUNC(INDIRECT("'"&amp;A500&amp;"'!"&amp;B500),3)=INDIRECT("'"&amp;A500&amp;"'!"&amp;B500),FALSE,TRUE))</f>
        <v>0</v>
      </c>
      <c r="E500" t="s">
        <v>616</v>
      </c>
      <c r="F500" t="str">
        <f>INDEX(Lists!I:I,MATCH(Validation!E500,Lists!G:G,0))</f>
        <v>Error</v>
      </c>
      <c r="G500" t="str">
        <f>INDEX(Lists!H:H,MATCH(Validation!E500,Lists!G:G,0))</f>
        <v>Interest rate cannot have more than three decimals.</v>
      </c>
      <c r="H500" s="25" t="str">
        <f t="shared" ca="1" si="129"/>
        <v/>
      </c>
      <c r="I500" s="25" t="str">
        <f t="shared" ca="1" si="130"/>
        <v/>
      </c>
      <c r="J500" s="26" t="str">
        <f t="shared" ca="1" si="131"/>
        <v/>
      </c>
    </row>
    <row r="501" spans="1:10" x14ac:dyDescent="0.25">
      <c r="A501" t="s">
        <v>303</v>
      </c>
      <c r="B501" t="str">
        <f>ADDRESS(ROW('Bond 1'!$B$14),COLUMN('Bond 1'!$B$14),4)</f>
        <v>B14</v>
      </c>
      <c r="C501" t="str">
        <f>ADDRESS(ROW('Bond 1'!$D$14),COLUMN('Bond 1'!$D$14),4)</f>
        <v>D14</v>
      </c>
      <c r="D501" t="b" cm="1">
        <f t="array" aca="1" ref="D501" ca="1">IF(INDIRECT("'"&amp;A501&amp;"'!"&amp;B501)="",FALSE,IF(TRUNC(INDIRECT("'"&amp;A501&amp;"'!"&amp;B501),3)=INDIRECT("'"&amp;A501&amp;"'!"&amp;B501),FALSE,TRUE))</f>
        <v>0</v>
      </c>
      <c r="E501" t="s">
        <v>616</v>
      </c>
      <c r="F501" t="str">
        <f>INDEX(Lists!I:I,MATCH(Validation!E501,Lists!G:G,0))</f>
        <v>Error</v>
      </c>
      <c r="G501" t="str">
        <f>INDEX(Lists!H:H,MATCH(Validation!E501,Lists!G:G,0))</f>
        <v>Interest rate cannot have more than three decimals.</v>
      </c>
      <c r="H501" s="25" t="str">
        <f t="shared" ca="1" si="129"/>
        <v/>
      </c>
      <c r="I501" s="25" t="str">
        <f t="shared" ca="1" si="130"/>
        <v/>
      </c>
      <c r="J501" s="26" t="str">
        <f t="shared" ca="1" si="131"/>
        <v/>
      </c>
    </row>
    <row r="502" spans="1:10" x14ac:dyDescent="0.25">
      <c r="A502" t="s">
        <v>304</v>
      </c>
      <c r="B502" t="str">
        <f>ADDRESS(ROW('Bond 1'!$B$14),COLUMN('Bond 1'!$B$14),4)</f>
        <v>B14</v>
      </c>
      <c r="C502" t="str">
        <f>ADDRESS(ROW('Bond 1'!$D$14),COLUMN('Bond 1'!$D$14),4)</f>
        <v>D14</v>
      </c>
      <c r="D502" t="b" cm="1">
        <f t="array" aca="1" ref="D502" ca="1">IF(INDIRECT("'"&amp;A502&amp;"'!"&amp;B502)="",FALSE,IF(TRUNC(INDIRECT("'"&amp;A502&amp;"'!"&amp;B502),3)=INDIRECT("'"&amp;A502&amp;"'!"&amp;B502),FALSE,TRUE))</f>
        <v>0</v>
      </c>
      <c r="E502" t="s">
        <v>616</v>
      </c>
      <c r="F502" t="str">
        <f>INDEX(Lists!I:I,MATCH(Validation!E502,Lists!G:G,0))</f>
        <v>Error</v>
      </c>
      <c r="G502" t="str">
        <f>INDEX(Lists!H:H,MATCH(Validation!E502,Lists!G:G,0))</f>
        <v>Interest rate cannot have more than three decimals.</v>
      </c>
      <c r="H502" s="25" t="str">
        <f t="shared" ca="1" si="129"/>
        <v/>
      </c>
      <c r="I502" s="25" t="str">
        <f t="shared" ca="1" si="130"/>
        <v/>
      </c>
      <c r="J502" s="26" t="str">
        <f t="shared" ca="1" si="131"/>
        <v/>
      </c>
    </row>
    <row r="503" spans="1:10" x14ac:dyDescent="0.25">
      <c r="A503" t="s">
        <v>305</v>
      </c>
      <c r="B503" t="str">
        <f>ADDRESS(ROW('Bond 1'!$B$14),COLUMN('Bond 1'!$B$14),4)</f>
        <v>B14</v>
      </c>
      <c r="C503" t="str">
        <f>ADDRESS(ROW('Bond 1'!$D$14),COLUMN('Bond 1'!$D$14),4)</f>
        <v>D14</v>
      </c>
      <c r="D503" t="b" cm="1">
        <f t="array" aca="1" ref="D503" ca="1">IF(INDIRECT("'"&amp;A503&amp;"'!"&amp;B503)="",FALSE,IF(TRUNC(INDIRECT("'"&amp;A503&amp;"'!"&amp;B503),3)=INDIRECT("'"&amp;A503&amp;"'!"&amp;B503),FALSE,TRUE))</f>
        <v>0</v>
      </c>
      <c r="E503" t="s">
        <v>616</v>
      </c>
      <c r="F503" t="str">
        <f>INDEX(Lists!I:I,MATCH(Validation!E503,Lists!G:G,0))</f>
        <v>Error</v>
      </c>
      <c r="G503" t="str">
        <f>INDEX(Lists!H:H,MATCH(Validation!E503,Lists!G:G,0))</f>
        <v>Interest rate cannot have more than three decimals.</v>
      </c>
      <c r="H503" s="25" t="str">
        <f t="shared" ca="1" si="129"/>
        <v/>
      </c>
      <c r="I503" s="25" t="str">
        <f t="shared" ca="1" si="130"/>
        <v/>
      </c>
      <c r="J503" s="26" t="str">
        <f t="shared" ca="1" si="131"/>
        <v/>
      </c>
    </row>
    <row r="504" spans="1:10" x14ac:dyDescent="0.25">
      <c r="A504" t="s">
        <v>306</v>
      </c>
      <c r="B504" t="str">
        <f>ADDRESS(ROW('Bond 1'!$B$14),COLUMN('Bond 1'!$B$14),4)</f>
        <v>B14</v>
      </c>
      <c r="C504" t="str">
        <f>ADDRESS(ROW('Bond 1'!$D$14),COLUMN('Bond 1'!$D$14),4)</f>
        <v>D14</v>
      </c>
      <c r="D504" t="b" cm="1">
        <f t="array" aca="1" ref="D504" ca="1">IF(INDIRECT("'"&amp;A504&amp;"'!"&amp;B504)="",FALSE,IF(TRUNC(INDIRECT("'"&amp;A504&amp;"'!"&amp;B504),3)=INDIRECT("'"&amp;A504&amp;"'!"&amp;B504),FALSE,TRUE))</f>
        <v>0</v>
      </c>
      <c r="E504" t="s">
        <v>616</v>
      </c>
      <c r="F504" t="str">
        <f>INDEX(Lists!I:I,MATCH(Validation!E504,Lists!G:G,0))</f>
        <v>Error</v>
      </c>
      <c r="G504" t="str">
        <f>INDEX(Lists!H:H,MATCH(Validation!E504,Lists!G:G,0))</f>
        <v>Interest rate cannot have more than three decimals.</v>
      </c>
      <c r="H504" s="25" t="str">
        <f t="shared" ca="1" si="129"/>
        <v/>
      </c>
      <c r="I504" s="25" t="str">
        <f t="shared" ca="1" si="130"/>
        <v/>
      </c>
      <c r="J504" s="26" t="str">
        <f t="shared" ca="1" si="131"/>
        <v/>
      </c>
    </row>
    <row r="505" spans="1:10" x14ac:dyDescent="0.25">
      <c r="A505" t="s">
        <v>307</v>
      </c>
      <c r="B505" t="str">
        <f>ADDRESS(ROW('Bond 1'!$B$14),COLUMN('Bond 1'!$B$14),4)</f>
        <v>B14</v>
      </c>
      <c r="C505" t="str">
        <f>ADDRESS(ROW('Bond 1'!$D$14),COLUMN('Bond 1'!$D$14),4)</f>
        <v>D14</v>
      </c>
      <c r="D505" t="b" cm="1">
        <f t="array" aca="1" ref="D505" ca="1">IF(INDIRECT("'"&amp;A505&amp;"'!"&amp;B505)="",FALSE,IF(TRUNC(INDIRECT("'"&amp;A505&amp;"'!"&amp;B505),3)=INDIRECT("'"&amp;A505&amp;"'!"&amp;B505),FALSE,TRUE))</f>
        <v>0</v>
      </c>
      <c r="E505" t="s">
        <v>616</v>
      </c>
      <c r="F505" t="str">
        <f>INDEX(Lists!I:I,MATCH(Validation!E505,Lists!G:G,0))</f>
        <v>Error</v>
      </c>
      <c r="G505" t="str">
        <f>INDEX(Lists!H:H,MATCH(Validation!E505,Lists!G:G,0))</f>
        <v>Interest rate cannot have more than three decimals.</v>
      </c>
      <c r="H505" s="25" t="str">
        <f t="shared" ca="1" si="129"/>
        <v/>
      </c>
      <c r="I505" s="25" t="str">
        <f t="shared" ca="1" si="130"/>
        <v/>
      </c>
      <c r="J505" s="26" t="str">
        <f t="shared" ca="1" si="131"/>
        <v/>
      </c>
    </row>
    <row r="506" spans="1:10" x14ac:dyDescent="0.25">
      <c r="A506" t="s">
        <v>308</v>
      </c>
      <c r="B506" t="str">
        <f>ADDRESS(ROW('Bond 1'!$B$14),COLUMN('Bond 1'!$B$14),4)</f>
        <v>B14</v>
      </c>
      <c r="C506" t="str">
        <f>ADDRESS(ROW('Bond 1'!$D$14),COLUMN('Bond 1'!$D$14),4)</f>
        <v>D14</v>
      </c>
      <c r="D506" t="b" cm="1">
        <f t="array" aca="1" ref="D506" ca="1">IF(INDIRECT("'"&amp;A506&amp;"'!"&amp;B506)="",FALSE,IF(TRUNC(INDIRECT("'"&amp;A506&amp;"'!"&amp;B506),3)=INDIRECT("'"&amp;A506&amp;"'!"&amp;B506),FALSE,TRUE))</f>
        <v>0</v>
      </c>
      <c r="E506" t="s">
        <v>616</v>
      </c>
      <c r="F506" t="str">
        <f>INDEX(Lists!I:I,MATCH(Validation!E506,Lists!G:G,0))</f>
        <v>Error</v>
      </c>
      <c r="G506" t="str">
        <f>INDEX(Lists!H:H,MATCH(Validation!E506,Lists!G:G,0))</f>
        <v>Interest rate cannot have more than three decimals.</v>
      </c>
      <c r="H506" s="25" t="str">
        <f t="shared" ca="1" si="129"/>
        <v/>
      </c>
      <c r="I506" s="25" t="str">
        <f t="shared" ca="1" si="130"/>
        <v/>
      </c>
      <c r="J506" s="26" t="str">
        <f t="shared" ca="1" si="131"/>
        <v/>
      </c>
    </row>
    <row r="507" spans="1:10" x14ac:dyDescent="0.25">
      <c r="A507" t="s">
        <v>309</v>
      </c>
      <c r="B507" t="str">
        <f>ADDRESS(ROW('Bond 1'!$B$14),COLUMN('Bond 1'!$B$14),4)</f>
        <v>B14</v>
      </c>
      <c r="C507" t="str">
        <f>ADDRESS(ROW('Bond 1'!$D$14),COLUMN('Bond 1'!$D$14),4)</f>
        <v>D14</v>
      </c>
      <c r="D507" t="b" cm="1">
        <f t="array" aca="1" ref="D507" ca="1">IF(INDIRECT("'"&amp;A507&amp;"'!"&amp;B507)="",FALSE,IF(TRUNC(INDIRECT("'"&amp;A507&amp;"'!"&amp;B507),3)=INDIRECT("'"&amp;A507&amp;"'!"&amp;B507),FALSE,TRUE))</f>
        <v>0</v>
      </c>
      <c r="E507" t="s">
        <v>616</v>
      </c>
      <c r="F507" t="str">
        <f>INDEX(Lists!I:I,MATCH(Validation!E507,Lists!G:G,0))</f>
        <v>Error</v>
      </c>
      <c r="G507" t="str">
        <f>INDEX(Lists!H:H,MATCH(Validation!E507,Lists!G:G,0))</f>
        <v>Interest rate cannot have more than three decimals.</v>
      </c>
      <c r="H507" s="25" t="str">
        <f t="shared" ca="1" si="129"/>
        <v/>
      </c>
      <c r="I507" s="25" t="str">
        <f t="shared" ca="1" si="130"/>
        <v/>
      </c>
      <c r="J507" s="26" t="str">
        <f t="shared" ca="1" si="131"/>
        <v/>
      </c>
    </row>
    <row r="508" spans="1:10" x14ac:dyDescent="0.25">
      <c r="A508" t="s">
        <v>310</v>
      </c>
      <c r="B508" t="str">
        <f>ADDRESS(ROW('Bond 1'!$B$14),COLUMN('Bond 1'!$B$14),4)</f>
        <v>B14</v>
      </c>
      <c r="C508" t="str">
        <f>ADDRESS(ROW('Bond 1'!$D$14),COLUMN('Bond 1'!$D$14),4)</f>
        <v>D14</v>
      </c>
      <c r="D508" t="b" cm="1">
        <f t="array" aca="1" ref="D508" ca="1">IF(INDIRECT("'"&amp;A508&amp;"'!"&amp;B508)="",FALSE,IF(TRUNC(INDIRECT("'"&amp;A508&amp;"'!"&amp;B508),3)=INDIRECT("'"&amp;A508&amp;"'!"&amp;B508),FALSE,TRUE))</f>
        <v>0</v>
      </c>
      <c r="E508" t="s">
        <v>616</v>
      </c>
      <c r="F508" t="str">
        <f>INDEX(Lists!I:I,MATCH(Validation!E508,Lists!G:G,0))</f>
        <v>Error</v>
      </c>
      <c r="G508" t="str">
        <f>INDEX(Lists!H:H,MATCH(Validation!E508,Lists!G:G,0))</f>
        <v>Interest rate cannot have more than three decimals.</v>
      </c>
      <c r="H508" s="25" t="str">
        <f t="shared" ca="1" si="129"/>
        <v/>
      </c>
      <c r="I508" s="25" t="str">
        <f t="shared" ca="1" si="130"/>
        <v/>
      </c>
      <c r="J508" s="26" t="str">
        <f t="shared" ca="1" si="131"/>
        <v/>
      </c>
    </row>
    <row r="509" spans="1:10" x14ac:dyDescent="0.25">
      <c r="A509" t="s">
        <v>311</v>
      </c>
      <c r="B509" t="str">
        <f>ADDRESS(ROW('Bond 1'!$B$14),COLUMN('Bond 1'!$B$14),4)</f>
        <v>B14</v>
      </c>
      <c r="C509" t="str">
        <f>ADDRESS(ROW('Bond 1'!$D$14),COLUMN('Bond 1'!$D$14),4)</f>
        <v>D14</v>
      </c>
      <c r="D509" t="b" cm="1">
        <f t="array" aca="1" ref="D509" ca="1">IF(INDIRECT("'"&amp;A509&amp;"'!"&amp;B509)="",FALSE,IF(TRUNC(INDIRECT("'"&amp;A509&amp;"'!"&amp;B509),3)=INDIRECT("'"&amp;A509&amp;"'!"&amp;B509),FALSE,TRUE))</f>
        <v>0</v>
      </c>
      <c r="E509" t="s">
        <v>616</v>
      </c>
      <c r="F509" t="str">
        <f>INDEX(Lists!I:I,MATCH(Validation!E509,Lists!G:G,0))</f>
        <v>Error</v>
      </c>
      <c r="G509" t="str">
        <f>INDEX(Lists!H:H,MATCH(Validation!E509,Lists!G:G,0))</f>
        <v>Interest rate cannot have more than three decimals.</v>
      </c>
      <c r="H509" s="25" t="str">
        <f t="shared" ca="1" si="129"/>
        <v/>
      </c>
      <c r="I509" s="25" t="str">
        <f t="shared" ca="1" si="130"/>
        <v/>
      </c>
      <c r="J509" s="26" t="str">
        <f t="shared" ca="1" si="131"/>
        <v/>
      </c>
    </row>
    <row r="510" spans="1:10" x14ac:dyDescent="0.25">
      <c r="A510" t="s">
        <v>312</v>
      </c>
      <c r="B510" t="str">
        <f>ADDRESS(ROW('Bond 1'!$B$14),COLUMN('Bond 1'!$B$14),4)</f>
        <v>B14</v>
      </c>
      <c r="C510" t="str">
        <f>ADDRESS(ROW('Bond 1'!$D$14),COLUMN('Bond 1'!$D$14),4)</f>
        <v>D14</v>
      </c>
      <c r="D510" t="b" cm="1">
        <f t="array" aca="1" ref="D510" ca="1">IF(INDIRECT("'"&amp;A510&amp;"'!"&amp;B510)="",FALSE,IF(TRUNC(INDIRECT("'"&amp;A510&amp;"'!"&amp;B510),3)=INDIRECT("'"&amp;A510&amp;"'!"&amp;B510),FALSE,TRUE))</f>
        <v>0</v>
      </c>
      <c r="E510" t="s">
        <v>616</v>
      </c>
      <c r="F510" t="str">
        <f>INDEX(Lists!I:I,MATCH(Validation!E510,Lists!G:G,0))</f>
        <v>Error</v>
      </c>
      <c r="G510" t="str">
        <f>INDEX(Lists!H:H,MATCH(Validation!E510,Lists!G:G,0))</f>
        <v>Interest rate cannot have more than three decimals.</v>
      </c>
      <c r="H510" s="25" t="str">
        <f t="shared" ca="1" si="129"/>
        <v/>
      </c>
      <c r="I510" s="25" t="str">
        <f t="shared" ca="1" si="130"/>
        <v/>
      </c>
      <c r="J510" s="26" t="str">
        <f t="shared" ca="1" si="131"/>
        <v/>
      </c>
    </row>
    <row r="511" spans="1:10" x14ac:dyDescent="0.25">
      <c r="A511" t="s">
        <v>313</v>
      </c>
      <c r="B511" t="str">
        <f>ADDRESS(ROW('Bond 1'!$B$14),COLUMN('Bond 1'!$B$14),4)</f>
        <v>B14</v>
      </c>
      <c r="C511" t="str">
        <f>ADDRESS(ROW('Bond 1'!$D$14),COLUMN('Bond 1'!$D$14),4)</f>
        <v>D14</v>
      </c>
      <c r="D511" t="b" cm="1">
        <f t="array" aca="1" ref="D511" ca="1">IF(INDIRECT("'"&amp;A511&amp;"'!"&amp;B511)="",FALSE,IF(TRUNC(INDIRECT("'"&amp;A511&amp;"'!"&amp;B511),3)=INDIRECT("'"&amp;A511&amp;"'!"&amp;B511),FALSE,TRUE))</f>
        <v>0</v>
      </c>
      <c r="E511" t="s">
        <v>616</v>
      </c>
      <c r="F511" t="str">
        <f>INDEX(Lists!I:I,MATCH(Validation!E511,Lists!G:G,0))</f>
        <v>Error</v>
      </c>
      <c r="G511" t="str">
        <f>INDEX(Lists!H:H,MATCH(Validation!E511,Lists!G:G,0))</f>
        <v>Interest rate cannot have more than three decimals.</v>
      </c>
      <c r="H511" s="25" t="str">
        <f t="shared" ca="1" si="129"/>
        <v/>
      </c>
      <c r="I511" s="25" t="str">
        <f t="shared" ca="1" si="130"/>
        <v/>
      </c>
      <c r="J511" s="26" t="str">
        <f t="shared" ca="1" si="131"/>
        <v/>
      </c>
    </row>
    <row r="512" spans="1:10" x14ac:dyDescent="0.25">
      <c r="A512" t="s">
        <v>314</v>
      </c>
      <c r="B512" t="str">
        <f>ADDRESS(ROW('Bond 1'!$B$14),COLUMN('Bond 1'!$B$14),4)</f>
        <v>B14</v>
      </c>
      <c r="C512" t="str">
        <f>ADDRESS(ROW('Bond 1'!$D$14),COLUMN('Bond 1'!$D$14),4)</f>
        <v>D14</v>
      </c>
      <c r="D512" t="b" cm="1">
        <f t="array" aca="1" ref="D512" ca="1">IF(INDIRECT("'"&amp;A512&amp;"'!"&amp;B512)="",FALSE,IF(TRUNC(INDIRECT("'"&amp;A512&amp;"'!"&amp;B512),3)=INDIRECT("'"&amp;A512&amp;"'!"&amp;B512),FALSE,TRUE))</f>
        <v>0</v>
      </c>
      <c r="E512" t="s">
        <v>616</v>
      </c>
      <c r="F512" t="str">
        <f>INDEX(Lists!I:I,MATCH(Validation!E512,Lists!G:G,0))</f>
        <v>Error</v>
      </c>
      <c r="G512" t="str">
        <f>INDEX(Lists!H:H,MATCH(Validation!E512,Lists!G:G,0))</f>
        <v>Interest rate cannot have more than three decimals.</v>
      </c>
      <c r="H512" s="25" t="str">
        <f t="shared" ca="1" si="129"/>
        <v/>
      </c>
      <c r="I512" s="25" t="str">
        <f t="shared" ca="1" si="130"/>
        <v/>
      </c>
      <c r="J512" s="26" t="str">
        <f t="shared" ca="1" si="131"/>
        <v/>
      </c>
    </row>
    <row r="513" spans="1:10" x14ac:dyDescent="0.25">
      <c r="A513" t="s">
        <v>315</v>
      </c>
      <c r="B513" t="str">
        <f>ADDRESS(ROW('Bond 1'!$B$14),COLUMN('Bond 1'!$B$14),4)</f>
        <v>B14</v>
      </c>
      <c r="C513" t="str">
        <f>ADDRESS(ROW('Bond 1'!$D$14),COLUMN('Bond 1'!$D$14),4)</f>
        <v>D14</v>
      </c>
      <c r="D513" t="b" cm="1">
        <f t="array" aca="1" ref="D513" ca="1">IF(INDIRECT("'"&amp;A513&amp;"'!"&amp;B513)="",FALSE,IF(TRUNC(INDIRECT("'"&amp;A513&amp;"'!"&amp;B513),3)=INDIRECT("'"&amp;A513&amp;"'!"&amp;B513),FALSE,TRUE))</f>
        <v>0</v>
      </c>
      <c r="E513" t="s">
        <v>616</v>
      </c>
      <c r="F513" t="str">
        <f>INDEX(Lists!I:I,MATCH(Validation!E513,Lists!G:G,0))</f>
        <v>Error</v>
      </c>
      <c r="G513" t="str">
        <f>INDEX(Lists!H:H,MATCH(Validation!E513,Lists!G:G,0))</f>
        <v>Interest rate cannot have more than three decimals.</v>
      </c>
      <c r="H513" s="25" t="str">
        <f t="shared" ca="1" si="129"/>
        <v/>
      </c>
      <c r="I513" s="25" t="str">
        <f t="shared" ca="1" si="130"/>
        <v/>
      </c>
      <c r="J513" s="26" t="str">
        <f t="shared" ca="1" si="131"/>
        <v/>
      </c>
    </row>
    <row r="514" spans="1:10" x14ac:dyDescent="0.25">
      <c r="A514" t="s">
        <v>198</v>
      </c>
      <c r="B514" t="str">
        <f>ADDRESS(ROW('Bond 1'!$B$15),COLUMN('Bond 1'!$B$15),4)</f>
        <v>B15</v>
      </c>
      <c r="C514" t="str">
        <f>ADDRESS(ROW('Bond 1'!$D$15),COLUMN('Bond 1'!$D$15),4)</f>
        <v>D15</v>
      </c>
      <c r="D514" t="b" cm="1">
        <f t="array" aca="1" ref="D514" ca="1">IF(INDIRECT("'"&amp;A514&amp;"'!"&amp;B514)="",FALSE,IF(NOT(ISNUMBER(INDIRECT("'"&amp;A514&amp;"'!"&amp;B514))),TRUE,FALSE))</f>
        <v>0</v>
      </c>
      <c r="E514" t="s">
        <v>435</v>
      </c>
      <c r="F514" t="str">
        <f>INDEX(Lists!I:I,MATCH(Validation!E514,Lists!G:G,0))</f>
        <v>Error</v>
      </c>
      <c r="G514" t="str">
        <f>INDEX(Lists!H:H,MATCH(Validation!E514,Lists!G:G,0))</f>
        <v>Enter an amount only. Do not enter text or spaces.</v>
      </c>
      <c r="H514" s="25" t="str">
        <f t="shared" ref="H514:H528" ca="1" si="132">IFERROR(IF(OR(NOT(D514),F514&lt;&gt;"Error"),"",A514&amp;CELL("address",INDIRECT(B514))),"")</f>
        <v/>
      </c>
      <c r="I514" s="25" t="str">
        <f t="shared" ref="I514:I528" ca="1" si="133">IFERROR(IF(NOT(D514),"",A514&amp;CELL("address",INDIRECT(C514))),"")</f>
        <v/>
      </c>
      <c r="J514" s="26" t="str">
        <f t="shared" ref="J514:J528" ca="1" si="134">IFERROR(IF(NOT(D514),"",A514),"")</f>
        <v/>
      </c>
    </row>
    <row r="515" spans="1:10" x14ac:dyDescent="0.25">
      <c r="A515" t="s">
        <v>302</v>
      </c>
      <c r="B515" t="str">
        <f>ADDRESS(ROW('Bond 1'!$B$15),COLUMN('Bond 1'!$B$15),4)</f>
        <v>B15</v>
      </c>
      <c r="C515" t="str">
        <f>ADDRESS(ROW('Bond 1'!$D$15),COLUMN('Bond 1'!$D$15),4)</f>
        <v>D15</v>
      </c>
      <c r="D515" t="b" cm="1">
        <f t="array" aca="1" ref="D515" ca="1">IF(INDIRECT("'"&amp;A515&amp;"'!"&amp;B515)="",FALSE,IF(NOT(ISNUMBER(INDIRECT("'"&amp;A515&amp;"'!"&amp;B515))),TRUE,FALSE))</f>
        <v>0</v>
      </c>
      <c r="E515" t="s">
        <v>435</v>
      </c>
      <c r="F515" t="str">
        <f>INDEX(Lists!I:I,MATCH(Validation!E515,Lists!G:G,0))</f>
        <v>Error</v>
      </c>
      <c r="G515" t="str">
        <f>INDEX(Lists!H:H,MATCH(Validation!E515,Lists!G:G,0))</f>
        <v>Enter an amount only. Do not enter text or spaces.</v>
      </c>
      <c r="H515" s="25" t="str">
        <f t="shared" ca="1" si="132"/>
        <v/>
      </c>
      <c r="I515" s="25" t="str">
        <f t="shared" ca="1" si="133"/>
        <v/>
      </c>
      <c r="J515" s="26" t="str">
        <f t="shared" ca="1" si="134"/>
        <v/>
      </c>
    </row>
    <row r="516" spans="1:10" x14ac:dyDescent="0.25">
      <c r="A516" t="s">
        <v>303</v>
      </c>
      <c r="B516" t="str">
        <f>ADDRESS(ROW('Bond 1'!$B$15),COLUMN('Bond 1'!$B$15),4)</f>
        <v>B15</v>
      </c>
      <c r="C516" t="str">
        <f>ADDRESS(ROW('Bond 1'!$D$15),COLUMN('Bond 1'!$D$15),4)</f>
        <v>D15</v>
      </c>
      <c r="D516" t="b" cm="1">
        <f t="array" aca="1" ref="D516" ca="1">IF(INDIRECT("'"&amp;A516&amp;"'!"&amp;B516)="",FALSE,IF(NOT(ISNUMBER(INDIRECT("'"&amp;A516&amp;"'!"&amp;B516))),TRUE,FALSE))</f>
        <v>0</v>
      </c>
      <c r="E516" t="s">
        <v>435</v>
      </c>
      <c r="F516" t="str">
        <f>INDEX(Lists!I:I,MATCH(Validation!E516,Lists!G:G,0))</f>
        <v>Error</v>
      </c>
      <c r="G516" t="str">
        <f>INDEX(Lists!H:H,MATCH(Validation!E516,Lists!G:G,0))</f>
        <v>Enter an amount only. Do not enter text or spaces.</v>
      </c>
      <c r="H516" s="25" t="str">
        <f t="shared" ca="1" si="132"/>
        <v/>
      </c>
      <c r="I516" s="25" t="str">
        <f t="shared" ca="1" si="133"/>
        <v/>
      </c>
      <c r="J516" s="26" t="str">
        <f t="shared" ca="1" si="134"/>
        <v/>
      </c>
    </row>
    <row r="517" spans="1:10" x14ac:dyDescent="0.25">
      <c r="A517" t="s">
        <v>304</v>
      </c>
      <c r="B517" t="str">
        <f>ADDRESS(ROW('Bond 1'!$B$15),COLUMN('Bond 1'!$B$15),4)</f>
        <v>B15</v>
      </c>
      <c r="C517" t="str">
        <f>ADDRESS(ROW('Bond 1'!$D$15),COLUMN('Bond 1'!$D$15),4)</f>
        <v>D15</v>
      </c>
      <c r="D517" t="b" cm="1">
        <f t="array" aca="1" ref="D517" ca="1">IF(INDIRECT("'"&amp;A517&amp;"'!"&amp;B517)="",FALSE,IF(NOT(ISNUMBER(INDIRECT("'"&amp;A517&amp;"'!"&amp;B517))),TRUE,FALSE))</f>
        <v>0</v>
      </c>
      <c r="E517" t="s">
        <v>435</v>
      </c>
      <c r="F517" t="str">
        <f>INDEX(Lists!I:I,MATCH(Validation!E517,Lists!G:G,0))</f>
        <v>Error</v>
      </c>
      <c r="G517" t="str">
        <f>INDEX(Lists!H:H,MATCH(Validation!E517,Lists!G:G,0))</f>
        <v>Enter an amount only. Do not enter text or spaces.</v>
      </c>
      <c r="H517" s="25" t="str">
        <f t="shared" ca="1" si="132"/>
        <v/>
      </c>
      <c r="I517" s="25" t="str">
        <f t="shared" ca="1" si="133"/>
        <v/>
      </c>
      <c r="J517" s="26" t="str">
        <f t="shared" ca="1" si="134"/>
        <v/>
      </c>
    </row>
    <row r="518" spans="1:10" x14ac:dyDescent="0.25">
      <c r="A518" t="s">
        <v>305</v>
      </c>
      <c r="B518" t="str">
        <f>ADDRESS(ROW('Bond 1'!$B$15),COLUMN('Bond 1'!$B$15),4)</f>
        <v>B15</v>
      </c>
      <c r="C518" t="str">
        <f>ADDRESS(ROW('Bond 1'!$D$15),COLUMN('Bond 1'!$D$15),4)</f>
        <v>D15</v>
      </c>
      <c r="D518" t="b" cm="1">
        <f t="array" aca="1" ref="D518" ca="1">IF(INDIRECT("'"&amp;A518&amp;"'!"&amp;B518)="",FALSE,IF(NOT(ISNUMBER(INDIRECT("'"&amp;A518&amp;"'!"&amp;B518))),TRUE,FALSE))</f>
        <v>0</v>
      </c>
      <c r="E518" t="s">
        <v>435</v>
      </c>
      <c r="F518" t="str">
        <f>INDEX(Lists!I:I,MATCH(Validation!E518,Lists!G:G,0))</f>
        <v>Error</v>
      </c>
      <c r="G518" t="str">
        <f>INDEX(Lists!H:H,MATCH(Validation!E518,Lists!G:G,0))</f>
        <v>Enter an amount only. Do not enter text or spaces.</v>
      </c>
      <c r="H518" s="25" t="str">
        <f t="shared" ca="1" si="132"/>
        <v/>
      </c>
      <c r="I518" s="25" t="str">
        <f t="shared" ca="1" si="133"/>
        <v/>
      </c>
      <c r="J518" s="26" t="str">
        <f t="shared" ca="1" si="134"/>
        <v/>
      </c>
    </row>
    <row r="519" spans="1:10" x14ac:dyDescent="0.25">
      <c r="A519" t="s">
        <v>306</v>
      </c>
      <c r="B519" t="str">
        <f>ADDRESS(ROW('Bond 1'!$B$15),COLUMN('Bond 1'!$B$15),4)</f>
        <v>B15</v>
      </c>
      <c r="C519" t="str">
        <f>ADDRESS(ROW('Bond 1'!$D$15),COLUMN('Bond 1'!$D$15),4)</f>
        <v>D15</v>
      </c>
      <c r="D519" t="b" cm="1">
        <f t="array" aca="1" ref="D519" ca="1">IF(INDIRECT("'"&amp;A519&amp;"'!"&amp;B519)="",FALSE,IF(NOT(ISNUMBER(INDIRECT("'"&amp;A519&amp;"'!"&amp;B519))),TRUE,FALSE))</f>
        <v>0</v>
      </c>
      <c r="E519" t="s">
        <v>435</v>
      </c>
      <c r="F519" t="str">
        <f>INDEX(Lists!I:I,MATCH(Validation!E519,Lists!G:G,0))</f>
        <v>Error</v>
      </c>
      <c r="G519" t="str">
        <f>INDEX(Lists!H:H,MATCH(Validation!E519,Lists!G:G,0))</f>
        <v>Enter an amount only. Do not enter text or spaces.</v>
      </c>
      <c r="H519" s="25" t="str">
        <f t="shared" ca="1" si="132"/>
        <v/>
      </c>
      <c r="I519" s="25" t="str">
        <f t="shared" ca="1" si="133"/>
        <v/>
      </c>
      <c r="J519" s="26" t="str">
        <f t="shared" ca="1" si="134"/>
        <v/>
      </c>
    </row>
    <row r="520" spans="1:10" x14ac:dyDescent="0.25">
      <c r="A520" t="s">
        <v>307</v>
      </c>
      <c r="B520" t="str">
        <f>ADDRESS(ROW('Bond 1'!$B$15),COLUMN('Bond 1'!$B$15),4)</f>
        <v>B15</v>
      </c>
      <c r="C520" t="str">
        <f>ADDRESS(ROW('Bond 1'!$D$15),COLUMN('Bond 1'!$D$15),4)</f>
        <v>D15</v>
      </c>
      <c r="D520" t="b" cm="1">
        <f t="array" aca="1" ref="D520" ca="1">IF(INDIRECT("'"&amp;A520&amp;"'!"&amp;B520)="",FALSE,IF(NOT(ISNUMBER(INDIRECT("'"&amp;A520&amp;"'!"&amp;B520))),TRUE,FALSE))</f>
        <v>0</v>
      </c>
      <c r="E520" t="s">
        <v>435</v>
      </c>
      <c r="F520" t="str">
        <f>INDEX(Lists!I:I,MATCH(Validation!E520,Lists!G:G,0))</f>
        <v>Error</v>
      </c>
      <c r="G520" t="str">
        <f>INDEX(Lists!H:H,MATCH(Validation!E520,Lists!G:G,0))</f>
        <v>Enter an amount only. Do not enter text or spaces.</v>
      </c>
      <c r="H520" s="25" t="str">
        <f t="shared" ca="1" si="132"/>
        <v/>
      </c>
      <c r="I520" s="25" t="str">
        <f t="shared" ca="1" si="133"/>
        <v/>
      </c>
      <c r="J520" s="26" t="str">
        <f t="shared" ca="1" si="134"/>
        <v/>
      </c>
    </row>
    <row r="521" spans="1:10" x14ac:dyDescent="0.25">
      <c r="A521" t="s">
        <v>308</v>
      </c>
      <c r="B521" t="str">
        <f>ADDRESS(ROW('Bond 1'!$B$15),COLUMN('Bond 1'!$B$15),4)</f>
        <v>B15</v>
      </c>
      <c r="C521" t="str">
        <f>ADDRESS(ROW('Bond 1'!$D$15),COLUMN('Bond 1'!$D$15),4)</f>
        <v>D15</v>
      </c>
      <c r="D521" t="b" cm="1">
        <f t="array" aca="1" ref="D521" ca="1">IF(INDIRECT("'"&amp;A521&amp;"'!"&amp;B521)="",FALSE,IF(NOT(ISNUMBER(INDIRECT("'"&amp;A521&amp;"'!"&amp;B521))),TRUE,FALSE))</f>
        <v>0</v>
      </c>
      <c r="E521" t="s">
        <v>435</v>
      </c>
      <c r="F521" t="str">
        <f>INDEX(Lists!I:I,MATCH(Validation!E521,Lists!G:G,0))</f>
        <v>Error</v>
      </c>
      <c r="G521" t="str">
        <f>INDEX(Lists!H:H,MATCH(Validation!E521,Lists!G:G,0))</f>
        <v>Enter an amount only. Do not enter text or spaces.</v>
      </c>
      <c r="H521" s="25" t="str">
        <f t="shared" ca="1" si="132"/>
        <v/>
      </c>
      <c r="I521" s="25" t="str">
        <f t="shared" ca="1" si="133"/>
        <v/>
      </c>
      <c r="J521" s="26" t="str">
        <f t="shared" ca="1" si="134"/>
        <v/>
      </c>
    </row>
    <row r="522" spans="1:10" x14ac:dyDescent="0.25">
      <c r="A522" t="s">
        <v>309</v>
      </c>
      <c r="B522" t="str">
        <f>ADDRESS(ROW('Bond 1'!$B$15),COLUMN('Bond 1'!$B$15),4)</f>
        <v>B15</v>
      </c>
      <c r="C522" t="str">
        <f>ADDRESS(ROW('Bond 1'!$D$15),COLUMN('Bond 1'!$D$15),4)</f>
        <v>D15</v>
      </c>
      <c r="D522" t="b" cm="1">
        <f t="array" aca="1" ref="D522" ca="1">IF(INDIRECT("'"&amp;A522&amp;"'!"&amp;B522)="",FALSE,IF(NOT(ISNUMBER(INDIRECT("'"&amp;A522&amp;"'!"&amp;B522))),TRUE,FALSE))</f>
        <v>0</v>
      </c>
      <c r="E522" t="s">
        <v>435</v>
      </c>
      <c r="F522" t="str">
        <f>INDEX(Lists!I:I,MATCH(Validation!E522,Lists!G:G,0))</f>
        <v>Error</v>
      </c>
      <c r="G522" t="str">
        <f>INDEX(Lists!H:H,MATCH(Validation!E522,Lists!G:G,0))</f>
        <v>Enter an amount only. Do not enter text or spaces.</v>
      </c>
      <c r="H522" s="25" t="str">
        <f t="shared" ca="1" si="132"/>
        <v/>
      </c>
      <c r="I522" s="25" t="str">
        <f t="shared" ca="1" si="133"/>
        <v/>
      </c>
      <c r="J522" s="26" t="str">
        <f t="shared" ca="1" si="134"/>
        <v/>
      </c>
    </row>
    <row r="523" spans="1:10" x14ac:dyDescent="0.25">
      <c r="A523" t="s">
        <v>310</v>
      </c>
      <c r="B523" t="str">
        <f>ADDRESS(ROW('Bond 1'!$B$15),COLUMN('Bond 1'!$B$15),4)</f>
        <v>B15</v>
      </c>
      <c r="C523" t="str">
        <f>ADDRESS(ROW('Bond 1'!$D$15),COLUMN('Bond 1'!$D$15),4)</f>
        <v>D15</v>
      </c>
      <c r="D523" t="b" cm="1">
        <f t="array" aca="1" ref="D523" ca="1">IF(INDIRECT("'"&amp;A523&amp;"'!"&amp;B523)="",FALSE,IF(NOT(ISNUMBER(INDIRECT("'"&amp;A523&amp;"'!"&amp;B523))),TRUE,FALSE))</f>
        <v>0</v>
      </c>
      <c r="E523" t="s">
        <v>435</v>
      </c>
      <c r="F523" t="str">
        <f>INDEX(Lists!I:I,MATCH(Validation!E523,Lists!G:G,0))</f>
        <v>Error</v>
      </c>
      <c r="G523" t="str">
        <f>INDEX(Lists!H:H,MATCH(Validation!E523,Lists!G:G,0))</f>
        <v>Enter an amount only. Do not enter text or spaces.</v>
      </c>
      <c r="H523" s="25" t="str">
        <f t="shared" ca="1" si="132"/>
        <v/>
      </c>
      <c r="I523" s="25" t="str">
        <f t="shared" ca="1" si="133"/>
        <v/>
      </c>
      <c r="J523" s="26" t="str">
        <f t="shared" ca="1" si="134"/>
        <v/>
      </c>
    </row>
    <row r="524" spans="1:10" x14ac:dyDescent="0.25">
      <c r="A524" t="s">
        <v>311</v>
      </c>
      <c r="B524" t="str">
        <f>ADDRESS(ROW('Bond 1'!$B$15),COLUMN('Bond 1'!$B$15),4)</f>
        <v>B15</v>
      </c>
      <c r="C524" t="str">
        <f>ADDRESS(ROW('Bond 1'!$D$15),COLUMN('Bond 1'!$D$15),4)</f>
        <v>D15</v>
      </c>
      <c r="D524" t="b" cm="1">
        <f t="array" aca="1" ref="D524" ca="1">IF(INDIRECT("'"&amp;A524&amp;"'!"&amp;B524)="",FALSE,IF(NOT(ISNUMBER(INDIRECT("'"&amp;A524&amp;"'!"&amp;B524))),TRUE,FALSE))</f>
        <v>0</v>
      </c>
      <c r="E524" t="s">
        <v>435</v>
      </c>
      <c r="F524" t="str">
        <f>INDEX(Lists!I:I,MATCH(Validation!E524,Lists!G:G,0))</f>
        <v>Error</v>
      </c>
      <c r="G524" t="str">
        <f>INDEX(Lists!H:H,MATCH(Validation!E524,Lists!G:G,0))</f>
        <v>Enter an amount only. Do not enter text or spaces.</v>
      </c>
      <c r="H524" s="25" t="str">
        <f t="shared" ca="1" si="132"/>
        <v/>
      </c>
      <c r="I524" s="25" t="str">
        <f t="shared" ca="1" si="133"/>
        <v/>
      </c>
      <c r="J524" s="26" t="str">
        <f t="shared" ca="1" si="134"/>
        <v/>
      </c>
    </row>
    <row r="525" spans="1:10" x14ac:dyDescent="0.25">
      <c r="A525" t="s">
        <v>312</v>
      </c>
      <c r="B525" t="str">
        <f>ADDRESS(ROW('Bond 1'!$B$15),COLUMN('Bond 1'!$B$15),4)</f>
        <v>B15</v>
      </c>
      <c r="C525" t="str">
        <f>ADDRESS(ROW('Bond 1'!$D$15),COLUMN('Bond 1'!$D$15),4)</f>
        <v>D15</v>
      </c>
      <c r="D525" t="b" cm="1">
        <f t="array" aca="1" ref="D525" ca="1">IF(INDIRECT("'"&amp;A525&amp;"'!"&amp;B525)="",FALSE,IF(NOT(ISNUMBER(INDIRECT("'"&amp;A525&amp;"'!"&amp;B525))),TRUE,FALSE))</f>
        <v>0</v>
      </c>
      <c r="E525" t="s">
        <v>435</v>
      </c>
      <c r="F525" t="str">
        <f>INDEX(Lists!I:I,MATCH(Validation!E525,Lists!G:G,0))</f>
        <v>Error</v>
      </c>
      <c r="G525" t="str">
        <f>INDEX(Lists!H:H,MATCH(Validation!E525,Lists!G:G,0))</f>
        <v>Enter an amount only. Do not enter text or spaces.</v>
      </c>
      <c r="H525" s="25" t="str">
        <f t="shared" ca="1" si="132"/>
        <v/>
      </c>
      <c r="I525" s="25" t="str">
        <f t="shared" ca="1" si="133"/>
        <v/>
      </c>
      <c r="J525" s="26" t="str">
        <f t="shared" ca="1" si="134"/>
        <v/>
      </c>
    </row>
    <row r="526" spans="1:10" x14ac:dyDescent="0.25">
      <c r="A526" t="s">
        <v>313</v>
      </c>
      <c r="B526" t="str">
        <f>ADDRESS(ROW('Bond 1'!$B$15),COLUMN('Bond 1'!$B$15),4)</f>
        <v>B15</v>
      </c>
      <c r="C526" t="str">
        <f>ADDRESS(ROW('Bond 1'!$D$15),COLUMN('Bond 1'!$D$15),4)</f>
        <v>D15</v>
      </c>
      <c r="D526" t="b" cm="1">
        <f t="array" aca="1" ref="D526" ca="1">IF(INDIRECT("'"&amp;A526&amp;"'!"&amp;B526)="",FALSE,IF(NOT(ISNUMBER(INDIRECT("'"&amp;A526&amp;"'!"&amp;B526))),TRUE,FALSE))</f>
        <v>0</v>
      </c>
      <c r="E526" t="s">
        <v>435</v>
      </c>
      <c r="F526" t="str">
        <f>INDEX(Lists!I:I,MATCH(Validation!E526,Lists!G:G,0))</f>
        <v>Error</v>
      </c>
      <c r="G526" t="str">
        <f>INDEX(Lists!H:H,MATCH(Validation!E526,Lists!G:G,0))</f>
        <v>Enter an amount only. Do not enter text or spaces.</v>
      </c>
      <c r="H526" s="25" t="str">
        <f t="shared" ca="1" si="132"/>
        <v/>
      </c>
      <c r="I526" s="25" t="str">
        <f t="shared" ca="1" si="133"/>
        <v/>
      </c>
      <c r="J526" s="26" t="str">
        <f t="shared" ca="1" si="134"/>
        <v/>
      </c>
    </row>
    <row r="527" spans="1:10" x14ac:dyDescent="0.25">
      <c r="A527" t="s">
        <v>314</v>
      </c>
      <c r="B527" t="str">
        <f>ADDRESS(ROW('Bond 1'!$B$15),COLUMN('Bond 1'!$B$15),4)</f>
        <v>B15</v>
      </c>
      <c r="C527" t="str">
        <f>ADDRESS(ROW('Bond 1'!$D$15),COLUMN('Bond 1'!$D$15),4)</f>
        <v>D15</v>
      </c>
      <c r="D527" t="b" cm="1">
        <f t="array" aca="1" ref="D527" ca="1">IF(INDIRECT("'"&amp;A527&amp;"'!"&amp;B527)="",FALSE,IF(NOT(ISNUMBER(INDIRECT("'"&amp;A527&amp;"'!"&amp;B527))),TRUE,FALSE))</f>
        <v>0</v>
      </c>
      <c r="E527" t="s">
        <v>435</v>
      </c>
      <c r="F527" t="str">
        <f>INDEX(Lists!I:I,MATCH(Validation!E527,Lists!G:G,0))</f>
        <v>Error</v>
      </c>
      <c r="G527" t="str">
        <f>INDEX(Lists!H:H,MATCH(Validation!E527,Lists!G:G,0))</f>
        <v>Enter an amount only. Do not enter text or spaces.</v>
      </c>
      <c r="H527" s="25" t="str">
        <f t="shared" ca="1" si="132"/>
        <v/>
      </c>
      <c r="I527" s="25" t="str">
        <f t="shared" ca="1" si="133"/>
        <v/>
      </c>
      <c r="J527" s="26" t="str">
        <f t="shared" ca="1" si="134"/>
        <v/>
      </c>
    </row>
    <row r="528" spans="1:10" x14ac:dyDescent="0.25">
      <c r="A528" t="s">
        <v>315</v>
      </c>
      <c r="B528" t="str">
        <f>ADDRESS(ROW('Bond 1'!$B$15),COLUMN('Bond 1'!$B$15),4)</f>
        <v>B15</v>
      </c>
      <c r="C528" t="str">
        <f>ADDRESS(ROW('Bond 1'!$D$15),COLUMN('Bond 1'!$D$15),4)</f>
        <v>D15</v>
      </c>
      <c r="D528" t="b" cm="1">
        <f t="array" aca="1" ref="D528" ca="1">IF(INDIRECT("'"&amp;A528&amp;"'!"&amp;B528)="",FALSE,IF(NOT(ISNUMBER(INDIRECT("'"&amp;A528&amp;"'!"&amp;B528))),TRUE,FALSE))</f>
        <v>0</v>
      </c>
      <c r="E528" t="s">
        <v>435</v>
      </c>
      <c r="F528" t="str">
        <f>INDEX(Lists!I:I,MATCH(Validation!E528,Lists!G:G,0))</f>
        <v>Error</v>
      </c>
      <c r="G528" t="str">
        <f>INDEX(Lists!H:H,MATCH(Validation!E528,Lists!G:G,0))</f>
        <v>Enter an amount only. Do not enter text or spaces.</v>
      </c>
      <c r="H528" s="25" t="str">
        <f t="shared" ca="1" si="132"/>
        <v/>
      </c>
      <c r="I528" s="25" t="str">
        <f t="shared" ca="1" si="133"/>
        <v/>
      </c>
      <c r="J528" s="26" t="str">
        <f t="shared" ca="1" si="134"/>
        <v/>
      </c>
    </row>
    <row r="529" spans="1:10" x14ac:dyDescent="0.25">
      <c r="A529" t="s">
        <v>198</v>
      </c>
      <c r="B529" t="str">
        <f>ADDRESS(ROW('Bond 1'!$B$15),COLUMN('Bond 1'!$B$15),4)</f>
        <v>B15</v>
      </c>
      <c r="C529" t="str">
        <f>ADDRESS(ROW('Bond 1'!$D$15),COLUMN('Bond 1'!$D$15),4)</f>
        <v>D15</v>
      </c>
      <c r="D529" t="b" cm="1">
        <f t="array" aca="1" ref="D529" ca="1">IF(INDIRECT("'"&amp;A529&amp;"'!"&amp;B529)="",FALSE,IF(INDIRECT("'"&amp;A529&amp;"'!"&amp;B529)&lt;INDIRECT("'"&amp;A529&amp;"'!"&amp;B529),TRUE,FALSE))</f>
        <v>0</v>
      </c>
      <c r="E529" t="s">
        <v>708</v>
      </c>
      <c r="F529" t="str">
        <f>INDEX(Lists!I:I,MATCH(Validation!E529,Lists!G:G,0))</f>
        <v>Error</v>
      </c>
      <c r="G529" t="str">
        <f>INDEX(Lists!H:H,MATCH(Validation!E529,Lists!G:G,0))</f>
        <v>High interest rate must equal or exceed the low interest rate.</v>
      </c>
      <c r="H529" s="25" t="str">
        <f t="shared" ref="H529:H558" ca="1" si="135">IFERROR(IF(OR(NOT(D529),F529&lt;&gt;"Error"),"",A529&amp;CELL("address",INDIRECT(B529))),"")</f>
        <v/>
      </c>
      <c r="I529" s="25" t="str">
        <f t="shared" ref="I529:I558" ca="1" si="136">IFERROR(IF(NOT(D529),"",A529&amp;CELL("address",INDIRECT(C529))),"")</f>
        <v/>
      </c>
      <c r="J529" s="26" t="str">
        <f t="shared" ref="J529:J558" ca="1" si="137">IFERROR(IF(NOT(D529),"",A529),"")</f>
        <v/>
      </c>
    </row>
    <row r="530" spans="1:10" x14ac:dyDescent="0.25">
      <c r="A530" t="s">
        <v>302</v>
      </c>
      <c r="B530" t="str">
        <f>ADDRESS(ROW('Bond 1'!$B$15),COLUMN('Bond 1'!$B$15),4)</f>
        <v>B15</v>
      </c>
      <c r="C530" t="str">
        <f>ADDRESS(ROW('Bond 1'!$D$15),COLUMN('Bond 1'!$D$15),4)</f>
        <v>D15</v>
      </c>
      <c r="D530" t="b" cm="1">
        <f t="array" aca="1" ref="D530" ca="1">IF(INDIRECT("'"&amp;A530&amp;"'!"&amp;B530)="",FALSE,IF(INDIRECT("'"&amp;A530&amp;"'!"&amp;B530)&lt;INDIRECT("'"&amp;A530&amp;"'!"&amp;B530),TRUE,FALSE))</f>
        <v>0</v>
      </c>
      <c r="E530" t="s">
        <v>708</v>
      </c>
      <c r="F530" t="str">
        <f>INDEX(Lists!I:I,MATCH(Validation!E530,Lists!G:G,0))</f>
        <v>Error</v>
      </c>
      <c r="G530" t="str">
        <f>INDEX(Lists!H:H,MATCH(Validation!E530,Lists!G:G,0))</f>
        <v>High interest rate must equal or exceed the low interest rate.</v>
      </c>
      <c r="H530" s="25" t="str">
        <f t="shared" ca="1" si="135"/>
        <v/>
      </c>
      <c r="I530" s="25" t="str">
        <f t="shared" ca="1" si="136"/>
        <v/>
      </c>
      <c r="J530" s="26" t="str">
        <f t="shared" ca="1" si="137"/>
        <v/>
      </c>
    </row>
    <row r="531" spans="1:10" x14ac:dyDescent="0.25">
      <c r="A531" t="s">
        <v>303</v>
      </c>
      <c r="B531" t="str">
        <f>ADDRESS(ROW('Bond 1'!$B$15),COLUMN('Bond 1'!$B$15),4)</f>
        <v>B15</v>
      </c>
      <c r="C531" t="str">
        <f>ADDRESS(ROW('Bond 1'!$D$15),COLUMN('Bond 1'!$D$15),4)</f>
        <v>D15</v>
      </c>
      <c r="D531" t="b" cm="1">
        <f t="array" aca="1" ref="D531" ca="1">IF(INDIRECT("'"&amp;A531&amp;"'!"&amp;B531)="",FALSE,IF(INDIRECT("'"&amp;A531&amp;"'!"&amp;B531)&lt;INDIRECT("'"&amp;A531&amp;"'!"&amp;B531),TRUE,FALSE))</f>
        <v>0</v>
      </c>
      <c r="E531" t="s">
        <v>708</v>
      </c>
      <c r="F531" t="str">
        <f>INDEX(Lists!I:I,MATCH(Validation!E531,Lists!G:G,0))</f>
        <v>Error</v>
      </c>
      <c r="G531" t="str">
        <f>INDEX(Lists!H:H,MATCH(Validation!E531,Lists!G:G,0))</f>
        <v>High interest rate must equal or exceed the low interest rate.</v>
      </c>
      <c r="H531" s="25" t="str">
        <f t="shared" ca="1" si="135"/>
        <v/>
      </c>
      <c r="I531" s="25" t="str">
        <f t="shared" ca="1" si="136"/>
        <v/>
      </c>
      <c r="J531" s="26" t="str">
        <f t="shared" ca="1" si="137"/>
        <v/>
      </c>
    </row>
    <row r="532" spans="1:10" x14ac:dyDescent="0.25">
      <c r="A532" t="s">
        <v>304</v>
      </c>
      <c r="B532" t="str">
        <f>ADDRESS(ROW('Bond 1'!$B$15),COLUMN('Bond 1'!$B$15),4)</f>
        <v>B15</v>
      </c>
      <c r="C532" t="str">
        <f>ADDRESS(ROW('Bond 1'!$D$15),COLUMN('Bond 1'!$D$15),4)</f>
        <v>D15</v>
      </c>
      <c r="D532" t="b" cm="1">
        <f t="array" aca="1" ref="D532" ca="1">IF(INDIRECT("'"&amp;A532&amp;"'!"&amp;B532)="",FALSE,IF(INDIRECT("'"&amp;A532&amp;"'!"&amp;B532)&lt;INDIRECT("'"&amp;A532&amp;"'!"&amp;B532),TRUE,FALSE))</f>
        <v>0</v>
      </c>
      <c r="E532" t="s">
        <v>708</v>
      </c>
      <c r="F532" t="str">
        <f>INDEX(Lists!I:I,MATCH(Validation!E532,Lists!G:G,0))</f>
        <v>Error</v>
      </c>
      <c r="G532" t="str">
        <f>INDEX(Lists!H:H,MATCH(Validation!E532,Lists!G:G,0))</f>
        <v>High interest rate must equal or exceed the low interest rate.</v>
      </c>
      <c r="H532" s="25" t="str">
        <f t="shared" ca="1" si="135"/>
        <v/>
      </c>
      <c r="I532" s="25" t="str">
        <f t="shared" ca="1" si="136"/>
        <v/>
      </c>
      <c r="J532" s="26" t="str">
        <f t="shared" ca="1" si="137"/>
        <v/>
      </c>
    </row>
    <row r="533" spans="1:10" x14ac:dyDescent="0.25">
      <c r="A533" t="s">
        <v>305</v>
      </c>
      <c r="B533" t="str">
        <f>ADDRESS(ROW('Bond 1'!$B$15),COLUMN('Bond 1'!$B$15),4)</f>
        <v>B15</v>
      </c>
      <c r="C533" t="str">
        <f>ADDRESS(ROW('Bond 1'!$D$15),COLUMN('Bond 1'!$D$15),4)</f>
        <v>D15</v>
      </c>
      <c r="D533" t="b" cm="1">
        <f t="array" aca="1" ref="D533" ca="1">IF(INDIRECT("'"&amp;A533&amp;"'!"&amp;B533)="",FALSE,IF(INDIRECT("'"&amp;A533&amp;"'!"&amp;B533)&lt;INDIRECT("'"&amp;A533&amp;"'!"&amp;B533),TRUE,FALSE))</f>
        <v>0</v>
      </c>
      <c r="E533" t="s">
        <v>708</v>
      </c>
      <c r="F533" t="str">
        <f>INDEX(Lists!I:I,MATCH(Validation!E533,Lists!G:G,0))</f>
        <v>Error</v>
      </c>
      <c r="G533" t="str">
        <f>INDEX(Lists!H:H,MATCH(Validation!E533,Lists!G:G,0))</f>
        <v>High interest rate must equal or exceed the low interest rate.</v>
      </c>
      <c r="H533" s="25" t="str">
        <f t="shared" ca="1" si="135"/>
        <v/>
      </c>
      <c r="I533" s="25" t="str">
        <f t="shared" ca="1" si="136"/>
        <v/>
      </c>
      <c r="J533" s="26" t="str">
        <f t="shared" ca="1" si="137"/>
        <v/>
      </c>
    </row>
    <row r="534" spans="1:10" x14ac:dyDescent="0.25">
      <c r="A534" t="s">
        <v>306</v>
      </c>
      <c r="B534" t="str">
        <f>ADDRESS(ROW('Bond 1'!$B$15),COLUMN('Bond 1'!$B$15),4)</f>
        <v>B15</v>
      </c>
      <c r="C534" t="str">
        <f>ADDRESS(ROW('Bond 1'!$D$15),COLUMN('Bond 1'!$D$15),4)</f>
        <v>D15</v>
      </c>
      <c r="D534" t="b" cm="1">
        <f t="array" aca="1" ref="D534" ca="1">IF(INDIRECT("'"&amp;A534&amp;"'!"&amp;B534)="",FALSE,IF(INDIRECT("'"&amp;A534&amp;"'!"&amp;B534)&lt;INDIRECT("'"&amp;A534&amp;"'!"&amp;B534),TRUE,FALSE))</f>
        <v>0</v>
      </c>
      <c r="E534" t="s">
        <v>708</v>
      </c>
      <c r="F534" t="str">
        <f>INDEX(Lists!I:I,MATCH(Validation!E534,Lists!G:G,0))</f>
        <v>Error</v>
      </c>
      <c r="G534" t="str">
        <f>INDEX(Lists!H:H,MATCH(Validation!E534,Lists!G:G,0))</f>
        <v>High interest rate must equal or exceed the low interest rate.</v>
      </c>
      <c r="H534" s="25" t="str">
        <f t="shared" ca="1" si="135"/>
        <v/>
      </c>
      <c r="I534" s="25" t="str">
        <f t="shared" ca="1" si="136"/>
        <v/>
      </c>
      <c r="J534" s="26" t="str">
        <f t="shared" ca="1" si="137"/>
        <v/>
      </c>
    </row>
    <row r="535" spans="1:10" x14ac:dyDescent="0.25">
      <c r="A535" t="s">
        <v>307</v>
      </c>
      <c r="B535" t="str">
        <f>ADDRESS(ROW('Bond 1'!$B$15),COLUMN('Bond 1'!$B$15),4)</f>
        <v>B15</v>
      </c>
      <c r="C535" t="str">
        <f>ADDRESS(ROW('Bond 1'!$D$15),COLUMN('Bond 1'!$D$15),4)</f>
        <v>D15</v>
      </c>
      <c r="D535" t="b" cm="1">
        <f t="array" aca="1" ref="D535" ca="1">IF(INDIRECT("'"&amp;A535&amp;"'!"&amp;B535)="",FALSE,IF(INDIRECT("'"&amp;A535&amp;"'!"&amp;B535)&lt;INDIRECT("'"&amp;A535&amp;"'!"&amp;B535),TRUE,FALSE))</f>
        <v>0</v>
      </c>
      <c r="E535" t="s">
        <v>708</v>
      </c>
      <c r="F535" t="str">
        <f>INDEX(Lists!I:I,MATCH(Validation!E535,Lists!G:G,0))</f>
        <v>Error</v>
      </c>
      <c r="G535" t="str">
        <f>INDEX(Lists!H:H,MATCH(Validation!E535,Lists!G:G,0))</f>
        <v>High interest rate must equal or exceed the low interest rate.</v>
      </c>
      <c r="H535" s="25" t="str">
        <f t="shared" ca="1" si="135"/>
        <v/>
      </c>
      <c r="I535" s="25" t="str">
        <f t="shared" ca="1" si="136"/>
        <v/>
      </c>
      <c r="J535" s="26" t="str">
        <f t="shared" ca="1" si="137"/>
        <v/>
      </c>
    </row>
    <row r="536" spans="1:10" x14ac:dyDescent="0.25">
      <c r="A536" t="s">
        <v>308</v>
      </c>
      <c r="B536" t="str">
        <f>ADDRESS(ROW('Bond 1'!$B$15),COLUMN('Bond 1'!$B$15),4)</f>
        <v>B15</v>
      </c>
      <c r="C536" t="str">
        <f>ADDRESS(ROW('Bond 1'!$D$15),COLUMN('Bond 1'!$D$15),4)</f>
        <v>D15</v>
      </c>
      <c r="D536" t="b" cm="1">
        <f t="array" aca="1" ref="D536" ca="1">IF(INDIRECT("'"&amp;A536&amp;"'!"&amp;B536)="",FALSE,IF(INDIRECT("'"&amp;A536&amp;"'!"&amp;B536)&lt;INDIRECT("'"&amp;A536&amp;"'!"&amp;B536),TRUE,FALSE))</f>
        <v>0</v>
      </c>
      <c r="E536" t="s">
        <v>708</v>
      </c>
      <c r="F536" t="str">
        <f>INDEX(Lists!I:I,MATCH(Validation!E536,Lists!G:G,0))</f>
        <v>Error</v>
      </c>
      <c r="G536" t="str">
        <f>INDEX(Lists!H:H,MATCH(Validation!E536,Lists!G:G,0))</f>
        <v>High interest rate must equal or exceed the low interest rate.</v>
      </c>
      <c r="H536" s="25" t="str">
        <f t="shared" ca="1" si="135"/>
        <v/>
      </c>
      <c r="I536" s="25" t="str">
        <f t="shared" ca="1" si="136"/>
        <v/>
      </c>
      <c r="J536" s="26" t="str">
        <f t="shared" ca="1" si="137"/>
        <v/>
      </c>
    </row>
    <row r="537" spans="1:10" x14ac:dyDescent="0.25">
      <c r="A537" t="s">
        <v>309</v>
      </c>
      <c r="B537" t="str">
        <f>ADDRESS(ROW('Bond 1'!$B$15),COLUMN('Bond 1'!$B$15),4)</f>
        <v>B15</v>
      </c>
      <c r="C537" t="str">
        <f>ADDRESS(ROW('Bond 1'!$D$15),COLUMN('Bond 1'!$D$15),4)</f>
        <v>D15</v>
      </c>
      <c r="D537" t="b" cm="1">
        <f t="array" aca="1" ref="D537" ca="1">IF(INDIRECT("'"&amp;A537&amp;"'!"&amp;B537)="",FALSE,IF(INDIRECT("'"&amp;A537&amp;"'!"&amp;B537)&lt;INDIRECT("'"&amp;A537&amp;"'!"&amp;B537),TRUE,FALSE))</f>
        <v>0</v>
      </c>
      <c r="E537" t="s">
        <v>708</v>
      </c>
      <c r="F537" t="str">
        <f>INDEX(Lists!I:I,MATCH(Validation!E537,Lists!G:G,0))</f>
        <v>Error</v>
      </c>
      <c r="G537" t="str">
        <f>INDEX(Lists!H:H,MATCH(Validation!E537,Lists!G:G,0))</f>
        <v>High interest rate must equal or exceed the low interest rate.</v>
      </c>
      <c r="H537" s="25" t="str">
        <f t="shared" ca="1" si="135"/>
        <v/>
      </c>
      <c r="I537" s="25" t="str">
        <f t="shared" ca="1" si="136"/>
        <v/>
      </c>
      <c r="J537" s="26" t="str">
        <f t="shared" ca="1" si="137"/>
        <v/>
      </c>
    </row>
    <row r="538" spans="1:10" x14ac:dyDescent="0.25">
      <c r="A538" t="s">
        <v>310</v>
      </c>
      <c r="B538" t="str">
        <f>ADDRESS(ROW('Bond 1'!$B$15),COLUMN('Bond 1'!$B$15),4)</f>
        <v>B15</v>
      </c>
      <c r="C538" t="str">
        <f>ADDRESS(ROW('Bond 1'!$D$15),COLUMN('Bond 1'!$D$15),4)</f>
        <v>D15</v>
      </c>
      <c r="D538" t="b" cm="1">
        <f t="array" aca="1" ref="D538" ca="1">IF(INDIRECT("'"&amp;A538&amp;"'!"&amp;B538)="",FALSE,IF(INDIRECT("'"&amp;A538&amp;"'!"&amp;B538)&lt;INDIRECT("'"&amp;A538&amp;"'!"&amp;B538),TRUE,FALSE))</f>
        <v>0</v>
      </c>
      <c r="E538" t="s">
        <v>708</v>
      </c>
      <c r="F538" t="str">
        <f>INDEX(Lists!I:I,MATCH(Validation!E538,Lists!G:G,0))</f>
        <v>Error</v>
      </c>
      <c r="G538" t="str">
        <f>INDEX(Lists!H:H,MATCH(Validation!E538,Lists!G:G,0))</f>
        <v>High interest rate must equal or exceed the low interest rate.</v>
      </c>
      <c r="H538" s="25" t="str">
        <f t="shared" ca="1" si="135"/>
        <v/>
      </c>
      <c r="I538" s="25" t="str">
        <f t="shared" ca="1" si="136"/>
        <v/>
      </c>
      <c r="J538" s="26" t="str">
        <f t="shared" ca="1" si="137"/>
        <v/>
      </c>
    </row>
    <row r="539" spans="1:10" x14ac:dyDescent="0.25">
      <c r="A539" t="s">
        <v>311</v>
      </c>
      <c r="B539" t="str">
        <f>ADDRESS(ROW('Bond 1'!$B$15),COLUMN('Bond 1'!$B$15),4)</f>
        <v>B15</v>
      </c>
      <c r="C539" t="str">
        <f>ADDRESS(ROW('Bond 1'!$D$15),COLUMN('Bond 1'!$D$15),4)</f>
        <v>D15</v>
      </c>
      <c r="D539" t="b" cm="1">
        <f t="array" aca="1" ref="D539" ca="1">IF(INDIRECT("'"&amp;A539&amp;"'!"&amp;B539)="",FALSE,IF(INDIRECT("'"&amp;A539&amp;"'!"&amp;B539)&lt;INDIRECT("'"&amp;A539&amp;"'!"&amp;B539),TRUE,FALSE))</f>
        <v>0</v>
      </c>
      <c r="E539" t="s">
        <v>708</v>
      </c>
      <c r="F539" t="str">
        <f>INDEX(Lists!I:I,MATCH(Validation!E539,Lists!G:G,0))</f>
        <v>Error</v>
      </c>
      <c r="G539" t="str">
        <f>INDEX(Lists!H:H,MATCH(Validation!E539,Lists!G:G,0))</f>
        <v>High interest rate must equal or exceed the low interest rate.</v>
      </c>
      <c r="H539" s="25" t="str">
        <f t="shared" ca="1" si="135"/>
        <v/>
      </c>
      <c r="I539" s="25" t="str">
        <f t="shared" ca="1" si="136"/>
        <v/>
      </c>
      <c r="J539" s="26" t="str">
        <f t="shared" ca="1" si="137"/>
        <v/>
      </c>
    </row>
    <row r="540" spans="1:10" x14ac:dyDescent="0.25">
      <c r="A540" t="s">
        <v>312</v>
      </c>
      <c r="B540" t="str">
        <f>ADDRESS(ROW('Bond 1'!$B$15),COLUMN('Bond 1'!$B$15),4)</f>
        <v>B15</v>
      </c>
      <c r="C540" t="str">
        <f>ADDRESS(ROW('Bond 1'!$D$15),COLUMN('Bond 1'!$D$15),4)</f>
        <v>D15</v>
      </c>
      <c r="D540" t="b" cm="1">
        <f t="array" aca="1" ref="D540" ca="1">IF(INDIRECT("'"&amp;A540&amp;"'!"&amp;B540)="",FALSE,IF(INDIRECT("'"&amp;A540&amp;"'!"&amp;B540)&lt;INDIRECT("'"&amp;A540&amp;"'!"&amp;B540),TRUE,FALSE))</f>
        <v>0</v>
      </c>
      <c r="E540" t="s">
        <v>708</v>
      </c>
      <c r="F540" t="str">
        <f>INDEX(Lists!I:I,MATCH(Validation!E540,Lists!G:G,0))</f>
        <v>Error</v>
      </c>
      <c r="G540" t="str">
        <f>INDEX(Lists!H:H,MATCH(Validation!E540,Lists!G:G,0))</f>
        <v>High interest rate must equal or exceed the low interest rate.</v>
      </c>
      <c r="H540" s="25" t="str">
        <f t="shared" ca="1" si="135"/>
        <v/>
      </c>
      <c r="I540" s="25" t="str">
        <f t="shared" ca="1" si="136"/>
        <v/>
      </c>
      <c r="J540" s="26" t="str">
        <f t="shared" ca="1" si="137"/>
        <v/>
      </c>
    </row>
    <row r="541" spans="1:10" x14ac:dyDescent="0.25">
      <c r="A541" t="s">
        <v>313</v>
      </c>
      <c r="B541" t="str">
        <f>ADDRESS(ROW('Bond 1'!$B$15),COLUMN('Bond 1'!$B$15),4)</f>
        <v>B15</v>
      </c>
      <c r="C541" t="str">
        <f>ADDRESS(ROW('Bond 1'!$D$15),COLUMN('Bond 1'!$D$15),4)</f>
        <v>D15</v>
      </c>
      <c r="D541" t="b" cm="1">
        <f t="array" aca="1" ref="D541" ca="1">IF(INDIRECT("'"&amp;A541&amp;"'!"&amp;B541)="",FALSE,IF(INDIRECT("'"&amp;A541&amp;"'!"&amp;B541)&lt;INDIRECT("'"&amp;A541&amp;"'!"&amp;B541),TRUE,FALSE))</f>
        <v>0</v>
      </c>
      <c r="E541" t="s">
        <v>708</v>
      </c>
      <c r="F541" t="str">
        <f>INDEX(Lists!I:I,MATCH(Validation!E541,Lists!G:G,0))</f>
        <v>Error</v>
      </c>
      <c r="G541" t="str">
        <f>INDEX(Lists!H:H,MATCH(Validation!E541,Lists!G:G,0))</f>
        <v>High interest rate must equal or exceed the low interest rate.</v>
      </c>
      <c r="H541" s="25" t="str">
        <f t="shared" ca="1" si="135"/>
        <v/>
      </c>
      <c r="I541" s="25" t="str">
        <f t="shared" ca="1" si="136"/>
        <v/>
      </c>
      <c r="J541" s="26" t="str">
        <f t="shared" ca="1" si="137"/>
        <v/>
      </c>
    </row>
    <row r="542" spans="1:10" x14ac:dyDescent="0.25">
      <c r="A542" t="s">
        <v>314</v>
      </c>
      <c r="B542" t="str">
        <f>ADDRESS(ROW('Bond 1'!$B$15),COLUMN('Bond 1'!$B$15),4)</f>
        <v>B15</v>
      </c>
      <c r="C542" t="str">
        <f>ADDRESS(ROW('Bond 1'!$D$15),COLUMN('Bond 1'!$D$15),4)</f>
        <v>D15</v>
      </c>
      <c r="D542" t="b" cm="1">
        <f t="array" aca="1" ref="D542" ca="1">IF(INDIRECT("'"&amp;A542&amp;"'!"&amp;B542)="",FALSE,IF(INDIRECT("'"&amp;A542&amp;"'!"&amp;B542)&lt;INDIRECT("'"&amp;A542&amp;"'!"&amp;B542),TRUE,FALSE))</f>
        <v>0</v>
      </c>
      <c r="E542" t="s">
        <v>708</v>
      </c>
      <c r="F542" t="str">
        <f>INDEX(Lists!I:I,MATCH(Validation!E542,Lists!G:G,0))</f>
        <v>Error</v>
      </c>
      <c r="G542" t="str">
        <f>INDEX(Lists!H:H,MATCH(Validation!E542,Lists!G:G,0))</f>
        <v>High interest rate must equal or exceed the low interest rate.</v>
      </c>
      <c r="H542" s="25" t="str">
        <f t="shared" ca="1" si="135"/>
        <v/>
      </c>
      <c r="I542" s="25" t="str">
        <f t="shared" ca="1" si="136"/>
        <v/>
      </c>
      <c r="J542" s="26" t="str">
        <f t="shared" ca="1" si="137"/>
        <v/>
      </c>
    </row>
    <row r="543" spans="1:10" x14ac:dyDescent="0.25">
      <c r="A543" t="s">
        <v>315</v>
      </c>
      <c r="B543" t="str">
        <f>ADDRESS(ROW('Bond 1'!$B$15),COLUMN('Bond 1'!$B$15),4)</f>
        <v>B15</v>
      </c>
      <c r="C543" t="str">
        <f>ADDRESS(ROW('Bond 1'!$D$15),COLUMN('Bond 1'!$D$15),4)</f>
        <v>D15</v>
      </c>
      <c r="D543" t="b" cm="1">
        <f t="array" aca="1" ref="D543" ca="1">IF(INDIRECT("'"&amp;A543&amp;"'!"&amp;B543)="",FALSE,IF(INDIRECT("'"&amp;A543&amp;"'!"&amp;B543)&lt;INDIRECT("'"&amp;A543&amp;"'!"&amp;B543),TRUE,FALSE))</f>
        <v>0</v>
      </c>
      <c r="E543" t="s">
        <v>708</v>
      </c>
      <c r="F543" t="str">
        <f>INDEX(Lists!I:I,MATCH(Validation!E543,Lists!G:G,0))</f>
        <v>Error</v>
      </c>
      <c r="G543" t="str">
        <f>INDEX(Lists!H:H,MATCH(Validation!E543,Lists!G:G,0))</f>
        <v>High interest rate must equal or exceed the low interest rate.</v>
      </c>
      <c r="H543" s="25" t="str">
        <f t="shared" ca="1" si="135"/>
        <v/>
      </c>
      <c r="I543" s="25" t="str">
        <f t="shared" ca="1" si="136"/>
        <v/>
      </c>
      <c r="J543" s="26" t="str">
        <f t="shared" ca="1" si="137"/>
        <v/>
      </c>
    </row>
    <row r="544" spans="1:10" x14ac:dyDescent="0.25">
      <c r="A544" t="s">
        <v>198</v>
      </c>
      <c r="B544" t="str">
        <f>ADDRESS(ROW('Bond 1'!$B$15),COLUMN('Bond 1'!$B$15),4)</f>
        <v>B15</v>
      </c>
      <c r="C544" t="str">
        <f>ADDRESS(ROW('Bond 1'!$D$15),COLUMN('Bond 1'!$D$15),4)</f>
        <v>D15</v>
      </c>
      <c r="D544" t="b" cm="1">
        <f t="array" aca="1" ref="D544" ca="1">IF(INDIRECT("'"&amp;A544&amp;"'!"&amp;B544)="",FALSE,IF(INDIRECT("'"&amp;A544&amp;"'!"&amp;B544)&gt;10,TRUE,FALSE))</f>
        <v>0</v>
      </c>
      <c r="E544" t="s">
        <v>709</v>
      </c>
      <c r="F544" t="str">
        <f>INDEX(Lists!I:I,MATCH(Validation!E544,Lists!G:G,0))</f>
        <v>Alert</v>
      </c>
      <c r="G544" t="str">
        <f>INDEX(Lists!H:H,MATCH(Validation!E544,Lists!G:G,0))</f>
        <v>High interest rate exceeds typical rates. Correct entry or explain in comments box.</v>
      </c>
      <c r="H544" s="25" t="str">
        <f t="shared" ca="1" si="135"/>
        <v/>
      </c>
      <c r="I544" s="25" t="str">
        <f t="shared" ca="1" si="136"/>
        <v/>
      </c>
      <c r="J544" s="26" t="str">
        <f t="shared" ca="1" si="137"/>
        <v/>
      </c>
    </row>
    <row r="545" spans="1:10" x14ac:dyDescent="0.25">
      <c r="A545" t="s">
        <v>302</v>
      </c>
      <c r="B545" t="str">
        <f>ADDRESS(ROW('Bond 1'!$B$15),COLUMN('Bond 1'!$B$15),4)</f>
        <v>B15</v>
      </c>
      <c r="C545" t="str">
        <f>ADDRESS(ROW('Bond 1'!$D$15),COLUMN('Bond 1'!$D$15),4)</f>
        <v>D15</v>
      </c>
      <c r="D545" t="b" cm="1">
        <f t="array" aca="1" ref="D545" ca="1">IF(INDIRECT("'"&amp;A545&amp;"'!"&amp;B545)="",FALSE,IF(INDIRECT("'"&amp;A545&amp;"'!"&amp;B545)&gt;10,TRUE,FALSE))</f>
        <v>0</v>
      </c>
      <c r="E545" t="s">
        <v>709</v>
      </c>
      <c r="F545" t="str">
        <f>INDEX(Lists!I:I,MATCH(Validation!E545,Lists!G:G,0))</f>
        <v>Alert</v>
      </c>
      <c r="G545" t="str">
        <f>INDEX(Lists!H:H,MATCH(Validation!E545,Lists!G:G,0))</f>
        <v>High interest rate exceeds typical rates. Correct entry or explain in comments box.</v>
      </c>
      <c r="H545" s="25" t="str">
        <f t="shared" ca="1" si="135"/>
        <v/>
      </c>
      <c r="I545" s="25" t="str">
        <f t="shared" ca="1" si="136"/>
        <v/>
      </c>
      <c r="J545" s="26" t="str">
        <f t="shared" ca="1" si="137"/>
        <v/>
      </c>
    </row>
    <row r="546" spans="1:10" x14ac:dyDescent="0.25">
      <c r="A546" t="s">
        <v>303</v>
      </c>
      <c r="B546" t="str">
        <f>ADDRESS(ROW('Bond 1'!$B$15),COLUMN('Bond 1'!$B$15),4)</f>
        <v>B15</v>
      </c>
      <c r="C546" t="str">
        <f>ADDRESS(ROW('Bond 1'!$D$15),COLUMN('Bond 1'!$D$15),4)</f>
        <v>D15</v>
      </c>
      <c r="D546" t="b" cm="1">
        <f t="array" aca="1" ref="D546" ca="1">IF(INDIRECT("'"&amp;A546&amp;"'!"&amp;B546)="",FALSE,IF(INDIRECT("'"&amp;A546&amp;"'!"&amp;B546)&gt;10,TRUE,FALSE))</f>
        <v>0</v>
      </c>
      <c r="E546" t="s">
        <v>709</v>
      </c>
      <c r="F546" t="str">
        <f>INDEX(Lists!I:I,MATCH(Validation!E546,Lists!G:G,0))</f>
        <v>Alert</v>
      </c>
      <c r="G546" t="str">
        <f>INDEX(Lists!H:H,MATCH(Validation!E546,Lists!G:G,0))</f>
        <v>High interest rate exceeds typical rates. Correct entry or explain in comments box.</v>
      </c>
      <c r="H546" s="25" t="str">
        <f t="shared" ca="1" si="135"/>
        <v/>
      </c>
      <c r="I546" s="25" t="str">
        <f t="shared" ca="1" si="136"/>
        <v/>
      </c>
      <c r="J546" s="26" t="str">
        <f t="shared" ca="1" si="137"/>
        <v/>
      </c>
    </row>
    <row r="547" spans="1:10" x14ac:dyDescent="0.25">
      <c r="A547" t="s">
        <v>304</v>
      </c>
      <c r="B547" t="str">
        <f>ADDRESS(ROW('Bond 1'!$B$15),COLUMN('Bond 1'!$B$15),4)</f>
        <v>B15</v>
      </c>
      <c r="C547" t="str">
        <f>ADDRESS(ROW('Bond 1'!$D$15),COLUMN('Bond 1'!$D$15),4)</f>
        <v>D15</v>
      </c>
      <c r="D547" t="b" cm="1">
        <f t="array" aca="1" ref="D547" ca="1">IF(INDIRECT("'"&amp;A547&amp;"'!"&amp;B547)="",FALSE,IF(INDIRECT("'"&amp;A547&amp;"'!"&amp;B547)&gt;10,TRUE,FALSE))</f>
        <v>0</v>
      </c>
      <c r="E547" t="s">
        <v>709</v>
      </c>
      <c r="F547" t="str">
        <f>INDEX(Lists!I:I,MATCH(Validation!E547,Lists!G:G,0))</f>
        <v>Alert</v>
      </c>
      <c r="G547" t="str">
        <f>INDEX(Lists!H:H,MATCH(Validation!E547,Lists!G:G,0))</f>
        <v>High interest rate exceeds typical rates. Correct entry or explain in comments box.</v>
      </c>
      <c r="H547" s="25" t="str">
        <f t="shared" ca="1" si="135"/>
        <v/>
      </c>
      <c r="I547" s="25" t="str">
        <f t="shared" ca="1" si="136"/>
        <v/>
      </c>
      <c r="J547" s="26" t="str">
        <f t="shared" ca="1" si="137"/>
        <v/>
      </c>
    </row>
    <row r="548" spans="1:10" x14ac:dyDescent="0.25">
      <c r="A548" t="s">
        <v>305</v>
      </c>
      <c r="B548" t="str">
        <f>ADDRESS(ROW('Bond 1'!$B$15),COLUMN('Bond 1'!$B$15),4)</f>
        <v>B15</v>
      </c>
      <c r="C548" t="str">
        <f>ADDRESS(ROW('Bond 1'!$D$15),COLUMN('Bond 1'!$D$15),4)</f>
        <v>D15</v>
      </c>
      <c r="D548" t="b" cm="1">
        <f t="array" aca="1" ref="D548" ca="1">IF(INDIRECT("'"&amp;A548&amp;"'!"&amp;B548)="",FALSE,IF(INDIRECT("'"&amp;A548&amp;"'!"&amp;B548)&gt;10,TRUE,FALSE))</f>
        <v>0</v>
      </c>
      <c r="E548" t="s">
        <v>709</v>
      </c>
      <c r="F548" t="str">
        <f>INDEX(Lists!I:I,MATCH(Validation!E548,Lists!G:G,0))</f>
        <v>Alert</v>
      </c>
      <c r="G548" t="str">
        <f>INDEX(Lists!H:H,MATCH(Validation!E548,Lists!G:G,0))</f>
        <v>High interest rate exceeds typical rates. Correct entry or explain in comments box.</v>
      </c>
      <c r="H548" s="25" t="str">
        <f t="shared" ca="1" si="135"/>
        <v/>
      </c>
      <c r="I548" s="25" t="str">
        <f t="shared" ca="1" si="136"/>
        <v/>
      </c>
      <c r="J548" s="26" t="str">
        <f t="shared" ca="1" si="137"/>
        <v/>
      </c>
    </row>
    <row r="549" spans="1:10" x14ac:dyDescent="0.25">
      <c r="A549" t="s">
        <v>306</v>
      </c>
      <c r="B549" t="str">
        <f>ADDRESS(ROW('Bond 1'!$B$15),COLUMN('Bond 1'!$B$15),4)</f>
        <v>B15</v>
      </c>
      <c r="C549" t="str">
        <f>ADDRESS(ROW('Bond 1'!$D$15),COLUMN('Bond 1'!$D$15),4)</f>
        <v>D15</v>
      </c>
      <c r="D549" t="b" cm="1">
        <f t="array" aca="1" ref="D549" ca="1">IF(INDIRECT("'"&amp;A549&amp;"'!"&amp;B549)="",FALSE,IF(INDIRECT("'"&amp;A549&amp;"'!"&amp;B549)&gt;10,TRUE,FALSE))</f>
        <v>0</v>
      </c>
      <c r="E549" t="s">
        <v>709</v>
      </c>
      <c r="F549" t="str">
        <f>INDEX(Lists!I:I,MATCH(Validation!E549,Lists!G:G,0))</f>
        <v>Alert</v>
      </c>
      <c r="G549" t="str">
        <f>INDEX(Lists!H:H,MATCH(Validation!E549,Lists!G:G,0))</f>
        <v>High interest rate exceeds typical rates. Correct entry or explain in comments box.</v>
      </c>
      <c r="H549" s="25" t="str">
        <f t="shared" ca="1" si="135"/>
        <v/>
      </c>
      <c r="I549" s="25" t="str">
        <f t="shared" ca="1" si="136"/>
        <v/>
      </c>
      <c r="J549" s="26" t="str">
        <f t="shared" ca="1" si="137"/>
        <v/>
      </c>
    </row>
    <row r="550" spans="1:10" x14ac:dyDescent="0.25">
      <c r="A550" t="s">
        <v>307</v>
      </c>
      <c r="B550" t="str">
        <f>ADDRESS(ROW('Bond 1'!$B$15),COLUMN('Bond 1'!$B$15),4)</f>
        <v>B15</v>
      </c>
      <c r="C550" t="str">
        <f>ADDRESS(ROW('Bond 1'!$D$15),COLUMN('Bond 1'!$D$15),4)</f>
        <v>D15</v>
      </c>
      <c r="D550" t="b" cm="1">
        <f t="array" aca="1" ref="D550" ca="1">IF(INDIRECT("'"&amp;A550&amp;"'!"&amp;B550)="",FALSE,IF(INDIRECT("'"&amp;A550&amp;"'!"&amp;B550)&gt;10,TRUE,FALSE))</f>
        <v>0</v>
      </c>
      <c r="E550" t="s">
        <v>709</v>
      </c>
      <c r="F550" t="str">
        <f>INDEX(Lists!I:I,MATCH(Validation!E550,Lists!G:G,0))</f>
        <v>Alert</v>
      </c>
      <c r="G550" t="str">
        <f>INDEX(Lists!H:H,MATCH(Validation!E550,Lists!G:G,0))</f>
        <v>High interest rate exceeds typical rates. Correct entry or explain in comments box.</v>
      </c>
      <c r="H550" s="25" t="str">
        <f t="shared" ca="1" si="135"/>
        <v/>
      </c>
      <c r="I550" s="25" t="str">
        <f t="shared" ca="1" si="136"/>
        <v/>
      </c>
      <c r="J550" s="26" t="str">
        <f t="shared" ca="1" si="137"/>
        <v/>
      </c>
    </row>
    <row r="551" spans="1:10" x14ac:dyDescent="0.25">
      <c r="A551" t="s">
        <v>308</v>
      </c>
      <c r="B551" t="str">
        <f>ADDRESS(ROW('Bond 1'!$B$15),COLUMN('Bond 1'!$B$15),4)</f>
        <v>B15</v>
      </c>
      <c r="C551" t="str">
        <f>ADDRESS(ROW('Bond 1'!$D$15),COLUMN('Bond 1'!$D$15),4)</f>
        <v>D15</v>
      </c>
      <c r="D551" t="b" cm="1">
        <f t="array" aca="1" ref="D551" ca="1">IF(INDIRECT("'"&amp;A551&amp;"'!"&amp;B551)="",FALSE,IF(INDIRECT("'"&amp;A551&amp;"'!"&amp;B551)&gt;10,TRUE,FALSE))</f>
        <v>0</v>
      </c>
      <c r="E551" t="s">
        <v>709</v>
      </c>
      <c r="F551" t="str">
        <f>INDEX(Lists!I:I,MATCH(Validation!E551,Lists!G:G,0))</f>
        <v>Alert</v>
      </c>
      <c r="G551" t="str">
        <f>INDEX(Lists!H:H,MATCH(Validation!E551,Lists!G:G,0))</f>
        <v>High interest rate exceeds typical rates. Correct entry or explain in comments box.</v>
      </c>
      <c r="H551" s="25" t="str">
        <f t="shared" ca="1" si="135"/>
        <v/>
      </c>
      <c r="I551" s="25" t="str">
        <f t="shared" ca="1" si="136"/>
        <v/>
      </c>
      <c r="J551" s="26" t="str">
        <f t="shared" ca="1" si="137"/>
        <v/>
      </c>
    </row>
    <row r="552" spans="1:10" x14ac:dyDescent="0.25">
      <c r="A552" t="s">
        <v>309</v>
      </c>
      <c r="B552" t="str">
        <f>ADDRESS(ROW('Bond 1'!$B$15),COLUMN('Bond 1'!$B$15),4)</f>
        <v>B15</v>
      </c>
      <c r="C552" t="str">
        <f>ADDRESS(ROW('Bond 1'!$D$15),COLUMN('Bond 1'!$D$15),4)</f>
        <v>D15</v>
      </c>
      <c r="D552" t="b" cm="1">
        <f t="array" aca="1" ref="D552" ca="1">IF(INDIRECT("'"&amp;A552&amp;"'!"&amp;B552)="",FALSE,IF(INDIRECT("'"&amp;A552&amp;"'!"&amp;B552)&gt;10,TRUE,FALSE))</f>
        <v>0</v>
      </c>
      <c r="E552" t="s">
        <v>709</v>
      </c>
      <c r="F552" t="str">
        <f>INDEX(Lists!I:I,MATCH(Validation!E552,Lists!G:G,0))</f>
        <v>Alert</v>
      </c>
      <c r="G552" t="str">
        <f>INDEX(Lists!H:H,MATCH(Validation!E552,Lists!G:G,0))</f>
        <v>High interest rate exceeds typical rates. Correct entry or explain in comments box.</v>
      </c>
      <c r="H552" s="25" t="str">
        <f t="shared" ca="1" si="135"/>
        <v/>
      </c>
      <c r="I552" s="25" t="str">
        <f t="shared" ca="1" si="136"/>
        <v/>
      </c>
      <c r="J552" s="26" t="str">
        <f t="shared" ca="1" si="137"/>
        <v/>
      </c>
    </row>
    <row r="553" spans="1:10" x14ac:dyDescent="0.25">
      <c r="A553" t="s">
        <v>310</v>
      </c>
      <c r="B553" t="str">
        <f>ADDRESS(ROW('Bond 1'!$B$15),COLUMN('Bond 1'!$B$15),4)</f>
        <v>B15</v>
      </c>
      <c r="C553" t="str">
        <f>ADDRESS(ROW('Bond 1'!$D$15),COLUMN('Bond 1'!$D$15),4)</f>
        <v>D15</v>
      </c>
      <c r="D553" t="b" cm="1">
        <f t="array" aca="1" ref="D553" ca="1">IF(INDIRECT("'"&amp;A553&amp;"'!"&amp;B553)="",FALSE,IF(INDIRECT("'"&amp;A553&amp;"'!"&amp;B553)&gt;10,TRUE,FALSE))</f>
        <v>0</v>
      </c>
      <c r="E553" t="s">
        <v>709</v>
      </c>
      <c r="F553" t="str">
        <f>INDEX(Lists!I:I,MATCH(Validation!E553,Lists!G:G,0))</f>
        <v>Alert</v>
      </c>
      <c r="G553" t="str">
        <f>INDEX(Lists!H:H,MATCH(Validation!E553,Lists!G:G,0))</f>
        <v>High interest rate exceeds typical rates. Correct entry or explain in comments box.</v>
      </c>
      <c r="H553" s="25" t="str">
        <f t="shared" ca="1" si="135"/>
        <v/>
      </c>
      <c r="I553" s="25" t="str">
        <f t="shared" ca="1" si="136"/>
        <v/>
      </c>
      <c r="J553" s="26" t="str">
        <f t="shared" ca="1" si="137"/>
        <v/>
      </c>
    </row>
    <row r="554" spans="1:10" x14ac:dyDescent="0.25">
      <c r="A554" t="s">
        <v>311</v>
      </c>
      <c r="B554" t="str">
        <f>ADDRESS(ROW('Bond 1'!$B$15),COLUMN('Bond 1'!$B$15),4)</f>
        <v>B15</v>
      </c>
      <c r="C554" t="str">
        <f>ADDRESS(ROW('Bond 1'!$D$15),COLUMN('Bond 1'!$D$15),4)</f>
        <v>D15</v>
      </c>
      <c r="D554" t="b" cm="1">
        <f t="array" aca="1" ref="D554" ca="1">IF(INDIRECT("'"&amp;A554&amp;"'!"&amp;B554)="",FALSE,IF(INDIRECT("'"&amp;A554&amp;"'!"&amp;B554)&gt;10,TRUE,FALSE))</f>
        <v>0</v>
      </c>
      <c r="E554" t="s">
        <v>709</v>
      </c>
      <c r="F554" t="str">
        <f>INDEX(Lists!I:I,MATCH(Validation!E554,Lists!G:G,0))</f>
        <v>Alert</v>
      </c>
      <c r="G554" t="str">
        <f>INDEX(Lists!H:H,MATCH(Validation!E554,Lists!G:G,0))</f>
        <v>High interest rate exceeds typical rates. Correct entry or explain in comments box.</v>
      </c>
      <c r="H554" s="25" t="str">
        <f t="shared" ca="1" si="135"/>
        <v/>
      </c>
      <c r="I554" s="25" t="str">
        <f t="shared" ca="1" si="136"/>
        <v/>
      </c>
      <c r="J554" s="26" t="str">
        <f t="shared" ca="1" si="137"/>
        <v/>
      </c>
    </row>
    <row r="555" spans="1:10" x14ac:dyDescent="0.25">
      <c r="A555" t="s">
        <v>312</v>
      </c>
      <c r="B555" t="str">
        <f>ADDRESS(ROW('Bond 1'!$B$15),COLUMN('Bond 1'!$B$15),4)</f>
        <v>B15</v>
      </c>
      <c r="C555" t="str">
        <f>ADDRESS(ROW('Bond 1'!$D$15),COLUMN('Bond 1'!$D$15),4)</f>
        <v>D15</v>
      </c>
      <c r="D555" t="b" cm="1">
        <f t="array" aca="1" ref="D555" ca="1">IF(INDIRECT("'"&amp;A555&amp;"'!"&amp;B555)="",FALSE,IF(INDIRECT("'"&amp;A555&amp;"'!"&amp;B555)&gt;10,TRUE,FALSE))</f>
        <v>0</v>
      </c>
      <c r="E555" t="s">
        <v>709</v>
      </c>
      <c r="F555" t="str">
        <f>INDEX(Lists!I:I,MATCH(Validation!E555,Lists!G:G,0))</f>
        <v>Alert</v>
      </c>
      <c r="G555" t="str">
        <f>INDEX(Lists!H:H,MATCH(Validation!E555,Lists!G:G,0))</f>
        <v>High interest rate exceeds typical rates. Correct entry or explain in comments box.</v>
      </c>
      <c r="H555" s="25" t="str">
        <f t="shared" ca="1" si="135"/>
        <v/>
      </c>
      <c r="I555" s="25" t="str">
        <f t="shared" ca="1" si="136"/>
        <v/>
      </c>
      <c r="J555" s="26" t="str">
        <f t="shared" ca="1" si="137"/>
        <v/>
      </c>
    </row>
    <row r="556" spans="1:10" x14ac:dyDescent="0.25">
      <c r="A556" t="s">
        <v>313</v>
      </c>
      <c r="B556" t="str">
        <f>ADDRESS(ROW('Bond 1'!$B$15),COLUMN('Bond 1'!$B$15),4)</f>
        <v>B15</v>
      </c>
      <c r="C556" t="str">
        <f>ADDRESS(ROW('Bond 1'!$D$15),COLUMN('Bond 1'!$D$15),4)</f>
        <v>D15</v>
      </c>
      <c r="D556" t="b" cm="1">
        <f t="array" aca="1" ref="D556" ca="1">IF(INDIRECT("'"&amp;A556&amp;"'!"&amp;B556)="",FALSE,IF(INDIRECT("'"&amp;A556&amp;"'!"&amp;B556)&gt;10,TRUE,FALSE))</f>
        <v>0</v>
      </c>
      <c r="E556" t="s">
        <v>709</v>
      </c>
      <c r="F556" t="str">
        <f>INDEX(Lists!I:I,MATCH(Validation!E556,Lists!G:G,0))</f>
        <v>Alert</v>
      </c>
      <c r="G556" t="str">
        <f>INDEX(Lists!H:H,MATCH(Validation!E556,Lists!G:G,0))</f>
        <v>High interest rate exceeds typical rates. Correct entry or explain in comments box.</v>
      </c>
      <c r="H556" s="25" t="str">
        <f t="shared" ca="1" si="135"/>
        <v/>
      </c>
      <c r="I556" s="25" t="str">
        <f t="shared" ca="1" si="136"/>
        <v/>
      </c>
      <c r="J556" s="26" t="str">
        <f t="shared" ca="1" si="137"/>
        <v/>
      </c>
    </row>
    <row r="557" spans="1:10" x14ac:dyDescent="0.25">
      <c r="A557" t="s">
        <v>314</v>
      </c>
      <c r="B557" t="str">
        <f>ADDRESS(ROW('Bond 1'!$B$15),COLUMN('Bond 1'!$B$15),4)</f>
        <v>B15</v>
      </c>
      <c r="C557" t="str">
        <f>ADDRESS(ROW('Bond 1'!$D$15),COLUMN('Bond 1'!$D$15),4)</f>
        <v>D15</v>
      </c>
      <c r="D557" t="b" cm="1">
        <f t="array" aca="1" ref="D557" ca="1">IF(INDIRECT("'"&amp;A557&amp;"'!"&amp;B557)="",FALSE,IF(INDIRECT("'"&amp;A557&amp;"'!"&amp;B557)&gt;10,TRUE,FALSE))</f>
        <v>0</v>
      </c>
      <c r="E557" t="s">
        <v>709</v>
      </c>
      <c r="F557" t="str">
        <f>INDEX(Lists!I:I,MATCH(Validation!E557,Lists!G:G,0))</f>
        <v>Alert</v>
      </c>
      <c r="G557" t="str">
        <f>INDEX(Lists!H:H,MATCH(Validation!E557,Lists!G:G,0))</f>
        <v>High interest rate exceeds typical rates. Correct entry or explain in comments box.</v>
      </c>
      <c r="H557" s="25" t="str">
        <f t="shared" ca="1" si="135"/>
        <v/>
      </c>
      <c r="I557" s="25" t="str">
        <f t="shared" ca="1" si="136"/>
        <v/>
      </c>
      <c r="J557" s="26" t="str">
        <f t="shared" ca="1" si="137"/>
        <v/>
      </c>
    </row>
    <row r="558" spans="1:10" x14ac:dyDescent="0.25">
      <c r="A558" t="s">
        <v>315</v>
      </c>
      <c r="B558" t="str">
        <f>ADDRESS(ROW('Bond 1'!$B$15),COLUMN('Bond 1'!$B$15),4)</f>
        <v>B15</v>
      </c>
      <c r="C558" t="str">
        <f>ADDRESS(ROW('Bond 1'!$D$15),COLUMN('Bond 1'!$D$15),4)</f>
        <v>D15</v>
      </c>
      <c r="D558" t="b" cm="1">
        <f t="array" aca="1" ref="D558" ca="1">IF(INDIRECT("'"&amp;A558&amp;"'!"&amp;B558)="",FALSE,IF(INDIRECT("'"&amp;A558&amp;"'!"&amp;B558)&gt;10,TRUE,FALSE))</f>
        <v>0</v>
      </c>
      <c r="E558" t="s">
        <v>709</v>
      </c>
      <c r="F558" t="str">
        <f>INDEX(Lists!I:I,MATCH(Validation!E558,Lists!G:G,0))</f>
        <v>Alert</v>
      </c>
      <c r="G558" t="str">
        <f>INDEX(Lists!H:H,MATCH(Validation!E558,Lists!G:G,0))</f>
        <v>High interest rate exceeds typical rates. Correct entry or explain in comments box.</v>
      </c>
      <c r="H558" s="25" t="str">
        <f t="shared" ca="1" si="135"/>
        <v/>
      </c>
      <c r="I558" s="25" t="str">
        <f t="shared" ca="1" si="136"/>
        <v/>
      </c>
      <c r="J558" s="26" t="str">
        <f t="shared" ca="1" si="137"/>
        <v/>
      </c>
    </row>
    <row r="559" spans="1:10" x14ac:dyDescent="0.25">
      <c r="A559" t="s">
        <v>198</v>
      </c>
      <c r="B559" t="str">
        <f>ADDRESS(ROW('Bond 1'!$B$15),COLUMN('Bond 1'!$B$15),4)</f>
        <v>B15</v>
      </c>
      <c r="C559" t="str">
        <f>ADDRESS(ROW('Bond 1'!$D$15),COLUMN('Bond 1'!$D$15),4)</f>
        <v>D15</v>
      </c>
      <c r="D559" t="b" cm="1">
        <f t="array" aca="1" ref="D559" ca="1">IF(INDIRECT("'"&amp;A559&amp;"'!"&amp;B559)="",FALSE,IF(TRUNC(INDIRECT("'"&amp;A559&amp;"'!"&amp;B559),3)=INDIRECT("'"&amp;A559&amp;"'!"&amp;B559),FALSE,TRUE))</f>
        <v>0</v>
      </c>
      <c r="E559" t="s">
        <v>616</v>
      </c>
      <c r="F559" t="str">
        <f>INDEX(Lists!I:I,MATCH(Validation!E559,Lists!G:G,0))</f>
        <v>Error</v>
      </c>
      <c r="G559" t="str">
        <f>INDEX(Lists!H:H,MATCH(Validation!E559,Lists!G:G,0))</f>
        <v>Interest rate cannot have more than three decimals.</v>
      </c>
      <c r="H559" s="25" t="str">
        <f t="shared" ref="H559:H573" ca="1" si="138">IFERROR(IF(OR(NOT(D559),F559&lt;&gt;"Error"),"",A559&amp;CELL("address",INDIRECT(B559))),"")</f>
        <v/>
      </c>
      <c r="I559" s="25" t="str">
        <f t="shared" ref="I559:I573" ca="1" si="139">IFERROR(IF(NOT(D559),"",A559&amp;CELL("address",INDIRECT(C559))),"")</f>
        <v/>
      </c>
      <c r="J559" s="26" t="str">
        <f t="shared" ref="J559:J573" ca="1" si="140">IFERROR(IF(NOT(D559),"",A559),"")</f>
        <v/>
      </c>
    </row>
    <row r="560" spans="1:10" x14ac:dyDescent="0.25">
      <c r="A560" t="s">
        <v>302</v>
      </c>
      <c r="B560" t="str">
        <f>ADDRESS(ROW('Bond 1'!$B$15),COLUMN('Bond 1'!$B$15),4)</f>
        <v>B15</v>
      </c>
      <c r="C560" t="str">
        <f>ADDRESS(ROW('Bond 1'!$D$15),COLUMN('Bond 1'!$D$15),4)</f>
        <v>D15</v>
      </c>
      <c r="D560" t="b" cm="1">
        <f t="array" aca="1" ref="D560" ca="1">IF(INDIRECT("'"&amp;A560&amp;"'!"&amp;B560)="",FALSE,IF(TRUNC(INDIRECT("'"&amp;A560&amp;"'!"&amp;B560),3)=INDIRECT("'"&amp;A560&amp;"'!"&amp;B560),FALSE,TRUE))</f>
        <v>0</v>
      </c>
      <c r="E560" t="s">
        <v>616</v>
      </c>
      <c r="F560" t="str">
        <f>INDEX(Lists!I:I,MATCH(Validation!E560,Lists!G:G,0))</f>
        <v>Error</v>
      </c>
      <c r="G560" t="str">
        <f>INDEX(Lists!H:H,MATCH(Validation!E560,Lists!G:G,0))</f>
        <v>Interest rate cannot have more than three decimals.</v>
      </c>
      <c r="H560" s="25" t="str">
        <f t="shared" ca="1" si="138"/>
        <v/>
      </c>
      <c r="I560" s="25" t="str">
        <f t="shared" ca="1" si="139"/>
        <v/>
      </c>
      <c r="J560" s="26" t="str">
        <f t="shared" ca="1" si="140"/>
        <v/>
      </c>
    </row>
    <row r="561" spans="1:10" x14ac:dyDescent="0.25">
      <c r="A561" t="s">
        <v>303</v>
      </c>
      <c r="B561" t="str">
        <f>ADDRESS(ROW('Bond 1'!$B$15),COLUMN('Bond 1'!$B$15),4)</f>
        <v>B15</v>
      </c>
      <c r="C561" t="str">
        <f>ADDRESS(ROW('Bond 1'!$D$15),COLUMN('Bond 1'!$D$15),4)</f>
        <v>D15</v>
      </c>
      <c r="D561" t="b" cm="1">
        <f t="array" aca="1" ref="D561" ca="1">IF(INDIRECT("'"&amp;A561&amp;"'!"&amp;B561)="",FALSE,IF(TRUNC(INDIRECT("'"&amp;A561&amp;"'!"&amp;B561),3)=INDIRECT("'"&amp;A561&amp;"'!"&amp;B561),FALSE,TRUE))</f>
        <v>0</v>
      </c>
      <c r="E561" t="s">
        <v>616</v>
      </c>
      <c r="F561" t="str">
        <f>INDEX(Lists!I:I,MATCH(Validation!E561,Lists!G:G,0))</f>
        <v>Error</v>
      </c>
      <c r="G561" t="str">
        <f>INDEX(Lists!H:H,MATCH(Validation!E561,Lists!G:G,0))</f>
        <v>Interest rate cannot have more than three decimals.</v>
      </c>
      <c r="H561" s="25" t="str">
        <f t="shared" ca="1" si="138"/>
        <v/>
      </c>
      <c r="I561" s="25" t="str">
        <f t="shared" ca="1" si="139"/>
        <v/>
      </c>
      <c r="J561" s="26" t="str">
        <f t="shared" ca="1" si="140"/>
        <v/>
      </c>
    </row>
    <row r="562" spans="1:10" x14ac:dyDescent="0.25">
      <c r="A562" t="s">
        <v>304</v>
      </c>
      <c r="B562" t="str">
        <f>ADDRESS(ROW('Bond 1'!$B$15),COLUMN('Bond 1'!$B$15),4)</f>
        <v>B15</v>
      </c>
      <c r="C562" t="str">
        <f>ADDRESS(ROW('Bond 1'!$D$15),COLUMN('Bond 1'!$D$15),4)</f>
        <v>D15</v>
      </c>
      <c r="D562" t="b" cm="1">
        <f t="array" aca="1" ref="D562" ca="1">IF(INDIRECT("'"&amp;A562&amp;"'!"&amp;B562)="",FALSE,IF(TRUNC(INDIRECT("'"&amp;A562&amp;"'!"&amp;B562),3)=INDIRECT("'"&amp;A562&amp;"'!"&amp;B562),FALSE,TRUE))</f>
        <v>0</v>
      </c>
      <c r="E562" t="s">
        <v>616</v>
      </c>
      <c r="F562" t="str">
        <f>INDEX(Lists!I:I,MATCH(Validation!E562,Lists!G:G,0))</f>
        <v>Error</v>
      </c>
      <c r="G562" t="str">
        <f>INDEX(Lists!H:H,MATCH(Validation!E562,Lists!G:G,0))</f>
        <v>Interest rate cannot have more than three decimals.</v>
      </c>
      <c r="H562" s="25" t="str">
        <f t="shared" ca="1" si="138"/>
        <v/>
      </c>
      <c r="I562" s="25" t="str">
        <f t="shared" ca="1" si="139"/>
        <v/>
      </c>
      <c r="J562" s="26" t="str">
        <f t="shared" ca="1" si="140"/>
        <v/>
      </c>
    </row>
    <row r="563" spans="1:10" x14ac:dyDescent="0.25">
      <c r="A563" t="s">
        <v>305</v>
      </c>
      <c r="B563" t="str">
        <f>ADDRESS(ROW('Bond 1'!$B$15),COLUMN('Bond 1'!$B$15),4)</f>
        <v>B15</v>
      </c>
      <c r="C563" t="str">
        <f>ADDRESS(ROW('Bond 1'!$D$15),COLUMN('Bond 1'!$D$15),4)</f>
        <v>D15</v>
      </c>
      <c r="D563" t="b" cm="1">
        <f t="array" aca="1" ref="D563" ca="1">IF(INDIRECT("'"&amp;A563&amp;"'!"&amp;B563)="",FALSE,IF(TRUNC(INDIRECT("'"&amp;A563&amp;"'!"&amp;B563),3)=INDIRECT("'"&amp;A563&amp;"'!"&amp;B563),FALSE,TRUE))</f>
        <v>0</v>
      </c>
      <c r="E563" t="s">
        <v>616</v>
      </c>
      <c r="F563" t="str">
        <f>INDEX(Lists!I:I,MATCH(Validation!E563,Lists!G:G,0))</f>
        <v>Error</v>
      </c>
      <c r="G563" t="str">
        <f>INDEX(Lists!H:H,MATCH(Validation!E563,Lists!G:G,0))</f>
        <v>Interest rate cannot have more than three decimals.</v>
      </c>
      <c r="H563" s="25" t="str">
        <f t="shared" ca="1" si="138"/>
        <v/>
      </c>
      <c r="I563" s="25" t="str">
        <f t="shared" ca="1" si="139"/>
        <v/>
      </c>
      <c r="J563" s="26" t="str">
        <f t="shared" ca="1" si="140"/>
        <v/>
      </c>
    </row>
    <row r="564" spans="1:10" x14ac:dyDescent="0.25">
      <c r="A564" t="s">
        <v>306</v>
      </c>
      <c r="B564" t="str">
        <f>ADDRESS(ROW('Bond 1'!$B$15),COLUMN('Bond 1'!$B$15),4)</f>
        <v>B15</v>
      </c>
      <c r="C564" t="str">
        <f>ADDRESS(ROW('Bond 1'!$D$15),COLUMN('Bond 1'!$D$15),4)</f>
        <v>D15</v>
      </c>
      <c r="D564" t="b" cm="1">
        <f t="array" aca="1" ref="D564" ca="1">IF(INDIRECT("'"&amp;A564&amp;"'!"&amp;B564)="",FALSE,IF(TRUNC(INDIRECT("'"&amp;A564&amp;"'!"&amp;B564),3)=INDIRECT("'"&amp;A564&amp;"'!"&amp;B564),FALSE,TRUE))</f>
        <v>0</v>
      </c>
      <c r="E564" t="s">
        <v>616</v>
      </c>
      <c r="F564" t="str">
        <f>INDEX(Lists!I:I,MATCH(Validation!E564,Lists!G:G,0))</f>
        <v>Error</v>
      </c>
      <c r="G564" t="str">
        <f>INDEX(Lists!H:H,MATCH(Validation!E564,Lists!G:G,0))</f>
        <v>Interest rate cannot have more than three decimals.</v>
      </c>
      <c r="H564" s="25" t="str">
        <f t="shared" ca="1" si="138"/>
        <v/>
      </c>
      <c r="I564" s="25" t="str">
        <f t="shared" ca="1" si="139"/>
        <v/>
      </c>
      <c r="J564" s="26" t="str">
        <f t="shared" ca="1" si="140"/>
        <v/>
      </c>
    </row>
    <row r="565" spans="1:10" x14ac:dyDescent="0.25">
      <c r="A565" t="s">
        <v>307</v>
      </c>
      <c r="B565" t="str">
        <f>ADDRESS(ROW('Bond 1'!$B$15),COLUMN('Bond 1'!$B$15),4)</f>
        <v>B15</v>
      </c>
      <c r="C565" t="str">
        <f>ADDRESS(ROW('Bond 1'!$D$15),COLUMN('Bond 1'!$D$15),4)</f>
        <v>D15</v>
      </c>
      <c r="D565" t="b" cm="1">
        <f t="array" aca="1" ref="D565" ca="1">IF(INDIRECT("'"&amp;A565&amp;"'!"&amp;B565)="",FALSE,IF(TRUNC(INDIRECT("'"&amp;A565&amp;"'!"&amp;B565),3)=INDIRECT("'"&amp;A565&amp;"'!"&amp;B565),FALSE,TRUE))</f>
        <v>0</v>
      </c>
      <c r="E565" t="s">
        <v>616</v>
      </c>
      <c r="F565" t="str">
        <f>INDEX(Lists!I:I,MATCH(Validation!E565,Lists!G:G,0))</f>
        <v>Error</v>
      </c>
      <c r="G565" t="str">
        <f>INDEX(Lists!H:H,MATCH(Validation!E565,Lists!G:G,0))</f>
        <v>Interest rate cannot have more than three decimals.</v>
      </c>
      <c r="H565" s="25" t="str">
        <f t="shared" ca="1" si="138"/>
        <v/>
      </c>
      <c r="I565" s="25" t="str">
        <f t="shared" ca="1" si="139"/>
        <v/>
      </c>
      <c r="J565" s="26" t="str">
        <f t="shared" ca="1" si="140"/>
        <v/>
      </c>
    </row>
    <row r="566" spans="1:10" x14ac:dyDescent="0.25">
      <c r="A566" t="s">
        <v>308</v>
      </c>
      <c r="B566" t="str">
        <f>ADDRESS(ROW('Bond 1'!$B$15),COLUMN('Bond 1'!$B$15),4)</f>
        <v>B15</v>
      </c>
      <c r="C566" t="str">
        <f>ADDRESS(ROW('Bond 1'!$D$15),COLUMN('Bond 1'!$D$15),4)</f>
        <v>D15</v>
      </c>
      <c r="D566" t="b" cm="1">
        <f t="array" aca="1" ref="D566" ca="1">IF(INDIRECT("'"&amp;A566&amp;"'!"&amp;B566)="",FALSE,IF(TRUNC(INDIRECT("'"&amp;A566&amp;"'!"&amp;B566),3)=INDIRECT("'"&amp;A566&amp;"'!"&amp;B566),FALSE,TRUE))</f>
        <v>0</v>
      </c>
      <c r="E566" t="s">
        <v>616</v>
      </c>
      <c r="F566" t="str">
        <f>INDEX(Lists!I:I,MATCH(Validation!E566,Lists!G:G,0))</f>
        <v>Error</v>
      </c>
      <c r="G566" t="str">
        <f>INDEX(Lists!H:H,MATCH(Validation!E566,Lists!G:G,0))</f>
        <v>Interest rate cannot have more than three decimals.</v>
      </c>
      <c r="H566" s="25" t="str">
        <f t="shared" ca="1" si="138"/>
        <v/>
      </c>
      <c r="I566" s="25" t="str">
        <f t="shared" ca="1" si="139"/>
        <v/>
      </c>
      <c r="J566" s="26" t="str">
        <f t="shared" ca="1" si="140"/>
        <v/>
      </c>
    </row>
    <row r="567" spans="1:10" x14ac:dyDescent="0.25">
      <c r="A567" t="s">
        <v>309</v>
      </c>
      <c r="B567" t="str">
        <f>ADDRESS(ROW('Bond 1'!$B$15),COLUMN('Bond 1'!$B$15),4)</f>
        <v>B15</v>
      </c>
      <c r="C567" t="str">
        <f>ADDRESS(ROW('Bond 1'!$D$15),COLUMN('Bond 1'!$D$15),4)</f>
        <v>D15</v>
      </c>
      <c r="D567" t="b" cm="1">
        <f t="array" aca="1" ref="D567" ca="1">IF(INDIRECT("'"&amp;A567&amp;"'!"&amp;B567)="",FALSE,IF(TRUNC(INDIRECT("'"&amp;A567&amp;"'!"&amp;B567),3)=INDIRECT("'"&amp;A567&amp;"'!"&amp;B567),FALSE,TRUE))</f>
        <v>0</v>
      </c>
      <c r="E567" t="s">
        <v>616</v>
      </c>
      <c r="F567" t="str">
        <f>INDEX(Lists!I:I,MATCH(Validation!E567,Lists!G:G,0))</f>
        <v>Error</v>
      </c>
      <c r="G567" t="str">
        <f>INDEX(Lists!H:H,MATCH(Validation!E567,Lists!G:G,0))</f>
        <v>Interest rate cannot have more than three decimals.</v>
      </c>
      <c r="H567" s="25" t="str">
        <f t="shared" ca="1" si="138"/>
        <v/>
      </c>
      <c r="I567" s="25" t="str">
        <f t="shared" ca="1" si="139"/>
        <v/>
      </c>
      <c r="J567" s="26" t="str">
        <f t="shared" ca="1" si="140"/>
        <v/>
      </c>
    </row>
    <row r="568" spans="1:10" x14ac:dyDescent="0.25">
      <c r="A568" t="s">
        <v>310</v>
      </c>
      <c r="B568" t="str">
        <f>ADDRESS(ROW('Bond 1'!$B$15),COLUMN('Bond 1'!$B$15),4)</f>
        <v>B15</v>
      </c>
      <c r="C568" t="str">
        <f>ADDRESS(ROW('Bond 1'!$D$15),COLUMN('Bond 1'!$D$15),4)</f>
        <v>D15</v>
      </c>
      <c r="D568" t="b" cm="1">
        <f t="array" aca="1" ref="D568" ca="1">IF(INDIRECT("'"&amp;A568&amp;"'!"&amp;B568)="",FALSE,IF(TRUNC(INDIRECT("'"&amp;A568&amp;"'!"&amp;B568),3)=INDIRECT("'"&amp;A568&amp;"'!"&amp;B568),FALSE,TRUE))</f>
        <v>0</v>
      </c>
      <c r="E568" t="s">
        <v>616</v>
      </c>
      <c r="F568" t="str">
        <f>INDEX(Lists!I:I,MATCH(Validation!E568,Lists!G:G,0))</f>
        <v>Error</v>
      </c>
      <c r="G568" t="str">
        <f>INDEX(Lists!H:H,MATCH(Validation!E568,Lists!G:G,0))</f>
        <v>Interest rate cannot have more than three decimals.</v>
      </c>
      <c r="H568" s="25" t="str">
        <f t="shared" ca="1" si="138"/>
        <v/>
      </c>
      <c r="I568" s="25" t="str">
        <f t="shared" ca="1" si="139"/>
        <v/>
      </c>
      <c r="J568" s="26" t="str">
        <f t="shared" ca="1" si="140"/>
        <v/>
      </c>
    </row>
    <row r="569" spans="1:10" x14ac:dyDescent="0.25">
      <c r="A569" t="s">
        <v>311</v>
      </c>
      <c r="B569" t="str">
        <f>ADDRESS(ROW('Bond 1'!$B$15),COLUMN('Bond 1'!$B$15),4)</f>
        <v>B15</v>
      </c>
      <c r="C569" t="str">
        <f>ADDRESS(ROW('Bond 1'!$D$15),COLUMN('Bond 1'!$D$15),4)</f>
        <v>D15</v>
      </c>
      <c r="D569" t="b" cm="1">
        <f t="array" aca="1" ref="D569" ca="1">IF(INDIRECT("'"&amp;A569&amp;"'!"&amp;B569)="",FALSE,IF(TRUNC(INDIRECT("'"&amp;A569&amp;"'!"&amp;B569),3)=INDIRECT("'"&amp;A569&amp;"'!"&amp;B569),FALSE,TRUE))</f>
        <v>0</v>
      </c>
      <c r="E569" t="s">
        <v>616</v>
      </c>
      <c r="F569" t="str">
        <f>INDEX(Lists!I:I,MATCH(Validation!E569,Lists!G:G,0))</f>
        <v>Error</v>
      </c>
      <c r="G569" t="str">
        <f>INDEX(Lists!H:H,MATCH(Validation!E569,Lists!G:G,0))</f>
        <v>Interest rate cannot have more than three decimals.</v>
      </c>
      <c r="H569" s="25" t="str">
        <f t="shared" ca="1" si="138"/>
        <v/>
      </c>
      <c r="I569" s="25" t="str">
        <f t="shared" ca="1" si="139"/>
        <v/>
      </c>
      <c r="J569" s="26" t="str">
        <f t="shared" ca="1" si="140"/>
        <v/>
      </c>
    </row>
    <row r="570" spans="1:10" x14ac:dyDescent="0.25">
      <c r="A570" t="s">
        <v>312</v>
      </c>
      <c r="B570" t="str">
        <f>ADDRESS(ROW('Bond 1'!$B$15),COLUMN('Bond 1'!$B$15),4)</f>
        <v>B15</v>
      </c>
      <c r="C570" t="str">
        <f>ADDRESS(ROW('Bond 1'!$D$15),COLUMN('Bond 1'!$D$15),4)</f>
        <v>D15</v>
      </c>
      <c r="D570" t="b" cm="1">
        <f t="array" aca="1" ref="D570" ca="1">IF(INDIRECT("'"&amp;A570&amp;"'!"&amp;B570)="",FALSE,IF(TRUNC(INDIRECT("'"&amp;A570&amp;"'!"&amp;B570),3)=INDIRECT("'"&amp;A570&amp;"'!"&amp;B570),FALSE,TRUE))</f>
        <v>0</v>
      </c>
      <c r="E570" t="s">
        <v>616</v>
      </c>
      <c r="F570" t="str">
        <f>INDEX(Lists!I:I,MATCH(Validation!E570,Lists!G:G,0))</f>
        <v>Error</v>
      </c>
      <c r="G570" t="str">
        <f>INDEX(Lists!H:H,MATCH(Validation!E570,Lists!G:G,0))</f>
        <v>Interest rate cannot have more than three decimals.</v>
      </c>
      <c r="H570" s="25" t="str">
        <f t="shared" ca="1" si="138"/>
        <v/>
      </c>
      <c r="I570" s="25" t="str">
        <f t="shared" ca="1" si="139"/>
        <v/>
      </c>
      <c r="J570" s="26" t="str">
        <f t="shared" ca="1" si="140"/>
        <v/>
      </c>
    </row>
    <row r="571" spans="1:10" x14ac:dyDescent="0.25">
      <c r="A571" t="s">
        <v>313</v>
      </c>
      <c r="B571" t="str">
        <f>ADDRESS(ROW('Bond 1'!$B$15),COLUMN('Bond 1'!$B$15),4)</f>
        <v>B15</v>
      </c>
      <c r="C571" t="str">
        <f>ADDRESS(ROW('Bond 1'!$D$15),COLUMN('Bond 1'!$D$15),4)</f>
        <v>D15</v>
      </c>
      <c r="D571" t="b" cm="1">
        <f t="array" aca="1" ref="D571" ca="1">IF(INDIRECT("'"&amp;A571&amp;"'!"&amp;B571)="",FALSE,IF(TRUNC(INDIRECT("'"&amp;A571&amp;"'!"&amp;B571),3)=INDIRECT("'"&amp;A571&amp;"'!"&amp;B571),FALSE,TRUE))</f>
        <v>0</v>
      </c>
      <c r="E571" t="s">
        <v>616</v>
      </c>
      <c r="F571" t="str">
        <f>INDEX(Lists!I:I,MATCH(Validation!E571,Lists!G:G,0))</f>
        <v>Error</v>
      </c>
      <c r="G571" t="str">
        <f>INDEX(Lists!H:H,MATCH(Validation!E571,Lists!G:G,0))</f>
        <v>Interest rate cannot have more than three decimals.</v>
      </c>
      <c r="H571" s="25" t="str">
        <f t="shared" ca="1" si="138"/>
        <v/>
      </c>
      <c r="I571" s="25" t="str">
        <f t="shared" ca="1" si="139"/>
        <v/>
      </c>
      <c r="J571" s="26" t="str">
        <f t="shared" ca="1" si="140"/>
        <v/>
      </c>
    </row>
    <row r="572" spans="1:10" x14ac:dyDescent="0.25">
      <c r="A572" t="s">
        <v>314</v>
      </c>
      <c r="B572" t="str">
        <f>ADDRESS(ROW('Bond 1'!$B$15),COLUMN('Bond 1'!$B$15),4)</f>
        <v>B15</v>
      </c>
      <c r="C572" t="str">
        <f>ADDRESS(ROW('Bond 1'!$D$15),COLUMN('Bond 1'!$D$15),4)</f>
        <v>D15</v>
      </c>
      <c r="D572" t="b" cm="1">
        <f t="array" aca="1" ref="D572" ca="1">IF(INDIRECT("'"&amp;A572&amp;"'!"&amp;B572)="",FALSE,IF(TRUNC(INDIRECT("'"&amp;A572&amp;"'!"&amp;B572),3)=INDIRECT("'"&amp;A572&amp;"'!"&amp;B572),FALSE,TRUE))</f>
        <v>0</v>
      </c>
      <c r="E572" t="s">
        <v>616</v>
      </c>
      <c r="F572" t="str">
        <f>INDEX(Lists!I:I,MATCH(Validation!E572,Lists!G:G,0))</f>
        <v>Error</v>
      </c>
      <c r="G572" t="str">
        <f>INDEX(Lists!H:H,MATCH(Validation!E572,Lists!G:G,0))</f>
        <v>Interest rate cannot have more than three decimals.</v>
      </c>
      <c r="H572" s="25" t="str">
        <f t="shared" ca="1" si="138"/>
        <v/>
      </c>
      <c r="I572" s="25" t="str">
        <f t="shared" ca="1" si="139"/>
        <v/>
      </c>
      <c r="J572" s="26" t="str">
        <f t="shared" ca="1" si="140"/>
        <v/>
      </c>
    </row>
    <row r="573" spans="1:10" x14ac:dyDescent="0.25">
      <c r="A573" t="s">
        <v>315</v>
      </c>
      <c r="B573" t="str">
        <f>ADDRESS(ROW('Bond 1'!$B$15),COLUMN('Bond 1'!$B$15),4)</f>
        <v>B15</v>
      </c>
      <c r="C573" t="str">
        <f>ADDRESS(ROW('Bond 1'!$D$15),COLUMN('Bond 1'!$D$15),4)</f>
        <v>D15</v>
      </c>
      <c r="D573" t="b" cm="1">
        <f t="array" aca="1" ref="D573" ca="1">IF(INDIRECT("'"&amp;A573&amp;"'!"&amp;B573)="",FALSE,IF(TRUNC(INDIRECT("'"&amp;A573&amp;"'!"&amp;B573),3)=INDIRECT("'"&amp;A573&amp;"'!"&amp;B573),FALSE,TRUE))</f>
        <v>0</v>
      </c>
      <c r="E573" t="s">
        <v>616</v>
      </c>
      <c r="F573" t="str">
        <f>INDEX(Lists!I:I,MATCH(Validation!E573,Lists!G:G,0))</f>
        <v>Error</v>
      </c>
      <c r="G573" t="str">
        <f>INDEX(Lists!H:H,MATCH(Validation!E573,Lists!G:G,0))</f>
        <v>Interest rate cannot have more than three decimals.</v>
      </c>
      <c r="H573" s="25" t="str">
        <f t="shared" ca="1" si="138"/>
        <v/>
      </c>
      <c r="I573" s="25" t="str">
        <f t="shared" ca="1" si="139"/>
        <v/>
      </c>
      <c r="J573" s="26" t="str">
        <f t="shared" ca="1" si="140"/>
        <v/>
      </c>
    </row>
    <row r="574" spans="1:10" x14ac:dyDescent="0.25">
      <c r="A574" t="s">
        <v>198</v>
      </c>
      <c r="B574" t="str">
        <f>ADDRESS(ROW('Bond 1'!$B$16),COLUMN('Bond 1'!$B$16),4)</f>
        <v>B16</v>
      </c>
      <c r="C574" t="str">
        <f>ADDRESS(ROW('Bond 1'!$D$16),COLUMN('Bond 1'!$D$16),4)</f>
        <v>D16</v>
      </c>
      <c r="D574" t="b" cm="1">
        <f t="array" aca="1" ref="D574" ca="1">IF(AND('Bond 1'!B$8="Non-TIF Bond",OR(ISBLANK(INDIRECT("'"&amp;A574&amp;"'!"&amp;B574)),INDIRECT("'"&amp;A574&amp;"'!"&amp;B574)&lt;&gt;0)),TRUE,FALSE)</f>
        <v>0</v>
      </c>
      <c r="E574" t="s">
        <v>630</v>
      </c>
      <c r="F574" t="str">
        <f>INDEX(Lists!I:I,MATCH(Validation!E574,Lists!G:G,0))</f>
        <v>Error</v>
      </c>
      <c r="G574" t="str">
        <f>INDEX(Lists!H:H,MATCH(Validation!E574,Lists!G:G,0))</f>
        <v>Enter $0 if debt type is Non-TIF Bond.</v>
      </c>
      <c r="H574" s="25" t="str">
        <f t="shared" ref="H574:H588" ca="1" si="141">IFERROR(IF(OR(NOT(D574),F574&lt;&gt;"Error"),"",A574&amp;CELL("address",INDIRECT(B574))),"")</f>
        <v/>
      </c>
      <c r="I574" s="25" t="str">
        <f t="shared" ref="I574:I588" ca="1" si="142">IFERROR(IF(NOT(D574),"",A574&amp;CELL("address",INDIRECT(C574))),"")</f>
        <v/>
      </c>
      <c r="J574" s="26" t="str">
        <f t="shared" ref="J574:J588" ca="1" si="143">IFERROR(IF(NOT(D574),"",A574),"")</f>
        <v/>
      </c>
    </row>
    <row r="575" spans="1:10" x14ac:dyDescent="0.25">
      <c r="A575" t="s">
        <v>302</v>
      </c>
      <c r="B575" t="str">
        <f>ADDRESS(ROW('Bond 1'!$B$16),COLUMN('Bond 1'!$B$16),4)</f>
        <v>B16</v>
      </c>
      <c r="C575" t="str">
        <f>ADDRESS(ROW('Bond 1'!$D$16),COLUMN('Bond 1'!$D$16),4)</f>
        <v>D16</v>
      </c>
      <c r="D575" t="b" cm="1">
        <f t="array" aca="1" ref="D575" ca="1">IF(AND('Bond 2'!B$8="Non-TIF Bond",OR(ISBLANK(INDIRECT("'"&amp;A575&amp;"'!"&amp;B575)),INDIRECT("'"&amp;A575&amp;"'!"&amp;B575)&lt;&gt;0)),TRUE,FALSE)</f>
        <v>0</v>
      </c>
      <c r="E575" t="s">
        <v>630</v>
      </c>
      <c r="F575" t="str">
        <f>INDEX(Lists!I:I,MATCH(Validation!E575,Lists!G:G,0))</f>
        <v>Error</v>
      </c>
      <c r="G575" t="str">
        <f>INDEX(Lists!H:H,MATCH(Validation!E575,Lists!G:G,0))</f>
        <v>Enter $0 if debt type is Non-TIF Bond.</v>
      </c>
      <c r="H575" s="25" t="str">
        <f t="shared" ca="1" si="141"/>
        <v/>
      </c>
      <c r="I575" s="25" t="str">
        <f t="shared" ca="1" si="142"/>
        <v/>
      </c>
      <c r="J575" s="26" t="str">
        <f t="shared" ca="1" si="143"/>
        <v/>
      </c>
    </row>
    <row r="576" spans="1:10" x14ac:dyDescent="0.25">
      <c r="A576" t="s">
        <v>303</v>
      </c>
      <c r="B576" t="str">
        <f>ADDRESS(ROW('Bond 1'!$B$16),COLUMN('Bond 1'!$B$16),4)</f>
        <v>B16</v>
      </c>
      <c r="C576" t="str">
        <f>ADDRESS(ROW('Bond 1'!$D$16),COLUMN('Bond 1'!$D$16),4)</f>
        <v>D16</v>
      </c>
      <c r="D576" t="b" cm="1">
        <f t="array" aca="1" ref="D576" ca="1">IF(AND('Bond 3'!B$8="Non-TIF Bond",OR(ISBLANK(INDIRECT("'"&amp;A576&amp;"'!"&amp;B576)),INDIRECT("'"&amp;A576&amp;"'!"&amp;B576)&lt;&gt;0)),TRUE,FALSE)</f>
        <v>0</v>
      </c>
      <c r="E576" t="s">
        <v>630</v>
      </c>
      <c r="F576" t="str">
        <f>INDEX(Lists!I:I,MATCH(Validation!E576,Lists!G:G,0))</f>
        <v>Error</v>
      </c>
      <c r="G576" t="str">
        <f>INDEX(Lists!H:H,MATCH(Validation!E576,Lists!G:G,0))</f>
        <v>Enter $0 if debt type is Non-TIF Bond.</v>
      </c>
      <c r="H576" s="25" t="str">
        <f t="shared" ca="1" si="141"/>
        <v/>
      </c>
      <c r="I576" s="25" t="str">
        <f t="shared" ca="1" si="142"/>
        <v/>
      </c>
      <c r="J576" s="26" t="str">
        <f t="shared" ca="1" si="143"/>
        <v/>
      </c>
    </row>
    <row r="577" spans="1:10" x14ac:dyDescent="0.25">
      <c r="A577" t="s">
        <v>304</v>
      </c>
      <c r="B577" t="str">
        <f>ADDRESS(ROW('Bond 1'!$B$16),COLUMN('Bond 1'!$B$16),4)</f>
        <v>B16</v>
      </c>
      <c r="C577" t="str">
        <f>ADDRESS(ROW('Bond 1'!$D$16),COLUMN('Bond 1'!$D$16),4)</f>
        <v>D16</v>
      </c>
      <c r="D577" t="b" cm="1">
        <f t="array" aca="1" ref="D577" ca="1">IF(AND('Bond 4'!B$8="Non-TIF Bond",OR(ISBLANK(INDIRECT("'"&amp;A577&amp;"'!"&amp;B577)),INDIRECT("'"&amp;A577&amp;"'!"&amp;B577)&lt;&gt;0)),TRUE,FALSE)</f>
        <v>0</v>
      </c>
      <c r="E577" t="s">
        <v>630</v>
      </c>
      <c r="F577" t="str">
        <f>INDEX(Lists!I:I,MATCH(Validation!E577,Lists!G:G,0))</f>
        <v>Error</v>
      </c>
      <c r="G577" t="str">
        <f>INDEX(Lists!H:H,MATCH(Validation!E577,Lists!G:G,0))</f>
        <v>Enter $0 if debt type is Non-TIF Bond.</v>
      </c>
      <c r="H577" s="25" t="str">
        <f t="shared" ca="1" si="141"/>
        <v/>
      </c>
      <c r="I577" s="25" t="str">
        <f t="shared" ca="1" si="142"/>
        <v/>
      </c>
      <c r="J577" s="26" t="str">
        <f t="shared" ca="1" si="143"/>
        <v/>
      </c>
    </row>
    <row r="578" spans="1:10" x14ac:dyDescent="0.25">
      <c r="A578" t="s">
        <v>305</v>
      </c>
      <c r="B578" t="str">
        <f>ADDRESS(ROW('Bond 1'!$B$16),COLUMN('Bond 1'!$B$16),4)</f>
        <v>B16</v>
      </c>
      <c r="C578" t="str">
        <f>ADDRESS(ROW('Bond 1'!$D$16),COLUMN('Bond 1'!$D$16),4)</f>
        <v>D16</v>
      </c>
      <c r="D578" t="b" cm="1">
        <f t="array" aca="1" ref="D578" ca="1">IF(AND('Bond 5'!B$8="Non-TIF Bond",OR(ISBLANK(INDIRECT("'"&amp;A578&amp;"'!"&amp;B578)),INDIRECT("'"&amp;A578&amp;"'!"&amp;B578)&lt;&gt;0)),TRUE,FALSE)</f>
        <v>0</v>
      </c>
      <c r="E578" t="s">
        <v>630</v>
      </c>
      <c r="F578" t="str">
        <f>INDEX(Lists!I:I,MATCH(Validation!E578,Lists!G:G,0))</f>
        <v>Error</v>
      </c>
      <c r="G578" t="str">
        <f>INDEX(Lists!H:H,MATCH(Validation!E578,Lists!G:G,0))</f>
        <v>Enter $0 if debt type is Non-TIF Bond.</v>
      </c>
      <c r="H578" s="25" t="str">
        <f t="shared" ca="1" si="141"/>
        <v/>
      </c>
      <c r="I578" s="25" t="str">
        <f t="shared" ca="1" si="142"/>
        <v/>
      </c>
      <c r="J578" s="26" t="str">
        <f t="shared" ca="1" si="143"/>
        <v/>
      </c>
    </row>
    <row r="579" spans="1:10" x14ac:dyDescent="0.25">
      <c r="A579" t="s">
        <v>306</v>
      </c>
      <c r="B579" t="str">
        <f>ADDRESS(ROW('Bond 1'!$B$16),COLUMN('Bond 1'!$B$16),4)</f>
        <v>B16</v>
      </c>
      <c r="C579" t="str">
        <f>ADDRESS(ROW('Bond 1'!$D$16),COLUMN('Bond 1'!$D$16),4)</f>
        <v>D16</v>
      </c>
      <c r="D579" t="b" cm="1">
        <f t="array" aca="1" ref="D579" ca="1">IF(AND('Bond 6'!B$8="Non-TIF Bond",OR(ISBLANK(INDIRECT("'"&amp;A579&amp;"'!"&amp;B579)),INDIRECT("'"&amp;A579&amp;"'!"&amp;B579)&lt;&gt;0)),TRUE,FALSE)</f>
        <v>0</v>
      </c>
      <c r="E579" t="s">
        <v>630</v>
      </c>
      <c r="F579" t="str">
        <f>INDEX(Lists!I:I,MATCH(Validation!E579,Lists!G:G,0))</f>
        <v>Error</v>
      </c>
      <c r="G579" t="str">
        <f>INDEX(Lists!H:H,MATCH(Validation!E579,Lists!G:G,0))</f>
        <v>Enter $0 if debt type is Non-TIF Bond.</v>
      </c>
      <c r="H579" s="25" t="str">
        <f t="shared" ca="1" si="141"/>
        <v/>
      </c>
      <c r="I579" s="25" t="str">
        <f t="shared" ca="1" si="142"/>
        <v/>
      </c>
      <c r="J579" s="26" t="str">
        <f t="shared" ca="1" si="143"/>
        <v/>
      </c>
    </row>
    <row r="580" spans="1:10" x14ac:dyDescent="0.25">
      <c r="A580" t="s">
        <v>307</v>
      </c>
      <c r="B580" t="str">
        <f>ADDRESS(ROW('Bond 1'!$B$16),COLUMN('Bond 1'!$B$16),4)</f>
        <v>B16</v>
      </c>
      <c r="C580" t="str">
        <f>ADDRESS(ROW('Bond 1'!$D$16),COLUMN('Bond 1'!$D$16),4)</f>
        <v>D16</v>
      </c>
      <c r="D580" t="b" cm="1">
        <f t="array" aca="1" ref="D580" ca="1">IF(AND('Bond 7'!B$8="Non-TIF Bond",OR(ISBLANK(INDIRECT("'"&amp;A580&amp;"'!"&amp;B580)),INDIRECT("'"&amp;A580&amp;"'!"&amp;B580)&lt;&gt;0)),TRUE,FALSE)</f>
        <v>0</v>
      </c>
      <c r="E580" t="s">
        <v>630</v>
      </c>
      <c r="F580" t="str">
        <f>INDEX(Lists!I:I,MATCH(Validation!E580,Lists!G:G,0))</f>
        <v>Error</v>
      </c>
      <c r="G580" t="str">
        <f>INDEX(Lists!H:H,MATCH(Validation!E580,Lists!G:G,0))</f>
        <v>Enter $0 if debt type is Non-TIF Bond.</v>
      </c>
      <c r="H580" s="25" t="str">
        <f t="shared" ca="1" si="141"/>
        <v/>
      </c>
      <c r="I580" s="25" t="str">
        <f t="shared" ca="1" si="142"/>
        <v/>
      </c>
      <c r="J580" s="26" t="str">
        <f t="shared" ca="1" si="143"/>
        <v/>
      </c>
    </row>
    <row r="581" spans="1:10" x14ac:dyDescent="0.25">
      <c r="A581" t="s">
        <v>308</v>
      </c>
      <c r="B581" t="str">
        <f>ADDRESS(ROW('Bond 1'!$B$16),COLUMN('Bond 1'!$B$16),4)</f>
        <v>B16</v>
      </c>
      <c r="C581" t="str">
        <f>ADDRESS(ROW('Bond 1'!$D$16),COLUMN('Bond 1'!$D$16),4)</f>
        <v>D16</v>
      </c>
      <c r="D581" t="b" cm="1">
        <f t="array" aca="1" ref="D581" ca="1">IF(AND('Bond 8'!B$8="Non-TIF Bond",OR(ISBLANK(INDIRECT("'"&amp;A581&amp;"'!"&amp;B581)),INDIRECT("'"&amp;A581&amp;"'!"&amp;B581)&lt;&gt;0)),TRUE,FALSE)</f>
        <v>0</v>
      </c>
      <c r="E581" t="s">
        <v>630</v>
      </c>
      <c r="F581" t="str">
        <f>INDEX(Lists!I:I,MATCH(Validation!E581,Lists!G:G,0))</f>
        <v>Error</v>
      </c>
      <c r="G581" t="str">
        <f>INDEX(Lists!H:H,MATCH(Validation!E581,Lists!G:G,0))</f>
        <v>Enter $0 if debt type is Non-TIF Bond.</v>
      </c>
      <c r="H581" s="25" t="str">
        <f t="shared" ca="1" si="141"/>
        <v/>
      </c>
      <c r="I581" s="25" t="str">
        <f t="shared" ca="1" si="142"/>
        <v/>
      </c>
      <c r="J581" s="26" t="str">
        <f t="shared" ca="1" si="143"/>
        <v/>
      </c>
    </row>
    <row r="582" spans="1:10" x14ac:dyDescent="0.25">
      <c r="A582" t="s">
        <v>309</v>
      </c>
      <c r="B582" t="str">
        <f>ADDRESS(ROW('Bond 1'!$B$16),COLUMN('Bond 1'!$B$16),4)</f>
        <v>B16</v>
      </c>
      <c r="C582" t="str">
        <f>ADDRESS(ROW('Bond 1'!$D$16),COLUMN('Bond 1'!$D$16),4)</f>
        <v>D16</v>
      </c>
      <c r="D582" t="b" cm="1">
        <f t="array" aca="1" ref="D582" ca="1">IF(AND('Bond 9'!B$8="Non-TIF Bond",OR(ISBLANK(INDIRECT("'"&amp;A582&amp;"'!"&amp;B582)),INDIRECT("'"&amp;A582&amp;"'!"&amp;B582)&lt;&gt;0)),TRUE,FALSE)</f>
        <v>0</v>
      </c>
      <c r="E582" t="s">
        <v>630</v>
      </c>
      <c r="F582" t="str">
        <f>INDEX(Lists!I:I,MATCH(Validation!E582,Lists!G:G,0))</f>
        <v>Error</v>
      </c>
      <c r="G582" t="str">
        <f>INDEX(Lists!H:H,MATCH(Validation!E582,Lists!G:G,0))</f>
        <v>Enter $0 if debt type is Non-TIF Bond.</v>
      </c>
      <c r="H582" s="25" t="str">
        <f t="shared" ca="1" si="141"/>
        <v/>
      </c>
      <c r="I582" s="25" t="str">
        <f t="shared" ca="1" si="142"/>
        <v/>
      </c>
      <c r="J582" s="26" t="str">
        <f t="shared" ca="1" si="143"/>
        <v/>
      </c>
    </row>
    <row r="583" spans="1:10" x14ac:dyDescent="0.25">
      <c r="A583" t="s">
        <v>310</v>
      </c>
      <c r="B583" t="str">
        <f>ADDRESS(ROW('Bond 1'!$B$16),COLUMN('Bond 1'!$B$16),4)</f>
        <v>B16</v>
      </c>
      <c r="C583" t="str">
        <f>ADDRESS(ROW('Bond 1'!$D$16),COLUMN('Bond 1'!$D$16),4)</f>
        <v>D16</v>
      </c>
      <c r="D583" t="b" cm="1">
        <f t="array" aca="1" ref="D583" ca="1">IF(AND('Bond 10'!B$8="Non-TIF Bond",OR(ISBLANK(INDIRECT("'"&amp;A583&amp;"'!"&amp;B583)),INDIRECT("'"&amp;A583&amp;"'!"&amp;B583)&lt;&gt;0)),TRUE,FALSE)</f>
        <v>0</v>
      </c>
      <c r="E583" t="s">
        <v>630</v>
      </c>
      <c r="F583" t="str">
        <f>INDEX(Lists!I:I,MATCH(Validation!E583,Lists!G:G,0))</f>
        <v>Error</v>
      </c>
      <c r="G583" t="str">
        <f>INDEX(Lists!H:H,MATCH(Validation!E583,Lists!G:G,0))</f>
        <v>Enter $0 if debt type is Non-TIF Bond.</v>
      </c>
      <c r="H583" s="25" t="str">
        <f t="shared" ca="1" si="141"/>
        <v/>
      </c>
      <c r="I583" s="25" t="str">
        <f t="shared" ca="1" si="142"/>
        <v/>
      </c>
      <c r="J583" s="26" t="str">
        <f t="shared" ca="1" si="143"/>
        <v/>
      </c>
    </row>
    <row r="584" spans="1:10" x14ac:dyDescent="0.25">
      <c r="A584" t="s">
        <v>311</v>
      </c>
      <c r="B584" t="str">
        <f>ADDRESS(ROW('Bond 1'!$B$16),COLUMN('Bond 1'!$B$16),4)</f>
        <v>B16</v>
      </c>
      <c r="C584" t="str">
        <f>ADDRESS(ROW('Bond 1'!$D$16),COLUMN('Bond 1'!$D$16),4)</f>
        <v>D16</v>
      </c>
      <c r="D584" t="b" cm="1">
        <f t="array" aca="1" ref="D584" ca="1">IF(AND('Bond 11'!B$8="Non-TIF Bond",OR(ISBLANK(INDIRECT("'"&amp;A584&amp;"'!"&amp;B584)),INDIRECT("'"&amp;A584&amp;"'!"&amp;B584)&lt;&gt;0)),TRUE,FALSE)</f>
        <v>0</v>
      </c>
      <c r="E584" t="s">
        <v>630</v>
      </c>
      <c r="F584" t="str">
        <f>INDEX(Lists!I:I,MATCH(Validation!E584,Lists!G:G,0))</f>
        <v>Error</v>
      </c>
      <c r="G584" t="str">
        <f>INDEX(Lists!H:H,MATCH(Validation!E584,Lists!G:G,0))</f>
        <v>Enter $0 if debt type is Non-TIF Bond.</v>
      </c>
      <c r="H584" s="25" t="str">
        <f t="shared" ca="1" si="141"/>
        <v/>
      </c>
      <c r="I584" s="25" t="str">
        <f t="shared" ca="1" si="142"/>
        <v/>
      </c>
      <c r="J584" s="26" t="str">
        <f t="shared" ca="1" si="143"/>
        <v/>
      </c>
    </row>
    <row r="585" spans="1:10" x14ac:dyDescent="0.25">
      <c r="A585" t="s">
        <v>312</v>
      </c>
      <c r="B585" t="str">
        <f>ADDRESS(ROW('Bond 1'!$B$16),COLUMN('Bond 1'!$B$16),4)</f>
        <v>B16</v>
      </c>
      <c r="C585" t="str">
        <f>ADDRESS(ROW('Bond 1'!$D$16),COLUMN('Bond 1'!$D$16),4)</f>
        <v>D16</v>
      </c>
      <c r="D585" t="b" cm="1">
        <f t="array" aca="1" ref="D585" ca="1">IF(AND('Bond 12'!B$8="Non-TIF Bond",OR(ISBLANK(INDIRECT("'"&amp;A585&amp;"'!"&amp;B585)),INDIRECT("'"&amp;A585&amp;"'!"&amp;B585)&lt;&gt;0)),TRUE,FALSE)</f>
        <v>0</v>
      </c>
      <c r="E585" t="s">
        <v>630</v>
      </c>
      <c r="F585" t="str">
        <f>INDEX(Lists!I:I,MATCH(Validation!E585,Lists!G:G,0))</f>
        <v>Error</v>
      </c>
      <c r="G585" t="str">
        <f>INDEX(Lists!H:H,MATCH(Validation!E585,Lists!G:G,0))</f>
        <v>Enter $0 if debt type is Non-TIF Bond.</v>
      </c>
      <c r="H585" s="25" t="str">
        <f t="shared" ca="1" si="141"/>
        <v/>
      </c>
      <c r="I585" s="25" t="str">
        <f t="shared" ca="1" si="142"/>
        <v/>
      </c>
      <c r="J585" s="26" t="str">
        <f t="shared" ca="1" si="143"/>
        <v/>
      </c>
    </row>
    <row r="586" spans="1:10" x14ac:dyDescent="0.25">
      <c r="A586" t="s">
        <v>313</v>
      </c>
      <c r="B586" t="str">
        <f>ADDRESS(ROW('Bond 1'!$B$16),COLUMN('Bond 1'!$B$16),4)</f>
        <v>B16</v>
      </c>
      <c r="C586" t="str">
        <f>ADDRESS(ROW('Bond 1'!$D$16),COLUMN('Bond 1'!$D$16),4)</f>
        <v>D16</v>
      </c>
      <c r="D586" t="b" cm="1">
        <f t="array" aca="1" ref="D586" ca="1">IF(AND('Bond 13'!B$8="Non-TIF Bond",OR(ISBLANK(INDIRECT("'"&amp;A586&amp;"'!"&amp;B586)),INDIRECT("'"&amp;A586&amp;"'!"&amp;B586)&lt;&gt;0)),TRUE,FALSE)</f>
        <v>0</v>
      </c>
      <c r="E586" t="s">
        <v>630</v>
      </c>
      <c r="F586" t="str">
        <f>INDEX(Lists!I:I,MATCH(Validation!E586,Lists!G:G,0))</f>
        <v>Error</v>
      </c>
      <c r="G586" t="str">
        <f>INDEX(Lists!H:H,MATCH(Validation!E586,Lists!G:G,0))</f>
        <v>Enter $0 if debt type is Non-TIF Bond.</v>
      </c>
      <c r="H586" s="25" t="str">
        <f t="shared" ca="1" si="141"/>
        <v/>
      </c>
      <c r="I586" s="25" t="str">
        <f t="shared" ca="1" si="142"/>
        <v/>
      </c>
      <c r="J586" s="26" t="str">
        <f t="shared" ca="1" si="143"/>
        <v/>
      </c>
    </row>
    <row r="587" spans="1:10" x14ac:dyDescent="0.25">
      <c r="A587" t="s">
        <v>314</v>
      </c>
      <c r="B587" t="str">
        <f>ADDRESS(ROW('Bond 1'!$B$16),COLUMN('Bond 1'!$B$16),4)</f>
        <v>B16</v>
      </c>
      <c r="C587" t="str">
        <f>ADDRESS(ROW('Bond 1'!$D$16),COLUMN('Bond 1'!$D$16),4)</f>
        <v>D16</v>
      </c>
      <c r="D587" t="b" cm="1">
        <f t="array" aca="1" ref="D587" ca="1">IF(AND('Bond 14'!B$8="Non-TIF Bond",OR(ISBLANK(INDIRECT("'"&amp;A587&amp;"'!"&amp;B587)),INDIRECT("'"&amp;A587&amp;"'!"&amp;B587)&lt;&gt;0)),TRUE,FALSE)</f>
        <v>0</v>
      </c>
      <c r="E587" t="s">
        <v>630</v>
      </c>
      <c r="F587" t="str">
        <f>INDEX(Lists!I:I,MATCH(Validation!E587,Lists!G:G,0))</f>
        <v>Error</v>
      </c>
      <c r="G587" t="str">
        <f>INDEX(Lists!H:H,MATCH(Validation!E587,Lists!G:G,0))</f>
        <v>Enter $0 if debt type is Non-TIF Bond.</v>
      </c>
      <c r="H587" s="25" t="str">
        <f t="shared" ca="1" si="141"/>
        <v/>
      </c>
      <c r="I587" s="25" t="str">
        <f t="shared" ca="1" si="142"/>
        <v/>
      </c>
      <c r="J587" s="26" t="str">
        <f t="shared" ca="1" si="143"/>
        <v/>
      </c>
    </row>
    <row r="588" spans="1:10" x14ac:dyDescent="0.25">
      <c r="A588" t="s">
        <v>315</v>
      </c>
      <c r="B588" t="str">
        <f>ADDRESS(ROW('Bond 1'!$B$16),COLUMN('Bond 1'!$B$16),4)</f>
        <v>B16</v>
      </c>
      <c r="C588" t="str">
        <f>ADDRESS(ROW('Bond 1'!$D$16),COLUMN('Bond 1'!$D$16),4)</f>
        <v>D16</v>
      </c>
      <c r="D588" t="b" cm="1">
        <f t="array" aca="1" ref="D588" ca="1">IF(AND('Bond 15'!B$8="Non-TIF Bond",OR(ISBLANK(INDIRECT("'"&amp;A588&amp;"'!"&amp;B588)),INDIRECT("'"&amp;A588&amp;"'!"&amp;B588)&lt;&gt;0)),TRUE,FALSE)</f>
        <v>0</v>
      </c>
      <c r="E588" t="s">
        <v>630</v>
      </c>
      <c r="F588" t="str">
        <f>INDEX(Lists!I:I,MATCH(Validation!E588,Lists!G:G,0))</f>
        <v>Error</v>
      </c>
      <c r="G588" t="str">
        <f>INDEX(Lists!H:H,MATCH(Validation!E588,Lists!G:G,0))</f>
        <v>Enter $0 if debt type is Non-TIF Bond.</v>
      </c>
      <c r="H588" s="25" t="str">
        <f t="shared" ca="1" si="141"/>
        <v/>
      </c>
      <c r="I588" s="25" t="str">
        <f t="shared" ca="1" si="142"/>
        <v/>
      </c>
      <c r="J588" s="26" t="str">
        <f t="shared" ca="1" si="143"/>
        <v/>
      </c>
    </row>
    <row r="589" spans="1:10" x14ac:dyDescent="0.25">
      <c r="A589" t="s">
        <v>198</v>
      </c>
      <c r="B589" t="str">
        <f>ADDRESS(ROW('Bond 1'!$B$16),COLUMN('Bond 1'!$B$16),4)</f>
        <v>B16</v>
      </c>
      <c r="C589" t="str">
        <f>ADDRESS(ROW('Bond 1'!$D$16),COLUMN('Bond 1'!$D$16),4)</f>
        <v>D16</v>
      </c>
      <c r="D589" t="b" cm="1">
        <f t="array" aca="1" ref="D589" ca="1">IF(INDIRECT("'"&amp;A589&amp;"'!"&amp;B589)="",FALSE,IF(NOT(ISNUMBER(INDIRECT("'"&amp;A589&amp;"'!"&amp;B589))),TRUE,FALSE))</f>
        <v>0</v>
      </c>
      <c r="E589" t="s">
        <v>435</v>
      </c>
      <c r="F589" t="str">
        <f>INDEX(Lists!I:I,MATCH(Validation!E589,Lists!G:G,0))</f>
        <v>Error</v>
      </c>
      <c r="G589" t="str">
        <f>INDEX(Lists!H:H,MATCH(Validation!E589,Lists!G:G,0))</f>
        <v>Enter an amount only. Do not enter text or spaces.</v>
      </c>
      <c r="H589" s="25" t="str">
        <f t="shared" ref="H589:H603" ca="1" si="144">IFERROR(IF(OR(NOT(D589),F589&lt;&gt;"Error"),"",A589&amp;CELL("address",INDIRECT(B589))),"")</f>
        <v/>
      </c>
      <c r="I589" s="25" t="str">
        <f t="shared" ref="I589:I603" ca="1" si="145">IFERROR(IF(NOT(D589),"",A589&amp;CELL("address",INDIRECT(C589))),"")</f>
        <v/>
      </c>
      <c r="J589" s="26" t="str">
        <f t="shared" ref="J589:J603" ca="1" si="146">IFERROR(IF(NOT(D589),"",A589),"")</f>
        <v/>
      </c>
    </row>
    <row r="590" spans="1:10" x14ac:dyDescent="0.25">
      <c r="A590" t="s">
        <v>302</v>
      </c>
      <c r="B590" t="str">
        <f>ADDRESS(ROW('Bond 1'!$B$16),COLUMN('Bond 1'!$B$16),4)</f>
        <v>B16</v>
      </c>
      <c r="C590" t="str">
        <f>ADDRESS(ROW('Bond 1'!$D$16),COLUMN('Bond 1'!$D$16),4)</f>
        <v>D16</v>
      </c>
      <c r="D590" t="b" cm="1">
        <f t="array" aca="1" ref="D590" ca="1">IF(INDIRECT("'"&amp;A590&amp;"'!"&amp;B590)="",FALSE,IF(NOT(ISNUMBER(INDIRECT("'"&amp;A590&amp;"'!"&amp;B590))),TRUE,FALSE))</f>
        <v>0</v>
      </c>
      <c r="E590" t="s">
        <v>435</v>
      </c>
      <c r="F590" t="str">
        <f>INDEX(Lists!I:I,MATCH(Validation!E590,Lists!G:G,0))</f>
        <v>Error</v>
      </c>
      <c r="G590" t="str">
        <f>INDEX(Lists!H:H,MATCH(Validation!E590,Lists!G:G,0))</f>
        <v>Enter an amount only. Do not enter text or spaces.</v>
      </c>
      <c r="H590" s="25" t="str">
        <f t="shared" ca="1" si="144"/>
        <v/>
      </c>
      <c r="I590" s="25" t="str">
        <f t="shared" ca="1" si="145"/>
        <v/>
      </c>
      <c r="J590" s="26" t="str">
        <f t="shared" ca="1" si="146"/>
        <v/>
      </c>
    </row>
    <row r="591" spans="1:10" x14ac:dyDescent="0.25">
      <c r="A591" t="s">
        <v>303</v>
      </c>
      <c r="B591" t="str">
        <f>ADDRESS(ROW('Bond 1'!$B$16),COLUMN('Bond 1'!$B$16),4)</f>
        <v>B16</v>
      </c>
      <c r="C591" t="str">
        <f>ADDRESS(ROW('Bond 1'!$D$16),COLUMN('Bond 1'!$D$16),4)</f>
        <v>D16</v>
      </c>
      <c r="D591" t="b" cm="1">
        <f t="array" aca="1" ref="D591" ca="1">IF(INDIRECT("'"&amp;A591&amp;"'!"&amp;B591)="",FALSE,IF(NOT(ISNUMBER(INDIRECT("'"&amp;A591&amp;"'!"&amp;B591))),TRUE,FALSE))</f>
        <v>0</v>
      </c>
      <c r="E591" t="s">
        <v>435</v>
      </c>
      <c r="F591" t="str">
        <f>INDEX(Lists!I:I,MATCH(Validation!E591,Lists!G:G,0))</f>
        <v>Error</v>
      </c>
      <c r="G591" t="str">
        <f>INDEX(Lists!H:H,MATCH(Validation!E591,Lists!G:G,0))</f>
        <v>Enter an amount only. Do not enter text or spaces.</v>
      </c>
      <c r="H591" s="25" t="str">
        <f t="shared" ca="1" si="144"/>
        <v/>
      </c>
      <c r="I591" s="25" t="str">
        <f t="shared" ca="1" si="145"/>
        <v/>
      </c>
      <c r="J591" s="26" t="str">
        <f t="shared" ca="1" si="146"/>
        <v/>
      </c>
    </row>
    <row r="592" spans="1:10" x14ac:dyDescent="0.25">
      <c r="A592" t="s">
        <v>304</v>
      </c>
      <c r="B592" t="str">
        <f>ADDRESS(ROW('Bond 1'!$B$16),COLUMN('Bond 1'!$B$16),4)</f>
        <v>B16</v>
      </c>
      <c r="C592" t="str">
        <f>ADDRESS(ROW('Bond 1'!$D$16),COLUMN('Bond 1'!$D$16),4)</f>
        <v>D16</v>
      </c>
      <c r="D592" t="b" cm="1">
        <f t="array" aca="1" ref="D592" ca="1">IF(INDIRECT("'"&amp;A592&amp;"'!"&amp;B592)="",FALSE,IF(NOT(ISNUMBER(INDIRECT("'"&amp;A592&amp;"'!"&amp;B592))),TRUE,FALSE))</f>
        <v>0</v>
      </c>
      <c r="E592" t="s">
        <v>435</v>
      </c>
      <c r="F592" t="str">
        <f>INDEX(Lists!I:I,MATCH(Validation!E592,Lists!G:G,0))</f>
        <v>Error</v>
      </c>
      <c r="G592" t="str">
        <f>INDEX(Lists!H:H,MATCH(Validation!E592,Lists!G:G,0))</f>
        <v>Enter an amount only. Do not enter text or spaces.</v>
      </c>
      <c r="H592" s="25" t="str">
        <f t="shared" ca="1" si="144"/>
        <v/>
      </c>
      <c r="I592" s="25" t="str">
        <f t="shared" ca="1" si="145"/>
        <v/>
      </c>
      <c r="J592" s="26" t="str">
        <f t="shared" ca="1" si="146"/>
        <v/>
      </c>
    </row>
    <row r="593" spans="1:10" x14ac:dyDescent="0.25">
      <c r="A593" t="s">
        <v>305</v>
      </c>
      <c r="B593" t="str">
        <f>ADDRESS(ROW('Bond 1'!$B$16),COLUMN('Bond 1'!$B$16),4)</f>
        <v>B16</v>
      </c>
      <c r="C593" t="str">
        <f>ADDRESS(ROW('Bond 1'!$D$16),COLUMN('Bond 1'!$D$16),4)</f>
        <v>D16</v>
      </c>
      <c r="D593" t="b" cm="1">
        <f t="array" aca="1" ref="D593" ca="1">IF(INDIRECT("'"&amp;A593&amp;"'!"&amp;B593)="",FALSE,IF(NOT(ISNUMBER(INDIRECT("'"&amp;A593&amp;"'!"&amp;B593))),TRUE,FALSE))</f>
        <v>0</v>
      </c>
      <c r="E593" t="s">
        <v>435</v>
      </c>
      <c r="F593" t="str">
        <f>INDEX(Lists!I:I,MATCH(Validation!E593,Lists!G:G,0))</f>
        <v>Error</v>
      </c>
      <c r="G593" t="str">
        <f>INDEX(Lists!H:H,MATCH(Validation!E593,Lists!G:G,0))</f>
        <v>Enter an amount only. Do not enter text or spaces.</v>
      </c>
      <c r="H593" s="25" t="str">
        <f t="shared" ca="1" si="144"/>
        <v/>
      </c>
      <c r="I593" s="25" t="str">
        <f t="shared" ca="1" si="145"/>
        <v/>
      </c>
      <c r="J593" s="26" t="str">
        <f t="shared" ca="1" si="146"/>
        <v/>
      </c>
    </row>
    <row r="594" spans="1:10" x14ac:dyDescent="0.25">
      <c r="A594" t="s">
        <v>306</v>
      </c>
      <c r="B594" t="str">
        <f>ADDRESS(ROW('Bond 1'!$B$16),COLUMN('Bond 1'!$B$16),4)</f>
        <v>B16</v>
      </c>
      <c r="C594" t="str">
        <f>ADDRESS(ROW('Bond 1'!$D$16),COLUMN('Bond 1'!$D$16),4)</f>
        <v>D16</v>
      </c>
      <c r="D594" t="b" cm="1">
        <f t="array" aca="1" ref="D594" ca="1">IF(INDIRECT("'"&amp;A594&amp;"'!"&amp;B594)="",FALSE,IF(NOT(ISNUMBER(INDIRECT("'"&amp;A594&amp;"'!"&amp;B594))),TRUE,FALSE))</f>
        <v>0</v>
      </c>
      <c r="E594" t="s">
        <v>435</v>
      </c>
      <c r="F594" t="str">
        <f>INDEX(Lists!I:I,MATCH(Validation!E594,Lists!G:G,0))</f>
        <v>Error</v>
      </c>
      <c r="G594" t="str">
        <f>INDEX(Lists!H:H,MATCH(Validation!E594,Lists!G:G,0))</f>
        <v>Enter an amount only. Do not enter text or spaces.</v>
      </c>
      <c r="H594" s="25" t="str">
        <f t="shared" ca="1" si="144"/>
        <v/>
      </c>
      <c r="I594" s="25" t="str">
        <f t="shared" ca="1" si="145"/>
        <v/>
      </c>
      <c r="J594" s="26" t="str">
        <f t="shared" ca="1" si="146"/>
        <v/>
      </c>
    </row>
    <row r="595" spans="1:10" x14ac:dyDescent="0.25">
      <c r="A595" t="s">
        <v>307</v>
      </c>
      <c r="B595" t="str">
        <f>ADDRESS(ROW('Bond 1'!$B$16),COLUMN('Bond 1'!$B$16),4)</f>
        <v>B16</v>
      </c>
      <c r="C595" t="str">
        <f>ADDRESS(ROW('Bond 1'!$D$16),COLUMN('Bond 1'!$D$16),4)</f>
        <v>D16</v>
      </c>
      <c r="D595" t="b" cm="1">
        <f t="array" aca="1" ref="D595" ca="1">IF(INDIRECT("'"&amp;A595&amp;"'!"&amp;B595)="",FALSE,IF(NOT(ISNUMBER(INDIRECT("'"&amp;A595&amp;"'!"&amp;B595))),TRUE,FALSE))</f>
        <v>0</v>
      </c>
      <c r="E595" t="s">
        <v>435</v>
      </c>
      <c r="F595" t="str">
        <f>INDEX(Lists!I:I,MATCH(Validation!E595,Lists!G:G,0))</f>
        <v>Error</v>
      </c>
      <c r="G595" t="str">
        <f>INDEX(Lists!H:H,MATCH(Validation!E595,Lists!G:G,0))</f>
        <v>Enter an amount only. Do not enter text or spaces.</v>
      </c>
      <c r="H595" s="25" t="str">
        <f t="shared" ca="1" si="144"/>
        <v/>
      </c>
      <c r="I595" s="25" t="str">
        <f t="shared" ca="1" si="145"/>
        <v/>
      </c>
      <c r="J595" s="26" t="str">
        <f t="shared" ca="1" si="146"/>
        <v/>
      </c>
    </row>
    <row r="596" spans="1:10" x14ac:dyDescent="0.25">
      <c r="A596" t="s">
        <v>308</v>
      </c>
      <c r="B596" t="str">
        <f>ADDRESS(ROW('Bond 1'!$B$16),COLUMN('Bond 1'!$B$16),4)</f>
        <v>B16</v>
      </c>
      <c r="C596" t="str">
        <f>ADDRESS(ROW('Bond 1'!$D$16),COLUMN('Bond 1'!$D$16),4)</f>
        <v>D16</v>
      </c>
      <c r="D596" t="b" cm="1">
        <f t="array" aca="1" ref="D596" ca="1">IF(INDIRECT("'"&amp;A596&amp;"'!"&amp;B596)="",FALSE,IF(NOT(ISNUMBER(INDIRECT("'"&amp;A596&amp;"'!"&amp;B596))),TRUE,FALSE))</f>
        <v>0</v>
      </c>
      <c r="E596" t="s">
        <v>435</v>
      </c>
      <c r="F596" t="str">
        <f>INDEX(Lists!I:I,MATCH(Validation!E596,Lists!G:G,0))</f>
        <v>Error</v>
      </c>
      <c r="G596" t="str">
        <f>INDEX(Lists!H:H,MATCH(Validation!E596,Lists!G:G,0))</f>
        <v>Enter an amount only. Do not enter text or spaces.</v>
      </c>
      <c r="H596" s="25" t="str">
        <f t="shared" ca="1" si="144"/>
        <v/>
      </c>
      <c r="I596" s="25" t="str">
        <f t="shared" ca="1" si="145"/>
        <v/>
      </c>
      <c r="J596" s="26" t="str">
        <f t="shared" ca="1" si="146"/>
        <v/>
      </c>
    </row>
    <row r="597" spans="1:10" x14ac:dyDescent="0.25">
      <c r="A597" t="s">
        <v>309</v>
      </c>
      <c r="B597" t="str">
        <f>ADDRESS(ROW('Bond 1'!$B$16),COLUMN('Bond 1'!$B$16),4)</f>
        <v>B16</v>
      </c>
      <c r="C597" t="str">
        <f>ADDRESS(ROW('Bond 1'!$D$16),COLUMN('Bond 1'!$D$16),4)</f>
        <v>D16</v>
      </c>
      <c r="D597" t="b" cm="1">
        <f t="array" aca="1" ref="D597" ca="1">IF(INDIRECT("'"&amp;A597&amp;"'!"&amp;B597)="",FALSE,IF(NOT(ISNUMBER(INDIRECT("'"&amp;A597&amp;"'!"&amp;B597))),TRUE,FALSE))</f>
        <v>0</v>
      </c>
      <c r="E597" t="s">
        <v>435</v>
      </c>
      <c r="F597" t="str">
        <f>INDEX(Lists!I:I,MATCH(Validation!E597,Lists!G:G,0))</f>
        <v>Error</v>
      </c>
      <c r="G597" t="str">
        <f>INDEX(Lists!H:H,MATCH(Validation!E597,Lists!G:G,0))</f>
        <v>Enter an amount only. Do not enter text or spaces.</v>
      </c>
      <c r="H597" s="25" t="str">
        <f t="shared" ca="1" si="144"/>
        <v/>
      </c>
      <c r="I597" s="25" t="str">
        <f t="shared" ca="1" si="145"/>
        <v/>
      </c>
      <c r="J597" s="26" t="str">
        <f t="shared" ca="1" si="146"/>
        <v/>
      </c>
    </row>
    <row r="598" spans="1:10" x14ac:dyDescent="0.25">
      <c r="A598" t="s">
        <v>310</v>
      </c>
      <c r="B598" t="str">
        <f>ADDRESS(ROW('Bond 1'!$B$16),COLUMN('Bond 1'!$B$16),4)</f>
        <v>B16</v>
      </c>
      <c r="C598" t="str">
        <f>ADDRESS(ROW('Bond 1'!$D$16),COLUMN('Bond 1'!$D$16),4)</f>
        <v>D16</v>
      </c>
      <c r="D598" t="b" cm="1">
        <f t="array" aca="1" ref="D598" ca="1">IF(INDIRECT("'"&amp;A598&amp;"'!"&amp;B598)="",FALSE,IF(NOT(ISNUMBER(INDIRECT("'"&amp;A598&amp;"'!"&amp;B598))),TRUE,FALSE))</f>
        <v>0</v>
      </c>
      <c r="E598" t="s">
        <v>435</v>
      </c>
      <c r="F598" t="str">
        <f>INDEX(Lists!I:I,MATCH(Validation!E598,Lists!G:G,0))</f>
        <v>Error</v>
      </c>
      <c r="G598" t="str">
        <f>INDEX(Lists!H:H,MATCH(Validation!E598,Lists!G:G,0))</f>
        <v>Enter an amount only. Do not enter text or spaces.</v>
      </c>
      <c r="H598" s="25" t="str">
        <f t="shared" ca="1" si="144"/>
        <v/>
      </c>
      <c r="I598" s="25" t="str">
        <f t="shared" ca="1" si="145"/>
        <v/>
      </c>
      <c r="J598" s="26" t="str">
        <f t="shared" ca="1" si="146"/>
        <v/>
      </c>
    </row>
    <row r="599" spans="1:10" x14ac:dyDescent="0.25">
      <c r="A599" t="s">
        <v>311</v>
      </c>
      <c r="B599" t="str">
        <f>ADDRESS(ROW('Bond 1'!$B$16),COLUMN('Bond 1'!$B$16),4)</f>
        <v>B16</v>
      </c>
      <c r="C599" t="str">
        <f>ADDRESS(ROW('Bond 1'!$D$16),COLUMN('Bond 1'!$D$16),4)</f>
        <v>D16</v>
      </c>
      <c r="D599" t="b" cm="1">
        <f t="array" aca="1" ref="D599" ca="1">IF(INDIRECT("'"&amp;A599&amp;"'!"&amp;B599)="",FALSE,IF(NOT(ISNUMBER(INDIRECT("'"&amp;A599&amp;"'!"&amp;B599))),TRUE,FALSE))</f>
        <v>0</v>
      </c>
      <c r="E599" t="s">
        <v>435</v>
      </c>
      <c r="F599" t="str">
        <f>INDEX(Lists!I:I,MATCH(Validation!E599,Lists!G:G,0))</f>
        <v>Error</v>
      </c>
      <c r="G599" t="str">
        <f>INDEX(Lists!H:H,MATCH(Validation!E599,Lists!G:G,0))</f>
        <v>Enter an amount only. Do not enter text or spaces.</v>
      </c>
      <c r="H599" s="25" t="str">
        <f t="shared" ca="1" si="144"/>
        <v/>
      </c>
      <c r="I599" s="25" t="str">
        <f t="shared" ca="1" si="145"/>
        <v/>
      </c>
      <c r="J599" s="26" t="str">
        <f t="shared" ca="1" si="146"/>
        <v/>
      </c>
    </row>
    <row r="600" spans="1:10" x14ac:dyDescent="0.25">
      <c r="A600" t="s">
        <v>312</v>
      </c>
      <c r="B600" t="str">
        <f>ADDRESS(ROW('Bond 1'!$B$16),COLUMN('Bond 1'!$B$16),4)</f>
        <v>B16</v>
      </c>
      <c r="C600" t="str">
        <f>ADDRESS(ROW('Bond 1'!$D$16),COLUMN('Bond 1'!$D$16),4)</f>
        <v>D16</v>
      </c>
      <c r="D600" t="b" cm="1">
        <f t="array" aca="1" ref="D600" ca="1">IF(INDIRECT("'"&amp;A600&amp;"'!"&amp;B600)="",FALSE,IF(NOT(ISNUMBER(INDIRECT("'"&amp;A600&amp;"'!"&amp;B600))),TRUE,FALSE))</f>
        <v>0</v>
      </c>
      <c r="E600" t="s">
        <v>435</v>
      </c>
      <c r="F600" t="str">
        <f>INDEX(Lists!I:I,MATCH(Validation!E600,Lists!G:G,0))</f>
        <v>Error</v>
      </c>
      <c r="G600" t="str">
        <f>INDEX(Lists!H:H,MATCH(Validation!E600,Lists!G:G,0))</f>
        <v>Enter an amount only. Do not enter text or spaces.</v>
      </c>
      <c r="H600" s="25" t="str">
        <f t="shared" ca="1" si="144"/>
        <v/>
      </c>
      <c r="I600" s="25" t="str">
        <f t="shared" ca="1" si="145"/>
        <v/>
      </c>
      <c r="J600" s="26" t="str">
        <f t="shared" ca="1" si="146"/>
        <v/>
      </c>
    </row>
    <row r="601" spans="1:10" x14ac:dyDescent="0.25">
      <c r="A601" t="s">
        <v>313</v>
      </c>
      <c r="B601" t="str">
        <f>ADDRESS(ROW('Bond 1'!$B$16),COLUMN('Bond 1'!$B$16),4)</f>
        <v>B16</v>
      </c>
      <c r="C601" t="str">
        <f>ADDRESS(ROW('Bond 1'!$D$16),COLUMN('Bond 1'!$D$16),4)</f>
        <v>D16</v>
      </c>
      <c r="D601" t="b" cm="1">
        <f t="array" aca="1" ref="D601" ca="1">IF(INDIRECT("'"&amp;A601&amp;"'!"&amp;B601)="",FALSE,IF(NOT(ISNUMBER(INDIRECT("'"&amp;A601&amp;"'!"&amp;B601))),TRUE,FALSE))</f>
        <v>0</v>
      </c>
      <c r="E601" t="s">
        <v>435</v>
      </c>
      <c r="F601" t="str">
        <f>INDEX(Lists!I:I,MATCH(Validation!E601,Lists!G:G,0))</f>
        <v>Error</v>
      </c>
      <c r="G601" t="str">
        <f>INDEX(Lists!H:H,MATCH(Validation!E601,Lists!G:G,0))</f>
        <v>Enter an amount only. Do not enter text or spaces.</v>
      </c>
      <c r="H601" s="25" t="str">
        <f t="shared" ca="1" si="144"/>
        <v/>
      </c>
      <c r="I601" s="25" t="str">
        <f t="shared" ca="1" si="145"/>
        <v/>
      </c>
      <c r="J601" s="26" t="str">
        <f t="shared" ca="1" si="146"/>
        <v/>
      </c>
    </row>
    <row r="602" spans="1:10" x14ac:dyDescent="0.25">
      <c r="A602" t="s">
        <v>314</v>
      </c>
      <c r="B602" t="str">
        <f>ADDRESS(ROW('Bond 1'!$B$16),COLUMN('Bond 1'!$B$16),4)</f>
        <v>B16</v>
      </c>
      <c r="C602" t="str">
        <f>ADDRESS(ROW('Bond 1'!$D$16),COLUMN('Bond 1'!$D$16),4)</f>
        <v>D16</v>
      </c>
      <c r="D602" t="b" cm="1">
        <f t="array" aca="1" ref="D602" ca="1">IF(INDIRECT("'"&amp;A602&amp;"'!"&amp;B602)="",FALSE,IF(NOT(ISNUMBER(INDIRECT("'"&amp;A602&amp;"'!"&amp;B602))),TRUE,FALSE))</f>
        <v>0</v>
      </c>
      <c r="E602" t="s">
        <v>435</v>
      </c>
      <c r="F602" t="str">
        <f>INDEX(Lists!I:I,MATCH(Validation!E602,Lists!G:G,0))</f>
        <v>Error</v>
      </c>
      <c r="G602" t="str">
        <f>INDEX(Lists!H:H,MATCH(Validation!E602,Lists!G:G,0))</f>
        <v>Enter an amount only. Do not enter text or spaces.</v>
      </c>
      <c r="H602" s="25" t="str">
        <f t="shared" ca="1" si="144"/>
        <v/>
      </c>
      <c r="I602" s="25" t="str">
        <f t="shared" ca="1" si="145"/>
        <v/>
      </c>
      <c r="J602" s="26" t="str">
        <f t="shared" ca="1" si="146"/>
        <v/>
      </c>
    </row>
    <row r="603" spans="1:10" x14ac:dyDescent="0.25">
      <c r="A603" t="s">
        <v>315</v>
      </c>
      <c r="B603" t="str">
        <f>ADDRESS(ROW('Bond 1'!$B$16),COLUMN('Bond 1'!$B$16),4)</f>
        <v>B16</v>
      </c>
      <c r="C603" t="str">
        <f>ADDRESS(ROW('Bond 1'!$D$16),COLUMN('Bond 1'!$D$16),4)</f>
        <v>D16</v>
      </c>
      <c r="D603" t="b" cm="1">
        <f t="array" aca="1" ref="D603" ca="1">IF(INDIRECT("'"&amp;A603&amp;"'!"&amp;B603)="",FALSE,IF(NOT(ISNUMBER(INDIRECT("'"&amp;A603&amp;"'!"&amp;B603))),TRUE,FALSE))</f>
        <v>0</v>
      </c>
      <c r="E603" t="s">
        <v>435</v>
      </c>
      <c r="F603" t="str">
        <f>INDEX(Lists!I:I,MATCH(Validation!E603,Lists!G:G,0))</f>
        <v>Error</v>
      </c>
      <c r="G603" t="str">
        <f>INDEX(Lists!H:H,MATCH(Validation!E603,Lists!G:G,0))</f>
        <v>Enter an amount only. Do not enter text or spaces.</v>
      </c>
      <c r="H603" s="25" t="str">
        <f t="shared" ca="1" si="144"/>
        <v/>
      </c>
      <c r="I603" s="25" t="str">
        <f t="shared" ca="1" si="145"/>
        <v/>
      </c>
      <c r="J603" s="26" t="str">
        <f t="shared" ca="1" si="146"/>
        <v/>
      </c>
    </row>
    <row r="604" spans="1:10" x14ac:dyDescent="0.25">
      <c r="A604" t="s">
        <v>198</v>
      </c>
      <c r="B604" t="str">
        <f>ADDRESS(ROW('Bond 1'!$B$16),COLUMN('Bond 1'!$B$16),4)</f>
        <v>B16</v>
      </c>
      <c r="C604" t="str">
        <f>ADDRESS(ROW('Bond 1'!$D$16),COLUMN('Bond 1'!$D$16),4)</f>
        <v>D16</v>
      </c>
      <c r="D604" t="b" cm="1">
        <f t="array" aca="1" ref="D604" ca="1">IF(INDIRECT("'"&amp;A604&amp;"'!"&amp;B604)="",FALSE,IF(INDIRECT("'"&amp;A604&amp;"'!"&amp;B604)&lt;=0,TRUE,FALSE))</f>
        <v>0</v>
      </c>
      <c r="E604" t="s">
        <v>711</v>
      </c>
      <c r="F604" t="str">
        <f>INDEX(Lists!I:I,MATCH(Validation!E604,Lists!G:G,0))</f>
        <v>Error</v>
      </c>
      <c r="G604" t="str">
        <f>INDEX(Lists!H:H,MATCH(Validation!E604,Lists!G:G,0))</f>
        <v>Amount must be greater than zero.</v>
      </c>
      <c r="H604" s="25" t="str">
        <f t="shared" ref="H604:H648" ca="1" si="147">IFERROR(IF(OR(NOT(D604),F604&lt;&gt;"Error"),"",A604&amp;CELL("address",INDIRECT(B604))),"")</f>
        <v/>
      </c>
      <c r="I604" s="25" t="str">
        <f t="shared" ref="I604:I648" ca="1" si="148">IFERROR(IF(NOT(D604),"",A604&amp;CELL("address",INDIRECT(C604))),"")</f>
        <v/>
      </c>
      <c r="J604" s="26" t="str">
        <f t="shared" ref="J604:J648" ca="1" si="149">IFERROR(IF(NOT(D604),"",A604),"")</f>
        <v/>
      </c>
    </row>
    <row r="605" spans="1:10" x14ac:dyDescent="0.25">
      <c r="A605" t="s">
        <v>302</v>
      </c>
      <c r="B605" t="str">
        <f>ADDRESS(ROW('Bond 1'!$B$16),COLUMN('Bond 1'!$B$16),4)</f>
        <v>B16</v>
      </c>
      <c r="C605" t="str">
        <f>ADDRESS(ROW('Bond 1'!$D$16),COLUMN('Bond 1'!$D$16),4)</f>
        <v>D16</v>
      </c>
      <c r="D605" t="b" cm="1">
        <f t="array" aca="1" ref="D605" ca="1">IF(INDIRECT("'"&amp;A605&amp;"'!"&amp;B605)="",FALSE,IF(INDIRECT("'"&amp;A605&amp;"'!"&amp;B605)&lt;=0,TRUE,FALSE))</f>
        <v>0</v>
      </c>
      <c r="E605" t="s">
        <v>711</v>
      </c>
      <c r="F605" t="str">
        <f>INDEX(Lists!I:I,MATCH(Validation!E605,Lists!G:G,0))</f>
        <v>Error</v>
      </c>
      <c r="G605" t="str">
        <f>INDEX(Lists!H:H,MATCH(Validation!E605,Lists!G:G,0))</f>
        <v>Amount must be greater than zero.</v>
      </c>
      <c r="H605" s="25" t="str">
        <f t="shared" ca="1" si="147"/>
        <v/>
      </c>
      <c r="I605" s="25" t="str">
        <f t="shared" ca="1" si="148"/>
        <v/>
      </c>
      <c r="J605" s="26" t="str">
        <f t="shared" ca="1" si="149"/>
        <v/>
      </c>
    </row>
    <row r="606" spans="1:10" x14ac:dyDescent="0.25">
      <c r="A606" t="s">
        <v>303</v>
      </c>
      <c r="B606" t="str">
        <f>ADDRESS(ROW('Bond 1'!$B$16),COLUMN('Bond 1'!$B$16),4)</f>
        <v>B16</v>
      </c>
      <c r="C606" t="str">
        <f>ADDRESS(ROW('Bond 1'!$D$16),COLUMN('Bond 1'!$D$16),4)</f>
        <v>D16</v>
      </c>
      <c r="D606" t="b" cm="1">
        <f t="array" aca="1" ref="D606" ca="1">IF(INDIRECT("'"&amp;A606&amp;"'!"&amp;B606)="",FALSE,IF(INDIRECT("'"&amp;A606&amp;"'!"&amp;B606)&lt;=0,TRUE,FALSE))</f>
        <v>0</v>
      </c>
      <c r="E606" t="s">
        <v>711</v>
      </c>
      <c r="F606" t="str">
        <f>INDEX(Lists!I:I,MATCH(Validation!E606,Lists!G:G,0))</f>
        <v>Error</v>
      </c>
      <c r="G606" t="str">
        <f>INDEX(Lists!H:H,MATCH(Validation!E606,Lists!G:G,0))</f>
        <v>Amount must be greater than zero.</v>
      </c>
      <c r="H606" s="25" t="str">
        <f t="shared" ca="1" si="147"/>
        <v/>
      </c>
      <c r="I606" s="25" t="str">
        <f t="shared" ca="1" si="148"/>
        <v/>
      </c>
      <c r="J606" s="26" t="str">
        <f t="shared" ca="1" si="149"/>
        <v/>
      </c>
    </row>
    <row r="607" spans="1:10" x14ac:dyDescent="0.25">
      <c r="A607" t="s">
        <v>304</v>
      </c>
      <c r="B607" t="str">
        <f>ADDRESS(ROW('Bond 1'!$B$16),COLUMN('Bond 1'!$B$16),4)</f>
        <v>B16</v>
      </c>
      <c r="C607" t="str">
        <f>ADDRESS(ROW('Bond 1'!$D$16),COLUMN('Bond 1'!$D$16),4)</f>
        <v>D16</v>
      </c>
      <c r="D607" t="b" cm="1">
        <f t="array" aca="1" ref="D607" ca="1">IF(INDIRECT("'"&amp;A607&amp;"'!"&amp;B607)="",FALSE,IF(INDIRECT("'"&amp;A607&amp;"'!"&amp;B607)&lt;=0,TRUE,FALSE))</f>
        <v>0</v>
      </c>
      <c r="E607" t="s">
        <v>711</v>
      </c>
      <c r="F607" t="str">
        <f>INDEX(Lists!I:I,MATCH(Validation!E607,Lists!G:G,0))</f>
        <v>Error</v>
      </c>
      <c r="G607" t="str">
        <f>INDEX(Lists!H:H,MATCH(Validation!E607,Lists!G:G,0))</f>
        <v>Amount must be greater than zero.</v>
      </c>
      <c r="H607" s="25" t="str">
        <f t="shared" ca="1" si="147"/>
        <v/>
      </c>
      <c r="I607" s="25" t="str">
        <f t="shared" ca="1" si="148"/>
        <v/>
      </c>
      <c r="J607" s="26" t="str">
        <f t="shared" ca="1" si="149"/>
        <v/>
      </c>
    </row>
    <row r="608" spans="1:10" x14ac:dyDescent="0.25">
      <c r="A608" t="s">
        <v>305</v>
      </c>
      <c r="B608" t="str">
        <f>ADDRESS(ROW('Bond 1'!$B$16),COLUMN('Bond 1'!$B$16),4)</f>
        <v>B16</v>
      </c>
      <c r="C608" t="str">
        <f>ADDRESS(ROW('Bond 1'!$D$16),COLUMN('Bond 1'!$D$16),4)</f>
        <v>D16</v>
      </c>
      <c r="D608" t="b" cm="1">
        <f t="array" aca="1" ref="D608" ca="1">IF(INDIRECT("'"&amp;A608&amp;"'!"&amp;B608)="",FALSE,IF(INDIRECT("'"&amp;A608&amp;"'!"&amp;B608)&lt;=0,TRUE,FALSE))</f>
        <v>0</v>
      </c>
      <c r="E608" t="s">
        <v>711</v>
      </c>
      <c r="F608" t="str">
        <f>INDEX(Lists!I:I,MATCH(Validation!E608,Lists!G:G,0))</f>
        <v>Error</v>
      </c>
      <c r="G608" t="str">
        <f>INDEX(Lists!H:H,MATCH(Validation!E608,Lists!G:G,0))</f>
        <v>Amount must be greater than zero.</v>
      </c>
      <c r="H608" s="25" t="str">
        <f t="shared" ca="1" si="147"/>
        <v/>
      </c>
      <c r="I608" s="25" t="str">
        <f t="shared" ca="1" si="148"/>
        <v/>
      </c>
      <c r="J608" s="26" t="str">
        <f t="shared" ca="1" si="149"/>
        <v/>
      </c>
    </row>
    <row r="609" spans="1:10" x14ac:dyDescent="0.25">
      <c r="A609" t="s">
        <v>306</v>
      </c>
      <c r="B609" t="str">
        <f>ADDRESS(ROW('Bond 1'!$B$16),COLUMN('Bond 1'!$B$16),4)</f>
        <v>B16</v>
      </c>
      <c r="C609" t="str">
        <f>ADDRESS(ROW('Bond 1'!$D$16),COLUMN('Bond 1'!$D$16),4)</f>
        <v>D16</v>
      </c>
      <c r="D609" t="b" cm="1">
        <f t="array" aca="1" ref="D609" ca="1">IF(INDIRECT("'"&amp;A609&amp;"'!"&amp;B609)="",FALSE,IF(INDIRECT("'"&amp;A609&amp;"'!"&amp;B609)&lt;=0,TRUE,FALSE))</f>
        <v>0</v>
      </c>
      <c r="E609" t="s">
        <v>711</v>
      </c>
      <c r="F609" t="str">
        <f>INDEX(Lists!I:I,MATCH(Validation!E609,Lists!G:G,0))</f>
        <v>Error</v>
      </c>
      <c r="G609" t="str">
        <f>INDEX(Lists!H:H,MATCH(Validation!E609,Lists!G:G,0))</f>
        <v>Amount must be greater than zero.</v>
      </c>
      <c r="H609" s="25" t="str">
        <f t="shared" ca="1" si="147"/>
        <v/>
      </c>
      <c r="I609" s="25" t="str">
        <f t="shared" ca="1" si="148"/>
        <v/>
      </c>
      <c r="J609" s="26" t="str">
        <f t="shared" ca="1" si="149"/>
        <v/>
      </c>
    </row>
    <row r="610" spans="1:10" x14ac:dyDescent="0.25">
      <c r="A610" t="s">
        <v>307</v>
      </c>
      <c r="B610" t="str">
        <f>ADDRESS(ROW('Bond 1'!$B$16),COLUMN('Bond 1'!$B$16),4)</f>
        <v>B16</v>
      </c>
      <c r="C610" t="str">
        <f>ADDRESS(ROW('Bond 1'!$D$16),COLUMN('Bond 1'!$D$16),4)</f>
        <v>D16</v>
      </c>
      <c r="D610" t="b" cm="1">
        <f t="array" aca="1" ref="D610" ca="1">IF(INDIRECT("'"&amp;A610&amp;"'!"&amp;B610)="",FALSE,IF(INDIRECT("'"&amp;A610&amp;"'!"&amp;B610)&lt;=0,TRUE,FALSE))</f>
        <v>0</v>
      </c>
      <c r="E610" t="s">
        <v>711</v>
      </c>
      <c r="F610" t="str">
        <f>INDEX(Lists!I:I,MATCH(Validation!E610,Lists!G:G,0))</f>
        <v>Error</v>
      </c>
      <c r="G610" t="str">
        <f>INDEX(Lists!H:H,MATCH(Validation!E610,Lists!G:G,0))</f>
        <v>Amount must be greater than zero.</v>
      </c>
      <c r="H610" s="25" t="str">
        <f t="shared" ca="1" si="147"/>
        <v/>
      </c>
      <c r="I610" s="25" t="str">
        <f t="shared" ca="1" si="148"/>
        <v/>
      </c>
      <c r="J610" s="26" t="str">
        <f t="shared" ca="1" si="149"/>
        <v/>
      </c>
    </row>
    <row r="611" spans="1:10" x14ac:dyDescent="0.25">
      <c r="A611" t="s">
        <v>308</v>
      </c>
      <c r="B611" t="str">
        <f>ADDRESS(ROW('Bond 1'!$B$16),COLUMN('Bond 1'!$B$16),4)</f>
        <v>B16</v>
      </c>
      <c r="C611" t="str">
        <f>ADDRESS(ROW('Bond 1'!$D$16),COLUMN('Bond 1'!$D$16),4)</f>
        <v>D16</v>
      </c>
      <c r="D611" t="b" cm="1">
        <f t="array" aca="1" ref="D611" ca="1">IF(INDIRECT("'"&amp;A611&amp;"'!"&amp;B611)="",FALSE,IF(INDIRECT("'"&amp;A611&amp;"'!"&amp;B611)&lt;=0,TRUE,FALSE))</f>
        <v>0</v>
      </c>
      <c r="E611" t="s">
        <v>711</v>
      </c>
      <c r="F611" t="str">
        <f>INDEX(Lists!I:I,MATCH(Validation!E611,Lists!G:G,0))</f>
        <v>Error</v>
      </c>
      <c r="G611" t="str">
        <f>INDEX(Lists!H:H,MATCH(Validation!E611,Lists!G:G,0))</f>
        <v>Amount must be greater than zero.</v>
      </c>
      <c r="H611" s="25" t="str">
        <f t="shared" ca="1" si="147"/>
        <v/>
      </c>
      <c r="I611" s="25" t="str">
        <f t="shared" ca="1" si="148"/>
        <v/>
      </c>
      <c r="J611" s="26" t="str">
        <f t="shared" ca="1" si="149"/>
        <v/>
      </c>
    </row>
    <row r="612" spans="1:10" x14ac:dyDescent="0.25">
      <c r="A612" t="s">
        <v>309</v>
      </c>
      <c r="B612" t="str">
        <f>ADDRESS(ROW('Bond 1'!$B$16),COLUMN('Bond 1'!$B$16),4)</f>
        <v>B16</v>
      </c>
      <c r="C612" t="str">
        <f>ADDRESS(ROW('Bond 1'!$D$16),COLUMN('Bond 1'!$D$16),4)</f>
        <v>D16</v>
      </c>
      <c r="D612" t="b" cm="1">
        <f t="array" aca="1" ref="D612" ca="1">IF(INDIRECT("'"&amp;A612&amp;"'!"&amp;B612)="",FALSE,IF(INDIRECT("'"&amp;A612&amp;"'!"&amp;B612)&lt;=0,TRUE,FALSE))</f>
        <v>0</v>
      </c>
      <c r="E612" t="s">
        <v>711</v>
      </c>
      <c r="F612" t="str">
        <f>INDEX(Lists!I:I,MATCH(Validation!E612,Lists!G:G,0))</f>
        <v>Error</v>
      </c>
      <c r="G612" t="str">
        <f>INDEX(Lists!H:H,MATCH(Validation!E612,Lists!G:G,0))</f>
        <v>Amount must be greater than zero.</v>
      </c>
      <c r="H612" s="25" t="str">
        <f t="shared" ca="1" si="147"/>
        <v/>
      </c>
      <c r="I612" s="25" t="str">
        <f t="shared" ca="1" si="148"/>
        <v/>
      </c>
      <c r="J612" s="26" t="str">
        <f t="shared" ca="1" si="149"/>
        <v/>
      </c>
    </row>
    <row r="613" spans="1:10" x14ac:dyDescent="0.25">
      <c r="A613" t="s">
        <v>310</v>
      </c>
      <c r="B613" t="str">
        <f>ADDRESS(ROW('Bond 1'!$B$16),COLUMN('Bond 1'!$B$16),4)</f>
        <v>B16</v>
      </c>
      <c r="C613" t="str">
        <f>ADDRESS(ROW('Bond 1'!$D$16),COLUMN('Bond 1'!$D$16),4)</f>
        <v>D16</v>
      </c>
      <c r="D613" t="b" cm="1">
        <f t="array" aca="1" ref="D613" ca="1">IF(INDIRECT("'"&amp;A613&amp;"'!"&amp;B613)="",FALSE,IF(INDIRECT("'"&amp;A613&amp;"'!"&amp;B613)&lt;=0,TRUE,FALSE))</f>
        <v>0</v>
      </c>
      <c r="E613" t="s">
        <v>711</v>
      </c>
      <c r="F613" t="str">
        <f>INDEX(Lists!I:I,MATCH(Validation!E613,Lists!G:G,0))</f>
        <v>Error</v>
      </c>
      <c r="G613" t="str">
        <f>INDEX(Lists!H:H,MATCH(Validation!E613,Lists!G:G,0))</f>
        <v>Amount must be greater than zero.</v>
      </c>
      <c r="H613" s="25" t="str">
        <f t="shared" ca="1" si="147"/>
        <v/>
      </c>
      <c r="I613" s="25" t="str">
        <f t="shared" ca="1" si="148"/>
        <v/>
      </c>
      <c r="J613" s="26" t="str">
        <f t="shared" ca="1" si="149"/>
        <v/>
      </c>
    </row>
    <row r="614" spans="1:10" x14ac:dyDescent="0.25">
      <c r="A614" t="s">
        <v>311</v>
      </c>
      <c r="B614" t="str">
        <f>ADDRESS(ROW('Bond 1'!$B$16),COLUMN('Bond 1'!$B$16),4)</f>
        <v>B16</v>
      </c>
      <c r="C614" t="str">
        <f>ADDRESS(ROW('Bond 1'!$D$16),COLUMN('Bond 1'!$D$16),4)</f>
        <v>D16</v>
      </c>
      <c r="D614" t="b" cm="1">
        <f t="array" aca="1" ref="D614" ca="1">IF(INDIRECT("'"&amp;A614&amp;"'!"&amp;B614)="",FALSE,IF(INDIRECT("'"&amp;A614&amp;"'!"&amp;B614)&lt;=0,TRUE,FALSE))</f>
        <v>0</v>
      </c>
      <c r="E614" t="s">
        <v>711</v>
      </c>
      <c r="F614" t="str">
        <f>INDEX(Lists!I:I,MATCH(Validation!E614,Lists!G:G,0))</f>
        <v>Error</v>
      </c>
      <c r="G614" t="str">
        <f>INDEX(Lists!H:H,MATCH(Validation!E614,Lists!G:G,0))</f>
        <v>Amount must be greater than zero.</v>
      </c>
      <c r="H614" s="25" t="str">
        <f t="shared" ca="1" si="147"/>
        <v/>
      </c>
      <c r="I614" s="25" t="str">
        <f t="shared" ca="1" si="148"/>
        <v/>
      </c>
      <c r="J614" s="26" t="str">
        <f t="shared" ca="1" si="149"/>
        <v/>
      </c>
    </row>
    <row r="615" spans="1:10" x14ac:dyDescent="0.25">
      <c r="A615" t="s">
        <v>312</v>
      </c>
      <c r="B615" t="str">
        <f>ADDRESS(ROW('Bond 1'!$B$16),COLUMN('Bond 1'!$B$16),4)</f>
        <v>B16</v>
      </c>
      <c r="C615" t="str">
        <f>ADDRESS(ROW('Bond 1'!$D$16),COLUMN('Bond 1'!$D$16),4)</f>
        <v>D16</v>
      </c>
      <c r="D615" t="b" cm="1">
        <f t="array" aca="1" ref="D615" ca="1">IF(INDIRECT("'"&amp;A615&amp;"'!"&amp;B615)="",FALSE,IF(INDIRECT("'"&amp;A615&amp;"'!"&amp;B615)&lt;=0,TRUE,FALSE))</f>
        <v>0</v>
      </c>
      <c r="E615" t="s">
        <v>711</v>
      </c>
      <c r="F615" t="str">
        <f>INDEX(Lists!I:I,MATCH(Validation!E615,Lists!G:G,0))</f>
        <v>Error</v>
      </c>
      <c r="G615" t="str">
        <f>INDEX(Lists!H:H,MATCH(Validation!E615,Lists!G:G,0))</f>
        <v>Amount must be greater than zero.</v>
      </c>
      <c r="H615" s="25" t="str">
        <f t="shared" ca="1" si="147"/>
        <v/>
      </c>
      <c r="I615" s="25" t="str">
        <f t="shared" ca="1" si="148"/>
        <v/>
      </c>
      <c r="J615" s="26" t="str">
        <f t="shared" ca="1" si="149"/>
        <v/>
      </c>
    </row>
    <row r="616" spans="1:10" x14ac:dyDescent="0.25">
      <c r="A616" t="s">
        <v>313</v>
      </c>
      <c r="B616" t="str">
        <f>ADDRESS(ROW('Bond 1'!$B$16),COLUMN('Bond 1'!$B$16),4)</f>
        <v>B16</v>
      </c>
      <c r="C616" t="str">
        <f>ADDRESS(ROW('Bond 1'!$D$16),COLUMN('Bond 1'!$D$16),4)</f>
        <v>D16</v>
      </c>
      <c r="D616" t="b" cm="1">
        <f t="array" aca="1" ref="D616" ca="1">IF(INDIRECT("'"&amp;A616&amp;"'!"&amp;B616)="",FALSE,IF(INDIRECT("'"&amp;A616&amp;"'!"&amp;B616)&lt;=0,TRUE,FALSE))</f>
        <v>0</v>
      </c>
      <c r="E616" t="s">
        <v>711</v>
      </c>
      <c r="F616" t="str">
        <f>INDEX(Lists!I:I,MATCH(Validation!E616,Lists!G:G,0))</f>
        <v>Error</v>
      </c>
      <c r="G616" t="str">
        <f>INDEX(Lists!H:H,MATCH(Validation!E616,Lists!G:G,0))</f>
        <v>Amount must be greater than zero.</v>
      </c>
      <c r="H616" s="25" t="str">
        <f t="shared" ca="1" si="147"/>
        <v/>
      </c>
      <c r="I616" s="25" t="str">
        <f t="shared" ca="1" si="148"/>
        <v/>
      </c>
      <c r="J616" s="26" t="str">
        <f t="shared" ca="1" si="149"/>
        <v/>
      </c>
    </row>
    <row r="617" spans="1:10" x14ac:dyDescent="0.25">
      <c r="A617" t="s">
        <v>314</v>
      </c>
      <c r="B617" t="str">
        <f>ADDRESS(ROW('Bond 1'!$B$16),COLUMN('Bond 1'!$B$16),4)</f>
        <v>B16</v>
      </c>
      <c r="C617" t="str">
        <f>ADDRESS(ROW('Bond 1'!$D$16),COLUMN('Bond 1'!$D$16),4)</f>
        <v>D16</v>
      </c>
      <c r="D617" t="b" cm="1">
        <f t="array" aca="1" ref="D617" ca="1">IF(INDIRECT("'"&amp;A617&amp;"'!"&amp;B617)="",FALSE,IF(INDIRECT("'"&amp;A617&amp;"'!"&amp;B617)&lt;=0,TRUE,FALSE))</f>
        <v>0</v>
      </c>
      <c r="E617" t="s">
        <v>711</v>
      </c>
      <c r="F617" t="str">
        <f>INDEX(Lists!I:I,MATCH(Validation!E617,Lists!G:G,0))</f>
        <v>Error</v>
      </c>
      <c r="G617" t="str">
        <f>INDEX(Lists!H:H,MATCH(Validation!E617,Lists!G:G,0))</f>
        <v>Amount must be greater than zero.</v>
      </c>
      <c r="H617" s="25" t="str">
        <f t="shared" ca="1" si="147"/>
        <v/>
      </c>
      <c r="I617" s="25" t="str">
        <f t="shared" ca="1" si="148"/>
        <v/>
      </c>
      <c r="J617" s="26" t="str">
        <f t="shared" ca="1" si="149"/>
        <v/>
      </c>
    </row>
    <row r="618" spans="1:10" x14ac:dyDescent="0.25">
      <c r="A618" t="s">
        <v>315</v>
      </c>
      <c r="B618" t="str">
        <f>ADDRESS(ROW('Bond 1'!$B$16),COLUMN('Bond 1'!$B$16),4)</f>
        <v>B16</v>
      </c>
      <c r="C618" t="str">
        <f>ADDRESS(ROW('Bond 1'!$D$16),COLUMN('Bond 1'!$D$16),4)</f>
        <v>D16</v>
      </c>
      <c r="D618" t="b" cm="1">
        <f t="array" aca="1" ref="D618" ca="1">IF(INDIRECT("'"&amp;A618&amp;"'!"&amp;B618)="",FALSE,IF(INDIRECT("'"&amp;A618&amp;"'!"&amp;B618)&lt;=0,TRUE,FALSE))</f>
        <v>0</v>
      </c>
      <c r="E618" t="s">
        <v>711</v>
      </c>
      <c r="F618" t="str">
        <f>INDEX(Lists!I:I,MATCH(Validation!E618,Lists!G:G,0))</f>
        <v>Error</v>
      </c>
      <c r="G618" t="str">
        <f>INDEX(Lists!H:H,MATCH(Validation!E618,Lists!G:G,0))</f>
        <v>Amount must be greater than zero.</v>
      </c>
      <c r="H618" s="25" t="str">
        <f t="shared" ca="1" si="147"/>
        <v/>
      </c>
      <c r="I618" s="25" t="str">
        <f t="shared" ca="1" si="148"/>
        <v/>
      </c>
      <c r="J618" s="26" t="str">
        <f t="shared" ca="1" si="149"/>
        <v/>
      </c>
    </row>
    <row r="619" spans="1:10" x14ac:dyDescent="0.25">
      <c r="A619" t="s">
        <v>198</v>
      </c>
      <c r="B619" t="str">
        <f>ADDRESS(ROW('Bond 1'!$B$16),COLUMN('Bond 1'!$B$16),4)</f>
        <v>B16</v>
      </c>
      <c r="C619" t="str">
        <f>ADDRESS(ROW('Bond 1'!$D$16),COLUMN('Bond 1'!$D$16),4)</f>
        <v>D16</v>
      </c>
      <c r="D619" t="b" cm="1">
        <f t="array" aca="1" ref="D619" ca="1">IF(INDIRECT("'"&amp;A619&amp;"'!"&amp;B619)="",FALSE,IF(TRUNC(INDIRECT("'"&amp;A619&amp;"'!"&amp;B619))=INDIRECT("'"&amp;A619&amp;"'!"&amp;B619),FALSE,TRUE))</f>
        <v>0</v>
      </c>
      <c r="E619" t="s">
        <v>436</v>
      </c>
      <c r="F619" t="str">
        <f>INDEX(Lists!I:I,MATCH(Validation!E619,Lists!G:G,0))</f>
        <v>Error</v>
      </c>
      <c r="G619" t="str">
        <f>INDEX(Lists!H:H,MATCH(Validation!E619,Lists!G:G,0))</f>
        <v>Amount must be rounded to the nearest dollar.</v>
      </c>
      <c r="H619" s="25" t="str">
        <f t="shared" ca="1" si="147"/>
        <v/>
      </c>
      <c r="I619" s="25" t="str">
        <f t="shared" ca="1" si="148"/>
        <v/>
      </c>
      <c r="J619" s="26" t="str">
        <f t="shared" ca="1" si="149"/>
        <v/>
      </c>
    </row>
    <row r="620" spans="1:10" x14ac:dyDescent="0.25">
      <c r="A620" t="s">
        <v>302</v>
      </c>
      <c r="B620" t="str">
        <f>ADDRESS(ROW('Bond 1'!$B$16),COLUMN('Bond 1'!$B$16),4)</f>
        <v>B16</v>
      </c>
      <c r="C620" t="str">
        <f>ADDRESS(ROW('Bond 1'!$D$16),COLUMN('Bond 1'!$D$16),4)</f>
        <v>D16</v>
      </c>
      <c r="D620" t="b" cm="1">
        <f t="array" aca="1" ref="D620" ca="1">IF(INDIRECT("'"&amp;A620&amp;"'!"&amp;B620)="",FALSE,IF(TRUNC(INDIRECT("'"&amp;A620&amp;"'!"&amp;B620))=INDIRECT("'"&amp;A620&amp;"'!"&amp;B620),FALSE,TRUE))</f>
        <v>0</v>
      </c>
      <c r="E620" t="s">
        <v>436</v>
      </c>
      <c r="F620" t="str">
        <f>INDEX(Lists!I:I,MATCH(Validation!E620,Lists!G:G,0))</f>
        <v>Error</v>
      </c>
      <c r="G620" t="str">
        <f>INDEX(Lists!H:H,MATCH(Validation!E620,Lists!G:G,0))</f>
        <v>Amount must be rounded to the nearest dollar.</v>
      </c>
      <c r="H620" s="25" t="str">
        <f t="shared" ca="1" si="147"/>
        <v/>
      </c>
      <c r="I620" s="25" t="str">
        <f t="shared" ca="1" si="148"/>
        <v/>
      </c>
      <c r="J620" s="26" t="str">
        <f t="shared" ca="1" si="149"/>
        <v/>
      </c>
    </row>
    <row r="621" spans="1:10" x14ac:dyDescent="0.25">
      <c r="A621" t="s">
        <v>303</v>
      </c>
      <c r="B621" t="str">
        <f>ADDRESS(ROW('Bond 1'!$B$16),COLUMN('Bond 1'!$B$16),4)</f>
        <v>B16</v>
      </c>
      <c r="C621" t="str">
        <f>ADDRESS(ROW('Bond 1'!$D$16),COLUMN('Bond 1'!$D$16),4)</f>
        <v>D16</v>
      </c>
      <c r="D621" t="b" cm="1">
        <f t="array" aca="1" ref="D621" ca="1">IF(INDIRECT("'"&amp;A621&amp;"'!"&amp;B621)="",FALSE,IF(TRUNC(INDIRECT("'"&amp;A621&amp;"'!"&amp;B621))=INDIRECT("'"&amp;A621&amp;"'!"&amp;B621),FALSE,TRUE))</f>
        <v>0</v>
      </c>
      <c r="E621" t="s">
        <v>436</v>
      </c>
      <c r="F621" t="str">
        <f>INDEX(Lists!I:I,MATCH(Validation!E621,Lists!G:G,0))</f>
        <v>Error</v>
      </c>
      <c r="G621" t="str">
        <f>INDEX(Lists!H:H,MATCH(Validation!E621,Lists!G:G,0))</f>
        <v>Amount must be rounded to the nearest dollar.</v>
      </c>
      <c r="H621" s="25" t="str">
        <f t="shared" ca="1" si="147"/>
        <v/>
      </c>
      <c r="I621" s="25" t="str">
        <f t="shared" ca="1" si="148"/>
        <v/>
      </c>
      <c r="J621" s="26" t="str">
        <f t="shared" ca="1" si="149"/>
        <v/>
      </c>
    </row>
    <row r="622" spans="1:10" x14ac:dyDescent="0.25">
      <c r="A622" t="s">
        <v>304</v>
      </c>
      <c r="B622" t="str">
        <f>ADDRESS(ROW('Bond 1'!$B$16),COLUMN('Bond 1'!$B$16),4)</f>
        <v>B16</v>
      </c>
      <c r="C622" t="str">
        <f>ADDRESS(ROW('Bond 1'!$D$16),COLUMN('Bond 1'!$D$16),4)</f>
        <v>D16</v>
      </c>
      <c r="D622" t="b" cm="1">
        <f t="array" aca="1" ref="D622" ca="1">IF(INDIRECT("'"&amp;A622&amp;"'!"&amp;B622)="",FALSE,IF(TRUNC(INDIRECT("'"&amp;A622&amp;"'!"&amp;B622))=INDIRECT("'"&amp;A622&amp;"'!"&amp;B622),FALSE,TRUE))</f>
        <v>0</v>
      </c>
      <c r="E622" t="s">
        <v>436</v>
      </c>
      <c r="F622" t="str">
        <f>INDEX(Lists!I:I,MATCH(Validation!E622,Lists!G:G,0))</f>
        <v>Error</v>
      </c>
      <c r="G622" t="str">
        <f>INDEX(Lists!H:H,MATCH(Validation!E622,Lists!G:G,0))</f>
        <v>Amount must be rounded to the nearest dollar.</v>
      </c>
      <c r="H622" s="25" t="str">
        <f t="shared" ca="1" si="147"/>
        <v/>
      </c>
      <c r="I622" s="25" t="str">
        <f t="shared" ca="1" si="148"/>
        <v/>
      </c>
      <c r="J622" s="26" t="str">
        <f t="shared" ca="1" si="149"/>
        <v/>
      </c>
    </row>
    <row r="623" spans="1:10" x14ac:dyDescent="0.25">
      <c r="A623" t="s">
        <v>305</v>
      </c>
      <c r="B623" t="str">
        <f>ADDRESS(ROW('Bond 1'!$B$16),COLUMN('Bond 1'!$B$16),4)</f>
        <v>B16</v>
      </c>
      <c r="C623" t="str">
        <f>ADDRESS(ROW('Bond 1'!$D$16),COLUMN('Bond 1'!$D$16),4)</f>
        <v>D16</v>
      </c>
      <c r="D623" t="b" cm="1">
        <f t="array" aca="1" ref="D623" ca="1">IF(INDIRECT("'"&amp;A623&amp;"'!"&amp;B623)="",FALSE,IF(TRUNC(INDIRECT("'"&amp;A623&amp;"'!"&amp;B623))=INDIRECT("'"&amp;A623&amp;"'!"&amp;B623),FALSE,TRUE))</f>
        <v>0</v>
      </c>
      <c r="E623" t="s">
        <v>436</v>
      </c>
      <c r="F623" t="str">
        <f>INDEX(Lists!I:I,MATCH(Validation!E623,Lists!G:G,0))</f>
        <v>Error</v>
      </c>
      <c r="G623" t="str">
        <f>INDEX(Lists!H:H,MATCH(Validation!E623,Lists!G:G,0))</f>
        <v>Amount must be rounded to the nearest dollar.</v>
      </c>
      <c r="H623" s="25" t="str">
        <f t="shared" ca="1" si="147"/>
        <v/>
      </c>
      <c r="I623" s="25" t="str">
        <f t="shared" ca="1" si="148"/>
        <v/>
      </c>
      <c r="J623" s="26" t="str">
        <f t="shared" ca="1" si="149"/>
        <v/>
      </c>
    </row>
    <row r="624" spans="1:10" x14ac:dyDescent="0.25">
      <c r="A624" t="s">
        <v>306</v>
      </c>
      <c r="B624" t="str">
        <f>ADDRESS(ROW('Bond 1'!$B$16),COLUMN('Bond 1'!$B$16),4)</f>
        <v>B16</v>
      </c>
      <c r="C624" t="str">
        <f>ADDRESS(ROW('Bond 1'!$D$16),COLUMN('Bond 1'!$D$16),4)</f>
        <v>D16</v>
      </c>
      <c r="D624" t="b" cm="1">
        <f t="array" aca="1" ref="D624" ca="1">IF(INDIRECT("'"&amp;A624&amp;"'!"&amp;B624)="",FALSE,IF(TRUNC(INDIRECT("'"&amp;A624&amp;"'!"&amp;B624))=INDIRECT("'"&amp;A624&amp;"'!"&amp;B624),FALSE,TRUE))</f>
        <v>0</v>
      </c>
      <c r="E624" t="s">
        <v>436</v>
      </c>
      <c r="F624" t="str">
        <f>INDEX(Lists!I:I,MATCH(Validation!E624,Lists!G:G,0))</f>
        <v>Error</v>
      </c>
      <c r="G624" t="str">
        <f>INDEX(Lists!H:H,MATCH(Validation!E624,Lists!G:G,0))</f>
        <v>Amount must be rounded to the nearest dollar.</v>
      </c>
      <c r="H624" s="25" t="str">
        <f t="shared" ca="1" si="147"/>
        <v/>
      </c>
      <c r="I624" s="25" t="str">
        <f t="shared" ca="1" si="148"/>
        <v/>
      </c>
      <c r="J624" s="26" t="str">
        <f t="shared" ca="1" si="149"/>
        <v/>
      </c>
    </row>
    <row r="625" spans="1:10" x14ac:dyDescent="0.25">
      <c r="A625" t="s">
        <v>307</v>
      </c>
      <c r="B625" t="str">
        <f>ADDRESS(ROW('Bond 1'!$B$16),COLUMN('Bond 1'!$B$16),4)</f>
        <v>B16</v>
      </c>
      <c r="C625" t="str">
        <f>ADDRESS(ROW('Bond 1'!$D$16),COLUMN('Bond 1'!$D$16),4)</f>
        <v>D16</v>
      </c>
      <c r="D625" t="b" cm="1">
        <f t="array" aca="1" ref="D625" ca="1">IF(INDIRECT("'"&amp;A625&amp;"'!"&amp;B625)="",FALSE,IF(TRUNC(INDIRECT("'"&amp;A625&amp;"'!"&amp;B625))=INDIRECT("'"&amp;A625&amp;"'!"&amp;B625),FALSE,TRUE))</f>
        <v>0</v>
      </c>
      <c r="E625" t="s">
        <v>436</v>
      </c>
      <c r="F625" t="str">
        <f>INDEX(Lists!I:I,MATCH(Validation!E625,Lists!G:G,0))</f>
        <v>Error</v>
      </c>
      <c r="G625" t="str">
        <f>INDEX(Lists!H:H,MATCH(Validation!E625,Lists!G:G,0))</f>
        <v>Amount must be rounded to the nearest dollar.</v>
      </c>
      <c r="H625" s="25" t="str">
        <f t="shared" ca="1" si="147"/>
        <v/>
      </c>
      <c r="I625" s="25" t="str">
        <f t="shared" ca="1" si="148"/>
        <v/>
      </c>
      <c r="J625" s="26" t="str">
        <f t="shared" ca="1" si="149"/>
        <v/>
      </c>
    </row>
    <row r="626" spans="1:10" x14ac:dyDescent="0.25">
      <c r="A626" t="s">
        <v>308</v>
      </c>
      <c r="B626" t="str">
        <f>ADDRESS(ROW('Bond 1'!$B$16),COLUMN('Bond 1'!$B$16),4)</f>
        <v>B16</v>
      </c>
      <c r="C626" t="str">
        <f>ADDRESS(ROW('Bond 1'!$D$16),COLUMN('Bond 1'!$D$16),4)</f>
        <v>D16</v>
      </c>
      <c r="D626" t="b" cm="1">
        <f t="array" aca="1" ref="D626" ca="1">IF(INDIRECT("'"&amp;A626&amp;"'!"&amp;B626)="",FALSE,IF(TRUNC(INDIRECT("'"&amp;A626&amp;"'!"&amp;B626))=INDIRECT("'"&amp;A626&amp;"'!"&amp;B626),FALSE,TRUE))</f>
        <v>0</v>
      </c>
      <c r="E626" t="s">
        <v>436</v>
      </c>
      <c r="F626" t="str">
        <f>INDEX(Lists!I:I,MATCH(Validation!E626,Lists!G:G,0))</f>
        <v>Error</v>
      </c>
      <c r="G626" t="str">
        <f>INDEX(Lists!H:H,MATCH(Validation!E626,Lists!G:G,0))</f>
        <v>Amount must be rounded to the nearest dollar.</v>
      </c>
      <c r="H626" s="25" t="str">
        <f t="shared" ca="1" si="147"/>
        <v/>
      </c>
      <c r="I626" s="25" t="str">
        <f t="shared" ca="1" si="148"/>
        <v/>
      </c>
      <c r="J626" s="26" t="str">
        <f t="shared" ca="1" si="149"/>
        <v/>
      </c>
    </row>
    <row r="627" spans="1:10" x14ac:dyDescent="0.25">
      <c r="A627" t="s">
        <v>309</v>
      </c>
      <c r="B627" t="str">
        <f>ADDRESS(ROW('Bond 1'!$B$16),COLUMN('Bond 1'!$B$16),4)</f>
        <v>B16</v>
      </c>
      <c r="C627" t="str">
        <f>ADDRESS(ROW('Bond 1'!$D$16),COLUMN('Bond 1'!$D$16),4)</f>
        <v>D16</v>
      </c>
      <c r="D627" t="b" cm="1">
        <f t="array" aca="1" ref="D627" ca="1">IF(INDIRECT("'"&amp;A627&amp;"'!"&amp;B627)="",FALSE,IF(TRUNC(INDIRECT("'"&amp;A627&amp;"'!"&amp;B627))=INDIRECT("'"&amp;A627&amp;"'!"&amp;B627),FALSE,TRUE))</f>
        <v>0</v>
      </c>
      <c r="E627" t="s">
        <v>436</v>
      </c>
      <c r="F627" t="str">
        <f>INDEX(Lists!I:I,MATCH(Validation!E627,Lists!G:G,0))</f>
        <v>Error</v>
      </c>
      <c r="G627" t="str">
        <f>INDEX(Lists!H:H,MATCH(Validation!E627,Lists!G:G,0))</f>
        <v>Amount must be rounded to the nearest dollar.</v>
      </c>
      <c r="H627" s="25" t="str">
        <f t="shared" ca="1" si="147"/>
        <v/>
      </c>
      <c r="I627" s="25" t="str">
        <f t="shared" ca="1" si="148"/>
        <v/>
      </c>
      <c r="J627" s="26" t="str">
        <f t="shared" ca="1" si="149"/>
        <v/>
      </c>
    </row>
    <row r="628" spans="1:10" x14ac:dyDescent="0.25">
      <c r="A628" t="s">
        <v>310</v>
      </c>
      <c r="B628" t="str">
        <f>ADDRESS(ROW('Bond 1'!$B$16),COLUMN('Bond 1'!$B$16),4)</f>
        <v>B16</v>
      </c>
      <c r="C628" t="str">
        <f>ADDRESS(ROW('Bond 1'!$D$16),COLUMN('Bond 1'!$D$16),4)</f>
        <v>D16</v>
      </c>
      <c r="D628" t="b" cm="1">
        <f t="array" aca="1" ref="D628" ca="1">IF(INDIRECT("'"&amp;A628&amp;"'!"&amp;B628)="",FALSE,IF(TRUNC(INDIRECT("'"&amp;A628&amp;"'!"&amp;B628))=INDIRECT("'"&amp;A628&amp;"'!"&amp;B628),FALSE,TRUE))</f>
        <v>0</v>
      </c>
      <c r="E628" t="s">
        <v>436</v>
      </c>
      <c r="F628" t="str">
        <f>INDEX(Lists!I:I,MATCH(Validation!E628,Lists!G:G,0))</f>
        <v>Error</v>
      </c>
      <c r="G628" t="str">
        <f>INDEX(Lists!H:H,MATCH(Validation!E628,Lists!G:G,0))</f>
        <v>Amount must be rounded to the nearest dollar.</v>
      </c>
      <c r="H628" s="25" t="str">
        <f t="shared" ca="1" si="147"/>
        <v/>
      </c>
      <c r="I628" s="25" t="str">
        <f t="shared" ca="1" si="148"/>
        <v/>
      </c>
      <c r="J628" s="26" t="str">
        <f t="shared" ca="1" si="149"/>
        <v/>
      </c>
    </row>
    <row r="629" spans="1:10" x14ac:dyDescent="0.25">
      <c r="A629" t="s">
        <v>311</v>
      </c>
      <c r="B629" t="str">
        <f>ADDRESS(ROW('Bond 1'!$B$16),COLUMN('Bond 1'!$B$16),4)</f>
        <v>B16</v>
      </c>
      <c r="C629" t="str">
        <f>ADDRESS(ROW('Bond 1'!$D$16),COLUMN('Bond 1'!$D$16),4)</f>
        <v>D16</v>
      </c>
      <c r="D629" t="b" cm="1">
        <f t="array" aca="1" ref="D629" ca="1">IF(INDIRECT("'"&amp;A629&amp;"'!"&amp;B629)="",FALSE,IF(TRUNC(INDIRECT("'"&amp;A629&amp;"'!"&amp;B629))=INDIRECT("'"&amp;A629&amp;"'!"&amp;B629),FALSE,TRUE))</f>
        <v>0</v>
      </c>
      <c r="E629" t="s">
        <v>436</v>
      </c>
      <c r="F629" t="str">
        <f>INDEX(Lists!I:I,MATCH(Validation!E629,Lists!G:G,0))</f>
        <v>Error</v>
      </c>
      <c r="G629" t="str">
        <f>INDEX(Lists!H:H,MATCH(Validation!E629,Lists!G:G,0))</f>
        <v>Amount must be rounded to the nearest dollar.</v>
      </c>
      <c r="H629" s="25" t="str">
        <f t="shared" ca="1" si="147"/>
        <v/>
      </c>
      <c r="I629" s="25" t="str">
        <f t="shared" ca="1" si="148"/>
        <v/>
      </c>
      <c r="J629" s="26" t="str">
        <f t="shared" ca="1" si="149"/>
        <v/>
      </c>
    </row>
    <row r="630" spans="1:10" x14ac:dyDescent="0.25">
      <c r="A630" t="s">
        <v>312</v>
      </c>
      <c r="B630" t="str">
        <f>ADDRESS(ROW('Bond 1'!$B$16),COLUMN('Bond 1'!$B$16),4)</f>
        <v>B16</v>
      </c>
      <c r="C630" t="str">
        <f>ADDRESS(ROW('Bond 1'!$D$16),COLUMN('Bond 1'!$D$16),4)</f>
        <v>D16</v>
      </c>
      <c r="D630" t="b" cm="1">
        <f t="array" aca="1" ref="D630" ca="1">IF(INDIRECT("'"&amp;A630&amp;"'!"&amp;B630)="",FALSE,IF(TRUNC(INDIRECT("'"&amp;A630&amp;"'!"&amp;B630))=INDIRECT("'"&amp;A630&amp;"'!"&amp;B630),FALSE,TRUE))</f>
        <v>0</v>
      </c>
      <c r="E630" t="s">
        <v>436</v>
      </c>
      <c r="F630" t="str">
        <f>INDEX(Lists!I:I,MATCH(Validation!E630,Lists!G:G,0))</f>
        <v>Error</v>
      </c>
      <c r="G630" t="str">
        <f>INDEX(Lists!H:H,MATCH(Validation!E630,Lists!G:G,0))</f>
        <v>Amount must be rounded to the nearest dollar.</v>
      </c>
      <c r="H630" s="25" t="str">
        <f t="shared" ca="1" si="147"/>
        <v/>
      </c>
      <c r="I630" s="25" t="str">
        <f t="shared" ca="1" si="148"/>
        <v/>
      </c>
      <c r="J630" s="26" t="str">
        <f t="shared" ca="1" si="149"/>
        <v/>
      </c>
    </row>
    <row r="631" spans="1:10" x14ac:dyDescent="0.25">
      <c r="A631" t="s">
        <v>313</v>
      </c>
      <c r="B631" t="str">
        <f>ADDRESS(ROW('Bond 1'!$B$16),COLUMN('Bond 1'!$B$16),4)</f>
        <v>B16</v>
      </c>
      <c r="C631" t="str">
        <f>ADDRESS(ROW('Bond 1'!$D$16),COLUMN('Bond 1'!$D$16),4)</f>
        <v>D16</v>
      </c>
      <c r="D631" t="b" cm="1">
        <f t="array" aca="1" ref="D631" ca="1">IF(INDIRECT("'"&amp;A631&amp;"'!"&amp;B631)="",FALSE,IF(TRUNC(INDIRECT("'"&amp;A631&amp;"'!"&amp;B631))=INDIRECT("'"&amp;A631&amp;"'!"&amp;B631),FALSE,TRUE))</f>
        <v>0</v>
      </c>
      <c r="E631" t="s">
        <v>436</v>
      </c>
      <c r="F631" t="str">
        <f>INDEX(Lists!I:I,MATCH(Validation!E631,Lists!G:G,0))</f>
        <v>Error</v>
      </c>
      <c r="G631" t="str">
        <f>INDEX(Lists!H:H,MATCH(Validation!E631,Lists!G:G,0))</f>
        <v>Amount must be rounded to the nearest dollar.</v>
      </c>
      <c r="H631" s="25" t="str">
        <f t="shared" ca="1" si="147"/>
        <v/>
      </c>
      <c r="I631" s="25" t="str">
        <f t="shared" ca="1" si="148"/>
        <v/>
      </c>
      <c r="J631" s="26" t="str">
        <f t="shared" ca="1" si="149"/>
        <v/>
      </c>
    </row>
    <row r="632" spans="1:10" x14ac:dyDescent="0.25">
      <c r="A632" t="s">
        <v>314</v>
      </c>
      <c r="B632" t="str">
        <f>ADDRESS(ROW('Bond 1'!$B$16),COLUMN('Bond 1'!$B$16),4)</f>
        <v>B16</v>
      </c>
      <c r="C632" t="str">
        <f>ADDRESS(ROW('Bond 1'!$D$16),COLUMN('Bond 1'!$D$16),4)</f>
        <v>D16</v>
      </c>
      <c r="D632" t="b" cm="1">
        <f t="array" aca="1" ref="D632" ca="1">IF(INDIRECT("'"&amp;A632&amp;"'!"&amp;B632)="",FALSE,IF(TRUNC(INDIRECT("'"&amp;A632&amp;"'!"&amp;B632))=INDIRECT("'"&amp;A632&amp;"'!"&amp;B632),FALSE,TRUE))</f>
        <v>0</v>
      </c>
      <c r="E632" t="s">
        <v>436</v>
      </c>
      <c r="F632" t="str">
        <f>INDEX(Lists!I:I,MATCH(Validation!E632,Lists!G:G,0))</f>
        <v>Error</v>
      </c>
      <c r="G632" t="str">
        <f>INDEX(Lists!H:H,MATCH(Validation!E632,Lists!G:G,0))</f>
        <v>Amount must be rounded to the nearest dollar.</v>
      </c>
      <c r="H632" s="25" t="str">
        <f t="shared" ca="1" si="147"/>
        <v/>
      </c>
      <c r="I632" s="25" t="str">
        <f t="shared" ca="1" si="148"/>
        <v/>
      </c>
      <c r="J632" s="26" t="str">
        <f t="shared" ca="1" si="149"/>
        <v/>
      </c>
    </row>
    <row r="633" spans="1:10" x14ac:dyDescent="0.25">
      <c r="A633" t="s">
        <v>315</v>
      </c>
      <c r="B633" t="str">
        <f>ADDRESS(ROW('Bond 1'!$B$16),COLUMN('Bond 1'!$B$16),4)</f>
        <v>B16</v>
      </c>
      <c r="C633" t="str">
        <f>ADDRESS(ROW('Bond 1'!$D$16),COLUMN('Bond 1'!$D$16),4)</f>
        <v>D16</v>
      </c>
      <c r="D633" t="b" cm="1">
        <f t="array" aca="1" ref="D633" ca="1">IF(INDIRECT("'"&amp;A633&amp;"'!"&amp;B633)="",FALSE,IF(TRUNC(INDIRECT("'"&amp;A633&amp;"'!"&amp;B633))=INDIRECT("'"&amp;A633&amp;"'!"&amp;B633),FALSE,TRUE))</f>
        <v>0</v>
      </c>
      <c r="E633" t="s">
        <v>436</v>
      </c>
      <c r="F633" t="str">
        <f>INDEX(Lists!I:I,MATCH(Validation!E633,Lists!G:G,0))</f>
        <v>Error</v>
      </c>
      <c r="G633" t="str">
        <f>INDEX(Lists!H:H,MATCH(Validation!E633,Lists!G:G,0))</f>
        <v>Amount must be rounded to the nearest dollar.</v>
      </c>
      <c r="H633" s="25" t="str">
        <f t="shared" ca="1" si="147"/>
        <v/>
      </c>
      <c r="I633" s="25" t="str">
        <f t="shared" ca="1" si="148"/>
        <v/>
      </c>
      <c r="J633" s="26" t="str">
        <f t="shared" ca="1" si="149"/>
        <v/>
      </c>
    </row>
    <row r="634" spans="1:10" x14ac:dyDescent="0.25">
      <c r="A634" t="s">
        <v>198</v>
      </c>
      <c r="B634" t="str">
        <f>ADDRESS(ROW('Bond 1'!$B$17),COLUMN('Bond 1'!$B$17),4)</f>
        <v>B17</v>
      </c>
      <c r="C634" t="str">
        <f>ADDRESS(ROW('Bond 1'!$D$17),COLUMN('Bond 1'!$D$17),4)</f>
        <v>D17</v>
      </c>
      <c r="D634" t="b" cm="1">
        <f t="array" aca="1" ref="D634" ca="1">IF(INDIRECT("'"&amp;A634&amp;"'!"&amp;B634)="",FALSE,IF(NOT(ISNUMBER(INDIRECT("'"&amp;A634&amp;"'!"&amp;B634))),TRUE,FALSE))</f>
        <v>0</v>
      </c>
      <c r="E634" t="s">
        <v>435</v>
      </c>
      <c r="F634" t="str">
        <f>INDEX(Lists!I:I,MATCH(Validation!E634,Lists!G:G,0))</f>
        <v>Error</v>
      </c>
      <c r="G634" t="str">
        <f>INDEX(Lists!H:H,MATCH(Validation!E634,Lists!G:G,0))</f>
        <v>Enter an amount only. Do not enter text or spaces.</v>
      </c>
      <c r="H634" s="25" t="str">
        <f t="shared" ca="1" si="147"/>
        <v/>
      </c>
      <c r="I634" s="25" t="str">
        <f t="shared" ca="1" si="148"/>
        <v/>
      </c>
      <c r="J634" s="26" t="str">
        <f t="shared" ca="1" si="149"/>
        <v/>
      </c>
    </row>
    <row r="635" spans="1:10" x14ac:dyDescent="0.25">
      <c r="A635" t="s">
        <v>302</v>
      </c>
      <c r="B635" t="str">
        <f>ADDRESS(ROW('Bond 1'!$B$17),COLUMN('Bond 1'!$B$17),4)</f>
        <v>B17</v>
      </c>
      <c r="C635" t="str">
        <f>ADDRESS(ROW('Bond 1'!$D$17),COLUMN('Bond 1'!$D$17),4)</f>
        <v>D17</v>
      </c>
      <c r="D635" t="b" cm="1">
        <f t="array" aca="1" ref="D635" ca="1">IF(INDIRECT("'"&amp;A635&amp;"'!"&amp;B635)="",FALSE,IF(NOT(ISNUMBER(INDIRECT("'"&amp;A635&amp;"'!"&amp;B635))),TRUE,FALSE))</f>
        <v>0</v>
      </c>
      <c r="E635" t="s">
        <v>435</v>
      </c>
      <c r="F635" t="str">
        <f>INDEX(Lists!I:I,MATCH(Validation!E635,Lists!G:G,0))</f>
        <v>Error</v>
      </c>
      <c r="G635" t="str">
        <f>INDEX(Lists!H:H,MATCH(Validation!E635,Lists!G:G,0))</f>
        <v>Enter an amount only. Do not enter text or spaces.</v>
      </c>
      <c r="H635" s="25" t="str">
        <f t="shared" ca="1" si="147"/>
        <v/>
      </c>
      <c r="I635" s="25" t="str">
        <f t="shared" ca="1" si="148"/>
        <v/>
      </c>
      <c r="J635" s="26" t="str">
        <f t="shared" ca="1" si="149"/>
        <v/>
      </c>
    </row>
    <row r="636" spans="1:10" x14ac:dyDescent="0.25">
      <c r="A636" t="s">
        <v>303</v>
      </c>
      <c r="B636" t="str">
        <f>ADDRESS(ROW('Bond 1'!$B$17),COLUMN('Bond 1'!$B$17),4)</f>
        <v>B17</v>
      </c>
      <c r="C636" t="str">
        <f>ADDRESS(ROW('Bond 1'!$D$17),COLUMN('Bond 1'!$D$17),4)</f>
        <v>D17</v>
      </c>
      <c r="D636" t="b" cm="1">
        <f t="array" aca="1" ref="D636" ca="1">IF(INDIRECT("'"&amp;A636&amp;"'!"&amp;B636)="",FALSE,IF(NOT(ISNUMBER(INDIRECT("'"&amp;A636&amp;"'!"&amp;B636))),TRUE,FALSE))</f>
        <v>0</v>
      </c>
      <c r="E636" t="s">
        <v>435</v>
      </c>
      <c r="F636" t="str">
        <f>INDEX(Lists!I:I,MATCH(Validation!E636,Lists!G:G,0))</f>
        <v>Error</v>
      </c>
      <c r="G636" t="str">
        <f>INDEX(Lists!H:H,MATCH(Validation!E636,Lists!G:G,0))</f>
        <v>Enter an amount only. Do not enter text or spaces.</v>
      </c>
      <c r="H636" s="25" t="str">
        <f t="shared" ca="1" si="147"/>
        <v/>
      </c>
      <c r="I636" s="25" t="str">
        <f t="shared" ca="1" si="148"/>
        <v/>
      </c>
      <c r="J636" s="26" t="str">
        <f t="shared" ca="1" si="149"/>
        <v/>
      </c>
    </row>
    <row r="637" spans="1:10" x14ac:dyDescent="0.25">
      <c r="A637" t="s">
        <v>304</v>
      </c>
      <c r="B637" t="str">
        <f>ADDRESS(ROW('Bond 1'!$B$17),COLUMN('Bond 1'!$B$17),4)</f>
        <v>B17</v>
      </c>
      <c r="C637" t="str">
        <f>ADDRESS(ROW('Bond 1'!$D$17),COLUMN('Bond 1'!$D$17),4)</f>
        <v>D17</v>
      </c>
      <c r="D637" t="b" cm="1">
        <f t="array" aca="1" ref="D637" ca="1">IF(INDIRECT("'"&amp;A637&amp;"'!"&amp;B637)="",FALSE,IF(NOT(ISNUMBER(INDIRECT("'"&amp;A637&amp;"'!"&amp;B637))),TRUE,FALSE))</f>
        <v>0</v>
      </c>
      <c r="E637" t="s">
        <v>435</v>
      </c>
      <c r="F637" t="str">
        <f>INDEX(Lists!I:I,MATCH(Validation!E637,Lists!G:G,0))</f>
        <v>Error</v>
      </c>
      <c r="G637" t="str">
        <f>INDEX(Lists!H:H,MATCH(Validation!E637,Lists!G:G,0))</f>
        <v>Enter an amount only. Do not enter text or spaces.</v>
      </c>
      <c r="H637" s="25" t="str">
        <f t="shared" ca="1" si="147"/>
        <v/>
      </c>
      <c r="I637" s="25" t="str">
        <f t="shared" ca="1" si="148"/>
        <v/>
      </c>
      <c r="J637" s="26" t="str">
        <f t="shared" ca="1" si="149"/>
        <v/>
      </c>
    </row>
    <row r="638" spans="1:10" x14ac:dyDescent="0.25">
      <c r="A638" t="s">
        <v>305</v>
      </c>
      <c r="B638" t="str">
        <f>ADDRESS(ROW('Bond 1'!$B$17),COLUMN('Bond 1'!$B$17),4)</f>
        <v>B17</v>
      </c>
      <c r="C638" t="str">
        <f>ADDRESS(ROW('Bond 1'!$D$17),COLUMN('Bond 1'!$D$17),4)</f>
        <v>D17</v>
      </c>
      <c r="D638" t="b" cm="1">
        <f t="array" aca="1" ref="D638" ca="1">IF(INDIRECT("'"&amp;A638&amp;"'!"&amp;B638)="",FALSE,IF(NOT(ISNUMBER(INDIRECT("'"&amp;A638&amp;"'!"&amp;B638))),TRUE,FALSE))</f>
        <v>0</v>
      </c>
      <c r="E638" t="s">
        <v>435</v>
      </c>
      <c r="F638" t="str">
        <f>INDEX(Lists!I:I,MATCH(Validation!E638,Lists!G:G,0))</f>
        <v>Error</v>
      </c>
      <c r="G638" t="str">
        <f>INDEX(Lists!H:H,MATCH(Validation!E638,Lists!G:G,0))</f>
        <v>Enter an amount only. Do not enter text or spaces.</v>
      </c>
      <c r="H638" s="25" t="str">
        <f t="shared" ca="1" si="147"/>
        <v/>
      </c>
      <c r="I638" s="25" t="str">
        <f t="shared" ca="1" si="148"/>
        <v/>
      </c>
      <c r="J638" s="26" t="str">
        <f t="shared" ca="1" si="149"/>
        <v/>
      </c>
    </row>
    <row r="639" spans="1:10" x14ac:dyDescent="0.25">
      <c r="A639" t="s">
        <v>306</v>
      </c>
      <c r="B639" t="str">
        <f>ADDRESS(ROW('Bond 1'!$B$17),COLUMN('Bond 1'!$B$17),4)</f>
        <v>B17</v>
      </c>
      <c r="C639" t="str">
        <f>ADDRESS(ROW('Bond 1'!$D$17),COLUMN('Bond 1'!$D$17),4)</f>
        <v>D17</v>
      </c>
      <c r="D639" t="b" cm="1">
        <f t="array" aca="1" ref="D639" ca="1">IF(INDIRECT("'"&amp;A639&amp;"'!"&amp;B639)="",FALSE,IF(NOT(ISNUMBER(INDIRECT("'"&amp;A639&amp;"'!"&amp;B639))),TRUE,FALSE))</f>
        <v>0</v>
      </c>
      <c r="E639" t="s">
        <v>435</v>
      </c>
      <c r="F639" t="str">
        <f>INDEX(Lists!I:I,MATCH(Validation!E639,Lists!G:G,0))</f>
        <v>Error</v>
      </c>
      <c r="G639" t="str">
        <f>INDEX(Lists!H:H,MATCH(Validation!E639,Lists!G:G,0))</f>
        <v>Enter an amount only. Do not enter text or spaces.</v>
      </c>
      <c r="H639" s="25" t="str">
        <f t="shared" ca="1" si="147"/>
        <v/>
      </c>
      <c r="I639" s="25" t="str">
        <f t="shared" ca="1" si="148"/>
        <v/>
      </c>
      <c r="J639" s="26" t="str">
        <f t="shared" ca="1" si="149"/>
        <v/>
      </c>
    </row>
    <row r="640" spans="1:10" x14ac:dyDescent="0.25">
      <c r="A640" t="s">
        <v>307</v>
      </c>
      <c r="B640" t="str">
        <f>ADDRESS(ROW('Bond 1'!$B$17),COLUMN('Bond 1'!$B$17),4)</f>
        <v>B17</v>
      </c>
      <c r="C640" t="str">
        <f>ADDRESS(ROW('Bond 1'!$D$17),COLUMN('Bond 1'!$D$17),4)</f>
        <v>D17</v>
      </c>
      <c r="D640" t="b" cm="1">
        <f t="array" aca="1" ref="D640" ca="1">IF(INDIRECT("'"&amp;A640&amp;"'!"&amp;B640)="",FALSE,IF(NOT(ISNUMBER(INDIRECT("'"&amp;A640&amp;"'!"&amp;B640))),TRUE,FALSE))</f>
        <v>0</v>
      </c>
      <c r="E640" t="s">
        <v>435</v>
      </c>
      <c r="F640" t="str">
        <f>INDEX(Lists!I:I,MATCH(Validation!E640,Lists!G:G,0))</f>
        <v>Error</v>
      </c>
      <c r="G640" t="str">
        <f>INDEX(Lists!H:H,MATCH(Validation!E640,Lists!G:G,0))</f>
        <v>Enter an amount only. Do not enter text or spaces.</v>
      </c>
      <c r="H640" s="25" t="str">
        <f t="shared" ca="1" si="147"/>
        <v/>
      </c>
      <c r="I640" s="25" t="str">
        <f t="shared" ca="1" si="148"/>
        <v/>
      </c>
      <c r="J640" s="26" t="str">
        <f t="shared" ca="1" si="149"/>
        <v/>
      </c>
    </row>
    <row r="641" spans="1:10" x14ac:dyDescent="0.25">
      <c r="A641" t="s">
        <v>308</v>
      </c>
      <c r="B641" t="str">
        <f>ADDRESS(ROW('Bond 1'!$B$17),COLUMN('Bond 1'!$B$17),4)</f>
        <v>B17</v>
      </c>
      <c r="C641" t="str">
        <f>ADDRESS(ROW('Bond 1'!$D$17),COLUMN('Bond 1'!$D$17),4)</f>
        <v>D17</v>
      </c>
      <c r="D641" t="b" cm="1">
        <f t="array" aca="1" ref="D641" ca="1">IF(INDIRECT("'"&amp;A641&amp;"'!"&amp;B641)="",FALSE,IF(NOT(ISNUMBER(INDIRECT("'"&amp;A641&amp;"'!"&amp;B641))),TRUE,FALSE))</f>
        <v>0</v>
      </c>
      <c r="E641" t="s">
        <v>435</v>
      </c>
      <c r="F641" t="str">
        <f>INDEX(Lists!I:I,MATCH(Validation!E641,Lists!G:G,0))</f>
        <v>Error</v>
      </c>
      <c r="G641" t="str">
        <f>INDEX(Lists!H:H,MATCH(Validation!E641,Lists!G:G,0))</f>
        <v>Enter an amount only. Do not enter text or spaces.</v>
      </c>
      <c r="H641" s="25" t="str">
        <f t="shared" ca="1" si="147"/>
        <v/>
      </c>
      <c r="I641" s="25" t="str">
        <f t="shared" ca="1" si="148"/>
        <v/>
      </c>
      <c r="J641" s="26" t="str">
        <f t="shared" ca="1" si="149"/>
        <v/>
      </c>
    </row>
    <row r="642" spans="1:10" x14ac:dyDescent="0.25">
      <c r="A642" t="s">
        <v>309</v>
      </c>
      <c r="B642" t="str">
        <f>ADDRESS(ROW('Bond 1'!$B$17),COLUMN('Bond 1'!$B$17),4)</f>
        <v>B17</v>
      </c>
      <c r="C642" t="str">
        <f>ADDRESS(ROW('Bond 1'!$D$17),COLUMN('Bond 1'!$D$17),4)</f>
        <v>D17</v>
      </c>
      <c r="D642" t="b" cm="1">
        <f t="array" aca="1" ref="D642" ca="1">IF(INDIRECT("'"&amp;A642&amp;"'!"&amp;B642)="",FALSE,IF(NOT(ISNUMBER(INDIRECT("'"&amp;A642&amp;"'!"&amp;B642))),TRUE,FALSE))</f>
        <v>0</v>
      </c>
      <c r="E642" t="s">
        <v>435</v>
      </c>
      <c r="F642" t="str">
        <f>INDEX(Lists!I:I,MATCH(Validation!E642,Lists!G:G,0))</f>
        <v>Error</v>
      </c>
      <c r="G642" t="str">
        <f>INDEX(Lists!H:H,MATCH(Validation!E642,Lists!G:G,0))</f>
        <v>Enter an amount only. Do not enter text or spaces.</v>
      </c>
      <c r="H642" s="25" t="str">
        <f t="shared" ca="1" si="147"/>
        <v/>
      </c>
      <c r="I642" s="25" t="str">
        <f t="shared" ca="1" si="148"/>
        <v/>
      </c>
      <c r="J642" s="26" t="str">
        <f t="shared" ca="1" si="149"/>
        <v/>
      </c>
    </row>
    <row r="643" spans="1:10" x14ac:dyDescent="0.25">
      <c r="A643" t="s">
        <v>310</v>
      </c>
      <c r="B643" t="str">
        <f>ADDRESS(ROW('Bond 1'!$B$17),COLUMN('Bond 1'!$B$17),4)</f>
        <v>B17</v>
      </c>
      <c r="C643" t="str">
        <f>ADDRESS(ROW('Bond 1'!$D$17),COLUMN('Bond 1'!$D$17),4)</f>
        <v>D17</v>
      </c>
      <c r="D643" t="b" cm="1">
        <f t="array" aca="1" ref="D643" ca="1">IF(INDIRECT("'"&amp;A643&amp;"'!"&amp;B643)="",FALSE,IF(NOT(ISNUMBER(INDIRECT("'"&amp;A643&amp;"'!"&amp;B643))),TRUE,FALSE))</f>
        <v>0</v>
      </c>
      <c r="E643" t="s">
        <v>435</v>
      </c>
      <c r="F643" t="str">
        <f>INDEX(Lists!I:I,MATCH(Validation!E643,Lists!G:G,0))</f>
        <v>Error</v>
      </c>
      <c r="G643" t="str">
        <f>INDEX(Lists!H:H,MATCH(Validation!E643,Lists!G:G,0))</f>
        <v>Enter an amount only. Do not enter text or spaces.</v>
      </c>
      <c r="H643" s="25" t="str">
        <f t="shared" ca="1" si="147"/>
        <v/>
      </c>
      <c r="I643" s="25" t="str">
        <f t="shared" ca="1" si="148"/>
        <v/>
      </c>
      <c r="J643" s="26" t="str">
        <f t="shared" ca="1" si="149"/>
        <v/>
      </c>
    </row>
    <row r="644" spans="1:10" x14ac:dyDescent="0.25">
      <c r="A644" t="s">
        <v>311</v>
      </c>
      <c r="B644" t="str">
        <f>ADDRESS(ROW('Bond 1'!$B$17),COLUMN('Bond 1'!$B$17),4)</f>
        <v>B17</v>
      </c>
      <c r="C644" t="str">
        <f>ADDRESS(ROW('Bond 1'!$D$17),COLUMN('Bond 1'!$D$17),4)</f>
        <v>D17</v>
      </c>
      <c r="D644" t="b" cm="1">
        <f t="array" aca="1" ref="D644" ca="1">IF(INDIRECT("'"&amp;A644&amp;"'!"&amp;B644)="",FALSE,IF(NOT(ISNUMBER(INDIRECT("'"&amp;A644&amp;"'!"&amp;B644))),TRUE,FALSE))</f>
        <v>0</v>
      </c>
      <c r="E644" t="s">
        <v>435</v>
      </c>
      <c r="F644" t="str">
        <f>INDEX(Lists!I:I,MATCH(Validation!E644,Lists!G:G,0))</f>
        <v>Error</v>
      </c>
      <c r="G644" t="str">
        <f>INDEX(Lists!H:H,MATCH(Validation!E644,Lists!G:G,0))</f>
        <v>Enter an amount only. Do not enter text or spaces.</v>
      </c>
      <c r="H644" s="25" t="str">
        <f t="shared" ca="1" si="147"/>
        <v/>
      </c>
      <c r="I644" s="25" t="str">
        <f t="shared" ca="1" si="148"/>
        <v/>
      </c>
      <c r="J644" s="26" t="str">
        <f t="shared" ca="1" si="149"/>
        <v/>
      </c>
    </row>
    <row r="645" spans="1:10" x14ac:dyDescent="0.25">
      <c r="A645" t="s">
        <v>312</v>
      </c>
      <c r="B645" t="str">
        <f>ADDRESS(ROW('Bond 1'!$B$17),COLUMN('Bond 1'!$B$17),4)</f>
        <v>B17</v>
      </c>
      <c r="C645" t="str">
        <f>ADDRESS(ROW('Bond 1'!$D$17),COLUMN('Bond 1'!$D$17),4)</f>
        <v>D17</v>
      </c>
      <c r="D645" t="b" cm="1">
        <f t="array" aca="1" ref="D645" ca="1">IF(INDIRECT("'"&amp;A645&amp;"'!"&amp;B645)="",FALSE,IF(NOT(ISNUMBER(INDIRECT("'"&amp;A645&amp;"'!"&amp;B645))),TRUE,FALSE))</f>
        <v>0</v>
      </c>
      <c r="E645" t="s">
        <v>435</v>
      </c>
      <c r="F645" t="str">
        <f>INDEX(Lists!I:I,MATCH(Validation!E645,Lists!G:G,0))</f>
        <v>Error</v>
      </c>
      <c r="G645" t="str">
        <f>INDEX(Lists!H:H,MATCH(Validation!E645,Lists!G:G,0))</f>
        <v>Enter an amount only. Do not enter text or spaces.</v>
      </c>
      <c r="H645" s="25" t="str">
        <f t="shared" ca="1" si="147"/>
        <v/>
      </c>
      <c r="I645" s="25" t="str">
        <f t="shared" ca="1" si="148"/>
        <v/>
      </c>
      <c r="J645" s="26" t="str">
        <f t="shared" ca="1" si="149"/>
        <v/>
      </c>
    </row>
    <row r="646" spans="1:10" x14ac:dyDescent="0.25">
      <c r="A646" t="s">
        <v>313</v>
      </c>
      <c r="B646" t="str">
        <f>ADDRESS(ROW('Bond 1'!$B$17),COLUMN('Bond 1'!$B$17),4)</f>
        <v>B17</v>
      </c>
      <c r="C646" t="str">
        <f>ADDRESS(ROW('Bond 1'!$D$17),COLUMN('Bond 1'!$D$17),4)</f>
        <v>D17</v>
      </c>
      <c r="D646" t="b" cm="1">
        <f t="array" aca="1" ref="D646" ca="1">IF(INDIRECT("'"&amp;A646&amp;"'!"&amp;B646)="",FALSE,IF(NOT(ISNUMBER(INDIRECT("'"&amp;A646&amp;"'!"&amp;B646))),TRUE,FALSE))</f>
        <v>0</v>
      </c>
      <c r="E646" t="s">
        <v>435</v>
      </c>
      <c r="F646" t="str">
        <f>INDEX(Lists!I:I,MATCH(Validation!E646,Lists!G:G,0))</f>
        <v>Error</v>
      </c>
      <c r="G646" t="str">
        <f>INDEX(Lists!H:H,MATCH(Validation!E646,Lists!G:G,0))</f>
        <v>Enter an amount only. Do not enter text or spaces.</v>
      </c>
      <c r="H646" s="25" t="str">
        <f t="shared" ca="1" si="147"/>
        <v/>
      </c>
      <c r="I646" s="25" t="str">
        <f t="shared" ca="1" si="148"/>
        <v/>
      </c>
      <c r="J646" s="26" t="str">
        <f t="shared" ca="1" si="149"/>
        <v/>
      </c>
    </row>
    <row r="647" spans="1:10" x14ac:dyDescent="0.25">
      <c r="A647" t="s">
        <v>314</v>
      </c>
      <c r="B647" t="str">
        <f>ADDRESS(ROW('Bond 1'!$B$17),COLUMN('Bond 1'!$B$17),4)</f>
        <v>B17</v>
      </c>
      <c r="C647" t="str">
        <f>ADDRESS(ROW('Bond 1'!$D$17),COLUMN('Bond 1'!$D$17),4)</f>
        <v>D17</v>
      </c>
      <c r="D647" t="b" cm="1">
        <f t="array" aca="1" ref="D647" ca="1">IF(INDIRECT("'"&amp;A647&amp;"'!"&amp;B647)="",FALSE,IF(NOT(ISNUMBER(INDIRECT("'"&amp;A647&amp;"'!"&amp;B647))),TRUE,FALSE))</f>
        <v>0</v>
      </c>
      <c r="E647" t="s">
        <v>435</v>
      </c>
      <c r="F647" t="str">
        <f>INDEX(Lists!I:I,MATCH(Validation!E647,Lists!G:G,0))</f>
        <v>Error</v>
      </c>
      <c r="G647" t="str">
        <f>INDEX(Lists!H:H,MATCH(Validation!E647,Lists!G:G,0))</f>
        <v>Enter an amount only. Do not enter text or spaces.</v>
      </c>
      <c r="H647" s="25" t="str">
        <f t="shared" ca="1" si="147"/>
        <v/>
      </c>
      <c r="I647" s="25" t="str">
        <f t="shared" ca="1" si="148"/>
        <v/>
      </c>
      <c r="J647" s="26" t="str">
        <f t="shared" ca="1" si="149"/>
        <v/>
      </c>
    </row>
    <row r="648" spans="1:10" x14ac:dyDescent="0.25">
      <c r="A648" t="s">
        <v>315</v>
      </c>
      <c r="B648" t="str">
        <f>ADDRESS(ROW('Bond 1'!$B$17),COLUMN('Bond 1'!$B$17),4)</f>
        <v>B17</v>
      </c>
      <c r="C648" t="str">
        <f>ADDRESS(ROW('Bond 1'!$D$17),COLUMN('Bond 1'!$D$17),4)</f>
        <v>D17</v>
      </c>
      <c r="D648" t="b" cm="1">
        <f t="array" aca="1" ref="D648" ca="1">IF(INDIRECT("'"&amp;A648&amp;"'!"&amp;B648)="",FALSE,IF(NOT(ISNUMBER(INDIRECT("'"&amp;A648&amp;"'!"&amp;B648))),TRUE,FALSE))</f>
        <v>0</v>
      </c>
      <c r="E648" t="s">
        <v>435</v>
      </c>
      <c r="F648" t="str">
        <f>INDEX(Lists!I:I,MATCH(Validation!E648,Lists!G:G,0))</f>
        <v>Error</v>
      </c>
      <c r="G648" t="str">
        <f>INDEX(Lists!H:H,MATCH(Validation!E648,Lists!G:G,0))</f>
        <v>Enter an amount only. Do not enter text or spaces.</v>
      </c>
      <c r="H648" s="25" t="str">
        <f t="shared" ca="1" si="147"/>
        <v/>
      </c>
      <c r="I648" s="25" t="str">
        <f t="shared" ca="1" si="148"/>
        <v/>
      </c>
      <c r="J648" s="26" t="str">
        <f t="shared" ca="1" si="149"/>
        <v/>
      </c>
    </row>
    <row r="649" spans="1:10" x14ac:dyDescent="0.25">
      <c r="A649" t="s">
        <v>198</v>
      </c>
      <c r="B649" t="str">
        <f>ADDRESS(ROW('Bond 1'!$B$17),COLUMN('Bond 1'!$B$17),4)</f>
        <v>B17</v>
      </c>
      <c r="C649" t="str">
        <f>ADDRESS(ROW('Bond 1'!$D$17),COLUMN('Bond 1'!$D$17),4)</f>
        <v>D17</v>
      </c>
      <c r="D649" t="b" cm="1">
        <f t="array" aca="1" ref="D649" ca="1">IF(INDIRECT("'"&amp;A649&amp;"'!"&amp;B649)="",FALSE,IF(INDIRECT("'"&amp;A649&amp;"'!"&amp;B649)&gt;=0,FALSE,TRUE))</f>
        <v>0</v>
      </c>
      <c r="E649" t="s">
        <v>620</v>
      </c>
      <c r="F649" t="str">
        <f>INDEX(Lists!I:I,MATCH(Validation!E649,Lists!G:G,0))</f>
        <v>Error</v>
      </c>
      <c r="G649" t="str">
        <f>INDEX(Lists!H:H,MATCH(Validation!E649,Lists!G:G,0))</f>
        <v>Enter bond discount as a negative number.</v>
      </c>
      <c r="H649" s="25" t="str">
        <f t="shared" ref="H649:H712" ca="1" si="150">IFERROR(IF(OR(NOT(D649),F649&lt;&gt;"Error"),"",A649&amp;CELL("address",INDIRECT(B649))),"")</f>
        <v/>
      </c>
      <c r="I649" s="25" t="str">
        <f t="shared" ref="I649:I712" ca="1" si="151">IFERROR(IF(NOT(D649),"",A649&amp;CELL("address",INDIRECT(C649))),"")</f>
        <v/>
      </c>
      <c r="J649" s="26" t="str">
        <f t="shared" ref="J649:J712" ca="1" si="152">IFERROR(IF(NOT(D649),"",A649),"")</f>
        <v/>
      </c>
    </row>
    <row r="650" spans="1:10" x14ac:dyDescent="0.25">
      <c r="A650" t="s">
        <v>302</v>
      </c>
      <c r="B650" t="str">
        <f>ADDRESS(ROW('Bond 1'!$B$17),COLUMN('Bond 1'!$B$17),4)</f>
        <v>B17</v>
      </c>
      <c r="C650" t="str">
        <f>ADDRESS(ROW('Bond 1'!$D$17),COLUMN('Bond 1'!$D$17),4)</f>
        <v>D17</v>
      </c>
      <c r="D650" t="b" cm="1">
        <f t="array" aca="1" ref="D650" ca="1">IF(INDIRECT("'"&amp;A650&amp;"'!"&amp;B650)="",FALSE,IF(INDIRECT("'"&amp;A650&amp;"'!"&amp;B650)&gt;=0,FALSE,TRUE))</f>
        <v>0</v>
      </c>
      <c r="E650" t="s">
        <v>620</v>
      </c>
      <c r="F650" t="str">
        <f>INDEX(Lists!I:I,MATCH(Validation!E650,Lists!G:G,0))</f>
        <v>Error</v>
      </c>
      <c r="G650" t="str">
        <f>INDEX(Lists!H:H,MATCH(Validation!E650,Lists!G:G,0))</f>
        <v>Enter bond discount as a negative number.</v>
      </c>
      <c r="H650" s="25" t="str">
        <f t="shared" ca="1" si="150"/>
        <v/>
      </c>
      <c r="I650" s="25" t="str">
        <f t="shared" ca="1" si="151"/>
        <v/>
      </c>
      <c r="J650" s="26" t="str">
        <f t="shared" ca="1" si="152"/>
        <v/>
      </c>
    </row>
    <row r="651" spans="1:10" x14ac:dyDescent="0.25">
      <c r="A651" t="s">
        <v>303</v>
      </c>
      <c r="B651" t="str">
        <f>ADDRESS(ROW('Bond 1'!$B$17),COLUMN('Bond 1'!$B$17),4)</f>
        <v>B17</v>
      </c>
      <c r="C651" t="str">
        <f>ADDRESS(ROW('Bond 1'!$D$17),COLUMN('Bond 1'!$D$17),4)</f>
        <v>D17</v>
      </c>
      <c r="D651" t="b" cm="1">
        <f t="array" aca="1" ref="D651" ca="1">IF(INDIRECT("'"&amp;A651&amp;"'!"&amp;B651)="",FALSE,IF(INDIRECT("'"&amp;A651&amp;"'!"&amp;B651)&gt;=0,FALSE,TRUE))</f>
        <v>0</v>
      </c>
      <c r="E651" t="s">
        <v>620</v>
      </c>
      <c r="F651" t="str">
        <f>INDEX(Lists!I:I,MATCH(Validation!E651,Lists!G:G,0))</f>
        <v>Error</v>
      </c>
      <c r="G651" t="str">
        <f>INDEX(Lists!H:H,MATCH(Validation!E651,Lists!G:G,0))</f>
        <v>Enter bond discount as a negative number.</v>
      </c>
      <c r="H651" s="25" t="str">
        <f t="shared" ca="1" si="150"/>
        <v/>
      </c>
      <c r="I651" s="25" t="str">
        <f t="shared" ca="1" si="151"/>
        <v/>
      </c>
      <c r="J651" s="26" t="str">
        <f t="shared" ca="1" si="152"/>
        <v/>
      </c>
    </row>
    <row r="652" spans="1:10" x14ac:dyDescent="0.25">
      <c r="A652" t="s">
        <v>304</v>
      </c>
      <c r="B652" t="str">
        <f>ADDRESS(ROW('Bond 1'!$B$17),COLUMN('Bond 1'!$B$17),4)</f>
        <v>B17</v>
      </c>
      <c r="C652" t="str">
        <f>ADDRESS(ROW('Bond 1'!$D$17),COLUMN('Bond 1'!$D$17),4)</f>
        <v>D17</v>
      </c>
      <c r="D652" t="b" cm="1">
        <f t="array" aca="1" ref="D652" ca="1">IF(INDIRECT("'"&amp;A652&amp;"'!"&amp;B652)="",FALSE,IF(INDIRECT("'"&amp;A652&amp;"'!"&amp;B652)&gt;=0,FALSE,TRUE))</f>
        <v>0</v>
      </c>
      <c r="E652" t="s">
        <v>620</v>
      </c>
      <c r="F652" t="str">
        <f>INDEX(Lists!I:I,MATCH(Validation!E652,Lists!G:G,0))</f>
        <v>Error</v>
      </c>
      <c r="G652" t="str">
        <f>INDEX(Lists!H:H,MATCH(Validation!E652,Lists!G:G,0))</f>
        <v>Enter bond discount as a negative number.</v>
      </c>
      <c r="H652" s="25" t="str">
        <f t="shared" ca="1" si="150"/>
        <v/>
      </c>
      <c r="I652" s="25" t="str">
        <f t="shared" ca="1" si="151"/>
        <v/>
      </c>
      <c r="J652" s="26" t="str">
        <f t="shared" ca="1" si="152"/>
        <v/>
      </c>
    </row>
    <row r="653" spans="1:10" x14ac:dyDescent="0.25">
      <c r="A653" t="s">
        <v>305</v>
      </c>
      <c r="B653" t="str">
        <f>ADDRESS(ROW('Bond 1'!$B$17),COLUMN('Bond 1'!$B$17),4)</f>
        <v>B17</v>
      </c>
      <c r="C653" t="str">
        <f>ADDRESS(ROW('Bond 1'!$D$17),COLUMN('Bond 1'!$D$17),4)</f>
        <v>D17</v>
      </c>
      <c r="D653" t="b" cm="1">
        <f t="array" aca="1" ref="D653" ca="1">IF(INDIRECT("'"&amp;A653&amp;"'!"&amp;B653)="",FALSE,IF(INDIRECT("'"&amp;A653&amp;"'!"&amp;B653)&gt;=0,FALSE,TRUE))</f>
        <v>0</v>
      </c>
      <c r="E653" t="s">
        <v>620</v>
      </c>
      <c r="F653" t="str">
        <f>INDEX(Lists!I:I,MATCH(Validation!E653,Lists!G:G,0))</f>
        <v>Error</v>
      </c>
      <c r="G653" t="str">
        <f>INDEX(Lists!H:H,MATCH(Validation!E653,Lists!G:G,0))</f>
        <v>Enter bond discount as a negative number.</v>
      </c>
      <c r="H653" s="25" t="str">
        <f t="shared" ca="1" si="150"/>
        <v/>
      </c>
      <c r="I653" s="25" t="str">
        <f t="shared" ca="1" si="151"/>
        <v/>
      </c>
      <c r="J653" s="26" t="str">
        <f t="shared" ca="1" si="152"/>
        <v/>
      </c>
    </row>
    <row r="654" spans="1:10" x14ac:dyDescent="0.25">
      <c r="A654" t="s">
        <v>306</v>
      </c>
      <c r="B654" t="str">
        <f>ADDRESS(ROW('Bond 1'!$B$17),COLUMN('Bond 1'!$B$17),4)</f>
        <v>B17</v>
      </c>
      <c r="C654" t="str">
        <f>ADDRESS(ROW('Bond 1'!$D$17),COLUMN('Bond 1'!$D$17),4)</f>
        <v>D17</v>
      </c>
      <c r="D654" t="b" cm="1">
        <f t="array" aca="1" ref="D654" ca="1">IF(INDIRECT("'"&amp;A654&amp;"'!"&amp;B654)="",FALSE,IF(INDIRECT("'"&amp;A654&amp;"'!"&amp;B654)&gt;=0,FALSE,TRUE))</f>
        <v>0</v>
      </c>
      <c r="E654" t="s">
        <v>620</v>
      </c>
      <c r="F654" t="str">
        <f>INDEX(Lists!I:I,MATCH(Validation!E654,Lists!G:G,0))</f>
        <v>Error</v>
      </c>
      <c r="G654" t="str">
        <f>INDEX(Lists!H:H,MATCH(Validation!E654,Lists!G:G,0))</f>
        <v>Enter bond discount as a negative number.</v>
      </c>
      <c r="H654" s="25" t="str">
        <f t="shared" ca="1" si="150"/>
        <v/>
      </c>
      <c r="I654" s="25" t="str">
        <f t="shared" ca="1" si="151"/>
        <v/>
      </c>
      <c r="J654" s="26" t="str">
        <f t="shared" ca="1" si="152"/>
        <v/>
      </c>
    </row>
    <row r="655" spans="1:10" x14ac:dyDescent="0.25">
      <c r="A655" t="s">
        <v>307</v>
      </c>
      <c r="B655" t="str">
        <f>ADDRESS(ROW('Bond 1'!$B$17),COLUMN('Bond 1'!$B$17),4)</f>
        <v>B17</v>
      </c>
      <c r="C655" t="str">
        <f>ADDRESS(ROW('Bond 1'!$D$17),COLUMN('Bond 1'!$D$17),4)</f>
        <v>D17</v>
      </c>
      <c r="D655" t="b" cm="1">
        <f t="array" aca="1" ref="D655" ca="1">IF(INDIRECT("'"&amp;A655&amp;"'!"&amp;B655)="",FALSE,IF(INDIRECT("'"&amp;A655&amp;"'!"&amp;B655)&gt;=0,FALSE,TRUE))</f>
        <v>0</v>
      </c>
      <c r="E655" t="s">
        <v>620</v>
      </c>
      <c r="F655" t="str">
        <f>INDEX(Lists!I:I,MATCH(Validation!E655,Lists!G:G,0))</f>
        <v>Error</v>
      </c>
      <c r="G655" t="str">
        <f>INDEX(Lists!H:H,MATCH(Validation!E655,Lists!G:G,0))</f>
        <v>Enter bond discount as a negative number.</v>
      </c>
      <c r="H655" s="25" t="str">
        <f t="shared" ca="1" si="150"/>
        <v/>
      </c>
      <c r="I655" s="25" t="str">
        <f t="shared" ca="1" si="151"/>
        <v/>
      </c>
      <c r="J655" s="26" t="str">
        <f t="shared" ca="1" si="152"/>
        <v/>
      </c>
    </row>
    <row r="656" spans="1:10" x14ac:dyDescent="0.25">
      <c r="A656" t="s">
        <v>308</v>
      </c>
      <c r="B656" t="str">
        <f>ADDRESS(ROW('Bond 1'!$B$17),COLUMN('Bond 1'!$B$17),4)</f>
        <v>B17</v>
      </c>
      <c r="C656" t="str">
        <f>ADDRESS(ROW('Bond 1'!$D$17),COLUMN('Bond 1'!$D$17),4)</f>
        <v>D17</v>
      </c>
      <c r="D656" t="b" cm="1">
        <f t="array" aca="1" ref="D656" ca="1">IF(INDIRECT("'"&amp;A656&amp;"'!"&amp;B656)="",FALSE,IF(INDIRECT("'"&amp;A656&amp;"'!"&amp;B656)&gt;=0,FALSE,TRUE))</f>
        <v>0</v>
      </c>
      <c r="E656" t="s">
        <v>620</v>
      </c>
      <c r="F656" t="str">
        <f>INDEX(Lists!I:I,MATCH(Validation!E656,Lists!G:G,0))</f>
        <v>Error</v>
      </c>
      <c r="G656" t="str">
        <f>INDEX(Lists!H:H,MATCH(Validation!E656,Lists!G:G,0))</f>
        <v>Enter bond discount as a negative number.</v>
      </c>
      <c r="H656" s="25" t="str">
        <f t="shared" ca="1" si="150"/>
        <v/>
      </c>
      <c r="I656" s="25" t="str">
        <f t="shared" ca="1" si="151"/>
        <v/>
      </c>
      <c r="J656" s="26" t="str">
        <f t="shared" ca="1" si="152"/>
        <v/>
      </c>
    </row>
    <row r="657" spans="1:10" x14ac:dyDescent="0.25">
      <c r="A657" t="s">
        <v>309</v>
      </c>
      <c r="B657" t="str">
        <f>ADDRESS(ROW('Bond 1'!$B$17),COLUMN('Bond 1'!$B$17),4)</f>
        <v>B17</v>
      </c>
      <c r="C657" t="str">
        <f>ADDRESS(ROW('Bond 1'!$D$17),COLUMN('Bond 1'!$D$17),4)</f>
        <v>D17</v>
      </c>
      <c r="D657" t="b" cm="1">
        <f t="array" aca="1" ref="D657" ca="1">IF(INDIRECT("'"&amp;A657&amp;"'!"&amp;B657)="",FALSE,IF(INDIRECT("'"&amp;A657&amp;"'!"&amp;B657)&gt;=0,FALSE,TRUE))</f>
        <v>0</v>
      </c>
      <c r="E657" t="s">
        <v>620</v>
      </c>
      <c r="F657" t="str">
        <f>INDEX(Lists!I:I,MATCH(Validation!E657,Lists!G:G,0))</f>
        <v>Error</v>
      </c>
      <c r="G657" t="str">
        <f>INDEX(Lists!H:H,MATCH(Validation!E657,Lists!G:G,0))</f>
        <v>Enter bond discount as a negative number.</v>
      </c>
      <c r="H657" s="25" t="str">
        <f t="shared" ca="1" si="150"/>
        <v/>
      </c>
      <c r="I657" s="25" t="str">
        <f t="shared" ca="1" si="151"/>
        <v/>
      </c>
      <c r="J657" s="26" t="str">
        <f t="shared" ca="1" si="152"/>
        <v/>
      </c>
    </row>
    <row r="658" spans="1:10" x14ac:dyDescent="0.25">
      <c r="A658" t="s">
        <v>310</v>
      </c>
      <c r="B658" t="str">
        <f>ADDRESS(ROW('Bond 1'!$B$17),COLUMN('Bond 1'!$B$17),4)</f>
        <v>B17</v>
      </c>
      <c r="C658" t="str">
        <f>ADDRESS(ROW('Bond 1'!$D$17),COLUMN('Bond 1'!$D$17),4)</f>
        <v>D17</v>
      </c>
      <c r="D658" t="b" cm="1">
        <f t="array" aca="1" ref="D658" ca="1">IF(INDIRECT("'"&amp;A658&amp;"'!"&amp;B658)="",FALSE,IF(INDIRECT("'"&amp;A658&amp;"'!"&amp;B658)&gt;=0,FALSE,TRUE))</f>
        <v>0</v>
      </c>
      <c r="E658" t="s">
        <v>620</v>
      </c>
      <c r="F658" t="str">
        <f>INDEX(Lists!I:I,MATCH(Validation!E658,Lists!G:G,0))</f>
        <v>Error</v>
      </c>
      <c r="G658" t="str">
        <f>INDEX(Lists!H:H,MATCH(Validation!E658,Lists!G:G,0))</f>
        <v>Enter bond discount as a negative number.</v>
      </c>
      <c r="H658" s="25" t="str">
        <f t="shared" ca="1" si="150"/>
        <v/>
      </c>
      <c r="I658" s="25" t="str">
        <f t="shared" ca="1" si="151"/>
        <v/>
      </c>
      <c r="J658" s="26" t="str">
        <f t="shared" ca="1" si="152"/>
        <v/>
      </c>
    </row>
    <row r="659" spans="1:10" x14ac:dyDescent="0.25">
      <c r="A659" t="s">
        <v>311</v>
      </c>
      <c r="B659" t="str">
        <f>ADDRESS(ROW('Bond 1'!$B$17),COLUMN('Bond 1'!$B$17),4)</f>
        <v>B17</v>
      </c>
      <c r="C659" t="str">
        <f>ADDRESS(ROW('Bond 1'!$D$17),COLUMN('Bond 1'!$D$17),4)</f>
        <v>D17</v>
      </c>
      <c r="D659" t="b" cm="1">
        <f t="array" aca="1" ref="D659" ca="1">IF(INDIRECT("'"&amp;A659&amp;"'!"&amp;B659)="",FALSE,IF(INDIRECT("'"&amp;A659&amp;"'!"&amp;B659)&gt;=0,FALSE,TRUE))</f>
        <v>0</v>
      </c>
      <c r="E659" t="s">
        <v>620</v>
      </c>
      <c r="F659" t="str">
        <f>INDEX(Lists!I:I,MATCH(Validation!E659,Lists!G:G,0))</f>
        <v>Error</v>
      </c>
      <c r="G659" t="str">
        <f>INDEX(Lists!H:H,MATCH(Validation!E659,Lists!G:G,0))</f>
        <v>Enter bond discount as a negative number.</v>
      </c>
      <c r="H659" s="25" t="str">
        <f t="shared" ca="1" si="150"/>
        <v/>
      </c>
      <c r="I659" s="25" t="str">
        <f t="shared" ca="1" si="151"/>
        <v/>
      </c>
      <c r="J659" s="26" t="str">
        <f t="shared" ca="1" si="152"/>
        <v/>
      </c>
    </row>
    <row r="660" spans="1:10" x14ac:dyDescent="0.25">
      <c r="A660" t="s">
        <v>312</v>
      </c>
      <c r="B660" t="str">
        <f>ADDRESS(ROW('Bond 1'!$B$17),COLUMN('Bond 1'!$B$17),4)</f>
        <v>B17</v>
      </c>
      <c r="C660" t="str">
        <f>ADDRESS(ROW('Bond 1'!$D$17),COLUMN('Bond 1'!$D$17),4)</f>
        <v>D17</v>
      </c>
      <c r="D660" t="b" cm="1">
        <f t="array" aca="1" ref="D660" ca="1">IF(INDIRECT("'"&amp;A660&amp;"'!"&amp;B660)="",FALSE,IF(INDIRECT("'"&amp;A660&amp;"'!"&amp;B660)&gt;=0,FALSE,TRUE))</f>
        <v>0</v>
      </c>
      <c r="E660" t="s">
        <v>620</v>
      </c>
      <c r="F660" t="str">
        <f>INDEX(Lists!I:I,MATCH(Validation!E660,Lists!G:G,0))</f>
        <v>Error</v>
      </c>
      <c r="G660" t="str">
        <f>INDEX(Lists!H:H,MATCH(Validation!E660,Lists!G:G,0))</f>
        <v>Enter bond discount as a negative number.</v>
      </c>
      <c r="H660" s="25" t="str">
        <f t="shared" ca="1" si="150"/>
        <v/>
      </c>
      <c r="I660" s="25" t="str">
        <f t="shared" ca="1" si="151"/>
        <v/>
      </c>
      <c r="J660" s="26" t="str">
        <f t="shared" ca="1" si="152"/>
        <v/>
      </c>
    </row>
    <row r="661" spans="1:10" x14ac:dyDescent="0.25">
      <c r="A661" t="s">
        <v>313</v>
      </c>
      <c r="B661" t="str">
        <f>ADDRESS(ROW('Bond 1'!$B$17),COLUMN('Bond 1'!$B$17),4)</f>
        <v>B17</v>
      </c>
      <c r="C661" t="str">
        <f>ADDRESS(ROW('Bond 1'!$D$17),COLUMN('Bond 1'!$D$17),4)</f>
        <v>D17</v>
      </c>
      <c r="D661" t="b" cm="1">
        <f t="array" aca="1" ref="D661" ca="1">IF(INDIRECT("'"&amp;A661&amp;"'!"&amp;B661)="",FALSE,IF(INDIRECT("'"&amp;A661&amp;"'!"&amp;B661)&gt;=0,FALSE,TRUE))</f>
        <v>0</v>
      </c>
      <c r="E661" t="s">
        <v>620</v>
      </c>
      <c r="F661" t="str">
        <f>INDEX(Lists!I:I,MATCH(Validation!E661,Lists!G:G,0))</f>
        <v>Error</v>
      </c>
      <c r="G661" t="str">
        <f>INDEX(Lists!H:H,MATCH(Validation!E661,Lists!G:G,0))</f>
        <v>Enter bond discount as a negative number.</v>
      </c>
      <c r="H661" s="25" t="str">
        <f t="shared" ca="1" si="150"/>
        <v/>
      </c>
      <c r="I661" s="25" t="str">
        <f t="shared" ca="1" si="151"/>
        <v/>
      </c>
      <c r="J661" s="26" t="str">
        <f t="shared" ca="1" si="152"/>
        <v/>
      </c>
    </row>
    <row r="662" spans="1:10" x14ac:dyDescent="0.25">
      <c r="A662" t="s">
        <v>314</v>
      </c>
      <c r="B662" t="str">
        <f>ADDRESS(ROW('Bond 1'!$B$17),COLUMN('Bond 1'!$B$17),4)</f>
        <v>B17</v>
      </c>
      <c r="C662" t="str">
        <f>ADDRESS(ROW('Bond 1'!$D$17),COLUMN('Bond 1'!$D$17),4)</f>
        <v>D17</v>
      </c>
      <c r="D662" t="b" cm="1">
        <f t="array" aca="1" ref="D662" ca="1">IF(INDIRECT("'"&amp;A662&amp;"'!"&amp;B662)="",FALSE,IF(INDIRECT("'"&amp;A662&amp;"'!"&amp;B662)&gt;=0,FALSE,TRUE))</f>
        <v>0</v>
      </c>
      <c r="E662" t="s">
        <v>620</v>
      </c>
      <c r="F662" t="str">
        <f>INDEX(Lists!I:I,MATCH(Validation!E662,Lists!G:G,0))</f>
        <v>Error</v>
      </c>
      <c r="G662" t="str">
        <f>INDEX(Lists!H:H,MATCH(Validation!E662,Lists!G:G,0))</f>
        <v>Enter bond discount as a negative number.</v>
      </c>
      <c r="H662" s="25" t="str">
        <f t="shared" ca="1" si="150"/>
        <v/>
      </c>
      <c r="I662" s="25" t="str">
        <f t="shared" ca="1" si="151"/>
        <v/>
      </c>
      <c r="J662" s="26" t="str">
        <f t="shared" ca="1" si="152"/>
        <v/>
      </c>
    </row>
    <row r="663" spans="1:10" x14ac:dyDescent="0.25">
      <c r="A663" t="s">
        <v>315</v>
      </c>
      <c r="B663" t="str">
        <f>ADDRESS(ROW('Bond 1'!$B$17),COLUMN('Bond 1'!$B$17),4)</f>
        <v>B17</v>
      </c>
      <c r="C663" t="str">
        <f>ADDRESS(ROW('Bond 1'!$D$17),COLUMN('Bond 1'!$D$17),4)</f>
        <v>D17</v>
      </c>
      <c r="D663" t="b" cm="1">
        <f t="array" aca="1" ref="D663" ca="1">IF(INDIRECT("'"&amp;A663&amp;"'!"&amp;B663)="",FALSE,IF(INDIRECT("'"&amp;A663&amp;"'!"&amp;B663)&gt;=0,FALSE,TRUE))</f>
        <v>0</v>
      </c>
      <c r="E663" t="s">
        <v>620</v>
      </c>
      <c r="F663" t="str">
        <f>INDEX(Lists!I:I,MATCH(Validation!E663,Lists!G:G,0))</f>
        <v>Error</v>
      </c>
      <c r="G663" t="str">
        <f>INDEX(Lists!H:H,MATCH(Validation!E663,Lists!G:G,0))</f>
        <v>Enter bond discount as a negative number.</v>
      </c>
      <c r="H663" s="25" t="str">
        <f t="shared" ca="1" si="150"/>
        <v/>
      </c>
      <c r="I663" s="25" t="str">
        <f t="shared" ca="1" si="151"/>
        <v/>
      </c>
      <c r="J663" s="26" t="str">
        <f t="shared" ca="1" si="152"/>
        <v/>
      </c>
    </row>
    <row r="664" spans="1:10" x14ac:dyDescent="0.25">
      <c r="A664" t="s">
        <v>198</v>
      </c>
      <c r="B664" t="str">
        <f>ADDRESS(ROW('Bond 1'!$B$17),COLUMN('Bond 1'!$B$17),4)</f>
        <v>B17</v>
      </c>
      <c r="C664" t="str">
        <f>ADDRESS(ROW('Bond 1'!$D$17),COLUMN('Bond 1'!$D$17),4)</f>
        <v>D17</v>
      </c>
      <c r="D664" t="b" cm="1">
        <f t="array" aca="1" ref="D664" ca="1">IF(INDIRECT("'"&amp;A664&amp;"'!"&amp;B664)="",FALSE,IF(TRUNC(INDIRECT("'"&amp;A664&amp;"'!"&amp;B664))=INDIRECT("'"&amp;A664&amp;"'!"&amp;B664),FALSE,TRUE))</f>
        <v>0</v>
      </c>
      <c r="E664" t="s">
        <v>436</v>
      </c>
      <c r="F664" t="str">
        <f>INDEX(Lists!I:I,MATCH(Validation!E664,Lists!G:G,0))</f>
        <v>Error</v>
      </c>
      <c r="G664" t="str">
        <f>INDEX(Lists!H:H,MATCH(Validation!E664,Lists!G:G,0))</f>
        <v>Amount must be rounded to the nearest dollar.</v>
      </c>
      <c r="H664" s="25" t="str">
        <f t="shared" ca="1" si="150"/>
        <v/>
      </c>
      <c r="I664" s="25" t="str">
        <f t="shared" ca="1" si="151"/>
        <v/>
      </c>
      <c r="J664" s="26" t="str">
        <f t="shared" ca="1" si="152"/>
        <v/>
      </c>
    </row>
    <row r="665" spans="1:10" x14ac:dyDescent="0.25">
      <c r="A665" t="s">
        <v>302</v>
      </c>
      <c r="B665" t="str">
        <f>ADDRESS(ROW('Bond 1'!$B$17),COLUMN('Bond 1'!$B$17),4)</f>
        <v>B17</v>
      </c>
      <c r="C665" t="str">
        <f>ADDRESS(ROW('Bond 1'!$D$17),COLUMN('Bond 1'!$D$17),4)</f>
        <v>D17</v>
      </c>
      <c r="D665" t="b" cm="1">
        <f t="array" aca="1" ref="D665" ca="1">IF(INDIRECT("'"&amp;A665&amp;"'!"&amp;B665)="",FALSE,IF(TRUNC(INDIRECT("'"&amp;A665&amp;"'!"&amp;B665))=INDIRECT("'"&amp;A665&amp;"'!"&amp;B665),FALSE,TRUE))</f>
        <v>0</v>
      </c>
      <c r="E665" t="s">
        <v>436</v>
      </c>
      <c r="F665" t="str">
        <f>INDEX(Lists!I:I,MATCH(Validation!E665,Lists!G:G,0))</f>
        <v>Error</v>
      </c>
      <c r="G665" t="str">
        <f>INDEX(Lists!H:H,MATCH(Validation!E665,Lists!G:G,0))</f>
        <v>Amount must be rounded to the nearest dollar.</v>
      </c>
      <c r="H665" s="25" t="str">
        <f t="shared" ca="1" si="150"/>
        <v/>
      </c>
      <c r="I665" s="25" t="str">
        <f t="shared" ca="1" si="151"/>
        <v/>
      </c>
      <c r="J665" s="26" t="str">
        <f t="shared" ca="1" si="152"/>
        <v/>
      </c>
    </row>
    <row r="666" spans="1:10" x14ac:dyDescent="0.25">
      <c r="A666" t="s">
        <v>303</v>
      </c>
      <c r="B666" t="str">
        <f>ADDRESS(ROW('Bond 1'!$B$17),COLUMN('Bond 1'!$B$17),4)</f>
        <v>B17</v>
      </c>
      <c r="C666" t="str">
        <f>ADDRESS(ROW('Bond 1'!$D$17),COLUMN('Bond 1'!$D$17),4)</f>
        <v>D17</v>
      </c>
      <c r="D666" t="b" cm="1">
        <f t="array" aca="1" ref="D666" ca="1">IF(INDIRECT("'"&amp;A666&amp;"'!"&amp;B666)="",FALSE,IF(TRUNC(INDIRECT("'"&amp;A666&amp;"'!"&amp;B666))=INDIRECT("'"&amp;A666&amp;"'!"&amp;B666),FALSE,TRUE))</f>
        <v>0</v>
      </c>
      <c r="E666" t="s">
        <v>436</v>
      </c>
      <c r="F666" t="str">
        <f>INDEX(Lists!I:I,MATCH(Validation!E666,Lists!G:G,0))</f>
        <v>Error</v>
      </c>
      <c r="G666" t="str">
        <f>INDEX(Lists!H:H,MATCH(Validation!E666,Lists!G:G,0))</f>
        <v>Amount must be rounded to the nearest dollar.</v>
      </c>
      <c r="H666" s="25" t="str">
        <f t="shared" ca="1" si="150"/>
        <v/>
      </c>
      <c r="I666" s="25" t="str">
        <f t="shared" ca="1" si="151"/>
        <v/>
      </c>
      <c r="J666" s="26" t="str">
        <f t="shared" ca="1" si="152"/>
        <v/>
      </c>
    </row>
    <row r="667" spans="1:10" x14ac:dyDescent="0.25">
      <c r="A667" t="s">
        <v>304</v>
      </c>
      <c r="B667" t="str">
        <f>ADDRESS(ROW('Bond 1'!$B$17),COLUMN('Bond 1'!$B$17),4)</f>
        <v>B17</v>
      </c>
      <c r="C667" t="str">
        <f>ADDRESS(ROW('Bond 1'!$D$17),COLUMN('Bond 1'!$D$17),4)</f>
        <v>D17</v>
      </c>
      <c r="D667" t="b" cm="1">
        <f t="array" aca="1" ref="D667" ca="1">IF(INDIRECT("'"&amp;A667&amp;"'!"&amp;B667)="",FALSE,IF(TRUNC(INDIRECT("'"&amp;A667&amp;"'!"&amp;B667))=INDIRECT("'"&amp;A667&amp;"'!"&amp;B667),FALSE,TRUE))</f>
        <v>0</v>
      </c>
      <c r="E667" t="s">
        <v>436</v>
      </c>
      <c r="F667" t="str">
        <f>INDEX(Lists!I:I,MATCH(Validation!E667,Lists!G:G,0))</f>
        <v>Error</v>
      </c>
      <c r="G667" t="str">
        <f>INDEX(Lists!H:H,MATCH(Validation!E667,Lists!G:G,0))</f>
        <v>Amount must be rounded to the nearest dollar.</v>
      </c>
      <c r="H667" s="25" t="str">
        <f t="shared" ca="1" si="150"/>
        <v/>
      </c>
      <c r="I667" s="25" t="str">
        <f t="shared" ca="1" si="151"/>
        <v/>
      </c>
      <c r="J667" s="26" t="str">
        <f t="shared" ca="1" si="152"/>
        <v/>
      </c>
    </row>
    <row r="668" spans="1:10" x14ac:dyDescent="0.25">
      <c r="A668" t="s">
        <v>305</v>
      </c>
      <c r="B668" t="str">
        <f>ADDRESS(ROW('Bond 1'!$B$17),COLUMN('Bond 1'!$B$17),4)</f>
        <v>B17</v>
      </c>
      <c r="C668" t="str">
        <f>ADDRESS(ROW('Bond 1'!$D$17),COLUMN('Bond 1'!$D$17),4)</f>
        <v>D17</v>
      </c>
      <c r="D668" t="b" cm="1">
        <f t="array" aca="1" ref="D668" ca="1">IF(INDIRECT("'"&amp;A668&amp;"'!"&amp;B668)="",FALSE,IF(TRUNC(INDIRECT("'"&amp;A668&amp;"'!"&amp;B668))=INDIRECT("'"&amp;A668&amp;"'!"&amp;B668),FALSE,TRUE))</f>
        <v>0</v>
      </c>
      <c r="E668" t="s">
        <v>436</v>
      </c>
      <c r="F668" t="str">
        <f>INDEX(Lists!I:I,MATCH(Validation!E668,Lists!G:G,0))</f>
        <v>Error</v>
      </c>
      <c r="G668" t="str">
        <f>INDEX(Lists!H:H,MATCH(Validation!E668,Lists!G:G,0))</f>
        <v>Amount must be rounded to the nearest dollar.</v>
      </c>
      <c r="H668" s="25" t="str">
        <f t="shared" ca="1" si="150"/>
        <v/>
      </c>
      <c r="I668" s="25" t="str">
        <f t="shared" ca="1" si="151"/>
        <v/>
      </c>
      <c r="J668" s="26" t="str">
        <f t="shared" ca="1" si="152"/>
        <v/>
      </c>
    </row>
    <row r="669" spans="1:10" x14ac:dyDescent="0.25">
      <c r="A669" t="s">
        <v>306</v>
      </c>
      <c r="B669" t="str">
        <f>ADDRESS(ROW('Bond 1'!$B$17),COLUMN('Bond 1'!$B$17),4)</f>
        <v>B17</v>
      </c>
      <c r="C669" t="str">
        <f>ADDRESS(ROW('Bond 1'!$D$17),COLUMN('Bond 1'!$D$17),4)</f>
        <v>D17</v>
      </c>
      <c r="D669" t="b" cm="1">
        <f t="array" aca="1" ref="D669" ca="1">IF(INDIRECT("'"&amp;A669&amp;"'!"&amp;B669)="",FALSE,IF(TRUNC(INDIRECT("'"&amp;A669&amp;"'!"&amp;B669))=INDIRECT("'"&amp;A669&amp;"'!"&amp;B669),FALSE,TRUE))</f>
        <v>0</v>
      </c>
      <c r="E669" t="s">
        <v>436</v>
      </c>
      <c r="F669" t="str">
        <f>INDEX(Lists!I:I,MATCH(Validation!E669,Lists!G:G,0))</f>
        <v>Error</v>
      </c>
      <c r="G669" t="str">
        <f>INDEX(Lists!H:H,MATCH(Validation!E669,Lists!G:G,0))</f>
        <v>Amount must be rounded to the nearest dollar.</v>
      </c>
      <c r="H669" s="25" t="str">
        <f t="shared" ca="1" si="150"/>
        <v/>
      </c>
      <c r="I669" s="25" t="str">
        <f t="shared" ca="1" si="151"/>
        <v/>
      </c>
      <c r="J669" s="26" t="str">
        <f t="shared" ca="1" si="152"/>
        <v/>
      </c>
    </row>
    <row r="670" spans="1:10" x14ac:dyDescent="0.25">
      <c r="A670" t="s">
        <v>307</v>
      </c>
      <c r="B670" t="str">
        <f>ADDRESS(ROW('Bond 1'!$B$17),COLUMN('Bond 1'!$B$17),4)</f>
        <v>B17</v>
      </c>
      <c r="C670" t="str">
        <f>ADDRESS(ROW('Bond 1'!$D$17),COLUMN('Bond 1'!$D$17),4)</f>
        <v>D17</v>
      </c>
      <c r="D670" t="b" cm="1">
        <f t="array" aca="1" ref="D670" ca="1">IF(INDIRECT("'"&amp;A670&amp;"'!"&amp;B670)="",FALSE,IF(TRUNC(INDIRECT("'"&amp;A670&amp;"'!"&amp;B670))=INDIRECT("'"&amp;A670&amp;"'!"&amp;B670),FALSE,TRUE))</f>
        <v>0</v>
      </c>
      <c r="E670" t="s">
        <v>436</v>
      </c>
      <c r="F670" t="str">
        <f>INDEX(Lists!I:I,MATCH(Validation!E670,Lists!G:G,0))</f>
        <v>Error</v>
      </c>
      <c r="G670" t="str">
        <f>INDEX(Lists!H:H,MATCH(Validation!E670,Lists!G:G,0))</f>
        <v>Amount must be rounded to the nearest dollar.</v>
      </c>
      <c r="H670" s="25" t="str">
        <f t="shared" ca="1" si="150"/>
        <v/>
      </c>
      <c r="I670" s="25" t="str">
        <f t="shared" ca="1" si="151"/>
        <v/>
      </c>
      <c r="J670" s="26" t="str">
        <f t="shared" ca="1" si="152"/>
        <v/>
      </c>
    </row>
    <row r="671" spans="1:10" x14ac:dyDescent="0.25">
      <c r="A671" t="s">
        <v>308</v>
      </c>
      <c r="B671" t="str">
        <f>ADDRESS(ROW('Bond 1'!$B$17),COLUMN('Bond 1'!$B$17),4)</f>
        <v>B17</v>
      </c>
      <c r="C671" t="str">
        <f>ADDRESS(ROW('Bond 1'!$D$17),COLUMN('Bond 1'!$D$17),4)</f>
        <v>D17</v>
      </c>
      <c r="D671" t="b" cm="1">
        <f t="array" aca="1" ref="D671" ca="1">IF(INDIRECT("'"&amp;A671&amp;"'!"&amp;B671)="",FALSE,IF(TRUNC(INDIRECT("'"&amp;A671&amp;"'!"&amp;B671))=INDIRECT("'"&amp;A671&amp;"'!"&amp;B671),FALSE,TRUE))</f>
        <v>0</v>
      </c>
      <c r="E671" t="s">
        <v>436</v>
      </c>
      <c r="F671" t="str">
        <f>INDEX(Lists!I:I,MATCH(Validation!E671,Lists!G:G,0))</f>
        <v>Error</v>
      </c>
      <c r="G671" t="str">
        <f>INDEX(Lists!H:H,MATCH(Validation!E671,Lists!G:G,0))</f>
        <v>Amount must be rounded to the nearest dollar.</v>
      </c>
      <c r="H671" s="25" t="str">
        <f t="shared" ca="1" si="150"/>
        <v/>
      </c>
      <c r="I671" s="25" t="str">
        <f t="shared" ca="1" si="151"/>
        <v/>
      </c>
      <c r="J671" s="26" t="str">
        <f t="shared" ca="1" si="152"/>
        <v/>
      </c>
    </row>
    <row r="672" spans="1:10" x14ac:dyDescent="0.25">
      <c r="A672" t="s">
        <v>309</v>
      </c>
      <c r="B672" t="str">
        <f>ADDRESS(ROW('Bond 1'!$B$17),COLUMN('Bond 1'!$B$17),4)</f>
        <v>B17</v>
      </c>
      <c r="C672" t="str">
        <f>ADDRESS(ROW('Bond 1'!$D$17),COLUMN('Bond 1'!$D$17),4)</f>
        <v>D17</v>
      </c>
      <c r="D672" t="b" cm="1">
        <f t="array" aca="1" ref="D672" ca="1">IF(INDIRECT("'"&amp;A672&amp;"'!"&amp;B672)="",FALSE,IF(TRUNC(INDIRECT("'"&amp;A672&amp;"'!"&amp;B672))=INDIRECT("'"&amp;A672&amp;"'!"&amp;B672),FALSE,TRUE))</f>
        <v>0</v>
      </c>
      <c r="E672" t="s">
        <v>436</v>
      </c>
      <c r="F672" t="str">
        <f>INDEX(Lists!I:I,MATCH(Validation!E672,Lists!G:G,0))</f>
        <v>Error</v>
      </c>
      <c r="G672" t="str">
        <f>INDEX(Lists!H:H,MATCH(Validation!E672,Lists!G:G,0))</f>
        <v>Amount must be rounded to the nearest dollar.</v>
      </c>
      <c r="H672" s="25" t="str">
        <f t="shared" ca="1" si="150"/>
        <v/>
      </c>
      <c r="I672" s="25" t="str">
        <f t="shared" ca="1" si="151"/>
        <v/>
      </c>
      <c r="J672" s="26" t="str">
        <f t="shared" ca="1" si="152"/>
        <v/>
      </c>
    </row>
    <row r="673" spans="1:10" x14ac:dyDescent="0.25">
      <c r="A673" t="s">
        <v>310</v>
      </c>
      <c r="B673" t="str">
        <f>ADDRESS(ROW('Bond 1'!$B$17),COLUMN('Bond 1'!$B$17),4)</f>
        <v>B17</v>
      </c>
      <c r="C673" t="str">
        <f>ADDRESS(ROW('Bond 1'!$D$17),COLUMN('Bond 1'!$D$17),4)</f>
        <v>D17</v>
      </c>
      <c r="D673" t="b" cm="1">
        <f t="array" aca="1" ref="D673" ca="1">IF(INDIRECT("'"&amp;A673&amp;"'!"&amp;B673)="",FALSE,IF(TRUNC(INDIRECT("'"&amp;A673&amp;"'!"&amp;B673))=INDIRECT("'"&amp;A673&amp;"'!"&amp;B673),FALSE,TRUE))</f>
        <v>0</v>
      </c>
      <c r="E673" t="s">
        <v>436</v>
      </c>
      <c r="F673" t="str">
        <f>INDEX(Lists!I:I,MATCH(Validation!E673,Lists!G:G,0))</f>
        <v>Error</v>
      </c>
      <c r="G673" t="str">
        <f>INDEX(Lists!H:H,MATCH(Validation!E673,Lists!G:G,0))</f>
        <v>Amount must be rounded to the nearest dollar.</v>
      </c>
      <c r="H673" s="25" t="str">
        <f t="shared" ca="1" si="150"/>
        <v/>
      </c>
      <c r="I673" s="25" t="str">
        <f t="shared" ca="1" si="151"/>
        <v/>
      </c>
      <c r="J673" s="26" t="str">
        <f t="shared" ca="1" si="152"/>
        <v/>
      </c>
    </row>
    <row r="674" spans="1:10" x14ac:dyDescent="0.25">
      <c r="A674" t="s">
        <v>311</v>
      </c>
      <c r="B674" t="str">
        <f>ADDRESS(ROW('Bond 1'!$B$17),COLUMN('Bond 1'!$B$17),4)</f>
        <v>B17</v>
      </c>
      <c r="C674" t="str">
        <f>ADDRESS(ROW('Bond 1'!$D$17),COLUMN('Bond 1'!$D$17),4)</f>
        <v>D17</v>
      </c>
      <c r="D674" t="b" cm="1">
        <f t="array" aca="1" ref="D674" ca="1">IF(INDIRECT("'"&amp;A674&amp;"'!"&amp;B674)="",FALSE,IF(TRUNC(INDIRECT("'"&amp;A674&amp;"'!"&amp;B674))=INDIRECT("'"&amp;A674&amp;"'!"&amp;B674),FALSE,TRUE))</f>
        <v>0</v>
      </c>
      <c r="E674" t="s">
        <v>436</v>
      </c>
      <c r="F674" t="str">
        <f>INDEX(Lists!I:I,MATCH(Validation!E674,Lists!G:G,0))</f>
        <v>Error</v>
      </c>
      <c r="G674" t="str">
        <f>INDEX(Lists!H:H,MATCH(Validation!E674,Lists!G:G,0))</f>
        <v>Amount must be rounded to the nearest dollar.</v>
      </c>
      <c r="H674" s="25" t="str">
        <f t="shared" ca="1" si="150"/>
        <v/>
      </c>
      <c r="I674" s="25" t="str">
        <f t="shared" ca="1" si="151"/>
        <v/>
      </c>
      <c r="J674" s="26" t="str">
        <f t="shared" ca="1" si="152"/>
        <v/>
      </c>
    </row>
    <row r="675" spans="1:10" x14ac:dyDescent="0.25">
      <c r="A675" t="s">
        <v>312</v>
      </c>
      <c r="B675" t="str">
        <f>ADDRESS(ROW('Bond 1'!$B$17),COLUMN('Bond 1'!$B$17),4)</f>
        <v>B17</v>
      </c>
      <c r="C675" t="str">
        <f>ADDRESS(ROW('Bond 1'!$D$17),COLUMN('Bond 1'!$D$17),4)</f>
        <v>D17</v>
      </c>
      <c r="D675" t="b" cm="1">
        <f t="array" aca="1" ref="D675" ca="1">IF(INDIRECT("'"&amp;A675&amp;"'!"&amp;B675)="",FALSE,IF(TRUNC(INDIRECT("'"&amp;A675&amp;"'!"&amp;B675))=INDIRECT("'"&amp;A675&amp;"'!"&amp;B675),FALSE,TRUE))</f>
        <v>0</v>
      </c>
      <c r="E675" t="s">
        <v>436</v>
      </c>
      <c r="F675" t="str">
        <f>INDEX(Lists!I:I,MATCH(Validation!E675,Lists!G:G,0))</f>
        <v>Error</v>
      </c>
      <c r="G675" t="str">
        <f>INDEX(Lists!H:H,MATCH(Validation!E675,Lists!G:G,0))</f>
        <v>Amount must be rounded to the nearest dollar.</v>
      </c>
      <c r="H675" s="25" t="str">
        <f t="shared" ca="1" si="150"/>
        <v/>
      </c>
      <c r="I675" s="25" t="str">
        <f t="shared" ca="1" si="151"/>
        <v/>
      </c>
      <c r="J675" s="26" t="str">
        <f t="shared" ca="1" si="152"/>
        <v/>
      </c>
    </row>
    <row r="676" spans="1:10" x14ac:dyDescent="0.25">
      <c r="A676" t="s">
        <v>313</v>
      </c>
      <c r="B676" t="str">
        <f>ADDRESS(ROW('Bond 1'!$B$17),COLUMN('Bond 1'!$B$17),4)</f>
        <v>B17</v>
      </c>
      <c r="C676" t="str">
        <f>ADDRESS(ROW('Bond 1'!$D$17),COLUMN('Bond 1'!$D$17),4)</f>
        <v>D17</v>
      </c>
      <c r="D676" t="b" cm="1">
        <f t="array" aca="1" ref="D676" ca="1">IF(INDIRECT("'"&amp;A676&amp;"'!"&amp;B676)="",FALSE,IF(TRUNC(INDIRECT("'"&amp;A676&amp;"'!"&amp;B676))=INDIRECT("'"&amp;A676&amp;"'!"&amp;B676),FALSE,TRUE))</f>
        <v>0</v>
      </c>
      <c r="E676" t="s">
        <v>436</v>
      </c>
      <c r="F676" t="str">
        <f>INDEX(Lists!I:I,MATCH(Validation!E676,Lists!G:G,0))</f>
        <v>Error</v>
      </c>
      <c r="G676" t="str">
        <f>INDEX(Lists!H:H,MATCH(Validation!E676,Lists!G:G,0))</f>
        <v>Amount must be rounded to the nearest dollar.</v>
      </c>
      <c r="H676" s="25" t="str">
        <f t="shared" ca="1" si="150"/>
        <v/>
      </c>
      <c r="I676" s="25" t="str">
        <f t="shared" ca="1" si="151"/>
        <v/>
      </c>
      <c r="J676" s="26" t="str">
        <f t="shared" ca="1" si="152"/>
        <v/>
      </c>
    </row>
    <row r="677" spans="1:10" x14ac:dyDescent="0.25">
      <c r="A677" t="s">
        <v>314</v>
      </c>
      <c r="B677" t="str">
        <f>ADDRESS(ROW('Bond 1'!$B$17),COLUMN('Bond 1'!$B$17),4)</f>
        <v>B17</v>
      </c>
      <c r="C677" t="str">
        <f>ADDRESS(ROW('Bond 1'!$D$17),COLUMN('Bond 1'!$D$17),4)</f>
        <v>D17</v>
      </c>
      <c r="D677" t="b" cm="1">
        <f t="array" aca="1" ref="D677" ca="1">IF(INDIRECT("'"&amp;A677&amp;"'!"&amp;B677)="",FALSE,IF(TRUNC(INDIRECT("'"&amp;A677&amp;"'!"&amp;B677))=INDIRECT("'"&amp;A677&amp;"'!"&amp;B677),FALSE,TRUE))</f>
        <v>0</v>
      </c>
      <c r="E677" t="s">
        <v>436</v>
      </c>
      <c r="F677" t="str">
        <f>INDEX(Lists!I:I,MATCH(Validation!E677,Lists!G:G,0))</f>
        <v>Error</v>
      </c>
      <c r="G677" t="str">
        <f>INDEX(Lists!H:H,MATCH(Validation!E677,Lists!G:G,0))</f>
        <v>Amount must be rounded to the nearest dollar.</v>
      </c>
      <c r="H677" s="25" t="str">
        <f t="shared" ca="1" si="150"/>
        <v/>
      </c>
      <c r="I677" s="25" t="str">
        <f t="shared" ca="1" si="151"/>
        <v/>
      </c>
      <c r="J677" s="26" t="str">
        <f t="shared" ca="1" si="152"/>
        <v/>
      </c>
    </row>
    <row r="678" spans="1:10" x14ac:dyDescent="0.25">
      <c r="A678" t="s">
        <v>315</v>
      </c>
      <c r="B678" t="str">
        <f>ADDRESS(ROW('Bond 1'!$B$17),COLUMN('Bond 1'!$B$17),4)</f>
        <v>B17</v>
      </c>
      <c r="C678" t="str">
        <f>ADDRESS(ROW('Bond 1'!$D$17),COLUMN('Bond 1'!$D$17),4)</f>
        <v>D17</v>
      </c>
      <c r="D678" t="b" cm="1">
        <f t="array" aca="1" ref="D678" ca="1">IF(INDIRECT("'"&amp;A678&amp;"'!"&amp;B678)="",FALSE,IF(TRUNC(INDIRECT("'"&amp;A678&amp;"'!"&amp;B678))=INDIRECT("'"&amp;A678&amp;"'!"&amp;B678),FALSE,TRUE))</f>
        <v>0</v>
      </c>
      <c r="E678" t="s">
        <v>436</v>
      </c>
      <c r="F678" t="str">
        <f>INDEX(Lists!I:I,MATCH(Validation!E678,Lists!G:G,0))</f>
        <v>Error</v>
      </c>
      <c r="G678" t="str">
        <f>INDEX(Lists!H:H,MATCH(Validation!E678,Lists!G:G,0))</f>
        <v>Amount must be rounded to the nearest dollar.</v>
      </c>
      <c r="H678" s="25" t="str">
        <f t="shared" ca="1" si="150"/>
        <v/>
      </c>
      <c r="I678" s="25" t="str">
        <f t="shared" ca="1" si="151"/>
        <v/>
      </c>
      <c r="J678" s="26" t="str">
        <f t="shared" ca="1" si="152"/>
        <v/>
      </c>
    </row>
    <row r="679" spans="1:10" x14ac:dyDescent="0.25">
      <c r="A679" t="s">
        <v>198</v>
      </c>
      <c r="B679" t="str">
        <f>ADDRESS(ROW('Bond 1'!$B$18),COLUMN('Bond 1'!$B$18),4)</f>
        <v>B18</v>
      </c>
      <c r="C679" t="str">
        <f>ADDRESS(ROW('Bond 1'!$D$18),COLUMN('Bond 1'!$D$18),4)</f>
        <v>D18</v>
      </c>
      <c r="D679" t="b" cm="1">
        <f t="array" aca="1" ref="D679" ca="1">IF(INDIRECT("'"&amp;A679&amp;"'!"&amp;B679)="",FALSE,IF(NOT(ISNUMBER(INDIRECT("'"&amp;A679&amp;"'!"&amp;B679))),TRUE,FALSE))</f>
        <v>0</v>
      </c>
      <c r="E679" t="s">
        <v>435</v>
      </c>
      <c r="F679" t="str">
        <f>INDEX(Lists!I:I,MATCH(Validation!E679,Lists!G:G,0))</f>
        <v>Error</v>
      </c>
      <c r="G679" t="str">
        <f>INDEX(Lists!H:H,MATCH(Validation!E679,Lists!G:G,0))</f>
        <v>Enter an amount only. Do not enter text or spaces.</v>
      </c>
      <c r="H679" s="25" t="str">
        <f t="shared" ca="1" si="150"/>
        <v/>
      </c>
      <c r="I679" s="25" t="str">
        <f t="shared" ca="1" si="151"/>
        <v/>
      </c>
      <c r="J679" s="26" t="str">
        <f t="shared" ca="1" si="152"/>
        <v/>
      </c>
    </row>
    <row r="680" spans="1:10" x14ac:dyDescent="0.25">
      <c r="A680" t="s">
        <v>302</v>
      </c>
      <c r="B680" t="str">
        <f>ADDRESS(ROW('Bond 1'!$B$18),COLUMN('Bond 1'!$B$18),4)</f>
        <v>B18</v>
      </c>
      <c r="C680" t="str">
        <f>ADDRESS(ROW('Bond 1'!$D$18),COLUMN('Bond 1'!$D$18),4)</f>
        <v>D18</v>
      </c>
      <c r="D680" t="b" cm="1">
        <f t="array" aca="1" ref="D680" ca="1">IF(INDIRECT("'"&amp;A680&amp;"'!"&amp;B680)="",FALSE,IF(NOT(ISNUMBER(INDIRECT("'"&amp;A680&amp;"'!"&amp;B680))),TRUE,FALSE))</f>
        <v>0</v>
      </c>
      <c r="E680" t="s">
        <v>435</v>
      </c>
      <c r="F680" t="str">
        <f>INDEX(Lists!I:I,MATCH(Validation!E680,Lists!G:G,0))</f>
        <v>Error</v>
      </c>
      <c r="G680" t="str">
        <f>INDEX(Lists!H:H,MATCH(Validation!E680,Lists!G:G,0))</f>
        <v>Enter an amount only. Do not enter text or spaces.</v>
      </c>
      <c r="H680" s="25" t="str">
        <f t="shared" ca="1" si="150"/>
        <v/>
      </c>
      <c r="I680" s="25" t="str">
        <f t="shared" ca="1" si="151"/>
        <v/>
      </c>
      <c r="J680" s="26" t="str">
        <f t="shared" ca="1" si="152"/>
        <v/>
      </c>
    </row>
    <row r="681" spans="1:10" x14ac:dyDescent="0.25">
      <c r="A681" t="s">
        <v>303</v>
      </c>
      <c r="B681" t="str">
        <f>ADDRESS(ROW('Bond 1'!$B$18),COLUMN('Bond 1'!$B$18),4)</f>
        <v>B18</v>
      </c>
      <c r="C681" t="str">
        <f>ADDRESS(ROW('Bond 1'!$D$18),COLUMN('Bond 1'!$D$18),4)</f>
        <v>D18</v>
      </c>
      <c r="D681" t="b" cm="1">
        <f t="array" aca="1" ref="D681" ca="1">IF(INDIRECT("'"&amp;A681&amp;"'!"&amp;B681)="",FALSE,IF(NOT(ISNUMBER(INDIRECT("'"&amp;A681&amp;"'!"&amp;B681))),TRUE,FALSE))</f>
        <v>0</v>
      </c>
      <c r="E681" t="s">
        <v>435</v>
      </c>
      <c r="F681" t="str">
        <f>INDEX(Lists!I:I,MATCH(Validation!E681,Lists!G:G,0))</f>
        <v>Error</v>
      </c>
      <c r="G681" t="str">
        <f>INDEX(Lists!H:H,MATCH(Validation!E681,Lists!G:G,0))</f>
        <v>Enter an amount only. Do not enter text or spaces.</v>
      </c>
      <c r="H681" s="25" t="str">
        <f t="shared" ca="1" si="150"/>
        <v/>
      </c>
      <c r="I681" s="25" t="str">
        <f t="shared" ca="1" si="151"/>
        <v/>
      </c>
      <c r="J681" s="26" t="str">
        <f t="shared" ca="1" si="152"/>
        <v/>
      </c>
    </row>
    <row r="682" spans="1:10" x14ac:dyDescent="0.25">
      <c r="A682" t="s">
        <v>304</v>
      </c>
      <c r="B682" t="str">
        <f>ADDRESS(ROW('Bond 1'!$B$18),COLUMN('Bond 1'!$B$18),4)</f>
        <v>B18</v>
      </c>
      <c r="C682" t="str">
        <f>ADDRESS(ROW('Bond 1'!$D$18),COLUMN('Bond 1'!$D$18),4)</f>
        <v>D18</v>
      </c>
      <c r="D682" t="b" cm="1">
        <f t="array" aca="1" ref="D682" ca="1">IF(INDIRECT("'"&amp;A682&amp;"'!"&amp;B682)="",FALSE,IF(NOT(ISNUMBER(INDIRECT("'"&amp;A682&amp;"'!"&amp;B682))),TRUE,FALSE))</f>
        <v>0</v>
      </c>
      <c r="E682" t="s">
        <v>435</v>
      </c>
      <c r="F682" t="str">
        <f>INDEX(Lists!I:I,MATCH(Validation!E682,Lists!G:G,0))</f>
        <v>Error</v>
      </c>
      <c r="G682" t="str">
        <f>INDEX(Lists!H:H,MATCH(Validation!E682,Lists!G:G,0))</f>
        <v>Enter an amount only. Do not enter text or spaces.</v>
      </c>
      <c r="H682" s="25" t="str">
        <f t="shared" ca="1" si="150"/>
        <v/>
      </c>
      <c r="I682" s="25" t="str">
        <f t="shared" ca="1" si="151"/>
        <v/>
      </c>
      <c r="J682" s="26" t="str">
        <f t="shared" ca="1" si="152"/>
        <v/>
      </c>
    </row>
    <row r="683" spans="1:10" x14ac:dyDescent="0.25">
      <c r="A683" t="s">
        <v>305</v>
      </c>
      <c r="B683" t="str">
        <f>ADDRESS(ROW('Bond 1'!$B$18),COLUMN('Bond 1'!$B$18),4)</f>
        <v>B18</v>
      </c>
      <c r="C683" t="str">
        <f>ADDRESS(ROW('Bond 1'!$D$18),COLUMN('Bond 1'!$D$18),4)</f>
        <v>D18</v>
      </c>
      <c r="D683" t="b" cm="1">
        <f t="array" aca="1" ref="D683" ca="1">IF(INDIRECT("'"&amp;A683&amp;"'!"&amp;B683)="",FALSE,IF(NOT(ISNUMBER(INDIRECT("'"&amp;A683&amp;"'!"&amp;B683))),TRUE,FALSE))</f>
        <v>0</v>
      </c>
      <c r="E683" t="s">
        <v>435</v>
      </c>
      <c r="F683" t="str">
        <f>INDEX(Lists!I:I,MATCH(Validation!E683,Lists!G:G,0))</f>
        <v>Error</v>
      </c>
      <c r="G683" t="str">
        <f>INDEX(Lists!H:H,MATCH(Validation!E683,Lists!G:G,0))</f>
        <v>Enter an amount only. Do not enter text or spaces.</v>
      </c>
      <c r="H683" s="25" t="str">
        <f t="shared" ca="1" si="150"/>
        <v/>
      </c>
      <c r="I683" s="25" t="str">
        <f t="shared" ca="1" si="151"/>
        <v/>
      </c>
      <c r="J683" s="26" t="str">
        <f t="shared" ca="1" si="152"/>
        <v/>
      </c>
    </row>
    <row r="684" spans="1:10" x14ac:dyDescent="0.25">
      <c r="A684" t="s">
        <v>306</v>
      </c>
      <c r="B684" t="str">
        <f>ADDRESS(ROW('Bond 1'!$B$18),COLUMN('Bond 1'!$B$18),4)</f>
        <v>B18</v>
      </c>
      <c r="C684" t="str">
        <f>ADDRESS(ROW('Bond 1'!$D$18),COLUMN('Bond 1'!$D$18),4)</f>
        <v>D18</v>
      </c>
      <c r="D684" t="b" cm="1">
        <f t="array" aca="1" ref="D684" ca="1">IF(INDIRECT("'"&amp;A684&amp;"'!"&amp;B684)="",FALSE,IF(NOT(ISNUMBER(INDIRECT("'"&amp;A684&amp;"'!"&amp;B684))),TRUE,FALSE))</f>
        <v>0</v>
      </c>
      <c r="E684" t="s">
        <v>435</v>
      </c>
      <c r="F684" t="str">
        <f>INDEX(Lists!I:I,MATCH(Validation!E684,Lists!G:G,0))</f>
        <v>Error</v>
      </c>
      <c r="G684" t="str">
        <f>INDEX(Lists!H:H,MATCH(Validation!E684,Lists!G:G,0))</f>
        <v>Enter an amount only. Do not enter text or spaces.</v>
      </c>
      <c r="H684" s="25" t="str">
        <f t="shared" ca="1" si="150"/>
        <v/>
      </c>
      <c r="I684" s="25" t="str">
        <f t="shared" ca="1" si="151"/>
        <v/>
      </c>
      <c r="J684" s="26" t="str">
        <f t="shared" ca="1" si="152"/>
        <v/>
      </c>
    </row>
    <row r="685" spans="1:10" x14ac:dyDescent="0.25">
      <c r="A685" t="s">
        <v>307</v>
      </c>
      <c r="B685" t="str">
        <f>ADDRESS(ROW('Bond 1'!$B$18),COLUMN('Bond 1'!$B$18),4)</f>
        <v>B18</v>
      </c>
      <c r="C685" t="str">
        <f>ADDRESS(ROW('Bond 1'!$D$18),COLUMN('Bond 1'!$D$18),4)</f>
        <v>D18</v>
      </c>
      <c r="D685" t="b" cm="1">
        <f t="array" aca="1" ref="D685" ca="1">IF(INDIRECT("'"&amp;A685&amp;"'!"&amp;B685)="",FALSE,IF(NOT(ISNUMBER(INDIRECT("'"&amp;A685&amp;"'!"&amp;B685))),TRUE,FALSE))</f>
        <v>0</v>
      </c>
      <c r="E685" t="s">
        <v>435</v>
      </c>
      <c r="F685" t="str">
        <f>INDEX(Lists!I:I,MATCH(Validation!E685,Lists!G:G,0))</f>
        <v>Error</v>
      </c>
      <c r="G685" t="str">
        <f>INDEX(Lists!H:H,MATCH(Validation!E685,Lists!G:G,0))</f>
        <v>Enter an amount only. Do not enter text or spaces.</v>
      </c>
      <c r="H685" s="25" t="str">
        <f t="shared" ca="1" si="150"/>
        <v/>
      </c>
      <c r="I685" s="25" t="str">
        <f t="shared" ca="1" si="151"/>
        <v/>
      </c>
      <c r="J685" s="26" t="str">
        <f t="shared" ca="1" si="152"/>
        <v/>
      </c>
    </row>
    <row r="686" spans="1:10" x14ac:dyDescent="0.25">
      <c r="A686" t="s">
        <v>308</v>
      </c>
      <c r="B686" t="str">
        <f>ADDRESS(ROW('Bond 1'!$B$18),COLUMN('Bond 1'!$B$18),4)</f>
        <v>B18</v>
      </c>
      <c r="C686" t="str">
        <f>ADDRESS(ROW('Bond 1'!$D$18),COLUMN('Bond 1'!$D$18),4)</f>
        <v>D18</v>
      </c>
      <c r="D686" t="b" cm="1">
        <f t="array" aca="1" ref="D686" ca="1">IF(INDIRECT("'"&amp;A686&amp;"'!"&amp;B686)="",FALSE,IF(NOT(ISNUMBER(INDIRECT("'"&amp;A686&amp;"'!"&amp;B686))),TRUE,FALSE))</f>
        <v>0</v>
      </c>
      <c r="E686" t="s">
        <v>435</v>
      </c>
      <c r="F686" t="str">
        <f>INDEX(Lists!I:I,MATCH(Validation!E686,Lists!G:G,0))</f>
        <v>Error</v>
      </c>
      <c r="G686" t="str">
        <f>INDEX(Lists!H:H,MATCH(Validation!E686,Lists!G:G,0))</f>
        <v>Enter an amount only. Do not enter text or spaces.</v>
      </c>
      <c r="H686" s="25" t="str">
        <f t="shared" ca="1" si="150"/>
        <v/>
      </c>
      <c r="I686" s="25" t="str">
        <f t="shared" ca="1" si="151"/>
        <v/>
      </c>
      <c r="J686" s="26" t="str">
        <f t="shared" ca="1" si="152"/>
        <v/>
      </c>
    </row>
    <row r="687" spans="1:10" x14ac:dyDescent="0.25">
      <c r="A687" t="s">
        <v>309</v>
      </c>
      <c r="B687" t="str">
        <f>ADDRESS(ROW('Bond 1'!$B$18),COLUMN('Bond 1'!$B$18),4)</f>
        <v>B18</v>
      </c>
      <c r="C687" t="str">
        <f>ADDRESS(ROW('Bond 1'!$D$18),COLUMN('Bond 1'!$D$18),4)</f>
        <v>D18</v>
      </c>
      <c r="D687" t="b" cm="1">
        <f t="array" aca="1" ref="D687" ca="1">IF(INDIRECT("'"&amp;A687&amp;"'!"&amp;B687)="",FALSE,IF(NOT(ISNUMBER(INDIRECT("'"&amp;A687&amp;"'!"&amp;B687))),TRUE,FALSE))</f>
        <v>0</v>
      </c>
      <c r="E687" t="s">
        <v>435</v>
      </c>
      <c r="F687" t="str">
        <f>INDEX(Lists!I:I,MATCH(Validation!E687,Lists!G:G,0))</f>
        <v>Error</v>
      </c>
      <c r="G687" t="str">
        <f>INDEX(Lists!H:H,MATCH(Validation!E687,Lists!G:G,0))</f>
        <v>Enter an amount only. Do not enter text or spaces.</v>
      </c>
      <c r="H687" s="25" t="str">
        <f t="shared" ca="1" si="150"/>
        <v/>
      </c>
      <c r="I687" s="25" t="str">
        <f t="shared" ca="1" si="151"/>
        <v/>
      </c>
      <c r="J687" s="26" t="str">
        <f t="shared" ca="1" si="152"/>
        <v/>
      </c>
    </row>
    <row r="688" spans="1:10" x14ac:dyDescent="0.25">
      <c r="A688" t="s">
        <v>310</v>
      </c>
      <c r="B688" t="str">
        <f>ADDRESS(ROW('Bond 1'!$B$18),COLUMN('Bond 1'!$B$18),4)</f>
        <v>B18</v>
      </c>
      <c r="C688" t="str">
        <f>ADDRESS(ROW('Bond 1'!$D$18),COLUMN('Bond 1'!$D$18),4)</f>
        <v>D18</v>
      </c>
      <c r="D688" t="b" cm="1">
        <f t="array" aca="1" ref="D688" ca="1">IF(INDIRECT("'"&amp;A688&amp;"'!"&amp;B688)="",FALSE,IF(NOT(ISNUMBER(INDIRECT("'"&amp;A688&amp;"'!"&amp;B688))),TRUE,FALSE))</f>
        <v>0</v>
      </c>
      <c r="E688" t="s">
        <v>435</v>
      </c>
      <c r="F688" t="str">
        <f>INDEX(Lists!I:I,MATCH(Validation!E688,Lists!G:G,0))</f>
        <v>Error</v>
      </c>
      <c r="G688" t="str">
        <f>INDEX(Lists!H:H,MATCH(Validation!E688,Lists!G:G,0))</f>
        <v>Enter an amount only. Do not enter text or spaces.</v>
      </c>
      <c r="H688" s="25" t="str">
        <f t="shared" ca="1" si="150"/>
        <v/>
      </c>
      <c r="I688" s="25" t="str">
        <f t="shared" ca="1" si="151"/>
        <v/>
      </c>
      <c r="J688" s="26" t="str">
        <f t="shared" ca="1" si="152"/>
        <v/>
      </c>
    </row>
    <row r="689" spans="1:10" x14ac:dyDescent="0.25">
      <c r="A689" t="s">
        <v>311</v>
      </c>
      <c r="B689" t="str">
        <f>ADDRESS(ROW('Bond 1'!$B$18),COLUMN('Bond 1'!$B$18),4)</f>
        <v>B18</v>
      </c>
      <c r="C689" t="str">
        <f>ADDRESS(ROW('Bond 1'!$D$18),COLUMN('Bond 1'!$D$18),4)</f>
        <v>D18</v>
      </c>
      <c r="D689" t="b" cm="1">
        <f t="array" aca="1" ref="D689" ca="1">IF(INDIRECT("'"&amp;A689&amp;"'!"&amp;B689)="",FALSE,IF(NOT(ISNUMBER(INDIRECT("'"&amp;A689&amp;"'!"&amp;B689))),TRUE,FALSE))</f>
        <v>0</v>
      </c>
      <c r="E689" t="s">
        <v>435</v>
      </c>
      <c r="F689" t="str">
        <f>INDEX(Lists!I:I,MATCH(Validation!E689,Lists!G:G,0))</f>
        <v>Error</v>
      </c>
      <c r="G689" t="str">
        <f>INDEX(Lists!H:H,MATCH(Validation!E689,Lists!G:G,0))</f>
        <v>Enter an amount only. Do not enter text or spaces.</v>
      </c>
      <c r="H689" s="25" t="str">
        <f t="shared" ca="1" si="150"/>
        <v/>
      </c>
      <c r="I689" s="25" t="str">
        <f t="shared" ca="1" si="151"/>
        <v/>
      </c>
      <c r="J689" s="26" t="str">
        <f t="shared" ca="1" si="152"/>
        <v/>
      </c>
    </row>
    <row r="690" spans="1:10" x14ac:dyDescent="0.25">
      <c r="A690" t="s">
        <v>312</v>
      </c>
      <c r="B690" t="str">
        <f>ADDRESS(ROW('Bond 1'!$B$18),COLUMN('Bond 1'!$B$18),4)</f>
        <v>B18</v>
      </c>
      <c r="C690" t="str">
        <f>ADDRESS(ROW('Bond 1'!$D$18),COLUMN('Bond 1'!$D$18),4)</f>
        <v>D18</v>
      </c>
      <c r="D690" t="b" cm="1">
        <f t="array" aca="1" ref="D690" ca="1">IF(INDIRECT("'"&amp;A690&amp;"'!"&amp;B690)="",FALSE,IF(NOT(ISNUMBER(INDIRECT("'"&amp;A690&amp;"'!"&amp;B690))),TRUE,FALSE))</f>
        <v>0</v>
      </c>
      <c r="E690" t="s">
        <v>435</v>
      </c>
      <c r="F690" t="str">
        <f>INDEX(Lists!I:I,MATCH(Validation!E690,Lists!G:G,0))</f>
        <v>Error</v>
      </c>
      <c r="G690" t="str">
        <f>INDEX(Lists!H:H,MATCH(Validation!E690,Lists!G:G,0))</f>
        <v>Enter an amount only. Do not enter text or spaces.</v>
      </c>
      <c r="H690" s="25" t="str">
        <f t="shared" ca="1" si="150"/>
        <v/>
      </c>
      <c r="I690" s="25" t="str">
        <f t="shared" ca="1" si="151"/>
        <v/>
      </c>
      <c r="J690" s="26" t="str">
        <f t="shared" ca="1" si="152"/>
        <v/>
      </c>
    </row>
    <row r="691" spans="1:10" x14ac:dyDescent="0.25">
      <c r="A691" t="s">
        <v>313</v>
      </c>
      <c r="B691" t="str">
        <f>ADDRESS(ROW('Bond 1'!$B$18),COLUMN('Bond 1'!$B$18),4)</f>
        <v>B18</v>
      </c>
      <c r="C691" t="str">
        <f>ADDRESS(ROW('Bond 1'!$D$18),COLUMN('Bond 1'!$D$18),4)</f>
        <v>D18</v>
      </c>
      <c r="D691" t="b" cm="1">
        <f t="array" aca="1" ref="D691" ca="1">IF(INDIRECT("'"&amp;A691&amp;"'!"&amp;B691)="",FALSE,IF(NOT(ISNUMBER(INDIRECT("'"&amp;A691&amp;"'!"&amp;B691))),TRUE,FALSE))</f>
        <v>0</v>
      </c>
      <c r="E691" t="s">
        <v>435</v>
      </c>
      <c r="F691" t="str">
        <f>INDEX(Lists!I:I,MATCH(Validation!E691,Lists!G:G,0))</f>
        <v>Error</v>
      </c>
      <c r="G691" t="str">
        <f>INDEX(Lists!H:H,MATCH(Validation!E691,Lists!G:G,0))</f>
        <v>Enter an amount only. Do not enter text or spaces.</v>
      </c>
      <c r="H691" s="25" t="str">
        <f t="shared" ca="1" si="150"/>
        <v/>
      </c>
      <c r="I691" s="25" t="str">
        <f t="shared" ca="1" si="151"/>
        <v/>
      </c>
      <c r="J691" s="26" t="str">
        <f t="shared" ca="1" si="152"/>
        <v/>
      </c>
    </row>
    <row r="692" spans="1:10" x14ac:dyDescent="0.25">
      <c r="A692" t="s">
        <v>314</v>
      </c>
      <c r="B692" t="str">
        <f>ADDRESS(ROW('Bond 1'!$B$18),COLUMN('Bond 1'!$B$18),4)</f>
        <v>B18</v>
      </c>
      <c r="C692" t="str">
        <f>ADDRESS(ROW('Bond 1'!$D$18),COLUMN('Bond 1'!$D$18),4)</f>
        <v>D18</v>
      </c>
      <c r="D692" t="b" cm="1">
        <f t="array" aca="1" ref="D692" ca="1">IF(INDIRECT("'"&amp;A692&amp;"'!"&amp;B692)="",FALSE,IF(NOT(ISNUMBER(INDIRECT("'"&amp;A692&amp;"'!"&amp;B692))),TRUE,FALSE))</f>
        <v>0</v>
      </c>
      <c r="E692" t="s">
        <v>435</v>
      </c>
      <c r="F692" t="str">
        <f>INDEX(Lists!I:I,MATCH(Validation!E692,Lists!G:G,0))</f>
        <v>Error</v>
      </c>
      <c r="G692" t="str">
        <f>INDEX(Lists!H:H,MATCH(Validation!E692,Lists!G:G,0))</f>
        <v>Enter an amount only. Do not enter text or spaces.</v>
      </c>
      <c r="H692" s="25" t="str">
        <f t="shared" ca="1" si="150"/>
        <v/>
      </c>
      <c r="I692" s="25" t="str">
        <f t="shared" ca="1" si="151"/>
        <v/>
      </c>
      <c r="J692" s="26" t="str">
        <f t="shared" ca="1" si="152"/>
        <v/>
      </c>
    </row>
    <row r="693" spans="1:10" x14ac:dyDescent="0.25">
      <c r="A693" t="s">
        <v>315</v>
      </c>
      <c r="B693" t="str">
        <f>ADDRESS(ROW('Bond 1'!$B$18),COLUMN('Bond 1'!$B$18),4)</f>
        <v>B18</v>
      </c>
      <c r="C693" t="str">
        <f>ADDRESS(ROW('Bond 1'!$D$18),COLUMN('Bond 1'!$D$18),4)</f>
        <v>D18</v>
      </c>
      <c r="D693" t="b" cm="1">
        <f t="array" aca="1" ref="D693" ca="1">IF(INDIRECT("'"&amp;A693&amp;"'!"&amp;B693)="",FALSE,IF(NOT(ISNUMBER(INDIRECT("'"&amp;A693&amp;"'!"&amp;B693))),TRUE,FALSE))</f>
        <v>0</v>
      </c>
      <c r="E693" t="s">
        <v>435</v>
      </c>
      <c r="F693" t="str">
        <f>INDEX(Lists!I:I,MATCH(Validation!E693,Lists!G:G,0))</f>
        <v>Error</v>
      </c>
      <c r="G693" t="str">
        <f>INDEX(Lists!H:H,MATCH(Validation!E693,Lists!G:G,0))</f>
        <v>Enter an amount only. Do not enter text or spaces.</v>
      </c>
      <c r="H693" s="25" t="str">
        <f t="shared" ca="1" si="150"/>
        <v/>
      </c>
      <c r="I693" s="25" t="str">
        <f t="shared" ca="1" si="151"/>
        <v/>
      </c>
      <c r="J693" s="26" t="str">
        <f t="shared" ca="1" si="152"/>
        <v/>
      </c>
    </row>
    <row r="694" spans="1:10" x14ac:dyDescent="0.25">
      <c r="A694" t="s">
        <v>198</v>
      </c>
      <c r="B694" t="str">
        <f>ADDRESS(ROW('Bond 1'!$B$18),COLUMN('Bond 1'!$B$18),4)</f>
        <v>B18</v>
      </c>
      <c r="C694" t="str">
        <f>ADDRESS(ROW('Bond 1'!$D$18),COLUMN('Bond 1'!$D$18),4)</f>
        <v>D18</v>
      </c>
      <c r="D694" t="b" cm="1">
        <f t="array" aca="1" ref="D694" ca="1">IF(INDIRECT("'"&amp;A694&amp;"'!"&amp;B694)="",FALSE,IF(INDIRECT("'"&amp;A694&amp;"'!"&amp;B694)&lt;0,TRUE,FALSE))</f>
        <v>0</v>
      </c>
      <c r="E694" t="s">
        <v>434</v>
      </c>
      <c r="F694" t="str">
        <f>INDEX(Lists!I:I,MATCH(Validation!E694,Lists!G:G,0))</f>
        <v>Error</v>
      </c>
      <c r="G694" t="str">
        <f>INDEX(Lists!H:H,MATCH(Validation!E694,Lists!G:G,0))</f>
        <v>Amount may not be negative. Enter an amount greater than or equal to zero.</v>
      </c>
      <c r="H694" s="25" t="str">
        <f t="shared" ca="1" si="150"/>
        <v/>
      </c>
      <c r="I694" s="25" t="str">
        <f t="shared" ca="1" si="151"/>
        <v/>
      </c>
      <c r="J694" s="26" t="str">
        <f t="shared" ca="1" si="152"/>
        <v/>
      </c>
    </row>
    <row r="695" spans="1:10" x14ac:dyDescent="0.25">
      <c r="A695" t="s">
        <v>302</v>
      </c>
      <c r="B695" t="str">
        <f>ADDRESS(ROW('Bond 1'!$B$18),COLUMN('Bond 1'!$B$18),4)</f>
        <v>B18</v>
      </c>
      <c r="C695" t="str">
        <f>ADDRESS(ROW('Bond 1'!$D$18),COLUMN('Bond 1'!$D$18),4)</f>
        <v>D18</v>
      </c>
      <c r="D695" t="b" cm="1">
        <f t="array" aca="1" ref="D695" ca="1">IF(INDIRECT("'"&amp;A695&amp;"'!"&amp;B695)="",FALSE,IF(INDIRECT("'"&amp;A695&amp;"'!"&amp;B695)&lt;0,TRUE,FALSE))</f>
        <v>0</v>
      </c>
      <c r="E695" t="s">
        <v>434</v>
      </c>
      <c r="F695" t="str">
        <f>INDEX(Lists!I:I,MATCH(Validation!E695,Lists!G:G,0))</f>
        <v>Error</v>
      </c>
      <c r="G695" t="str">
        <f>INDEX(Lists!H:H,MATCH(Validation!E695,Lists!G:G,0))</f>
        <v>Amount may not be negative. Enter an amount greater than or equal to zero.</v>
      </c>
      <c r="H695" s="25" t="str">
        <f t="shared" ca="1" si="150"/>
        <v/>
      </c>
      <c r="I695" s="25" t="str">
        <f t="shared" ca="1" si="151"/>
        <v/>
      </c>
      <c r="J695" s="26" t="str">
        <f t="shared" ca="1" si="152"/>
        <v/>
      </c>
    </row>
    <row r="696" spans="1:10" x14ac:dyDescent="0.25">
      <c r="A696" t="s">
        <v>303</v>
      </c>
      <c r="B696" t="str">
        <f>ADDRESS(ROW('Bond 1'!$B$18),COLUMN('Bond 1'!$B$18),4)</f>
        <v>B18</v>
      </c>
      <c r="C696" t="str">
        <f>ADDRESS(ROW('Bond 1'!$D$18),COLUMN('Bond 1'!$D$18),4)</f>
        <v>D18</v>
      </c>
      <c r="D696" t="b" cm="1">
        <f t="array" aca="1" ref="D696" ca="1">IF(INDIRECT("'"&amp;A696&amp;"'!"&amp;B696)="",FALSE,IF(INDIRECT("'"&amp;A696&amp;"'!"&amp;B696)&lt;0,TRUE,FALSE))</f>
        <v>0</v>
      </c>
      <c r="E696" t="s">
        <v>434</v>
      </c>
      <c r="F696" t="str">
        <f>INDEX(Lists!I:I,MATCH(Validation!E696,Lists!G:G,0))</f>
        <v>Error</v>
      </c>
      <c r="G696" t="str">
        <f>INDEX(Lists!H:H,MATCH(Validation!E696,Lists!G:G,0))</f>
        <v>Amount may not be negative. Enter an amount greater than or equal to zero.</v>
      </c>
      <c r="H696" s="25" t="str">
        <f t="shared" ca="1" si="150"/>
        <v/>
      </c>
      <c r="I696" s="25" t="str">
        <f t="shared" ca="1" si="151"/>
        <v/>
      </c>
      <c r="J696" s="26" t="str">
        <f t="shared" ca="1" si="152"/>
        <v/>
      </c>
    </row>
    <row r="697" spans="1:10" x14ac:dyDescent="0.25">
      <c r="A697" t="s">
        <v>304</v>
      </c>
      <c r="B697" t="str">
        <f>ADDRESS(ROW('Bond 1'!$B$18),COLUMN('Bond 1'!$B$18),4)</f>
        <v>B18</v>
      </c>
      <c r="C697" t="str">
        <f>ADDRESS(ROW('Bond 1'!$D$18),COLUMN('Bond 1'!$D$18),4)</f>
        <v>D18</v>
      </c>
      <c r="D697" t="b" cm="1">
        <f t="array" aca="1" ref="D697" ca="1">IF(INDIRECT("'"&amp;A697&amp;"'!"&amp;B697)="",FALSE,IF(INDIRECT("'"&amp;A697&amp;"'!"&amp;B697)&lt;0,TRUE,FALSE))</f>
        <v>0</v>
      </c>
      <c r="E697" t="s">
        <v>434</v>
      </c>
      <c r="F697" t="str">
        <f>INDEX(Lists!I:I,MATCH(Validation!E697,Lists!G:G,0))</f>
        <v>Error</v>
      </c>
      <c r="G697" t="str">
        <f>INDEX(Lists!H:H,MATCH(Validation!E697,Lists!G:G,0))</f>
        <v>Amount may not be negative. Enter an amount greater than or equal to zero.</v>
      </c>
      <c r="H697" s="25" t="str">
        <f t="shared" ca="1" si="150"/>
        <v/>
      </c>
      <c r="I697" s="25" t="str">
        <f t="shared" ca="1" si="151"/>
        <v/>
      </c>
      <c r="J697" s="26" t="str">
        <f t="shared" ca="1" si="152"/>
        <v/>
      </c>
    </row>
    <row r="698" spans="1:10" x14ac:dyDescent="0.25">
      <c r="A698" t="s">
        <v>305</v>
      </c>
      <c r="B698" t="str">
        <f>ADDRESS(ROW('Bond 1'!$B$18),COLUMN('Bond 1'!$B$18),4)</f>
        <v>B18</v>
      </c>
      <c r="C698" t="str">
        <f>ADDRESS(ROW('Bond 1'!$D$18),COLUMN('Bond 1'!$D$18),4)</f>
        <v>D18</v>
      </c>
      <c r="D698" t="b" cm="1">
        <f t="array" aca="1" ref="D698" ca="1">IF(INDIRECT("'"&amp;A698&amp;"'!"&amp;B698)="",FALSE,IF(INDIRECT("'"&amp;A698&amp;"'!"&amp;B698)&lt;0,TRUE,FALSE))</f>
        <v>0</v>
      </c>
      <c r="E698" t="s">
        <v>434</v>
      </c>
      <c r="F698" t="str">
        <f>INDEX(Lists!I:I,MATCH(Validation!E698,Lists!G:G,0))</f>
        <v>Error</v>
      </c>
      <c r="G698" t="str">
        <f>INDEX(Lists!H:H,MATCH(Validation!E698,Lists!G:G,0))</f>
        <v>Amount may not be negative. Enter an amount greater than or equal to zero.</v>
      </c>
      <c r="H698" s="25" t="str">
        <f t="shared" ca="1" si="150"/>
        <v/>
      </c>
      <c r="I698" s="25" t="str">
        <f t="shared" ca="1" si="151"/>
        <v/>
      </c>
      <c r="J698" s="26" t="str">
        <f t="shared" ca="1" si="152"/>
        <v/>
      </c>
    </row>
    <row r="699" spans="1:10" x14ac:dyDescent="0.25">
      <c r="A699" t="s">
        <v>306</v>
      </c>
      <c r="B699" t="str">
        <f>ADDRESS(ROW('Bond 1'!$B$18),COLUMN('Bond 1'!$B$18),4)</f>
        <v>B18</v>
      </c>
      <c r="C699" t="str">
        <f>ADDRESS(ROW('Bond 1'!$D$18),COLUMN('Bond 1'!$D$18),4)</f>
        <v>D18</v>
      </c>
      <c r="D699" t="b" cm="1">
        <f t="array" aca="1" ref="D699" ca="1">IF(INDIRECT("'"&amp;A699&amp;"'!"&amp;B699)="",FALSE,IF(INDIRECT("'"&amp;A699&amp;"'!"&amp;B699)&lt;0,TRUE,FALSE))</f>
        <v>0</v>
      </c>
      <c r="E699" t="s">
        <v>434</v>
      </c>
      <c r="F699" t="str">
        <f>INDEX(Lists!I:I,MATCH(Validation!E699,Lists!G:G,0))</f>
        <v>Error</v>
      </c>
      <c r="G699" t="str">
        <f>INDEX(Lists!H:H,MATCH(Validation!E699,Lists!G:G,0))</f>
        <v>Amount may not be negative. Enter an amount greater than or equal to zero.</v>
      </c>
      <c r="H699" s="25" t="str">
        <f t="shared" ca="1" si="150"/>
        <v/>
      </c>
      <c r="I699" s="25" t="str">
        <f t="shared" ca="1" si="151"/>
        <v/>
      </c>
      <c r="J699" s="26" t="str">
        <f t="shared" ca="1" si="152"/>
        <v/>
      </c>
    </row>
    <row r="700" spans="1:10" x14ac:dyDescent="0.25">
      <c r="A700" t="s">
        <v>307</v>
      </c>
      <c r="B700" t="str">
        <f>ADDRESS(ROW('Bond 1'!$B$18),COLUMN('Bond 1'!$B$18),4)</f>
        <v>B18</v>
      </c>
      <c r="C700" t="str">
        <f>ADDRESS(ROW('Bond 1'!$D$18),COLUMN('Bond 1'!$D$18),4)</f>
        <v>D18</v>
      </c>
      <c r="D700" t="b" cm="1">
        <f t="array" aca="1" ref="D700" ca="1">IF(INDIRECT("'"&amp;A700&amp;"'!"&amp;B700)="",FALSE,IF(INDIRECT("'"&amp;A700&amp;"'!"&amp;B700)&lt;0,TRUE,FALSE))</f>
        <v>0</v>
      </c>
      <c r="E700" t="s">
        <v>434</v>
      </c>
      <c r="F700" t="str">
        <f>INDEX(Lists!I:I,MATCH(Validation!E700,Lists!G:G,0))</f>
        <v>Error</v>
      </c>
      <c r="G700" t="str">
        <f>INDEX(Lists!H:H,MATCH(Validation!E700,Lists!G:G,0))</f>
        <v>Amount may not be negative. Enter an amount greater than or equal to zero.</v>
      </c>
      <c r="H700" s="25" t="str">
        <f t="shared" ca="1" si="150"/>
        <v/>
      </c>
      <c r="I700" s="25" t="str">
        <f t="shared" ca="1" si="151"/>
        <v/>
      </c>
      <c r="J700" s="26" t="str">
        <f t="shared" ca="1" si="152"/>
        <v/>
      </c>
    </row>
    <row r="701" spans="1:10" x14ac:dyDescent="0.25">
      <c r="A701" t="s">
        <v>308</v>
      </c>
      <c r="B701" t="str">
        <f>ADDRESS(ROW('Bond 1'!$B$18),COLUMN('Bond 1'!$B$18),4)</f>
        <v>B18</v>
      </c>
      <c r="C701" t="str">
        <f>ADDRESS(ROW('Bond 1'!$D$18),COLUMN('Bond 1'!$D$18),4)</f>
        <v>D18</v>
      </c>
      <c r="D701" t="b" cm="1">
        <f t="array" aca="1" ref="D701" ca="1">IF(INDIRECT("'"&amp;A701&amp;"'!"&amp;B701)="",FALSE,IF(INDIRECT("'"&amp;A701&amp;"'!"&amp;B701)&lt;0,TRUE,FALSE))</f>
        <v>0</v>
      </c>
      <c r="E701" t="s">
        <v>434</v>
      </c>
      <c r="F701" t="str">
        <f>INDEX(Lists!I:I,MATCH(Validation!E701,Lists!G:G,0))</f>
        <v>Error</v>
      </c>
      <c r="G701" t="str">
        <f>INDEX(Lists!H:H,MATCH(Validation!E701,Lists!G:G,0))</f>
        <v>Amount may not be negative. Enter an amount greater than or equal to zero.</v>
      </c>
      <c r="H701" s="25" t="str">
        <f t="shared" ca="1" si="150"/>
        <v/>
      </c>
      <c r="I701" s="25" t="str">
        <f t="shared" ca="1" si="151"/>
        <v/>
      </c>
      <c r="J701" s="26" t="str">
        <f t="shared" ca="1" si="152"/>
        <v/>
      </c>
    </row>
    <row r="702" spans="1:10" x14ac:dyDescent="0.25">
      <c r="A702" t="s">
        <v>309</v>
      </c>
      <c r="B702" t="str">
        <f>ADDRESS(ROW('Bond 1'!$B$18),COLUMN('Bond 1'!$B$18),4)</f>
        <v>B18</v>
      </c>
      <c r="C702" t="str">
        <f>ADDRESS(ROW('Bond 1'!$D$18),COLUMN('Bond 1'!$D$18),4)</f>
        <v>D18</v>
      </c>
      <c r="D702" t="b" cm="1">
        <f t="array" aca="1" ref="D702" ca="1">IF(INDIRECT("'"&amp;A702&amp;"'!"&amp;B702)="",FALSE,IF(INDIRECT("'"&amp;A702&amp;"'!"&amp;B702)&lt;0,TRUE,FALSE))</f>
        <v>0</v>
      </c>
      <c r="E702" t="s">
        <v>434</v>
      </c>
      <c r="F702" t="str">
        <f>INDEX(Lists!I:I,MATCH(Validation!E702,Lists!G:G,0))</f>
        <v>Error</v>
      </c>
      <c r="G702" t="str">
        <f>INDEX(Lists!H:H,MATCH(Validation!E702,Lists!G:G,0))</f>
        <v>Amount may not be negative. Enter an amount greater than or equal to zero.</v>
      </c>
      <c r="H702" s="25" t="str">
        <f t="shared" ca="1" si="150"/>
        <v/>
      </c>
      <c r="I702" s="25" t="str">
        <f t="shared" ca="1" si="151"/>
        <v/>
      </c>
      <c r="J702" s="26" t="str">
        <f t="shared" ca="1" si="152"/>
        <v/>
      </c>
    </row>
    <row r="703" spans="1:10" x14ac:dyDescent="0.25">
      <c r="A703" t="s">
        <v>310</v>
      </c>
      <c r="B703" t="str">
        <f>ADDRESS(ROW('Bond 1'!$B$18),COLUMN('Bond 1'!$B$18),4)</f>
        <v>B18</v>
      </c>
      <c r="C703" t="str">
        <f>ADDRESS(ROW('Bond 1'!$D$18),COLUMN('Bond 1'!$D$18),4)</f>
        <v>D18</v>
      </c>
      <c r="D703" t="b" cm="1">
        <f t="array" aca="1" ref="D703" ca="1">IF(INDIRECT("'"&amp;A703&amp;"'!"&amp;B703)="",FALSE,IF(INDIRECT("'"&amp;A703&amp;"'!"&amp;B703)&lt;0,TRUE,FALSE))</f>
        <v>0</v>
      </c>
      <c r="E703" t="s">
        <v>434</v>
      </c>
      <c r="F703" t="str">
        <f>INDEX(Lists!I:I,MATCH(Validation!E703,Lists!G:G,0))</f>
        <v>Error</v>
      </c>
      <c r="G703" t="str">
        <f>INDEX(Lists!H:H,MATCH(Validation!E703,Lists!G:G,0))</f>
        <v>Amount may not be negative. Enter an amount greater than or equal to zero.</v>
      </c>
      <c r="H703" s="25" t="str">
        <f t="shared" ca="1" si="150"/>
        <v/>
      </c>
      <c r="I703" s="25" t="str">
        <f t="shared" ca="1" si="151"/>
        <v/>
      </c>
      <c r="J703" s="26" t="str">
        <f t="shared" ca="1" si="152"/>
        <v/>
      </c>
    </row>
    <row r="704" spans="1:10" x14ac:dyDescent="0.25">
      <c r="A704" t="s">
        <v>311</v>
      </c>
      <c r="B704" t="str">
        <f>ADDRESS(ROW('Bond 1'!$B$18),COLUMN('Bond 1'!$B$18),4)</f>
        <v>B18</v>
      </c>
      <c r="C704" t="str">
        <f>ADDRESS(ROW('Bond 1'!$D$18),COLUMN('Bond 1'!$D$18),4)</f>
        <v>D18</v>
      </c>
      <c r="D704" t="b" cm="1">
        <f t="array" aca="1" ref="D704" ca="1">IF(INDIRECT("'"&amp;A704&amp;"'!"&amp;B704)="",FALSE,IF(INDIRECT("'"&amp;A704&amp;"'!"&amp;B704)&lt;0,TRUE,FALSE))</f>
        <v>0</v>
      </c>
      <c r="E704" t="s">
        <v>434</v>
      </c>
      <c r="F704" t="str">
        <f>INDEX(Lists!I:I,MATCH(Validation!E704,Lists!G:G,0))</f>
        <v>Error</v>
      </c>
      <c r="G704" t="str">
        <f>INDEX(Lists!H:H,MATCH(Validation!E704,Lists!G:G,0))</f>
        <v>Amount may not be negative. Enter an amount greater than or equal to zero.</v>
      </c>
      <c r="H704" s="25" t="str">
        <f t="shared" ca="1" si="150"/>
        <v/>
      </c>
      <c r="I704" s="25" t="str">
        <f t="shared" ca="1" si="151"/>
        <v/>
      </c>
      <c r="J704" s="26" t="str">
        <f t="shared" ca="1" si="152"/>
        <v/>
      </c>
    </row>
    <row r="705" spans="1:10" x14ac:dyDescent="0.25">
      <c r="A705" t="s">
        <v>312</v>
      </c>
      <c r="B705" t="str">
        <f>ADDRESS(ROW('Bond 1'!$B$18),COLUMN('Bond 1'!$B$18),4)</f>
        <v>B18</v>
      </c>
      <c r="C705" t="str">
        <f>ADDRESS(ROW('Bond 1'!$D$18),COLUMN('Bond 1'!$D$18),4)</f>
        <v>D18</v>
      </c>
      <c r="D705" t="b" cm="1">
        <f t="array" aca="1" ref="D705" ca="1">IF(INDIRECT("'"&amp;A705&amp;"'!"&amp;B705)="",FALSE,IF(INDIRECT("'"&amp;A705&amp;"'!"&amp;B705)&lt;0,TRUE,FALSE))</f>
        <v>0</v>
      </c>
      <c r="E705" t="s">
        <v>434</v>
      </c>
      <c r="F705" t="str">
        <f>INDEX(Lists!I:I,MATCH(Validation!E705,Lists!G:G,0))</f>
        <v>Error</v>
      </c>
      <c r="G705" t="str">
        <f>INDEX(Lists!H:H,MATCH(Validation!E705,Lists!G:G,0))</f>
        <v>Amount may not be negative. Enter an amount greater than or equal to zero.</v>
      </c>
      <c r="H705" s="25" t="str">
        <f t="shared" ca="1" si="150"/>
        <v/>
      </c>
      <c r="I705" s="25" t="str">
        <f t="shared" ca="1" si="151"/>
        <v/>
      </c>
      <c r="J705" s="26" t="str">
        <f t="shared" ca="1" si="152"/>
        <v/>
      </c>
    </row>
    <row r="706" spans="1:10" x14ac:dyDescent="0.25">
      <c r="A706" t="s">
        <v>313</v>
      </c>
      <c r="B706" t="str">
        <f>ADDRESS(ROW('Bond 1'!$B$18),COLUMN('Bond 1'!$B$18),4)</f>
        <v>B18</v>
      </c>
      <c r="C706" t="str">
        <f>ADDRESS(ROW('Bond 1'!$D$18),COLUMN('Bond 1'!$D$18),4)</f>
        <v>D18</v>
      </c>
      <c r="D706" t="b" cm="1">
        <f t="array" aca="1" ref="D706" ca="1">IF(INDIRECT("'"&amp;A706&amp;"'!"&amp;B706)="",FALSE,IF(INDIRECT("'"&amp;A706&amp;"'!"&amp;B706)&lt;0,TRUE,FALSE))</f>
        <v>0</v>
      </c>
      <c r="E706" t="s">
        <v>434</v>
      </c>
      <c r="F706" t="str">
        <f>INDEX(Lists!I:I,MATCH(Validation!E706,Lists!G:G,0))</f>
        <v>Error</v>
      </c>
      <c r="G706" t="str">
        <f>INDEX(Lists!H:H,MATCH(Validation!E706,Lists!G:G,0))</f>
        <v>Amount may not be negative. Enter an amount greater than or equal to zero.</v>
      </c>
      <c r="H706" s="25" t="str">
        <f t="shared" ca="1" si="150"/>
        <v/>
      </c>
      <c r="I706" s="25" t="str">
        <f t="shared" ca="1" si="151"/>
        <v/>
      </c>
      <c r="J706" s="26" t="str">
        <f t="shared" ca="1" si="152"/>
        <v/>
      </c>
    </row>
    <row r="707" spans="1:10" x14ac:dyDescent="0.25">
      <c r="A707" t="s">
        <v>314</v>
      </c>
      <c r="B707" t="str">
        <f>ADDRESS(ROW('Bond 1'!$B$18),COLUMN('Bond 1'!$B$18),4)</f>
        <v>B18</v>
      </c>
      <c r="C707" t="str">
        <f>ADDRESS(ROW('Bond 1'!$D$18),COLUMN('Bond 1'!$D$18),4)</f>
        <v>D18</v>
      </c>
      <c r="D707" t="b" cm="1">
        <f t="array" aca="1" ref="D707" ca="1">IF(INDIRECT("'"&amp;A707&amp;"'!"&amp;B707)="",FALSE,IF(INDIRECT("'"&amp;A707&amp;"'!"&amp;B707)&lt;0,TRUE,FALSE))</f>
        <v>0</v>
      </c>
      <c r="E707" t="s">
        <v>434</v>
      </c>
      <c r="F707" t="str">
        <f>INDEX(Lists!I:I,MATCH(Validation!E707,Lists!G:G,0))</f>
        <v>Error</v>
      </c>
      <c r="G707" t="str">
        <f>INDEX(Lists!H:H,MATCH(Validation!E707,Lists!G:G,0))</f>
        <v>Amount may not be negative. Enter an amount greater than or equal to zero.</v>
      </c>
      <c r="H707" s="25" t="str">
        <f t="shared" ca="1" si="150"/>
        <v/>
      </c>
      <c r="I707" s="25" t="str">
        <f t="shared" ca="1" si="151"/>
        <v/>
      </c>
      <c r="J707" s="26" t="str">
        <f t="shared" ca="1" si="152"/>
        <v/>
      </c>
    </row>
    <row r="708" spans="1:10" x14ac:dyDescent="0.25">
      <c r="A708" t="s">
        <v>315</v>
      </c>
      <c r="B708" t="str">
        <f>ADDRESS(ROW('Bond 1'!$B$18),COLUMN('Bond 1'!$B$18),4)</f>
        <v>B18</v>
      </c>
      <c r="C708" t="str">
        <f>ADDRESS(ROW('Bond 1'!$D$18),COLUMN('Bond 1'!$D$18),4)</f>
        <v>D18</v>
      </c>
      <c r="D708" t="b" cm="1">
        <f t="array" aca="1" ref="D708" ca="1">IF(INDIRECT("'"&amp;A708&amp;"'!"&amp;B708)="",FALSE,IF(INDIRECT("'"&amp;A708&amp;"'!"&amp;B708)&lt;0,TRUE,FALSE))</f>
        <v>0</v>
      </c>
      <c r="E708" t="s">
        <v>434</v>
      </c>
      <c r="F708" t="str">
        <f>INDEX(Lists!I:I,MATCH(Validation!E708,Lists!G:G,0))</f>
        <v>Error</v>
      </c>
      <c r="G708" t="str">
        <f>INDEX(Lists!H:H,MATCH(Validation!E708,Lists!G:G,0))</f>
        <v>Amount may not be negative. Enter an amount greater than or equal to zero.</v>
      </c>
      <c r="H708" s="25" t="str">
        <f t="shared" ca="1" si="150"/>
        <v/>
      </c>
      <c r="I708" s="25" t="str">
        <f t="shared" ca="1" si="151"/>
        <v/>
      </c>
      <c r="J708" s="26" t="str">
        <f t="shared" ca="1" si="152"/>
        <v/>
      </c>
    </row>
    <row r="709" spans="1:10" x14ac:dyDescent="0.25">
      <c r="A709" t="s">
        <v>198</v>
      </c>
      <c r="B709" t="str">
        <f>ADDRESS(ROW('Bond 1'!$B$18),COLUMN('Bond 1'!$B$18),4)</f>
        <v>B18</v>
      </c>
      <c r="C709" t="str">
        <f>ADDRESS(ROW('Bond 1'!$D$18),COLUMN('Bond 1'!$D$18),4)</f>
        <v>D18</v>
      </c>
      <c r="D709" t="b" cm="1">
        <f t="array" aca="1" ref="D709" ca="1">IF(INDIRECT("'"&amp;A709&amp;"'!"&amp;B709)="",FALSE,IF(TRUNC(INDIRECT("'"&amp;A709&amp;"'!"&amp;B709))=INDIRECT("'"&amp;A709&amp;"'!"&amp;B709),FALSE,TRUE))</f>
        <v>0</v>
      </c>
      <c r="E709" t="s">
        <v>436</v>
      </c>
      <c r="F709" t="str">
        <f>INDEX(Lists!I:I,MATCH(Validation!E709,Lists!G:G,0))</f>
        <v>Error</v>
      </c>
      <c r="G709" t="str">
        <f>INDEX(Lists!H:H,MATCH(Validation!E709,Lists!G:G,0))</f>
        <v>Amount must be rounded to the nearest dollar.</v>
      </c>
      <c r="H709" s="25" t="str">
        <f t="shared" ca="1" si="150"/>
        <v/>
      </c>
      <c r="I709" s="25" t="str">
        <f t="shared" ca="1" si="151"/>
        <v/>
      </c>
      <c r="J709" s="26" t="str">
        <f t="shared" ca="1" si="152"/>
        <v/>
      </c>
    </row>
    <row r="710" spans="1:10" x14ac:dyDescent="0.25">
      <c r="A710" t="s">
        <v>302</v>
      </c>
      <c r="B710" t="str">
        <f>ADDRESS(ROW('Bond 1'!$B$18),COLUMN('Bond 1'!$B$18),4)</f>
        <v>B18</v>
      </c>
      <c r="C710" t="str">
        <f>ADDRESS(ROW('Bond 1'!$D$18),COLUMN('Bond 1'!$D$18),4)</f>
        <v>D18</v>
      </c>
      <c r="D710" t="b" cm="1">
        <f t="array" aca="1" ref="D710" ca="1">IF(INDIRECT("'"&amp;A710&amp;"'!"&amp;B710)="",FALSE,IF(TRUNC(INDIRECT("'"&amp;A710&amp;"'!"&amp;B710))=INDIRECT("'"&amp;A710&amp;"'!"&amp;B710),FALSE,TRUE))</f>
        <v>0</v>
      </c>
      <c r="E710" t="s">
        <v>436</v>
      </c>
      <c r="F710" t="str">
        <f>INDEX(Lists!I:I,MATCH(Validation!E710,Lists!G:G,0))</f>
        <v>Error</v>
      </c>
      <c r="G710" t="str">
        <f>INDEX(Lists!H:H,MATCH(Validation!E710,Lists!G:G,0))</f>
        <v>Amount must be rounded to the nearest dollar.</v>
      </c>
      <c r="H710" s="25" t="str">
        <f t="shared" ca="1" si="150"/>
        <v/>
      </c>
      <c r="I710" s="25" t="str">
        <f t="shared" ca="1" si="151"/>
        <v/>
      </c>
      <c r="J710" s="26" t="str">
        <f t="shared" ca="1" si="152"/>
        <v/>
      </c>
    </row>
    <row r="711" spans="1:10" x14ac:dyDescent="0.25">
      <c r="A711" t="s">
        <v>303</v>
      </c>
      <c r="B711" t="str">
        <f>ADDRESS(ROW('Bond 1'!$B$18),COLUMN('Bond 1'!$B$18),4)</f>
        <v>B18</v>
      </c>
      <c r="C711" t="str">
        <f>ADDRESS(ROW('Bond 1'!$D$18),COLUMN('Bond 1'!$D$18),4)</f>
        <v>D18</v>
      </c>
      <c r="D711" t="b" cm="1">
        <f t="array" aca="1" ref="D711" ca="1">IF(INDIRECT("'"&amp;A711&amp;"'!"&amp;B711)="",FALSE,IF(TRUNC(INDIRECT("'"&amp;A711&amp;"'!"&amp;B711))=INDIRECT("'"&amp;A711&amp;"'!"&amp;B711),FALSE,TRUE))</f>
        <v>0</v>
      </c>
      <c r="E711" t="s">
        <v>436</v>
      </c>
      <c r="F711" t="str">
        <f>INDEX(Lists!I:I,MATCH(Validation!E711,Lists!G:G,0))</f>
        <v>Error</v>
      </c>
      <c r="G711" t="str">
        <f>INDEX(Lists!H:H,MATCH(Validation!E711,Lists!G:G,0))</f>
        <v>Amount must be rounded to the nearest dollar.</v>
      </c>
      <c r="H711" s="25" t="str">
        <f t="shared" ca="1" si="150"/>
        <v/>
      </c>
      <c r="I711" s="25" t="str">
        <f t="shared" ca="1" si="151"/>
        <v/>
      </c>
      <c r="J711" s="26" t="str">
        <f t="shared" ca="1" si="152"/>
        <v/>
      </c>
    </row>
    <row r="712" spans="1:10" x14ac:dyDescent="0.25">
      <c r="A712" t="s">
        <v>304</v>
      </c>
      <c r="B712" t="str">
        <f>ADDRESS(ROW('Bond 1'!$B$18),COLUMN('Bond 1'!$B$18),4)</f>
        <v>B18</v>
      </c>
      <c r="C712" t="str">
        <f>ADDRESS(ROW('Bond 1'!$D$18),COLUMN('Bond 1'!$D$18),4)</f>
        <v>D18</v>
      </c>
      <c r="D712" t="b" cm="1">
        <f t="array" aca="1" ref="D712" ca="1">IF(INDIRECT("'"&amp;A712&amp;"'!"&amp;B712)="",FALSE,IF(TRUNC(INDIRECT("'"&amp;A712&amp;"'!"&amp;B712))=INDIRECT("'"&amp;A712&amp;"'!"&amp;B712),FALSE,TRUE))</f>
        <v>0</v>
      </c>
      <c r="E712" t="s">
        <v>436</v>
      </c>
      <c r="F712" t="str">
        <f>INDEX(Lists!I:I,MATCH(Validation!E712,Lists!G:G,0))</f>
        <v>Error</v>
      </c>
      <c r="G712" t="str">
        <f>INDEX(Lists!H:H,MATCH(Validation!E712,Lists!G:G,0))</f>
        <v>Amount must be rounded to the nearest dollar.</v>
      </c>
      <c r="H712" s="25" t="str">
        <f t="shared" ca="1" si="150"/>
        <v/>
      </c>
      <c r="I712" s="25" t="str">
        <f t="shared" ca="1" si="151"/>
        <v/>
      </c>
      <c r="J712" s="26" t="str">
        <f t="shared" ca="1" si="152"/>
        <v/>
      </c>
    </row>
    <row r="713" spans="1:10" x14ac:dyDescent="0.25">
      <c r="A713" t="s">
        <v>305</v>
      </c>
      <c r="B713" t="str">
        <f>ADDRESS(ROW('Bond 1'!$B$18),COLUMN('Bond 1'!$B$18),4)</f>
        <v>B18</v>
      </c>
      <c r="C713" t="str">
        <f>ADDRESS(ROW('Bond 1'!$D$18),COLUMN('Bond 1'!$D$18),4)</f>
        <v>D18</v>
      </c>
      <c r="D713" t="b" cm="1">
        <f t="array" aca="1" ref="D713" ca="1">IF(INDIRECT("'"&amp;A713&amp;"'!"&amp;B713)="",FALSE,IF(TRUNC(INDIRECT("'"&amp;A713&amp;"'!"&amp;B713))=INDIRECT("'"&amp;A713&amp;"'!"&amp;B713),FALSE,TRUE))</f>
        <v>0</v>
      </c>
      <c r="E713" t="s">
        <v>436</v>
      </c>
      <c r="F713" t="str">
        <f>INDEX(Lists!I:I,MATCH(Validation!E713,Lists!G:G,0))</f>
        <v>Error</v>
      </c>
      <c r="G713" t="str">
        <f>INDEX(Lists!H:H,MATCH(Validation!E713,Lists!G:G,0))</f>
        <v>Amount must be rounded to the nearest dollar.</v>
      </c>
      <c r="H713" s="25" t="str">
        <f t="shared" ref="H713:H772" ca="1" si="153">IFERROR(IF(OR(NOT(D713),F713&lt;&gt;"Error"),"",A713&amp;CELL("address",INDIRECT(B713))),"")</f>
        <v/>
      </c>
      <c r="I713" s="25" t="str">
        <f t="shared" ref="I713:I772" ca="1" si="154">IFERROR(IF(NOT(D713),"",A713&amp;CELL("address",INDIRECT(C713))),"")</f>
        <v/>
      </c>
      <c r="J713" s="26" t="str">
        <f t="shared" ref="J713:J772" ca="1" si="155">IFERROR(IF(NOT(D713),"",A713),"")</f>
        <v/>
      </c>
    </row>
    <row r="714" spans="1:10" x14ac:dyDescent="0.25">
      <c r="A714" t="s">
        <v>306</v>
      </c>
      <c r="B714" t="str">
        <f>ADDRESS(ROW('Bond 1'!$B$18),COLUMN('Bond 1'!$B$18),4)</f>
        <v>B18</v>
      </c>
      <c r="C714" t="str">
        <f>ADDRESS(ROW('Bond 1'!$D$18),COLUMN('Bond 1'!$D$18),4)</f>
        <v>D18</v>
      </c>
      <c r="D714" t="b" cm="1">
        <f t="array" aca="1" ref="D714" ca="1">IF(INDIRECT("'"&amp;A714&amp;"'!"&amp;B714)="",FALSE,IF(TRUNC(INDIRECT("'"&amp;A714&amp;"'!"&amp;B714))=INDIRECT("'"&amp;A714&amp;"'!"&amp;B714),FALSE,TRUE))</f>
        <v>0</v>
      </c>
      <c r="E714" t="s">
        <v>436</v>
      </c>
      <c r="F714" t="str">
        <f>INDEX(Lists!I:I,MATCH(Validation!E714,Lists!G:G,0))</f>
        <v>Error</v>
      </c>
      <c r="G714" t="str">
        <f>INDEX(Lists!H:H,MATCH(Validation!E714,Lists!G:G,0))</f>
        <v>Amount must be rounded to the nearest dollar.</v>
      </c>
      <c r="H714" s="25" t="str">
        <f t="shared" ca="1" si="153"/>
        <v/>
      </c>
      <c r="I714" s="25" t="str">
        <f t="shared" ca="1" si="154"/>
        <v/>
      </c>
      <c r="J714" s="26" t="str">
        <f t="shared" ca="1" si="155"/>
        <v/>
      </c>
    </row>
    <row r="715" spans="1:10" x14ac:dyDescent="0.25">
      <c r="A715" t="s">
        <v>307</v>
      </c>
      <c r="B715" t="str">
        <f>ADDRESS(ROW('Bond 1'!$B$18),COLUMN('Bond 1'!$B$18),4)</f>
        <v>B18</v>
      </c>
      <c r="C715" t="str">
        <f>ADDRESS(ROW('Bond 1'!$D$18),COLUMN('Bond 1'!$D$18),4)</f>
        <v>D18</v>
      </c>
      <c r="D715" t="b" cm="1">
        <f t="array" aca="1" ref="D715" ca="1">IF(INDIRECT("'"&amp;A715&amp;"'!"&amp;B715)="",FALSE,IF(TRUNC(INDIRECT("'"&amp;A715&amp;"'!"&amp;B715))=INDIRECT("'"&amp;A715&amp;"'!"&amp;B715),FALSE,TRUE))</f>
        <v>0</v>
      </c>
      <c r="E715" t="s">
        <v>436</v>
      </c>
      <c r="F715" t="str">
        <f>INDEX(Lists!I:I,MATCH(Validation!E715,Lists!G:G,0))</f>
        <v>Error</v>
      </c>
      <c r="G715" t="str">
        <f>INDEX(Lists!H:H,MATCH(Validation!E715,Lists!G:G,0))</f>
        <v>Amount must be rounded to the nearest dollar.</v>
      </c>
      <c r="H715" s="25" t="str">
        <f t="shared" ca="1" si="153"/>
        <v/>
      </c>
      <c r="I715" s="25" t="str">
        <f t="shared" ca="1" si="154"/>
        <v/>
      </c>
      <c r="J715" s="26" t="str">
        <f t="shared" ca="1" si="155"/>
        <v/>
      </c>
    </row>
    <row r="716" spans="1:10" x14ac:dyDescent="0.25">
      <c r="A716" t="s">
        <v>308</v>
      </c>
      <c r="B716" t="str">
        <f>ADDRESS(ROW('Bond 1'!$B$18),COLUMN('Bond 1'!$B$18),4)</f>
        <v>B18</v>
      </c>
      <c r="C716" t="str">
        <f>ADDRESS(ROW('Bond 1'!$D$18),COLUMN('Bond 1'!$D$18),4)</f>
        <v>D18</v>
      </c>
      <c r="D716" t="b" cm="1">
        <f t="array" aca="1" ref="D716" ca="1">IF(INDIRECT("'"&amp;A716&amp;"'!"&amp;B716)="",FALSE,IF(TRUNC(INDIRECT("'"&amp;A716&amp;"'!"&amp;B716))=INDIRECT("'"&amp;A716&amp;"'!"&amp;B716),FALSE,TRUE))</f>
        <v>0</v>
      </c>
      <c r="E716" t="s">
        <v>436</v>
      </c>
      <c r="F716" t="str">
        <f>INDEX(Lists!I:I,MATCH(Validation!E716,Lists!G:G,0))</f>
        <v>Error</v>
      </c>
      <c r="G716" t="str">
        <f>INDEX(Lists!H:H,MATCH(Validation!E716,Lists!G:G,0))</f>
        <v>Amount must be rounded to the nearest dollar.</v>
      </c>
      <c r="H716" s="25" t="str">
        <f t="shared" ca="1" si="153"/>
        <v/>
      </c>
      <c r="I716" s="25" t="str">
        <f t="shared" ca="1" si="154"/>
        <v/>
      </c>
      <c r="J716" s="26" t="str">
        <f t="shared" ca="1" si="155"/>
        <v/>
      </c>
    </row>
    <row r="717" spans="1:10" x14ac:dyDescent="0.25">
      <c r="A717" t="s">
        <v>309</v>
      </c>
      <c r="B717" t="str">
        <f>ADDRESS(ROW('Bond 1'!$B$18),COLUMN('Bond 1'!$B$18),4)</f>
        <v>B18</v>
      </c>
      <c r="C717" t="str">
        <f>ADDRESS(ROW('Bond 1'!$D$18),COLUMN('Bond 1'!$D$18),4)</f>
        <v>D18</v>
      </c>
      <c r="D717" t="b" cm="1">
        <f t="array" aca="1" ref="D717" ca="1">IF(INDIRECT("'"&amp;A717&amp;"'!"&amp;B717)="",FALSE,IF(TRUNC(INDIRECT("'"&amp;A717&amp;"'!"&amp;B717))=INDIRECT("'"&amp;A717&amp;"'!"&amp;B717),FALSE,TRUE))</f>
        <v>0</v>
      </c>
      <c r="E717" t="s">
        <v>436</v>
      </c>
      <c r="F717" t="str">
        <f>INDEX(Lists!I:I,MATCH(Validation!E717,Lists!G:G,0))</f>
        <v>Error</v>
      </c>
      <c r="G717" t="str">
        <f>INDEX(Lists!H:H,MATCH(Validation!E717,Lists!G:G,0))</f>
        <v>Amount must be rounded to the nearest dollar.</v>
      </c>
      <c r="H717" s="25" t="str">
        <f t="shared" ca="1" si="153"/>
        <v/>
      </c>
      <c r="I717" s="25" t="str">
        <f t="shared" ca="1" si="154"/>
        <v/>
      </c>
      <c r="J717" s="26" t="str">
        <f t="shared" ca="1" si="155"/>
        <v/>
      </c>
    </row>
    <row r="718" spans="1:10" x14ac:dyDescent="0.25">
      <c r="A718" t="s">
        <v>310</v>
      </c>
      <c r="B718" t="str">
        <f>ADDRESS(ROW('Bond 1'!$B$18),COLUMN('Bond 1'!$B$18),4)</f>
        <v>B18</v>
      </c>
      <c r="C718" t="str">
        <f>ADDRESS(ROW('Bond 1'!$D$18),COLUMN('Bond 1'!$D$18),4)</f>
        <v>D18</v>
      </c>
      <c r="D718" t="b" cm="1">
        <f t="array" aca="1" ref="D718" ca="1">IF(INDIRECT("'"&amp;A718&amp;"'!"&amp;B718)="",FALSE,IF(TRUNC(INDIRECT("'"&amp;A718&amp;"'!"&amp;B718))=INDIRECT("'"&amp;A718&amp;"'!"&amp;B718),FALSE,TRUE))</f>
        <v>0</v>
      </c>
      <c r="E718" t="s">
        <v>436</v>
      </c>
      <c r="F718" t="str">
        <f>INDEX(Lists!I:I,MATCH(Validation!E718,Lists!G:G,0))</f>
        <v>Error</v>
      </c>
      <c r="G718" t="str">
        <f>INDEX(Lists!H:H,MATCH(Validation!E718,Lists!G:G,0))</f>
        <v>Amount must be rounded to the nearest dollar.</v>
      </c>
      <c r="H718" s="25" t="str">
        <f t="shared" ca="1" si="153"/>
        <v/>
      </c>
      <c r="I718" s="25" t="str">
        <f t="shared" ca="1" si="154"/>
        <v/>
      </c>
      <c r="J718" s="26" t="str">
        <f t="shared" ca="1" si="155"/>
        <v/>
      </c>
    </row>
    <row r="719" spans="1:10" x14ac:dyDescent="0.25">
      <c r="A719" t="s">
        <v>311</v>
      </c>
      <c r="B719" t="str">
        <f>ADDRESS(ROW('Bond 1'!$B$18),COLUMN('Bond 1'!$B$18),4)</f>
        <v>B18</v>
      </c>
      <c r="C719" t="str">
        <f>ADDRESS(ROW('Bond 1'!$D$18),COLUMN('Bond 1'!$D$18),4)</f>
        <v>D18</v>
      </c>
      <c r="D719" t="b" cm="1">
        <f t="array" aca="1" ref="D719" ca="1">IF(INDIRECT("'"&amp;A719&amp;"'!"&amp;B719)="",FALSE,IF(TRUNC(INDIRECT("'"&amp;A719&amp;"'!"&amp;B719))=INDIRECT("'"&amp;A719&amp;"'!"&amp;B719),FALSE,TRUE))</f>
        <v>0</v>
      </c>
      <c r="E719" t="s">
        <v>436</v>
      </c>
      <c r="F719" t="str">
        <f>INDEX(Lists!I:I,MATCH(Validation!E719,Lists!G:G,0))</f>
        <v>Error</v>
      </c>
      <c r="G719" t="str">
        <f>INDEX(Lists!H:H,MATCH(Validation!E719,Lists!G:G,0))</f>
        <v>Amount must be rounded to the nearest dollar.</v>
      </c>
      <c r="H719" s="25" t="str">
        <f t="shared" ca="1" si="153"/>
        <v/>
      </c>
      <c r="I719" s="25" t="str">
        <f t="shared" ca="1" si="154"/>
        <v/>
      </c>
      <c r="J719" s="26" t="str">
        <f t="shared" ca="1" si="155"/>
        <v/>
      </c>
    </row>
    <row r="720" spans="1:10" x14ac:dyDescent="0.25">
      <c r="A720" t="s">
        <v>312</v>
      </c>
      <c r="B720" t="str">
        <f>ADDRESS(ROW('Bond 1'!$B$18),COLUMN('Bond 1'!$B$18),4)</f>
        <v>B18</v>
      </c>
      <c r="C720" t="str">
        <f>ADDRESS(ROW('Bond 1'!$D$18),COLUMN('Bond 1'!$D$18),4)</f>
        <v>D18</v>
      </c>
      <c r="D720" t="b" cm="1">
        <f t="array" aca="1" ref="D720" ca="1">IF(INDIRECT("'"&amp;A720&amp;"'!"&amp;B720)="",FALSE,IF(TRUNC(INDIRECT("'"&amp;A720&amp;"'!"&amp;B720))=INDIRECT("'"&amp;A720&amp;"'!"&amp;B720),FALSE,TRUE))</f>
        <v>0</v>
      </c>
      <c r="E720" t="s">
        <v>436</v>
      </c>
      <c r="F720" t="str">
        <f>INDEX(Lists!I:I,MATCH(Validation!E720,Lists!G:G,0))</f>
        <v>Error</v>
      </c>
      <c r="G720" t="str">
        <f>INDEX(Lists!H:H,MATCH(Validation!E720,Lists!G:G,0))</f>
        <v>Amount must be rounded to the nearest dollar.</v>
      </c>
      <c r="H720" s="25" t="str">
        <f t="shared" ca="1" si="153"/>
        <v/>
      </c>
      <c r="I720" s="25" t="str">
        <f t="shared" ca="1" si="154"/>
        <v/>
      </c>
      <c r="J720" s="26" t="str">
        <f t="shared" ca="1" si="155"/>
        <v/>
      </c>
    </row>
    <row r="721" spans="1:10" x14ac:dyDescent="0.25">
      <c r="A721" t="s">
        <v>313</v>
      </c>
      <c r="B721" t="str">
        <f>ADDRESS(ROW('Bond 1'!$B$18),COLUMN('Bond 1'!$B$18),4)</f>
        <v>B18</v>
      </c>
      <c r="C721" t="str">
        <f>ADDRESS(ROW('Bond 1'!$D$18),COLUMN('Bond 1'!$D$18),4)</f>
        <v>D18</v>
      </c>
      <c r="D721" t="b" cm="1">
        <f t="array" aca="1" ref="D721" ca="1">IF(INDIRECT("'"&amp;A721&amp;"'!"&amp;B721)="",FALSE,IF(TRUNC(INDIRECT("'"&amp;A721&amp;"'!"&amp;B721))=INDIRECT("'"&amp;A721&amp;"'!"&amp;B721),FALSE,TRUE))</f>
        <v>0</v>
      </c>
      <c r="E721" t="s">
        <v>436</v>
      </c>
      <c r="F721" t="str">
        <f>INDEX(Lists!I:I,MATCH(Validation!E721,Lists!G:G,0))</f>
        <v>Error</v>
      </c>
      <c r="G721" t="str">
        <f>INDEX(Lists!H:H,MATCH(Validation!E721,Lists!G:G,0))</f>
        <v>Amount must be rounded to the nearest dollar.</v>
      </c>
      <c r="H721" s="25" t="str">
        <f t="shared" ca="1" si="153"/>
        <v/>
      </c>
      <c r="I721" s="25" t="str">
        <f t="shared" ca="1" si="154"/>
        <v/>
      </c>
      <c r="J721" s="26" t="str">
        <f t="shared" ca="1" si="155"/>
        <v/>
      </c>
    </row>
    <row r="722" spans="1:10" x14ac:dyDescent="0.25">
      <c r="A722" t="s">
        <v>314</v>
      </c>
      <c r="B722" t="str">
        <f>ADDRESS(ROW('Bond 1'!$B$18),COLUMN('Bond 1'!$B$18),4)</f>
        <v>B18</v>
      </c>
      <c r="C722" t="str">
        <f>ADDRESS(ROW('Bond 1'!$D$18),COLUMN('Bond 1'!$D$18),4)</f>
        <v>D18</v>
      </c>
      <c r="D722" t="b" cm="1">
        <f t="array" aca="1" ref="D722" ca="1">IF(INDIRECT("'"&amp;A722&amp;"'!"&amp;B722)="",FALSE,IF(TRUNC(INDIRECT("'"&amp;A722&amp;"'!"&amp;B722))=INDIRECT("'"&amp;A722&amp;"'!"&amp;B722),FALSE,TRUE))</f>
        <v>0</v>
      </c>
      <c r="E722" t="s">
        <v>436</v>
      </c>
      <c r="F722" t="str">
        <f>INDEX(Lists!I:I,MATCH(Validation!E722,Lists!G:G,0))</f>
        <v>Error</v>
      </c>
      <c r="G722" t="str">
        <f>INDEX(Lists!H:H,MATCH(Validation!E722,Lists!G:G,0))</f>
        <v>Amount must be rounded to the nearest dollar.</v>
      </c>
      <c r="H722" s="25" t="str">
        <f t="shared" ca="1" si="153"/>
        <v/>
      </c>
      <c r="I722" s="25" t="str">
        <f t="shared" ca="1" si="154"/>
        <v/>
      </c>
      <c r="J722" s="26" t="str">
        <f t="shared" ca="1" si="155"/>
        <v/>
      </c>
    </row>
    <row r="723" spans="1:10" x14ac:dyDescent="0.25">
      <c r="A723" t="s">
        <v>315</v>
      </c>
      <c r="B723" t="str">
        <f>ADDRESS(ROW('Bond 1'!$B$18),COLUMN('Bond 1'!$B$18),4)</f>
        <v>B18</v>
      </c>
      <c r="C723" t="str">
        <f>ADDRESS(ROW('Bond 1'!$D$18),COLUMN('Bond 1'!$D$18),4)</f>
        <v>D18</v>
      </c>
      <c r="D723" t="b" cm="1">
        <f t="array" aca="1" ref="D723" ca="1">IF(INDIRECT("'"&amp;A723&amp;"'!"&amp;B723)="",FALSE,IF(TRUNC(INDIRECT("'"&amp;A723&amp;"'!"&amp;B723))=INDIRECT("'"&amp;A723&amp;"'!"&amp;B723),FALSE,TRUE))</f>
        <v>0</v>
      </c>
      <c r="E723" t="s">
        <v>436</v>
      </c>
      <c r="F723" t="str">
        <f>INDEX(Lists!I:I,MATCH(Validation!E723,Lists!G:G,0))</f>
        <v>Error</v>
      </c>
      <c r="G723" t="str">
        <f>INDEX(Lists!H:H,MATCH(Validation!E723,Lists!G:G,0))</f>
        <v>Amount must be rounded to the nearest dollar.</v>
      </c>
      <c r="H723" s="25" t="str">
        <f t="shared" ca="1" si="153"/>
        <v/>
      </c>
      <c r="I723" s="25" t="str">
        <f t="shared" ca="1" si="154"/>
        <v/>
      </c>
      <c r="J723" s="26" t="str">
        <f t="shared" ca="1" si="155"/>
        <v/>
      </c>
    </row>
    <row r="724" spans="1:10" x14ac:dyDescent="0.25">
      <c r="A724" t="s">
        <v>198</v>
      </c>
      <c r="B724" t="str">
        <f>ADDRESS(ROW('Bond 1'!$B$19),COLUMN('Bond 1'!$B$19),4)</f>
        <v>B19</v>
      </c>
      <c r="C724" t="str">
        <f>ADDRESS(ROW('Bond 1'!$D$19),COLUMN('Bond 1'!$D$19),4)</f>
        <v>D19</v>
      </c>
      <c r="D724" t="b" cm="1">
        <f t="array" aca="1" ref="D724" ca="1">IF(AND('Bond 1'!B$8="Non-TIF Bond",OR(ISBLANK(INDIRECT("'"&amp;A724&amp;"'!"&amp;B724)),INDIRECT("'"&amp;A724&amp;"'!"&amp;B724)&lt;&gt;0)),TRUE,FALSE)</f>
        <v>0</v>
      </c>
      <c r="E724" t="s">
        <v>630</v>
      </c>
      <c r="F724" t="str">
        <f>INDEX(Lists!I:I,MATCH(Validation!E724,Lists!G:G,0))</f>
        <v>Error</v>
      </c>
      <c r="G724" t="str">
        <f>INDEX(Lists!H:H,MATCH(Validation!E724,Lists!G:G,0))</f>
        <v>Enter $0 if debt type is Non-TIF Bond.</v>
      </c>
      <c r="H724" s="25" t="str">
        <f t="shared" ref="H724:H738" ca="1" si="156">IFERROR(IF(OR(NOT(D724),F724&lt;&gt;"Error"),"",A724&amp;CELL("address",INDIRECT(B724))),"")</f>
        <v/>
      </c>
      <c r="I724" s="25" t="str">
        <f t="shared" ref="I724:I738" ca="1" si="157">IFERROR(IF(NOT(D724),"",A724&amp;CELL("address",INDIRECT(C724))),"")</f>
        <v/>
      </c>
      <c r="J724" s="26" t="str">
        <f t="shared" ref="J724:J738" ca="1" si="158">IFERROR(IF(NOT(D724),"",A724),"")</f>
        <v/>
      </c>
    </row>
    <row r="725" spans="1:10" x14ac:dyDescent="0.25">
      <c r="A725" t="s">
        <v>302</v>
      </c>
      <c r="B725" t="str">
        <f>ADDRESS(ROW('Bond 1'!$B$19),COLUMN('Bond 1'!$B$19),4)</f>
        <v>B19</v>
      </c>
      <c r="C725" t="str">
        <f>ADDRESS(ROW('Bond 1'!$D$19),COLUMN('Bond 1'!$D$19),4)</f>
        <v>D19</v>
      </c>
      <c r="D725" t="b" cm="1">
        <f t="array" aca="1" ref="D725" ca="1">IF(AND('Bond 2'!B$8="Non-TIF Bond",OR(ISBLANK(INDIRECT("'"&amp;A725&amp;"'!"&amp;B725)),INDIRECT("'"&amp;A725&amp;"'!"&amp;B725)&lt;&gt;0)),TRUE,FALSE)</f>
        <v>0</v>
      </c>
      <c r="E725" t="s">
        <v>630</v>
      </c>
      <c r="F725" t="str">
        <f>INDEX(Lists!I:I,MATCH(Validation!E725,Lists!G:G,0))</f>
        <v>Error</v>
      </c>
      <c r="G725" t="str">
        <f>INDEX(Lists!H:H,MATCH(Validation!E725,Lists!G:G,0))</f>
        <v>Enter $0 if debt type is Non-TIF Bond.</v>
      </c>
      <c r="H725" s="25" t="str">
        <f t="shared" ca="1" si="156"/>
        <v/>
      </c>
      <c r="I725" s="25" t="str">
        <f t="shared" ca="1" si="157"/>
        <v/>
      </c>
      <c r="J725" s="26" t="str">
        <f t="shared" ca="1" si="158"/>
        <v/>
      </c>
    </row>
    <row r="726" spans="1:10" x14ac:dyDescent="0.25">
      <c r="A726" t="s">
        <v>303</v>
      </c>
      <c r="B726" t="str">
        <f>ADDRESS(ROW('Bond 1'!$B$19),COLUMN('Bond 1'!$B$19),4)</f>
        <v>B19</v>
      </c>
      <c r="C726" t="str">
        <f>ADDRESS(ROW('Bond 1'!$D$19),COLUMN('Bond 1'!$D$19),4)</f>
        <v>D19</v>
      </c>
      <c r="D726" t="b" cm="1">
        <f t="array" aca="1" ref="D726" ca="1">IF(AND('Bond 3'!B$8="Non-TIF Bond",OR(ISBLANK(INDIRECT("'"&amp;A726&amp;"'!"&amp;B726)),INDIRECT("'"&amp;A726&amp;"'!"&amp;B726)&lt;&gt;0)),TRUE,FALSE)</f>
        <v>0</v>
      </c>
      <c r="E726" t="s">
        <v>630</v>
      </c>
      <c r="F726" t="str">
        <f>INDEX(Lists!I:I,MATCH(Validation!E726,Lists!G:G,0))</f>
        <v>Error</v>
      </c>
      <c r="G726" t="str">
        <f>INDEX(Lists!H:H,MATCH(Validation!E726,Lists!G:G,0))</f>
        <v>Enter $0 if debt type is Non-TIF Bond.</v>
      </c>
      <c r="H726" s="25" t="str">
        <f t="shared" ca="1" si="156"/>
        <v/>
      </c>
      <c r="I726" s="25" t="str">
        <f t="shared" ca="1" si="157"/>
        <v/>
      </c>
      <c r="J726" s="26" t="str">
        <f t="shared" ca="1" si="158"/>
        <v/>
      </c>
    </row>
    <row r="727" spans="1:10" x14ac:dyDescent="0.25">
      <c r="A727" t="s">
        <v>304</v>
      </c>
      <c r="B727" t="str">
        <f>ADDRESS(ROW('Bond 1'!$B$19),COLUMN('Bond 1'!$B$19),4)</f>
        <v>B19</v>
      </c>
      <c r="C727" t="str">
        <f>ADDRESS(ROW('Bond 1'!$D$19),COLUMN('Bond 1'!$D$19),4)</f>
        <v>D19</v>
      </c>
      <c r="D727" t="b" cm="1">
        <f t="array" aca="1" ref="D727" ca="1">IF(AND('Bond 4'!B$8="Non-TIF Bond",OR(ISBLANK(INDIRECT("'"&amp;A727&amp;"'!"&amp;B727)),INDIRECT("'"&amp;A727&amp;"'!"&amp;B727)&lt;&gt;0)),TRUE,FALSE)</f>
        <v>0</v>
      </c>
      <c r="E727" t="s">
        <v>630</v>
      </c>
      <c r="F727" t="str">
        <f>INDEX(Lists!I:I,MATCH(Validation!E727,Lists!G:G,0))</f>
        <v>Error</v>
      </c>
      <c r="G727" t="str">
        <f>INDEX(Lists!H:H,MATCH(Validation!E727,Lists!G:G,0))</f>
        <v>Enter $0 if debt type is Non-TIF Bond.</v>
      </c>
      <c r="H727" s="25" t="str">
        <f t="shared" ca="1" si="156"/>
        <v/>
      </c>
      <c r="I727" s="25" t="str">
        <f t="shared" ca="1" si="157"/>
        <v/>
      </c>
      <c r="J727" s="26" t="str">
        <f t="shared" ca="1" si="158"/>
        <v/>
      </c>
    </row>
    <row r="728" spans="1:10" x14ac:dyDescent="0.25">
      <c r="A728" t="s">
        <v>305</v>
      </c>
      <c r="B728" t="str">
        <f>ADDRESS(ROW('Bond 1'!$B$19),COLUMN('Bond 1'!$B$19),4)</f>
        <v>B19</v>
      </c>
      <c r="C728" t="str">
        <f>ADDRESS(ROW('Bond 1'!$D$19),COLUMN('Bond 1'!$D$19),4)</f>
        <v>D19</v>
      </c>
      <c r="D728" t="b" cm="1">
        <f t="array" aca="1" ref="D728" ca="1">IF(AND('Bond 5'!B$8="Non-TIF Bond",OR(ISBLANK(INDIRECT("'"&amp;A728&amp;"'!"&amp;B728)),INDIRECT("'"&amp;A728&amp;"'!"&amp;B728)&lt;&gt;0)),TRUE,FALSE)</f>
        <v>0</v>
      </c>
      <c r="E728" t="s">
        <v>630</v>
      </c>
      <c r="F728" t="str">
        <f>INDEX(Lists!I:I,MATCH(Validation!E728,Lists!G:G,0))</f>
        <v>Error</v>
      </c>
      <c r="G728" t="str">
        <f>INDEX(Lists!H:H,MATCH(Validation!E728,Lists!G:G,0))</f>
        <v>Enter $0 if debt type is Non-TIF Bond.</v>
      </c>
      <c r="H728" s="25" t="str">
        <f t="shared" ca="1" si="156"/>
        <v/>
      </c>
      <c r="I728" s="25" t="str">
        <f t="shared" ca="1" si="157"/>
        <v/>
      </c>
      <c r="J728" s="26" t="str">
        <f t="shared" ca="1" si="158"/>
        <v/>
      </c>
    </row>
    <row r="729" spans="1:10" x14ac:dyDescent="0.25">
      <c r="A729" t="s">
        <v>306</v>
      </c>
      <c r="B729" t="str">
        <f>ADDRESS(ROW('Bond 1'!$B$19),COLUMN('Bond 1'!$B$19),4)</f>
        <v>B19</v>
      </c>
      <c r="C729" t="str">
        <f>ADDRESS(ROW('Bond 1'!$D$19),COLUMN('Bond 1'!$D$19),4)</f>
        <v>D19</v>
      </c>
      <c r="D729" t="b" cm="1">
        <f t="array" aca="1" ref="D729" ca="1">IF(AND('Bond 6'!B$8="Non-TIF Bond",OR(ISBLANK(INDIRECT("'"&amp;A729&amp;"'!"&amp;B729)),INDIRECT("'"&amp;A729&amp;"'!"&amp;B729)&lt;&gt;0)),TRUE,FALSE)</f>
        <v>0</v>
      </c>
      <c r="E729" t="s">
        <v>630</v>
      </c>
      <c r="F729" t="str">
        <f>INDEX(Lists!I:I,MATCH(Validation!E729,Lists!G:G,0))</f>
        <v>Error</v>
      </c>
      <c r="G729" t="str">
        <f>INDEX(Lists!H:H,MATCH(Validation!E729,Lists!G:G,0))</f>
        <v>Enter $0 if debt type is Non-TIF Bond.</v>
      </c>
      <c r="H729" s="25" t="str">
        <f t="shared" ca="1" si="156"/>
        <v/>
      </c>
      <c r="I729" s="25" t="str">
        <f t="shared" ca="1" si="157"/>
        <v/>
      </c>
      <c r="J729" s="26" t="str">
        <f t="shared" ca="1" si="158"/>
        <v/>
      </c>
    </row>
    <row r="730" spans="1:10" x14ac:dyDescent="0.25">
      <c r="A730" t="s">
        <v>307</v>
      </c>
      <c r="B730" t="str">
        <f>ADDRESS(ROW('Bond 1'!$B$19),COLUMN('Bond 1'!$B$19),4)</f>
        <v>B19</v>
      </c>
      <c r="C730" t="str">
        <f>ADDRESS(ROW('Bond 1'!$D$19),COLUMN('Bond 1'!$D$19),4)</f>
        <v>D19</v>
      </c>
      <c r="D730" t="b" cm="1">
        <f t="array" aca="1" ref="D730" ca="1">IF(AND('Bond 7'!B$8="Non-TIF Bond",OR(ISBLANK(INDIRECT("'"&amp;A730&amp;"'!"&amp;B730)),INDIRECT("'"&amp;A730&amp;"'!"&amp;B730)&lt;&gt;0)),TRUE,FALSE)</f>
        <v>0</v>
      </c>
      <c r="E730" t="s">
        <v>630</v>
      </c>
      <c r="F730" t="str">
        <f>INDEX(Lists!I:I,MATCH(Validation!E730,Lists!G:G,0))</f>
        <v>Error</v>
      </c>
      <c r="G730" t="str">
        <f>INDEX(Lists!H:H,MATCH(Validation!E730,Lists!G:G,0))</f>
        <v>Enter $0 if debt type is Non-TIF Bond.</v>
      </c>
      <c r="H730" s="25" t="str">
        <f t="shared" ca="1" si="156"/>
        <v/>
      </c>
      <c r="I730" s="25" t="str">
        <f t="shared" ca="1" si="157"/>
        <v/>
      </c>
      <c r="J730" s="26" t="str">
        <f t="shared" ca="1" si="158"/>
        <v/>
      </c>
    </row>
    <row r="731" spans="1:10" x14ac:dyDescent="0.25">
      <c r="A731" t="s">
        <v>308</v>
      </c>
      <c r="B731" t="str">
        <f>ADDRESS(ROW('Bond 1'!$B$19),COLUMN('Bond 1'!$B$19),4)</f>
        <v>B19</v>
      </c>
      <c r="C731" t="str">
        <f>ADDRESS(ROW('Bond 1'!$D$19),COLUMN('Bond 1'!$D$19),4)</f>
        <v>D19</v>
      </c>
      <c r="D731" t="b" cm="1">
        <f t="array" aca="1" ref="D731" ca="1">IF(AND('Bond 8'!B$8="Non-TIF Bond",OR(ISBLANK(INDIRECT("'"&amp;A731&amp;"'!"&amp;B731)),INDIRECT("'"&amp;A731&amp;"'!"&amp;B731)&lt;&gt;0)),TRUE,FALSE)</f>
        <v>0</v>
      </c>
      <c r="E731" t="s">
        <v>630</v>
      </c>
      <c r="F731" t="str">
        <f>INDEX(Lists!I:I,MATCH(Validation!E731,Lists!G:G,0))</f>
        <v>Error</v>
      </c>
      <c r="G731" t="str">
        <f>INDEX(Lists!H:H,MATCH(Validation!E731,Lists!G:G,0))</f>
        <v>Enter $0 if debt type is Non-TIF Bond.</v>
      </c>
      <c r="H731" s="25" t="str">
        <f t="shared" ca="1" si="156"/>
        <v/>
      </c>
      <c r="I731" s="25" t="str">
        <f t="shared" ca="1" si="157"/>
        <v/>
      </c>
      <c r="J731" s="26" t="str">
        <f t="shared" ca="1" si="158"/>
        <v/>
      </c>
    </row>
    <row r="732" spans="1:10" x14ac:dyDescent="0.25">
      <c r="A732" t="s">
        <v>309</v>
      </c>
      <c r="B732" t="str">
        <f>ADDRESS(ROW('Bond 1'!$B$19),COLUMN('Bond 1'!$B$19),4)</f>
        <v>B19</v>
      </c>
      <c r="C732" t="str">
        <f>ADDRESS(ROW('Bond 1'!$D$19),COLUMN('Bond 1'!$D$19),4)</f>
        <v>D19</v>
      </c>
      <c r="D732" t="b" cm="1">
        <f t="array" aca="1" ref="D732" ca="1">IF(AND('Bond 9'!B$8="Non-TIF Bond",OR(ISBLANK(INDIRECT("'"&amp;A732&amp;"'!"&amp;B732)),INDIRECT("'"&amp;A732&amp;"'!"&amp;B732)&lt;&gt;0)),TRUE,FALSE)</f>
        <v>0</v>
      </c>
      <c r="E732" t="s">
        <v>630</v>
      </c>
      <c r="F732" t="str">
        <f>INDEX(Lists!I:I,MATCH(Validation!E732,Lists!G:G,0))</f>
        <v>Error</v>
      </c>
      <c r="G732" t="str">
        <f>INDEX(Lists!H:H,MATCH(Validation!E732,Lists!G:G,0))</f>
        <v>Enter $0 if debt type is Non-TIF Bond.</v>
      </c>
      <c r="H732" s="25" t="str">
        <f t="shared" ca="1" si="156"/>
        <v/>
      </c>
      <c r="I732" s="25" t="str">
        <f t="shared" ca="1" si="157"/>
        <v/>
      </c>
      <c r="J732" s="26" t="str">
        <f t="shared" ca="1" si="158"/>
        <v/>
      </c>
    </row>
    <row r="733" spans="1:10" x14ac:dyDescent="0.25">
      <c r="A733" t="s">
        <v>310</v>
      </c>
      <c r="B733" t="str">
        <f>ADDRESS(ROW('Bond 1'!$B$19),COLUMN('Bond 1'!$B$19),4)</f>
        <v>B19</v>
      </c>
      <c r="C733" t="str">
        <f>ADDRESS(ROW('Bond 1'!$D$19),COLUMN('Bond 1'!$D$19),4)</f>
        <v>D19</v>
      </c>
      <c r="D733" t="b" cm="1">
        <f t="array" aca="1" ref="D733" ca="1">IF(AND('Bond 10'!B$8="Non-TIF Bond",OR(ISBLANK(INDIRECT("'"&amp;A733&amp;"'!"&amp;B733)),INDIRECT("'"&amp;A733&amp;"'!"&amp;B733)&lt;&gt;0)),TRUE,FALSE)</f>
        <v>0</v>
      </c>
      <c r="E733" t="s">
        <v>630</v>
      </c>
      <c r="F733" t="str">
        <f>INDEX(Lists!I:I,MATCH(Validation!E733,Lists!G:G,0))</f>
        <v>Error</v>
      </c>
      <c r="G733" t="str">
        <f>INDEX(Lists!H:H,MATCH(Validation!E733,Lists!G:G,0))</f>
        <v>Enter $0 if debt type is Non-TIF Bond.</v>
      </c>
      <c r="H733" s="25" t="str">
        <f t="shared" ca="1" si="156"/>
        <v/>
      </c>
      <c r="I733" s="25" t="str">
        <f t="shared" ca="1" si="157"/>
        <v/>
      </c>
      <c r="J733" s="26" t="str">
        <f t="shared" ca="1" si="158"/>
        <v/>
      </c>
    </row>
    <row r="734" spans="1:10" x14ac:dyDescent="0.25">
      <c r="A734" t="s">
        <v>311</v>
      </c>
      <c r="B734" t="str">
        <f>ADDRESS(ROW('Bond 1'!$B$19),COLUMN('Bond 1'!$B$19),4)</f>
        <v>B19</v>
      </c>
      <c r="C734" t="str">
        <f>ADDRESS(ROW('Bond 1'!$D$19),COLUMN('Bond 1'!$D$19),4)</f>
        <v>D19</v>
      </c>
      <c r="D734" t="b" cm="1">
        <f t="array" aca="1" ref="D734" ca="1">IF(AND('Bond 11'!B$8="Non-TIF Bond",OR(ISBLANK(INDIRECT("'"&amp;A734&amp;"'!"&amp;B734)),INDIRECT("'"&amp;A734&amp;"'!"&amp;B734)&lt;&gt;0)),TRUE,FALSE)</f>
        <v>0</v>
      </c>
      <c r="E734" t="s">
        <v>630</v>
      </c>
      <c r="F734" t="str">
        <f>INDEX(Lists!I:I,MATCH(Validation!E734,Lists!G:G,0))</f>
        <v>Error</v>
      </c>
      <c r="G734" t="str">
        <f>INDEX(Lists!H:H,MATCH(Validation!E734,Lists!G:G,0))</f>
        <v>Enter $0 if debt type is Non-TIF Bond.</v>
      </c>
      <c r="H734" s="25" t="str">
        <f t="shared" ca="1" si="156"/>
        <v/>
      </c>
      <c r="I734" s="25" t="str">
        <f t="shared" ca="1" si="157"/>
        <v/>
      </c>
      <c r="J734" s="26" t="str">
        <f t="shared" ca="1" si="158"/>
        <v/>
      </c>
    </row>
    <row r="735" spans="1:10" x14ac:dyDescent="0.25">
      <c r="A735" t="s">
        <v>312</v>
      </c>
      <c r="B735" t="str">
        <f>ADDRESS(ROW('Bond 1'!$B$19),COLUMN('Bond 1'!$B$19),4)</f>
        <v>B19</v>
      </c>
      <c r="C735" t="str">
        <f>ADDRESS(ROW('Bond 1'!$D$19),COLUMN('Bond 1'!$D$19),4)</f>
        <v>D19</v>
      </c>
      <c r="D735" t="b" cm="1">
        <f t="array" aca="1" ref="D735" ca="1">IF(AND('Bond 12'!B$8="Non-TIF Bond",OR(ISBLANK(INDIRECT("'"&amp;A735&amp;"'!"&amp;B735)),INDIRECT("'"&amp;A735&amp;"'!"&amp;B735)&lt;&gt;0)),TRUE,FALSE)</f>
        <v>0</v>
      </c>
      <c r="E735" t="s">
        <v>630</v>
      </c>
      <c r="F735" t="str">
        <f>INDEX(Lists!I:I,MATCH(Validation!E735,Lists!G:G,0))</f>
        <v>Error</v>
      </c>
      <c r="G735" t="str">
        <f>INDEX(Lists!H:H,MATCH(Validation!E735,Lists!G:G,0))</f>
        <v>Enter $0 if debt type is Non-TIF Bond.</v>
      </c>
      <c r="H735" s="25" t="str">
        <f t="shared" ca="1" si="156"/>
        <v/>
      </c>
      <c r="I735" s="25" t="str">
        <f t="shared" ca="1" si="157"/>
        <v/>
      </c>
      <c r="J735" s="26" t="str">
        <f t="shared" ca="1" si="158"/>
        <v/>
      </c>
    </row>
    <row r="736" spans="1:10" x14ac:dyDescent="0.25">
      <c r="A736" t="s">
        <v>313</v>
      </c>
      <c r="B736" t="str">
        <f>ADDRESS(ROW('Bond 1'!$B$19),COLUMN('Bond 1'!$B$19),4)</f>
        <v>B19</v>
      </c>
      <c r="C736" t="str">
        <f>ADDRESS(ROW('Bond 1'!$D$19),COLUMN('Bond 1'!$D$19),4)</f>
        <v>D19</v>
      </c>
      <c r="D736" t="b" cm="1">
        <f t="array" aca="1" ref="D736" ca="1">IF(AND('Bond 13'!B$8="Non-TIF Bond",OR(ISBLANK(INDIRECT("'"&amp;A736&amp;"'!"&amp;B736)),INDIRECT("'"&amp;A736&amp;"'!"&amp;B736)&lt;&gt;0)),TRUE,FALSE)</f>
        <v>0</v>
      </c>
      <c r="E736" t="s">
        <v>630</v>
      </c>
      <c r="F736" t="str">
        <f>INDEX(Lists!I:I,MATCH(Validation!E736,Lists!G:G,0))</f>
        <v>Error</v>
      </c>
      <c r="G736" t="str">
        <f>INDEX(Lists!H:H,MATCH(Validation!E736,Lists!G:G,0))</f>
        <v>Enter $0 if debt type is Non-TIF Bond.</v>
      </c>
      <c r="H736" s="25" t="str">
        <f t="shared" ca="1" si="156"/>
        <v/>
      </c>
      <c r="I736" s="25" t="str">
        <f t="shared" ca="1" si="157"/>
        <v/>
      </c>
      <c r="J736" s="26" t="str">
        <f t="shared" ca="1" si="158"/>
        <v/>
      </c>
    </row>
    <row r="737" spans="1:10" x14ac:dyDescent="0.25">
      <c r="A737" t="s">
        <v>314</v>
      </c>
      <c r="B737" t="str">
        <f>ADDRESS(ROW('Bond 1'!$B$19),COLUMN('Bond 1'!$B$19),4)</f>
        <v>B19</v>
      </c>
      <c r="C737" t="str">
        <f>ADDRESS(ROW('Bond 1'!$D$19),COLUMN('Bond 1'!$D$19),4)</f>
        <v>D19</v>
      </c>
      <c r="D737" t="b" cm="1">
        <f t="array" aca="1" ref="D737" ca="1">IF(AND('Bond 14'!B$8="Non-TIF Bond",OR(ISBLANK(INDIRECT("'"&amp;A737&amp;"'!"&amp;B737)),INDIRECT("'"&amp;A737&amp;"'!"&amp;B737)&lt;&gt;0)),TRUE,FALSE)</f>
        <v>0</v>
      </c>
      <c r="E737" t="s">
        <v>630</v>
      </c>
      <c r="F737" t="str">
        <f>INDEX(Lists!I:I,MATCH(Validation!E737,Lists!G:G,0))</f>
        <v>Error</v>
      </c>
      <c r="G737" t="str">
        <f>INDEX(Lists!H:H,MATCH(Validation!E737,Lists!G:G,0))</f>
        <v>Enter $0 if debt type is Non-TIF Bond.</v>
      </c>
      <c r="H737" s="25" t="str">
        <f t="shared" ca="1" si="156"/>
        <v/>
      </c>
      <c r="I737" s="25" t="str">
        <f t="shared" ca="1" si="157"/>
        <v/>
      </c>
      <c r="J737" s="26" t="str">
        <f t="shared" ca="1" si="158"/>
        <v/>
      </c>
    </row>
    <row r="738" spans="1:10" x14ac:dyDescent="0.25">
      <c r="A738" t="s">
        <v>315</v>
      </c>
      <c r="B738" t="str">
        <f>ADDRESS(ROW('Bond 1'!$B$19),COLUMN('Bond 1'!$B$19),4)</f>
        <v>B19</v>
      </c>
      <c r="C738" t="str">
        <f>ADDRESS(ROW('Bond 1'!$D$19),COLUMN('Bond 1'!$D$19),4)</f>
        <v>D19</v>
      </c>
      <c r="D738" t="b" cm="1">
        <f t="array" aca="1" ref="D738" ca="1">IF(AND('Bond 15'!B$8="Non-TIF Bond",OR(ISBLANK(INDIRECT("'"&amp;A738&amp;"'!"&amp;B738)),INDIRECT("'"&amp;A738&amp;"'!"&amp;B738)&lt;&gt;0)),TRUE,FALSE)</f>
        <v>0</v>
      </c>
      <c r="E738" t="s">
        <v>630</v>
      </c>
      <c r="F738" t="str">
        <f>INDEX(Lists!I:I,MATCH(Validation!E738,Lists!G:G,0))</f>
        <v>Error</v>
      </c>
      <c r="G738" t="str">
        <f>INDEX(Lists!H:H,MATCH(Validation!E738,Lists!G:G,0))</f>
        <v>Enter $0 if debt type is Non-TIF Bond.</v>
      </c>
      <c r="H738" s="25" t="str">
        <f t="shared" ca="1" si="156"/>
        <v/>
      </c>
      <c r="I738" s="25" t="str">
        <f t="shared" ca="1" si="157"/>
        <v/>
      </c>
      <c r="J738" s="26" t="str">
        <f t="shared" ca="1" si="158"/>
        <v/>
      </c>
    </row>
    <row r="739" spans="1:10" x14ac:dyDescent="0.25">
      <c r="A739" t="s">
        <v>198</v>
      </c>
      <c r="B739" t="str">
        <f>ADDRESS(ROW('Bond 1'!$B$19),COLUMN('Bond 1'!$B$19),4)</f>
        <v>B19</v>
      </c>
      <c r="C739" t="str">
        <f>ADDRESS(ROW('Bond 1'!$D$19),COLUMN('Bond 1'!$D$19),4)</f>
        <v>D19</v>
      </c>
      <c r="D739" t="b" cm="1">
        <f t="array" aca="1" ref="D739" ca="1">IF(INDIRECT("'"&amp;A739&amp;"'!"&amp;B739)="",FALSE,IF(NOT(ISNUMBER(INDIRECT("'"&amp;A739&amp;"'!"&amp;B739))),TRUE,FALSE))</f>
        <v>0</v>
      </c>
      <c r="E739" t="s">
        <v>435</v>
      </c>
      <c r="F739" t="str">
        <f>INDEX(Lists!I:I,MATCH(Validation!E739,Lists!G:G,0))</f>
        <v>Error</v>
      </c>
      <c r="G739" t="str">
        <f>INDEX(Lists!H:H,MATCH(Validation!E739,Lists!G:G,0))</f>
        <v>Enter an amount only. Do not enter text or spaces.</v>
      </c>
      <c r="H739" s="25" t="str">
        <f t="shared" ca="1" si="153"/>
        <v/>
      </c>
      <c r="I739" s="25" t="str">
        <f t="shared" ca="1" si="154"/>
        <v/>
      </c>
      <c r="J739" s="26" t="str">
        <f t="shared" ca="1" si="155"/>
        <v/>
      </c>
    </row>
    <row r="740" spans="1:10" x14ac:dyDescent="0.25">
      <c r="A740" t="s">
        <v>302</v>
      </c>
      <c r="B740" t="str">
        <f>ADDRESS(ROW('Bond 1'!$B$19),COLUMN('Bond 1'!$B$19),4)</f>
        <v>B19</v>
      </c>
      <c r="C740" t="str">
        <f>ADDRESS(ROW('Bond 1'!$D$19),COLUMN('Bond 1'!$D$19),4)</f>
        <v>D19</v>
      </c>
      <c r="D740" t="b" cm="1">
        <f t="array" aca="1" ref="D740" ca="1">IF(INDIRECT("'"&amp;A740&amp;"'!"&amp;B740)="",FALSE,IF(NOT(ISNUMBER(INDIRECT("'"&amp;A740&amp;"'!"&amp;B740))),TRUE,FALSE))</f>
        <v>0</v>
      </c>
      <c r="E740" t="s">
        <v>435</v>
      </c>
      <c r="F740" t="str">
        <f>INDEX(Lists!I:I,MATCH(Validation!E740,Lists!G:G,0))</f>
        <v>Error</v>
      </c>
      <c r="G740" t="str">
        <f>INDEX(Lists!H:H,MATCH(Validation!E740,Lists!G:G,0))</f>
        <v>Enter an amount only. Do not enter text or spaces.</v>
      </c>
      <c r="H740" s="25" t="str">
        <f t="shared" ca="1" si="153"/>
        <v/>
      </c>
      <c r="I740" s="25" t="str">
        <f t="shared" ca="1" si="154"/>
        <v/>
      </c>
      <c r="J740" s="26" t="str">
        <f t="shared" ca="1" si="155"/>
        <v/>
      </c>
    </row>
    <row r="741" spans="1:10" x14ac:dyDescent="0.25">
      <c r="A741" t="s">
        <v>303</v>
      </c>
      <c r="B741" t="str">
        <f>ADDRESS(ROW('Bond 1'!$B$19),COLUMN('Bond 1'!$B$19),4)</f>
        <v>B19</v>
      </c>
      <c r="C741" t="str">
        <f>ADDRESS(ROW('Bond 1'!$D$19),COLUMN('Bond 1'!$D$19),4)</f>
        <v>D19</v>
      </c>
      <c r="D741" t="b" cm="1">
        <f t="array" aca="1" ref="D741" ca="1">IF(INDIRECT("'"&amp;A741&amp;"'!"&amp;B741)="",FALSE,IF(NOT(ISNUMBER(INDIRECT("'"&amp;A741&amp;"'!"&amp;B741))),TRUE,FALSE))</f>
        <v>0</v>
      </c>
      <c r="E741" t="s">
        <v>435</v>
      </c>
      <c r="F741" t="str">
        <f>INDEX(Lists!I:I,MATCH(Validation!E741,Lists!G:G,0))</f>
        <v>Error</v>
      </c>
      <c r="G741" t="str">
        <f>INDEX(Lists!H:H,MATCH(Validation!E741,Lists!G:G,0))</f>
        <v>Enter an amount only. Do not enter text or spaces.</v>
      </c>
      <c r="H741" s="25" t="str">
        <f t="shared" ca="1" si="153"/>
        <v/>
      </c>
      <c r="I741" s="25" t="str">
        <f t="shared" ca="1" si="154"/>
        <v/>
      </c>
      <c r="J741" s="26" t="str">
        <f t="shared" ca="1" si="155"/>
        <v/>
      </c>
    </row>
    <row r="742" spans="1:10" x14ac:dyDescent="0.25">
      <c r="A742" t="s">
        <v>304</v>
      </c>
      <c r="B742" t="str">
        <f>ADDRESS(ROW('Bond 1'!$B$19),COLUMN('Bond 1'!$B$19),4)</f>
        <v>B19</v>
      </c>
      <c r="C742" t="str">
        <f>ADDRESS(ROW('Bond 1'!$D$19),COLUMN('Bond 1'!$D$19),4)</f>
        <v>D19</v>
      </c>
      <c r="D742" t="b" cm="1">
        <f t="array" aca="1" ref="D742" ca="1">IF(INDIRECT("'"&amp;A742&amp;"'!"&amp;B742)="",FALSE,IF(NOT(ISNUMBER(INDIRECT("'"&amp;A742&amp;"'!"&amp;B742))),TRUE,FALSE))</f>
        <v>0</v>
      </c>
      <c r="E742" t="s">
        <v>435</v>
      </c>
      <c r="F742" t="str">
        <f>INDEX(Lists!I:I,MATCH(Validation!E742,Lists!G:G,0))</f>
        <v>Error</v>
      </c>
      <c r="G742" t="str">
        <f>INDEX(Lists!H:H,MATCH(Validation!E742,Lists!G:G,0))</f>
        <v>Enter an amount only. Do not enter text or spaces.</v>
      </c>
      <c r="H742" s="25" t="str">
        <f t="shared" ca="1" si="153"/>
        <v/>
      </c>
      <c r="I742" s="25" t="str">
        <f t="shared" ca="1" si="154"/>
        <v/>
      </c>
      <c r="J742" s="26" t="str">
        <f t="shared" ca="1" si="155"/>
        <v/>
      </c>
    </row>
    <row r="743" spans="1:10" x14ac:dyDescent="0.25">
      <c r="A743" t="s">
        <v>305</v>
      </c>
      <c r="B743" t="str">
        <f>ADDRESS(ROW('Bond 1'!$B$19),COLUMN('Bond 1'!$B$19),4)</f>
        <v>B19</v>
      </c>
      <c r="C743" t="str">
        <f>ADDRESS(ROW('Bond 1'!$D$19),COLUMN('Bond 1'!$D$19),4)</f>
        <v>D19</v>
      </c>
      <c r="D743" t="b" cm="1">
        <f t="array" aca="1" ref="D743" ca="1">IF(INDIRECT("'"&amp;A743&amp;"'!"&amp;B743)="",FALSE,IF(NOT(ISNUMBER(INDIRECT("'"&amp;A743&amp;"'!"&amp;B743))),TRUE,FALSE))</f>
        <v>0</v>
      </c>
      <c r="E743" t="s">
        <v>435</v>
      </c>
      <c r="F743" t="str">
        <f>INDEX(Lists!I:I,MATCH(Validation!E743,Lists!G:G,0))</f>
        <v>Error</v>
      </c>
      <c r="G743" t="str">
        <f>INDEX(Lists!H:H,MATCH(Validation!E743,Lists!G:G,0))</f>
        <v>Enter an amount only. Do not enter text or spaces.</v>
      </c>
      <c r="H743" s="25" t="str">
        <f t="shared" ca="1" si="153"/>
        <v/>
      </c>
      <c r="I743" s="25" t="str">
        <f t="shared" ca="1" si="154"/>
        <v/>
      </c>
      <c r="J743" s="26" t="str">
        <f t="shared" ca="1" si="155"/>
        <v/>
      </c>
    </row>
    <row r="744" spans="1:10" x14ac:dyDescent="0.25">
      <c r="A744" t="s">
        <v>306</v>
      </c>
      <c r="B744" t="str">
        <f>ADDRESS(ROW('Bond 1'!$B$19),COLUMN('Bond 1'!$B$19),4)</f>
        <v>B19</v>
      </c>
      <c r="C744" t="str">
        <f>ADDRESS(ROW('Bond 1'!$D$19),COLUMN('Bond 1'!$D$19),4)</f>
        <v>D19</v>
      </c>
      <c r="D744" t="b" cm="1">
        <f t="array" aca="1" ref="D744" ca="1">IF(INDIRECT("'"&amp;A744&amp;"'!"&amp;B744)="",FALSE,IF(NOT(ISNUMBER(INDIRECT("'"&amp;A744&amp;"'!"&amp;B744))),TRUE,FALSE))</f>
        <v>0</v>
      </c>
      <c r="E744" t="s">
        <v>435</v>
      </c>
      <c r="F744" t="str">
        <f>INDEX(Lists!I:I,MATCH(Validation!E744,Lists!G:G,0))</f>
        <v>Error</v>
      </c>
      <c r="G744" t="str">
        <f>INDEX(Lists!H:H,MATCH(Validation!E744,Lists!G:G,0))</f>
        <v>Enter an amount only. Do not enter text or spaces.</v>
      </c>
      <c r="H744" s="25" t="str">
        <f t="shared" ca="1" si="153"/>
        <v/>
      </c>
      <c r="I744" s="25" t="str">
        <f t="shared" ca="1" si="154"/>
        <v/>
      </c>
      <c r="J744" s="26" t="str">
        <f t="shared" ca="1" si="155"/>
        <v/>
      </c>
    </row>
    <row r="745" spans="1:10" x14ac:dyDescent="0.25">
      <c r="A745" t="s">
        <v>307</v>
      </c>
      <c r="B745" t="str">
        <f>ADDRESS(ROW('Bond 1'!$B$19),COLUMN('Bond 1'!$B$19),4)</f>
        <v>B19</v>
      </c>
      <c r="C745" t="str">
        <f>ADDRESS(ROW('Bond 1'!$D$19),COLUMN('Bond 1'!$D$19),4)</f>
        <v>D19</v>
      </c>
      <c r="D745" t="b" cm="1">
        <f t="array" aca="1" ref="D745" ca="1">IF(INDIRECT("'"&amp;A745&amp;"'!"&amp;B745)="",FALSE,IF(NOT(ISNUMBER(INDIRECT("'"&amp;A745&amp;"'!"&amp;B745))),TRUE,FALSE))</f>
        <v>0</v>
      </c>
      <c r="E745" t="s">
        <v>435</v>
      </c>
      <c r="F745" t="str">
        <f>INDEX(Lists!I:I,MATCH(Validation!E745,Lists!G:G,0))</f>
        <v>Error</v>
      </c>
      <c r="G745" t="str">
        <f>INDEX(Lists!H:H,MATCH(Validation!E745,Lists!G:G,0))</f>
        <v>Enter an amount only. Do not enter text or spaces.</v>
      </c>
      <c r="H745" s="25" t="str">
        <f t="shared" ca="1" si="153"/>
        <v/>
      </c>
      <c r="I745" s="25" t="str">
        <f t="shared" ca="1" si="154"/>
        <v/>
      </c>
      <c r="J745" s="26" t="str">
        <f t="shared" ca="1" si="155"/>
        <v/>
      </c>
    </row>
    <row r="746" spans="1:10" x14ac:dyDescent="0.25">
      <c r="A746" t="s">
        <v>308</v>
      </c>
      <c r="B746" t="str">
        <f>ADDRESS(ROW('Bond 1'!$B$19),COLUMN('Bond 1'!$B$19),4)</f>
        <v>B19</v>
      </c>
      <c r="C746" t="str">
        <f>ADDRESS(ROW('Bond 1'!$D$19),COLUMN('Bond 1'!$D$19),4)</f>
        <v>D19</v>
      </c>
      <c r="D746" t="b" cm="1">
        <f t="array" aca="1" ref="D746" ca="1">IF(INDIRECT("'"&amp;A746&amp;"'!"&amp;B746)="",FALSE,IF(NOT(ISNUMBER(INDIRECT("'"&amp;A746&amp;"'!"&amp;B746))),TRUE,FALSE))</f>
        <v>0</v>
      </c>
      <c r="E746" t="s">
        <v>435</v>
      </c>
      <c r="F746" t="str">
        <f>INDEX(Lists!I:I,MATCH(Validation!E746,Lists!G:G,0))</f>
        <v>Error</v>
      </c>
      <c r="G746" t="str">
        <f>INDEX(Lists!H:H,MATCH(Validation!E746,Lists!G:G,0))</f>
        <v>Enter an amount only. Do not enter text or spaces.</v>
      </c>
      <c r="H746" s="25" t="str">
        <f t="shared" ca="1" si="153"/>
        <v/>
      </c>
      <c r="I746" s="25" t="str">
        <f t="shared" ca="1" si="154"/>
        <v/>
      </c>
      <c r="J746" s="26" t="str">
        <f t="shared" ca="1" si="155"/>
        <v/>
      </c>
    </row>
    <row r="747" spans="1:10" x14ac:dyDescent="0.25">
      <c r="A747" t="s">
        <v>309</v>
      </c>
      <c r="B747" t="str">
        <f>ADDRESS(ROW('Bond 1'!$B$19),COLUMN('Bond 1'!$B$19),4)</f>
        <v>B19</v>
      </c>
      <c r="C747" t="str">
        <f>ADDRESS(ROW('Bond 1'!$D$19),COLUMN('Bond 1'!$D$19),4)</f>
        <v>D19</v>
      </c>
      <c r="D747" t="b" cm="1">
        <f t="array" aca="1" ref="D747" ca="1">IF(INDIRECT("'"&amp;A747&amp;"'!"&amp;B747)="",FALSE,IF(NOT(ISNUMBER(INDIRECT("'"&amp;A747&amp;"'!"&amp;B747))),TRUE,FALSE))</f>
        <v>0</v>
      </c>
      <c r="E747" t="s">
        <v>435</v>
      </c>
      <c r="F747" t="str">
        <f>INDEX(Lists!I:I,MATCH(Validation!E747,Lists!G:G,0))</f>
        <v>Error</v>
      </c>
      <c r="G747" t="str">
        <f>INDEX(Lists!H:H,MATCH(Validation!E747,Lists!G:G,0))</f>
        <v>Enter an amount only. Do not enter text or spaces.</v>
      </c>
      <c r="H747" s="25" t="str">
        <f t="shared" ca="1" si="153"/>
        <v/>
      </c>
      <c r="I747" s="25" t="str">
        <f t="shared" ca="1" si="154"/>
        <v/>
      </c>
      <c r="J747" s="26" t="str">
        <f t="shared" ca="1" si="155"/>
        <v/>
      </c>
    </row>
    <row r="748" spans="1:10" x14ac:dyDescent="0.25">
      <c r="A748" t="s">
        <v>310</v>
      </c>
      <c r="B748" t="str">
        <f>ADDRESS(ROW('Bond 1'!$B$19),COLUMN('Bond 1'!$B$19),4)</f>
        <v>B19</v>
      </c>
      <c r="C748" t="str">
        <f>ADDRESS(ROW('Bond 1'!$D$19),COLUMN('Bond 1'!$D$19),4)</f>
        <v>D19</v>
      </c>
      <c r="D748" t="b" cm="1">
        <f t="array" aca="1" ref="D748" ca="1">IF(INDIRECT("'"&amp;A748&amp;"'!"&amp;B748)="",FALSE,IF(NOT(ISNUMBER(INDIRECT("'"&amp;A748&amp;"'!"&amp;B748))),TRUE,FALSE))</f>
        <v>0</v>
      </c>
      <c r="E748" t="s">
        <v>435</v>
      </c>
      <c r="F748" t="str">
        <f>INDEX(Lists!I:I,MATCH(Validation!E748,Lists!G:G,0))</f>
        <v>Error</v>
      </c>
      <c r="G748" t="str">
        <f>INDEX(Lists!H:H,MATCH(Validation!E748,Lists!G:G,0))</f>
        <v>Enter an amount only. Do not enter text or spaces.</v>
      </c>
      <c r="H748" s="25" t="str">
        <f t="shared" ca="1" si="153"/>
        <v/>
      </c>
      <c r="I748" s="25" t="str">
        <f t="shared" ca="1" si="154"/>
        <v/>
      </c>
      <c r="J748" s="26" t="str">
        <f t="shared" ca="1" si="155"/>
        <v/>
      </c>
    </row>
    <row r="749" spans="1:10" x14ac:dyDescent="0.25">
      <c r="A749" t="s">
        <v>311</v>
      </c>
      <c r="B749" t="str">
        <f>ADDRESS(ROW('Bond 1'!$B$19),COLUMN('Bond 1'!$B$19),4)</f>
        <v>B19</v>
      </c>
      <c r="C749" t="str">
        <f>ADDRESS(ROW('Bond 1'!$D$19),COLUMN('Bond 1'!$D$19),4)</f>
        <v>D19</v>
      </c>
      <c r="D749" t="b" cm="1">
        <f t="array" aca="1" ref="D749" ca="1">IF(INDIRECT("'"&amp;A749&amp;"'!"&amp;B749)="",FALSE,IF(NOT(ISNUMBER(INDIRECT("'"&amp;A749&amp;"'!"&amp;B749))),TRUE,FALSE))</f>
        <v>0</v>
      </c>
      <c r="E749" t="s">
        <v>435</v>
      </c>
      <c r="F749" t="str">
        <f>INDEX(Lists!I:I,MATCH(Validation!E749,Lists!G:G,0))</f>
        <v>Error</v>
      </c>
      <c r="G749" t="str">
        <f>INDEX(Lists!H:H,MATCH(Validation!E749,Lists!G:G,0))</f>
        <v>Enter an amount only. Do not enter text or spaces.</v>
      </c>
      <c r="H749" s="25" t="str">
        <f t="shared" ca="1" si="153"/>
        <v/>
      </c>
      <c r="I749" s="25" t="str">
        <f t="shared" ca="1" si="154"/>
        <v/>
      </c>
      <c r="J749" s="26" t="str">
        <f t="shared" ca="1" si="155"/>
        <v/>
      </c>
    </row>
    <row r="750" spans="1:10" x14ac:dyDescent="0.25">
      <c r="A750" t="s">
        <v>312</v>
      </c>
      <c r="B750" t="str">
        <f>ADDRESS(ROW('Bond 1'!$B$19),COLUMN('Bond 1'!$B$19),4)</f>
        <v>B19</v>
      </c>
      <c r="C750" t="str">
        <f>ADDRESS(ROW('Bond 1'!$D$19),COLUMN('Bond 1'!$D$19),4)</f>
        <v>D19</v>
      </c>
      <c r="D750" t="b" cm="1">
        <f t="array" aca="1" ref="D750" ca="1">IF(INDIRECT("'"&amp;A750&amp;"'!"&amp;B750)="",FALSE,IF(NOT(ISNUMBER(INDIRECT("'"&amp;A750&amp;"'!"&amp;B750))),TRUE,FALSE))</f>
        <v>0</v>
      </c>
      <c r="E750" t="s">
        <v>435</v>
      </c>
      <c r="F750" t="str">
        <f>INDEX(Lists!I:I,MATCH(Validation!E750,Lists!G:G,0))</f>
        <v>Error</v>
      </c>
      <c r="G750" t="str">
        <f>INDEX(Lists!H:H,MATCH(Validation!E750,Lists!G:G,0))</f>
        <v>Enter an amount only. Do not enter text or spaces.</v>
      </c>
      <c r="H750" s="25" t="str">
        <f t="shared" ca="1" si="153"/>
        <v/>
      </c>
      <c r="I750" s="25" t="str">
        <f t="shared" ca="1" si="154"/>
        <v/>
      </c>
      <c r="J750" s="26" t="str">
        <f t="shared" ca="1" si="155"/>
        <v/>
      </c>
    </row>
    <row r="751" spans="1:10" x14ac:dyDescent="0.25">
      <c r="A751" t="s">
        <v>313</v>
      </c>
      <c r="B751" t="str">
        <f>ADDRESS(ROW('Bond 1'!$B$19),COLUMN('Bond 1'!$B$19),4)</f>
        <v>B19</v>
      </c>
      <c r="C751" t="str">
        <f>ADDRESS(ROW('Bond 1'!$D$19),COLUMN('Bond 1'!$D$19),4)</f>
        <v>D19</v>
      </c>
      <c r="D751" t="b" cm="1">
        <f t="array" aca="1" ref="D751" ca="1">IF(INDIRECT("'"&amp;A751&amp;"'!"&amp;B751)="",FALSE,IF(NOT(ISNUMBER(INDIRECT("'"&amp;A751&amp;"'!"&amp;B751))),TRUE,FALSE))</f>
        <v>0</v>
      </c>
      <c r="E751" t="s">
        <v>435</v>
      </c>
      <c r="F751" t="str">
        <f>INDEX(Lists!I:I,MATCH(Validation!E751,Lists!G:G,0))</f>
        <v>Error</v>
      </c>
      <c r="G751" t="str">
        <f>INDEX(Lists!H:H,MATCH(Validation!E751,Lists!G:G,0))</f>
        <v>Enter an amount only. Do not enter text or spaces.</v>
      </c>
      <c r="H751" s="25" t="str">
        <f t="shared" ca="1" si="153"/>
        <v/>
      </c>
      <c r="I751" s="25" t="str">
        <f t="shared" ca="1" si="154"/>
        <v/>
      </c>
      <c r="J751" s="26" t="str">
        <f t="shared" ca="1" si="155"/>
        <v/>
      </c>
    </row>
    <row r="752" spans="1:10" x14ac:dyDescent="0.25">
      <c r="A752" t="s">
        <v>314</v>
      </c>
      <c r="B752" t="str">
        <f>ADDRESS(ROW('Bond 1'!$B$19),COLUMN('Bond 1'!$B$19),4)</f>
        <v>B19</v>
      </c>
      <c r="C752" t="str">
        <f>ADDRESS(ROW('Bond 1'!$D$19),COLUMN('Bond 1'!$D$19),4)</f>
        <v>D19</v>
      </c>
      <c r="D752" t="b" cm="1">
        <f t="array" aca="1" ref="D752" ca="1">IF(INDIRECT("'"&amp;A752&amp;"'!"&amp;B752)="",FALSE,IF(NOT(ISNUMBER(INDIRECT("'"&amp;A752&amp;"'!"&amp;B752))),TRUE,FALSE))</f>
        <v>0</v>
      </c>
      <c r="E752" t="s">
        <v>435</v>
      </c>
      <c r="F752" t="str">
        <f>INDEX(Lists!I:I,MATCH(Validation!E752,Lists!G:G,0))</f>
        <v>Error</v>
      </c>
      <c r="G752" t="str">
        <f>INDEX(Lists!H:H,MATCH(Validation!E752,Lists!G:G,0))</f>
        <v>Enter an amount only. Do not enter text or spaces.</v>
      </c>
      <c r="H752" s="25" t="str">
        <f t="shared" ca="1" si="153"/>
        <v/>
      </c>
      <c r="I752" s="25" t="str">
        <f t="shared" ca="1" si="154"/>
        <v/>
      </c>
      <c r="J752" s="26" t="str">
        <f t="shared" ca="1" si="155"/>
        <v/>
      </c>
    </row>
    <row r="753" spans="1:10" x14ac:dyDescent="0.25">
      <c r="A753" t="s">
        <v>315</v>
      </c>
      <c r="B753" t="str">
        <f>ADDRESS(ROW('Bond 1'!$B$19),COLUMN('Bond 1'!$B$19),4)</f>
        <v>B19</v>
      </c>
      <c r="C753" t="str">
        <f>ADDRESS(ROW('Bond 1'!$D$19),COLUMN('Bond 1'!$D$19),4)</f>
        <v>D19</v>
      </c>
      <c r="D753" t="b" cm="1">
        <f t="array" aca="1" ref="D753" ca="1">IF(INDIRECT("'"&amp;A753&amp;"'!"&amp;B753)="",FALSE,IF(NOT(ISNUMBER(INDIRECT("'"&amp;A753&amp;"'!"&amp;B753))),TRUE,FALSE))</f>
        <v>0</v>
      </c>
      <c r="E753" t="s">
        <v>435</v>
      </c>
      <c r="F753" t="str">
        <f>INDEX(Lists!I:I,MATCH(Validation!E753,Lists!G:G,0))</f>
        <v>Error</v>
      </c>
      <c r="G753" t="str">
        <f>INDEX(Lists!H:H,MATCH(Validation!E753,Lists!G:G,0))</f>
        <v>Enter an amount only. Do not enter text or spaces.</v>
      </c>
      <c r="H753" s="25" t="str">
        <f t="shared" ca="1" si="153"/>
        <v/>
      </c>
      <c r="I753" s="25" t="str">
        <f t="shared" ca="1" si="154"/>
        <v/>
      </c>
      <c r="J753" s="26" t="str">
        <f t="shared" ca="1" si="155"/>
        <v/>
      </c>
    </row>
    <row r="754" spans="1:10" x14ac:dyDescent="0.25">
      <c r="A754" t="s">
        <v>198</v>
      </c>
      <c r="B754" t="str">
        <f>ADDRESS(ROW('Bond 1'!$B$19),COLUMN('Bond 1'!$B$19),4)</f>
        <v>B19</v>
      </c>
      <c r="C754" t="str">
        <f>ADDRESS(ROW('Bond 1'!$D$19),COLUMN('Bond 1'!$D$19),4)</f>
        <v>D19</v>
      </c>
      <c r="D754" t="b" cm="1">
        <f t="array" aca="1" ref="D754" ca="1">IF(INDIRECT("'"&amp;A754&amp;"'!"&amp;B754)="",FALSE,IF(INDIRECT("'"&amp;A754&amp;"'!"&amp;B754)&lt;0,TRUE,FALSE))</f>
        <v>0</v>
      </c>
      <c r="E754" t="s">
        <v>434</v>
      </c>
      <c r="F754" t="str">
        <f>INDEX(Lists!I:I,MATCH(Validation!E754,Lists!G:G,0))</f>
        <v>Error</v>
      </c>
      <c r="G754" t="str">
        <f>INDEX(Lists!H:H,MATCH(Validation!E754,Lists!G:G,0))</f>
        <v>Amount may not be negative. Enter an amount greater than or equal to zero.</v>
      </c>
      <c r="H754" s="25" t="str">
        <f t="shared" ca="1" si="153"/>
        <v/>
      </c>
      <c r="I754" s="25" t="str">
        <f t="shared" ca="1" si="154"/>
        <v/>
      </c>
      <c r="J754" s="26" t="str">
        <f t="shared" ca="1" si="155"/>
        <v/>
      </c>
    </row>
    <row r="755" spans="1:10" x14ac:dyDescent="0.25">
      <c r="A755" t="s">
        <v>302</v>
      </c>
      <c r="B755" t="str">
        <f>ADDRESS(ROW('Bond 1'!$B$19),COLUMN('Bond 1'!$B$19),4)</f>
        <v>B19</v>
      </c>
      <c r="C755" t="str">
        <f>ADDRESS(ROW('Bond 1'!$D$19),COLUMN('Bond 1'!$D$19),4)</f>
        <v>D19</v>
      </c>
      <c r="D755" t="b" cm="1">
        <f t="array" aca="1" ref="D755" ca="1">IF(INDIRECT("'"&amp;A755&amp;"'!"&amp;B755)="",FALSE,IF(INDIRECT("'"&amp;A755&amp;"'!"&amp;B755)&lt;0,TRUE,FALSE))</f>
        <v>0</v>
      </c>
      <c r="E755" t="s">
        <v>434</v>
      </c>
      <c r="F755" t="str">
        <f>INDEX(Lists!I:I,MATCH(Validation!E755,Lists!G:G,0))</f>
        <v>Error</v>
      </c>
      <c r="G755" t="str">
        <f>INDEX(Lists!H:H,MATCH(Validation!E755,Lists!G:G,0))</f>
        <v>Amount may not be negative. Enter an amount greater than or equal to zero.</v>
      </c>
      <c r="H755" s="25" t="str">
        <f t="shared" ca="1" si="153"/>
        <v/>
      </c>
      <c r="I755" s="25" t="str">
        <f t="shared" ca="1" si="154"/>
        <v/>
      </c>
      <c r="J755" s="26" t="str">
        <f t="shared" ca="1" si="155"/>
        <v/>
      </c>
    </row>
    <row r="756" spans="1:10" x14ac:dyDescent="0.25">
      <c r="A756" t="s">
        <v>303</v>
      </c>
      <c r="B756" t="str">
        <f>ADDRESS(ROW('Bond 1'!$B$19),COLUMN('Bond 1'!$B$19),4)</f>
        <v>B19</v>
      </c>
      <c r="C756" t="str">
        <f>ADDRESS(ROW('Bond 1'!$D$19),COLUMN('Bond 1'!$D$19),4)</f>
        <v>D19</v>
      </c>
      <c r="D756" t="b" cm="1">
        <f t="array" aca="1" ref="D756" ca="1">IF(INDIRECT("'"&amp;A756&amp;"'!"&amp;B756)="",FALSE,IF(INDIRECT("'"&amp;A756&amp;"'!"&amp;B756)&lt;0,TRUE,FALSE))</f>
        <v>0</v>
      </c>
      <c r="E756" t="s">
        <v>434</v>
      </c>
      <c r="F756" t="str">
        <f>INDEX(Lists!I:I,MATCH(Validation!E756,Lists!G:G,0))</f>
        <v>Error</v>
      </c>
      <c r="G756" t="str">
        <f>INDEX(Lists!H:H,MATCH(Validation!E756,Lists!G:G,0))</f>
        <v>Amount may not be negative. Enter an amount greater than or equal to zero.</v>
      </c>
      <c r="H756" s="25" t="str">
        <f t="shared" ca="1" si="153"/>
        <v/>
      </c>
      <c r="I756" s="25" t="str">
        <f t="shared" ca="1" si="154"/>
        <v/>
      </c>
      <c r="J756" s="26" t="str">
        <f t="shared" ca="1" si="155"/>
        <v/>
      </c>
    </row>
    <row r="757" spans="1:10" x14ac:dyDescent="0.25">
      <c r="A757" t="s">
        <v>304</v>
      </c>
      <c r="B757" t="str">
        <f>ADDRESS(ROW('Bond 1'!$B$19),COLUMN('Bond 1'!$B$19),4)</f>
        <v>B19</v>
      </c>
      <c r="C757" t="str">
        <f>ADDRESS(ROW('Bond 1'!$D$19),COLUMN('Bond 1'!$D$19),4)</f>
        <v>D19</v>
      </c>
      <c r="D757" t="b" cm="1">
        <f t="array" aca="1" ref="D757" ca="1">IF(INDIRECT("'"&amp;A757&amp;"'!"&amp;B757)="",FALSE,IF(INDIRECT("'"&amp;A757&amp;"'!"&amp;B757)&lt;0,TRUE,FALSE))</f>
        <v>0</v>
      </c>
      <c r="E757" t="s">
        <v>434</v>
      </c>
      <c r="F757" t="str">
        <f>INDEX(Lists!I:I,MATCH(Validation!E757,Lists!G:G,0))</f>
        <v>Error</v>
      </c>
      <c r="G757" t="str">
        <f>INDEX(Lists!H:H,MATCH(Validation!E757,Lists!G:G,0))</f>
        <v>Amount may not be negative. Enter an amount greater than or equal to zero.</v>
      </c>
      <c r="H757" s="25" t="str">
        <f t="shared" ca="1" si="153"/>
        <v/>
      </c>
      <c r="I757" s="25" t="str">
        <f t="shared" ca="1" si="154"/>
        <v/>
      </c>
      <c r="J757" s="26" t="str">
        <f t="shared" ca="1" si="155"/>
        <v/>
      </c>
    </row>
    <row r="758" spans="1:10" x14ac:dyDescent="0.25">
      <c r="A758" t="s">
        <v>305</v>
      </c>
      <c r="B758" t="str">
        <f>ADDRESS(ROW('Bond 1'!$B$19),COLUMN('Bond 1'!$B$19),4)</f>
        <v>B19</v>
      </c>
      <c r="C758" t="str">
        <f>ADDRESS(ROW('Bond 1'!$D$19),COLUMN('Bond 1'!$D$19),4)</f>
        <v>D19</v>
      </c>
      <c r="D758" t="b" cm="1">
        <f t="array" aca="1" ref="D758" ca="1">IF(INDIRECT("'"&amp;A758&amp;"'!"&amp;B758)="",FALSE,IF(INDIRECT("'"&amp;A758&amp;"'!"&amp;B758)&lt;0,TRUE,FALSE))</f>
        <v>0</v>
      </c>
      <c r="E758" t="s">
        <v>434</v>
      </c>
      <c r="F758" t="str">
        <f>INDEX(Lists!I:I,MATCH(Validation!E758,Lists!G:G,0))</f>
        <v>Error</v>
      </c>
      <c r="G758" t="str">
        <f>INDEX(Lists!H:H,MATCH(Validation!E758,Lists!G:G,0))</f>
        <v>Amount may not be negative. Enter an amount greater than or equal to zero.</v>
      </c>
      <c r="H758" s="25" t="str">
        <f t="shared" ca="1" si="153"/>
        <v/>
      </c>
      <c r="I758" s="25" t="str">
        <f t="shared" ca="1" si="154"/>
        <v/>
      </c>
      <c r="J758" s="26" t="str">
        <f t="shared" ca="1" si="155"/>
        <v/>
      </c>
    </row>
    <row r="759" spans="1:10" x14ac:dyDescent="0.25">
      <c r="A759" t="s">
        <v>306</v>
      </c>
      <c r="B759" t="str">
        <f>ADDRESS(ROW('Bond 1'!$B$19),COLUMN('Bond 1'!$B$19),4)</f>
        <v>B19</v>
      </c>
      <c r="C759" t="str">
        <f>ADDRESS(ROW('Bond 1'!$D$19),COLUMN('Bond 1'!$D$19),4)</f>
        <v>D19</v>
      </c>
      <c r="D759" t="b" cm="1">
        <f t="array" aca="1" ref="D759" ca="1">IF(INDIRECT("'"&amp;A759&amp;"'!"&amp;B759)="",FALSE,IF(INDIRECT("'"&amp;A759&amp;"'!"&amp;B759)&lt;0,TRUE,FALSE))</f>
        <v>0</v>
      </c>
      <c r="E759" t="s">
        <v>434</v>
      </c>
      <c r="F759" t="str">
        <f>INDEX(Lists!I:I,MATCH(Validation!E759,Lists!G:G,0))</f>
        <v>Error</v>
      </c>
      <c r="G759" t="str">
        <f>INDEX(Lists!H:H,MATCH(Validation!E759,Lists!G:G,0))</f>
        <v>Amount may not be negative. Enter an amount greater than or equal to zero.</v>
      </c>
      <c r="H759" s="25" t="str">
        <f t="shared" ca="1" si="153"/>
        <v/>
      </c>
      <c r="I759" s="25" t="str">
        <f t="shared" ca="1" si="154"/>
        <v/>
      </c>
      <c r="J759" s="26" t="str">
        <f t="shared" ca="1" si="155"/>
        <v/>
      </c>
    </row>
    <row r="760" spans="1:10" x14ac:dyDescent="0.25">
      <c r="A760" t="s">
        <v>307</v>
      </c>
      <c r="B760" t="str">
        <f>ADDRESS(ROW('Bond 1'!$B$19),COLUMN('Bond 1'!$B$19),4)</f>
        <v>B19</v>
      </c>
      <c r="C760" t="str">
        <f>ADDRESS(ROW('Bond 1'!$D$19),COLUMN('Bond 1'!$D$19),4)</f>
        <v>D19</v>
      </c>
      <c r="D760" t="b" cm="1">
        <f t="array" aca="1" ref="D760" ca="1">IF(INDIRECT("'"&amp;A760&amp;"'!"&amp;B760)="",FALSE,IF(INDIRECT("'"&amp;A760&amp;"'!"&amp;B760)&lt;0,TRUE,FALSE))</f>
        <v>0</v>
      </c>
      <c r="E760" t="s">
        <v>434</v>
      </c>
      <c r="F760" t="str">
        <f>INDEX(Lists!I:I,MATCH(Validation!E760,Lists!G:G,0))</f>
        <v>Error</v>
      </c>
      <c r="G760" t="str">
        <f>INDEX(Lists!H:H,MATCH(Validation!E760,Lists!G:G,0))</f>
        <v>Amount may not be negative. Enter an amount greater than or equal to zero.</v>
      </c>
      <c r="H760" s="25" t="str">
        <f t="shared" ca="1" si="153"/>
        <v/>
      </c>
      <c r="I760" s="25" t="str">
        <f t="shared" ca="1" si="154"/>
        <v/>
      </c>
      <c r="J760" s="26" t="str">
        <f t="shared" ca="1" si="155"/>
        <v/>
      </c>
    </row>
    <row r="761" spans="1:10" x14ac:dyDescent="0.25">
      <c r="A761" t="s">
        <v>308</v>
      </c>
      <c r="B761" t="str">
        <f>ADDRESS(ROW('Bond 1'!$B$19),COLUMN('Bond 1'!$B$19),4)</f>
        <v>B19</v>
      </c>
      <c r="C761" t="str">
        <f>ADDRESS(ROW('Bond 1'!$D$19),COLUMN('Bond 1'!$D$19),4)</f>
        <v>D19</v>
      </c>
      <c r="D761" t="b" cm="1">
        <f t="array" aca="1" ref="D761" ca="1">IF(INDIRECT("'"&amp;A761&amp;"'!"&amp;B761)="",FALSE,IF(INDIRECT("'"&amp;A761&amp;"'!"&amp;B761)&lt;0,TRUE,FALSE))</f>
        <v>0</v>
      </c>
      <c r="E761" t="s">
        <v>434</v>
      </c>
      <c r="F761" t="str">
        <f>INDEX(Lists!I:I,MATCH(Validation!E761,Lists!G:G,0))</f>
        <v>Error</v>
      </c>
      <c r="G761" t="str">
        <f>INDEX(Lists!H:H,MATCH(Validation!E761,Lists!G:G,0))</f>
        <v>Amount may not be negative. Enter an amount greater than or equal to zero.</v>
      </c>
      <c r="H761" s="25" t="str">
        <f t="shared" ca="1" si="153"/>
        <v/>
      </c>
      <c r="I761" s="25" t="str">
        <f t="shared" ca="1" si="154"/>
        <v/>
      </c>
      <c r="J761" s="26" t="str">
        <f t="shared" ca="1" si="155"/>
        <v/>
      </c>
    </row>
    <row r="762" spans="1:10" x14ac:dyDescent="0.25">
      <c r="A762" t="s">
        <v>309</v>
      </c>
      <c r="B762" t="str">
        <f>ADDRESS(ROW('Bond 1'!$B$19),COLUMN('Bond 1'!$B$19),4)</f>
        <v>B19</v>
      </c>
      <c r="C762" t="str">
        <f>ADDRESS(ROW('Bond 1'!$D$19),COLUMN('Bond 1'!$D$19),4)</f>
        <v>D19</v>
      </c>
      <c r="D762" t="b" cm="1">
        <f t="array" aca="1" ref="D762" ca="1">IF(INDIRECT("'"&amp;A762&amp;"'!"&amp;B762)="",FALSE,IF(INDIRECT("'"&amp;A762&amp;"'!"&amp;B762)&lt;0,TRUE,FALSE))</f>
        <v>0</v>
      </c>
      <c r="E762" t="s">
        <v>434</v>
      </c>
      <c r="F762" t="str">
        <f>INDEX(Lists!I:I,MATCH(Validation!E762,Lists!G:G,0))</f>
        <v>Error</v>
      </c>
      <c r="G762" t="str">
        <f>INDEX(Lists!H:H,MATCH(Validation!E762,Lists!G:G,0))</f>
        <v>Amount may not be negative. Enter an amount greater than or equal to zero.</v>
      </c>
      <c r="H762" s="25" t="str">
        <f t="shared" ca="1" si="153"/>
        <v/>
      </c>
      <c r="I762" s="25" t="str">
        <f t="shared" ca="1" si="154"/>
        <v/>
      </c>
      <c r="J762" s="26" t="str">
        <f t="shared" ca="1" si="155"/>
        <v/>
      </c>
    </row>
    <row r="763" spans="1:10" x14ac:dyDescent="0.25">
      <c r="A763" t="s">
        <v>310</v>
      </c>
      <c r="B763" t="str">
        <f>ADDRESS(ROW('Bond 1'!$B$19),COLUMN('Bond 1'!$B$19),4)</f>
        <v>B19</v>
      </c>
      <c r="C763" t="str">
        <f>ADDRESS(ROW('Bond 1'!$D$19),COLUMN('Bond 1'!$D$19),4)</f>
        <v>D19</v>
      </c>
      <c r="D763" t="b" cm="1">
        <f t="array" aca="1" ref="D763" ca="1">IF(INDIRECT("'"&amp;A763&amp;"'!"&amp;B763)="",FALSE,IF(INDIRECT("'"&amp;A763&amp;"'!"&amp;B763)&lt;0,TRUE,FALSE))</f>
        <v>0</v>
      </c>
      <c r="E763" t="s">
        <v>434</v>
      </c>
      <c r="F763" t="str">
        <f>INDEX(Lists!I:I,MATCH(Validation!E763,Lists!G:G,0))</f>
        <v>Error</v>
      </c>
      <c r="G763" t="str">
        <f>INDEX(Lists!H:H,MATCH(Validation!E763,Lists!G:G,0))</f>
        <v>Amount may not be negative. Enter an amount greater than or equal to zero.</v>
      </c>
      <c r="H763" s="25" t="str">
        <f t="shared" ca="1" si="153"/>
        <v/>
      </c>
      <c r="I763" s="25" t="str">
        <f t="shared" ca="1" si="154"/>
        <v/>
      </c>
      <c r="J763" s="26" t="str">
        <f t="shared" ca="1" si="155"/>
        <v/>
      </c>
    </row>
    <row r="764" spans="1:10" x14ac:dyDescent="0.25">
      <c r="A764" t="s">
        <v>311</v>
      </c>
      <c r="B764" t="str">
        <f>ADDRESS(ROW('Bond 1'!$B$19),COLUMN('Bond 1'!$B$19),4)</f>
        <v>B19</v>
      </c>
      <c r="C764" t="str">
        <f>ADDRESS(ROW('Bond 1'!$D$19),COLUMN('Bond 1'!$D$19),4)</f>
        <v>D19</v>
      </c>
      <c r="D764" t="b" cm="1">
        <f t="array" aca="1" ref="D764" ca="1">IF(INDIRECT("'"&amp;A764&amp;"'!"&amp;B764)="",FALSE,IF(INDIRECT("'"&amp;A764&amp;"'!"&amp;B764)&lt;0,TRUE,FALSE))</f>
        <v>0</v>
      </c>
      <c r="E764" t="s">
        <v>434</v>
      </c>
      <c r="F764" t="str">
        <f>INDEX(Lists!I:I,MATCH(Validation!E764,Lists!G:G,0))</f>
        <v>Error</v>
      </c>
      <c r="G764" t="str">
        <f>INDEX(Lists!H:H,MATCH(Validation!E764,Lists!G:G,0))</f>
        <v>Amount may not be negative. Enter an amount greater than or equal to zero.</v>
      </c>
      <c r="H764" s="25" t="str">
        <f t="shared" ca="1" si="153"/>
        <v/>
      </c>
      <c r="I764" s="25" t="str">
        <f t="shared" ca="1" si="154"/>
        <v/>
      </c>
      <c r="J764" s="26" t="str">
        <f t="shared" ca="1" si="155"/>
        <v/>
      </c>
    </row>
    <row r="765" spans="1:10" x14ac:dyDescent="0.25">
      <c r="A765" t="s">
        <v>312</v>
      </c>
      <c r="B765" t="str">
        <f>ADDRESS(ROW('Bond 1'!$B$19),COLUMN('Bond 1'!$B$19),4)</f>
        <v>B19</v>
      </c>
      <c r="C765" t="str">
        <f>ADDRESS(ROW('Bond 1'!$D$19),COLUMN('Bond 1'!$D$19),4)</f>
        <v>D19</v>
      </c>
      <c r="D765" t="b" cm="1">
        <f t="array" aca="1" ref="D765" ca="1">IF(INDIRECT("'"&amp;A765&amp;"'!"&amp;B765)="",FALSE,IF(INDIRECT("'"&amp;A765&amp;"'!"&amp;B765)&lt;0,TRUE,FALSE))</f>
        <v>0</v>
      </c>
      <c r="E765" t="s">
        <v>434</v>
      </c>
      <c r="F765" t="str">
        <f>INDEX(Lists!I:I,MATCH(Validation!E765,Lists!G:G,0))</f>
        <v>Error</v>
      </c>
      <c r="G765" t="str">
        <f>INDEX(Lists!H:H,MATCH(Validation!E765,Lists!G:G,0))</f>
        <v>Amount may not be negative. Enter an amount greater than or equal to zero.</v>
      </c>
      <c r="H765" s="25" t="str">
        <f t="shared" ca="1" si="153"/>
        <v/>
      </c>
      <c r="I765" s="25" t="str">
        <f t="shared" ca="1" si="154"/>
        <v/>
      </c>
      <c r="J765" s="26" t="str">
        <f t="shared" ca="1" si="155"/>
        <v/>
      </c>
    </row>
    <row r="766" spans="1:10" x14ac:dyDescent="0.25">
      <c r="A766" t="s">
        <v>313</v>
      </c>
      <c r="B766" t="str">
        <f>ADDRESS(ROW('Bond 1'!$B$19),COLUMN('Bond 1'!$B$19),4)</f>
        <v>B19</v>
      </c>
      <c r="C766" t="str">
        <f>ADDRESS(ROW('Bond 1'!$D$19),COLUMN('Bond 1'!$D$19),4)</f>
        <v>D19</v>
      </c>
      <c r="D766" t="b" cm="1">
        <f t="array" aca="1" ref="D766" ca="1">IF(INDIRECT("'"&amp;A766&amp;"'!"&amp;B766)="",FALSE,IF(INDIRECT("'"&amp;A766&amp;"'!"&amp;B766)&lt;0,TRUE,FALSE))</f>
        <v>0</v>
      </c>
      <c r="E766" t="s">
        <v>434</v>
      </c>
      <c r="F766" t="str">
        <f>INDEX(Lists!I:I,MATCH(Validation!E766,Lists!G:G,0))</f>
        <v>Error</v>
      </c>
      <c r="G766" t="str">
        <f>INDEX(Lists!H:H,MATCH(Validation!E766,Lists!G:G,0))</f>
        <v>Amount may not be negative. Enter an amount greater than or equal to zero.</v>
      </c>
      <c r="H766" s="25" t="str">
        <f t="shared" ca="1" si="153"/>
        <v/>
      </c>
      <c r="I766" s="25" t="str">
        <f t="shared" ca="1" si="154"/>
        <v/>
      </c>
      <c r="J766" s="26" t="str">
        <f t="shared" ca="1" si="155"/>
        <v/>
      </c>
    </row>
    <row r="767" spans="1:10" x14ac:dyDescent="0.25">
      <c r="A767" t="s">
        <v>314</v>
      </c>
      <c r="B767" t="str">
        <f>ADDRESS(ROW('Bond 1'!$B$19),COLUMN('Bond 1'!$B$19),4)</f>
        <v>B19</v>
      </c>
      <c r="C767" t="str">
        <f>ADDRESS(ROW('Bond 1'!$D$19),COLUMN('Bond 1'!$D$19),4)</f>
        <v>D19</v>
      </c>
      <c r="D767" t="b" cm="1">
        <f t="array" aca="1" ref="D767" ca="1">IF(INDIRECT("'"&amp;A767&amp;"'!"&amp;B767)="",FALSE,IF(INDIRECT("'"&amp;A767&amp;"'!"&amp;B767)&lt;0,TRUE,FALSE))</f>
        <v>0</v>
      </c>
      <c r="E767" t="s">
        <v>434</v>
      </c>
      <c r="F767" t="str">
        <f>INDEX(Lists!I:I,MATCH(Validation!E767,Lists!G:G,0))</f>
        <v>Error</v>
      </c>
      <c r="G767" t="str">
        <f>INDEX(Lists!H:H,MATCH(Validation!E767,Lists!G:G,0))</f>
        <v>Amount may not be negative. Enter an amount greater than or equal to zero.</v>
      </c>
      <c r="H767" s="25" t="str">
        <f t="shared" ca="1" si="153"/>
        <v/>
      </c>
      <c r="I767" s="25" t="str">
        <f t="shared" ca="1" si="154"/>
        <v/>
      </c>
      <c r="J767" s="26" t="str">
        <f t="shared" ca="1" si="155"/>
        <v/>
      </c>
    </row>
    <row r="768" spans="1:10" x14ac:dyDescent="0.25">
      <c r="A768" t="s">
        <v>315</v>
      </c>
      <c r="B768" t="str">
        <f>ADDRESS(ROW('Bond 1'!$B$19),COLUMN('Bond 1'!$B$19),4)</f>
        <v>B19</v>
      </c>
      <c r="C768" t="str">
        <f>ADDRESS(ROW('Bond 1'!$D$19),COLUMN('Bond 1'!$D$19),4)</f>
        <v>D19</v>
      </c>
      <c r="D768" t="b" cm="1">
        <f t="array" aca="1" ref="D768" ca="1">IF(INDIRECT("'"&amp;A768&amp;"'!"&amp;B768)="",FALSE,IF(INDIRECT("'"&amp;A768&amp;"'!"&amp;B768)&lt;0,TRUE,FALSE))</f>
        <v>0</v>
      </c>
      <c r="E768" t="s">
        <v>434</v>
      </c>
      <c r="F768" t="str">
        <f>INDEX(Lists!I:I,MATCH(Validation!E768,Lists!G:G,0))</f>
        <v>Error</v>
      </c>
      <c r="G768" t="str">
        <f>INDEX(Lists!H:H,MATCH(Validation!E768,Lists!G:G,0))</f>
        <v>Amount may not be negative. Enter an amount greater than or equal to zero.</v>
      </c>
      <c r="H768" s="25" t="str">
        <f t="shared" ca="1" si="153"/>
        <v/>
      </c>
      <c r="I768" s="25" t="str">
        <f t="shared" ca="1" si="154"/>
        <v/>
      </c>
      <c r="J768" s="26" t="str">
        <f t="shared" ca="1" si="155"/>
        <v/>
      </c>
    </row>
    <row r="769" spans="1:10" x14ac:dyDescent="0.25">
      <c r="A769" t="s">
        <v>198</v>
      </c>
      <c r="B769" t="str">
        <f>ADDRESS(ROW('Bond 1'!$B$19),COLUMN('Bond 1'!$B$19),4)</f>
        <v>B19</v>
      </c>
      <c r="C769" t="str">
        <f>ADDRESS(ROW('Bond 1'!$D$19),COLUMN('Bond 1'!$D$19),4)</f>
        <v>D19</v>
      </c>
      <c r="D769" t="b" cm="1">
        <f t="array" aca="1" ref="D769" ca="1">IF(INDIRECT("'"&amp;A769&amp;"'!"&amp;B769)="",FALSE,IF(TRUNC(INDIRECT("'"&amp;A769&amp;"'!"&amp;B769))=INDIRECT("'"&amp;A769&amp;"'!"&amp;B769),FALSE,TRUE))</f>
        <v>0</v>
      </c>
      <c r="E769" t="s">
        <v>436</v>
      </c>
      <c r="F769" t="str">
        <f>INDEX(Lists!I:I,MATCH(Validation!E769,Lists!G:G,0))</f>
        <v>Error</v>
      </c>
      <c r="G769" t="str">
        <f>INDEX(Lists!H:H,MATCH(Validation!E769,Lists!G:G,0))</f>
        <v>Amount must be rounded to the nearest dollar.</v>
      </c>
      <c r="H769" s="25" t="str">
        <f t="shared" ca="1" si="153"/>
        <v/>
      </c>
      <c r="I769" s="25" t="str">
        <f t="shared" ca="1" si="154"/>
        <v/>
      </c>
      <c r="J769" s="26" t="str">
        <f t="shared" ca="1" si="155"/>
        <v/>
      </c>
    </row>
    <row r="770" spans="1:10" x14ac:dyDescent="0.25">
      <c r="A770" t="s">
        <v>302</v>
      </c>
      <c r="B770" t="str">
        <f>ADDRESS(ROW('Bond 1'!$B$19),COLUMN('Bond 1'!$B$19),4)</f>
        <v>B19</v>
      </c>
      <c r="C770" t="str">
        <f>ADDRESS(ROW('Bond 1'!$D$19),COLUMN('Bond 1'!$D$19),4)</f>
        <v>D19</v>
      </c>
      <c r="D770" t="b" cm="1">
        <f t="array" aca="1" ref="D770" ca="1">IF(INDIRECT("'"&amp;A770&amp;"'!"&amp;B770)="",FALSE,IF(TRUNC(INDIRECT("'"&amp;A770&amp;"'!"&amp;B770))=INDIRECT("'"&amp;A770&amp;"'!"&amp;B770),FALSE,TRUE))</f>
        <v>0</v>
      </c>
      <c r="E770" t="s">
        <v>436</v>
      </c>
      <c r="F770" t="str">
        <f>INDEX(Lists!I:I,MATCH(Validation!E770,Lists!G:G,0))</f>
        <v>Error</v>
      </c>
      <c r="G770" t="str">
        <f>INDEX(Lists!H:H,MATCH(Validation!E770,Lists!G:G,0))</f>
        <v>Amount must be rounded to the nearest dollar.</v>
      </c>
      <c r="H770" s="25" t="str">
        <f t="shared" ca="1" si="153"/>
        <v/>
      </c>
      <c r="I770" s="25" t="str">
        <f t="shared" ca="1" si="154"/>
        <v/>
      </c>
      <c r="J770" s="26" t="str">
        <f t="shared" ca="1" si="155"/>
        <v/>
      </c>
    </row>
    <row r="771" spans="1:10" x14ac:dyDescent="0.25">
      <c r="A771" t="s">
        <v>303</v>
      </c>
      <c r="B771" t="str">
        <f>ADDRESS(ROW('Bond 1'!$B$19),COLUMN('Bond 1'!$B$19),4)</f>
        <v>B19</v>
      </c>
      <c r="C771" t="str">
        <f>ADDRESS(ROW('Bond 1'!$D$19),COLUMN('Bond 1'!$D$19),4)</f>
        <v>D19</v>
      </c>
      <c r="D771" t="b" cm="1">
        <f t="array" aca="1" ref="D771" ca="1">IF(INDIRECT("'"&amp;A771&amp;"'!"&amp;B771)="",FALSE,IF(TRUNC(INDIRECT("'"&amp;A771&amp;"'!"&amp;B771))=INDIRECT("'"&amp;A771&amp;"'!"&amp;B771),FALSE,TRUE))</f>
        <v>0</v>
      </c>
      <c r="E771" t="s">
        <v>436</v>
      </c>
      <c r="F771" t="str">
        <f>INDEX(Lists!I:I,MATCH(Validation!E771,Lists!G:G,0))</f>
        <v>Error</v>
      </c>
      <c r="G771" t="str">
        <f>INDEX(Lists!H:H,MATCH(Validation!E771,Lists!G:G,0))</f>
        <v>Amount must be rounded to the nearest dollar.</v>
      </c>
      <c r="H771" s="25" t="str">
        <f t="shared" ca="1" si="153"/>
        <v/>
      </c>
      <c r="I771" s="25" t="str">
        <f t="shared" ca="1" si="154"/>
        <v/>
      </c>
      <c r="J771" s="26" t="str">
        <f t="shared" ca="1" si="155"/>
        <v/>
      </c>
    </row>
    <row r="772" spans="1:10" x14ac:dyDescent="0.25">
      <c r="A772" t="s">
        <v>304</v>
      </c>
      <c r="B772" t="str">
        <f>ADDRESS(ROW('Bond 1'!$B$19),COLUMN('Bond 1'!$B$19),4)</f>
        <v>B19</v>
      </c>
      <c r="C772" t="str">
        <f>ADDRESS(ROW('Bond 1'!$D$19),COLUMN('Bond 1'!$D$19),4)</f>
        <v>D19</v>
      </c>
      <c r="D772" t="b" cm="1">
        <f t="array" aca="1" ref="D772" ca="1">IF(INDIRECT("'"&amp;A772&amp;"'!"&amp;B772)="",FALSE,IF(TRUNC(INDIRECT("'"&amp;A772&amp;"'!"&amp;B772))=INDIRECT("'"&amp;A772&amp;"'!"&amp;B772),FALSE,TRUE))</f>
        <v>0</v>
      </c>
      <c r="E772" t="s">
        <v>436</v>
      </c>
      <c r="F772" t="str">
        <f>INDEX(Lists!I:I,MATCH(Validation!E772,Lists!G:G,0))</f>
        <v>Error</v>
      </c>
      <c r="G772" t="str">
        <f>INDEX(Lists!H:H,MATCH(Validation!E772,Lists!G:G,0))</f>
        <v>Amount must be rounded to the nearest dollar.</v>
      </c>
      <c r="H772" s="25" t="str">
        <f t="shared" ca="1" si="153"/>
        <v/>
      </c>
      <c r="I772" s="25" t="str">
        <f t="shared" ca="1" si="154"/>
        <v/>
      </c>
      <c r="J772" s="26" t="str">
        <f t="shared" ca="1" si="155"/>
        <v/>
      </c>
    </row>
    <row r="773" spans="1:10" x14ac:dyDescent="0.25">
      <c r="A773" t="s">
        <v>305</v>
      </c>
      <c r="B773" t="str">
        <f>ADDRESS(ROW('Bond 1'!$B$19),COLUMN('Bond 1'!$B$19),4)</f>
        <v>B19</v>
      </c>
      <c r="C773" t="str">
        <f>ADDRESS(ROW('Bond 1'!$D$19),COLUMN('Bond 1'!$D$19),4)</f>
        <v>D19</v>
      </c>
      <c r="D773" t="b" cm="1">
        <f t="array" aca="1" ref="D773" ca="1">IF(INDIRECT("'"&amp;A773&amp;"'!"&amp;B773)="",FALSE,IF(TRUNC(INDIRECT("'"&amp;A773&amp;"'!"&amp;B773))=INDIRECT("'"&amp;A773&amp;"'!"&amp;B773),FALSE,TRUE))</f>
        <v>0</v>
      </c>
      <c r="E773" t="s">
        <v>436</v>
      </c>
      <c r="F773" t="str">
        <f>INDEX(Lists!I:I,MATCH(Validation!E773,Lists!G:G,0))</f>
        <v>Error</v>
      </c>
      <c r="G773" t="str">
        <f>INDEX(Lists!H:H,MATCH(Validation!E773,Lists!G:G,0))</f>
        <v>Amount must be rounded to the nearest dollar.</v>
      </c>
      <c r="H773" s="25" t="str">
        <f t="shared" ref="H773:H783" ca="1" si="159">IFERROR(IF(OR(NOT(D773),F773&lt;&gt;"Error"),"",A773&amp;CELL("address",INDIRECT(B773))),"")</f>
        <v/>
      </c>
      <c r="I773" s="25" t="str">
        <f t="shared" ref="I773:I783" ca="1" si="160">IFERROR(IF(NOT(D773),"",A773&amp;CELL("address",INDIRECT(C773))),"")</f>
        <v/>
      </c>
      <c r="J773" s="26" t="str">
        <f t="shared" ref="J773:J783" ca="1" si="161">IFERROR(IF(NOT(D773),"",A773),"")</f>
        <v/>
      </c>
    </row>
    <row r="774" spans="1:10" x14ac:dyDescent="0.25">
      <c r="A774" t="s">
        <v>306</v>
      </c>
      <c r="B774" t="str">
        <f>ADDRESS(ROW('Bond 1'!$B$19),COLUMN('Bond 1'!$B$19),4)</f>
        <v>B19</v>
      </c>
      <c r="C774" t="str">
        <f>ADDRESS(ROW('Bond 1'!$D$19),COLUMN('Bond 1'!$D$19),4)</f>
        <v>D19</v>
      </c>
      <c r="D774" t="b" cm="1">
        <f t="array" aca="1" ref="D774" ca="1">IF(INDIRECT("'"&amp;A774&amp;"'!"&amp;B774)="",FALSE,IF(TRUNC(INDIRECT("'"&amp;A774&amp;"'!"&amp;B774))=INDIRECT("'"&amp;A774&amp;"'!"&amp;B774),FALSE,TRUE))</f>
        <v>0</v>
      </c>
      <c r="E774" t="s">
        <v>436</v>
      </c>
      <c r="F774" t="str">
        <f>INDEX(Lists!I:I,MATCH(Validation!E774,Lists!G:G,0))</f>
        <v>Error</v>
      </c>
      <c r="G774" t="str">
        <f>INDEX(Lists!H:H,MATCH(Validation!E774,Lists!G:G,0))</f>
        <v>Amount must be rounded to the nearest dollar.</v>
      </c>
      <c r="H774" s="25" t="str">
        <f t="shared" ca="1" si="159"/>
        <v/>
      </c>
      <c r="I774" s="25" t="str">
        <f t="shared" ca="1" si="160"/>
        <v/>
      </c>
      <c r="J774" s="26" t="str">
        <f t="shared" ca="1" si="161"/>
        <v/>
      </c>
    </row>
    <row r="775" spans="1:10" x14ac:dyDescent="0.25">
      <c r="A775" t="s">
        <v>307</v>
      </c>
      <c r="B775" t="str">
        <f>ADDRESS(ROW('Bond 1'!$B$19),COLUMN('Bond 1'!$B$19),4)</f>
        <v>B19</v>
      </c>
      <c r="C775" t="str">
        <f>ADDRESS(ROW('Bond 1'!$D$19),COLUMN('Bond 1'!$D$19),4)</f>
        <v>D19</v>
      </c>
      <c r="D775" t="b" cm="1">
        <f t="array" aca="1" ref="D775" ca="1">IF(INDIRECT("'"&amp;A775&amp;"'!"&amp;B775)="",FALSE,IF(TRUNC(INDIRECT("'"&amp;A775&amp;"'!"&amp;B775))=INDIRECT("'"&amp;A775&amp;"'!"&amp;B775),FALSE,TRUE))</f>
        <v>0</v>
      </c>
      <c r="E775" t="s">
        <v>436</v>
      </c>
      <c r="F775" t="str">
        <f>INDEX(Lists!I:I,MATCH(Validation!E775,Lists!G:G,0))</f>
        <v>Error</v>
      </c>
      <c r="G775" t="str">
        <f>INDEX(Lists!H:H,MATCH(Validation!E775,Lists!G:G,0))</f>
        <v>Amount must be rounded to the nearest dollar.</v>
      </c>
      <c r="H775" s="25" t="str">
        <f t="shared" ca="1" si="159"/>
        <v/>
      </c>
      <c r="I775" s="25" t="str">
        <f t="shared" ca="1" si="160"/>
        <v/>
      </c>
      <c r="J775" s="26" t="str">
        <f t="shared" ca="1" si="161"/>
        <v/>
      </c>
    </row>
    <row r="776" spans="1:10" x14ac:dyDescent="0.25">
      <c r="A776" t="s">
        <v>308</v>
      </c>
      <c r="B776" t="str">
        <f>ADDRESS(ROW('Bond 1'!$B$19),COLUMN('Bond 1'!$B$19),4)</f>
        <v>B19</v>
      </c>
      <c r="C776" t="str">
        <f>ADDRESS(ROW('Bond 1'!$D$19),COLUMN('Bond 1'!$D$19),4)</f>
        <v>D19</v>
      </c>
      <c r="D776" t="b" cm="1">
        <f t="array" aca="1" ref="D776" ca="1">IF(INDIRECT("'"&amp;A776&amp;"'!"&amp;B776)="",FALSE,IF(TRUNC(INDIRECT("'"&amp;A776&amp;"'!"&amp;B776))=INDIRECT("'"&amp;A776&amp;"'!"&amp;B776),FALSE,TRUE))</f>
        <v>0</v>
      </c>
      <c r="E776" t="s">
        <v>436</v>
      </c>
      <c r="F776" t="str">
        <f>INDEX(Lists!I:I,MATCH(Validation!E776,Lists!G:G,0))</f>
        <v>Error</v>
      </c>
      <c r="G776" t="str">
        <f>INDEX(Lists!H:H,MATCH(Validation!E776,Lists!G:G,0))</f>
        <v>Amount must be rounded to the nearest dollar.</v>
      </c>
      <c r="H776" s="25" t="str">
        <f t="shared" ca="1" si="159"/>
        <v/>
      </c>
      <c r="I776" s="25" t="str">
        <f t="shared" ca="1" si="160"/>
        <v/>
      </c>
      <c r="J776" s="26" t="str">
        <f t="shared" ca="1" si="161"/>
        <v/>
      </c>
    </row>
    <row r="777" spans="1:10" x14ac:dyDescent="0.25">
      <c r="A777" t="s">
        <v>309</v>
      </c>
      <c r="B777" t="str">
        <f>ADDRESS(ROW('Bond 1'!$B$19),COLUMN('Bond 1'!$B$19),4)</f>
        <v>B19</v>
      </c>
      <c r="C777" t="str">
        <f>ADDRESS(ROW('Bond 1'!$D$19),COLUMN('Bond 1'!$D$19),4)</f>
        <v>D19</v>
      </c>
      <c r="D777" t="b" cm="1">
        <f t="array" aca="1" ref="D777" ca="1">IF(INDIRECT("'"&amp;A777&amp;"'!"&amp;B777)="",FALSE,IF(TRUNC(INDIRECT("'"&amp;A777&amp;"'!"&amp;B777))=INDIRECT("'"&amp;A777&amp;"'!"&amp;B777),FALSE,TRUE))</f>
        <v>0</v>
      </c>
      <c r="E777" t="s">
        <v>436</v>
      </c>
      <c r="F777" t="str">
        <f>INDEX(Lists!I:I,MATCH(Validation!E777,Lists!G:G,0))</f>
        <v>Error</v>
      </c>
      <c r="G777" t="str">
        <f>INDEX(Lists!H:H,MATCH(Validation!E777,Lists!G:G,0))</f>
        <v>Amount must be rounded to the nearest dollar.</v>
      </c>
      <c r="H777" s="25" t="str">
        <f t="shared" ca="1" si="159"/>
        <v/>
      </c>
      <c r="I777" s="25" t="str">
        <f t="shared" ca="1" si="160"/>
        <v/>
      </c>
      <c r="J777" s="26" t="str">
        <f t="shared" ca="1" si="161"/>
        <v/>
      </c>
    </row>
    <row r="778" spans="1:10" x14ac:dyDescent="0.25">
      <c r="A778" t="s">
        <v>310</v>
      </c>
      <c r="B778" t="str">
        <f>ADDRESS(ROW('Bond 1'!$B$19),COLUMN('Bond 1'!$B$19),4)</f>
        <v>B19</v>
      </c>
      <c r="C778" t="str">
        <f>ADDRESS(ROW('Bond 1'!$D$19),COLUMN('Bond 1'!$D$19),4)</f>
        <v>D19</v>
      </c>
      <c r="D778" t="b" cm="1">
        <f t="array" aca="1" ref="D778" ca="1">IF(INDIRECT("'"&amp;A778&amp;"'!"&amp;B778)="",FALSE,IF(TRUNC(INDIRECT("'"&amp;A778&amp;"'!"&amp;B778))=INDIRECT("'"&amp;A778&amp;"'!"&amp;B778),FALSE,TRUE))</f>
        <v>0</v>
      </c>
      <c r="E778" t="s">
        <v>436</v>
      </c>
      <c r="F778" t="str">
        <f>INDEX(Lists!I:I,MATCH(Validation!E778,Lists!G:G,0))</f>
        <v>Error</v>
      </c>
      <c r="G778" t="str">
        <f>INDEX(Lists!H:H,MATCH(Validation!E778,Lists!G:G,0))</f>
        <v>Amount must be rounded to the nearest dollar.</v>
      </c>
      <c r="H778" s="25" t="str">
        <f t="shared" ca="1" si="159"/>
        <v/>
      </c>
      <c r="I778" s="25" t="str">
        <f t="shared" ca="1" si="160"/>
        <v/>
      </c>
      <c r="J778" s="26" t="str">
        <f t="shared" ca="1" si="161"/>
        <v/>
      </c>
    </row>
    <row r="779" spans="1:10" x14ac:dyDescent="0.25">
      <c r="A779" t="s">
        <v>311</v>
      </c>
      <c r="B779" t="str">
        <f>ADDRESS(ROW('Bond 1'!$B$19),COLUMN('Bond 1'!$B$19),4)</f>
        <v>B19</v>
      </c>
      <c r="C779" t="str">
        <f>ADDRESS(ROW('Bond 1'!$D$19),COLUMN('Bond 1'!$D$19),4)</f>
        <v>D19</v>
      </c>
      <c r="D779" t="b" cm="1">
        <f t="array" aca="1" ref="D779" ca="1">IF(INDIRECT("'"&amp;A779&amp;"'!"&amp;B779)="",FALSE,IF(TRUNC(INDIRECT("'"&amp;A779&amp;"'!"&amp;B779))=INDIRECT("'"&amp;A779&amp;"'!"&amp;B779),FALSE,TRUE))</f>
        <v>0</v>
      </c>
      <c r="E779" t="s">
        <v>436</v>
      </c>
      <c r="F779" t="str">
        <f>INDEX(Lists!I:I,MATCH(Validation!E779,Lists!G:G,0))</f>
        <v>Error</v>
      </c>
      <c r="G779" t="str">
        <f>INDEX(Lists!H:H,MATCH(Validation!E779,Lists!G:G,0))</f>
        <v>Amount must be rounded to the nearest dollar.</v>
      </c>
      <c r="H779" s="25" t="str">
        <f t="shared" ca="1" si="159"/>
        <v/>
      </c>
      <c r="I779" s="25" t="str">
        <f t="shared" ca="1" si="160"/>
        <v/>
      </c>
      <c r="J779" s="26" t="str">
        <f t="shared" ca="1" si="161"/>
        <v/>
      </c>
    </row>
    <row r="780" spans="1:10" x14ac:dyDescent="0.25">
      <c r="A780" t="s">
        <v>312</v>
      </c>
      <c r="B780" t="str">
        <f>ADDRESS(ROW('Bond 1'!$B$19),COLUMN('Bond 1'!$B$19),4)</f>
        <v>B19</v>
      </c>
      <c r="C780" t="str">
        <f>ADDRESS(ROW('Bond 1'!$D$19),COLUMN('Bond 1'!$D$19),4)</f>
        <v>D19</v>
      </c>
      <c r="D780" t="b" cm="1">
        <f t="array" aca="1" ref="D780" ca="1">IF(INDIRECT("'"&amp;A780&amp;"'!"&amp;B780)="",FALSE,IF(TRUNC(INDIRECT("'"&amp;A780&amp;"'!"&amp;B780))=INDIRECT("'"&amp;A780&amp;"'!"&amp;B780),FALSE,TRUE))</f>
        <v>0</v>
      </c>
      <c r="E780" t="s">
        <v>436</v>
      </c>
      <c r="F780" t="str">
        <f>INDEX(Lists!I:I,MATCH(Validation!E780,Lists!G:G,0))</f>
        <v>Error</v>
      </c>
      <c r="G780" t="str">
        <f>INDEX(Lists!H:H,MATCH(Validation!E780,Lists!G:G,0))</f>
        <v>Amount must be rounded to the nearest dollar.</v>
      </c>
      <c r="H780" s="25" t="str">
        <f t="shared" ca="1" si="159"/>
        <v/>
      </c>
      <c r="I780" s="25" t="str">
        <f t="shared" ca="1" si="160"/>
        <v/>
      </c>
      <c r="J780" s="26" t="str">
        <f t="shared" ca="1" si="161"/>
        <v/>
      </c>
    </row>
    <row r="781" spans="1:10" x14ac:dyDescent="0.25">
      <c r="A781" t="s">
        <v>313</v>
      </c>
      <c r="B781" t="str">
        <f>ADDRESS(ROW('Bond 1'!$B$19),COLUMN('Bond 1'!$B$19),4)</f>
        <v>B19</v>
      </c>
      <c r="C781" t="str">
        <f>ADDRESS(ROW('Bond 1'!$D$19),COLUMN('Bond 1'!$D$19),4)</f>
        <v>D19</v>
      </c>
      <c r="D781" t="b" cm="1">
        <f t="array" aca="1" ref="D781" ca="1">IF(INDIRECT("'"&amp;A781&amp;"'!"&amp;B781)="",FALSE,IF(TRUNC(INDIRECT("'"&amp;A781&amp;"'!"&amp;B781))=INDIRECT("'"&amp;A781&amp;"'!"&amp;B781),FALSE,TRUE))</f>
        <v>0</v>
      </c>
      <c r="E781" t="s">
        <v>436</v>
      </c>
      <c r="F781" t="str">
        <f>INDEX(Lists!I:I,MATCH(Validation!E781,Lists!G:G,0))</f>
        <v>Error</v>
      </c>
      <c r="G781" t="str">
        <f>INDEX(Lists!H:H,MATCH(Validation!E781,Lists!G:G,0))</f>
        <v>Amount must be rounded to the nearest dollar.</v>
      </c>
      <c r="H781" s="25" t="str">
        <f t="shared" ca="1" si="159"/>
        <v/>
      </c>
      <c r="I781" s="25" t="str">
        <f t="shared" ca="1" si="160"/>
        <v/>
      </c>
      <c r="J781" s="26" t="str">
        <f t="shared" ca="1" si="161"/>
        <v/>
      </c>
    </row>
    <row r="782" spans="1:10" x14ac:dyDescent="0.25">
      <c r="A782" t="s">
        <v>314</v>
      </c>
      <c r="B782" t="str">
        <f>ADDRESS(ROW('Bond 1'!$B$19),COLUMN('Bond 1'!$B$19),4)</f>
        <v>B19</v>
      </c>
      <c r="C782" t="str">
        <f>ADDRESS(ROW('Bond 1'!$D$19),COLUMN('Bond 1'!$D$19),4)</f>
        <v>D19</v>
      </c>
      <c r="D782" t="b" cm="1">
        <f t="array" aca="1" ref="D782" ca="1">IF(INDIRECT("'"&amp;A782&amp;"'!"&amp;B782)="",FALSE,IF(TRUNC(INDIRECT("'"&amp;A782&amp;"'!"&amp;B782))=INDIRECT("'"&amp;A782&amp;"'!"&amp;B782),FALSE,TRUE))</f>
        <v>0</v>
      </c>
      <c r="E782" t="s">
        <v>436</v>
      </c>
      <c r="F782" t="str">
        <f>INDEX(Lists!I:I,MATCH(Validation!E782,Lists!G:G,0))</f>
        <v>Error</v>
      </c>
      <c r="G782" t="str">
        <f>INDEX(Lists!H:H,MATCH(Validation!E782,Lists!G:G,0))</f>
        <v>Amount must be rounded to the nearest dollar.</v>
      </c>
      <c r="H782" s="25" t="str">
        <f t="shared" ca="1" si="159"/>
        <v/>
      </c>
      <c r="I782" s="25" t="str">
        <f t="shared" ca="1" si="160"/>
        <v/>
      </c>
      <c r="J782" s="26" t="str">
        <f t="shared" ca="1" si="161"/>
        <v/>
      </c>
    </row>
    <row r="783" spans="1:10" x14ac:dyDescent="0.25">
      <c r="A783" t="s">
        <v>315</v>
      </c>
      <c r="B783" t="str">
        <f>ADDRESS(ROW('Bond 1'!$B$19),COLUMN('Bond 1'!$B$19),4)</f>
        <v>B19</v>
      </c>
      <c r="C783" t="str">
        <f>ADDRESS(ROW('Bond 1'!$D$19),COLUMN('Bond 1'!$D$19),4)</f>
        <v>D19</v>
      </c>
      <c r="D783" t="b" cm="1">
        <f t="array" aca="1" ref="D783" ca="1">IF(INDIRECT("'"&amp;A783&amp;"'!"&amp;B783)="",FALSE,IF(TRUNC(INDIRECT("'"&amp;A783&amp;"'!"&amp;B783))=INDIRECT("'"&amp;A783&amp;"'!"&amp;B783),FALSE,TRUE))</f>
        <v>0</v>
      </c>
      <c r="E783" t="s">
        <v>436</v>
      </c>
      <c r="F783" t="str">
        <f>INDEX(Lists!I:I,MATCH(Validation!E783,Lists!G:G,0))</f>
        <v>Error</v>
      </c>
      <c r="G783" t="str">
        <f>INDEX(Lists!H:H,MATCH(Validation!E783,Lists!G:G,0))</f>
        <v>Amount must be rounded to the nearest dollar.</v>
      </c>
      <c r="H783" s="25" t="str">
        <f t="shared" ca="1" si="159"/>
        <v/>
      </c>
      <c r="I783" s="25" t="str">
        <f t="shared" ca="1" si="160"/>
        <v/>
      </c>
      <c r="J783" s="26" t="str">
        <f t="shared" ca="1" si="161"/>
        <v/>
      </c>
    </row>
    <row r="784" spans="1:10" x14ac:dyDescent="0.25">
      <c r="A784" t="s">
        <v>198</v>
      </c>
      <c r="B784" t="str">
        <f>ADDRESS(ROW('Bond 1'!$B$19),COLUMN('Bond 1'!$B$19),4)</f>
        <v>B19</v>
      </c>
      <c r="C784" t="str">
        <f>ADDRESS(ROW('Bond 1'!$D$19),COLUMN('Bond 1'!$D$19),4)</f>
        <v>D19</v>
      </c>
      <c r="D784" t="b" cm="1">
        <f t="array" aca="1" ref="D784" ca="1">IF(INDIRECT("'"&amp;A784&amp;"'!"&amp;B784)="",FALSE,IF(AND(INDIRECT("'"&amp;A784&amp;"'!"&amp;B784)&gt;0,NOT('Bond 1'!B$9="Yes")),TRUE,FALSE))</f>
        <v>0</v>
      </c>
      <c r="E784" t="s">
        <v>622</v>
      </c>
      <c r="F784" t="str">
        <f>INDEX(Lists!I:I,MATCH(Validation!E784,Lists!G:G,0))</f>
        <v>Error</v>
      </c>
      <c r="G784" t="str">
        <f>INDEX(Lists!H:H,MATCH(Validation!E784,Lists!G:G,0))</f>
        <v>Refunded question must be answered Yes to enter a refunded amount.</v>
      </c>
      <c r="H784" s="25" t="str">
        <f t="shared" ref="H784:H2077" ca="1" si="162">IFERROR(IF(OR(NOT(D784),F784&lt;&gt;"Error"),"",A784&amp;CELL("address",INDIRECT(B784))),"")</f>
        <v/>
      </c>
      <c r="I784" s="25" t="str">
        <f t="shared" ref="I784:I2077" ca="1" si="163">IFERROR(IF(NOT(D784),"",A784&amp;CELL("address",INDIRECT(C784))),"")</f>
        <v/>
      </c>
      <c r="J784" s="26" t="str">
        <f t="shared" ref="J784:J2077" ca="1" si="164">IFERROR(IF(NOT(D784),"",A784),"")</f>
        <v/>
      </c>
    </row>
    <row r="785" spans="1:10" x14ac:dyDescent="0.25">
      <c r="A785" t="s">
        <v>302</v>
      </c>
      <c r="B785" t="str">
        <f>ADDRESS(ROW('Bond 1'!$B$19),COLUMN('Bond 1'!$B$19),4)</f>
        <v>B19</v>
      </c>
      <c r="C785" t="str">
        <f>ADDRESS(ROW('Bond 1'!$D$19),COLUMN('Bond 1'!$D$19),4)</f>
        <v>D19</v>
      </c>
      <c r="D785" t="b" cm="1">
        <f t="array" aca="1" ref="D785" ca="1">IF(INDIRECT("'"&amp;A785&amp;"'!"&amp;B785)="",FALSE,IF(AND(INDIRECT("'"&amp;A785&amp;"'!"&amp;B785)&gt;0,NOT('Bond 2'!B$9="Yes")),TRUE,FALSE))</f>
        <v>0</v>
      </c>
      <c r="E785" t="s">
        <v>622</v>
      </c>
      <c r="F785" t="str">
        <f>INDEX(Lists!I:I,MATCH(Validation!E785,Lists!G:G,0))</f>
        <v>Error</v>
      </c>
      <c r="G785" t="str">
        <f>INDEX(Lists!H:H,MATCH(Validation!E785,Lists!G:G,0))</f>
        <v>Refunded question must be answered Yes to enter a refunded amount.</v>
      </c>
      <c r="H785" s="25" t="str">
        <f t="shared" ca="1" si="162"/>
        <v/>
      </c>
      <c r="I785" s="25" t="str">
        <f t="shared" ca="1" si="163"/>
        <v/>
      </c>
      <c r="J785" s="26" t="str">
        <f t="shared" ca="1" si="164"/>
        <v/>
      </c>
    </row>
    <row r="786" spans="1:10" x14ac:dyDescent="0.25">
      <c r="A786" t="s">
        <v>303</v>
      </c>
      <c r="B786" t="str">
        <f>ADDRESS(ROW('Bond 1'!$B$19),COLUMN('Bond 1'!$B$19),4)</f>
        <v>B19</v>
      </c>
      <c r="C786" t="str">
        <f>ADDRESS(ROW('Bond 1'!$D$19),COLUMN('Bond 1'!$D$19),4)</f>
        <v>D19</v>
      </c>
      <c r="D786" t="b" cm="1">
        <f t="array" aca="1" ref="D786" ca="1">IF(INDIRECT("'"&amp;A786&amp;"'!"&amp;B786)="",FALSE,IF(AND(INDIRECT("'"&amp;A786&amp;"'!"&amp;B786)&gt;0,NOT('Bond 3'!B$9="Yes")),TRUE,FALSE))</f>
        <v>0</v>
      </c>
      <c r="E786" t="s">
        <v>622</v>
      </c>
      <c r="F786" t="str">
        <f>INDEX(Lists!I:I,MATCH(Validation!E786,Lists!G:G,0))</f>
        <v>Error</v>
      </c>
      <c r="G786" t="str">
        <f>INDEX(Lists!H:H,MATCH(Validation!E786,Lists!G:G,0))</f>
        <v>Refunded question must be answered Yes to enter a refunded amount.</v>
      </c>
      <c r="H786" s="25" t="str">
        <f t="shared" ca="1" si="162"/>
        <v/>
      </c>
      <c r="I786" s="25" t="str">
        <f t="shared" ca="1" si="163"/>
        <v/>
      </c>
      <c r="J786" s="26" t="str">
        <f t="shared" ca="1" si="164"/>
        <v/>
      </c>
    </row>
    <row r="787" spans="1:10" x14ac:dyDescent="0.25">
      <c r="A787" t="s">
        <v>304</v>
      </c>
      <c r="B787" t="str">
        <f>ADDRESS(ROW('Bond 1'!$B$19),COLUMN('Bond 1'!$B$19),4)</f>
        <v>B19</v>
      </c>
      <c r="C787" t="str">
        <f>ADDRESS(ROW('Bond 1'!$D$19),COLUMN('Bond 1'!$D$19),4)</f>
        <v>D19</v>
      </c>
      <c r="D787" t="b" cm="1">
        <f t="array" aca="1" ref="D787" ca="1">IF(INDIRECT("'"&amp;A787&amp;"'!"&amp;B787)="",FALSE,IF(AND(INDIRECT("'"&amp;A787&amp;"'!"&amp;B787)&gt;0,NOT('Bond 4'!B$9="Yes")),TRUE,FALSE))</f>
        <v>0</v>
      </c>
      <c r="E787" t="s">
        <v>622</v>
      </c>
      <c r="F787" t="str">
        <f>INDEX(Lists!I:I,MATCH(Validation!E787,Lists!G:G,0))</f>
        <v>Error</v>
      </c>
      <c r="G787" t="str">
        <f>INDEX(Lists!H:H,MATCH(Validation!E787,Lists!G:G,0))</f>
        <v>Refunded question must be answered Yes to enter a refunded amount.</v>
      </c>
      <c r="H787" s="25" t="str">
        <f t="shared" ca="1" si="162"/>
        <v/>
      </c>
      <c r="I787" s="25" t="str">
        <f t="shared" ca="1" si="163"/>
        <v/>
      </c>
      <c r="J787" s="26" t="str">
        <f t="shared" ca="1" si="164"/>
        <v/>
      </c>
    </row>
    <row r="788" spans="1:10" x14ac:dyDescent="0.25">
      <c r="A788" t="s">
        <v>305</v>
      </c>
      <c r="B788" t="str">
        <f>ADDRESS(ROW('Bond 1'!$B$19),COLUMN('Bond 1'!$B$19),4)</f>
        <v>B19</v>
      </c>
      <c r="C788" t="str">
        <f>ADDRESS(ROW('Bond 1'!$D$19),COLUMN('Bond 1'!$D$19),4)</f>
        <v>D19</v>
      </c>
      <c r="D788" t="b" cm="1">
        <f t="array" aca="1" ref="D788" ca="1">IF(INDIRECT("'"&amp;A788&amp;"'!"&amp;B788)="",FALSE,IF(AND(INDIRECT("'"&amp;A788&amp;"'!"&amp;B788)&gt;0,NOT('Bond 5'!B$9="Yes")),TRUE,FALSE))</f>
        <v>0</v>
      </c>
      <c r="E788" t="s">
        <v>622</v>
      </c>
      <c r="F788" t="str">
        <f>INDEX(Lists!I:I,MATCH(Validation!E788,Lists!G:G,0))</f>
        <v>Error</v>
      </c>
      <c r="G788" t="str">
        <f>INDEX(Lists!H:H,MATCH(Validation!E788,Lists!G:G,0))</f>
        <v>Refunded question must be answered Yes to enter a refunded amount.</v>
      </c>
      <c r="H788" s="25" t="str">
        <f t="shared" ca="1" si="162"/>
        <v/>
      </c>
      <c r="I788" s="25" t="str">
        <f t="shared" ca="1" si="163"/>
        <v/>
      </c>
      <c r="J788" s="26" t="str">
        <f t="shared" ca="1" si="164"/>
        <v/>
      </c>
    </row>
    <row r="789" spans="1:10" x14ac:dyDescent="0.25">
      <c r="A789" t="s">
        <v>306</v>
      </c>
      <c r="B789" t="str">
        <f>ADDRESS(ROW('Bond 1'!$B$19),COLUMN('Bond 1'!$B$19),4)</f>
        <v>B19</v>
      </c>
      <c r="C789" t="str">
        <f>ADDRESS(ROW('Bond 1'!$D$19),COLUMN('Bond 1'!$D$19),4)</f>
        <v>D19</v>
      </c>
      <c r="D789" t="b" cm="1">
        <f t="array" aca="1" ref="D789" ca="1">IF(INDIRECT("'"&amp;A789&amp;"'!"&amp;B789)="",FALSE,IF(AND(INDIRECT("'"&amp;A789&amp;"'!"&amp;B789)&gt;0,NOT('Bond 6'!B$9="Yes")),TRUE,FALSE))</f>
        <v>0</v>
      </c>
      <c r="E789" t="s">
        <v>622</v>
      </c>
      <c r="F789" t="str">
        <f>INDEX(Lists!I:I,MATCH(Validation!E789,Lists!G:G,0))</f>
        <v>Error</v>
      </c>
      <c r="G789" t="str">
        <f>INDEX(Lists!H:H,MATCH(Validation!E789,Lists!G:G,0))</f>
        <v>Refunded question must be answered Yes to enter a refunded amount.</v>
      </c>
      <c r="H789" s="25" t="str">
        <f t="shared" ca="1" si="162"/>
        <v/>
      </c>
      <c r="I789" s="25" t="str">
        <f t="shared" ca="1" si="163"/>
        <v/>
      </c>
      <c r="J789" s="26" t="str">
        <f t="shared" ca="1" si="164"/>
        <v/>
      </c>
    </row>
    <row r="790" spans="1:10" x14ac:dyDescent="0.25">
      <c r="A790" t="s">
        <v>307</v>
      </c>
      <c r="B790" t="str">
        <f>ADDRESS(ROW('Bond 1'!$B$19),COLUMN('Bond 1'!$B$19),4)</f>
        <v>B19</v>
      </c>
      <c r="C790" t="str">
        <f>ADDRESS(ROW('Bond 1'!$D$19),COLUMN('Bond 1'!$D$19),4)</f>
        <v>D19</v>
      </c>
      <c r="D790" t="b" cm="1">
        <f t="array" aca="1" ref="D790" ca="1">IF(INDIRECT("'"&amp;A790&amp;"'!"&amp;B790)="",FALSE,IF(AND(INDIRECT("'"&amp;A790&amp;"'!"&amp;B790)&gt;0,NOT('Bond 7'!B$9="Yes")),TRUE,FALSE))</f>
        <v>0</v>
      </c>
      <c r="E790" t="s">
        <v>622</v>
      </c>
      <c r="F790" t="str">
        <f>INDEX(Lists!I:I,MATCH(Validation!E790,Lists!G:G,0))</f>
        <v>Error</v>
      </c>
      <c r="G790" t="str">
        <f>INDEX(Lists!H:H,MATCH(Validation!E790,Lists!G:G,0))</f>
        <v>Refunded question must be answered Yes to enter a refunded amount.</v>
      </c>
      <c r="H790" s="25" t="str">
        <f t="shared" ca="1" si="162"/>
        <v/>
      </c>
      <c r="I790" s="25" t="str">
        <f t="shared" ca="1" si="163"/>
        <v/>
      </c>
      <c r="J790" s="26" t="str">
        <f t="shared" ca="1" si="164"/>
        <v/>
      </c>
    </row>
    <row r="791" spans="1:10" x14ac:dyDescent="0.25">
      <c r="A791" t="s">
        <v>308</v>
      </c>
      <c r="B791" t="str">
        <f>ADDRESS(ROW('Bond 1'!$B$19),COLUMN('Bond 1'!$B$19),4)</f>
        <v>B19</v>
      </c>
      <c r="C791" t="str">
        <f>ADDRESS(ROW('Bond 1'!$D$19),COLUMN('Bond 1'!$D$19),4)</f>
        <v>D19</v>
      </c>
      <c r="D791" t="b" cm="1">
        <f t="array" aca="1" ref="D791" ca="1">IF(INDIRECT("'"&amp;A791&amp;"'!"&amp;B791)="",FALSE,IF(AND(INDIRECT("'"&amp;A791&amp;"'!"&amp;B791)&gt;0,NOT('Bond 8'!B$9="Yes")),TRUE,FALSE))</f>
        <v>0</v>
      </c>
      <c r="E791" t="s">
        <v>622</v>
      </c>
      <c r="F791" t="str">
        <f>INDEX(Lists!I:I,MATCH(Validation!E791,Lists!G:G,0))</f>
        <v>Error</v>
      </c>
      <c r="G791" t="str">
        <f>INDEX(Lists!H:H,MATCH(Validation!E791,Lists!G:G,0))</f>
        <v>Refunded question must be answered Yes to enter a refunded amount.</v>
      </c>
      <c r="H791" s="25" t="str">
        <f t="shared" ca="1" si="162"/>
        <v/>
      </c>
      <c r="I791" s="25" t="str">
        <f t="shared" ca="1" si="163"/>
        <v/>
      </c>
      <c r="J791" s="26" t="str">
        <f t="shared" ca="1" si="164"/>
        <v/>
      </c>
    </row>
    <row r="792" spans="1:10" x14ac:dyDescent="0.25">
      <c r="A792" t="s">
        <v>309</v>
      </c>
      <c r="B792" t="str">
        <f>ADDRESS(ROW('Bond 1'!$B$19),COLUMN('Bond 1'!$B$19),4)</f>
        <v>B19</v>
      </c>
      <c r="C792" t="str">
        <f>ADDRESS(ROW('Bond 1'!$D$19),COLUMN('Bond 1'!$D$19),4)</f>
        <v>D19</v>
      </c>
      <c r="D792" t="b" cm="1">
        <f t="array" aca="1" ref="D792" ca="1">IF(INDIRECT("'"&amp;A792&amp;"'!"&amp;B792)="",FALSE,IF(AND(INDIRECT("'"&amp;A792&amp;"'!"&amp;B792)&gt;0,NOT('Bond 9'!B$9="Yes")),TRUE,FALSE))</f>
        <v>0</v>
      </c>
      <c r="E792" t="s">
        <v>622</v>
      </c>
      <c r="F792" t="str">
        <f>INDEX(Lists!I:I,MATCH(Validation!E792,Lists!G:G,0))</f>
        <v>Error</v>
      </c>
      <c r="G792" t="str">
        <f>INDEX(Lists!H:H,MATCH(Validation!E792,Lists!G:G,0))</f>
        <v>Refunded question must be answered Yes to enter a refunded amount.</v>
      </c>
      <c r="H792" s="25" t="str">
        <f t="shared" ca="1" si="162"/>
        <v/>
      </c>
      <c r="I792" s="25" t="str">
        <f t="shared" ca="1" si="163"/>
        <v/>
      </c>
      <c r="J792" s="26" t="str">
        <f t="shared" ca="1" si="164"/>
        <v/>
      </c>
    </row>
    <row r="793" spans="1:10" x14ac:dyDescent="0.25">
      <c r="A793" t="s">
        <v>310</v>
      </c>
      <c r="B793" t="str">
        <f>ADDRESS(ROW('Bond 1'!$B$19),COLUMN('Bond 1'!$B$19),4)</f>
        <v>B19</v>
      </c>
      <c r="C793" t="str">
        <f>ADDRESS(ROW('Bond 1'!$D$19),COLUMN('Bond 1'!$D$19),4)</f>
        <v>D19</v>
      </c>
      <c r="D793" t="b" cm="1">
        <f t="array" aca="1" ref="D793" ca="1">IF(INDIRECT("'"&amp;A793&amp;"'!"&amp;B793)="",FALSE,IF(AND(INDIRECT("'"&amp;A793&amp;"'!"&amp;B793)&gt;0,NOT('Bond 10'!B$9="Yes")),TRUE,FALSE))</f>
        <v>0</v>
      </c>
      <c r="E793" t="s">
        <v>622</v>
      </c>
      <c r="F793" t="str">
        <f>INDEX(Lists!I:I,MATCH(Validation!E793,Lists!G:G,0))</f>
        <v>Error</v>
      </c>
      <c r="G793" t="str">
        <f>INDEX(Lists!H:H,MATCH(Validation!E793,Lists!G:G,0))</f>
        <v>Refunded question must be answered Yes to enter a refunded amount.</v>
      </c>
      <c r="H793" s="25" t="str">
        <f t="shared" ca="1" si="162"/>
        <v/>
      </c>
      <c r="I793" s="25" t="str">
        <f t="shared" ca="1" si="163"/>
        <v/>
      </c>
      <c r="J793" s="26" t="str">
        <f t="shared" ca="1" si="164"/>
        <v/>
      </c>
    </row>
    <row r="794" spans="1:10" x14ac:dyDescent="0.25">
      <c r="A794" t="s">
        <v>311</v>
      </c>
      <c r="B794" t="str">
        <f>ADDRESS(ROW('Bond 1'!$B$19),COLUMN('Bond 1'!$B$19),4)</f>
        <v>B19</v>
      </c>
      <c r="C794" t="str">
        <f>ADDRESS(ROW('Bond 1'!$D$19),COLUMN('Bond 1'!$D$19),4)</f>
        <v>D19</v>
      </c>
      <c r="D794" t="b" cm="1">
        <f t="array" aca="1" ref="D794" ca="1">IF(INDIRECT("'"&amp;A794&amp;"'!"&amp;B794)="",FALSE,IF(AND(INDIRECT("'"&amp;A794&amp;"'!"&amp;B794)&gt;0,NOT('Bond 11'!B$9="Yes")),TRUE,FALSE))</f>
        <v>0</v>
      </c>
      <c r="E794" t="s">
        <v>622</v>
      </c>
      <c r="F794" t="str">
        <f>INDEX(Lists!I:I,MATCH(Validation!E794,Lists!G:G,0))</f>
        <v>Error</v>
      </c>
      <c r="G794" t="str">
        <f>INDEX(Lists!H:H,MATCH(Validation!E794,Lists!G:G,0))</f>
        <v>Refunded question must be answered Yes to enter a refunded amount.</v>
      </c>
      <c r="H794" s="25" t="str">
        <f t="shared" ca="1" si="162"/>
        <v/>
      </c>
      <c r="I794" s="25" t="str">
        <f t="shared" ca="1" si="163"/>
        <v/>
      </c>
      <c r="J794" s="26" t="str">
        <f t="shared" ca="1" si="164"/>
        <v/>
      </c>
    </row>
    <row r="795" spans="1:10" x14ac:dyDescent="0.25">
      <c r="A795" t="s">
        <v>312</v>
      </c>
      <c r="B795" t="str">
        <f>ADDRESS(ROW('Bond 1'!$B$19),COLUMN('Bond 1'!$B$19),4)</f>
        <v>B19</v>
      </c>
      <c r="C795" t="str">
        <f>ADDRESS(ROW('Bond 1'!$D$19),COLUMN('Bond 1'!$D$19),4)</f>
        <v>D19</v>
      </c>
      <c r="D795" t="b" cm="1">
        <f t="array" aca="1" ref="D795" ca="1">IF(INDIRECT("'"&amp;A795&amp;"'!"&amp;B795)="",FALSE,IF(AND(INDIRECT("'"&amp;A795&amp;"'!"&amp;B795)&gt;0,NOT('Bond 12'!B$9="Yes")),TRUE,FALSE))</f>
        <v>0</v>
      </c>
      <c r="E795" t="s">
        <v>622</v>
      </c>
      <c r="F795" t="str">
        <f>INDEX(Lists!I:I,MATCH(Validation!E795,Lists!G:G,0))</f>
        <v>Error</v>
      </c>
      <c r="G795" t="str">
        <f>INDEX(Lists!H:H,MATCH(Validation!E795,Lists!G:G,0))</f>
        <v>Refunded question must be answered Yes to enter a refunded amount.</v>
      </c>
      <c r="H795" s="25" t="str">
        <f t="shared" ca="1" si="162"/>
        <v/>
      </c>
      <c r="I795" s="25" t="str">
        <f t="shared" ca="1" si="163"/>
        <v/>
      </c>
      <c r="J795" s="26" t="str">
        <f t="shared" ca="1" si="164"/>
        <v/>
      </c>
    </row>
    <row r="796" spans="1:10" x14ac:dyDescent="0.25">
      <c r="A796" t="s">
        <v>313</v>
      </c>
      <c r="B796" t="str">
        <f>ADDRESS(ROW('Bond 1'!$B$19),COLUMN('Bond 1'!$B$19),4)</f>
        <v>B19</v>
      </c>
      <c r="C796" t="str">
        <f>ADDRESS(ROW('Bond 1'!$D$19),COLUMN('Bond 1'!$D$19),4)</f>
        <v>D19</v>
      </c>
      <c r="D796" t="b" cm="1">
        <f t="array" aca="1" ref="D796" ca="1">IF(INDIRECT("'"&amp;A796&amp;"'!"&amp;B796)="",FALSE,IF(AND(INDIRECT("'"&amp;A796&amp;"'!"&amp;B796)&gt;0,NOT('Bond 13'!B$9="Yes")),TRUE,FALSE))</f>
        <v>0</v>
      </c>
      <c r="E796" t="s">
        <v>622</v>
      </c>
      <c r="F796" t="str">
        <f>INDEX(Lists!I:I,MATCH(Validation!E796,Lists!G:G,0))</f>
        <v>Error</v>
      </c>
      <c r="G796" t="str">
        <f>INDEX(Lists!H:H,MATCH(Validation!E796,Lists!G:G,0))</f>
        <v>Refunded question must be answered Yes to enter a refunded amount.</v>
      </c>
      <c r="H796" s="25" t="str">
        <f t="shared" ca="1" si="162"/>
        <v/>
      </c>
      <c r="I796" s="25" t="str">
        <f t="shared" ca="1" si="163"/>
        <v/>
      </c>
      <c r="J796" s="26" t="str">
        <f t="shared" ca="1" si="164"/>
        <v/>
      </c>
    </row>
    <row r="797" spans="1:10" x14ac:dyDescent="0.25">
      <c r="A797" t="s">
        <v>314</v>
      </c>
      <c r="B797" t="str">
        <f>ADDRESS(ROW('Bond 1'!$B$19),COLUMN('Bond 1'!$B$19),4)</f>
        <v>B19</v>
      </c>
      <c r="C797" t="str">
        <f>ADDRESS(ROW('Bond 1'!$D$19),COLUMN('Bond 1'!$D$19),4)</f>
        <v>D19</v>
      </c>
      <c r="D797" t="b" cm="1">
        <f t="array" aca="1" ref="D797" ca="1">IF(INDIRECT("'"&amp;A797&amp;"'!"&amp;B797)="",FALSE,IF(AND(INDIRECT("'"&amp;A797&amp;"'!"&amp;B797)&gt;0,NOT('Bond 14'!B$9="Yes")),TRUE,FALSE))</f>
        <v>0</v>
      </c>
      <c r="E797" t="s">
        <v>622</v>
      </c>
      <c r="F797" t="str">
        <f>INDEX(Lists!I:I,MATCH(Validation!E797,Lists!G:G,0))</f>
        <v>Error</v>
      </c>
      <c r="G797" t="str">
        <f>INDEX(Lists!H:H,MATCH(Validation!E797,Lists!G:G,0))</f>
        <v>Refunded question must be answered Yes to enter a refunded amount.</v>
      </c>
      <c r="H797" s="25" t="str">
        <f t="shared" ca="1" si="162"/>
        <v/>
      </c>
      <c r="I797" s="25" t="str">
        <f t="shared" ca="1" si="163"/>
        <v/>
      </c>
      <c r="J797" s="26" t="str">
        <f t="shared" ca="1" si="164"/>
        <v/>
      </c>
    </row>
    <row r="798" spans="1:10" x14ac:dyDescent="0.25">
      <c r="A798" t="s">
        <v>315</v>
      </c>
      <c r="B798" t="str">
        <f>ADDRESS(ROW('Bond 1'!$B$19),COLUMN('Bond 1'!$B$19),4)</f>
        <v>B19</v>
      </c>
      <c r="C798" t="str">
        <f>ADDRESS(ROW('Bond 1'!$D$19),COLUMN('Bond 1'!$D$19),4)</f>
        <v>D19</v>
      </c>
      <c r="D798" t="b" cm="1">
        <f t="array" aca="1" ref="D798" ca="1">IF(INDIRECT("'"&amp;A798&amp;"'!"&amp;B798)="",FALSE,IF(AND(INDIRECT("'"&amp;A798&amp;"'!"&amp;B798)&gt;0,NOT('Bond 15'!B$9="Yes")),TRUE,FALSE))</f>
        <v>0</v>
      </c>
      <c r="E798" t="s">
        <v>622</v>
      </c>
      <c r="F798" t="str">
        <f>INDEX(Lists!I:I,MATCH(Validation!E798,Lists!G:G,0))</f>
        <v>Error</v>
      </c>
      <c r="G798" t="str">
        <f>INDEX(Lists!H:H,MATCH(Validation!E798,Lists!G:G,0))</f>
        <v>Refunded question must be answered Yes to enter a refunded amount.</v>
      </c>
      <c r="H798" s="25" t="str">
        <f t="shared" ca="1" si="162"/>
        <v/>
      </c>
      <c r="I798" s="25" t="str">
        <f t="shared" ca="1" si="163"/>
        <v/>
      </c>
      <c r="J798" s="26" t="str">
        <f t="shared" ca="1" si="164"/>
        <v/>
      </c>
    </row>
    <row r="799" spans="1:10" x14ac:dyDescent="0.25">
      <c r="A799" t="s">
        <v>198</v>
      </c>
      <c r="B799" t="str">
        <f>ADDRESS(ROW('Bond 1'!$B$19),COLUMN('Bond 1'!$B$19),4)</f>
        <v>B19</v>
      </c>
      <c r="C799" t="str">
        <f>ADDRESS(ROW('Bond 1'!$D$19),COLUMN('Bond 1'!$D$19),4)</f>
        <v>D19</v>
      </c>
      <c r="D799" t="b">
        <f>IFERROR(IF('Bond 1'!B$19="",FALSE,IF('Bond 1'!B$19&gt;('Bond 1'!B$16+'Bond 1'!B$38+'Bond 1'!C$38-'Bond 1'!B$36-'Bond 1'!B$37-'Bond 1'!C$36-'Bond 1'!C$37),TRUE,FALSE)),FALSE)</f>
        <v>0</v>
      </c>
      <c r="E799" t="s">
        <v>624</v>
      </c>
      <c r="F799" t="str">
        <f>INDEX(Lists!I:I,MATCH(Validation!E799,Lists!G:G,0))</f>
        <v>Error</v>
      </c>
      <c r="G799" t="str">
        <f>INDEX(Lists!H:H,MATCH(Validation!E799,Lists!G:G,0))</f>
        <v>Amount refunded cannot exceed issue amt (+additions/redcutions) less principal paid.</v>
      </c>
      <c r="H799" s="25" t="str">
        <f t="shared" ca="1" si="162"/>
        <v/>
      </c>
      <c r="I799" s="25" t="str">
        <f t="shared" ca="1" si="163"/>
        <v/>
      </c>
      <c r="J799" s="26" t="str">
        <f t="shared" si="164"/>
        <v/>
      </c>
    </row>
    <row r="800" spans="1:10" x14ac:dyDescent="0.25">
      <c r="A800" t="s">
        <v>302</v>
      </c>
      <c r="B800" t="str">
        <f>ADDRESS(ROW('Bond 1'!$B$19),COLUMN('Bond 1'!$B$19),4)</f>
        <v>B19</v>
      </c>
      <c r="C800" t="str">
        <f>ADDRESS(ROW('Bond 1'!$D$19),COLUMN('Bond 1'!$D$19),4)</f>
        <v>D19</v>
      </c>
      <c r="D800" t="b">
        <f>IFERROR(IF('Bond 2'!B$19="",FALSE,IF('Bond 2'!B$19&gt;('Bond 2'!B$16+'Bond 2'!B$38+'Bond 2'!C$38-'Bond 2'!B$36-'Bond 2'!B$37-'Bond 2'!C$36-'Bond 2'!C$37),TRUE,FALSE)),FALSE)</f>
        <v>0</v>
      </c>
      <c r="E800" t="s">
        <v>624</v>
      </c>
      <c r="F800" t="str">
        <f>INDEX(Lists!I:I,MATCH(Validation!E800,Lists!G:G,0))</f>
        <v>Error</v>
      </c>
      <c r="G800" t="str">
        <f>INDEX(Lists!H:H,MATCH(Validation!E800,Lists!G:G,0))</f>
        <v>Amount refunded cannot exceed issue amt (+additions/redcutions) less principal paid.</v>
      </c>
      <c r="H800" s="25" t="str">
        <f t="shared" ca="1" si="162"/>
        <v/>
      </c>
      <c r="I800" s="25" t="str">
        <f t="shared" ca="1" si="163"/>
        <v/>
      </c>
      <c r="J800" s="26" t="str">
        <f t="shared" si="164"/>
        <v/>
      </c>
    </row>
    <row r="801" spans="1:10" x14ac:dyDescent="0.25">
      <c r="A801" t="s">
        <v>303</v>
      </c>
      <c r="B801" t="str">
        <f>ADDRESS(ROW('Bond 1'!$B$19),COLUMN('Bond 1'!$B$19),4)</f>
        <v>B19</v>
      </c>
      <c r="C801" t="str">
        <f>ADDRESS(ROW('Bond 1'!$D$19),COLUMN('Bond 1'!$D$19),4)</f>
        <v>D19</v>
      </c>
      <c r="D801" t="b">
        <f>IFERROR(IF('Bond 3'!B$19="",FALSE,IF('Bond 3'!B$19&gt;('Bond 3'!B$16+'Bond 3'!B$38+'Bond 3'!C$38-'Bond 3'!B$36-'Bond 3'!B$37-'Bond 3'!C$36-'Bond 3'!C$37),TRUE,FALSE)),FALSE)</f>
        <v>0</v>
      </c>
      <c r="E801" t="s">
        <v>624</v>
      </c>
      <c r="F801" t="str">
        <f>INDEX(Lists!I:I,MATCH(Validation!E801,Lists!G:G,0))</f>
        <v>Error</v>
      </c>
      <c r="G801" t="str">
        <f>INDEX(Lists!H:H,MATCH(Validation!E801,Lists!G:G,0))</f>
        <v>Amount refunded cannot exceed issue amt (+additions/redcutions) less principal paid.</v>
      </c>
      <c r="H801" s="25" t="str">
        <f t="shared" ca="1" si="162"/>
        <v/>
      </c>
      <c r="I801" s="25" t="str">
        <f t="shared" ca="1" si="163"/>
        <v/>
      </c>
      <c r="J801" s="26" t="str">
        <f t="shared" si="164"/>
        <v/>
      </c>
    </row>
    <row r="802" spans="1:10" x14ac:dyDescent="0.25">
      <c r="A802" t="s">
        <v>304</v>
      </c>
      <c r="B802" t="str">
        <f>ADDRESS(ROW('Bond 1'!$B$19),COLUMN('Bond 1'!$B$19),4)</f>
        <v>B19</v>
      </c>
      <c r="C802" t="str">
        <f>ADDRESS(ROW('Bond 1'!$D$19),COLUMN('Bond 1'!$D$19),4)</f>
        <v>D19</v>
      </c>
      <c r="D802" t="b">
        <f>IFERROR(IF('Bond 4'!B$19="",FALSE,IF('Bond 4'!B$19&gt;('Bond 4'!B$16+'Bond 4'!B$38+'Bond 4'!C$38-'Bond 4'!B$36-'Bond 4'!B$37-'Bond 4'!C$36-'Bond 4'!C$37),TRUE,FALSE)),FALSE)</f>
        <v>0</v>
      </c>
      <c r="E802" t="s">
        <v>624</v>
      </c>
      <c r="F802" t="str">
        <f>INDEX(Lists!I:I,MATCH(Validation!E802,Lists!G:G,0))</f>
        <v>Error</v>
      </c>
      <c r="G802" t="str">
        <f>INDEX(Lists!H:H,MATCH(Validation!E802,Lists!G:G,0))</f>
        <v>Amount refunded cannot exceed issue amt (+additions/redcutions) less principal paid.</v>
      </c>
      <c r="H802" s="25" t="str">
        <f t="shared" ca="1" si="162"/>
        <v/>
      </c>
      <c r="I802" s="25" t="str">
        <f t="shared" ca="1" si="163"/>
        <v/>
      </c>
      <c r="J802" s="26" t="str">
        <f t="shared" si="164"/>
        <v/>
      </c>
    </row>
    <row r="803" spans="1:10" x14ac:dyDescent="0.25">
      <c r="A803" t="s">
        <v>305</v>
      </c>
      <c r="B803" t="str">
        <f>ADDRESS(ROW('Bond 1'!$B$19),COLUMN('Bond 1'!$B$19),4)</f>
        <v>B19</v>
      </c>
      <c r="C803" t="str">
        <f>ADDRESS(ROW('Bond 1'!$D$19),COLUMN('Bond 1'!$D$19),4)</f>
        <v>D19</v>
      </c>
      <c r="D803" t="b">
        <f>IFERROR(IF('Bond 5'!B$19="",FALSE,IF('Bond 5'!B$19&gt;('Bond 5'!B$16+'Bond 5'!B$38+'Bond 5'!C$38-'Bond 5'!B$36-'Bond 5'!B$37-'Bond 5'!C$36-'Bond 5'!C$37),TRUE,FALSE)),FALSE)</f>
        <v>0</v>
      </c>
      <c r="E803" t="s">
        <v>624</v>
      </c>
      <c r="F803" t="str">
        <f>INDEX(Lists!I:I,MATCH(Validation!E803,Lists!G:G,0))</f>
        <v>Error</v>
      </c>
      <c r="G803" t="str">
        <f>INDEX(Lists!H:H,MATCH(Validation!E803,Lists!G:G,0))</f>
        <v>Amount refunded cannot exceed issue amt (+additions/redcutions) less principal paid.</v>
      </c>
      <c r="H803" s="25" t="str">
        <f t="shared" ca="1" si="162"/>
        <v/>
      </c>
      <c r="I803" s="25" t="str">
        <f t="shared" ca="1" si="163"/>
        <v/>
      </c>
      <c r="J803" s="26" t="str">
        <f t="shared" si="164"/>
        <v/>
      </c>
    </row>
    <row r="804" spans="1:10" x14ac:dyDescent="0.25">
      <c r="A804" t="s">
        <v>306</v>
      </c>
      <c r="B804" t="str">
        <f>ADDRESS(ROW('Bond 1'!$B$19),COLUMN('Bond 1'!$B$19),4)</f>
        <v>B19</v>
      </c>
      <c r="C804" t="str">
        <f>ADDRESS(ROW('Bond 1'!$D$19),COLUMN('Bond 1'!$D$19),4)</f>
        <v>D19</v>
      </c>
      <c r="D804" t="b">
        <f>IFERROR(IF('Bond 6'!B$19="",FALSE,IF('Bond 6'!B$19&gt;('Bond 6'!B$16+'Bond 6'!B$38+'Bond 6'!C$38-'Bond 6'!B$36-'Bond 6'!B$37-'Bond 6'!C$36-'Bond 6'!C$37),TRUE,FALSE)),FALSE)</f>
        <v>0</v>
      </c>
      <c r="E804" t="s">
        <v>624</v>
      </c>
      <c r="F804" t="str">
        <f>INDEX(Lists!I:I,MATCH(Validation!E804,Lists!G:G,0))</f>
        <v>Error</v>
      </c>
      <c r="G804" t="str">
        <f>INDEX(Lists!H:H,MATCH(Validation!E804,Lists!G:G,0))</f>
        <v>Amount refunded cannot exceed issue amt (+additions/redcutions) less principal paid.</v>
      </c>
      <c r="H804" s="25" t="str">
        <f t="shared" ca="1" si="162"/>
        <v/>
      </c>
      <c r="I804" s="25" t="str">
        <f t="shared" ca="1" si="163"/>
        <v/>
      </c>
      <c r="J804" s="26" t="str">
        <f t="shared" si="164"/>
        <v/>
      </c>
    </row>
    <row r="805" spans="1:10" x14ac:dyDescent="0.25">
      <c r="A805" t="s">
        <v>307</v>
      </c>
      <c r="B805" t="str">
        <f>ADDRESS(ROW('Bond 1'!$B$19),COLUMN('Bond 1'!$B$19),4)</f>
        <v>B19</v>
      </c>
      <c r="C805" t="str">
        <f>ADDRESS(ROW('Bond 1'!$D$19),COLUMN('Bond 1'!$D$19),4)</f>
        <v>D19</v>
      </c>
      <c r="D805" t="b">
        <f>IFERROR(IF('Bond 7'!B$19="",FALSE,IF('Bond 7'!B$19&gt;('Bond 7'!B$16+'Bond 7'!B$38+'Bond 7'!C$38-'Bond 7'!B$36-'Bond 7'!B$37-'Bond 7'!C$36-'Bond 7'!C$37),TRUE,FALSE)),FALSE)</f>
        <v>0</v>
      </c>
      <c r="E805" t="s">
        <v>624</v>
      </c>
      <c r="F805" t="str">
        <f>INDEX(Lists!I:I,MATCH(Validation!E805,Lists!G:G,0))</f>
        <v>Error</v>
      </c>
      <c r="G805" t="str">
        <f>INDEX(Lists!H:H,MATCH(Validation!E805,Lists!G:G,0))</f>
        <v>Amount refunded cannot exceed issue amt (+additions/redcutions) less principal paid.</v>
      </c>
      <c r="H805" s="25" t="str">
        <f t="shared" ca="1" si="162"/>
        <v/>
      </c>
      <c r="I805" s="25" t="str">
        <f t="shared" ca="1" si="163"/>
        <v/>
      </c>
      <c r="J805" s="26" t="str">
        <f t="shared" si="164"/>
        <v/>
      </c>
    </row>
    <row r="806" spans="1:10" x14ac:dyDescent="0.25">
      <c r="A806" t="s">
        <v>308</v>
      </c>
      <c r="B806" t="str">
        <f>ADDRESS(ROW('Bond 1'!$B$19),COLUMN('Bond 1'!$B$19),4)</f>
        <v>B19</v>
      </c>
      <c r="C806" t="str">
        <f>ADDRESS(ROW('Bond 1'!$D$19),COLUMN('Bond 1'!$D$19),4)</f>
        <v>D19</v>
      </c>
      <c r="D806" t="b">
        <f>IFERROR(IF('Bond 8'!B$19="",FALSE,IF('Bond 8'!B$19&gt;('Bond 8'!B$16+'Bond 8'!B$38+'Bond 8'!C$38-'Bond 8'!B$36-'Bond 8'!B$37-'Bond 8'!C$36-'Bond 8'!C$37),TRUE,FALSE)),FALSE)</f>
        <v>0</v>
      </c>
      <c r="E806" t="s">
        <v>624</v>
      </c>
      <c r="F806" t="str">
        <f>INDEX(Lists!I:I,MATCH(Validation!E806,Lists!G:G,0))</f>
        <v>Error</v>
      </c>
      <c r="G806" t="str">
        <f>INDEX(Lists!H:H,MATCH(Validation!E806,Lists!G:G,0))</f>
        <v>Amount refunded cannot exceed issue amt (+additions/redcutions) less principal paid.</v>
      </c>
      <c r="H806" s="25" t="str">
        <f t="shared" ca="1" si="162"/>
        <v/>
      </c>
      <c r="I806" s="25" t="str">
        <f t="shared" ca="1" si="163"/>
        <v/>
      </c>
      <c r="J806" s="26" t="str">
        <f t="shared" si="164"/>
        <v/>
      </c>
    </row>
    <row r="807" spans="1:10" x14ac:dyDescent="0.25">
      <c r="A807" t="s">
        <v>309</v>
      </c>
      <c r="B807" t="str">
        <f>ADDRESS(ROW('Bond 1'!$B$19),COLUMN('Bond 1'!$B$19),4)</f>
        <v>B19</v>
      </c>
      <c r="C807" t="str">
        <f>ADDRESS(ROW('Bond 1'!$D$19),COLUMN('Bond 1'!$D$19),4)</f>
        <v>D19</v>
      </c>
      <c r="D807" t="b">
        <f>IFERROR(IF('Bond 9'!B$19="",FALSE,IF('Bond 9'!B$19&gt;('Bond 9'!B$16+'Bond 9'!B$38+'Bond 9'!C$38-'Bond 9'!B$36-'Bond 9'!B$37-'Bond 9'!C$36-'Bond 9'!C$37),TRUE,FALSE)),FALSE)</f>
        <v>0</v>
      </c>
      <c r="E807" t="s">
        <v>624</v>
      </c>
      <c r="F807" t="str">
        <f>INDEX(Lists!I:I,MATCH(Validation!E807,Lists!G:G,0))</f>
        <v>Error</v>
      </c>
      <c r="G807" t="str">
        <f>INDEX(Lists!H:H,MATCH(Validation!E807,Lists!G:G,0))</f>
        <v>Amount refunded cannot exceed issue amt (+additions/redcutions) less principal paid.</v>
      </c>
      <c r="H807" s="25" t="str">
        <f t="shared" ca="1" si="162"/>
        <v/>
      </c>
      <c r="I807" s="25" t="str">
        <f t="shared" ca="1" si="163"/>
        <v/>
      </c>
      <c r="J807" s="26" t="str">
        <f t="shared" si="164"/>
        <v/>
      </c>
    </row>
    <row r="808" spans="1:10" x14ac:dyDescent="0.25">
      <c r="A808" t="s">
        <v>310</v>
      </c>
      <c r="B808" t="str">
        <f>ADDRESS(ROW('Bond 1'!$B$19),COLUMN('Bond 1'!$B$19),4)</f>
        <v>B19</v>
      </c>
      <c r="C808" t="str">
        <f>ADDRESS(ROW('Bond 1'!$D$19),COLUMN('Bond 1'!$D$19),4)</f>
        <v>D19</v>
      </c>
      <c r="D808" t="b">
        <f>IFERROR(IF('Bond 10'!B$19="",FALSE,IF('Bond 10'!B$19&gt;('Bond 10'!B$16+'Bond 10'!B$38+'Bond 10'!C$38-'Bond 10'!B$36-'Bond 10'!B$37-'Bond 10'!C$36-'Bond 10'!C$37),TRUE,FALSE)),FALSE)</f>
        <v>0</v>
      </c>
      <c r="E808" t="s">
        <v>624</v>
      </c>
      <c r="F808" t="str">
        <f>INDEX(Lists!I:I,MATCH(Validation!E808,Lists!G:G,0))</f>
        <v>Error</v>
      </c>
      <c r="G808" t="str">
        <f>INDEX(Lists!H:H,MATCH(Validation!E808,Lists!G:G,0))</f>
        <v>Amount refunded cannot exceed issue amt (+additions/redcutions) less principal paid.</v>
      </c>
      <c r="H808" s="25" t="str">
        <f t="shared" ca="1" si="162"/>
        <v/>
      </c>
      <c r="I808" s="25" t="str">
        <f t="shared" ca="1" si="163"/>
        <v/>
      </c>
      <c r="J808" s="26" t="str">
        <f t="shared" si="164"/>
        <v/>
      </c>
    </row>
    <row r="809" spans="1:10" x14ac:dyDescent="0.25">
      <c r="A809" t="s">
        <v>311</v>
      </c>
      <c r="B809" t="str">
        <f>ADDRESS(ROW('Bond 1'!$B$19),COLUMN('Bond 1'!$B$19),4)</f>
        <v>B19</v>
      </c>
      <c r="C809" t="str">
        <f>ADDRESS(ROW('Bond 1'!$D$19),COLUMN('Bond 1'!$D$19),4)</f>
        <v>D19</v>
      </c>
      <c r="D809" t="b">
        <f>IFERROR(IF('Bond 11'!B$19="",FALSE,IF('Bond 11'!B$19&gt;('Bond 11'!B$16+'Bond 11'!B$38+'Bond 11'!C$38-'Bond 11'!B$36-'Bond 11'!B$37-'Bond 11'!C$36-'Bond 11'!C$37),TRUE,FALSE)),FALSE)</f>
        <v>0</v>
      </c>
      <c r="E809" t="s">
        <v>624</v>
      </c>
      <c r="F809" t="str">
        <f>INDEX(Lists!I:I,MATCH(Validation!E809,Lists!G:G,0))</f>
        <v>Error</v>
      </c>
      <c r="G809" t="str">
        <f>INDEX(Lists!H:H,MATCH(Validation!E809,Lists!G:G,0))</f>
        <v>Amount refunded cannot exceed issue amt (+additions/redcutions) less principal paid.</v>
      </c>
      <c r="H809" s="25" t="str">
        <f t="shared" ca="1" si="162"/>
        <v/>
      </c>
      <c r="I809" s="25" t="str">
        <f t="shared" ca="1" si="163"/>
        <v/>
      </c>
      <c r="J809" s="26" t="str">
        <f t="shared" si="164"/>
        <v/>
      </c>
    </row>
    <row r="810" spans="1:10" x14ac:dyDescent="0.25">
      <c r="A810" t="s">
        <v>312</v>
      </c>
      <c r="B810" t="str">
        <f>ADDRESS(ROW('Bond 1'!$B$19),COLUMN('Bond 1'!$B$19),4)</f>
        <v>B19</v>
      </c>
      <c r="C810" t="str">
        <f>ADDRESS(ROW('Bond 1'!$D$19),COLUMN('Bond 1'!$D$19),4)</f>
        <v>D19</v>
      </c>
      <c r="D810" t="b">
        <f>IFERROR(IF('Bond 12'!B$19="",FALSE,IF('Bond 12'!B$19&gt;('Bond 12'!B$16+'Bond 12'!B$38+'Bond 12'!C$38-'Bond 12'!B$36-'Bond 12'!B$37-'Bond 12'!C$36-'Bond 12'!C$37),TRUE,FALSE)),FALSE)</f>
        <v>0</v>
      </c>
      <c r="E810" t="s">
        <v>624</v>
      </c>
      <c r="F810" t="str">
        <f>INDEX(Lists!I:I,MATCH(Validation!E810,Lists!G:G,0))</f>
        <v>Error</v>
      </c>
      <c r="G810" t="str">
        <f>INDEX(Lists!H:H,MATCH(Validation!E810,Lists!G:G,0))</f>
        <v>Amount refunded cannot exceed issue amt (+additions/redcutions) less principal paid.</v>
      </c>
      <c r="H810" s="25" t="str">
        <f t="shared" ca="1" si="162"/>
        <v/>
      </c>
      <c r="I810" s="25" t="str">
        <f t="shared" ca="1" si="163"/>
        <v/>
      </c>
      <c r="J810" s="26" t="str">
        <f t="shared" si="164"/>
        <v/>
      </c>
    </row>
    <row r="811" spans="1:10" x14ac:dyDescent="0.25">
      <c r="A811" t="s">
        <v>313</v>
      </c>
      <c r="B811" t="str">
        <f>ADDRESS(ROW('Bond 1'!$B$19),COLUMN('Bond 1'!$B$19),4)</f>
        <v>B19</v>
      </c>
      <c r="C811" t="str">
        <f>ADDRESS(ROW('Bond 1'!$D$19),COLUMN('Bond 1'!$D$19),4)</f>
        <v>D19</v>
      </c>
      <c r="D811" t="b">
        <f>IFERROR(IF('Bond 13'!B$19="",FALSE,IF('Bond 13'!B$19&gt;('Bond 13'!B$16+'Bond 13'!B$38+'Bond 13'!C$38-'Bond 13'!B$36-'Bond 13'!B$37-'Bond 13'!C$36-'Bond 13'!C$37),TRUE,FALSE)),FALSE)</f>
        <v>0</v>
      </c>
      <c r="E811" t="s">
        <v>624</v>
      </c>
      <c r="F811" t="str">
        <f>INDEX(Lists!I:I,MATCH(Validation!E811,Lists!G:G,0))</f>
        <v>Error</v>
      </c>
      <c r="G811" t="str">
        <f>INDEX(Lists!H:H,MATCH(Validation!E811,Lists!G:G,0))</f>
        <v>Amount refunded cannot exceed issue amt (+additions/redcutions) less principal paid.</v>
      </c>
      <c r="H811" s="25" t="str">
        <f t="shared" ca="1" si="162"/>
        <v/>
      </c>
      <c r="I811" s="25" t="str">
        <f t="shared" ca="1" si="163"/>
        <v/>
      </c>
      <c r="J811" s="26" t="str">
        <f t="shared" si="164"/>
        <v/>
      </c>
    </row>
    <row r="812" spans="1:10" x14ac:dyDescent="0.25">
      <c r="A812" t="s">
        <v>314</v>
      </c>
      <c r="B812" t="str">
        <f>ADDRESS(ROW('Bond 1'!$B$19),COLUMN('Bond 1'!$B$19),4)</f>
        <v>B19</v>
      </c>
      <c r="C812" t="str">
        <f>ADDRESS(ROW('Bond 1'!$D$19),COLUMN('Bond 1'!$D$19),4)</f>
        <v>D19</v>
      </c>
      <c r="D812" t="b">
        <f>IFERROR(IF('Bond 14'!B$19="",FALSE,IF('Bond 14'!B$19&gt;('Bond 14'!B$16+'Bond 14'!B$38+'Bond 14'!C$38-'Bond 14'!B$36-'Bond 14'!B$37-'Bond 14'!C$36-'Bond 14'!C$37),TRUE,FALSE)),FALSE)</f>
        <v>0</v>
      </c>
      <c r="E812" t="s">
        <v>624</v>
      </c>
      <c r="F812" t="str">
        <f>INDEX(Lists!I:I,MATCH(Validation!E812,Lists!G:G,0))</f>
        <v>Error</v>
      </c>
      <c r="G812" t="str">
        <f>INDEX(Lists!H:H,MATCH(Validation!E812,Lists!G:G,0))</f>
        <v>Amount refunded cannot exceed issue amt (+additions/redcutions) less principal paid.</v>
      </c>
      <c r="H812" s="25" t="str">
        <f t="shared" ca="1" si="162"/>
        <v/>
      </c>
      <c r="I812" s="25" t="str">
        <f t="shared" ca="1" si="163"/>
        <v/>
      </c>
      <c r="J812" s="26" t="str">
        <f t="shared" si="164"/>
        <v/>
      </c>
    </row>
    <row r="813" spans="1:10" x14ac:dyDescent="0.25">
      <c r="A813" t="s">
        <v>315</v>
      </c>
      <c r="B813" t="str">
        <f>ADDRESS(ROW('Bond 1'!$B$19),COLUMN('Bond 1'!$B$19),4)</f>
        <v>B19</v>
      </c>
      <c r="C813" t="str">
        <f>ADDRESS(ROW('Bond 1'!$D$19),COLUMN('Bond 1'!$D$19),4)</f>
        <v>D19</v>
      </c>
      <c r="D813" t="b">
        <f>IFERROR(IF('Bond 15'!B$19="",FALSE,IF('Bond 15'!B$19&gt;('Bond 15'!B$16+'Bond 15'!B$38+'Bond 15'!C$38-'Bond 15'!B$36-'Bond 15'!B$37-'Bond 15'!C$36-'Bond 15'!C$37),TRUE,FALSE)),FALSE)</f>
        <v>0</v>
      </c>
      <c r="E813" t="s">
        <v>624</v>
      </c>
      <c r="F813" t="str">
        <f>INDEX(Lists!I:I,MATCH(Validation!E813,Lists!G:G,0))</f>
        <v>Error</v>
      </c>
      <c r="G813" t="str">
        <f>INDEX(Lists!H:H,MATCH(Validation!E813,Lists!G:G,0))</f>
        <v>Amount refunded cannot exceed issue amt (+additions/redcutions) less principal paid.</v>
      </c>
      <c r="H813" s="25" t="str">
        <f t="shared" ca="1" si="162"/>
        <v/>
      </c>
      <c r="I813" s="25" t="str">
        <f t="shared" ca="1" si="163"/>
        <v/>
      </c>
      <c r="J813" s="26" t="str">
        <f t="shared" si="164"/>
        <v/>
      </c>
    </row>
    <row r="814" spans="1:10" x14ac:dyDescent="0.25">
      <c r="A814" t="s">
        <v>198</v>
      </c>
      <c r="B814" t="str">
        <f>ADDRESS(ROW('Bond 1'!$B$20),COLUMN('Bond 1'!$B$20),4)</f>
        <v>B20</v>
      </c>
      <c r="C814" t="str">
        <f>ADDRESS(ROW('Bond 1'!$D$20),COLUMN('Bond 1'!$D$20),4)</f>
        <v>D20</v>
      </c>
      <c r="D814" t="b" cm="1">
        <f t="array" aca="1" ref="D814" ca="1">AND(NOT('Bond 1'!B$7=""),INDIRECT("'"&amp;A814&amp;"'!"&amp;B814)="Select One")</f>
        <v>0</v>
      </c>
      <c r="E814" t="s">
        <v>64</v>
      </c>
      <c r="F814" t="str">
        <f>INDEX(Lists!I:I,MATCH(Validation!E814,Lists!G:G,0))</f>
        <v>Error</v>
      </c>
      <c r="G814" t="str">
        <f>INDEX(Lists!H:H,MATCH(Validation!E814,Lists!G:G,0))</f>
        <v>You must make a selection from the dropdown list.</v>
      </c>
      <c r="H814" s="25" t="str">
        <f ca="1">IFERROR(IF(OR(NOT(D814),F814&lt;&gt;"Error"),"",A814&amp;CELL("address",INDIRECT(B814))),"")</f>
        <v/>
      </c>
      <c r="I814" s="25" t="str">
        <f ca="1">IFERROR(IF(NOT(D814),"",A814&amp;CELL("address",INDIRECT(C814))),"")</f>
        <v/>
      </c>
      <c r="J814" s="26" t="str">
        <f ca="1">IFERROR(IF(NOT(D814),"",A814),"")</f>
        <v/>
      </c>
    </row>
    <row r="815" spans="1:10" x14ac:dyDescent="0.25">
      <c r="A815" t="s">
        <v>302</v>
      </c>
      <c r="B815" t="str">
        <f>ADDRESS(ROW('Bond 1'!$B$20),COLUMN('Bond 1'!$B$20),4)</f>
        <v>B20</v>
      </c>
      <c r="C815" t="str">
        <f>ADDRESS(ROW('Bond 1'!$D$20),COLUMN('Bond 1'!$D$20),4)</f>
        <v>D20</v>
      </c>
      <c r="D815" t="b" cm="1">
        <f t="array" aca="1" ref="D815" ca="1">AND(NOT('Bond 2'!B$7=""),INDIRECT("'"&amp;A815&amp;"'!"&amp;B815)="Select One")</f>
        <v>0</v>
      </c>
      <c r="E815" t="s">
        <v>64</v>
      </c>
      <c r="F815" t="str">
        <f>INDEX(Lists!I:I,MATCH(Validation!E815,Lists!G:G,0))</f>
        <v>Error</v>
      </c>
      <c r="G815" t="str">
        <f>INDEX(Lists!H:H,MATCH(Validation!E815,Lists!G:G,0))</f>
        <v>You must make a selection from the dropdown list.</v>
      </c>
      <c r="H815" s="25" t="str">
        <f t="shared" ref="H815:H827" ca="1" si="165">IFERROR(IF(OR(NOT(D815),F815&lt;&gt;"Error"),"",A815&amp;CELL("address",INDIRECT(B815))),"")</f>
        <v/>
      </c>
      <c r="I815" s="25" t="str">
        <f t="shared" ref="I815:I827" ca="1" si="166">IFERROR(IF(NOT(D815),"",A815&amp;CELL("address",INDIRECT(C815))),"")</f>
        <v/>
      </c>
      <c r="J815" s="26" t="str">
        <f t="shared" ref="J815:J827" ca="1" si="167">IFERROR(IF(NOT(D815),"",A815),"")</f>
        <v/>
      </c>
    </row>
    <row r="816" spans="1:10" x14ac:dyDescent="0.25">
      <c r="A816" t="s">
        <v>303</v>
      </c>
      <c r="B816" t="str">
        <f>ADDRESS(ROW('Bond 1'!$B$20),COLUMN('Bond 1'!$B$20),4)</f>
        <v>B20</v>
      </c>
      <c r="C816" t="str">
        <f>ADDRESS(ROW('Bond 1'!$D$20),COLUMN('Bond 1'!$D$20),4)</f>
        <v>D20</v>
      </c>
      <c r="D816" t="b" cm="1">
        <f t="array" aca="1" ref="D816" ca="1">AND(NOT('Bond 3'!B$7=""),INDIRECT("'"&amp;A816&amp;"'!"&amp;B816)="Select One")</f>
        <v>0</v>
      </c>
      <c r="E816" t="s">
        <v>64</v>
      </c>
      <c r="F816" t="str">
        <f>INDEX(Lists!I:I,MATCH(Validation!E816,Lists!G:G,0))</f>
        <v>Error</v>
      </c>
      <c r="G816" t="str">
        <f>INDEX(Lists!H:H,MATCH(Validation!E816,Lists!G:G,0))</f>
        <v>You must make a selection from the dropdown list.</v>
      </c>
      <c r="H816" s="25" t="str">
        <f t="shared" ca="1" si="165"/>
        <v/>
      </c>
      <c r="I816" s="25" t="str">
        <f t="shared" ca="1" si="166"/>
        <v/>
      </c>
      <c r="J816" s="26" t="str">
        <f t="shared" ca="1" si="167"/>
        <v/>
      </c>
    </row>
    <row r="817" spans="1:10" x14ac:dyDescent="0.25">
      <c r="A817" t="s">
        <v>304</v>
      </c>
      <c r="B817" t="str">
        <f>ADDRESS(ROW('Bond 1'!$B$20),COLUMN('Bond 1'!$B$20),4)</f>
        <v>B20</v>
      </c>
      <c r="C817" t="str">
        <f>ADDRESS(ROW('Bond 1'!$D$20),COLUMN('Bond 1'!$D$20),4)</f>
        <v>D20</v>
      </c>
      <c r="D817" t="b" cm="1">
        <f t="array" aca="1" ref="D817" ca="1">AND(NOT('Bond 4'!B$7=""),INDIRECT("'"&amp;A817&amp;"'!"&amp;B817)="Select One")</f>
        <v>0</v>
      </c>
      <c r="E817" t="s">
        <v>64</v>
      </c>
      <c r="F817" t="str">
        <f>INDEX(Lists!I:I,MATCH(Validation!E817,Lists!G:G,0))</f>
        <v>Error</v>
      </c>
      <c r="G817" t="str">
        <f>INDEX(Lists!H:H,MATCH(Validation!E817,Lists!G:G,0))</f>
        <v>You must make a selection from the dropdown list.</v>
      </c>
      <c r="H817" s="25" t="str">
        <f t="shared" ca="1" si="165"/>
        <v/>
      </c>
      <c r="I817" s="25" t="str">
        <f t="shared" ca="1" si="166"/>
        <v/>
      </c>
      <c r="J817" s="26" t="str">
        <f t="shared" ca="1" si="167"/>
        <v/>
      </c>
    </row>
    <row r="818" spans="1:10" x14ac:dyDescent="0.25">
      <c r="A818" t="s">
        <v>305</v>
      </c>
      <c r="B818" t="str">
        <f>ADDRESS(ROW('Bond 1'!$B$20),COLUMN('Bond 1'!$B$20),4)</f>
        <v>B20</v>
      </c>
      <c r="C818" t="str">
        <f>ADDRESS(ROW('Bond 1'!$D$20),COLUMN('Bond 1'!$D$20),4)</f>
        <v>D20</v>
      </c>
      <c r="D818" t="b" cm="1">
        <f t="array" aca="1" ref="D818" ca="1">AND(NOT('Bond 5'!B$7=""),INDIRECT("'"&amp;A818&amp;"'!"&amp;B818)="Select One")</f>
        <v>0</v>
      </c>
      <c r="E818" t="s">
        <v>64</v>
      </c>
      <c r="F818" t="str">
        <f>INDEX(Lists!I:I,MATCH(Validation!E818,Lists!G:G,0))</f>
        <v>Error</v>
      </c>
      <c r="G818" t="str">
        <f>INDEX(Lists!H:H,MATCH(Validation!E818,Lists!G:G,0))</f>
        <v>You must make a selection from the dropdown list.</v>
      </c>
      <c r="H818" s="25" t="str">
        <f t="shared" ca="1" si="165"/>
        <v/>
      </c>
      <c r="I818" s="25" t="str">
        <f t="shared" ca="1" si="166"/>
        <v/>
      </c>
      <c r="J818" s="26" t="str">
        <f t="shared" ca="1" si="167"/>
        <v/>
      </c>
    </row>
    <row r="819" spans="1:10" x14ac:dyDescent="0.25">
      <c r="A819" t="s">
        <v>306</v>
      </c>
      <c r="B819" t="str">
        <f>ADDRESS(ROW('Bond 1'!$B$20),COLUMN('Bond 1'!$B$20),4)</f>
        <v>B20</v>
      </c>
      <c r="C819" t="str">
        <f>ADDRESS(ROW('Bond 1'!$D$20),COLUMN('Bond 1'!$D$20),4)</f>
        <v>D20</v>
      </c>
      <c r="D819" t="b" cm="1">
        <f t="array" aca="1" ref="D819" ca="1">AND(NOT('Bond 6'!B$7=""),INDIRECT("'"&amp;A819&amp;"'!"&amp;B819)="Select One")</f>
        <v>0</v>
      </c>
      <c r="E819" t="s">
        <v>64</v>
      </c>
      <c r="F819" t="str">
        <f>INDEX(Lists!I:I,MATCH(Validation!E819,Lists!G:G,0))</f>
        <v>Error</v>
      </c>
      <c r="G819" t="str">
        <f>INDEX(Lists!H:H,MATCH(Validation!E819,Lists!G:G,0))</f>
        <v>You must make a selection from the dropdown list.</v>
      </c>
      <c r="H819" s="25" t="str">
        <f t="shared" ca="1" si="165"/>
        <v/>
      </c>
      <c r="I819" s="25" t="str">
        <f t="shared" ca="1" si="166"/>
        <v/>
      </c>
      <c r="J819" s="26" t="str">
        <f t="shared" ca="1" si="167"/>
        <v/>
      </c>
    </row>
    <row r="820" spans="1:10" x14ac:dyDescent="0.25">
      <c r="A820" t="s">
        <v>307</v>
      </c>
      <c r="B820" t="str">
        <f>ADDRESS(ROW('Bond 1'!$B$20),COLUMN('Bond 1'!$B$20),4)</f>
        <v>B20</v>
      </c>
      <c r="C820" t="str">
        <f>ADDRESS(ROW('Bond 1'!$D$20),COLUMN('Bond 1'!$D$20),4)</f>
        <v>D20</v>
      </c>
      <c r="D820" t="b" cm="1">
        <f t="array" aca="1" ref="D820" ca="1">AND(NOT('Bond 7'!B$7=""),INDIRECT("'"&amp;A820&amp;"'!"&amp;B820)="Select One")</f>
        <v>0</v>
      </c>
      <c r="E820" t="s">
        <v>64</v>
      </c>
      <c r="F820" t="str">
        <f>INDEX(Lists!I:I,MATCH(Validation!E820,Lists!G:G,0))</f>
        <v>Error</v>
      </c>
      <c r="G820" t="str">
        <f>INDEX(Lists!H:H,MATCH(Validation!E820,Lists!G:G,0))</f>
        <v>You must make a selection from the dropdown list.</v>
      </c>
      <c r="H820" s="25" t="str">
        <f t="shared" ca="1" si="165"/>
        <v/>
      </c>
      <c r="I820" s="25" t="str">
        <f t="shared" ca="1" si="166"/>
        <v/>
      </c>
      <c r="J820" s="26" t="str">
        <f t="shared" ca="1" si="167"/>
        <v/>
      </c>
    </row>
    <row r="821" spans="1:10" x14ac:dyDescent="0.25">
      <c r="A821" t="s">
        <v>308</v>
      </c>
      <c r="B821" t="str">
        <f>ADDRESS(ROW('Bond 1'!$B$20),COLUMN('Bond 1'!$B$20),4)</f>
        <v>B20</v>
      </c>
      <c r="C821" t="str">
        <f>ADDRESS(ROW('Bond 1'!$D$20),COLUMN('Bond 1'!$D$20),4)</f>
        <v>D20</v>
      </c>
      <c r="D821" t="b" cm="1">
        <f t="array" aca="1" ref="D821" ca="1">AND(NOT('Bond 8'!B$7=""),INDIRECT("'"&amp;A821&amp;"'!"&amp;B821)="Select One")</f>
        <v>0</v>
      </c>
      <c r="E821" t="s">
        <v>64</v>
      </c>
      <c r="F821" t="str">
        <f>INDEX(Lists!I:I,MATCH(Validation!E821,Lists!G:G,0))</f>
        <v>Error</v>
      </c>
      <c r="G821" t="str">
        <f>INDEX(Lists!H:H,MATCH(Validation!E821,Lists!G:G,0))</f>
        <v>You must make a selection from the dropdown list.</v>
      </c>
      <c r="H821" s="25" t="str">
        <f t="shared" ca="1" si="165"/>
        <v/>
      </c>
      <c r="I821" s="25" t="str">
        <f t="shared" ca="1" si="166"/>
        <v/>
      </c>
      <c r="J821" s="26" t="str">
        <f t="shared" ca="1" si="167"/>
        <v/>
      </c>
    </row>
    <row r="822" spans="1:10" x14ac:dyDescent="0.25">
      <c r="A822" t="s">
        <v>309</v>
      </c>
      <c r="B822" t="str">
        <f>ADDRESS(ROW('Bond 1'!$B$20),COLUMN('Bond 1'!$B$20),4)</f>
        <v>B20</v>
      </c>
      <c r="C822" t="str">
        <f>ADDRESS(ROW('Bond 1'!$D$20),COLUMN('Bond 1'!$D$20),4)</f>
        <v>D20</v>
      </c>
      <c r="D822" t="b" cm="1">
        <f t="array" aca="1" ref="D822" ca="1">AND(NOT('Bond 9'!B$7=""),INDIRECT("'"&amp;A822&amp;"'!"&amp;B822)="Select One")</f>
        <v>0</v>
      </c>
      <c r="E822" t="s">
        <v>64</v>
      </c>
      <c r="F822" t="str">
        <f>INDEX(Lists!I:I,MATCH(Validation!E822,Lists!G:G,0))</f>
        <v>Error</v>
      </c>
      <c r="G822" t="str">
        <f>INDEX(Lists!H:H,MATCH(Validation!E822,Lists!G:G,0))</f>
        <v>You must make a selection from the dropdown list.</v>
      </c>
      <c r="H822" s="25" t="str">
        <f t="shared" ca="1" si="165"/>
        <v/>
      </c>
      <c r="I822" s="25" t="str">
        <f t="shared" ca="1" si="166"/>
        <v/>
      </c>
      <c r="J822" s="26" t="str">
        <f t="shared" ca="1" si="167"/>
        <v/>
      </c>
    </row>
    <row r="823" spans="1:10" x14ac:dyDescent="0.25">
      <c r="A823" t="s">
        <v>310</v>
      </c>
      <c r="B823" t="str">
        <f>ADDRESS(ROW('Bond 1'!$B$20),COLUMN('Bond 1'!$B$20),4)</f>
        <v>B20</v>
      </c>
      <c r="C823" t="str">
        <f>ADDRESS(ROW('Bond 1'!$D$20),COLUMN('Bond 1'!$D$20),4)</f>
        <v>D20</v>
      </c>
      <c r="D823" t="b" cm="1">
        <f t="array" aca="1" ref="D823" ca="1">AND(NOT('Bond 10'!B$7=""),INDIRECT("'"&amp;A823&amp;"'!"&amp;B823)="Select One")</f>
        <v>0</v>
      </c>
      <c r="E823" t="s">
        <v>64</v>
      </c>
      <c r="F823" t="str">
        <f>INDEX(Lists!I:I,MATCH(Validation!E823,Lists!G:G,0))</f>
        <v>Error</v>
      </c>
      <c r="G823" t="str">
        <f>INDEX(Lists!H:H,MATCH(Validation!E823,Lists!G:G,0))</f>
        <v>You must make a selection from the dropdown list.</v>
      </c>
      <c r="H823" s="25" t="str">
        <f t="shared" ca="1" si="165"/>
        <v/>
      </c>
      <c r="I823" s="25" t="str">
        <f t="shared" ca="1" si="166"/>
        <v/>
      </c>
      <c r="J823" s="26" t="str">
        <f t="shared" ca="1" si="167"/>
        <v/>
      </c>
    </row>
    <row r="824" spans="1:10" x14ac:dyDescent="0.25">
      <c r="A824" t="s">
        <v>311</v>
      </c>
      <c r="B824" t="str">
        <f>ADDRESS(ROW('Bond 1'!$B$20),COLUMN('Bond 1'!$B$20),4)</f>
        <v>B20</v>
      </c>
      <c r="C824" t="str">
        <f>ADDRESS(ROW('Bond 1'!$D$20),COLUMN('Bond 1'!$D$20),4)</f>
        <v>D20</v>
      </c>
      <c r="D824" t="b" cm="1">
        <f t="array" aca="1" ref="D824" ca="1">AND(NOT('Bond 11'!B$7=""),INDIRECT("'"&amp;A824&amp;"'!"&amp;B824)="Select One")</f>
        <v>0</v>
      </c>
      <c r="E824" t="s">
        <v>64</v>
      </c>
      <c r="F824" t="str">
        <f>INDEX(Lists!I:I,MATCH(Validation!E824,Lists!G:G,0))</f>
        <v>Error</v>
      </c>
      <c r="G824" t="str">
        <f>INDEX(Lists!H:H,MATCH(Validation!E824,Lists!G:G,0))</f>
        <v>You must make a selection from the dropdown list.</v>
      </c>
      <c r="H824" s="25" t="str">
        <f t="shared" ca="1" si="165"/>
        <v/>
      </c>
      <c r="I824" s="25" t="str">
        <f t="shared" ca="1" si="166"/>
        <v/>
      </c>
      <c r="J824" s="26" t="str">
        <f t="shared" ca="1" si="167"/>
        <v/>
      </c>
    </row>
    <row r="825" spans="1:10" x14ac:dyDescent="0.25">
      <c r="A825" t="s">
        <v>312</v>
      </c>
      <c r="B825" t="str">
        <f>ADDRESS(ROW('Bond 1'!$B$20),COLUMN('Bond 1'!$B$20),4)</f>
        <v>B20</v>
      </c>
      <c r="C825" t="str">
        <f>ADDRESS(ROW('Bond 1'!$D$20),COLUMN('Bond 1'!$D$20),4)</f>
        <v>D20</v>
      </c>
      <c r="D825" t="b" cm="1">
        <f t="array" aca="1" ref="D825" ca="1">AND(NOT('Bond 12'!B$7=""),INDIRECT("'"&amp;A825&amp;"'!"&amp;B825)="Select One")</f>
        <v>0</v>
      </c>
      <c r="E825" t="s">
        <v>64</v>
      </c>
      <c r="F825" t="str">
        <f>INDEX(Lists!I:I,MATCH(Validation!E825,Lists!G:G,0))</f>
        <v>Error</v>
      </c>
      <c r="G825" t="str">
        <f>INDEX(Lists!H:H,MATCH(Validation!E825,Lists!G:G,0))</f>
        <v>You must make a selection from the dropdown list.</v>
      </c>
      <c r="H825" s="25" t="str">
        <f t="shared" ca="1" si="165"/>
        <v/>
      </c>
      <c r="I825" s="25" t="str">
        <f t="shared" ca="1" si="166"/>
        <v/>
      </c>
      <c r="J825" s="26" t="str">
        <f t="shared" ca="1" si="167"/>
        <v/>
      </c>
    </row>
    <row r="826" spans="1:10" x14ac:dyDescent="0.25">
      <c r="A826" t="s">
        <v>313</v>
      </c>
      <c r="B826" t="str">
        <f>ADDRESS(ROW('Bond 1'!$B$20),COLUMN('Bond 1'!$B$20),4)</f>
        <v>B20</v>
      </c>
      <c r="C826" t="str">
        <f>ADDRESS(ROW('Bond 1'!$D$20),COLUMN('Bond 1'!$D$20),4)</f>
        <v>D20</v>
      </c>
      <c r="D826" t="b" cm="1">
        <f t="array" aca="1" ref="D826" ca="1">AND(NOT('Bond 13'!B$7=""),INDIRECT("'"&amp;A826&amp;"'!"&amp;B826)="Select One")</f>
        <v>0</v>
      </c>
      <c r="E826" t="s">
        <v>64</v>
      </c>
      <c r="F826" t="str">
        <f>INDEX(Lists!I:I,MATCH(Validation!E826,Lists!G:G,0))</f>
        <v>Error</v>
      </c>
      <c r="G826" t="str">
        <f>INDEX(Lists!H:H,MATCH(Validation!E826,Lists!G:G,0))</f>
        <v>You must make a selection from the dropdown list.</v>
      </c>
      <c r="H826" s="25" t="str">
        <f t="shared" ca="1" si="165"/>
        <v/>
      </c>
      <c r="I826" s="25" t="str">
        <f t="shared" ca="1" si="166"/>
        <v/>
      </c>
      <c r="J826" s="26" t="str">
        <f t="shared" ca="1" si="167"/>
        <v/>
      </c>
    </row>
    <row r="827" spans="1:10" x14ac:dyDescent="0.25">
      <c r="A827" t="s">
        <v>314</v>
      </c>
      <c r="B827" t="str">
        <f>ADDRESS(ROW('Bond 1'!$B$20),COLUMN('Bond 1'!$B$20),4)</f>
        <v>B20</v>
      </c>
      <c r="C827" t="str">
        <f>ADDRESS(ROW('Bond 1'!$D$20),COLUMN('Bond 1'!$D$20),4)</f>
        <v>D20</v>
      </c>
      <c r="D827" t="b" cm="1">
        <f t="array" aca="1" ref="D827" ca="1">AND(NOT('Bond 14'!B$7=""),INDIRECT("'"&amp;A827&amp;"'!"&amp;B827)="Select One")</f>
        <v>0</v>
      </c>
      <c r="E827" t="s">
        <v>64</v>
      </c>
      <c r="F827" t="str">
        <f>INDEX(Lists!I:I,MATCH(Validation!E827,Lists!G:G,0))</f>
        <v>Error</v>
      </c>
      <c r="G827" t="str">
        <f>INDEX(Lists!H:H,MATCH(Validation!E827,Lists!G:G,0))</f>
        <v>You must make a selection from the dropdown list.</v>
      </c>
      <c r="H827" s="25" t="str">
        <f t="shared" ca="1" si="165"/>
        <v/>
      </c>
      <c r="I827" s="25" t="str">
        <f t="shared" ca="1" si="166"/>
        <v/>
      </c>
      <c r="J827" s="26" t="str">
        <f t="shared" ca="1" si="167"/>
        <v/>
      </c>
    </row>
    <row r="828" spans="1:10" x14ac:dyDescent="0.25">
      <c r="A828" t="s">
        <v>315</v>
      </c>
      <c r="B828" t="str">
        <f>ADDRESS(ROW('Bond 1'!$B$20),COLUMN('Bond 1'!$B$20),4)</f>
        <v>B20</v>
      </c>
      <c r="C828" t="str">
        <f>ADDRESS(ROW('Bond 1'!$D$20),COLUMN('Bond 1'!$D$20),4)</f>
        <v>D20</v>
      </c>
      <c r="D828" t="b" cm="1">
        <f t="array" aca="1" ref="D828" ca="1">AND(NOT('Bond 15'!B$7=""),INDIRECT("'"&amp;A828&amp;"'!"&amp;B828)="Select One")</f>
        <v>0</v>
      </c>
      <c r="E828" t="s">
        <v>64</v>
      </c>
      <c r="F828" t="str">
        <f>INDEX(Lists!I:I,MATCH(Validation!E828,Lists!G:G,0))</f>
        <v>Error</v>
      </c>
      <c r="G828" t="str">
        <f>INDEX(Lists!H:H,MATCH(Validation!E828,Lists!G:G,0))</f>
        <v>You must make a selection from the dropdown list.</v>
      </c>
      <c r="H828" s="25" t="str">
        <f ca="1">IFERROR(IF(OR(NOT(D828),F828&lt;&gt;"Error"),"",A828&amp;CELL("address",INDIRECT(B828))),"")</f>
        <v/>
      </c>
      <c r="I828" s="25" t="str">
        <f ca="1">IFERROR(IF(NOT(D828),"",A828&amp;CELL("address",INDIRECT(C828))),"")</f>
        <v/>
      </c>
      <c r="J828" s="26" t="str">
        <f ca="1">IFERROR(IF(NOT(D828),"",A828),"")</f>
        <v/>
      </c>
    </row>
    <row r="829" spans="1:10" x14ac:dyDescent="0.25">
      <c r="A829" t="s">
        <v>198</v>
      </c>
      <c r="B829" t="str">
        <f>ADDRESS(ROW('Bond 1'!$B$22),COLUMN('Bond 1'!$B$22),4)</f>
        <v>B22</v>
      </c>
      <c r="C829" t="str">
        <f>ADDRESS(ROW('Bond 1'!$D$22),COLUMN('Bond 1'!$D$22),4)</f>
        <v>D22</v>
      </c>
      <c r="D829" t="b" cm="1">
        <f t="array" aca="1" ref="D829" ca="1">IF(INDIRECT("'"&amp;A829&amp;"'!"&amp;B829)="",FALSE,IF(NOT(ISNUMBER(INDIRECT("'"&amp;A829&amp;"'!"&amp;B829))),TRUE,FALSE))</f>
        <v>0</v>
      </c>
      <c r="E829" t="s">
        <v>435</v>
      </c>
      <c r="F829" t="str">
        <f>INDEX(Lists!I:I,MATCH(Validation!E829,Lists!G:G,0))</f>
        <v>Error</v>
      </c>
      <c r="G829" t="str">
        <f>INDEX(Lists!H:H,MATCH(Validation!E829,Lists!G:G,0))</f>
        <v>Enter an amount only. Do not enter text or spaces.</v>
      </c>
      <c r="H829" s="25" t="str">
        <f t="shared" ref="H829:H888" ca="1" si="168">IFERROR(IF(OR(NOT(D829),F829&lt;&gt;"Error"),"",A829&amp;CELL("address",INDIRECT(B829))),"")</f>
        <v/>
      </c>
      <c r="I829" s="25" t="str">
        <f t="shared" ref="I829:I888" ca="1" si="169">IFERROR(IF(NOT(D829),"",A829&amp;CELL("address",INDIRECT(C829))),"")</f>
        <v/>
      </c>
      <c r="J829" s="26" t="str">
        <f t="shared" ref="J829:J888" ca="1" si="170">IFERROR(IF(NOT(D829),"",A829),"")</f>
        <v/>
      </c>
    </row>
    <row r="830" spans="1:10" x14ac:dyDescent="0.25">
      <c r="A830" t="s">
        <v>302</v>
      </c>
      <c r="B830" t="str">
        <f>ADDRESS(ROW('Bond 1'!$B$22),COLUMN('Bond 1'!$B$22),4)</f>
        <v>B22</v>
      </c>
      <c r="C830" t="str">
        <f>ADDRESS(ROW('Bond 1'!$D$22),COLUMN('Bond 1'!$D$22),4)</f>
        <v>D22</v>
      </c>
      <c r="D830" t="b" cm="1">
        <f t="array" aca="1" ref="D830" ca="1">IF(INDIRECT("'"&amp;A830&amp;"'!"&amp;B830)="",FALSE,IF(NOT(ISNUMBER(INDIRECT("'"&amp;A830&amp;"'!"&amp;B830))),TRUE,FALSE))</f>
        <v>0</v>
      </c>
      <c r="E830" t="s">
        <v>435</v>
      </c>
      <c r="F830" t="str">
        <f>INDEX(Lists!I:I,MATCH(Validation!E830,Lists!G:G,0))</f>
        <v>Error</v>
      </c>
      <c r="G830" t="str">
        <f>INDEX(Lists!H:H,MATCH(Validation!E830,Lists!G:G,0))</f>
        <v>Enter an amount only. Do not enter text or spaces.</v>
      </c>
      <c r="H830" s="25" t="str">
        <f t="shared" ca="1" si="168"/>
        <v/>
      </c>
      <c r="I830" s="25" t="str">
        <f t="shared" ca="1" si="169"/>
        <v/>
      </c>
      <c r="J830" s="26" t="str">
        <f t="shared" ca="1" si="170"/>
        <v/>
      </c>
    </row>
    <row r="831" spans="1:10" x14ac:dyDescent="0.25">
      <c r="A831" t="s">
        <v>303</v>
      </c>
      <c r="B831" t="str">
        <f>ADDRESS(ROW('Bond 1'!$B$22),COLUMN('Bond 1'!$B$22),4)</f>
        <v>B22</v>
      </c>
      <c r="C831" t="str">
        <f>ADDRESS(ROW('Bond 1'!$D$22),COLUMN('Bond 1'!$D$22),4)</f>
        <v>D22</v>
      </c>
      <c r="D831" t="b" cm="1">
        <f t="array" aca="1" ref="D831" ca="1">IF(INDIRECT("'"&amp;A831&amp;"'!"&amp;B831)="",FALSE,IF(NOT(ISNUMBER(INDIRECT("'"&amp;A831&amp;"'!"&amp;B831))),TRUE,FALSE))</f>
        <v>0</v>
      </c>
      <c r="E831" t="s">
        <v>435</v>
      </c>
      <c r="F831" t="str">
        <f>INDEX(Lists!I:I,MATCH(Validation!E831,Lists!G:G,0))</f>
        <v>Error</v>
      </c>
      <c r="G831" t="str">
        <f>INDEX(Lists!H:H,MATCH(Validation!E831,Lists!G:G,0))</f>
        <v>Enter an amount only. Do not enter text or spaces.</v>
      </c>
      <c r="H831" s="25" t="str">
        <f t="shared" ca="1" si="168"/>
        <v/>
      </c>
      <c r="I831" s="25" t="str">
        <f t="shared" ca="1" si="169"/>
        <v/>
      </c>
      <c r="J831" s="26" t="str">
        <f t="shared" ca="1" si="170"/>
        <v/>
      </c>
    </row>
    <row r="832" spans="1:10" x14ac:dyDescent="0.25">
      <c r="A832" t="s">
        <v>304</v>
      </c>
      <c r="B832" t="str">
        <f>ADDRESS(ROW('Bond 1'!$B$22),COLUMN('Bond 1'!$B$22),4)</f>
        <v>B22</v>
      </c>
      <c r="C832" t="str">
        <f>ADDRESS(ROW('Bond 1'!$D$22),COLUMN('Bond 1'!$D$22),4)</f>
        <v>D22</v>
      </c>
      <c r="D832" t="b" cm="1">
        <f t="array" aca="1" ref="D832" ca="1">IF(INDIRECT("'"&amp;A832&amp;"'!"&amp;B832)="",FALSE,IF(NOT(ISNUMBER(INDIRECT("'"&amp;A832&amp;"'!"&amp;B832))),TRUE,FALSE))</f>
        <v>0</v>
      </c>
      <c r="E832" t="s">
        <v>435</v>
      </c>
      <c r="F832" t="str">
        <f>INDEX(Lists!I:I,MATCH(Validation!E832,Lists!G:G,0))</f>
        <v>Error</v>
      </c>
      <c r="G832" t="str">
        <f>INDEX(Lists!H:H,MATCH(Validation!E832,Lists!G:G,0))</f>
        <v>Enter an amount only. Do not enter text or spaces.</v>
      </c>
      <c r="H832" s="25" t="str">
        <f t="shared" ca="1" si="168"/>
        <v/>
      </c>
      <c r="I832" s="25" t="str">
        <f t="shared" ca="1" si="169"/>
        <v/>
      </c>
      <c r="J832" s="26" t="str">
        <f t="shared" ca="1" si="170"/>
        <v/>
      </c>
    </row>
    <row r="833" spans="1:10" x14ac:dyDescent="0.25">
      <c r="A833" t="s">
        <v>305</v>
      </c>
      <c r="B833" t="str">
        <f>ADDRESS(ROW('Bond 1'!$B$22),COLUMN('Bond 1'!$B$22),4)</f>
        <v>B22</v>
      </c>
      <c r="C833" t="str">
        <f>ADDRESS(ROW('Bond 1'!$D$22),COLUMN('Bond 1'!$D$22),4)</f>
        <v>D22</v>
      </c>
      <c r="D833" t="b" cm="1">
        <f t="array" aca="1" ref="D833" ca="1">IF(INDIRECT("'"&amp;A833&amp;"'!"&amp;B833)="",FALSE,IF(NOT(ISNUMBER(INDIRECT("'"&amp;A833&amp;"'!"&amp;B833))),TRUE,FALSE))</f>
        <v>0</v>
      </c>
      <c r="E833" t="s">
        <v>435</v>
      </c>
      <c r="F833" t="str">
        <f>INDEX(Lists!I:I,MATCH(Validation!E833,Lists!G:G,0))</f>
        <v>Error</v>
      </c>
      <c r="G833" t="str">
        <f>INDEX(Lists!H:H,MATCH(Validation!E833,Lists!G:G,0))</f>
        <v>Enter an amount only. Do not enter text or spaces.</v>
      </c>
      <c r="H833" s="25" t="str">
        <f t="shared" ca="1" si="168"/>
        <v/>
      </c>
      <c r="I833" s="25" t="str">
        <f t="shared" ca="1" si="169"/>
        <v/>
      </c>
      <c r="J833" s="26" t="str">
        <f t="shared" ca="1" si="170"/>
        <v/>
      </c>
    </row>
    <row r="834" spans="1:10" x14ac:dyDescent="0.25">
      <c r="A834" t="s">
        <v>306</v>
      </c>
      <c r="B834" t="str">
        <f>ADDRESS(ROW('Bond 1'!$B$22),COLUMN('Bond 1'!$B$22),4)</f>
        <v>B22</v>
      </c>
      <c r="C834" t="str">
        <f>ADDRESS(ROW('Bond 1'!$D$22),COLUMN('Bond 1'!$D$22),4)</f>
        <v>D22</v>
      </c>
      <c r="D834" t="b" cm="1">
        <f t="array" aca="1" ref="D834" ca="1">IF(INDIRECT("'"&amp;A834&amp;"'!"&amp;B834)="",FALSE,IF(NOT(ISNUMBER(INDIRECT("'"&amp;A834&amp;"'!"&amp;B834))),TRUE,FALSE))</f>
        <v>0</v>
      </c>
      <c r="E834" t="s">
        <v>435</v>
      </c>
      <c r="F834" t="str">
        <f>INDEX(Lists!I:I,MATCH(Validation!E834,Lists!G:G,0))</f>
        <v>Error</v>
      </c>
      <c r="G834" t="str">
        <f>INDEX(Lists!H:H,MATCH(Validation!E834,Lists!G:G,0))</f>
        <v>Enter an amount only. Do not enter text or spaces.</v>
      </c>
      <c r="H834" s="25" t="str">
        <f t="shared" ca="1" si="168"/>
        <v/>
      </c>
      <c r="I834" s="25" t="str">
        <f t="shared" ca="1" si="169"/>
        <v/>
      </c>
      <c r="J834" s="26" t="str">
        <f t="shared" ca="1" si="170"/>
        <v/>
      </c>
    </row>
    <row r="835" spans="1:10" x14ac:dyDescent="0.25">
      <c r="A835" t="s">
        <v>307</v>
      </c>
      <c r="B835" t="str">
        <f>ADDRESS(ROW('Bond 1'!$B$22),COLUMN('Bond 1'!$B$22),4)</f>
        <v>B22</v>
      </c>
      <c r="C835" t="str">
        <f>ADDRESS(ROW('Bond 1'!$D$22),COLUMN('Bond 1'!$D$22),4)</f>
        <v>D22</v>
      </c>
      <c r="D835" t="b" cm="1">
        <f t="array" aca="1" ref="D835" ca="1">IF(INDIRECT("'"&amp;A835&amp;"'!"&amp;B835)="",FALSE,IF(NOT(ISNUMBER(INDIRECT("'"&amp;A835&amp;"'!"&amp;B835))),TRUE,FALSE))</f>
        <v>0</v>
      </c>
      <c r="E835" t="s">
        <v>435</v>
      </c>
      <c r="F835" t="str">
        <f>INDEX(Lists!I:I,MATCH(Validation!E835,Lists!G:G,0))</f>
        <v>Error</v>
      </c>
      <c r="G835" t="str">
        <f>INDEX(Lists!H:H,MATCH(Validation!E835,Lists!G:G,0))</f>
        <v>Enter an amount only. Do not enter text or spaces.</v>
      </c>
      <c r="H835" s="25" t="str">
        <f t="shared" ca="1" si="168"/>
        <v/>
      </c>
      <c r="I835" s="25" t="str">
        <f t="shared" ca="1" si="169"/>
        <v/>
      </c>
      <c r="J835" s="26" t="str">
        <f t="shared" ca="1" si="170"/>
        <v/>
      </c>
    </row>
    <row r="836" spans="1:10" x14ac:dyDescent="0.25">
      <c r="A836" t="s">
        <v>308</v>
      </c>
      <c r="B836" t="str">
        <f>ADDRESS(ROW('Bond 1'!$B$22),COLUMN('Bond 1'!$B$22),4)</f>
        <v>B22</v>
      </c>
      <c r="C836" t="str">
        <f>ADDRESS(ROW('Bond 1'!$D$22),COLUMN('Bond 1'!$D$22),4)</f>
        <v>D22</v>
      </c>
      <c r="D836" t="b" cm="1">
        <f t="array" aca="1" ref="D836" ca="1">IF(INDIRECT("'"&amp;A836&amp;"'!"&amp;B836)="",FALSE,IF(NOT(ISNUMBER(INDIRECT("'"&amp;A836&amp;"'!"&amp;B836))),TRUE,FALSE))</f>
        <v>0</v>
      </c>
      <c r="E836" t="s">
        <v>435</v>
      </c>
      <c r="F836" t="str">
        <f>INDEX(Lists!I:I,MATCH(Validation!E836,Lists!G:G,0))</f>
        <v>Error</v>
      </c>
      <c r="G836" t="str">
        <f>INDEX(Lists!H:H,MATCH(Validation!E836,Lists!G:G,0))</f>
        <v>Enter an amount only. Do not enter text or spaces.</v>
      </c>
      <c r="H836" s="25" t="str">
        <f t="shared" ca="1" si="168"/>
        <v/>
      </c>
      <c r="I836" s="25" t="str">
        <f t="shared" ca="1" si="169"/>
        <v/>
      </c>
      <c r="J836" s="26" t="str">
        <f t="shared" ca="1" si="170"/>
        <v/>
      </c>
    </row>
    <row r="837" spans="1:10" x14ac:dyDescent="0.25">
      <c r="A837" t="s">
        <v>309</v>
      </c>
      <c r="B837" t="str">
        <f>ADDRESS(ROW('Bond 1'!$B$22),COLUMN('Bond 1'!$B$22),4)</f>
        <v>B22</v>
      </c>
      <c r="C837" t="str">
        <f>ADDRESS(ROW('Bond 1'!$D$22),COLUMN('Bond 1'!$D$22),4)</f>
        <v>D22</v>
      </c>
      <c r="D837" t="b" cm="1">
        <f t="array" aca="1" ref="D837" ca="1">IF(INDIRECT("'"&amp;A837&amp;"'!"&amp;B837)="",FALSE,IF(NOT(ISNUMBER(INDIRECT("'"&amp;A837&amp;"'!"&amp;B837))),TRUE,FALSE))</f>
        <v>0</v>
      </c>
      <c r="E837" t="s">
        <v>435</v>
      </c>
      <c r="F837" t="str">
        <f>INDEX(Lists!I:I,MATCH(Validation!E837,Lists!G:G,0))</f>
        <v>Error</v>
      </c>
      <c r="G837" t="str">
        <f>INDEX(Lists!H:H,MATCH(Validation!E837,Lists!G:G,0))</f>
        <v>Enter an amount only. Do not enter text or spaces.</v>
      </c>
      <c r="H837" s="25" t="str">
        <f t="shared" ca="1" si="168"/>
        <v/>
      </c>
      <c r="I837" s="25" t="str">
        <f t="shared" ca="1" si="169"/>
        <v/>
      </c>
      <c r="J837" s="26" t="str">
        <f t="shared" ca="1" si="170"/>
        <v/>
      </c>
    </row>
    <row r="838" spans="1:10" x14ac:dyDescent="0.25">
      <c r="A838" t="s">
        <v>310</v>
      </c>
      <c r="B838" t="str">
        <f>ADDRESS(ROW('Bond 1'!$B$22),COLUMN('Bond 1'!$B$22),4)</f>
        <v>B22</v>
      </c>
      <c r="C838" t="str">
        <f>ADDRESS(ROW('Bond 1'!$D$22),COLUMN('Bond 1'!$D$22),4)</f>
        <v>D22</v>
      </c>
      <c r="D838" t="b" cm="1">
        <f t="array" aca="1" ref="D838" ca="1">IF(INDIRECT("'"&amp;A838&amp;"'!"&amp;B838)="",FALSE,IF(NOT(ISNUMBER(INDIRECT("'"&amp;A838&amp;"'!"&amp;B838))),TRUE,FALSE))</f>
        <v>0</v>
      </c>
      <c r="E838" t="s">
        <v>435</v>
      </c>
      <c r="F838" t="str">
        <f>INDEX(Lists!I:I,MATCH(Validation!E838,Lists!G:G,0))</f>
        <v>Error</v>
      </c>
      <c r="G838" t="str">
        <f>INDEX(Lists!H:H,MATCH(Validation!E838,Lists!G:G,0))</f>
        <v>Enter an amount only. Do not enter text or spaces.</v>
      </c>
      <c r="H838" s="25" t="str">
        <f t="shared" ca="1" si="168"/>
        <v/>
      </c>
      <c r="I838" s="25" t="str">
        <f t="shared" ca="1" si="169"/>
        <v/>
      </c>
      <c r="J838" s="26" t="str">
        <f t="shared" ca="1" si="170"/>
        <v/>
      </c>
    </row>
    <row r="839" spans="1:10" x14ac:dyDescent="0.25">
      <c r="A839" t="s">
        <v>311</v>
      </c>
      <c r="B839" t="str">
        <f>ADDRESS(ROW('Bond 1'!$B$22),COLUMN('Bond 1'!$B$22),4)</f>
        <v>B22</v>
      </c>
      <c r="C839" t="str">
        <f>ADDRESS(ROW('Bond 1'!$D$22),COLUMN('Bond 1'!$D$22),4)</f>
        <v>D22</v>
      </c>
      <c r="D839" t="b" cm="1">
        <f t="array" aca="1" ref="D839" ca="1">IF(INDIRECT("'"&amp;A839&amp;"'!"&amp;B839)="",FALSE,IF(NOT(ISNUMBER(INDIRECT("'"&amp;A839&amp;"'!"&amp;B839))),TRUE,FALSE))</f>
        <v>0</v>
      </c>
      <c r="E839" t="s">
        <v>435</v>
      </c>
      <c r="F839" t="str">
        <f>INDEX(Lists!I:I,MATCH(Validation!E839,Lists!G:G,0))</f>
        <v>Error</v>
      </c>
      <c r="G839" t="str">
        <f>INDEX(Lists!H:H,MATCH(Validation!E839,Lists!G:G,0))</f>
        <v>Enter an amount only. Do not enter text or spaces.</v>
      </c>
      <c r="H839" s="25" t="str">
        <f t="shared" ca="1" si="168"/>
        <v/>
      </c>
      <c r="I839" s="25" t="str">
        <f t="shared" ca="1" si="169"/>
        <v/>
      </c>
      <c r="J839" s="26" t="str">
        <f t="shared" ca="1" si="170"/>
        <v/>
      </c>
    </row>
    <row r="840" spans="1:10" x14ac:dyDescent="0.25">
      <c r="A840" t="s">
        <v>312</v>
      </c>
      <c r="B840" t="str">
        <f>ADDRESS(ROW('Bond 1'!$B$22),COLUMN('Bond 1'!$B$22),4)</f>
        <v>B22</v>
      </c>
      <c r="C840" t="str">
        <f>ADDRESS(ROW('Bond 1'!$D$22),COLUMN('Bond 1'!$D$22),4)</f>
        <v>D22</v>
      </c>
      <c r="D840" t="b" cm="1">
        <f t="array" aca="1" ref="D840" ca="1">IF(INDIRECT("'"&amp;A840&amp;"'!"&amp;B840)="",FALSE,IF(NOT(ISNUMBER(INDIRECT("'"&amp;A840&amp;"'!"&amp;B840))),TRUE,FALSE))</f>
        <v>0</v>
      </c>
      <c r="E840" t="s">
        <v>435</v>
      </c>
      <c r="F840" t="str">
        <f>INDEX(Lists!I:I,MATCH(Validation!E840,Lists!G:G,0))</f>
        <v>Error</v>
      </c>
      <c r="G840" t="str">
        <f>INDEX(Lists!H:H,MATCH(Validation!E840,Lists!G:G,0))</f>
        <v>Enter an amount only. Do not enter text or spaces.</v>
      </c>
      <c r="H840" s="25" t="str">
        <f t="shared" ca="1" si="168"/>
        <v/>
      </c>
      <c r="I840" s="25" t="str">
        <f t="shared" ca="1" si="169"/>
        <v/>
      </c>
      <c r="J840" s="26" t="str">
        <f t="shared" ca="1" si="170"/>
        <v/>
      </c>
    </row>
    <row r="841" spans="1:10" x14ac:dyDescent="0.25">
      <c r="A841" t="s">
        <v>313</v>
      </c>
      <c r="B841" t="str">
        <f>ADDRESS(ROW('Bond 1'!$B$22),COLUMN('Bond 1'!$B$22),4)</f>
        <v>B22</v>
      </c>
      <c r="C841" t="str">
        <f>ADDRESS(ROW('Bond 1'!$D$22),COLUMN('Bond 1'!$D$22),4)</f>
        <v>D22</v>
      </c>
      <c r="D841" t="b" cm="1">
        <f t="array" aca="1" ref="D841" ca="1">IF(INDIRECT("'"&amp;A841&amp;"'!"&amp;B841)="",FALSE,IF(NOT(ISNUMBER(INDIRECT("'"&amp;A841&amp;"'!"&amp;B841))),TRUE,FALSE))</f>
        <v>0</v>
      </c>
      <c r="E841" t="s">
        <v>435</v>
      </c>
      <c r="F841" t="str">
        <f>INDEX(Lists!I:I,MATCH(Validation!E841,Lists!G:G,0))</f>
        <v>Error</v>
      </c>
      <c r="G841" t="str">
        <f>INDEX(Lists!H:H,MATCH(Validation!E841,Lists!G:G,0))</f>
        <v>Enter an amount only. Do not enter text or spaces.</v>
      </c>
      <c r="H841" s="25" t="str">
        <f t="shared" ca="1" si="168"/>
        <v/>
      </c>
      <c r="I841" s="25" t="str">
        <f t="shared" ca="1" si="169"/>
        <v/>
      </c>
      <c r="J841" s="26" t="str">
        <f t="shared" ca="1" si="170"/>
        <v/>
      </c>
    </row>
    <row r="842" spans="1:10" x14ac:dyDescent="0.25">
      <c r="A842" t="s">
        <v>314</v>
      </c>
      <c r="B842" t="str">
        <f>ADDRESS(ROW('Bond 1'!$B$22),COLUMN('Bond 1'!$B$22),4)</f>
        <v>B22</v>
      </c>
      <c r="C842" t="str">
        <f>ADDRESS(ROW('Bond 1'!$D$22),COLUMN('Bond 1'!$D$22),4)</f>
        <v>D22</v>
      </c>
      <c r="D842" t="b" cm="1">
        <f t="array" aca="1" ref="D842" ca="1">IF(INDIRECT("'"&amp;A842&amp;"'!"&amp;B842)="",FALSE,IF(NOT(ISNUMBER(INDIRECT("'"&amp;A842&amp;"'!"&amp;B842))),TRUE,FALSE))</f>
        <v>0</v>
      </c>
      <c r="E842" t="s">
        <v>435</v>
      </c>
      <c r="F842" t="str">
        <f>INDEX(Lists!I:I,MATCH(Validation!E842,Lists!G:G,0))</f>
        <v>Error</v>
      </c>
      <c r="G842" t="str">
        <f>INDEX(Lists!H:H,MATCH(Validation!E842,Lists!G:G,0))</f>
        <v>Enter an amount only. Do not enter text or spaces.</v>
      </c>
      <c r="H842" s="25" t="str">
        <f t="shared" ca="1" si="168"/>
        <v/>
      </c>
      <c r="I842" s="25" t="str">
        <f t="shared" ca="1" si="169"/>
        <v/>
      </c>
      <c r="J842" s="26" t="str">
        <f t="shared" ca="1" si="170"/>
        <v/>
      </c>
    </row>
    <row r="843" spans="1:10" x14ac:dyDescent="0.25">
      <c r="A843" t="s">
        <v>315</v>
      </c>
      <c r="B843" t="str">
        <f>ADDRESS(ROW('Bond 1'!$B$22),COLUMN('Bond 1'!$B$22),4)</f>
        <v>B22</v>
      </c>
      <c r="C843" t="str">
        <f>ADDRESS(ROW('Bond 1'!$D$22),COLUMN('Bond 1'!$D$22),4)</f>
        <v>D22</v>
      </c>
      <c r="D843" t="b" cm="1">
        <f t="array" aca="1" ref="D843" ca="1">IF(INDIRECT("'"&amp;A843&amp;"'!"&amp;B843)="",FALSE,IF(NOT(ISNUMBER(INDIRECT("'"&amp;A843&amp;"'!"&amp;B843))),TRUE,FALSE))</f>
        <v>0</v>
      </c>
      <c r="E843" t="s">
        <v>435</v>
      </c>
      <c r="F843" t="str">
        <f>INDEX(Lists!I:I,MATCH(Validation!E843,Lists!G:G,0))</f>
        <v>Error</v>
      </c>
      <c r="G843" t="str">
        <f>INDEX(Lists!H:H,MATCH(Validation!E843,Lists!G:G,0))</f>
        <v>Enter an amount only. Do not enter text or spaces.</v>
      </c>
      <c r="H843" s="25" t="str">
        <f t="shared" ca="1" si="168"/>
        <v/>
      </c>
      <c r="I843" s="25" t="str">
        <f t="shared" ca="1" si="169"/>
        <v/>
      </c>
      <c r="J843" s="26" t="str">
        <f t="shared" ca="1" si="170"/>
        <v/>
      </c>
    </row>
    <row r="844" spans="1:10" x14ac:dyDescent="0.25">
      <c r="A844" t="s">
        <v>198</v>
      </c>
      <c r="B844" t="str">
        <f>ADDRESS(ROW('Bond 1'!$B$22),COLUMN('Bond 1'!$B$22),4)</f>
        <v>B22</v>
      </c>
      <c r="C844" t="str">
        <f>ADDRESS(ROW('Bond 1'!$D$22),COLUMN('Bond 1'!$D$22),4)</f>
        <v>D22</v>
      </c>
      <c r="D844" t="b" cm="1">
        <f t="array" aca="1" ref="D844" ca="1">IF(INDIRECT("'"&amp;A844&amp;"'!"&amp;B844)="",FALSE,IF(INDIRECT("'"&amp;A844&amp;"'!"&amp;B844)&lt;0,TRUE,FALSE))</f>
        <v>0</v>
      </c>
      <c r="E844" t="s">
        <v>434</v>
      </c>
      <c r="F844" t="str">
        <f>INDEX(Lists!I:I,MATCH(Validation!E844,Lists!G:G,0))</f>
        <v>Error</v>
      </c>
      <c r="G844" t="str">
        <f>INDEX(Lists!H:H,MATCH(Validation!E844,Lists!G:G,0))</f>
        <v>Amount may not be negative. Enter an amount greater than or equal to zero.</v>
      </c>
      <c r="H844" s="25" t="str">
        <f t="shared" ca="1" si="168"/>
        <v/>
      </c>
      <c r="I844" s="25" t="str">
        <f t="shared" ca="1" si="169"/>
        <v/>
      </c>
      <c r="J844" s="26" t="str">
        <f t="shared" ca="1" si="170"/>
        <v/>
      </c>
    </row>
    <row r="845" spans="1:10" x14ac:dyDescent="0.25">
      <c r="A845" t="s">
        <v>302</v>
      </c>
      <c r="B845" t="str">
        <f>ADDRESS(ROW('Bond 1'!$B$22),COLUMN('Bond 1'!$B$22),4)</f>
        <v>B22</v>
      </c>
      <c r="C845" t="str">
        <f>ADDRESS(ROW('Bond 1'!$D$22),COLUMN('Bond 1'!$D$22),4)</f>
        <v>D22</v>
      </c>
      <c r="D845" t="b" cm="1">
        <f t="array" aca="1" ref="D845" ca="1">IF(INDIRECT("'"&amp;A845&amp;"'!"&amp;B845)="",FALSE,IF(INDIRECT("'"&amp;A845&amp;"'!"&amp;B845)&lt;0,TRUE,FALSE))</f>
        <v>0</v>
      </c>
      <c r="E845" t="s">
        <v>434</v>
      </c>
      <c r="F845" t="str">
        <f>INDEX(Lists!I:I,MATCH(Validation!E845,Lists!G:G,0))</f>
        <v>Error</v>
      </c>
      <c r="G845" t="str">
        <f>INDEX(Lists!H:H,MATCH(Validation!E845,Lists!G:G,0))</f>
        <v>Amount may not be negative. Enter an amount greater than or equal to zero.</v>
      </c>
      <c r="H845" s="25" t="str">
        <f t="shared" ca="1" si="168"/>
        <v/>
      </c>
      <c r="I845" s="25" t="str">
        <f t="shared" ca="1" si="169"/>
        <v/>
      </c>
      <c r="J845" s="26" t="str">
        <f t="shared" ca="1" si="170"/>
        <v/>
      </c>
    </row>
    <row r="846" spans="1:10" x14ac:dyDescent="0.25">
      <c r="A846" t="s">
        <v>303</v>
      </c>
      <c r="B846" t="str">
        <f>ADDRESS(ROW('Bond 1'!$B$22),COLUMN('Bond 1'!$B$22),4)</f>
        <v>B22</v>
      </c>
      <c r="C846" t="str">
        <f>ADDRESS(ROW('Bond 1'!$D$22),COLUMN('Bond 1'!$D$22),4)</f>
        <v>D22</v>
      </c>
      <c r="D846" t="b" cm="1">
        <f t="array" aca="1" ref="D846" ca="1">IF(INDIRECT("'"&amp;A846&amp;"'!"&amp;B846)="",FALSE,IF(INDIRECT("'"&amp;A846&amp;"'!"&amp;B846)&lt;0,TRUE,FALSE))</f>
        <v>0</v>
      </c>
      <c r="E846" t="s">
        <v>434</v>
      </c>
      <c r="F846" t="str">
        <f>INDEX(Lists!I:I,MATCH(Validation!E846,Lists!G:G,0))</f>
        <v>Error</v>
      </c>
      <c r="G846" t="str">
        <f>INDEX(Lists!H:H,MATCH(Validation!E846,Lists!G:G,0))</f>
        <v>Amount may not be negative. Enter an amount greater than or equal to zero.</v>
      </c>
      <c r="H846" s="25" t="str">
        <f t="shared" ca="1" si="168"/>
        <v/>
      </c>
      <c r="I846" s="25" t="str">
        <f t="shared" ca="1" si="169"/>
        <v/>
      </c>
      <c r="J846" s="26" t="str">
        <f t="shared" ca="1" si="170"/>
        <v/>
      </c>
    </row>
    <row r="847" spans="1:10" x14ac:dyDescent="0.25">
      <c r="A847" t="s">
        <v>304</v>
      </c>
      <c r="B847" t="str">
        <f>ADDRESS(ROW('Bond 1'!$B$22),COLUMN('Bond 1'!$B$22),4)</f>
        <v>B22</v>
      </c>
      <c r="C847" t="str">
        <f>ADDRESS(ROW('Bond 1'!$D$22),COLUMN('Bond 1'!$D$22),4)</f>
        <v>D22</v>
      </c>
      <c r="D847" t="b" cm="1">
        <f t="array" aca="1" ref="D847" ca="1">IF(INDIRECT("'"&amp;A847&amp;"'!"&amp;B847)="",FALSE,IF(INDIRECT("'"&amp;A847&amp;"'!"&amp;B847)&lt;0,TRUE,FALSE))</f>
        <v>0</v>
      </c>
      <c r="E847" t="s">
        <v>434</v>
      </c>
      <c r="F847" t="str">
        <f>INDEX(Lists!I:I,MATCH(Validation!E847,Lists!G:G,0))</f>
        <v>Error</v>
      </c>
      <c r="G847" t="str">
        <f>INDEX(Lists!H:H,MATCH(Validation!E847,Lists!G:G,0))</f>
        <v>Amount may not be negative. Enter an amount greater than or equal to zero.</v>
      </c>
      <c r="H847" s="25" t="str">
        <f t="shared" ca="1" si="168"/>
        <v/>
      </c>
      <c r="I847" s="25" t="str">
        <f t="shared" ca="1" si="169"/>
        <v/>
      </c>
      <c r="J847" s="26" t="str">
        <f t="shared" ca="1" si="170"/>
        <v/>
      </c>
    </row>
    <row r="848" spans="1:10" x14ac:dyDescent="0.25">
      <c r="A848" t="s">
        <v>305</v>
      </c>
      <c r="B848" t="str">
        <f>ADDRESS(ROW('Bond 1'!$B$22),COLUMN('Bond 1'!$B$22),4)</f>
        <v>B22</v>
      </c>
      <c r="C848" t="str">
        <f>ADDRESS(ROW('Bond 1'!$D$22),COLUMN('Bond 1'!$D$22),4)</f>
        <v>D22</v>
      </c>
      <c r="D848" t="b" cm="1">
        <f t="array" aca="1" ref="D848" ca="1">IF(INDIRECT("'"&amp;A848&amp;"'!"&amp;B848)="",FALSE,IF(INDIRECT("'"&amp;A848&amp;"'!"&amp;B848)&lt;0,TRUE,FALSE))</f>
        <v>0</v>
      </c>
      <c r="E848" t="s">
        <v>434</v>
      </c>
      <c r="F848" t="str">
        <f>INDEX(Lists!I:I,MATCH(Validation!E848,Lists!G:G,0))</f>
        <v>Error</v>
      </c>
      <c r="G848" t="str">
        <f>INDEX(Lists!H:H,MATCH(Validation!E848,Lists!G:G,0))</f>
        <v>Amount may not be negative. Enter an amount greater than or equal to zero.</v>
      </c>
      <c r="H848" s="25" t="str">
        <f t="shared" ca="1" si="168"/>
        <v/>
      </c>
      <c r="I848" s="25" t="str">
        <f t="shared" ca="1" si="169"/>
        <v/>
      </c>
      <c r="J848" s="26" t="str">
        <f t="shared" ca="1" si="170"/>
        <v/>
      </c>
    </row>
    <row r="849" spans="1:10" x14ac:dyDescent="0.25">
      <c r="A849" t="s">
        <v>306</v>
      </c>
      <c r="B849" t="str">
        <f>ADDRESS(ROW('Bond 1'!$B$22),COLUMN('Bond 1'!$B$22),4)</f>
        <v>B22</v>
      </c>
      <c r="C849" t="str">
        <f>ADDRESS(ROW('Bond 1'!$D$22),COLUMN('Bond 1'!$D$22),4)</f>
        <v>D22</v>
      </c>
      <c r="D849" t="b" cm="1">
        <f t="array" aca="1" ref="D849" ca="1">IF(INDIRECT("'"&amp;A849&amp;"'!"&amp;B849)="",FALSE,IF(INDIRECT("'"&amp;A849&amp;"'!"&amp;B849)&lt;0,TRUE,FALSE))</f>
        <v>0</v>
      </c>
      <c r="E849" t="s">
        <v>434</v>
      </c>
      <c r="F849" t="str">
        <f>INDEX(Lists!I:I,MATCH(Validation!E849,Lists!G:G,0))</f>
        <v>Error</v>
      </c>
      <c r="G849" t="str">
        <f>INDEX(Lists!H:H,MATCH(Validation!E849,Lists!G:G,0))</f>
        <v>Amount may not be negative. Enter an amount greater than or equal to zero.</v>
      </c>
      <c r="H849" s="25" t="str">
        <f t="shared" ca="1" si="168"/>
        <v/>
      </c>
      <c r="I849" s="25" t="str">
        <f t="shared" ca="1" si="169"/>
        <v/>
      </c>
      <c r="J849" s="26" t="str">
        <f t="shared" ca="1" si="170"/>
        <v/>
      </c>
    </row>
    <row r="850" spans="1:10" x14ac:dyDescent="0.25">
      <c r="A850" t="s">
        <v>307</v>
      </c>
      <c r="B850" t="str">
        <f>ADDRESS(ROW('Bond 1'!$B$22),COLUMN('Bond 1'!$B$22),4)</f>
        <v>B22</v>
      </c>
      <c r="C850" t="str">
        <f>ADDRESS(ROW('Bond 1'!$D$22),COLUMN('Bond 1'!$D$22),4)</f>
        <v>D22</v>
      </c>
      <c r="D850" t="b" cm="1">
        <f t="array" aca="1" ref="D850" ca="1">IF(INDIRECT("'"&amp;A850&amp;"'!"&amp;B850)="",FALSE,IF(INDIRECT("'"&amp;A850&amp;"'!"&amp;B850)&lt;0,TRUE,FALSE))</f>
        <v>0</v>
      </c>
      <c r="E850" t="s">
        <v>434</v>
      </c>
      <c r="F850" t="str">
        <f>INDEX(Lists!I:I,MATCH(Validation!E850,Lists!G:G,0))</f>
        <v>Error</v>
      </c>
      <c r="G850" t="str">
        <f>INDEX(Lists!H:H,MATCH(Validation!E850,Lists!G:G,0))</f>
        <v>Amount may not be negative. Enter an amount greater than or equal to zero.</v>
      </c>
      <c r="H850" s="25" t="str">
        <f t="shared" ca="1" si="168"/>
        <v/>
      </c>
      <c r="I850" s="25" t="str">
        <f t="shared" ca="1" si="169"/>
        <v/>
      </c>
      <c r="J850" s="26" t="str">
        <f t="shared" ca="1" si="170"/>
        <v/>
      </c>
    </row>
    <row r="851" spans="1:10" x14ac:dyDescent="0.25">
      <c r="A851" t="s">
        <v>308</v>
      </c>
      <c r="B851" t="str">
        <f>ADDRESS(ROW('Bond 1'!$B$22),COLUMN('Bond 1'!$B$22),4)</f>
        <v>B22</v>
      </c>
      <c r="C851" t="str">
        <f>ADDRESS(ROW('Bond 1'!$D$22),COLUMN('Bond 1'!$D$22),4)</f>
        <v>D22</v>
      </c>
      <c r="D851" t="b" cm="1">
        <f t="array" aca="1" ref="D851" ca="1">IF(INDIRECT("'"&amp;A851&amp;"'!"&amp;B851)="",FALSE,IF(INDIRECT("'"&amp;A851&amp;"'!"&amp;B851)&lt;0,TRUE,FALSE))</f>
        <v>0</v>
      </c>
      <c r="E851" t="s">
        <v>434</v>
      </c>
      <c r="F851" t="str">
        <f>INDEX(Lists!I:I,MATCH(Validation!E851,Lists!G:G,0))</f>
        <v>Error</v>
      </c>
      <c r="G851" t="str">
        <f>INDEX(Lists!H:H,MATCH(Validation!E851,Lists!G:G,0))</f>
        <v>Amount may not be negative. Enter an amount greater than or equal to zero.</v>
      </c>
      <c r="H851" s="25" t="str">
        <f t="shared" ca="1" si="168"/>
        <v/>
      </c>
      <c r="I851" s="25" t="str">
        <f t="shared" ca="1" si="169"/>
        <v/>
      </c>
      <c r="J851" s="26" t="str">
        <f t="shared" ca="1" si="170"/>
        <v/>
      </c>
    </row>
    <row r="852" spans="1:10" x14ac:dyDescent="0.25">
      <c r="A852" t="s">
        <v>309</v>
      </c>
      <c r="B852" t="str">
        <f>ADDRESS(ROW('Bond 1'!$B$22),COLUMN('Bond 1'!$B$22),4)</f>
        <v>B22</v>
      </c>
      <c r="C852" t="str">
        <f>ADDRESS(ROW('Bond 1'!$D$22),COLUMN('Bond 1'!$D$22),4)</f>
        <v>D22</v>
      </c>
      <c r="D852" t="b" cm="1">
        <f t="array" aca="1" ref="D852" ca="1">IF(INDIRECT("'"&amp;A852&amp;"'!"&amp;B852)="",FALSE,IF(INDIRECT("'"&amp;A852&amp;"'!"&amp;B852)&lt;0,TRUE,FALSE))</f>
        <v>0</v>
      </c>
      <c r="E852" t="s">
        <v>434</v>
      </c>
      <c r="F852" t="str">
        <f>INDEX(Lists!I:I,MATCH(Validation!E852,Lists!G:G,0))</f>
        <v>Error</v>
      </c>
      <c r="G852" t="str">
        <f>INDEX(Lists!H:H,MATCH(Validation!E852,Lists!G:G,0))</f>
        <v>Amount may not be negative. Enter an amount greater than or equal to zero.</v>
      </c>
      <c r="H852" s="25" t="str">
        <f t="shared" ca="1" si="168"/>
        <v/>
      </c>
      <c r="I852" s="25" t="str">
        <f t="shared" ca="1" si="169"/>
        <v/>
      </c>
      <c r="J852" s="26" t="str">
        <f t="shared" ca="1" si="170"/>
        <v/>
      </c>
    </row>
    <row r="853" spans="1:10" x14ac:dyDescent="0.25">
      <c r="A853" t="s">
        <v>310</v>
      </c>
      <c r="B853" t="str">
        <f>ADDRESS(ROW('Bond 1'!$B$22),COLUMN('Bond 1'!$B$22),4)</f>
        <v>B22</v>
      </c>
      <c r="C853" t="str">
        <f>ADDRESS(ROW('Bond 1'!$D$22),COLUMN('Bond 1'!$D$22),4)</f>
        <v>D22</v>
      </c>
      <c r="D853" t="b" cm="1">
        <f t="array" aca="1" ref="D853" ca="1">IF(INDIRECT("'"&amp;A853&amp;"'!"&amp;B853)="",FALSE,IF(INDIRECT("'"&amp;A853&amp;"'!"&amp;B853)&lt;0,TRUE,FALSE))</f>
        <v>0</v>
      </c>
      <c r="E853" t="s">
        <v>434</v>
      </c>
      <c r="F853" t="str">
        <f>INDEX(Lists!I:I,MATCH(Validation!E853,Lists!G:G,0))</f>
        <v>Error</v>
      </c>
      <c r="G853" t="str">
        <f>INDEX(Lists!H:H,MATCH(Validation!E853,Lists!G:G,0))</f>
        <v>Amount may not be negative. Enter an amount greater than or equal to zero.</v>
      </c>
      <c r="H853" s="25" t="str">
        <f t="shared" ca="1" si="168"/>
        <v/>
      </c>
      <c r="I853" s="25" t="str">
        <f t="shared" ca="1" si="169"/>
        <v/>
      </c>
      <c r="J853" s="26" t="str">
        <f t="shared" ca="1" si="170"/>
        <v/>
      </c>
    </row>
    <row r="854" spans="1:10" x14ac:dyDescent="0.25">
      <c r="A854" t="s">
        <v>311</v>
      </c>
      <c r="B854" t="str">
        <f>ADDRESS(ROW('Bond 1'!$B$22),COLUMN('Bond 1'!$B$22),4)</f>
        <v>B22</v>
      </c>
      <c r="C854" t="str">
        <f>ADDRESS(ROW('Bond 1'!$D$22),COLUMN('Bond 1'!$D$22),4)</f>
        <v>D22</v>
      </c>
      <c r="D854" t="b" cm="1">
        <f t="array" aca="1" ref="D854" ca="1">IF(INDIRECT("'"&amp;A854&amp;"'!"&amp;B854)="",FALSE,IF(INDIRECT("'"&amp;A854&amp;"'!"&amp;B854)&lt;0,TRUE,FALSE))</f>
        <v>0</v>
      </c>
      <c r="E854" t="s">
        <v>434</v>
      </c>
      <c r="F854" t="str">
        <f>INDEX(Lists!I:I,MATCH(Validation!E854,Lists!G:G,0))</f>
        <v>Error</v>
      </c>
      <c r="G854" t="str">
        <f>INDEX(Lists!H:H,MATCH(Validation!E854,Lists!G:G,0))</f>
        <v>Amount may not be negative. Enter an amount greater than or equal to zero.</v>
      </c>
      <c r="H854" s="25" t="str">
        <f t="shared" ca="1" si="168"/>
        <v/>
      </c>
      <c r="I854" s="25" t="str">
        <f t="shared" ca="1" si="169"/>
        <v/>
      </c>
      <c r="J854" s="26" t="str">
        <f t="shared" ca="1" si="170"/>
        <v/>
      </c>
    </row>
    <row r="855" spans="1:10" x14ac:dyDescent="0.25">
      <c r="A855" t="s">
        <v>312</v>
      </c>
      <c r="B855" t="str">
        <f>ADDRESS(ROW('Bond 1'!$B$22),COLUMN('Bond 1'!$B$22),4)</f>
        <v>B22</v>
      </c>
      <c r="C855" t="str">
        <f>ADDRESS(ROW('Bond 1'!$D$22),COLUMN('Bond 1'!$D$22),4)</f>
        <v>D22</v>
      </c>
      <c r="D855" t="b" cm="1">
        <f t="array" aca="1" ref="D855" ca="1">IF(INDIRECT("'"&amp;A855&amp;"'!"&amp;B855)="",FALSE,IF(INDIRECT("'"&amp;A855&amp;"'!"&amp;B855)&lt;0,TRUE,FALSE))</f>
        <v>0</v>
      </c>
      <c r="E855" t="s">
        <v>434</v>
      </c>
      <c r="F855" t="str">
        <f>INDEX(Lists!I:I,MATCH(Validation!E855,Lists!G:G,0))</f>
        <v>Error</v>
      </c>
      <c r="G855" t="str">
        <f>INDEX(Lists!H:H,MATCH(Validation!E855,Lists!G:G,0))</f>
        <v>Amount may not be negative. Enter an amount greater than or equal to zero.</v>
      </c>
      <c r="H855" s="25" t="str">
        <f t="shared" ca="1" si="168"/>
        <v/>
      </c>
      <c r="I855" s="25" t="str">
        <f t="shared" ca="1" si="169"/>
        <v/>
      </c>
      <c r="J855" s="26" t="str">
        <f t="shared" ca="1" si="170"/>
        <v/>
      </c>
    </row>
    <row r="856" spans="1:10" x14ac:dyDescent="0.25">
      <c r="A856" t="s">
        <v>313</v>
      </c>
      <c r="B856" t="str">
        <f>ADDRESS(ROW('Bond 1'!$B$22),COLUMN('Bond 1'!$B$22),4)</f>
        <v>B22</v>
      </c>
      <c r="C856" t="str">
        <f>ADDRESS(ROW('Bond 1'!$D$22),COLUMN('Bond 1'!$D$22),4)</f>
        <v>D22</v>
      </c>
      <c r="D856" t="b" cm="1">
        <f t="array" aca="1" ref="D856" ca="1">IF(INDIRECT("'"&amp;A856&amp;"'!"&amp;B856)="",FALSE,IF(INDIRECT("'"&amp;A856&amp;"'!"&amp;B856)&lt;0,TRUE,FALSE))</f>
        <v>0</v>
      </c>
      <c r="E856" t="s">
        <v>434</v>
      </c>
      <c r="F856" t="str">
        <f>INDEX(Lists!I:I,MATCH(Validation!E856,Lists!G:G,0))</f>
        <v>Error</v>
      </c>
      <c r="G856" t="str">
        <f>INDEX(Lists!H:H,MATCH(Validation!E856,Lists!G:G,0))</f>
        <v>Amount may not be negative. Enter an amount greater than or equal to zero.</v>
      </c>
      <c r="H856" s="25" t="str">
        <f t="shared" ca="1" si="168"/>
        <v/>
      </c>
      <c r="I856" s="25" t="str">
        <f t="shared" ca="1" si="169"/>
        <v/>
      </c>
      <c r="J856" s="26" t="str">
        <f t="shared" ca="1" si="170"/>
        <v/>
      </c>
    </row>
    <row r="857" spans="1:10" x14ac:dyDescent="0.25">
      <c r="A857" t="s">
        <v>314</v>
      </c>
      <c r="B857" t="str">
        <f>ADDRESS(ROW('Bond 1'!$B$22),COLUMN('Bond 1'!$B$22),4)</f>
        <v>B22</v>
      </c>
      <c r="C857" t="str">
        <f>ADDRESS(ROW('Bond 1'!$D$22),COLUMN('Bond 1'!$D$22),4)</f>
        <v>D22</v>
      </c>
      <c r="D857" t="b" cm="1">
        <f t="array" aca="1" ref="D857" ca="1">IF(INDIRECT("'"&amp;A857&amp;"'!"&amp;B857)="",FALSE,IF(INDIRECT("'"&amp;A857&amp;"'!"&amp;B857)&lt;0,TRUE,FALSE))</f>
        <v>0</v>
      </c>
      <c r="E857" t="s">
        <v>434</v>
      </c>
      <c r="F857" t="str">
        <f>INDEX(Lists!I:I,MATCH(Validation!E857,Lists!G:G,0))</f>
        <v>Error</v>
      </c>
      <c r="G857" t="str">
        <f>INDEX(Lists!H:H,MATCH(Validation!E857,Lists!G:G,0))</f>
        <v>Amount may not be negative. Enter an amount greater than or equal to zero.</v>
      </c>
      <c r="H857" s="25" t="str">
        <f t="shared" ca="1" si="168"/>
        <v/>
      </c>
      <c r="I857" s="25" t="str">
        <f t="shared" ca="1" si="169"/>
        <v/>
      </c>
      <c r="J857" s="26" t="str">
        <f t="shared" ca="1" si="170"/>
        <v/>
      </c>
    </row>
    <row r="858" spans="1:10" x14ac:dyDescent="0.25">
      <c r="A858" t="s">
        <v>315</v>
      </c>
      <c r="B858" t="str">
        <f>ADDRESS(ROW('Bond 1'!$B$22),COLUMN('Bond 1'!$B$22),4)</f>
        <v>B22</v>
      </c>
      <c r="C858" t="str">
        <f>ADDRESS(ROW('Bond 1'!$D$22),COLUMN('Bond 1'!$D$22),4)</f>
        <v>D22</v>
      </c>
      <c r="D858" t="b" cm="1">
        <f t="array" aca="1" ref="D858" ca="1">IF(INDIRECT("'"&amp;A858&amp;"'!"&amp;B858)="",FALSE,IF(INDIRECT("'"&amp;A858&amp;"'!"&amp;B858)&lt;0,TRUE,FALSE))</f>
        <v>0</v>
      </c>
      <c r="E858" t="s">
        <v>434</v>
      </c>
      <c r="F858" t="str">
        <f>INDEX(Lists!I:I,MATCH(Validation!E858,Lists!G:G,0))</f>
        <v>Error</v>
      </c>
      <c r="G858" t="str">
        <f>INDEX(Lists!H:H,MATCH(Validation!E858,Lists!G:G,0))</f>
        <v>Amount may not be negative. Enter an amount greater than or equal to zero.</v>
      </c>
      <c r="H858" s="25" t="str">
        <f t="shared" ca="1" si="168"/>
        <v/>
      </c>
      <c r="I858" s="25" t="str">
        <f t="shared" ca="1" si="169"/>
        <v/>
      </c>
      <c r="J858" s="26" t="str">
        <f t="shared" ca="1" si="170"/>
        <v/>
      </c>
    </row>
    <row r="859" spans="1:10" x14ac:dyDescent="0.25">
      <c r="A859" t="s">
        <v>198</v>
      </c>
      <c r="B859" t="str">
        <f>ADDRESS(ROW('Bond 1'!$B$22),COLUMN('Bond 1'!$B$22),4)</f>
        <v>B22</v>
      </c>
      <c r="C859" t="str">
        <f>ADDRESS(ROW('Bond 1'!$D$22),COLUMN('Bond 1'!$D$22),4)</f>
        <v>D22</v>
      </c>
      <c r="D859" t="b" cm="1">
        <f t="array" aca="1" ref="D859" ca="1">IF(INDIRECT("'"&amp;A859&amp;"'!"&amp;B859)="",FALSE,IF(TRUNC(INDIRECT("'"&amp;A859&amp;"'!"&amp;B859))=INDIRECT("'"&amp;A859&amp;"'!"&amp;B859),FALSE,TRUE))</f>
        <v>0</v>
      </c>
      <c r="E859" t="s">
        <v>436</v>
      </c>
      <c r="F859" t="str">
        <f>INDEX(Lists!I:I,MATCH(Validation!E859,Lists!G:G,0))</f>
        <v>Error</v>
      </c>
      <c r="G859" t="str">
        <f>INDEX(Lists!H:H,MATCH(Validation!E859,Lists!G:G,0))</f>
        <v>Amount must be rounded to the nearest dollar.</v>
      </c>
      <c r="H859" s="25" t="str">
        <f t="shared" ca="1" si="168"/>
        <v/>
      </c>
      <c r="I859" s="25" t="str">
        <f t="shared" ca="1" si="169"/>
        <v/>
      </c>
      <c r="J859" s="26" t="str">
        <f t="shared" ca="1" si="170"/>
        <v/>
      </c>
    </row>
    <row r="860" spans="1:10" x14ac:dyDescent="0.25">
      <c r="A860" t="s">
        <v>302</v>
      </c>
      <c r="B860" t="str">
        <f>ADDRESS(ROW('Bond 1'!$B$22),COLUMN('Bond 1'!$B$22),4)</f>
        <v>B22</v>
      </c>
      <c r="C860" t="str">
        <f>ADDRESS(ROW('Bond 1'!$D$22),COLUMN('Bond 1'!$D$22),4)</f>
        <v>D22</v>
      </c>
      <c r="D860" t="b" cm="1">
        <f t="array" aca="1" ref="D860" ca="1">IF(INDIRECT("'"&amp;A860&amp;"'!"&amp;B860)="",FALSE,IF(TRUNC(INDIRECT("'"&amp;A860&amp;"'!"&amp;B860))=INDIRECT("'"&amp;A860&amp;"'!"&amp;B860),FALSE,TRUE))</f>
        <v>0</v>
      </c>
      <c r="E860" t="s">
        <v>436</v>
      </c>
      <c r="F860" t="str">
        <f>INDEX(Lists!I:I,MATCH(Validation!E860,Lists!G:G,0))</f>
        <v>Error</v>
      </c>
      <c r="G860" t="str">
        <f>INDEX(Lists!H:H,MATCH(Validation!E860,Lists!G:G,0))</f>
        <v>Amount must be rounded to the nearest dollar.</v>
      </c>
      <c r="H860" s="25" t="str">
        <f t="shared" ca="1" si="168"/>
        <v/>
      </c>
      <c r="I860" s="25" t="str">
        <f t="shared" ca="1" si="169"/>
        <v/>
      </c>
      <c r="J860" s="26" t="str">
        <f t="shared" ca="1" si="170"/>
        <v/>
      </c>
    </row>
    <row r="861" spans="1:10" x14ac:dyDescent="0.25">
      <c r="A861" t="s">
        <v>303</v>
      </c>
      <c r="B861" t="str">
        <f>ADDRESS(ROW('Bond 1'!$B$22),COLUMN('Bond 1'!$B$22),4)</f>
        <v>B22</v>
      </c>
      <c r="C861" t="str">
        <f>ADDRESS(ROW('Bond 1'!$D$22),COLUMN('Bond 1'!$D$22),4)</f>
        <v>D22</v>
      </c>
      <c r="D861" t="b" cm="1">
        <f t="array" aca="1" ref="D861" ca="1">IF(INDIRECT("'"&amp;A861&amp;"'!"&amp;B861)="",FALSE,IF(TRUNC(INDIRECT("'"&amp;A861&amp;"'!"&amp;B861))=INDIRECT("'"&amp;A861&amp;"'!"&amp;B861),FALSE,TRUE))</f>
        <v>0</v>
      </c>
      <c r="E861" t="s">
        <v>436</v>
      </c>
      <c r="F861" t="str">
        <f>INDEX(Lists!I:I,MATCH(Validation!E861,Lists!G:G,0))</f>
        <v>Error</v>
      </c>
      <c r="G861" t="str">
        <f>INDEX(Lists!H:H,MATCH(Validation!E861,Lists!G:G,0))</f>
        <v>Amount must be rounded to the nearest dollar.</v>
      </c>
      <c r="H861" s="25" t="str">
        <f t="shared" ca="1" si="168"/>
        <v/>
      </c>
      <c r="I861" s="25" t="str">
        <f t="shared" ca="1" si="169"/>
        <v/>
      </c>
      <c r="J861" s="26" t="str">
        <f t="shared" ca="1" si="170"/>
        <v/>
      </c>
    </row>
    <row r="862" spans="1:10" x14ac:dyDescent="0.25">
      <c r="A862" t="s">
        <v>304</v>
      </c>
      <c r="B862" t="str">
        <f>ADDRESS(ROW('Bond 1'!$B$22),COLUMN('Bond 1'!$B$22),4)</f>
        <v>B22</v>
      </c>
      <c r="C862" t="str">
        <f>ADDRESS(ROW('Bond 1'!$D$22),COLUMN('Bond 1'!$D$22),4)</f>
        <v>D22</v>
      </c>
      <c r="D862" t="b" cm="1">
        <f t="array" aca="1" ref="D862" ca="1">IF(INDIRECT("'"&amp;A862&amp;"'!"&amp;B862)="",FALSE,IF(TRUNC(INDIRECT("'"&amp;A862&amp;"'!"&amp;B862))=INDIRECT("'"&amp;A862&amp;"'!"&amp;B862),FALSE,TRUE))</f>
        <v>0</v>
      </c>
      <c r="E862" t="s">
        <v>436</v>
      </c>
      <c r="F862" t="str">
        <f>INDEX(Lists!I:I,MATCH(Validation!E862,Lists!G:G,0))</f>
        <v>Error</v>
      </c>
      <c r="G862" t="str">
        <f>INDEX(Lists!H:H,MATCH(Validation!E862,Lists!G:G,0))</f>
        <v>Amount must be rounded to the nearest dollar.</v>
      </c>
      <c r="H862" s="25" t="str">
        <f t="shared" ca="1" si="168"/>
        <v/>
      </c>
      <c r="I862" s="25" t="str">
        <f t="shared" ca="1" si="169"/>
        <v/>
      </c>
      <c r="J862" s="26" t="str">
        <f t="shared" ca="1" si="170"/>
        <v/>
      </c>
    </row>
    <row r="863" spans="1:10" x14ac:dyDescent="0.25">
      <c r="A863" t="s">
        <v>305</v>
      </c>
      <c r="B863" t="str">
        <f>ADDRESS(ROW('Bond 1'!$B$22),COLUMN('Bond 1'!$B$22),4)</f>
        <v>B22</v>
      </c>
      <c r="C863" t="str">
        <f>ADDRESS(ROW('Bond 1'!$D$22),COLUMN('Bond 1'!$D$22),4)</f>
        <v>D22</v>
      </c>
      <c r="D863" t="b" cm="1">
        <f t="array" aca="1" ref="D863" ca="1">IF(INDIRECT("'"&amp;A863&amp;"'!"&amp;B863)="",FALSE,IF(TRUNC(INDIRECT("'"&amp;A863&amp;"'!"&amp;B863))=INDIRECT("'"&amp;A863&amp;"'!"&amp;B863),FALSE,TRUE))</f>
        <v>0</v>
      </c>
      <c r="E863" t="s">
        <v>436</v>
      </c>
      <c r="F863" t="str">
        <f>INDEX(Lists!I:I,MATCH(Validation!E863,Lists!G:G,0))</f>
        <v>Error</v>
      </c>
      <c r="G863" t="str">
        <f>INDEX(Lists!H:H,MATCH(Validation!E863,Lists!G:G,0))</f>
        <v>Amount must be rounded to the nearest dollar.</v>
      </c>
      <c r="H863" s="25" t="str">
        <f t="shared" ca="1" si="168"/>
        <v/>
      </c>
      <c r="I863" s="25" t="str">
        <f t="shared" ca="1" si="169"/>
        <v/>
      </c>
      <c r="J863" s="26" t="str">
        <f t="shared" ca="1" si="170"/>
        <v/>
      </c>
    </row>
    <row r="864" spans="1:10" x14ac:dyDescent="0.25">
      <c r="A864" t="s">
        <v>306</v>
      </c>
      <c r="B864" t="str">
        <f>ADDRESS(ROW('Bond 1'!$B$22),COLUMN('Bond 1'!$B$22),4)</f>
        <v>B22</v>
      </c>
      <c r="C864" t="str">
        <f>ADDRESS(ROW('Bond 1'!$D$22),COLUMN('Bond 1'!$D$22),4)</f>
        <v>D22</v>
      </c>
      <c r="D864" t="b" cm="1">
        <f t="array" aca="1" ref="D864" ca="1">IF(INDIRECT("'"&amp;A864&amp;"'!"&amp;B864)="",FALSE,IF(TRUNC(INDIRECT("'"&amp;A864&amp;"'!"&amp;B864))=INDIRECT("'"&amp;A864&amp;"'!"&amp;B864),FALSE,TRUE))</f>
        <v>0</v>
      </c>
      <c r="E864" t="s">
        <v>436</v>
      </c>
      <c r="F864" t="str">
        <f>INDEX(Lists!I:I,MATCH(Validation!E864,Lists!G:G,0))</f>
        <v>Error</v>
      </c>
      <c r="G864" t="str">
        <f>INDEX(Lists!H:H,MATCH(Validation!E864,Lists!G:G,0))</f>
        <v>Amount must be rounded to the nearest dollar.</v>
      </c>
      <c r="H864" s="25" t="str">
        <f t="shared" ca="1" si="168"/>
        <v/>
      </c>
      <c r="I864" s="25" t="str">
        <f t="shared" ca="1" si="169"/>
        <v/>
      </c>
      <c r="J864" s="26" t="str">
        <f t="shared" ca="1" si="170"/>
        <v/>
      </c>
    </row>
    <row r="865" spans="1:10" x14ac:dyDescent="0.25">
      <c r="A865" t="s">
        <v>307</v>
      </c>
      <c r="B865" t="str">
        <f>ADDRESS(ROW('Bond 1'!$B$22),COLUMN('Bond 1'!$B$22),4)</f>
        <v>B22</v>
      </c>
      <c r="C865" t="str">
        <f>ADDRESS(ROW('Bond 1'!$D$22),COLUMN('Bond 1'!$D$22),4)</f>
        <v>D22</v>
      </c>
      <c r="D865" t="b" cm="1">
        <f t="array" aca="1" ref="D865" ca="1">IF(INDIRECT("'"&amp;A865&amp;"'!"&amp;B865)="",FALSE,IF(TRUNC(INDIRECT("'"&amp;A865&amp;"'!"&amp;B865))=INDIRECT("'"&amp;A865&amp;"'!"&amp;B865),FALSE,TRUE))</f>
        <v>0</v>
      </c>
      <c r="E865" t="s">
        <v>436</v>
      </c>
      <c r="F865" t="str">
        <f>INDEX(Lists!I:I,MATCH(Validation!E865,Lists!G:G,0))</f>
        <v>Error</v>
      </c>
      <c r="G865" t="str">
        <f>INDEX(Lists!H:H,MATCH(Validation!E865,Lists!G:G,0))</f>
        <v>Amount must be rounded to the nearest dollar.</v>
      </c>
      <c r="H865" s="25" t="str">
        <f t="shared" ca="1" si="168"/>
        <v/>
      </c>
      <c r="I865" s="25" t="str">
        <f t="shared" ca="1" si="169"/>
        <v/>
      </c>
      <c r="J865" s="26" t="str">
        <f t="shared" ca="1" si="170"/>
        <v/>
      </c>
    </row>
    <row r="866" spans="1:10" x14ac:dyDescent="0.25">
      <c r="A866" t="s">
        <v>308</v>
      </c>
      <c r="B866" t="str">
        <f>ADDRESS(ROW('Bond 1'!$B$22),COLUMN('Bond 1'!$B$22),4)</f>
        <v>B22</v>
      </c>
      <c r="C866" t="str">
        <f>ADDRESS(ROW('Bond 1'!$D$22),COLUMN('Bond 1'!$D$22),4)</f>
        <v>D22</v>
      </c>
      <c r="D866" t="b" cm="1">
        <f t="array" aca="1" ref="D866" ca="1">IF(INDIRECT("'"&amp;A866&amp;"'!"&amp;B866)="",FALSE,IF(TRUNC(INDIRECT("'"&amp;A866&amp;"'!"&amp;B866))=INDIRECT("'"&amp;A866&amp;"'!"&amp;B866),FALSE,TRUE))</f>
        <v>0</v>
      </c>
      <c r="E866" t="s">
        <v>436</v>
      </c>
      <c r="F866" t="str">
        <f>INDEX(Lists!I:I,MATCH(Validation!E866,Lists!G:G,0))</f>
        <v>Error</v>
      </c>
      <c r="G866" t="str">
        <f>INDEX(Lists!H:H,MATCH(Validation!E866,Lists!G:G,0))</f>
        <v>Amount must be rounded to the nearest dollar.</v>
      </c>
      <c r="H866" s="25" t="str">
        <f t="shared" ca="1" si="168"/>
        <v/>
      </c>
      <c r="I866" s="25" t="str">
        <f t="shared" ca="1" si="169"/>
        <v/>
      </c>
      <c r="J866" s="26" t="str">
        <f t="shared" ca="1" si="170"/>
        <v/>
      </c>
    </row>
    <row r="867" spans="1:10" x14ac:dyDescent="0.25">
      <c r="A867" t="s">
        <v>309</v>
      </c>
      <c r="B867" t="str">
        <f>ADDRESS(ROW('Bond 1'!$B$22),COLUMN('Bond 1'!$B$22),4)</f>
        <v>B22</v>
      </c>
      <c r="C867" t="str">
        <f>ADDRESS(ROW('Bond 1'!$D$22),COLUMN('Bond 1'!$D$22),4)</f>
        <v>D22</v>
      </c>
      <c r="D867" t="b" cm="1">
        <f t="array" aca="1" ref="D867" ca="1">IF(INDIRECT("'"&amp;A867&amp;"'!"&amp;B867)="",FALSE,IF(TRUNC(INDIRECT("'"&amp;A867&amp;"'!"&amp;B867))=INDIRECT("'"&amp;A867&amp;"'!"&amp;B867),FALSE,TRUE))</f>
        <v>0</v>
      </c>
      <c r="E867" t="s">
        <v>436</v>
      </c>
      <c r="F867" t="str">
        <f>INDEX(Lists!I:I,MATCH(Validation!E867,Lists!G:G,0))</f>
        <v>Error</v>
      </c>
      <c r="G867" t="str">
        <f>INDEX(Lists!H:H,MATCH(Validation!E867,Lists!G:G,0))</f>
        <v>Amount must be rounded to the nearest dollar.</v>
      </c>
      <c r="H867" s="25" t="str">
        <f t="shared" ca="1" si="168"/>
        <v/>
      </c>
      <c r="I867" s="25" t="str">
        <f t="shared" ca="1" si="169"/>
        <v/>
      </c>
      <c r="J867" s="26" t="str">
        <f t="shared" ca="1" si="170"/>
        <v/>
      </c>
    </row>
    <row r="868" spans="1:10" x14ac:dyDescent="0.25">
      <c r="A868" t="s">
        <v>310</v>
      </c>
      <c r="B868" t="str">
        <f>ADDRESS(ROW('Bond 1'!$B$22),COLUMN('Bond 1'!$B$22),4)</f>
        <v>B22</v>
      </c>
      <c r="C868" t="str">
        <f>ADDRESS(ROW('Bond 1'!$D$22),COLUMN('Bond 1'!$D$22),4)</f>
        <v>D22</v>
      </c>
      <c r="D868" t="b" cm="1">
        <f t="array" aca="1" ref="D868" ca="1">IF(INDIRECT("'"&amp;A868&amp;"'!"&amp;B868)="",FALSE,IF(TRUNC(INDIRECT("'"&amp;A868&amp;"'!"&amp;B868))=INDIRECT("'"&amp;A868&amp;"'!"&amp;B868),FALSE,TRUE))</f>
        <v>0</v>
      </c>
      <c r="E868" t="s">
        <v>436</v>
      </c>
      <c r="F868" t="str">
        <f>INDEX(Lists!I:I,MATCH(Validation!E868,Lists!G:G,0))</f>
        <v>Error</v>
      </c>
      <c r="G868" t="str">
        <f>INDEX(Lists!H:H,MATCH(Validation!E868,Lists!G:G,0))</f>
        <v>Amount must be rounded to the nearest dollar.</v>
      </c>
      <c r="H868" s="25" t="str">
        <f t="shared" ca="1" si="168"/>
        <v/>
      </c>
      <c r="I868" s="25" t="str">
        <f t="shared" ca="1" si="169"/>
        <v/>
      </c>
      <c r="J868" s="26" t="str">
        <f t="shared" ca="1" si="170"/>
        <v/>
      </c>
    </row>
    <row r="869" spans="1:10" x14ac:dyDescent="0.25">
      <c r="A869" t="s">
        <v>311</v>
      </c>
      <c r="B869" t="str">
        <f>ADDRESS(ROW('Bond 1'!$B$22),COLUMN('Bond 1'!$B$22),4)</f>
        <v>B22</v>
      </c>
      <c r="C869" t="str">
        <f>ADDRESS(ROW('Bond 1'!$D$22),COLUMN('Bond 1'!$D$22),4)</f>
        <v>D22</v>
      </c>
      <c r="D869" t="b" cm="1">
        <f t="array" aca="1" ref="D869" ca="1">IF(INDIRECT("'"&amp;A869&amp;"'!"&amp;B869)="",FALSE,IF(TRUNC(INDIRECT("'"&amp;A869&amp;"'!"&amp;B869))=INDIRECT("'"&amp;A869&amp;"'!"&amp;B869),FALSE,TRUE))</f>
        <v>0</v>
      </c>
      <c r="E869" t="s">
        <v>436</v>
      </c>
      <c r="F869" t="str">
        <f>INDEX(Lists!I:I,MATCH(Validation!E869,Lists!G:G,0))</f>
        <v>Error</v>
      </c>
      <c r="G869" t="str">
        <f>INDEX(Lists!H:H,MATCH(Validation!E869,Lists!G:G,0))</f>
        <v>Amount must be rounded to the nearest dollar.</v>
      </c>
      <c r="H869" s="25" t="str">
        <f t="shared" ca="1" si="168"/>
        <v/>
      </c>
      <c r="I869" s="25" t="str">
        <f t="shared" ca="1" si="169"/>
        <v/>
      </c>
      <c r="J869" s="26" t="str">
        <f t="shared" ca="1" si="170"/>
        <v/>
      </c>
    </row>
    <row r="870" spans="1:10" x14ac:dyDescent="0.25">
      <c r="A870" t="s">
        <v>312</v>
      </c>
      <c r="B870" t="str">
        <f>ADDRESS(ROW('Bond 1'!$B$22),COLUMN('Bond 1'!$B$22),4)</f>
        <v>B22</v>
      </c>
      <c r="C870" t="str">
        <f>ADDRESS(ROW('Bond 1'!$D$22),COLUMN('Bond 1'!$D$22),4)</f>
        <v>D22</v>
      </c>
      <c r="D870" t="b" cm="1">
        <f t="array" aca="1" ref="D870" ca="1">IF(INDIRECT("'"&amp;A870&amp;"'!"&amp;B870)="",FALSE,IF(TRUNC(INDIRECT("'"&amp;A870&amp;"'!"&amp;B870))=INDIRECT("'"&amp;A870&amp;"'!"&amp;B870),FALSE,TRUE))</f>
        <v>0</v>
      </c>
      <c r="E870" t="s">
        <v>436</v>
      </c>
      <c r="F870" t="str">
        <f>INDEX(Lists!I:I,MATCH(Validation!E870,Lists!G:G,0))</f>
        <v>Error</v>
      </c>
      <c r="G870" t="str">
        <f>INDEX(Lists!H:H,MATCH(Validation!E870,Lists!G:G,0))</f>
        <v>Amount must be rounded to the nearest dollar.</v>
      </c>
      <c r="H870" s="25" t="str">
        <f t="shared" ca="1" si="168"/>
        <v/>
      </c>
      <c r="I870" s="25" t="str">
        <f t="shared" ca="1" si="169"/>
        <v/>
      </c>
      <c r="J870" s="26" t="str">
        <f t="shared" ca="1" si="170"/>
        <v/>
      </c>
    </row>
    <row r="871" spans="1:10" x14ac:dyDescent="0.25">
      <c r="A871" t="s">
        <v>313</v>
      </c>
      <c r="B871" t="str">
        <f>ADDRESS(ROW('Bond 1'!$B$22),COLUMN('Bond 1'!$B$22),4)</f>
        <v>B22</v>
      </c>
      <c r="C871" t="str">
        <f>ADDRESS(ROW('Bond 1'!$D$22),COLUMN('Bond 1'!$D$22),4)</f>
        <v>D22</v>
      </c>
      <c r="D871" t="b" cm="1">
        <f t="array" aca="1" ref="D871" ca="1">IF(INDIRECT("'"&amp;A871&amp;"'!"&amp;B871)="",FALSE,IF(TRUNC(INDIRECT("'"&amp;A871&amp;"'!"&amp;B871))=INDIRECT("'"&amp;A871&amp;"'!"&amp;B871),FALSE,TRUE))</f>
        <v>0</v>
      </c>
      <c r="E871" t="s">
        <v>436</v>
      </c>
      <c r="F871" t="str">
        <f>INDEX(Lists!I:I,MATCH(Validation!E871,Lists!G:G,0))</f>
        <v>Error</v>
      </c>
      <c r="G871" t="str">
        <f>INDEX(Lists!H:H,MATCH(Validation!E871,Lists!G:G,0))</f>
        <v>Amount must be rounded to the nearest dollar.</v>
      </c>
      <c r="H871" s="25" t="str">
        <f t="shared" ca="1" si="168"/>
        <v/>
      </c>
      <c r="I871" s="25" t="str">
        <f t="shared" ca="1" si="169"/>
        <v/>
      </c>
      <c r="J871" s="26" t="str">
        <f t="shared" ca="1" si="170"/>
        <v/>
      </c>
    </row>
    <row r="872" spans="1:10" x14ac:dyDescent="0.25">
      <c r="A872" t="s">
        <v>314</v>
      </c>
      <c r="B872" t="str">
        <f>ADDRESS(ROW('Bond 1'!$B$22),COLUMN('Bond 1'!$B$22),4)</f>
        <v>B22</v>
      </c>
      <c r="C872" t="str">
        <f>ADDRESS(ROW('Bond 1'!$D$22),COLUMN('Bond 1'!$D$22),4)</f>
        <v>D22</v>
      </c>
      <c r="D872" t="b" cm="1">
        <f t="array" aca="1" ref="D872" ca="1">IF(INDIRECT("'"&amp;A872&amp;"'!"&amp;B872)="",FALSE,IF(TRUNC(INDIRECT("'"&amp;A872&amp;"'!"&amp;B872))=INDIRECT("'"&amp;A872&amp;"'!"&amp;B872),FALSE,TRUE))</f>
        <v>0</v>
      </c>
      <c r="E872" t="s">
        <v>436</v>
      </c>
      <c r="F872" t="str">
        <f>INDEX(Lists!I:I,MATCH(Validation!E872,Lists!G:G,0))</f>
        <v>Error</v>
      </c>
      <c r="G872" t="str">
        <f>INDEX(Lists!H:H,MATCH(Validation!E872,Lists!G:G,0))</f>
        <v>Amount must be rounded to the nearest dollar.</v>
      </c>
      <c r="H872" s="25" t="str">
        <f t="shared" ca="1" si="168"/>
        <v/>
      </c>
      <c r="I872" s="25" t="str">
        <f t="shared" ca="1" si="169"/>
        <v/>
      </c>
      <c r="J872" s="26" t="str">
        <f t="shared" ca="1" si="170"/>
        <v/>
      </c>
    </row>
    <row r="873" spans="1:10" x14ac:dyDescent="0.25">
      <c r="A873" t="s">
        <v>315</v>
      </c>
      <c r="B873" t="str">
        <f>ADDRESS(ROW('Bond 1'!$B$22),COLUMN('Bond 1'!$B$22),4)</f>
        <v>B22</v>
      </c>
      <c r="C873" t="str">
        <f>ADDRESS(ROW('Bond 1'!$D$22),COLUMN('Bond 1'!$D$22),4)</f>
        <v>D22</v>
      </c>
      <c r="D873" t="b" cm="1">
        <f t="array" aca="1" ref="D873" ca="1">IF(INDIRECT("'"&amp;A873&amp;"'!"&amp;B873)="",FALSE,IF(TRUNC(INDIRECT("'"&amp;A873&amp;"'!"&amp;B873))=INDIRECT("'"&amp;A873&amp;"'!"&amp;B873),FALSE,TRUE))</f>
        <v>0</v>
      </c>
      <c r="E873" t="s">
        <v>436</v>
      </c>
      <c r="F873" t="str">
        <f>INDEX(Lists!I:I,MATCH(Validation!E873,Lists!G:G,0))</f>
        <v>Error</v>
      </c>
      <c r="G873" t="str">
        <f>INDEX(Lists!H:H,MATCH(Validation!E873,Lists!G:G,0))</f>
        <v>Amount must be rounded to the nearest dollar.</v>
      </c>
      <c r="H873" s="25" t="str">
        <f t="shared" ca="1" si="168"/>
        <v/>
      </c>
      <c r="I873" s="25" t="str">
        <f t="shared" ca="1" si="169"/>
        <v/>
      </c>
      <c r="J873" s="26" t="str">
        <f t="shared" ca="1" si="170"/>
        <v/>
      </c>
    </row>
    <row r="874" spans="1:10" x14ac:dyDescent="0.25">
      <c r="A874" t="s">
        <v>198</v>
      </c>
      <c r="B874" t="str">
        <f>ADDRESS(ROW('Bond 1'!$B$22),COLUMN('Bond 1'!$B$22),4)</f>
        <v>B22</v>
      </c>
      <c r="C874" t="str">
        <f>ADDRESS(ROW('Bond 1'!$D$22),COLUMN('Bond 1'!$D$22),4)</f>
        <v>D22</v>
      </c>
      <c r="D874" t="b" cm="1">
        <f t="array" aca="1" ref="D874" ca="1">IF(AND(NOT(ISBLANK('Bond Input'!C$19)),INDIRECT("'"&amp;A874&amp;"'!"&amp;B874)&lt;&gt;'Bond Input'!C$19),TRUE,FALSE)</f>
        <v>0</v>
      </c>
      <c r="E874" t="s">
        <v>634</v>
      </c>
      <c r="F874" t="str">
        <f>INDEX(Lists!I:I,MATCH(Validation!E874,Lists!G:G,0))</f>
        <v>Alert</v>
      </c>
      <c r="G874" t="str">
        <f>INDEX(Lists!H:H,MATCH(Validation!E874,Lists!G:G,0))</f>
        <v>You have changed previously reported data. Explain in the comments box.</v>
      </c>
      <c r="H874" s="25" t="str">
        <f t="shared" ca="1" si="168"/>
        <v/>
      </c>
      <c r="I874" s="25" t="str">
        <f t="shared" ca="1" si="169"/>
        <v/>
      </c>
      <c r="J874" s="26" t="str">
        <f t="shared" ca="1" si="170"/>
        <v/>
      </c>
    </row>
    <row r="875" spans="1:10" x14ac:dyDescent="0.25">
      <c r="A875" t="s">
        <v>302</v>
      </c>
      <c r="B875" t="str">
        <f>ADDRESS(ROW('Bond 1'!$B$22),COLUMN('Bond 1'!$B$22),4)</f>
        <v>B22</v>
      </c>
      <c r="C875" t="str">
        <f>ADDRESS(ROW('Bond 1'!$D$22),COLUMN('Bond 1'!$D$22),4)</f>
        <v>D22</v>
      </c>
      <c r="D875" t="b" cm="1">
        <f t="array" aca="1" ref="D875" ca="1">IF(AND(NOT(ISBLANK('Bond Input'!D$19)),INDIRECT("'"&amp;A875&amp;"'!"&amp;B875)&lt;&gt;'Bond Input'!D$19),TRUE,FALSE)</f>
        <v>0</v>
      </c>
      <c r="E875" t="s">
        <v>634</v>
      </c>
      <c r="F875" t="str">
        <f>INDEX(Lists!I:I,MATCH(Validation!E875,Lists!G:G,0))</f>
        <v>Alert</v>
      </c>
      <c r="G875" t="str">
        <f>INDEX(Lists!H:H,MATCH(Validation!E875,Lists!G:G,0))</f>
        <v>You have changed previously reported data. Explain in the comments box.</v>
      </c>
      <c r="H875" s="25" t="str">
        <f t="shared" ca="1" si="168"/>
        <v/>
      </c>
      <c r="I875" s="25" t="str">
        <f t="shared" ca="1" si="169"/>
        <v/>
      </c>
      <c r="J875" s="26" t="str">
        <f t="shared" ca="1" si="170"/>
        <v/>
      </c>
    </row>
    <row r="876" spans="1:10" x14ac:dyDescent="0.25">
      <c r="A876" t="s">
        <v>303</v>
      </c>
      <c r="B876" t="str">
        <f>ADDRESS(ROW('Bond 1'!$B$22),COLUMN('Bond 1'!$B$22),4)</f>
        <v>B22</v>
      </c>
      <c r="C876" t="str">
        <f>ADDRESS(ROW('Bond 1'!$D$22),COLUMN('Bond 1'!$D$22),4)</f>
        <v>D22</v>
      </c>
      <c r="D876" t="b" cm="1">
        <f t="array" aca="1" ref="D876" ca="1">IF(AND(NOT(ISBLANK('Bond Input'!E$19)),INDIRECT("'"&amp;A876&amp;"'!"&amp;B876)&lt;&gt;'Bond Input'!E$19),TRUE,FALSE)</f>
        <v>0</v>
      </c>
      <c r="E876" t="s">
        <v>634</v>
      </c>
      <c r="F876" t="str">
        <f>INDEX(Lists!I:I,MATCH(Validation!E876,Lists!G:G,0))</f>
        <v>Alert</v>
      </c>
      <c r="G876" t="str">
        <f>INDEX(Lists!H:H,MATCH(Validation!E876,Lists!G:G,0))</f>
        <v>You have changed previously reported data. Explain in the comments box.</v>
      </c>
      <c r="H876" s="25" t="str">
        <f t="shared" ca="1" si="168"/>
        <v/>
      </c>
      <c r="I876" s="25" t="str">
        <f t="shared" ca="1" si="169"/>
        <v/>
      </c>
      <c r="J876" s="26" t="str">
        <f t="shared" ca="1" si="170"/>
        <v/>
      </c>
    </row>
    <row r="877" spans="1:10" x14ac:dyDescent="0.25">
      <c r="A877" t="s">
        <v>304</v>
      </c>
      <c r="B877" t="str">
        <f>ADDRESS(ROW('Bond 1'!$B$22),COLUMN('Bond 1'!$B$22),4)</f>
        <v>B22</v>
      </c>
      <c r="C877" t="str">
        <f>ADDRESS(ROW('Bond 1'!$D$22),COLUMN('Bond 1'!$D$22),4)</f>
        <v>D22</v>
      </c>
      <c r="D877" t="b" cm="1">
        <f t="array" aca="1" ref="D877" ca="1">IF(AND(NOT(ISBLANK('Bond Input'!F$19)),INDIRECT("'"&amp;A877&amp;"'!"&amp;B877)&lt;&gt;'Bond Input'!F$19),TRUE,FALSE)</f>
        <v>0</v>
      </c>
      <c r="E877" t="s">
        <v>634</v>
      </c>
      <c r="F877" t="str">
        <f>INDEX(Lists!I:I,MATCH(Validation!E877,Lists!G:G,0))</f>
        <v>Alert</v>
      </c>
      <c r="G877" t="str">
        <f>INDEX(Lists!H:H,MATCH(Validation!E877,Lists!G:G,0))</f>
        <v>You have changed previously reported data. Explain in the comments box.</v>
      </c>
      <c r="H877" s="25" t="str">
        <f t="shared" ca="1" si="168"/>
        <v/>
      </c>
      <c r="I877" s="25" t="str">
        <f t="shared" ca="1" si="169"/>
        <v/>
      </c>
      <c r="J877" s="26" t="str">
        <f t="shared" ca="1" si="170"/>
        <v/>
      </c>
    </row>
    <row r="878" spans="1:10" x14ac:dyDescent="0.25">
      <c r="A878" t="s">
        <v>305</v>
      </c>
      <c r="B878" t="str">
        <f>ADDRESS(ROW('Bond 1'!$B$22),COLUMN('Bond 1'!$B$22),4)</f>
        <v>B22</v>
      </c>
      <c r="C878" t="str">
        <f>ADDRESS(ROW('Bond 1'!$D$22),COLUMN('Bond 1'!$D$22),4)</f>
        <v>D22</v>
      </c>
      <c r="D878" t="b" cm="1">
        <f t="array" aca="1" ref="D878" ca="1">IF(AND(NOT(ISBLANK('Bond Input'!G$19)),INDIRECT("'"&amp;A878&amp;"'!"&amp;B878)&lt;&gt;'Bond Input'!G$19),TRUE,FALSE)</f>
        <v>0</v>
      </c>
      <c r="E878" t="s">
        <v>634</v>
      </c>
      <c r="F878" t="str">
        <f>INDEX(Lists!I:I,MATCH(Validation!E878,Lists!G:G,0))</f>
        <v>Alert</v>
      </c>
      <c r="G878" t="str">
        <f>INDEX(Lists!H:H,MATCH(Validation!E878,Lists!G:G,0))</f>
        <v>You have changed previously reported data. Explain in the comments box.</v>
      </c>
      <c r="H878" s="25" t="str">
        <f t="shared" ca="1" si="168"/>
        <v/>
      </c>
      <c r="I878" s="25" t="str">
        <f t="shared" ca="1" si="169"/>
        <v/>
      </c>
      <c r="J878" s="26" t="str">
        <f t="shared" ca="1" si="170"/>
        <v/>
      </c>
    </row>
    <row r="879" spans="1:10" x14ac:dyDescent="0.25">
      <c r="A879" t="s">
        <v>306</v>
      </c>
      <c r="B879" t="str">
        <f>ADDRESS(ROW('Bond 1'!$B$22),COLUMN('Bond 1'!$B$22),4)</f>
        <v>B22</v>
      </c>
      <c r="C879" t="str">
        <f>ADDRESS(ROW('Bond 1'!$D$22),COLUMN('Bond 1'!$D$22),4)</f>
        <v>D22</v>
      </c>
      <c r="D879" t="b" cm="1">
        <f t="array" aca="1" ref="D879" ca="1">IF(AND(NOT(ISBLANK('Bond Input'!H$19)),INDIRECT("'"&amp;A879&amp;"'!"&amp;B879)&lt;&gt;'Bond Input'!H$19),TRUE,FALSE)</f>
        <v>0</v>
      </c>
      <c r="E879" t="s">
        <v>634</v>
      </c>
      <c r="F879" t="str">
        <f>INDEX(Lists!I:I,MATCH(Validation!E879,Lists!G:G,0))</f>
        <v>Alert</v>
      </c>
      <c r="G879" t="str">
        <f>INDEX(Lists!H:H,MATCH(Validation!E879,Lists!G:G,0))</f>
        <v>You have changed previously reported data. Explain in the comments box.</v>
      </c>
      <c r="H879" s="25" t="str">
        <f t="shared" ca="1" si="168"/>
        <v/>
      </c>
      <c r="I879" s="25" t="str">
        <f t="shared" ca="1" si="169"/>
        <v/>
      </c>
      <c r="J879" s="26" t="str">
        <f t="shared" ca="1" si="170"/>
        <v/>
      </c>
    </row>
    <row r="880" spans="1:10" x14ac:dyDescent="0.25">
      <c r="A880" t="s">
        <v>307</v>
      </c>
      <c r="B880" t="str">
        <f>ADDRESS(ROW('Bond 1'!$B$22),COLUMN('Bond 1'!$B$22),4)</f>
        <v>B22</v>
      </c>
      <c r="C880" t="str">
        <f>ADDRESS(ROW('Bond 1'!$D$22),COLUMN('Bond 1'!$D$22),4)</f>
        <v>D22</v>
      </c>
      <c r="D880" t="b" cm="1">
        <f t="array" aca="1" ref="D880" ca="1">IF(AND(NOT(ISBLANK('Bond Input'!I$19)),INDIRECT("'"&amp;A880&amp;"'!"&amp;B880)&lt;&gt;'Bond Input'!I$19),TRUE,FALSE)</f>
        <v>0</v>
      </c>
      <c r="E880" t="s">
        <v>634</v>
      </c>
      <c r="F880" t="str">
        <f>INDEX(Lists!I:I,MATCH(Validation!E880,Lists!G:G,0))</f>
        <v>Alert</v>
      </c>
      <c r="G880" t="str">
        <f>INDEX(Lists!H:H,MATCH(Validation!E880,Lists!G:G,0))</f>
        <v>You have changed previously reported data. Explain in the comments box.</v>
      </c>
      <c r="H880" s="25" t="str">
        <f t="shared" ca="1" si="168"/>
        <v/>
      </c>
      <c r="I880" s="25" t="str">
        <f t="shared" ca="1" si="169"/>
        <v/>
      </c>
      <c r="J880" s="26" t="str">
        <f t="shared" ca="1" si="170"/>
        <v/>
      </c>
    </row>
    <row r="881" spans="1:10" x14ac:dyDescent="0.25">
      <c r="A881" t="s">
        <v>308</v>
      </c>
      <c r="B881" t="str">
        <f>ADDRESS(ROW('Bond 1'!$B$22),COLUMN('Bond 1'!$B$22),4)</f>
        <v>B22</v>
      </c>
      <c r="C881" t="str">
        <f>ADDRESS(ROW('Bond 1'!$D$22),COLUMN('Bond 1'!$D$22),4)</f>
        <v>D22</v>
      </c>
      <c r="D881" t="b" cm="1">
        <f t="array" aca="1" ref="D881" ca="1">IF(AND(NOT(ISBLANK('Bond Input'!J$19)),INDIRECT("'"&amp;A881&amp;"'!"&amp;B881)&lt;&gt;'Bond Input'!J$19),TRUE,FALSE)</f>
        <v>0</v>
      </c>
      <c r="E881" t="s">
        <v>634</v>
      </c>
      <c r="F881" t="str">
        <f>INDEX(Lists!I:I,MATCH(Validation!E881,Lists!G:G,0))</f>
        <v>Alert</v>
      </c>
      <c r="G881" t="str">
        <f>INDEX(Lists!H:H,MATCH(Validation!E881,Lists!G:G,0))</f>
        <v>You have changed previously reported data. Explain in the comments box.</v>
      </c>
      <c r="H881" s="25" t="str">
        <f t="shared" ca="1" si="168"/>
        <v/>
      </c>
      <c r="I881" s="25" t="str">
        <f t="shared" ca="1" si="169"/>
        <v/>
      </c>
      <c r="J881" s="26" t="str">
        <f t="shared" ca="1" si="170"/>
        <v/>
      </c>
    </row>
    <row r="882" spans="1:10" x14ac:dyDescent="0.25">
      <c r="A882" t="s">
        <v>309</v>
      </c>
      <c r="B882" t="str">
        <f>ADDRESS(ROW('Bond 1'!$B$22),COLUMN('Bond 1'!$B$22),4)</f>
        <v>B22</v>
      </c>
      <c r="C882" t="str">
        <f>ADDRESS(ROW('Bond 1'!$D$22),COLUMN('Bond 1'!$D$22),4)</f>
        <v>D22</v>
      </c>
      <c r="D882" t="b" cm="1">
        <f t="array" aca="1" ref="D882" ca="1">IF(AND(NOT(ISBLANK('Bond Input'!K$19)),INDIRECT("'"&amp;A882&amp;"'!"&amp;B882)&lt;&gt;'Bond Input'!K$19),TRUE,FALSE)</f>
        <v>0</v>
      </c>
      <c r="E882" t="s">
        <v>634</v>
      </c>
      <c r="F882" t="str">
        <f>INDEX(Lists!I:I,MATCH(Validation!E882,Lists!G:G,0))</f>
        <v>Alert</v>
      </c>
      <c r="G882" t="str">
        <f>INDEX(Lists!H:H,MATCH(Validation!E882,Lists!G:G,0))</f>
        <v>You have changed previously reported data. Explain in the comments box.</v>
      </c>
      <c r="H882" s="25" t="str">
        <f t="shared" ca="1" si="168"/>
        <v/>
      </c>
      <c r="I882" s="25" t="str">
        <f t="shared" ca="1" si="169"/>
        <v/>
      </c>
      <c r="J882" s="26" t="str">
        <f t="shared" ca="1" si="170"/>
        <v/>
      </c>
    </row>
    <row r="883" spans="1:10" x14ac:dyDescent="0.25">
      <c r="A883" t="s">
        <v>310</v>
      </c>
      <c r="B883" t="str">
        <f>ADDRESS(ROW('Bond 1'!$B$22),COLUMN('Bond 1'!$B$22),4)</f>
        <v>B22</v>
      </c>
      <c r="C883" t="str">
        <f>ADDRESS(ROW('Bond 1'!$D$22),COLUMN('Bond 1'!$D$22),4)</f>
        <v>D22</v>
      </c>
      <c r="D883" t="b" cm="1">
        <f t="array" aca="1" ref="D883" ca="1">IF(AND(NOT(ISBLANK('Bond Input'!L$19)),INDIRECT("'"&amp;A883&amp;"'!"&amp;B883)&lt;&gt;'Bond Input'!L$19),TRUE,FALSE)</f>
        <v>0</v>
      </c>
      <c r="E883" t="s">
        <v>634</v>
      </c>
      <c r="F883" t="str">
        <f>INDEX(Lists!I:I,MATCH(Validation!E883,Lists!G:G,0))</f>
        <v>Alert</v>
      </c>
      <c r="G883" t="str">
        <f>INDEX(Lists!H:H,MATCH(Validation!E883,Lists!G:G,0))</f>
        <v>You have changed previously reported data. Explain in the comments box.</v>
      </c>
      <c r="H883" s="25" t="str">
        <f t="shared" ca="1" si="168"/>
        <v/>
      </c>
      <c r="I883" s="25" t="str">
        <f t="shared" ca="1" si="169"/>
        <v/>
      </c>
      <c r="J883" s="26" t="str">
        <f t="shared" ca="1" si="170"/>
        <v/>
      </c>
    </row>
    <row r="884" spans="1:10" x14ac:dyDescent="0.25">
      <c r="A884" t="s">
        <v>311</v>
      </c>
      <c r="B884" t="str">
        <f>ADDRESS(ROW('Bond 1'!$B$22),COLUMN('Bond 1'!$B$22),4)</f>
        <v>B22</v>
      </c>
      <c r="C884" t="str">
        <f>ADDRESS(ROW('Bond 1'!$D$22),COLUMN('Bond 1'!$D$22),4)</f>
        <v>D22</v>
      </c>
      <c r="D884" t="b" cm="1">
        <f t="array" aca="1" ref="D884" ca="1">IF(AND(NOT(ISBLANK('Bond Input'!M$19)),INDIRECT("'"&amp;A884&amp;"'!"&amp;B884)&lt;&gt;'Bond Input'!M$19),TRUE,FALSE)</f>
        <v>0</v>
      </c>
      <c r="E884" t="s">
        <v>634</v>
      </c>
      <c r="F884" t="str">
        <f>INDEX(Lists!I:I,MATCH(Validation!E884,Lists!G:G,0))</f>
        <v>Alert</v>
      </c>
      <c r="G884" t="str">
        <f>INDEX(Lists!H:H,MATCH(Validation!E884,Lists!G:G,0))</f>
        <v>You have changed previously reported data. Explain in the comments box.</v>
      </c>
      <c r="H884" s="25" t="str">
        <f t="shared" ca="1" si="168"/>
        <v/>
      </c>
      <c r="I884" s="25" t="str">
        <f t="shared" ca="1" si="169"/>
        <v/>
      </c>
      <c r="J884" s="26" t="str">
        <f t="shared" ca="1" si="170"/>
        <v/>
      </c>
    </row>
    <row r="885" spans="1:10" x14ac:dyDescent="0.25">
      <c r="A885" t="s">
        <v>312</v>
      </c>
      <c r="B885" t="str">
        <f>ADDRESS(ROW('Bond 1'!$B$22),COLUMN('Bond 1'!$B$22),4)</f>
        <v>B22</v>
      </c>
      <c r="C885" t="str">
        <f>ADDRESS(ROW('Bond 1'!$D$22),COLUMN('Bond 1'!$D$22),4)</f>
        <v>D22</v>
      </c>
      <c r="D885" t="b" cm="1">
        <f t="array" aca="1" ref="D885" ca="1">IF(AND(NOT(ISBLANK('Bond Input'!N$19)),INDIRECT("'"&amp;A885&amp;"'!"&amp;B885)&lt;&gt;'Bond Input'!N$19),TRUE,FALSE)</f>
        <v>0</v>
      </c>
      <c r="E885" t="s">
        <v>634</v>
      </c>
      <c r="F885" t="str">
        <f>INDEX(Lists!I:I,MATCH(Validation!E885,Lists!G:G,0))</f>
        <v>Alert</v>
      </c>
      <c r="G885" t="str">
        <f>INDEX(Lists!H:H,MATCH(Validation!E885,Lists!G:G,0))</f>
        <v>You have changed previously reported data. Explain in the comments box.</v>
      </c>
      <c r="H885" s="25" t="str">
        <f t="shared" ca="1" si="168"/>
        <v/>
      </c>
      <c r="I885" s="25" t="str">
        <f t="shared" ca="1" si="169"/>
        <v/>
      </c>
      <c r="J885" s="26" t="str">
        <f t="shared" ca="1" si="170"/>
        <v/>
      </c>
    </row>
    <row r="886" spans="1:10" x14ac:dyDescent="0.25">
      <c r="A886" t="s">
        <v>313</v>
      </c>
      <c r="B886" t="str">
        <f>ADDRESS(ROW('Bond 1'!$B$22),COLUMN('Bond 1'!$B$22),4)</f>
        <v>B22</v>
      </c>
      <c r="C886" t="str">
        <f>ADDRESS(ROW('Bond 1'!$D$22),COLUMN('Bond 1'!$D$22),4)</f>
        <v>D22</v>
      </c>
      <c r="D886" t="b" cm="1">
        <f t="array" aca="1" ref="D886" ca="1">IF(AND(NOT(ISBLANK('Bond Input'!O$19)),INDIRECT("'"&amp;A886&amp;"'!"&amp;B886)&lt;&gt;'Bond Input'!O$19),TRUE,FALSE)</f>
        <v>0</v>
      </c>
      <c r="E886" t="s">
        <v>634</v>
      </c>
      <c r="F886" t="str">
        <f>INDEX(Lists!I:I,MATCH(Validation!E886,Lists!G:G,0))</f>
        <v>Alert</v>
      </c>
      <c r="G886" t="str">
        <f>INDEX(Lists!H:H,MATCH(Validation!E886,Lists!G:G,0))</f>
        <v>You have changed previously reported data. Explain in the comments box.</v>
      </c>
      <c r="H886" s="25" t="str">
        <f t="shared" ca="1" si="168"/>
        <v/>
      </c>
      <c r="I886" s="25" t="str">
        <f t="shared" ca="1" si="169"/>
        <v/>
      </c>
      <c r="J886" s="26" t="str">
        <f t="shared" ca="1" si="170"/>
        <v/>
      </c>
    </row>
    <row r="887" spans="1:10" x14ac:dyDescent="0.25">
      <c r="A887" t="s">
        <v>314</v>
      </c>
      <c r="B887" t="str">
        <f>ADDRESS(ROW('Bond 1'!$B$22),COLUMN('Bond 1'!$B$22),4)</f>
        <v>B22</v>
      </c>
      <c r="C887" t="str">
        <f>ADDRESS(ROW('Bond 1'!$D$22),COLUMN('Bond 1'!$D$22),4)</f>
        <v>D22</v>
      </c>
      <c r="D887" t="b" cm="1">
        <f t="array" aca="1" ref="D887" ca="1">IF(AND(NOT(ISBLANK('Bond Input'!P$19)),INDIRECT("'"&amp;A887&amp;"'!"&amp;B887)&lt;&gt;'Bond Input'!P$19),TRUE,FALSE)</f>
        <v>0</v>
      </c>
      <c r="E887" t="s">
        <v>634</v>
      </c>
      <c r="F887" t="str">
        <f>INDEX(Lists!I:I,MATCH(Validation!E887,Lists!G:G,0))</f>
        <v>Alert</v>
      </c>
      <c r="G887" t="str">
        <f>INDEX(Lists!H:H,MATCH(Validation!E887,Lists!G:G,0))</f>
        <v>You have changed previously reported data. Explain in the comments box.</v>
      </c>
      <c r="H887" s="25" t="str">
        <f t="shared" ca="1" si="168"/>
        <v/>
      </c>
      <c r="I887" s="25" t="str">
        <f t="shared" ca="1" si="169"/>
        <v/>
      </c>
      <c r="J887" s="26" t="str">
        <f t="shared" ca="1" si="170"/>
        <v/>
      </c>
    </row>
    <row r="888" spans="1:10" x14ac:dyDescent="0.25">
      <c r="A888" t="s">
        <v>315</v>
      </c>
      <c r="B888" t="str">
        <f>ADDRESS(ROW('Bond 1'!$B$22),COLUMN('Bond 1'!$B$22),4)</f>
        <v>B22</v>
      </c>
      <c r="C888" t="str">
        <f>ADDRESS(ROW('Bond 1'!$D$22),COLUMN('Bond 1'!$D$22),4)</f>
        <v>D22</v>
      </c>
      <c r="D888" t="b" cm="1">
        <f t="array" aca="1" ref="D888" ca="1">IF(AND(NOT(ISBLANK('Bond Input'!Q$19)),INDIRECT("'"&amp;A888&amp;"'!"&amp;B888)&lt;&gt;'Bond Input'!Q$19),TRUE,FALSE)</f>
        <v>0</v>
      </c>
      <c r="E888" t="s">
        <v>634</v>
      </c>
      <c r="F888" t="str">
        <f>INDEX(Lists!I:I,MATCH(Validation!E888,Lists!G:G,0))</f>
        <v>Alert</v>
      </c>
      <c r="G888" t="str">
        <f>INDEX(Lists!H:H,MATCH(Validation!E888,Lists!G:G,0))</f>
        <v>You have changed previously reported data. Explain in the comments box.</v>
      </c>
      <c r="H888" s="25" t="str">
        <f t="shared" ca="1" si="168"/>
        <v/>
      </c>
      <c r="I888" s="25" t="str">
        <f t="shared" ca="1" si="169"/>
        <v/>
      </c>
      <c r="J888" s="26" t="str">
        <f t="shared" ca="1" si="170"/>
        <v/>
      </c>
    </row>
    <row r="889" spans="1:10" x14ac:dyDescent="0.25">
      <c r="A889" t="s">
        <v>198</v>
      </c>
      <c r="B889" t="str">
        <f>ADDRESS(ROW('Bond 1'!$C$22),COLUMN('Bond 1'!$C$22),4)</f>
        <v>C22</v>
      </c>
      <c r="C889" t="str">
        <f>ADDRESS(ROW('Bond 1'!$D$22),COLUMN('Bond 1'!$D$22),4)</f>
        <v>D22</v>
      </c>
      <c r="D889" t="b" cm="1">
        <f t="array" aca="1" ref="D889" ca="1">IF(INDIRECT("'"&amp;A889&amp;"'!"&amp;B889)="",FALSE,IF(NOT(ISNUMBER(INDIRECT("'"&amp;A889&amp;"'!"&amp;B889))),TRUE,FALSE))</f>
        <v>0</v>
      </c>
      <c r="E889" t="s">
        <v>435</v>
      </c>
      <c r="F889" t="str">
        <f>INDEX(Lists!I:I,MATCH(Validation!E889,Lists!G:G,0))</f>
        <v>Error</v>
      </c>
      <c r="G889" t="str">
        <f>INDEX(Lists!H:H,MATCH(Validation!E889,Lists!G:G,0))</f>
        <v>Enter an amount only. Do not enter text or spaces.</v>
      </c>
      <c r="H889" s="25" t="str">
        <f t="shared" ref="H889:H952" ca="1" si="171">IFERROR(IF(OR(NOT(D889),F889&lt;&gt;"Error"),"",A889&amp;CELL("address",INDIRECT(B889))),"")</f>
        <v/>
      </c>
      <c r="I889" s="25" t="str">
        <f t="shared" ref="I889:I952" ca="1" si="172">IFERROR(IF(NOT(D889),"",A889&amp;CELL("address",INDIRECT(C889))),"")</f>
        <v/>
      </c>
      <c r="J889" s="26" t="str">
        <f t="shared" ref="J889:J952" ca="1" si="173">IFERROR(IF(NOT(D889),"",A889),"")</f>
        <v/>
      </c>
    </row>
    <row r="890" spans="1:10" x14ac:dyDescent="0.25">
      <c r="A890" t="s">
        <v>302</v>
      </c>
      <c r="B890" t="str">
        <f>ADDRESS(ROW('Bond 1'!$C$22),COLUMN('Bond 1'!$C$22),4)</f>
        <v>C22</v>
      </c>
      <c r="C890" t="str">
        <f>ADDRESS(ROW('Bond 1'!$D$22),COLUMN('Bond 1'!$D$22),4)</f>
        <v>D22</v>
      </c>
      <c r="D890" t="b" cm="1">
        <f t="array" aca="1" ref="D890" ca="1">IF(INDIRECT("'"&amp;A890&amp;"'!"&amp;B890)="",FALSE,IF(NOT(ISNUMBER(INDIRECT("'"&amp;A890&amp;"'!"&amp;B890))),TRUE,FALSE))</f>
        <v>0</v>
      </c>
      <c r="E890" t="s">
        <v>435</v>
      </c>
      <c r="F890" t="str">
        <f>INDEX(Lists!I:I,MATCH(Validation!E890,Lists!G:G,0))</f>
        <v>Error</v>
      </c>
      <c r="G890" t="str">
        <f>INDEX(Lists!H:H,MATCH(Validation!E890,Lists!G:G,0))</f>
        <v>Enter an amount only. Do not enter text or spaces.</v>
      </c>
      <c r="H890" s="25" t="str">
        <f t="shared" ca="1" si="171"/>
        <v/>
      </c>
      <c r="I890" s="25" t="str">
        <f t="shared" ca="1" si="172"/>
        <v/>
      </c>
      <c r="J890" s="26" t="str">
        <f t="shared" ca="1" si="173"/>
        <v/>
      </c>
    </row>
    <row r="891" spans="1:10" x14ac:dyDescent="0.25">
      <c r="A891" t="s">
        <v>303</v>
      </c>
      <c r="B891" t="str">
        <f>ADDRESS(ROW('Bond 1'!$C$22),COLUMN('Bond 1'!$C$22),4)</f>
        <v>C22</v>
      </c>
      <c r="C891" t="str">
        <f>ADDRESS(ROW('Bond 1'!$D$22),COLUMN('Bond 1'!$D$22),4)</f>
        <v>D22</v>
      </c>
      <c r="D891" t="b" cm="1">
        <f t="array" aca="1" ref="D891" ca="1">IF(INDIRECT("'"&amp;A891&amp;"'!"&amp;B891)="",FALSE,IF(NOT(ISNUMBER(INDIRECT("'"&amp;A891&amp;"'!"&amp;B891))),TRUE,FALSE))</f>
        <v>0</v>
      </c>
      <c r="E891" t="s">
        <v>435</v>
      </c>
      <c r="F891" t="str">
        <f>INDEX(Lists!I:I,MATCH(Validation!E891,Lists!G:G,0))</f>
        <v>Error</v>
      </c>
      <c r="G891" t="str">
        <f>INDEX(Lists!H:H,MATCH(Validation!E891,Lists!G:G,0))</f>
        <v>Enter an amount only. Do not enter text or spaces.</v>
      </c>
      <c r="H891" s="25" t="str">
        <f t="shared" ca="1" si="171"/>
        <v/>
      </c>
      <c r="I891" s="25" t="str">
        <f t="shared" ca="1" si="172"/>
        <v/>
      </c>
      <c r="J891" s="26" t="str">
        <f t="shared" ca="1" si="173"/>
        <v/>
      </c>
    </row>
    <row r="892" spans="1:10" x14ac:dyDescent="0.25">
      <c r="A892" t="s">
        <v>304</v>
      </c>
      <c r="B892" t="str">
        <f>ADDRESS(ROW('Bond 1'!$C$22),COLUMN('Bond 1'!$C$22),4)</f>
        <v>C22</v>
      </c>
      <c r="C892" t="str">
        <f>ADDRESS(ROW('Bond 1'!$D$22),COLUMN('Bond 1'!$D$22),4)</f>
        <v>D22</v>
      </c>
      <c r="D892" t="b" cm="1">
        <f t="array" aca="1" ref="D892" ca="1">IF(INDIRECT("'"&amp;A892&amp;"'!"&amp;B892)="",FALSE,IF(NOT(ISNUMBER(INDIRECT("'"&amp;A892&amp;"'!"&amp;B892))),TRUE,FALSE))</f>
        <v>0</v>
      </c>
      <c r="E892" t="s">
        <v>435</v>
      </c>
      <c r="F892" t="str">
        <f>INDEX(Lists!I:I,MATCH(Validation!E892,Lists!G:G,0))</f>
        <v>Error</v>
      </c>
      <c r="G892" t="str">
        <f>INDEX(Lists!H:H,MATCH(Validation!E892,Lists!G:G,0))</f>
        <v>Enter an amount only. Do not enter text or spaces.</v>
      </c>
      <c r="H892" s="25" t="str">
        <f t="shared" ca="1" si="171"/>
        <v/>
      </c>
      <c r="I892" s="25" t="str">
        <f t="shared" ca="1" si="172"/>
        <v/>
      </c>
      <c r="J892" s="26" t="str">
        <f t="shared" ca="1" si="173"/>
        <v/>
      </c>
    </row>
    <row r="893" spans="1:10" x14ac:dyDescent="0.25">
      <c r="A893" t="s">
        <v>305</v>
      </c>
      <c r="B893" t="str">
        <f>ADDRESS(ROW('Bond 1'!$C$22),COLUMN('Bond 1'!$C$22),4)</f>
        <v>C22</v>
      </c>
      <c r="C893" t="str">
        <f>ADDRESS(ROW('Bond 1'!$D$22),COLUMN('Bond 1'!$D$22),4)</f>
        <v>D22</v>
      </c>
      <c r="D893" t="b" cm="1">
        <f t="array" aca="1" ref="D893" ca="1">IF(INDIRECT("'"&amp;A893&amp;"'!"&amp;B893)="",FALSE,IF(NOT(ISNUMBER(INDIRECT("'"&amp;A893&amp;"'!"&amp;B893))),TRUE,FALSE))</f>
        <v>0</v>
      </c>
      <c r="E893" t="s">
        <v>435</v>
      </c>
      <c r="F893" t="str">
        <f>INDEX(Lists!I:I,MATCH(Validation!E893,Lists!G:G,0))</f>
        <v>Error</v>
      </c>
      <c r="G893" t="str">
        <f>INDEX(Lists!H:H,MATCH(Validation!E893,Lists!G:G,0))</f>
        <v>Enter an amount only. Do not enter text or spaces.</v>
      </c>
      <c r="H893" s="25" t="str">
        <f t="shared" ca="1" si="171"/>
        <v/>
      </c>
      <c r="I893" s="25" t="str">
        <f t="shared" ca="1" si="172"/>
        <v/>
      </c>
      <c r="J893" s="26" t="str">
        <f t="shared" ca="1" si="173"/>
        <v/>
      </c>
    </row>
    <row r="894" spans="1:10" x14ac:dyDescent="0.25">
      <c r="A894" t="s">
        <v>306</v>
      </c>
      <c r="B894" t="str">
        <f>ADDRESS(ROW('Bond 1'!$C$22),COLUMN('Bond 1'!$C$22),4)</f>
        <v>C22</v>
      </c>
      <c r="C894" t="str">
        <f>ADDRESS(ROW('Bond 1'!$D$22),COLUMN('Bond 1'!$D$22),4)</f>
        <v>D22</v>
      </c>
      <c r="D894" t="b" cm="1">
        <f t="array" aca="1" ref="D894" ca="1">IF(INDIRECT("'"&amp;A894&amp;"'!"&amp;B894)="",FALSE,IF(NOT(ISNUMBER(INDIRECT("'"&amp;A894&amp;"'!"&amp;B894))),TRUE,FALSE))</f>
        <v>0</v>
      </c>
      <c r="E894" t="s">
        <v>435</v>
      </c>
      <c r="F894" t="str">
        <f>INDEX(Lists!I:I,MATCH(Validation!E894,Lists!G:G,0))</f>
        <v>Error</v>
      </c>
      <c r="G894" t="str">
        <f>INDEX(Lists!H:H,MATCH(Validation!E894,Lists!G:G,0))</f>
        <v>Enter an amount only. Do not enter text or spaces.</v>
      </c>
      <c r="H894" s="25" t="str">
        <f t="shared" ca="1" si="171"/>
        <v/>
      </c>
      <c r="I894" s="25" t="str">
        <f t="shared" ca="1" si="172"/>
        <v/>
      </c>
      <c r="J894" s="26" t="str">
        <f t="shared" ca="1" si="173"/>
        <v/>
      </c>
    </row>
    <row r="895" spans="1:10" x14ac:dyDescent="0.25">
      <c r="A895" t="s">
        <v>307</v>
      </c>
      <c r="B895" t="str">
        <f>ADDRESS(ROW('Bond 1'!$C$22),COLUMN('Bond 1'!$C$22),4)</f>
        <v>C22</v>
      </c>
      <c r="C895" t="str">
        <f>ADDRESS(ROW('Bond 1'!$D$22),COLUMN('Bond 1'!$D$22),4)</f>
        <v>D22</v>
      </c>
      <c r="D895" t="b" cm="1">
        <f t="array" aca="1" ref="D895" ca="1">IF(INDIRECT("'"&amp;A895&amp;"'!"&amp;B895)="",FALSE,IF(NOT(ISNUMBER(INDIRECT("'"&amp;A895&amp;"'!"&amp;B895))),TRUE,FALSE))</f>
        <v>0</v>
      </c>
      <c r="E895" t="s">
        <v>435</v>
      </c>
      <c r="F895" t="str">
        <f>INDEX(Lists!I:I,MATCH(Validation!E895,Lists!G:G,0))</f>
        <v>Error</v>
      </c>
      <c r="G895" t="str">
        <f>INDEX(Lists!H:H,MATCH(Validation!E895,Lists!G:G,0))</f>
        <v>Enter an amount only. Do not enter text or spaces.</v>
      </c>
      <c r="H895" s="25" t="str">
        <f t="shared" ca="1" si="171"/>
        <v/>
      </c>
      <c r="I895" s="25" t="str">
        <f t="shared" ca="1" si="172"/>
        <v/>
      </c>
      <c r="J895" s="26" t="str">
        <f t="shared" ca="1" si="173"/>
        <v/>
      </c>
    </row>
    <row r="896" spans="1:10" x14ac:dyDescent="0.25">
      <c r="A896" t="s">
        <v>308</v>
      </c>
      <c r="B896" t="str">
        <f>ADDRESS(ROW('Bond 1'!$C$22),COLUMN('Bond 1'!$C$22),4)</f>
        <v>C22</v>
      </c>
      <c r="C896" t="str">
        <f>ADDRESS(ROW('Bond 1'!$D$22),COLUMN('Bond 1'!$D$22),4)</f>
        <v>D22</v>
      </c>
      <c r="D896" t="b" cm="1">
        <f t="array" aca="1" ref="D896" ca="1">IF(INDIRECT("'"&amp;A896&amp;"'!"&amp;B896)="",FALSE,IF(NOT(ISNUMBER(INDIRECT("'"&amp;A896&amp;"'!"&amp;B896))),TRUE,FALSE))</f>
        <v>0</v>
      </c>
      <c r="E896" t="s">
        <v>435</v>
      </c>
      <c r="F896" t="str">
        <f>INDEX(Lists!I:I,MATCH(Validation!E896,Lists!G:G,0))</f>
        <v>Error</v>
      </c>
      <c r="G896" t="str">
        <f>INDEX(Lists!H:H,MATCH(Validation!E896,Lists!G:G,0))</f>
        <v>Enter an amount only. Do not enter text or spaces.</v>
      </c>
      <c r="H896" s="25" t="str">
        <f t="shared" ca="1" si="171"/>
        <v/>
      </c>
      <c r="I896" s="25" t="str">
        <f t="shared" ca="1" si="172"/>
        <v/>
      </c>
      <c r="J896" s="26" t="str">
        <f t="shared" ca="1" si="173"/>
        <v/>
      </c>
    </row>
    <row r="897" spans="1:10" x14ac:dyDescent="0.25">
      <c r="A897" t="s">
        <v>309</v>
      </c>
      <c r="B897" t="str">
        <f>ADDRESS(ROW('Bond 1'!$C$22),COLUMN('Bond 1'!$C$22),4)</f>
        <v>C22</v>
      </c>
      <c r="C897" t="str">
        <f>ADDRESS(ROW('Bond 1'!$D$22),COLUMN('Bond 1'!$D$22),4)</f>
        <v>D22</v>
      </c>
      <c r="D897" t="b" cm="1">
        <f t="array" aca="1" ref="D897" ca="1">IF(INDIRECT("'"&amp;A897&amp;"'!"&amp;B897)="",FALSE,IF(NOT(ISNUMBER(INDIRECT("'"&amp;A897&amp;"'!"&amp;B897))),TRUE,FALSE))</f>
        <v>0</v>
      </c>
      <c r="E897" t="s">
        <v>435</v>
      </c>
      <c r="F897" t="str">
        <f>INDEX(Lists!I:I,MATCH(Validation!E897,Lists!G:G,0))</f>
        <v>Error</v>
      </c>
      <c r="G897" t="str">
        <f>INDEX(Lists!H:H,MATCH(Validation!E897,Lists!G:G,0))</f>
        <v>Enter an amount only. Do not enter text or spaces.</v>
      </c>
      <c r="H897" s="25" t="str">
        <f t="shared" ca="1" si="171"/>
        <v/>
      </c>
      <c r="I897" s="25" t="str">
        <f t="shared" ca="1" si="172"/>
        <v/>
      </c>
      <c r="J897" s="26" t="str">
        <f t="shared" ca="1" si="173"/>
        <v/>
      </c>
    </row>
    <row r="898" spans="1:10" x14ac:dyDescent="0.25">
      <c r="A898" t="s">
        <v>310</v>
      </c>
      <c r="B898" t="str">
        <f>ADDRESS(ROW('Bond 1'!$C$22),COLUMN('Bond 1'!$C$22),4)</f>
        <v>C22</v>
      </c>
      <c r="C898" t="str">
        <f>ADDRESS(ROW('Bond 1'!$D$22),COLUMN('Bond 1'!$D$22),4)</f>
        <v>D22</v>
      </c>
      <c r="D898" t="b" cm="1">
        <f t="array" aca="1" ref="D898" ca="1">IF(INDIRECT("'"&amp;A898&amp;"'!"&amp;B898)="",FALSE,IF(NOT(ISNUMBER(INDIRECT("'"&amp;A898&amp;"'!"&amp;B898))),TRUE,FALSE))</f>
        <v>0</v>
      </c>
      <c r="E898" t="s">
        <v>435</v>
      </c>
      <c r="F898" t="str">
        <f>INDEX(Lists!I:I,MATCH(Validation!E898,Lists!G:G,0))</f>
        <v>Error</v>
      </c>
      <c r="G898" t="str">
        <f>INDEX(Lists!H:H,MATCH(Validation!E898,Lists!G:G,0))</f>
        <v>Enter an amount only. Do not enter text or spaces.</v>
      </c>
      <c r="H898" s="25" t="str">
        <f t="shared" ca="1" si="171"/>
        <v/>
      </c>
      <c r="I898" s="25" t="str">
        <f t="shared" ca="1" si="172"/>
        <v/>
      </c>
      <c r="J898" s="26" t="str">
        <f t="shared" ca="1" si="173"/>
        <v/>
      </c>
    </row>
    <row r="899" spans="1:10" x14ac:dyDescent="0.25">
      <c r="A899" t="s">
        <v>311</v>
      </c>
      <c r="B899" t="str">
        <f>ADDRESS(ROW('Bond 1'!$C$22),COLUMN('Bond 1'!$C$22),4)</f>
        <v>C22</v>
      </c>
      <c r="C899" t="str">
        <f>ADDRESS(ROW('Bond 1'!$D$22),COLUMN('Bond 1'!$D$22),4)</f>
        <v>D22</v>
      </c>
      <c r="D899" t="b" cm="1">
        <f t="array" aca="1" ref="D899" ca="1">IF(INDIRECT("'"&amp;A899&amp;"'!"&amp;B899)="",FALSE,IF(NOT(ISNUMBER(INDIRECT("'"&amp;A899&amp;"'!"&amp;B899))),TRUE,FALSE))</f>
        <v>0</v>
      </c>
      <c r="E899" t="s">
        <v>435</v>
      </c>
      <c r="F899" t="str">
        <f>INDEX(Lists!I:I,MATCH(Validation!E899,Lists!G:G,0))</f>
        <v>Error</v>
      </c>
      <c r="G899" t="str">
        <f>INDEX(Lists!H:H,MATCH(Validation!E899,Lists!G:G,0))</f>
        <v>Enter an amount only. Do not enter text or spaces.</v>
      </c>
      <c r="H899" s="25" t="str">
        <f t="shared" ca="1" si="171"/>
        <v/>
      </c>
      <c r="I899" s="25" t="str">
        <f t="shared" ca="1" si="172"/>
        <v/>
      </c>
      <c r="J899" s="26" t="str">
        <f t="shared" ca="1" si="173"/>
        <v/>
      </c>
    </row>
    <row r="900" spans="1:10" x14ac:dyDescent="0.25">
      <c r="A900" t="s">
        <v>312</v>
      </c>
      <c r="B900" t="str">
        <f>ADDRESS(ROW('Bond 1'!$C$22),COLUMN('Bond 1'!$C$22),4)</f>
        <v>C22</v>
      </c>
      <c r="C900" t="str">
        <f>ADDRESS(ROW('Bond 1'!$D$22),COLUMN('Bond 1'!$D$22),4)</f>
        <v>D22</v>
      </c>
      <c r="D900" t="b" cm="1">
        <f t="array" aca="1" ref="D900" ca="1">IF(INDIRECT("'"&amp;A900&amp;"'!"&amp;B900)="",FALSE,IF(NOT(ISNUMBER(INDIRECT("'"&amp;A900&amp;"'!"&amp;B900))),TRUE,FALSE))</f>
        <v>0</v>
      </c>
      <c r="E900" t="s">
        <v>435</v>
      </c>
      <c r="F900" t="str">
        <f>INDEX(Lists!I:I,MATCH(Validation!E900,Lists!G:G,0))</f>
        <v>Error</v>
      </c>
      <c r="G900" t="str">
        <f>INDEX(Lists!H:H,MATCH(Validation!E900,Lists!G:G,0))</f>
        <v>Enter an amount only. Do not enter text or spaces.</v>
      </c>
      <c r="H900" s="25" t="str">
        <f t="shared" ca="1" si="171"/>
        <v/>
      </c>
      <c r="I900" s="25" t="str">
        <f t="shared" ca="1" si="172"/>
        <v/>
      </c>
      <c r="J900" s="26" t="str">
        <f t="shared" ca="1" si="173"/>
        <v/>
      </c>
    </row>
    <row r="901" spans="1:10" x14ac:dyDescent="0.25">
      <c r="A901" t="s">
        <v>313</v>
      </c>
      <c r="B901" t="str">
        <f>ADDRESS(ROW('Bond 1'!$C$22),COLUMN('Bond 1'!$C$22),4)</f>
        <v>C22</v>
      </c>
      <c r="C901" t="str">
        <f>ADDRESS(ROW('Bond 1'!$D$22),COLUMN('Bond 1'!$D$22),4)</f>
        <v>D22</v>
      </c>
      <c r="D901" t="b" cm="1">
        <f t="array" aca="1" ref="D901" ca="1">IF(INDIRECT("'"&amp;A901&amp;"'!"&amp;B901)="",FALSE,IF(NOT(ISNUMBER(INDIRECT("'"&amp;A901&amp;"'!"&amp;B901))),TRUE,FALSE))</f>
        <v>0</v>
      </c>
      <c r="E901" t="s">
        <v>435</v>
      </c>
      <c r="F901" t="str">
        <f>INDEX(Lists!I:I,MATCH(Validation!E901,Lists!G:G,0))</f>
        <v>Error</v>
      </c>
      <c r="G901" t="str">
        <f>INDEX(Lists!H:H,MATCH(Validation!E901,Lists!G:G,0))</f>
        <v>Enter an amount only. Do not enter text or spaces.</v>
      </c>
      <c r="H901" s="25" t="str">
        <f t="shared" ca="1" si="171"/>
        <v/>
      </c>
      <c r="I901" s="25" t="str">
        <f t="shared" ca="1" si="172"/>
        <v/>
      </c>
      <c r="J901" s="26" t="str">
        <f t="shared" ca="1" si="173"/>
        <v/>
      </c>
    </row>
    <row r="902" spans="1:10" x14ac:dyDescent="0.25">
      <c r="A902" t="s">
        <v>314</v>
      </c>
      <c r="B902" t="str">
        <f>ADDRESS(ROW('Bond 1'!$C$22),COLUMN('Bond 1'!$C$22),4)</f>
        <v>C22</v>
      </c>
      <c r="C902" t="str">
        <f>ADDRESS(ROW('Bond 1'!$D$22),COLUMN('Bond 1'!$D$22),4)</f>
        <v>D22</v>
      </c>
      <c r="D902" t="b" cm="1">
        <f t="array" aca="1" ref="D902" ca="1">IF(INDIRECT("'"&amp;A902&amp;"'!"&amp;B902)="",FALSE,IF(NOT(ISNUMBER(INDIRECT("'"&amp;A902&amp;"'!"&amp;B902))),TRUE,FALSE))</f>
        <v>0</v>
      </c>
      <c r="E902" t="s">
        <v>435</v>
      </c>
      <c r="F902" t="str">
        <f>INDEX(Lists!I:I,MATCH(Validation!E902,Lists!G:G,0))</f>
        <v>Error</v>
      </c>
      <c r="G902" t="str">
        <f>INDEX(Lists!H:H,MATCH(Validation!E902,Lists!G:G,0))</f>
        <v>Enter an amount only. Do not enter text or spaces.</v>
      </c>
      <c r="H902" s="25" t="str">
        <f t="shared" ca="1" si="171"/>
        <v/>
      </c>
      <c r="I902" s="25" t="str">
        <f t="shared" ca="1" si="172"/>
        <v/>
      </c>
      <c r="J902" s="26" t="str">
        <f t="shared" ca="1" si="173"/>
        <v/>
      </c>
    </row>
    <row r="903" spans="1:10" x14ac:dyDescent="0.25">
      <c r="A903" t="s">
        <v>315</v>
      </c>
      <c r="B903" t="str">
        <f>ADDRESS(ROW('Bond 1'!$C$22),COLUMN('Bond 1'!$C$22),4)</f>
        <v>C22</v>
      </c>
      <c r="C903" t="str">
        <f>ADDRESS(ROW('Bond 1'!$D$22),COLUMN('Bond 1'!$D$22),4)</f>
        <v>D22</v>
      </c>
      <c r="D903" t="b" cm="1">
        <f t="array" aca="1" ref="D903" ca="1">IF(INDIRECT("'"&amp;A903&amp;"'!"&amp;B903)="",FALSE,IF(NOT(ISNUMBER(INDIRECT("'"&amp;A903&amp;"'!"&amp;B903))),TRUE,FALSE))</f>
        <v>0</v>
      </c>
      <c r="E903" t="s">
        <v>435</v>
      </c>
      <c r="F903" t="str">
        <f>INDEX(Lists!I:I,MATCH(Validation!E903,Lists!G:G,0))</f>
        <v>Error</v>
      </c>
      <c r="G903" t="str">
        <f>INDEX(Lists!H:H,MATCH(Validation!E903,Lists!G:G,0))</f>
        <v>Enter an amount only. Do not enter text or spaces.</v>
      </c>
      <c r="H903" s="25" t="str">
        <f t="shared" ca="1" si="171"/>
        <v/>
      </c>
      <c r="I903" s="25" t="str">
        <f t="shared" ca="1" si="172"/>
        <v/>
      </c>
      <c r="J903" s="26" t="str">
        <f t="shared" ca="1" si="173"/>
        <v/>
      </c>
    </row>
    <row r="904" spans="1:10" x14ac:dyDescent="0.25">
      <c r="A904" t="s">
        <v>198</v>
      </c>
      <c r="B904" t="str">
        <f>ADDRESS(ROW('Bond 1'!$C$22),COLUMN('Bond 1'!$C$22),4)</f>
        <v>C22</v>
      </c>
      <c r="C904" t="str">
        <f>ADDRESS(ROW('Bond 1'!$D$22),COLUMN('Bond 1'!$D$22),4)</f>
        <v>D22</v>
      </c>
      <c r="D904" t="b" cm="1">
        <f t="array" aca="1" ref="D904" ca="1">IF(INDIRECT("'"&amp;A904&amp;"'!"&amp;B904)="",FALSE,IF(INDIRECT("'"&amp;A904&amp;"'!"&amp;B904)&lt;0,TRUE,FALSE))</f>
        <v>0</v>
      </c>
      <c r="E904" t="s">
        <v>434</v>
      </c>
      <c r="F904" t="str">
        <f>INDEX(Lists!I:I,MATCH(Validation!E904,Lists!G:G,0))</f>
        <v>Error</v>
      </c>
      <c r="G904" t="str">
        <f>INDEX(Lists!H:H,MATCH(Validation!E904,Lists!G:G,0))</f>
        <v>Amount may not be negative. Enter an amount greater than or equal to zero.</v>
      </c>
      <c r="H904" s="25" t="str">
        <f t="shared" ca="1" si="171"/>
        <v/>
      </c>
      <c r="I904" s="25" t="str">
        <f t="shared" ca="1" si="172"/>
        <v/>
      </c>
      <c r="J904" s="26" t="str">
        <f t="shared" ca="1" si="173"/>
        <v/>
      </c>
    </row>
    <row r="905" spans="1:10" x14ac:dyDescent="0.25">
      <c r="A905" t="s">
        <v>302</v>
      </c>
      <c r="B905" t="str">
        <f>ADDRESS(ROW('Bond 1'!$C$22),COLUMN('Bond 1'!$C$22),4)</f>
        <v>C22</v>
      </c>
      <c r="C905" t="str">
        <f>ADDRESS(ROW('Bond 1'!$D$22),COLUMN('Bond 1'!$D$22),4)</f>
        <v>D22</v>
      </c>
      <c r="D905" t="b" cm="1">
        <f t="array" aca="1" ref="D905" ca="1">IF(INDIRECT("'"&amp;A905&amp;"'!"&amp;B905)="",FALSE,IF(INDIRECT("'"&amp;A905&amp;"'!"&amp;B905)&lt;0,TRUE,FALSE))</f>
        <v>0</v>
      </c>
      <c r="E905" t="s">
        <v>434</v>
      </c>
      <c r="F905" t="str">
        <f>INDEX(Lists!I:I,MATCH(Validation!E905,Lists!G:G,0))</f>
        <v>Error</v>
      </c>
      <c r="G905" t="str">
        <f>INDEX(Lists!H:H,MATCH(Validation!E905,Lists!G:G,0))</f>
        <v>Amount may not be negative. Enter an amount greater than or equal to zero.</v>
      </c>
      <c r="H905" s="25" t="str">
        <f t="shared" ca="1" si="171"/>
        <v/>
      </c>
      <c r="I905" s="25" t="str">
        <f t="shared" ca="1" si="172"/>
        <v/>
      </c>
      <c r="J905" s="26" t="str">
        <f t="shared" ca="1" si="173"/>
        <v/>
      </c>
    </row>
    <row r="906" spans="1:10" x14ac:dyDescent="0.25">
      <c r="A906" t="s">
        <v>303</v>
      </c>
      <c r="B906" t="str">
        <f>ADDRESS(ROW('Bond 1'!$C$22),COLUMN('Bond 1'!$C$22),4)</f>
        <v>C22</v>
      </c>
      <c r="C906" t="str">
        <f>ADDRESS(ROW('Bond 1'!$D$22),COLUMN('Bond 1'!$D$22),4)</f>
        <v>D22</v>
      </c>
      <c r="D906" t="b" cm="1">
        <f t="array" aca="1" ref="D906" ca="1">IF(INDIRECT("'"&amp;A906&amp;"'!"&amp;B906)="",FALSE,IF(INDIRECT("'"&amp;A906&amp;"'!"&amp;B906)&lt;0,TRUE,FALSE))</f>
        <v>0</v>
      </c>
      <c r="E906" t="s">
        <v>434</v>
      </c>
      <c r="F906" t="str">
        <f>INDEX(Lists!I:I,MATCH(Validation!E906,Lists!G:G,0))</f>
        <v>Error</v>
      </c>
      <c r="G906" t="str">
        <f>INDEX(Lists!H:H,MATCH(Validation!E906,Lists!G:G,0))</f>
        <v>Amount may not be negative. Enter an amount greater than or equal to zero.</v>
      </c>
      <c r="H906" s="25" t="str">
        <f t="shared" ca="1" si="171"/>
        <v/>
      </c>
      <c r="I906" s="25" t="str">
        <f t="shared" ca="1" si="172"/>
        <v/>
      </c>
      <c r="J906" s="26" t="str">
        <f t="shared" ca="1" si="173"/>
        <v/>
      </c>
    </row>
    <row r="907" spans="1:10" x14ac:dyDescent="0.25">
      <c r="A907" t="s">
        <v>304</v>
      </c>
      <c r="B907" t="str">
        <f>ADDRESS(ROW('Bond 1'!$C$22),COLUMN('Bond 1'!$C$22),4)</f>
        <v>C22</v>
      </c>
      <c r="C907" t="str">
        <f>ADDRESS(ROW('Bond 1'!$D$22),COLUMN('Bond 1'!$D$22),4)</f>
        <v>D22</v>
      </c>
      <c r="D907" t="b" cm="1">
        <f t="array" aca="1" ref="D907" ca="1">IF(INDIRECT("'"&amp;A907&amp;"'!"&amp;B907)="",FALSE,IF(INDIRECT("'"&amp;A907&amp;"'!"&amp;B907)&lt;0,TRUE,FALSE))</f>
        <v>0</v>
      </c>
      <c r="E907" t="s">
        <v>434</v>
      </c>
      <c r="F907" t="str">
        <f>INDEX(Lists!I:I,MATCH(Validation!E907,Lists!G:G,0))</f>
        <v>Error</v>
      </c>
      <c r="G907" t="str">
        <f>INDEX(Lists!H:H,MATCH(Validation!E907,Lists!G:G,0))</f>
        <v>Amount may not be negative. Enter an amount greater than or equal to zero.</v>
      </c>
      <c r="H907" s="25" t="str">
        <f t="shared" ca="1" si="171"/>
        <v/>
      </c>
      <c r="I907" s="25" t="str">
        <f t="shared" ca="1" si="172"/>
        <v/>
      </c>
      <c r="J907" s="26" t="str">
        <f t="shared" ca="1" si="173"/>
        <v/>
      </c>
    </row>
    <row r="908" spans="1:10" x14ac:dyDescent="0.25">
      <c r="A908" t="s">
        <v>305</v>
      </c>
      <c r="B908" t="str">
        <f>ADDRESS(ROW('Bond 1'!$C$22),COLUMN('Bond 1'!$C$22),4)</f>
        <v>C22</v>
      </c>
      <c r="C908" t="str">
        <f>ADDRESS(ROW('Bond 1'!$D$22),COLUMN('Bond 1'!$D$22),4)</f>
        <v>D22</v>
      </c>
      <c r="D908" t="b" cm="1">
        <f t="array" aca="1" ref="D908" ca="1">IF(INDIRECT("'"&amp;A908&amp;"'!"&amp;B908)="",FALSE,IF(INDIRECT("'"&amp;A908&amp;"'!"&amp;B908)&lt;0,TRUE,FALSE))</f>
        <v>0</v>
      </c>
      <c r="E908" t="s">
        <v>434</v>
      </c>
      <c r="F908" t="str">
        <f>INDEX(Lists!I:I,MATCH(Validation!E908,Lists!G:G,0))</f>
        <v>Error</v>
      </c>
      <c r="G908" t="str">
        <f>INDEX(Lists!H:H,MATCH(Validation!E908,Lists!G:G,0))</f>
        <v>Amount may not be negative. Enter an amount greater than or equal to zero.</v>
      </c>
      <c r="H908" s="25" t="str">
        <f t="shared" ca="1" si="171"/>
        <v/>
      </c>
      <c r="I908" s="25" t="str">
        <f t="shared" ca="1" si="172"/>
        <v/>
      </c>
      <c r="J908" s="26" t="str">
        <f t="shared" ca="1" si="173"/>
        <v/>
      </c>
    </row>
    <row r="909" spans="1:10" x14ac:dyDescent="0.25">
      <c r="A909" t="s">
        <v>306</v>
      </c>
      <c r="B909" t="str">
        <f>ADDRESS(ROW('Bond 1'!$C$22),COLUMN('Bond 1'!$C$22),4)</f>
        <v>C22</v>
      </c>
      <c r="C909" t="str">
        <f>ADDRESS(ROW('Bond 1'!$D$22),COLUMN('Bond 1'!$D$22),4)</f>
        <v>D22</v>
      </c>
      <c r="D909" t="b" cm="1">
        <f t="array" aca="1" ref="D909" ca="1">IF(INDIRECT("'"&amp;A909&amp;"'!"&amp;B909)="",FALSE,IF(INDIRECT("'"&amp;A909&amp;"'!"&amp;B909)&lt;0,TRUE,FALSE))</f>
        <v>0</v>
      </c>
      <c r="E909" t="s">
        <v>434</v>
      </c>
      <c r="F909" t="str">
        <f>INDEX(Lists!I:I,MATCH(Validation!E909,Lists!G:G,0))</f>
        <v>Error</v>
      </c>
      <c r="G909" t="str">
        <f>INDEX(Lists!H:H,MATCH(Validation!E909,Lists!G:G,0))</f>
        <v>Amount may not be negative. Enter an amount greater than or equal to zero.</v>
      </c>
      <c r="H909" s="25" t="str">
        <f t="shared" ca="1" si="171"/>
        <v/>
      </c>
      <c r="I909" s="25" t="str">
        <f t="shared" ca="1" si="172"/>
        <v/>
      </c>
      <c r="J909" s="26" t="str">
        <f t="shared" ca="1" si="173"/>
        <v/>
      </c>
    </row>
    <row r="910" spans="1:10" x14ac:dyDescent="0.25">
      <c r="A910" t="s">
        <v>307</v>
      </c>
      <c r="B910" t="str">
        <f>ADDRESS(ROW('Bond 1'!$C$22),COLUMN('Bond 1'!$C$22),4)</f>
        <v>C22</v>
      </c>
      <c r="C910" t="str">
        <f>ADDRESS(ROW('Bond 1'!$D$22),COLUMN('Bond 1'!$D$22),4)</f>
        <v>D22</v>
      </c>
      <c r="D910" t="b" cm="1">
        <f t="array" aca="1" ref="D910" ca="1">IF(INDIRECT("'"&amp;A910&amp;"'!"&amp;B910)="",FALSE,IF(INDIRECT("'"&amp;A910&amp;"'!"&amp;B910)&lt;0,TRUE,FALSE))</f>
        <v>0</v>
      </c>
      <c r="E910" t="s">
        <v>434</v>
      </c>
      <c r="F910" t="str">
        <f>INDEX(Lists!I:I,MATCH(Validation!E910,Lists!G:G,0))</f>
        <v>Error</v>
      </c>
      <c r="G910" t="str">
        <f>INDEX(Lists!H:H,MATCH(Validation!E910,Lists!G:G,0))</f>
        <v>Amount may not be negative. Enter an amount greater than or equal to zero.</v>
      </c>
      <c r="H910" s="25" t="str">
        <f t="shared" ca="1" si="171"/>
        <v/>
      </c>
      <c r="I910" s="25" t="str">
        <f t="shared" ca="1" si="172"/>
        <v/>
      </c>
      <c r="J910" s="26" t="str">
        <f t="shared" ca="1" si="173"/>
        <v/>
      </c>
    </row>
    <row r="911" spans="1:10" x14ac:dyDescent="0.25">
      <c r="A911" t="s">
        <v>308</v>
      </c>
      <c r="B911" t="str">
        <f>ADDRESS(ROW('Bond 1'!$C$22),COLUMN('Bond 1'!$C$22),4)</f>
        <v>C22</v>
      </c>
      <c r="C911" t="str">
        <f>ADDRESS(ROW('Bond 1'!$D$22),COLUMN('Bond 1'!$D$22),4)</f>
        <v>D22</v>
      </c>
      <c r="D911" t="b" cm="1">
        <f t="array" aca="1" ref="D911" ca="1">IF(INDIRECT("'"&amp;A911&amp;"'!"&amp;B911)="",FALSE,IF(INDIRECT("'"&amp;A911&amp;"'!"&amp;B911)&lt;0,TRUE,FALSE))</f>
        <v>0</v>
      </c>
      <c r="E911" t="s">
        <v>434</v>
      </c>
      <c r="F911" t="str">
        <f>INDEX(Lists!I:I,MATCH(Validation!E911,Lists!G:G,0))</f>
        <v>Error</v>
      </c>
      <c r="G911" t="str">
        <f>INDEX(Lists!H:H,MATCH(Validation!E911,Lists!G:G,0))</f>
        <v>Amount may not be negative. Enter an amount greater than or equal to zero.</v>
      </c>
      <c r="H911" s="25" t="str">
        <f t="shared" ca="1" si="171"/>
        <v/>
      </c>
      <c r="I911" s="25" t="str">
        <f t="shared" ca="1" si="172"/>
        <v/>
      </c>
      <c r="J911" s="26" t="str">
        <f t="shared" ca="1" si="173"/>
        <v/>
      </c>
    </row>
    <row r="912" spans="1:10" x14ac:dyDescent="0.25">
      <c r="A912" t="s">
        <v>309</v>
      </c>
      <c r="B912" t="str">
        <f>ADDRESS(ROW('Bond 1'!$C$22),COLUMN('Bond 1'!$C$22),4)</f>
        <v>C22</v>
      </c>
      <c r="C912" t="str">
        <f>ADDRESS(ROW('Bond 1'!$D$22),COLUMN('Bond 1'!$D$22),4)</f>
        <v>D22</v>
      </c>
      <c r="D912" t="b" cm="1">
        <f t="array" aca="1" ref="D912" ca="1">IF(INDIRECT("'"&amp;A912&amp;"'!"&amp;B912)="",FALSE,IF(INDIRECT("'"&amp;A912&amp;"'!"&amp;B912)&lt;0,TRUE,FALSE))</f>
        <v>0</v>
      </c>
      <c r="E912" t="s">
        <v>434</v>
      </c>
      <c r="F912" t="str">
        <f>INDEX(Lists!I:I,MATCH(Validation!E912,Lists!G:G,0))</f>
        <v>Error</v>
      </c>
      <c r="G912" t="str">
        <f>INDEX(Lists!H:H,MATCH(Validation!E912,Lists!G:G,0))</f>
        <v>Amount may not be negative. Enter an amount greater than or equal to zero.</v>
      </c>
      <c r="H912" s="25" t="str">
        <f t="shared" ca="1" si="171"/>
        <v/>
      </c>
      <c r="I912" s="25" t="str">
        <f t="shared" ca="1" si="172"/>
        <v/>
      </c>
      <c r="J912" s="26" t="str">
        <f t="shared" ca="1" si="173"/>
        <v/>
      </c>
    </row>
    <row r="913" spans="1:10" x14ac:dyDescent="0.25">
      <c r="A913" t="s">
        <v>310</v>
      </c>
      <c r="B913" t="str">
        <f>ADDRESS(ROW('Bond 1'!$C$22),COLUMN('Bond 1'!$C$22),4)</f>
        <v>C22</v>
      </c>
      <c r="C913" t="str">
        <f>ADDRESS(ROW('Bond 1'!$D$22),COLUMN('Bond 1'!$D$22),4)</f>
        <v>D22</v>
      </c>
      <c r="D913" t="b" cm="1">
        <f t="array" aca="1" ref="D913" ca="1">IF(INDIRECT("'"&amp;A913&amp;"'!"&amp;B913)="",FALSE,IF(INDIRECT("'"&amp;A913&amp;"'!"&amp;B913)&lt;0,TRUE,FALSE))</f>
        <v>0</v>
      </c>
      <c r="E913" t="s">
        <v>434</v>
      </c>
      <c r="F913" t="str">
        <f>INDEX(Lists!I:I,MATCH(Validation!E913,Lists!G:G,0))</f>
        <v>Error</v>
      </c>
      <c r="G913" t="str">
        <f>INDEX(Lists!H:H,MATCH(Validation!E913,Lists!G:G,0))</f>
        <v>Amount may not be negative. Enter an amount greater than or equal to zero.</v>
      </c>
      <c r="H913" s="25" t="str">
        <f t="shared" ca="1" si="171"/>
        <v/>
      </c>
      <c r="I913" s="25" t="str">
        <f t="shared" ca="1" si="172"/>
        <v/>
      </c>
      <c r="J913" s="26" t="str">
        <f t="shared" ca="1" si="173"/>
        <v/>
      </c>
    </row>
    <row r="914" spans="1:10" x14ac:dyDescent="0.25">
      <c r="A914" t="s">
        <v>311</v>
      </c>
      <c r="B914" t="str">
        <f>ADDRESS(ROW('Bond 1'!$C$22),COLUMN('Bond 1'!$C$22),4)</f>
        <v>C22</v>
      </c>
      <c r="C914" t="str">
        <f>ADDRESS(ROW('Bond 1'!$D$22),COLUMN('Bond 1'!$D$22),4)</f>
        <v>D22</v>
      </c>
      <c r="D914" t="b" cm="1">
        <f t="array" aca="1" ref="D914" ca="1">IF(INDIRECT("'"&amp;A914&amp;"'!"&amp;B914)="",FALSE,IF(INDIRECT("'"&amp;A914&amp;"'!"&amp;B914)&lt;0,TRUE,FALSE))</f>
        <v>0</v>
      </c>
      <c r="E914" t="s">
        <v>434</v>
      </c>
      <c r="F914" t="str">
        <f>INDEX(Lists!I:I,MATCH(Validation!E914,Lists!G:G,0))</f>
        <v>Error</v>
      </c>
      <c r="G914" t="str">
        <f>INDEX(Lists!H:H,MATCH(Validation!E914,Lists!G:G,0))</f>
        <v>Amount may not be negative. Enter an amount greater than or equal to zero.</v>
      </c>
      <c r="H914" s="25" t="str">
        <f t="shared" ca="1" si="171"/>
        <v/>
      </c>
      <c r="I914" s="25" t="str">
        <f t="shared" ca="1" si="172"/>
        <v/>
      </c>
      <c r="J914" s="26" t="str">
        <f t="shared" ca="1" si="173"/>
        <v/>
      </c>
    </row>
    <row r="915" spans="1:10" x14ac:dyDescent="0.25">
      <c r="A915" t="s">
        <v>312</v>
      </c>
      <c r="B915" t="str">
        <f>ADDRESS(ROW('Bond 1'!$C$22),COLUMN('Bond 1'!$C$22),4)</f>
        <v>C22</v>
      </c>
      <c r="C915" t="str">
        <f>ADDRESS(ROW('Bond 1'!$D$22),COLUMN('Bond 1'!$D$22),4)</f>
        <v>D22</v>
      </c>
      <c r="D915" t="b" cm="1">
        <f t="array" aca="1" ref="D915" ca="1">IF(INDIRECT("'"&amp;A915&amp;"'!"&amp;B915)="",FALSE,IF(INDIRECT("'"&amp;A915&amp;"'!"&amp;B915)&lt;0,TRUE,FALSE))</f>
        <v>0</v>
      </c>
      <c r="E915" t="s">
        <v>434</v>
      </c>
      <c r="F915" t="str">
        <f>INDEX(Lists!I:I,MATCH(Validation!E915,Lists!G:G,0))</f>
        <v>Error</v>
      </c>
      <c r="G915" t="str">
        <f>INDEX(Lists!H:H,MATCH(Validation!E915,Lists!G:G,0))</f>
        <v>Amount may not be negative. Enter an amount greater than or equal to zero.</v>
      </c>
      <c r="H915" s="25" t="str">
        <f t="shared" ca="1" si="171"/>
        <v/>
      </c>
      <c r="I915" s="25" t="str">
        <f t="shared" ca="1" si="172"/>
        <v/>
      </c>
      <c r="J915" s="26" t="str">
        <f t="shared" ca="1" si="173"/>
        <v/>
      </c>
    </row>
    <row r="916" spans="1:10" x14ac:dyDescent="0.25">
      <c r="A916" t="s">
        <v>313</v>
      </c>
      <c r="B916" t="str">
        <f>ADDRESS(ROW('Bond 1'!$C$22),COLUMN('Bond 1'!$C$22),4)</f>
        <v>C22</v>
      </c>
      <c r="C916" t="str">
        <f>ADDRESS(ROW('Bond 1'!$D$22),COLUMN('Bond 1'!$D$22),4)</f>
        <v>D22</v>
      </c>
      <c r="D916" t="b" cm="1">
        <f t="array" aca="1" ref="D916" ca="1">IF(INDIRECT("'"&amp;A916&amp;"'!"&amp;B916)="",FALSE,IF(INDIRECT("'"&amp;A916&amp;"'!"&amp;B916)&lt;0,TRUE,FALSE))</f>
        <v>0</v>
      </c>
      <c r="E916" t="s">
        <v>434</v>
      </c>
      <c r="F916" t="str">
        <f>INDEX(Lists!I:I,MATCH(Validation!E916,Lists!G:G,0))</f>
        <v>Error</v>
      </c>
      <c r="G916" t="str">
        <f>INDEX(Lists!H:H,MATCH(Validation!E916,Lists!G:G,0))</f>
        <v>Amount may not be negative. Enter an amount greater than or equal to zero.</v>
      </c>
      <c r="H916" s="25" t="str">
        <f t="shared" ca="1" si="171"/>
        <v/>
      </c>
      <c r="I916" s="25" t="str">
        <f t="shared" ca="1" si="172"/>
        <v/>
      </c>
      <c r="J916" s="26" t="str">
        <f t="shared" ca="1" si="173"/>
        <v/>
      </c>
    </row>
    <row r="917" spans="1:10" x14ac:dyDescent="0.25">
      <c r="A917" t="s">
        <v>314</v>
      </c>
      <c r="B917" t="str">
        <f>ADDRESS(ROW('Bond 1'!$C$22),COLUMN('Bond 1'!$C$22),4)</f>
        <v>C22</v>
      </c>
      <c r="C917" t="str">
        <f>ADDRESS(ROW('Bond 1'!$D$22),COLUMN('Bond 1'!$D$22),4)</f>
        <v>D22</v>
      </c>
      <c r="D917" t="b" cm="1">
        <f t="array" aca="1" ref="D917" ca="1">IF(INDIRECT("'"&amp;A917&amp;"'!"&amp;B917)="",FALSE,IF(INDIRECT("'"&amp;A917&amp;"'!"&amp;B917)&lt;0,TRUE,FALSE))</f>
        <v>0</v>
      </c>
      <c r="E917" t="s">
        <v>434</v>
      </c>
      <c r="F917" t="str">
        <f>INDEX(Lists!I:I,MATCH(Validation!E917,Lists!G:G,0))</f>
        <v>Error</v>
      </c>
      <c r="G917" t="str">
        <f>INDEX(Lists!H:H,MATCH(Validation!E917,Lists!G:G,0))</f>
        <v>Amount may not be negative. Enter an amount greater than or equal to zero.</v>
      </c>
      <c r="H917" s="25" t="str">
        <f t="shared" ca="1" si="171"/>
        <v/>
      </c>
      <c r="I917" s="25" t="str">
        <f t="shared" ca="1" si="172"/>
        <v/>
      </c>
      <c r="J917" s="26" t="str">
        <f t="shared" ca="1" si="173"/>
        <v/>
      </c>
    </row>
    <row r="918" spans="1:10" x14ac:dyDescent="0.25">
      <c r="A918" t="s">
        <v>315</v>
      </c>
      <c r="B918" t="str">
        <f>ADDRESS(ROW('Bond 1'!$C$22),COLUMN('Bond 1'!$C$22),4)</f>
        <v>C22</v>
      </c>
      <c r="C918" t="str">
        <f>ADDRESS(ROW('Bond 1'!$D$22),COLUMN('Bond 1'!$D$22),4)</f>
        <v>D22</v>
      </c>
      <c r="D918" t="b" cm="1">
        <f t="array" aca="1" ref="D918" ca="1">IF(INDIRECT("'"&amp;A918&amp;"'!"&amp;B918)="",FALSE,IF(INDIRECT("'"&amp;A918&amp;"'!"&amp;B918)&lt;0,TRUE,FALSE))</f>
        <v>0</v>
      </c>
      <c r="E918" t="s">
        <v>434</v>
      </c>
      <c r="F918" t="str">
        <f>INDEX(Lists!I:I,MATCH(Validation!E918,Lists!G:G,0))</f>
        <v>Error</v>
      </c>
      <c r="G918" t="str">
        <f>INDEX(Lists!H:H,MATCH(Validation!E918,Lists!G:G,0))</f>
        <v>Amount may not be negative. Enter an amount greater than or equal to zero.</v>
      </c>
      <c r="H918" s="25" t="str">
        <f t="shared" ca="1" si="171"/>
        <v/>
      </c>
      <c r="I918" s="25" t="str">
        <f t="shared" ca="1" si="172"/>
        <v/>
      </c>
      <c r="J918" s="26" t="str">
        <f t="shared" ca="1" si="173"/>
        <v/>
      </c>
    </row>
    <row r="919" spans="1:10" x14ac:dyDescent="0.25">
      <c r="A919" t="s">
        <v>198</v>
      </c>
      <c r="B919" t="str">
        <f>ADDRESS(ROW('Bond 1'!$C$22),COLUMN('Bond 1'!$C$22),4)</f>
        <v>C22</v>
      </c>
      <c r="C919" t="str">
        <f>ADDRESS(ROW('Bond 1'!$D$22),COLUMN('Bond 1'!$D$22),4)</f>
        <v>D22</v>
      </c>
      <c r="D919" t="b" cm="1">
        <f t="array" aca="1" ref="D919" ca="1">IF(INDIRECT("'"&amp;A919&amp;"'!"&amp;B919)="",FALSE,IF(TRUNC(INDIRECT("'"&amp;A919&amp;"'!"&amp;B919))=INDIRECT("'"&amp;A919&amp;"'!"&amp;B919),FALSE,TRUE))</f>
        <v>0</v>
      </c>
      <c r="E919" t="s">
        <v>436</v>
      </c>
      <c r="F919" t="str">
        <f>INDEX(Lists!I:I,MATCH(Validation!E919,Lists!G:G,0))</f>
        <v>Error</v>
      </c>
      <c r="G919" t="str">
        <f>INDEX(Lists!H:H,MATCH(Validation!E919,Lists!G:G,0))</f>
        <v>Amount must be rounded to the nearest dollar.</v>
      </c>
      <c r="H919" s="25" t="str">
        <f t="shared" ca="1" si="171"/>
        <v/>
      </c>
      <c r="I919" s="25" t="str">
        <f t="shared" ca="1" si="172"/>
        <v/>
      </c>
      <c r="J919" s="26" t="str">
        <f t="shared" ca="1" si="173"/>
        <v/>
      </c>
    </row>
    <row r="920" spans="1:10" x14ac:dyDescent="0.25">
      <c r="A920" t="s">
        <v>302</v>
      </c>
      <c r="B920" t="str">
        <f>ADDRESS(ROW('Bond 1'!$C$22),COLUMN('Bond 1'!$C$22),4)</f>
        <v>C22</v>
      </c>
      <c r="C920" t="str">
        <f>ADDRESS(ROW('Bond 1'!$D$22),COLUMN('Bond 1'!$D$22),4)</f>
        <v>D22</v>
      </c>
      <c r="D920" t="b" cm="1">
        <f t="array" aca="1" ref="D920" ca="1">IF(INDIRECT("'"&amp;A920&amp;"'!"&amp;B920)="",FALSE,IF(TRUNC(INDIRECT("'"&amp;A920&amp;"'!"&amp;B920))=INDIRECT("'"&amp;A920&amp;"'!"&amp;B920),FALSE,TRUE))</f>
        <v>0</v>
      </c>
      <c r="E920" t="s">
        <v>436</v>
      </c>
      <c r="F920" t="str">
        <f>INDEX(Lists!I:I,MATCH(Validation!E920,Lists!G:G,0))</f>
        <v>Error</v>
      </c>
      <c r="G920" t="str">
        <f>INDEX(Lists!H:H,MATCH(Validation!E920,Lists!G:G,0))</f>
        <v>Amount must be rounded to the nearest dollar.</v>
      </c>
      <c r="H920" s="25" t="str">
        <f t="shared" ca="1" si="171"/>
        <v/>
      </c>
      <c r="I920" s="25" t="str">
        <f t="shared" ca="1" si="172"/>
        <v/>
      </c>
      <c r="J920" s="26" t="str">
        <f t="shared" ca="1" si="173"/>
        <v/>
      </c>
    </row>
    <row r="921" spans="1:10" x14ac:dyDescent="0.25">
      <c r="A921" t="s">
        <v>303</v>
      </c>
      <c r="B921" t="str">
        <f>ADDRESS(ROW('Bond 1'!$C$22),COLUMN('Bond 1'!$C$22),4)</f>
        <v>C22</v>
      </c>
      <c r="C921" t="str">
        <f>ADDRESS(ROW('Bond 1'!$D$22),COLUMN('Bond 1'!$D$22),4)</f>
        <v>D22</v>
      </c>
      <c r="D921" t="b" cm="1">
        <f t="array" aca="1" ref="D921" ca="1">IF(INDIRECT("'"&amp;A921&amp;"'!"&amp;B921)="",FALSE,IF(TRUNC(INDIRECT("'"&amp;A921&amp;"'!"&amp;B921))=INDIRECT("'"&amp;A921&amp;"'!"&amp;B921),FALSE,TRUE))</f>
        <v>0</v>
      </c>
      <c r="E921" t="s">
        <v>436</v>
      </c>
      <c r="F921" t="str">
        <f>INDEX(Lists!I:I,MATCH(Validation!E921,Lists!G:G,0))</f>
        <v>Error</v>
      </c>
      <c r="G921" t="str">
        <f>INDEX(Lists!H:H,MATCH(Validation!E921,Lists!G:G,0))</f>
        <v>Amount must be rounded to the nearest dollar.</v>
      </c>
      <c r="H921" s="25" t="str">
        <f t="shared" ca="1" si="171"/>
        <v/>
      </c>
      <c r="I921" s="25" t="str">
        <f t="shared" ca="1" si="172"/>
        <v/>
      </c>
      <c r="J921" s="26" t="str">
        <f t="shared" ca="1" si="173"/>
        <v/>
      </c>
    </row>
    <row r="922" spans="1:10" x14ac:dyDescent="0.25">
      <c r="A922" t="s">
        <v>304</v>
      </c>
      <c r="B922" t="str">
        <f>ADDRESS(ROW('Bond 1'!$C$22),COLUMN('Bond 1'!$C$22),4)</f>
        <v>C22</v>
      </c>
      <c r="C922" t="str">
        <f>ADDRESS(ROW('Bond 1'!$D$22),COLUMN('Bond 1'!$D$22),4)</f>
        <v>D22</v>
      </c>
      <c r="D922" t="b" cm="1">
        <f t="array" aca="1" ref="D922" ca="1">IF(INDIRECT("'"&amp;A922&amp;"'!"&amp;B922)="",FALSE,IF(TRUNC(INDIRECT("'"&amp;A922&amp;"'!"&amp;B922))=INDIRECT("'"&amp;A922&amp;"'!"&amp;B922),FALSE,TRUE))</f>
        <v>0</v>
      </c>
      <c r="E922" t="s">
        <v>436</v>
      </c>
      <c r="F922" t="str">
        <f>INDEX(Lists!I:I,MATCH(Validation!E922,Lists!G:G,0))</f>
        <v>Error</v>
      </c>
      <c r="G922" t="str">
        <f>INDEX(Lists!H:H,MATCH(Validation!E922,Lists!G:G,0))</f>
        <v>Amount must be rounded to the nearest dollar.</v>
      </c>
      <c r="H922" s="25" t="str">
        <f t="shared" ca="1" si="171"/>
        <v/>
      </c>
      <c r="I922" s="25" t="str">
        <f t="shared" ca="1" si="172"/>
        <v/>
      </c>
      <c r="J922" s="26" t="str">
        <f t="shared" ca="1" si="173"/>
        <v/>
      </c>
    </row>
    <row r="923" spans="1:10" x14ac:dyDescent="0.25">
      <c r="A923" t="s">
        <v>305</v>
      </c>
      <c r="B923" t="str">
        <f>ADDRESS(ROW('Bond 1'!$C$22),COLUMN('Bond 1'!$C$22),4)</f>
        <v>C22</v>
      </c>
      <c r="C923" t="str">
        <f>ADDRESS(ROW('Bond 1'!$D$22),COLUMN('Bond 1'!$D$22),4)</f>
        <v>D22</v>
      </c>
      <c r="D923" t="b" cm="1">
        <f t="array" aca="1" ref="D923" ca="1">IF(INDIRECT("'"&amp;A923&amp;"'!"&amp;B923)="",FALSE,IF(TRUNC(INDIRECT("'"&amp;A923&amp;"'!"&amp;B923))=INDIRECT("'"&amp;A923&amp;"'!"&amp;B923),FALSE,TRUE))</f>
        <v>0</v>
      </c>
      <c r="E923" t="s">
        <v>436</v>
      </c>
      <c r="F923" t="str">
        <f>INDEX(Lists!I:I,MATCH(Validation!E923,Lists!G:G,0))</f>
        <v>Error</v>
      </c>
      <c r="G923" t="str">
        <f>INDEX(Lists!H:H,MATCH(Validation!E923,Lists!G:G,0))</f>
        <v>Amount must be rounded to the nearest dollar.</v>
      </c>
      <c r="H923" s="25" t="str">
        <f t="shared" ca="1" si="171"/>
        <v/>
      </c>
      <c r="I923" s="25" t="str">
        <f t="shared" ca="1" si="172"/>
        <v/>
      </c>
      <c r="J923" s="26" t="str">
        <f t="shared" ca="1" si="173"/>
        <v/>
      </c>
    </row>
    <row r="924" spans="1:10" x14ac:dyDescent="0.25">
      <c r="A924" t="s">
        <v>306</v>
      </c>
      <c r="B924" t="str">
        <f>ADDRESS(ROW('Bond 1'!$C$22),COLUMN('Bond 1'!$C$22),4)</f>
        <v>C22</v>
      </c>
      <c r="C924" t="str">
        <f>ADDRESS(ROW('Bond 1'!$D$22),COLUMN('Bond 1'!$D$22),4)</f>
        <v>D22</v>
      </c>
      <c r="D924" t="b" cm="1">
        <f t="array" aca="1" ref="D924" ca="1">IF(INDIRECT("'"&amp;A924&amp;"'!"&amp;B924)="",FALSE,IF(TRUNC(INDIRECT("'"&amp;A924&amp;"'!"&amp;B924))=INDIRECT("'"&amp;A924&amp;"'!"&amp;B924),FALSE,TRUE))</f>
        <v>0</v>
      </c>
      <c r="E924" t="s">
        <v>436</v>
      </c>
      <c r="F924" t="str">
        <f>INDEX(Lists!I:I,MATCH(Validation!E924,Lists!G:G,0))</f>
        <v>Error</v>
      </c>
      <c r="G924" t="str">
        <f>INDEX(Lists!H:H,MATCH(Validation!E924,Lists!G:G,0))</f>
        <v>Amount must be rounded to the nearest dollar.</v>
      </c>
      <c r="H924" s="25" t="str">
        <f t="shared" ca="1" si="171"/>
        <v/>
      </c>
      <c r="I924" s="25" t="str">
        <f t="shared" ca="1" si="172"/>
        <v/>
      </c>
      <c r="J924" s="26" t="str">
        <f t="shared" ca="1" si="173"/>
        <v/>
      </c>
    </row>
    <row r="925" spans="1:10" x14ac:dyDescent="0.25">
      <c r="A925" t="s">
        <v>307</v>
      </c>
      <c r="B925" t="str">
        <f>ADDRESS(ROW('Bond 1'!$C$22),COLUMN('Bond 1'!$C$22),4)</f>
        <v>C22</v>
      </c>
      <c r="C925" t="str">
        <f>ADDRESS(ROW('Bond 1'!$D$22),COLUMN('Bond 1'!$D$22),4)</f>
        <v>D22</v>
      </c>
      <c r="D925" t="b" cm="1">
        <f t="array" aca="1" ref="D925" ca="1">IF(INDIRECT("'"&amp;A925&amp;"'!"&amp;B925)="",FALSE,IF(TRUNC(INDIRECT("'"&amp;A925&amp;"'!"&amp;B925))=INDIRECT("'"&amp;A925&amp;"'!"&amp;B925),FALSE,TRUE))</f>
        <v>0</v>
      </c>
      <c r="E925" t="s">
        <v>436</v>
      </c>
      <c r="F925" t="str">
        <f>INDEX(Lists!I:I,MATCH(Validation!E925,Lists!G:G,0))</f>
        <v>Error</v>
      </c>
      <c r="G925" t="str">
        <f>INDEX(Lists!H:H,MATCH(Validation!E925,Lists!G:G,0))</f>
        <v>Amount must be rounded to the nearest dollar.</v>
      </c>
      <c r="H925" s="25" t="str">
        <f t="shared" ca="1" si="171"/>
        <v/>
      </c>
      <c r="I925" s="25" t="str">
        <f t="shared" ca="1" si="172"/>
        <v/>
      </c>
      <c r="J925" s="26" t="str">
        <f t="shared" ca="1" si="173"/>
        <v/>
      </c>
    </row>
    <row r="926" spans="1:10" x14ac:dyDescent="0.25">
      <c r="A926" t="s">
        <v>308</v>
      </c>
      <c r="B926" t="str">
        <f>ADDRESS(ROW('Bond 1'!$C$22),COLUMN('Bond 1'!$C$22),4)</f>
        <v>C22</v>
      </c>
      <c r="C926" t="str">
        <f>ADDRESS(ROW('Bond 1'!$D$22),COLUMN('Bond 1'!$D$22),4)</f>
        <v>D22</v>
      </c>
      <c r="D926" t="b" cm="1">
        <f t="array" aca="1" ref="D926" ca="1">IF(INDIRECT("'"&amp;A926&amp;"'!"&amp;B926)="",FALSE,IF(TRUNC(INDIRECT("'"&amp;A926&amp;"'!"&amp;B926))=INDIRECT("'"&amp;A926&amp;"'!"&amp;B926),FALSE,TRUE))</f>
        <v>0</v>
      </c>
      <c r="E926" t="s">
        <v>436</v>
      </c>
      <c r="F926" t="str">
        <f>INDEX(Lists!I:I,MATCH(Validation!E926,Lists!G:G,0))</f>
        <v>Error</v>
      </c>
      <c r="G926" t="str">
        <f>INDEX(Lists!H:H,MATCH(Validation!E926,Lists!G:G,0))</f>
        <v>Amount must be rounded to the nearest dollar.</v>
      </c>
      <c r="H926" s="25" t="str">
        <f t="shared" ca="1" si="171"/>
        <v/>
      </c>
      <c r="I926" s="25" t="str">
        <f t="shared" ca="1" si="172"/>
        <v/>
      </c>
      <c r="J926" s="26" t="str">
        <f t="shared" ca="1" si="173"/>
        <v/>
      </c>
    </row>
    <row r="927" spans="1:10" x14ac:dyDescent="0.25">
      <c r="A927" t="s">
        <v>309</v>
      </c>
      <c r="B927" t="str">
        <f>ADDRESS(ROW('Bond 1'!$C$22),COLUMN('Bond 1'!$C$22),4)</f>
        <v>C22</v>
      </c>
      <c r="C927" t="str">
        <f>ADDRESS(ROW('Bond 1'!$D$22),COLUMN('Bond 1'!$D$22),4)</f>
        <v>D22</v>
      </c>
      <c r="D927" t="b" cm="1">
        <f t="array" aca="1" ref="D927" ca="1">IF(INDIRECT("'"&amp;A927&amp;"'!"&amp;B927)="",FALSE,IF(TRUNC(INDIRECT("'"&amp;A927&amp;"'!"&amp;B927))=INDIRECT("'"&amp;A927&amp;"'!"&amp;B927),FALSE,TRUE))</f>
        <v>0</v>
      </c>
      <c r="E927" t="s">
        <v>436</v>
      </c>
      <c r="F927" t="str">
        <f>INDEX(Lists!I:I,MATCH(Validation!E927,Lists!G:G,0))</f>
        <v>Error</v>
      </c>
      <c r="G927" t="str">
        <f>INDEX(Lists!H:H,MATCH(Validation!E927,Lists!G:G,0))</f>
        <v>Amount must be rounded to the nearest dollar.</v>
      </c>
      <c r="H927" s="25" t="str">
        <f t="shared" ca="1" si="171"/>
        <v/>
      </c>
      <c r="I927" s="25" t="str">
        <f t="shared" ca="1" si="172"/>
        <v/>
      </c>
      <c r="J927" s="26" t="str">
        <f t="shared" ca="1" si="173"/>
        <v/>
      </c>
    </row>
    <row r="928" spans="1:10" x14ac:dyDescent="0.25">
      <c r="A928" t="s">
        <v>310</v>
      </c>
      <c r="B928" t="str">
        <f>ADDRESS(ROW('Bond 1'!$C$22),COLUMN('Bond 1'!$C$22),4)</f>
        <v>C22</v>
      </c>
      <c r="C928" t="str">
        <f>ADDRESS(ROW('Bond 1'!$D$22),COLUMN('Bond 1'!$D$22),4)</f>
        <v>D22</v>
      </c>
      <c r="D928" t="b" cm="1">
        <f t="array" aca="1" ref="D928" ca="1">IF(INDIRECT("'"&amp;A928&amp;"'!"&amp;B928)="",FALSE,IF(TRUNC(INDIRECT("'"&amp;A928&amp;"'!"&amp;B928))=INDIRECT("'"&amp;A928&amp;"'!"&amp;B928),FALSE,TRUE))</f>
        <v>0</v>
      </c>
      <c r="E928" t="s">
        <v>436</v>
      </c>
      <c r="F928" t="str">
        <f>INDEX(Lists!I:I,MATCH(Validation!E928,Lists!G:G,0))</f>
        <v>Error</v>
      </c>
      <c r="G928" t="str">
        <f>INDEX(Lists!H:H,MATCH(Validation!E928,Lists!G:G,0))</f>
        <v>Amount must be rounded to the nearest dollar.</v>
      </c>
      <c r="H928" s="25" t="str">
        <f t="shared" ca="1" si="171"/>
        <v/>
      </c>
      <c r="I928" s="25" t="str">
        <f t="shared" ca="1" si="172"/>
        <v/>
      </c>
      <c r="J928" s="26" t="str">
        <f t="shared" ca="1" si="173"/>
        <v/>
      </c>
    </row>
    <row r="929" spans="1:10" x14ac:dyDescent="0.25">
      <c r="A929" t="s">
        <v>311</v>
      </c>
      <c r="B929" t="str">
        <f>ADDRESS(ROW('Bond 1'!$C$22),COLUMN('Bond 1'!$C$22),4)</f>
        <v>C22</v>
      </c>
      <c r="C929" t="str">
        <f>ADDRESS(ROW('Bond 1'!$D$22),COLUMN('Bond 1'!$D$22),4)</f>
        <v>D22</v>
      </c>
      <c r="D929" t="b" cm="1">
        <f t="array" aca="1" ref="D929" ca="1">IF(INDIRECT("'"&amp;A929&amp;"'!"&amp;B929)="",FALSE,IF(TRUNC(INDIRECT("'"&amp;A929&amp;"'!"&amp;B929))=INDIRECT("'"&amp;A929&amp;"'!"&amp;B929),FALSE,TRUE))</f>
        <v>0</v>
      </c>
      <c r="E929" t="s">
        <v>436</v>
      </c>
      <c r="F929" t="str">
        <f>INDEX(Lists!I:I,MATCH(Validation!E929,Lists!G:G,0))</f>
        <v>Error</v>
      </c>
      <c r="G929" t="str">
        <f>INDEX(Lists!H:H,MATCH(Validation!E929,Lists!G:G,0))</f>
        <v>Amount must be rounded to the nearest dollar.</v>
      </c>
      <c r="H929" s="25" t="str">
        <f t="shared" ca="1" si="171"/>
        <v/>
      </c>
      <c r="I929" s="25" t="str">
        <f t="shared" ca="1" si="172"/>
        <v/>
      </c>
      <c r="J929" s="26" t="str">
        <f t="shared" ca="1" si="173"/>
        <v/>
      </c>
    </row>
    <row r="930" spans="1:10" x14ac:dyDescent="0.25">
      <c r="A930" t="s">
        <v>312</v>
      </c>
      <c r="B930" t="str">
        <f>ADDRESS(ROW('Bond 1'!$C$22),COLUMN('Bond 1'!$C$22),4)</f>
        <v>C22</v>
      </c>
      <c r="C930" t="str">
        <f>ADDRESS(ROW('Bond 1'!$D$22),COLUMN('Bond 1'!$D$22),4)</f>
        <v>D22</v>
      </c>
      <c r="D930" t="b" cm="1">
        <f t="array" aca="1" ref="D930" ca="1">IF(INDIRECT("'"&amp;A930&amp;"'!"&amp;B930)="",FALSE,IF(TRUNC(INDIRECT("'"&amp;A930&amp;"'!"&amp;B930))=INDIRECT("'"&amp;A930&amp;"'!"&amp;B930),FALSE,TRUE))</f>
        <v>0</v>
      </c>
      <c r="E930" t="s">
        <v>436</v>
      </c>
      <c r="F930" t="str">
        <f>INDEX(Lists!I:I,MATCH(Validation!E930,Lists!G:G,0))</f>
        <v>Error</v>
      </c>
      <c r="G930" t="str">
        <f>INDEX(Lists!H:H,MATCH(Validation!E930,Lists!G:G,0))</f>
        <v>Amount must be rounded to the nearest dollar.</v>
      </c>
      <c r="H930" s="25" t="str">
        <f t="shared" ca="1" si="171"/>
        <v/>
      </c>
      <c r="I930" s="25" t="str">
        <f t="shared" ca="1" si="172"/>
        <v/>
      </c>
      <c r="J930" s="26" t="str">
        <f t="shared" ca="1" si="173"/>
        <v/>
      </c>
    </row>
    <row r="931" spans="1:10" x14ac:dyDescent="0.25">
      <c r="A931" t="s">
        <v>313</v>
      </c>
      <c r="B931" t="str">
        <f>ADDRESS(ROW('Bond 1'!$C$22),COLUMN('Bond 1'!$C$22),4)</f>
        <v>C22</v>
      </c>
      <c r="C931" t="str">
        <f>ADDRESS(ROW('Bond 1'!$D$22),COLUMN('Bond 1'!$D$22),4)</f>
        <v>D22</v>
      </c>
      <c r="D931" t="b" cm="1">
        <f t="array" aca="1" ref="D931" ca="1">IF(INDIRECT("'"&amp;A931&amp;"'!"&amp;B931)="",FALSE,IF(TRUNC(INDIRECT("'"&amp;A931&amp;"'!"&amp;B931))=INDIRECT("'"&amp;A931&amp;"'!"&amp;B931),FALSE,TRUE))</f>
        <v>0</v>
      </c>
      <c r="E931" t="s">
        <v>436</v>
      </c>
      <c r="F931" t="str">
        <f>INDEX(Lists!I:I,MATCH(Validation!E931,Lists!G:G,0))</f>
        <v>Error</v>
      </c>
      <c r="G931" t="str">
        <f>INDEX(Lists!H:H,MATCH(Validation!E931,Lists!G:G,0))</f>
        <v>Amount must be rounded to the nearest dollar.</v>
      </c>
      <c r="H931" s="25" t="str">
        <f t="shared" ca="1" si="171"/>
        <v/>
      </c>
      <c r="I931" s="25" t="str">
        <f t="shared" ca="1" si="172"/>
        <v/>
      </c>
      <c r="J931" s="26" t="str">
        <f t="shared" ca="1" si="173"/>
        <v/>
      </c>
    </row>
    <row r="932" spans="1:10" x14ac:dyDescent="0.25">
      <c r="A932" t="s">
        <v>314</v>
      </c>
      <c r="B932" t="str">
        <f>ADDRESS(ROW('Bond 1'!$C$22),COLUMN('Bond 1'!$C$22),4)</f>
        <v>C22</v>
      </c>
      <c r="C932" t="str">
        <f>ADDRESS(ROW('Bond 1'!$D$22),COLUMN('Bond 1'!$D$22),4)</f>
        <v>D22</v>
      </c>
      <c r="D932" t="b" cm="1">
        <f t="array" aca="1" ref="D932" ca="1">IF(INDIRECT("'"&amp;A932&amp;"'!"&amp;B932)="",FALSE,IF(TRUNC(INDIRECT("'"&amp;A932&amp;"'!"&amp;B932))=INDIRECT("'"&amp;A932&amp;"'!"&amp;B932),FALSE,TRUE))</f>
        <v>0</v>
      </c>
      <c r="E932" t="s">
        <v>436</v>
      </c>
      <c r="F932" t="str">
        <f>INDEX(Lists!I:I,MATCH(Validation!E932,Lists!G:G,0))</f>
        <v>Error</v>
      </c>
      <c r="G932" t="str">
        <f>INDEX(Lists!H:H,MATCH(Validation!E932,Lists!G:G,0))</f>
        <v>Amount must be rounded to the nearest dollar.</v>
      </c>
      <c r="H932" s="25" t="str">
        <f t="shared" ca="1" si="171"/>
        <v/>
      </c>
      <c r="I932" s="25" t="str">
        <f t="shared" ca="1" si="172"/>
        <v/>
      </c>
      <c r="J932" s="26" t="str">
        <f t="shared" ca="1" si="173"/>
        <v/>
      </c>
    </row>
    <row r="933" spans="1:10" x14ac:dyDescent="0.25">
      <c r="A933" t="s">
        <v>315</v>
      </c>
      <c r="B933" t="str">
        <f>ADDRESS(ROW('Bond 1'!$C$22),COLUMN('Bond 1'!$C$22),4)</f>
        <v>C22</v>
      </c>
      <c r="C933" t="str">
        <f>ADDRESS(ROW('Bond 1'!$D$22),COLUMN('Bond 1'!$D$22),4)</f>
        <v>D22</v>
      </c>
      <c r="D933" t="b" cm="1">
        <f t="array" aca="1" ref="D933" ca="1">IF(INDIRECT("'"&amp;A933&amp;"'!"&amp;B933)="",FALSE,IF(TRUNC(INDIRECT("'"&amp;A933&amp;"'!"&amp;B933))=INDIRECT("'"&amp;A933&amp;"'!"&amp;B933),FALSE,TRUE))</f>
        <v>0</v>
      </c>
      <c r="E933" t="s">
        <v>436</v>
      </c>
      <c r="F933" t="str">
        <f>INDEX(Lists!I:I,MATCH(Validation!E933,Lists!G:G,0))</f>
        <v>Error</v>
      </c>
      <c r="G933" t="str">
        <f>INDEX(Lists!H:H,MATCH(Validation!E933,Lists!G:G,0))</f>
        <v>Amount must be rounded to the nearest dollar.</v>
      </c>
      <c r="H933" s="25" t="str">
        <f t="shared" ca="1" si="171"/>
        <v/>
      </c>
      <c r="I933" s="25" t="str">
        <f t="shared" ca="1" si="172"/>
        <v/>
      </c>
      <c r="J933" s="26" t="str">
        <f t="shared" ca="1" si="173"/>
        <v/>
      </c>
    </row>
    <row r="934" spans="1:10" x14ac:dyDescent="0.25">
      <c r="A934" t="s">
        <v>198</v>
      </c>
      <c r="B934" t="str">
        <f>ADDRESS(ROW('Bond 1'!$B$23),COLUMN('Bond 1'!$B$23),4)</f>
        <v>B23</v>
      </c>
      <c r="C934" t="str">
        <f>ADDRESS(ROW('Bond 1'!$D$23),COLUMN('Bond 1'!$D$23),4)</f>
        <v>D23</v>
      </c>
      <c r="D934" t="b" cm="1">
        <f t="array" aca="1" ref="D934" ca="1">IF(INDIRECT("'"&amp;A934&amp;"'!"&amp;B934)="",FALSE,IF(NOT(ISNUMBER(INDIRECT("'"&amp;A934&amp;"'!"&amp;B934))),TRUE,FALSE))</f>
        <v>0</v>
      </c>
      <c r="E934" t="s">
        <v>435</v>
      </c>
      <c r="F934" t="str">
        <f>INDEX(Lists!I:I,MATCH(Validation!E934,Lists!G:G,0))</f>
        <v>Error</v>
      </c>
      <c r="G934" t="str">
        <f>INDEX(Lists!H:H,MATCH(Validation!E934,Lists!G:G,0))</f>
        <v>Enter an amount only. Do not enter text or spaces.</v>
      </c>
      <c r="H934" s="25" t="str">
        <f t="shared" ca="1" si="171"/>
        <v/>
      </c>
      <c r="I934" s="25" t="str">
        <f t="shared" ca="1" si="172"/>
        <v/>
      </c>
      <c r="J934" s="26" t="str">
        <f t="shared" ca="1" si="173"/>
        <v/>
      </c>
    </row>
    <row r="935" spans="1:10" x14ac:dyDescent="0.25">
      <c r="A935" t="s">
        <v>302</v>
      </c>
      <c r="B935" t="str">
        <f>ADDRESS(ROW('Bond 1'!$B$23),COLUMN('Bond 1'!$B$23),4)</f>
        <v>B23</v>
      </c>
      <c r="C935" t="str">
        <f>ADDRESS(ROW('Bond 1'!$D$23),COLUMN('Bond 1'!$D$23),4)</f>
        <v>D23</v>
      </c>
      <c r="D935" t="b" cm="1">
        <f t="array" aca="1" ref="D935" ca="1">IF(INDIRECT("'"&amp;A935&amp;"'!"&amp;B935)="",FALSE,IF(NOT(ISNUMBER(INDIRECT("'"&amp;A935&amp;"'!"&amp;B935))),TRUE,FALSE))</f>
        <v>0</v>
      </c>
      <c r="E935" t="s">
        <v>435</v>
      </c>
      <c r="F935" t="str">
        <f>INDEX(Lists!I:I,MATCH(Validation!E935,Lists!G:G,0))</f>
        <v>Error</v>
      </c>
      <c r="G935" t="str">
        <f>INDEX(Lists!H:H,MATCH(Validation!E935,Lists!G:G,0))</f>
        <v>Enter an amount only. Do not enter text or spaces.</v>
      </c>
      <c r="H935" s="25" t="str">
        <f t="shared" ca="1" si="171"/>
        <v/>
      </c>
      <c r="I935" s="25" t="str">
        <f t="shared" ca="1" si="172"/>
        <v/>
      </c>
      <c r="J935" s="26" t="str">
        <f t="shared" ca="1" si="173"/>
        <v/>
      </c>
    </row>
    <row r="936" spans="1:10" x14ac:dyDescent="0.25">
      <c r="A936" t="s">
        <v>303</v>
      </c>
      <c r="B936" t="str">
        <f>ADDRESS(ROW('Bond 1'!$B$23),COLUMN('Bond 1'!$B$23),4)</f>
        <v>B23</v>
      </c>
      <c r="C936" t="str">
        <f>ADDRESS(ROW('Bond 1'!$D$23),COLUMN('Bond 1'!$D$23),4)</f>
        <v>D23</v>
      </c>
      <c r="D936" t="b" cm="1">
        <f t="array" aca="1" ref="D936" ca="1">IF(INDIRECT("'"&amp;A936&amp;"'!"&amp;B936)="",FALSE,IF(NOT(ISNUMBER(INDIRECT("'"&amp;A936&amp;"'!"&amp;B936))),TRUE,FALSE))</f>
        <v>0</v>
      </c>
      <c r="E936" t="s">
        <v>435</v>
      </c>
      <c r="F936" t="str">
        <f>INDEX(Lists!I:I,MATCH(Validation!E936,Lists!G:G,0))</f>
        <v>Error</v>
      </c>
      <c r="G936" t="str">
        <f>INDEX(Lists!H:H,MATCH(Validation!E936,Lists!G:G,0))</f>
        <v>Enter an amount only. Do not enter text or spaces.</v>
      </c>
      <c r="H936" s="25" t="str">
        <f t="shared" ca="1" si="171"/>
        <v/>
      </c>
      <c r="I936" s="25" t="str">
        <f t="shared" ca="1" si="172"/>
        <v/>
      </c>
      <c r="J936" s="26" t="str">
        <f t="shared" ca="1" si="173"/>
        <v/>
      </c>
    </row>
    <row r="937" spans="1:10" x14ac:dyDescent="0.25">
      <c r="A937" t="s">
        <v>304</v>
      </c>
      <c r="B937" t="str">
        <f>ADDRESS(ROW('Bond 1'!$B$23),COLUMN('Bond 1'!$B$23),4)</f>
        <v>B23</v>
      </c>
      <c r="C937" t="str">
        <f>ADDRESS(ROW('Bond 1'!$D$23),COLUMN('Bond 1'!$D$23),4)</f>
        <v>D23</v>
      </c>
      <c r="D937" t="b" cm="1">
        <f t="array" aca="1" ref="D937" ca="1">IF(INDIRECT("'"&amp;A937&amp;"'!"&amp;B937)="",FALSE,IF(NOT(ISNUMBER(INDIRECT("'"&amp;A937&amp;"'!"&amp;B937))),TRUE,FALSE))</f>
        <v>0</v>
      </c>
      <c r="E937" t="s">
        <v>435</v>
      </c>
      <c r="F937" t="str">
        <f>INDEX(Lists!I:I,MATCH(Validation!E937,Lists!G:G,0))</f>
        <v>Error</v>
      </c>
      <c r="G937" t="str">
        <f>INDEX(Lists!H:H,MATCH(Validation!E937,Lists!G:G,0))</f>
        <v>Enter an amount only. Do not enter text or spaces.</v>
      </c>
      <c r="H937" s="25" t="str">
        <f t="shared" ca="1" si="171"/>
        <v/>
      </c>
      <c r="I937" s="25" t="str">
        <f t="shared" ca="1" si="172"/>
        <v/>
      </c>
      <c r="J937" s="26" t="str">
        <f t="shared" ca="1" si="173"/>
        <v/>
      </c>
    </row>
    <row r="938" spans="1:10" x14ac:dyDescent="0.25">
      <c r="A938" t="s">
        <v>305</v>
      </c>
      <c r="B938" t="str">
        <f>ADDRESS(ROW('Bond 1'!$B$23),COLUMN('Bond 1'!$B$23),4)</f>
        <v>B23</v>
      </c>
      <c r="C938" t="str">
        <f>ADDRESS(ROW('Bond 1'!$D$23),COLUMN('Bond 1'!$D$23),4)</f>
        <v>D23</v>
      </c>
      <c r="D938" t="b" cm="1">
        <f t="array" aca="1" ref="D938" ca="1">IF(INDIRECT("'"&amp;A938&amp;"'!"&amp;B938)="",FALSE,IF(NOT(ISNUMBER(INDIRECT("'"&amp;A938&amp;"'!"&amp;B938))),TRUE,FALSE))</f>
        <v>0</v>
      </c>
      <c r="E938" t="s">
        <v>435</v>
      </c>
      <c r="F938" t="str">
        <f>INDEX(Lists!I:I,MATCH(Validation!E938,Lists!G:G,0))</f>
        <v>Error</v>
      </c>
      <c r="G938" t="str">
        <f>INDEX(Lists!H:H,MATCH(Validation!E938,Lists!G:G,0))</f>
        <v>Enter an amount only. Do not enter text or spaces.</v>
      </c>
      <c r="H938" s="25" t="str">
        <f t="shared" ca="1" si="171"/>
        <v/>
      </c>
      <c r="I938" s="25" t="str">
        <f t="shared" ca="1" si="172"/>
        <v/>
      </c>
      <c r="J938" s="26" t="str">
        <f t="shared" ca="1" si="173"/>
        <v/>
      </c>
    </row>
    <row r="939" spans="1:10" x14ac:dyDescent="0.25">
      <c r="A939" t="s">
        <v>306</v>
      </c>
      <c r="B939" t="str">
        <f>ADDRESS(ROW('Bond 1'!$B$23),COLUMN('Bond 1'!$B$23),4)</f>
        <v>B23</v>
      </c>
      <c r="C939" t="str">
        <f>ADDRESS(ROW('Bond 1'!$D$23),COLUMN('Bond 1'!$D$23),4)</f>
        <v>D23</v>
      </c>
      <c r="D939" t="b" cm="1">
        <f t="array" aca="1" ref="D939" ca="1">IF(INDIRECT("'"&amp;A939&amp;"'!"&amp;B939)="",FALSE,IF(NOT(ISNUMBER(INDIRECT("'"&amp;A939&amp;"'!"&amp;B939))),TRUE,FALSE))</f>
        <v>0</v>
      </c>
      <c r="E939" t="s">
        <v>435</v>
      </c>
      <c r="F939" t="str">
        <f>INDEX(Lists!I:I,MATCH(Validation!E939,Lists!G:G,0))</f>
        <v>Error</v>
      </c>
      <c r="G939" t="str">
        <f>INDEX(Lists!H:H,MATCH(Validation!E939,Lists!G:G,0))</f>
        <v>Enter an amount only. Do not enter text or spaces.</v>
      </c>
      <c r="H939" s="25" t="str">
        <f t="shared" ca="1" si="171"/>
        <v/>
      </c>
      <c r="I939" s="25" t="str">
        <f t="shared" ca="1" si="172"/>
        <v/>
      </c>
      <c r="J939" s="26" t="str">
        <f t="shared" ca="1" si="173"/>
        <v/>
      </c>
    </row>
    <row r="940" spans="1:10" x14ac:dyDescent="0.25">
      <c r="A940" t="s">
        <v>307</v>
      </c>
      <c r="B940" t="str">
        <f>ADDRESS(ROW('Bond 1'!$B$23),COLUMN('Bond 1'!$B$23),4)</f>
        <v>B23</v>
      </c>
      <c r="C940" t="str">
        <f>ADDRESS(ROW('Bond 1'!$D$23),COLUMN('Bond 1'!$D$23),4)</f>
        <v>D23</v>
      </c>
      <c r="D940" t="b" cm="1">
        <f t="array" aca="1" ref="D940" ca="1">IF(INDIRECT("'"&amp;A940&amp;"'!"&amp;B940)="",FALSE,IF(NOT(ISNUMBER(INDIRECT("'"&amp;A940&amp;"'!"&amp;B940))),TRUE,FALSE))</f>
        <v>0</v>
      </c>
      <c r="E940" t="s">
        <v>435</v>
      </c>
      <c r="F940" t="str">
        <f>INDEX(Lists!I:I,MATCH(Validation!E940,Lists!G:G,0))</f>
        <v>Error</v>
      </c>
      <c r="G940" t="str">
        <f>INDEX(Lists!H:H,MATCH(Validation!E940,Lists!G:G,0))</f>
        <v>Enter an amount only. Do not enter text or spaces.</v>
      </c>
      <c r="H940" s="25" t="str">
        <f t="shared" ca="1" si="171"/>
        <v/>
      </c>
      <c r="I940" s="25" t="str">
        <f t="shared" ca="1" si="172"/>
        <v/>
      </c>
      <c r="J940" s="26" t="str">
        <f t="shared" ca="1" si="173"/>
        <v/>
      </c>
    </row>
    <row r="941" spans="1:10" x14ac:dyDescent="0.25">
      <c r="A941" t="s">
        <v>308</v>
      </c>
      <c r="B941" t="str">
        <f>ADDRESS(ROW('Bond 1'!$B$23),COLUMN('Bond 1'!$B$23),4)</f>
        <v>B23</v>
      </c>
      <c r="C941" t="str">
        <f>ADDRESS(ROW('Bond 1'!$D$23),COLUMN('Bond 1'!$D$23),4)</f>
        <v>D23</v>
      </c>
      <c r="D941" t="b" cm="1">
        <f t="array" aca="1" ref="D941" ca="1">IF(INDIRECT("'"&amp;A941&amp;"'!"&amp;B941)="",FALSE,IF(NOT(ISNUMBER(INDIRECT("'"&amp;A941&amp;"'!"&amp;B941))),TRUE,FALSE))</f>
        <v>0</v>
      </c>
      <c r="E941" t="s">
        <v>435</v>
      </c>
      <c r="F941" t="str">
        <f>INDEX(Lists!I:I,MATCH(Validation!E941,Lists!G:G,0))</f>
        <v>Error</v>
      </c>
      <c r="G941" t="str">
        <f>INDEX(Lists!H:H,MATCH(Validation!E941,Lists!G:G,0))</f>
        <v>Enter an amount only. Do not enter text or spaces.</v>
      </c>
      <c r="H941" s="25" t="str">
        <f t="shared" ca="1" si="171"/>
        <v/>
      </c>
      <c r="I941" s="25" t="str">
        <f t="shared" ca="1" si="172"/>
        <v/>
      </c>
      <c r="J941" s="26" t="str">
        <f t="shared" ca="1" si="173"/>
        <v/>
      </c>
    </row>
    <row r="942" spans="1:10" x14ac:dyDescent="0.25">
      <c r="A942" t="s">
        <v>309</v>
      </c>
      <c r="B942" t="str">
        <f>ADDRESS(ROW('Bond 1'!$B$23),COLUMN('Bond 1'!$B$23),4)</f>
        <v>B23</v>
      </c>
      <c r="C942" t="str">
        <f>ADDRESS(ROW('Bond 1'!$D$23),COLUMN('Bond 1'!$D$23),4)</f>
        <v>D23</v>
      </c>
      <c r="D942" t="b" cm="1">
        <f t="array" aca="1" ref="D942" ca="1">IF(INDIRECT("'"&amp;A942&amp;"'!"&amp;B942)="",FALSE,IF(NOT(ISNUMBER(INDIRECT("'"&amp;A942&amp;"'!"&amp;B942))),TRUE,FALSE))</f>
        <v>0</v>
      </c>
      <c r="E942" t="s">
        <v>435</v>
      </c>
      <c r="F942" t="str">
        <f>INDEX(Lists!I:I,MATCH(Validation!E942,Lists!G:G,0))</f>
        <v>Error</v>
      </c>
      <c r="G942" t="str">
        <f>INDEX(Lists!H:H,MATCH(Validation!E942,Lists!G:G,0))</f>
        <v>Enter an amount only. Do not enter text or spaces.</v>
      </c>
      <c r="H942" s="25" t="str">
        <f t="shared" ca="1" si="171"/>
        <v/>
      </c>
      <c r="I942" s="25" t="str">
        <f t="shared" ca="1" si="172"/>
        <v/>
      </c>
      <c r="J942" s="26" t="str">
        <f t="shared" ca="1" si="173"/>
        <v/>
      </c>
    </row>
    <row r="943" spans="1:10" x14ac:dyDescent="0.25">
      <c r="A943" t="s">
        <v>310</v>
      </c>
      <c r="B943" t="str">
        <f>ADDRESS(ROW('Bond 1'!$B$23),COLUMN('Bond 1'!$B$23),4)</f>
        <v>B23</v>
      </c>
      <c r="C943" t="str">
        <f>ADDRESS(ROW('Bond 1'!$D$23),COLUMN('Bond 1'!$D$23),4)</f>
        <v>D23</v>
      </c>
      <c r="D943" t="b" cm="1">
        <f t="array" aca="1" ref="D943" ca="1">IF(INDIRECT("'"&amp;A943&amp;"'!"&amp;B943)="",FALSE,IF(NOT(ISNUMBER(INDIRECT("'"&amp;A943&amp;"'!"&amp;B943))),TRUE,FALSE))</f>
        <v>0</v>
      </c>
      <c r="E943" t="s">
        <v>435</v>
      </c>
      <c r="F943" t="str">
        <f>INDEX(Lists!I:I,MATCH(Validation!E943,Lists!G:G,0))</f>
        <v>Error</v>
      </c>
      <c r="G943" t="str">
        <f>INDEX(Lists!H:H,MATCH(Validation!E943,Lists!G:G,0))</f>
        <v>Enter an amount only. Do not enter text or spaces.</v>
      </c>
      <c r="H943" s="25" t="str">
        <f t="shared" ca="1" si="171"/>
        <v/>
      </c>
      <c r="I943" s="25" t="str">
        <f t="shared" ca="1" si="172"/>
        <v/>
      </c>
      <c r="J943" s="26" t="str">
        <f t="shared" ca="1" si="173"/>
        <v/>
      </c>
    </row>
    <row r="944" spans="1:10" x14ac:dyDescent="0.25">
      <c r="A944" t="s">
        <v>311</v>
      </c>
      <c r="B944" t="str">
        <f>ADDRESS(ROW('Bond 1'!$B$23),COLUMN('Bond 1'!$B$23),4)</f>
        <v>B23</v>
      </c>
      <c r="C944" t="str">
        <f>ADDRESS(ROW('Bond 1'!$D$23),COLUMN('Bond 1'!$D$23),4)</f>
        <v>D23</v>
      </c>
      <c r="D944" t="b" cm="1">
        <f t="array" aca="1" ref="D944" ca="1">IF(INDIRECT("'"&amp;A944&amp;"'!"&amp;B944)="",FALSE,IF(NOT(ISNUMBER(INDIRECT("'"&amp;A944&amp;"'!"&amp;B944))),TRUE,FALSE))</f>
        <v>0</v>
      </c>
      <c r="E944" t="s">
        <v>435</v>
      </c>
      <c r="F944" t="str">
        <f>INDEX(Lists!I:I,MATCH(Validation!E944,Lists!G:G,0))</f>
        <v>Error</v>
      </c>
      <c r="G944" t="str">
        <f>INDEX(Lists!H:H,MATCH(Validation!E944,Lists!G:G,0))</f>
        <v>Enter an amount only. Do not enter text or spaces.</v>
      </c>
      <c r="H944" s="25" t="str">
        <f t="shared" ca="1" si="171"/>
        <v/>
      </c>
      <c r="I944" s="25" t="str">
        <f t="shared" ca="1" si="172"/>
        <v/>
      </c>
      <c r="J944" s="26" t="str">
        <f t="shared" ca="1" si="173"/>
        <v/>
      </c>
    </row>
    <row r="945" spans="1:10" x14ac:dyDescent="0.25">
      <c r="A945" t="s">
        <v>312</v>
      </c>
      <c r="B945" t="str">
        <f>ADDRESS(ROW('Bond 1'!$B$23),COLUMN('Bond 1'!$B$23),4)</f>
        <v>B23</v>
      </c>
      <c r="C945" t="str">
        <f>ADDRESS(ROW('Bond 1'!$D$23),COLUMN('Bond 1'!$D$23),4)</f>
        <v>D23</v>
      </c>
      <c r="D945" t="b" cm="1">
        <f t="array" aca="1" ref="D945" ca="1">IF(INDIRECT("'"&amp;A945&amp;"'!"&amp;B945)="",FALSE,IF(NOT(ISNUMBER(INDIRECT("'"&amp;A945&amp;"'!"&amp;B945))),TRUE,FALSE))</f>
        <v>0</v>
      </c>
      <c r="E945" t="s">
        <v>435</v>
      </c>
      <c r="F945" t="str">
        <f>INDEX(Lists!I:I,MATCH(Validation!E945,Lists!G:G,0))</f>
        <v>Error</v>
      </c>
      <c r="G945" t="str">
        <f>INDEX(Lists!H:H,MATCH(Validation!E945,Lists!G:G,0))</f>
        <v>Enter an amount only. Do not enter text or spaces.</v>
      </c>
      <c r="H945" s="25" t="str">
        <f t="shared" ca="1" si="171"/>
        <v/>
      </c>
      <c r="I945" s="25" t="str">
        <f t="shared" ca="1" si="172"/>
        <v/>
      </c>
      <c r="J945" s="26" t="str">
        <f t="shared" ca="1" si="173"/>
        <v/>
      </c>
    </row>
    <row r="946" spans="1:10" x14ac:dyDescent="0.25">
      <c r="A946" t="s">
        <v>313</v>
      </c>
      <c r="B946" t="str">
        <f>ADDRESS(ROW('Bond 1'!$B$23),COLUMN('Bond 1'!$B$23),4)</f>
        <v>B23</v>
      </c>
      <c r="C946" t="str">
        <f>ADDRESS(ROW('Bond 1'!$D$23),COLUMN('Bond 1'!$D$23),4)</f>
        <v>D23</v>
      </c>
      <c r="D946" t="b" cm="1">
        <f t="array" aca="1" ref="D946" ca="1">IF(INDIRECT("'"&amp;A946&amp;"'!"&amp;B946)="",FALSE,IF(NOT(ISNUMBER(INDIRECT("'"&amp;A946&amp;"'!"&amp;B946))),TRUE,FALSE))</f>
        <v>0</v>
      </c>
      <c r="E946" t="s">
        <v>435</v>
      </c>
      <c r="F946" t="str">
        <f>INDEX(Lists!I:I,MATCH(Validation!E946,Lists!G:G,0))</f>
        <v>Error</v>
      </c>
      <c r="G946" t="str">
        <f>INDEX(Lists!H:H,MATCH(Validation!E946,Lists!G:G,0))</f>
        <v>Enter an amount only. Do not enter text or spaces.</v>
      </c>
      <c r="H946" s="25" t="str">
        <f t="shared" ca="1" si="171"/>
        <v/>
      </c>
      <c r="I946" s="25" t="str">
        <f t="shared" ca="1" si="172"/>
        <v/>
      </c>
      <c r="J946" s="26" t="str">
        <f t="shared" ca="1" si="173"/>
        <v/>
      </c>
    </row>
    <row r="947" spans="1:10" x14ac:dyDescent="0.25">
      <c r="A947" t="s">
        <v>314</v>
      </c>
      <c r="B947" t="str">
        <f>ADDRESS(ROW('Bond 1'!$B$23),COLUMN('Bond 1'!$B$23),4)</f>
        <v>B23</v>
      </c>
      <c r="C947" t="str">
        <f>ADDRESS(ROW('Bond 1'!$D$23),COLUMN('Bond 1'!$D$23),4)</f>
        <v>D23</v>
      </c>
      <c r="D947" t="b" cm="1">
        <f t="array" aca="1" ref="D947" ca="1">IF(INDIRECT("'"&amp;A947&amp;"'!"&amp;B947)="",FALSE,IF(NOT(ISNUMBER(INDIRECT("'"&amp;A947&amp;"'!"&amp;B947))),TRUE,FALSE))</f>
        <v>0</v>
      </c>
      <c r="E947" t="s">
        <v>435</v>
      </c>
      <c r="F947" t="str">
        <f>INDEX(Lists!I:I,MATCH(Validation!E947,Lists!G:G,0))</f>
        <v>Error</v>
      </c>
      <c r="G947" t="str">
        <f>INDEX(Lists!H:H,MATCH(Validation!E947,Lists!G:G,0))</f>
        <v>Enter an amount only. Do not enter text or spaces.</v>
      </c>
      <c r="H947" s="25" t="str">
        <f t="shared" ca="1" si="171"/>
        <v/>
      </c>
      <c r="I947" s="25" t="str">
        <f t="shared" ca="1" si="172"/>
        <v/>
      </c>
      <c r="J947" s="26" t="str">
        <f t="shared" ca="1" si="173"/>
        <v/>
      </c>
    </row>
    <row r="948" spans="1:10" x14ac:dyDescent="0.25">
      <c r="A948" t="s">
        <v>315</v>
      </c>
      <c r="B948" t="str">
        <f>ADDRESS(ROW('Bond 1'!$B$23),COLUMN('Bond 1'!$B$23),4)</f>
        <v>B23</v>
      </c>
      <c r="C948" t="str">
        <f>ADDRESS(ROW('Bond 1'!$D$23),COLUMN('Bond 1'!$D$23),4)</f>
        <v>D23</v>
      </c>
      <c r="D948" t="b" cm="1">
        <f t="array" aca="1" ref="D948" ca="1">IF(INDIRECT("'"&amp;A948&amp;"'!"&amp;B948)="",FALSE,IF(NOT(ISNUMBER(INDIRECT("'"&amp;A948&amp;"'!"&amp;B948))),TRUE,FALSE))</f>
        <v>0</v>
      </c>
      <c r="E948" t="s">
        <v>435</v>
      </c>
      <c r="F948" t="str">
        <f>INDEX(Lists!I:I,MATCH(Validation!E948,Lists!G:G,0))</f>
        <v>Error</v>
      </c>
      <c r="G948" t="str">
        <f>INDEX(Lists!H:H,MATCH(Validation!E948,Lists!G:G,0))</f>
        <v>Enter an amount only. Do not enter text or spaces.</v>
      </c>
      <c r="H948" s="25" t="str">
        <f t="shared" ca="1" si="171"/>
        <v/>
      </c>
      <c r="I948" s="25" t="str">
        <f t="shared" ca="1" si="172"/>
        <v/>
      </c>
      <c r="J948" s="26" t="str">
        <f t="shared" ca="1" si="173"/>
        <v/>
      </c>
    </row>
    <row r="949" spans="1:10" x14ac:dyDescent="0.25">
      <c r="A949" t="s">
        <v>198</v>
      </c>
      <c r="B949" t="str">
        <f>ADDRESS(ROW('Bond 1'!$B$23),COLUMN('Bond 1'!$B$23),4)</f>
        <v>B23</v>
      </c>
      <c r="C949" t="str">
        <f>ADDRESS(ROW('Bond 1'!$D$23),COLUMN('Bond 1'!$D$23),4)</f>
        <v>D23</v>
      </c>
      <c r="D949" t="b" cm="1">
        <f t="array" aca="1" ref="D949" ca="1">IF(INDIRECT("'"&amp;A949&amp;"'!"&amp;B949)="",FALSE,IF(INDIRECT("'"&amp;A949&amp;"'!"&amp;B949)&lt;0,TRUE,FALSE))</f>
        <v>0</v>
      </c>
      <c r="E949" t="s">
        <v>434</v>
      </c>
      <c r="F949" t="str">
        <f>INDEX(Lists!I:I,MATCH(Validation!E949,Lists!G:G,0))</f>
        <v>Error</v>
      </c>
      <c r="G949" t="str">
        <f>INDEX(Lists!H:H,MATCH(Validation!E949,Lists!G:G,0))</f>
        <v>Amount may not be negative. Enter an amount greater than or equal to zero.</v>
      </c>
      <c r="H949" s="25" t="str">
        <f t="shared" ca="1" si="171"/>
        <v/>
      </c>
      <c r="I949" s="25" t="str">
        <f t="shared" ca="1" si="172"/>
        <v/>
      </c>
      <c r="J949" s="26" t="str">
        <f t="shared" ca="1" si="173"/>
        <v/>
      </c>
    </row>
    <row r="950" spans="1:10" x14ac:dyDescent="0.25">
      <c r="A950" t="s">
        <v>302</v>
      </c>
      <c r="B950" t="str">
        <f>ADDRESS(ROW('Bond 1'!$B$23),COLUMN('Bond 1'!$B$23),4)</f>
        <v>B23</v>
      </c>
      <c r="C950" t="str">
        <f>ADDRESS(ROW('Bond 1'!$D$23),COLUMN('Bond 1'!$D$23),4)</f>
        <v>D23</v>
      </c>
      <c r="D950" t="b" cm="1">
        <f t="array" aca="1" ref="D950" ca="1">IF(INDIRECT("'"&amp;A950&amp;"'!"&amp;B950)="",FALSE,IF(INDIRECT("'"&amp;A950&amp;"'!"&amp;B950)&lt;0,TRUE,FALSE))</f>
        <v>0</v>
      </c>
      <c r="E950" t="s">
        <v>434</v>
      </c>
      <c r="F950" t="str">
        <f>INDEX(Lists!I:I,MATCH(Validation!E950,Lists!G:G,0))</f>
        <v>Error</v>
      </c>
      <c r="G950" t="str">
        <f>INDEX(Lists!H:H,MATCH(Validation!E950,Lists!G:G,0))</f>
        <v>Amount may not be negative. Enter an amount greater than or equal to zero.</v>
      </c>
      <c r="H950" s="25" t="str">
        <f t="shared" ca="1" si="171"/>
        <v/>
      </c>
      <c r="I950" s="25" t="str">
        <f t="shared" ca="1" si="172"/>
        <v/>
      </c>
      <c r="J950" s="26" t="str">
        <f t="shared" ca="1" si="173"/>
        <v/>
      </c>
    </row>
    <row r="951" spans="1:10" x14ac:dyDescent="0.25">
      <c r="A951" t="s">
        <v>303</v>
      </c>
      <c r="B951" t="str">
        <f>ADDRESS(ROW('Bond 1'!$B$23),COLUMN('Bond 1'!$B$23),4)</f>
        <v>B23</v>
      </c>
      <c r="C951" t="str">
        <f>ADDRESS(ROW('Bond 1'!$D$23),COLUMN('Bond 1'!$D$23),4)</f>
        <v>D23</v>
      </c>
      <c r="D951" t="b" cm="1">
        <f t="array" aca="1" ref="D951" ca="1">IF(INDIRECT("'"&amp;A951&amp;"'!"&amp;B951)="",FALSE,IF(INDIRECT("'"&amp;A951&amp;"'!"&amp;B951)&lt;0,TRUE,FALSE))</f>
        <v>0</v>
      </c>
      <c r="E951" t="s">
        <v>434</v>
      </c>
      <c r="F951" t="str">
        <f>INDEX(Lists!I:I,MATCH(Validation!E951,Lists!G:G,0))</f>
        <v>Error</v>
      </c>
      <c r="G951" t="str">
        <f>INDEX(Lists!H:H,MATCH(Validation!E951,Lists!G:G,0))</f>
        <v>Amount may not be negative. Enter an amount greater than or equal to zero.</v>
      </c>
      <c r="H951" s="25" t="str">
        <f t="shared" ca="1" si="171"/>
        <v/>
      </c>
      <c r="I951" s="25" t="str">
        <f t="shared" ca="1" si="172"/>
        <v/>
      </c>
      <c r="J951" s="26" t="str">
        <f t="shared" ca="1" si="173"/>
        <v/>
      </c>
    </row>
    <row r="952" spans="1:10" x14ac:dyDescent="0.25">
      <c r="A952" t="s">
        <v>304</v>
      </c>
      <c r="B952" t="str">
        <f>ADDRESS(ROW('Bond 1'!$B$23),COLUMN('Bond 1'!$B$23),4)</f>
        <v>B23</v>
      </c>
      <c r="C952" t="str">
        <f>ADDRESS(ROW('Bond 1'!$D$23),COLUMN('Bond 1'!$D$23),4)</f>
        <v>D23</v>
      </c>
      <c r="D952" t="b" cm="1">
        <f t="array" aca="1" ref="D952" ca="1">IF(INDIRECT("'"&amp;A952&amp;"'!"&amp;B952)="",FALSE,IF(INDIRECT("'"&amp;A952&amp;"'!"&amp;B952)&lt;0,TRUE,FALSE))</f>
        <v>0</v>
      </c>
      <c r="E952" t="s">
        <v>434</v>
      </c>
      <c r="F952" t="str">
        <f>INDEX(Lists!I:I,MATCH(Validation!E952,Lists!G:G,0))</f>
        <v>Error</v>
      </c>
      <c r="G952" t="str">
        <f>INDEX(Lists!H:H,MATCH(Validation!E952,Lists!G:G,0))</f>
        <v>Amount may not be negative. Enter an amount greater than or equal to zero.</v>
      </c>
      <c r="H952" s="25" t="str">
        <f t="shared" ca="1" si="171"/>
        <v/>
      </c>
      <c r="I952" s="25" t="str">
        <f t="shared" ca="1" si="172"/>
        <v/>
      </c>
      <c r="J952" s="26" t="str">
        <f t="shared" ca="1" si="173"/>
        <v/>
      </c>
    </row>
    <row r="953" spans="1:10" x14ac:dyDescent="0.25">
      <c r="A953" t="s">
        <v>305</v>
      </c>
      <c r="B953" t="str">
        <f>ADDRESS(ROW('Bond 1'!$B$23),COLUMN('Bond 1'!$B$23),4)</f>
        <v>B23</v>
      </c>
      <c r="C953" t="str">
        <f>ADDRESS(ROW('Bond 1'!$D$23),COLUMN('Bond 1'!$D$23),4)</f>
        <v>D23</v>
      </c>
      <c r="D953" t="b" cm="1">
        <f t="array" aca="1" ref="D953" ca="1">IF(INDIRECT("'"&amp;A953&amp;"'!"&amp;B953)="",FALSE,IF(INDIRECT("'"&amp;A953&amp;"'!"&amp;B953)&lt;0,TRUE,FALSE))</f>
        <v>0</v>
      </c>
      <c r="E953" t="s">
        <v>434</v>
      </c>
      <c r="F953" t="str">
        <f>INDEX(Lists!I:I,MATCH(Validation!E953,Lists!G:G,0))</f>
        <v>Error</v>
      </c>
      <c r="G953" t="str">
        <f>INDEX(Lists!H:H,MATCH(Validation!E953,Lists!G:G,0))</f>
        <v>Amount may not be negative. Enter an amount greater than or equal to zero.</v>
      </c>
      <c r="H953" s="25" t="str">
        <f t="shared" ref="H953:H1016" ca="1" si="174">IFERROR(IF(OR(NOT(D953),F953&lt;&gt;"Error"),"",A953&amp;CELL("address",INDIRECT(B953))),"")</f>
        <v/>
      </c>
      <c r="I953" s="25" t="str">
        <f t="shared" ref="I953:I1016" ca="1" si="175">IFERROR(IF(NOT(D953),"",A953&amp;CELL("address",INDIRECT(C953))),"")</f>
        <v/>
      </c>
      <c r="J953" s="26" t="str">
        <f t="shared" ref="J953:J1016" ca="1" si="176">IFERROR(IF(NOT(D953),"",A953),"")</f>
        <v/>
      </c>
    </row>
    <row r="954" spans="1:10" x14ac:dyDescent="0.25">
      <c r="A954" t="s">
        <v>306</v>
      </c>
      <c r="B954" t="str">
        <f>ADDRESS(ROW('Bond 1'!$B$23),COLUMN('Bond 1'!$B$23),4)</f>
        <v>B23</v>
      </c>
      <c r="C954" t="str">
        <f>ADDRESS(ROW('Bond 1'!$D$23),COLUMN('Bond 1'!$D$23),4)</f>
        <v>D23</v>
      </c>
      <c r="D954" t="b" cm="1">
        <f t="array" aca="1" ref="D954" ca="1">IF(INDIRECT("'"&amp;A954&amp;"'!"&amp;B954)="",FALSE,IF(INDIRECT("'"&amp;A954&amp;"'!"&amp;B954)&lt;0,TRUE,FALSE))</f>
        <v>0</v>
      </c>
      <c r="E954" t="s">
        <v>434</v>
      </c>
      <c r="F954" t="str">
        <f>INDEX(Lists!I:I,MATCH(Validation!E954,Lists!G:G,0))</f>
        <v>Error</v>
      </c>
      <c r="G954" t="str">
        <f>INDEX(Lists!H:H,MATCH(Validation!E954,Lists!G:G,0))</f>
        <v>Amount may not be negative. Enter an amount greater than or equal to zero.</v>
      </c>
      <c r="H954" s="25" t="str">
        <f t="shared" ca="1" si="174"/>
        <v/>
      </c>
      <c r="I954" s="25" t="str">
        <f t="shared" ca="1" si="175"/>
        <v/>
      </c>
      <c r="J954" s="26" t="str">
        <f t="shared" ca="1" si="176"/>
        <v/>
      </c>
    </row>
    <row r="955" spans="1:10" x14ac:dyDescent="0.25">
      <c r="A955" t="s">
        <v>307</v>
      </c>
      <c r="B955" t="str">
        <f>ADDRESS(ROW('Bond 1'!$B$23),COLUMN('Bond 1'!$B$23),4)</f>
        <v>B23</v>
      </c>
      <c r="C955" t="str">
        <f>ADDRESS(ROW('Bond 1'!$D$23),COLUMN('Bond 1'!$D$23),4)</f>
        <v>D23</v>
      </c>
      <c r="D955" t="b" cm="1">
        <f t="array" aca="1" ref="D955" ca="1">IF(INDIRECT("'"&amp;A955&amp;"'!"&amp;B955)="",FALSE,IF(INDIRECT("'"&amp;A955&amp;"'!"&amp;B955)&lt;0,TRUE,FALSE))</f>
        <v>0</v>
      </c>
      <c r="E955" t="s">
        <v>434</v>
      </c>
      <c r="F955" t="str">
        <f>INDEX(Lists!I:I,MATCH(Validation!E955,Lists!G:G,0))</f>
        <v>Error</v>
      </c>
      <c r="G955" t="str">
        <f>INDEX(Lists!H:H,MATCH(Validation!E955,Lists!G:G,0))</f>
        <v>Amount may not be negative. Enter an amount greater than or equal to zero.</v>
      </c>
      <c r="H955" s="25" t="str">
        <f t="shared" ca="1" si="174"/>
        <v/>
      </c>
      <c r="I955" s="25" t="str">
        <f t="shared" ca="1" si="175"/>
        <v/>
      </c>
      <c r="J955" s="26" t="str">
        <f t="shared" ca="1" si="176"/>
        <v/>
      </c>
    </row>
    <row r="956" spans="1:10" x14ac:dyDescent="0.25">
      <c r="A956" t="s">
        <v>308</v>
      </c>
      <c r="B956" t="str">
        <f>ADDRESS(ROW('Bond 1'!$B$23),COLUMN('Bond 1'!$B$23),4)</f>
        <v>B23</v>
      </c>
      <c r="C956" t="str">
        <f>ADDRESS(ROW('Bond 1'!$D$23),COLUMN('Bond 1'!$D$23),4)</f>
        <v>D23</v>
      </c>
      <c r="D956" t="b" cm="1">
        <f t="array" aca="1" ref="D956" ca="1">IF(INDIRECT("'"&amp;A956&amp;"'!"&amp;B956)="",FALSE,IF(INDIRECT("'"&amp;A956&amp;"'!"&amp;B956)&lt;0,TRUE,FALSE))</f>
        <v>0</v>
      </c>
      <c r="E956" t="s">
        <v>434</v>
      </c>
      <c r="F956" t="str">
        <f>INDEX(Lists!I:I,MATCH(Validation!E956,Lists!G:G,0))</f>
        <v>Error</v>
      </c>
      <c r="G956" t="str">
        <f>INDEX(Lists!H:H,MATCH(Validation!E956,Lists!G:G,0))</f>
        <v>Amount may not be negative. Enter an amount greater than or equal to zero.</v>
      </c>
      <c r="H956" s="25" t="str">
        <f t="shared" ca="1" si="174"/>
        <v/>
      </c>
      <c r="I956" s="25" t="str">
        <f t="shared" ca="1" si="175"/>
        <v/>
      </c>
      <c r="J956" s="26" t="str">
        <f t="shared" ca="1" si="176"/>
        <v/>
      </c>
    </row>
    <row r="957" spans="1:10" x14ac:dyDescent="0.25">
      <c r="A957" t="s">
        <v>309</v>
      </c>
      <c r="B957" t="str">
        <f>ADDRESS(ROW('Bond 1'!$B$23),COLUMN('Bond 1'!$B$23),4)</f>
        <v>B23</v>
      </c>
      <c r="C957" t="str">
        <f>ADDRESS(ROW('Bond 1'!$D$23),COLUMN('Bond 1'!$D$23),4)</f>
        <v>D23</v>
      </c>
      <c r="D957" t="b" cm="1">
        <f t="array" aca="1" ref="D957" ca="1">IF(INDIRECT("'"&amp;A957&amp;"'!"&amp;B957)="",FALSE,IF(INDIRECT("'"&amp;A957&amp;"'!"&amp;B957)&lt;0,TRUE,FALSE))</f>
        <v>0</v>
      </c>
      <c r="E957" t="s">
        <v>434</v>
      </c>
      <c r="F957" t="str">
        <f>INDEX(Lists!I:I,MATCH(Validation!E957,Lists!G:G,0))</f>
        <v>Error</v>
      </c>
      <c r="G957" t="str">
        <f>INDEX(Lists!H:H,MATCH(Validation!E957,Lists!G:G,0))</f>
        <v>Amount may not be negative. Enter an amount greater than or equal to zero.</v>
      </c>
      <c r="H957" s="25" t="str">
        <f t="shared" ca="1" si="174"/>
        <v/>
      </c>
      <c r="I957" s="25" t="str">
        <f t="shared" ca="1" si="175"/>
        <v/>
      </c>
      <c r="J957" s="26" t="str">
        <f t="shared" ca="1" si="176"/>
        <v/>
      </c>
    </row>
    <row r="958" spans="1:10" x14ac:dyDescent="0.25">
      <c r="A958" t="s">
        <v>310</v>
      </c>
      <c r="B958" t="str">
        <f>ADDRESS(ROW('Bond 1'!$B$23),COLUMN('Bond 1'!$B$23),4)</f>
        <v>B23</v>
      </c>
      <c r="C958" t="str">
        <f>ADDRESS(ROW('Bond 1'!$D$23),COLUMN('Bond 1'!$D$23),4)</f>
        <v>D23</v>
      </c>
      <c r="D958" t="b" cm="1">
        <f t="array" aca="1" ref="D958" ca="1">IF(INDIRECT("'"&amp;A958&amp;"'!"&amp;B958)="",FALSE,IF(INDIRECT("'"&amp;A958&amp;"'!"&amp;B958)&lt;0,TRUE,FALSE))</f>
        <v>0</v>
      </c>
      <c r="E958" t="s">
        <v>434</v>
      </c>
      <c r="F958" t="str">
        <f>INDEX(Lists!I:I,MATCH(Validation!E958,Lists!G:G,0))</f>
        <v>Error</v>
      </c>
      <c r="G958" t="str">
        <f>INDEX(Lists!H:H,MATCH(Validation!E958,Lists!G:G,0))</f>
        <v>Amount may not be negative. Enter an amount greater than or equal to zero.</v>
      </c>
      <c r="H958" s="25" t="str">
        <f t="shared" ca="1" si="174"/>
        <v/>
      </c>
      <c r="I958" s="25" t="str">
        <f t="shared" ca="1" si="175"/>
        <v/>
      </c>
      <c r="J958" s="26" t="str">
        <f t="shared" ca="1" si="176"/>
        <v/>
      </c>
    </row>
    <row r="959" spans="1:10" x14ac:dyDescent="0.25">
      <c r="A959" t="s">
        <v>311</v>
      </c>
      <c r="B959" t="str">
        <f>ADDRESS(ROW('Bond 1'!$B$23),COLUMN('Bond 1'!$B$23),4)</f>
        <v>B23</v>
      </c>
      <c r="C959" t="str">
        <f>ADDRESS(ROW('Bond 1'!$D$23),COLUMN('Bond 1'!$D$23),4)</f>
        <v>D23</v>
      </c>
      <c r="D959" t="b" cm="1">
        <f t="array" aca="1" ref="D959" ca="1">IF(INDIRECT("'"&amp;A959&amp;"'!"&amp;B959)="",FALSE,IF(INDIRECT("'"&amp;A959&amp;"'!"&amp;B959)&lt;0,TRUE,FALSE))</f>
        <v>0</v>
      </c>
      <c r="E959" t="s">
        <v>434</v>
      </c>
      <c r="F959" t="str">
        <f>INDEX(Lists!I:I,MATCH(Validation!E959,Lists!G:G,0))</f>
        <v>Error</v>
      </c>
      <c r="G959" t="str">
        <f>INDEX(Lists!H:H,MATCH(Validation!E959,Lists!G:G,0))</f>
        <v>Amount may not be negative. Enter an amount greater than or equal to zero.</v>
      </c>
      <c r="H959" s="25" t="str">
        <f t="shared" ca="1" si="174"/>
        <v/>
      </c>
      <c r="I959" s="25" t="str">
        <f t="shared" ca="1" si="175"/>
        <v/>
      </c>
      <c r="J959" s="26" t="str">
        <f t="shared" ca="1" si="176"/>
        <v/>
      </c>
    </row>
    <row r="960" spans="1:10" x14ac:dyDescent="0.25">
      <c r="A960" t="s">
        <v>312</v>
      </c>
      <c r="B960" t="str">
        <f>ADDRESS(ROW('Bond 1'!$B$23),COLUMN('Bond 1'!$B$23),4)</f>
        <v>B23</v>
      </c>
      <c r="C960" t="str">
        <f>ADDRESS(ROW('Bond 1'!$D$23),COLUMN('Bond 1'!$D$23),4)</f>
        <v>D23</v>
      </c>
      <c r="D960" t="b" cm="1">
        <f t="array" aca="1" ref="D960" ca="1">IF(INDIRECT("'"&amp;A960&amp;"'!"&amp;B960)="",FALSE,IF(INDIRECT("'"&amp;A960&amp;"'!"&amp;B960)&lt;0,TRUE,FALSE))</f>
        <v>0</v>
      </c>
      <c r="E960" t="s">
        <v>434</v>
      </c>
      <c r="F960" t="str">
        <f>INDEX(Lists!I:I,MATCH(Validation!E960,Lists!G:G,0))</f>
        <v>Error</v>
      </c>
      <c r="G960" t="str">
        <f>INDEX(Lists!H:H,MATCH(Validation!E960,Lists!G:G,0))</f>
        <v>Amount may not be negative. Enter an amount greater than or equal to zero.</v>
      </c>
      <c r="H960" s="25" t="str">
        <f t="shared" ca="1" si="174"/>
        <v/>
      </c>
      <c r="I960" s="25" t="str">
        <f t="shared" ca="1" si="175"/>
        <v/>
      </c>
      <c r="J960" s="26" t="str">
        <f t="shared" ca="1" si="176"/>
        <v/>
      </c>
    </row>
    <row r="961" spans="1:10" x14ac:dyDescent="0.25">
      <c r="A961" t="s">
        <v>313</v>
      </c>
      <c r="B961" t="str">
        <f>ADDRESS(ROW('Bond 1'!$B$23),COLUMN('Bond 1'!$B$23),4)</f>
        <v>B23</v>
      </c>
      <c r="C961" t="str">
        <f>ADDRESS(ROW('Bond 1'!$D$23),COLUMN('Bond 1'!$D$23),4)</f>
        <v>D23</v>
      </c>
      <c r="D961" t="b" cm="1">
        <f t="array" aca="1" ref="D961" ca="1">IF(INDIRECT("'"&amp;A961&amp;"'!"&amp;B961)="",FALSE,IF(INDIRECT("'"&amp;A961&amp;"'!"&amp;B961)&lt;0,TRUE,FALSE))</f>
        <v>0</v>
      </c>
      <c r="E961" t="s">
        <v>434</v>
      </c>
      <c r="F961" t="str">
        <f>INDEX(Lists!I:I,MATCH(Validation!E961,Lists!G:G,0))</f>
        <v>Error</v>
      </c>
      <c r="G961" t="str">
        <f>INDEX(Lists!H:H,MATCH(Validation!E961,Lists!G:G,0))</f>
        <v>Amount may not be negative. Enter an amount greater than or equal to zero.</v>
      </c>
      <c r="H961" s="25" t="str">
        <f t="shared" ca="1" si="174"/>
        <v/>
      </c>
      <c r="I961" s="25" t="str">
        <f t="shared" ca="1" si="175"/>
        <v/>
      </c>
      <c r="J961" s="26" t="str">
        <f t="shared" ca="1" si="176"/>
        <v/>
      </c>
    </row>
    <row r="962" spans="1:10" x14ac:dyDescent="0.25">
      <c r="A962" t="s">
        <v>314</v>
      </c>
      <c r="B962" t="str">
        <f>ADDRESS(ROW('Bond 1'!$B$23),COLUMN('Bond 1'!$B$23),4)</f>
        <v>B23</v>
      </c>
      <c r="C962" t="str">
        <f>ADDRESS(ROW('Bond 1'!$D$23),COLUMN('Bond 1'!$D$23),4)</f>
        <v>D23</v>
      </c>
      <c r="D962" t="b" cm="1">
        <f t="array" aca="1" ref="D962" ca="1">IF(INDIRECT("'"&amp;A962&amp;"'!"&amp;B962)="",FALSE,IF(INDIRECT("'"&amp;A962&amp;"'!"&amp;B962)&lt;0,TRUE,FALSE))</f>
        <v>0</v>
      </c>
      <c r="E962" t="s">
        <v>434</v>
      </c>
      <c r="F962" t="str">
        <f>INDEX(Lists!I:I,MATCH(Validation!E962,Lists!G:G,0))</f>
        <v>Error</v>
      </c>
      <c r="G962" t="str">
        <f>INDEX(Lists!H:H,MATCH(Validation!E962,Lists!G:G,0))</f>
        <v>Amount may not be negative. Enter an amount greater than or equal to zero.</v>
      </c>
      <c r="H962" s="25" t="str">
        <f t="shared" ca="1" si="174"/>
        <v/>
      </c>
      <c r="I962" s="25" t="str">
        <f t="shared" ca="1" si="175"/>
        <v/>
      </c>
      <c r="J962" s="26" t="str">
        <f t="shared" ca="1" si="176"/>
        <v/>
      </c>
    </row>
    <row r="963" spans="1:10" x14ac:dyDescent="0.25">
      <c r="A963" t="s">
        <v>315</v>
      </c>
      <c r="B963" t="str">
        <f>ADDRESS(ROW('Bond 1'!$B$23),COLUMN('Bond 1'!$B$23),4)</f>
        <v>B23</v>
      </c>
      <c r="C963" t="str">
        <f>ADDRESS(ROW('Bond 1'!$D$23),COLUMN('Bond 1'!$D$23),4)</f>
        <v>D23</v>
      </c>
      <c r="D963" t="b" cm="1">
        <f t="array" aca="1" ref="D963" ca="1">IF(INDIRECT("'"&amp;A963&amp;"'!"&amp;B963)="",FALSE,IF(INDIRECT("'"&amp;A963&amp;"'!"&amp;B963)&lt;0,TRUE,FALSE))</f>
        <v>0</v>
      </c>
      <c r="E963" t="s">
        <v>434</v>
      </c>
      <c r="F963" t="str">
        <f>INDEX(Lists!I:I,MATCH(Validation!E963,Lists!G:G,0))</f>
        <v>Error</v>
      </c>
      <c r="G963" t="str">
        <f>INDEX(Lists!H:H,MATCH(Validation!E963,Lists!G:G,0))</f>
        <v>Amount may not be negative. Enter an amount greater than or equal to zero.</v>
      </c>
      <c r="H963" s="25" t="str">
        <f t="shared" ca="1" si="174"/>
        <v/>
      </c>
      <c r="I963" s="25" t="str">
        <f t="shared" ca="1" si="175"/>
        <v/>
      </c>
      <c r="J963" s="26" t="str">
        <f t="shared" ca="1" si="176"/>
        <v/>
      </c>
    </row>
    <row r="964" spans="1:10" x14ac:dyDescent="0.25">
      <c r="A964" t="s">
        <v>198</v>
      </c>
      <c r="B964" t="str">
        <f>ADDRESS(ROW('Bond 1'!$B$23),COLUMN('Bond 1'!$B$23),4)</f>
        <v>B23</v>
      </c>
      <c r="C964" t="str">
        <f>ADDRESS(ROW('Bond 1'!$D$23),COLUMN('Bond 1'!$D$23),4)</f>
        <v>D23</v>
      </c>
      <c r="D964" t="b" cm="1">
        <f t="array" aca="1" ref="D964" ca="1">IF(INDIRECT("'"&amp;A964&amp;"'!"&amp;B964)="",FALSE,IF(TRUNC(INDIRECT("'"&amp;A964&amp;"'!"&amp;B964))=INDIRECT("'"&amp;A964&amp;"'!"&amp;B964),FALSE,TRUE))</f>
        <v>0</v>
      </c>
      <c r="E964" t="s">
        <v>436</v>
      </c>
      <c r="F964" t="str">
        <f>INDEX(Lists!I:I,MATCH(Validation!E964,Lists!G:G,0))</f>
        <v>Error</v>
      </c>
      <c r="G964" t="str">
        <f>INDEX(Lists!H:H,MATCH(Validation!E964,Lists!G:G,0))</f>
        <v>Amount must be rounded to the nearest dollar.</v>
      </c>
      <c r="H964" s="25" t="str">
        <f t="shared" ca="1" si="174"/>
        <v/>
      </c>
      <c r="I964" s="25" t="str">
        <f t="shared" ca="1" si="175"/>
        <v/>
      </c>
      <c r="J964" s="26" t="str">
        <f t="shared" ca="1" si="176"/>
        <v/>
      </c>
    </row>
    <row r="965" spans="1:10" x14ac:dyDescent="0.25">
      <c r="A965" t="s">
        <v>302</v>
      </c>
      <c r="B965" t="str">
        <f>ADDRESS(ROW('Bond 1'!$B$23),COLUMN('Bond 1'!$B$23),4)</f>
        <v>B23</v>
      </c>
      <c r="C965" t="str">
        <f>ADDRESS(ROW('Bond 1'!$D$23),COLUMN('Bond 1'!$D$23),4)</f>
        <v>D23</v>
      </c>
      <c r="D965" t="b" cm="1">
        <f t="array" aca="1" ref="D965" ca="1">IF(INDIRECT("'"&amp;A965&amp;"'!"&amp;B965)="",FALSE,IF(TRUNC(INDIRECT("'"&amp;A965&amp;"'!"&amp;B965))=INDIRECT("'"&amp;A965&amp;"'!"&amp;B965),FALSE,TRUE))</f>
        <v>0</v>
      </c>
      <c r="E965" t="s">
        <v>436</v>
      </c>
      <c r="F965" t="str">
        <f>INDEX(Lists!I:I,MATCH(Validation!E965,Lists!G:G,0))</f>
        <v>Error</v>
      </c>
      <c r="G965" t="str">
        <f>INDEX(Lists!H:H,MATCH(Validation!E965,Lists!G:G,0))</f>
        <v>Amount must be rounded to the nearest dollar.</v>
      </c>
      <c r="H965" s="25" t="str">
        <f t="shared" ca="1" si="174"/>
        <v/>
      </c>
      <c r="I965" s="25" t="str">
        <f t="shared" ca="1" si="175"/>
        <v/>
      </c>
      <c r="J965" s="26" t="str">
        <f t="shared" ca="1" si="176"/>
        <v/>
      </c>
    </row>
    <row r="966" spans="1:10" x14ac:dyDescent="0.25">
      <c r="A966" t="s">
        <v>303</v>
      </c>
      <c r="B966" t="str">
        <f>ADDRESS(ROW('Bond 1'!$B$23),COLUMN('Bond 1'!$B$23),4)</f>
        <v>B23</v>
      </c>
      <c r="C966" t="str">
        <f>ADDRESS(ROW('Bond 1'!$D$23),COLUMN('Bond 1'!$D$23),4)</f>
        <v>D23</v>
      </c>
      <c r="D966" t="b" cm="1">
        <f t="array" aca="1" ref="D966" ca="1">IF(INDIRECT("'"&amp;A966&amp;"'!"&amp;B966)="",FALSE,IF(TRUNC(INDIRECT("'"&amp;A966&amp;"'!"&amp;B966))=INDIRECT("'"&amp;A966&amp;"'!"&amp;B966),FALSE,TRUE))</f>
        <v>0</v>
      </c>
      <c r="E966" t="s">
        <v>436</v>
      </c>
      <c r="F966" t="str">
        <f>INDEX(Lists!I:I,MATCH(Validation!E966,Lists!G:G,0))</f>
        <v>Error</v>
      </c>
      <c r="G966" t="str">
        <f>INDEX(Lists!H:H,MATCH(Validation!E966,Lists!G:G,0))</f>
        <v>Amount must be rounded to the nearest dollar.</v>
      </c>
      <c r="H966" s="25" t="str">
        <f t="shared" ca="1" si="174"/>
        <v/>
      </c>
      <c r="I966" s="25" t="str">
        <f t="shared" ca="1" si="175"/>
        <v/>
      </c>
      <c r="J966" s="26" t="str">
        <f t="shared" ca="1" si="176"/>
        <v/>
      </c>
    </row>
    <row r="967" spans="1:10" x14ac:dyDescent="0.25">
      <c r="A967" t="s">
        <v>304</v>
      </c>
      <c r="B967" t="str">
        <f>ADDRESS(ROW('Bond 1'!$B$23),COLUMN('Bond 1'!$B$23),4)</f>
        <v>B23</v>
      </c>
      <c r="C967" t="str">
        <f>ADDRESS(ROW('Bond 1'!$D$23),COLUMN('Bond 1'!$D$23),4)</f>
        <v>D23</v>
      </c>
      <c r="D967" t="b" cm="1">
        <f t="array" aca="1" ref="D967" ca="1">IF(INDIRECT("'"&amp;A967&amp;"'!"&amp;B967)="",FALSE,IF(TRUNC(INDIRECT("'"&amp;A967&amp;"'!"&amp;B967))=INDIRECT("'"&amp;A967&amp;"'!"&amp;B967),FALSE,TRUE))</f>
        <v>0</v>
      </c>
      <c r="E967" t="s">
        <v>436</v>
      </c>
      <c r="F967" t="str">
        <f>INDEX(Lists!I:I,MATCH(Validation!E967,Lists!G:G,0))</f>
        <v>Error</v>
      </c>
      <c r="G967" t="str">
        <f>INDEX(Lists!H:H,MATCH(Validation!E967,Lists!G:G,0))</f>
        <v>Amount must be rounded to the nearest dollar.</v>
      </c>
      <c r="H967" s="25" t="str">
        <f t="shared" ca="1" si="174"/>
        <v/>
      </c>
      <c r="I967" s="25" t="str">
        <f t="shared" ca="1" si="175"/>
        <v/>
      </c>
      <c r="J967" s="26" t="str">
        <f t="shared" ca="1" si="176"/>
        <v/>
      </c>
    </row>
    <row r="968" spans="1:10" x14ac:dyDescent="0.25">
      <c r="A968" t="s">
        <v>305</v>
      </c>
      <c r="B968" t="str">
        <f>ADDRESS(ROW('Bond 1'!$B$23),COLUMN('Bond 1'!$B$23),4)</f>
        <v>B23</v>
      </c>
      <c r="C968" t="str">
        <f>ADDRESS(ROW('Bond 1'!$D$23),COLUMN('Bond 1'!$D$23),4)</f>
        <v>D23</v>
      </c>
      <c r="D968" t="b" cm="1">
        <f t="array" aca="1" ref="D968" ca="1">IF(INDIRECT("'"&amp;A968&amp;"'!"&amp;B968)="",FALSE,IF(TRUNC(INDIRECT("'"&amp;A968&amp;"'!"&amp;B968))=INDIRECT("'"&amp;A968&amp;"'!"&amp;B968),FALSE,TRUE))</f>
        <v>0</v>
      </c>
      <c r="E968" t="s">
        <v>436</v>
      </c>
      <c r="F968" t="str">
        <f>INDEX(Lists!I:I,MATCH(Validation!E968,Lists!G:G,0))</f>
        <v>Error</v>
      </c>
      <c r="G968" t="str">
        <f>INDEX(Lists!H:H,MATCH(Validation!E968,Lists!G:G,0))</f>
        <v>Amount must be rounded to the nearest dollar.</v>
      </c>
      <c r="H968" s="25" t="str">
        <f t="shared" ca="1" si="174"/>
        <v/>
      </c>
      <c r="I968" s="25" t="str">
        <f t="shared" ca="1" si="175"/>
        <v/>
      </c>
      <c r="J968" s="26" t="str">
        <f t="shared" ca="1" si="176"/>
        <v/>
      </c>
    </row>
    <row r="969" spans="1:10" x14ac:dyDescent="0.25">
      <c r="A969" t="s">
        <v>306</v>
      </c>
      <c r="B969" t="str">
        <f>ADDRESS(ROW('Bond 1'!$B$23),COLUMN('Bond 1'!$B$23),4)</f>
        <v>B23</v>
      </c>
      <c r="C969" t="str">
        <f>ADDRESS(ROW('Bond 1'!$D$23),COLUMN('Bond 1'!$D$23),4)</f>
        <v>D23</v>
      </c>
      <c r="D969" t="b" cm="1">
        <f t="array" aca="1" ref="D969" ca="1">IF(INDIRECT("'"&amp;A969&amp;"'!"&amp;B969)="",FALSE,IF(TRUNC(INDIRECT("'"&amp;A969&amp;"'!"&amp;B969))=INDIRECT("'"&amp;A969&amp;"'!"&amp;B969),FALSE,TRUE))</f>
        <v>0</v>
      </c>
      <c r="E969" t="s">
        <v>436</v>
      </c>
      <c r="F969" t="str">
        <f>INDEX(Lists!I:I,MATCH(Validation!E969,Lists!G:G,0))</f>
        <v>Error</v>
      </c>
      <c r="G969" t="str">
        <f>INDEX(Lists!H:H,MATCH(Validation!E969,Lists!G:G,0))</f>
        <v>Amount must be rounded to the nearest dollar.</v>
      </c>
      <c r="H969" s="25" t="str">
        <f t="shared" ca="1" si="174"/>
        <v/>
      </c>
      <c r="I969" s="25" t="str">
        <f t="shared" ca="1" si="175"/>
        <v/>
      </c>
      <c r="J969" s="26" t="str">
        <f t="shared" ca="1" si="176"/>
        <v/>
      </c>
    </row>
    <row r="970" spans="1:10" x14ac:dyDescent="0.25">
      <c r="A970" t="s">
        <v>307</v>
      </c>
      <c r="B970" t="str">
        <f>ADDRESS(ROW('Bond 1'!$B$23),COLUMN('Bond 1'!$B$23),4)</f>
        <v>B23</v>
      </c>
      <c r="C970" t="str">
        <f>ADDRESS(ROW('Bond 1'!$D$23),COLUMN('Bond 1'!$D$23),4)</f>
        <v>D23</v>
      </c>
      <c r="D970" t="b" cm="1">
        <f t="array" aca="1" ref="D970" ca="1">IF(INDIRECT("'"&amp;A970&amp;"'!"&amp;B970)="",FALSE,IF(TRUNC(INDIRECT("'"&amp;A970&amp;"'!"&amp;B970))=INDIRECT("'"&amp;A970&amp;"'!"&amp;B970),FALSE,TRUE))</f>
        <v>0</v>
      </c>
      <c r="E970" t="s">
        <v>436</v>
      </c>
      <c r="F970" t="str">
        <f>INDEX(Lists!I:I,MATCH(Validation!E970,Lists!G:G,0))</f>
        <v>Error</v>
      </c>
      <c r="G970" t="str">
        <f>INDEX(Lists!H:H,MATCH(Validation!E970,Lists!G:G,0))</f>
        <v>Amount must be rounded to the nearest dollar.</v>
      </c>
      <c r="H970" s="25" t="str">
        <f t="shared" ca="1" si="174"/>
        <v/>
      </c>
      <c r="I970" s="25" t="str">
        <f t="shared" ca="1" si="175"/>
        <v/>
      </c>
      <c r="J970" s="26" t="str">
        <f t="shared" ca="1" si="176"/>
        <v/>
      </c>
    </row>
    <row r="971" spans="1:10" x14ac:dyDescent="0.25">
      <c r="A971" t="s">
        <v>308</v>
      </c>
      <c r="B971" t="str">
        <f>ADDRESS(ROW('Bond 1'!$B$23),COLUMN('Bond 1'!$B$23),4)</f>
        <v>B23</v>
      </c>
      <c r="C971" t="str">
        <f>ADDRESS(ROW('Bond 1'!$D$23),COLUMN('Bond 1'!$D$23),4)</f>
        <v>D23</v>
      </c>
      <c r="D971" t="b" cm="1">
        <f t="array" aca="1" ref="D971" ca="1">IF(INDIRECT("'"&amp;A971&amp;"'!"&amp;B971)="",FALSE,IF(TRUNC(INDIRECT("'"&amp;A971&amp;"'!"&amp;B971))=INDIRECT("'"&amp;A971&amp;"'!"&amp;B971),FALSE,TRUE))</f>
        <v>0</v>
      </c>
      <c r="E971" t="s">
        <v>436</v>
      </c>
      <c r="F971" t="str">
        <f>INDEX(Lists!I:I,MATCH(Validation!E971,Lists!G:G,0))</f>
        <v>Error</v>
      </c>
      <c r="G971" t="str">
        <f>INDEX(Lists!H:H,MATCH(Validation!E971,Lists!G:G,0))</f>
        <v>Amount must be rounded to the nearest dollar.</v>
      </c>
      <c r="H971" s="25" t="str">
        <f t="shared" ca="1" si="174"/>
        <v/>
      </c>
      <c r="I971" s="25" t="str">
        <f t="shared" ca="1" si="175"/>
        <v/>
      </c>
      <c r="J971" s="26" t="str">
        <f t="shared" ca="1" si="176"/>
        <v/>
      </c>
    </row>
    <row r="972" spans="1:10" x14ac:dyDescent="0.25">
      <c r="A972" t="s">
        <v>309</v>
      </c>
      <c r="B972" t="str">
        <f>ADDRESS(ROW('Bond 1'!$B$23),COLUMN('Bond 1'!$B$23),4)</f>
        <v>B23</v>
      </c>
      <c r="C972" t="str">
        <f>ADDRESS(ROW('Bond 1'!$D$23),COLUMN('Bond 1'!$D$23),4)</f>
        <v>D23</v>
      </c>
      <c r="D972" t="b" cm="1">
        <f t="array" aca="1" ref="D972" ca="1">IF(INDIRECT("'"&amp;A972&amp;"'!"&amp;B972)="",FALSE,IF(TRUNC(INDIRECT("'"&amp;A972&amp;"'!"&amp;B972))=INDIRECT("'"&amp;A972&amp;"'!"&amp;B972),FALSE,TRUE))</f>
        <v>0</v>
      </c>
      <c r="E972" t="s">
        <v>436</v>
      </c>
      <c r="F972" t="str">
        <f>INDEX(Lists!I:I,MATCH(Validation!E972,Lists!G:G,0))</f>
        <v>Error</v>
      </c>
      <c r="G972" t="str">
        <f>INDEX(Lists!H:H,MATCH(Validation!E972,Lists!G:G,0))</f>
        <v>Amount must be rounded to the nearest dollar.</v>
      </c>
      <c r="H972" s="25" t="str">
        <f t="shared" ca="1" si="174"/>
        <v/>
      </c>
      <c r="I972" s="25" t="str">
        <f t="shared" ca="1" si="175"/>
        <v/>
      </c>
      <c r="J972" s="26" t="str">
        <f t="shared" ca="1" si="176"/>
        <v/>
      </c>
    </row>
    <row r="973" spans="1:10" x14ac:dyDescent="0.25">
      <c r="A973" t="s">
        <v>310</v>
      </c>
      <c r="B973" t="str">
        <f>ADDRESS(ROW('Bond 1'!$B$23),COLUMN('Bond 1'!$B$23),4)</f>
        <v>B23</v>
      </c>
      <c r="C973" t="str">
        <f>ADDRESS(ROW('Bond 1'!$D$23),COLUMN('Bond 1'!$D$23),4)</f>
        <v>D23</v>
      </c>
      <c r="D973" t="b" cm="1">
        <f t="array" aca="1" ref="D973" ca="1">IF(INDIRECT("'"&amp;A973&amp;"'!"&amp;B973)="",FALSE,IF(TRUNC(INDIRECT("'"&amp;A973&amp;"'!"&amp;B973))=INDIRECT("'"&amp;A973&amp;"'!"&amp;B973),FALSE,TRUE))</f>
        <v>0</v>
      </c>
      <c r="E973" t="s">
        <v>436</v>
      </c>
      <c r="F973" t="str">
        <f>INDEX(Lists!I:I,MATCH(Validation!E973,Lists!G:G,0))</f>
        <v>Error</v>
      </c>
      <c r="G973" t="str">
        <f>INDEX(Lists!H:H,MATCH(Validation!E973,Lists!G:G,0))</f>
        <v>Amount must be rounded to the nearest dollar.</v>
      </c>
      <c r="H973" s="25" t="str">
        <f t="shared" ca="1" si="174"/>
        <v/>
      </c>
      <c r="I973" s="25" t="str">
        <f t="shared" ca="1" si="175"/>
        <v/>
      </c>
      <c r="J973" s="26" t="str">
        <f t="shared" ca="1" si="176"/>
        <v/>
      </c>
    </row>
    <row r="974" spans="1:10" x14ac:dyDescent="0.25">
      <c r="A974" t="s">
        <v>311</v>
      </c>
      <c r="B974" t="str">
        <f>ADDRESS(ROW('Bond 1'!$B$23),COLUMN('Bond 1'!$B$23),4)</f>
        <v>B23</v>
      </c>
      <c r="C974" t="str">
        <f>ADDRESS(ROW('Bond 1'!$D$23),COLUMN('Bond 1'!$D$23),4)</f>
        <v>D23</v>
      </c>
      <c r="D974" t="b" cm="1">
        <f t="array" aca="1" ref="D974" ca="1">IF(INDIRECT("'"&amp;A974&amp;"'!"&amp;B974)="",FALSE,IF(TRUNC(INDIRECT("'"&amp;A974&amp;"'!"&amp;B974))=INDIRECT("'"&amp;A974&amp;"'!"&amp;B974),FALSE,TRUE))</f>
        <v>0</v>
      </c>
      <c r="E974" t="s">
        <v>436</v>
      </c>
      <c r="F974" t="str">
        <f>INDEX(Lists!I:I,MATCH(Validation!E974,Lists!G:G,0))</f>
        <v>Error</v>
      </c>
      <c r="G974" t="str">
        <f>INDEX(Lists!H:H,MATCH(Validation!E974,Lists!G:G,0))</f>
        <v>Amount must be rounded to the nearest dollar.</v>
      </c>
      <c r="H974" s="25" t="str">
        <f t="shared" ca="1" si="174"/>
        <v/>
      </c>
      <c r="I974" s="25" t="str">
        <f t="shared" ca="1" si="175"/>
        <v/>
      </c>
      <c r="J974" s="26" t="str">
        <f t="shared" ca="1" si="176"/>
        <v/>
      </c>
    </row>
    <row r="975" spans="1:10" x14ac:dyDescent="0.25">
      <c r="A975" t="s">
        <v>312</v>
      </c>
      <c r="B975" t="str">
        <f>ADDRESS(ROW('Bond 1'!$B$23),COLUMN('Bond 1'!$B$23),4)</f>
        <v>B23</v>
      </c>
      <c r="C975" t="str">
        <f>ADDRESS(ROW('Bond 1'!$D$23),COLUMN('Bond 1'!$D$23),4)</f>
        <v>D23</v>
      </c>
      <c r="D975" t="b" cm="1">
        <f t="array" aca="1" ref="D975" ca="1">IF(INDIRECT("'"&amp;A975&amp;"'!"&amp;B975)="",FALSE,IF(TRUNC(INDIRECT("'"&amp;A975&amp;"'!"&amp;B975))=INDIRECT("'"&amp;A975&amp;"'!"&amp;B975),FALSE,TRUE))</f>
        <v>0</v>
      </c>
      <c r="E975" t="s">
        <v>436</v>
      </c>
      <c r="F975" t="str">
        <f>INDEX(Lists!I:I,MATCH(Validation!E975,Lists!G:G,0))</f>
        <v>Error</v>
      </c>
      <c r="G975" t="str">
        <f>INDEX(Lists!H:H,MATCH(Validation!E975,Lists!G:G,0))</f>
        <v>Amount must be rounded to the nearest dollar.</v>
      </c>
      <c r="H975" s="25" t="str">
        <f t="shared" ca="1" si="174"/>
        <v/>
      </c>
      <c r="I975" s="25" t="str">
        <f t="shared" ca="1" si="175"/>
        <v/>
      </c>
      <c r="J975" s="26" t="str">
        <f t="shared" ca="1" si="176"/>
        <v/>
      </c>
    </row>
    <row r="976" spans="1:10" x14ac:dyDescent="0.25">
      <c r="A976" t="s">
        <v>313</v>
      </c>
      <c r="B976" t="str">
        <f>ADDRESS(ROW('Bond 1'!$B$23),COLUMN('Bond 1'!$B$23),4)</f>
        <v>B23</v>
      </c>
      <c r="C976" t="str">
        <f>ADDRESS(ROW('Bond 1'!$D$23),COLUMN('Bond 1'!$D$23),4)</f>
        <v>D23</v>
      </c>
      <c r="D976" t="b" cm="1">
        <f t="array" aca="1" ref="D976" ca="1">IF(INDIRECT("'"&amp;A976&amp;"'!"&amp;B976)="",FALSE,IF(TRUNC(INDIRECT("'"&amp;A976&amp;"'!"&amp;B976))=INDIRECT("'"&amp;A976&amp;"'!"&amp;B976),FALSE,TRUE))</f>
        <v>0</v>
      </c>
      <c r="E976" t="s">
        <v>436</v>
      </c>
      <c r="F976" t="str">
        <f>INDEX(Lists!I:I,MATCH(Validation!E976,Lists!G:G,0))</f>
        <v>Error</v>
      </c>
      <c r="G976" t="str">
        <f>INDEX(Lists!H:H,MATCH(Validation!E976,Lists!G:G,0))</f>
        <v>Amount must be rounded to the nearest dollar.</v>
      </c>
      <c r="H976" s="25" t="str">
        <f t="shared" ca="1" si="174"/>
        <v/>
      </c>
      <c r="I976" s="25" t="str">
        <f t="shared" ca="1" si="175"/>
        <v/>
      </c>
      <c r="J976" s="26" t="str">
        <f t="shared" ca="1" si="176"/>
        <v/>
      </c>
    </row>
    <row r="977" spans="1:10" x14ac:dyDescent="0.25">
      <c r="A977" t="s">
        <v>314</v>
      </c>
      <c r="B977" t="str">
        <f>ADDRESS(ROW('Bond 1'!$B$23),COLUMN('Bond 1'!$B$23),4)</f>
        <v>B23</v>
      </c>
      <c r="C977" t="str">
        <f>ADDRESS(ROW('Bond 1'!$D$23),COLUMN('Bond 1'!$D$23),4)</f>
        <v>D23</v>
      </c>
      <c r="D977" t="b" cm="1">
        <f t="array" aca="1" ref="D977" ca="1">IF(INDIRECT("'"&amp;A977&amp;"'!"&amp;B977)="",FALSE,IF(TRUNC(INDIRECT("'"&amp;A977&amp;"'!"&amp;B977))=INDIRECT("'"&amp;A977&amp;"'!"&amp;B977),FALSE,TRUE))</f>
        <v>0</v>
      </c>
      <c r="E977" t="s">
        <v>436</v>
      </c>
      <c r="F977" t="str">
        <f>INDEX(Lists!I:I,MATCH(Validation!E977,Lists!G:G,0))</f>
        <v>Error</v>
      </c>
      <c r="G977" t="str">
        <f>INDEX(Lists!H:H,MATCH(Validation!E977,Lists!G:G,0))</f>
        <v>Amount must be rounded to the nearest dollar.</v>
      </c>
      <c r="H977" s="25" t="str">
        <f t="shared" ca="1" si="174"/>
        <v/>
      </c>
      <c r="I977" s="25" t="str">
        <f t="shared" ca="1" si="175"/>
        <v/>
      </c>
      <c r="J977" s="26" t="str">
        <f t="shared" ca="1" si="176"/>
        <v/>
      </c>
    </row>
    <row r="978" spans="1:10" x14ac:dyDescent="0.25">
      <c r="A978" t="s">
        <v>315</v>
      </c>
      <c r="B978" t="str">
        <f>ADDRESS(ROW('Bond 1'!$B$23),COLUMN('Bond 1'!$B$23),4)</f>
        <v>B23</v>
      </c>
      <c r="C978" t="str">
        <f>ADDRESS(ROW('Bond 1'!$D$23),COLUMN('Bond 1'!$D$23),4)</f>
        <v>D23</v>
      </c>
      <c r="D978" t="b" cm="1">
        <f t="array" aca="1" ref="D978" ca="1">IF(INDIRECT("'"&amp;A978&amp;"'!"&amp;B978)="",FALSE,IF(TRUNC(INDIRECT("'"&amp;A978&amp;"'!"&amp;B978))=INDIRECT("'"&amp;A978&amp;"'!"&amp;B978),FALSE,TRUE))</f>
        <v>0</v>
      </c>
      <c r="E978" t="s">
        <v>436</v>
      </c>
      <c r="F978" t="str">
        <f>INDEX(Lists!I:I,MATCH(Validation!E978,Lists!G:G,0))</f>
        <v>Error</v>
      </c>
      <c r="G978" t="str">
        <f>INDEX(Lists!H:H,MATCH(Validation!E978,Lists!G:G,0))</f>
        <v>Amount must be rounded to the nearest dollar.</v>
      </c>
      <c r="H978" s="25" t="str">
        <f t="shared" ca="1" si="174"/>
        <v/>
      </c>
      <c r="I978" s="25" t="str">
        <f t="shared" ca="1" si="175"/>
        <v/>
      </c>
      <c r="J978" s="26" t="str">
        <f t="shared" ca="1" si="176"/>
        <v/>
      </c>
    </row>
    <row r="979" spans="1:10" x14ac:dyDescent="0.25">
      <c r="A979" t="s">
        <v>198</v>
      </c>
      <c r="B979" t="str">
        <f>ADDRESS(ROW('Bond 1'!$B$23),COLUMN('Bond 1'!$B$23),4)</f>
        <v>B23</v>
      </c>
      <c r="C979" t="str">
        <f>ADDRESS(ROW('Bond 1'!$D$23),COLUMN('Bond 1'!$D$23),4)</f>
        <v>D23</v>
      </c>
      <c r="D979" t="b" cm="1">
        <f t="array" aca="1" ref="D979" ca="1">IF(AND(NOT(ISBLANK('Bond Input'!C$21)),INDIRECT("'"&amp;A979&amp;"'!"&amp;B979)&lt;&gt;'Bond Input'!C$21),TRUE,FALSE)</f>
        <v>0</v>
      </c>
      <c r="E979" t="s">
        <v>634</v>
      </c>
      <c r="F979" t="str">
        <f>INDEX(Lists!I:I,MATCH(Validation!E979,Lists!G:G,0))</f>
        <v>Alert</v>
      </c>
      <c r="G979" t="str">
        <f>INDEX(Lists!H:H,MATCH(Validation!E979,Lists!G:G,0))</f>
        <v>You have changed previously reported data. Explain in the comments box.</v>
      </c>
      <c r="H979" s="25" t="str">
        <f t="shared" ca="1" si="174"/>
        <v/>
      </c>
      <c r="I979" s="25" t="str">
        <f t="shared" ca="1" si="175"/>
        <v/>
      </c>
      <c r="J979" s="26" t="str">
        <f t="shared" ca="1" si="176"/>
        <v/>
      </c>
    </row>
    <row r="980" spans="1:10" x14ac:dyDescent="0.25">
      <c r="A980" t="s">
        <v>302</v>
      </c>
      <c r="B980" t="str">
        <f>ADDRESS(ROW('Bond 1'!$B$23),COLUMN('Bond 1'!$B$23),4)</f>
        <v>B23</v>
      </c>
      <c r="C980" t="str">
        <f>ADDRESS(ROW('Bond 1'!$D$23),COLUMN('Bond 1'!$D$23),4)</f>
        <v>D23</v>
      </c>
      <c r="D980" t="b" cm="1">
        <f t="array" aca="1" ref="D980" ca="1">IF(AND(NOT(ISBLANK('Bond Input'!D$21)),INDIRECT("'"&amp;A980&amp;"'!"&amp;B980)&lt;&gt;'Bond Input'!D$21),TRUE,FALSE)</f>
        <v>0</v>
      </c>
      <c r="E980" t="s">
        <v>634</v>
      </c>
      <c r="F980" t="str">
        <f>INDEX(Lists!I:I,MATCH(Validation!E980,Lists!G:G,0))</f>
        <v>Alert</v>
      </c>
      <c r="G980" t="str">
        <f>INDEX(Lists!H:H,MATCH(Validation!E980,Lists!G:G,0))</f>
        <v>You have changed previously reported data. Explain in the comments box.</v>
      </c>
      <c r="H980" s="25" t="str">
        <f t="shared" ca="1" si="174"/>
        <v/>
      </c>
      <c r="I980" s="25" t="str">
        <f t="shared" ca="1" si="175"/>
        <v/>
      </c>
      <c r="J980" s="26" t="str">
        <f t="shared" ca="1" si="176"/>
        <v/>
      </c>
    </row>
    <row r="981" spans="1:10" x14ac:dyDescent="0.25">
      <c r="A981" t="s">
        <v>303</v>
      </c>
      <c r="B981" t="str">
        <f>ADDRESS(ROW('Bond 1'!$B$23),COLUMN('Bond 1'!$B$23),4)</f>
        <v>B23</v>
      </c>
      <c r="C981" t="str">
        <f>ADDRESS(ROW('Bond 1'!$D$23),COLUMN('Bond 1'!$D$23),4)</f>
        <v>D23</v>
      </c>
      <c r="D981" t="b" cm="1">
        <f t="array" aca="1" ref="D981" ca="1">IF(AND(NOT(ISBLANK('Bond Input'!E$21)),INDIRECT("'"&amp;A981&amp;"'!"&amp;B981)&lt;&gt;'Bond Input'!E$21),TRUE,FALSE)</f>
        <v>0</v>
      </c>
      <c r="E981" t="s">
        <v>634</v>
      </c>
      <c r="F981" t="str">
        <f>INDEX(Lists!I:I,MATCH(Validation!E981,Lists!G:G,0))</f>
        <v>Alert</v>
      </c>
      <c r="G981" t="str">
        <f>INDEX(Lists!H:H,MATCH(Validation!E981,Lists!G:G,0))</f>
        <v>You have changed previously reported data. Explain in the comments box.</v>
      </c>
      <c r="H981" s="25" t="str">
        <f t="shared" ca="1" si="174"/>
        <v/>
      </c>
      <c r="I981" s="25" t="str">
        <f t="shared" ca="1" si="175"/>
        <v/>
      </c>
      <c r="J981" s="26" t="str">
        <f t="shared" ca="1" si="176"/>
        <v/>
      </c>
    </row>
    <row r="982" spans="1:10" x14ac:dyDescent="0.25">
      <c r="A982" t="s">
        <v>304</v>
      </c>
      <c r="B982" t="str">
        <f>ADDRESS(ROW('Bond 1'!$B$23),COLUMN('Bond 1'!$B$23),4)</f>
        <v>B23</v>
      </c>
      <c r="C982" t="str">
        <f>ADDRESS(ROW('Bond 1'!$D$23),COLUMN('Bond 1'!$D$23),4)</f>
        <v>D23</v>
      </c>
      <c r="D982" t="b" cm="1">
        <f t="array" aca="1" ref="D982" ca="1">IF(AND(NOT(ISBLANK('Bond Input'!F$21)),INDIRECT("'"&amp;A982&amp;"'!"&amp;B982)&lt;&gt;'Bond Input'!F$21),TRUE,FALSE)</f>
        <v>0</v>
      </c>
      <c r="E982" t="s">
        <v>634</v>
      </c>
      <c r="F982" t="str">
        <f>INDEX(Lists!I:I,MATCH(Validation!E982,Lists!G:G,0))</f>
        <v>Alert</v>
      </c>
      <c r="G982" t="str">
        <f>INDEX(Lists!H:H,MATCH(Validation!E982,Lists!G:G,0))</f>
        <v>You have changed previously reported data. Explain in the comments box.</v>
      </c>
      <c r="H982" s="25" t="str">
        <f t="shared" ca="1" si="174"/>
        <v/>
      </c>
      <c r="I982" s="25" t="str">
        <f t="shared" ca="1" si="175"/>
        <v/>
      </c>
      <c r="J982" s="26" t="str">
        <f t="shared" ca="1" si="176"/>
        <v/>
      </c>
    </row>
    <row r="983" spans="1:10" x14ac:dyDescent="0.25">
      <c r="A983" t="s">
        <v>305</v>
      </c>
      <c r="B983" t="str">
        <f>ADDRESS(ROW('Bond 1'!$B$23),COLUMN('Bond 1'!$B$23),4)</f>
        <v>B23</v>
      </c>
      <c r="C983" t="str">
        <f>ADDRESS(ROW('Bond 1'!$D$23),COLUMN('Bond 1'!$D$23),4)</f>
        <v>D23</v>
      </c>
      <c r="D983" t="b" cm="1">
        <f t="array" aca="1" ref="D983" ca="1">IF(AND(NOT(ISBLANK('Bond Input'!G$21)),INDIRECT("'"&amp;A983&amp;"'!"&amp;B983)&lt;&gt;'Bond Input'!G$21),TRUE,FALSE)</f>
        <v>0</v>
      </c>
      <c r="E983" t="s">
        <v>634</v>
      </c>
      <c r="F983" t="str">
        <f>INDEX(Lists!I:I,MATCH(Validation!E983,Lists!G:G,0))</f>
        <v>Alert</v>
      </c>
      <c r="G983" t="str">
        <f>INDEX(Lists!H:H,MATCH(Validation!E983,Lists!G:G,0))</f>
        <v>You have changed previously reported data. Explain in the comments box.</v>
      </c>
      <c r="H983" s="25" t="str">
        <f t="shared" ca="1" si="174"/>
        <v/>
      </c>
      <c r="I983" s="25" t="str">
        <f t="shared" ca="1" si="175"/>
        <v/>
      </c>
      <c r="J983" s="26" t="str">
        <f t="shared" ca="1" si="176"/>
        <v/>
      </c>
    </row>
    <row r="984" spans="1:10" x14ac:dyDescent="0.25">
      <c r="A984" t="s">
        <v>306</v>
      </c>
      <c r="B984" t="str">
        <f>ADDRESS(ROW('Bond 1'!$B$23),COLUMN('Bond 1'!$B$23),4)</f>
        <v>B23</v>
      </c>
      <c r="C984" t="str">
        <f>ADDRESS(ROW('Bond 1'!$D$23),COLUMN('Bond 1'!$D$23),4)</f>
        <v>D23</v>
      </c>
      <c r="D984" t="b" cm="1">
        <f t="array" aca="1" ref="D984" ca="1">IF(AND(NOT(ISBLANK('Bond Input'!H$21)),INDIRECT("'"&amp;A984&amp;"'!"&amp;B984)&lt;&gt;'Bond Input'!H$21),TRUE,FALSE)</f>
        <v>0</v>
      </c>
      <c r="E984" t="s">
        <v>634</v>
      </c>
      <c r="F984" t="str">
        <f>INDEX(Lists!I:I,MATCH(Validation!E984,Lists!G:G,0))</f>
        <v>Alert</v>
      </c>
      <c r="G984" t="str">
        <f>INDEX(Lists!H:H,MATCH(Validation!E984,Lists!G:G,0))</f>
        <v>You have changed previously reported data. Explain in the comments box.</v>
      </c>
      <c r="H984" s="25" t="str">
        <f t="shared" ca="1" si="174"/>
        <v/>
      </c>
      <c r="I984" s="25" t="str">
        <f t="shared" ca="1" si="175"/>
        <v/>
      </c>
      <c r="J984" s="26" t="str">
        <f t="shared" ca="1" si="176"/>
        <v/>
      </c>
    </row>
    <row r="985" spans="1:10" x14ac:dyDescent="0.25">
      <c r="A985" t="s">
        <v>307</v>
      </c>
      <c r="B985" t="str">
        <f>ADDRESS(ROW('Bond 1'!$B$23),COLUMN('Bond 1'!$B$23),4)</f>
        <v>B23</v>
      </c>
      <c r="C985" t="str">
        <f>ADDRESS(ROW('Bond 1'!$D$23),COLUMN('Bond 1'!$D$23),4)</f>
        <v>D23</v>
      </c>
      <c r="D985" t="b" cm="1">
        <f t="array" aca="1" ref="D985" ca="1">IF(AND(NOT(ISBLANK('Bond Input'!I$21)),INDIRECT("'"&amp;A985&amp;"'!"&amp;B985)&lt;&gt;'Bond Input'!I$21),TRUE,FALSE)</f>
        <v>0</v>
      </c>
      <c r="E985" t="s">
        <v>634</v>
      </c>
      <c r="F985" t="str">
        <f>INDEX(Lists!I:I,MATCH(Validation!E985,Lists!G:G,0))</f>
        <v>Alert</v>
      </c>
      <c r="G985" t="str">
        <f>INDEX(Lists!H:H,MATCH(Validation!E985,Lists!G:G,0))</f>
        <v>You have changed previously reported data. Explain in the comments box.</v>
      </c>
      <c r="H985" s="25" t="str">
        <f t="shared" ca="1" si="174"/>
        <v/>
      </c>
      <c r="I985" s="25" t="str">
        <f t="shared" ca="1" si="175"/>
        <v/>
      </c>
      <c r="J985" s="26" t="str">
        <f t="shared" ca="1" si="176"/>
        <v/>
      </c>
    </row>
    <row r="986" spans="1:10" x14ac:dyDescent="0.25">
      <c r="A986" t="s">
        <v>308</v>
      </c>
      <c r="B986" t="str">
        <f>ADDRESS(ROW('Bond 1'!$B$23),COLUMN('Bond 1'!$B$23),4)</f>
        <v>B23</v>
      </c>
      <c r="C986" t="str">
        <f>ADDRESS(ROW('Bond 1'!$D$23),COLUMN('Bond 1'!$D$23),4)</f>
        <v>D23</v>
      </c>
      <c r="D986" t="b" cm="1">
        <f t="array" aca="1" ref="D986" ca="1">IF(AND(NOT(ISBLANK('Bond Input'!J$21)),INDIRECT("'"&amp;A986&amp;"'!"&amp;B986)&lt;&gt;'Bond Input'!J$21),TRUE,FALSE)</f>
        <v>0</v>
      </c>
      <c r="E986" t="s">
        <v>634</v>
      </c>
      <c r="F986" t="str">
        <f>INDEX(Lists!I:I,MATCH(Validation!E986,Lists!G:G,0))</f>
        <v>Alert</v>
      </c>
      <c r="G986" t="str">
        <f>INDEX(Lists!H:H,MATCH(Validation!E986,Lists!G:G,0))</f>
        <v>You have changed previously reported data. Explain in the comments box.</v>
      </c>
      <c r="H986" s="25" t="str">
        <f t="shared" ca="1" si="174"/>
        <v/>
      </c>
      <c r="I986" s="25" t="str">
        <f t="shared" ca="1" si="175"/>
        <v/>
      </c>
      <c r="J986" s="26" t="str">
        <f t="shared" ca="1" si="176"/>
        <v/>
      </c>
    </row>
    <row r="987" spans="1:10" x14ac:dyDescent="0.25">
      <c r="A987" t="s">
        <v>309</v>
      </c>
      <c r="B987" t="str">
        <f>ADDRESS(ROW('Bond 1'!$B$23),COLUMN('Bond 1'!$B$23),4)</f>
        <v>B23</v>
      </c>
      <c r="C987" t="str">
        <f>ADDRESS(ROW('Bond 1'!$D$23),COLUMN('Bond 1'!$D$23),4)</f>
        <v>D23</v>
      </c>
      <c r="D987" t="b" cm="1">
        <f t="array" aca="1" ref="D987" ca="1">IF(AND(NOT(ISBLANK('Bond Input'!K$21)),INDIRECT("'"&amp;A987&amp;"'!"&amp;B987)&lt;&gt;'Bond Input'!K$21),TRUE,FALSE)</f>
        <v>0</v>
      </c>
      <c r="E987" t="s">
        <v>634</v>
      </c>
      <c r="F987" t="str">
        <f>INDEX(Lists!I:I,MATCH(Validation!E987,Lists!G:G,0))</f>
        <v>Alert</v>
      </c>
      <c r="G987" t="str">
        <f>INDEX(Lists!H:H,MATCH(Validation!E987,Lists!G:G,0))</f>
        <v>You have changed previously reported data. Explain in the comments box.</v>
      </c>
      <c r="H987" s="25" t="str">
        <f t="shared" ca="1" si="174"/>
        <v/>
      </c>
      <c r="I987" s="25" t="str">
        <f t="shared" ca="1" si="175"/>
        <v/>
      </c>
      <c r="J987" s="26" t="str">
        <f t="shared" ca="1" si="176"/>
        <v/>
      </c>
    </row>
    <row r="988" spans="1:10" x14ac:dyDescent="0.25">
      <c r="A988" t="s">
        <v>310</v>
      </c>
      <c r="B988" t="str">
        <f>ADDRESS(ROW('Bond 1'!$B$23),COLUMN('Bond 1'!$B$23),4)</f>
        <v>B23</v>
      </c>
      <c r="C988" t="str">
        <f>ADDRESS(ROW('Bond 1'!$D$23),COLUMN('Bond 1'!$D$23),4)</f>
        <v>D23</v>
      </c>
      <c r="D988" t="b" cm="1">
        <f t="array" aca="1" ref="D988" ca="1">IF(AND(NOT(ISBLANK('Bond Input'!L$21)),INDIRECT("'"&amp;A988&amp;"'!"&amp;B988)&lt;&gt;'Bond Input'!L$21),TRUE,FALSE)</f>
        <v>0</v>
      </c>
      <c r="E988" t="s">
        <v>634</v>
      </c>
      <c r="F988" t="str">
        <f>INDEX(Lists!I:I,MATCH(Validation!E988,Lists!G:G,0))</f>
        <v>Alert</v>
      </c>
      <c r="G988" t="str">
        <f>INDEX(Lists!H:H,MATCH(Validation!E988,Lists!G:G,0))</f>
        <v>You have changed previously reported data. Explain in the comments box.</v>
      </c>
      <c r="H988" s="25" t="str">
        <f t="shared" ca="1" si="174"/>
        <v/>
      </c>
      <c r="I988" s="25" t="str">
        <f t="shared" ca="1" si="175"/>
        <v/>
      </c>
      <c r="J988" s="26" t="str">
        <f t="shared" ca="1" si="176"/>
        <v/>
      </c>
    </row>
    <row r="989" spans="1:10" x14ac:dyDescent="0.25">
      <c r="A989" t="s">
        <v>311</v>
      </c>
      <c r="B989" t="str">
        <f>ADDRESS(ROW('Bond 1'!$B$23),COLUMN('Bond 1'!$B$23),4)</f>
        <v>B23</v>
      </c>
      <c r="C989" t="str">
        <f>ADDRESS(ROW('Bond 1'!$D$23),COLUMN('Bond 1'!$D$23),4)</f>
        <v>D23</v>
      </c>
      <c r="D989" t="b" cm="1">
        <f t="array" aca="1" ref="D989" ca="1">IF(AND(NOT(ISBLANK('Bond Input'!M$21)),INDIRECT("'"&amp;A989&amp;"'!"&amp;B989)&lt;&gt;'Bond Input'!M$21),TRUE,FALSE)</f>
        <v>0</v>
      </c>
      <c r="E989" t="s">
        <v>634</v>
      </c>
      <c r="F989" t="str">
        <f>INDEX(Lists!I:I,MATCH(Validation!E989,Lists!G:G,0))</f>
        <v>Alert</v>
      </c>
      <c r="G989" t="str">
        <f>INDEX(Lists!H:H,MATCH(Validation!E989,Lists!G:G,0))</f>
        <v>You have changed previously reported data. Explain in the comments box.</v>
      </c>
      <c r="H989" s="25" t="str">
        <f t="shared" ca="1" si="174"/>
        <v/>
      </c>
      <c r="I989" s="25" t="str">
        <f t="shared" ca="1" si="175"/>
        <v/>
      </c>
      <c r="J989" s="26" t="str">
        <f t="shared" ca="1" si="176"/>
        <v/>
      </c>
    </row>
    <row r="990" spans="1:10" x14ac:dyDescent="0.25">
      <c r="A990" t="s">
        <v>312</v>
      </c>
      <c r="B990" t="str">
        <f>ADDRESS(ROW('Bond 1'!$B$23),COLUMN('Bond 1'!$B$23),4)</f>
        <v>B23</v>
      </c>
      <c r="C990" t="str">
        <f>ADDRESS(ROW('Bond 1'!$D$23),COLUMN('Bond 1'!$D$23),4)</f>
        <v>D23</v>
      </c>
      <c r="D990" t="b" cm="1">
        <f t="array" aca="1" ref="D990" ca="1">IF(AND(NOT(ISBLANK('Bond Input'!N$21)),INDIRECT("'"&amp;A990&amp;"'!"&amp;B990)&lt;&gt;'Bond Input'!N$21),TRUE,FALSE)</f>
        <v>0</v>
      </c>
      <c r="E990" t="s">
        <v>634</v>
      </c>
      <c r="F990" t="str">
        <f>INDEX(Lists!I:I,MATCH(Validation!E990,Lists!G:G,0))</f>
        <v>Alert</v>
      </c>
      <c r="G990" t="str">
        <f>INDEX(Lists!H:H,MATCH(Validation!E990,Lists!G:G,0))</f>
        <v>You have changed previously reported data. Explain in the comments box.</v>
      </c>
      <c r="H990" s="25" t="str">
        <f t="shared" ca="1" si="174"/>
        <v/>
      </c>
      <c r="I990" s="25" t="str">
        <f t="shared" ca="1" si="175"/>
        <v/>
      </c>
      <c r="J990" s="26" t="str">
        <f t="shared" ca="1" si="176"/>
        <v/>
      </c>
    </row>
    <row r="991" spans="1:10" x14ac:dyDescent="0.25">
      <c r="A991" t="s">
        <v>313</v>
      </c>
      <c r="B991" t="str">
        <f>ADDRESS(ROW('Bond 1'!$B$23),COLUMN('Bond 1'!$B$23),4)</f>
        <v>B23</v>
      </c>
      <c r="C991" t="str">
        <f>ADDRESS(ROW('Bond 1'!$D$23),COLUMN('Bond 1'!$D$23),4)</f>
        <v>D23</v>
      </c>
      <c r="D991" t="b" cm="1">
        <f t="array" aca="1" ref="D991" ca="1">IF(AND(NOT(ISBLANK('Bond Input'!O$21)),INDIRECT("'"&amp;A991&amp;"'!"&amp;B991)&lt;&gt;'Bond Input'!O$21),TRUE,FALSE)</f>
        <v>0</v>
      </c>
      <c r="E991" t="s">
        <v>634</v>
      </c>
      <c r="F991" t="str">
        <f>INDEX(Lists!I:I,MATCH(Validation!E991,Lists!G:G,0))</f>
        <v>Alert</v>
      </c>
      <c r="G991" t="str">
        <f>INDEX(Lists!H:H,MATCH(Validation!E991,Lists!G:G,0))</f>
        <v>You have changed previously reported data. Explain in the comments box.</v>
      </c>
      <c r="H991" s="25" t="str">
        <f t="shared" ca="1" si="174"/>
        <v/>
      </c>
      <c r="I991" s="25" t="str">
        <f t="shared" ca="1" si="175"/>
        <v/>
      </c>
      <c r="J991" s="26" t="str">
        <f t="shared" ca="1" si="176"/>
        <v/>
      </c>
    </row>
    <row r="992" spans="1:10" x14ac:dyDescent="0.25">
      <c r="A992" t="s">
        <v>314</v>
      </c>
      <c r="B992" t="str">
        <f>ADDRESS(ROW('Bond 1'!$B$23),COLUMN('Bond 1'!$B$23),4)</f>
        <v>B23</v>
      </c>
      <c r="C992" t="str">
        <f>ADDRESS(ROW('Bond 1'!$D$23),COLUMN('Bond 1'!$D$23),4)</f>
        <v>D23</v>
      </c>
      <c r="D992" t="b" cm="1">
        <f t="array" aca="1" ref="D992" ca="1">IF(AND(NOT(ISBLANK('Bond Input'!P$21)),INDIRECT("'"&amp;A992&amp;"'!"&amp;B992)&lt;&gt;'Bond Input'!P$21),TRUE,FALSE)</f>
        <v>0</v>
      </c>
      <c r="E992" t="s">
        <v>634</v>
      </c>
      <c r="F992" t="str">
        <f>INDEX(Lists!I:I,MATCH(Validation!E992,Lists!G:G,0))</f>
        <v>Alert</v>
      </c>
      <c r="G992" t="str">
        <f>INDEX(Lists!H:H,MATCH(Validation!E992,Lists!G:G,0))</f>
        <v>You have changed previously reported data. Explain in the comments box.</v>
      </c>
      <c r="H992" s="25" t="str">
        <f t="shared" ca="1" si="174"/>
        <v/>
      </c>
      <c r="I992" s="25" t="str">
        <f t="shared" ca="1" si="175"/>
        <v/>
      </c>
      <c r="J992" s="26" t="str">
        <f t="shared" ca="1" si="176"/>
        <v/>
      </c>
    </row>
    <row r="993" spans="1:10" x14ac:dyDescent="0.25">
      <c r="A993" t="s">
        <v>315</v>
      </c>
      <c r="B993" t="str">
        <f>ADDRESS(ROW('Bond 1'!$B$23),COLUMN('Bond 1'!$B$23),4)</f>
        <v>B23</v>
      </c>
      <c r="C993" t="str">
        <f>ADDRESS(ROW('Bond 1'!$D$23),COLUMN('Bond 1'!$D$23),4)</f>
        <v>D23</v>
      </c>
      <c r="D993" t="b" cm="1">
        <f t="array" aca="1" ref="D993" ca="1">IF(AND(NOT(ISBLANK('Bond Input'!Q$21)),INDIRECT("'"&amp;A993&amp;"'!"&amp;B993)&lt;&gt;'Bond Input'!Q$21),TRUE,FALSE)</f>
        <v>0</v>
      </c>
      <c r="E993" t="s">
        <v>634</v>
      </c>
      <c r="F993" t="str">
        <f>INDEX(Lists!I:I,MATCH(Validation!E993,Lists!G:G,0))</f>
        <v>Alert</v>
      </c>
      <c r="G993" t="str">
        <f>INDEX(Lists!H:H,MATCH(Validation!E993,Lists!G:G,0))</f>
        <v>You have changed previously reported data. Explain in the comments box.</v>
      </c>
      <c r="H993" s="25" t="str">
        <f t="shared" ca="1" si="174"/>
        <v/>
      </c>
      <c r="I993" s="25" t="str">
        <f t="shared" ca="1" si="175"/>
        <v/>
      </c>
      <c r="J993" s="26" t="str">
        <f t="shared" ca="1" si="176"/>
        <v/>
      </c>
    </row>
    <row r="994" spans="1:10" x14ac:dyDescent="0.25">
      <c r="A994" t="s">
        <v>198</v>
      </c>
      <c r="B994" t="str">
        <f>ADDRESS(ROW('Bond 1'!$C$23),COLUMN('Bond 1'!$C$23),4)</f>
        <v>C23</v>
      </c>
      <c r="C994" t="str">
        <f>ADDRESS(ROW('Bond 1'!$D$23),COLUMN('Bond 1'!$D$23),4)</f>
        <v>D23</v>
      </c>
      <c r="D994" t="b" cm="1">
        <f t="array" aca="1" ref="D994" ca="1">IF(INDIRECT("'"&amp;A994&amp;"'!"&amp;B994)="",FALSE,IF(NOT(ISNUMBER(INDIRECT("'"&amp;A994&amp;"'!"&amp;B994))),TRUE,FALSE))</f>
        <v>0</v>
      </c>
      <c r="E994" t="s">
        <v>435</v>
      </c>
      <c r="F994" t="str">
        <f>INDEX(Lists!I:I,MATCH(Validation!E994,Lists!G:G,0))</f>
        <v>Error</v>
      </c>
      <c r="G994" t="str">
        <f>INDEX(Lists!H:H,MATCH(Validation!E994,Lists!G:G,0))</f>
        <v>Enter an amount only. Do not enter text or spaces.</v>
      </c>
      <c r="H994" s="25" t="str">
        <f t="shared" ca="1" si="174"/>
        <v/>
      </c>
      <c r="I994" s="25" t="str">
        <f t="shared" ca="1" si="175"/>
        <v/>
      </c>
      <c r="J994" s="26" t="str">
        <f t="shared" ca="1" si="176"/>
        <v/>
      </c>
    </row>
    <row r="995" spans="1:10" x14ac:dyDescent="0.25">
      <c r="A995" t="s">
        <v>302</v>
      </c>
      <c r="B995" t="str">
        <f>ADDRESS(ROW('Bond 1'!$C$23),COLUMN('Bond 1'!$C$23),4)</f>
        <v>C23</v>
      </c>
      <c r="C995" t="str">
        <f>ADDRESS(ROW('Bond 1'!$D$23),COLUMN('Bond 1'!$D$23),4)</f>
        <v>D23</v>
      </c>
      <c r="D995" t="b" cm="1">
        <f t="array" aca="1" ref="D995" ca="1">IF(INDIRECT("'"&amp;A995&amp;"'!"&amp;B995)="",FALSE,IF(NOT(ISNUMBER(INDIRECT("'"&amp;A995&amp;"'!"&amp;B995))),TRUE,FALSE))</f>
        <v>0</v>
      </c>
      <c r="E995" t="s">
        <v>435</v>
      </c>
      <c r="F995" t="str">
        <f>INDEX(Lists!I:I,MATCH(Validation!E995,Lists!G:G,0))</f>
        <v>Error</v>
      </c>
      <c r="G995" t="str">
        <f>INDEX(Lists!H:H,MATCH(Validation!E995,Lists!G:G,0))</f>
        <v>Enter an amount only. Do not enter text or spaces.</v>
      </c>
      <c r="H995" s="25" t="str">
        <f t="shared" ca="1" si="174"/>
        <v/>
      </c>
      <c r="I995" s="25" t="str">
        <f t="shared" ca="1" si="175"/>
        <v/>
      </c>
      <c r="J995" s="26" t="str">
        <f t="shared" ca="1" si="176"/>
        <v/>
      </c>
    </row>
    <row r="996" spans="1:10" x14ac:dyDescent="0.25">
      <c r="A996" t="s">
        <v>303</v>
      </c>
      <c r="B996" t="str">
        <f>ADDRESS(ROW('Bond 1'!$C$23),COLUMN('Bond 1'!$C$23),4)</f>
        <v>C23</v>
      </c>
      <c r="C996" t="str">
        <f>ADDRESS(ROW('Bond 1'!$D$23),COLUMN('Bond 1'!$D$23),4)</f>
        <v>D23</v>
      </c>
      <c r="D996" t="b" cm="1">
        <f t="array" aca="1" ref="D996" ca="1">IF(INDIRECT("'"&amp;A996&amp;"'!"&amp;B996)="",FALSE,IF(NOT(ISNUMBER(INDIRECT("'"&amp;A996&amp;"'!"&amp;B996))),TRUE,FALSE))</f>
        <v>0</v>
      </c>
      <c r="E996" t="s">
        <v>435</v>
      </c>
      <c r="F996" t="str">
        <f>INDEX(Lists!I:I,MATCH(Validation!E996,Lists!G:G,0))</f>
        <v>Error</v>
      </c>
      <c r="G996" t="str">
        <f>INDEX(Lists!H:H,MATCH(Validation!E996,Lists!G:G,0))</f>
        <v>Enter an amount only. Do not enter text or spaces.</v>
      </c>
      <c r="H996" s="25" t="str">
        <f t="shared" ca="1" si="174"/>
        <v/>
      </c>
      <c r="I996" s="25" t="str">
        <f t="shared" ca="1" si="175"/>
        <v/>
      </c>
      <c r="J996" s="26" t="str">
        <f t="shared" ca="1" si="176"/>
        <v/>
      </c>
    </row>
    <row r="997" spans="1:10" x14ac:dyDescent="0.25">
      <c r="A997" t="s">
        <v>304</v>
      </c>
      <c r="B997" t="str">
        <f>ADDRESS(ROW('Bond 1'!$C$23),COLUMN('Bond 1'!$C$23),4)</f>
        <v>C23</v>
      </c>
      <c r="C997" t="str">
        <f>ADDRESS(ROW('Bond 1'!$D$23),COLUMN('Bond 1'!$D$23),4)</f>
        <v>D23</v>
      </c>
      <c r="D997" t="b" cm="1">
        <f t="array" aca="1" ref="D997" ca="1">IF(INDIRECT("'"&amp;A997&amp;"'!"&amp;B997)="",FALSE,IF(NOT(ISNUMBER(INDIRECT("'"&amp;A997&amp;"'!"&amp;B997))),TRUE,FALSE))</f>
        <v>0</v>
      </c>
      <c r="E997" t="s">
        <v>435</v>
      </c>
      <c r="F997" t="str">
        <f>INDEX(Lists!I:I,MATCH(Validation!E997,Lists!G:G,0))</f>
        <v>Error</v>
      </c>
      <c r="G997" t="str">
        <f>INDEX(Lists!H:H,MATCH(Validation!E997,Lists!G:G,0))</f>
        <v>Enter an amount only. Do not enter text or spaces.</v>
      </c>
      <c r="H997" s="25" t="str">
        <f t="shared" ca="1" si="174"/>
        <v/>
      </c>
      <c r="I997" s="25" t="str">
        <f t="shared" ca="1" si="175"/>
        <v/>
      </c>
      <c r="J997" s="26" t="str">
        <f t="shared" ca="1" si="176"/>
        <v/>
      </c>
    </row>
    <row r="998" spans="1:10" x14ac:dyDescent="0.25">
      <c r="A998" t="s">
        <v>305</v>
      </c>
      <c r="B998" t="str">
        <f>ADDRESS(ROW('Bond 1'!$C$23),COLUMN('Bond 1'!$C$23),4)</f>
        <v>C23</v>
      </c>
      <c r="C998" t="str">
        <f>ADDRESS(ROW('Bond 1'!$D$23),COLUMN('Bond 1'!$D$23),4)</f>
        <v>D23</v>
      </c>
      <c r="D998" t="b" cm="1">
        <f t="array" aca="1" ref="D998" ca="1">IF(INDIRECT("'"&amp;A998&amp;"'!"&amp;B998)="",FALSE,IF(NOT(ISNUMBER(INDIRECT("'"&amp;A998&amp;"'!"&amp;B998))),TRUE,FALSE))</f>
        <v>0</v>
      </c>
      <c r="E998" t="s">
        <v>435</v>
      </c>
      <c r="F998" t="str">
        <f>INDEX(Lists!I:I,MATCH(Validation!E998,Lists!G:G,0))</f>
        <v>Error</v>
      </c>
      <c r="G998" t="str">
        <f>INDEX(Lists!H:H,MATCH(Validation!E998,Lists!G:G,0))</f>
        <v>Enter an amount only. Do not enter text or spaces.</v>
      </c>
      <c r="H998" s="25" t="str">
        <f t="shared" ca="1" si="174"/>
        <v/>
      </c>
      <c r="I998" s="25" t="str">
        <f t="shared" ca="1" si="175"/>
        <v/>
      </c>
      <c r="J998" s="26" t="str">
        <f t="shared" ca="1" si="176"/>
        <v/>
      </c>
    </row>
    <row r="999" spans="1:10" x14ac:dyDescent="0.25">
      <c r="A999" t="s">
        <v>306</v>
      </c>
      <c r="B999" t="str">
        <f>ADDRESS(ROW('Bond 1'!$C$23),COLUMN('Bond 1'!$C$23),4)</f>
        <v>C23</v>
      </c>
      <c r="C999" t="str">
        <f>ADDRESS(ROW('Bond 1'!$D$23),COLUMN('Bond 1'!$D$23),4)</f>
        <v>D23</v>
      </c>
      <c r="D999" t="b" cm="1">
        <f t="array" aca="1" ref="D999" ca="1">IF(INDIRECT("'"&amp;A999&amp;"'!"&amp;B999)="",FALSE,IF(NOT(ISNUMBER(INDIRECT("'"&amp;A999&amp;"'!"&amp;B999))),TRUE,FALSE))</f>
        <v>0</v>
      </c>
      <c r="E999" t="s">
        <v>435</v>
      </c>
      <c r="F999" t="str">
        <f>INDEX(Lists!I:I,MATCH(Validation!E999,Lists!G:G,0))</f>
        <v>Error</v>
      </c>
      <c r="G999" t="str">
        <f>INDEX(Lists!H:H,MATCH(Validation!E999,Lists!G:G,0))</f>
        <v>Enter an amount only. Do not enter text or spaces.</v>
      </c>
      <c r="H999" s="25" t="str">
        <f t="shared" ca="1" si="174"/>
        <v/>
      </c>
      <c r="I999" s="25" t="str">
        <f t="shared" ca="1" si="175"/>
        <v/>
      </c>
      <c r="J999" s="26" t="str">
        <f t="shared" ca="1" si="176"/>
        <v/>
      </c>
    </row>
    <row r="1000" spans="1:10" x14ac:dyDescent="0.25">
      <c r="A1000" t="s">
        <v>307</v>
      </c>
      <c r="B1000" t="str">
        <f>ADDRESS(ROW('Bond 1'!$C$23),COLUMN('Bond 1'!$C$23),4)</f>
        <v>C23</v>
      </c>
      <c r="C1000" t="str">
        <f>ADDRESS(ROW('Bond 1'!$D$23),COLUMN('Bond 1'!$D$23),4)</f>
        <v>D23</v>
      </c>
      <c r="D1000" t="b" cm="1">
        <f t="array" aca="1" ref="D1000" ca="1">IF(INDIRECT("'"&amp;A1000&amp;"'!"&amp;B1000)="",FALSE,IF(NOT(ISNUMBER(INDIRECT("'"&amp;A1000&amp;"'!"&amp;B1000))),TRUE,FALSE))</f>
        <v>0</v>
      </c>
      <c r="E1000" t="s">
        <v>435</v>
      </c>
      <c r="F1000" t="str">
        <f>INDEX(Lists!I:I,MATCH(Validation!E1000,Lists!G:G,0))</f>
        <v>Error</v>
      </c>
      <c r="G1000" t="str">
        <f>INDEX(Lists!H:H,MATCH(Validation!E1000,Lists!G:G,0))</f>
        <v>Enter an amount only. Do not enter text or spaces.</v>
      </c>
      <c r="H1000" s="25" t="str">
        <f t="shared" ca="1" si="174"/>
        <v/>
      </c>
      <c r="I1000" s="25" t="str">
        <f t="shared" ca="1" si="175"/>
        <v/>
      </c>
      <c r="J1000" s="26" t="str">
        <f t="shared" ca="1" si="176"/>
        <v/>
      </c>
    </row>
    <row r="1001" spans="1:10" x14ac:dyDescent="0.25">
      <c r="A1001" t="s">
        <v>308</v>
      </c>
      <c r="B1001" t="str">
        <f>ADDRESS(ROW('Bond 1'!$C$23),COLUMN('Bond 1'!$C$23),4)</f>
        <v>C23</v>
      </c>
      <c r="C1001" t="str">
        <f>ADDRESS(ROW('Bond 1'!$D$23),COLUMN('Bond 1'!$D$23),4)</f>
        <v>D23</v>
      </c>
      <c r="D1001" t="b" cm="1">
        <f t="array" aca="1" ref="D1001" ca="1">IF(INDIRECT("'"&amp;A1001&amp;"'!"&amp;B1001)="",FALSE,IF(NOT(ISNUMBER(INDIRECT("'"&amp;A1001&amp;"'!"&amp;B1001))),TRUE,FALSE))</f>
        <v>0</v>
      </c>
      <c r="E1001" t="s">
        <v>435</v>
      </c>
      <c r="F1001" t="str">
        <f>INDEX(Lists!I:I,MATCH(Validation!E1001,Lists!G:G,0))</f>
        <v>Error</v>
      </c>
      <c r="G1001" t="str">
        <f>INDEX(Lists!H:H,MATCH(Validation!E1001,Lists!G:G,0))</f>
        <v>Enter an amount only. Do not enter text or spaces.</v>
      </c>
      <c r="H1001" s="25" t="str">
        <f t="shared" ca="1" si="174"/>
        <v/>
      </c>
      <c r="I1001" s="25" t="str">
        <f t="shared" ca="1" si="175"/>
        <v/>
      </c>
      <c r="J1001" s="26" t="str">
        <f t="shared" ca="1" si="176"/>
        <v/>
      </c>
    </row>
    <row r="1002" spans="1:10" x14ac:dyDescent="0.25">
      <c r="A1002" t="s">
        <v>309</v>
      </c>
      <c r="B1002" t="str">
        <f>ADDRESS(ROW('Bond 1'!$C$23),COLUMN('Bond 1'!$C$23),4)</f>
        <v>C23</v>
      </c>
      <c r="C1002" t="str">
        <f>ADDRESS(ROW('Bond 1'!$D$23),COLUMN('Bond 1'!$D$23),4)</f>
        <v>D23</v>
      </c>
      <c r="D1002" t="b" cm="1">
        <f t="array" aca="1" ref="D1002" ca="1">IF(INDIRECT("'"&amp;A1002&amp;"'!"&amp;B1002)="",FALSE,IF(NOT(ISNUMBER(INDIRECT("'"&amp;A1002&amp;"'!"&amp;B1002))),TRUE,FALSE))</f>
        <v>0</v>
      </c>
      <c r="E1002" t="s">
        <v>435</v>
      </c>
      <c r="F1002" t="str">
        <f>INDEX(Lists!I:I,MATCH(Validation!E1002,Lists!G:G,0))</f>
        <v>Error</v>
      </c>
      <c r="G1002" t="str">
        <f>INDEX(Lists!H:H,MATCH(Validation!E1002,Lists!G:G,0))</f>
        <v>Enter an amount only. Do not enter text or spaces.</v>
      </c>
      <c r="H1002" s="25" t="str">
        <f t="shared" ca="1" si="174"/>
        <v/>
      </c>
      <c r="I1002" s="25" t="str">
        <f t="shared" ca="1" si="175"/>
        <v/>
      </c>
      <c r="J1002" s="26" t="str">
        <f t="shared" ca="1" si="176"/>
        <v/>
      </c>
    </row>
    <row r="1003" spans="1:10" x14ac:dyDescent="0.25">
      <c r="A1003" t="s">
        <v>310</v>
      </c>
      <c r="B1003" t="str">
        <f>ADDRESS(ROW('Bond 1'!$C$23),COLUMN('Bond 1'!$C$23),4)</f>
        <v>C23</v>
      </c>
      <c r="C1003" t="str">
        <f>ADDRESS(ROW('Bond 1'!$D$23),COLUMN('Bond 1'!$D$23),4)</f>
        <v>D23</v>
      </c>
      <c r="D1003" t="b" cm="1">
        <f t="array" aca="1" ref="D1003" ca="1">IF(INDIRECT("'"&amp;A1003&amp;"'!"&amp;B1003)="",FALSE,IF(NOT(ISNUMBER(INDIRECT("'"&amp;A1003&amp;"'!"&amp;B1003))),TRUE,FALSE))</f>
        <v>0</v>
      </c>
      <c r="E1003" t="s">
        <v>435</v>
      </c>
      <c r="F1003" t="str">
        <f>INDEX(Lists!I:I,MATCH(Validation!E1003,Lists!G:G,0))</f>
        <v>Error</v>
      </c>
      <c r="G1003" t="str">
        <f>INDEX(Lists!H:H,MATCH(Validation!E1003,Lists!G:G,0))</f>
        <v>Enter an amount only. Do not enter text or spaces.</v>
      </c>
      <c r="H1003" s="25" t="str">
        <f t="shared" ca="1" si="174"/>
        <v/>
      </c>
      <c r="I1003" s="25" t="str">
        <f t="shared" ca="1" si="175"/>
        <v/>
      </c>
      <c r="J1003" s="26" t="str">
        <f t="shared" ca="1" si="176"/>
        <v/>
      </c>
    </row>
    <row r="1004" spans="1:10" x14ac:dyDescent="0.25">
      <c r="A1004" t="s">
        <v>311</v>
      </c>
      <c r="B1004" t="str">
        <f>ADDRESS(ROW('Bond 1'!$C$23),COLUMN('Bond 1'!$C$23),4)</f>
        <v>C23</v>
      </c>
      <c r="C1004" t="str">
        <f>ADDRESS(ROW('Bond 1'!$D$23),COLUMN('Bond 1'!$D$23),4)</f>
        <v>D23</v>
      </c>
      <c r="D1004" t="b" cm="1">
        <f t="array" aca="1" ref="D1004" ca="1">IF(INDIRECT("'"&amp;A1004&amp;"'!"&amp;B1004)="",FALSE,IF(NOT(ISNUMBER(INDIRECT("'"&amp;A1004&amp;"'!"&amp;B1004))),TRUE,FALSE))</f>
        <v>0</v>
      </c>
      <c r="E1004" t="s">
        <v>435</v>
      </c>
      <c r="F1004" t="str">
        <f>INDEX(Lists!I:I,MATCH(Validation!E1004,Lists!G:G,0))</f>
        <v>Error</v>
      </c>
      <c r="G1004" t="str">
        <f>INDEX(Lists!H:H,MATCH(Validation!E1004,Lists!G:G,0))</f>
        <v>Enter an amount only. Do not enter text or spaces.</v>
      </c>
      <c r="H1004" s="25" t="str">
        <f t="shared" ca="1" si="174"/>
        <v/>
      </c>
      <c r="I1004" s="25" t="str">
        <f t="shared" ca="1" si="175"/>
        <v/>
      </c>
      <c r="J1004" s="26" t="str">
        <f t="shared" ca="1" si="176"/>
        <v/>
      </c>
    </row>
    <row r="1005" spans="1:10" x14ac:dyDescent="0.25">
      <c r="A1005" t="s">
        <v>312</v>
      </c>
      <c r="B1005" t="str">
        <f>ADDRESS(ROW('Bond 1'!$C$23),COLUMN('Bond 1'!$C$23),4)</f>
        <v>C23</v>
      </c>
      <c r="C1005" t="str">
        <f>ADDRESS(ROW('Bond 1'!$D$23),COLUMN('Bond 1'!$D$23),4)</f>
        <v>D23</v>
      </c>
      <c r="D1005" t="b" cm="1">
        <f t="array" aca="1" ref="D1005" ca="1">IF(INDIRECT("'"&amp;A1005&amp;"'!"&amp;B1005)="",FALSE,IF(NOT(ISNUMBER(INDIRECT("'"&amp;A1005&amp;"'!"&amp;B1005))),TRUE,FALSE))</f>
        <v>0</v>
      </c>
      <c r="E1005" t="s">
        <v>435</v>
      </c>
      <c r="F1005" t="str">
        <f>INDEX(Lists!I:I,MATCH(Validation!E1005,Lists!G:G,0))</f>
        <v>Error</v>
      </c>
      <c r="G1005" t="str">
        <f>INDEX(Lists!H:H,MATCH(Validation!E1005,Lists!G:G,0))</f>
        <v>Enter an amount only. Do not enter text or spaces.</v>
      </c>
      <c r="H1005" s="25" t="str">
        <f t="shared" ca="1" si="174"/>
        <v/>
      </c>
      <c r="I1005" s="25" t="str">
        <f t="shared" ca="1" si="175"/>
        <v/>
      </c>
      <c r="J1005" s="26" t="str">
        <f t="shared" ca="1" si="176"/>
        <v/>
      </c>
    </row>
    <row r="1006" spans="1:10" x14ac:dyDescent="0.25">
      <c r="A1006" t="s">
        <v>313</v>
      </c>
      <c r="B1006" t="str">
        <f>ADDRESS(ROW('Bond 1'!$C$23),COLUMN('Bond 1'!$C$23),4)</f>
        <v>C23</v>
      </c>
      <c r="C1006" t="str">
        <f>ADDRESS(ROW('Bond 1'!$D$23),COLUMN('Bond 1'!$D$23),4)</f>
        <v>D23</v>
      </c>
      <c r="D1006" t="b" cm="1">
        <f t="array" aca="1" ref="D1006" ca="1">IF(INDIRECT("'"&amp;A1006&amp;"'!"&amp;B1006)="",FALSE,IF(NOT(ISNUMBER(INDIRECT("'"&amp;A1006&amp;"'!"&amp;B1006))),TRUE,FALSE))</f>
        <v>0</v>
      </c>
      <c r="E1006" t="s">
        <v>435</v>
      </c>
      <c r="F1006" t="str">
        <f>INDEX(Lists!I:I,MATCH(Validation!E1006,Lists!G:G,0))</f>
        <v>Error</v>
      </c>
      <c r="G1006" t="str">
        <f>INDEX(Lists!H:H,MATCH(Validation!E1006,Lists!G:G,0))</f>
        <v>Enter an amount only. Do not enter text or spaces.</v>
      </c>
      <c r="H1006" s="25" t="str">
        <f t="shared" ca="1" si="174"/>
        <v/>
      </c>
      <c r="I1006" s="25" t="str">
        <f t="shared" ca="1" si="175"/>
        <v/>
      </c>
      <c r="J1006" s="26" t="str">
        <f t="shared" ca="1" si="176"/>
        <v/>
      </c>
    </row>
    <row r="1007" spans="1:10" x14ac:dyDescent="0.25">
      <c r="A1007" t="s">
        <v>314</v>
      </c>
      <c r="B1007" t="str">
        <f>ADDRESS(ROW('Bond 1'!$C$23),COLUMN('Bond 1'!$C$23),4)</f>
        <v>C23</v>
      </c>
      <c r="C1007" t="str">
        <f>ADDRESS(ROW('Bond 1'!$D$23),COLUMN('Bond 1'!$D$23),4)</f>
        <v>D23</v>
      </c>
      <c r="D1007" t="b" cm="1">
        <f t="array" aca="1" ref="D1007" ca="1">IF(INDIRECT("'"&amp;A1007&amp;"'!"&amp;B1007)="",FALSE,IF(NOT(ISNUMBER(INDIRECT("'"&amp;A1007&amp;"'!"&amp;B1007))),TRUE,FALSE))</f>
        <v>0</v>
      </c>
      <c r="E1007" t="s">
        <v>435</v>
      </c>
      <c r="F1007" t="str">
        <f>INDEX(Lists!I:I,MATCH(Validation!E1007,Lists!G:G,0))</f>
        <v>Error</v>
      </c>
      <c r="G1007" t="str">
        <f>INDEX(Lists!H:H,MATCH(Validation!E1007,Lists!G:G,0))</f>
        <v>Enter an amount only. Do not enter text or spaces.</v>
      </c>
      <c r="H1007" s="25" t="str">
        <f t="shared" ca="1" si="174"/>
        <v/>
      </c>
      <c r="I1007" s="25" t="str">
        <f t="shared" ca="1" si="175"/>
        <v/>
      </c>
      <c r="J1007" s="26" t="str">
        <f t="shared" ca="1" si="176"/>
        <v/>
      </c>
    </row>
    <row r="1008" spans="1:10" x14ac:dyDescent="0.25">
      <c r="A1008" t="s">
        <v>315</v>
      </c>
      <c r="B1008" t="str">
        <f>ADDRESS(ROW('Bond 1'!$C$23),COLUMN('Bond 1'!$C$23),4)</f>
        <v>C23</v>
      </c>
      <c r="C1008" t="str">
        <f>ADDRESS(ROW('Bond 1'!$D$23),COLUMN('Bond 1'!$D$23),4)</f>
        <v>D23</v>
      </c>
      <c r="D1008" t="b" cm="1">
        <f t="array" aca="1" ref="D1008" ca="1">IF(INDIRECT("'"&amp;A1008&amp;"'!"&amp;B1008)="",FALSE,IF(NOT(ISNUMBER(INDIRECT("'"&amp;A1008&amp;"'!"&amp;B1008))),TRUE,FALSE))</f>
        <v>0</v>
      </c>
      <c r="E1008" t="s">
        <v>435</v>
      </c>
      <c r="F1008" t="str">
        <f>INDEX(Lists!I:I,MATCH(Validation!E1008,Lists!G:G,0))</f>
        <v>Error</v>
      </c>
      <c r="G1008" t="str">
        <f>INDEX(Lists!H:H,MATCH(Validation!E1008,Lists!G:G,0))</f>
        <v>Enter an amount only. Do not enter text or spaces.</v>
      </c>
      <c r="H1008" s="25" t="str">
        <f t="shared" ca="1" si="174"/>
        <v/>
      </c>
      <c r="I1008" s="25" t="str">
        <f t="shared" ca="1" si="175"/>
        <v/>
      </c>
      <c r="J1008" s="26" t="str">
        <f t="shared" ca="1" si="176"/>
        <v/>
      </c>
    </row>
    <row r="1009" spans="1:10" x14ac:dyDescent="0.25">
      <c r="A1009" t="s">
        <v>198</v>
      </c>
      <c r="B1009" t="str">
        <f>ADDRESS(ROW('Bond 1'!$C$23),COLUMN('Bond 1'!$C$23),4)</f>
        <v>C23</v>
      </c>
      <c r="C1009" t="str">
        <f>ADDRESS(ROW('Bond 1'!$D$23),COLUMN('Bond 1'!$D$23),4)</f>
        <v>D23</v>
      </c>
      <c r="D1009" t="b" cm="1">
        <f t="array" aca="1" ref="D1009" ca="1">IF(INDIRECT("'"&amp;A1009&amp;"'!"&amp;B1009)="",FALSE,IF(INDIRECT("'"&amp;A1009&amp;"'!"&amp;B1009)&lt;0,TRUE,FALSE))</f>
        <v>0</v>
      </c>
      <c r="E1009" t="s">
        <v>434</v>
      </c>
      <c r="F1009" t="str">
        <f>INDEX(Lists!I:I,MATCH(Validation!E1009,Lists!G:G,0))</f>
        <v>Error</v>
      </c>
      <c r="G1009" t="str">
        <f>INDEX(Lists!H:H,MATCH(Validation!E1009,Lists!G:G,0))</f>
        <v>Amount may not be negative. Enter an amount greater than or equal to zero.</v>
      </c>
      <c r="H1009" s="25" t="str">
        <f t="shared" ca="1" si="174"/>
        <v/>
      </c>
      <c r="I1009" s="25" t="str">
        <f t="shared" ca="1" si="175"/>
        <v/>
      </c>
      <c r="J1009" s="26" t="str">
        <f t="shared" ca="1" si="176"/>
        <v/>
      </c>
    </row>
    <row r="1010" spans="1:10" x14ac:dyDescent="0.25">
      <c r="A1010" t="s">
        <v>302</v>
      </c>
      <c r="B1010" t="str">
        <f>ADDRESS(ROW('Bond 1'!$C$23),COLUMN('Bond 1'!$C$23),4)</f>
        <v>C23</v>
      </c>
      <c r="C1010" t="str">
        <f>ADDRESS(ROW('Bond 1'!$D$23),COLUMN('Bond 1'!$D$23),4)</f>
        <v>D23</v>
      </c>
      <c r="D1010" t="b" cm="1">
        <f t="array" aca="1" ref="D1010" ca="1">IF(INDIRECT("'"&amp;A1010&amp;"'!"&amp;B1010)="",FALSE,IF(INDIRECT("'"&amp;A1010&amp;"'!"&amp;B1010)&lt;0,TRUE,FALSE))</f>
        <v>0</v>
      </c>
      <c r="E1010" t="s">
        <v>434</v>
      </c>
      <c r="F1010" t="str">
        <f>INDEX(Lists!I:I,MATCH(Validation!E1010,Lists!G:G,0))</f>
        <v>Error</v>
      </c>
      <c r="G1010" t="str">
        <f>INDEX(Lists!H:H,MATCH(Validation!E1010,Lists!G:G,0))</f>
        <v>Amount may not be negative. Enter an amount greater than or equal to zero.</v>
      </c>
      <c r="H1010" s="25" t="str">
        <f t="shared" ca="1" si="174"/>
        <v/>
      </c>
      <c r="I1010" s="25" t="str">
        <f t="shared" ca="1" si="175"/>
        <v/>
      </c>
      <c r="J1010" s="26" t="str">
        <f t="shared" ca="1" si="176"/>
        <v/>
      </c>
    </row>
    <row r="1011" spans="1:10" x14ac:dyDescent="0.25">
      <c r="A1011" t="s">
        <v>303</v>
      </c>
      <c r="B1011" t="str">
        <f>ADDRESS(ROW('Bond 1'!$C$23),COLUMN('Bond 1'!$C$23),4)</f>
        <v>C23</v>
      </c>
      <c r="C1011" t="str">
        <f>ADDRESS(ROW('Bond 1'!$D$23),COLUMN('Bond 1'!$D$23),4)</f>
        <v>D23</v>
      </c>
      <c r="D1011" t="b" cm="1">
        <f t="array" aca="1" ref="D1011" ca="1">IF(INDIRECT("'"&amp;A1011&amp;"'!"&amp;B1011)="",FALSE,IF(INDIRECT("'"&amp;A1011&amp;"'!"&amp;B1011)&lt;0,TRUE,FALSE))</f>
        <v>0</v>
      </c>
      <c r="E1011" t="s">
        <v>434</v>
      </c>
      <c r="F1011" t="str">
        <f>INDEX(Lists!I:I,MATCH(Validation!E1011,Lists!G:G,0))</f>
        <v>Error</v>
      </c>
      <c r="G1011" t="str">
        <f>INDEX(Lists!H:H,MATCH(Validation!E1011,Lists!G:G,0))</f>
        <v>Amount may not be negative. Enter an amount greater than or equal to zero.</v>
      </c>
      <c r="H1011" s="25" t="str">
        <f t="shared" ca="1" si="174"/>
        <v/>
      </c>
      <c r="I1011" s="25" t="str">
        <f t="shared" ca="1" si="175"/>
        <v/>
      </c>
      <c r="J1011" s="26" t="str">
        <f t="shared" ca="1" si="176"/>
        <v/>
      </c>
    </row>
    <row r="1012" spans="1:10" x14ac:dyDescent="0.25">
      <c r="A1012" t="s">
        <v>304</v>
      </c>
      <c r="B1012" t="str">
        <f>ADDRESS(ROW('Bond 1'!$C$23),COLUMN('Bond 1'!$C$23),4)</f>
        <v>C23</v>
      </c>
      <c r="C1012" t="str">
        <f>ADDRESS(ROW('Bond 1'!$D$23),COLUMN('Bond 1'!$D$23),4)</f>
        <v>D23</v>
      </c>
      <c r="D1012" t="b" cm="1">
        <f t="array" aca="1" ref="D1012" ca="1">IF(INDIRECT("'"&amp;A1012&amp;"'!"&amp;B1012)="",FALSE,IF(INDIRECT("'"&amp;A1012&amp;"'!"&amp;B1012)&lt;0,TRUE,FALSE))</f>
        <v>0</v>
      </c>
      <c r="E1012" t="s">
        <v>434</v>
      </c>
      <c r="F1012" t="str">
        <f>INDEX(Lists!I:I,MATCH(Validation!E1012,Lists!G:G,0))</f>
        <v>Error</v>
      </c>
      <c r="G1012" t="str">
        <f>INDEX(Lists!H:H,MATCH(Validation!E1012,Lists!G:G,0))</f>
        <v>Amount may not be negative. Enter an amount greater than or equal to zero.</v>
      </c>
      <c r="H1012" s="25" t="str">
        <f t="shared" ca="1" si="174"/>
        <v/>
      </c>
      <c r="I1012" s="25" t="str">
        <f t="shared" ca="1" si="175"/>
        <v/>
      </c>
      <c r="J1012" s="26" t="str">
        <f t="shared" ca="1" si="176"/>
        <v/>
      </c>
    </row>
    <row r="1013" spans="1:10" x14ac:dyDescent="0.25">
      <c r="A1013" t="s">
        <v>305</v>
      </c>
      <c r="B1013" t="str">
        <f>ADDRESS(ROW('Bond 1'!$C$23),COLUMN('Bond 1'!$C$23),4)</f>
        <v>C23</v>
      </c>
      <c r="C1013" t="str">
        <f>ADDRESS(ROW('Bond 1'!$D$23),COLUMN('Bond 1'!$D$23),4)</f>
        <v>D23</v>
      </c>
      <c r="D1013" t="b" cm="1">
        <f t="array" aca="1" ref="D1013" ca="1">IF(INDIRECT("'"&amp;A1013&amp;"'!"&amp;B1013)="",FALSE,IF(INDIRECT("'"&amp;A1013&amp;"'!"&amp;B1013)&lt;0,TRUE,FALSE))</f>
        <v>0</v>
      </c>
      <c r="E1013" t="s">
        <v>434</v>
      </c>
      <c r="F1013" t="str">
        <f>INDEX(Lists!I:I,MATCH(Validation!E1013,Lists!G:G,0))</f>
        <v>Error</v>
      </c>
      <c r="G1013" t="str">
        <f>INDEX(Lists!H:H,MATCH(Validation!E1013,Lists!G:G,0))</f>
        <v>Amount may not be negative. Enter an amount greater than or equal to zero.</v>
      </c>
      <c r="H1013" s="25" t="str">
        <f t="shared" ca="1" si="174"/>
        <v/>
      </c>
      <c r="I1013" s="25" t="str">
        <f t="shared" ca="1" si="175"/>
        <v/>
      </c>
      <c r="J1013" s="26" t="str">
        <f t="shared" ca="1" si="176"/>
        <v/>
      </c>
    </row>
    <row r="1014" spans="1:10" x14ac:dyDescent="0.25">
      <c r="A1014" t="s">
        <v>306</v>
      </c>
      <c r="B1014" t="str">
        <f>ADDRESS(ROW('Bond 1'!$C$23),COLUMN('Bond 1'!$C$23),4)</f>
        <v>C23</v>
      </c>
      <c r="C1014" t="str">
        <f>ADDRESS(ROW('Bond 1'!$D$23),COLUMN('Bond 1'!$D$23),4)</f>
        <v>D23</v>
      </c>
      <c r="D1014" t="b" cm="1">
        <f t="array" aca="1" ref="D1014" ca="1">IF(INDIRECT("'"&amp;A1014&amp;"'!"&amp;B1014)="",FALSE,IF(INDIRECT("'"&amp;A1014&amp;"'!"&amp;B1014)&lt;0,TRUE,FALSE))</f>
        <v>0</v>
      </c>
      <c r="E1014" t="s">
        <v>434</v>
      </c>
      <c r="F1014" t="str">
        <f>INDEX(Lists!I:I,MATCH(Validation!E1014,Lists!G:G,0))</f>
        <v>Error</v>
      </c>
      <c r="G1014" t="str">
        <f>INDEX(Lists!H:H,MATCH(Validation!E1014,Lists!G:G,0))</f>
        <v>Amount may not be negative. Enter an amount greater than or equal to zero.</v>
      </c>
      <c r="H1014" s="25" t="str">
        <f t="shared" ca="1" si="174"/>
        <v/>
      </c>
      <c r="I1014" s="25" t="str">
        <f t="shared" ca="1" si="175"/>
        <v/>
      </c>
      <c r="J1014" s="26" t="str">
        <f t="shared" ca="1" si="176"/>
        <v/>
      </c>
    </row>
    <row r="1015" spans="1:10" x14ac:dyDescent="0.25">
      <c r="A1015" t="s">
        <v>307</v>
      </c>
      <c r="B1015" t="str">
        <f>ADDRESS(ROW('Bond 1'!$C$23),COLUMN('Bond 1'!$C$23),4)</f>
        <v>C23</v>
      </c>
      <c r="C1015" t="str">
        <f>ADDRESS(ROW('Bond 1'!$D$23),COLUMN('Bond 1'!$D$23),4)</f>
        <v>D23</v>
      </c>
      <c r="D1015" t="b" cm="1">
        <f t="array" aca="1" ref="D1015" ca="1">IF(INDIRECT("'"&amp;A1015&amp;"'!"&amp;B1015)="",FALSE,IF(INDIRECT("'"&amp;A1015&amp;"'!"&amp;B1015)&lt;0,TRUE,FALSE))</f>
        <v>0</v>
      </c>
      <c r="E1015" t="s">
        <v>434</v>
      </c>
      <c r="F1015" t="str">
        <f>INDEX(Lists!I:I,MATCH(Validation!E1015,Lists!G:G,0))</f>
        <v>Error</v>
      </c>
      <c r="G1015" t="str">
        <f>INDEX(Lists!H:H,MATCH(Validation!E1015,Lists!G:G,0))</f>
        <v>Amount may not be negative. Enter an amount greater than or equal to zero.</v>
      </c>
      <c r="H1015" s="25" t="str">
        <f t="shared" ca="1" si="174"/>
        <v/>
      </c>
      <c r="I1015" s="25" t="str">
        <f t="shared" ca="1" si="175"/>
        <v/>
      </c>
      <c r="J1015" s="26" t="str">
        <f t="shared" ca="1" si="176"/>
        <v/>
      </c>
    </row>
    <row r="1016" spans="1:10" x14ac:dyDescent="0.25">
      <c r="A1016" t="s">
        <v>308</v>
      </c>
      <c r="B1016" t="str">
        <f>ADDRESS(ROW('Bond 1'!$C$23),COLUMN('Bond 1'!$C$23),4)</f>
        <v>C23</v>
      </c>
      <c r="C1016" t="str">
        <f>ADDRESS(ROW('Bond 1'!$D$23),COLUMN('Bond 1'!$D$23),4)</f>
        <v>D23</v>
      </c>
      <c r="D1016" t="b" cm="1">
        <f t="array" aca="1" ref="D1016" ca="1">IF(INDIRECT("'"&amp;A1016&amp;"'!"&amp;B1016)="",FALSE,IF(INDIRECT("'"&amp;A1016&amp;"'!"&amp;B1016)&lt;0,TRUE,FALSE))</f>
        <v>0</v>
      </c>
      <c r="E1016" t="s">
        <v>434</v>
      </c>
      <c r="F1016" t="str">
        <f>INDEX(Lists!I:I,MATCH(Validation!E1016,Lists!G:G,0))</f>
        <v>Error</v>
      </c>
      <c r="G1016" t="str">
        <f>INDEX(Lists!H:H,MATCH(Validation!E1016,Lists!G:G,0))</f>
        <v>Amount may not be negative. Enter an amount greater than or equal to zero.</v>
      </c>
      <c r="H1016" s="25" t="str">
        <f t="shared" ca="1" si="174"/>
        <v/>
      </c>
      <c r="I1016" s="25" t="str">
        <f t="shared" ca="1" si="175"/>
        <v/>
      </c>
      <c r="J1016" s="26" t="str">
        <f t="shared" ca="1" si="176"/>
        <v/>
      </c>
    </row>
    <row r="1017" spans="1:10" x14ac:dyDescent="0.25">
      <c r="A1017" t="s">
        <v>309</v>
      </c>
      <c r="B1017" t="str">
        <f>ADDRESS(ROW('Bond 1'!$C$23),COLUMN('Bond 1'!$C$23),4)</f>
        <v>C23</v>
      </c>
      <c r="C1017" t="str">
        <f>ADDRESS(ROW('Bond 1'!$D$23),COLUMN('Bond 1'!$D$23),4)</f>
        <v>D23</v>
      </c>
      <c r="D1017" t="b" cm="1">
        <f t="array" aca="1" ref="D1017" ca="1">IF(INDIRECT("'"&amp;A1017&amp;"'!"&amp;B1017)="",FALSE,IF(INDIRECT("'"&amp;A1017&amp;"'!"&amp;B1017)&lt;0,TRUE,FALSE))</f>
        <v>0</v>
      </c>
      <c r="E1017" t="s">
        <v>434</v>
      </c>
      <c r="F1017" t="str">
        <f>INDEX(Lists!I:I,MATCH(Validation!E1017,Lists!G:G,0))</f>
        <v>Error</v>
      </c>
      <c r="G1017" t="str">
        <f>INDEX(Lists!H:H,MATCH(Validation!E1017,Lists!G:G,0))</f>
        <v>Amount may not be negative. Enter an amount greater than or equal to zero.</v>
      </c>
      <c r="H1017" s="25" t="str">
        <f t="shared" ref="H1017:H1080" ca="1" si="177">IFERROR(IF(OR(NOT(D1017),F1017&lt;&gt;"Error"),"",A1017&amp;CELL("address",INDIRECT(B1017))),"")</f>
        <v/>
      </c>
      <c r="I1017" s="25" t="str">
        <f t="shared" ref="I1017:I1080" ca="1" si="178">IFERROR(IF(NOT(D1017),"",A1017&amp;CELL("address",INDIRECT(C1017))),"")</f>
        <v/>
      </c>
      <c r="J1017" s="26" t="str">
        <f t="shared" ref="J1017:J1080" ca="1" si="179">IFERROR(IF(NOT(D1017),"",A1017),"")</f>
        <v/>
      </c>
    </row>
    <row r="1018" spans="1:10" x14ac:dyDescent="0.25">
      <c r="A1018" t="s">
        <v>310</v>
      </c>
      <c r="B1018" t="str">
        <f>ADDRESS(ROW('Bond 1'!$C$23),COLUMN('Bond 1'!$C$23),4)</f>
        <v>C23</v>
      </c>
      <c r="C1018" t="str">
        <f>ADDRESS(ROW('Bond 1'!$D$23),COLUMN('Bond 1'!$D$23),4)</f>
        <v>D23</v>
      </c>
      <c r="D1018" t="b" cm="1">
        <f t="array" aca="1" ref="D1018" ca="1">IF(INDIRECT("'"&amp;A1018&amp;"'!"&amp;B1018)="",FALSE,IF(INDIRECT("'"&amp;A1018&amp;"'!"&amp;B1018)&lt;0,TRUE,FALSE))</f>
        <v>0</v>
      </c>
      <c r="E1018" t="s">
        <v>434</v>
      </c>
      <c r="F1018" t="str">
        <f>INDEX(Lists!I:I,MATCH(Validation!E1018,Lists!G:G,0))</f>
        <v>Error</v>
      </c>
      <c r="G1018" t="str">
        <f>INDEX(Lists!H:H,MATCH(Validation!E1018,Lists!G:G,0))</f>
        <v>Amount may not be negative. Enter an amount greater than or equal to zero.</v>
      </c>
      <c r="H1018" s="25" t="str">
        <f t="shared" ca="1" si="177"/>
        <v/>
      </c>
      <c r="I1018" s="25" t="str">
        <f t="shared" ca="1" si="178"/>
        <v/>
      </c>
      <c r="J1018" s="26" t="str">
        <f t="shared" ca="1" si="179"/>
        <v/>
      </c>
    </row>
    <row r="1019" spans="1:10" x14ac:dyDescent="0.25">
      <c r="A1019" t="s">
        <v>311</v>
      </c>
      <c r="B1019" t="str">
        <f>ADDRESS(ROW('Bond 1'!$C$23),COLUMN('Bond 1'!$C$23),4)</f>
        <v>C23</v>
      </c>
      <c r="C1019" t="str">
        <f>ADDRESS(ROW('Bond 1'!$D$23),COLUMN('Bond 1'!$D$23),4)</f>
        <v>D23</v>
      </c>
      <c r="D1019" t="b" cm="1">
        <f t="array" aca="1" ref="D1019" ca="1">IF(INDIRECT("'"&amp;A1019&amp;"'!"&amp;B1019)="",FALSE,IF(INDIRECT("'"&amp;A1019&amp;"'!"&amp;B1019)&lt;0,TRUE,FALSE))</f>
        <v>0</v>
      </c>
      <c r="E1019" t="s">
        <v>434</v>
      </c>
      <c r="F1019" t="str">
        <f>INDEX(Lists!I:I,MATCH(Validation!E1019,Lists!G:G,0))</f>
        <v>Error</v>
      </c>
      <c r="G1019" t="str">
        <f>INDEX(Lists!H:H,MATCH(Validation!E1019,Lists!G:G,0))</f>
        <v>Amount may not be negative. Enter an amount greater than or equal to zero.</v>
      </c>
      <c r="H1019" s="25" t="str">
        <f t="shared" ca="1" si="177"/>
        <v/>
      </c>
      <c r="I1019" s="25" t="str">
        <f t="shared" ca="1" si="178"/>
        <v/>
      </c>
      <c r="J1019" s="26" t="str">
        <f t="shared" ca="1" si="179"/>
        <v/>
      </c>
    </row>
    <row r="1020" spans="1:10" x14ac:dyDescent="0.25">
      <c r="A1020" t="s">
        <v>312</v>
      </c>
      <c r="B1020" t="str">
        <f>ADDRESS(ROW('Bond 1'!$C$23),COLUMN('Bond 1'!$C$23),4)</f>
        <v>C23</v>
      </c>
      <c r="C1020" t="str">
        <f>ADDRESS(ROW('Bond 1'!$D$23),COLUMN('Bond 1'!$D$23),4)</f>
        <v>D23</v>
      </c>
      <c r="D1020" t="b" cm="1">
        <f t="array" aca="1" ref="D1020" ca="1">IF(INDIRECT("'"&amp;A1020&amp;"'!"&amp;B1020)="",FALSE,IF(INDIRECT("'"&amp;A1020&amp;"'!"&amp;B1020)&lt;0,TRUE,FALSE))</f>
        <v>0</v>
      </c>
      <c r="E1020" t="s">
        <v>434</v>
      </c>
      <c r="F1020" t="str">
        <f>INDEX(Lists!I:I,MATCH(Validation!E1020,Lists!G:G,0))</f>
        <v>Error</v>
      </c>
      <c r="G1020" t="str">
        <f>INDEX(Lists!H:H,MATCH(Validation!E1020,Lists!G:G,0))</f>
        <v>Amount may not be negative. Enter an amount greater than or equal to zero.</v>
      </c>
      <c r="H1020" s="25" t="str">
        <f t="shared" ca="1" si="177"/>
        <v/>
      </c>
      <c r="I1020" s="25" t="str">
        <f t="shared" ca="1" si="178"/>
        <v/>
      </c>
      <c r="J1020" s="26" t="str">
        <f t="shared" ca="1" si="179"/>
        <v/>
      </c>
    </row>
    <row r="1021" spans="1:10" x14ac:dyDescent="0.25">
      <c r="A1021" t="s">
        <v>313</v>
      </c>
      <c r="B1021" t="str">
        <f>ADDRESS(ROW('Bond 1'!$C$23),COLUMN('Bond 1'!$C$23),4)</f>
        <v>C23</v>
      </c>
      <c r="C1021" t="str">
        <f>ADDRESS(ROW('Bond 1'!$D$23),COLUMN('Bond 1'!$D$23),4)</f>
        <v>D23</v>
      </c>
      <c r="D1021" t="b" cm="1">
        <f t="array" aca="1" ref="D1021" ca="1">IF(INDIRECT("'"&amp;A1021&amp;"'!"&amp;B1021)="",FALSE,IF(INDIRECT("'"&amp;A1021&amp;"'!"&amp;B1021)&lt;0,TRUE,FALSE))</f>
        <v>0</v>
      </c>
      <c r="E1021" t="s">
        <v>434</v>
      </c>
      <c r="F1021" t="str">
        <f>INDEX(Lists!I:I,MATCH(Validation!E1021,Lists!G:G,0))</f>
        <v>Error</v>
      </c>
      <c r="G1021" t="str">
        <f>INDEX(Lists!H:H,MATCH(Validation!E1021,Lists!G:G,0))</f>
        <v>Amount may not be negative. Enter an amount greater than or equal to zero.</v>
      </c>
      <c r="H1021" s="25" t="str">
        <f t="shared" ca="1" si="177"/>
        <v/>
      </c>
      <c r="I1021" s="25" t="str">
        <f t="shared" ca="1" si="178"/>
        <v/>
      </c>
      <c r="J1021" s="26" t="str">
        <f t="shared" ca="1" si="179"/>
        <v/>
      </c>
    </row>
    <row r="1022" spans="1:10" x14ac:dyDescent="0.25">
      <c r="A1022" t="s">
        <v>314</v>
      </c>
      <c r="B1022" t="str">
        <f>ADDRESS(ROW('Bond 1'!$C$23),COLUMN('Bond 1'!$C$23),4)</f>
        <v>C23</v>
      </c>
      <c r="C1022" t="str">
        <f>ADDRESS(ROW('Bond 1'!$D$23),COLUMN('Bond 1'!$D$23),4)</f>
        <v>D23</v>
      </c>
      <c r="D1022" t="b" cm="1">
        <f t="array" aca="1" ref="D1022" ca="1">IF(INDIRECT("'"&amp;A1022&amp;"'!"&amp;B1022)="",FALSE,IF(INDIRECT("'"&amp;A1022&amp;"'!"&amp;B1022)&lt;0,TRUE,FALSE))</f>
        <v>0</v>
      </c>
      <c r="E1022" t="s">
        <v>434</v>
      </c>
      <c r="F1022" t="str">
        <f>INDEX(Lists!I:I,MATCH(Validation!E1022,Lists!G:G,0))</f>
        <v>Error</v>
      </c>
      <c r="G1022" t="str">
        <f>INDEX(Lists!H:H,MATCH(Validation!E1022,Lists!G:G,0))</f>
        <v>Amount may not be negative. Enter an amount greater than or equal to zero.</v>
      </c>
      <c r="H1022" s="25" t="str">
        <f t="shared" ca="1" si="177"/>
        <v/>
      </c>
      <c r="I1022" s="25" t="str">
        <f t="shared" ca="1" si="178"/>
        <v/>
      </c>
      <c r="J1022" s="26" t="str">
        <f t="shared" ca="1" si="179"/>
        <v/>
      </c>
    </row>
    <row r="1023" spans="1:10" x14ac:dyDescent="0.25">
      <c r="A1023" t="s">
        <v>315</v>
      </c>
      <c r="B1023" t="str">
        <f>ADDRESS(ROW('Bond 1'!$C$23),COLUMN('Bond 1'!$C$23),4)</f>
        <v>C23</v>
      </c>
      <c r="C1023" t="str">
        <f>ADDRESS(ROW('Bond 1'!$D$23),COLUMN('Bond 1'!$D$23),4)</f>
        <v>D23</v>
      </c>
      <c r="D1023" t="b" cm="1">
        <f t="array" aca="1" ref="D1023" ca="1">IF(INDIRECT("'"&amp;A1023&amp;"'!"&amp;B1023)="",FALSE,IF(INDIRECT("'"&amp;A1023&amp;"'!"&amp;B1023)&lt;0,TRUE,FALSE))</f>
        <v>0</v>
      </c>
      <c r="E1023" t="s">
        <v>434</v>
      </c>
      <c r="F1023" t="str">
        <f>INDEX(Lists!I:I,MATCH(Validation!E1023,Lists!G:G,0))</f>
        <v>Error</v>
      </c>
      <c r="G1023" t="str">
        <f>INDEX(Lists!H:H,MATCH(Validation!E1023,Lists!G:G,0))</f>
        <v>Amount may not be negative. Enter an amount greater than or equal to zero.</v>
      </c>
      <c r="H1023" s="25" t="str">
        <f t="shared" ca="1" si="177"/>
        <v/>
      </c>
      <c r="I1023" s="25" t="str">
        <f t="shared" ca="1" si="178"/>
        <v/>
      </c>
      <c r="J1023" s="26" t="str">
        <f t="shared" ca="1" si="179"/>
        <v/>
      </c>
    </row>
    <row r="1024" spans="1:10" x14ac:dyDescent="0.25">
      <c r="A1024" t="s">
        <v>198</v>
      </c>
      <c r="B1024" t="str">
        <f>ADDRESS(ROW('Bond 1'!$C$23),COLUMN('Bond 1'!$C$23),4)</f>
        <v>C23</v>
      </c>
      <c r="C1024" t="str">
        <f>ADDRESS(ROW('Bond 1'!$D$23),COLUMN('Bond 1'!$D$23),4)</f>
        <v>D23</v>
      </c>
      <c r="D1024" t="b" cm="1">
        <f t="array" aca="1" ref="D1024" ca="1">IF(INDIRECT("'"&amp;A1024&amp;"'!"&amp;B1024)="",FALSE,IF(TRUNC(INDIRECT("'"&amp;A1024&amp;"'!"&amp;B1024))=INDIRECT("'"&amp;A1024&amp;"'!"&amp;B1024),FALSE,TRUE))</f>
        <v>0</v>
      </c>
      <c r="E1024" t="s">
        <v>436</v>
      </c>
      <c r="F1024" t="str">
        <f>INDEX(Lists!I:I,MATCH(Validation!E1024,Lists!G:G,0))</f>
        <v>Error</v>
      </c>
      <c r="G1024" t="str">
        <f>INDEX(Lists!H:H,MATCH(Validation!E1024,Lists!G:G,0))</f>
        <v>Amount must be rounded to the nearest dollar.</v>
      </c>
      <c r="H1024" s="25" t="str">
        <f t="shared" ca="1" si="177"/>
        <v/>
      </c>
      <c r="I1024" s="25" t="str">
        <f t="shared" ca="1" si="178"/>
        <v/>
      </c>
      <c r="J1024" s="26" t="str">
        <f t="shared" ca="1" si="179"/>
        <v/>
      </c>
    </row>
    <row r="1025" spans="1:10" x14ac:dyDescent="0.25">
      <c r="A1025" t="s">
        <v>302</v>
      </c>
      <c r="B1025" t="str">
        <f>ADDRESS(ROW('Bond 1'!$C$23),COLUMN('Bond 1'!$C$23),4)</f>
        <v>C23</v>
      </c>
      <c r="C1025" t="str">
        <f>ADDRESS(ROW('Bond 1'!$D$23),COLUMN('Bond 1'!$D$23),4)</f>
        <v>D23</v>
      </c>
      <c r="D1025" t="b" cm="1">
        <f t="array" aca="1" ref="D1025" ca="1">IF(INDIRECT("'"&amp;A1025&amp;"'!"&amp;B1025)="",FALSE,IF(TRUNC(INDIRECT("'"&amp;A1025&amp;"'!"&amp;B1025))=INDIRECT("'"&amp;A1025&amp;"'!"&amp;B1025),FALSE,TRUE))</f>
        <v>0</v>
      </c>
      <c r="E1025" t="s">
        <v>436</v>
      </c>
      <c r="F1025" t="str">
        <f>INDEX(Lists!I:I,MATCH(Validation!E1025,Lists!G:G,0))</f>
        <v>Error</v>
      </c>
      <c r="G1025" t="str">
        <f>INDEX(Lists!H:H,MATCH(Validation!E1025,Lists!G:G,0))</f>
        <v>Amount must be rounded to the nearest dollar.</v>
      </c>
      <c r="H1025" s="25" t="str">
        <f t="shared" ca="1" si="177"/>
        <v/>
      </c>
      <c r="I1025" s="25" t="str">
        <f t="shared" ca="1" si="178"/>
        <v/>
      </c>
      <c r="J1025" s="26" t="str">
        <f t="shared" ca="1" si="179"/>
        <v/>
      </c>
    </row>
    <row r="1026" spans="1:10" x14ac:dyDescent="0.25">
      <c r="A1026" t="s">
        <v>303</v>
      </c>
      <c r="B1026" t="str">
        <f>ADDRESS(ROW('Bond 1'!$C$23),COLUMN('Bond 1'!$C$23),4)</f>
        <v>C23</v>
      </c>
      <c r="C1026" t="str">
        <f>ADDRESS(ROW('Bond 1'!$D$23),COLUMN('Bond 1'!$D$23),4)</f>
        <v>D23</v>
      </c>
      <c r="D1026" t="b" cm="1">
        <f t="array" aca="1" ref="D1026" ca="1">IF(INDIRECT("'"&amp;A1026&amp;"'!"&amp;B1026)="",FALSE,IF(TRUNC(INDIRECT("'"&amp;A1026&amp;"'!"&amp;B1026))=INDIRECT("'"&amp;A1026&amp;"'!"&amp;B1026),FALSE,TRUE))</f>
        <v>0</v>
      </c>
      <c r="E1026" t="s">
        <v>436</v>
      </c>
      <c r="F1026" t="str">
        <f>INDEX(Lists!I:I,MATCH(Validation!E1026,Lists!G:G,0))</f>
        <v>Error</v>
      </c>
      <c r="G1026" t="str">
        <f>INDEX(Lists!H:H,MATCH(Validation!E1026,Lists!G:G,0))</f>
        <v>Amount must be rounded to the nearest dollar.</v>
      </c>
      <c r="H1026" s="25" t="str">
        <f t="shared" ca="1" si="177"/>
        <v/>
      </c>
      <c r="I1026" s="25" t="str">
        <f t="shared" ca="1" si="178"/>
        <v/>
      </c>
      <c r="J1026" s="26" t="str">
        <f t="shared" ca="1" si="179"/>
        <v/>
      </c>
    </row>
    <row r="1027" spans="1:10" x14ac:dyDescent="0.25">
      <c r="A1027" t="s">
        <v>304</v>
      </c>
      <c r="B1027" t="str">
        <f>ADDRESS(ROW('Bond 1'!$C$23),COLUMN('Bond 1'!$C$23),4)</f>
        <v>C23</v>
      </c>
      <c r="C1027" t="str">
        <f>ADDRESS(ROW('Bond 1'!$D$23),COLUMN('Bond 1'!$D$23),4)</f>
        <v>D23</v>
      </c>
      <c r="D1027" t="b" cm="1">
        <f t="array" aca="1" ref="D1027" ca="1">IF(INDIRECT("'"&amp;A1027&amp;"'!"&amp;B1027)="",FALSE,IF(TRUNC(INDIRECT("'"&amp;A1027&amp;"'!"&amp;B1027))=INDIRECT("'"&amp;A1027&amp;"'!"&amp;B1027),FALSE,TRUE))</f>
        <v>0</v>
      </c>
      <c r="E1027" t="s">
        <v>436</v>
      </c>
      <c r="F1027" t="str">
        <f>INDEX(Lists!I:I,MATCH(Validation!E1027,Lists!G:G,0))</f>
        <v>Error</v>
      </c>
      <c r="G1027" t="str">
        <f>INDEX(Lists!H:H,MATCH(Validation!E1027,Lists!G:G,0))</f>
        <v>Amount must be rounded to the nearest dollar.</v>
      </c>
      <c r="H1027" s="25" t="str">
        <f t="shared" ca="1" si="177"/>
        <v/>
      </c>
      <c r="I1027" s="25" t="str">
        <f t="shared" ca="1" si="178"/>
        <v/>
      </c>
      <c r="J1027" s="26" t="str">
        <f t="shared" ca="1" si="179"/>
        <v/>
      </c>
    </row>
    <row r="1028" spans="1:10" x14ac:dyDescent="0.25">
      <c r="A1028" t="s">
        <v>305</v>
      </c>
      <c r="B1028" t="str">
        <f>ADDRESS(ROW('Bond 1'!$C$23),COLUMN('Bond 1'!$C$23),4)</f>
        <v>C23</v>
      </c>
      <c r="C1028" t="str">
        <f>ADDRESS(ROW('Bond 1'!$D$23),COLUMN('Bond 1'!$D$23),4)</f>
        <v>D23</v>
      </c>
      <c r="D1028" t="b" cm="1">
        <f t="array" aca="1" ref="D1028" ca="1">IF(INDIRECT("'"&amp;A1028&amp;"'!"&amp;B1028)="",FALSE,IF(TRUNC(INDIRECT("'"&amp;A1028&amp;"'!"&amp;B1028))=INDIRECT("'"&amp;A1028&amp;"'!"&amp;B1028),FALSE,TRUE))</f>
        <v>0</v>
      </c>
      <c r="E1028" t="s">
        <v>436</v>
      </c>
      <c r="F1028" t="str">
        <f>INDEX(Lists!I:I,MATCH(Validation!E1028,Lists!G:G,0))</f>
        <v>Error</v>
      </c>
      <c r="G1028" t="str">
        <f>INDEX(Lists!H:H,MATCH(Validation!E1028,Lists!G:G,0))</f>
        <v>Amount must be rounded to the nearest dollar.</v>
      </c>
      <c r="H1028" s="25" t="str">
        <f t="shared" ca="1" si="177"/>
        <v/>
      </c>
      <c r="I1028" s="25" t="str">
        <f t="shared" ca="1" si="178"/>
        <v/>
      </c>
      <c r="J1028" s="26" t="str">
        <f t="shared" ca="1" si="179"/>
        <v/>
      </c>
    </row>
    <row r="1029" spans="1:10" x14ac:dyDescent="0.25">
      <c r="A1029" t="s">
        <v>306</v>
      </c>
      <c r="B1029" t="str">
        <f>ADDRESS(ROW('Bond 1'!$C$23),COLUMN('Bond 1'!$C$23),4)</f>
        <v>C23</v>
      </c>
      <c r="C1029" t="str">
        <f>ADDRESS(ROW('Bond 1'!$D$23),COLUMN('Bond 1'!$D$23),4)</f>
        <v>D23</v>
      </c>
      <c r="D1029" t="b" cm="1">
        <f t="array" aca="1" ref="D1029" ca="1">IF(INDIRECT("'"&amp;A1029&amp;"'!"&amp;B1029)="",FALSE,IF(TRUNC(INDIRECT("'"&amp;A1029&amp;"'!"&amp;B1029))=INDIRECT("'"&amp;A1029&amp;"'!"&amp;B1029),FALSE,TRUE))</f>
        <v>0</v>
      </c>
      <c r="E1029" t="s">
        <v>436</v>
      </c>
      <c r="F1029" t="str">
        <f>INDEX(Lists!I:I,MATCH(Validation!E1029,Lists!G:G,0))</f>
        <v>Error</v>
      </c>
      <c r="G1029" t="str">
        <f>INDEX(Lists!H:H,MATCH(Validation!E1029,Lists!G:G,0))</f>
        <v>Amount must be rounded to the nearest dollar.</v>
      </c>
      <c r="H1029" s="25" t="str">
        <f t="shared" ca="1" si="177"/>
        <v/>
      </c>
      <c r="I1029" s="25" t="str">
        <f t="shared" ca="1" si="178"/>
        <v/>
      </c>
      <c r="J1029" s="26" t="str">
        <f t="shared" ca="1" si="179"/>
        <v/>
      </c>
    </row>
    <row r="1030" spans="1:10" x14ac:dyDescent="0.25">
      <c r="A1030" t="s">
        <v>307</v>
      </c>
      <c r="B1030" t="str">
        <f>ADDRESS(ROW('Bond 1'!$C$23),COLUMN('Bond 1'!$C$23),4)</f>
        <v>C23</v>
      </c>
      <c r="C1030" t="str">
        <f>ADDRESS(ROW('Bond 1'!$D$23),COLUMN('Bond 1'!$D$23),4)</f>
        <v>D23</v>
      </c>
      <c r="D1030" t="b" cm="1">
        <f t="array" aca="1" ref="D1030" ca="1">IF(INDIRECT("'"&amp;A1030&amp;"'!"&amp;B1030)="",FALSE,IF(TRUNC(INDIRECT("'"&amp;A1030&amp;"'!"&amp;B1030))=INDIRECT("'"&amp;A1030&amp;"'!"&amp;B1030),FALSE,TRUE))</f>
        <v>0</v>
      </c>
      <c r="E1030" t="s">
        <v>436</v>
      </c>
      <c r="F1030" t="str">
        <f>INDEX(Lists!I:I,MATCH(Validation!E1030,Lists!G:G,0))</f>
        <v>Error</v>
      </c>
      <c r="G1030" t="str">
        <f>INDEX(Lists!H:H,MATCH(Validation!E1030,Lists!G:G,0))</f>
        <v>Amount must be rounded to the nearest dollar.</v>
      </c>
      <c r="H1030" s="25" t="str">
        <f t="shared" ca="1" si="177"/>
        <v/>
      </c>
      <c r="I1030" s="25" t="str">
        <f t="shared" ca="1" si="178"/>
        <v/>
      </c>
      <c r="J1030" s="26" t="str">
        <f t="shared" ca="1" si="179"/>
        <v/>
      </c>
    </row>
    <row r="1031" spans="1:10" x14ac:dyDescent="0.25">
      <c r="A1031" t="s">
        <v>308</v>
      </c>
      <c r="B1031" t="str">
        <f>ADDRESS(ROW('Bond 1'!$C$23),COLUMN('Bond 1'!$C$23),4)</f>
        <v>C23</v>
      </c>
      <c r="C1031" t="str">
        <f>ADDRESS(ROW('Bond 1'!$D$23),COLUMN('Bond 1'!$D$23),4)</f>
        <v>D23</v>
      </c>
      <c r="D1031" t="b" cm="1">
        <f t="array" aca="1" ref="D1031" ca="1">IF(INDIRECT("'"&amp;A1031&amp;"'!"&amp;B1031)="",FALSE,IF(TRUNC(INDIRECT("'"&amp;A1031&amp;"'!"&amp;B1031))=INDIRECT("'"&amp;A1031&amp;"'!"&amp;B1031),FALSE,TRUE))</f>
        <v>0</v>
      </c>
      <c r="E1031" t="s">
        <v>436</v>
      </c>
      <c r="F1031" t="str">
        <f>INDEX(Lists!I:I,MATCH(Validation!E1031,Lists!G:G,0))</f>
        <v>Error</v>
      </c>
      <c r="G1031" t="str">
        <f>INDEX(Lists!H:H,MATCH(Validation!E1031,Lists!G:G,0))</f>
        <v>Amount must be rounded to the nearest dollar.</v>
      </c>
      <c r="H1031" s="25" t="str">
        <f t="shared" ca="1" si="177"/>
        <v/>
      </c>
      <c r="I1031" s="25" t="str">
        <f t="shared" ca="1" si="178"/>
        <v/>
      </c>
      <c r="J1031" s="26" t="str">
        <f t="shared" ca="1" si="179"/>
        <v/>
      </c>
    </row>
    <row r="1032" spans="1:10" x14ac:dyDescent="0.25">
      <c r="A1032" t="s">
        <v>309</v>
      </c>
      <c r="B1032" t="str">
        <f>ADDRESS(ROW('Bond 1'!$C$23),COLUMN('Bond 1'!$C$23),4)</f>
        <v>C23</v>
      </c>
      <c r="C1032" t="str">
        <f>ADDRESS(ROW('Bond 1'!$D$23),COLUMN('Bond 1'!$D$23),4)</f>
        <v>D23</v>
      </c>
      <c r="D1032" t="b" cm="1">
        <f t="array" aca="1" ref="D1032" ca="1">IF(INDIRECT("'"&amp;A1032&amp;"'!"&amp;B1032)="",FALSE,IF(TRUNC(INDIRECT("'"&amp;A1032&amp;"'!"&amp;B1032))=INDIRECT("'"&amp;A1032&amp;"'!"&amp;B1032),FALSE,TRUE))</f>
        <v>0</v>
      </c>
      <c r="E1032" t="s">
        <v>436</v>
      </c>
      <c r="F1032" t="str">
        <f>INDEX(Lists!I:I,MATCH(Validation!E1032,Lists!G:G,0))</f>
        <v>Error</v>
      </c>
      <c r="G1032" t="str">
        <f>INDEX(Lists!H:H,MATCH(Validation!E1032,Lists!G:G,0))</f>
        <v>Amount must be rounded to the nearest dollar.</v>
      </c>
      <c r="H1032" s="25" t="str">
        <f t="shared" ca="1" si="177"/>
        <v/>
      </c>
      <c r="I1032" s="25" t="str">
        <f t="shared" ca="1" si="178"/>
        <v/>
      </c>
      <c r="J1032" s="26" t="str">
        <f t="shared" ca="1" si="179"/>
        <v/>
      </c>
    </row>
    <row r="1033" spans="1:10" x14ac:dyDescent="0.25">
      <c r="A1033" t="s">
        <v>310</v>
      </c>
      <c r="B1033" t="str">
        <f>ADDRESS(ROW('Bond 1'!$C$23),COLUMN('Bond 1'!$C$23),4)</f>
        <v>C23</v>
      </c>
      <c r="C1033" t="str">
        <f>ADDRESS(ROW('Bond 1'!$D$23),COLUMN('Bond 1'!$D$23),4)</f>
        <v>D23</v>
      </c>
      <c r="D1033" t="b" cm="1">
        <f t="array" aca="1" ref="D1033" ca="1">IF(INDIRECT("'"&amp;A1033&amp;"'!"&amp;B1033)="",FALSE,IF(TRUNC(INDIRECT("'"&amp;A1033&amp;"'!"&amp;B1033))=INDIRECT("'"&amp;A1033&amp;"'!"&amp;B1033),FALSE,TRUE))</f>
        <v>0</v>
      </c>
      <c r="E1033" t="s">
        <v>436</v>
      </c>
      <c r="F1033" t="str">
        <f>INDEX(Lists!I:I,MATCH(Validation!E1033,Lists!G:G,0))</f>
        <v>Error</v>
      </c>
      <c r="G1033" t="str">
        <f>INDEX(Lists!H:H,MATCH(Validation!E1033,Lists!G:G,0))</f>
        <v>Amount must be rounded to the nearest dollar.</v>
      </c>
      <c r="H1033" s="25" t="str">
        <f t="shared" ca="1" si="177"/>
        <v/>
      </c>
      <c r="I1033" s="25" t="str">
        <f t="shared" ca="1" si="178"/>
        <v/>
      </c>
      <c r="J1033" s="26" t="str">
        <f t="shared" ca="1" si="179"/>
        <v/>
      </c>
    </row>
    <row r="1034" spans="1:10" x14ac:dyDescent="0.25">
      <c r="A1034" t="s">
        <v>311</v>
      </c>
      <c r="B1034" t="str">
        <f>ADDRESS(ROW('Bond 1'!$C$23),COLUMN('Bond 1'!$C$23),4)</f>
        <v>C23</v>
      </c>
      <c r="C1034" t="str">
        <f>ADDRESS(ROW('Bond 1'!$D$23),COLUMN('Bond 1'!$D$23),4)</f>
        <v>D23</v>
      </c>
      <c r="D1034" t="b" cm="1">
        <f t="array" aca="1" ref="D1034" ca="1">IF(INDIRECT("'"&amp;A1034&amp;"'!"&amp;B1034)="",FALSE,IF(TRUNC(INDIRECT("'"&amp;A1034&amp;"'!"&amp;B1034))=INDIRECT("'"&amp;A1034&amp;"'!"&amp;B1034),FALSE,TRUE))</f>
        <v>0</v>
      </c>
      <c r="E1034" t="s">
        <v>436</v>
      </c>
      <c r="F1034" t="str">
        <f>INDEX(Lists!I:I,MATCH(Validation!E1034,Lists!G:G,0))</f>
        <v>Error</v>
      </c>
      <c r="G1034" t="str">
        <f>INDEX(Lists!H:H,MATCH(Validation!E1034,Lists!G:G,0))</f>
        <v>Amount must be rounded to the nearest dollar.</v>
      </c>
      <c r="H1034" s="25" t="str">
        <f t="shared" ca="1" si="177"/>
        <v/>
      </c>
      <c r="I1034" s="25" t="str">
        <f t="shared" ca="1" si="178"/>
        <v/>
      </c>
      <c r="J1034" s="26" t="str">
        <f t="shared" ca="1" si="179"/>
        <v/>
      </c>
    </row>
    <row r="1035" spans="1:10" x14ac:dyDescent="0.25">
      <c r="A1035" t="s">
        <v>312</v>
      </c>
      <c r="B1035" t="str">
        <f>ADDRESS(ROW('Bond 1'!$C$23),COLUMN('Bond 1'!$C$23),4)</f>
        <v>C23</v>
      </c>
      <c r="C1035" t="str">
        <f>ADDRESS(ROW('Bond 1'!$D$23),COLUMN('Bond 1'!$D$23),4)</f>
        <v>D23</v>
      </c>
      <c r="D1035" t="b" cm="1">
        <f t="array" aca="1" ref="D1035" ca="1">IF(INDIRECT("'"&amp;A1035&amp;"'!"&amp;B1035)="",FALSE,IF(TRUNC(INDIRECT("'"&amp;A1035&amp;"'!"&amp;B1035))=INDIRECT("'"&amp;A1035&amp;"'!"&amp;B1035),FALSE,TRUE))</f>
        <v>0</v>
      </c>
      <c r="E1035" t="s">
        <v>436</v>
      </c>
      <c r="F1035" t="str">
        <f>INDEX(Lists!I:I,MATCH(Validation!E1035,Lists!G:G,0))</f>
        <v>Error</v>
      </c>
      <c r="G1035" t="str">
        <f>INDEX(Lists!H:H,MATCH(Validation!E1035,Lists!G:G,0))</f>
        <v>Amount must be rounded to the nearest dollar.</v>
      </c>
      <c r="H1035" s="25" t="str">
        <f t="shared" ca="1" si="177"/>
        <v/>
      </c>
      <c r="I1035" s="25" t="str">
        <f t="shared" ca="1" si="178"/>
        <v/>
      </c>
      <c r="J1035" s="26" t="str">
        <f t="shared" ca="1" si="179"/>
        <v/>
      </c>
    </row>
    <row r="1036" spans="1:10" x14ac:dyDescent="0.25">
      <c r="A1036" t="s">
        <v>313</v>
      </c>
      <c r="B1036" t="str">
        <f>ADDRESS(ROW('Bond 1'!$C$23),COLUMN('Bond 1'!$C$23),4)</f>
        <v>C23</v>
      </c>
      <c r="C1036" t="str">
        <f>ADDRESS(ROW('Bond 1'!$D$23),COLUMN('Bond 1'!$D$23),4)</f>
        <v>D23</v>
      </c>
      <c r="D1036" t="b" cm="1">
        <f t="array" aca="1" ref="D1036" ca="1">IF(INDIRECT("'"&amp;A1036&amp;"'!"&amp;B1036)="",FALSE,IF(TRUNC(INDIRECT("'"&amp;A1036&amp;"'!"&amp;B1036))=INDIRECT("'"&amp;A1036&amp;"'!"&amp;B1036),FALSE,TRUE))</f>
        <v>0</v>
      </c>
      <c r="E1036" t="s">
        <v>436</v>
      </c>
      <c r="F1036" t="str">
        <f>INDEX(Lists!I:I,MATCH(Validation!E1036,Lists!G:G,0))</f>
        <v>Error</v>
      </c>
      <c r="G1036" t="str">
        <f>INDEX(Lists!H:H,MATCH(Validation!E1036,Lists!G:G,0))</f>
        <v>Amount must be rounded to the nearest dollar.</v>
      </c>
      <c r="H1036" s="25" t="str">
        <f t="shared" ca="1" si="177"/>
        <v/>
      </c>
      <c r="I1036" s="25" t="str">
        <f t="shared" ca="1" si="178"/>
        <v/>
      </c>
      <c r="J1036" s="26" t="str">
        <f t="shared" ca="1" si="179"/>
        <v/>
      </c>
    </row>
    <row r="1037" spans="1:10" x14ac:dyDescent="0.25">
      <c r="A1037" t="s">
        <v>314</v>
      </c>
      <c r="B1037" t="str">
        <f>ADDRESS(ROW('Bond 1'!$C$23),COLUMN('Bond 1'!$C$23),4)</f>
        <v>C23</v>
      </c>
      <c r="C1037" t="str">
        <f>ADDRESS(ROW('Bond 1'!$D$23),COLUMN('Bond 1'!$D$23),4)</f>
        <v>D23</v>
      </c>
      <c r="D1037" t="b" cm="1">
        <f t="array" aca="1" ref="D1037" ca="1">IF(INDIRECT("'"&amp;A1037&amp;"'!"&amp;B1037)="",FALSE,IF(TRUNC(INDIRECT("'"&amp;A1037&amp;"'!"&amp;B1037))=INDIRECT("'"&amp;A1037&amp;"'!"&amp;B1037),FALSE,TRUE))</f>
        <v>0</v>
      </c>
      <c r="E1037" t="s">
        <v>436</v>
      </c>
      <c r="F1037" t="str">
        <f>INDEX(Lists!I:I,MATCH(Validation!E1037,Lists!G:G,0))</f>
        <v>Error</v>
      </c>
      <c r="G1037" t="str">
        <f>INDEX(Lists!H:H,MATCH(Validation!E1037,Lists!G:G,0))</f>
        <v>Amount must be rounded to the nearest dollar.</v>
      </c>
      <c r="H1037" s="25" t="str">
        <f t="shared" ca="1" si="177"/>
        <v/>
      </c>
      <c r="I1037" s="25" t="str">
        <f t="shared" ca="1" si="178"/>
        <v/>
      </c>
      <c r="J1037" s="26" t="str">
        <f t="shared" ca="1" si="179"/>
        <v/>
      </c>
    </row>
    <row r="1038" spans="1:10" x14ac:dyDescent="0.25">
      <c r="A1038" t="s">
        <v>315</v>
      </c>
      <c r="B1038" t="str">
        <f>ADDRESS(ROW('Bond 1'!$C$23),COLUMN('Bond 1'!$C$23),4)</f>
        <v>C23</v>
      </c>
      <c r="C1038" t="str">
        <f>ADDRESS(ROW('Bond 1'!$D$23),COLUMN('Bond 1'!$D$23),4)</f>
        <v>D23</v>
      </c>
      <c r="D1038" t="b" cm="1">
        <f t="array" aca="1" ref="D1038" ca="1">IF(INDIRECT("'"&amp;A1038&amp;"'!"&amp;B1038)="",FALSE,IF(TRUNC(INDIRECT("'"&amp;A1038&amp;"'!"&amp;B1038))=INDIRECT("'"&amp;A1038&amp;"'!"&amp;B1038),FALSE,TRUE))</f>
        <v>0</v>
      </c>
      <c r="E1038" t="s">
        <v>436</v>
      </c>
      <c r="F1038" t="str">
        <f>INDEX(Lists!I:I,MATCH(Validation!E1038,Lists!G:G,0))</f>
        <v>Error</v>
      </c>
      <c r="G1038" t="str">
        <f>INDEX(Lists!H:H,MATCH(Validation!E1038,Lists!G:G,0))</f>
        <v>Amount must be rounded to the nearest dollar.</v>
      </c>
      <c r="H1038" s="25" t="str">
        <f t="shared" ca="1" si="177"/>
        <v/>
      </c>
      <c r="I1038" s="25" t="str">
        <f t="shared" ca="1" si="178"/>
        <v/>
      </c>
      <c r="J1038" s="26" t="str">
        <f t="shared" ca="1" si="179"/>
        <v/>
      </c>
    </row>
    <row r="1039" spans="1:10" x14ac:dyDescent="0.25">
      <c r="A1039" t="s">
        <v>198</v>
      </c>
      <c r="B1039" t="str">
        <f>ADDRESS(ROW('Bond 1'!$B$24),COLUMN('Bond 1'!$B$24),4)</f>
        <v>B24</v>
      </c>
      <c r="C1039" t="str">
        <f>ADDRESS(ROW('Bond 1'!$D$24),COLUMN('Bond 1'!$D$24),4)</f>
        <v>D24</v>
      </c>
      <c r="D1039" t="b" cm="1">
        <f t="array" aca="1" ref="D1039" ca="1">IF(INDIRECT("'"&amp;A1039&amp;"'!"&amp;B1039)="",FALSE,IF(NOT(ISNUMBER(INDIRECT("'"&amp;A1039&amp;"'!"&amp;B1039))),TRUE,FALSE))</f>
        <v>0</v>
      </c>
      <c r="E1039" t="s">
        <v>435</v>
      </c>
      <c r="F1039" t="str">
        <f>INDEX(Lists!I:I,MATCH(Validation!E1039,Lists!G:G,0))</f>
        <v>Error</v>
      </c>
      <c r="G1039" t="str">
        <f>INDEX(Lists!H:H,MATCH(Validation!E1039,Lists!G:G,0))</f>
        <v>Enter an amount only. Do not enter text or spaces.</v>
      </c>
      <c r="H1039" s="25" t="str">
        <f t="shared" ca="1" si="177"/>
        <v/>
      </c>
      <c r="I1039" s="25" t="str">
        <f t="shared" ca="1" si="178"/>
        <v/>
      </c>
      <c r="J1039" s="26" t="str">
        <f t="shared" ca="1" si="179"/>
        <v/>
      </c>
    </row>
    <row r="1040" spans="1:10" x14ac:dyDescent="0.25">
      <c r="A1040" t="s">
        <v>302</v>
      </c>
      <c r="B1040" t="str">
        <f>ADDRESS(ROW('Bond 1'!$B$24),COLUMN('Bond 1'!$B$24),4)</f>
        <v>B24</v>
      </c>
      <c r="C1040" t="str">
        <f>ADDRESS(ROW('Bond 1'!$D$24),COLUMN('Bond 1'!$D$24),4)</f>
        <v>D24</v>
      </c>
      <c r="D1040" t="b" cm="1">
        <f t="array" aca="1" ref="D1040" ca="1">IF(INDIRECT("'"&amp;A1040&amp;"'!"&amp;B1040)="",FALSE,IF(NOT(ISNUMBER(INDIRECT("'"&amp;A1040&amp;"'!"&amp;B1040))),TRUE,FALSE))</f>
        <v>0</v>
      </c>
      <c r="E1040" t="s">
        <v>435</v>
      </c>
      <c r="F1040" t="str">
        <f>INDEX(Lists!I:I,MATCH(Validation!E1040,Lists!G:G,0))</f>
        <v>Error</v>
      </c>
      <c r="G1040" t="str">
        <f>INDEX(Lists!H:H,MATCH(Validation!E1040,Lists!G:G,0))</f>
        <v>Enter an amount only. Do not enter text or spaces.</v>
      </c>
      <c r="H1040" s="25" t="str">
        <f t="shared" ca="1" si="177"/>
        <v/>
      </c>
      <c r="I1040" s="25" t="str">
        <f t="shared" ca="1" si="178"/>
        <v/>
      </c>
      <c r="J1040" s="26" t="str">
        <f t="shared" ca="1" si="179"/>
        <v/>
      </c>
    </row>
    <row r="1041" spans="1:10" x14ac:dyDescent="0.25">
      <c r="A1041" t="s">
        <v>303</v>
      </c>
      <c r="B1041" t="str">
        <f>ADDRESS(ROW('Bond 1'!$B$24),COLUMN('Bond 1'!$B$24),4)</f>
        <v>B24</v>
      </c>
      <c r="C1041" t="str">
        <f>ADDRESS(ROW('Bond 1'!$D$24),COLUMN('Bond 1'!$D$24),4)</f>
        <v>D24</v>
      </c>
      <c r="D1041" t="b" cm="1">
        <f t="array" aca="1" ref="D1041" ca="1">IF(INDIRECT("'"&amp;A1041&amp;"'!"&amp;B1041)="",FALSE,IF(NOT(ISNUMBER(INDIRECT("'"&amp;A1041&amp;"'!"&amp;B1041))),TRUE,FALSE))</f>
        <v>0</v>
      </c>
      <c r="E1041" t="s">
        <v>435</v>
      </c>
      <c r="F1041" t="str">
        <f>INDEX(Lists!I:I,MATCH(Validation!E1041,Lists!G:G,0))</f>
        <v>Error</v>
      </c>
      <c r="G1041" t="str">
        <f>INDEX(Lists!H:H,MATCH(Validation!E1041,Lists!G:G,0))</f>
        <v>Enter an amount only. Do not enter text or spaces.</v>
      </c>
      <c r="H1041" s="25" t="str">
        <f t="shared" ca="1" si="177"/>
        <v/>
      </c>
      <c r="I1041" s="25" t="str">
        <f t="shared" ca="1" si="178"/>
        <v/>
      </c>
      <c r="J1041" s="26" t="str">
        <f t="shared" ca="1" si="179"/>
        <v/>
      </c>
    </row>
    <row r="1042" spans="1:10" x14ac:dyDescent="0.25">
      <c r="A1042" t="s">
        <v>304</v>
      </c>
      <c r="B1042" t="str">
        <f>ADDRESS(ROW('Bond 1'!$B$24),COLUMN('Bond 1'!$B$24),4)</f>
        <v>B24</v>
      </c>
      <c r="C1042" t="str">
        <f>ADDRESS(ROW('Bond 1'!$D$24),COLUMN('Bond 1'!$D$24),4)</f>
        <v>D24</v>
      </c>
      <c r="D1042" t="b" cm="1">
        <f t="array" aca="1" ref="D1042" ca="1">IF(INDIRECT("'"&amp;A1042&amp;"'!"&amp;B1042)="",FALSE,IF(NOT(ISNUMBER(INDIRECT("'"&amp;A1042&amp;"'!"&amp;B1042))),TRUE,FALSE))</f>
        <v>0</v>
      </c>
      <c r="E1042" t="s">
        <v>435</v>
      </c>
      <c r="F1042" t="str">
        <f>INDEX(Lists!I:I,MATCH(Validation!E1042,Lists!G:G,0))</f>
        <v>Error</v>
      </c>
      <c r="G1042" t="str">
        <f>INDEX(Lists!H:H,MATCH(Validation!E1042,Lists!G:G,0))</f>
        <v>Enter an amount only. Do not enter text or spaces.</v>
      </c>
      <c r="H1042" s="25" t="str">
        <f t="shared" ca="1" si="177"/>
        <v/>
      </c>
      <c r="I1042" s="25" t="str">
        <f t="shared" ca="1" si="178"/>
        <v/>
      </c>
      <c r="J1042" s="26" t="str">
        <f t="shared" ca="1" si="179"/>
        <v/>
      </c>
    </row>
    <row r="1043" spans="1:10" x14ac:dyDescent="0.25">
      <c r="A1043" t="s">
        <v>305</v>
      </c>
      <c r="B1043" t="str">
        <f>ADDRESS(ROW('Bond 1'!$B$24),COLUMN('Bond 1'!$B$24),4)</f>
        <v>B24</v>
      </c>
      <c r="C1043" t="str">
        <f>ADDRESS(ROW('Bond 1'!$D$24),COLUMN('Bond 1'!$D$24),4)</f>
        <v>D24</v>
      </c>
      <c r="D1043" t="b" cm="1">
        <f t="array" aca="1" ref="D1043" ca="1">IF(INDIRECT("'"&amp;A1043&amp;"'!"&amp;B1043)="",FALSE,IF(NOT(ISNUMBER(INDIRECT("'"&amp;A1043&amp;"'!"&amp;B1043))),TRUE,FALSE))</f>
        <v>0</v>
      </c>
      <c r="E1043" t="s">
        <v>435</v>
      </c>
      <c r="F1043" t="str">
        <f>INDEX(Lists!I:I,MATCH(Validation!E1043,Lists!G:G,0))</f>
        <v>Error</v>
      </c>
      <c r="G1043" t="str">
        <f>INDEX(Lists!H:H,MATCH(Validation!E1043,Lists!G:G,0))</f>
        <v>Enter an amount only. Do not enter text or spaces.</v>
      </c>
      <c r="H1043" s="25" t="str">
        <f t="shared" ca="1" si="177"/>
        <v/>
      </c>
      <c r="I1043" s="25" t="str">
        <f t="shared" ca="1" si="178"/>
        <v/>
      </c>
      <c r="J1043" s="26" t="str">
        <f t="shared" ca="1" si="179"/>
        <v/>
      </c>
    </row>
    <row r="1044" spans="1:10" x14ac:dyDescent="0.25">
      <c r="A1044" t="s">
        <v>306</v>
      </c>
      <c r="B1044" t="str">
        <f>ADDRESS(ROW('Bond 1'!$B$24),COLUMN('Bond 1'!$B$24),4)</f>
        <v>B24</v>
      </c>
      <c r="C1044" t="str">
        <f>ADDRESS(ROW('Bond 1'!$D$24),COLUMN('Bond 1'!$D$24),4)</f>
        <v>D24</v>
      </c>
      <c r="D1044" t="b" cm="1">
        <f t="array" aca="1" ref="D1044" ca="1">IF(INDIRECT("'"&amp;A1044&amp;"'!"&amp;B1044)="",FALSE,IF(NOT(ISNUMBER(INDIRECT("'"&amp;A1044&amp;"'!"&amp;B1044))),TRUE,FALSE))</f>
        <v>0</v>
      </c>
      <c r="E1044" t="s">
        <v>435</v>
      </c>
      <c r="F1044" t="str">
        <f>INDEX(Lists!I:I,MATCH(Validation!E1044,Lists!G:G,0))</f>
        <v>Error</v>
      </c>
      <c r="G1044" t="str">
        <f>INDEX(Lists!H:H,MATCH(Validation!E1044,Lists!G:G,0))</f>
        <v>Enter an amount only. Do not enter text or spaces.</v>
      </c>
      <c r="H1044" s="25" t="str">
        <f t="shared" ca="1" si="177"/>
        <v/>
      </c>
      <c r="I1044" s="25" t="str">
        <f t="shared" ca="1" si="178"/>
        <v/>
      </c>
      <c r="J1044" s="26" t="str">
        <f t="shared" ca="1" si="179"/>
        <v/>
      </c>
    </row>
    <row r="1045" spans="1:10" x14ac:dyDescent="0.25">
      <c r="A1045" t="s">
        <v>307</v>
      </c>
      <c r="B1045" t="str">
        <f>ADDRESS(ROW('Bond 1'!$B$24),COLUMN('Bond 1'!$B$24),4)</f>
        <v>B24</v>
      </c>
      <c r="C1045" t="str">
        <f>ADDRESS(ROW('Bond 1'!$D$24),COLUMN('Bond 1'!$D$24),4)</f>
        <v>D24</v>
      </c>
      <c r="D1045" t="b" cm="1">
        <f t="array" aca="1" ref="D1045" ca="1">IF(INDIRECT("'"&amp;A1045&amp;"'!"&amp;B1045)="",FALSE,IF(NOT(ISNUMBER(INDIRECT("'"&amp;A1045&amp;"'!"&amp;B1045))),TRUE,FALSE))</f>
        <v>0</v>
      </c>
      <c r="E1045" t="s">
        <v>435</v>
      </c>
      <c r="F1045" t="str">
        <f>INDEX(Lists!I:I,MATCH(Validation!E1045,Lists!G:G,0))</f>
        <v>Error</v>
      </c>
      <c r="G1045" t="str">
        <f>INDEX(Lists!H:H,MATCH(Validation!E1045,Lists!G:G,0))</f>
        <v>Enter an amount only. Do not enter text or spaces.</v>
      </c>
      <c r="H1045" s="25" t="str">
        <f t="shared" ca="1" si="177"/>
        <v/>
      </c>
      <c r="I1045" s="25" t="str">
        <f t="shared" ca="1" si="178"/>
        <v/>
      </c>
      <c r="J1045" s="26" t="str">
        <f t="shared" ca="1" si="179"/>
        <v/>
      </c>
    </row>
    <row r="1046" spans="1:10" x14ac:dyDescent="0.25">
      <c r="A1046" t="s">
        <v>308</v>
      </c>
      <c r="B1046" t="str">
        <f>ADDRESS(ROW('Bond 1'!$B$24),COLUMN('Bond 1'!$B$24),4)</f>
        <v>B24</v>
      </c>
      <c r="C1046" t="str">
        <f>ADDRESS(ROW('Bond 1'!$D$24),COLUMN('Bond 1'!$D$24),4)</f>
        <v>D24</v>
      </c>
      <c r="D1046" t="b" cm="1">
        <f t="array" aca="1" ref="D1046" ca="1">IF(INDIRECT("'"&amp;A1046&amp;"'!"&amp;B1046)="",FALSE,IF(NOT(ISNUMBER(INDIRECT("'"&amp;A1046&amp;"'!"&amp;B1046))),TRUE,FALSE))</f>
        <v>0</v>
      </c>
      <c r="E1046" t="s">
        <v>435</v>
      </c>
      <c r="F1046" t="str">
        <f>INDEX(Lists!I:I,MATCH(Validation!E1046,Lists!G:G,0))</f>
        <v>Error</v>
      </c>
      <c r="G1046" t="str">
        <f>INDEX(Lists!H:H,MATCH(Validation!E1046,Lists!G:G,0))</f>
        <v>Enter an amount only. Do not enter text or spaces.</v>
      </c>
      <c r="H1046" s="25" t="str">
        <f t="shared" ca="1" si="177"/>
        <v/>
      </c>
      <c r="I1046" s="25" t="str">
        <f t="shared" ca="1" si="178"/>
        <v/>
      </c>
      <c r="J1046" s="26" t="str">
        <f t="shared" ca="1" si="179"/>
        <v/>
      </c>
    </row>
    <row r="1047" spans="1:10" x14ac:dyDescent="0.25">
      <c r="A1047" t="s">
        <v>309</v>
      </c>
      <c r="B1047" t="str">
        <f>ADDRESS(ROW('Bond 1'!$B$24),COLUMN('Bond 1'!$B$24),4)</f>
        <v>B24</v>
      </c>
      <c r="C1047" t="str">
        <f>ADDRESS(ROW('Bond 1'!$D$24),COLUMN('Bond 1'!$D$24),4)</f>
        <v>D24</v>
      </c>
      <c r="D1047" t="b" cm="1">
        <f t="array" aca="1" ref="D1047" ca="1">IF(INDIRECT("'"&amp;A1047&amp;"'!"&amp;B1047)="",FALSE,IF(NOT(ISNUMBER(INDIRECT("'"&amp;A1047&amp;"'!"&amp;B1047))),TRUE,FALSE))</f>
        <v>0</v>
      </c>
      <c r="E1047" t="s">
        <v>435</v>
      </c>
      <c r="F1047" t="str">
        <f>INDEX(Lists!I:I,MATCH(Validation!E1047,Lists!G:G,0))</f>
        <v>Error</v>
      </c>
      <c r="G1047" t="str">
        <f>INDEX(Lists!H:H,MATCH(Validation!E1047,Lists!G:G,0))</f>
        <v>Enter an amount only. Do not enter text or spaces.</v>
      </c>
      <c r="H1047" s="25" t="str">
        <f t="shared" ca="1" si="177"/>
        <v/>
      </c>
      <c r="I1047" s="25" t="str">
        <f t="shared" ca="1" si="178"/>
        <v/>
      </c>
      <c r="J1047" s="26" t="str">
        <f t="shared" ca="1" si="179"/>
        <v/>
      </c>
    </row>
    <row r="1048" spans="1:10" x14ac:dyDescent="0.25">
      <c r="A1048" t="s">
        <v>310</v>
      </c>
      <c r="B1048" t="str">
        <f>ADDRESS(ROW('Bond 1'!$B$24),COLUMN('Bond 1'!$B$24),4)</f>
        <v>B24</v>
      </c>
      <c r="C1048" t="str">
        <f>ADDRESS(ROW('Bond 1'!$D$24),COLUMN('Bond 1'!$D$24),4)</f>
        <v>D24</v>
      </c>
      <c r="D1048" t="b" cm="1">
        <f t="array" aca="1" ref="D1048" ca="1">IF(INDIRECT("'"&amp;A1048&amp;"'!"&amp;B1048)="",FALSE,IF(NOT(ISNUMBER(INDIRECT("'"&amp;A1048&amp;"'!"&amp;B1048))),TRUE,FALSE))</f>
        <v>0</v>
      </c>
      <c r="E1048" t="s">
        <v>435</v>
      </c>
      <c r="F1048" t="str">
        <f>INDEX(Lists!I:I,MATCH(Validation!E1048,Lists!G:G,0))</f>
        <v>Error</v>
      </c>
      <c r="G1048" t="str">
        <f>INDEX(Lists!H:H,MATCH(Validation!E1048,Lists!G:G,0))</f>
        <v>Enter an amount only. Do not enter text or spaces.</v>
      </c>
      <c r="H1048" s="25" t="str">
        <f t="shared" ca="1" si="177"/>
        <v/>
      </c>
      <c r="I1048" s="25" t="str">
        <f t="shared" ca="1" si="178"/>
        <v/>
      </c>
      <c r="J1048" s="26" t="str">
        <f t="shared" ca="1" si="179"/>
        <v/>
      </c>
    </row>
    <row r="1049" spans="1:10" x14ac:dyDescent="0.25">
      <c r="A1049" t="s">
        <v>311</v>
      </c>
      <c r="B1049" t="str">
        <f>ADDRESS(ROW('Bond 1'!$B$24),COLUMN('Bond 1'!$B$24),4)</f>
        <v>B24</v>
      </c>
      <c r="C1049" t="str">
        <f>ADDRESS(ROW('Bond 1'!$D$24),COLUMN('Bond 1'!$D$24),4)</f>
        <v>D24</v>
      </c>
      <c r="D1049" t="b" cm="1">
        <f t="array" aca="1" ref="D1049" ca="1">IF(INDIRECT("'"&amp;A1049&amp;"'!"&amp;B1049)="",FALSE,IF(NOT(ISNUMBER(INDIRECT("'"&amp;A1049&amp;"'!"&amp;B1049))),TRUE,FALSE))</f>
        <v>0</v>
      </c>
      <c r="E1049" t="s">
        <v>435</v>
      </c>
      <c r="F1049" t="str">
        <f>INDEX(Lists!I:I,MATCH(Validation!E1049,Lists!G:G,0))</f>
        <v>Error</v>
      </c>
      <c r="G1049" t="str">
        <f>INDEX(Lists!H:H,MATCH(Validation!E1049,Lists!G:G,0))</f>
        <v>Enter an amount only. Do not enter text or spaces.</v>
      </c>
      <c r="H1049" s="25" t="str">
        <f t="shared" ca="1" si="177"/>
        <v/>
      </c>
      <c r="I1049" s="25" t="str">
        <f t="shared" ca="1" si="178"/>
        <v/>
      </c>
      <c r="J1049" s="26" t="str">
        <f t="shared" ca="1" si="179"/>
        <v/>
      </c>
    </row>
    <row r="1050" spans="1:10" x14ac:dyDescent="0.25">
      <c r="A1050" t="s">
        <v>312</v>
      </c>
      <c r="B1050" t="str">
        <f>ADDRESS(ROW('Bond 1'!$B$24),COLUMN('Bond 1'!$B$24),4)</f>
        <v>B24</v>
      </c>
      <c r="C1050" t="str">
        <f>ADDRESS(ROW('Bond 1'!$D$24),COLUMN('Bond 1'!$D$24),4)</f>
        <v>D24</v>
      </c>
      <c r="D1050" t="b" cm="1">
        <f t="array" aca="1" ref="D1050" ca="1">IF(INDIRECT("'"&amp;A1050&amp;"'!"&amp;B1050)="",FALSE,IF(NOT(ISNUMBER(INDIRECT("'"&amp;A1050&amp;"'!"&amp;B1050))),TRUE,FALSE))</f>
        <v>0</v>
      </c>
      <c r="E1050" t="s">
        <v>435</v>
      </c>
      <c r="F1050" t="str">
        <f>INDEX(Lists!I:I,MATCH(Validation!E1050,Lists!G:G,0))</f>
        <v>Error</v>
      </c>
      <c r="G1050" t="str">
        <f>INDEX(Lists!H:H,MATCH(Validation!E1050,Lists!G:G,0))</f>
        <v>Enter an amount only. Do not enter text or spaces.</v>
      </c>
      <c r="H1050" s="25" t="str">
        <f t="shared" ca="1" si="177"/>
        <v/>
      </c>
      <c r="I1050" s="25" t="str">
        <f t="shared" ca="1" si="178"/>
        <v/>
      </c>
      <c r="J1050" s="26" t="str">
        <f t="shared" ca="1" si="179"/>
        <v/>
      </c>
    </row>
    <row r="1051" spans="1:10" x14ac:dyDescent="0.25">
      <c r="A1051" t="s">
        <v>313</v>
      </c>
      <c r="B1051" t="str">
        <f>ADDRESS(ROW('Bond 1'!$B$24),COLUMN('Bond 1'!$B$24),4)</f>
        <v>B24</v>
      </c>
      <c r="C1051" t="str">
        <f>ADDRESS(ROW('Bond 1'!$D$24),COLUMN('Bond 1'!$D$24),4)</f>
        <v>D24</v>
      </c>
      <c r="D1051" t="b" cm="1">
        <f t="array" aca="1" ref="D1051" ca="1">IF(INDIRECT("'"&amp;A1051&amp;"'!"&amp;B1051)="",FALSE,IF(NOT(ISNUMBER(INDIRECT("'"&amp;A1051&amp;"'!"&amp;B1051))),TRUE,FALSE))</f>
        <v>0</v>
      </c>
      <c r="E1051" t="s">
        <v>435</v>
      </c>
      <c r="F1051" t="str">
        <f>INDEX(Lists!I:I,MATCH(Validation!E1051,Lists!G:G,0))</f>
        <v>Error</v>
      </c>
      <c r="G1051" t="str">
        <f>INDEX(Lists!H:H,MATCH(Validation!E1051,Lists!G:G,0))</f>
        <v>Enter an amount only. Do not enter text or spaces.</v>
      </c>
      <c r="H1051" s="25" t="str">
        <f t="shared" ca="1" si="177"/>
        <v/>
      </c>
      <c r="I1051" s="25" t="str">
        <f t="shared" ca="1" si="178"/>
        <v/>
      </c>
      <c r="J1051" s="26" t="str">
        <f t="shared" ca="1" si="179"/>
        <v/>
      </c>
    </row>
    <row r="1052" spans="1:10" x14ac:dyDescent="0.25">
      <c r="A1052" t="s">
        <v>314</v>
      </c>
      <c r="B1052" t="str">
        <f>ADDRESS(ROW('Bond 1'!$B$24),COLUMN('Bond 1'!$B$24),4)</f>
        <v>B24</v>
      </c>
      <c r="C1052" t="str">
        <f>ADDRESS(ROW('Bond 1'!$D$24),COLUMN('Bond 1'!$D$24),4)</f>
        <v>D24</v>
      </c>
      <c r="D1052" t="b" cm="1">
        <f t="array" aca="1" ref="D1052" ca="1">IF(INDIRECT("'"&amp;A1052&amp;"'!"&amp;B1052)="",FALSE,IF(NOT(ISNUMBER(INDIRECT("'"&amp;A1052&amp;"'!"&amp;B1052))),TRUE,FALSE))</f>
        <v>0</v>
      </c>
      <c r="E1052" t="s">
        <v>435</v>
      </c>
      <c r="F1052" t="str">
        <f>INDEX(Lists!I:I,MATCH(Validation!E1052,Lists!G:G,0))</f>
        <v>Error</v>
      </c>
      <c r="G1052" t="str">
        <f>INDEX(Lists!H:H,MATCH(Validation!E1052,Lists!G:G,0))</f>
        <v>Enter an amount only. Do not enter text or spaces.</v>
      </c>
      <c r="H1052" s="25" t="str">
        <f t="shared" ca="1" si="177"/>
        <v/>
      </c>
      <c r="I1052" s="25" t="str">
        <f t="shared" ca="1" si="178"/>
        <v/>
      </c>
      <c r="J1052" s="26" t="str">
        <f t="shared" ca="1" si="179"/>
        <v/>
      </c>
    </row>
    <row r="1053" spans="1:10" x14ac:dyDescent="0.25">
      <c r="A1053" t="s">
        <v>315</v>
      </c>
      <c r="B1053" t="str">
        <f>ADDRESS(ROW('Bond 1'!$B$24),COLUMN('Bond 1'!$B$24),4)</f>
        <v>B24</v>
      </c>
      <c r="C1053" t="str">
        <f>ADDRESS(ROW('Bond 1'!$D$24),COLUMN('Bond 1'!$D$24),4)</f>
        <v>D24</v>
      </c>
      <c r="D1053" t="b" cm="1">
        <f t="array" aca="1" ref="D1053" ca="1">IF(INDIRECT("'"&amp;A1053&amp;"'!"&amp;B1053)="",FALSE,IF(NOT(ISNUMBER(INDIRECT("'"&amp;A1053&amp;"'!"&amp;B1053))),TRUE,FALSE))</f>
        <v>0</v>
      </c>
      <c r="E1053" t="s">
        <v>435</v>
      </c>
      <c r="F1053" t="str">
        <f>INDEX(Lists!I:I,MATCH(Validation!E1053,Lists!G:G,0))</f>
        <v>Error</v>
      </c>
      <c r="G1053" t="str">
        <f>INDEX(Lists!H:H,MATCH(Validation!E1053,Lists!G:G,0))</f>
        <v>Enter an amount only. Do not enter text or spaces.</v>
      </c>
      <c r="H1053" s="25" t="str">
        <f t="shared" ca="1" si="177"/>
        <v/>
      </c>
      <c r="I1053" s="25" t="str">
        <f t="shared" ca="1" si="178"/>
        <v/>
      </c>
      <c r="J1053" s="26" t="str">
        <f t="shared" ca="1" si="179"/>
        <v/>
      </c>
    </row>
    <row r="1054" spans="1:10" x14ac:dyDescent="0.25">
      <c r="A1054" t="s">
        <v>198</v>
      </c>
      <c r="B1054" t="str">
        <f>ADDRESS(ROW('Bond 1'!$B$24),COLUMN('Bond 1'!$B$24),4)</f>
        <v>B24</v>
      </c>
      <c r="C1054" t="str">
        <f>ADDRESS(ROW('Bond 1'!$D$24),COLUMN('Bond 1'!$D$24),4)</f>
        <v>D24</v>
      </c>
      <c r="D1054" t="b" cm="1">
        <f t="array" aca="1" ref="D1054" ca="1">IF(INDIRECT("'"&amp;A1054&amp;"'!"&amp;B1054)="",FALSE,IF(INDIRECT("'"&amp;A1054&amp;"'!"&amp;B1054)&lt;0,TRUE,FALSE))</f>
        <v>0</v>
      </c>
      <c r="E1054" t="s">
        <v>434</v>
      </c>
      <c r="F1054" t="str">
        <f>INDEX(Lists!I:I,MATCH(Validation!E1054,Lists!G:G,0))</f>
        <v>Error</v>
      </c>
      <c r="G1054" t="str">
        <f>INDEX(Lists!H:H,MATCH(Validation!E1054,Lists!G:G,0))</f>
        <v>Amount may not be negative. Enter an amount greater than or equal to zero.</v>
      </c>
      <c r="H1054" s="25" t="str">
        <f t="shared" ca="1" si="177"/>
        <v/>
      </c>
      <c r="I1054" s="25" t="str">
        <f t="shared" ca="1" si="178"/>
        <v/>
      </c>
      <c r="J1054" s="26" t="str">
        <f t="shared" ca="1" si="179"/>
        <v/>
      </c>
    </row>
    <row r="1055" spans="1:10" x14ac:dyDescent="0.25">
      <c r="A1055" t="s">
        <v>302</v>
      </c>
      <c r="B1055" t="str">
        <f>ADDRESS(ROW('Bond 1'!$B$24),COLUMN('Bond 1'!$B$24),4)</f>
        <v>B24</v>
      </c>
      <c r="C1055" t="str">
        <f>ADDRESS(ROW('Bond 1'!$D$24),COLUMN('Bond 1'!$D$24),4)</f>
        <v>D24</v>
      </c>
      <c r="D1055" t="b" cm="1">
        <f t="array" aca="1" ref="D1055" ca="1">IF(INDIRECT("'"&amp;A1055&amp;"'!"&amp;B1055)="",FALSE,IF(INDIRECT("'"&amp;A1055&amp;"'!"&amp;B1055)&lt;0,TRUE,FALSE))</f>
        <v>0</v>
      </c>
      <c r="E1055" t="s">
        <v>434</v>
      </c>
      <c r="F1055" t="str">
        <f>INDEX(Lists!I:I,MATCH(Validation!E1055,Lists!G:G,0))</f>
        <v>Error</v>
      </c>
      <c r="G1055" t="str">
        <f>INDEX(Lists!H:H,MATCH(Validation!E1055,Lists!G:G,0))</f>
        <v>Amount may not be negative. Enter an amount greater than or equal to zero.</v>
      </c>
      <c r="H1055" s="25" t="str">
        <f t="shared" ca="1" si="177"/>
        <v/>
      </c>
      <c r="I1055" s="25" t="str">
        <f t="shared" ca="1" si="178"/>
        <v/>
      </c>
      <c r="J1055" s="26" t="str">
        <f t="shared" ca="1" si="179"/>
        <v/>
      </c>
    </row>
    <row r="1056" spans="1:10" x14ac:dyDescent="0.25">
      <c r="A1056" t="s">
        <v>303</v>
      </c>
      <c r="B1056" t="str">
        <f>ADDRESS(ROW('Bond 1'!$B$24),COLUMN('Bond 1'!$B$24),4)</f>
        <v>B24</v>
      </c>
      <c r="C1056" t="str">
        <f>ADDRESS(ROW('Bond 1'!$D$24),COLUMN('Bond 1'!$D$24),4)</f>
        <v>D24</v>
      </c>
      <c r="D1056" t="b" cm="1">
        <f t="array" aca="1" ref="D1056" ca="1">IF(INDIRECT("'"&amp;A1056&amp;"'!"&amp;B1056)="",FALSE,IF(INDIRECT("'"&amp;A1056&amp;"'!"&amp;B1056)&lt;0,TRUE,FALSE))</f>
        <v>0</v>
      </c>
      <c r="E1056" t="s">
        <v>434</v>
      </c>
      <c r="F1056" t="str">
        <f>INDEX(Lists!I:I,MATCH(Validation!E1056,Lists!G:G,0))</f>
        <v>Error</v>
      </c>
      <c r="G1056" t="str">
        <f>INDEX(Lists!H:H,MATCH(Validation!E1056,Lists!G:G,0))</f>
        <v>Amount may not be negative. Enter an amount greater than or equal to zero.</v>
      </c>
      <c r="H1056" s="25" t="str">
        <f t="shared" ca="1" si="177"/>
        <v/>
      </c>
      <c r="I1056" s="25" t="str">
        <f t="shared" ca="1" si="178"/>
        <v/>
      </c>
      <c r="J1056" s="26" t="str">
        <f t="shared" ca="1" si="179"/>
        <v/>
      </c>
    </row>
    <row r="1057" spans="1:10" x14ac:dyDescent="0.25">
      <c r="A1057" t="s">
        <v>304</v>
      </c>
      <c r="B1057" t="str">
        <f>ADDRESS(ROW('Bond 1'!$B$24),COLUMN('Bond 1'!$B$24),4)</f>
        <v>B24</v>
      </c>
      <c r="C1057" t="str">
        <f>ADDRESS(ROW('Bond 1'!$D$24),COLUMN('Bond 1'!$D$24),4)</f>
        <v>D24</v>
      </c>
      <c r="D1057" t="b" cm="1">
        <f t="array" aca="1" ref="D1057" ca="1">IF(INDIRECT("'"&amp;A1057&amp;"'!"&amp;B1057)="",FALSE,IF(INDIRECT("'"&amp;A1057&amp;"'!"&amp;B1057)&lt;0,TRUE,FALSE))</f>
        <v>0</v>
      </c>
      <c r="E1057" t="s">
        <v>434</v>
      </c>
      <c r="F1057" t="str">
        <f>INDEX(Lists!I:I,MATCH(Validation!E1057,Lists!G:G,0))</f>
        <v>Error</v>
      </c>
      <c r="G1057" t="str">
        <f>INDEX(Lists!H:H,MATCH(Validation!E1057,Lists!G:G,0))</f>
        <v>Amount may not be negative. Enter an amount greater than or equal to zero.</v>
      </c>
      <c r="H1057" s="25" t="str">
        <f t="shared" ca="1" si="177"/>
        <v/>
      </c>
      <c r="I1057" s="25" t="str">
        <f t="shared" ca="1" si="178"/>
        <v/>
      </c>
      <c r="J1057" s="26" t="str">
        <f t="shared" ca="1" si="179"/>
        <v/>
      </c>
    </row>
    <row r="1058" spans="1:10" x14ac:dyDescent="0.25">
      <c r="A1058" t="s">
        <v>305</v>
      </c>
      <c r="B1058" t="str">
        <f>ADDRESS(ROW('Bond 1'!$B$24),COLUMN('Bond 1'!$B$24),4)</f>
        <v>B24</v>
      </c>
      <c r="C1058" t="str">
        <f>ADDRESS(ROW('Bond 1'!$D$24),COLUMN('Bond 1'!$D$24),4)</f>
        <v>D24</v>
      </c>
      <c r="D1058" t="b" cm="1">
        <f t="array" aca="1" ref="D1058" ca="1">IF(INDIRECT("'"&amp;A1058&amp;"'!"&amp;B1058)="",FALSE,IF(INDIRECT("'"&amp;A1058&amp;"'!"&amp;B1058)&lt;0,TRUE,FALSE))</f>
        <v>0</v>
      </c>
      <c r="E1058" t="s">
        <v>434</v>
      </c>
      <c r="F1058" t="str">
        <f>INDEX(Lists!I:I,MATCH(Validation!E1058,Lists!G:G,0))</f>
        <v>Error</v>
      </c>
      <c r="G1058" t="str">
        <f>INDEX(Lists!H:H,MATCH(Validation!E1058,Lists!G:G,0))</f>
        <v>Amount may not be negative. Enter an amount greater than or equal to zero.</v>
      </c>
      <c r="H1058" s="25" t="str">
        <f t="shared" ca="1" si="177"/>
        <v/>
      </c>
      <c r="I1058" s="25" t="str">
        <f t="shared" ca="1" si="178"/>
        <v/>
      </c>
      <c r="J1058" s="26" t="str">
        <f t="shared" ca="1" si="179"/>
        <v/>
      </c>
    </row>
    <row r="1059" spans="1:10" x14ac:dyDescent="0.25">
      <c r="A1059" t="s">
        <v>306</v>
      </c>
      <c r="B1059" t="str">
        <f>ADDRESS(ROW('Bond 1'!$B$24),COLUMN('Bond 1'!$B$24),4)</f>
        <v>B24</v>
      </c>
      <c r="C1059" t="str">
        <f>ADDRESS(ROW('Bond 1'!$D$24),COLUMN('Bond 1'!$D$24),4)</f>
        <v>D24</v>
      </c>
      <c r="D1059" t="b" cm="1">
        <f t="array" aca="1" ref="D1059" ca="1">IF(INDIRECT("'"&amp;A1059&amp;"'!"&amp;B1059)="",FALSE,IF(INDIRECT("'"&amp;A1059&amp;"'!"&amp;B1059)&lt;0,TRUE,FALSE))</f>
        <v>0</v>
      </c>
      <c r="E1059" t="s">
        <v>434</v>
      </c>
      <c r="F1059" t="str">
        <f>INDEX(Lists!I:I,MATCH(Validation!E1059,Lists!G:G,0))</f>
        <v>Error</v>
      </c>
      <c r="G1059" t="str">
        <f>INDEX(Lists!H:H,MATCH(Validation!E1059,Lists!G:G,0))</f>
        <v>Amount may not be negative. Enter an amount greater than or equal to zero.</v>
      </c>
      <c r="H1059" s="25" t="str">
        <f t="shared" ca="1" si="177"/>
        <v/>
      </c>
      <c r="I1059" s="25" t="str">
        <f t="shared" ca="1" si="178"/>
        <v/>
      </c>
      <c r="J1059" s="26" t="str">
        <f t="shared" ca="1" si="179"/>
        <v/>
      </c>
    </row>
    <row r="1060" spans="1:10" x14ac:dyDescent="0.25">
      <c r="A1060" t="s">
        <v>307</v>
      </c>
      <c r="B1060" t="str">
        <f>ADDRESS(ROW('Bond 1'!$B$24),COLUMN('Bond 1'!$B$24),4)</f>
        <v>B24</v>
      </c>
      <c r="C1060" t="str">
        <f>ADDRESS(ROW('Bond 1'!$D$24),COLUMN('Bond 1'!$D$24),4)</f>
        <v>D24</v>
      </c>
      <c r="D1060" t="b" cm="1">
        <f t="array" aca="1" ref="D1060" ca="1">IF(INDIRECT("'"&amp;A1060&amp;"'!"&amp;B1060)="",FALSE,IF(INDIRECT("'"&amp;A1060&amp;"'!"&amp;B1060)&lt;0,TRUE,FALSE))</f>
        <v>0</v>
      </c>
      <c r="E1060" t="s">
        <v>434</v>
      </c>
      <c r="F1060" t="str">
        <f>INDEX(Lists!I:I,MATCH(Validation!E1060,Lists!G:G,0))</f>
        <v>Error</v>
      </c>
      <c r="G1060" t="str">
        <f>INDEX(Lists!H:H,MATCH(Validation!E1060,Lists!G:G,0))</f>
        <v>Amount may not be negative. Enter an amount greater than or equal to zero.</v>
      </c>
      <c r="H1060" s="25" t="str">
        <f t="shared" ca="1" si="177"/>
        <v/>
      </c>
      <c r="I1060" s="25" t="str">
        <f t="shared" ca="1" si="178"/>
        <v/>
      </c>
      <c r="J1060" s="26" t="str">
        <f t="shared" ca="1" si="179"/>
        <v/>
      </c>
    </row>
    <row r="1061" spans="1:10" x14ac:dyDescent="0.25">
      <c r="A1061" t="s">
        <v>308</v>
      </c>
      <c r="B1061" t="str">
        <f>ADDRESS(ROW('Bond 1'!$B$24),COLUMN('Bond 1'!$B$24),4)</f>
        <v>B24</v>
      </c>
      <c r="C1061" t="str">
        <f>ADDRESS(ROW('Bond 1'!$D$24),COLUMN('Bond 1'!$D$24),4)</f>
        <v>D24</v>
      </c>
      <c r="D1061" t="b" cm="1">
        <f t="array" aca="1" ref="D1061" ca="1">IF(INDIRECT("'"&amp;A1061&amp;"'!"&amp;B1061)="",FALSE,IF(INDIRECT("'"&amp;A1061&amp;"'!"&amp;B1061)&lt;0,TRUE,FALSE))</f>
        <v>0</v>
      </c>
      <c r="E1061" t="s">
        <v>434</v>
      </c>
      <c r="F1061" t="str">
        <f>INDEX(Lists!I:I,MATCH(Validation!E1061,Lists!G:G,0))</f>
        <v>Error</v>
      </c>
      <c r="G1061" t="str">
        <f>INDEX(Lists!H:H,MATCH(Validation!E1061,Lists!G:G,0))</f>
        <v>Amount may not be negative. Enter an amount greater than or equal to zero.</v>
      </c>
      <c r="H1061" s="25" t="str">
        <f t="shared" ca="1" si="177"/>
        <v/>
      </c>
      <c r="I1061" s="25" t="str">
        <f t="shared" ca="1" si="178"/>
        <v/>
      </c>
      <c r="J1061" s="26" t="str">
        <f t="shared" ca="1" si="179"/>
        <v/>
      </c>
    </row>
    <row r="1062" spans="1:10" x14ac:dyDescent="0.25">
      <c r="A1062" t="s">
        <v>309</v>
      </c>
      <c r="B1062" t="str">
        <f>ADDRESS(ROW('Bond 1'!$B$24),COLUMN('Bond 1'!$B$24),4)</f>
        <v>B24</v>
      </c>
      <c r="C1062" t="str">
        <f>ADDRESS(ROW('Bond 1'!$D$24),COLUMN('Bond 1'!$D$24),4)</f>
        <v>D24</v>
      </c>
      <c r="D1062" t="b" cm="1">
        <f t="array" aca="1" ref="D1062" ca="1">IF(INDIRECT("'"&amp;A1062&amp;"'!"&amp;B1062)="",FALSE,IF(INDIRECT("'"&amp;A1062&amp;"'!"&amp;B1062)&lt;0,TRUE,FALSE))</f>
        <v>0</v>
      </c>
      <c r="E1062" t="s">
        <v>434</v>
      </c>
      <c r="F1062" t="str">
        <f>INDEX(Lists!I:I,MATCH(Validation!E1062,Lists!G:G,0))</f>
        <v>Error</v>
      </c>
      <c r="G1062" t="str">
        <f>INDEX(Lists!H:H,MATCH(Validation!E1062,Lists!G:G,0))</f>
        <v>Amount may not be negative. Enter an amount greater than or equal to zero.</v>
      </c>
      <c r="H1062" s="25" t="str">
        <f t="shared" ca="1" si="177"/>
        <v/>
      </c>
      <c r="I1062" s="25" t="str">
        <f t="shared" ca="1" si="178"/>
        <v/>
      </c>
      <c r="J1062" s="26" t="str">
        <f t="shared" ca="1" si="179"/>
        <v/>
      </c>
    </row>
    <row r="1063" spans="1:10" x14ac:dyDescent="0.25">
      <c r="A1063" t="s">
        <v>310</v>
      </c>
      <c r="B1063" t="str">
        <f>ADDRESS(ROW('Bond 1'!$B$24),COLUMN('Bond 1'!$B$24),4)</f>
        <v>B24</v>
      </c>
      <c r="C1063" t="str">
        <f>ADDRESS(ROW('Bond 1'!$D$24),COLUMN('Bond 1'!$D$24),4)</f>
        <v>D24</v>
      </c>
      <c r="D1063" t="b" cm="1">
        <f t="array" aca="1" ref="D1063" ca="1">IF(INDIRECT("'"&amp;A1063&amp;"'!"&amp;B1063)="",FALSE,IF(INDIRECT("'"&amp;A1063&amp;"'!"&amp;B1063)&lt;0,TRUE,FALSE))</f>
        <v>0</v>
      </c>
      <c r="E1063" t="s">
        <v>434</v>
      </c>
      <c r="F1063" t="str">
        <f>INDEX(Lists!I:I,MATCH(Validation!E1063,Lists!G:G,0))</f>
        <v>Error</v>
      </c>
      <c r="G1063" t="str">
        <f>INDEX(Lists!H:H,MATCH(Validation!E1063,Lists!G:G,0))</f>
        <v>Amount may not be negative. Enter an amount greater than or equal to zero.</v>
      </c>
      <c r="H1063" s="25" t="str">
        <f t="shared" ca="1" si="177"/>
        <v/>
      </c>
      <c r="I1063" s="25" t="str">
        <f t="shared" ca="1" si="178"/>
        <v/>
      </c>
      <c r="J1063" s="26" t="str">
        <f t="shared" ca="1" si="179"/>
        <v/>
      </c>
    </row>
    <row r="1064" spans="1:10" x14ac:dyDescent="0.25">
      <c r="A1064" t="s">
        <v>311</v>
      </c>
      <c r="B1064" t="str">
        <f>ADDRESS(ROW('Bond 1'!$B$24),COLUMN('Bond 1'!$B$24),4)</f>
        <v>B24</v>
      </c>
      <c r="C1064" t="str">
        <f>ADDRESS(ROW('Bond 1'!$D$24),COLUMN('Bond 1'!$D$24),4)</f>
        <v>D24</v>
      </c>
      <c r="D1064" t="b" cm="1">
        <f t="array" aca="1" ref="D1064" ca="1">IF(INDIRECT("'"&amp;A1064&amp;"'!"&amp;B1064)="",FALSE,IF(INDIRECT("'"&amp;A1064&amp;"'!"&amp;B1064)&lt;0,TRUE,FALSE))</f>
        <v>0</v>
      </c>
      <c r="E1064" t="s">
        <v>434</v>
      </c>
      <c r="F1064" t="str">
        <f>INDEX(Lists!I:I,MATCH(Validation!E1064,Lists!G:G,0))</f>
        <v>Error</v>
      </c>
      <c r="G1064" t="str">
        <f>INDEX(Lists!H:H,MATCH(Validation!E1064,Lists!G:G,0))</f>
        <v>Amount may not be negative. Enter an amount greater than or equal to zero.</v>
      </c>
      <c r="H1064" s="25" t="str">
        <f t="shared" ca="1" si="177"/>
        <v/>
      </c>
      <c r="I1064" s="25" t="str">
        <f t="shared" ca="1" si="178"/>
        <v/>
      </c>
      <c r="J1064" s="26" t="str">
        <f t="shared" ca="1" si="179"/>
        <v/>
      </c>
    </row>
    <row r="1065" spans="1:10" x14ac:dyDescent="0.25">
      <c r="A1065" t="s">
        <v>312</v>
      </c>
      <c r="B1065" t="str">
        <f>ADDRESS(ROW('Bond 1'!$B$24),COLUMN('Bond 1'!$B$24),4)</f>
        <v>B24</v>
      </c>
      <c r="C1065" t="str">
        <f>ADDRESS(ROW('Bond 1'!$D$24),COLUMN('Bond 1'!$D$24),4)</f>
        <v>D24</v>
      </c>
      <c r="D1065" t="b" cm="1">
        <f t="array" aca="1" ref="D1065" ca="1">IF(INDIRECT("'"&amp;A1065&amp;"'!"&amp;B1065)="",FALSE,IF(INDIRECT("'"&amp;A1065&amp;"'!"&amp;B1065)&lt;0,TRUE,FALSE))</f>
        <v>0</v>
      </c>
      <c r="E1065" t="s">
        <v>434</v>
      </c>
      <c r="F1065" t="str">
        <f>INDEX(Lists!I:I,MATCH(Validation!E1065,Lists!G:G,0))</f>
        <v>Error</v>
      </c>
      <c r="G1065" t="str">
        <f>INDEX(Lists!H:H,MATCH(Validation!E1065,Lists!G:G,0))</f>
        <v>Amount may not be negative. Enter an amount greater than or equal to zero.</v>
      </c>
      <c r="H1065" s="25" t="str">
        <f t="shared" ca="1" si="177"/>
        <v/>
      </c>
      <c r="I1065" s="25" t="str">
        <f t="shared" ca="1" si="178"/>
        <v/>
      </c>
      <c r="J1065" s="26" t="str">
        <f t="shared" ca="1" si="179"/>
        <v/>
      </c>
    </row>
    <row r="1066" spans="1:10" x14ac:dyDescent="0.25">
      <c r="A1066" t="s">
        <v>313</v>
      </c>
      <c r="B1066" t="str">
        <f>ADDRESS(ROW('Bond 1'!$B$24),COLUMN('Bond 1'!$B$24),4)</f>
        <v>B24</v>
      </c>
      <c r="C1066" t="str">
        <f>ADDRESS(ROW('Bond 1'!$D$24),COLUMN('Bond 1'!$D$24),4)</f>
        <v>D24</v>
      </c>
      <c r="D1066" t="b" cm="1">
        <f t="array" aca="1" ref="D1066" ca="1">IF(INDIRECT("'"&amp;A1066&amp;"'!"&amp;B1066)="",FALSE,IF(INDIRECT("'"&amp;A1066&amp;"'!"&amp;B1066)&lt;0,TRUE,FALSE))</f>
        <v>0</v>
      </c>
      <c r="E1066" t="s">
        <v>434</v>
      </c>
      <c r="F1066" t="str">
        <f>INDEX(Lists!I:I,MATCH(Validation!E1066,Lists!G:G,0))</f>
        <v>Error</v>
      </c>
      <c r="G1066" t="str">
        <f>INDEX(Lists!H:H,MATCH(Validation!E1066,Lists!G:G,0))</f>
        <v>Amount may not be negative. Enter an amount greater than or equal to zero.</v>
      </c>
      <c r="H1066" s="25" t="str">
        <f t="shared" ca="1" si="177"/>
        <v/>
      </c>
      <c r="I1066" s="25" t="str">
        <f t="shared" ca="1" si="178"/>
        <v/>
      </c>
      <c r="J1066" s="26" t="str">
        <f t="shared" ca="1" si="179"/>
        <v/>
      </c>
    </row>
    <row r="1067" spans="1:10" x14ac:dyDescent="0.25">
      <c r="A1067" t="s">
        <v>314</v>
      </c>
      <c r="B1067" t="str">
        <f>ADDRESS(ROW('Bond 1'!$B$24),COLUMN('Bond 1'!$B$24),4)</f>
        <v>B24</v>
      </c>
      <c r="C1067" t="str">
        <f>ADDRESS(ROW('Bond 1'!$D$24),COLUMN('Bond 1'!$D$24),4)</f>
        <v>D24</v>
      </c>
      <c r="D1067" t="b" cm="1">
        <f t="array" aca="1" ref="D1067" ca="1">IF(INDIRECT("'"&amp;A1067&amp;"'!"&amp;B1067)="",FALSE,IF(INDIRECT("'"&amp;A1067&amp;"'!"&amp;B1067)&lt;0,TRUE,FALSE))</f>
        <v>0</v>
      </c>
      <c r="E1067" t="s">
        <v>434</v>
      </c>
      <c r="F1067" t="str">
        <f>INDEX(Lists!I:I,MATCH(Validation!E1067,Lists!G:G,0))</f>
        <v>Error</v>
      </c>
      <c r="G1067" t="str">
        <f>INDEX(Lists!H:H,MATCH(Validation!E1067,Lists!G:G,0))</f>
        <v>Amount may not be negative. Enter an amount greater than or equal to zero.</v>
      </c>
      <c r="H1067" s="25" t="str">
        <f t="shared" ca="1" si="177"/>
        <v/>
      </c>
      <c r="I1067" s="25" t="str">
        <f t="shared" ca="1" si="178"/>
        <v/>
      </c>
      <c r="J1067" s="26" t="str">
        <f t="shared" ca="1" si="179"/>
        <v/>
      </c>
    </row>
    <row r="1068" spans="1:10" x14ac:dyDescent="0.25">
      <c r="A1068" t="s">
        <v>315</v>
      </c>
      <c r="B1068" t="str">
        <f>ADDRESS(ROW('Bond 1'!$B$24),COLUMN('Bond 1'!$B$24),4)</f>
        <v>B24</v>
      </c>
      <c r="C1068" t="str">
        <f>ADDRESS(ROW('Bond 1'!$D$24),COLUMN('Bond 1'!$D$24),4)</f>
        <v>D24</v>
      </c>
      <c r="D1068" t="b" cm="1">
        <f t="array" aca="1" ref="D1068" ca="1">IF(INDIRECT("'"&amp;A1068&amp;"'!"&amp;B1068)="",FALSE,IF(INDIRECT("'"&amp;A1068&amp;"'!"&amp;B1068)&lt;0,TRUE,FALSE))</f>
        <v>0</v>
      </c>
      <c r="E1068" t="s">
        <v>434</v>
      </c>
      <c r="F1068" t="str">
        <f>INDEX(Lists!I:I,MATCH(Validation!E1068,Lists!G:G,0))</f>
        <v>Error</v>
      </c>
      <c r="G1068" t="str">
        <f>INDEX(Lists!H:H,MATCH(Validation!E1068,Lists!G:G,0))</f>
        <v>Amount may not be negative. Enter an amount greater than or equal to zero.</v>
      </c>
      <c r="H1068" s="25" t="str">
        <f t="shared" ca="1" si="177"/>
        <v/>
      </c>
      <c r="I1068" s="25" t="str">
        <f t="shared" ca="1" si="178"/>
        <v/>
      </c>
      <c r="J1068" s="26" t="str">
        <f t="shared" ca="1" si="179"/>
        <v/>
      </c>
    </row>
    <row r="1069" spans="1:10" x14ac:dyDescent="0.25">
      <c r="A1069" t="s">
        <v>198</v>
      </c>
      <c r="B1069" t="str">
        <f>ADDRESS(ROW('Bond 1'!$B$24),COLUMN('Bond 1'!$B$24),4)</f>
        <v>B24</v>
      </c>
      <c r="C1069" t="str">
        <f>ADDRESS(ROW('Bond 1'!$D$24),COLUMN('Bond 1'!$D$24),4)</f>
        <v>D24</v>
      </c>
      <c r="D1069" t="b" cm="1">
        <f t="array" aca="1" ref="D1069" ca="1">IF(INDIRECT("'"&amp;A1069&amp;"'!"&amp;B1069)="",FALSE,IF(TRUNC(INDIRECT("'"&amp;A1069&amp;"'!"&amp;B1069))=INDIRECT("'"&amp;A1069&amp;"'!"&amp;B1069),FALSE,TRUE))</f>
        <v>0</v>
      </c>
      <c r="E1069" t="s">
        <v>436</v>
      </c>
      <c r="F1069" t="str">
        <f>INDEX(Lists!I:I,MATCH(Validation!E1069,Lists!G:G,0))</f>
        <v>Error</v>
      </c>
      <c r="G1069" t="str">
        <f>INDEX(Lists!H:H,MATCH(Validation!E1069,Lists!G:G,0))</f>
        <v>Amount must be rounded to the nearest dollar.</v>
      </c>
      <c r="H1069" s="25" t="str">
        <f t="shared" ca="1" si="177"/>
        <v/>
      </c>
      <c r="I1069" s="25" t="str">
        <f t="shared" ca="1" si="178"/>
        <v/>
      </c>
      <c r="J1069" s="26" t="str">
        <f t="shared" ca="1" si="179"/>
        <v/>
      </c>
    </row>
    <row r="1070" spans="1:10" x14ac:dyDescent="0.25">
      <c r="A1070" t="s">
        <v>302</v>
      </c>
      <c r="B1070" t="str">
        <f>ADDRESS(ROW('Bond 1'!$B$24),COLUMN('Bond 1'!$B$24),4)</f>
        <v>B24</v>
      </c>
      <c r="C1070" t="str">
        <f>ADDRESS(ROW('Bond 1'!$D$24),COLUMN('Bond 1'!$D$24),4)</f>
        <v>D24</v>
      </c>
      <c r="D1070" t="b" cm="1">
        <f t="array" aca="1" ref="D1070" ca="1">IF(INDIRECT("'"&amp;A1070&amp;"'!"&amp;B1070)="",FALSE,IF(TRUNC(INDIRECT("'"&amp;A1070&amp;"'!"&amp;B1070))=INDIRECT("'"&amp;A1070&amp;"'!"&amp;B1070),FALSE,TRUE))</f>
        <v>0</v>
      </c>
      <c r="E1070" t="s">
        <v>436</v>
      </c>
      <c r="F1070" t="str">
        <f>INDEX(Lists!I:I,MATCH(Validation!E1070,Lists!G:G,0))</f>
        <v>Error</v>
      </c>
      <c r="G1070" t="str">
        <f>INDEX(Lists!H:H,MATCH(Validation!E1070,Lists!G:G,0))</f>
        <v>Amount must be rounded to the nearest dollar.</v>
      </c>
      <c r="H1070" s="25" t="str">
        <f t="shared" ca="1" si="177"/>
        <v/>
      </c>
      <c r="I1070" s="25" t="str">
        <f t="shared" ca="1" si="178"/>
        <v/>
      </c>
      <c r="J1070" s="26" t="str">
        <f t="shared" ca="1" si="179"/>
        <v/>
      </c>
    </row>
    <row r="1071" spans="1:10" x14ac:dyDescent="0.25">
      <c r="A1071" t="s">
        <v>303</v>
      </c>
      <c r="B1071" t="str">
        <f>ADDRESS(ROW('Bond 1'!$B$24),COLUMN('Bond 1'!$B$24),4)</f>
        <v>B24</v>
      </c>
      <c r="C1071" t="str">
        <f>ADDRESS(ROW('Bond 1'!$D$24),COLUMN('Bond 1'!$D$24),4)</f>
        <v>D24</v>
      </c>
      <c r="D1071" t="b" cm="1">
        <f t="array" aca="1" ref="D1071" ca="1">IF(INDIRECT("'"&amp;A1071&amp;"'!"&amp;B1071)="",FALSE,IF(TRUNC(INDIRECT("'"&amp;A1071&amp;"'!"&amp;B1071))=INDIRECT("'"&amp;A1071&amp;"'!"&amp;B1071),FALSE,TRUE))</f>
        <v>0</v>
      </c>
      <c r="E1071" t="s">
        <v>436</v>
      </c>
      <c r="F1071" t="str">
        <f>INDEX(Lists!I:I,MATCH(Validation!E1071,Lists!G:G,0))</f>
        <v>Error</v>
      </c>
      <c r="G1071" t="str">
        <f>INDEX(Lists!H:H,MATCH(Validation!E1071,Lists!G:G,0))</f>
        <v>Amount must be rounded to the nearest dollar.</v>
      </c>
      <c r="H1071" s="25" t="str">
        <f t="shared" ca="1" si="177"/>
        <v/>
      </c>
      <c r="I1071" s="25" t="str">
        <f t="shared" ca="1" si="178"/>
        <v/>
      </c>
      <c r="J1071" s="26" t="str">
        <f t="shared" ca="1" si="179"/>
        <v/>
      </c>
    </row>
    <row r="1072" spans="1:10" x14ac:dyDescent="0.25">
      <c r="A1072" t="s">
        <v>304</v>
      </c>
      <c r="B1072" t="str">
        <f>ADDRESS(ROW('Bond 1'!$B$24),COLUMN('Bond 1'!$B$24),4)</f>
        <v>B24</v>
      </c>
      <c r="C1072" t="str">
        <f>ADDRESS(ROW('Bond 1'!$D$24),COLUMN('Bond 1'!$D$24),4)</f>
        <v>D24</v>
      </c>
      <c r="D1072" t="b" cm="1">
        <f t="array" aca="1" ref="D1072" ca="1">IF(INDIRECT("'"&amp;A1072&amp;"'!"&amp;B1072)="",FALSE,IF(TRUNC(INDIRECT("'"&amp;A1072&amp;"'!"&amp;B1072))=INDIRECT("'"&amp;A1072&amp;"'!"&amp;B1072),FALSE,TRUE))</f>
        <v>0</v>
      </c>
      <c r="E1072" t="s">
        <v>436</v>
      </c>
      <c r="F1072" t="str">
        <f>INDEX(Lists!I:I,MATCH(Validation!E1072,Lists!G:G,0))</f>
        <v>Error</v>
      </c>
      <c r="G1072" t="str">
        <f>INDEX(Lists!H:H,MATCH(Validation!E1072,Lists!G:G,0))</f>
        <v>Amount must be rounded to the nearest dollar.</v>
      </c>
      <c r="H1072" s="25" t="str">
        <f t="shared" ca="1" si="177"/>
        <v/>
      </c>
      <c r="I1072" s="25" t="str">
        <f t="shared" ca="1" si="178"/>
        <v/>
      </c>
      <c r="J1072" s="26" t="str">
        <f t="shared" ca="1" si="179"/>
        <v/>
      </c>
    </row>
    <row r="1073" spans="1:10" x14ac:dyDescent="0.25">
      <c r="A1073" t="s">
        <v>305</v>
      </c>
      <c r="B1073" t="str">
        <f>ADDRESS(ROW('Bond 1'!$B$24),COLUMN('Bond 1'!$B$24),4)</f>
        <v>B24</v>
      </c>
      <c r="C1073" t="str">
        <f>ADDRESS(ROW('Bond 1'!$D$24),COLUMN('Bond 1'!$D$24),4)</f>
        <v>D24</v>
      </c>
      <c r="D1073" t="b" cm="1">
        <f t="array" aca="1" ref="D1073" ca="1">IF(INDIRECT("'"&amp;A1073&amp;"'!"&amp;B1073)="",FALSE,IF(TRUNC(INDIRECT("'"&amp;A1073&amp;"'!"&amp;B1073))=INDIRECT("'"&amp;A1073&amp;"'!"&amp;B1073),FALSE,TRUE))</f>
        <v>0</v>
      </c>
      <c r="E1073" t="s">
        <v>436</v>
      </c>
      <c r="F1073" t="str">
        <f>INDEX(Lists!I:I,MATCH(Validation!E1073,Lists!G:G,0))</f>
        <v>Error</v>
      </c>
      <c r="G1073" t="str">
        <f>INDEX(Lists!H:H,MATCH(Validation!E1073,Lists!G:G,0))</f>
        <v>Amount must be rounded to the nearest dollar.</v>
      </c>
      <c r="H1073" s="25" t="str">
        <f t="shared" ca="1" si="177"/>
        <v/>
      </c>
      <c r="I1073" s="25" t="str">
        <f t="shared" ca="1" si="178"/>
        <v/>
      </c>
      <c r="J1073" s="26" t="str">
        <f t="shared" ca="1" si="179"/>
        <v/>
      </c>
    </row>
    <row r="1074" spans="1:10" x14ac:dyDescent="0.25">
      <c r="A1074" t="s">
        <v>306</v>
      </c>
      <c r="B1074" t="str">
        <f>ADDRESS(ROW('Bond 1'!$B$24),COLUMN('Bond 1'!$B$24),4)</f>
        <v>B24</v>
      </c>
      <c r="C1074" t="str">
        <f>ADDRESS(ROW('Bond 1'!$D$24),COLUMN('Bond 1'!$D$24),4)</f>
        <v>D24</v>
      </c>
      <c r="D1074" t="b" cm="1">
        <f t="array" aca="1" ref="D1074" ca="1">IF(INDIRECT("'"&amp;A1074&amp;"'!"&amp;B1074)="",FALSE,IF(TRUNC(INDIRECT("'"&amp;A1074&amp;"'!"&amp;B1074))=INDIRECT("'"&amp;A1074&amp;"'!"&amp;B1074),FALSE,TRUE))</f>
        <v>0</v>
      </c>
      <c r="E1074" t="s">
        <v>436</v>
      </c>
      <c r="F1074" t="str">
        <f>INDEX(Lists!I:I,MATCH(Validation!E1074,Lists!G:G,0))</f>
        <v>Error</v>
      </c>
      <c r="G1074" t="str">
        <f>INDEX(Lists!H:H,MATCH(Validation!E1074,Lists!G:G,0))</f>
        <v>Amount must be rounded to the nearest dollar.</v>
      </c>
      <c r="H1074" s="25" t="str">
        <f t="shared" ca="1" si="177"/>
        <v/>
      </c>
      <c r="I1074" s="25" t="str">
        <f t="shared" ca="1" si="178"/>
        <v/>
      </c>
      <c r="J1074" s="26" t="str">
        <f t="shared" ca="1" si="179"/>
        <v/>
      </c>
    </row>
    <row r="1075" spans="1:10" x14ac:dyDescent="0.25">
      <c r="A1075" t="s">
        <v>307</v>
      </c>
      <c r="B1075" t="str">
        <f>ADDRESS(ROW('Bond 1'!$B$24),COLUMN('Bond 1'!$B$24),4)</f>
        <v>B24</v>
      </c>
      <c r="C1075" t="str">
        <f>ADDRESS(ROW('Bond 1'!$D$24),COLUMN('Bond 1'!$D$24),4)</f>
        <v>D24</v>
      </c>
      <c r="D1075" t="b" cm="1">
        <f t="array" aca="1" ref="D1075" ca="1">IF(INDIRECT("'"&amp;A1075&amp;"'!"&amp;B1075)="",FALSE,IF(TRUNC(INDIRECT("'"&amp;A1075&amp;"'!"&amp;B1075))=INDIRECT("'"&amp;A1075&amp;"'!"&amp;B1075),FALSE,TRUE))</f>
        <v>0</v>
      </c>
      <c r="E1075" t="s">
        <v>436</v>
      </c>
      <c r="F1075" t="str">
        <f>INDEX(Lists!I:I,MATCH(Validation!E1075,Lists!G:G,0))</f>
        <v>Error</v>
      </c>
      <c r="G1075" t="str">
        <f>INDEX(Lists!H:H,MATCH(Validation!E1075,Lists!G:G,0))</f>
        <v>Amount must be rounded to the nearest dollar.</v>
      </c>
      <c r="H1075" s="25" t="str">
        <f t="shared" ca="1" si="177"/>
        <v/>
      </c>
      <c r="I1075" s="25" t="str">
        <f t="shared" ca="1" si="178"/>
        <v/>
      </c>
      <c r="J1075" s="26" t="str">
        <f t="shared" ca="1" si="179"/>
        <v/>
      </c>
    </row>
    <row r="1076" spans="1:10" x14ac:dyDescent="0.25">
      <c r="A1076" t="s">
        <v>308</v>
      </c>
      <c r="B1076" t="str">
        <f>ADDRESS(ROW('Bond 1'!$B$24),COLUMN('Bond 1'!$B$24),4)</f>
        <v>B24</v>
      </c>
      <c r="C1076" t="str">
        <f>ADDRESS(ROW('Bond 1'!$D$24),COLUMN('Bond 1'!$D$24),4)</f>
        <v>D24</v>
      </c>
      <c r="D1076" t="b" cm="1">
        <f t="array" aca="1" ref="D1076" ca="1">IF(INDIRECT("'"&amp;A1076&amp;"'!"&amp;B1076)="",FALSE,IF(TRUNC(INDIRECT("'"&amp;A1076&amp;"'!"&amp;B1076))=INDIRECT("'"&amp;A1076&amp;"'!"&amp;B1076),FALSE,TRUE))</f>
        <v>0</v>
      </c>
      <c r="E1076" t="s">
        <v>436</v>
      </c>
      <c r="F1076" t="str">
        <f>INDEX(Lists!I:I,MATCH(Validation!E1076,Lists!G:G,0))</f>
        <v>Error</v>
      </c>
      <c r="G1076" t="str">
        <f>INDEX(Lists!H:H,MATCH(Validation!E1076,Lists!G:G,0))</f>
        <v>Amount must be rounded to the nearest dollar.</v>
      </c>
      <c r="H1076" s="25" t="str">
        <f t="shared" ca="1" si="177"/>
        <v/>
      </c>
      <c r="I1076" s="25" t="str">
        <f t="shared" ca="1" si="178"/>
        <v/>
      </c>
      <c r="J1076" s="26" t="str">
        <f t="shared" ca="1" si="179"/>
        <v/>
      </c>
    </row>
    <row r="1077" spans="1:10" x14ac:dyDescent="0.25">
      <c r="A1077" t="s">
        <v>309</v>
      </c>
      <c r="B1077" t="str">
        <f>ADDRESS(ROW('Bond 1'!$B$24),COLUMN('Bond 1'!$B$24),4)</f>
        <v>B24</v>
      </c>
      <c r="C1077" t="str">
        <f>ADDRESS(ROW('Bond 1'!$D$24),COLUMN('Bond 1'!$D$24),4)</f>
        <v>D24</v>
      </c>
      <c r="D1077" t="b" cm="1">
        <f t="array" aca="1" ref="D1077" ca="1">IF(INDIRECT("'"&amp;A1077&amp;"'!"&amp;B1077)="",FALSE,IF(TRUNC(INDIRECT("'"&amp;A1077&amp;"'!"&amp;B1077))=INDIRECT("'"&amp;A1077&amp;"'!"&amp;B1077),FALSE,TRUE))</f>
        <v>0</v>
      </c>
      <c r="E1077" t="s">
        <v>436</v>
      </c>
      <c r="F1077" t="str">
        <f>INDEX(Lists!I:I,MATCH(Validation!E1077,Lists!G:G,0))</f>
        <v>Error</v>
      </c>
      <c r="G1077" t="str">
        <f>INDEX(Lists!H:H,MATCH(Validation!E1077,Lists!G:G,0))</f>
        <v>Amount must be rounded to the nearest dollar.</v>
      </c>
      <c r="H1077" s="25" t="str">
        <f t="shared" ca="1" si="177"/>
        <v/>
      </c>
      <c r="I1077" s="25" t="str">
        <f t="shared" ca="1" si="178"/>
        <v/>
      </c>
      <c r="J1077" s="26" t="str">
        <f t="shared" ca="1" si="179"/>
        <v/>
      </c>
    </row>
    <row r="1078" spans="1:10" x14ac:dyDescent="0.25">
      <c r="A1078" t="s">
        <v>310</v>
      </c>
      <c r="B1078" t="str">
        <f>ADDRESS(ROW('Bond 1'!$B$24),COLUMN('Bond 1'!$B$24),4)</f>
        <v>B24</v>
      </c>
      <c r="C1078" t="str">
        <f>ADDRESS(ROW('Bond 1'!$D$24),COLUMN('Bond 1'!$D$24),4)</f>
        <v>D24</v>
      </c>
      <c r="D1078" t="b" cm="1">
        <f t="array" aca="1" ref="D1078" ca="1">IF(INDIRECT("'"&amp;A1078&amp;"'!"&amp;B1078)="",FALSE,IF(TRUNC(INDIRECT("'"&amp;A1078&amp;"'!"&amp;B1078))=INDIRECT("'"&amp;A1078&amp;"'!"&amp;B1078),FALSE,TRUE))</f>
        <v>0</v>
      </c>
      <c r="E1078" t="s">
        <v>436</v>
      </c>
      <c r="F1078" t="str">
        <f>INDEX(Lists!I:I,MATCH(Validation!E1078,Lists!G:G,0))</f>
        <v>Error</v>
      </c>
      <c r="G1078" t="str">
        <f>INDEX(Lists!H:H,MATCH(Validation!E1078,Lists!G:G,0))</f>
        <v>Amount must be rounded to the nearest dollar.</v>
      </c>
      <c r="H1078" s="25" t="str">
        <f t="shared" ca="1" si="177"/>
        <v/>
      </c>
      <c r="I1078" s="25" t="str">
        <f t="shared" ca="1" si="178"/>
        <v/>
      </c>
      <c r="J1078" s="26" t="str">
        <f t="shared" ca="1" si="179"/>
        <v/>
      </c>
    </row>
    <row r="1079" spans="1:10" x14ac:dyDescent="0.25">
      <c r="A1079" t="s">
        <v>311</v>
      </c>
      <c r="B1079" t="str">
        <f>ADDRESS(ROW('Bond 1'!$B$24),COLUMN('Bond 1'!$B$24),4)</f>
        <v>B24</v>
      </c>
      <c r="C1079" t="str">
        <f>ADDRESS(ROW('Bond 1'!$D$24),COLUMN('Bond 1'!$D$24),4)</f>
        <v>D24</v>
      </c>
      <c r="D1079" t="b" cm="1">
        <f t="array" aca="1" ref="D1079" ca="1">IF(INDIRECT("'"&amp;A1079&amp;"'!"&amp;B1079)="",FALSE,IF(TRUNC(INDIRECT("'"&amp;A1079&amp;"'!"&amp;B1079))=INDIRECT("'"&amp;A1079&amp;"'!"&amp;B1079),FALSE,TRUE))</f>
        <v>0</v>
      </c>
      <c r="E1079" t="s">
        <v>436</v>
      </c>
      <c r="F1079" t="str">
        <f>INDEX(Lists!I:I,MATCH(Validation!E1079,Lists!G:G,0))</f>
        <v>Error</v>
      </c>
      <c r="G1079" t="str">
        <f>INDEX(Lists!H:H,MATCH(Validation!E1079,Lists!G:G,0))</f>
        <v>Amount must be rounded to the nearest dollar.</v>
      </c>
      <c r="H1079" s="25" t="str">
        <f t="shared" ca="1" si="177"/>
        <v/>
      </c>
      <c r="I1079" s="25" t="str">
        <f t="shared" ca="1" si="178"/>
        <v/>
      </c>
      <c r="J1079" s="26" t="str">
        <f t="shared" ca="1" si="179"/>
        <v/>
      </c>
    </row>
    <row r="1080" spans="1:10" x14ac:dyDescent="0.25">
      <c r="A1080" t="s">
        <v>312</v>
      </c>
      <c r="B1080" t="str">
        <f>ADDRESS(ROW('Bond 1'!$B$24),COLUMN('Bond 1'!$B$24),4)</f>
        <v>B24</v>
      </c>
      <c r="C1080" t="str">
        <f>ADDRESS(ROW('Bond 1'!$D$24),COLUMN('Bond 1'!$D$24),4)</f>
        <v>D24</v>
      </c>
      <c r="D1080" t="b" cm="1">
        <f t="array" aca="1" ref="D1080" ca="1">IF(INDIRECT("'"&amp;A1080&amp;"'!"&amp;B1080)="",FALSE,IF(TRUNC(INDIRECT("'"&amp;A1080&amp;"'!"&amp;B1080))=INDIRECT("'"&amp;A1080&amp;"'!"&amp;B1080),FALSE,TRUE))</f>
        <v>0</v>
      </c>
      <c r="E1080" t="s">
        <v>436</v>
      </c>
      <c r="F1080" t="str">
        <f>INDEX(Lists!I:I,MATCH(Validation!E1080,Lists!G:G,0))</f>
        <v>Error</v>
      </c>
      <c r="G1080" t="str">
        <f>INDEX(Lists!H:H,MATCH(Validation!E1080,Lists!G:G,0))</f>
        <v>Amount must be rounded to the nearest dollar.</v>
      </c>
      <c r="H1080" s="25" t="str">
        <f t="shared" ca="1" si="177"/>
        <v/>
      </c>
      <c r="I1080" s="25" t="str">
        <f t="shared" ca="1" si="178"/>
        <v/>
      </c>
      <c r="J1080" s="26" t="str">
        <f t="shared" ca="1" si="179"/>
        <v/>
      </c>
    </row>
    <row r="1081" spans="1:10" x14ac:dyDescent="0.25">
      <c r="A1081" t="s">
        <v>313</v>
      </c>
      <c r="B1081" t="str">
        <f>ADDRESS(ROW('Bond 1'!$B$24),COLUMN('Bond 1'!$B$24),4)</f>
        <v>B24</v>
      </c>
      <c r="C1081" t="str">
        <f>ADDRESS(ROW('Bond 1'!$D$24),COLUMN('Bond 1'!$D$24),4)</f>
        <v>D24</v>
      </c>
      <c r="D1081" t="b" cm="1">
        <f t="array" aca="1" ref="D1081" ca="1">IF(INDIRECT("'"&amp;A1081&amp;"'!"&amp;B1081)="",FALSE,IF(TRUNC(INDIRECT("'"&amp;A1081&amp;"'!"&amp;B1081))=INDIRECT("'"&amp;A1081&amp;"'!"&amp;B1081),FALSE,TRUE))</f>
        <v>0</v>
      </c>
      <c r="E1081" t="s">
        <v>436</v>
      </c>
      <c r="F1081" t="str">
        <f>INDEX(Lists!I:I,MATCH(Validation!E1081,Lists!G:G,0))</f>
        <v>Error</v>
      </c>
      <c r="G1081" t="str">
        <f>INDEX(Lists!H:H,MATCH(Validation!E1081,Lists!G:G,0))</f>
        <v>Amount must be rounded to the nearest dollar.</v>
      </c>
      <c r="H1081" s="25" t="str">
        <f t="shared" ref="H1081:H1144" ca="1" si="180">IFERROR(IF(OR(NOT(D1081),F1081&lt;&gt;"Error"),"",A1081&amp;CELL("address",INDIRECT(B1081))),"")</f>
        <v/>
      </c>
      <c r="I1081" s="25" t="str">
        <f t="shared" ref="I1081:I1144" ca="1" si="181">IFERROR(IF(NOT(D1081),"",A1081&amp;CELL("address",INDIRECT(C1081))),"")</f>
        <v/>
      </c>
      <c r="J1081" s="26" t="str">
        <f t="shared" ref="J1081:J1144" ca="1" si="182">IFERROR(IF(NOT(D1081),"",A1081),"")</f>
        <v/>
      </c>
    </row>
    <row r="1082" spans="1:10" x14ac:dyDescent="0.25">
      <c r="A1082" t="s">
        <v>314</v>
      </c>
      <c r="B1082" t="str">
        <f>ADDRESS(ROW('Bond 1'!$B$24),COLUMN('Bond 1'!$B$24),4)</f>
        <v>B24</v>
      </c>
      <c r="C1082" t="str">
        <f>ADDRESS(ROW('Bond 1'!$D$24),COLUMN('Bond 1'!$D$24),4)</f>
        <v>D24</v>
      </c>
      <c r="D1082" t="b" cm="1">
        <f t="array" aca="1" ref="D1082" ca="1">IF(INDIRECT("'"&amp;A1082&amp;"'!"&amp;B1082)="",FALSE,IF(TRUNC(INDIRECT("'"&amp;A1082&amp;"'!"&amp;B1082))=INDIRECT("'"&amp;A1082&amp;"'!"&amp;B1082),FALSE,TRUE))</f>
        <v>0</v>
      </c>
      <c r="E1082" t="s">
        <v>436</v>
      </c>
      <c r="F1082" t="str">
        <f>INDEX(Lists!I:I,MATCH(Validation!E1082,Lists!G:G,0))</f>
        <v>Error</v>
      </c>
      <c r="G1082" t="str">
        <f>INDEX(Lists!H:H,MATCH(Validation!E1082,Lists!G:G,0))</f>
        <v>Amount must be rounded to the nearest dollar.</v>
      </c>
      <c r="H1082" s="25" t="str">
        <f t="shared" ca="1" si="180"/>
        <v/>
      </c>
      <c r="I1082" s="25" t="str">
        <f t="shared" ca="1" si="181"/>
        <v/>
      </c>
      <c r="J1082" s="26" t="str">
        <f t="shared" ca="1" si="182"/>
        <v/>
      </c>
    </row>
    <row r="1083" spans="1:10" x14ac:dyDescent="0.25">
      <c r="A1083" t="s">
        <v>315</v>
      </c>
      <c r="B1083" t="str">
        <f>ADDRESS(ROW('Bond 1'!$B$24),COLUMN('Bond 1'!$B$24),4)</f>
        <v>B24</v>
      </c>
      <c r="C1083" t="str">
        <f>ADDRESS(ROW('Bond 1'!$D$24),COLUMN('Bond 1'!$D$24),4)</f>
        <v>D24</v>
      </c>
      <c r="D1083" t="b" cm="1">
        <f t="array" aca="1" ref="D1083" ca="1">IF(INDIRECT("'"&amp;A1083&amp;"'!"&amp;B1083)="",FALSE,IF(TRUNC(INDIRECT("'"&amp;A1083&amp;"'!"&amp;B1083))=INDIRECT("'"&amp;A1083&amp;"'!"&amp;B1083),FALSE,TRUE))</f>
        <v>0</v>
      </c>
      <c r="E1083" t="s">
        <v>436</v>
      </c>
      <c r="F1083" t="str">
        <f>INDEX(Lists!I:I,MATCH(Validation!E1083,Lists!G:G,0))</f>
        <v>Error</v>
      </c>
      <c r="G1083" t="str">
        <f>INDEX(Lists!H:H,MATCH(Validation!E1083,Lists!G:G,0))</f>
        <v>Amount must be rounded to the nearest dollar.</v>
      </c>
      <c r="H1083" s="25" t="str">
        <f t="shared" ca="1" si="180"/>
        <v/>
      </c>
      <c r="I1083" s="25" t="str">
        <f t="shared" ca="1" si="181"/>
        <v/>
      </c>
      <c r="J1083" s="26" t="str">
        <f t="shared" ca="1" si="182"/>
        <v/>
      </c>
    </row>
    <row r="1084" spans="1:10" x14ac:dyDescent="0.25">
      <c r="A1084" t="s">
        <v>198</v>
      </c>
      <c r="B1084" t="str">
        <f>ADDRESS(ROW('Bond 1'!$B$24),COLUMN('Bond 1'!$B$24),4)</f>
        <v>B24</v>
      </c>
      <c r="C1084" t="str">
        <f>ADDRESS(ROW('Bond 1'!$D$24),COLUMN('Bond 1'!$D$24),4)</f>
        <v>D24</v>
      </c>
      <c r="D1084" t="b" cm="1">
        <f t="array" aca="1" ref="D1084" ca="1">IF(AND(NOT(ISBLANK('Bond Input'!C$23)),INDIRECT("'"&amp;A1084&amp;"'!"&amp;B1084)&lt;&gt;'Bond Input'!C$23),TRUE,FALSE)</f>
        <v>0</v>
      </c>
      <c r="E1084" t="s">
        <v>634</v>
      </c>
      <c r="F1084" t="str">
        <f>INDEX(Lists!I:I,MATCH(Validation!E1084,Lists!G:G,0))</f>
        <v>Alert</v>
      </c>
      <c r="G1084" t="str">
        <f>INDEX(Lists!H:H,MATCH(Validation!E1084,Lists!G:G,0))</f>
        <v>You have changed previously reported data. Explain in the comments box.</v>
      </c>
      <c r="H1084" s="25" t="str">
        <f t="shared" ca="1" si="180"/>
        <v/>
      </c>
      <c r="I1084" s="25" t="str">
        <f t="shared" ca="1" si="181"/>
        <v/>
      </c>
      <c r="J1084" s="26" t="str">
        <f t="shared" ca="1" si="182"/>
        <v/>
      </c>
    </row>
    <row r="1085" spans="1:10" x14ac:dyDescent="0.25">
      <c r="A1085" t="s">
        <v>302</v>
      </c>
      <c r="B1085" t="str">
        <f>ADDRESS(ROW('Bond 1'!$B$24),COLUMN('Bond 1'!$B$24),4)</f>
        <v>B24</v>
      </c>
      <c r="C1085" t="str">
        <f>ADDRESS(ROW('Bond 1'!$D$24),COLUMN('Bond 1'!$D$24),4)</f>
        <v>D24</v>
      </c>
      <c r="D1085" t="b" cm="1">
        <f t="array" aca="1" ref="D1085" ca="1">IF(AND(NOT(ISBLANK('Bond Input'!D$23)),INDIRECT("'"&amp;A1085&amp;"'!"&amp;B1085)&lt;&gt;'Bond Input'!D$23),TRUE,FALSE)</f>
        <v>0</v>
      </c>
      <c r="E1085" t="s">
        <v>634</v>
      </c>
      <c r="F1085" t="str">
        <f>INDEX(Lists!I:I,MATCH(Validation!E1085,Lists!G:G,0))</f>
        <v>Alert</v>
      </c>
      <c r="G1085" t="str">
        <f>INDEX(Lists!H:H,MATCH(Validation!E1085,Lists!G:G,0))</f>
        <v>You have changed previously reported data. Explain in the comments box.</v>
      </c>
      <c r="H1085" s="25" t="str">
        <f t="shared" ca="1" si="180"/>
        <v/>
      </c>
      <c r="I1085" s="25" t="str">
        <f t="shared" ca="1" si="181"/>
        <v/>
      </c>
      <c r="J1085" s="26" t="str">
        <f t="shared" ca="1" si="182"/>
        <v/>
      </c>
    </row>
    <row r="1086" spans="1:10" x14ac:dyDescent="0.25">
      <c r="A1086" t="s">
        <v>303</v>
      </c>
      <c r="B1086" t="str">
        <f>ADDRESS(ROW('Bond 1'!$B$24),COLUMN('Bond 1'!$B$24),4)</f>
        <v>B24</v>
      </c>
      <c r="C1086" t="str">
        <f>ADDRESS(ROW('Bond 1'!$D$24),COLUMN('Bond 1'!$D$24),4)</f>
        <v>D24</v>
      </c>
      <c r="D1086" t="b" cm="1">
        <f t="array" aca="1" ref="D1086" ca="1">IF(AND(NOT(ISBLANK('Bond Input'!E$23)),INDIRECT("'"&amp;A1086&amp;"'!"&amp;B1086)&lt;&gt;'Bond Input'!E$23),TRUE,FALSE)</f>
        <v>0</v>
      </c>
      <c r="E1086" t="s">
        <v>634</v>
      </c>
      <c r="F1086" t="str">
        <f>INDEX(Lists!I:I,MATCH(Validation!E1086,Lists!G:G,0))</f>
        <v>Alert</v>
      </c>
      <c r="G1086" t="str">
        <f>INDEX(Lists!H:H,MATCH(Validation!E1086,Lists!G:G,0))</f>
        <v>You have changed previously reported data. Explain in the comments box.</v>
      </c>
      <c r="H1086" s="25" t="str">
        <f t="shared" ca="1" si="180"/>
        <v/>
      </c>
      <c r="I1086" s="25" t="str">
        <f t="shared" ca="1" si="181"/>
        <v/>
      </c>
      <c r="J1086" s="26" t="str">
        <f t="shared" ca="1" si="182"/>
        <v/>
      </c>
    </row>
    <row r="1087" spans="1:10" x14ac:dyDescent="0.25">
      <c r="A1087" t="s">
        <v>304</v>
      </c>
      <c r="B1087" t="str">
        <f>ADDRESS(ROW('Bond 1'!$B$24),COLUMN('Bond 1'!$B$24),4)</f>
        <v>B24</v>
      </c>
      <c r="C1087" t="str">
        <f>ADDRESS(ROW('Bond 1'!$D$24),COLUMN('Bond 1'!$D$24),4)</f>
        <v>D24</v>
      </c>
      <c r="D1087" t="b" cm="1">
        <f t="array" aca="1" ref="D1087" ca="1">IF(AND(NOT(ISBLANK('Bond Input'!F$23)),INDIRECT("'"&amp;A1087&amp;"'!"&amp;B1087)&lt;&gt;'Bond Input'!F$23),TRUE,FALSE)</f>
        <v>0</v>
      </c>
      <c r="E1087" t="s">
        <v>634</v>
      </c>
      <c r="F1087" t="str">
        <f>INDEX(Lists!I:I,MATCH(Validation!E1087,Lists!G:G,0))</f>
        <v>Alert</v>
      </c>
      <c r="G1087" t="str">
        <f>INDEX(Lists!H:H,MATCH(Validation!E1087,Lists!G:G,0))</f>
        <v>You have changed previously reported data. Explain in the comments box.</v>
      </c>
      <c r="H1087" s="25" t="str">
        <f t="shared" ca="1" si="180"/>
        <v/>
      </c>
      <c r="I1087" s="25" t="str">
        <f t="shared" ca="1" si="181"/>
        <v/>
      </c>
      <c r="J1087" s="26" t="str">
        <f t="shared" ca="1" si="182"/>
        <v/>
      </c>
    </row>
    <row r="1088" spans="1:10" x14ac:dyDescent="0.25">
      <c r="A1088" t="s">
        <v>305</v>
      </c>
      <c r="B1088" t="str">
        <f>ADDRESS(ROW('Bond 1'!$B$24),COLUMN('Bond 1'!$B$24),4)</f>
        <v>B24</v>
      </c>
      <c r="C1088" t="str">
        <f>ADDRESS(ROW('Bond 1'!$D$24),COLUMN('Bond 1'!$D$24),4)</f>
        <v>D24</v>
      </c>
      <c r="D1088" t="b" cm="1">
        <f t="array" aca="1" ref="D1088" ca="1">IF(AND(NOT(ISBLANK('Bond Input'!G$23)),INDIRECT("'"&amp;A1088&amp;"'!"&amp;B1088)&lt;&gt;'Bond Input'!G$23),TRUE,FALSE)</f>
        <v>0</v>
      </c>
      <c r="E1088" t="s">
        <v>634</v>
      </c>
      <c r="F1088" t="str">
        <f>INDEX(Lists!I:I,MATCH(Validation!E1088,Lists!G:G,0))</f>
        <v>Alert</v>
      </c>
      <c r="G1088" t="str">
        <f>INDEX(Lists!H:H,MATCH(Validation!E1088,Lists!G:G,0))</f>
        <v>You have changed previously reported data. Explain in the comments box.</v>
      </c>
      <c r="H1088" s="25" t="str">
        <f t="shared" ca="1" si="180"/>
        <v/>
      </c>
      <c r="I1088" s="25" t="str">
        <f t="shared" ca="1" si="181"/>
        <v/>
      </c>
      <c r="J1088" s="26" t="str">
        <f t="shared" ca="1" si="182"/>
        <v/>
      </c>
    </row>
    <row r="1089" spans="1:10" x14ac:dyDescent="0.25">
      <c r="A1089" t="s">
        <v>306</v>
      </c>
      <c r="B1089" t="str">
        <f>ADDRESS(ROW('Bond 1'!$B$24),COLUMN('Bond 1'!$B$24),4)</f>
        <v>B24</v>
      </c>
      <c r="C1089" t="str">
        <f>ADDRESS(ROW('Bond 1'!$D$24),COLUMN('Bond 1'!$D$24),4)</f>
        <v>D24</v>
      </c>
      <c r="D1089" t="b" cm="1">
        <f t="array" aca="1" ref="D1089" ca="1">IF(AND(NOT(ISBLANK('Bond Input'!H$23)),INDIRECT("'"&amp;A1089&amp;"'!"&amp;B1089)&lt;&gt;'Bond Input'!H$23),TRUE,FALSE)</f>
        <v>0</v>
      </c>
      <c r="E1089" t="s">
        <v>634</v>
      </c>
      <c r="F1089" t="str">
        <f>INDEX(Lists!I:I,MATCH(Validation!E1089,Lists!G:G,0))</f>
        <v>Alert</v>
      </c>
      <c r="G1089" t="str">
        <f>INDEX(Lists!H:H,MATCH(Validation!E1089,Lists!G:G,0))</f>
        <v>You have changed previously reported data. Explain in the comments box.</v>
      </c>
      <c r="H1089" s="25" t="str">
        <f t="shared" ca="1" si="180"/>
        <v/>
      </c>
      <c r="I1089" s="25" t="str">
        <f t="shared" ca="1" si="181"/>
        <v/>
      </c>
      <c r="J1089" s="26" t="str">
        <f t="shared" ca="1" si="182"/>
        <v/>
      </c>
    </row>
    <row r="1090" spans="1:10" x14ac:dyDescent="0.25">
      <c r="A1090" t="s">
        <v>307</v>
      </c>
      <c r="B1090" t="str">
        <f>ADDRESS(ROW('Bond 1'!$B$24),COLUMN('Bond 1'!$B$24),4)</f>
        <v>B24</v>
      </c>
      <c r="C1090" t="str">
        <f>ADDRESS(ROW('Bond 1'!$D$24),COLUMN('Bond 1'!$D$24),4)</f>
        <v>D24</v>
      </c>
      <c r="D1090" t="b" cm="1">
        <f t="array" aca="1" ref="D1090" ca="1">IF(AND(NOT(ISBLANK('Bond Input'!I$23)),INDIRECT("'"&amp;A1090&amp;"'!"&amp;B1090)&lt;&gt;'Bond Input'!I$23),TRUE,FALSE)</f>
        <v>0</v>
      </c>
      <c r="E1090" t="s">
        <v>634</v>
      </c>
      <c r="F1090" t="str">
        <f>INDEX(Lists!I:I,MATCH(Validation!E1090,Lists!G:G,0))</f>
        <v>Alert</v>
      </c>
      <c r="G1090" t="str">
        <f>INDEX(Lists!H:H,MATCH(Validation!E1090,Lists!G:G,0))</f>
        <v>You have changed previously reported data. Explain in the comments box.</v>
      </c>
      <c r="H1090" s="25" t="str">
        <f t="shared" ca="1" si="180"/>
        <v/>
      </c>
      <c r="I1090" s="25" t="str">
        <f t="shared" ca="1" si="181"/>
        <v/>
      </c>
      <c r="J1090" s="26" t="str">
        <f t="shared" ca="1" si="182"/>
        <v/>
      </c>
    </row>
    <row r="1091" spans="1:10" x14ac:dyDescent="0.25">
      <c r="A1091" t="s">
        <v>308</v>
      </c>
      <c r="B1091" t="str">
        <f>ADDRESS(ROW('Bond 1'!$B$24),COLUMN('Bond 1'!$B$24),4)</f>
        <v>B24</v>
      </c>
      <c r="C1091" t="str">
        <f>ADDRESS(ROW('Bond 1'!$D$24),COLUMN('Bond 1'!$D$24),4)</f>
        <v>D24</v>
      </c>
      <c r="D1091" t="b" cm="1">
        <f t="array" aca="1" ref="D1091" ca="1">IF(AND(NOT(ISBLANK('Bond Input'!J$23)),INDIRECT("'"&amp;A1091&amp;"'!"&amp;B1091)&lt;&gt;'Bond Input'!J$23),TRUE,FALSE)</f>
        <v>0</v>
      </c>
      <c r="E1091" t="s">
        <v>634</v>
      </c>
      <c r="F1091" t="str">
        <f>INDEX(Lists!I:I,MATCH(Validation!E1091,Lists!G:G,0))</f>
        <v>Alert</v>
      </c>
      <c r="G1091" t="str">
        <f>INDEX(Lists!H:H,MATCH(Validation!E1091,Lists!G:G,0))</f>
        <v>You have changed previously reported data. Explain in the comments box.</v>
      </c>
      <c r="H1091" s="25" t="str">
        <f t="shared" ca="1" si="180"/>
        <v/>
      </c>
      <c r="I1091" s="25" t="str">
        <f t="shared" ca="1" si="181"/>
        <v/>
      </c>
      <c r="J1091" s="26" t="str">
        <f t="shared" ca="1" si="182"/>
        <v/>
      </c>
    </row>
    <row r="1092" spans="1:10" x14ac:dyDescent="0.25">
      <c r="A1092" t="s">
        <v>309</v>
      </c>
      <c r="B1092" t="str">
        <f>ADDRESS(ROW('Bond 1'!$B$24),COLUMN('Bond 1'!$B$24),4)</f>
        <v>B24</v>
      </c>
      <c r="C1092" t="str">
        <f>ADDRESS(ROW('Bond 1'!$D$24),COLUMN('Bond 1'!$D$24),4)</f>
        <v>D24</v>
      </c>
      <c r="D1092" t="b" cm="1">
        <f t="array" aca="1" ref="D1092" ca="1">IF(AND(NOT(ISBLANK('Bond Input'!K$23)),INDIRECT("'"&amp;A1092&amp;"'!"&amp;B1092)&lt;&gt;'Bond Input'!K$23),TRUE,FALSE)</f>
        <v>0</v>
      </c>
      <c r="E1092" t="s">
        <v>634</v>
      </c>
      <c r="F1092" t="str">
        <f>INDEX(Lists!I:I,MATCH(Validation!E1092,Lists!G:G,0))</f>
        <v>Alert</v>
      </c>
      <c r="G1092" t="str">
        <f>INDEX(Lists!H:H,MATCH(Validation!E1092,Lists!G:G,0))</f>
        <v>You have changed previously reported data. Explain in the comments box.</v>
      </c>
      <c r="H1092" s="25" t="str">
        <f t="shared" ca="1" si="180"/>
        <v/>
      </c>
      <c r="I1092" s="25" t="str">
        <f t="shared" ca="1" si="181"/>
        <v/>
      </c>
      <c r="J1092" s="26" t="str">
        <f t="shared" ca="1" si="182"/>
        <v/>
      </c>
    </row>
    <row r="1093" spans="1:10" x14ac:dyDescent="0.25">
      <c r="A1093" t="s">
        <v>310</v>
      </c>
      <c r="B1093" t="str">
        <f>ADDRESS(ROW('Bond 1'!$B$24),COLUMN('Bond 1'!$B$24),4)</f>
        <v>B24</v>
      </c>
      <c r="C1093" t="str">
        <f>ADDRESS(ROW('Bond 1'!$D$24),COLUMN('Bond 1'!$D$24),4)</f>
        <v>D24</v>
      </c>
      <c r="D1093" t="b" cm="1">
        <f t="array" aca="1" ref="D1093" ca="1">IF(AND(NOT(ISBLANK('Bond Input'!L$23)),INDIRECT("'"&amp;A1093&amp;"'!"&amp;B1093)&lt;&gt;'Bond Input'!L$23),TRUE,FALSE)</f>
        <v>0</v>
      </c>
      <c r="E1093" t="s">
        <v>634</v>
      </c>
      <c r="F1093" t="str">
        <f>INDEX(Lists!I:I,MATCH(Validation!E1093,Lists!G:G,0))</f>
        <v>Alert</v>
      </c>
      <c r="G1093" t="str">
        <f>INDEX(Lists!H:H,MATCH(Validation!E1093,Lists!G:G,0))</f>
        <v>You have changed previously reported data. Explain in the comments box.</v>
      </c>
      <c r="H1093" s="25" t="str">
        <f t="shared" ca="1" si="180"/>
        <v/>
      </c>
      <c r="I1093" s="25" t="str">
        <f t="shared" ca="1" si="181"/>
        <v/>
      </c>
      <c r="J1093" s="26" t="str">
        <f t="shared" ca="1" si="182"/>
        <v/>
      </c>
    </row>
    <row r="1094" spans="1:10" x14ac:dyDescent="0.25">
      <c r="A1094" t="s">
        <v>311</v>
      </c>
      <c r="B1094" t="str">
        <f>ADDRESS(ROW('Bond 1'!$B$24),COLUMN('Bond 1'!$B$24),4)</f>
        <v>B24</v>
      </c>
      <c r="C1094" t="str">
        <f>ADDRESS(ROW('Bond 1'!$D$24),COLUMN('Bond 1'!$D$24),4)</f>
        <v>D24</v>
      </c>
      <c r="D1094" t="b" cm="1">
        <f t="array" aca="1" ref="D1094" ca="1">IF(AND(NOT(ISBLANK('Bond Input'!M$23)),INDIRECT("'"&amp;A1094&amp;"'!"&amp;B1094)&lt;&gt;'Bond Input'!M$23),TRUE,FALSE)</f>
        <v>0</v>
      </c>
      <c r="E1094" t="s">
        <v>634</v>
      </c>
      <c r="F1094" t="str">
        <f>INDEX(Lists!I:I,MATCH(Validation!E1094,Lists!G:G,0))</f>
        <v>Alert</v>
      </c>
      <c r="G1094" t="str">
        <f>INDEX(Lists!H:H,MATCH(Validation!E1094,Lists!G:G,0))</f>
        <v>You have changed previously reported data. Explain in the comments box.</v>
      </c>
      <c r="H1094" s="25" t="str">
        <f t="shared" ca="1" si="180"/>
        <v/>
      </c>
      <c r="I1094" s="25" t="str">
        <f t="shared" ca="1" si="181"/>
        <v/>
      </c>
      <c r="J1094" s="26" t="str">
        <f t="shared" ca="1" si="182"/>
        <v/>
      </c>
    </row>
    <row r="1095" spans="1:10" x14ac:dyDescent="0.25">
      <c r="A1095" t="s">
        <v>312</v>
      </c>
      <c r="B1095" t="str">
        <f>ADDRESS(ROW('Bond 1'!$B$24),COLUMN('Bond 1'!$B$24),4)</f>
        <v>B24</v>
      </c>
      <c r="C1095" t="str">
        <f>ADDRESS(ROW('Bond 1'!$D$24),COLUMN('Bond 1'!$D$24),4)</f>
        <v>D24</v>
      </c>
      <c r="D1095" t="b" cm="1">
        <f t="array" aca="1" ref="D1095" ca="1">IF(AND(NOT(ISBLANK('Bond Input'!N$23)),INDIRECT("'"&amp;A1095&amp;"'!"&amp;B1095)&lt;&gt;'Bond Input'!N$23),TRUE,FALSE)</f>
        <v>0</v>
      </c>
      <c r="E1095" t="s">
        <v>634</v>
      </c>
      <c r="F1095" t="str">
        <f>INDEX(Lists!I:I,MATCH(Validation!E1095,Lists!G:G,0))</f>
        <v>Alert</v>
      </c>
      <c r="G1095" t="str">
        <f>INDEX(Lists!H:H,MATCH(Validation!E1095,Lists!G:G,0))</f>
        <v>You have changed previously reported data. Explain in the comments box.</v>
      </c>
      <c r="H1095" s="25" t="str">
        <f t="shared" ca="1" si="180"/>
        <v/>
      </c>
      <c r="I1095" s="25" t="str">
        <f t="shared" ca="1" si="181"/>
        <v/>
      </c>
      <c r="J1095" s="26" t="str">
        <f t="shared" ca="1" si="182"/>
        <v/>
      </c>
    </row>
    <row r="1096" spans="1:10" x14ac:dyDescent="0.25">
      <c r="A1096" t="s">
        <v>313</v>
      </c>
      <c r="B1096" t="str">
        <f>ADDRESS(ROW('Bond 1'!$B$24),COLUMN('Bond 1'!$B$24),4)</f>
        <v>B24</v>
      </c>
      <c r="C1096" t="str">
        <f>ADDRESS(ROW('Bond 1'!$D$24),COLUMN('Bond 1'!$D$24),4)</f>
        <v>D24</v>
      </c>
      <c r="D1096" t="b" cm="1">
        <f t="array" aca="1" ref="D1096" ca="1">IF(AND(NOT(ISBLANK('Bond Input'!O$23)),INDIRECT("'"&amp;A1096&amp;"'!"&amp;B1096)&lt;&gt;'Bond Input'!O$23),TRUE,FALSE)</f>
        <v>0</v>
      </c>
      <c r="E1096" t="s">
        <v>634</v>
      </c>
      <c r="F1096" t="str">
        <f>INDEX(Lists!I:I,MATCH(Validation!E1096,Lists!G:G,0))</f>
        <v>Alert</v>
      </c>
      <c r="G1096" t="str">
        <f>INDEX(Lists!H:H,MATCH(Validation!E1096,Lists!G:G,0))</f>
        <v>You have changed previously reported data. Explain in the comments box.</v>
      </c>
      <c r="H1096" s="25" t="str">
        <f t="shared" ca="1" si="180"/>
        <v/>
      </c>
      <c r="I1096" s="25" t="str">
        <f t="shared" ca="1" si="181"/>
        <v/>
      </c>
      <c r="J1096" s="26" t="str">
        <f t="shared" ca="1" si="182"/>
        <v/>
      </c>
    </row>
    <row r="1097" spans="1:10" x14ac:dyDescent="0.25">
      <c r="A1097" t="s">
        <v>314</v>
      </c>
      <c r="B1097" t="str">
        <f>ADDRESS(ROW('Bond 1'!$B$24),COLUMN('Bond 1'!$B$24),4)</f>
        <v>B24</v>
      </c>
      <c r="C1097" t="str">
        <f>ADDRESS(ROW('Bond 1'!$D$24),COLUMN('Bond 1'!$D$24),4)</f>
        <v>D24</v>
      </c>
      <c r="D1097" t="b" cm="1">
        <f t="array" aca="1" ref="D1097" ca="1">IF(AND(NOT(ISBLANK('Bond Input'!P$23)),INDIRECT("'"&amp;A1097&amp;"'!"&amp;B1097)&lt;&gt;'Bond Input'!P$23),TRUE,FALSE)</f>
        <v>0</v>
      </c>
      <c r="E1097" t="s">
        <v>634</v>
      </c>
      <c r="F1097" t="str">
        <f>INDEX(Lists!I:I,MATCH(Validation!E1097,Lists!G:G,0))</f>
        <v>Alert</v>
      </c>
      <c r="G1097" t="str">
        <f>INDEX(Lists!H:H,MATCH(Validation!E1097,Lists!G:G,0))</f>
        <v>You have changed previously reported data. Explain in the comments box.</v>
      </c>
      <c r="H1097" s="25" t="str">
        <f t="shared" ca="1" si="180"/>
        <v/>
      </c>
      <c r="I1097" s="25" t="str">
        <f t="shared" ca="1" si="181"/>
        <v/>
      </c>
      <c r="J1097" s="26" t="str">
        <f t="shared" ca="1" si="182"/>
        <v/>
      </c>
    </row>
    <row r="1098" spans="1:10" x14ac:dyDescent="0.25">
      <c r="A1098" t="s">
        <v>315</v>
      </c>
      <c r="B1098" t="str">
        <f>ADDRESS(ROW('Bond 1'!$B$24),COLUMN('Bond 1'!$B$24),4)</f>
        <v>B24</v>
      </c>
      <c r="C1098" t="str">
        <f>ADDRESS(ROW('Bond 1'!$D$24),COLUMN('Bond 1'!$D$24),4)</f>
        <v>D24</v>
      </c>
      <c r="D1098" t="b" cm="1">
        <f t="array" aca="1" ref="D1098" ca="1">IF(AND(NOT(ISBLANK('Bond Input'!Q$23)),INDIRECT("'"&amp;A1098&amp;"'!"&amp;B1098)&lt;&gt;'Bond Input'!Q$23),TRUE,FALSE)</f>
        <v>0</v>
      </c>
      <c r="E1098" t="s">
        <v>634</v>
      </c>
      <c r="F1098" t="str">
        <f>INDEX(Lists!I:I,MATCH(Validation!E1098,Lists!G:G,0))</f>
        <v>Alert</v>
      </c>
      <c r="G1098" t="str">
        <f>INDEX(Lists!H:H,MATCH(Validation!E1098,Lists!G:G,0))</f>
        <v>You have changed previously reported data. Explain in the comments box.</v>
      </c>
      <c r="H1098" s="25" t="str">
        <f t="shared" ca="1" si="180"/>
        <v/>
      </c>
      <c r="I1098" s="25" t="str">
        <f t="shared" ca="1" si="181"/>
        <v/>
      </c>
      <c r="J1098" s="26" t="str">
        <f t="shared" ca="1" si="182"/>
        <v/>
      </c>
    </row>
    <row r="1099" spans="1:10" x14ac:dyDescent="0.25">
      <c r="A1099" t="s">
        <v>198</v>
      </c>
      <c r="B1099" t="str">
        <f>ADDRESS(ROW('Bond 1'!$C$24),COLUMN('Bond 1'!$C$24),4)</f>
        <v>C24</v>
      </c>
      <c r="C1099" t="str">
        <f>ADDRESS(ROW('Bond 1'!$D$24),COLUMN('Bond 1'!$D$24),4)</f>
        <v>D24</v>
      </c>
      <c r="D1099" t="b" cm="1">
        <f t="array" aca="1" ref="D1099" ca="1">IF(INDIRECT("'"&amp;A1099&amp;"'!"&amp;B1099)="",FALSE,IF(NOT(ISNUMBER(INDIRECT("'"&amp;A1099&amp;"'!"&amp;B1099))),TRUE,FALSE))</f>
        <v>0</v>
      </c>
      <c r="E1099" t="s">
        <v>435</v>
      </c>
      <c r="F1099" t="str">
        <f>INDEX(Lists!I:I,MATCH(Validation!E1099,Lists!G:G,0))</f>
        <v>Error</v>
      </c>
      <c r="G1099" t="str">
        <f>INDEX(Lists!H:H,MATCH(Validation!E1099,Lists!G:G,0))</f>
        <v>Enter an amount only. Do not enter text or spaces.</v>
      </c>
      <c r="H1099" s="25" t="str">
        <f t="shared" ca="1" si="180"/>
        <v/>
      </c>
      <c r="I1099" s="25" t="str">
        <f t="shared" ca="1" si="181"/>
        <v/>
      </c>
      <c r="J1099" s="26" t="str">
        <f t="shared" ca="1" si="182"/>
        <v/>
      </c>
    </row>
    <row r="1100" spans="1:10" x14ac:dyDescent="0.25">
      <c r="A1100" t="s">
        <v>302</v>
      </c>
      <c r="B1100" t="str">
        <f>ADDRESS(ROW('Bond 1'!$C$24),COLUMN('Bond 1'!$C$24),4)</f>
        <v>C24</v>
      </c>
      <c r="C1100" t="str">
        <f>ADDRESS(ROW('Bond 1'!$D$24),COLUMN('Bond 1'!$D$24),4)</f>
        <v>D24</v>
      </c>
      <c r="D1100" t="b" cm="1">
        <f t="array" aca="1" ref="D1100" ca="1">IF(INDIRECT("'"&amp;A1100&amp;"'!"&amp;B1100)="",FALSE,IF(NOT(ISNUMBER(INDIRECT("'"&amp;A1100&amp;"'!"&amp;B1100))),TRUE,FALSE))</f>
        <v>0</v>
      </c>
      <c r="E1100" t="s">
        <v>435</v>
      </c>
      <c r="F1100" t="str">
        <f>INDEX(Lists!I:I,MATCH(Validation!E1100,Lists!G:G,0))</f>
        <v>Error</v>
      </c>
      <c r="G1100" t="str">
        <f>INDEX(Lists!H:H,MATCH(Validation!E1100,Lists!G:G,0))</f>
        <v>Enter an amount only. Do not enter text or spaces.</v>
      </c>
      <c r="H1100" s="25" t="str">
        <f t="shared" ca="1" si="180"/>
        <v/>
      </c>
      <c r="I1100" s="25" t="str">
        <f t="shared" ca="1" si="181"/>
        <v/>
      </c>
      <c r="J1100" s="26" t="str">
        <f t="shared" ca="1" si="182"/>
        <v/>
      </c>
    </row>
    <row r="1101" spans="1:10" x14ac:dyDescent="0.25">
      <c r="A1101" t="s">
        <v>303</v>
      </c>
      <c r="B1101" t="str">
        <f>ADDRESS(ROW('Bond 1'!$C$24),COLUMN('Bond 1'!$C$24),4)</f>
        <v>C24</v>
      </c>
      <c r="C1101" t="str">
        <f>ADDRESS(ROW('Bond 1'!$D$24),COLUMN('Bond 1'!$D$24),4)</f>
        <v>D24</v>
      </c>
      <c r="D1101" t="b" cm="1">
        <f t="array" aca="1" ref="D1101" ca="1">IF(INDIRECT("'"&amp;A1101&amp;"'!"&amp;B1101)="",FALSE,IF(NOT(ISNUMBER(INDIRECT("'"&amp;A1101&amp;"'!"&amp;B1101))),TRUE,FALSE))</f>
        <v>0</v>
      </c>
      <c r="E1101" t="s">
        <v>435</v>
      </c>
      <c r="F1101" t="str">
        <f>INDEX(Lists!I:I,MATCH(Validation!E1101,Lists!G:G,0))</f>
        <v>Error</v>
      </c>
      <c r="G1101" t="str">
        <f>INDEX(Lists!H:H,MATCH(Validation!E1101,Lists!G:G,0))</f>
        <v>Enter an amount only. Do not enter text or spaces.</v>
      </c>
      <c r="H1101" s="25" t="str">
        <f t="shared" ca="1" si="180"/>
        <v/>
      </c>
      <c r="I1101" s="25" t="str">
        <f t="shared" ca="1" si="181"/>
        <v/>
      </c>
      <c r="J1101" s="26" t="str">
        <f t="shared" ca="1" si="182"/>
        <v/>
      </c>
    </row>
    <row r="1102" spans="1:10" x14ac:dyDescent="0.25">
      <c r="A1102" t="s">
        <v>304</v>
      </c>
      <c r="B1102" t="str">
        <f>ADDRESS(ROW('Bond 1'!$C$24),COLUMN('Bond 1'!$C$24),4)</f>
        <v>C24</v>
      </c>
      <c r="C1102" t="str">
        <f>ADDRESS(ROW('Bond 1'!$D$24),COLUMN('Bond 1'!$D$24),4)</f>
        <v>D24</v>
      </c>
      <c r="D1102" t="b" cm="1">
        <f t="array" aca="1" ref="D1102" ca="1">IF(INDIRECT("'"&amp;A1102&amp;"'!"&amp;B1102)="",FALSE,IF(NOT(ISNUMBER(INDIRECT("'"&amp;A1102&amp;"'!"&amp;B1102))),TRUE,FALSE))</f>
        <v>0</v>
      </c>
      <c r="E1102" t="s">
        <v>435</v>
      </c>
      <c r="F1102" t="str">
        <f>INDEX(Lists!I:I,MATCH(Validation!E1102,Lists!G:G,0))</f>
        <v>Error</v>
      </c>
      <c r="G1102" t="str">
        <f>INDEX(Lists!H:H,MATCH(Validation!E1102,Lists!G:G,0))</f>
        <v>Enter an amount only. Do not enter text or spaces.</v>
      </c>
      <c r="H1102" s="25" t="str">
        <f t="shared" ca="1" si="180"/>
        <v/>
      </c>
      <c r="I1102" s="25" t="str">
        <f t="shared" ca="1" si="181"/>
        <v/>
      </c>
      <c r="J1102" s="26" t="str">
        <f t="shared" ca="1" si="182"/>
        <v/>
      </c>
    </row>
    <row r="1103" spans="1:10" x14ac:dyDescent="0.25">
      <c r="A1103" t="s">
        <v>305</v>
      </c>
      <c r="B1103" t="str">
        <f>ADDRESS(ROW('Bond 1'!$C$24),COLUMN('Bond 1'!$C$24),4)</f>
        <v>C24</v>
      </c>
      <c r="C1103" t="str">
        <f>ADDRESS(ROW('Bond 1'!$D$24),COLUMN('Bond 1'!$D$24),4)</f>
        <v>D24</v>
      </c>
      <c r="D1103" t="b" cm="1">
        <f t="array" aca="1" ref="D1103" ca="1">IF(INDIRECT("'"&amp;A1103&amp;"'!"&amp;B1103)="",FALSE,IF(NOT(ISNUMBER(INDIRECT("'"&amp;A1103&amp;"'!"&amp;B1103))),TRUE,FALSE))</f>
        <v>0</v>
      </c>
      <c r="E1103" t="s">
        <v>435</v>
      </c>
      <c r="F1103" t="str">
        <f>INDEX(Lists!I:I,MATCH(Validation!E1103,Lists!G:G,0))</f>
        <v>Error</v>
      </c>
      <c r="G1103" t="str">
        <f>INDEX(Lists!H:H,MATCH(Validation!E1103,Lists!G:G,0))</f>
        <v>Enter an amount only. Do not enter text or spaces.</v>
      </c>
      <c r="H1103" s="25" t="str">
        <f t="shared" ca="1" si="180"/>
        <v/>
      </c>
      <c r="I1103" s="25" t="str">
        <f t="shared" ca="1" si="181"/>
        <v/>
      </c>
      <c r="J1103" s="26" t="str">
        <f t="shared" ca="1" si="182"/>
        <v/>
      </c>
    </row>
    <row r="1104" spans="1:10" x14ac:dyDescent="0.25">
      <c r="A1104" t="s">
        <v>306</v>
      </c>
      <c r="B1104" t="str">
        <f>ADDRESS(ROW('Bond 1'!$C$24),COLUMN('Bond 1'!$C$24),4)</f>
        <v>C24</v>
      </c>
      <c r="C1104" t="str">
        <f>ADDRESS(ROW('Bond 1'!$D$24),COLUMN('Bond 1'!$D$24),4)</f>
        <v>D24</v>
      </c>
      <c r="D1104" t="b" cm="1">
        <f t="array" aca="1" ref="D1104" ca="1">IF(INDIRECT("'"&amp;A1104&amp;"'!"&amp;B1104)="",FALSE,IF(NOT(ISNUMBER(INDIRECT("'"&amp;A1104&amp;"'!"&amp;B1104))),TRUE,FALSE))</f>
        <v>0</v>
      </c>
      <c r="E1104" t="s">
        <v>435</v>
      </c>
      <c r="F1104" t="str">
        <f>INDEX(Lists!I:I,MATCH(Validation!E1104,Lists!G:G,0))</f>
        <v>Error</v>
      </c>
      <c r="G1104" t="str">
        <f>INDEX(Lists!H:H,MATCH(Validation!E1104,Lists!G:G,0))</f>
        <v>Enter an amount only. Do not enter text or spaces.</v>
      </c>
      <c r="H1104" s="25" t="str">
        <f t="shared" ca="1" si="180"/>
        <v/>
      </c>
      <c r="I1104" s="25" t="str">
        <f t="shared" ca="1" si="181"/>
        <v/>
      </c>
      <c r="J1104" s="26" t="str">
        <f t="shared" ca="1" si="182"/>
        <v/>
      </c>
    </row>
    <row r="1105" spans="1:10" x14ac:dyDescent="0.25">
      <c r="A1105" t="s">
        <v>307</v>
      </c>
      <c r="B1105" t="str">
        <f>ADDRESS(ROW('Bond 1'!$C$24),COLUMN('Bond 1'!$C$24),4)</f>
        <v>C24</v>
      </c>
      <c r="C1105" t="str">
        <f>ADDRESS(ROW('Bond 1'!$D$24),COLUMN('Bond 1'!$D$24),4)</f>
        <v>D24</v>
      </c>
      <c r="D1105" t="b" cm="1">
        <f t="array" aca="1" ref="D1105" ca="1">IF(INDIRECT("'"&amp;A1105&amp;"'!"&amp;B1105)="",FALSE,IF(NOT(ISNUMBER(INDIRECT("'"&amp;A1105&amp;"'!"&amp;B1105))),TRUE,FALSE))</f>
        <v>0</v>
      </c>
      <c r="E1105" t="s">
        <v>435</v>
      </c>
      <c r="F1105" t="str">
        <f>INDEX(Lists!I:I,MATCH(Validation!E1105,Lists!G:G,0))</f>
        <v>Error</v>
      </c>
      <c r="G1105" t="str">
        <f>INDEX(Lists!H:H,MATCH(Validation!E1105,Lists!G:G,0))</f>
        <v>Enter an amount only. Do not enter text or spaces.</v>
      </c>
      <c r="H1105" s="25" t="str">
        <f t="shared" ca="1" si="180"/>
        <v/>
      </c>
      <c r="I1105" s="25" t="str">
        <f t="shared" ca="1" si="181"/>
        <v/>
      </c>
      <c r="J1105" s="26" t="str">
        <f t="shared" ca="1" si="182"/>
        <v/>
      </c>
    </row>
    <row r="1106" spans="1:10" x14ac:dyDescent="0.25">
      <c r="A1106" t="s">
        <v>308</v>
      </c>
      <c r="B1106" t="str">
        <f>ADDRESS(ROW('Bond 1'!$C$24),COLUMN('Bond 1'!$C$24),4)</f>
        <v>C24</v>
      </c>
      <c r="C1106" t="str">
        <f>ADDRESS(ROW('Bond 1'!$D$24),COLUMN('Bond 1'!$D$24),4)</f>
        <v>D24</v>
      </c>
      <c r="D1106" t="b" cm="1">
        <f t="array" aca="1" ref="D1106" ca="1">IF(INDIRECT("'"&amp;A1106&amp;"'!"&amp;B1106)="",FALSE,IF(NOT(ISNUMBER(INDIRECT("'"&amp;A1106&amp;"'!"&amp;B1106))),TRUE,FALSE))</f>
        <v>0</v>
      </c>
      <c r="E1106" t="s">
        <v>435</v>
      </c>
      <c r="F1106" t="str">
        <f>INDEX(Lists!I:I,MATCH(Validation!E1106,Lists!G:G,0))</f>
        <v>Error</v>
      </c>
      <c r="G1106" t="str">
        <f>INDEX(Lists!H:H,MATCH(Validation!E1106,Lists!G:G,0))</f>
        <v>Enter an amount only. Do not enter text or spaces.</v>
      </c>
      <c r="H1106" s="25" t="str">
        <f t="shared" ca="1" si="180"/>
        <v/>
      </c>
      <c r="I1106" s="25" t="str">
        <f t="shared" ca="1" si="181"/>
        <v/>
      </c>
      <c r="J1106" s="26" t="str">
        <f t="shared" ca="1" si="182"/>
        <v/>
      </c>
    </row>
    <row r="1107" spans="1:10" x14ac:dyDescent="0.25">
      <c r="A1107" t="s">
        <v>309</v>
      </c>
      <c r="B1107" t="str">
        <f>ADDRESS(ROW('Bond 1'!$C$24),COLUMN('Bond 1'!$C$24),4)</f>
        <v>C24</v>
      </c>
      <c r="C1107" t="str">
        <f>ADDRESS(ROW('Bond 1'!$D$24),COLUMN('Bond 1'!$D$24),4)</f>
        <v>D24</v>
      </c>
      <c r="D1107" t="b" cm="1">
        <f t="array" aca="1" ref="D1107" ca="1">IF(INDIRECT("'"&amp;A1107&amp;"'!"&amp;B1107)="",FALSE,IF(NOT(ISNUMBER(INDIRECT("'"&amp;A1107&amp;"'!"&amp;B1107))),TRUE,FALSE))</f>
        <v>0</v>
      </c>
      <c r="E1107" t="s">
        <v>435</v>
      </c>
      <c r="F1107" t="str">
        <f>INDEX(Lists!I:I,MATCH(Validation!E1107,Lists!G:G,0))</f>
        <v>Error</v>
      </c>
      <c r="G1107" t="str">
        <f>INDEX(Lists!H:H,MATCH(Validation!E1107,Lists!G:G,0))</f>
        <v>Enter an amount only. Do not enter text or spaces.</v>
      </c>
      <c r="H1107" s="25" t="str">
        <f t="shared" ca="1" si="180"/>
        <v/>
      </c>
      <c r="I1107" s="25" t="str">
        <f t="shared" ca="1" si="181"/>
        <v/>
      </c>
      <c r="J1107" s="26" t="str">
        <f t="shared" ca="1" si="182"/>
        <v/>
      </c>
    </row>
    <row r="1108" spans="1:10" x14ac:dyDescent="0.25">
      <c r="A1108" t="s">
        <v>310</v>
      </c>
      <c r="B1108" t="str">
        <f>ADDRESS(ROW('Bond 1'!$C$24),COLUMN('Bond 1'!$C$24),4)</f>
        <v>C24</v>
      </c>
      <c r="C1108" t="str">
        <f>ADDRESS(ROW('Bond 1'!$D$24),COLUMN('Bond 1'!$D$24),4)</f>
        <v>D24</v>
      </c>
      <c r="D1108" t="b" cm="1">
        <f t="array" aca="1" ref="D1108" ca="1">IF(INDIRECT("'"&amp;A1108&amp;"'!"&amp;B1108)="",FALSE,IF(NOT(ISNUMBER(INDIRECT("'"&amp;A1108&amp;"'!"&amp;B1108))),TRUE,FALSE))</f>
        <v>0</v>
      </c>
      <c r="E1108" t="s">
        <v>435</v>
      </c>
      <c r="F1108" t="str">
        <f>INDEX(Lists!I:I,MATCH(Validation!E1108,Lists!G:G,0))</f>
        <v>Error</v>
      </c>
      <c r="G1108" t="str">
        <f>INDEX(Lists!H:H,MATCH(Validation!E1108,Lists!G:G,0))</f>
        <v>Enter an amount only. Do not enter text or spaces.</v>
      </c>
      <c r="H1108" s="25" t="str">
        <f t="shared" ca="1" si="180"/>
        <v/>
      </c>
      <c r="I1108" s="25" t="str">
        <f t="shared" ca="1" si="181"/>
        <v/>
      </c>
      <c r="J1108" s="26" t="str">
        <f t="shared" ca="1" si="182"/>
        <v/>
      </c>
    </row>
    <row r="1109" spans="1:10" x14ac:dyDescent="0.25">
      <c r="A1109" t="s">
        <v>311</v>
      </c>
      <c r="B1109" t="str">
        <f>ADDRESS(ROW('Bond 1'!$C$24),COLUMN('Bond 1'!$C$24),4)</f>
        <v>C24</v>
      </c>
      <c r="C1109" t="str">
        <f>ADDRESS(ROW('Bond 1'!$D$24),COLUMN('Bond 1'!$D$24),4)</f>
        <v>D24</v>
      </c>
      <c r="D1109" t="b" cm="1">
        <f t="array" aca="1" ref="D1109" ca="1">IF(INDIRECT("'"&amp;A1109&amp;"'!"&amp;B1109)="",FALSE,IF(NOT(ISNUMBER(INDIRECT("'"&amp;A1109&amp;"'!"&amp;B1109))),TRUE,FALSE))</f>
        <v>0</v>
      </c>
      <c r="E1109" t="s">
        <v>435</v>
      </c>
      <c r="F1109" t="str">
        <f>INDEX(Lists!I:I,MATCH(Validation!E1109,Lists!G:G,0))</f>
        <v>Error</v>
      </c>
      <c r="G1109" t="str">
        <f>INDEX(Lists!H:H,MATCH(Validation!E1109,Lists!G:G,0))</f>
        <v>Enter an amount only. Do not enter text or spaces.</v>
      </c>
      <c r="H1109" s="25" t="str">
        <f t="shared" ca="1" si="180"/>
        <v/>
      </c>
      <c r="I1109" s="25" t="str">
        <f t="shared" ca="1" si="181"/>
        <v/>
      </c>
      <c r="J1109" s="26" t="str">
        <f t="shared" ca="1" si="182"/>
        <v/>
      </c>
    </row>
    <row r="1110" spans="1:10" x14ac:dyDescent="0.25">
      <c r="A1110" t="s">
        <v>312</v>
      </c>
      <c r="B1110" t="str">
        <f>ADDRESS(ROW('Bond 1'!$C$24),COLUMN('Bond 1'!$C$24),4)</f>
        <v>C24</v>
      </c>
      <c r="C1110" t="str">
        <f>ADDRESS(ROW('Bond 1'!$D$24),COLUMN('Bond 1'!$D$24),4)</f>
        <v>D24</v>
      </c>
      <c r="D1110" t="b" cm="1">
        <f t="array" aca="1" ref="D1110" ca="1">IF(INDIRECT("'"&amp;A1110&amp;"'!"&amp;B1110)="",FALSE,IF(NOT(ISNUMBER(INDIRECT("'"&amp;A1110&amp;"'!"&amp;B1110))),TRUE,FALSE))</f>
        <v>0</v>
      </c>
      <c r="E1110" t="s">
        <v>435</v>
      </c>
      <c r="F1110" t="str">
        <f>INDEX(Lists!I:I,MATCH(Validation!E1110,Lists!G:G,0))</f>
        <v>Error</v>
      </c>
      <c r="G1110" t="str">
        <f>INDEX(Lists!H:H,MATCH(Validation!E1110,Lists!G:G,0))</f>
        <v>Enter an amount only. Do not enter text or spaces.</v>
      </c>
      <c r="H1110" s="25" t="str">
        <f t="shared" ca="1" si="180"/>
        <v/>
      </c>
      <c r="I1110" s="25" t="str">
        <f t="shared" ca="1" si="181"/>
        <v/>
      </c>
      <c r="J1110" s="26" t="str">
        <f t="shared" ca="1" si="182"/>
        <v/>
      </c>
    </row>
    <row r="1111" spans="1:10" x14ac:dyDescent="0.25">
      <c r="A1111" t="s">
        <v>313</v>
      </c>
      <c r="B1111" t="str">
        <f>ADDRESS(ROW('Bond 1'!$C$24),COLUMN('Bond 1'!$C$24),4)</f>
        <v>C24</v>
      </c>
      <c r="C1111" t="str">
        <f>ADDRESS(ROW('Bond 1'!$D$24),COLUMN('Bond 1'!$D$24),4)</f>
        <v>D24</v>
      </c>
      <c r="D1111" t="b" cm="1">
        <f t="array" aca="1" ref="D1111" ca="1">IF(INDIRECT("'"&amp;A1111&amp;"'!"&amp;B1111)="",FALSE,IF(NOT(ISNUMBER(INDIRECT("'"&amp;A1111&amp;"'!"&amp;B1111))),TRUE,FALSE))</f>
        <v>0</v>
      </c>
      <c r="E1111" t="s">
        <v>435</v>
      </c>
      <c r="F1111" t="str">
        <f>INDEX(Lists!I:I,MATCH(Validation!E1111,Lists!G:G,0))</f>
        <v>Error</v>
      </c>
      <c r="G1111" t="str">
        <f>INDEX(Lists!H:H,MATCH(Validation!E1111,Lists!G:G,0))</f>
        <v>Enter an amount only. Do not enter text or spaces.</v>
      </c>
      <c r="H1111" s="25" t="str">
        <f t="shared" ca="1" si="180"/>
        <v/>
      </c>
      <c r="I1111" s="25" t="str">
        <f t="shared" ca="1" si="181"/>
        <v/>
      </c>
      <c r="J1111" s="26" t="str">
        <f t="shared" ca="1" si="182"/>
        <v/>
      </c>
    </row>
    <row r="1112" spans="1:10" x14ac:dyDescent="0.25">
      <c r="A1112" t="s">
        <v>314</v>
      </c>
      <c r="B1112" t="str">
        <f>ADDRESS(ROW('Bond 1'!$C$24),COLUMN('Bond 1'!$C$24),4)</f>
        <v>C24</v>
      </c>
      <c r="C1112" t="str">
        <f>ADDRESS(ROW('Bond 1'!$D$24),COLUMN('Bond 1'!$D$24),4)</f>
        <v>D24</v>
      </c>
      <c r="D1112" t="b" cm="1">
        <f t="array" aca="1" ref="D1112" ca="1">IF(INDIRECT("'"&amp;A1112&amp;"'!"&amp;B1112)="",FALSE,IF(NOT(ISNUMBER(INDIRECT("'"&amp;A1112&amp;"'!"&amp;B1112))),TRUE,FALSE))</f>
        <v>0</v>
      </c>
      <c r="E1112" t="s">
        <v>435</v>
      </c>
      <c r="F1112" t="str">
        <f>INDEX(Lists!I:I,MATCH(Validation!E1112,Lists!G:G,0))</f>
        <v>Error</v>
      </c>
      <c r="G1112" t="str">
        <f>INDEX(Lists!H:H,MATCH(Validation!E1112,Lists!G:G,0))</f>
        <v>Enter an amount only. Do not enter text or spaces.</v>
      </c>
      <c r="H1112" s="25" t="str">
        <f t="shared" ca="1" si="180"/>
        <v/>
      </c>
      <c r="I1112" s="25" t="str">
        <f t="shared" ca="1" si="181"/>
        <v/>
      </c>
      <c r="J1112" s="26" t="str">
        <f t="shared" ca="1" si="182"/>
        <v/>
      </c>
    </row>
    <row r="1113" spans="1:10" x14ac:dyDescent="0.25">
      <c r="A1113" t="s">
        <v>315</v>
      </c>
      <c r="B1113" t="str">
        <f>ADDRESS(ROW('Bond 1'!$C$24),COLUMN('Bond 1'!$C$24),4)</f>
        <v>C24</v>
      </c>
      <c r="C1113" t="str">
        <f>ADDRESS(ROW('Bond 1'!$D$24),COLUMN('Bond 1'!$D$24),4)</f>
        <v>D24</v>
      </c>
      <c r="D1113" t="b" cm="1">
        <f t="array" aca="1" ref="D1113" ca="1">IF(INDIRECT("'"&amp;A1113&amp;"'!"&amp;B1113)="",FALSE,IF(NOT(ISNUMBER(INDIRECT("'"&amp;A1113&amp;"'!"&amp;B1113))),TRUE,FALSE))</f>
        <v>0</v>
      </c>
      <c r="E1113" t="s">
        <v>435</v>
      </c>
      <c r="F1113" t="str">
        <f>INDEX(Lists!I:I,MATCH(Validation!E1113,Lists!G:G,0))</f>
        <v>Error</v>
      </c>
      <c r="G1113" t="str">
        <f>INDEX(Lists!H:H,MATCH(Validation!E1113,Lists!G:G,0))</f>
        <v>Enter an amount only. Do not enter text or spaces.</v>
      </c>
      <c r="H1113" s="25" t="str">
        <f t="shared" ca="1" si="180"/>
        <v/>
      </c>
      <c r="I1113" s="25" t="str">
        <f t="shared" ca="1" si="181"/>
        <v/>
      </c>
      <c r="J1113" s="26" t="str">
        <f t="shared" ca="1" si="182"/>
        <v/>
      </c>
    </row>
    <row r="1114" spans="1:10" x14ac:dyDescent="0.25">
      <c r="A1114" t="s">
        <v>198</v>
      </c>
      <c r="B1114" t="str">
        <f>ADDRESS(ROW('Bond 1'!$C$24),COLUMN('Bond 1'!$C$24),4)</f>
        <v>C24</v>
      </c>
      <c r="C1114" t="str">
        <f>ADDRESS(ROW('Bond 1'!$D$24),COLUMN('Bond 1'!$D$24),4)</f>
        <v>D24</v>
      </c>
      <c r="D1114" t="b" cm="1">
        <f t="array" aca="1" ref="D1114" ca="1">IF(INDIRECT("'"&amp;A1114&amp;"'!"&amp;B1114)="",FALSE,IF(INDIRECT("'"&amp;A1114&amp;"'!"&amp;B1114)&lt;0,TRUE,FALSE))</f>
        <v>0</v>
      </c>
      <c r="E1114" t="s">
        <v>434</v>
      </c>
      <c r="F1114" t="str">
        <f>INDEX(Lists!I:I,MATCH(Validation!E1114,Lists!G:G,0))</f>
        <v>Error</v>
      </c>
      <c r="G1114" t="str">
        <f>INDEX(Lists!H:H,MATCH(Validation!E1114,Lists!G:G,0))</f>
        <v>Amount may not be negative. Enter an amount greater than or equal to zero.</v>
      </c>
      <c r="H1114" s="25" t="str">
        <f t="shared" ca="1" si="180"/>
        <v/>
      </c>
      <c r="I1114" s="25" t="str">
        <f t="shared" ca="1" si="181"/>
        <v/>
      </c>
      <c r="J1114" s="26" t="str">
        <f t="shared" ca="1" si="182"/>
        <v/>
      </c>
    </row>
    <row r="1115" spans="1:10" x14ac:dyDescent="0.25">
      <c r="A1115" t="s">
        <v>302</v>
      </c>
      <c r="B1115" t="str">
        <f>ADDRESS(ROW('Bond 1'!$C$24),COLUMN('Bond 1'!$C$24),4)</f>
        <v>C24</v>
      </c>
      <c r="C1115" t="str">
        <f>ADDRESS(ROW('Bond 1'!$D$24),COLUMN('Bond 1'!$D$24),4)</f>
        <v>D24</v>
      </c>
      <c r="D1115" t="b" cm="1">
        <f t="array" aca="1" ref="D1115" ca="1">IF(INDIRECT("'"&amp;A1115&amp;"'!"&amp;B1115)="",FALSE,IF(INDIRECT("'"&amp;A1115&amp;"'!"&amp;B1115)&lt;0,TRUE,FALSE))</f>
        <v>0</v>
      </c>
      <c r="E1115" t="s">
        <v>434</v>
      </c>
      <c r="F1115" t="str">
        <f>INDEX(Lists!I:I,MATCH(Validation!E1115,Lists!G:G,0))</f>
        <v>Error</v>
      </c>
      <c r="G1115" t="str">
        <f>INDEX(Lists!H:H,MATCH(Validation!E1115,Lists!G:G,0))</f>
        <v>Amount may not be negative. Enter an amount greater than or equal to zero.</v>
      </c>
      <c r="H1115" s="25" t="str">
        <f t="shared" ca="1" si="180"/>
        <v/>
      </c>
      <c r="I1115" s="25" t="str">
        <f t="shared" ca="1" si="181"/>
        <v/>
      </c>
      <c r="J1115" s="26" t="str">
        <f t="shared" ca="1" si="182"/>
        <v/>
      </c>
    </row>
    <row r="1116" spans="1:10" x14ac:dyDescent="0.25">
      <c r="A1116" t="s">
        <v>303</v>
      </c>
      <c r="B1116" t="str">
        <f>ADDRESS(ROW('Bond 1'!$C$24),COLUMN('Bond 1'!$C$24),4)</f>
        <v>C24</v>
      </c>
      <c r="C1116" t="str">
        <f>ADDRESS(ROW('Bond 1'!$D$24),COLUMN('Bond 1'!$D$24),4)</f>
        <v>D24</v>
      </c>
      <c r="D1116" t="b" cm="1">
        <f t="array" aca="1" ref="D1116" ca="1">IF(INDIRECT("'"&amp;A1116&amp;"'!"&amp;B1116)="",FALSE,IF(INDIRECT("'"&amp;A1116&amp;"'!"&amp;B1116)&lt;0,TRUE,FALSE))</f>
        <v>0</v>
      </c>
      <c r="E1116" t="s">
        <v>434</v>
      </c>
      <c r="F1116" t="str">
        <f>INDEX(Lists!I:I,MATCH(Validation!E1116,Lists!G:G,0))</f>
        <v>Error</v>
      </c>
      <c r="G1116" t="str">
        <f>INDEX(Lists!H:H,MATCH(Validation!E1116,Lists!G:G,0))</f>
        <v>Amount may not be negative. Enter an amount greater than or equal to zero.</v>
      </c>
      <c r="H1116" s="25" t="str">
        <f t="shared" ca="1" si="180"/>
        <v/>
      </c>
      <c r="I1116" s="25" t="str">
        <f t="shared" ca="1" si="181"/>
        <v/>
      </c>
      <c r="J1116" s="26" t="str">
        <f t="shared" ca="1" si="182"/>
        <v/>
      </c>
    </row>
    <row r="1117" spans="1:10" x14ac:dyDescent="0.25">
      <c r="A1117" t="s">
        <v>304</v>
      </c>
      <c r="B1117" t="str">
        <f>ADDRESS(ROW('Bond 1'!$C$24),COLUMN('Bond 1'!$C$24),4)</f>
        <v>C24</v>
      </c>
      <c r="C1117" t="str">
        <f>ADDRESS(ROW('Bond 1'!$D$24),COLUMN('Bond 1'!$D$24),4)</f>
        <v>D24</v>
      </c>
      <c r="D1117" t="b" cm="1">
        <f t="array" aca="1" ref="D1117" ca="1">IF(INDIRECT("'"&amp;A1117&amp;"'!"&amp;B1117)="",FALSE,IF(INDIRECT("'"&amp;A1117&amp;"'!"&amp;B1117)&lt;0,TRUE,FALSE))</f>
        <v>0</v>
      </c>
      <c r="E1117" t="s">
        <v>434</v>
      </c>
      <c r="F1117" t="str">
        <f>INDEX(Lists!I:I,MATCH(Validation!E1117,Lists!G:G,0))</f>
        <v>Error</v>
      </c>
      <c r="G1117" t="str">
        <f>INDEX(Lists!H:H,MATCH(Validation!E1117,Lists!G:G,0))</f>
        <v>Amount may not be negative. Enter an amount greater than or equal to zero.</v>
      </c>
      <c r="H1117" s="25" t="str">
        <f t="shared" ca="1" si="180"/>
        <v/>
      </c>
      <c r="I1117" s="25" t="str">
        <f t="shared" ca="1" si="181"/>
        <v/>
      </c>
      <c r="J1117" s="26" t="str">
        <f t="shared" ca="1" si="182"/>
        <v/>
      </c>
    </row>
    <row r="1118" spans="1:10" x14ac:dyDescent="0.25">
      <c r="A1118" t="s">
        <v>305</v>
      </c>
      <c r="B1118" t="str">
        <f>ADDRESS(ROW('Bond 1'!$C$24),COLUMN('Bond 1'!$C$24),4)</f>
        <v>C24</v>
      </c>
      <c r="C1118" t="str">
        <f>ADDRESS(ROW('Bond 1'!$D$24),COLUMN('Bond 1'!$D$24),4)</f>
        <v>D24</v>
      </c>
      <c r="D1118" t="b" cm="1">
        <f t="array" aca="1" ref="D1118" ca="1">IF(INDIRECT("'"&amp;A1118&amp;"'!"&amp;B1118)="",FALSE,IF(INDIRECT("'"&amp;A1118&amp;"'!"&amp;B1118)&lt;0,TRUE,FALSE))</f>
        <v>0</v>
      </c>
      <c r="E1118" t="s">
        <v>434</v>
      </c>
      <c r="F1118" t="str">
        <f>INDEX(Lists!I:I,MATCH(Validation!E1118,Lists!G:G,0))</f>
        <v>Error</v>
      </c>
      <c r="G1118" t="str">
        <f>INDEX(Lists!H:H,MATCH(Validation!E1118,Lists!G:G,0))</f>
        <v>Amount may not be negative. Enter an amount greater than or equal to zero.</v>
      </c>
      <c r="H1118" s="25" t="str">
        <f t="shared" ca="1" si="180"/>
        <v/>
      </c>
      <c r="I1118" s="25" t="str">
        <f t="shared" ca="1" si="181"/>
        <v/>
      </c>
      <c r="J1118" s="26" t="str">
        <f t="shared" ca="1" si="182"/>
        <v/>
      </c>
    </row>
    <row r="1119" spans="1:10" x14ac:dyDescent="0.25">
      <c r="A1119" t="s">
        <v>306</v>
      </c>
      <c r="B1119" t="str">
        <f>ADDRESS(ROW('Bond 1'!$C$24),COLUMN('Bond 1'!$C$24),4)</f>
        <v>C24</v>
      </c>
      <c r="C1119" t="str">
        <f>ADDRESS(ROW('Bond 1'!$D$24),COLUMN('Bond 1'!$D$24),4)</f>
        <v>D24</v>
      </c>
      <c r="D1119" t="b" cm="1">
        <f t="array" aca="1" ref="D1119" ca="1">IF(INDIRECT("'"&amp;A1119&amp;"'!"&amp;B1119)="",FALSE,IF(INDIRECT("'"&amp;A1119&amp;"'!"&amp;B1119)&lt;0,TRUE,FALSE))</f>
        <v>0</v>
      </c>
      <c r="E1119" t="s">
        <v>434</v>
      </c>
      <c r="F1119" t="str">
        <f>INDEX(Lists!I:I,MATCH(Validation!E1119,Lists!G:G,0))</f>
        <v>Error</v>
      </c>
      <c r="G1119" t="str">
        <f>INDEX(Lists!H:H,MATCH(Validation!E1119,Lists!G:G,0))</f>
        <v>Amount may not be negative. Enter an amount greater than or equal to zero.</v>
      </c>
      <c r="H1119" s="25" t="str">
        <f t="shared" ca="1" si="180"/>
        <v/>
      </c>
      <c r="I1119" s="25" t="str">
        <f t="shared" ca="1" si="181"/>
        <v/>
      </c>
      <c r="J1119" s="26" t="str">
        <f t="shared" ca="1" si="182"/>
        <v/>
      </c>
    </row>
    <row r="1120" spans="1:10" x14ac:dyDescent="0.25">
      <c r="A1120" t="s">
        <v>307</v>
      </c>
      <c r="B1120" t="str">
        <f>ADDRESS(ROW('Bond 1'!$C$24),COLUMN('Bond 1'!$C$24),4)</f>
        <v>C24</v>
      </c>
      <c r="C1120" t="str">
        <f>ADDRESS(ROW('Bond 1'!$D$24),COLUMN('Bond 1'!$D$24),4)</f>
        <v>D24</v>
      </c>
      <c r="D1120" t="b" cm="1">
        <f t="array" aca="1" ref="D1120" ca="1">IF(INDIRECT("'"&amp;A1120&amp;"'!"&amp;B1120)="",FALSE,IF(INDIRECT("'"&amp;A1120&amp;"'!"&amp;B1120)&lt;0,TRUE,FALSE))</f>
        <v>0</v>
      </c>
      <c r="E1120" t="s">
        <v>434</v>
      </c>
      <c r="F1120" t="str">
        <f>INDEX(Lists!I:I,MATCH(Validation!E1120,Lists!G:G,0))</f>
        <v>Error</v>
      </c>
      <c r="G1120" t="str">
        <f>INDEX(Lists!H:H,MATCH(Validation!E1120,Lists!G:G,0))</f>
        <v>Amount may not be negative. Enter an amount greater than or equal to zero.</v>
      </c>
      <c r="H1120" s="25" t="str">
        <f t="shared" ca="1" si="180"/>
        <v/>
      </c>
      <c r="I1120" s="25" t="str">
        <f t="shared" ca="1" si="181"/>
        <v/>
      </c>
      <c r="J1120" s="26" t="str">
        <f t="shared" ca="1" si="182"/>
        <v/>
      </c>
    </row>
    <row r="1121" spans="1:10" x14ac:dyDescent="0.25">
      <c r="A1121" t="s">
        <v>308</v>
      </c>
      <c r="B1121" t="str">
        <f>ADDRESS(ROW('Bond 1'!$C$24),COLUMN('Bond 1'!$C$24),4)</f>
        <v>C24</v>
      </c>
      <c r="C1121" t="str">
        <f>ADDRESS(ROW('Bond 1'!$D$24),COLUMN('Bond 1'!$D$24),4)</f>
        <v>D24</v>
      </c>
      <c r="D1121" t="b" cm="1">
        <f t="array" aca="1" ref="D1121" ca="1">IF(INDIRECT("'"&amp;A1121&amp;"'!"&amp;B1121)="",FALSE,IF(INDIRECT("'"&amp;A1121&amp;"'!"&amp;B1121)&lt;0,TRUE,FALSE))</f>
        <v>0</v>
      </c>
      <c r="E1121" t="s">
        <v>434</v>
      </c>
      <c r="F1121" t="str">
        <f>INDEX(Lists!I:I,MATCH(Validation!E1121,Lists!G:G,0))</f>
        <v>Error</v>
      </c>
      <c r="G1121" t="str">
        <f>INDEX(Lists!H:H,MATCH(Validation!E1121,Lists!G:G,0))</f>
        <v>Amount may not be negative. Enter an amount greater than or equal to zero.</v>
      </c>
      <c r="H1121" s="25" t="str">
        <f t="shared" ca="1" si="180"/>
        <v/>
      </c>
      <c r="I1121" s="25" t="str">
        <f t="shared" ca="1" si="181"/>
        <v/>
      </c>
      <c r="J1121" s="26" t="str">
        <f t="shared" ca="1" si="182"/>
        <v/>
      </c>
    </row>
    <row r="1122" spans="1:10" x14ac:dyDescent="0.25">
      <c r="A1122" t="s">
        <v>309</v>
      </c>
      <c r="B1122" t="str">
        <f>ADDRESS(ROW('Bond 1'!$C$24),COLUMN('Bond 1'!$C$24),4)</f>
        <v>C24</v>
      </c>
      <c r="C1122" t="str">
        <f>ADDRESS(ROW('Bond 1'!$D$24),COLUMN('Bond 1'!$D$24),4)</f>
        <v>D24</v>
      </c>
      <c r="D1122" t="b" cm="1">
        <f t="array" aca="1" ref="D1122" ca="1">IF(INDIRECT("'"&amp;A1122&amp;"'!"&amp;B1122)="",FALSE,IF(INDIRECT("'"&amp;A1122&amp;"'!"&amp;B1122)&lt;0,TRUE,FALSE))</f>
        <v>0</v>
      </c>
      <c r="E1122" t="s">
        <v>434</v>
      </c>
      <c r="F1122" t="str">
        <f>INDEX(Lists!I:I,MATCH(Validation!E1122,Lists!G:G,0))</f>
        <v>Error</v>
      </c>
      <c r="G1122" t="str">
        <f>INDEX(Lists!H:H,MATCH(Validation!E1122,Lists!G:G,0))</f>
        <v>Amount may not be negative. Enter an amount greater than or equal to zero.</v>
      </c>
      <c r="H1122" s="25" t="str">
        <f t="shared" ca="1" si="180"/>
        <v/>
      </c>
      <c r="I1122" s="25" t="str">
        <f t="shared" ca="1" si="181"/>
        <v/>
      </c>
      <c r="J1122" s="26" t="str">
        <f t="shared" ca="1" si="182"/>
        <v/>
      </c>
    </row>
    <row r="1123" spans="1:10" x14ac:dyDescent="0.25">
      <c r="A1123" t="s">
        <v>310</v>
      </c>
      <c r="B1123" t="str">
        <f>ADDRESS(ROW('Bond 1'!$C$24),COLUMN('Bond 1'!$C$24),4)</f>
        <v>C24</v>
      </c>
      <c r="C1123" t="str">
        <f>ADDRESS(ROW('Bond 1'!$D$24),COLUMN('Bond 1'!$D$24),4)</f>
        <v>D24</v>
      </c>
      <c r="D1123" t="b" cm="1">
        <f t="array" aca="1" ref="D1123" ca="1">IF(INDIRECT("'"&amp;A1123&amp;"'!"&amp;B1123)="",FALSE,IF(INDIRECT("'"&amp;A1123&amp;"'!"&amp;B1123)&lt;0,TRUE,FALSE))</f>
        <v>0</v>
      </c>
      <c r="E1123" t="s">
        <v>434</v>
      </c>
      <c r="F1123" t="str">
        <f>INDEX(Lists!I:I,MATCH(Validation!E1123,Lists!G:G,0))</f>
        <v>Error</v>
      </c>
      <c r="G1123" t="str">
        <f>INDEX(Lists!H:H,MATCH(Validation!E1123,Lists!G:G,0))</f>
        <v>Amount may not be negative. Enter an amount greater than or equal to zero.</v>
      </c>
      <c r="H1123" s="25" t="str">
        <f t="shared" ca="1" si="180"/>
        <v/>
      </c>
      <c r="I1123" s="25" t="str">
        <f t="shared" ca="1" si="181"/>
        <v/>
      </c>
      <c r="J1123" s="26" t="str">
        <f t="shared" ca="1" si="182"/>
        <v/>
      </c>
    </row>
    <row r="1124" spans="1:10" x14ac:dyDescent="0.25">
      <c r="A1124" t="s">
        <v>311</v>
      </c>
      <c r="B1124" t="str">
        <f>ADDRESS(ROW('Bond 1'!$C$24),COLUMN('Bond 1'!$C$24),4)</f>
        <v>C24</v>
      </c>
      <c r="C1124" t="str">
        <f>ADDRESS(ROW('Bond 1'!$D$24),COLUMN('Bond 1'!$D$24),4)</f>
        <v>D24</v>
      </c>
      <c r="D1124" t="b" cm="1">
        <f t="array" aca="1" ref="D1124" ca="1">IF(INDIRECT("'"&amp;A1124&amp;"'!"&amp;B1124)="",FALSE,IF(INDIRECT("'"&amp;A1124&amp;"'!"&amp;B1124)&lt;0,TRUE,FALSE))</f>
        <v>0</v>
      </c>
      <c r="E1124" t="s">
        <v>434</v>
      </c>
      <c r="F1124" t="str">
        <f>INDEX(Lists!I:I,MATCH(Validation!E1124,Lists!G:G,0))</f>
        <v>Error</v>
      </c>
      <c r="G1124" t="str">
        <f>INDEX(Lists!H:H,MATCH(Validation!E1124,Lists!G:G,0))</f>
        <v>Amount may not be negative. Enter an amount greater than or equal to zero.</v>
      </c>
      <c r="H1124" s="25" t="str">
        <f t="shared" ca="1" si="180"/>
        <v/>
      </c>
      <c r="I1124" s="25" t="str">
        <f t="shared" ca="1" si="181"/>
        <v/>
      </c>
      <c r="J1124" s="26" t="str">
        <f t="shared" ca="1" si="182"/>
        <v/>
      </c>
    </row>
    <row r="1125" spans="1:10" x14ac:dyDescent="0.25">
      <c r="A1125" t="s">
        <v>312</v>
      </c>
      <c r="B1125" t="str">
        <f>ADDRESS(ROW('Bond 1'!$C$24),COLUMN('Bond 1'!$C$24),4)</f>
        <v>C24</v>
      </c>
      <c r="C1125" t="str">
        <f>ADDRESS(ROW('Bond 1'!$D$24),COLUMN('Bond 1'!$D$24),4)</f>
        <v>D24</v>
      </c>
      <c r="D1125" t="b" cm="1">
        <f t="array" aca="1" ref="D1125" ca="1">IF(INDIRECT("'"&amp;A1125&amp;"'!"&amp;B1125)="",FALSE,IF(INDIRECT("'"&amp;A1125&amp;"'!"&amp;B1125)&lt;0,TRUE,FALSE))</f>
        <v>0</v>
      </c>
      <c r="E1125" t="s">
        <v>434</v>
      </c>
      <c r="F1125" t="str">
        <f>INDEX(Lists!I:I,MATCH(Validation!E1125,Lists!G:G,0))</f>
        <v>Error</v>
      </c>
      <c r="G1125" t="str">
        <f>INDEX(Lists!H:H,MATCH(Validation!E1125,Lists!G:G,0))</f>
        <v>Amount may not be negative. Enter an amount greater than or equal to zero.</v>
      </c>
      <c r="H1125" s="25" t="str">
        <f t="shared" ca="1" si="180"/>
        <v/>
      </c>
      <c r="I1125" s="25" t="str">
        <f t="shared" ca="1" si="181"/>
        <v/>
      </c>
      <c r="J1125" s="26" t="str">
        <f t="shared" ca="1" si="182"/>
        <v/>
      </c>
    </row>
    <row r="1126" spans="1:10" x14ac:dyDescent="0.25">
      <c r="A1126" t="s">
        <v>313</v>
      </c>
      <c r="B1126" t="str">
        <f>ADDRESS(ROW('Bond 1'!$C$24),COLUMN('Bond 1'!$C$24),4)</f>
        <v>C24</v>
      </c>
      <c r="C1126" t="str">
        <f>ADDRESS(ROW('Bond 1'!$D$24),COLUMN('Bond 1'!$D$24),4)</f>
        <v>D24</v>
      </c>
      <c r="D1126" t="b" cm="1">
        <f t="array" aca="1" ref="D1126" ca="1">IF(INDIRECT("'"&amp;A1126&amp;"'!"&amp;B1126)="",FALSE,IF(INDIRECT("'"&amp;A1126&amp;"'!"&amp;B1126)&lt;0,TRUE,FALSE))</f>
        <v>0</v>
      </c>
      <c r="E1126" t="s">
        <v>434</v>
      </c>
      <c r="F1126" t="str">
        <f>INDEX(Lists!I:I,MATCH(Validation!E1126,Lists!G:G,0))</f>
        <v>Error</v>
      </c>
      <c r="G1126" t="str">
        <f>INDEX(Lists!H:H,MATCH(Validation!E1126,Lists!G:G,0))</f>
        <v>Amount may not be negative. Enter an amount greater than or equal to zero.</v>
      </c>
      <c r="H1126" s="25" t="str">
        <f t="shared" ca="1" si="180"/>
        <v/>
      </c>
      <c r="I1126" s="25" t="str">
        <f t="shared" ca="1" si="181"/>
        <v/>
      </c>
      <c r="J1126" s="26" t="str">
        <f t="shared" ca="1" si="182"/>
        <v/>
      </c>
    </row>
    <row r="1127" spans="1:10" x14ac:dyDescent="0.25">
      <c r="A1127" t="s">
        <v>314</v>
      </c>
      <c r="B1127" t="str">
        <f>ADDRESS(ROW('Bond 1'!$C$24),COLUMN('Bond 1'!$C$24),4)</f>
        <v>C24</v>
      </c>
      <c r="C1127" t="str">
        <f>ADDRESS(ROW('Bond 1'!$D$24),COLUMN('Bond 1'!$D$24),4)</f>
        <v>D24</v>
      </c>
      <c r="D1127" t="b" cm="1">
        <f t="array" aca="1" ref="D1127" ca="1">IF(INDIRECT("'"&amp;A1127&amp;"'!"&amp;B1127)="",FALSE,IF(INDIRECT("'"&amp;A1127&amp;"'!"&amp;B1127)&lt;0,TRUE,FALSE))</f>
        <v>0</v>
      </c>
      <c r="E1127" t="s">
        <v>434</v>
      </c>
      <c r="F1127" t="str">
        <f>INDEX(Lists!I:I,MATCH(Validation!E1127,Lists!G:G,0))</f>
        <v>Error</v>
      </c>
      <c r="G1127" t="str">
        <f>INDEX(Lists!H:H,MATCH(Validation!E1127,Lists!G:G,0))</f>
        <v>Amount may not be negative. Enter an amount greater than or equal to zero.</v>
      </c>
      <c r="H1127" s="25" t="str">
        <f t="shared" ca="1" si="180"/>
        <v/>
      </c>
      <c r="I1127" s="25" t="str">
        <f t="shared" ca="1" si="181"/>
        <v/>
      </c>
      <c r="J1127" s="26" t="str">
        <f t="shared" ca="1" si="182"/>
        <v/>
      </c>
    </row>
    <row r="1128" spans="1:10" x14ac:dyDescent="0.25">
      <c r="A1128" t="s">
        <v>315</v>
      </c>
      <c r="B1128" t="str">
        <f>ADDRESS(ROW('Bond 1'!$C$24),COLUMN('Bond 1'!$C$24),4)</f>
        <v>C24</v>
      </c>
      <c r="C1128" t="str">
        <f>ADDRESS(ROW('Bond 1'!$D$24),COLUMN('Bond 1'!$D$24),4)</f>
        <v>D24</v>
      </c>
      <c r="D1128" t="b" cm="1">
        <f t="array" aca="1" ref="D1128" ca="1">IF(INDIRECT("'"&amp;A1128&amp;"'!"&amp;B1128)="",FALSE,IF(INDIRECT("'"&amp;A1128&amp;"'!"&amp;B1128)&lt;0,TRUE,FALSE))</f>
        <v>0</v>
      </c>
      <c r="E1128" t="s">
        <v>434</v>
      </c>
      <c r="F1128" t="str">
        <f>INDEX(Lists!I:I,MATCH(Validation!E1128,Lists!G:G,0))</f>
        <v>Error</v>
      </c>
      <c r="G1128" t="str">
        <f>INDEX(Lists!H:H,MATCH(Validation!E1128,Lists!G:G,0))</f>
        <v>Amount may not be negative. Enter an amount greater than or equal to zero.</v>
      </c>
      <c r="H1128" s="25" t="str">
        <f t="shared" ca="1" si="180"/>
        <v/>
      </c>
      <c r="I1128" s="25" t="str">
        <f t="shared" ca="1" si="181"/>
        <v/>
      </c>
      <c r="J1128" s="26" t="str">
        <f t="shared" ca="1" si="182"/>
        <v/>
      </c>
    </row>
    <row r="1129" spans="1:10" x14ac:dyDescent="0.25">
      <c r="A1129" t="s">
        <v>198</v>
      </c>
      <c r="B1129" t="str">
        <f>ADDRESS(ROW('Bond 1'!$C$24),COLUMN('Bond 1'!$C$24),4)</f>
        <v>C24</v>
      </c>
      <c r="C1129" t="str">
        <f>ADDRESS(ROW('Bond 1'!$D$24),COLUMN('Bond 1'!$D$24),4)</f>
        <v>D24</v>
      </c>
      <c r="D1129" t="b" cm="1">
        <f t="array" aca="1" ref="D1129" ca="1">IF(INDIRECT("'"&amp;A1129&amp;"'!"&amp;B1129)="",FALSE,IF(TRUNC(INDIRECT("'"&amp;A1129&amp;"'!"&amp;B1129))=INDIRECT("'"&amp;A1129&amp;"'!"&amp;B1129),FALSE,TRUE))</f>
        <v>0</v>
      </c>
      <c r="E1129" t="s">
        <v>436</v>
      </c>
      <c r="F1129" t="str">
        <f>INDEX(Lists!I:I,MATCH(Validation!E1129,Lists!G:G,0))</f>
        <v>Error</v>
      </c>
      <c r="G1129" t="str">
        <f>INDEX(Lists!H:H,MATCH(Validation!E1129,Lists!G:G,0))</f>
        <v>Amount must be rounded to the nearest dollar.</v>
      </c>
      <c r="H1129" s="25" t="str">
        <f t="shared" ca="1" si="180"/>
        <v/>
      </c>
      <c r="I1129" s="25" t="str">
        <f t="shared" ca="1" si="181"/>
        <v/>
      </c>
      <c r="J1129" s="26" t="str">
        <f t="shared" ca="1" si="182"/>
        <v/>
      </c>
    </row>
    <row r="1130" spans="1:10" x14ac:dyDescent="0.25">
      <c r="A1130" t="s">
        <v>302</v>
      </c>
      <c r="B1130" t="str">
        <f>ADDRESS(ROW('Bond 1'!$C$24),COLUMN('Bond 1'!$C$24),4)</f>
        <v>C24</v>
      </c>
      <c r="C1130" t="str">
        <f>ADDRESS(ROW('Bond 1'!$D$24),COLUMN('Bond 1'!$D$24),4)</f>
        <v>D24</v>
      </c>
      <c r="D1130" t="b" cm="1">
        <f t="array" aca="1" ref="D1130" ca="1">IF(INDIRECT("'"&amp;A1130&amp;"'!"&amp;B1130)="",FALSE,IF(TRUNC(INDIRECT("'"&amp;A1130&amp;"'!"&amp;B1130))=INDIRECT("'"&amp;A1130&amp;"'!"&amp;B1130),FALSE,TRUE))</f>
        <v>0</v>
      </c>
      <c r="E1130" t="s">
        <v>436</v>
      </c>
      <c r="F1130" t="str">
        <f>INDEX(Lists!I:I,MATCH(Validation!E1130,Lists!G:G,0))</f>
        <v>Error</v>
      </c>
      <c r="G1130" t="str">
        <f>INDEX(Lists!H:H,MATCH(Validation!E1130,Lists!G:G,0))</f>
        <v>Amount must be rounded to the nearest dollar.</v>
      </c>
      <c r="H1130" s="25" t="str">
        <f t="shared" ca="1" si="180"/>
        <v/>
      </c>
      <c r="I1130" s="25" t="str">
        <f t="shared" ca="1" si="181"/>
        <v/>
      </c>
      <c r="J1130" s="26" t="str">
        <f t="shared" ca="1" si="182"/>
        <v/>
      </c>
    </row>
    <row r="1131" spans="1:10" x14ac:dyDescent="0.25">
      <c r="A1131" t="s">
        <v>303</v>
      </c>
      <c r="B1131" t="str">
        <f>ADDRESS(ROW('Bond 1'!$C$24),COLUMN('Bond 1'!$C$24),4)</f>
        <v>C24</v>
      </c>
      <c r="C1131" t="str">
        <f>ADDRESS(ROW('Bond 1'!$D$24),COLUMN('Bond 1'!$D$24),4)</f>
        <v>D24</v>
      </c>
      <c r="D1131" t="b" cm="1">
        <f t="array" aca="1" ref="D1131" ca="1">IF(INDIRECT("'"&amp;A1131&amp;"'!"&amp;B1131)="",FALSE,IF(TRUNC(INDIRECT("'"&amp;A1131&amp;"'!"&amp;B1131))=INDIRECT("'"&amp;A1131&amp;"'!"&amp;B1131),FALSE,TRUE))</f>
        <v>0</v>
      </c>
      <c r="E1131" t="s">
        <v>436</v>
      </c>
      <c r="F1131" t="str">
        <f>INDEX(Lists!I:I,MATCH(Validation!E1131,Lists!G:G,0))</f>
        <v>Error</v>
      </c>
      <c r="G1131" t="str">
        <f>INDEX(Lists!H:H,MATCH(Validation!E1131,Lists!G:G,0))</f>
        <v>Amount must be rounded to the nearest dollar.</v>
      </c>
      <c r="H1131" s="25" t="str">
        <f t="shared" ca="1" si="180"/>
        <v/>
      </c>
      <c r="I1131" s="25" t="str">
        <f t="shared" ca="1" si="181"/>
        <v/>
      </c>
      <c r="J1131" s="26" t="str">
        <f t="shared" ca="1" si="182"/>
        <v/>
      </c>
    </row>
    <row r="1132" spans="1:10" x14ac:dyDescent="0.25">
      <c r="A1132" t="s">
        <v>304</v>
      </c>
      <c r="B1132" t="str">
        <f>ADDRESS(ROW('Bond 1'!$C$24),COLUMN('Bond 1'!$C$24),4)</f>
        <v>C24</v>
      </c>
      <c r="C1132" t="str">
        <f>ADDRESS(ROW('Bond 1'!$D$24),COLUMN('Bond 1'!$D$24),4)</f>
        <v>D24</v>
      </c>
      <c r="D1132" t="b" cm="1">
        <f t="array" aca="1" ref="D1132" ca="1">IF(INDIRECT("'"&amp;A1132&amp;"'!"&amp;B1132)="",FALSE,IF(TRUNC(INDIRECT("'"&amp;A1132&amp;"'!"&amp;B1132))=INDIRECT("'"&amp;A1132&amp;"'!"&amp;B1132),FALSE,TRUE))</f>
        <v>0</v>
      </c>
      <c r="E1132" t="s">
        <v>436</v>
      </c>
      <c r="F1132" t="str">
        <f>INDEX(Lists!I:I,MATCH(Validation!E1132,Lists!G:G,0))</f>
        <v>Error</v>
      </c>
      <c r="G1132" t="str">
        <f>INDEX(Lists!H:H,MATCH(Validation!E1132,Lists!G:G,0))</f>
        <v>Amount must be rounded to the nearest dollar.</v>
      </c>
      <c r="H1132" s="25" t="str">
        <f t="shared" ca="1" si="180"/>
        <v/>
      </c>
      <c r="I1132" s="25" t="str">
        <f t="shared" ca="1" si="181"/>
        <v/>
      </c>
      <c r="J1132" s="26" t="str">
        <f t="shared" ca="1" si="182"/>
        <v/>
      </c>
    </row>
    <row r="1133" spans="1:10" x14ac:dyDescent="0.25">
      <c r="A1133" t="s">
        <v>305</v>
      </c>
      <c r="B1133" t="str">
        <f>ADDRESS(ROW('Bond 1'!$C$24),COLUMN('Bond 1'!$C$24),4)</f>
        <v>C24</v>
      </c>
      <c r="C1133" t="str">
        <f>ADDRESS(ROW('Bond 1'!$D$24),COLUMN('Bond 1'!$D$24),4)</f>
        <v>D24</v>
      </c>
      <c r="D1133" t="b" cm="1">
        <f t="array" aca="1" ref="D1133" ca="1">IF(INDIRECT("'"&amp;A1133&amp;"'!"&amp;B1133)="",FALSE,IF(TRUNC(INDIRECT("'"&amp;A1133&amp;"'!"&amp;B1133))=INDIRECT("'"&amp;A1133&amp;"'!"&amp;B1133),FALSE,TRUE))</f>
        <v>0</v>
      </c>
      <c r="E1133" t="s">
        <v>436</v>
      </c>
      <c r="F1133" t="str">
        <f>INDEX(Lists!I:I,MATCH(Validation!E1133,Lists!G:G,0))</f>
        <v>Error</v>
      </c>
      <c r="G1133" t="str">
        <f>INDEX(Lists!H:H,MATCH(Validation!E1133,Lists!G:G,0))</f>
        <v>Amount must be rounded to the nearest dollar.</v>
      </c>
      <c r="H1133" s="25" t="str">
        <f t="shared" ca="1" si="180"/>
        <v/>
      </c>
      <c r="I1133" s="25" t="str">
        <f t="shared" ca="1" si="181"/>
        <v/>
      </c>
      <c r="J1133" s="26" t="str">
        <f t="shared" ca="1" si="182"/>
        <v/>
      </c>
    </row>
    <row r="1134" spans="1:10" x14ac:dyDescent="0.25">
      <c r="A1134" t="s">
        <v>306</v>
      </c>
      <c r="B1134" t="str">
        <f>ADDRESS(ROW('Bond 1'!$C$24),COLUMN('Bond 1'!$C$24),4)</f>
        <v>C24</v>
      </c>
      <c r="C1134" t="str">
        <f>ADDRESS(ROW('Bond 1'!$D$24),COLUMN('Bond 1'!$D$24),4)</f>
        <v>D24</v>
      </c>
      <c r="D1134" t="b" cm="1">
        <f t="array" aca="1" ref="D1134" ca="1">IF(INDIRECT("'"&amp;A1134&amp;"'!"&amp;B1134)="",FALSE,IF(TRUNC(INDIRECT("'"&amp;A1134&amp;"'!"&amp;B1134))=INDIRECT("'"&amp;A1134&amp;"'!"&amp;B1134),FALSE,TRUE))</f>
        <v>0</v>
      </c>
      <c r="E1134" t="s">
        <v>436</v>
      </c>
      <c r="F1134" t="str">
        <f>INDEX(Lists!I:I,MATCH(Validation!E1134,Lists!G:G,0))</f>
        <v>Error</v>
      </c>
      <c r="G1134" t="str">
        <f>INDEX(Lists!H:H,MATCH(Validation!E1134,Lists!G:G,0))</f>
        <v>Amount must be rounded to the nearest dollar.</v>
      </c>
      <c r="H1134" s="25" t="str">
        <f t="shared" ca="1" si="180"/>
        <v/>
      </c>
      <c r="I1134" s="25" t="str">
        <f t="shared" ca="1" si="181"/>
        <v/>
      </c>
      <c r="J1134" s="26" t="str">
        <f t="shared" ca="1" si="182"/>
        <v/>
      </c>
    </row>
    <row r="1135" spans="1:10" x14ac:dyDescent="0.25">
      <c r="A1135" t="s">
        <v>307</v>
      </c>
      <c r="B1135" t="str">
        <f>ADDRESS(ROW('Bond 1'!$C$24),COLUMN('Bond 1'!$C$24),4)</f>
        <v>C24</v>
      </c>
      <c r="C1135" t="str">
        <f>ADDRESS(ROW('Bond 1'!$D$24),COLUMN('Bond 1'!$D$24),4)</f>
        <v>D24</v>
      </c>
      <c r="D1135" t="b" cm="1">
        <f t="array" aca="1" ref="D1135" ca="1">IF(INDIRECT("'"&amp;A1135&amp;"'!"&amp;B1135)="",FALSE,IF(TRUNC(INDIRECT("'"&amp;A1135&amp;"'!"&amp;B1135))=INDIRECT("'"&amp;A1135&amp;"'!"&amp;B1135),FALSE,TRUE))</f>
        <v>0</v>
      </c>
      <c r="E1135" t="s">
        <v>436</v>
      </c>
      <c r="F1135" t="str">
        <f>INDEX(Lists!I:I,MATCH(Validation!E1135,Lists!G:G,0))</f>
        <v>Error</v>
      </c>
      <c r="G1135" t="str">
        <f>INDEX(Lists!H:H,MATCH(Validation!E1135,Lists!G:G,0))</f>
        <v>Amount must be rounded to the nearest dollar.</v>
      </c>
      <c r="H1135" s="25" t="str">
        <f t="shared" ca="1" si="180"/>
        <v/>
      </c>
      <c r="I1135" s="25" t="str">
        <f t="shared" ca="1" si="181"/>
        <v/>
      </c>
      <c r="J1135" s="26" t="str">
        <f t="shared" ca="1" si="182"/>
        <v/>
      </c>
    </row>
    <row r="1136" spans="1:10" x14ac:dyDescent="0.25">
      <c r="A1136" t="s">
        <v>308</v>
      </c>
      <c r="B1136" t="str">
        <f>ADDRESS(ROW('Bond 1'!$C$24),COLUMN('Bond 1'!$C$24),4)</f>
        <v>C24</v>
      </c>
      <c r="C1136" t="str">
        <f>ADDRESS(ROW('Bond 1'!$D$24),COLUMN('Bond 1'!$D$24),4)</f>
        <v>D24</v>
      </c>
      <c r="D1136" t="b" cm="1">
        <f t="array" aca="1" ref="D1136" ca="1">IF(INDIRECT("'"&amp;A1136&amp;"'!"&amp;B1136)="",FALSE,IF(TRUNC(INDIRECT("'"&amp;A1136&amp;"'!"&amp;B1136))=INDIRECT("'"&amp;A1136&amp;"'!"&amp;B1136),FALSE,TRUE))</f>
        <v>0</v>
      </c>
      <c r="E1136" t="s">
        <v>436</v>
      </c>
      <c r="F1136" t="str">
        <f>INDEX(Lists!I:I,MATCH(Validation!E1136,Lists!G:G,0))</f>
        <v>Error</v>
      </c>
      <c r="G1136" t="str">
        <f>INDEX(Lists!H:H,MATCH(Validation!E1136,Lists!G:G,0))</f>
        <v>Amount must be rounded to the nearest dollar.</v>
      </c>
      <c r="H1136" s="25" t="str">
        <f t="shared" ca="1" si="180"/>
        <v/>
      </c>
      <c r="I1136" s="25" t="str">
        <f t="shared" ca="1" si="181"/>
        <v/>
      </c>
      <c r="J1136" s="26" t="str">
        <f t="shared" ca="1" si="182"/>
        <v/>
      </c>
    </row>
    <row r="1137" spans="1:10" x14ac:dyDescent="0.25">
      <c r="A1137" t="s">
        <v>309</v>
      </c>
      <c r="B1137" t="str">
        <f>ADDRESS(ROW('Bond 1'!$C$24),COLUMN('Bond 1'!$C$24),4)</f>
        <v>C24</v>
      </c>
      <c r="C1137" t="str">
        <f>ADDRESS(ROW('Bond 1'!$D$24),COLUMN('Bond 1'!$D$24),4)</f>
        <v>D24</v>
      </c>
      <c r="D1137" t="b" cm="1">
        <f t="array" aca="1" ref="D1137" ca="1">IF(INDIRECT("'"&amp;A1137&amp;"'!"&amp;B1137)="",FALSE,IF(TRUNC(INDIRECT("'"&amp;A1137&amp;"'!"&amp;B1137))=INDIRECT("'"&amp;A1137&amp;"'!"&amp;B1137),FALSE,TRUE))</f>
        <v>0</v>
      </c>
      <c r="E1137" t="s">
        <v>436</v>
      </c>
      <c r="F1137" t="str">
        <f>INDEX(Lists!I:I,MATCH(Validation!E1137,Lists!G:G,0))</f>
        <v>Error</v>
      </c>
      <c r="G1137" t="str">
        <f>INDEX(Lists!H:H,MATCH(Validation!E1137,Lists!G:G,0))</f>
        <v>Amount must be rounded to the nearest dollar.</v>
      </c>
      <c r="H1137" s="25" t="str">
        <f t="shared" ca="1" si="180"/>
        <v/>
      </c>
      <c r="I1137" s="25" t="str">
        <f t="shared" ca="1" si="181"/>
        <v/>
      </c>
      <c r="J1137" s="26" t="str">
        <f t="shared" ca="1" si="182"/>
        <v/>
      </c>
    </row>
    <row r="1138" spans="1:10" x14ac:dyDescent="0.25">
      <c r="A1138" t="s">
        <v>310</v>
      </c>
      <c r="B1138" t="str">
        <f>ADDRESS(ROW('Bond 1'!$C$24),COLUMN('Bond 1'!$C$24),4)</f>
        <v>C24</v>
      </c>
      <c r="C1138" t="str">
        <f>ADDRESS(ROW('Bond 1'!$D$24),COLUMN('Bond 1'!$D$24),4)</f>
        <v>D24</v>
      </c>
      <c r="D1138" t="b" cm="1">
        <f t="array" aca="1" ref="D1138" ca="1">IF(INDIRECT("'"&amp;A1138&amp;"'!"&amp;B1138)="",FALSE,IF(TRUNC(INDIRECT("'"&amp;A1138&amp;"'!"&amp;B1138))=INDIRECT("'"&amp;A1138&amp;"'!"&amp;B1138),FALSE,TRUE))</f>
        <v>0</v>
      </c>
      <c r="E1138" t="s">
        <v>436</v>
      </c>
      <c r="F1138" t="str">
        <f>INDEX(Lists!I:I,MATCH(Validation!E1138,Lists!G:G,0))</f>
        <v>Error</v>
      </c>
      <c r="G1138" t="str">
        <f>INDEX(Lists!H:H,MATCH(Validation!E1138,Lists!G:G,0))</f>
        <v>Amount must be rounded to the nearest dollar.</v>
      </c>
      <c r="H1138" s="25" t="str">
        <f t="shared" ca="1" si="180"/>
        <v/>
      </c>
      <c r="I1138" s="25" t="str">
        <f t="shared" ca="1" si="181"/>
        <v/>
      </c>
      <c r="J1138" s="26" t="str">
        <f t="shared" ca="1" si="182"/>
        <v/>
      </c>
    </row>
    <row r="1139" spans="1:10" x14ac:dyDescent="0.25">
      <c r="A1139" t="s">
        <v>311</v>
      </c>
      <c r="B1139" t="str">
        <f>ADDRESS(ROW('Bond 1'!$C$24),COLUMN('Bond 1'!$C$24),4)</f>
        <v>C24</v>
      </c>
      <c r="C1139" t="str">
        <f>ADDRESS(ROW('Bond 1'!$D$24),COLUMN('Bond 1'!$D$24),4)</f>
        <v>D24</v>
      </c>
      <c r="D1139" t="b" cm="1">
        <f t="array" aca="1" ref="D1139" ca="1">IF(INDIRECT("'"&amp;A1139&amp;"'!"&amp;B1139)="",FALSE,IF(TRUNC(INDIRECT("'"&amp;A1139&amp;"'!"&amp;B1139))=INDIRECT("'"&amp;A1139&amp;"'!"&amp;B1139),FALSE,TRUE))</f>
        <v>0</v>
      </c>
      <c r="E1139" t="s">
        <v>436</v>
      </c>
      <c r="F1139" t="str">
        <f>INDEX(Lists!I:I,MATCH(Validation!E1139,Lists!G:G,0))</f>
        <v>Error</v>
      </c>
      <c r="G1139" t="str">
        <f>INDEX(Lists!H:H,MATCH(Validation!E1139,Lists!G:G,0))</f>
        <v>Amount must be rounded to the nearest dollar.</v>
      </c>
      <c r="H1139" s="25" t="str">
        <f t="shared" ca="1" si="180"/>
        <v/>
      </c>
      <c r="I1139" s="25" t="str">
        <f t="shared" ca="1" si="181"/>
        <v/>
      </c>
      <c r="J1139" s="26" t="str">
        <f t="shared" ca="1" si="182"/>
        <v/>
      </c>
    </row>
    <row r="1140" spans="1:10" x14ac:dyDescent="0.25">
      <c r="A1140" t="s">
        <v>312</v>
      </c>
      <c r="B1140" t="str">
        <f>ADDRESS(ROW('Bond 1'!$C$24),COLUMN('Bond 1'!$C$24),4)</f>
        <v>C24</v>
      </c>
      <c r="C1140" t="str">
        <f>ADDRESS(ROW('Bond 1'!$D$24),COLUMN('Bond 1'!$D$24),4)</f>
        <v>D24</v>
      </c>
      <c r="D1140" t="b" cm="1">
        <f t="array" aca="1" ref="D1140" ca="1">IF(INDIRECT("'"&amp;A1140&amp;"'!"&amp;B1140)="",FALSE,IF(TRUNC(INDIRECT("'"&amp;A1140&amp;"'!"&amp;B1140))=INDIRECT("'"&amp;A1140&amp;"'!"&amp;B1140),FALSE,TRUE))</f>
        <v>0</v>
      </c>
      <c r="E1140" t="s">
        <v>436</v>
      </c>
      <c r="F1140" t="str">
        <f>INDEX(Lists!I:I,MATCH(Validation!E1140,Lists!G:G,0))</f>
        <v>Error</v>
      </c>
      <c r="G1140" t="str">
        <f>INDEX(Lists!H:H,MATCH(Validation!E1140,Lists!G:G,0))</f>
        <v>Amount must be rounded to the nearest dollar.</v>
      </c>
      <c r="H1140" s="25" t="str">
        <f t="shared" ca="1" si="180"/>
        <v/>
      </c>
      <c r="I1140" s="25" t="str">
        <f t="shared" ca="1" si="181"/>
        <v/>
      </c>
      <c r="J1140" s="26" t="str">
        <f t="shared" ca="1" si="182"/>
        <v/>
      </c>
    </row>
    <row r="1141" spans="1:10" x14ac:dyDescent="0.25">
      <c r="A1141" t="s">
        <v>313</v>
      </c>
      <c r="B1141" t="str">
        <f>ADDRESS(ROW('Bond 1'!$C$24),COLUMN('Bond 1'!$C$24),4)</f>
        <v>C24</v>
      </c>
      <c r="C1141" t="str">
        <f>ADDRESS(ROW('Bond 1'!$D$24),COLUMN('Bond 1'!$D$24),4)</f>
        <v>D24</v>
      </c>
      <c r="D1141" t="b" cm="1">
        <f t="array" aca="1" ref="D1141" ca="1">IF(INDIRECT("'"&amp;A1141&amp;"'!"&amp;B1141)="",FALSE,IF(TRUNC(INDIRECT("'"&amp;A1141&amp;"'!"&amp;B1141))=INDIRECT("'"&amp;A1141&amp;"'!"&amp;B1141),FALSE,TRUE))</f>
        <v>0</v>
      </c>
      <c r="E1141" t="s">
        <v>436</v>
      </c>
      <c r="F1141" t="str">
        <f>INDEX(Lists!I:I,MATCH(Validation!E1141,Lists!G:G,0))</f>
        <v>Error</v>
      </c>
      <c r="G1141" t="str">
        <f>INDEX(Lists!H:H,MATCH(Validation!E1141,Lists!G:G,0))</f>
        <v>Amount must be rounded to the nearest dollar.</v>
      </c>
      <c r="H1141" s="25" t="str">
        <f t="shared" ca="1" si="180"/>
        <v/>
      </c>
      <c r="I1141" s="25" t="str">
        <f t="shared" ca="1" si="181"/>
        <v/>
      </c>
      <c r="J1141" s="26" t="str">
        <f t="shared" ca="1" si="182"/>
        <v/>
      </c>
    </row>
    <row r="1142" spans="1:10" x14ac:dyDescent="0.25">
      <c r="A1142" t="s">
        <v>314</v>
      </c>
      <c r="B1142" t="str">
        <f>ADDRESS(ROW('Bond 1'!$C$24),COLUMN('Bond 1'!$C$24),4)</f>
        <v>C24</v>
      </c>
      <c r="C1142" t="str">
        <f>ADDRESS(ROW('Bond 1'!$D$24),COLUMN('Bond 1'!$D$24),4)</f>
        <v>D24</v>
      </c>
      <c r="D1142" t="b" cm="1">
        <f t="array" aca="1" ref="D1142" ca="1">IF(INDIRECT("'"&amp;A1142&amp;"'!"&amp;B1142)="",FALSE,IF(TRUNC(INDIRECT("'"&amp;A1142&amp;"'!"&amp;B1142))=INDIRECT("'"&amp;A1142&amp;"'!"&amp;B1142),FALSE,TRUE))</f>
        <v>0</v>
      </c>
      <c r="E1142" t="s">
        <v>436</v>
      </c>
      <c r="F1142" t="str">
        <f>INDEX(Lists!I:I,MATCH(Validation!E1142,Lists!G:G,0))</f>
        <v>Error</v>
      </c>
      <c r="G1142" t="str">
        <f>INDEX(Lists!H:H,MATCH(Validation!E1142,Lists!G:G,0))</f>
        <v>Amount must be rounded to the nearest dollar.</v>
      </c>
      <c r="H1142" s="25" t="str">
        <f t="shared" ca="1" si="180"/>
        <v/>
      </c>
      <c r="I1142" s="25" t="str">
        <f t="shared" ca="1" si="181"/>
        <v/>
      </c>
      <c r="J1142" s="26" t="str">
        <f t="shared" ca="1" si="182"/>
        <v/>
      </c>
    </row>
    <row r="1143" spans="1:10" x14ac:dyDescent="0.25">
      <c r="A1143" t="s">
        <v>315</v>
      </c>
      <c r="B1143" t="str">
        <f>ADDRESS(ROW('Bond 1'!$C$24),COLUMN('Bond 1'!$C$24),4)</f>
        <v>C24</v>
      </c>
      <c r="C1143" t="str">
        <f>ADDRESS(ROW('Bond 1'!$D$24),COLUMN('Bond 1'!$D$24),4)</f>
        <v>D24</v>
      </c>
      <c r="D1143" t="b" cm="1">
        <f t="array" aca="1" ref="D1143" ca="1">IF(INDIRECT("'"&amp;A1143&amp;"'!"&amp;B1143)="",FALSE,IF(TRUNC(INDIRECT("'"&amp;A1143&amp;"'!"&amp;B1143))=INDIRECT("'"&amp;A1143&amp;"'!"&amp;B1143),FALSE,TRUE))</f>
        <v>0</v>
      </c>
      <c r="E1143" t="s">
        <v>436</v>
      </c>
      <c r="F1143" t="str">
        <f>INDEX(Lists!I:I,MATCH(Validation!E1143,Lists!G:G,0))</f>
        <v>Error</v>
      </c>
      <c r="G1143" t="str">
        <f>INDEX(Lists!H:H,MATCH(Validation!E1143,Lists!G:G,0))</f>
        <v>Amount must be rounded to the nearest dollar.</v>
      </c>
      <c r="H1143" s="25" t="str">
        <f t="shared" ca="1" si="180"/>
        <v/>
      </c>
      <c r="I1143" s="25" t="str">
        <f t="shared" ca="1" si="181"/>
        <v/>
      </c>
      <c r="J1143" s="26" t="str">
        <f t="shared" ca="1" si="182"/>
        <v/>
      </c>
    </row>
    <row r="1144" spans="1:10" x14ac:dyDescent="0.25">
      <c r="A1144" t="s">
        <v>198</v>
      </c>
      <c r="B1144" t="str">
        <f>ADDRESS(ROW('Bond 1'!$B$25),COLUMN('Bond 1'!$B$25),4)</f>
        <v>B25</v>
      </c>
      <c r="C1144" t="str">
        <f>ADDRESS(ROW('Bond 1'!$D$25),COLUMN('Bond 1'!$D$25),4)</f>
        <v>D25</v>
      </c>
      <c r="D1144" t="b" cm="1">
        <f t="array" aca="1" ref="D1144" ca="1">IF(INDIRECT("'"&amp;A1144&amp;"'!"&amp;B1144)="",FALSE,IF(NOT(ISNUMBER(INDIRECT("'"&amp;A1144&amp;"'!"&amp;B1144))),TRUE,FALSE))</f>
        <v>0</v>
      </c>
      <c r="E1144" t="s">
        <v>435</v>
      </c>
      <c r="F1144" t="str">
        <f>INDEX(Lists!I:I,MATCH(Validation!E1144,Lists!G:G,0))</f>
        <v>Error</v>
      </c>
      <c r="G1144" t="str">
        <f>INDEX(Lists!H:H,MATCH(Validation!E1144,Lists!G:G,0))</f>
        <v>Enter an amount only. Do not enter text or spaces.</v>
      </c>
      <c r="H1144" s="25" t="str">
        <f t="shared" ca="1" si="180"/>
        <v/>
      </c>
      <c r="I1144" s="25" t="str">
        <f t="shared" ca="1" si="181"/>
        <v/>
      </c>
      <c r="J1144" s="26" t="str">
        <f t="shared" ca="1" si="182"/>
        <v/>
      </c>
    </row>
    <row r="1145" spans="1:10" x14ac:dyDescent="0.25">
      <c r="A1145" t="s">
        <v>302</v>
      </c>
      <c r="B1145" t="str">
        <f>ADDRESS(ROW('Bond 1'!$B$25),COLUMN('Bond 1'!$B$25),4)</f>
        <v>B25</v>
      </c>
      <c r="C1145" t="str">
        <f>ADDRESS(ROW('Bond 1'!$D$25),COLUMN('Bond 1'!$D$25),4)</f>
        <v>D25</v>
      </c>
      <c r="D1145" t="b" cm="1">
        <f t="array" aca="1" ref="D1145" ca="1">IF(INDIRECT("'"&amp;A1145&amp;"'!"&amp;B1145)="",FALSE,IF(NOT(ISNUMBER(INDIRECT("'"&amp;A1145&amp;"'!"&amp;B1145))),TRUE,FALSE))</f>
        <v>0</v>
      </c>
      <c r="E1145" t="s">
        <v>435</v>
      </c>
      <c r="F1145" t="str">
        <f>INDEX(Lists!I:I,MATCH(Validation!E1145,Lists!G:G,0))</f>
        <v>Error</v>
      </c>
      <c r="G1145" t="str">
        <f>INDEX(Lists!H:H,MATCH(Validation!E1145,Lists!G:G,0))</f>
        <v>Enter an amount only. Do not enter text or spaces.</v>
      </c>
      <c r="H1145" s="25" t="str">
        <f t="shared" ref="H1145:H1208" ca="1" si="183">IFERROR(IF(OR(NOT(D1145),F1145&lt;&gt;"Error"),"",A1145&amp;CELL("address",INDIRECT(B1145))),"")</f>
        <v/>
      </c>
      <c r="I1145" s="25" t="str">
        <f t="shared" ref="I1145:I1208" ca="1" si="184">IFERROR(IF(NOT(D1145),"",A1145&amp;CELL("address",INDIRECT(C1145))),"")</f>
        <v/>
      </c>
      <c r="J1145" s="26" t="str">
        <f t="shared" ref="J1145:J1208" ca="1" si="185">IFERROR(IF(NOT(D1145),"",A1145),"")</f>
        <v/>
      </c>
    </row>
    <row r="1146" spans="1:10" x14ac:dyDescent="0.25">
      <c r="A1146" t="s">
        <v>303</v>
      </c>
      <c r="B1146" t="str">
        <f>ADDRESS(ROW('Bond 1'!$B$25),COLUMN('Bond 1'!$B$25),4)</f>
        <v>B25</v>
      </c>
      <c r="C1146" t="str">
        <f>ADDRESS(ROW('Bond 1'!$D$25),COLUMN('Bond 1'!$D$25),4)</f>
        <v>D25</v>
      </c>
      <c r="D1146" t="b" cm="1">
        <f t="array" aca="1" ref="D1146" ca="1">IF(INDIRECT("'"&amp;A1146&amp;"'!"&amp;B1146)="",FALSE,IF(NOT(ISNUMBER(INDIRECT("'"&amp;A1146&amp;"'!"&amp;B1146))),TRUE,FALSE))</f>
        <v>0</v>
      </c>
      <c r="E1146" t="s">
        <v>435</v>
      </c>
      <c r="F1146" t="str">
        <f>INDEX(Lists!I:I,MATCH(Validation!E1146,Lists!G:G,0))</f>
        <v>Error</v>
      </c>
      <c r="G1146" t="str">
        <f>INDEX(Lists!H:H,MATCH(Validation!E1146,Lists!G:G,0))</f>
        <v>Enter an amount only. Do not enter text or spaces.</v>
      </c>
      <c r="H1146" s="25" t="str">
        <f t="shared" ca="1" si="183"/>
        <v/>
      </c>
      <c r="I1146" s="25" t="str">
        <f t="shared" ca="1" si="184"/>
        <v/>
      </c>
      <c r="J1146" s="26" t="str">
        <f t="shared" ca="1" si="185"/>
        <v/>
      </c>
    </row>
    <row r="1147" spans="1:10" x14ac:dyDescent="0.25">
      <c r="A1147" t="s">
        <v>304</v>
      </c>
      <c r="B1147" t="str">
        <f>ADDRESS(ROW('Bond 1'!$B$25),COLUMN('Bond 1'!$B$25),4)</f>
        <v>B25</v>
      </c>
      <c r="C1147" t="str">
        <f>ADDRESS(ROW('Bond 1'!$D$25),COLUMN('Bond 1'!$D$25),4)</f>
        <v>D25</v>
      </c>
      <c r="D1147" t="b" cm="1">
        <f t="array" aca="1" ref="D1147" ca="1">IF(INDIRECT("'"&amp;A1147&amp;"'!"&amp;B1147)="",FALSE,IF(NOT(ISNUMBER(INDIRECT("'"&amp;A1147&amp;"'!"&amp;B1147))),TRUE,FALSE))</f>
        <v>0</v>
      </c>
      <c r="E1147" t="s">
        <v>435</v>
      </c>
      <c r="F1147" t="str">
        <f>INDEX(Lists!I:I,MATCH(Validation!E1147,Lists!G:G,0))</f>
        <v>Error</v>
      </c>
      <c r="G1147" t="str">
        <f>INDEX(Lists!H:H,MATCH(Validation!E1147,Lists!G:G,0))</f>
        <v>Enter an amount only. Do not enter text or spaces.</v>
      </c>
      <c r="H1147" s="25" t="str">
        <f t="shared" ca="1" si="183"/>
        <v/>
      </c>
      <c r="I1147" s="25" t="str">
        <f t="shared" ca="1" si="184"/>
        <v/>
      </c>
      <c r="J1147" s="26" t="str">
        <f t="shared" ca="1" si="185"/>
        <v/>
      </c>
    </row>
    <row r="1148" spans="1:10" x14ac:dyDescent="0.25">
      <c r="A1148" t="s">
        <v>305</v>
      </c>
      <c r="B1148" t="str">
        <f>ADDRESS(ROW('Bond 1'!$B$25),COLUMN('Bond 1'!$B$25),4)</f>
        <v>B25</v>
      </c>
      <c r="C1148" t="str">
        <f>ADDRESS(ROW('Bond 1'!$D$25),COLUMN('Bond 1'!$D$25),4)</f>
        <v>D25</v>
      </c>
      <c r="D1148" t="b" cm="1">
        <f t="array" aca="1" ref="D1148" ca="1">IF(INDIRECT("'"&amp;A1148&amp;"'!"&amp;B1148)="",FALSE,IF(NOT(ISNUMBER(INDIRECT("'"&amp;A1148&amp;"'!"&amp;B1148))),TRUE,FALSE))</f>
        <v>0</v>
      </c>
      <c r="E1148" t="s">
        <v>435</v>
      </c>
      <c r="F1148" t="str">
        <f>INDEX(Lists!I:I,MATCH(Validation!E1148,Lists!G:G,0))</f>
        <v>Error</v>
      </c>
      <c r="G1148" t="str">
        <f>INDEX(Lists!H:H,MATCH(Validation!E1148,Lists!G:G,0))</f>
        <v>Enter an amount only. Do not enter text or spaces.</v>
      </c>
      <c r="H1148" s="25" t="str">
        <f t="shared" ca="1" si="183"/>
        <v/>
      </c>
      <c r="I1148" s="25" t="str">
        <f t="shared" ca="1" si="184"/>
        <v/>
      </c>
      <c r="J1148" s="26" t="str">
        <f t="shared" ca="1" si="185"/>
        <v/>
      </c>
    </row>
    <row r="1149" spans="1:10" x14ac:dyDescent="0.25">
      <c r="A1149" t="s">
        <v>306</v>
      </c>
      <c r="B1149" t="str">
        <f>ADDRESS(ROW('Bond 1'!$B$25),COLUMN('Bond 1'!$B$25),4)</f>
        <v>B25</v>
      </c>
      <c r="C1149" t="str">
        <f>ADDRESS(ROW('Bond 1'!$D$25),COLUMN('Bond 1'!$D$25),4)</f>
        <v>D25</v>
      </c>
      <c r="D1149" t="b" cm="1">
        <f t="array" aca="1" ref="D1149" ca="1">IF(INDIRECT("'"&amp;A1149&amp;"'!"&amp;B1149)="",FALSE,IF(NOT(ISNUMBER(INDIRECT("'"&amp;A1149&amp;"'!"&amp;B1149))),TRUE,FALSE))</f>
        <v>0</v>
      </c>
      <c r="E1149" t="s">
        <v>435</v>
      </c>
      <c r="F1149" t="str">
        <f>INDEX(Lists!I:I,MATCH(Validation!E1149,Lists!G:G,0))</f>
        <v>Error</v>
      </c>
      <c r="G1149" t="str">
        <f>INDEX(Lists!H:H,MATCH(Validation!E1149,Lists!G:G,0))</f>
        <v>Enter an amount only. Do not enter text or spaces.</v>
      </c>
      <c r="H1149" s="25" t="str">
        <f t="shared" ca="1" si="183"/>
        <v/>
      </c>
      <c r="I1149" s="25" t="str">
        <f t="shared" ca="1" si="184"/>
        <v/>
      </c>
      <c r="J1149" s="26" t="str">
        <f t="shared" ca="1" si="185"/>
        <v/>
      </c>
    </row>
    <row r="1150" spans="1:10" x14ac:dyDescent="0.25">
      <c r="A1150" t="s">
        <v>307</v>
      </c>
      <c r="B1150" t="str">
        <f>ADDRESS(ROW('Bond 1'!$B$25),COLUMN('Bond 1'!$B$25),4)</f>
        <v>B25</v>
      </c>
      <c r="C1150" t="str">
        <f>ADDRESS(ROW('Bond 1'!$D$25),COLUMN('Bond 1'!$D$25),4)</f>
        <v>D25</v>
      </c>
      <c r="D1150" t="b" cm="1">
        <f t="array" aca="1" ref="D1150" ca="1">IF(INDIRECT("'"&amp;A1150&amp;"'!"&amp;B1150)="",FALSE,IF(NOT(ISNUMBER(INDIRECT("'"&amp;A1150&amp;"'!"&amp;B1150))),TRUE,FALSE))</f>
        <v>0</v>
      </c>
      <c r="E1150" t="s">
        <v>435</v>
      </c>
      <c r="F1150" t="str">
        <f>INDEX(Lists!I:I,MATCH(Validation!E1150,Lists!G:G,0))</f>
        <v>Error</v>
      </c>
      <c r="G1150" t="str">
        <f>INDEX(Lists!H:H,MATCH(Validation!E1150,Lists!G:G,0))</f>
        <v>Enter an amount only. Do not enter text or spaces.</v>
      </c>
      <c r="H1150" s="25" t="str">
        <f t="shared" ca="1" si="183"/>
        <v/>
      </c>
      <c r="I1150" s="25" t="str">
        <f t="shared" ca="1" si="184"/>
        <v/>
      </c>
      <c r="J1150" s="26" t="str">
        <f t="shared" ca="1" si="185"/>
        <v/>
      </c>
    </row>
    <row r="1151" spans="1:10" x14ac:dyDescent="0.25">
      <c r="A1151" t="s">
        <v>308</v>
      </c>
      <c r="B1151" t="str">
        <f>ADDRESS(ROW('Bond 1'!$B$25),COLUMN('Bond 1'!$B$25),4)</f>
        <v>B25</v>
      </c>
      <c r="C1151" t="str">
        <f>ADDRESS(ROW('Bond 1'!$D$25),COLUMN('Bond 1'!$D$25),4)</f>
        <v>D25</v>
      </c>
      <c r="D1151" t="b" cm="1">
        <f t="array" aca="1" ref="D1151" ca="1">IF(INDIRECT("'"&amp;A1151&amp;"'!"&amp;B1151)="",FALSE,IF(NOT(ISNUMBER(INDIRECT("'"&amp;A1151&amp;"'!"&amp;B1151))),TRUE,FALSE))</f>
        <v>0</v>
      </c>
      <c r="E1151" t="s">
        <v>435</v>
      </c>
      <c r="F1151" t="str">
        <f>INDEX(Lists!I:I,MATCH(Validation!E1151,Lists!G:G,0))</f>
        <v>Error</v>
      </c>
      <c r="G1151" t="str">
        <f>INDEX(Lists!H:H,MATCH(Validation!E1151,Lists!G:G,0))</f>
        <v>Enter an amount only. Do not enter text or spaces.</v>
      </c>
      <c r="H1151" s="25" t="str">
        <f t="shared" ca="1" si="183"/>
        <v/>
      </c>
      <c r="I1151" s="25" t="str">
        <f t="shared" ca="1" si="184"/>
        <v/>
      </c>
      <c r="J1151" s="26" t="str">
        <f t="shared" ca="1" si="185"/>
        <v/>
      </c>
    </row>
    <row r="1152" spans="1:10" x14ac:dyDescent="0.25">
      <c r="A1152" t="s">
        <v>309</v>
      </c>
      <c r="B1152" t="str">
        <f>ADDRESS(ROW('Bond 1'!$B$25),COLUMN('Bond 1'!$B$25),4)</f>
        <v>B25</v>
      </c>
      <c r="C1152" t="str">
        <f>ADDRESS(ROW('Bond 1'!$D$25),COLUMN('Bond 1'!$D$25),4)</f>
        <v>D25</v>
      </c>
      <c r="D1152" t="b" cm="1">
        <f t="array" aca="1" ref="D1152" ca="1">IF(INDIRECT("'"&amp;A1152&amp;"'!"&amp;B1152)="",FALSE,IF(NOT(ISNUMBER(INDIRECT("'"&amp;A1152&amp;"'!"&amp;B1152))),TRUE,FALSE))</f>
        <v>0</v>
      </c>
      <c r="E1152" t="s">
        <v>435</v>
      </c>
      <c r="F1152" t="str">
        <f>INDEX(Lists!I:I,MATCH(Validation!E1152,Lists!G:G,0))</f>
        <v>Error</v>
      </c>
      <c r="G1152" t="str">
        <f>INDEX(Lists!H:H,MATCH(Validation!E1152,Lists!G:G,0))</f>
        <v>Enter an amount only. Do not enter text or spaces.</v>
      </c>
      <c r="H1152" s="25" t="str">
        <f t="shared" ca="1" si="183"/>
        <v/>
      </c>
      <c r="I1152" s="25" t="str">
        <f t="shared" ca="1" si="184"/>
        <v/>
      </c>
      <c r="J1152" s="26" t="str">
        <f t="shared" ca="1" si="185"/>
        <v/>
      </c>
    </row>
    <row r="1153" spans="1:10" x14ac:dyDescent="0.25">
      <c r="A1153" t="s">
        <v>310</v>
      </c>
      <c r="B1153" t="str">
        <f>ADDRESS(ROW('Bond 1'!$B$25),COLUMN('Bond 1'!$B$25),4)</f>
        <v>B25</v>
      </c>
      <c r="C1153" t="str">
        <f>ADDRESS(ROW('Bond 1'!$D$25),COLUMN('Bond 1'!$D$25),4)</f>
        <v>D25</v>
      </c>
      <c r="D1153" t="b" cm="1">
        <f t="array" aca="1" ref="D1153" ca="1">IF(INDIRECT("'"&amp;A1153&amp;"'!"&amp;B1153)="",FALSE,IF(NOT(ISNUMBER(INDIRECT("'"&amp;A1153&amp;"'!"&amp;B1153))),TRUE,FALSE))</f>
        <v>0</v>
      </c>
      <c r="E1153" t="s">
        <v>435</v>
      </c>
      <c r="F1153" t="str">
        <f>INDEX(Lists!I:I,MATCH(Validation!E1153,Lists!G:G,0))</f>
        <v>Error</v>
      </c>
      <c r="G1153" t="str">
        <f>INDEX(Lists!H:H,MATCH(Validation!E1153,Lists!G:G,0))</f>
        <v>Enter an amount only. Do not enter text or spaces.</v>
      </c>
      <c r="H1153" s="25" t="str">
        <f t="shared" ca="1" si="183"/>
        <v/>
      </c>
      <c r="I1153" s="25" t="str">
        <f t="shared" ca="1" si="184"/>
        <v/>
      </c>
      <c r="J1153" s="26" t="str">
        <f t="shared" ca="1" si="185"/>
        <v/>
      </c>
    </row>
    <row r="1154" spans="1:10" x14ac:dyDescent="0.25">
      <c r="A1154" t="s">
        <v>311</v>
      </c>
      <c r="B1154" t="str">
        <f>ADDRESS(ROW('Bond 1'!$B$25),COLUMN('Bond 1'!$B$25),4)</f>
        <v>B25</v>
      </c>
      <c r="C1154" t="str">
        <f>ADDRESS(ROW('Bond 1'!$D$25),COLUMN('Bond 1'!$D$25),4)</f>
        <v>D25</v>
      </c>
      <c r="D1154" t="b" cm="1">
        <f t="array" aca="1" ref="D1154" ca="1">IF(INDIRECT("'"&amp;A1154&amp;"'!"&amp;B1154)="",FALSE,IF(NOT(ISNUMBER(INDIRECT("'"&amp;A1154&amp;"'!"&amp;B1154))),TRUE,FALSE))</f>
        <v>0</v>
      </c>
      <c r="E1154" t="s">
        <v>435</v>
      </c>
      <c r="F1154" t="str">
        <f>INDEX(Lists!I:I,MATCH(Validation!E1154,Lists!G:G,0))</f>
        <v>Error</v>
      </c>
      <c r="G1154" t="str">
        <f>INDEX(Lists!H:H,MATCH(Validation!E1154,Lists!G:G,0))</f>
        <v>Enter an amount only. Do not enter text or spaces.</v>
      </c>
      <c r="H1154" s="25" t="str">
        <f t="shared" ca="1" si="183"/>
        <v/>
      </c>
      <c r="I1154" s="25" t="str">
        <f t="shared" ca="1" si="184"/>
        <v/>
      </c>
      <c r="J1154" s="26" t="str">
        <f t="shared" ca="1" si="185"/>
        <v/>
      </c>
    </row>
    <row r="1155" spans="1:10" x14ac:dyDescent="0.25">
      <c r="A1155" t="s">
        <v>312</v>
      </c>
      <c r="B1155" t="str">
        <f>ADDRESS(ROW('Bond 1'!$B$25),COLUMN('Bond 1'!$B$25),4)</f>
        <v>B25</v>
      </c>
      <c r="C1155" t="str">
        <f>ADDRESS(ROW('Bond 1'!$D$25),COLUMN('Bond 1'!$D$25),4)</f>
        <v>D25</v>
      </c>
      <c r="D1155" t="b" cm="1">
        <f t="array" aca="1" ref="D1155" ca="1">IF(INDIRECT("'"&amp;A1155&amp;"'!"&amp;B1155)="",FALSE,IF(NOT(ISNUMBER(INDIRECT("'"&amp;A1155&amp;"'!"&amp;B1155))),TRUE,FALSE))</f>
        <v>0</v>
      </c>
      <c r="E1155" t="s">
        <v>435</v>
      </c>
      <c r="F1155" t="str">
        <f>INDEX(Lists!I:I,MATCH(Validation!E1155,Lists!G:G,0))</f>
        <v>Error</v>
      </c>
      <c r="G1155" t="str">
        <f>INDEX(Lists!H:H,MATCH(Validation!E1155,Lists!G:G,0))</f>
        <v>Enter an amount only. Do not enter text or spaces.</v>
      </c>
      <c r="H1155" s="25" t="str">
        <f t="shared" ca="1" si="183"/>
        <v/>
      </c>
      <c r="I1155" s="25" t="str">
        <f t="shared" ca="1" si="184"/>
        <v/>
      </c>
      <c r="J1155" s="26" t="str">
        <f t="shared" ca="1" si="185"/>
        <v/>
      </c>
    </row>
    <row r="1156" spans="1:10" x14ac:dyDescent="0.25">
      <c r="A1156" t="s">
        <v>313</v>
      </c>
      <c r="B1156" t="str">
        <f>ADDRESS(ROW('Bond 1'!$B$25),COLUMN('Bond 1'!$B$25),4)</f>
        <v>B25</v>
      </c>
      <c r="C1156" t="str">
        <f>ADDRESS(ROW('Bond 1'!$D$25),COLUMN('Bond 1'!$D$25),4)</f>
        <v>D25</v>
      </c>
      <c r="D1156" t="b" cm="1">
        <f t="array" aca="1" ref="D1156" ca="1">IF(INDIRECT("'"&amp;A1156&amp;"'!"&amp;B1156)="",FALSE,IF(NOT(ISNUMBER(INDIRECT("'"&amp;A1156&amp;"'!"&amp;B1156))),TRUE,FALSE))</f>
        <v>0</v>
      </c>
      <c r="E1156" t="s">
        <v>435</v>
      </c>
      <c r="F1156" t="str">
        <f>INDEX(Lists!I:I,MATCH(Validation!E1156,Lists!G:G,0))</f>
        <v>Error</v>
      </c>
      <c r="G1156" t="str">
        <f>INDEX(Lists!H:H,MATCH(Validation!E1156,Lists!G:G,0))</f>
        <v>Enter an amount only. Do not enter text or spaces.</v>
      </c>
      <c r="H1156" s="25" t="str">
        <f t="shared" ca="1" si="183"/>
        <v/>
      </c>
      <c r="I1156" s="25" t="str">
        <f t="shared" ca="1" si="184"/>
        <v/>
      </c>
      <c r="J1156" s="26" t="str">
        <f t="shared" ca="1" si="185"/>
        <v/>
      </c>
    </row>
    <row r="1157" spans="1:10" x14ac:dyDescent="0.25">
      <c r="A1157" t="s">
        <v>314</v>
      </c>
      <c r="B1157" t="str">
        <f>ADDRESS(ROW('Bond 1'!$B$25),COLUMN('Bond 1'!$B$25),4)</f>
        <v>B25</v>
      </c>
      <c r="C1157" t="str">
        <f>ADDRESS(ROW('Bond 1'!$D$25),COLUMN('Bond 1'!$D$25),4)</f>
        <v>D25</v>
      </c>
      <c r="D1157" t="b" cm="1">
        <f t="array" aca="1" ref="D1157" ca="1">IF(INDIRECT("'"&amp;A1157&amp;"'!"&amp;B1157)="",FALSE,IF(NOT(ISNUMBER(INDIRECT("'"&amp;A1157&amp;"'!"&amp;B1157))),TRUE,FALSE))</f>
        <v>0</v>
      </c>
      <c r="E1157" t="s">
        <v>435</v>
      </c>
      <c r="F1157" t="str">
        <f>INDEX(Lists!I:I,MATCH(Validation!E1157,Lists!G:G,0))</f>
        <v>Error</v>
      </c>
      <c r="G1157" t="str">
        <f>INDEX(Lists!H:H,MATCH(Validation!E1157,Lists!G:G,0))</f>
        <v>Enter an amount only. Do not enter text or spaces.</v>
      </c>
      <c r="H1157" s="25" t="str">
        <f t="shared" ca="1" si="183"/>
        <v/>
      </c>
      <c r="I1157" s="25" t="str">
        <f t="shared" ca="1" si="184"/>
        <v/>
      </c>
      <c r="J1157" s="26" t="str">
        <f t="shared" ca="1" si="185"/>
        <v/>
      </c>
    </row>
    <row r="1158" spans="1:10" x14ac:dyDescent="0.25">
      <c r="A1158" t="s">
        <v>315</v>
      </c>
      <c r="B1158" t="str">
        <f>ADDRESS(ROW('Bond 1'!$B$25),COLUMN('Bond 1'!$B$25),4)</f>
        <v>B25</v>
      </c>
      <c r="C1158" t="str">
        <f>ADDRESS(ROW('Bond 1'!$D$25),COLUMN('Bond 1'!$D$25),4)</f>
        <v>D25</v>
      </c>
      <c r="D1158" t="b" cm="1">
        <f t="array" aca="1" ref="D1158" ca="1">IF(INDIRECT("'"&amp;A1158&amp;"'!"&amp;B1158)="",FALSE,IF(NOT(ISNUMBER(INDIRECT("'"&amp;A1158&amp;"'!"&amp;B1158))),TRUE,FALSE))</f>
        <v>0</v>
      </c>
      <c r="E1158" t="s">
        <v>435</v>
      </c>
      <c r="F1158" t="str">
        <f>INDEX(Lists!I:I,MATCH(Validation!E1158,Lists!G:G,0))</f>
        <v>Error</v>
      </c>
      <c r="G1158" t="str">
        <f>INDEX(Lists!H:H,MATCH(Validation!E1158,Lists!G:G,0))</f>
        <v>Enter an amount only. Do not enter text or spaces.</v>
      </c>
      <c r="H1158" s="25" t="str">
        <f t="shared" ca="1" si="183"/>
        <v/>
      </c>
      <c r="I1158" s="25" t="str">
        <f t="shared" ca="1" si="184"/>
        <v/>
      </c>
      <c r="J1158" s="26" t="str">
        <f t="shared" ca="1" si="185"/>
        <v/>
      </c>
    </row>
    <row r="1159" spans="1:10" x14ac:dyDescent="0.25">
      <c r="A1159" t="s">
        <v>198</v>
      </c>
      <c r="B1159" t="str">
        <f>ADDRESS(ROW('Bond 1'!$B$25),COLUMN('Bond 1'!$B$25),4)</f>
        <v>B25</v>
      </c>
      <c r="C1159" t="str">
        <f>ADDRESS(ROW('Bond 1'!$D$25),COLUMN('Bond 1'!$D$25),4)</f>
        <v>D25</v>
      </c>
      <c r="D1159" t="b" cm="1">
        <f t="array" aca="1" ref="D1159" ca="1">IF(INDIRECT("'"&amp;A1159&amp;"'!"&amp;B1159)="",FALSE,IF(INDIRECT("'"&amp;A1159&amp;"'!"&amp;B1159)&lt;0,TRUE,FALSE))</f>
        <v>0</v>
      </c>
      <c r="E1159" t="s">
        <v>434</v>
      </c>
      <c r="F1159" t="str">
        <f>INDEX(Lists!I:I,MATCH(Validation!E1159,Lists!G:G,0))</f>
        <v>Error</v>
      </c>
      <c r="G1159" t="str">
        <f>INDEX(Lists!H:H,MATCH(Validation!E1159,Lists!G:G,0))</f>
        <v>Amount may not be negative. Enter an amount greater than or equal to zero.</v>
      </c>
      <c r="H1159" s="25" t="str">
        <f t="shared" ca="1" si="183"/>
        <v/>
      </c>
      <c r="I1159" s="25" t="str">
        <f t="shared" ca="1" si="184"/>
        <v/>
      </c>
      <c r="J1159" s="26" t="str">
        <f t="shared" ca="1" si="185"/>
        <v/>
      </c>
    </row>
    <row r="1160" spans="1:10" x14ac:dyDescent="0.25">
      <c r="A1160" t="s">
        <v>302</v>
      </c>
      <c r="B1160" t="str">
        <f>ADDRESS(ROW('Bond 1'!$B$25),COLUMN('Bond 1'!$B$25),4)</f>
        <v>B25</v>
      </c>
      <c r="C1160" t="str">
        <f>ADDRESS(ROW('Bond 1'!$D$25),COLUMN('Bond 1'!$D$25),4)</f>
        <v>D25</v>
      </c>
      <c r="D1160" t="b" cm="1">
        <f t="array" aca="1" ref="D1160" ca="1">IF(INDIRECT("'"&amp;A1160&amp;"'!"&amp;B1160)="",FALSE,IF(INDIRECT("'"&amp;A1160&amp;"'!"&amp;B1160)&lt;0,TRUE,FALSE))</f>
        <v>0</v>
      </c>
      <c r="E1160" t="s">
        <v>434</v>
      </c>
      <c r="F1160" t="str">
        <f>INDEX(Lists!I:I,MATCH(Validation!E1160,Lists!G:G,0))</f>
        <v>Error</v>
      </c>
      <c r="G1160" t="str">
        <f>INDEX(Lists!H:H,MATCH(Validation!E1160,Lists!G:G,0))</f>
        <v>Amount may not be negative. Enter an amount greater than or equal to zero.</v>
      </c>
      <c r="H1160" s="25" t="str">
        <f t="shared" ca="1" si="183"/>
        <v/>
      </c>
      <c r="I1160" s="25" t="str">
        <f t="shared" ca="1" si="184"/>
        <v/>
      </c>
      <c r="J1160" s="26" t="str">
        <f t="shared" ca="1" si="185"/>
        <v/>
      </c>
    </row>
    <row r="1161" spans="1:10" x14ac:dyDescent="0.25">
      <c r="A1161" t="s">
        <v>303</v>
      </c>
      <c r="B1161" t="str">
        <f>ADDRESS(ROW('Bond 1'!$B$25),COLUMN('Bond 1'!$B$25),4)</f>
        <v>B25</v>
      </c>
      <c r="C1161" t="str">
        <f>ADDRESS(ROW('Bond 1'!$D$25),COLUMN('Bond 1'!$D$25),4)</f>
        <v>D25</v>
      </c>
      <c r="D1161" t="b" cm="1">
        <f t="array" aca="1" ref="D1161" ca="1">IF(INDIRECT("'"&amp;A1161&amp;"'!"&amp;B1161)="",FALSE,IF(INDIRECT("'"&amp;A1161&amp;"'!"&amp;B1161)&lt;0,TRUE,FALSE))</f>
        <v>0</v>
      </c>
      <c r="E1161" t="s">
        <v>434</v>
      </c>
      <c r="F1161" t="str">
        <f>INDEX(Lists!I:I,MATCH(Validation!E1161,Lists!G:G,0))</f>
        <v>Error</v>
      </c>
      <c r="G1161" t="str">
        <f>INDEX(Lists!H:H,MATCH(Validation!E1161,Lists!G:G,0))</f>
        <v>Amount may not be negative. Enter an amount greater than or equal to zero.</v>
      </c>
      <c r="H1161" s="25" t="str">
        <f t="shared" ca="1" si="183"/>
        <v/>
      </c>
      <c r="I1161" s="25" t="str">
        <f t="shared" ca="1" si="184"/>
        <v/>
      </c>
      <c r="J1161" s="26" t="str">
        <f t="shared" ca="1" si="185"/>
        <v/>
      </c>
    </row>
    <row r="1162" spans="1:10" x14ac:dyDescent="0.25">
      <c r="A1162" t="s">
        <v>304</v>
      </c>
      <c r="B1162" t="str">
        <f>ADDRESS(ROW('Bond 1'!$B$25),COLUMN('Bond 1'!$B$25),4)</f>
        <v>B25</v>
      </c>
      <c r="C1162" t="str">
        <f>ADDRESS(ROW('Bond 1'!$D$25),COLUMN('Bond 1'!$D$25),4)</f>
        <v>D25</v>
      </c>
      <c r="D1162" t="b" cm="1">
        <f t="array" aca="1" ref="D1162" ca="1">IF(INDIRECT("'"&amp;A1162&amp;"'!"&amp;B1162)="",FALSE,IF(INDIRECT("'"&amp;A1162&amp;"'!"&amp;B1162)&lt;0,TRUE,FALSE))</f>
        <v>0</v>
      </c>
      <c r="E1162" t="s">
        <v>434</v>
      </c>
      <c r="F1162" t="str">
        <f>INDEX(Lists!I:I,MATCH(Validation!E1162,Lists!G:G,0))</f>
        <v>Error</v>
      </c>
      <c r="G1162" t="str">
        <f>INDEX(Lists!H:H,MATCH(Validation!E1162,Lists!G:G,0))</f>
        <v>Amount may not be negative. Enter an amount greater than or equal to zero.</v>
      </c>
      <c r="H1162" s="25" t="str">
        <f t="shared" ca="1" si="183"/>
        <v/>
      </c>
      <c r="I1162" s="25" t="str">
        <f t="shared" ca="1" si="184"/>
        <v/>
      </c>
      <c r="J1162" s="26" t="str">
        <f t="shared" ca="1" si="185"/>
        <v/>
      </c>
    </row>
    <row r="1163" spans="1:10" x14ac:dyDescent="0.25">
      <c r="A1163" t="s">
        <v>305</v>
      </c>
      <c r="B1163" t="str">
        <f>ADDRESS(ROW('Bond 1'!$B$25),COLUMN('Bond 1'!$B$25),4)</f>
        <v>B25</v>
      </c>
      <c r="C1163" t="str">
        <f>ADDRESS(ROW('Bond 1'!$D$25),COLUMN('Bond 1'!$D$25),4)</f>
        <v>D25</v>
      </c>
      <c r="D1163" t="b" cm="1">
        <f t="array" aca="1" ref="D1163" ca="1">IF(INDIRECT("'"&amp;A1163&amp;"'!"&amp;B1163)="",FALSE,IF(INDIRECT("'"&amp;A1163&amp;"'!"&amp;B1163)&lt;0,TRUE,FALSE))</f>
        <v>0</v>
      </c>
      <c r="E1163" t="s">
        <v>434</v>
      </c>
      <c r="F1163" t="str">
        <f>INDEX(Lists!I:I,MATCH(Validation!E1163,Lists!G:G,0))</f>
        <v>Error</v>
      </c>
      <c r="G1163" t="str">
        <f>INDEX(Lists!H:H,MATCH(Validation!E1163,Lists!G:G,0))</f>
        <v>Amount may not be negative. Enter an amount greater than or equal to zero.</v>
      </c>
      <c r="H1163" s="25" t="str">
        <f t="shared" ca="1" si="183"/>
        <v/>
      </c>
      <c r="I1163" s="25" t="str">
        <f t="shared" ca="1" si="184"/>
        <v/>
      </c>
      <c r="J1163" s="26" t="str">
        <f t="shared" ca="1" si="185"/>
        <v/>
      </c>
    </row>
    <row r="1164" spans="1:10" x14ac:dyDescent="0.25">
      <c r="A1164" t="s">
        <v>306</v>
      </c>
      <c r="B1164" t="str">
        <f>ADDRESS(ROW('Bond 1'!$B$25),COLUMN('Bond 1'!$B$25),4)</f>
        <v>B25</v>
      </c>
      <c r="C1164" t="str">
        <f>ADDRESS(ROW('Bond 1'!$D$25),COLUMN('Bond 1'!$D$25),4)</f>
        <v>D25</v>
      </c>
      <c r="D1164" t="b" cm="1">
        <f t="array" aca="1" ref="D1164" ca="1">IF(INDIRECT("'"&amp;A1164&amp;"'!"&amp;B1164)="",FALSE,IF(INDIRECT("'"&amp;A1164&amp;"'!"&amp;B1164)&lt;0,TRUE,FALSE))</f>
        <v>0</v>
      </c>
      <c r="E1164" t="s">
        <v>434</v>
      </c>
      <c r="F1164" t="str">
        <f>INDEX(Lists!I:I,MATCH(Validation!E1164,Lists!G:G,0))</f>
        <v>Error</v>
      </c>
      <c r="G1164" t="str">
        <f>INDEX(Lists!H:H,MATCH(Validation!E1164,Lists!G:G,0))</f>
        <v>Amount may not be negative. Enter an amount greater than or equal to zero.</v>
      </c>
      <c r="H1164" s="25" t="str">
        <f t="shared" ca="1" si="183"/>
        <v/>
      </c>
      <c r="I1164" s="25" t="str">
        <f t="shared" ca="1" si="184"/>
        <v/>
      </c>
      <c r="J1164" s="26" t="str">
        <f t="shared" ca="1" si="185"/>
        <v/>
      </c>
    </row>
    <row r="1165" spans="1:10" x14ac:dyDescent="0.25">
      <c r="A1165" t="s">
        <v>307</v>
      </c>
      <c r="B1165" t="str">
        <f>ADDRESS(ROW('Bond 1'!$B$25),COLUMN('Bond 1'!$B$25),4)</f>
        <v>B25</v>
      </c>
      <c r="C1165" t="str">
        <f>ADDRESS(ROW('Bond 1'!$D$25),COLUMN('Bond 1'!$D$25),4)</f>
        <v>D25</v>
      </c>
      <c r="D1165" t="b" cm="1">
        <f t="array" aca="1" ref="D1165" ca="1">IF(INDIRECT("'"&amp;A1165&amp;"'!"&amp;B1165)="",FALSE,IF(INDIRECT("'"&amp;A1165&amp;"'!"&amp;B1165)&lt;0,TRUE,FALSE))</f>
        <v>0</v>
      </c>
      <c r="E1165" t="s">
        <v>434</v>
      </c>
      <c r="F1165" t="str">
        <f>INDEX(Lists!I:I,MATCH(Validation!E1165,Lists!G:G,0))</f>
        <v>Error</v>
      </c>
      <c r="G1165" t="str">
        <f>INDEX(Lists!H:H,MATCH(Validation!E1165,Lists!G:G,0))</f>
        <v>Amount may not be negative. Enter an amount greater than or equal to zero.</v>
      </c>
      <c r="H1165" s="25" t="str">
        <f t="shared" ca="1" si="183"/>
        <v/>
      </c>
      <c r="I1165" s="25" t="str">
        <f t="shared" ca="1" si="184"/>
        <v/>
      </c>
      <c r="J1165" s="26" t="str">
        <f t="shared" ca="1" si="185"/>
        <v/>
      </c>
    </row>
    <row r="1166" spans="1:10" x14ac:dyDescent="0.25">
      <c r="A1166" t="s">
        <v>308</v>
      </c>
      <c r="B1166" t="str">
        <f>ADDRESS(ROW('Bond 1'!$B$25),COLUMN('Bond 1'!$B$25),4)</f>
        <v>B25</v>
      </c>
      <c r="C1166" t="str">
        <f>ADDRESS(ROW('Bond 1'!$D$25),COLUMN('Bond 1'!$D$25),4)</f>
        <v>D25</v>
      </c>
      <c r="D1166" t="b" cm="1">
        <f t="array" aca="1" ref="D1166" ca="1">IF(INDIRECT("'"&amp;A1166&amp;"'!"&amp;B1166)="",FALSE,IF(INDIRECT("'"&amp;A1166&amp;"'!"&amp;B1166)&lt;0,TRUE,FALSE))</f>
        <v>0</v>
      </c>
      <c r="E1166" t="s">
        <v>434</v>
      </c>
      <c r="F1166" t="str">
        <f>INDEX(Lists!I:I,MATCH(Validation!E1166,Lists!G:G,0))</f>
        <v>Error</v>
      </c>
      <c r="G1166" t="str">
        <f>INDEX(Lists!H:H,MATCH(Validation!E1166,Lists!G:G,0))</f>
        <v>Amount may not be negative. Enter an amount greater than or equal to zero.</v>
      </c>
      <c r="H1166" s="25" t="str">
        <f t="shared" ca="1" si="183"/>
        <v/>
      </c>
      <c r="I1166" s="25" t="str">
        <f t="shared" ca="1" si="184"/>
        <v/>
      </c>
      <c r="J1166" s="26" t="str">
        <f t="shared" ca="1" si="185"/>
        <v/>
      </c>
    </row>
    <row r="1167" spans="1:10" x14ac:dyDescent="0.25">
      <c r="A1167" t="s">
        <v>309</v>
      </c>
      <c r="B1167" t="str">
        <f>ADDRESS(ROW('Bond 1'!$B$25),COLUMN('Bond 1'!$B$25),4)</f>
        <v>B25</v>
      </c>
      <c r="C1167" t="str">
        <f>ADDRESS(ROW('Bond 1'!$D$25),COLUMN('Bond 1'!$D$25),4)</f>
        <v>D25</v>
      </c>
      <c r="D1167" t="b" cm="1">
        <f t="array" aca="1" ref="D1167" ca="1">IF(INDIRECT("'"&amp;A1167&amp;"'!"&amp;B1167)="",FALSE,IF(INDIRECT("'"&amp;A1167&amp;"'!"&amp;B1167)&lt;0,TRUE,FALSE))</f>
        <v>0</v>
      </c>
      <c r="E1167" t="s">
        <v>434</v>
      </c>
      <c r="F1167" t="str">
        <f>INDEX(Lists!I:I,MATCH(Validation!E1167,Lists!G:G,0))</f>
        <v>Error</v>
      </c>
      <c r="G1167" t="str">
        <f>INDEX(Lists!H:H,MATCH(Validation!E1167,Lists!G:G,0))</f>
        <v>Amount may not be negative. Enter an amount greater than or equal to zero.</v>
      </c>
      <c r="H1167" s="25" t="str">
        <f t="shared" ca="1" si="183"/>
        <v/>
      </c>
      <c r="I1167" s="25" t="str">
        <f t="shared" ca="1" si="184"/>
        <v/>
      </c>
      <c r="J1167" s="26" t="str">
        <f t="shared" ca="1" si="185"/>
        <v/>
      </c>
    </row>
    <row r="1168" spans="1:10" x14ac:dyDescent="0.25">
      <c r="A1168" t="s">
        <v>310</v>
      </c>
      <c r="B1168" t="str">
        <f>ADDRESS(ROW('Bond 1'!$B$25),COLUMN('Bond 1'!$B$25),4)</f>
        <v>B25</v>
      </c>
      <c r="C1168" t="str">
        <f>ADDRESS(ROW('Bond 1'!$D$25),COLUMN('Bond 1'!$D$25),4)</f>
        <v>D25</v>
      </c>
      <c r="D1168" t="b" cm="1">
        <f t="array" aca="1" ref="D1168" ca="1">IF(INDIRECT("'"&amp;A1168&amp;"'!"&amp;B1168)="",FALSE,IF(INDIRECT("'"&amp;A1168&amp;"'!"&amp;B1168)&lt;0,TRUE,FALSE))</f>
        <v>0</v>
      </c>
      <c r="E1168" t="s">
        <v>434</v>
      </c>
      <c r="F1168" t="str">
        <f>INDEX(Lists!I:I,MATCH(Validation!E1168,Lists!G:G,0))</f>
        <v>Error</v>
      </c>
      <c r="G1168" t="str">
        <f>INDEX(Lists!H:H,MATCH(Validation!E1168,Lists!G:G,0))</f>
        <v>Amount may not be negative. Enter an amount greater than or equal to zero.</v>
      </c>
      <c r="H1168" s="25" t="str">
        <f t="shared" ca="1" si="183"/>
        <v/>
      </c>
      <c r="I1168" s="25" t="str">
        <f t="shared" ca="1" si="184"/>
        <v/>
      </c>
      <c r="J1168" s="26" t="str">
        <f t="shared" ca="1" si="185"/>
        <v/>
      </c>
    </row>
    <row r="1169" spans="1:10" x14ac:dyDescent="0.25">
      <c r="A1169" t="s">
        <v>311</v>
      </c>
      <c r="B1169" t="str">
        <f>ADDRESS(ROW('Bond 1'!$B$25),COLUMN('Bond 1'!$B$25),4)</f>
        <v>B25</v>
      </c>
      <c r="C1169" t="str">
        <f>ADDRESS(ROW('Bond 1'!$D$25),COLUMN('Bond 1'!$D$25),4)</f>
        <v>D25</v>
      </c>
      <c r="D1169" t="b" cm="1">
        <f t="array" aca="1" ref="D1169" ca="1">IF(INDIRECT("'"&amp;A1169&amp;"'!"&amp;B1169)="",FALSE,IF(INDIRECT("'"&amp;A1169&amp;"'!"&amp;B1169)&lt;0,TRUE,FALSE))</f>
        <v>0</v>
      </c>
      <c r="E1169" t="s">
        <v>434</v>
      </c>
      <c r="F1169" t="str">
        <f>INDEX(Lists!I:I,MATCH(Validation!E1169,Lists!G:G,0))</f>
        <v>Error</v>
      </c>
      <c r="G1169" t="str">
        <f>INDEX(Lists!H:H,MATCH(Validation!E1169,Lists!G:G,0))</f>
        <v>Amount may not be negative. Enter an amount greater than or equal to zero.</v>
      </c>
      <c r="H1169" s="25" t="str">
        <f t="shared" ca="1" si="183"/>
        <v/>
      </c>
      <c r="I1169" s="25" t="str">
        <f t="shared" ca="1" si="184"/>
        <v/>
      </c>
      <c r="J1169" s="26" t="str">
        <f t="shared" ca="1" si="185"/>
        <v/>
      </c>
    </row>
    <row r="1170" spans="1:10" x14ac:dyDescent="0.25">
      <c r="A1170" t="s">
        <v>312</v>
      </c>
      <c r="B1170" t="str">
        <f>ADDRESS(ROW('Bond 1'!$B$25),COLUMN('Bond 1'!$B$25),4)</f>
        <v>B25</v>
      </c>
      <c r="C1170" t="str">
        <f>ADDRESS(ROW('Bond 1'!$D$25),COLUMN('Bond 1'!$D$25),4)</f>
        <v>D25</v>
      </c>
      <c r="D1170" t="b" cm="1">
        <f t="array" aca="1" ref="D1170" ca="1">IF(INDIRECT("'"&amp;A1170&amp;"'!"&amp;B1170)="",FALSE,IF(INDIRECT("'"&amp;A1170&amp;"'!"&amp;B1170)&lt;0,TRUE,FALSE))</f>
        <v>0</v>
      </c>
      <c r="E1170" t="s">
        <v>434</v>
      </c>
      <c r="F1170" t="str">
        <f>INDEX(Lists!I:I,MATCH(Validation!E1170,Lists!G:G,0))</f>
        <v>Error</v>
      </c>
      <c r="G1170" t="str">
        <f>INDEX(Lists!H:H,MATCH(Validation!E1170,Lists!G:G,0))</f>
        <v>Amount may not be negative. Enter an amount greater than or equal to zero.</v>
      </c>
      <c r="H1170" s="25" t="str">
        <f t="shared" ca="1" si="183"/>
        <v/>
      </c>
      <c r="I1170" s="25" t="str">
        <f t="shared" ca="1" si="184"/>
        <v/>
      </c>
      <c r="J1170" s="26" t="str">
        <f t="shared" ca="1" si="185"/>
        <v/>
      </c>
    </row>
    <row r="1171" spans="1:10" x14ac:dyDescent="0.25">
      <c r="A1171" t="s">
        <v>313</v>
      </c>
      <c r="B1171" t="str">
        <f>ADDRESS(ROW('Bond 1'!$B$25),COLUMN('Bond 1'!$B$25),4)</f>
        <v>B25</v>
      </c>
      <c r="C1171" t="str">
        <f>ADDRESS(ROW('Bond 1'!$D$25),COLUMN('Bond 1'!$D$25),4)</f>
        <v>D25</v>
      </c>
      <c r="D1171" t="b" cm="1">
        <f t="array" aca="1" ref="D1171" ca="1">IF(INDIRECT("'"&amp;A1171&amp;"'!"&amp;B1171)="",FALSE,IF(INDIRECT("'"&amp;A1171&amp;"'!"&amp;B1171)&lt;0,TRUE,FALSE))</f>
        <v>0</v>
      </c>
      <c r="E1171" t="s">
        <v>434</v>
      </c>
      <c r="F1171" t="str">
        <f>INDEX(Lists!I:I,MATCH(Validation!E1171,Lists!G:G,0))</f>
        <v>Error</v>
      </c>
      <c r="G1171" t="str">
        <f>INDEX(Lists!H:H,MATCH(Validation!E1171,Lists!G:G,0))</f>
        <v>Amount may not be negative. Enter an amount greater than or equal to zero.</v>
      </c>
      <c r="H1171" s="25" t="str">
        <f t="shared" ca="1" si="183"/>
        <v/>
      </c>
      <c r="I1171" s="25" t="str">
        <f t="shared" ca="1" si="184"/>
        <v/>
      </c>
      <c r="J1171" s="26" t="str">
        <f t="shared" ca="1" si="185"/>
        <v/>
      </c>
    </row>
    <row r="1172" spans="1:10" x14ac:dyDescent="0.25">
      <c r="A1172" t="s">
        <v>314</v>
      </c>
      <c r="B1172" t="str">
        <f>ADDRESS(ROW('Bond 1'!$B$25),COLUMN('Bond 1'!$B$25),4)</f>
        <v>B25</v>
      </c>
      <c r="C1172" t="str">
        <f>ADDRESS(ROW('Bond 1'!$D$25),COLUMN('Bond 1'!$D$25),4)</f>
        <v>D25</v>
      </c>
      <c r="D1172" t="b" cm="1">
        <f t="array" aca="1" ref="D1172" ca="1">IF(INDIRECT("'"&amp;A1172&amp;"'!"&amp;B1172)="",FALSE,IF(INDIRECT("'"&amp;A1172&amp;"'!"&amp;B1172)&lt;0,TRUE,FALSE))</f>
        <v>0</v>
      </c>
      <c r="E1172" t="s">
        <v>434</v>
      </c>
      <c r="F1172" t="str">
        <f>INDEX(Lists!I:I,MATCH(Validation!E1172,Lists!G:G,0))</f>
        <v>Error</v>
      </c>
      <c r="G1172" t="str">
        <f>INDEX(Lists!H:H,MATCH(Validation!E1172,Lists!G:G,0))</f>
        <v>Amount may not be negative. Enter an amount greater than or equal to zero.</v>
      </c>
      <c r="H1172" s="25" t="str">
        <f t="shared" ca="1" si="183"/>
        <v/>
      </c>
      <c r="I1172" s="25" t="str">
        <f t="shared" ca="1" si="184"/>
        <v/>
      </c>
      <c r="J1172" s="26" t="str">
        <f t="shared" ca="1" si="185"/>
        <v/>
      </c>
    </row>
    <row r="1173" spans="1:10" x14ac:dyDescent="0.25">
      <c r="A1173" t="s">
        <v>315</v>
      </c>
      <c r="B1173" t="str">
        <f>ADDRESS(ROW('Bond 1'!$B$25),COLUMN('Bond 1'!$B$25),4)</f>
        <v>B25</v>
      </c>
      <c r="C1173" t="str">
        <f>ADDRESS(ROW('Bond 1'!$D$25),COLUMN('Bond 1'!$D$25),4)</f>
        <v>D25</v>
      </c>
      <c r="D1173" t="b" cm="1">
        <f t="array" aca="1" ref="D1173" ca="1">IF(INDIRECT("'"&amp;A1173&amp;"'!"&amp;B1173)="",FALSE,IF(INDIRECT("'"&amp;A1173&amp;"'!"&amp;B1173)&lt;0,TRUE,FALSE))</f>
        <v>0</v>
      </c>
      <c r="E1173" t="s">
        <v>434</v>
      </c>
      <c r="F1173" t="str">
        <f>INDEX(Lists!I:I,MATCH(Validation!E1173,Lists!G:G,0))</f>
        <v>Error</v>
      </c>
      <c r="G1173" t="str">
        <f>INDEX(Lists!H:H,MATCH(Validation!E1173,Lists!G:G,0))</f>
        <v>Amount may not be negative. Enter an amount greater than or equal to zero.</v>
      </c>
      <c r="H1173" s="25" t="str">
        <f t="shared" ca="1" si="183"/>
        <v/>
      </c>
      <c r="I1173" s="25" t="str">
        <f t="shared" ca="1" si="184"/>
        <v/>
      </c>
      <c r="J1173" s="26" t="str">
        <f t="shared" ca="1" si="185"/>
        <v/>
      </c>
    </row>
    <row r="1174" spans="1:10" x14ac:dyDescent="0.25">
      <c r="A1174" t="s">
        <v>198</v>
      </c>
      <c r="B1174" t="str">
        <f>ADDRESS(ROW('Bond 1'!$B$25),COLUMN('Bond 1'!$B$25),4)</f>
        <v>B25</v>
      </c>
      <c r="C1174" t="str">
        <f>ADDRESS(ROW('Bond 1'!$D$25),COLUMN('Bond 1'!$D$25),4)</f>
        <v>D25</v>
      </c>
      <c r="D1174" t="b" cm="1">
        <f t="array" aca="1" ref="D1174" ca="1">IF(INDIRECT("'"&amp;A1174&amp;"'!"&amp;B1174)="",FALSE,IF(TRUNC(INDIRECT("'"&amp;A1174&amp;"'!"&amp;B1174))=INDIRECT("'"&amp;A1174&amp;"'!"&amp;B1174),FALSE,TRUE))</f>
        <v>0</v>
      </c>
      <c r="E1174" t="s">
        <v>436</v>
      </c>
      <c r="F1174" t="str">
        <f>INDEX(Lists!I:I,MATCH(Validation!E1174,Lists!G:G,0))</f>
        <v>Error</v>
      </c>
      <c r="G1174" t="str">
        <f>INDEX(Lists!H:H,MATCH(Validation!E1174,Lists!G:G,0))</f>
        <v>Amount must be rounded to the nearest dollar.</v>
      </c>
      <c r="H1174" s="25" t="str">
        <f t="shared" ca="1" si="183"/>
        <v/>
      </c>
      <c r="I1174" s="25" t="str">
        <f t="shared" ca="1" si="184"/>
        <v/>
      </c>
      <c r="J1174" s="26" t="str">
        <f t="shared" ca="1" si="185"/>
        <v/>
      </c>
    </row>
    <row r="1175" spans="1:10" x14ac:dyDescent="0.25">
      <c r="A1175" t="s">
        <v>302</v>
      </c>
      <c r="B1175" t="str">
        <f>ADDRESS(ROW('Bond 1'!$B$25),COLUMN('Bond 1'!$B$25),4)</f>
        <v>B25</v>
      </c>
      <c r="C1175" t="str">
        <f>ADDRESS(ROW('Bond 1'!$D$25),COLUMN('Bond 1'!$D$25),4)</f>
        <v>D25</v>
      </c>
      <c r="D1175" t="b" cm="1">
        <f t="array" aca="1" ref="D1175" ca="1">IF(INDIRECT("'"&amp;A1175&amp;"'!"&amp;B1175)="",FALSE,IF(TRUNC(INDIRECT("'"&amp;A1175&amp;"'!"&amp;B1175))=INDIRECT("'"&amp;A1175&amp;"'!"&amp;B1175),FALSE,TRUE))</f>
        <v>0</v>
      </c>
      <c r="E1175" t="s">
        <v>436</v>
      </c>
      <c r="F1175" t="str">
        <f>INDEX(Lists!I:I,MATCH(Validation!E1175,Lists!G:G,0))</f>
        <v>Error</v>
      </c>
      <c r="G1175" t="str">
        <f>INDEX(Lists!H:H,MATCH(Validation!E1175,Lists!G:G,0))</f>
        <v>Amount must be rounded to the nearest dollar.</v>
      </c>
      <c r="H1175" s="25" t="str">
        <f t="shared" ca="1" si="183"/>
        <v/>
      </c>
      <c r="I1175" s="25" t="str">
        <f t="shared" ca="1" si="184"/>
        <v/>
      </c>
      <c r="J1175" s="26" t="str">
        <f t="shared" ca="1" si="185"/>
        <v/>
      </c>
    </row>
    <row r="1176" spans="1:10" x14ac:dyDescent="0.25">
      <c r="A1176" t="s">
        <v>303</v>
      </c>
      <c r="B1176" t="str">
        <f>ADDRESS(ROW('Bond 1'!$B$25),COLUMN('Bond 1'!$B$25),4)</f>
        <v>B25</v>
      </c>
      <c r="C1176" t="str">
        <f>ADDRESS(ROW('Bond 1'!$D$25),COLUMN('Bond 1'!$D$25),4)</f>
        <v>D25</v>
      </c>
      <c r="D1176" t="b" cm="1">
        <f t="array" aca="1" ref="D1176" ca="1">IF(INDIRECT("'"&amp;A1176&amp;"'!"&amp;B1176)="",FALSE,IF(TRUNC(INDIRECT("'"&amp;A1176&amp;"'!"&amp;B1176))=INDIRECT("'"&amp;A1176&amp;"'!"&amp;B1176),FALSE,TRUE))</f>
        <v>0</v>
      </c>
      <c r="E1176" t="s">
        <v>436</v>
      </c>
      <c r="F1176" t="str">
        <f>INDEX(Lists!I:I,MATCH(Validation!E1176,Lists!G:G,0))</f>
        <v>Error</v>
      </c>
      <c r="G1176" t="str">
        <f>INDEX(Lists!H:H,MATCH(Validation!E1176,Lists!G:G,0))</f>
        <v>Amount must be rounded to the nearest dollar.</v>
      </c>
      <c r="H1176" s="25" t="str">
        <f t="shared" ca="1" si="183"/>
        <v/>
      </c>
      <c r="I1176" s="25" t="str">
        <f t="shared" ca="1" si="184"/>
        <v/>
      </c>
      <c r="J1176" s="26" t="str">
        <f t="shared" ca="1" si="185"/>
        <v/>
      </c>
    </row>
    <row r="1177" spans="1:10" x14ac:dyDescent="0.25">
      <c r="A1177" t="s">
        <v>304</v>
      </c>
      <c r="B1177" t="str">
        <f>ADDRESS(ROW('Bond 1'!$B$25),COLUMN('Bond 1'!$B$25),4)</f>
        <v>B25</v>
      </c>
      <c r="C1177" t="str">
        <f>ADDRESS(ROW('Bond 1'!$D$25),COLUMN('Bond 1'!$D$25),4)</f>
        <v>D25</v>
      </c>
      <c r="D1177" t="b" cm="1">
        <f t="array" aca="1" ref="D1177" ca="1">IF(INDIRECT("'"&amp;A1177&amp;"'!"&amp;B1177)="",FALSE,IF(TRUNC(INDIRECT("'"&amp;A1177&amp;"'!"&amp;B1177))=INDIRECT("'"&amp;A1177&amp;"'!"&amp;B1177),FALSE,TRUE))</f>
        <v>0</v>
      </c>
      <c r="E1177" t="s">
        <v>436</v>
      </c>
      <c r="F1177" t="str">
        <f>INDEX(Lists!I:I,MATCH(Validation!E1177,Lists!G:G,0))</f>
        <v>Error</v>
      </c>
      <c r="G1177" t="str">
        <f>INDEX(Lists!H:H,MATCH(Validation!E1177,Lists!G:G,0))</f>
        <v>Amount must be rounded to the nearest dollar.</v>
      </c>
      <c r="H1177" s="25" t="str">
        <f t="shared" ca="1" si="183"/>
        <v/>
      </c>
      <c r="I1177" s="25" t="str">
        <f t="shared" ca="1" si="184"/>
        <v/>
      </c>
      <c r="J1177" s="26" t="str">
        <f t="shared" ca="1" si="185"/>
        <v/>
      </c>
    </row>
    <row r="1178" spans="1:10" x14ac:dyDescent="0.25">
      <c r="A1178" t="s">
        <v>305</v>
      </c>
      <c r="B1178" t="str">
        <f>ADDRESS(ROW('Bond 1'!$B$25),COLUMN('Bond 1'!$B$25),4)</f>
        <v>B25</v>
      </c>
      <c r="C1178" t="str">
        <f>ADDRESS(ROW('Bond 1'!$D$25),COLUMN('Bond 1'!$D$25),4)</f>
        <v>D25</v>
      </c>
      <c r="D1178" t="b" cm="1">
        <f t="array" aca="1" ref="D1178" ca="1">IF(INDIRECT("'"&amp;A1178&amp;"'!"&amp;B1178)="",FALSE,IF(TRUNC(INDIRECT("'"&amp;A1178&amp;"'!"&amp;B1178))=INDIRECT("'"&amp;A1178&amp;"'!"&amp;B1178),FALSE,TRUE))</f>
        <v>0</v>
      </c>
      <c r="E1178" t="s">
        <v>436</v>
      </c>
      <c r="F1178" t="str">
        <f>INDEX(Lists!I:I,MATCH(Validation!E1178,Lists!G:G,0))</f>
        <v>Error</v>
      </c>
      <c r="G1178" t="str">
        <f>INDEX(Lists!H:H,MATCH(Validation!E1178,Lists!G:G,0))</f>
        <v>Amount must be rounded to the nearest dollar.</v>
      </c>
      <c r="H1178" s="25" t="str">
        <f t="shared" ca="1" si="183"/>
        <v/>
      </c>
      <c r="I1178" s="25" t="str">
        <f t="shared" ca="1" si="184"/>
        <v/>
      </c>
      <c r="J1178" s="26" t="str">
        <f t="shared" ca="1" si="185"/>
        <v/>
      </c>
    </row>
    <row r="1179" spans="1:10" x14ac:dyDescent="0.25">
      <c r="A1179" t="s">
        <v>306</v>
      </c>
      <c r="B1179" t="str">
        <f>ADDRESS(ROW('Bond 1'!$B$25),COLUMN('Bond 1'!$B$25),4)</f>
        <v>B25</v>
      </c>
      <c r="C1179" t="str">
        <f>ADDRESS(ROW('Bond 1'!$D$25),COLUMN('Bond 1'!$D$25),4)</f>
        <v>D25</v>
      </c>
      <c r="D1179" t="b" cm="1">
        <f t="array" aca="1" ref="D1179" ca="1">IF(INDIRECT("'"&amp;A1179&amp;"'!"&amp;B1179)="",FALSE,IF(TRUNC(INDIRECT("'"&amp;A1179&amp;"'!"&amp;B1179))=INDIRECT("'"&amp;A1179&amp;"'!"&amp;B1179),FALSE,TRUE))</f>
        <v>0</v>
      </c>
      <c r="E1179" t="s">
        <v>436</v>
      </c>
      <c r="F1179" t="str">
        <f>INDEX(Lists!I:I,MATCH(Validation!E1179,Lists!G:G,0))</f>
        <v>Error</v>
      </c>
      <c r="G1179" t="str">
        <f>INDEX(Lists!H:H,MATCH(Validation!E1179,Lists!G:G,0))</f>
        <v>Amount must be rounded to the nearest dollar.</v>
      </c>
      <c r="H1179" s="25" t="str">
        <f t="shared" ca="1" si="183"/>
        <v/>
      </c>
      <c r="I1179" s="25" t="str">
        <f t="shared" ca="1" si="184"/>
        <v/>
      </c>
      <c r="J1179" s="26" t="str">
        <f t="shared" ca="1" si="185"/>
        <v/>
      </c>
    </row>
    <row r="1180" spans="1:10" x14ac:dyDescent="0.25">
      <c r="A1180" t="s">
        <v>307</v>
      </c>
      <c r="B1180" t="str">
        <f>ADDRESS(ROW('Bond 1'!$B$25),COLUMN('Bond 1'!$B$25),4)</f>
        <v>B25</v>
      </c>
      <c r="C1180" t="str">
        <f>ADDRESS(ROW('Bond 1'!$D$25),COLUMN('Bond 1'!$D$25),4)</f>
        <v>D25</v>
      </c>
      <c r="D1180" t="b" cm="1">
        <f t="array" aca="1" ref="D1180" ca="1">IF(INDIRECT("'"&amp;A1180&amp;"'!"&amp;B1180)="",FALSE,IF(TRUNC(INDIRECT("'"&amp;A1180&amp;"'!"&amp;B1180))=INDIRECT("'"&amp;A1180&amp;"'!"&amp;B1180),FALSE,TRUE))</f>
        <v>0</v>
      </c>
      <c r="E1180" t="s">
        <v>436</v>
      </c>
      <c r="F1180" t="str">
        <f>INDEX(Lists!I:I,MATCH(Validation!E1180,Lists!G:G,0))</f>
        <v>Error</v>
      </c>
      <c r="G1180" t="str">
        <f>INDEX(Lists!H:H,MATCH(Validation!E1180,Lists!G:G,0))</f>
        <v>Amount must be rounded to the nearest dollar.</v>
      </c>
      <c r="H1180" s="25" t="str">
        <f t="shared" ca="1" si="183"/>
        <v/>
      </c>
      <c r="I1180" s="25" t="str">
        <f t="shared" ca="1" si="184"/>
        <v/>
      </c>
      <c r="J1180" s="26" t="str">
        <f t="shared" ca="1" si="185"/>
        <v/>
      </c>
    </row>
    <row r="1181" spans="1:10" x14ac:dyDescent="0.25">
      <c r="A1181" t="s">
        <v>308</v>
      </c>
      <c r="B1181" t="str">
        <f>ADDRESS(ROW('Bond 1'!$B$25),COLUMN('Bond 1'!$B$25),4)</f>
        <v>B25</v>
      </c>
      <c r="C1181" t="str">
        <f>ADDRESS(ROW('Bond 1'!$D$25),COLUMN('Bond 1'!$D$25),4)</f>
        <v>D25</v>
      </c>
      <c r="D1181" t="b" cm="1">
        <f t="array" aca="1" ref="D1181" ca="1">IF(INDIRECT("'"&amp;A1181&amp;"'!"&amp;B1181)="",FALSE,IF(TRUNC(INDIRECT("'"&amp;A1181&amp;"'!"&amp;B1181))=INDIRECT("'"&amp;A1181&amp;"'!"&amp;B1181),FALSE,TRUE))</f>
        <v>0</v>
      </c>
      <c r="E1181" t="s">
        <v>436</v>
      </c>
      <c r="F1181" t="str">
        <f>INDEX(Lists!I:I,MATCH(Validation!E1181,Lists!G:G,0))</f>
        <v>Error</v>
      </c>
      <c r="G1181" t="str">
        <f>INDEX(Lists!H:H,MATCH(Validation!E1181,Lists!G:G,0))</f>
        <v>Amount must be rounded to the nearest dollar.</v>
      </c>
      <c r="H1181" s="25" t="str">
        <f t="shared" ca="1" si="183"/>
        <v/>
      </c>
      <c r="I1181" s="25" t="str">
        <f t="shared" ca="1" si="184"/>
        <v/>
      </c>
      <c r="J1181" s="26" t="str">
        <f t="shared" ca="1" si="185"/>
        <v/>
      </c>
    </row>
    <row r="1182" spans="1:10" x14ac:dyDescent="0.25">
      <c r="A1182" t="s">
        <v>309</v>
      </c>
      <c r="B1182" t="str">
        <f>ADDRESS(ROW('Bond 1'!$B$25),COLUMN('Bond 1'!$B$25),4)</f>
        <v>B25</v>
      </c>
      <c r="C1182" t="str">
        <f>ADDRESS(ROW('Bond 1'!$D$25),COLUMN('Bond 1'!$D$25),4)</f>
        <v>D25</v>
      </c>
      <c r="D1182" t="b" cm="1">
        <f t="array" aca="1" ref="D1182" ca="1">IF(INDIRECT("'"&amp;A1182&amp;"'!"&amp;B1182)="",FALSE,IF(TRUNC(INDIRECT("'"&amp;A1182&amp;"'!"&amp;B1182))=INDIRECT("'"&amp;A1182&amp;"'!"&amp;B1182),FALSE,TRUE))</f>
        <v>0</v>
      </c>
      <c r="E1182" t="s">
        <v>436</v>
      </c>
      <c r="F1182" t="str">
        <f>INDEX(Lists!I:I,MATCH(Validation!E1182,Lists!G:G,0))</f>
        <v>Error</v>
      </c>
      <c r="G1182" t="str">
        <f>INDEX(Lists!H:H,MATCH(Validation!E1182,Lists!G:G,0))</f>
        <v>Amount must be rounded to the nearest dollar.</v>
      </c>
      <c r="H1182" s="25" t="str">
        <f t="shared" ca="1" si="183"/>
        <v/>
      </c>
      <c r="I1182" s="25" t="str">
        <f t="shared" ca="1" si="184"/>
        <v/>
      </c>
      <c r="J1182" s="26" t="str">
        <f t="shared" ca="1" si="185"/>
        <v/>
      </c>
    </row>
    <row r="1183" spans="1:10" x14ac:dyDescent="0.25">
      <c r="A1183" t="s">
        <v>310</v>
      </c>
      <c r="B1183" t="str">
        <f>ADDRESS(ROW('Bond 1'!$B$25),COLUMN('Bond 1'!$B$25),4)</f>
        <v>B25</v>
      </c>
      <c r="C1183" t="str">
        <f>ADDRESS(ROW('Bond 1'!$D$25),COLUMN('Bond 1'!$D$25),4)</f>
        <v>D25</v>
      </c>
      <c r="D1183" t="b" cm="1">
        <f t="array" aca="1" ref="D1183" ca="1">IF(INDIRECT("'"&amp;A1183&amp;"'!"&amp;B1183)="",FALSE,IF(TRUNC(INDIRECT("'"&amp;A1183&amp;"'!"&amp;B1183))=INDIRECT("'"&amp;A1183&amp;"'!"&amp;B1183),FALSE,TRUE))</f>
        <v>0</v>
      </c>
      <c r="E1183" t="s">
        <v>436</v>
      </c>
      <c r="F1183" t="str">
        <f>INDEX(Lists!I:I,MATCH(Validation!E1183,Lists!G:G,0))</f>
        <v>Error</v>
      </c>
      <c r="G1183" t="str">
        <f>INDEX(Lists!H:H,MATCH(Validation!E1183,Lists!G:G,0))</f>
        <v>Amount must be rounded to the nearest dollar.</v>
      </c>
      <c r="H1183" s="25" t="str">
        <f t="shared" ca="1" si="183"/>
        <v/>
      </c>
      <c r="I1183" s="25" t="str">
        <f t="shared" ca="1" si="184"/>
        <v/>
      </c>
      <c r="J1183" s="26" t="str">
        <f t="shared" ca="1" si="185"/>
        <v/>
      </c>
    </row>
    <row r="1184" spans="1:10" x14ac:dyDescent="0.25">
      <c r="A1184" t="s">
        <v>311</v>
      </c>
      <c r="B1184" t="str">
        <f>ADDRESS(ROW('Bond 1'!$B$25),COLUMN('Bond 1'!$B$25),4)</f>
        <v>B25</v>
      </c>
      <c r="C1184" t="str">
        <f>ADDRESS(ROW('Bond 1'!$D$25),COLUMN('Bond 1'!$D$25),4)</f>
        <v>D25</v>
      </c>
      <c r="D1184" t="b" cm="1">
        <f t="array" aca="1" ref="D1184" ca="1">IF(INDIRECT("'"&amp;A1184&amp;"'!"&amp;B1184)="",FALSE,IF(TRUNC(INDIRECT("'"&amp;A1184&amp;"'!"&amp;B1184))=INDIRECT("'"&amp;A1184&amp;"'!"&amp;B1184),FALSE,TRUE))</f>
        <v>0</v>
      </c>
      <c r="E1184" t="s">
        <v>436</v>
      </c>
      <c r="F1184" t="str">
        <f>INDEX(Lists!I:I,MATCH(Validation!E1184,Lists!G:G,0))</f>
        <v>Error</v>
      </c>
      <c r="G1184" t="str">
        <f>INDEX(Lists!H:H,MATCH(Validation!E1184,Lists!G:G,0))</f>
        <v>Amount must be rounded to the nearest dollar.</v>
      </c>
      <c r="H1184" s="25" t="str">
        <f t="shared" ca="1" si="183"/>
        <v/>
      </c>
      <c r="I1184" s="25" t="str">
        <f t="shared" ca="1" si="184"/>
        <v/>
      </c>
      <c r="J1184" s="26" t="str">
        <f t="shared" ca="1" si="185"/>
        <v/>
      </c>
    </row>
    <row r="1185" spans="1:10" x14ac:dyDescent="0.25">
      <c r="A1185" t="s">
        <v>312</v>
      </c>
      <c r="B1185" t="str">
        <f>ADDRESS(ROW('Bond 1'!$B$25),COLUMN('Bond 1'!$B$25),4)</f>
        <v>B25</v>
      </c>
      <c r="C1185" t="str">
        <f>ADDRESS(ROW('Bond 1'!$D$25),COLUMN('Bond 1'!$D$25),4)</f>
        <v>D25</v>
      </c>
      <c r="D1185" t="b" cm="1">
        <f t="array" aca="1" ref="D1185" ca="1">IF(INDIRECT("'"&amp;A1185&amp;"'!"&amp;B1185)="",FALSE,IF(TRUNC(INDIRECT("'"&amp;A1185&amp;"'!"&amp;B1185))=INDIRECT("'"&amp;A1185&amp;"'!"&amp;B1185),FALSE,TRUE))</f>
        <v>0</v>
      </c>
      <c r="E1185" t="s">
        <v>436</v>
      </c>
      <c r="F1185" t="str">
        <f>INDEX(Lists!I:I,MATCH(Validation!E1185,Lists!G:G,0))</f>
        <v>Error</v>
      </c>
      <c r="G1185" t="str">
        <f>INDEX(Lists!H:H,MATCH(Validation!E1185,Lists!G:G,0))</f>
        <v>Amount must be rounded to the nearest dollar.</v>
      </c>
      <c r="H1185" s="25" t="str">
        <f t="shared" ca="1" si="183"/>
        <v/>
      </c>
      <c r="I1185" s="25" t="str">
        <f t="shared" ca="1" si="184"/>
        <v/>
      </c>
      <c r="J1185" s="26" t="str">
        <f t="shared" ca="1" si="185"/>
        <v/>
      </c>
    </row>
    <row r="1186" spans="1:10" x14ac:dyDescent="0.25">
      <c r="A1186" t="s">
        <v>313</v>
      </c>
      <c r="B1186" t="str">
        <f>ADDRESS(ROW('Bond 1'!$B$25),COLUMN('Bond 1'!$B$25),4)</f>
        <v>B25</v>
      </c>
      <c r="C1186" t="str">
        <f>ADDRESS(ROW('Bond 1'!$D$25),COLUMN('Bond 1'!$D$25),4)</f>
        <v>D25</v>
      </c>
      <c r="D1186" t="b" cm="1">
        <f t="array" aca="1" ref="D1186" ca="1">IF(INDIRECT("'"&amp;A1186&amp;"'!"&amp;B1186)="",FALSE,IF(TRUNC(INDIRECT("'"&amp;A1186&amp;"'!"&amp;B1186))=INDIRECT("'"&amp;A1186&amp;"'!"&amp;B1186),FALSE,TRUE))</f>
        <v>0</v>
      </c>
      <c r="E1186" t="s">
        <v>436</v>
      </c>
      <c r="F1186" t="str">
        <f>INDEX(Lists!I:I,MATCH(Validation!E1186,Lists!G:G,0))</f>
        <v>Error</v>
      </c>
      <c r="G1186" t="str">
        <f>INDEX(Lists!H:H,MATCH(Validation!E1186,Lists!G:G,0))</f>
        <v>Amount must be rounded to the nearest dollar.</v>
      </c>
      <c r="H1186" s="25" t="str">
        <f t="shared" ca="1" si="183"/>
        <v/>
      </c>
      <c r="I1186" s="25" t="str">
        <f t="shared" ca="1" si="184"/>
        <v/>
      </c>
      <c r="J1186" s="26" t="str">
        <f t="shared" ca="1" si="185"/>
        <v/>
      </c>
    </row>
    <row r="1187" spans="1:10" x14ac:dyDescent="0.25">
      <c r="A1187" t="s">
        <v>314</v>
      </c>
      <c r="B1187" t="str">
        <f>ADDRESS(ROW('Bond 1'!$B$25),COLUMN('Bond 1'!$B$25),4)</f>
        <v>B25</v>
      </c>
      <c r="C1187" t="str">
        <f>ADDRESS(ROW('Bond 1'!$D$25),COLUMN('Bond 1'!$D$25),4)</f>
        <v>D25</v>
      </c>
      <c r="D1187" t="b" cm="1">
        <f t="array" aca="1" ref="D1187" ca="1">IF(INDIRECT("'"&amp;A1187&amp;"'!"&amp;B1187)="",FALSE,IF(TRUNC(INDIRECT("'"&amp;A1187&amp;"'!"&amp;B1187))=INDIRECT("'"&amp;A1187&amp;"'!"&amp;B1187),FALSE,TRUE))</f>
        <v>0</v>
      </c>
      <c r="E1187" t="s">
        <v>436</v>
      </c>
      <c r="F1187" t="str">
        <f>INDEX(Lists!I:I,MATCH(Validation!E1187,Lists!G:G,0))</f>
        <v>Error</v>
      </c>
      <c r="G1187" t="str">
        <f>INDEX(Lists!H:H,MATCH(Validation!E1187,Lists!G:G,0))</f>
        <v>Amount must be rounded to the nearest dollar.</v>
      </c>
      <c r="H1187" s="25" t="str">
        <f t="shared" ca="1" si="183"/>
        <v/>
      </c>
      <c r="I1187" s="25" t="str">
        <f t="shared" ca="1" si="184"/>
        <v/>
      </c>
      <c r="J1187" s="26" t="str">
        <f t="shared" ca="1" si="185"/>
        <v/>
      </c>
    </row>
    <row r="1188" spans="1:10" x14ac:dyDescent="0.25">
      <c r="A1188" t="s">
        <v>315</v>
      </c>
      <c r="B1188" t="str">
        <f>ADDRESS(ROW('Bond 1'!$B$25),COLUMN('Bond 1'!$B$25),4)</f>
        <v>B25</v>
      </c>
      <c r="C1188" t="str">
        <f>ADDRESS(ROW('Bond 1'!$D$25),COLUMN('Bond 1'!$D$25),4)</f>
        <v>D25</v>
      </c>
      <c r="D1188" t="b" cm="1">
        <f t="array" aca="1" ref="D1188" ca="1">IF(INDIRECT("'"&amp;A1188&amp;"'!"&amp;B1188)="",FALSE,IF(TRUNC(INDIRECT("'"&amp;A1188&amp;"'!"&amp;B1188))=INDIRECT("'"&amp;A1188&amp;"'!"&amp;B1188),FALSE,TRUE))</f>
        <v>0</v>
      </c>
      <c r="E1188" t="s">
        <v>436</v>
      </c>
      <c r="F1188" t="str">
        <f>INDEX(Lists!I:I,MATCH(Validation!E1188,Lists!G:G,0))</f>
        <v>Error</v>
      </c>
      <c r="G1188" t="str">
        <f>INDEX(Lists!H:H,MATCH(Validation!E1188,Lists!G:G,0))</f>
        <v>Amount must be rounded to the nearest dollar.</v>
      </c>
      <c r="H1188" s="25" t="str">
        <f t="shared" ca="1" si="183"/>
        <v/>
      </c>
      <c r="I1188" s="25" t="str">
        <f t="shared" ca="1" si="184"/>
        <v/>
      </c>
      <c r="J1188" s="26" t="str">
        <f t="shared" ca="1" si="185"/>
        <v/>
      </c>
    </row>
    <row r="1189" spans="1:10" x14ac:dyDescent="0.25">
      <c r="A1189" t="s">
        <v>198</v>
      </c>
      <c r="B1189" t="str">
        <f>ADDRESS(ROW('Bond 1'!$B$25),COLUMN('Bond 1'!$B$25),4)</f>
        <v>B25</v>
      </c>
      <c r="C1189" t="str">
        <f>ADDRESS(ROW('Bond 1'!$D$25),COLUMN('Bond 1'!$D$25),4)</f>
        <v>D25</v>
      </c>
      <c r="D1189" t="b" cm="1">
        <f t="array" aca="1" ref="D1189" ca="1">IF(AND(NOT(ISBLANK('Bond Input'!C$25)),INDIRECT("'"&amp;A1189&amp;"'!"&amp;B1189)&lt;&gt;'Bond Input'!C$25),TRUE,FALSE)</f>
        <v>0</v>
      </c>
      <c r="E1189" t="s">
        <v>634</v>
      </c>
      <c r="F1189" t="str">
        <f>INDEX(Lists!I:I,MATCH(Validation!E1189,Lists!G:G,0))</f>
        <v>Alert</v>
      </c>
      <c r="G1189" t="str">
        <f>INDEX(Lists!H:H,MATCH(Validation!E1189,Lists!G:G,0))</f>
        <v>You have changed previously reported data. Explain in the comments box.</v>
      </c>
      <c r="H1189" s="25" t="str">
        <f t="shared" ca="1" si="183"/>
        <v/>
      </c>
      <c r="I1189" s="25" t="str">
        <f t="shared" ca="1" si="184"/>
        <v/>
      </c>
      <c r="J1189" s="26" t="str">
        <f t="shared" ca="1" si="185"/>
        <v/>
      </c>
    </row>
    <row r="1190" spans="1:10" x14ac:dyDescent="0.25">
      <c r="A1190" t="s">
        <v>302</v>
      </c>
      <c r="B1190" t="str">
        <f>ADDRESS(ROW('Bond 1'!$B$25),COLUMN('Bond 1'!$B$25),4)</f>
        <v>B25</v>
      </c>
      <c r="C1190" t="str">
        <f>ADDRESS(ROW('Bond 1'!$D$25),COLUMN('Bond 1'!$D$25),4)</f>
        <v>D25</v>
      </c>
      <c r="D1190" t="b" cm="1">
        <f t="array" aca="1" ref="D1190" ca="1">IF(AND(NOT(ISBLANK('Bond Input'!D$25)),INDIRECT("'"&amp;A1190&amp;"'!"&amp;B1190)&lt;&gt;'Bond Input'!D$25),TRUE,FALSE)</f>
        <v>0</v>
      </c>
      <c r="E1190" t="s">
        <v>634</v>
      </c>
      <c r="F1190" t="str">
        <f>INDEX(Lists!I:I,MATCH(Validation!E1190,Lists!G:G,0))</f>
        <v>Alert</v>
      </c>
      <c r="G1190" t="str">
        <f>INDEX(Lists!H:H,MATCH(Validation!E1190,Lists!G:G,0))</f>
        <v>You have changed previously reported data. Explain in the comments box.</v>
      </c>
      <c r="H1190" s="25" t="str">
        <f t="shared" ca="1" si="183"/>
        <v/>
      </c>
      <c r="I1190" s="25" t="str">
        <f t="shared" ca="1" si="184"/>
        <v/>
      </c>
      <c r="J1190" s="26" t="str">
        <f t="shared" ca="1" si="185"/>
        <v/>
      </c>
    </row>
    <row r="1191" spans="1:10" x14ac:dyDescent="0.25">
      <c r="A1191" t="s">
        <v>303</v>
      </c>
      <c r="B1191" t="str">
        <f>ADDRESS(ROW('Bond 1'!$B$25),COLUMN('Bond 1'!$B$25),4)</f>
        <v>B25</v>
      </c>
      <c r="C1191" t="str">
        <f>ADDRESS(ROW('Bond 1'!$D$25),COLUMN('Bond 1'!$D$25),4)</f>
        <v>D25</v>
      </c>
      <c r="D1191" t="b" cm="1">
        <f t="array" aca="1" ref="D1191" ca="1">IF(AND(NOT(ISBLANK('Bond Input'!E$25)),INDIRECT("'"&amp;A1191&amp;"'!"&amp;B1191)&lt;&gt;'Bond Input'!E$25),TRUE,FALSE)</f>
        <v>0</v>
      </c>
      <c r="E1191" t="s">
        <v>634</v>
      </c>
      <c r="F1191" t="str">
        <f>INDEX(Lists!I:I,MATCH(Validation!E1191,Lists!G:G,0))</f>
        <v>Alert</v>
      </c>
      <c r="G1191" t="str">
        <f>INDEX(Lists!H:H,MATCH(Validation!E1191,Lists!G:G,0))</f>
        <v>You have changed previously reported data. Explain in the comments box.</v>
      </c>
      <c r="H1191" s="25" t="str">
        <f t="shared" ca="1" si="183"/>
        <v/>
      </c>
      <c r="I1191" s="25" t="str">
        <f t="shared" ca="1" si="184"/>
        <v/>
      </c>
      <c r="J1191" s="26" t="str">
        <f t="shared" ca="1" si="185"/>
        <v/>
      </c>
    </row>
    <row r="1192" spans="1:10" x14ac:dyDescent="0.25">
      <c r="A1192" t="s">
        <v>304</v>
      </c>
      <c r="B1192" t="str">
        <f>ADDRESS(ROW('Bond 1'!$B$25),COLUMN('Bond 1'!$B$25),4)</f>
        <v>B25</v>
      </c>
      <c r="C1192" t="str">
        <f>ADDRESS(ROW('Bond 1'!$D$25),COLUMN('Bond 1'!$D$25),4)</f>
        <v>D25</v>
      </c>
      <c r="D1192" t="b" cm="1">
        <f t="array" aca="1" ref="D1192" ca="1">IF(AND(NOT(ISBLANK('Bond Input'!F$25)),INDIRECT("'"&amp;A1192&amp;"'!"&amp;B1192)&lt;&gt;'Bond Input'!F$25),TRUE,FALSE)</f>
        <v>0</v>
      </c>
      <c r="E1192" t="s">
        <v>634</v>
      </c>
      <c r="F1192" t="str">
        <f>INDEX(Lists!I:I,MATCH(Validation!E1192,Lists!G:G,0))</f>
        <v>Alert</v>
      </c>
      <c r="G1192" t="str">
        <f>INDEX(Lists!H:H,MATCH(Validation!E1192,Lists!G:G,0))</f>
        <v>You have changed previously reported data. Explain in the comments box.</v>
      </c>
      <c r="H1192" s="25" t="str">
        <f t="shared" ca="1" si="183"/>
        <v/>
      </c>
      <c r="I1192" s="25" t="str">
        <f t="shared" ca="1" si="184"/>
        <v/>
      </c>
      <c r="J1192" s="26" t="str">
        <f t="shared" ca="1" si="185"/>
        <v/>
      </c>
    </row>
    <row r="1193" spans="1:10" x14ac:dyDescent="0.25">
      <c r="A1193" t="s">
        <v>305</v>
      </c>
      <c r="B1193" t="str">
        <f>ADDRESS(ROW('Bond 1'!$B$25),COLUMN('Bond 1'!$B$25),4)</f>
        <v>B25</v>
      </c>
      <c r="C1193" t="str">
        <f>ADDRESS(ROW('Bond 1'!$D$25),COLUMN('Bond 1'!$D$25),4)</f>
        <v>D25</v>
      </c>
      <c r="D1193" t="b" cm="1">
        <f t="array" aca="1" ref="D1193" ca="1">IF(AND(NOT(ISBLANK('Bond Input'!G$25)),INDIRECT("'"&amp;A1193&amp;"'!"&amp;B1193)&lt;&gt;'Bond Input'!G$25),TRUE,FALSE)</f>
        <v>0</v>
      </c>
      <c r="E1193" t="s">
        <v>634</v>
      </c>
      <c r="F1193" t="str">
        <f>INDEX(Lists!I:I,MATCH(Validation!E1193,Lists!G:G,0))</f>
        <v>Alert</v>
      </c>
      <c r="G1193" t="str">
        <f>INDEX(Lists!H:H,MATCH(Validation!E1193,Lists!G:G,0))</f>
        <v>You have changed previously reported data. Explain in the comments box.</v>
      </c>
      <c r="H1193" s="25" t="str">
        <f t="shared" ca="1" si="183"/>
        <v/>
      </c>
      <c r="I1193" s="25" t="str">
        <f t="shared" ca="1" si="184"/>
        <v/>
      </c>
      <c r="J1193" s="26" t="str">
        <f t="shared" ca="1" si="185"/>
        <v/>
      </c>
    </row>
    <row r="1194" spans="1:10" x14ac:dyDescent="0.25">
      <c r="A1194" t="s">
        <v>306</v>
      </c>
      <c r="B1194" t="str">
        <f>ADDRESS(ROW('Bond 1'!$B$25),COLUMN('Bond 1'!$B$25),4)</f>
        <v>B25</v>
      </c>
      <c r="C1194" t="str">
        <f>ADDRESS(ROW('Bond 1'!$D$25),COLUMN('Bond 1'!$D$25),4)</f>
        <v>D25</v>
      </c>
      <c r="D1194" t="b" cm="1">
        <f t="array" aca="1" ref="D1194" ca="1">IF(AND(NOT(ISBLANK('Bond Input'!H$25)),INDIRECT("'"&amp;A1194&amp;"'!"&amp;B1194)&lt;&gt;'Bond Input'!H$25),TRUE,FALSE)</f>
        <v>0</v>
      </c>
      <c r="E1194" t="s">
        <v>634</v>
      </c>
      <c r="F1194" t="str">
        <f>INDEX(Lists!I:I,MATCH(Validation!E1194,Lists!G:G,0))</f>
        <v>Alert</v>
      </c>
      <c r="G1194" t="str">
        <f>INDEX(Lists!H:H,MATCH(Validation!E1194,Lists!G:G,0))</f>
        <v>You have changed previously reported data. Explain in the comments box.</v>
      </c>
      <c r="H1194" s="25" t="str">
        <f t="shared" ca="1" si="183"/>
        <v/>
      </c>
      <c r="I1194" s="25" t="str">
        <f t="shared" ca="1" si="184"/>
        <v/>
      </c>
      <c r="J1194" s="26" t="str">
        <f t="shared" ca="1" si="185"/>
        <v/>
      </c>
    </row>
    <row r="1195" spans="1:10" x14ac:dyDescent="0.25">
      <c r="A1195" t="s">
        <v>307</v>
      </c>
      <c r="B1195" t="str">
        <f>ADDRESS(ROW('Bond 1'!$B$25),COLUMN('Bond 1'!$B$25),4)</f>
        <v>B25</v>
      </c>
      <c r="C1195" t="str">
        <f>ADDRESS(ROW('Bond 1'!$D$25),COLUMN('Bond 1'!$D$25),4)</f>
        <v>D25</v>
      </c>
      <c r="D1195" t="b" cm="1">
        <f t="array" aca="1" ref="D1195" ca="1">IF(AND(NOT(ISBLANK('Bond Input'!I$25)),INDIRECT("'"&amp;A1195&amp;"'!"&amp;B1195)&lt;&gt;'Bond Input'!I$25),TRUE,FALSE)</f>
        <v>0</v>
      </c>
      <c r="E1195" t="s">
        <v>634</v>
      </c>
      <c r="F1195" t="str">
        <f>INDEX(Lists!I:I,MATCH(Validation!E1195,Lists!G:G,0))</f>
        <v>Alert</v>
      </c>
      <c r="G1195" t="str">
        <f>INDEX(Lists!H:H,MATCH(Validation!E1195,Lists!G:G,0))</f>
        <v>You have changed previously reported data. Explain in the comments box.</v>
      </c>
      <c r="H1195" s="25" t="str">
        <f t="shared" ca="1" si="183"/>
        <v/>
      </c>
      <c r="I1195" s="25" t="str">
        <f t="shared" ca="1" si="184"/>
        <v/>
      </c>
      <c r="J1195" s="26" t="str">
        <f t="shared" ca="1" si="185"/>
        <v/>
      </c>
    </row>
    <row r="1196" spans="1:10" x14ac:dyDescent="0.25">
      <c r="A1196" t="s">
        <v>308</v>
      </c>
      <c r="B1196" t="str">
        <f>ADDRESS(ROW('Bond 1'!$B$25),COLUMN('Bond 1'!$B$25),4)</f>
        <v>B25</v>
      </c>
      <c r="C1196" t="str">
        <f>ADDRESS(ROW('Bond 1'!$D$25),COLUMN('Bond 1'!$D$25),4)</f>
        <v>D25</v>
      </c>
      <c r="D1196" t="b" cm="1">
        <f t="array" aca="1" ref="D1196" ca="1">IF(AND(NOT(ISBLANK('Bond Input'!J$25)),INDIRECT("'"&amp;A1196&amp;"'!"&amp;B1196)&lt;&gt;'Bond Input'!J$25),TRUE,FALSE)</f>
        <v>0</v>
      </c>
      <c r="E1196" t="s">
        <v>634</v>
      </c>
      <c r="F1196" t="str">
        <f>INDEX(Lists!I:I,MATCH(Validation!E1196,Lists!G:G,0))</f>
        <v>Alert</v>
      </c>
      <c r="G1196" t="str">
        <f>INDEX(Lists!H:H,MATCH(Validation!E1196,Lists!G:G,0))</f>
        <v>You have changed previously reported data. Explain in the comments box.</v>
      </c>
      <c r="H1196" s="25" t="str">
        <f t="shared" ca="1" si="183"/>
        <v/>
      </c>
      <c r="I1196" s="25" t="str">
        <f t="shared" ca="1" si="184"/>
        <v/>
      </c>
      <c r="J1196" s="26" t="str">
        <f t="shared" ca="1" si="185"/>
        <v/>
      </c>
    </row>
    <row r="1197" spans="1:10" x14ac:dyDescent="0.25">
      <c r="A1197" t="s">
        <v>309</v>
      </c>
      <c r="B1197" t="str">
        <f>ADDRESS(ROW('Bond 1'!$B$25),COLUMN('Bond 1'!$B$25),4)</f>
        <v>B25</v>
      </c>
      <c r="C1197" t="str">
        <f>ADDRESS(ROW('Bond 1'!$D$25),COLUMN('Bond 1'!$D$25),4)</f>
        <v>D25</v>
      </c>
      <c r="D1197" t="b" cm="1">
        <f t="array" aca="1" ref="D1197" ca="1">IF(AND(NOT(ISBLANK('Bond Input'!K$25)),INDIRECT("'"&amp;A1197&amp;"'!"&amp;B1197)&lt;&gt;'Bond Input'!K$25),TRUE,FALSE)</f>
        <v>0</v>
      </c>
      <c r="E1197" t="s">
        <v>634</v>
      </c>
      <c r="F1197" t="str">
        <f>INDEX(Lists!I:I,MATCH(Validation!E1197,Lists!G:G,0))</f>
        <v>Alert</v>
      </c>
      <c r="G1197" t="str">
        <f>INDEX(Lists!H:H,MATCH(Validation!E1197,Lists!G:G,0))</f>
        <v>You have changed previously reported data. Explain in the comments box.</v>
      </c>
      <c r="H1197" s="25" t="str">
        <f t="shared" ca="1" si="183"/>
        <v/>
      </c>
      <c r="I1197" s="25" t="str">
        <f t="shared" ca="1" si="184"/>
        <v/>
      </c>
      <c r="J1197" s="26" t="str">
        <f t="shared" ca="1" si="185"/>
        <v/>
      </c>
    </row>
    <row r="1198" spans="1:10" x14ac:dyDescent="0.25">
      <c r="A1198" t="s">
        <v>310</v>
      </c>
      <c r="B1198" t="str">
        <f>ADDRESS(ROW('Bond 1'!$B$25),COLUMN('Bond 1'!$B$25),4)</f>
        <v>B25</v>
      </c>
      <c r="C1198" t="str">
        <f>ADDRESS(ROW('Bond 1'!$D$25),COLUMN('Bond 1'!$D$25),4)</f>
        <v>D25</v>
      </c>
      <c r="D1198" t="b" cm="1">
        <f t="array" aca="1" ref="D1198" ca="1">IF(AND(NOT(ISBLANK('Bond Input'!L$25)),INDIRECT("'"&amp;A1198&amp;"'!"&amp;B1198)&lt;&gt;'Bond Input'!L$25),TRUE,FALSE)</f>
        <v>0</v>
      </c>
      <c r="E1198" t="s">
        <v>634</v>
      </c>
      <c r="F1198" t="str">
        <f>INDEX(Lists!I:I,MATCH(Validation!E1198,Lists!G:G,0))</f>
        <v>Alert</v>
      </c>
      <c r="G1198" t="str">
        <f>INDEX(Lists!H:H,MATCH(Validation!E1198,Lists!G:G,0))</f>
        <v>You have changed previously reported data. Explain in the comments box.</v>
      </c>
      <c r="H1198" s="25" t="str">
        <f t="shared" ca="1" si="183"/>
        <v/>
      </c>
      <c r="I1198" s="25" t="str">
        <f t="shared" ca="1" si="184"/>
        <v/>
      </c>
      <c r="J1198" s="26" t="str">
        <f t="shared" ca="1" si="185"/>
        <v/>
      </c>
    </row>
    <row r="1199" spans="1:10" x14ac:dyDescent="0.25">
      <c r="A1199" t="s">
        <v>311</v>
      </c>
      <c r="B1199" t="str">
        <f>ADDRESS(ROW('Bond 1'!$B$25),COLUMN('Bond 1'!$B$25),4)</f>
        <v>B25</v>
      </c>
      <c r="C1199" t="str">
        <f>ADDRESS(ROW('Bond 1'!$D$25),COLUMN('Bond 1'!$D$25),4)</f>
        <v>D25</v>
      </c>
      <c r="D1199" t="b" cm="1">
        <f t="array" aca="1" ref="D1199" ca="1">IF(AND(NOT(ISBLANK('Bond Input'!M$25)),INDIRECT("'"&amp;A1199&amp;"'!"&amp;B1199)&lt;&gt;'Bond Input'!M$25),TRUE,FALSE)</f>
        <v>0</v>
      </c>
      <c r="E1199" t="s">
        <v>634</v>
      </c>
      <c r="F1199" t="str">
        <f>INDEX(Lists!I:I,MATCH(Validation!E1199,Lists!G:G,0))</f>
        <v>Alert</v>
      </c>
      <c r="G1199" t="str">
        <f>INDEX(Lists!H:H,MATCH(Validation!E1199,Lists!G:G,0))</f>
        <v>You have changed previously reported data. Explain in the comments box.</v>
      </c>
      <c r="H1199" s="25" t="str">
        <f t="shared" ca="1" si="183"/>
        <v/>
      </c>
      <c r="I1199" s="25" t="str">
        <f t="shared" ca="1" si="184"/>
        <v/>
      </c>
      <c r="J1199" s="26" t="str">
        <f t="shared" ca="1" si="185"/>
        <v/>
      </c>
    </row>
    <row r="1200" spans="1:10" x14ac:dyDescent="0.25">
      <c r="A1200" t="s">
        <v>312</v>
      </c>
      <c r="B1200" t="str">
        <f>ADDRESS(ROW('Bond 1'!$B$25),COLUMN('Bond 1'!$B$25),4)</f>
        <v>B25</v>
      </c>
      <c r="C1200" t="str">
        <f>ADDRESS(ROW('Bond 1'!$D$25),COLUMN('Bond 1'!$D$25),4)</f>
        <v>D25</v>
      </c>
      <c r="D1200" t="b" cm="1">
        <f t="array" aca="1" ref="D1200" ca="1">IF(AND(NOT(ISBLANK('Bond Input'!N$25)),INDIRECT("'"&amp;A1200&amp;"'!"&amp;B1200)&lt;&gt;'Bond Input'!N$25),TRUE,FALSE)</f>
        <v>0</v>
      </c>
      <c r="E1200" t="s">
        <v>634</v>
      </c>
      <c r="F1200" t="str">
        <f>INDEX(Lists!I:I,MATCH(Validation!E1200,Lists!G:G,0))</f>
        <v>Alert</v>
      </c>
      <c r="G1200" t="str">
        <f>INDEX(Lists!H:H,MATCH(Validation!E1200,Lists!G:G,0))</f>
        <v>You have changed previously reported data. Explain in the comments box.</v>
      </c>
      <c r="H1200" s="25" t="str">
        <f t="shared" ca="1" si="183"/>
        <v/>
      </c>
      <c r="I1200" s="25" t="str">
        <f t="shared" ca="1" si="184"/>
        <v/>
      </c>
      <c r="J1200" s="26" t="str">
        <f t="shared" ca="1" si="185"/>
        <v/>
      </c>
    </row>
    <row r="1201" spans="1:10" x14ac:dyDescent="0.25">
      <c r="A1201" t="s">
        <v>313</v>
      </c>
      <c r="B1201" t="str">
        <f>ADDRESS(ROW('Bond 1'!$B$25),COLUMN('Bond 1'!$B$25),4)</f>
        <v>B25</v>
      </c>
      <c r="C1201" t="str">
        <f>ADDRESS(ROW('Bond 1'!$D$25),COLUMN('Bond 1'!$D$25),4)</f>
        <v>D25</v>
      </c>
      <c r="D1201" t="b" cm="1">
        <f t="array" aca="1" ref="D1201" ca="1">IF(AND(NOT(ISBLANK('Bond Input'!O$25)),INDIRECT("'"&amp;A1201&amp;"'!"&amp;B1201)&lt;&gt;'Bond Input'!O$25),TRUE,FALSE)</f>
        <v>0</v>
      </c>
      <c r="E1201" t="s">
        <v>634</v>
      </c>
      <c r="F1201" t="str">
        <f>INDEX(Lists!I:I,MATCH(Validation!E1201,Lists!G:G,0))</f>
        <v>Alert</v>
      </c>
      <c r="G1201" t="str">
        <f>INDEX(Lists!H:H,MATCH(Validation!E1201,Lists!G:G,0))</f>
        <v>You have changed previously reported data. Explain in the comments box.</v>
      </c>
      <c r="H1201" s="25" t="str">
        <f t="shared" ca="1" si="183"/>
        <v/>
      </c>
      <c r="I1201" s="25" t="str">
        <f t="shared" ca="1" si="184"/>
        <v/>
      </c>
      <c r="J1201" s="26" t="str">
        <f t="shared" ca="1" si="185"/>
        <v/>
      </c>
    </row>
    <row r="1202" spans="1:10" x14ac:dyDescent="0.25">
      <c r="A1202" t="s">
        <v>314</v>
      </c>
      <c r="B1202" t="str">
        <f>ADDRESS(ROW('Bond 1'!$B$25),COLUMN('Bond 1'!$B$25),4)</f>
        <v>B25</v>
      </c>
      <c r="C1202" t="str">
        <f>ADDRESS(ROW('Bond 1'!$D$25),COLUMN('Bond 1'!$D$25),4)</f>
        <v>D25</v>
      </c>
      <c r="D1202" t="b" cm="1">
        <f t="array" aca="1" ref="D1202" ca="1">IF(AND(NOT(ISBLANK('Bond Input'!P$25)),INDIRECT("'"&amp;A1202&amp;"'!"&amp;B1202)&lt;&gt;'Bond Input'!P$25),TRUE,FALSE)</f>
        <v>0</v>
      </c>
      <c r="E1202" t="s">
        <v>634</v>
      </c>
      <c r="F1202" t="str">
        <f>INDEX(Lists!I:I,MATCH(Validation!E1202,Lists!G:G,0))</f>
        <v>Alert</v>
      </c>
      <c r="G1202" t="str">
        <f>INDEX(Lists!H:H,MATCH(Validation!E1202,Lists!G:G,0))</f>
        <v>You have changed previously reported data. Explain in the comments box.</v>
      </c>
      <c r="H1202" s="25" t="str">
        <f t="shared" ca="1" si="183"/>
        <v/>
      </c>
      <c r="I1202" s="25" t="str">
        <f t="shared" ca="1" si="184"/>
        <v/>
      </c>
      <c r="J1202" s="26" t="str">
        <f t="shared" ca="1" si="185"/>
        <v/>
      </c>
    </row>
    <row r="1203" spans="1:10" x14ac:dyDescent="0.25">
      <c r="A1203" t="s">
        <v>315</v>
      </c>
      <c r="B1203" t="str">
        <f>ADDRESS(ROW('Bond 1'!$B$25),COLUMN('Bond 1'!$B$25),4)</f>
        <v>B25</v>
      </c>
      <c r="C1203" t="str">
        <f>ADDRESS(ROW('Bond 1'!$D$25),COLUMN('Bond 1'!$D$25),4)</f>
        <v>D25</v>
      </c>
      <c r="D1203" t="b" cm="1">
        <f t="array" aca="1" ref="D1203" ca="1">IF(AND(NOT(ISBLANK('Bond Input'!Q$25)),INDIRECT("'"&amp;A1203&amp;"'!"&amp;B1203)&lt;&gt;'Bond Input'!Q$25),TRUE,FALSE)</f>
        <v>0</v>
      </c>
      <c r="E1203" t="s">
        <v>634</v>
      </c>
      <c r="F1203" t="str">
        <f>INDEX(Lists!I:I,MATCH(Validation!E1203,Lists!G:G,0))</f>
        <v>Alert</v>
      </c>
      <c r="G1203" t="str">
        <f>INDEX(Lists!H:H,MATCH(Validation!E1203,Lists!G:G,0))</f>
        <v>You have changed previously reported data. Explain in the comments box.</v>
      </c>
      <c r="H1203" s="25" t="str">
        <f t="shared" ca="1" si="183"/>
        <v/>
      </c>
      <c r="I1203" s="25" t="str">
        <f t="shared" ca="1" si="184"/>
        <v/>
      </c>
      <c r="J1203" s="26" t="str">
        <f t="shared" ca="1" si="185"/>
        <v/>
      </c>
    </row>
    <row r="1204" spans="1:10" x14ac:dyDescent="0.25">
      <c r="A1204" t="s">
        <v>198</v>
      </c>
      <c r="B1204" t="str">
        <f>ADDRESS(ROW('Bond 1'!$C$25),COLUMN('Bond 1'!$C$25),4)</f>
        <v>C25</v>
      </c>
      <c r="C1204" t="str">
        <f>ADDRESS(ROW('Bond 1'!$D$25),COLUMN('Bond 1'!$D$25),4)</f>
        <v>D25</v>
      </c>
      <c r="D1204" t="b" cm="1">
        <f t="array" aca="1" ref="D1204" ca="1">IF(INDIRECT("'"&amp;A1204&amp;"'!"&amp;B1204)="",FALSE,IF(NOT(ISNUMBER(INDIRECT("'"&amp;A1204&amp;"'!"&amp;B1204))),TRUE,FALSE))</f>
        <v>0</v>
      </c>
      <c r="E1204" t="s">
        <v>435</v>
      </c>
      <c r="F1204" t="str">
        <f>INDEX(Lists!I:I,MATCH(Validation!E1204,Lists!G:G,0))</f>
        <v>Error</v>
      </c>
      <c r="G1204" t="str">
        <f>INDEX(Lists!H:H,MATCH(Validation!E1204,Lists!G:G,0))</f>
        <v>Enter an amount only. Do not enter text or spaces.</v>
      </c>
      <c r="H1204" s="25" t="str">
        <f t="shared" ca="1" si="183"/>
        <v/>
      </c>
      <c r="I1204" s="25" t="str">
        <f t="shared" ca="1" si="184"/>
        <v/>
      </c>
      <c r="J1204" s="26" t="str">
        <f t="shared" ca="1" si="185"/>
        <v/>
      </c>
    </row>
    <row r="1205" spans="1:10" x14ac:dyDescent="0.25">
      <c r="A1205" t="s">
        <v>302</v>
      </c>
      <c r="B1205" t="str">
        <f>ADDRESS(ROW('Bond 1'!$C$25),COLUMN('Bond 1'!$C$25),4)</f>
        <v>C25</v>
      </c>
      <c r="C1205" t="str">
        <f>ADDRESS(ROW('Bond 1'!$D$25),COLUMN('Bond 1'!$D$25),4)</f>
        <v>D25</v>
      </c>
      <c r="D1205" t="b" cm="1">
        <f t="array" aca="1" ref="D1205" ca="1">IF(INDIRECT("'"&amp;A1205&amp;"'!"&amp;B1205)="",FALSE,IF(NOT(ISNUMBER(INDIRECT("'"&amp;A1205&amp;"'!"&amp;B1205))),TRUE,FALSE))</f>
        <v>0</v>
      </c>
      <c r="E1205" t="s">
        <v>435</v>
      </c>
      <c r="F1205" t="str">
        <f>INDEX(Lists!I:I,MATCH(Validation!E1205,Lists!G:G,0))</f>
        <v>Error</v>
      </c>
      <c r="G1205" t="str">
        <f>INDEX(Lists!H:H,MATCH(Validation!E1205,Lists!G:G,0))</f>
        <v>Enter an amount only. Do not enter text or spaces.</v>
      </c>
      <c r="H1205" s="25" t="str">
        <f t="shared" ca="1" si="183"/>
        <v/>
      </c>
      <c r="I1205" s="25" t="str">
        <f t="shared" ca="1" si="184"/>
        <v/>
      </c>
      <c r="J1205" s="26" t="str">
        <f t="shared" ca="1" si="185"/>
        <v/>
      </c>
    </row>
    <row r="1206" spans="1:10" x14ac:dyDescent="0.25">
      <c r="A1206" t="s">
        <v>303</v>
      </c>
      <c r="B1206" t="str">
        <f>ADDRESS(ROW('Bond 1'!$C$25),COLUMN('Bond 1'!$C$25),4)</f>
        <v>C25</v>
      </c>
      <c r="C1206" t="str">
        <f>ADDRESS(ROW('Bond 1'!$D$25),COLUMN('Bond 1'!$D$25),4)</f>
        <v>D25</v>
      </c>
      <c r="D1206" t="b" cm="1">
        <f t="array" aca="1" ref="D1206" ca="1">IF(INDIRECT("'"&amp;A1206&amp;"'!"&amp;B1206)="",FALSE,IF(NOT(ISNUMBER(INDIRECT("'"&amp;A1206&amp;"'!"&amp;B1206))),TRUE,FALSE))</f>
        <v>0</v>
      </c>
      <c r="E1206" t="s">
        <v>435</v>
      </c>
      <c r="F1206" t="str">
        <f>INDEX(Lists!I:I,MATCH(Validation!E1206,Lists!G:G,0))</f>
        <v>Error</v>
      </c>
      <c r="G1206" t="str">
        <f>INDEX(Lists!H:H,MATCH(Validation!E1206,Lists!G:G,0))</f>
        <v>Enter an amount only. Do not enter text or spaces.</v>
      </c>
      <c r="H1206" s="25" t="str">
        <f t="shared" ca="1" si="183"/>
        <v/>
      </c>
      <c r="I1206" s="25" t="str">
        <f t="shared" ca="1" si="184"/>
        <v/>
      </c>
      <c r="J1206" s="26" t="str">
        <f t="shared" ca="1" si="185"/>
        <v/>
      </c>
    </row>
    <row r="1207" spans="1:10" x14ac:dyDescent="0.25">
      <c r="A1207" t="s">
        <v>304</v>
      </c>
      <c r="B1207" t="str">
        <f>ADDRESS(ROW('Bond 1'!$C$25),COLUMN('Bond 1'!$C$25),4)</f>
        <v>C25</v>
      </c>
      <c r="C1207" t="str">
        <f>ADDRESS(ROW('Bond 1'!$D$25),COLUMN('Bond 1'!$D$25),4)</f>
        <v>D25</v>
      </c>
      <c r="D1207" t="b" cm="1">
        <f t="array" aca="1" ref="D1207" ca="1">IF(INDIRECT("'"&amp;A1207&amp;"'!"&amp;B1207)="",FALSE,IF(NOT(ISNUMBER(INDIRECT("'"&amp;A1207&amp;"'!"&amp;B1207))),TRUE,FALSE))</f>
        <v>0</v>
      </c>
      <c r="E1207" t="s">
        <v>435</v>
      </c>
      <c r="F1207" t="str">
        <f>INDEX(Lists!I:I,MATCH(Validation!E1207,Lists!G:G,0))</f>
        <v>Error</v>
      </c>
      <c r="G1207" t="str">
        <f>INDEX(Lists!H:H,MATCH(Validation!E1207,Lists!G:G,0))</f>
        <v>Enter an amount only. Do not enter text or spaces.</v>
      </c>
      <c r="H1207" s="25" t="str">
        <f t="shared" ca="1" si="183"/>
        <v/>
      </c>
      <c r="I1207" s="25" t="str">
        <f t="shared" ca="1" si="184"/>
        <v/>
      </c>
      <c r="J1207" s="26" t="str">
        <f t="shared" ca="1" si="185"/>
        <v/>
      </c>
    </row>
    <row r="1208" spans="1:10" x14ac:dyDescent="0.25">
      <c r="A1208" t="s">
        <v>305</v>
      </c>
      <c r="B1208" t="str">
        <f>ADDRESS(ROW('Bond 1'!$C$25),COLUMN('Bond 1'!$C$25),4)</f>
        <v>C25</v>
      </c>
      <c r="C1208" t="str">
        <f>ADDRESS(ROW('Bond 1'!$D$25),COLUMN('Bond 1'!$D$25),4)</f>
        <v>D25</v>
      </c>
      <c r="D1208" t="b" cm="1">
        <f t="array" aca="1" ref="D1208" ca="1">IF(INDIRECT("'"&amp;A1208&amp;"'!"&amp;B1208)="",FALSE,IF(NOT(ISNUMBER(INDIRECT("'"&amp;A1208&amp;"'!"&amp;B1208))),TRUE,FALSE))</f>
        <v>0</v>
      </c>
      <c r="E1208" t="s">
        <v>435</v>
      </c>
      <c r="F1208" t="str">
        <f>INDEX(Lists!I:I,MATCH(Validation!E1208,Lists!G:G,0))</f>
        <v>Error</v>
      </c>
      <c r="G1208" t="str">
        <f>INDEX(Lists!H:H,MATCH(Validation!E1208,Lists!G:G,0))</f>
        <v>Enter an amount only. Do not enter text or spaces.</v>
      </c>
      <c r="H1208" s="25" t="str">
        <f t="shared" ca="1" si="183"/>
        <v/>
      </c>
      <c r="I1208" s="25" t="str">
        <f t="shared" ca="1" si="184"/>
        <v/>
      </c>
      <c r="J1208" s="26" t="str">
        <f t="shared" ca="1" si="185"/>
        <v/>
      </c>
    </row>
    <row r="1209" spans="1:10" x14ac:dyDescent="0.25">
      <c r="A1209" t="s">
        <v>306</v>
      </c>
      <c r="B1209" t="str">
        <f>ADDRESS(ROW('Bond 1'!$C$25),COLUMN('Bond 1'!$C$25),4)</f>
        <v>C25</v>
      </c>
      <c r="C1209" t="str">
        <f>ADDRESS(ROW('Bond 1'!$D$25),COLUMN('Bond 1'!$D$25),4)</f>
        <v>D25</v>
      </c>
      <c r="D1209" t="b" cm="1">
        <f t="array" aca="1" ref="D1209" ca="1">IF(INDIRECT("'"&amp;A1209&amp;"'!"&amp;B1209)="",FALSE,IF(NOT(ISNUMBER(INDIRECT("'"&amp;A1209&amp;"'!"&amp;B1209))),TRUE,FALSE))</f>
        <v>0</v>
      </c>
      <c r="E1209" t="s">
        <v>435</v>
      </c>
      <c r="F1209" t="str">
        <f>INDEX(Lists!I:I,MATCH(Validation!E1209,Lists!G:G,0))</f>
        <v>Error</v>
      </c>
      <c r="G1209" t="str">
        <f>INDEX(Lists!H:H,MATCH(Validation!E1209,Lists!G:G,0))</f>
        <v>Enter an amount only. Do not enter text or spaces.</v>
      </c>
      <c r="H1209" s="25" t="str">
        <f t="shared" ref="H1209:H1272" ca="1" si="186">IFERROR(IF(OR(NOT(D1209),F1209&lt;&gt;"Error"),"",A1209&amp;CELL("address",INDIRECT(B1209))),"")</f>
        <v/>
      </c>
      <c r="I1209" s="25" t="str">
        <f t="shared" ref="I1209:I1272" ca="1" si="187">IFERROR(IF(NOT(D1209),"",A1209&amp;CELL("address",INDIRECT(C1209))),"")</f>
        <v/>
      </c>
      <c r="J1209" s="26" t="str">
        <f t="shared" ref="J1209:J1272" ca="1" si="188">IFERROR(IF(NOT(D1209),"",A1209),"")</f>
        <v/>
      </c>
    </row>
    <row r="1210" spans="1:10" x14ac:dyDescent="0.25">
      <c r="A1210" t="s">
        <v>307</v>
      </c>
      <c r="B1210" t="str">
        <f>ADDRESS(ROW('Bond 1'!$C$25),COLUMN('Bond 1'!$C$25),4)</f>
        <v>C25</v>
      </c>
      <c r="C1210" t="str">
        <f>ADDRESS(ROW('Bond 1'!$D$25),COLUMN('Bond 1'!$D$25),4)</f>
        <v>D25</v>
      </c>
      <c r="D1210" t="b" cm="1">
        <f t="array" aca="1" ref="D1210" ca="1">IF(INDIRECT("'"&amp;A1210&amp;"'!"&amp;B1210)="",FALSE,IF(NOT(ISNUMBER(INDIRECT("'"&amp;A1210&amp;"'!"&amp;B1210))),TRUE,FALSE))</f>
        <v>0</v>
      </c>
      <c r="E1210" t="s">
        <v>435</v>
      </c>
      <c r="F1210" t="str">
        <f>INDEX(Lists!I:I,MATCH(Validation!E1210,Lists!G:G,0))</f>
        <v>Error</v>
      </c>
      <c r="G1210" t="str">
        <f>INDEX(Lists!H:H,MATCH(Validation!E1210,Lists!G:G,0))</f>
        <v>Enter an amount only. Do not enter text or spaces.</v>
      </c>
      <c r="H1210" s="25" t="str">
        <f t="shared" ca="1" si="186"/>
        <v/>
      </c>
      <c r="I1210" s="25" t="str">
        <f t="shared" ca="1" si="187"/>
        <v/>
      </c>
      <c r="J1210" s="26" t="str">
        <f t="shared" ca="1" si="188"/>
        <v/>
      </c>
    </row>
    <row r="1211" spans="1:10" x14ac:dyDescent="0.25">
      <c r="A1211" t="s">
        <v>308</v>
      </c>
      <c r="B1211" t="str">
        <f>ADDRESS(ROW('Bond 1'!$C$25),COLUMN('Bond 1'!$C$25),4)</f>
        <v>C25</v>
      </c>
      <c r="C1211" t="str">
        <f>ADDRESS(ROW('Bond 1'!$D$25),COLUMN('Bond 1'!$D$25),4)</f>
        <v>D25</v>
      </c>
      <c r="D1211" t="b" cm="1">
        <f t="array" aca="1" ref="D1211" ca="1">IF(INDIRECT("'"&amp;A1211&amp;"'!"&amp;B1211)="",FALSE,IF(NOT(ISNUMBER(INDIRECT("'"&amp;A1211&amp;"'!"&amp;B1211))),TRUE,FALSE))</f>
        <v>0</v>
      </c>
      <c r="E1211" t="s">
        <v>435</v>
      </c>
      <c r="F1211" t="str">
        <f>INDEX(Lists!I:I,MATCH(Validation!E1211,Lists!G:G,0))</f>
        <v>Error</v>
      </c>
      <c r="G1211" t="str">
        <f>INDEX(Lists!H:H,MATCH(Validation!E1211,Lists!G:G,0))</f>
        <v>Enter an amount only. Do not enter text or spaces.</v>
      </c>
      <c r="H1211" s="25" t="str">
        <f t="shared" ca="1" si="186"/>
        <v/>
      </c>
      <c r="I1211" s="25" t="str">
        <f t="shared" ca="1" si="187"/>
        <v/>
      </c>
      <c r="J1211" s="26" t="str">
        <f t="shared" ca="1" si="188"/>
        <v/>
      </c>
    </row>
    <row r="1212" spans="1:10" x14ac:dyDescent="0.25">
      <c r="A1212" t="s">
        <v>309</v>
      </c>
      <c r="B1212" t="str">
        <f>ADDRESS(ROW('Bond 1'!$C$25),COLUMN('Bond 1'!$C$25),4)</f>
        <v>C25</v>
      </c>
      <c r="C1212" t="str">
        <f>ADDRESS(ROW('Bond 1'!$D$25),COLUMN('Bond 1'!$D$25),4)</f>
        <v>D25</v>
      </c>
      <c r="D1212" t="b" cm="1">
        <f t="array" aca="1" ref="D1212" ca="1">IF(INDIRECT("'"&amp;A1212&amp;"'!"&amp;B1212)="",FALSE,IF(NOT(ISNUMBER(INDIRECT("'"&amp;A1212&amp;"'!"&amp;B1212))),TRUE,FALSE))</f>
        <v>0</v>
      </c>
      <c r="E1212" t="s">
        <v>435</v>
      </c>
      <c r="F1212" t="str">
        <f>INDEX(Lists!I:I,MATCH(Validation!E1212,Lists!G:G,0))</f>
        <v>Error</v>
      </c>
      <c r="G1212" t="str">
        <f>INDEX(Lists!H:H,MATCH(Validation!E1212,Lists!G:G,0))</f>
        <v>Enter an amount only. Do not enter text or spaces.</v>
      </c>
      <c r="H1212" s="25" t="str">
        <f t="shared" ca="1" si="186"/>
        <v/>
      </c>
      <c r="I1212" s="25" t="str">
        <f t="shared" ca="1" si="187"/>
        <v/>
      </c>
      <c r="J1212" s="26" t="str">
        <f t="shared" ca="1" si="188"/>
        <v/>
      </c>
    </row>
    <row r="1213" spans="1:10" x14ac:dyDescent="0.25">
      <c r="A1213" t="s">
        <v>310</v>
      </c>
      <c r="B1213" t="str">
        <f>ADDRESS(ROW('Bond 1'!$C$25),COLUMN('Bond 1'!$C$25),4)</f>
        <v>C25</v>
      </c>
      <c r="C1213" t="str">
        <f>ADDRESS(ROW('Bond 1'!$D$25),COLUMN('Bond 1'!$D$25),4)</f>
        <v>D25</v>
      </c>
      <c r="D1213" t="b" cm="1">
        <f t="array" aca="1" ref="D1213" ca="1">IF(INDIRECT("'"&amp;A1213&amp;"'!"&amp;B1213)="",FALSE,IF(NOT(ISNUMBER(INDIRECT("'"&amp;A1213&amp;"'!"&amp;B1213))),TRUE,FALSE))</f>
        <v>0</v>
      </c>
      <c r="E1213" t="s">
        <v>435</v>
      </c>
      <c r="F1213" t="str">
        <f>INDEX(Lists!I:I,MATCH(Validation!E1213,Lists!G:G,0))</f>
        <v>Error</v>
      </c>
      <c r="G1213" t="str">
        <f>INDEX(Lists!H:H,MATCH(Validation!E1213,Lists!G:G,0))</f>
        <v>Enter an amount only. Do not enter text or spaces.</v>
      </c>
      <c r="H1213" s="25" t="str">
        <f t="shared" ca="1" si="186"/>
        <v/>
      </c>
      <c r="I1213" s="25" t="str">
        <f t="shared" ca="1" si="187"/>
        <v/>
      </c>
      <c r="J1213" s="26" t="str">
        <f t="shared" ca="1" si="188"/>
        <v/>
      </c>
    </row>
    <row r="1214" spans="1:10" x14ac:dyDescent="0.25">
      <c r="A1214" t="s">
        <v>311</v>
      </c>
      <c r="B1214" t="str">
        <f>ADDRESS(ROW('Bond 1'!$C$25),COLUMN('Bond 1'!$C$25),4)</f>
        <v>C25</v>
      </c>
      <c r="C1214" t="str">
        <f>ADDRESS(ROW('Bond 1'!$D$25),COLUMN('Bond 1'!$D$25),4)</f>
        <v>D25</v>
      </c>
      <c r="D1214" t="b" cm="1">
        <f t="array" aca="1" ref="D1214" ca="1">IF(INDIRECT("'"&amp;A1214&amp;"'!"&amp;B1214)="",FALSE,IF(NOT(ISNUMBER(INDIRECT("'"&amp;A1214&amp;"'!"&amp;B1214))),TRUE,FALSE))</f>
        <v>0</v>
      </c>
      <c r="E1214" t="s">
        <v>435</v>
      </c>
      <c r="F1214" t="str">
        <f>INDEX(Lists!I:I,MATCH(Validation!E1214,Lists!G:G,0))</f>
        <v>Error</v>
      </c>
      <c r="G1214" t="str">
        <f>INDEX(Lists!H:H,MATCH(Validation!E1214,Lists!G:G,0))</f>
        <v>Enter an amount only. Do not enter text or spaces.</v>
      </c>
      <c r="H1214" s="25" t="str">
        <f t="shared" ca="1" si="186"/>
        <v/>
      </c>
      <c r="I1214" s="25" t="str">
        <f t="shared" ca="1" si="187"/>
        <v/>
      </c>
      <c r="J1214" s="26" t="str">
        <f t="shared" ca="1" si="188"/>
        <v/>
      </c>
    </row>
    <row r="1215" spans="1:10" x14ac:dyDescent="0.25">
      <c r="A1215" t="s">
        <v>312</v>
      </c>
      <c r="B1215" t="str">
        <f>ADDRESS(ROW('Bond 1'!$C$25),COLUMN('Bond 1'!$C$25),4)</f>
        <v>C25</v>
      </c>
      <c r="C1215" t="str">
        <f>ADDRESS(ROW('Bond 1'!$D$25),COLUMN('Bond 1'!$D$25),4)</f>
        <v>D25</v>
      </c>
      <c r="D1215" t="b" cm="1">
        <f t="array" aca="1" ref="D1215" ca="1">IF(INDIRECT("'"&amp;A1215&amp;"'!"&amp;B1215)="",FALSE,IF(NOT(ISNUMBER(INDIRECT("'"&amp;A1215&amp;"'!"&amp;B1215))),TRUE,FALSE))</f>
        <v>0</v>
      </c>
      <c r="E1215" t="s">
        <v>435</v>
      </c>
      <c r="F1215" t="str">
        <f>INDEX(Lists!I:I,MATCH(Validation!E1215,Lists!G:G,0))</f>
        <v>Error</v>
      </c>
      <c r="G1215" t="str">
        <f>INDEX(Lists!H:H,MATCH(Validation!E1215,Lists!G:G,0))</f>
        <v>Enter an amount only. Do not enter text or spaces.</v>
      </c>
      <c r="H1215" s="25" t="str">
        <f t="shared" ca="1" si="186"/>
        <v/>
      </c>
      <c r="I1215" s="25" t="str">
        <f t="shared" ca="1" si="187"/>
        <v/>
      </c>
      <c r="J1215" s="26" t="str">
        <f t="shared" ca="1" si="188"/>
        <v/>
      </c>
    </row>
    <row r="1216" spans="1:10" x14ac:dyDescent="0.25">
      <c r="A1216" t="s">
        <v>313</v>
      </c>
      <c r="B1216" t="str">
        <f>ADDRESS(ROW('Bond 1'!$C$25),COLUMN('Bond 1'!$C$25),4)</f>
        <v>C25</v>
      </c>
      <c r="C1216" t="str">
        <f>ADDRESS(ROW('Bond 1'!$D$25),COLUMN('Bond 1'!$D$25),4)</f>
        <v>D25</v>
      </c>
      <c r="D1216" t="b" cm="1">
        <f t="array" aca="1" ref="D1216" ca="1">IF(INDIRECT("'"&amp;A1216&amp;"'!"&amp;B1216)="",FALSE,IF(NOT(ISNUMBER(INDIRECT("'"&amp;A1216&amp;"'!"&amp;B1216))),TRUE,FALSE))</f>
        <v>0</v>
      </c>
      <c r="E1216" t="s">
        <v>435</v>
      </c>
      <c r="F1216" t="str">
        <f>INDEX(Lists!I:I,MATCH(Validation!E1216,Lists!G:G,0))</f>
        <v>Error</v>
      </c>
      <c r="G1216" t="str">
        <f>INDEX(Lists!H:H,MATCH(Validation!E1216,Lists!G:G,0))</f>
        <v>Enter an amount only. Do not enter text or spaces.</v>
      </c>
      <c r="H1216" s="25" t="str">
        <f t="shared" ca="1" si="186"/>
        <v/>
      </c>
      <c r="I1216" s="25" t="str">
        <f t="shared" ca="1" si="187"/>
        <v/>
      </c>
      <c r="J1216" s="26" t="str">
        <f t="shared" ca="1" si="188"/>
        <v/>
      </c>
    </row>
    <row r="1217" spans="1:10" x14ac:dyDescent="0.25">
      <c r="A1217" t="s">
        <v>314</v>
      </c>
      <c r="B1217" t="str">
        <f>ADDRESS(ROW('Bond 1'!$C$25),COLUMN('Bond 1'!$C$25),4)</f>
        <v>C25</v>
      </c>
      <c r="C1217" t="str">
        <f>ADDRESS(ROW('Bond 1'!$D$25),COLUMN('Bond 1'!$D$25),4)</f>
        <v>D25</v>
      </c>
      <c r="D1217" t="b" cm="1">
        <f t="array" aca="1" ref="D1217" ca="1">IF(INDIRECT("'"&amp;A1217&amp;"'!"&amp;B1217)="",FALSE,IF(NOT(ISNUMBER(INDIRECT("'"&amp;A1217&amp;"'!"&amp;B1217))),TRUE,FALSE))</f>
        <v>0</v>
      </c>
      <c r="E1217" t="s">
        <v>435</v>
      </c>
      <c r="F1217" t="str">
        <f>INDEX(Lists!I:I,MATCH(Validation!E1217,Lists!G:G,0))</f>
        <v>Error</v>
      </c>
      <c r="G1217" t="str">
        <f>INDEX(Lists!H:H,MATCH(Validation!E1217,Lists!G:G,0))</f>
        <v>Enter an amount only. Do not enter text or spaces.</v>
      </c>
      <c r="H1217" s="25" t="str">
        <f t="shared" ca="1" si="186"/>
        <v/>
      </c>
      <c r="I1217" s="25" t="str">
        <f t="shared" ca="1" si="187"/>
        <v/>
      </c>
      <c r="J1217" s="26" t="str">
        <f t="shared" ca="1" si="188"/>
        <v/>
      </c>
    </row>
    <row r="1218" spans="1:10" x14ac:dyDescent="0.25">
      <c r="A1218" t="s">
        <v>315</v>
      </c>
      <c r="B1218" t="str">
        <f>ADDRESS(ROW('Bond 1'!$C$25),COLUMN('Bond 1'!$C$25),4)</f>
        <v>C25</v>
      </c>
      <c r="C1218" t="str">
        <f>ADDRESS(ROW('Bond 1'!$D$25),COLUMN('Bond 1'!$D$25),4)</f>
        <v>D25</v>
      </c>
      <c r="D1218" t="b" cm="1">
        <f t="array" aca="1" ref="D1218" ca="1">IF(INDIRECT("'"&amp;A1218&amp;"'!"&amp;B1218)="",FALSE,IF(NOT(ISNUMBER(INDIRECT("'"&amp;A1218&amp;"'!"&amp;B1218))),TRUE,FALSE))</f>
        <v>0</v>
      </c>
      <c r="E1218" t="s">
        <v>435</v>
      </c>
      <c r="F1218" t="str">
        <f>INDEX(Lists!I:I,MATCH(Validation!E1218,Lists!G:G,0))</f>
        <v>Error</v>
      </c>
      <c r="G1218" t="str">
        <f>INDEX(Lists!H:H,MATCH(Validation!E1218,Lists!G:G,0))</f>
        <v>Enter an amount only. Do not enter text or spaces.</v>
      </c>
      <c r="H1218" s="25" t="str">
        <f t="shared" ca="1" si="186"/>
        <v/>
      </c>
      <c r="I1218" s="25" t="str">
        <f t="shared" ca="1" si="187"/>
        <v/>
      </c>
      <c r="J1218" s="26" t="str">
        <f t="shared" ca="1" si="188"/>
        <v/>
      </c>
    </row>
    <row r="1219" spans="1:10" x14ac:dyDescent="0.25">
      <c r="A1219" t="s">
        <v>198</v>
      </c>
      <c r="B1219" t="str">
        <f>ADDRESS(ROW('Bond 1'!$C$25),COLUMN('Bond 1'!$C$25),4)</f>
        <v>C25</v>
      </c>
      <c r="C1219" t="str">
        <f>ADDRESS(ROW('Bond 1'!$D$25),COLUMN('Bond 1'!$D$25),4)</f>
        <v>D25</v>
      </c>
      <c r="D1219" t="b" cm="1">
        <f t="array" aca="1" ref="D1219" ca="1">IF(INDIRECT("'"&amp;A1219&amp;"'!"&amp;B1219)="",FALSE,IF(INDIRECT("'"&amp;A1219&amp;"'!"&amp;B1219)&lt;0,TRUE,FALSE))</f>
        <v>0</v>
      </c>
      <c r="E1219" t="s">
        <v>434</v>
      </c>
      <c r="F1219" t="str">
        <f>INDEX(Lists!I:I,MATCH(Validation!E1219,Lists!G:G,0))</f>
        <v>Error</v>
      </c>
      <c r="G1219" t="str">
        <f>INDEX(Lists!H:H,MATCH(Validation!E1219,Lists!G:G,0))</f>
        <v>Amount may not be negative. Enter an amount greater than or equal to zero.</v>
      </c>
      <c r="H1219" s="25" t="str">
        <f t="shared" ca="1" si="186"/>
        <v/>
      </c>
      <c r="I1219" s="25" t="str">
        <f t="shared" ca="1" si="187"/>
        <v/>
      </c>
      <c r="J1219" s="26" t="str">
        <f t="shared" ca="1" si="188"/>
        <v/>
      </c>
    </row>
    <row r="1220" spans="1:10" x14ac:dyDescent="0.25">
      <c r="A1220" t="s">
        <v>302</v>
      </c>
      <c r="B1220" t="str">
        <f>ADDRESS(ROW('Bond 1'!$C$25),COLUMN('Bond 1'!$C$25),4)</f>
        <v>C25</v>
      </c>
      <c r="C1220" t="str">
        <f>ADDRESS(ROW('Bond 1'!$D$25),COLUMN('Bond 1'!$D$25),4)</f>
        <v>D25</v>
      </c>
      <c r="D1220" t="b" cm="1">
        <f t="array" aca="1" ref="D1220" ca="1">IF(INDIRECT("'"&amp;A1220&amp;"'!"&amp;B1220)="",FALSE,IF(INDIRECT("'"&amp;A1220&amp;"'!"&amp;B1220)&lt;0,TRUE,FALSE))</f>
        <v>0</v>
      </c>
      <c r="E1220" t="s">
        <v>434</v>
      </c>
      <c r="F1220" t="str">
        <f>INDEX(Lists!I:I,MATCH(Validation!E1220,Lists!G:G,0))</f>
        <v>Error</v>
      </c>
      <c r="G1220" t="str">
        <f>INDEX(Lists!H:H,MATCH(Validation!E1220,Lists!G:G,0))</f>
        <v>Amount may not be negative. Enter an amount greater than or equal to zero.</v>
      </c>
      <c r="H1220" s="25" t="str">
        <f t="shared" ca="1" si="186"/>
        <v/>
      </c>
      <c r="I1220" s="25" t="str">
        <f t="shared" ca="1" si="187"/>
        <v/>
      </c>
      <c r="J1220" s="26" t="str">
        <f t="shared" ca="1" si="188"/>
        <v/>
      </c>
    </row>
    <row r="1221" spans="1:10" x14ac:dyDescent="0.25">
      <c r="A1221" t="s">
        <v>303</v>
      </c>
      <c r="B1221" t="str">
        <f>ADDRESS(ROW('Bond 1'!$C$25),COLUMN('Bond 1'!$C$25),4)</f>
        <v>C25</v>
      </c>
      <c r="C1221" t="str">
        <f>ADDRESS(ROW('Bond 1'!$D$25),COLUMN('Bond 1'!$D$25),4)</f>
        <v>D25</v>
      </c>
      <c r="D1221" t="b" cm="1">
        <f t="array" aca="1" ref="D1221" ca="1">IF(INDIRECT("'"&amp;A1221&amp;"'!"&amp;B1221)="",FALSE,IF(INDIRECT("'"&amp;A1221&amp;"'!"&amp;B1221)&lt;0,TRUE,FALSE))</f>
        <v>0</v>
      </c>
      <c r="E1221" t="s">
        <v>434</v>
      </c>
      <c r="F1221" t="str">
        <f>INDEX(Lists!I:I,MATCH(Validation!E1221,Lists!G:G,0))</f>
        <v>Error</v>
      </c>
      <c r="G1221" t="str">
        <f>INDEX(Lists!H:H,MATCH(Validation!E1221,Lists!G:G,0))</f>
        <v>Amount may not be negative. Enter an amount greater than or equal to zero.</v>
      </c>
      <c r="H1221" s="25" t="str">
        <f t="shared" ca="1" si="186"/>
        <v/>
      </c>
      <c r="I1221" s="25" t="str">
        <f t="shared" ca="1" si="187"/>
        <v/>
      </c>
      <c r="J1221" s="26" t="str">
        <f t="shared" ca="1" si="188"/>
        <v/>
      </c>
    </row>
    <row r="1222" spans="1:10" x14ac:dyDescent="0.25">
      <c r="A1222" t="s">
        <v>304</v>
      </c>
      <c r="B1222" t="str">
        <f>ADDRESS(ROW('Bond 1'!$C$25),COLUMN('Bond 1'!$C$25),4)</f>
        <v>C25</v>
      </c>
      <c r="C1222" t="str">
        <f>ADDRESS(ROW('Bond 1'!$D$25),COLUMN('Bond 1'!$D$25),4)</f>
        <v>D25</v>
      </c>
      <c r="D1222" t="b" cm="1">
        <f t="array" aca="1" ref="D1222" ca="1">IF(INDIRECT("'"&amp;A1222&amp;"'!"&amp;B1222)="",FALSE,IF(INDIRECT("'"&amp;A1222&amp;"'!"&amp;B1222)&lt;0,TRUE,FALSE))</f>
        <v>0</v>
      </c>
      <c r="E1222" t="s">
        <v>434</v>
      </c>
      <c r="F1222" t="str">
        <f>INDEX(Lists!I:I,MATCH(Validation!E1222,Lists!G:G,0))</f>
        <v>Error</v>
      </c>
      <c r="G1222" t="str">
        <f>INDEX(Lists!H:H,MATCH(Validation!E1222,Lists!G:G,0))</f>
        <v>Amount may not be negative. Enter an amount greater than or equal to zero.</v>
      </c>
      <c r="H1222" s="25" t="str">
        <f t="shared" ca="1" si="186"/>
        <v/>
      </c>
      <c r="I1222" s="25" t="str">
        <f t="shared" ca="1" si="187"/>
        <v/>
      </c>
      <c r="J1222" s="26" t="str">
        <f t="shared" ca="1" si="188"/>
        <v/>
      </c>
    </row>
    <row r="1223" spans="1:10" x14ac:dyDescent="0.25">
      <c r="A1223" t="s">
        <v>305</v>
      </c>
      <c r="B1223" t="str">
        <f>ADDRESS(ROW('Bond 1'!$C$25),COLUMN('Bond 1'!$C$25),4)</f>
        <v>C25</v>
      </c>
      <c r="C1223" t="str">
        <f>ADDRESS(ROW('Bond 1'!$D$25),COLUMN('Bond 1'!$D$25),4)</f>
        <v>D25</v>
      </c>
      <c r="D1223" t="b" cm="1">
        <f t="array" aca="1" ref="D1223" ca="1">IF(INDIRECT("'"&amp;A1223&amp;"'!"&amp;B1223)="",FALSE,IF(INDIRECT("'"&amp;A1223&amp;"'!"&amp;B1223)&lt;0,TRUE,FALSE))</f>
        <v>0</v>
      </c>
      <c r="E1223" t="s">
        <v>434</v>
      </c>
      <c r="F1223" t="str">
        <f>INDEX(Lists!I:I,MATCH(Validation!E1223,Lists!G:G,0))</f>
        <v>Error</v>
      </c>
      <c r="G1223" t="str">
        <f>INDEX(Lists!H:H,MATCH(Validation!E1223,Lists!G:G,0))</f>
        <v>Amount may not be negative. Enter an amount greater than or equal to zero.</v>
      </c>
      <c r="H1223" s="25" t="str">
        <f t="shared" ca="1" si="186"/>
        <v/>
      </c>
      <c r="I1223" s="25" t="str">
        <f t="shared" ca="1" si="187"/>
        <v/>
      </c>
      <c r="J1223" s="26" t="str">
        <f t="shared" ca="1" si="188"/>
        <v/>
      </c>
    </row>
    <row r="1224" spans="1:10" x14ac:dyDescent="0.25">
      <c r="A1224" t="s">
        <v>306</v>
      </c>
      <c r="B1224" t="str">
        <f>ADDRESS(ROW('Bond 1'!$C$25),COLUMN('Bond 1'!$C$25),4)</f>
        <v>C25</v>
      </c>
      <c r="C1224" t="str">
        <f>ADDRESS(ROW('Bond 1'!$D$25),COLUMN('Bond 1'!$D$25),4)</f>
        <v>D25</v>
      </c>
      <c r="D1224" t="b" cm="1">
        <f t="array" aca="1" ref="D1224" ca="1">IF(INDIRECT("'"&amp;A1224&amp;"'!"&amp;B1224)="",FALSE,IF(INDIRECT("'"&amp;A1224&amp;"'!"&amp;B1224)&lt;0,TRUE,FALSE))</f>
        <v>0</v>
      </c>
      <c r="E1224" t="s">
        <v>434</v>
      </c>
      <c r="F1224" t="str">
        <f>INDEX(Lists!I:I,MATCH(Validation!E1224,Lists!G:G,0))</f>
        <v>Error</v>
      </c>
      <c r="G1224" t="str">
        <f>INDEX(Lists!H:H,MATCH(Validation!E1224,Lists!G:G,0))</f>
        <v>Amount may not be negative. Enter an amount greater than or equal to zero.</v>
      </c>
      <c r="H1224" s="25" t="str">
        <f t="shared" ca="1" si="186"/>
        <v/>
      </c>
      <c r="I1224" s="25" t="str">
        <f t="shared" ca="1" si="187"/>
        <v/>
      </c>
      <c r="J1224" s="26" t="str">
        <f t="shared" ca="1" si="188"/>
        <v/>
      </c>
    </row>
    <row r="1225" spans="1:10" x14ac:dyDescent="0.25">
      <c r="A1225" t="s">
        <v>307</v>
      </c>
      <c r="B1225" t="str">
        <f>ADDRESS(ROW('Bond 1'!$C$25),COLUMN('Bond 1'!$C$25),4)</f>
        <v>C25</v>
      </c>
      <c r="C1225" t="str">
        <f>ADDRESS(ROW('Bond 1'!$D$25),COLUMN('Bond 1'!$D$25),4)</f>
        <v>D25</v>
      </c>
      <c r="D1225" t="b" cm="1">
        <f t="array" aca="1" ref="D1225" ca="1">IF(INDIRECT("'"&amp;A1225&amp;"'!"&amp;B1225)="",FALSE,IF(INDIRECT("'"&amp;A1225&amp;"'!"&amp;B1225)&lt;0,TRUE,FALSE))</f>
        <v>0</v>
      </c>
      <c r="E1225" t="s">
        <v>434</v>
      </c>
      <c r="F1225" t="str">
        <f>INDEX(Lists!I:I,MATCH(Validation!E1225,Lists!G:G,0))</f>
        <v>Error</v>
      </c>
      <c r="G1225" t="str">
        <f>INDEX(Lists!H:H,MATCH(Validation!E1225,Lists!G:G,0))</f>
        <v>Amount may not be negative. Enter an amount greater than or equal to zero.</v>
      </c>
      <c r="H1225" s="25" t="str">
        <f t="shared" ca="1" si="186"/>
        <v/>
      </c>
      <c r="I1225" s="25" t="str">
        <f t="shared" ca="1" si="187"/>
        <v/>
      </c>
      <c r="J1225" s="26" t="str">
        <f t="shared" ca="1" si="188"/>
        <v/>
      </c>
    </row>
    <row r="1226" spans="1:10" x14ac:dyDescent="0.25">
      <c r="A1226" t="s">
        <v>308</v>
      </c>
      <c r="B1226" t="str">
        <f>ADDRESS(ROW('Bond 1'!$C$25),COLUMN('Bond 1'!$C$25),4)</f>
        <v>C25</v>
      </c>
      <c r="C1226" t="str">
        <f>ADDRESS(ROW('Bond 1'!$D$25),COLUMN('Bond 1'!$D$25),4)</f>
        <v>D25</v>
      </c>
      <c r="D1226" t="b" cm="1">
        <f t="array" aca="1" ref="D1226" ca="1">IF(INDIRECT("'"&amp;A1226&amp;"'!"&amp;B1226)="",FALSE,IF(INDIRECT("'"&amp;A1226&amp;"'!"&amp;B1226)&lt;0,TRUE,FALSE))</f>
        <v>0</v>
      </c>
      <c r="E1226" t="s">
        <v>434</v>
      </c>
      <c r="F1226" t="str">
        <f>INDEX(Lists!I:I,MATCH(Validation!E1226,Lists!G:G,0))</f>
        <v>Error</v>
      </c>
      <c r="G1226" t="str">
        <f>INDEX(Lists!H:H,MATCH(Validation!E1226,Lists!G:G,0))</f>
        <v>Amount may not be negative. Enter an amount greater than or equal to zero.</v>
      </c>
      <c r="H1226" s="25" t="str">
        <f t="shared" ca="1" si="186"/>
        <v/>
      </c>
      <c r="I1226" s="25" t="str">
        <f t="shared" ca="1" si="187"/>
        <v/>
      </c>
      <c r="J1226" s="26" t="str">
        <f t="shared" ca="1" si="188"/>
        <v/>
      </c>
    </row>
    <row r="1227" spans="1:10" x14ac:dyDescent="0.25">
      <c r="A1227" t="s">
        <v>309</v>
      </c>
      <c r="B1227" t="str">
        <f>ADDRESS(ROW('Bond 1'!$C$25),COLUMN('Bond 1'!$C$25),4)</f>
        <v>C25</v>
      </c>
      <c r="C1227" t="str">
        <f>ADDRESS(ROW('Bond 1'!$D$25),COLUMN('Bond 1'!$D$25),4)</f>
        <v>D25</v>
      </c>
      <c r="D1227" t="b" cm="1">
        <f t="array" aca="1" ref="D1227" ca="1">IF(INDIRECT("'"&amp;A1227&amp;"'!"&amp;B1227)="",FALSE,IF(INDIRECT("'"&amp;A1227&amp;"'!"&amp;B1227)&lt;0,TRUE,FALSE))</f>
        <v>0</v>
      </c>
      <c r="E1227" t="s">
        <v>434</v>
      </c>
      <c r="F1227" t="str">
        <f>INDEX(Lists!I:I,MATCH(Validation!E1227,Lists!G:G,0))</f>
        <v>Error</v>
      </c>
      <c r="G1227" t="str">
        <f>INDEX(Lists!H:H,MATCH(Validation!E1227,Lists!G:G,0))</f>
        <v>Amount may not be negative. Enter an amount greater than or equal to zero.</v>
      </c>
      <c r="H1227" s="25" t="str">
        <f t="shared" ca="1" si="186"/>
        <v/>
      </c>
      <c r="I1227" s="25" t="str">
        <f t="shared" ca="1" si="187"/>
        <v/>
      </c>
      <c r="J1227" s="26" t="str">
        <f t="shared" ca="1" si="188"/>
        <v/>
      </c>
    </row>
    <row r="1228" spans="1:10" x14ac:dyDescent="0.25">
      <c r="A1228" t="s">
        <v>310</v>
      </c>
      <c r="B1228" t="str">
        <f>ADDRESS(ROW('Bond 1'!$C$25),COLUMN('Bond 1'!$C$25),4)</f>
        <v>C25</v>
      </c>
      <c r="C1228" t="str">
        <f>ADDRESS(ROW('Bond 1'!$D$25),COLUMN('Bond 1'!$D$25),4)</f>
        <v>D25</v>
      </c>
      <c r="D1228" t="b" cm="1">
        <f t="array" aca="1" ref="D1228" ca="1">IF(INDIRECT("'"&amp;A1228&amp;"'!"&amp;B1228)="",FALSE,IF(INDIRECT("'"&amp;A1228&amp;"'!"&amp;B1228)&lt;0,TRUE,FALSE))</f>
        <v>0</v>
      </c>
      <c r="E1228" t="s">
        <v>434</v>
      </c>
      <c r="F1228" t="str">
        <f>INDEX(Lists!I:I,MATCH(Validation!E1228,Lists!G:G,0))</f>
        <v>Error</v>
      </c>
      <c r="G1228" t="str">
        <f>INDEX(Lists!H:H,MATCH(Validation!E1228,Lists!G:G,0))</f>
        <v>Amount may not be negative. Enter an amount greater than or equal to zero.</v>
      </c>
      <c r="H1228" s="25" t="str">
        <f t="shared" ca="1" si="186"/>
        <v/>
      </c>
      <c r="I1228" s="25" t="str">
        <f t="shared" ca="1" si="187"/>
        <v/>
      </c>
      <c r="J1228" s="26" t="str">
        <f t="shared" ca="1" si="188"/>
        <v/>
      </c>
    </row>
    <row r="1229" spans="1:10" x14ac:dyDescent="0.25">
      <c r="A1229" t="s">
        <v>311</v>
      </c>
      <c r="B1229" t="str">
        <f>ADDRESS(ROW('Bond 1'!$C$25),COLUMN('Bond 1'!$C$25),4)</f>
        <v>C25</v>
      </c>
      <c r="C1229" t="str">
        <f>ADDRESS(ROW('Bond 1'!$D$25),COLUMN('Bond 1'!$D$25),4)</f>
        <v>D25</v>
      </c>
      <c r="D1229" t="b" cm="1">
        <f t="array" aca="1" ref="D1229" ca="1">IF(INDIRECT("'"&amp;A1229&amp;"'!"&amp;B1229)="",FALSE,IF(INDIRECT("'"&amp;A1229&amp;"'!"&amp;B1229)&lt;0,TRUE,FALSE))</f>
        <v>0</v>
      </c>
      <c r="E1229" t="s">
        <v>434</v>
      </c>
      <c r="F1229" t="str">
        <f>INDEX(Lists!I:I,MATCH(Validation!E1229,Lists!G:G,0))</f>
        <v>Error</v>
      </c>
      <c r="G1229" t="str">
        <f>INDEX(Lists!H:H,MATCH(Validation!E1229,Lists!G:G,0))</f>
        <v>Amount may not be negative. Enter an amount greater than or equal to zero.</v>
      </c>
      <c r="H1229" s="25" t="str">
        <f t="shared" ca="1" si="186"/>
        <v/>
      </c>
      <c r="I1229" s="25" t="str">
        <f t="shared" ca="1" si="187"/>
        <v/>
      </c>
      <c r="J1229" s="26" t="str">
        <f t="shared" ca="1" si="188"/>
        <v/>
      </c>
    </row>
    <row r="1230" spans="1:10" x14ac:dyDescent="0.25">
      <c r="A1230" t="s">
        <v>312</v>
      </c>
      <c r="B1230" t="str">
        <f>ADDRESS(ROW('Bond 1'!$C$25),COLUMN('Bond 1'!$C$25),4)</f>
        <v>C25</v>
      </c>
      <c r="C1230" t="str">
        <f>ADDRESS(ROW('Bond 1'!$D$25),COLUMN('Bond 1'!$D$25),4)</f>
        <v>D25</v>
      </c>
      <c r="D1230" t="b" cm="1">
        <f t="array" aca="1" ref="D1230" ca="1">IF(INDIRECT("'"&amp;A1230&amp;"'!"&amp;B1230)="",FALSE,IF(INDIRECT("'"&amp;A1230&amp;"'!"&amp;B1230)&lt;0,TRUE,FALSE))</f>
        <v>0</v>
      </c>
      <c r="E1230" t="s">
        <v>434</v>
      </c>
      <c r="F1230" t="str">
        <f>INDEX(Lists!I:I,MATCH(Validation!E1230,Lists!G:G,0))</f>
        <v>Error</v>
      </c>
      <c r="G1230" t="str">
        <f>INDEX(Lists!H:H,MATCH(Validation!E1230,Lists!G:G,0))</f>
        <v>Amount may not be negative. Enter an amount greater than or equal to zero.</v>
      </c>
      <c r="H1230" s="25" t="str">
        <f t="shared" ca="1" si="186"/>
        <v/>
      </c>
      <c r="I1230" s="25" t="str">
        <f t="shared" ca="1" si="187"/>
        <v/>
      </c>
      <c r="J1230" s="26" t="str">
        <f t="shared" ca="1" si="188"/>
        <v/>
      </c>
    </row>
    <row r="1231" spans="1:10" x14ac:dyDescent="0.25">
      <c r="A1231" t="s">
        <v>313</v>
      </c>
      <c r="B1231" t="str">
        <f>ADDRESS(ROW('Bond 1'!$C$25),COLUMN('Bond 1'!$C$25),4)</f>
        <v>C25</v>
      </c>
      <c r="C1231" t="str">
        <f>ADDRESS(ROW('Bond 1'!$D$25),COLUMN('Bond 1'!$D$25),4)</f>
        <v>D25</v>
      </c>
      <c r="D1231" t="b" cm="1">
        <f t="array" aca="1" ref="D1231" ca="1">IF(INDIRECT("'"&amp;A1231&amp;"'!"&amp;B1231)="",FALSE,IF(INDIRECT("'"&amp;A1231&amp;"'!"&amp;B1231)&lt;0,TRUE,FALSE))</f>
        <v>0</v>
      </c>
      <c r="E1231" t="s">
        <v>434</v>
      </c>
      <c r="F1231" t="str">
        <f>INDEX(Lists!I:I,MATCH(Validation!E1231,Lists!G:G,0))</f>
        <v>Error</v>
      </c>
      <c r="G1231" t="str">
        <f>INDEX(Lists!H:H,MATCH(Validation!E1231,Lists!G:G,0))</f>
        <v>Amount may not be negative. Enter an amount greater than or equal to zero.</v>
      </c>
      <c r="H1231" s="25" t="str">
        <f t="shared" ca="1" si="186"/>
        <v/>
      </c>
      <c r="I1231" s="25" t="str">
        <f t="shared" ca="1" si="187"/>
        <v/>
      </c>
      <c r="J1231" s="26" t="str">
        <f t="shared" ca="1" si="188"/>
        <v/>
      </c>
    </row>
    <row r="1232" spans="1:10" x14ac:dyDescent="0.25">
      <c r="A1232" t="s">
        <v>314</v>
      </c>
      <c r="B1232" t="str">
        <f>ADDRESS(ROW('Bond 1'!$C$25),COLUMN('Bond 1'!$C$25),4)</f>
        <v>C25</v>
      </c>
      <c r="C1232" t="str">
        <f>ADDRESS(ROW('Bond 1'!$D$25),COLUMN('Bond 1'!$D$25),4)</f>
        <v>D25</v>
      </c>
      <c r="D1232" t="b" cm="1">
        <f t="array" aca="1" ref="D1232" ca="1">IF(INDIRECT("'"&amp;A1232&amp;"'!"&amp;B1232)="",FALSE,IF(INDIRECT("'"&amp;A1232&amp;"'!"&amp;B1232)&lt;0,TRUE,FALSE))</f>
        <v>0</v>
      </c>
      <c r="E1232" t="s">
        <v>434</v>
      </c>
      <c r="F1232" t="str">
        <f>INDEX(Lists!I:I,MATCH(Validation!E1232,Lists!G:G,0))</f>
        <v>Error</v>
      </c>
      <c r="G1232" t="str">
        <f>INDEX(Lists!H:H,MATCH(Validation!E1232,Lists!G:G,0))</f>
        <v>Amount may not be negative. Enter an amount greater than or equal to zero.</v>
      </c>
      <c r="H1232" s="25" t="str">
        <f t="shared" ca="1" si="186"/>
        <v/>
      </c>
      <c r="I1232" s="25" t="str">
        <f t="shared" ca="1" si="187"/>
        <v/>
      </c>
      <c r="J1232" s="26" t="str">
        <f t="shared" ca="1" si="188"/>
        <v/>
      </c>
    </row>
    <row r="1233" spans="1:10" x14ac:dyDescent="0.25">
      <c r="A1233" t="s">
        <v>315</v>
      </c>
      <c r="B1233" t="str">
        <f>ADDRESS(ROW('Bond 1'!$C$25),COLUMN('Bond 1'!$C$25),4)</f>
        <v>C25</v>
      </c>
      <c r="C1233" t="str">
        <f>ADDRESS(ROW('Bond 1'!$D$25),COLUMN('Bond 1'!$D$25),4)</f>
        <v>D25</v>
      </c>
      <c r="D1233" t="b" cm="1">
        <f t="array" aca="1" ref="D1233" ca="1">IF(INDIRECT("'"&amp;A1233&amp;"'!"&amp;B1233)="",FALSE,IF(INDIRECT("'"&amp;A1233&amp;"'!"&amp;B1233)&lt;0,TRUE,FALSE))</f>
        <v>0</v>
      </c>
      <c r="E1233" t="s">
        <v>434</v>
      </c>
      <c r="F1233" t="str">
        <f>INDEX(Lists!I:I,MATCH(Validation!E1233,Lists!G:G,0))</f>
        <v>Error</v>
      </c>
      <c r="G1233" t="str">
        <f>INDEX(Lists!H:H,MATCH(Validation!E1233,Lists!G:G,0))</f>
        <v>Amount may not be negative. Enter an amount greater than or equal to zero.</v>
      </c>
      <c r="H1233" s="25" t="str">
        <f t="shared" ca="1" si="186"/>
        <v/>
      </c>
      <c r="I1233" s="25" t="str">
        <f t="shared" ca="1" si="187"/>
        <v/>
      </c>
      <c r="J1233" s="26" t="str">
        <f t="shared" ca="1" si="188"/>
        <v/>
      </c>
    </row>
    <row r="1234" spans="1:10" x14ac:dyDescent="0.25">
      <c r="A1234" t="s">
        <v>198</v>
      </c>
      <c r="B1234" t="str">
        <f>ADDRESS(ROW('Bond 1'!$C$25),COLUMN('Bond 1'!$C$25),4)</f>
        <v>C25</v>
      </c>
      <c r="C1234" t="str">
        <f>ADDRESS(ROW('Bond 1'!$D$25),COLUMN('Bond 1'!$D$25),4)</f>
        <v>D25</v>
      </c>
      <c r="D1234" t="b" cm="1">
        <f t="array" aca="1" ref="D1234" ca="1">IF(INDIRECT("'"&amp;A1234&amp;"'!"&amp;B1234)="",FALSE,IF(TRUNC(INDIRECT("'"&amp;A1234&amp;"'!"&amp;B1234))=INDIRECT("'"&amp;A1234&amp;"'!"&amp;B1234),FALSE,TRUE))</f>
        <v>0</v>
      </c>
      <c r="E1234" t="s">
        <v>436</v>
      </c>
      <c r="F1234" t="str">
        <f>INDEX(Lists!I:I,MATCH(Validation!E1234,Lists!G:G,0))</f>
        <v>Error</v>
      </c>
      <c r="G1234" t="str">
        <f>INDEX(Lists!H:H,MATCH(Validation!E1234,Lists!G:G,0))</f>
        <v>Amount must be rounded to the nearest dollar.</v>
      </c>
      <c r="H1234" s="25" t="str">
        <f t="shared" ca="1" si="186"/>
        <v/>
      </c>
      <c r="I1234" s="25" t="str">
        <f t="shared" ca="1" si="187"/>
        <v/>
      </c>
      <c r="J1234" s="26" t="str">
        <f t="shared" ca="1" si="188"/>
        <v/>
      </c>
    </row>
    <row r="1235" spans="1:10" x14ac:dyDescent="0.25">
      <c r="A1235" t="s">
        <v>302</v>
      </c>
      <c r="B1235" t="str">
        <f>ADDRESS(ROW('Bond 1'!$C$25),COLUMN('Bond 1'!$C$25),4)</f>
        <v>C25</v>
      </c>
      <c r="C1235" t="str">
        <f>ADDRESS(ROW('Bond 1'!$D$25),COLUMN('Bond 1'!$D$25),4)</f>
        <v>D25</v>
      </c>
      <c r="D1235" t="b" cm="1">
        <f t="array" aca="1" ref="D1235" ca="1">IF(INDIRECT("'"&amp;A1235&amp;"'!"&amp;B1235)="",FALSE,IF(TRUNC(INDIRECT("'"&amp;A1235&amp;"'!"&amp;B1235))=INDIRECT("'"&amp;A1235&amp;"'!"&amp;B1235),FALSE,TRUE))</f>
        <v>0</v>
      </c>
      <c r="E1235" t="s">
        <v>436</v>
      </c>
      <c r="F1235" t="str">
        <f>INDEX(Lists!I:I,MATCH(Validation!E1235,Lists!G:G,0))</f>
        <v>Error</v>
      </c>
      <c r="G1235" t="str">
        <f>INDEX(Lists!H:H,MATCH(Validation!E1235,Lists!G:G,0))</f>
        <v>Amount must be rounded to the nearest dollar.</v>
      </c>
      <c r="H1235" s="25" t="str">
        <f t="shared" ca="1" si="186"/>
        <v/>
      </c>
      <c r="I1235" s="25" t="str">
        <f t="shared" ca="1" si="187"/>
        <v/>
      </c>
      <c r="J1235" s="26" t="str">
        <f t="shared" ca="1" si="188"/>
        <v/>
      </c>
    </row>
    <row r="1236" spans="1:10" x14ac:dyDescent="0.25">
      <c r="A1236" t="s">
        <v>303</v>
      </c>
      <c r="B1236" t="str">
        <f>ADDRESS(ROW('Bond 1'!$C$25),COLUMN('Bond 1'!$C$25),4)</f>
        <v>C25</v>
      </c>
      <c r="C1236" t="str">
        <f>ADDRESS(ROW('Bond 1'!$D$25),COLUMN('Bond 1'!$D$25),4)</f>
        <v>D25</v>
      </c>
      <c r="D1236" t="b" cm="1">
        <f t="array" aca="1" ref="D1236" ca="1">IF(INDIRECT("'"&amp;A1236&amp;"'!"&amp;B1236)="",FALSE,IF(TRUNC(INDIRECT("'"&amp;A1236&amp;"'!"&amp;B1236))=INDIRECT("'"&amp;A1236&amp;"'!"&amp;B1236),FALSE,TRUE))</f>
        <v>0</v>
      </c>
      <c r="E1236" t="s">
        <v>436</v>
      </c>
      <c r="F1236" t="str">
        <f>INDEX(Lists!I:I,MATCH(Validation!E1236,Lists!G:G,0))</f>
        <v>Error</v>
      </c>
      <c r="G1236" t="str">
        <f>INDEX(Lists!H:H,MATCH(Validation!E1236,Lists!G:G,0))</f>
        <v>Amount must be rounded to the nearest dollar.</v>
      </c>
      <c r="H1236" s="25" t="str">
        <f t="shared" ca="1" si="186"/>
        <v/>
      </c>
      <c r="I1236" s="25" t="str">
        <f t="shared" ca="1" si="187"/>
        <v/>
      </c>
      <c r="J1236" s="26" t="str">
        <f t="shared" ca="1" si="188"/>
        <v/>
      </c>
    </row>
    <row r="1237" spans="1:10" x14ac:dyDescent="0.25">
      <c r="A1237" t="s">
        <v>304</v>
      </c>
      <c r="B1237" t="str">
        <f>ADDRESS(ROW('Bond 1'!$C$25),COLUMN('Bond 1'!$C$25),4)</f>
        <v>C25</v>
      </c>
      <c r="C1237" t="str">
        <f>ADDRESS(ROW('Bond 1'!$D$25),COLUMN('Bond 1'!$D$25),4)</f>
        <v>D25</v>
      </c>
      <c r="D1237" t="b" cm="1">
        <f t="array" aca="1" ref="D1237" ca="1">IF(INDIRECT("'"&amp;A1237&amp;"'!"&amp;B1237)="",FALSE,IF(TRUNC(INDIRECT("'"&amp;A1237&amp;"'!"&amp;B1237))=INDIRECT("'"&amp;A1237&amp;"'!"&amp;B1237),FALSE,TRUE))</f>
        <v>0</v>
      </c>
      <c r="E1237" t="s">
        <v>436</v>
      </c>
      <c r="F1237" t="str">
        <f>INDEX(Lists!I:I,MATCH(Validation!E1237,Lists!G:G,0))</f>
        <v>Error</v>
      </c>
      <c r="G1237" t="str">
        <f>INDEX(Lists!H:H,MATCH(Validation!E1237,Lists!G:G,0))</f>
        <v>Amount must be rounded to the nearest dollar.</v>
      </c>
      <c r="H1237" s="25" t="str">
        <f t="shared" ca="1" si="186"/>
        <v/>
      </c>
      <c r="I1237" s="25" t="str">
        <f t="shared" ca="1" si="187"/>
        <v/>
      </c>
      <c r="J1237" s="26" t="str">
        <f t="shared" ca="1" si="188"/>
        <v/>
      </c>
    </row>
    <row r="1238" spans="1:10" x14ac:dyDescent="0.25">
      <c r="A1238" t="s">
        <v>305</v>
      </c>
      <c r="B1238" t="str">
        <f>ADDRESS(ROW('Bond 1'!$C$25),COLUMN('Bond 1'!$C$25),4)</f>
        <v>C25</v>
      </c>
      <c r="C1238" t="str">
        <f>ADDRESS(ROW('Bond 1'!$D$25),COLUMN('Bond 1'!$D$25),4)</f>
        <v>D25</v>
      </c>
      <c r="D1238" t="b" cm="1">
        <f t="array" aca="1" ref="D1238" ca="1">IF(INDIRECT("'"&amp;A1238&amp;"'!"&amp;B1238)="",FALSE,IF(TRUNC(INDIRECT("'"&amp;A1238&amp;"'!"&amp;B1238))=INDIRECT("'"&amp;A1238&amp;"'!"&amp;B1238),FALSE,TRUE))</f>
        <v>0</v>
      </c>
      <c r="E1238" t="s">
        <v>436</v>
      </c>
      <c r="F1238" t="str">
        <f>INDEX(Lists!I:I,MATCH(Validation!E1238,Lists!G:G,0))</f>
        <v>Error</v>
      </c>
      <c r="G1238" t="str">
        <f>INDEX(Lists!H:H,MATCH(Validation!E1238,Lists!G:G,0))</f>
        <v>Amount must be rounded to the nearest dollar.</v>
      </c>
      <c r="H1238" s="25" t="str">
        <f t="shared" ca="1" si="186"/>
        <v/>
      </c>
      <c r="I1238" s="25" t="str">
        <f t="shared" ca="1" si="187"/>
        <v/>
      </c>
      <c r="J1238" s="26" t="str">
        <f t="shared" ca="1" si="188"/>
        <v/>
      </c>
    </row>
    <row r="1239" spans="1:10" x14ac:dyDescent="0.25">
      <c r="A1239" t="s">
        <v>306</v>
      </c>
      <c r="B1239" t="str">
        <f>ADDRESS(ROW('Bond 1'!$C$25),COLUMN('Bond 1'!$C$25),4)</f>
        <v>C25</v>
      </c>
      <c r="C1239" t="str">
        <f>ADDRESS(ROW('Bond 1'!$D$25),COLUMN('Bond 1'!$D$25),4)</f>
        <v>D25</v>
      </c>
      <c r="D1239" t="b" cm="1">
        <f t="array" aca="1" ref="D1239" ca="1">IF(INDIRECT("'"&amp;A1239&amp;"'!"&amp;B1239)="",FALSE,IF(TRUNC(INDIRECT("'"&amp;A1239&amp;"'!"&amp;B1239))=INDIRECT("'"&amp;A1239&amp;"'!"&amp;B1239),FALSE,TRUE))</f>
        <v>0</v>
      </c>
      <c r="E1239" t="s">
        <v>436</v>
      </c>
      <c r="F1239" t="str">
        <f>INDEX(Lists!I:I,MATCH(Validation!E1239,Lists!G:G,0))</f>
        <v>Error</v>
      </c>
      <c r="G1239" t="str">
        <f>INDEX(Lists!H:H,MATCH(Validation!E1239,Lists!G:G,0))</f>
        <v>Amount must be rounded to the nearest dollar.</v>
      </c>
      <c r="H1239" s="25" t="str">
        <f t="shared" ca="1" si="186"/>
        <v/>
      </c>
      <c r="I1239" s="25" t="str">
        <f t="shared" ca="1" si="187"/>
        <v/>
      </c>
      <c r="J1239" s="26" t="str">
        <f t="shared" ca="1" si="188"/>
        <v/>
      </c>
    </row>
    <row r="1240" spans="1:10" x14ac:dyDescent="0.25">
      <c r="A1240" t="s">
        <v>307</v>
      </c>
      <c r="B1240" t="str">
        <f>ADDRESS(ROW('Bond 1'!$C$25),COLUMN('Bond 1'!$C$25),4)</f>
        <v>C25</v>
      </c>
      <c r="C1240" t="str">
        <f>ADDRESS(ROW('Bond 1'!$D$25),COLUMN('Bond 1'!$D$25),4)</f>
        <v>D25</v>
      </c>
      <c r="D1240" t="b" cm="1">
        <f t="array" aca="1" ref="D1240" ca="1">IF(INDIRECT("'"&amp;A1240&amp;"'!"&amp;B1240)="",FALSE,IF(TRUNC(INDIRECT("'"&amp;A1240&amp;"'!"&amp;B1240))=INDIRECT("'"&amp;A1240&amp;"'!"&amp;B1240),FALSE,TRUE))</f>
        <v>0</v>
      </c>
      <c r="E1240" t="s">
        <v>436</v>
      </c>
      <c r="F1240" t="str">
        <f>INDEX(Lists!I:I,MATCH(Validation!E1240,Lists!G:G,0))</f>
        <v>Error</v>
      </c>
      <c r="G1240" t="str">
        <f>INDEX(Lists!H:H,MATCH(Validation!E1240,Lists!G:G,0))</f>
        <v>Amount must be rounded to the nearest dollar.</v>
      </c>
      <c r="H1240" s="25" t="str">
        <f t="shared" ca="1" si="186"/>
        <v/>
      </c>
      <c r="I1240" s="25" t="str">
        <f t="shared" ca="1" si="187"/>
        <v/>
      </c>
      <c r="J1240" s="26" t="str">
        <f t="shared" ca="1" si="188"/>
        <v/>
      </c>
    </row>
    <row r="1241" spans="1:10" x14ac:dyDescent="0.25">
      <c r="A1241" t="s">
        <v>308</v>
      </c>
      <c r="B1241" t="str">
        <f>ADDRESS(ROW('Bond 1'!$C$25),COLUMN('Bond 1'!$C$25),4)</f>
        <v>C25</v>
      </c>
      <c r="C1241" t="str">
        <f>ADDRESS(ROW('Bond 1'!$D$25),COLUMN('Bond 1'!$D$25),4)</f>
        <v>D25</v>
      </c>
      <c r="D1241" t="b" cm="1">
        <f t="array" aca="1" ref="D1241" ca="1">IF(INDIRECT("'"&amp;A1241&amp;"'!"&amp;B1241)="",FALSE,IF(TRUNC(INDIRECT("'"&amp;A1241&amp;"'!"&amp;B1241))=INDIRECT("'"&amp;A1241&amp;"'!"&amp;B1241),FALSE,TRUE))</f>
        <v>0</v>
      </c>
      <c r="E1241" t="s">
        <v>436</v>
      </c>
      <c r="F1241" t="str">
        <f>INDEX(Lists!I:I,MATCH(Validation!E1241,Lists!G:G,0))</f>
        <v>Error</v>
      </c>
      <c r="G1241" t="str">
        <f>INDEX(Lists!H:H,MATCH(Validation!E1241,Lists!G:G,0))</f>
        <v>Amount must be rounded to the nearest dollar.</v>
      </c>
      <c r="H1241" s="25" t="str">
        <f t="shared" ca="1" si="186"/>
        <v/>
      </c>
      <c r="I1241" s="25" t="str">
        <f t="shared" ca="1" si="187"/>
        <v/>
      </c>
      <c r="J1241" s="26" t="str">
        <f t="shared" ca="1" si="188"/>
        <v/>
      </c>
    </row>
    <row r="1242" spans="1:10" x14ac:dyDescent="0.25">
      <c r="A1242" t="s">
        <v>309</v>
      </c>
      <c r="B1242" t="str">
        <f>ADDRESS(ROW('Bond 1'!$C$25),COLUMN('Bond 1'!$C$25),4)</f>
        <v>C25</v>
      </c>
      <c r="C1242" t="str">
        <f>ADDRESS(ROW('Bond 1'!$D$25),COLUMN('Bond 1'!$D$25),4)</f>
        <v>D25</v>
      </c>
      <c r="D1242" t="b" cm="1">
        <f t="array" aca="1" ref="D1242" ca="1">IF(INDIRECT("'"&amp;A1242&amp;"'!"&amp;B1242)="",FALSE,IF(TRUNC(INDIRECT("'"&amp;A1242&amp;"'!"&amp;B1242))=INDIRECT("'"&amp;A1242&amp;"'!"&amp;B1242),FALSE,TRUE))</f>
        <v>0</v>
      </c>
      <c r="E1242" t="s">
        <v>436</v>
      </c>
      <c r="F1242" t="str">
        <f>INDEX(Lists!I:I,MATCH(Validation!E1242,Lists!G:G,0))</f>
        <v>Error</v>
      </c>
      <c r="G1242" t="str">
        <f>INDEX(Lists!H:H,MATCH(Validation!E1242,Lists!G:G,0))</f>
        <v>Amount must be rounded to the nearest dollar.</v>
      </c>
      <c r="H1242" s="25" t="str">
        <f t="shared" ca="1" si="186"/>
        <v/>
      </c>
      <c r="I1242" s="25" t="str">
        <f t="shared" ca="1" si="187"/>
        <v/>
      </c>
      <c r="J1242" s="26" t="str">
        <f t="shared" ca="1" si="188"/>
        <v/>
      </c>
    </row>
    <row r="1243" spans="1:10" x14ac:dyDescent="0.25">
      <c r="A1243" t="s">
        <v>310</v>
      </c>
      <c r="B1243" t="str">
        <f>ADDRESS(ROW('Bond 1'!$C$25),COLUMN('Bond 1'!$C$25),4)</f>
        <v>C25</v>
      </c>
      <c r="C1243" t="str">
        <f>ADDRESS(ROW('Bond 1'!$D$25),COLUMN('Bond 1'!$D$25),4)</f>
        <v>D25</v>
      </c>
      <c r="D1243" t="b" cm="1">
        <f t="array" aca="1" ref="D1243" ca="1">IF(INDIRECT("'"&amp;A1243&amp;"'!"&amp;B1243)="",FALSE,IF(TRUNC(INDIRECT("'"&amp;A1243&amp;"'!"&amp;B1243))=INDIRECT("'"&amp;A1243&amp;"'!"&amp;B1243),FALSE,TRUE))</f>
        <v>0</v>
      </c>
      <c r="E1243" t="s">
        <v>436</v>
      </c>
      <c r="F1243" t="str">
        <f>INDEX(Lists!I:I,MATCH(Validation!E1243,Lists!G:G,0))</f>
        <v>Error</v>
      </c>
      <c r="G1243" t="str">
        <f>INDEX(Lists!H:H,MATCH(Validation!E1243,Lists!G:G,0))</f>
        <v>Amount must be rounded to the nearest dollar.</v>
      </c>
      <c r="H1243" s="25" t="str">
        <f t="shared" ca="1" si="186"/>
        <v/>
      </c>
      <c r="I1243" s="25" t="str">
        <f t="shared" ca="1" si="187"/>
        <v/>
      </c>
      <c r="J1243" s="26" t="str">
        <f t="shared" ca="1" si="188"/>
        <v/>
      </c>
    </row>
    <row r="1244" spans="1:10" x14ac:dyDescent="0.25">
      <c r="A1244" t="s">
        <v>311</v>
      </c>
      <c r="B1244" t="str">
        <f>ADDRESS(ROW('Bond 1'!$C$25),COLUMN('Bond 1'!$C$25),4)</f>
        <v>C25</v>
      </c>
      <c r="C1244" t="str">
        <f>ADDRESS(ROW('Bond 1'!$D$25),COLUMN('Bond 1'!$D$25),4)</f>
        <v>D25</v>
      </c>
      <c r="D1244" t="b" cm="1">
        <f t="array" aca="1" ref="D1244" ca="1">IF(INDIRECT("'"&amp;A1244&amp;"'!"&amp;B1244)="",FALSE,IF(TRUNC(INDIRECT("'"&amp;A1244&amp;"'!"&amp;B1244))=INDIRECT("'"&amp;A1244&amp;"'!"&amp;B1244),FALSE,TRUE))</f>
        <v>0</v>
      </c>
      <c r="E1244" t="s">
        <v>436</v>
      </c>
      <c r="F1244" t="str">
        <f>INDEX(Lists!I:I,MATCH(Validation!E1244,Lists!G:G,0))</f>
        <v>Error</v>
      </c>
      <c r="G1244" t="str">
        <f>INDEX(Lists!H:H,MATCH(Validation!E1244,Lists!G:G,0))</f>
        <v>Amount must be rounded to the nearest dollar.</v>
      </c>
      <c r="H1244" s="25" t="str">
        <f t="shared" ca="1" si="186"/>
        <v/>
      </c>
      <c r="I1244" s="25" t="str">
        <f t="shared" ca="1" si="187"/>
        <v/>
      </c>
      <c r="J1244" s="26" t="str">
        <f t="shared" ca="1" si="188"/>
        <v/>
      </c>
    </row>
    <row r="1245" spans="1:10" x14ac:dyDescent="0.25">
      <c r="A1245" t="s">
        <v>312</v>
      </c>
      <c r="B1245" t="str">
        <f>ADDRESS(ROW('Bond 1'!$C$25),COLUMN('Bond 1'!$C$25),4)</f>
        <v>C25</v>
      </c>
      <c r="C1245" t="str">
        <f>ADDRESS(ROW('Bond 1'!$D$25),COLUMN('Bond 1'!$D$25),4)</f>
        <v>D25</v>
      </c>
      <c r="D1245" t="b" cm="1">
        <f t="array" aca="1" ref="D1245" ca="1">IF(INDIRECT("'"&amp;A1245&amp;"'!"&amp;B1245)="",FALSE,IF(TRUNC(INDIRECT("'"&amp;A1245&amp;"'!"&amp;B1245))=INDIRECT("'"&amp;A1245&amp;"'!"&amp;B1245),FALSE,TRUE))</f>
        <v>0</v>
      </c>
      <c r="E1245" t="s">
        <v>436</v>
      </c>
      <c r="F1245" t="str">
        <f>INDEX(Lists!I:I,MATCH(Validation!E1245,Lists!G:G,0))</f>
        <v>Error</v>
      </c>
      <c r="G1245" t="str">
        <f>INDEX(Lists!H:H,MATCH(Validation!E1245,Lists!G:G,0))</f>
        <v>Amount must be rounded to the nearest dollar.</v>
      </c>
      <c r="H1245" s="25" t="str">
        <f t="shared" ca="1" si="186"/>
        <v/>
      </c>
      <c r="I1245" s="25" t="str">
        <f t="shared" ca="1" si="187"/>
        <v/>
      </c>
      <c r="J1245" s="26" t="str">
        <f t="shared" ca="1" si="188"/>
        <v/>
      </c>
    </row>
    <row r="1246" spans="1:10" x14ac:dyDescent="0.25">
      <c r="A1246" t="s">
        <v>313</v>
      </c>
      <c r="B1246" t="str">
        <f>ADDRESS(ROW('Bond 1'!$C$25),COLUMN('Bond 1'!$C$25),4)</f>
        <v>C25</v>
      </c>
      <c r="C1246" t="str">
        <f>ADDRESS(ROW('Bond 1'!$D$25),COLUMN('Bond 1'!$D$25),4)</f>
        <v>D25</v>
      </c>
      <c r="D1246" t="b" cm="1">
        <f t="array" aca="1" ref="D1246" ca="1">IF(INDIRECT("'"&amp;A1246&amp;"'!"&amp;B1246)="",FALSE,IF(TRUNC(INDIRECT("'"&amp;A1246&amp;"'!"&amp;B1246))=INDIRECT("'"&amp;A1246&amp;"'!"&amp;B1246),FALSE,TRUE))</f>
        <v>0</v>
      </c>
      <c r="E1246" t="s">
        <v>436</v>
      </c>
      <c r="F1246" t="str">
        <f>INDEX(Lists!I:I,MATCH(Validation!E1246,Lists!G:G,0))</f>
        <v>Error</v>
      </c>
      <c r="G1246" t="str">
        <f>INDEX(Lists!H:H,MATCH(Validation!E1246,Lists!G:G,0))</f>
        <v>Amount must be rounded to the nearest dollar.</v>
      </c>
      <c r="H1246" s="25" t="str">
        <f t="shared" ca="1" si="186"/>
        <v/>
      </c>
      <c r="I1246" s="25" t="str">
        <f t="shared" ca="1" si="187"/>
        <v/>
      </c>
      <c r="J1246" s="26" t="str">
        <f t="shared" ca="1" si="188"/>
        <v/>
      </c>
    </row>
    <row r="1247" spans="1:10" x14ac:dyDescent="0.25">
      <c r="A1247" t="s">
        <v>314</v>
      </c>
      <c r="B1247" t="str">
        <f>ADDRESS(ROW('Bond 1'!$C$25),COLUMN('Bond 1'!$C$25),4)</f>
        <v>C25</v>
      </c>
      <c r="C1247" t="str">
        <f>ADDRESS(ROW('Bond 1'!$D$25),COLUMN('Bond 1'!$D$25),4)</f>
        <v>D25</v>
      </c>
      <c r="D1247" t="b" cm="1">
        <f t="array" aca="1" ref="D1247" ca="1">IF(INDIRECT("'"&amp;A1247&amp;"'!"&amp;B1247)="",FALSE,IF(TRUNC(INDIRECT("'"&amp;A1247&amp;"'!"&amp;B1247))=INDIRECT("'"&amp;A1247&amp;"'!"&amp;B1247),FALSE,TRUE))</f>
        <v>0</v>
      </c>
      <c r="E1247" t="s">
        <v>436</v>
      </c>
      <c r="F1247" t="str">
        <f>INDEX(Lists!I:I,MATCH(Validation!E1247,Lists!G:G,0))</f>
        <v>Error</v>
      </c>
      <c r="G1247" t="str">
        <f>INDEX(Lists!H:H,MATCH(Validation!E1247,Lists!G:G,0))</f>
        <v>Amount must be rounded to the nearest dollar.</v>
      </c>
      <c r="H1247" s="25" t="str">
        <f t="shared" ca="1" si="186"/>
        <v/>
      </c>
      <c r="I1247" s="25" t="str">
        <f t="shared" ca="1" si="187"/>
        <v/>
      </c>
      <c r="J1247" s="26" t="str">
        <f t="shared" ca="1" si="188"/>
        <v/>
      </c>
    </row>
    <row r="1248" spans="1:10" x14ac:dyDescent="0.25">
      <c r="A1248" t="s">
        <v>315</v>
      </c>
      <c r="B1248" t="str">
        <f>ADDRESS(ROW('Bond 1'!$C$25),COLUMN('Bond 1'!$C$25),4)</f>
        <v>C25</v>
      </c>
      <c r="C1248" t="str">
        <f>ADDRESS(ROW('Bond 1'!$D$25),COLUMN('Bond 1'!$D$25),4)</f>
        <v>D25</v>
      </c>
      <c r="D1248" t="b" cm="1">
        <f t="array" aca="1" ref="D1248" ca="1">IF(INDIRECT("'"&amp;A1248&amp;"'!"&amp;B1248)="",FALSE,IF(TRUNC(INDIRECT("'"&amp;A1248&amp;"'!"&amp;B1248))=INDIRECT("'"&amp;A1248&amp;"'!"&amp;B1248),FALSE,TRUE))</f>
        <v>0</v>
      </c>
      <c r="E1248" t="s">
        <v>436</v>
      </c>
      <c r="F1248" t="str">
        <f>INDEX(Lists!I:I,MATCH(Validation!E1248,Lists!G:G,0))</f>
        <v>Error</v>
      </c>
      <c r="G1248" t="str">
        <f>INDEX(Lists!H:H,MATCH(Validation!E1248,Lists!G:G,0))</f>
        <v>Amount must be rounded to the nearest dollar.</v>
      </c>
      <c r="H1248" s="25" t="str">
        <f t="shared" ca="1" si="186"/>
        <v/>
      </c>
      <c r="I1248" s="25" t="str">
        <f t="shared" ca="1" si="187"/>
        <v/>
      </c>
      <c r="J1248" s="26" t="str">
        <f t="shared" ca="1" si="188"/>
        <v/>
      </c>
    </row>
    <row r="1249" spans="1:10" x14ac:dyDescent="0.25">
      <c r="A1249" t="s">
        <v>198</v>
      </c>
      <c r="B1249" t="str">
        <f>ADDRESS(ROW('Bond 1'!$B$26),COLUMN('Bond 1'!$B$26),4)</f>
        <v>B26</v>
      </c>
      <c r="C1249" t="str">
        <f>ADDRESS(ROW('Bond 1'!$D$26),COLUMN('Bond 1'!$D$26),4)</f>
        <v>D26</v>
      </c>
      <c r="D1249" t="b" cm="1">
        <f t="array" aca="1" ref="D1249" ca="1">IF(INDIRECT("'"&amp;A1249&amp;"'!"&amp;B1249)="",FALSE,IF(NOT(ISNUMBER(INDIRECT("'"&amp;A1249&amp;"'!"&amp;B1249))),TRUE,FALSE))</f>
        <v>0</v>
      </c>
      <c r="E1249" t="s">
        <v>435</v>
      </c>
      <c r="F1249" t="str">
        <f>INDEX(Lists!I:I,MATCH(Validation!E1249,Lists!G:G,0))</f>
        <v>Error</v>
      </c>
      <c r="G1249" t="str">
        <f>INDEX(Lists!H:H,MATCH(Validation!E1249,Lists!G:G,0))</f>
        <v>Enter an amount only. Do not enter text or spaces.</v>
      </c>
      <c r="H1249" s="25" t="str">
        <f t="shared" ca="1" si="186"/>
        <v/>
      </c>
      <c r="I1249" s="25" t="str">
        <f t="shared" ca="1" si="187"/>
        <v/>
      </c>
      <c r="J1249" s="26" t="str">
        <f t="shared" ca="1" si="188"/>
        <v/>
      </c>
    </row>
    <row r="1250" spans="1:10" x14ac:dyDescent="0.25">
      <c r="A1250" t="s">
        <v>302</v>
      </c>
      <c r="B1250" t="str">
        <f>ADDRESS(ROW('Bond 1'!$B$26),COLUMN('Bond 1'!$B$26),4)</f>
        <v>B26</v>
      </c>
      <c r="C1250" t="str">
        <f>ADDRESS(ROW('Bond 1'!$D$26),COLUMN('Bond 1'!$D$26),4)</f>
        <v>D26</v>
      </c>
      <c r="D1250" t="b" cm="1">
        <f t="array" aca="1" ref="D1250" ca="1">IF(INDIRECT("'"&amp;A1250&amp;"'!"&amp;B1250)="",FALSE,IF(NOT(ISNUMBER(INDIRECT("'"&amp;A1250&amp;"'!"&amp;B1250))),TRUE,FALSE))</f>
        <v>0</v>
      </c>
      <c r="E1250" t="s">
        <v>435</v>
      </c>
      <c r="F1250" t="str">
        <f>INDEX(Lists!I:I,MATCH(Validation!E1250,Lists!G:G,0))</f>
        <v>Error</v>
      </c>
      <c r="G1250" t="str">
        <f>INDEX(Lists!H:H,MATCH(Validation!E1250,Lists!G:G,0))</f>
        <v>Enter an amount only. Do not enter text or spaces.</v>
      </c>
      <c r="H1250" s="25" t="str">
        <f t="shared" ca="1" si="186"/>
        <v/>
      </c>
      <c r="I1250" s="25" t="str">
        <f t="shared" ca="1" si="187"/>
        <v/>
      </c>
      <c r="J1250" s="26" t="str">
        <f t="shared" ca="1" si="188"/>
        <v/>
      </c>
    </row>
    <row r="1251" spans="1:10" x14ac:dyDescent="0.25">
      <c r="A1251" t="s">
        <v>303</v>
      </c>
      <c r="B1251" t="str">
        <f>ADDRESS(ROW('Bond 1'!$B$26),COLUMN('Bond 1'!$B$26),4)</f>
        <v>B26</v>
      </c>
      <c r="C1251" t="str">
        <f>ADDRESS(ROW('Bond 1'!$D$26),COLUMN('Bond 1'!$D$26),4)</f>
        <v>D26</v>
      </c>
      <c r="D1251" t="b" cm="1">
        <f t="array" aca="1" ref="D1251" ca="1">IF(INDIRECT("'"&amp;A1251&amp;"'!"&amp;B1251)="",FALSE,IF(NOT(ISNUMBER(INDIRECT("'"&amp;A1251&amp;"'!"&amp;B1251))),TRUE,FALSE))</f>
        <v>0</v>
      </c>
      <c r="E1251" t="s">
        <v>435</v>
      </c>
      <c r="F1251" t="str">
        <f>INDEX(Lists!I:I,MATCH(Validation!E1251,Lists!G:G,0))</f>
        <v>Error</v>
      </c>
      <c r="G1251" t="str">
        <f>INDEX(Lists!H:H,MATCH(Validation!E1251,Lists!G:G,0))</f>
        <v>Enter an amount only. Do not enter text or spaces.</v>
      </c>
      <c r="H1251" s="25" t="str">
        <f t="shared" ca="1" si="186"/>
        <v/>
      </c>
      <c r="I1251" s="25" t="str">
        <f t="shared" ca="1" si="187"/>
        <v/>
      </c>
      <c r="J1251" s="26" t="str">
        <f t="shared" ca="1" si="188"/>
        <v/>
      </c>
    </row>
    <row r="1252" spans="1:10" x14ac:dyDescent="0.25">
      <c r="A1252" t="s">
        <v>304</v>
      </c>
      <c r="B1252" t="str">
        <f>ADDRESS(ROW('Bond 1'!$B$26),COLUMN('Bond 1'!$B$26),4)</f>
        <v>B26</v>
      </c>
      <c r="C1252" t="str">
        <f>ADDRESS(ROW('Bond 1'!$D$26),COLUMN('Bond 1'!$D$26),4)</f>
        <v>D26</v>
      </c>
      <c r="D1252" t="b" cm="1">
        <f t="array" aca="1" ref="D1252" ca="1">IF(INDIRECT("'"&amp;A1252&amp;"'!"&amp;B1252)="",FALSE,IF(NOT(ISNUMBER(INDIRECT("'"&amp;A1252&amp;"'!"&amp;B1252))),TRUE,FALSE))</f>
        <v>0</v>
      </c>
      <c r="E1252" t="s">
        <v>435</v>
      </c>
      <c r="F1252" t="str">
        <f>INDEX(Lists!I:I,MATCH(Validation!E1252,Lists!G:G,0))</f>
        <v>Error</v>
      </c>
      <c r="G1252" t="str">
        <f>INDEX(Lists!H:H,MATCH(Validation!E1252,Lists!G:G,0))</f>
        <v>Enter an amount only. Do not enter text or spaces.</v>
      </c>
      <c r="H1252" s="25" t="str">
        <f t="shared" ca="1" si="186"/>
        <v/>
      </c>
      <c r="I1252" s="25" t="str">
        <f t="shared" ca="1" si="187"/>
        <v/>
      </c>
      <c r="J1252" s="26" t="str">
        <f t="shared" ca="1" si="188"/>
        <v/>
      </c>
    </row>
    <row r="1253" spans="1:10" x14ac:dyDescent="0.25">
      <c r="A1253" t="s">
        <v>305</v>
      </c>
      <c r="B1253" t="str">
        <f>ADDRESS(ROW('Bond 1'!$B$26),COLUMN('Bond 1'!$B$26),4)</f>
        <v>B26</v>
      </c>
      <c r="C1253" t="str">
        <f>ADDRESS(ROW('Bond 1'!$D$26),COLUMN('Bond 1'!$D$26),4)</f>
        <v>D26</v>
      </c>
      <c r="D1253" t="b" cm="1">
        <f t="array" aca="1" ref="D1253" ca="1">IF(INDIRECT("'"&amp;A1253&amp;"'!"&amp;B1253)="",FALSE,IF(NOT(ISNUMBER(INDIRECT("'"&amp;A1253&amp;"'!"&amp;B1253))),TRUE,FALSE))</f>
        <v>0</v>
      </c>
      <c r="E1253" t="s">
        <v>435</v>
      </c>
      <c r="F1253" t="str">
        <f>INDEX(Lists!I:I,MATCH(Validation!E1253,Lists!G:G,0))</f>
        <v>Error</v>
      </c>
      <c r="G1253" t="str">
        <f>INDEX(Lists!H:H,MATCH(Validation!E1253,Lists!G:G,0))</f>
        <v>Enter an amount only. Do not enter text or spaces.</v>
      </c>
      <c r="H1253" s="25" t="str">
        <f t="shared" ca="1" si="186"/>
        <v/>
      </c>
      <c r="I1253" s="25" t="str">
        <f t="shared" ca="1" si="187"/>
        <v/>
      </c>
      <c r="J1253" s="26" t="str">
        <f t="shared" ca="1" si="188"/>
        <v/>
      </c>
    </row>
    <row r="1254" spans="1:10" x14ac:dyDescent="0.25">
      <c r="A1254" t="s">
        <v>306</v>
      </c>
      <c r="B1254" t="str">
        <f>ADDRESS(ROW('Bond 1'!$B$26),COLUMN('Bond 1'!$B$26),4)</f>
        <v>B26</v>
      </c>
      <c r="C1254" t="str">
        <f>ADDRESS(ROW('Bond 1'!$D$26),COLUMN('Bond 1'!$D$26),4)</f>
        <v>D26</v>
      </c>
      <c r="D1254" t="b" cm="1">
        <f t="array" aca="1" ref="D1254" ca="1">IF(INDIRECT("'"&amp;A1254&amp;"'!"&amp;B1254)="",FALSE,IF(NOT(ISNUMBER(INDIRECT("'"&amp;A1254&amp;"'!"&amp;B1254))),TRUE,FALSE))</f>
        <v>0</v>
      </c>
      <c r="E1254" t="s">
        <v>435</v>
      </c>
      <c r="F1254" t="str">
        <f>INDEX(Lists!I:I,MATCH(Validation!E1254,Lists!G:G,0))</f>
        <v>Error</v>
      </c>
      <c r="G1254" t="str">
        <f>INDEX(Lists!H:H,MATCH(Validation!E1254,Lists!G:G,0))</f>
        <v>Enter an amount only. Do not enter text or spaces.</v>
      </c>
      <c r="H1254" s="25" t="str">
        <f t="shared" ca="1" si="186"/>
        <v/>
      </c>
      <c r="I1254" s="25" t="str">
        <f t="shared" ca="1" si="187"/>
        <v/>
      </c>
      <c r="J1254" s="26" t="str">
        <f t="shared" ca="1" si="188"/>
        <v/>
      </c>
    </row>
    <row r="1255" spans="1:10" x14ac:dyDescent="0.25">
      <c r="A1255" t="s">
        <v>307</v>
      </c>
      <c r="B1255" t="str">
        <f>ADDRESS(ROW('Bond 1'!$B$26),COLUMN('Bond 1'!$B$26),4)</f>
        <v>B26</v>
      </c>
      <c r="C1255" t="str">
        <f>ADDRESS(ROW('Bond 1'!$D$26),COLUMN('Bond 1'!$D$26),4)</f>
        <v>D26</v>
      </c>
      <c r="D1255" t="b" cm="1">
        <f t="array" aca="1" ref="D1255" ca="1">IF(INDIRECT("'"&amp;A1255&amp;"'!"&amp;B1255)="",FALSE,IF(NOT(ISNUMBER(INDIRECT("'"&amp;A1255&amp;"'!"&amp;B1255))),TRUE,FALSE))</f>
        <v>0</v>
      </c>
      <c r="E1255" t="s">
        <v>435</v>
      </c>
      <c r="F1255" t="str">
        <f>INDEX(Lists!I:I,MATCH(Validation!E1255,Lists!G:G,0))</f>
        <v>Error</v>
      </c>
      <c r="G1255" t="str">
        <f>INDEX(Lists!H:H,MATCH(Validation!E1255,Lists!G:G,0))</f>
        <v>Enter an amount only. Do not enter text or spaces.</v>
      </c>
      <c r="H1255" s="25" t="str">
        <f t="shared" ca="1" si="186"/>
        <v/>
      </c>
      <c r="I1255" s="25" t="str">
        <f t="shared" ca="1" si="187"/>
        <v/>
      </c>
      <c r="J1255" s="26" t="str">
        <f t="shared" ca="1" si="188"/>
        <v/>
      </c>
    </row>
    <row r="1256" spans="1:10" x14ac:dyDescent="0.25">
      <c r="A1256" t="s">
        <v>308</v>
      </c>
      <c r="B1256" t="str">
        <f>ADDRESS(ROW('Bond 1'!$B$26),COLUMN('Bond 1'!$B$26),4)</f>
        <v>B26</v>
      </c>
      <c r="C1256" t="str">
        <f>ADDRESS(ROW('Bond 1'!$D$26),COLUMN('Bond 1'!$D$26),4)</f>
        <v>D26</v>
      </c>
      <c r="D1256" t="b" cm="1">
        <f t="array" aca="1" ref="D1256" ca="1">IF(INDIRECT("'"&amp;A1256&amp;"'!"&amp;B1256)="",FALSE,IF(NOT(ISNUMBER(INDIRECT("'"&amp;A1256&amp;"'!"&amp;B1256))),TRUE,FALSE))</f>
        <v>0</v>
      </c>
      <c r="E1256" t="s">
        <v>435</v>
      </c>
      <c r="F1256" t="str">
        <f>INDEX(Lists!I:I,MATCH(Validation!E1256,Lists!G:G,0))</f>
        <v>Error</v>
      </c>
      <c r="G1256" t="str">
        <f>INDEX(Lists!H:H,MATCH(Validation!E1256,Lists!G:G,0))</f>
        <v>Enter an amount only. Do not enter text or spaces.</v>
      </c>
      <c r="H1256" s="25" t="str">
        <f t="shared" ca="1" si="186"/>
        <v/>
      </c>
      <c r="I1256" s="25" t="str">
        <f t="shared" ca="1" si="187"/>
        <v/>
      </c>
      <c r="J1256" s="26" t="str">
        <f t="shared" ca="1" si="188"/>
        <v/>
      </c>
    </row>
    <row r="1257" spans="1:10" x14ac:dyDescent="0.25">
      <c r="A1257" t="s">
        <v>309</v>
      </c>
      <c r="B1257" t="str">
        <f>ADDRESS(ROW('Bond 1'!$B$26),COLUMN('Bond 1'!$B$26),4)</f>
        <v>B26</v>
      </c>
      <c r="C1257" t="str">
        <f>ADDRESS(ROW('Bond 1'!$D$26),COLUMN('Bond 1'!$D$26),4)</f>
        <v>D26</v>
      </c>
      <c r="D1257" t="b" cm="1">
        <f t="array" aca="1" ref="D1257" ca="1">IF(INDIRECT("'"&amp;A1257&amp;"'!"&amp;B1257)="",FALSE,IF(NOT(ISNUMBER(INDIRECT("'"&amp;A1257&amp;"'!"&amp;B1257))),TRUE,FALSE))</f>
        <v>0</v>
      </c>
      <c r="E1257" t="s">
        <v>435</v>
      </c>
      <c r="F1257" t="str">
        <f>INDEX(Lists!I:I,MATCH(Validation!E1257,Lists!G:G,0))</f>
        <v>Error</v>
      </c>
      <c r="G1257" t="str">
        <f>INDEX(Lists!H:H,MATCH(Validation!E1257,Lists!G:G,0))</f>
        <v>Enter an amount only. Do not enter text or spaces.</v>
      </c>
      <c r="H1257" s="25" t="str">
        <f t="shared" ca="1" si="186"/>
        <v/>
      </c>
      <c r="I1257" s="25" t="str">
        <f t="shared" ca="1" si="187"/>
        <v/>
      </c>
      <c r="J1257" s="26" t="str">
        <f t="shared" ca="1" si="188"/>
        <v/>
      </c>
    </row>
    <row r="1258" spans="1:10" x14ac:dyDescent="0.25">
      <c r="A1258" t="s">
        <v>310</v>
      </c>
      <c r="B1258" t="str">
        <f>ADDRESS(ROW('Bond 1'!$B$26),COLUMN('Bond 1'!$B$26),4)</f>
        <v>B26</v>
      </c>
      <c r="C1258" t="str">
        <f>ADDRESS(ROW('Bond 1'!$D$26),COLUMN('Bond 1'!$D$26),4)</f>
        <v>D26</v>
      </c>
      <c r="D1258" t="b" cm="1">
        <f t="array" aca="1" ref="D1258" ca="1">IF(INDIRECT("'"&amp;A1258&amp;"'!"&amp;B1258)="",FALSE,IF(NOT(ISNUMBER(INDIRECT("'"&amp;A1258&amp;"'!"&amp;B1258))),TRUE,FALSE))</f>
        <v>0</v>
      </c>
      <c r="E1258" t="s">
        <v>435</v>
      </c>
      <c r="F1258" t="str">
        <f>INDEX(Lists!I:I,MATCH(Validation!E1258,Lists!G:G,0))</f>
        <v>Error</v>
      </c>
      <c r="G1258" t="str">
        <f>INDEX(Lists!H:H,MATCH(Validation!E1258,Lists!G:G,0))</f>
        <v>Enter an amount only. Do not enter text or spaces.</v>
      </c>
      <c r="H1258" s="25" t="str">
        <f t="shared" ca="1" si="186"/>
        <v/>
      </c>
      <c r="I1258" s="25" t="str">
        <f t="shared" ca="1" si="187"/>
        <v/>
      </c>
      <c r="J1258" s="26" t="str">
        <f t="shared" ca="1" si="188"/>
        <v/>
      </c>
    </row>
    <row r="1259" spans="1:10" x14ac:dyDescent="0.25">
      <c r="A1259" t="s">
        <v>311</v>
      </c>
      <c r="B1259" t="str">
        <f>ADDRESS(ROW('Bond 1'!$B$26),COLUMN('Bond 1'!$B$26),4)</f>
        <v>B26</v>
      </c>
      <c r="C1259" t="str">
        <f>ADDRESS(ROW('Bond 1'!$D$26),COLUMN('Bond 1'!$D$26),4)</f>
        <v>D26</v>
      </c>
      <c r="D1259" t="b" cm="1">
        <f t="array" aca="1" ref="D1259" ca="1">IF(INDIRECT("'"&amp;A1259&amp;"'!"&amp;B1259)="",FALSE,IF(NOT(ISNUMBER(INDIRECT("'"&amp;A1259&amp;"'!"&amp;B1259))),TRUE,FALSE))</f>
        <v>0</v>
      </c>
      <c r="E1259" t="s">
        <v>435</v>
      </c>
      <c r="F1259" t="str">
        <f>INDEX(Lists!I:I,MATCH(Validation!E1259,Lists!G:G,0))</f>
        <v>Error</v>
      </c>
      <c r="G1259" t="str">
        <f>INDEX(Lists!H:H,MATCH(Validation!E1259,Lists!G:G,0))</f>
        <v>Enter an amount only. Do not enter text or spaces.</v>
      </c>
      <c r="H1259" s="25" t="str">
        <f t="shared" ca="1" si="186"/>
        <v/>
      </c>
      <c r="I1259" s="25" t="str">
        <f t="shared" ca="1" si="187"/>
        <v/>
      </c>
      <c r="J1259" s="26" t="str">
        <f t="shared" ca="1" si="188"/>
        <v/>
      </c>
    </row>
    <row r="1260" spans="1:10" x14ac:dyDescent="0.25">
      <c r="A1260" t="s">
        <v>312</v>
      </c>
      <c r="B1260" t="str">
        <f>ADDRESS(ROW('Bond 1'!$B$26),COLUMN('Bond 1'!$B$26),4)</f>
        <v>B26</v>
      </c>
      <c r="C1260" t="str">
        <f>ADDRESS(ROW('Bond 1'!$D$26),COLUMN('Bond 1'!$D$26),4)</f>
        <v>D26</v>
      </c>
      <c r="D1260" t="b" cm="1">
        <f t="array" aca="1" ref="D1260" ca="1">IF(INDIRECT("'"&amp;A1260&amp;"'!"&amp;B1260)="",FALSE,IF(NOT(ISNUMBER(INDIRECT("'"&amp;A1260&amp;"'!"&amp;B1260))),TRUE,FALSE))</f>
        <v>0</v>
      </c>
      <c r="E1260" t="s">
        <v>435</v>
      </c>
      <c r="F1260" t="str">
        <f>INDEX(Lists!I:I,MATCH(Validation!E1260,Lists!G:G,0))</f>
        <v>Error</v>
      </c>
      <c r="G1260" t="str">
        <f>INDEX(Lists!H:H,MATCH(Validation!E1260,Lists!G:G,0))</f>
        <v>Enter an amount only. Do not enter text or spaces.</v>
      </c>
      <c r="H1260" s="25" t="str">
        <f t="shared" ca="1" si="186"/>
        <v/>
      </c>
      <c r="I1260" s="25" t="str">
        <f t="shared" ca="1" si="187"/>
        <v/>
      </c>
      <c r="J1260" s="26" t="str">
        <f t="shared" ca="1" si="188"/>
        <v/>
      </c>
    </row>
    <row r="1261" spans="1:10" x14ac:dyDescent="0.25">
      <c r="A1261" t="s">
        <v>313</v>
      </c>
      <c r="B1261" t="str">
        <f>ADDRESS(ROW('Bond 1'!$B$26),COLUMN('Bond 1'!$B$26),4)</f>
        <v>B26</v>
      </c>
      <c r="C1261" t="str">
        <f>ADDRESS(ROW('Bond 1'!$D$26),COLUMN('Bond 1'!$D$26),4)</f>
        <v>D26</v>
      </c>
      <c r="D1261" t="b" cm="1">
        <f t="array" aca="1" ref="D1261" ca="1">IF(INDIRECT("'"&amp;A1261&amp;"'!"&amp;B1261)="",FALSE,IF(NOT(ISNUMBER(INDIRECT("'"&amp;A1261&amp;"'!"&amp;B1261))),TRUE,FALSE))</f>
        <v>0</v>
      </c>
      <c r="E1261" t="s">
        <v>435</v>
      </c>
      <c r="F1261" t="str">
        <f>INDEX(Lists!I:I,MATCH(Validation!E1261,Lists!G:G,0))</f>
        <v>Error</v>
      </c>
      <c r="G1261" t="str">
        <f>INDEX(Lists!H:H,MATCH(Validation!E1261,Lists!G:G,0))</f>
        <v>Enter an amount only. Do not enter text or spaces.</v>
      </c>
      <c r="H1261" s="25" t="str">
        <f t="shared" ca="1" si="186"/>
        <v/>
      </c>
      <c r="I1261" s="25" t="str">
        <f t="shared" ca="1" si="187"/>
        <v/>
      </c>
      <c r="J1261" s="26" t="str">
        <f t="shared" ca="1" si="188"/>
        <v/>
      </c>
    </row>
    <row r="1262" spans="1:10" x14ac:dyDescent="0.25">
      <c r="A1262" t="s">
        <v>314</v>
      </c>
      <c r="B1262" t="str">
        <f>ADDRESS(ROW('Bond 1'!$B$26),COLUMN('Bond 1'!$B$26),4)</f>
        <v>B26</v>
      </c>
      <c r="C1262" t="str">
        <f>ADDRESS(ROW('Bond 1'!$D$26),COLUMN('Bond 1'!$D$26),4)</f>
        <v>D26</v>
      </c>
      <c r="D1262" t="b" cm="1">
        <f t="array" aca="1" ref="D1262" ca="1">IF(INDIRECT("'"&amp;A1262&amp;"'!"&amp;B1262)="",FALSE,IF(NOT(ISNUMBER(INDIRECT("'"&amp;A1262&amp;"'!"&amp;B1262))),TRUE,FALSE))</f>
        <v>0</v>
      </c>
      <c r="E1262" t="s">
        <v>435</v>
      </c>
      <c r="F1262" t="str">
        <f>INDEX(Lists!I:I,MATCH(Validation!E1262,Lists!G:G,0))</f>
        <v>Error</v>
      </c>
      <c r="G1262" t="str">
        <f>INDEX(Lists!H:H,MATCH(Validation!E1262,Lists!G:G,0))</f>
        <v>Enter an amount only. Do not enter text or spaces.</v>
      </c>
      <c r="H1262" s="25" t="str">
        <f t="shared" ca="1" si="186"/>
        <v/>
      </c>
      <c r="I1262" s="25" t="str">
        <f t="shared" ca="1" si="187"/>
        <v/>
      </c>
      <c r="J1262" s="26" t="str">
        <f t="shared" ca="1" si="188"/>
        <v/>
      </c>
    </row>
    <row r="1263" spans="1:10" x14ac:dyDescent="0.25">
      <c r="A1263" t="s">
        <v>315</v>
      </c>
      <c r="B1263" t="str">
        <f>ADDRESS(ROW('Bond 1'!$B$26),COLUMN('Bond 1'!$B$26),4)</f>
        <v>B26</v>
      </c>
      <c r="C1263" t="str">
        <f>ADDRESS(ROW('Bond 1'!$D$26),COLUMN('Bond 1'!$D$26),4)</f>
        <v>D26</v>
      </c>
      <c r="D1263" t="b" cm="1">
        <f t="array" aca="1" ref="D1263" ca="1">IF(INDIRECT("'"&amp;A1263&amp;"'!"&amp;B1263)="",FALSE,IF(NOT(ISNUMBER(INDIRECT("'"&amp;A1263&amp;"'!"&amp;B1263))),TRUE,FALSE))</f>
        <v>0</v>
      </c>
      <c r="E1263" t="s">
        <v>435</v>
      </c>
      <c r="F1263" t="str">
        <f>INDEX(Lists!I:I,MATCH(Validation!E1263,Lists!G:G,0))</f>
        <v>Error</v>
      </c>
      <c r="G1263" t="str">
        <f>INDEX(Lists!H:H,MATCH(Validation!E1263,Lists!G:G,0))</f>
        <v>Enter an amount only. Do not enter text or spaces.</v>
      </c>
      <c r="H1263" s="25" t="str">
        <f t="shared" ca="1" si="186"/>
        <v/>
      </c>
      <c r="I1263" s="25" t="str">
        <f t="shared" ca="1" si="187"/>
        <v/>
      </c>
      <c r="J1263" s="26" t="str">
        <f t="shared" ca="1" si="188"/>
        <v/>
      </c>
    </row>
    <row r="1264" spans="1:10" x14ac:dyDescent="0.25">
      <c r="A1264" t="s">
        <v>198</v>
      </c>
      <c r="B1264" t="str">
        <f>ADDRESS(ROW('Bond 1'!$B$26),COLUMN('Bond 1'!$B$26),4)</f>
        <v>B26</v>
      </c>
      <c r="C1264" t="str">
        <f>ADDRESS(ROW('Bond 1'!$D$26),COLUMN('Bond 1'!$D$26),4)</f>
        <v>D26</v>
      </c>
      <c r="D1264" t="b" cm="1">
        <f t="array" aca="1" ref="D1264" ca="1">IF(INDIRECT("'"&amp;A1264&amp;"'!"&amp;B1264)="",FALSE,IF(INDIRECT("'"&amp;A1264&amp;"'!"&amp;B1264)&lt;0,TRUE,FALSE))</f>
        <v>0</v>
      </c>
      <c r="E1264" t="s">
        <v>434</v>
      </c>
      <c r="F1264" t="str">
        <f>INDEX(Lists!I:I,MATCH(Validation!E1264,Lists!G:G,0))</f>
        <v>Error</v>
      </c>
      <c r="G1264" t="str">
        <f>INDEX(Lists!H:H,MATCH(Validation!E1264,Lists!G:G,0))</f>
        <v>Amount may not be negative. Enter an amount greater than or equal to zero.</v>
      </c>
      <c r="H1264" s="25" t="str">
        <f t="shared" ca="1" si="186"/>
        <v/>
      </c>
      <c r="I1264" s="25" t="str">
        <f t="shared" ca="1" si="187"/>
        <v/>
      </c>
      <c r="J1264" s="26" t="str">
        <f t="shared" ca="1" si="188"/>
        <v/>
      </c>
    </row>
    <row r="1265" spans="1:10" x14ac:dyDescent="0.25">
      <c r="A1265" t="s">
        <v>302</v>
      </c>
      <c r="B1265" t="str">
        <f>ADDRESS(ROW('Bond 1'!$B$26),COLUMN('Bond 1'!$B$26),4)</f>
        <v>B26</v>
      </c>
      <c r="C1265" t="str">
        <f>ADDRESS(ROW('Bond 1'!$D$26),COLUMN('Bond 1'!$D$26),4)</f>
        <v>D26</v>
      </c>
      <c r="D1265" t="b" cm="1">
        <f t="array" aca="1" ref="D1265" ca="1">IF(INDIRECT("'"&amp;A1265&amp;"'!"&amp;B1265)="",FALSE,IF(INDIRECT("'"&amp;A1265&amp;"'!"&amp;B1265)&lt;0,TRUE,FALSE))</f>
        <v>0</v>
      </c>
      <c r="E1265" t="s">
        <v>434</v>
      </c>
      <c r="F1265" t="str">
        <f>INDEX(Lists!I:I,MATCH(Validation!E1265,Lists!G:G,0))</f>
        <v>Error</v>
      </c>
      <c r="G1265" t="str">
        <f>INDEX(Lists!H:H,MATCH(Validation!E1265,Lists!G:G,0))</f>
        <v>Amount may not be negative. Enter an amount greater than or equal to zero.</v>
      </c>
      <c r="H1265" s="25" t="str">
        <f t="shared" ca="1" si="186"/>
        <v/>
      </c>
      <c r="I1265" s="25" t="str">
        <f t="shared" ca="1" si="187"/>
        <v/>
      </c>
      <c r="J1265" s="26" t="str">
        <f t="shared" ca="1" si="188"/>
        <v/>
      </c>
    </row>
    <row r="1266" spans="1:10" x14ac:dyDescent="0.25">
      <c r="A1266" t="s">
        <v>303</v>
      </c>
      <c r="B1266" t="str">
        <f>ADDRESS(ROW('Bond 1'!$B$26),COLUMN('Bond 1'!$B$26),4)</f>
        <v>B26</v>
      </c>
      <c r="C1266" t="str">
        <f>ADDRESS(ROW('Bond 1'!$D$26),COLUMN('Bond 1'!$D$26),4)</f>
        <v>D26</v>
      </c>
      <c r="D1266" t="b" cm="1">
        <f t="array" aca="1" ref="D1266" ca="1">IF(INDIRECT("'"&amp;A1266&amp;"'!"&amp;B1266)="",FALSE,IF(INDIRECT("'"&amp;A1266&amp;"'!"&amp;B1266)&lt;0,TRUE,FALSE))</f>
        <v>0</v>
      </c>
      <c r="E1266" t="s">
        <v>434</v>
      </c>
      <c r="F1266" t="str">
        <f>INDEX(Lists!I:I,MATCH(Validation!E1266,Lists!G:G,0))</f>
        <v>Error</v>
      </c>
      <c r="G1266" t="str">
        <f>INDEX(Lists!H:H,MATCH(Validation!E1266,Lists!G:G,0))</f>
        <v>Amount may not be negative. Enter an amount greater than or equal to zero.</v>
      </c>
      <c r="H1266" s="25" t="str">
        <f t="shared" ca="1" si="186"/>
        <v/>
      </c>
      <c r="I1266" s="25" t="str">
        <f t="shared" ca="1" si="187"/>
        <v/>
      </c>
      <c r="J1266" s="26" t="str">
        <f t="shared" ca="1" si="188"/>
        <v/>
      </c>
    </row>
    <row r="1267" spans="1:10" x14ac:dyDescent="0.25">
      <c r="A1267" t="s">
        <v>304</v>
      </c>
      <c r="B1267" t="str">
        <f>ADDRESS(ROW('Bond 1'!$B$26),COLUMN('Bond 1'!$B$26),4)</f>
        <v>B26</v>
      </c>
      <c r="C1267" t="str">
        <f>ADDRESS(ROW('Bond 1'!$D$26),COLUMN('Bond 1'!$D$26),4)</f>
        <v>D26</v>
      </c>
      <c r="D1267" t="b" cm="1">
        <f t="array" aca="1" ref="D1267" ca="1">IF(INDIRECT("'"&amp;A1267&amp;"'!"&amp;B1267)="",FALSE,IF(INDIRECT("'"&amp;A1267&amp;"'!"&amp;B1267)&lt;0,TRUE,FALSE))</f>
        <v>0</v>
      </c>
      <c r="E1267" t="s">
        <v>434</v>
      </c>
      <c r="F1267" t="str">
        <f>INDEX(Lists!I:I,MATCH(Validation!E1267,Lists!G:G,0))</f>
        <v>Error</v>
      </c>
      <c r="G1267" t="str">
        <f>INDEX(Lists!H:H,MATCH(Validation!E1267,Lists!G:G,0))</f>
        <v>Amount may not be negative. Enter an amount greater than or equal to zero.</v>
      </c>
      <c r="H1267" s="25" t="str">
        <f t="shared" ca="1" si="186"/>
        <v/>
      </c>
      <c r="I1267" s="25" t="str">
        <f t="shared" ca="1" si="187"/>
        <v/>
      </c>
      <c r="J1267" s="26" t="str">
        <f t="shared" ca="1" si="188"/>
        <v/>
      </c>
    </row>
    <row r="1268" spans="1:10" x14ac:dyDescent="0.25">
      <c r="A1268" t="s">
        <v>305</v>
      </c>
      <c r="B1268" t="str">
        <f>ADDRESS(ROW('Bond 1'!$B$26),COLUMN('Bond 1'!$B$26),4)</f>
        <v>B26</v>
      </c>
      <c r="C1268" t="str">
        <f>ADDRESS(ROW('Bond 1'!$D$26),COLUMN('Bond 1'!$D$26),4)</f>
        <v>D26</v>
      </c>
      <c r="D1268" t="b" cm="1">
        <f t="array" aca="1" ref="D1268" ca="1">IF(INDIRECT("'"&amp;A1268&amp;"'!"&amp;B1268)="",FALSE,IF(INDIRECT("'"&amp;A1268&amp;"'!"&amp;B1268)&lt;0,TRUE,FALSE))</f>
        <v>0</v>
      </c>
      <c r="E1268" t="s">
        <v>434</v>
      </c>
      <c r="F1268" t="str">
        <f>INDEX(Lists!I:I,MATCH(Validation!E1268,Lists!G:G,0))</f>
        <v>Error</v>
      </c>
      <c r="G1268" t="str">
        <f>INDEX(Lists!H:H,MATCH(Validation!E1268,Lists!G:G,0))</f>
        <v>Amount may not be negative. Enter an amount greater than or equal to zero.</v>
      </c>
      <c r="H1268" s="25" t="str">
        <f t="shared" ca="1" si="186"/>
        <v/>
      </c>
      <c r="I1268" s="25" t="str">
        <f t="shared" ca="1" si="187"/>
        <v/>
      </c>
      <c r="J1268" s="26" t="str">
        <f t="shared" ca="1" si="188"/>
        <v/>
      </c>
    </row>
    <row r="1269" spans="1:10" x14ac:dyDescent="0.25">
      <c r="A1269" t="s">
        <v>306</v>
      </c>
      <c r="B1269" t="str">
        <f>ADDRESS(ROW('Bond 1'!$B$26),COLUMN('Bond 1'!$B$26),4)</f>
        <v>B26</v>
      </c>
      <c r="C1269" t="str">
        <f>ADDRESS(ROW('Bond 1'!$D$26),COLUMN('Bond 1'!$D$26),4)</f>
        <v>D26</v>
      </c>
      <c r="D1269" t="b" cm="1">
        <f t="array" aca="1" ref="D1269" ca="1">IF(INDIRECT("'"&amp;A1269&amp;"'!"&amp;B1269)="",FALSE,IF(INDIRECT("'"&amp;A1269&amp;"'!"&amp;B1269)&lt;0,TRUE,FALSE))</f>
        <v>0</v>
      </c>
      <c r="E1269" t="s">
        <v>434</v>
      </c>
      <c r="F1269" t="str">
        <f>INDEX(Lists!I:I,MATCH(Validation!E1269,Lists!G:G,0))</f>
        <v>Error</v>
      </c>
      <c r="G1269" t="str">
        <f>INDEX(Lists!H:H,MATCH(Validation!E1269,Lists!G:G,0))</f>
        <v>Amount may not be negative. Enter an amount greater than or equal to zero.</v>
      </c>
      <c r="H1269" s="25" t="str">
        <f t="shared" ca="1" si="186"/>
        <v/>
      </c>
      <c r="I1269" s="25" t="str">
        <f t="shared" ca="1" si="187"/>
        <v/>
      </c>
      <c r="J1269" s="26" t="str">
        <f t="shared" ca="1" si="188"/>
        <v/>
      </c>
    </row>
    <row r="1270" spans="1:10" x14ac:dyDescent="0.25">
      <c r="A1270" t="s">
        <v>307</v>
      </c>
      <c r="B1270" t="str">
        <f>ADDRESS(ROW('Bond 1'!$B$26),COLUMN('Bond 1'!$B$26),4)</f>
        <v>B26</v>
      </c>
      <c r="C1270" t="str">
        <f>ADDRESS(ROW('Bond 1'!$D$26),COLUMN('Bond 1'!$D$26),4)</f>
        <v>D26</v>
      </c>
      <c r="D1270" t="b" cm="1">
        <f t="array" aca="1" ref="D1270" ca="1">IF(INDIRECT("'"&amp;A1270&amp;"'!"&amp;B1270)="",FALSE,IF(INDIRECT("'"&amp;A1270&amp;"'!"&amp;B1270)&lt;0,TRUE,FALSE))</f>
        <v>0</v>
      </c>
      <c r="E1270" t="s">
        <v>434</v>
      </c>
      <c r="F1270" t="str">
        <f>INDEX(Lists!I:I,MATCH(Validation!E1270,Lists!G:G,0))</f>
        <v>Error</v>
      </c>
      <c r="G1270" t="str">
        <f>INDEX(Lists!H:H,MATCH(Validation!E1270,Lists!G:G,0))</f>
        <v>Amount may not be negative. Enter an amount greater than or equal to zero.</v>
      </c>
      <c r="H1270" s="25" t="str">
        <f t="shared" ca="1" si="186"/>
        <v/>
      </c>
      <c r="I1270" s="25" t="str">
        <f t="shared" ca="1" si="187"/>
        <v/>
      </c>
      <c r="J1270" s="26" t="str">
        <f t="shared" ca="1" si="188"/>
        <v/>
      </c>
    </row>
    <row r="1271" spans="1:10" x14ac:dyDescent="0.25">
      <c r="A1271" t="s">
        <v>308</v>
      </c>
      <c r="B1271" t="str">
        <f>ADDRESS(ROW('Bond 1'!$B$26),COLUMN('Bond 1'!$B$26),4)</f>
        <v>B26</v>
      </c>
      <c r="C1271" t="str">
        <f>ADDRESS(ROW('Bond 1'!$D$26),COLUMN('Bond 1'!$D$26),4)</f>
        <v>D26</v>
      </c>
      <c r="D1271" t="b" cm="1">
        <f t="array" aca="1" ref="D1271" ca="1">IF(INDIRECT("'"&amp;A1271&amp;"'!"&amp;B1271)="",FALSE,IF(INDIRECT("'"&amp;A1271&amp;"'!"&amp;B1271)&lt;0,TRUE,FALSE))</f>
        <v>0</v>
      </c>
      <c r="E1271" t="s">
        <v>434</v>
      </c>
      <c r="F1271" t="str">
        <f>INDEX(Lists!I:I,MATCH(Validation!E1271,Lists!G:G,0))</f>
        <v>Error</v>
      </c>
      <c r="G1271" t="str">
        <f>INDEX(Lists!H:H,MATCH(Validation!E1271,Lists!G:G,0))</f>
        <v>Amount may not be negative. Enter an amount greater than or equal to zero.</v>
      </c>
      <c r="H1271" s="25" t="str">
        <f t="shared" ca="1" si="186"/>
        <v/>
      </c>
      <c r="I1271" s="25" t="str">
        <f t="shared" ca="1" si="187"/>
        <v/>
      </c>
      <c r="J1271" s="26" t="str">
        <f t="shared" ca="1" si="188"/>
        <v/>
      </c>
    </row>
    <row r="1272" spans="1:10" x14ac:dyDescent="0.25">
      <c r="A1272" t="s">
        <v>309</v>
      </c>
      <c r="B1272" t="str">
        <f>ADDRESS(ROW('Bond 1'!$B$26),COLUMN('Bond 1'!$B$26),4)</f>
        <v>B26</v>
      </c>
      <c r="C1272" t="str">
        <f>ADDRESS(ROW('Bond 1'!$D$26),COLUMN('Bond 1'!$D$26),4)</f>
        <v>D26</v>
      </c>
      <c r="D1272" t="b" cm="1">
        <f t="array" aca="1" ref="D1272" ca="1">IF(INDIRECT("'"&amp;A1272&amp;"'!"&amp;B1272)="",FALSE,IF(INDIRECT("'"&amp;A1272&amp;"'!"&amp;B1272)&lt;0,TRUE,FALSE))</f>
        <v>0</v>
      </c>
      <c r="E1272" t="s">
        <v>434</v>
      </c>
      <c r="F1272" t="str">
        <f>INDEX(Lists!I:I,MATCH(Validation!E1272,Lists!G:G,0))</f>
        <v>Error</v>
      </c>
      <c r="G1272" t="str">
        <f>INDEX(Lists!H:H,MATCH(Validation!E1272,Lists!G:G,0))</f>
        <v>Amount may not be negative. Enter an amount greater than or equal to zero.</v>
      </c>
      <c r="H1272" s="25" t="str">
        <f t="shared" ca="1" si="186"/>
        <v/>
      </c>
      <c r="I1272" s="25" t="str">
        <f t="shared" ca="1" si="187"/>
        <v/>
      </c>
      <c r="J1272" s="26" t="str">
        <f t="shared" ca="1" si="188"/>
        <v/>
      </c>
    </row>
    <row r="1273" spans="1:10" x14ac:dyDescent="0.25">
      <c r="A1273" t="s">
        <v>310</v>
      </c>
      <c r="B1273" t="str">
        <f>ADDRESS(ROW('Bond 1'!$B$26),COLUMN('Bond 1'!$B$26),4)</f>
        <v>B26</v>
      </c>
      <c r="C1273" t="str">
        <f>ADDRESS(ROW('Bond 1'!$D$26),COLUMN('Bond 1'!$D$26),4)</f>
        <v>D26</v>
      </c>
      <c r="D1273" t="b" cm="1">
        <f t="array" aca="1" ref="D1273" ca="1">IF(INDIRECT("'"&amp;A1273&amp;"'!"&amp;B1273)="",FALSE,IF(INDIRECT("'"&amp;A1273&amp;"'!"&amp;B1273)&lt;0,TRUE,FALSE))</f>
        <v>0</v>
      </c>
      <c r="E1273" t="s">
        <v>434</v>
      </c>
      <c r="F1273" t="str">
        <f>INDEX(Lists!I:I,MATCH(Validation!E1273,Lists!G:G,0))</f>
        <v>Error</v>
      </c>
      <c r="G1273" t="str">
        <f>INDEX(Lists!H:H,MATCH(Validation!E1273,Lists!G:G,0))</f>
        <v>Amount may not be negative. Enter an amount greater than or equal to zero.</v>
      </c>
      <c r="H1273" s="25" t="str">
        <f t="shared" ref="H1273:H1336" ca="1" si="189">IFERROR(IF(OR(NOT(D1273),F1273&lt;&gt;"Error"),"",A1273&amp;CELL("address",INDIRECT(B1273))),"")</f>
        <v/>
      </c>
      <c r="I1273" s="25" t="str">
        <f t="shared" ref="I1273:I1336" ca="1" si="190">IFERROR(IF(NOT(D1273),"",A1273&amp;CELL("address",INDIRECT(C1273))),"")</f>
        <v/>
      </c>
      <c r="J1273" s="26" t="str">
        <f t="shared" ref="J1273:J1336" ca="1" si="191">IFERROR(IF(NOT(D1273),"",A1273),"")</f>
        <v/>
      </c>
    </row>
    <row r="1274" spans="1:10" x14ac:dyDescent="0.25">
      <c r="A1274" t="s">
        <v>311</v>
      </c>
      <c r="B1274" t="str">
        <f>ADDRESS(ROW('Bond 1'!$B$26),COLUMN('Bond 1'!$B$26),4)</f>
        <v>B26</v>
      </c>
      <c r="C1274" t="str">
        <f>ADDRESS(ROW('Bond 1'!$D$26),COLUMN('Bond 1'!$D$26),4)</f>
        <v>D26</v>
      </c>
      <c r="D1274" t="b" cm="1">
        <f t="array" aca="1" ref="D1274" ca="1">IF(INDIRECT("'"&amp;A1274&amp;"'!"&amp;B1274)="",FALSE,IF(INDIRECT("'"&amp;A1274&amp;"'!"&amp;B1274)&lt;0,TRUE,FALSE))</f>
        <v>0</v>
      </c>
      <c r="E1274" t="s">
        <v>434</v>
      </c>
      <c r="F1274" t="str">
        <f>INDEX(Lists!I:I,MATCH(Validation!E1274,Lists!G:G,0))</f>
        <v>Error</v>
      </c>
      <c r="G1274" t="str">
        <f>INDEX(Lists!H:H,MATCH(Validation!E1274,Lists!G:G,0))</f>
        <v>Amount may not be negative. Enter an amount greater than or equal to zero.</v>
      </c>
      <c r="H1274" s="25" t="str">
        <f t="shared" ca="1" si="189"/>
        <v/>
      </c>
      <c r="I1274" s="25" t="str">
        <f t="shared" ca="1" si="190"/>
        <v/>
      </c>
      <c r="J1274" s="26" t="str">
        <f t="shared" ca="1" si="191"/>
        <v/>
      </c>
    </row>
    <row r="1275" spans="1:10" x14ac:dyDescent="0.25">
      <c r="A1275" t="s">
        <v>312</v>
      </c>
      <c r="B1275" t="str">
        <f>ADDRESS(ROW('Bond 1'!$B$26),COLUMN('Bond 1'!$B$26),4)</f>
        <v>B26</v>
      </c>
      <c r="C1275" t="str">
        <f>ADDRESS(ROW('Bond 1'!$D$26),COLUMN('Bond 1'!$D$26),4)</f>
        <v>D26</v>
      </c>
      <c r="D1275" t="b" cm="1">
        <f t="array" aca="1" ref="D1275" ca="1">IF(INDIRECT("'"&amp;A1275&amp;"'!"&amp;B1275)="",FALSE,IF(INDIRECT("'"&amp;A1275&amp;"'!"&amp;B1275)&lt;0,TRUE,FALSE))</f>
        <v>0</v>
      </c>
      <c r="E1275" t="s">
        <v>434</v>
      </c>
      <c r="F1275" t="str">
        <f>INDEX(Lists!I:I,MATCH(Validation!E1275,Lists!G:G,0))</f>
        <v>Error</v>
      </c>
      <c r="G1275" t="str">
        <f>INDEX(Lists!H:H,MATCH(Validation!E1275,Lists!G:G,0))</f>
        <v>Amount may not be negative. Enter an amount greater than or equal to zero.</v>
      </c>
      <c r="H1275" s="25" t="str">
        <f t="shared" ca="1" si="189"/>
        <v/>
      </c>
      <c r="I1275" s="25" t="str">
        <f t="shared" ca="1" si="190"/>
        <v/>
      </c>
      <c r="J1275" s="26" t="str">
        <f t="shared" ca="1" si="191"/>
        <v/>
      </c>
    </row>
    <row r="1276" spans="1:10" x14ac:dyDescent="0.25">
      <c r="A1276" t="s">
        <v>313</v>
      </c>
      <c r="B1276" t="str">
        <f>ADDRESS(ROW('Bond 1'!$B$26),COLUMN('Bond 1'!$B$26),4)</f>
        <v>B26</v>
      </c>
      <c r="C1276" t="str">
        <f>ADDRESS(ROW('Bond 1'!$D$26),COLUMN('Bond 1'!$D$26),4)</f>
        <v>D26</v>
      </c>
      <c r="D1276" t="b" cm="1">
        <f t="array" aca="1" ref="D1276" ca="1">IF(INDIRECT("'"&amp;A1276&amp;"'!"&amp;B1276)="",FALSE,IF(INDIRECT("'"&amp;A1276&amp;"'!"&amp;B1276)&lt;0,TRUE,FALSE))</f>
        <v>0</v>
      </c>
      <c r="E1276" t="s">
        <v>434</v>
      </c>
      <c r="F1276" t="str">
        <f>INDEX(Lists!I:I,MATCH(Validation!E1276,Lists!G:G,0))</f>
        <v>Error</v>
      </c>
      <c r="G1276" t="str">
        <f>INDEX(Lists!H:H,MATCH(Validation!E1276,Lists!G:G,0))</f>
        <v>Amount may not be negative. Enter an amount greater than or equal to zero.</v>
      </c>
      <c r="H1276" s="25" t="str">
        <f t="shared" ca="1" si="189"/>
        <v/>
      </c>
      <c r="I1276" s="25" t="str">
        <f t="shared" ca="1" si="190"/>
        <v/>
      </c>
      <c r="J1276" s="26" t="str">
        <f t="shared" ca="1" si="191"/>
        <v/>
      </c>
    </row>
    <row r="1277" spans="1:10" x14ac:dyDescent="0.25">
      <c r="A1277" t="s">
        <v>314</v>
      </c>
      <c r="B1277" t="str">
        <f>ADDRESS(ROW('Bond 1'!$B$26),COLUMN('Bond 1'!$B$26),4)</f>
        <v>B26</v>
      </c>
      <c r="C1277" t="str">
        <f>ADDRESS(ROW('Bond 1'!$D$26),COLUMN('Bond 1'!$D$26),4)</f>
        <v>D26</v>
      </c>
      <c r="D1277" t="b" cm="1">
        <f t="array" aca="1" ref="D1277" ca="1">IF(INDIRECT("'"&amp;A1277&amp;"'!"&amp;B1277)="",FALSE,IF(INDIRECT("'"&amp;A1277&amp;"'!"&amp;B1277)&lt;0,TRUE,FALSE))</f>
        <v>0</v>
      </c>
      <c r="E1277" t="s">
        <v>434</v>
      </c>
      <c r="F1277" t="str">
        <f>INDEX(Lists!I:I,MATCH(Validation!E1277,Lists!G:G,0))</f>
        <v>Error</v>
      </c>
      <c r="G1277" t="str">
        <f>INDEX(Lists!H:H,MATCH(Validation!E1277,Lists!G:G,0))</f>
        <v>Amount may not be negative. Enter an amount greater than or equal to zero.</v>
      </c>
      <c r="H1277" s="25" t="str">
        <f t="shared" ca="1" si="189"/>
        <v/>
      </c>
      <c r="I1277" s="25" t="str">
        <f t="shared" ca="1" si="190"/>
        <v/>
      </c>
      <c r="J1277" s="26" t="str">
        <f t="shared" ca="1" si="191"/>
        <v/>
      </c>
    </row>
    <row r="1278" spans="1:10" x14ac:dyDescent="0.25">
      <c r="A1278" t="s">
        <v>315</v>
      </c>
      <c r="B1278" t="str">
        <f>ADDRESS(ROW('Bond 1'!$B$26),COLUMN('Bond 1'!$B$26),4)</f>
        <v>B26</v>
      </c>
      <c r="C1278" t="str">
        <f>ADDRESS(ROW('Bond 1'!$D$26),COLUMN('Bond 1'!$D$26),4)</f>
        <v>D26</v>
      </c>
      <c r="D1278" t="b" cm="1">
        <f t="array" aca="1" ref="D1278" ca="1">IF(INDIRECT("'"&amp;A1278&amp;"'!"&amp;B1278)="",FALSE,IF(INDIRECT("'"&amp;A1278&amp;"'!"&amp;B1278)&lt;0,TRUE,FALSE))</f>
        <v>0</v>
      </c>
      <c r="E1278" t="s">
        <v>434</v>
      </c>
      <c r="F1278" t="str">
        <f>INDEX(Lists!I:I,MATCH(Validation!E1278,Lists!G:G,0))</f>
        <v>Error</v>
      </c>
      <c r="G1278" t="str">
        <f>INDEX(Lists!H:H,MATCH(Validation!E1278,Lists!G:G,0))</f>
        <v>Amount may not be negative. Enter an amount greater than or equal to zero.</v>
      </c>
      <c r="H1278" s="25" t="str">
        <f t="shared" ca="1" si="189"/>
        <v/>
      </c>
      <c r="I1278" s="25" t="str">
        <f t="shared" ca="1" si="190"/>
        <v/>
      </c>
      <c r="J1278" s="26" t="str">
        <f t="shared" ca="1" si="191"/>
        <v/>
      </c>
    </row>
    <row r="1279" spans="1:10" x14ac:dyDescent="0.25">
      <c r="A1279" t="s">
        <v>198</v>
      </c>
      <c r="B1279" t="str">
        <f>ADDRESS(ROW('Bond 1'!$B$26),COLUMN('Bond 1'!$B$26),4)</f>
        <v>B26</v>
      </c>
      <c r="C1279" t="str">
        <f>ADDRESS(ROW('Bond 1'!$D$26),COLUMN('Bond 1'!$D$26),4)</f>
        <v>D26</v>
      </c>
      <c r="D1279" t="b" cm="1">
        <f t="array" aca="1" ref="D1279" ca="1">IF(INDIRECT("'"&amp;A1279&amp;"'!"&amp;B1279)="",FALSE,IF(TRUNC(INDIRECT("'"&amp;A1279&amp;"'!"&amp;B1279))=INDIRECT("'"&amp;A1279&amp;"'!"&amp;B1279),FALSE,TRUE))</f>
        <v>0</v>
      </c>
      <c r="E1279" t="s">
        <v>436</v>
      </c>
      <c r="F1279" t="str">
        <f>INDEX(Lists!I:I,MATCH(Validation!E1279,Lists!G:G,0))</f>
        <v>Error</v>
      </c>
      <c r="G1279" t="str">
        <f>INDEX(Lists!H:H,MATCH(Validation!E1279,Lists!G:G,0))</f>
        <v>Amount must be rounded to the nearest dollar.</v>
      </c>
      <c r="H1279" s="25" t="str">
        <f t="shared" ca="1" si="189"/>
        <v/>
      </c>
      <c r="I1279" s="25" t="str">
        <f t="shared" ca="1" si="190"/>
        <v/>
      </c>
      <c r="J1279" s="26" t="str">
        <f t="shared" ca="1" si="191"/>
        <v/>
      </c>
    </row>
    <row r="1280" spans="1:10" x14ac:dyDescent="0.25">
      <c r="A1280" t="s">
        <v>302</v>
      </c>
      <c r="B1280" t="str">
        <f>ADDRESS(ROW('Bond 1'!$B$26),COLUMN('Bond 1'!$B$26),4)</f>
        <v>B26</v>
      </c>
      <c r="C1280" t="str">
        <f>ADDRESS(ROW('Bond 1'!$D$26),COLUMN('Bond 1'!$D$26),4)</f>
        <v>D26</v>
      </c>
      <c r="D1280" t="b" cm="1">
        <f t="array" aca="1" ref="D1280" ca="1">IF(INDIRECT("'"&amp;A1280&amp;"'!"&amp;B1280)="",FALSE,IF(TRUNC(INDIRECT("'"&amp;A1280&amp;"'!"&amp;B1280))=INDIRECT("'"&amp;A1280&amp;"'!"&amp;B1280),FALSE,TRUE))</f>
        <v>0</v>
      </c>
      <c r="E1280" t="s">
        <v>436</v>
      </c>
      <c r="F1280" t="str">
        <f>INDEX(Lists!I:I,MATCH(Validation!E1280,Lists!G:G,0))</f>
        <v>Error</v>
      </c>
      <c r="G1280" t="str">
        <f>INDEX(Lists!H:H,MATCH(Validation!E1280,Lists!G:G,0))</f>
        <v>Amount must be rounded to the nearest dollar.</v>
      </c>
      <c r="H1280" s="25" t="str">
        <f t="shared" ca="1" si="189"/>
        <v/>
      </c>
      <c r="I1280" s="25" t="str">
        <f t="shared" ca="1" si="190"/>
        <v/>
      </c>
      <c r="J1280" s="26" t="str">
        <f t="shared" ca="1" si="191"/>
        <v/>
      </c>
    </row>
    <row r="1281" spans="1:10" x14ac:dyDescent="0.25">
      <c r="A1281" t="s">
        <v>303</v>
      </c>
      <c r="B1281" t="str">
        <f>ADDRESS(ROW('Bond 1'!$B$26),COLUMN('Bond 1'!$B$26),4)</f>
        <v>B26</v>
      </c>
      <c r="C1281" t="str">
        <f>ADDRESS(ROW('Bond 1'!$D$26),COLUMN('Bond 1'!$D$26),4)</f>
        <v>D26</v>
      </c>
      <c r="D1281" t="b" cm="1">
        <f t="array" aca="1" ref="D1281" ca="1">IF(INDIRECT("'"&amp;A1281&amp;"'!"&amp;B1281)="",FALSE,IF(TRUNC(INDIRECT("'"&amp;A1281&amp;"'!"&amp;B1281))=INDIRECT("'"&amp;A1281&amp;"'!"&amp;B1281),FALSE,TRUE))</f>
        <v>0</v>
      </c>
      <c r="E1281" t="s">
        <v>436</v>
      </c>
      <c r="F1281" t="str">
        <f>INDEX(Lists!I:I,MATCH(Validation!E1281,Lists!G:G,0))</f>
        <v>Error</v>
      </c>
      <c r="G1281" t="str">
        <f>INDEX(Lists!H:H,MATCH(Validation!E1281,Lists!G:G,0))</f>
        <v>Amount must be rounded to the nearest dollar.</v>
      </c>
      <c r="H1281" s="25" t="str">
        <f t="shared" ca="1" si="189"/>
        <v/>
      </c>
      <c r="I1281" s="25" t="str">
        <f t="shared" ca="1" si="190"/>
        <v/>
      </c>
      <c r="J1281" s="26" t="str">
        <f t="shared" ca="1" si="191"/>
        <v/>
      </c>
    </row>
    <row r="1282" spans="1:10" x14ac:dyDescent="0.25">
      <c r="A1282" t="s">
        <v>304</v>
      </c>
      <c r="B1282" t="str">
        <f>ADDRESS(ROW('Bond 1'!$B$26),COLUMN('Bond 1'!$B$26),4)</f>
        <v>B26</v>
      </c>
      <c r="C1282" t="str">
        <f>ADDRESS(ROW('Bond 1'!$D$26),COLUMN('Bond 1'!$D$26),4)</f>
        <v>D26</v>
      </c>
      <c r="D1282" t="b" cm="1">
        <f t="array" aca="1" ref="D1282" ca="1">IF(INDIRECT("'"&amp;A1282&amp;"'!"&amp;B1282)="",FALSE,IF(TRUNC(INDIRECT("'"&amp;A1282&amp;"'!"&amp;B1282))=INDIRECT("'"&amp;A1282&amp;"'!"&amp;B1282),FALSE,TRUE))</f>
        <v>0</v>
      </c>
      <c r="E1282" t="s">
        <v>436</v>
      </c>
      <c r="F1282" t="str">
        <f>INDEX(Lists!I:I,MATCH(Validation!E1282,Lists!G:G,0))</f>
        <v>Error</v>
      </c>
      <c r="G1282" t="str">
        <f>INDEX(Lists!H:H,MATCH(Validation!E1282,Lists!G:G,0))</f>
        <v>Amount must be rounded to the nearest dollar.</v>
      </c>
      <c r="H1282" s="25" t="str">
        <f t="shared" ca="1" si="189"/>
        <v/>
      </c>
      <c r="I1282" s="25" t="str">
        <f t="shared" ca="1" si="190"/>
        <v/>
      </c>
      <c r="J1282" s="26" t="str">
        <f t="shared" ca="1" si="191"/>
        <v/>
      </c>
    </row>
    <row r="1283" spans="1:10" x14ac:dyDescent="0.25">
      <c r="A1283" t="s">
        <v>305</v>
      </c>
      <c r="B1283" t="str">
        <f>ADDRESS(ROW('Bond 1'!$B$26),COLUMN('Bond 1'!$B$26),4)</f>
        <v>B26</v>
      </c>
      <c r="C1283" t="str">
        <f>ADDRESS(ROW('Bond 1'!$D$26),COLUMN('Bond 1'!$D$26),4)</f>
        <v>D26</v>
      </c>
      <c r="D1283" t="b" cm="1">
        <f t="array" aca="1" ref="D1283" ca="1">IF(INDIRECT("'"&amp;A1283&amp;"'!"&amp;B1283)="",FALSE,IF(TRUNC(INDIRECT("'"&amp;A1283&amp;"'!"&amp;B1283))=INDIRECT("'"&amp;A1283&amp;"'!"&amp;B1283),FALSE,TRUE))</f>
        <v>0</v>
      </c>
      <c r="E1283" t="s">
        <v>436</v>
      </c>
      <c r="F1283" t="str">
        <f>INDEX(Lists!I:I,MATCH(Validation!E1283,Lists!G:G,0))</f>
        <v>Error</v>
      </c>
      <c r="G1283" t="str">
        <f>INDEX(Lists!H:H,MATCH(Validation!E1283,Lists!G:G,0))</f>
        <v>Amount must be rounded to the nearest dollar.</v>
      </c>
      <c r="H1283" s="25" t="str">
        <f t="shared" ca="1" si="189"/>
        <v/>
      </c>
      <c r="I1283" s="25" t="str">
        <f t="shared" ca="1" si="190"/>
        <v/>
      </c>
      <c r="J1283" s="26" t="str">
        <f t="shared" ca="1" si="191"/>
        <v/>
      </c>
    </row>
    <row r="1284" spans="1:10" x14ac:dyDescent="0.25">
      <c r="A1284" t="s">
        <v>306</v>
      </c>
      <c r="B1284" t="str">
        <f>ADDRESS(ROW('Bond 1'!$B$26),COLUMN('Bond 1'!$B$26),4)</f>
        <v>B26</v>
      </c>
      <c r="C1284" t="str">
        <f>ADDRESS(ROW('Bond 1'!$D$26),COLUMN('Bond 1'!$D$26),4)</f>
        <v>D26</v>
      </c>
      <c r="D1284" t="b" cm="1">
        <f t="array" aca="1" ref="D1284" ca="1">IF(INDIRECT("'"&amp;A1284&amp;"'!"&amp;B1284)="",FALSE,IF(TRUNC(INDIRECT("'"&amp;A1284&amp;"'!"&amp;B1284))=INDIRECT("'"&amp;A1284&amp;"'!"&amp;B1284),FALSE,TRUE))</f>
        <v>0</v>
      </c>
      <c r="E1284" t="s">
        <v>436</v>
      </c>
      <c r="F1284" t="str">
        <f>INDEX(Lists!I:I,MATCH(Validation!E1284,Lists!G:G,0))</f>
        <v>Error</v>
      </c>
      <c r="G1284" t="str">
        <f>INDEX(Lists!H:H,MATCH(Validation!E1284,Lists!G:G,0))</f>
        <v>Amount must be rounded to the nearest dollar.</v>
      </c>
      <c r="H1284" s="25" t="str">
        <f t="shared" ca="1" si="189"/>
        <v/>
      </c>
      <c r="I1284" s="25" t="str">
        <f t="shared" ca="1" si="190"/>
        <v/>
      </c>
      <c r="J1284" s="26" t="str">
        <f t="shared" ca="1" si="191"/>
        <v/>
      </c>
    </row>
    <row r="1285" spans="1:10" x14ac:dyDescent="0.25">
      <c r="A1285" t="s">
        <v>307</v>
      </c>
      <c r="B1285" t="str">
        <f>ADDRESS(ROW('Bond 1'!$B$26),COLUMN('Bond 1'!$B$26),4)</f>
        <v>B26</v>
      </c>
      <c r="C1285" t="str">
        <f>ADDRESS(ROW('Bond 1'!$D$26),COLUMN('Bond 1'!$D$26),4)</f>
        <v>D26</v>
      </c>
      <c r="D1285" t="b" cm="1">
        <f t="array" aca="1" ref="D1285" ca="1">IF(INDIRECT("'"&amp;A1285&amp;"'!"&amp;B1285)="",FALSE,IF(TRUNC(INDIRECT("'"&amp;A1285&amp;"'!"&amp;B1285))=INDIRECT("'"&amp;A1285&amp;"'!"&amp;B1285),FALSE,TRUE))</f>
        <v>0</v>
      </c>
      <c r="E1285" t="s">
        <v>436</v>
      </c>
      <c r="F1285" t="str">
        <f>INDEX(Lists!I:I,MATCH(Validation!E1285,Lists!G:G,0))</f>
        <v>Error</v>
      </c>
      <c r="G1285" t="str">
        <f>INDEX(Lists!H:H,MATCH(Validation!E1285,Lists!G:G,0))</f>
        <v>Amount must be rounded to the nearest dollar.</v>
      </c>
      <c r="H1285" s="25" t="str">
        <f t="shared" ca="1" si="189"/>
        <v/>
      </c>
      <c r="I1285" s="25" t="str">
        <f t="shared" ca="1" si="190"/>
        <v/>
      </c>
      <c r="J1285" s="26" t="str">
        <f t="shared" ca="1" si="191"/>
        <v/>
      </c>
    </row>
    <row r="1286" spans="1:10" x14ac:dyDescent="0.25">
      <c r="A1286" t="s">
        <v>308</v>
      </c>
      <c r="B1286" t="str">
        <f>ADDRESS(ROW('Bond 1'!$B$26),COLUMN('Bond 1'!$B$26),4)</f>
        <v>B26</v>
      </c>
      <c r="C1286" t="str">
        <f>ADDRESS(ROW('Bond 1'!$D$26),COLUMN('Bond 1'!$D$26),4)</f>
        <v>D26</v>
      </c>
      <c r="D1286" t="b" cm="1">
        <f t="array" aca="1" ref="D1286" ca="1">IF(INDIRECT("'"&amp;A1286&amp;"'!"&amp;B1286)="",FALSE,IF(TRUNC(INDIRECT("'"&amp;A1286&amp;"'!"&amp;B1286))=INDIRECT("'"&amp;A1286&amp;"'!"&amp;B1286),FALSE,TRUE))</f>
        <v>0</v>
      </c>
      <c r="E1286" t="s">
        <v>436</v>
      </c>
      <c r="F1286" t="str">
        <f>INDEX(Lists!I:I,MATCH(Validation!E1286,Lists!G:G,0))</f>
        <v>Error</v>
      </c>
      <c r="G1286" t="str">
        <f>INDEX(Lists!H:H,MATCH(Validation!E1286,Lists!G:G,0))</f>
        <v>Amount must be rounded to the nearest dollar.</v>
      </c>
      <c r="H1286" s="25" t="str">
        <f t="shared" ca="1" si="189"/>
        <v/>
      </c>
      <c r="I1286" s="25" t="str">
        <f t="shared" ca="1" si="190"/>
        <v/>
      </c>
      <c r="J1286" s="26" t="str">
        <f t="shared" ca="1" si="191"/>
        <v/>
      </c>
    </row>
    <row r="1287" spans="1:10" x14ac:dyDescent="0.25">
      <c r="A1287" t="s">
        <v>309</v>
      </c>
      <c r="B1287" t="str">
        <f>ADDRESS(ROW('Bond 1'!$B$26),COLUMN('Bond 1'!$B$26),4)</f>
        <v>B26</v>
      </c>
      <c r="C1287" t="str">
        <f>ADDRESS(ROW('Bond 1'!$D$26),COLUMN('Bond 1'!$D$26),4)</f>
        <v>D26</v>
      </c>
      <c r="D1287" t="b" cm="1">
        <f t="array" aca="1" ref="D1287" ca="1">IF(INDIRECT("'"&amp;A1287&amp;"'!"&amp;B1287)="",FALSE,IF(TRUNC(INDIRECT("'"&amp;A1287&amp;"'!"&amp;B1287))=INDIRECT("'"&amp;A1287&amp;"'!"&amp;B1287),FALSE,TRUE))</f>
        <v>0</v>
      </c>
      <c r="E1287" t="s">
        <v>436</v>
      </c>
      <c r="F1287" t="str">
        <f>INDEX(Lists!I:I,MATCH(Validation!E1287,Lists!G:G,0))</f>
        <v>Error</v>
      </c>
      <c r="G1287" t="str">
        <f>INDEX(Lists!H:H,MATCH(Validation!E1287,Lists!G:G,0))</f>
        <v>Amount must be rounded to the nearest dollar.</v>
      </c>
      <c r="H1287" s="25" t="str">
        <f t="shared" ca="1" si="189"/>
        <v/>
      </c>
      <c r="I1287" s="25" t="str">
        <f t="shared" ca="1" si="190"/>
        <v/>
      </c>
      <c r="J1287" s="26" t="str">
        <f t="shared" ca="1" si="191"/>
        <v/>
      </c>
    </row>
    <row r="1288" spans="1:10" x14ac:dyDescent="0.25">
      <c r="A1288" t="s">
        <v>310</v>
      </c>
      <c r="B1288" t="str">
        <f>ADDRESS(ROW('Bond 1'!$B$26),COLUMN('Bond 1'!$B$26),4)</f>
        <v>B26</v>
      </c>
      <c r="C1288" t="str">
        <f>ADDRESS(ROW('Bond 1'!$D$26),COLUMN('Bond 1'!$D$26),4)</f>
        <v>D26</v>
      </c>
      <c r="D1288" t="b" cm="1">
        <f t="array" aca="1" ref="D1288" ca="1">IF(INDIRECT("'"&amp;A1288&amp;"'!"&amp;B1288)="",FALSE,IF(TRUNC(INDIRECT("'"&amp;A1288&amp;"'!"&amp;B1288))=INDIRECT("'"&amp;A1288&amp;"'!"&amp;B1288),FALSE,TRUE))</f>
        <v>0</v>
      </c>
      <c r="E1288" t="s">
        <v>436</v>
      </c>
      <c r="F1288" t="str">
        <f>INDEX(Lists!I:I,MATCH(Validation!E1288,Lists!G:G,0))</f>
        <v>Error</v>
      </c>
      <c r="G1288" t="str">
        <f>INDEX(Lists!H:H,MATCH(Validation!E1288,Lists!G:G,0))</f>
        <v>Amount must be rounded to the nearest dollar.</v>
      </c>
      <c r="H1288" s="25" t="str">
        <f t="shared" ca="1" si="189"/>
        <v/>
      </c>
      <c r="I1288" s="25" t="str">
        <f t="shared" ca="1" si="190"/>
        <v/>
      </c>
      <c r="J1288" s="26" t="str">
        <f t="shared" ca="1" si="191"/>
        <v/>
      </c>
    </row>
    <row r="1289" spans="1:10" x14ac:dyDescent="0.25">
      <c r="A1289" t="s">
        <v>311</v>
      </c>
      <c r="B1289" t="str">
        <f>ADDRESS(ROW('Bond 1'!$B$26),COLUMN('Bond 1'!$B$26),4)</f>
        <v>B26</v>
      </c>
      <c r="C1289" t="str">
        <f>ADDRESS(ROW('Bond 1'!$D$26),COLUMN('Bond 1'!$D$26),4)</f>
        <v>D26</v>
      </c>
      <c r="D1289" t="b" cm="1">
        <f t="array" aca="1" ref="D1289" ca="1">IF(INDIRECT("'"&amp;A1289&amp;"'!"&amp;B1289)="",FALSE,IF(TRUNC(INDIRECT("'"&amp;A1289&amp;"'!"&amp;B1289))=INDIRECT("'"&amp;A1289&amp;"'!"&amp;B1289),FALSE,TRUE))</f>
        <v>0</v>
      </c>
      <c r="E1289" t="s">
        <v>436</v>
      </c>
      <c r="F1289" t="str">
        <f>INDEX(Lists!I:I,MATCH(Validation!E1289,Lists!G:G,0))</f>
        <v>Error</v>
      </c>
      <c r="G1289" t="str">
        <f>INDEX(Lists!H:H,MATCH(Validation!E1289,Lists!G:G,0))</f>
        <v>Amount must be rounded to the nearest dollar.</v>
      </c>
      <c r="H1289" s="25" t="str">
        <f t="shared" ca="1" si="189"/>
        <v/>
      </c>
      <c r="I1289" s="25" t="str">
        <f t="shared" ca="1" si="190"/>
        <v/>
      </c>
      <c r="J1289" s="26" t="str">
        <f t="shared" ca="1" si="191"/>
        <v/>
      </c>
    </row>
    <row r="1290" spans="1:10" x14ac:dyDescent="0.25">
      <c r="A1290" t="s">
        <v>312</v>
      </c>
      <c r="B1290" t="str">
        <f>ADDRESS(ROW('Bond 1'!$B$26),COLUMN('Bond 1'!$B$26),4)</f>
        <v>B26</v>
      </c>
      <c r="C1290" t="str">
        <f>ADDRESS(ROW('Bond 1'!$D$26),COLUMN('Bond 1'!$D$26),4)</f>
        <v>D26</v>
      </c>
      <c r="D1290" t="b" cm="1">
        <f t="array" aca="1" ref="D1290" ca="1">IF(INDIRECT("'"&amp;A1290&amp;"'!"&amp;B1290)="",FALSE,IF(TRUNC(INDIRECT("'"&amp;A1290&amp;"'!"&amp;B1290))=INDIRECT("'"&amp;A1290&amp;"'!"&amp;B1290),FALSE,TRUE))</f>
        <v>0</v>
      </c>
      <c r="E1290" t="s">
        <v>436</v>
      </c>
      <c r="F1290" t="str">
        <f>INDEX(Lists!I:I,MATCH(Validation!E1290,Lists!G:G,0))</f>
        <v>Error</v>
      </c>
      <c r="G1290" t="str">
        <f>INDEX(Lists!H:H,MATCH(Validation!E1290,Lists!G:G,0))</f>
        <v>Amount must be rounded to the nearest dollar.</v>
      </c>
      <c r="H1290" s="25" t="str">
        <f t="shared" ca="1" si="189"/>
        <v/>
      </c>
      <c r="I1290" s="25" t="str">
        <f t="shared" ca="1" si="190"/>
        <v/>
      </c>
      <c r="J1290" s="26" t="str">
        <f t="shared" ca="1" si="191"/>
        <v/>
      </c>
    </row>
    <row r="1291" spans="1:10" x14ac:dyDescent="0.25">
      <c r="A1291" t="s">
        <v>313</v>
      </c>
      <c r="B1291" t="str">
        <f>ADDRESS(ROW('Bond 1'!$B$26),COLUMN('Bond 1'!$B$26),4)</f>
        <v>B26</v>
      </c>
      <c r="C1291" t="str">
        <f>ADDRESS(ROW('Bond 1'!$D$26),COLUMN('Bond 1'!$D$26),4)</f>
        <v>D26</v>
      </c>
      <c r="D1291" t="b" cm="1">
        <f t="array" aca="1" ref="D1291" ca="1">IF(INDIRECT("'"&amp;A1291&amp;"'!"&amp;B1291)="",FALSE,IF(TRUNC(INDIRECT("'"&amp;A1291&amp;"'!"&amp;B1291))=INDIRECT("'"&amp;A1291&amp;"'!"&amp;B1291),FALSE,TRUE))</f>
        <v>0</v>
      </c>
      <c r="E1291" t="s">
        <v>436</v>
      </c>
      <c r="F1291" t="str">
        <f>INDEX(Lists!I:I,MATCH(Validation!E1291,Lists!G:G,0))</f>
        <v>Error</v>
      </c>
      <c r="G1291" t="str">
        <f>INDEX(Lists!H:H,MATCH(Validation!E1291,Lists!G:G,0))</f>
        <v>Amount must be rounded to the nearest dollar.</v>
      </c>
      <c r="H1291" s="25" t="str">
        <f t="shared" ca="1" si="189"/>
        <v/>
      </c>
      <c r="I1291" s="25" t="str">
        <f t="shared" ca="1" si="190"/>
        <v/>
      </c>
      <c r="J1291" s="26" t="str">
        <f t="shared" ca="1" si="191"/>
        <v/>
      </c>
    </row>
    <row r="1292" spans="1:10" x14ac:dyDescent="0.25">
      <c r="A1292" t="s">
        <v>314</v>
      </c>
      <c r="B1292" t="str">
        <f>ADDRESS(ROW('Bond 1'!$B$26),COLUMN('Bond 1'!$B$26),4)</f>
        <v>B26</v>
      </c>
      <c r="C1292" t="str">
        <f>ADDRESS(ROW('Bond 1'!$D$26),COLUMN('Bond 1'!$D$26),4)</f>
        <v>D26</v>
      </c>
      <c r="D1292" t="b" cm="1">
        <f t="array" aca="1" ref="D1292" ca="1">IF(INDIRECT("'"&amp;A1292&amp;"'!"&amp;B1292)="",FALSE,IF(TRUNC(INDIRECT("'"&amp;A1292&amp;"'!"&amp;B1292))=INDIRECT("'"&amp;A1292&amp;"'!"&amp;B1292),FALSE,TRUE))</f>
        <v>0</v>
      </c>
      <c r="E1292" t="s">
        <v>436</v>
      </c>
      <c r="F1292" t="str">
        <f>INDEX(Lists!I:I,MATCH(Validation!E1292,Lists!G:G,0))</f>
        <v>Error</v>
      </c>
      <c r="G1292" t="str">
        <f>INDEX(Lists!H:H,MATCH(Validation!E1292,Lists!G:G,0))</f>
        <v>Amount must be rounded to the nearest dollar.</v>
      </c>
      <c r="H1292" s="25" t="str">
        <f t="shared" ca="1" si="189"/>
        <v/>
      </c>
      <c r="I1292" s="25" t="str">
        <f t="shared" ca="1" si="190"/>
        <v/>
      </c>
      <c r="J1292" s="26" t="str">
        <f t="shared" ca="1" si="191"/>
        <v/>
      </c>
    </row>
    <row r="1293" spans="1:10" x14ac:dyDescent="0.25">
      <c r="A1293" t="s">
        <v>315</v>
      </c>
      <c r="B1293" t="str">
        <f>ADDRESS(ROW('Bond 1'!$B$26),COLUMN('Bond 1'!$B$26),4)</f>
        <v>B26</v>
      </c>
      <c r="C1293" t="str">
        <f>ADDRESS(ROW('Bond 1'!$D$26),COLUMN('Bond 1'!$D$26),4)</f>
        <v>D26</v>
      </c>
      <c r="D1293" t="b" cm="1">
        <f t="array" aca="1" ref="D1293" ca="1">IF(INDIRECT("'"&amp;A1293&amp;"'!"&amp;B1293)="",FALSE,IF(TRUNC(INDIRECT("'"&amp;A1293&amp;"'!"&amp;B1293))=INDIRECT("'"&amp;A1293&amp;"'!"&amp;B1293),FALSE,TRUE))</f>
        <v>0</v>
      </c>
      <c r="E1293" t="s">
        <v>436</v>
      </c>
      <c r="F1293" t="str">
        <f>INDEX(Lists!I:I,MATCH(Validation!E1293,Lists!G:G,0))</f>
        <v>Error</v>
      </c>
      <c r="G1293" t="str">
        <f>INDEX(Lists!H:H,MATCH(Validation!E1293,Lists!G:G,0))</f>
        <v>Amount must be rounded to the nearest dollar.</v>
      </c>
      <c r="H1293" s="25" t="str">
        <f t="shared" ca="1" si="189"/>
        <v/>
      </c>
      <c r="I1293" s="25" t="str">
        <f t="shared" ca="1" si="190"/>
        <v/>
      </c>
      <c r="J1293" s="26" t="str">
        <f t="shared" ca="1" si="191"/>
        <v/>
      </c>
    </row>
    <row r="1294" spans="1:10" x14ac:dyDescent="0.25">
      <c r="A1294" t="s">
        <v>198</v>
      </c>
      <c r="B1294" t="str">
        <f>ADDRESS(ROW('Bond 1'!$B$26),COLUMN('Bond 1'!$B$26),4)</f>
        <v>B26</v>
      </c>
      <c r="C1294" t="str">
        <f>ADDRESS(ROW('Bond 1'!$D$26),COLUMN('Bond 1'!$D$26),4)</f>
        <v>D26</v>
      </c>
      <c r="D1294" t="b" cm="1">
        <f t="array" aca="1" ref="D1294" ca="1">IF(AND(NOT(ISBLANK('Bond Input'!C$27)),INDIRECT("'"&amp;A1294&amp;"'!"&amp;B1294)&lt;&gt;'Bond Input'!C$27),TRUE,FALSE)</f>
        <v>0</v>
      </c>
      <c r="E1294" t="s">
        <v>634</v>
      </c>
      <c r="F1294" t="str">
        <f>INDEX(Lists!I:I,MATCH(Validation!E1294,Lists!G:G,0))</f>
        <v>Alert</v>
      </c>
      <c r="G1294" t="str">
        <f>INDEX(Lists!H:H,MATCH(Validation!E1294,Lists!G:G,0))</f>
        <v>You have changed previously reported data. Explain in the comments box.</v>
      </c>
      <c r="H1294" s="25" t="str">
        <f t="shared" ca="1" si="189"/>
        <v/>
      </c>
      <c r="I1294" s="25" t="str">
        <f t="shared" ca="1" si="190"/>
        <v/>
      </c>
      <c r="J1294" s="26" t="str">
        <f t="shared" ca="1" si="191"/>
        <v/>
      </c>
    </row>
    <row r="1295" spans="1:10" x14ac:dyDescent="0.25">
      <c r="A1295" t="s">
        <v>302</v>
      </c>
      <c r="B1295" t="str">
        <f>ADDRESS(ROW('Bond 1'!$B$26),COLUMN('Bond 1'!$B$26),4)</f>
        <v>B26</v>
      </c>
      <c r="C1295" t="str">
        <f>ADDRESS(ROW('Bond 1'!$D$26),COLUMN('Bond 1'!$D$26),4)</f>
        <v>D26</v>
      </c>
      <c r="D1295" t="b" cm="1">
        <f t="array" aca="1" ref="D1295" ca="1">IF(AND(NOT(ISBLANK('Bond Input'!D$27)),INDIRECT("'"&amp;A1295&amp;"'!"&amp;B1295)&lt;&gt;'Bond Input'!D$27),TRUE,FALSE)</f>
        <v>0</v>
      </c>
      <c r="E1295" t="s">
        <v>634</v>
      </c>
      <c r="F1295" t="str">
        <f>INDEX(Lists!I:I,MATCH(Validation!E1295,Lists!G:G,0))</f>
        <v>Alert</v>
      </c>
      <c r="G1295" t="str">
        <f>INDEX(Lists!H:H,MATCH(Validation!E1295,Lists!G:G,0))</f>
        <v>You have changed previously reported data. Explain in the comments box.</v>
      </c>
      <c r="H1295" s="25" t="str">
        <f t="shared" ca="1" si="189"/>
        <v/>
      </c>
      <c r="I1295" s="25" t="str">
        <f t="shared" ca="1" si="190"/>
        <v/>
      </c>
      <c r="J1295" s="26" t="str">
        <f t="shared" ca="1" si="191"/>
        <v/>
      </c>
    </row>
    <row r="1296" spans="1:10" x14ac:dyDescent="0.25">
      <c r="A1296" t="s">
        <v>303</v>
      </c>
      <c r="B1296" t="str">
        <f>ADDRESS(ROW('Bond 1'!$B$26),COLUMN('Bond 1'!$B$26),4)</f>
        <v>B26</v>
      </c>
      <c r="C1296" t="str">
        <f>ADDRESS(ROW('Bond 1'!$D$26),COLUMN('Bond 1'!$D$26),4)</f>
        <v>D26</v>
      </c>
      <c r="D1296" t="b" cm="1">
        <f t="array" aca="1" ref="D1296" ca="1">IF(AND(NOT(ISBLANK('Bond Input'!E$27)),INDIRECT("'"&amp;A1296&amp;"'!"&amp;B1296)&lt;&gt;'Bond Input'!E$27),TRUE,FALSE)</f>
        <v>0</v>
      </c>
      <c r="E1296" t="s">
        <v>634</v>
      </c>
      <c r="F1296" t="str">
        <f>INDEX(Lists!I:I,MATCH(Validation!E1296,Lists!G:G,0))</f>
        <v>Alert</v>
      </c>
      <c r="G1296" t="str">
        <f>INDEX(Lists!H:H,MATCH(Validation!E1296,Lists!G:G,0))</f>
        <v>You have changed previously reported data. Explain in the comments box.</v>
      </c>
      <c r="H1296" s="25" t="str">
        <f t="shared" ca="1" si="189"/>
        <v/>
      </c>
      <c r="I1296" s="25" t="str">
        <f t="shared" ca="1" si="190"/>
        <v/>
      </c>
      <c r="J1296" s="26" t="str">
        <f t="shared" ca="1" si="191"/>
        <v/>
      </c>
    </row>
    <row r="1297" spans="1:10" x14ac:dyDescent="0.25">
      <c r="A1297" t="s">
        <v>304</v>
      </c>
      <c r="B1297" t="str">
        <f>ADDRESS(ROW('Bond 1'!$B$26),COLUMN('Bond 1'!$B$26),4)</f>
        <v>B26</v>
      </c>
      <c r="C1297" t="str">
        <f>ADDRESS(ROW('Bond 1'!$D$26),COLUMN('Bond 1'!$D$26),4)</f>
        <v>D26</v>
      </c>
      <c r="D1297" t="b" cm="1">
        <f t="array" aca="1" ref="D1297" ca="1">IF(AND(NOT(ISBLANK('Bond Input'!F$27)),INDIRECT("'"&amp;A1297&amp;"'!"&amp;B1297)&lt;&gt;'Bond Input'!F$27),TRUE,FALSE)</f>
        <v>0</v>
      </c>
      <c r="E1297" t="s">
        <v>634</v>
      </c>
      <c r="F1297" t="str">
        <f>INDEX(Lists!I:I,MATCH(Validation!E1297,Lists!G:G,0))</f>
        <v>Alert</v>
      </c>
      <c r="G1297" t="str">
        <f>INDEX(Lists!H:H,MATCH(Validation!E1297,Lists!G:G,0))</f>
        <v>You have changed previously reported data. Explain in the comments box.</v>
      </c>
      <c r="H1297" s="25" t="str">
        <f t="shared" ca="1" si="189"/>
        <v/>
      </c>
      <c r="I1297" s="25" t="str">
        <f t="shared" ca="1" si="190"/>
        <v/>
      </c>
      <c r="J1297" s="26" t="str">
        <f t="shared" ca="1" si="191"/>
        <v/>
      </c>
    </row>
    <row r="1298" spans="1:10" x14ac:dyDescent="0.25">
      <c r="A1298" t="s">
        <v>305</v>
      </c>
      <c r="B1298" t="str">
        <f>ADDRESS(ROW('Bond 1'!$B$26),COLUMN('Bond 1'!$B$26),4)</f>
        <v>B26</v>
      </c>
      <c r="C1298" t="str">
        <f>ADDRESS(ROW('Bond 1'!$D$26),COLUMN('Bond 1'!$D$26),4)</f>
        <v>D26</v>
      </c>
      <c r="D1298" t="b" cm="1">
        <f t="array" aca="1" ref="D1298" ca="1">IF(AND(NOT(ISBLANK('Bond Input'!G$27)),INDIRECT("'"&amp;A1298&amp;"'!"&amp;B1298)&lt;&gt;'Bond Input'!G$27),TRUE,FALSE)</f>
        <v>0</v>
      </c>
      <c r="E1298" t="s">
        <v>634</v>
      </c>
      <c r="F1298" t="str">
        <f>INDEX(Lists!I:I,MATCH(Validation!E1298,Lists!G:G,0))</f>
        <v>Alert</v>
      </c>
      <c r="G1298" t="str">
        <f>INDEX(Lists!H:H,MATCH(Validation!E1298,Lists!G:G,0))</f>
        <v>You have changed previously reported data. Explain in the comments box.</v>
      </c>
      <c r="H1298" s="25" t="str">
        <f t="shared" ca="1" si="189"/>
        <v/>
      </c>
      <c r="I1298" s="25" t="str">
        <f t="shared" ca="1" si="190"/>
        <v/>
      </c>
      <c r="J1298" s="26" t="str">
        <f t="shared" ca="1" si="191"/>
        <v/>
      </c>
    </row>
    <row r="1299" spans="1:10" x14ac:dyDescent="0.25">
      <c r="A1299" t="s">
        <v>306</v>
      </c>
      <c r="B1299" t="str">
        <f>ADDRESS(ROW('Bond 1'!$B$26),COLUMN('Bond 1'!$B$26),4)</f>
        <v>B26</v>
      </c>
      <c r="C1299" t="str">
        <f>ADDRESS(ROW('Bond 1'!$D$26),COLUMN('Bond 1'!$D$26),4)</f>
        <v>D26</v>
      </c>
      <c r="D1299" t="b" cm="1">
        <f t="array" aca="1" ref="D1299" ca="1">IF(AND(NOT(ISBLANK('Bond Input'!H$27)),INDIRECT("'"&amp;A1299&amp;"'!"&amp;B1299)&lt;&gt;'Bond Input'!H$27),TRUE,FALSE)</f>
        <v>0</v>
      </c>
      <c r="E1299" t="s">
        <v>634</v>
      </c>
      <c r="F1299" t="str">
        <f>INDEX(Lists!I:I,MATCH(Validation!E1299,Lists!G:G,0))</f>
        <v>Alert</v>
      </c>
      <c r="G1299" t="str">
        <f>INDEX(Lists!H:H,MATCH(Validation!E1299,Lists!G:G,0))</f>
        <v>You have changed previously reported data. Explain in the comments box.</v>
      </c>
      <c r="H1299" s="25" t="str">
        <f t="shared" ca="1" si="189"/>
        <v/>
      </c>
      <c r="I1299" s="25" t="str">
        <f t="shared" ca="1" si="190"/>
        <v/>
      </c>
      <c r="J1299" s="26" t="str">
        <f t="shared" ca="1" si="191"/>
        <v/>
      </c>
    </row>
    <row r="1300" spans="1:10" x14ac:dyDescent="0.25">
      <c r="A1300" t="s">
        <v>307</v>
      </c>
      <c r="B1300" t="str">
        <f>ADDRESS(ROW('Bond 1'!$B$26),COLUMN('Bond 1'!$B$26),4)</f>
        <v>B26</v>
      </c>
      <c r="C1300" t="str">
        <f>ADDRESS(ROW('Bond 1'!$D$26),COLUMN('Bond 1'!$D$26),4)</f>
        <v>D26</v>
      </c>
      <c r="D1300" t="b" cm="1">
        <f t="array" aca="1" ref="D1300" ca="1">IF(AND(NOT(ISBLANK('Bond Input'!I$27)),INDIRECT("'"&amp;A1300&amp;"'!"&amp;B1300)&lt;&gt;'Bond Input'!I$27),TRUE,FALSE)</f>
        <v>0</v>
      </c>
      <c r="E1300" t="s">
        <v>634</v>
      </c>
      <c r="F1300" t="str">
        <f>INDEX(Lists!I:I,MATCH(Validation!E1300,Lists!G:G,0))</f>
        <v>Alert</v>
      </c>
      <c r="G1300" t="str">
        <f>INDEX(Lists!H:H,MATCH(Validation!E1300,Lists!G:G,0))</f>
        <v>You have changed previously reported data. Explain in the comments box.</v>
      </c>
      <c r="H1300" s="25" t="str">
        <f t="shared" ca="1" si="189"/>
        <v/>
      </c>
      <c r="I1300" s="25" t="str">
        <f t="shared" ca="1" si="190"/>
        <v/>
      </c>
      <c r="J1300" s="26" t="str">
        <f t="shared" ca="1" si="191"/>
        <v/>
      </c>
    </row>
    <row r="1301" spans="1:10" x14ac:dyDescent="0.25">
      <c r="A1301" t="s">
        <v>308</v>
      </c>
      <c r="B1301" t="str">
        <f>ADDRESS(ROW('Bond 1'!$B$26),COLUMN('Bond 1'!$B$26),4)</f>
        <v>B26</v>
      </c>
      <c r="C1301" t="str">
        <f>ADDRESS(ROW('Bond 1'!$D$26),COLUMN('Bond 1'!$D$26),4)</f>
        <v>D26</v>
      </c>
      <c r="D1301" t="b" cm="1">
        <f t="array" aca="1" ref="D1301" ca="1">IF(AND(NOT(ISBLANK('Bond Input'!J$27)),INDIRECT("'"&amp;A1301&amp;"'!"&amp;B1301)&lt;&gt;'Bond Input'!J$27),TRUE,FALSE)</f>
        <v>0</v>
      </c>
      <c r="E1301" t="s">
        <v>634</v>
      </c>
      <c r="F1301" t="str">
        <f>INDEX(Lists!I:I,MATCH(Validation!E1301,Lists!G:G,0))</f>
        <v>Alert</v>
      </c>
      <c r="G1301" t="str">
        <f>INDEX(Lists!H:H,MATCH(Validation!E1301,Lists!G:G,0))</f>
        <v>You have changed previously reported data. Explain in the comments box.</v>
      </c>
      <c r="H1301" s="25" t="str">
        <f t="shared" ca="1" si="189"/>
        <v/>
      </c>
      <c r="I1301" s="25" t="str">
        <f t="shared" ca="1" si="190"/>
        <v/>
      </c>
      <c r="J1301" s="26" t="str">
        <f t="shared" ca="1" si="191"/>
        <v/>
      </c>
    </row>
    <row r="1302" spans="1:10" x14ac:dyDescent="0.25">
      <c r="A1302" t="s">
        <v>309</v>
      </c>
      <c r="B1302" t="str">
        <f>ADDRESS(ROW('Bond 1'!$B$26),COLUMN('Bond 1'!$B$26),4)</f>
        <v>B26</v>
      </c>
      <c r="C1302" t="str">
        <f>ADDRESS(ROW('Bond 1'!$D$26),COLUMN('Bond 1'!$D$26),4)</f>
        <v>D26</v>
      </c>
      <c r="D1302" t="b" cm="1">
        <f t="array" aca="1" ref="D1302" ca="1">IF(AND(NOT(ISBLANK('Bond Input'!K$27)),INDIRECT("'"&amp;A1302&amp;"'!"&amp;B1302)&lt;&gt;'Bond Input'!K$27),TRUE,FALSE)</f>
        <v>0</v>
      </c>
      <c r="E1302" t="s">
        <v>634</v>
      </c>
      <c r="F1302" t="str">
        <f>INDEX(Lists!I:I,MATCH(Validation!E1302,Lists!G:G,0))</f>
        <v>Alert</v>
      </c>
      <c r="G1302" t="str">
        <f>INDEX(Lists!H:H,MATCH(Validation!E1302,Lists!G:G,0))</f>
        <v>You have changed previously reported data. Explain in the comments box.</v>
      </c>
      <c r="H1302" s="25" t="str">
        <f t="shared" ca="1" si="189"/>
        <v/>
      </c>
      <c r="I1302" s="25" t="str">
        <f t="shared" ca="1" si="190"/>
        <v/>
      </c>
      <c r="J1302" s="26" t="str">
        <f t="shared" ca="1" si="191"/>
        <v/>
      </c>
    </row>
    <row r="1303" spans="1:10" x14ac:dyDescent="0.25">
      <c r="A1303" t="s">
        <v>310</v>
      </c>
      <c r="B1303" t="str">
        <f>ADDRESS(ROW('Bond 1'!$B$26),COLUMN('Bond 1'!$B$26),4)</f>
        <v>B26</v>
      </c>
      <c r="C1303" t="str">
        <f>ADDRESS(ROW('Bond 1'!$D$26),COLUMN('Bond 1'!$D$26),4)</f>
        <v>D26</v>
      </c>
      <c r="D1303" t="b" cm="1">
        <f t="array" aca="1" ref="D1303" ca="1">IF(AND(NOT(ISBLANK('Bond Input'!L$27)),INDIRECT("'"&amp;A1303&amp;"'!"&amp;B1303)&lt;&gt;'Bond Input'!L$27),TRUE,FALSE)</f>
        <v>0</v>
      </c>
      <c r="E1303" t="s">
        <v>634</v>
      </c>
      <c r="F1303" t="str">
        <f>INDEX(Lists!I:I,MATCH(Validation!E1303,Lists!G:G,0))</f>
        <v>Alert</v>
      </c>
      <c r="G1303" t="str">
        <f>INDEX(Lists!H:H,MATCH(Validation!E1303,Lists!G:G,0))</f>
        <v>You have changed previously reported data. Explain in the comments box.</v>
      </c>
      <c r="H1303" s="25" t="str">
        <f t="shared" ca="1" si="189"/>
        <v/>
      </c>
      <c r="I1303" s="25" t="str">
        <f t="shared" ca="1" si="190"/>
        <v/>
      </c>
      <c r="J1303" s="26" t="str">
        <f t="shared" ca="1" si="191"/>
        <v/>
      </c>
    </row>
    <row r="1304" spans="1:10" x14ac:dyDescent="0.25">
      <c r="A1304" t="s">
        <v>311</v>
      </c>
      <c r="B1304" t="str">
        <f>ADDRESS(ROW('Bond 1'!$B$26),COLUMN('Bond 1'!$B$26),4)</f>
        <v>B26</v>
      </c>
      <c r="C1304" t="str">
        <f>ADDRESS(ROW('Bond 1'!$D$26),COLUMN('Bond 1'!$D$26),4)</f>
        <v>D26</v>
      </c>
      <c r="D1304" t="b" cm="1">
        <f t="array" aca="1" ref="D1304" ca="1">IF(AND(NOT(ISBLANK('Bond Input'!M$27)),INDIRECT("'"&amp;A1304&amp;"'!"&amp;B1304)&lt;&gt;'Bond Input'!M$27),TRUE,FALSE)</f>
        <v>0</v>
      </c>
      <c r="E1304" t="s">
        <v>634</v>
      </c>
      <c r="F1304" t="str">
        <f>INDEX(Lists!I:I,MATCH(Validation!E1304,Lists!G:G,0))</f>
        <v>Alert</v>
      </c>
      <c r="G1304" t="str">
        <f>INDEX(Lists!H:H,MATCH(Validation!E1304,Lists!G:G,0))</f>
        <v>You have changed previously reported data. Explain in the comments box.</v>
      </c>
      <c r="H1304" s="25" t="str">
        <f t="shared" ca="1" si="189"/>
        <v/>
      </c>
      <c r="I1304" s="25" t="str">
        <f t="shared" ca="1" si="190"/>
        <v/>
      </c>
      <c r="J1304" s="26" t="str">
        <f t="shared" ca="1" si="191"/>
        <v/>
      </c>
    </row>
    <row r="1305" spans="1:10" x14ac:dyDescent="0.25">
      <c r="A1305" t="s">
        <v>312</v>
      </c>
      <c r="B1305" t="str">
        <f>ADDRESS(ROW('Bond 1'!$B$26),COLUMN('Bond 1'!$B$26),4)</f>
        <v>B26</v>
      </c>
      <c r="C1305" t="str">
        <f>ADDRESS(ROW('Bond 1'!$D$26),COLUMN('Bond 1'!$D$26),4)</f>
        <v>D26</v>
      </c>
      <c r="D1305" t="b" cm="1">
        <f t="array" aca="1" ref="D1305" ca="1">IF(AND(NOT(ISBLANK('Bond Input'!N$27)),INDIRECT("'"&amp;A1305&amp;"'!"&amp;B1305)&lt;&gt;'Bond Input'!N$27),TRUE,FALSE)</f>
        <v>0</v>
      </c>
      <c r="E1305" t="s">
        <v>634</v>
      </c>
      <c r="F1305" t="str">
        <f>INDEX(Lists!I:I,MATCH(Validation!E1305,Lists!G:G,0))</f>
        <v>Alert</v>
      </c>
      <c r="G1305" t="str">
        <f>INDEX(Lists!H:H,MATCH(Validation!E1305,Lists!G:G,0))</f>
        <v>You have changed previously reported data. Explain in the comments box.</v>
      </c>
      <c r="H1305" s="25" t="str">
        <f t="shared" ca="1" si="189"/>
        <v/>
      </c>
      <c r="I1305" s="25" t="str">
        <f t="shared" ca="1" si="190"/>
        <v/>
      </c>
      <c r="J1305" s="26" t="str">
        <f t="shared" ca="1" si="191"/>
        <v/>
      </c>
    </row>
    <row r="1306" spans="1:10" x14ac:dyDescent="0.25">
      <c r="A1306" t="s">
        <v>313</v>
      </c>
      <c r="B1306" t="str">
        <f>ADDRESS(ROW('Bond 1'!$B$26),COLUMN('Bond 1'!$B$26),4)</f>
        <v>B26</v>
      </c>
      <c r="C1306" t="str">
        <f>ADDRESS(ROW('Bond 1'!$D$26),COLUMN('Bond 1'!$D$26),4)</f>
        <v>D26</v>
      </c>
      <c r="D1306" t="b" cm="1">
        <f t="array" aca="1" ref="D1306" ca="1">IF(AND(NOT(ISBLANK('Bond Input'!O$27)),INDIRECT("'"&amp;A1306&amp;"'!"&amp;B1306)&lt;&gt;'Bond Input'!O$27),TRUE,FALSE)</f>
        <v>0</v>
      </c>
      <c r="E1306" t="s">
        <v>634</v>
      </c>
      <c r="F1306" t="str">
        <f>INDEX(Lists!I:I,MATCH(Validation!E1306,Lists!G:G,0))</f>
        <v>Alert</v>
      </c>
      <c r="G1306" t="str">
        <f>INDEX(Lists!H:H,MATCH(Validation!E1306,Lists!G:G,0))</f>
        <v>You have changed previously reported data. Explain in the comments box.</v>
      </c>
      <c r="H1306" s="25" t="str">
        <f t="shared" ca="1" si="189"/>
        <v/>
      </c>
      <c r="I1306" s="25" t="str">
        <f t="shared" ca="1" si="190"/>
        <v/>
      </c>
      <c r="J1306" s="26" t="str">
        <f t="shared" ca="1" si="191"/>
        <v/>
      </c>
    </row>
    <row r="1307" spans="1:10" x14ac:dyDescent="0.25">
      <c r="A1307" t="s">
        <v>314</v>
      </c>
      <c r="B1307" t="str">
        <f>ADDRESS(ROW('Bond 1'!$B$26),COLUMN('Bond 1'!$B$26),4)</f>
        <v>B26</v>
      </c>
      <c r="C1307" t="str">
        <f>ADDRESS(ROW('Bond 1'!$D$26),COLUMN('Bond 1'!$D$26),4)</f>
        <v>D26</v>
      </c>
      <c r="D1307" t="b" cm="1">
        <f t="array" aca="1" ref="D1307" ca="1">IF(AND(NOT(ISBLANK('Bond Input'!P$27)),INDIRECT("'"&amp;A1307&amp;"'!"&amp;B1307)&lt;&gt;'Bond Input'!P$27),TRUE,FALSE)</f>
        <v>0</v>
      </c>
      <c r="E1307" t="s">
        <v>634</v>
      </c>
      <c r="F1307" t="str">
        <f>INDEX(Lists!I:I,MATCH(Validation!E1307,Lists!G:G,0))</f>
        <v>Alert</v>
      </c>
      <c r="G1307" t="str">
        <f>INDEX(Lists!H:H,MATCH(Validation!E1307,Lists!G:G,0))</f>
        <v>You have changed previously reported data. Explain in the comments box.</v>
      </c>
      <c r="H1307" s="25" t="str">
        <f t="shared" ca="1" si="189"/>
        <v/>
      </c>
      <c r="I1307" s="25" t="str">
        <f t="shared" ca="1" si="190"/>
        <v/>
      </c>
      <c r="J1307" s="26" t="str">
        <f t="shared" ca="1" si="191"/>
        <v/>
      </c>
    </row>
    <row r="1308" spans="1:10" x14ac:dyDescent="0.25">
      <c r="A1308" t="s">
        <v>315</v>
      </c>
      <c r="B1308" t="str">
        <f>ADDRESS(ROW('Bond 1'!$B$26),COLUMN('Bond 1'!$B$26),4)</f>
        <v>B26</v>
      </c>
      <c r="C1308" t="str">
        <f>ADDRESS(ROW('Bond 1'!$D$26),COLUMN('Bond 1'!$D$26),4)</f>
        <v>D26</v>
      </c>
      <c r="D1308" t="b" cm="1">
        <f t="array" aca="1" ref="D1308" ca="1">IF(AND(NOT(ISBLANK('Bond Input'!Q$27)),INDIRECT("'"&amp;A1308&amp;"'!"&amp;B1308)&lt;&gt;'Bond Input'!Q$27),TRUE,FALSE)</f>
        <v>0</v>
      </c>
      <c r="E1308" t="s">
        <v>634</v>
      </c>
      <c r="F1308" t="str">
        <f>INDEX(Lists!I:I,MATCH(Validation!E1308,Lists!G:G,0))</f>
        <v>Alert</v>
      </c>
      <c r="G1308" t="str">
        <f>INDEX(Lists!H:H,MATCH(Validation!E1308,Lists!G:G,0))</f>
        <v>You have changed previously reported data. Explain in the comments box.</v>
      </c>
      <c r="H1308" s="25" t="str">
        <f t="shared" ca="1" si="189"/>
        <v/>
      </c>
      <c r="I1308" s="25" t="str">
        <f t="shared" ca="1" si="190"/>
        <v/>
      </c>
      <c r="J1308" s="26" t="str">
        <f t="shared" ca="1" si="191"/>
        <v/>
      </c>
    </row>
    <row r="1309" spans="1:10" x14ac:dyDescent="0.25">
      <c r="A1309" t="s">
        <v>198</v>
      </c>
      <c r="B1309" t="str">
        <f>ADDRESS(ROW('Bond 1'!$C$26),COLUMN('Bond 1'!$C$26),4)</f>
        <v>C26</v>
      </c>
      <c r="C1309" t="str">
        <f>ADDRESS(ROW('Bond 1'!$D$26),COLUMN('Bond 1'!$D$26),4)</f>
        <v>D26</v>
      </c>
      <c r="D1309" t="b" cm="1">
        <f t="array" aca="1" ref="D1309" ca="1">IF(INDIRECT("'"&amp;A1309&amp;"'!"&amp;B1309)="",FALSE,IF(NOT(ISNUMBER(INDIRECT("'"&amp;A1309&amp;"'!"&amp;B1309))),TRUE,FALSE))</f>
        <v>0</v>
      </c>
      <c r="E1309" t="s">
        <v>435</v>
      </c>
      <c r="F1309" t="str">
        <f>INDEX(Lists!I:I,MATCH(Validation!E1309,Lists!G:G,0))</f>
        <v>Error</v>
      </c>
      <c r="G1309" t="str">
        <f>INDEX(Lists!H:H,MATCH(Validation!E1309,Lists!G:G,0))</f>
        <v>Enter an amount only. Do not enter text or spaces.</v>
      </c>
      <c r="H1309" s="25" t="str">
        <f t="shared" ca="1" si="189"/>
        <v/>
      </c>
      <c r="I1309" s="25" t="str">
        <f t="shared" ca="1" si="190"/>
        <v/>
      </c>
      <c r="J1309" s="26" t="str">
        <f t="shared" ca="1" si="191"/>
        <v/>
      </c>
    </row>
    <row r="1310" spans="1:10" x14ac:dyDescent="0.25">
      <c r="A1310" t="s">
        <v>302</v>
      </c>
      <c r="B1310" t="str">
        <f>ADDRESS(ROW('Bond 1'!$C$26),COLUMN('Bond 1'!$C$26),4)</f>
        <v>C26</v>
      </c>
      <c r="C1310" t="str">
        <f>ADDRESS(ROW('Bond 1'!$D$26),COLUMN('Bond 1'!$D$26),4)</f>
        <v>D26</v>
      </c>
      <c r="D1310" t="b" cm="1">
        <f t="array" aca="1" ref="D1310" ca="1">IF(INDIRECT("'"&amp;A1310&amp;"'!"&amp;B1310)="",FALSE,IF(NOT(ISNUMBER(INDIRECT("'"&amp;A1310&amp;"'!"&amp;B1310))),TRUE,FALSE))</f>
        <v>0</v>
      </c>
      <c r="E1310" t="s">
        <v>435</v>
      </c>
      <c r="F1310" t="str">
        <f>INDEX(Lists!I:I,MATCH(Validation!E1310,Lists!G:G,0))</f>
        <v>Error</v>
      </c>
      <c r="G1310" t="str">
        <f>INDEX(Lists!H:H,MATCH(Validation!E1310,Lists!G:G,0))</f>
        <v>Enter an amount only. Do not enter text or spaces.</v>
      </c>
      <c r="H1310" s="25" t="str">
        <f t="shared" ca="1" si="189"/>
        <v/>
      </c>
      <c r="I1310" s="25" t="str">
        <f t="shared" ca="1" si="190"/>
        <v/>
      </c>
      <c r="J1310" s="26" t="str">
        <f t="shared" ca="1" si="191"/>
        <v/>
      </c>
    </row>
    <row r="1311" spans="1:10" x14ac:dyDescent="0.25">
      <c r="A1311" t="s">
        <v>303</v>
      </c>
      <c r="B1311" t="str">
        <f>ADDRESS(ROW('Bond 1'!$C$26),COLUMN('Bond 1'!$C$26),4)</f>
        <v>C26</v>
      </c>
      <c r="C1311" t="str">
        <f>ADDRESS(ROW('Bond 1'!$D$26),COLUMN('Bond 1'!$D$26),4)</f>
        <v>D26</v>
      </c>
      <c r="D1311" t="b" cm="1">
        <f t="array" aca="1" ref="D1311" ca="1">IF(INDIRECT("'"&amp;A1311&amp;"'!"&amp;B1311)="",FALSE,IF(NOT(ISNUMBER(INDIRECT("'"&amp;A1311&amp;"'!"&amp;B1311))),TRUE,FALSE))</f>
        <v>0</v>
      </c>
      <c r="E1311" t="s">
        <v>435</v>
      </c>
      <c r="F1311" t="str">
        <f>INDEX(Lists!I:I,MATCH(Validation!E1311,Lists!G:G,0))</f>
        <v>Error</v>
      </c>
      <c r="G1311" t="str">
        <f>INDEX(Lists!H:H,MATCH(Validation!E1311,Lists!G:G,0))</f>
        <v>Enter an amount only. Do not enter text or spaces.</v>
      </c>
      <c r="H1311" s="25" t="str">
        <f t="shared" ca="1" si="189"/>
        <v/>
      </c>
      <c r="I1311" s="25" t="str">
        <f t="shared" ca="1" si="190"/>
        <v/>
      </c>
      <c r="J1311" s="26" t="str">
        <f t="shared" ca="1" si="191"/>
        <v/>
      </c>
    </row>
    <row r="1312" spans="1:10" x14ac:dyDescent="0.25">
      <c r="A1312" t="s">
        <v>304</v>
      </c>
      <c r="B1312" t="str">
        <f>ADDRESS(ROW('Bond 1'!$C$26),COLUMN('Bond 1'!$C$26),4)</f>
        <v>C26</v>
      </c>
      <c r="C1312" t="str">
        <f>ADDRESS(ROW('Bond 1'!$D$26),COLUMN('Bond 1'!$D$26),4)</f>
        <v>D26</v>
      </c>
      <c r="D1312" t="b" cm="1">
        <f t="array" aca="1" ref="D1312" ca="1">IF(INDIRECT("'"&amp;A1312&amp;"'!"&amp;B1312)="",FALSE,IF(NOT(ISNUMBER(INDIRECT("'"&amp;A1312&amp;"'!"&amp;B1312))),TRUE,FALSE))</f>
        <v>0</v>
      </c>
      <c r="E1312" t="s">
        <v>435</v>
      </c>
      <c r="F1312" t="str">
        <f>INDEX(Lists!I:I,MATCH(Validation!E1312,Lists!G:G,0))</f>
        <v>Error</v>
      </c>
      <c r="G1312" t="str">
        <f>INDEX(Lists!H:H,MATCH(Validation!E1312,Lists!G:G,0))</f>
        <v>Enter an amount only. Do not enter text or spaces.</v>
      </c>
      <c r="H1312" s="25" t="str">
        <f t="shared" ca="1" si="189"/>
        <v/>
      </c>
      <c r="I1312" s="25" t="str">
        <f t="shared" ca="1" si="190"/>
        <v/>
      </c>
      <c r="J1312" s="26" t="str">
        <f t="shared" ca="1" si="191"/>
        <v/>
      </c>
    </row>
    <row r="1313" spans="1:10" x14ac:dyDescent="0.25">
      <c r="A1313" t="s">
        <v>305</v>
      </c>
      <c r="B1313" t="str">
        <f>ADDRESS(ROW('Bond 1'!$C$26),COLUMN('Bond 1'!$C$26),4)</f>
        <v>C26</v>
      </c>
      <c r="C1313" t="str">
        <f>ADDRESS(ROW('Bond 1'!$D$26),COLUMN('Bond 1'!$D$26),4)</f>
        <v>D26</v>
      </c>
      <c r="D1313" t="b" cm="1">
        <f t="array" aca="1" ref="D1313" ca="1">IF(INDIRECT("'"&amp;A1313&amp;"'!"&amp;B1313)="",FALSE,IF(NOT(ISNUMBER(INDIRECT("'"&amp;A1313&amp;"'!"&amp;B1313))),TRUE,FALSE))</f>
        <v>0</v>
      </c>
      <c r="E1313" t="s">
        <v>435</v>
      </c>
      <c r="F1313" t="str">
        <f>INDEX(Lists!I:I,MATCH(Validation!E1313,Lists!G:G,0))</f>
        <v>Error</v>
      </c>
      <c r="G1313" t="str">
        <f>INDEX(Lists!H:H,MATCH(Validation!E1313,Lists!G:G,0))</f>
        <v>Enter an amount only. Do not enter text or spaces.</v>
      </c>
      <c r="H1313" s="25" t="str">
        <f t="shared" ca="1" si="189"/>
        <v/>
      </c>
      <c r="I1313" s="25" t="str">
        <f t="shared" ca="1" si="190"/>
        <v/>
      </c>
      <c r="J1313" s="26" t="str">
        <f t="shared" ca="1" si="191"/>
        <v/>
      </c>
    </row>
    <row r="1314" spans="1:10" x14ac:dyDescent="0.25">
      <c r="A1314" t="s">
        <v>306</v>
      </c>
      <c r="B1314" t="str">
        <f>ADDRESS(ROW('Bond 1'!$C$26),COLUMN('Bond 1'!$C$26),4)</f>
        <v>C26</v>
      </c>
      <c r="C1314" t="str">
        <f>ADDRESS(ROW('Bond 1'!$D$26),COLUMN('Bond 1'!$D$26),4)</f>
        <v>D26</v>
      </c>
      <c r="D1314" t="b" cm="1">
        <f t="array" aca="1" ref="D1314" ca="1">IF(INDIRECT("'"&amp;A1314&amp;"'!"&amp;B1314)="",FALSE,IF(NOT(ISNUMBER(INDIRECT("'"&amp;A1314&amp;"'!"&amp;B1314))),TRUE,FALSE))</f>
        <v>0</v>
      </c>
      <c r="E1314" t="s">
        <v>435</v>
      </c>
      <c r="F1314" t="str">
        <f>INDEX(Lists!I:I,MATCH(Validation!E1314,Lists!G:G,0))</f>
        <v>Error</v>
      </c>
      <c r="G1314" t="str">
        <f>INDEX(Lists!H:H,MATCH(Validation!E1314,Lists!G:G,0))</f>
        <v>Enter an amount only. Do not enter text or spaces.</v>
      </c>
      <c r="H1314" s="25" t="str">
        <f t="shared" ca="1" si="189"/>
        <v/>
      </c>
      <c r="I1314" s="25" t="str">
        <f t="shared" ca="1" si="190"/>
        <v/>
      </c>
      <c r="J1314" s="26" t="str">
        <f t="shared" ca="1" si="191"/>
        <v/>
      </c>
    </row>
    <row r="1315" spans="1:10" x14ac:dyDescent="0.25">
      <c r="A1315" t="s">
        <v>307</v>
      </c>
      <c r="B1315" t="str">
        <f>ADDRESS(ROW('Bond 1'!$C$26),COLUMN('Bond 1'!$C$26),4)</f>
        <v>C26</v>
      </c>
      <c r="C1315" t="str">
        <f>ADDRESS(ROW('Bond 1'!$D$26),COLUMN('Bond 1'!$D$26),4)</f>
        <v>D26</v>
      </c>
      <c r="D1315" t="b" cm="1">
        <f t="array" aca="1" ref="D1315" ca="1">IF(INDIRECT("'"&amp;A1315&amp;"'!"&amp;B1315)="",FALSE,IF(NOT(ISNUMBER(INDIRECT("'"&amp;A1315&amp;"'!"&amp;B1315))),TRUE,FALSE))</f>
        <v>0</v>
      </c>
      <c r="E1315" t="s">
        <v>435</v>
      </c>
      <c r="F1315" t="str">
        <f>INDEX(Lists!I:I,MATCH(Validation!E1315,Lists!G:G,0))</f>
        <v>Error</v>
      </c>
      <c r="G1315" t="str">
        <f>INDEX(Lists!H:H,MATCH(Validation!E1315,Lists!G:G,0))</f>
        <v>Enter an amount only. Do not enter text or spaces.</v>
      </c>
      <c r="H1315" s="25" t="str">
        <f t="shared" ca="1" si="189"/>
        <v/>
      </c>
      <c r="I1315" s="25" t="str">
        <f t="shared" ca="1" si="190"/>
        <v/>
      </c>
      <c r="J1315" s="26" t="str">
        <f t="shared" ca="1" si="191"/>
        <v/>
      </c>
    </row>
    <row r="1316" spans="1:10" x14ac:dyDescent="0.25">
      <c r="A1316" t="s">
        <v>308</v>
      </c>
      <c r="B1316" t="str">
        <f>ADDRESS(ROW('Bond 1'!$C$26),COLUMN('Bond 1'!$C$26),4)</f>
        <v>C26</v>
      </c>
      <c r="C1316" t="str">
        <f>ADDRESS(ROW('Bond 1'!$D$26),COLUMN('Bond 1'!$D$26),4)</f>
        <v>D26</v>
      </c>
      <c r="D1316" t="b" cm="1">
        <f t="array" aca="1" ref="D1316" ca="1">IF(INDIRECT("'"&amp;A1316&amp;"'!"&amp;B1316)="",FALSE,IF(NOT(ISNUMBER(INDIRECT("'"&amp;A1316&amp;"'!"&amp;B1316))),TRUE,FALSE))</f>
        <v>0</v>
      </c>
      <c r="E1316" t="s">
        <v>435</v>
      </c>
      <c r="F1316" t="str">
        <f>INDEX(Lists!I:I,MATCH(Validation!E1316,Lists!G:G,0))</f>
        <v>Error</v>
      </c>
      <c r="G1316" t="str">
        <f>INDEX(Lists!H:H,MATCH(Validation!E1316,Lists!G:G,0))</f>
        <v>Enter an amount only. Do not enter text or spaces.</v>
      </c>
      <c r="H1316" s="25" t="str">
        <f t="shared" ca="1" si="189"/>
        <v/>
      </c>
      <c r="I1316" s="25" t="str">
        <f t="shared" ca="1" si="190"/>
        <v/>
      </c>
      <c r="J1316" s="26" t="str">
        <f t="shared" ca="1" si="191"/>
        <v/>
      </c>
    </row>
    <row r="1317" spans="1:10" x14ac:dyDescent="0.25">
      <c r="A1317" t="s">
        <v>309</v>
      </c>
      <c r="B1317" t="str">
        <f>ADDRESS(ROW('Bond 1'!$C$26),COLUMN('Bond 1'!$C$26),4)</f>
        <v>C26</v>
      </c>
      <c r="C1317" t="str">
        <f>ADDRESS(ROW('Bond 1'!$D$26),COLUMN('Bond 1'!$D$26),4)</f>
        <v>D26</v>
      </c>
      <c r="D1317" t="b" cm="1">
        <f t="array" aca="1" ref="D1317" ca="1">IF(INDIRECT("'"&amp;A1317&amp;"'!"&amp;B1317)="",FALSE,IF(NOT(ISNUMBER(INDIRECT("'"&amp;A1317&amp;"'!"&amp;B1317))),TRUE,FALSE))</f>
        <v>0</v>
      </c>
      <c r="E1317" t="s">
        <v>435</v>
      </c>
      <c r="F1317" t="str">
        <f>INDEX(Lists!I:I,MATCH(Validation!E1317,Lists!G:G,0))</f>
        <v>Error</v>
      </c>
      <c r="G1317" t="str">
        <f>INDEX(Lists!H:H,MATCH(Validation!E1317,Lists!G:G,0))</f>
        <v>Enter an amount only. Do not enter text or spaces.</v>
      </c>
      <c r="H1317" s="25" t="str">
        <f t="shared" ca="1" si="189"/>
        <v/>
      </c>
      <c r="I1317" s="25" t="str">
        <f t="shared" ca="1" si="190"/>
        <v/>
      </c>
      <c r="J1317" s="26" t="str">
        <f t="shared" ca="1" si="191"/>
        <v/>
      </c>
    </row>
    <row r="1318" spans="1:10" x14ac:dyDescent="0.25">
      <c r="A1318" t="s">
        <v>310</v>
      </c>
      <c r="B1318" t="str">
        <f>ADDRESS(ROW('Bond 1'!$C$26),COLUMN('Bond 1'!$C$26),4)</f>
        <v>C26</v>
      </c>
      <c r="C1318" t="str">
        <f>ADDRESS(ROW('Bond 1'!$D$26),COLUMN('Bond 1'!$D$26),4)</f>
        <v>D26</v>
      </c>
      <c r="D1318" t="b" cm="1">
        <f t="array" aca="1" ref="D1318" ca="1">IF(INDIRECT("'"&amp;A1318&amp;"'!"&amp;B1318)="",FALSE,IF(NOT(ISNUMBER(INDIRECT("'"&amp;A1318&amp;"'!"&amp;B1318))),TRUE,FALSE))</f>
        <v>0</v>
      </c>
      <c r="E1318" t="s">
        <v>435</v>
      </c>
      <c r="F1318" t="str">
        <f>INDEX(Lists!I:I,MATCH(Validation!E1318,Lists!G:G,0))</f>
        <v>Error</v>
      </c>
      <c r="G1318" t="str">
        <f>INDEX(Lists!H:H,MATCH(Validation!E1318,Lists!G:G,0))</f>
        <v>Enter an amount only. Do not enter text or spaces.</v>
      </c>
      <c r="H1318" s="25" t="str">
        <f t="shared" ca="1" si="189"/>
        <v/>
      </c>
      <c r="I1318" s="25" t="str">
        <f t="shared" ca="1" si="190"/>
        <v/>
      </c>
      <c r="J1318" s="26" t="str">
        <f t="shared" ca="1" si="191"/>
        <v/>
      </c>
    </row>
    <row r="1319" spans="1:10" x14ac:dyDescent="0.25">
      <c r="A1319" t="s">
        <v>311</v>
      </c>
      <c r="B1319" t="str">
        <f>ADDRESS(ROW('Bond 1'!$C$26),COLUMN('Bond 1'!$C$26),4)</f>
        <v>C26</v>
      </c>
      <c r="C1319" t="str">
        <f>ADDRESS(ROW('Bond 1'!$D$26),COLUMN('Bond 1'!$D$26),4)</f>
        <v>D26</v>
      </c>
      <c r="D1319" t="b" cm="1">
        <f t="array" aca="1" ref="D1319" ca="1">IF(INDIRECT("'"&amp;A1319&amp;"'!"&amp;B1319)="",FALSE,IF(NOT(ISNUMBER(INDIRECT("'"&amp;A1319&amp;"'!"&amp;B1319))),TRUE,FALSE))</f>
        <v>0</v>
      </c>
      <c r="E1319" t="s">
        <v>435</v>
      </c>
      <c r="F1319" t="str">
        <f>INDEX(Lists!I:I,MATCH(Validation!E1319,Lists!G:G,0))</f>
        <v>Error</v>
      </c>
      <c r="G1319" t="str">
        <f>INDEX(Lists!H:H,MATCH(Validation!E1319,Lists!G:G,0))</f>
        <v>Enter an amount only. Do not enter text or spaces.</v>
      </c>
      <c r="H1319" s="25" t="str">
        <f t="shared" ca="1" si="189"/>
        <v/>
      </c>
      <c r="I1319" s="25" t="str">
        <f t="shared" ca="1" si="190"/>
        <v/>
      </c>
      <c r="J1319" s="26" t="str">
        <f t="shared" ca="1" si="191"/>
        <v/>
      </c>
    </row>
    <row r="1320" spans="1:10" x14ac:dyDescent="0.25">
      <c r="A1320" t="s">
        <v>312</v>
      </c>
      <c r="B1320" t="str">
        <f>ADDRESS(ROW('Bond 1'!$C$26),COLUMN('Bond 1'!$C$26),4)</f>
        <v>C26</v>
      </c>
      <c r="C1320" t="str">
        <f>ADDRESS(ROW('Bond 1'!$D$26),COLUMN('Bond 1'!$D$26),4)</f>
        <v>D26</v>
      </c>
      <c r="D1320" t="b" cm="1">
        <f t="array" aca="1" ref="D1320" ca="1">IF(INDIRECT("'"&amp;A1320&amp;"'!"&amp;B1320)="",FALSE,IF(NOT(ISNUMBER(INDIRECT("'"&amp;A1320&amp;"'!"&amp;B1320))),TRUE,FALSE))</f>
        <v>0</v>
      </c>
      <c r="E1320" t="s">
        <v>435</v>
      </c>
      <c r="F1320" t="str">
        <f>INDEX(Lists!I:I,MATCH(Validation!E1320,Lists!G:G,0))</f>
        <v>Error</v>
      </c>
      <c r="G1320" t="str">
        <f>INDEX(Lists!H:H,MATCH(Validation!E1320,Lists!G:G,0))</f>
        <v>Enter an amount only. Do not enter text or spaces.</v>
      </c>
      <c r="H1320" s="25" t="str">
        <f t="shared" ca="1" si="189"/>
        <v/>
      </c>
      <c r="I1320" s="25" t="str">
        <f t="shared" ca="1" si="190"/>
        <v/>
      </c>
      <c r="J1320" s="26" t="str">
        <f t="shared" ca="1" si="191"/>
        <v/>
      </c>
    </row>
    <row r="1321" spans="1:10" x14ac:dyDescent="0.25">
      <c r="A1321" t="s">
        <v>313</v>
      </c>
      <c r="B1321" t="str">
        <f>ADDRESS(ROW('Bond 1'!$C$26),COLUMN('Bond 1'!$C$26),4)</f>
        <v>C26</v>
      </c>
      <c r="C1321" t="str">
        <f>ADDRESS(ROW('Bond 1'!$D$26),COLUMN('Bond 1'!$D$26),4)</f>
        <v>D26</v>
      </c>
      <c r="D1321" t="b" cm="1">
        <f t="array" aca="1" ref="D1321" ca="1">IF(INDIRECT("'"&amp;A1321&amp;"'!"&amp;B1321)="",FALSE,IF(NOT(ISNUMBER(INDIRECT("'"&amp;A1321&amp;"'!"&amp;B1321))),TRUE,FALSE))</f>
        <v>0</v>
      </c>
      <c r="E1321" t="s">
        <v>435</v>
      </c>
      <c r="F1321" t="str">
        <f>INDEX(Lists!I:I,MATCH(Validation!E1321,Lists!G:G,0))</f>
        <v>Error</v>
      </c>
      <c r="G1321" t="str">
        <f>INDEX(Lists!H:H,MATCH(Validation!E1321,Lists!G:G,0))</f>
        <v>Enter an amount only. Do not enter text or spaces.</v>
      </c>
      <c r="H1321" s="25" t="str">
        <f t="shared" ca="1" si="189"/>
        <v/>
      </c>
      <c r="I1321" s="25" t="str">
        <f t="shared" ca="1" si="190"/>
        <v/>
      </c>
      <c r="J1321" s="26" t="str">
        <f t="shared" ca="1" si="191"/>
        <v/>
      </c>
    </row>
    <row r="1322" spans="1:10" x14ac:dyDescent="0.25">
      <c r="A1322" t="s">
        <v>314</v>
      </c>
      <c r="B1322" t="str">
        <f>ADDRESS(ROW('Bond 1'!$C$26),COLUMN('Bond 1'!$C$26),4)</f>
        <v>C26</v>
      </c>
      <c r="C1322" t="str">
        <f>ADDRESS(ROW('Bond 1'!$D$26),COLUMN('Bond 1'!$D$26),4)</f>
        <v>D26</v>
      </c>
      <c r="D1322" t="b" cm="1">
        <f t="array" aca="1" ref="D1322" ca="1">IF(INDIRECT("'"&amp;A1322&amp;"'!"&amp;B1322)="",FALSE,IF(NOT(ISNUMBER(INDIRECT("'"&amp;A1322&amp;"'!"&amp;B1322))),TRUE,FALSE))</f>
        <v>0</v>
      </c>
      <c r="E1322" t="s">
        <v>435</v>
      </c>
      <c r="F1322" t="str">
        <f>INDEX(Lists!I:I,MATCH(Validation!E1322,Lists!G:G,0))</f>
        <v>Error</v>
      </c>
      <c r="G1322" t="str">
        <f>INDEX(Lists!H:H,MATCH(Validation!E1322,Lists!G:G,0))</f>
        <v>Enter an amount only. Do not enter text or spaces.</v>
      </c>
      <c r="H1322" s="25" t="str">
        <f t="shared" ca="1" si="189"/>
        <v/>
      </c>
      <c r="I1322" s="25" t="str">
        <f t="shared" ca="1" si="190"/>
        <v/>
      </c>
      <c r="J1322" s="26" t="str">
        <f t="shared" ca="1" si="191"/>
        <v/>
      </c>
    </row>
    <row r="1323" spans="1:10" x14ac:dyDescent="0.25">
      <c r="A1323" t="s">
        <v>315</v>
      </c>
      <c r="B1323" t="str">
        <f>ADDRESS(ROW('Bond 1'!$C$26),COLUMN('Bond 1'!$C$26),4)</f>
        <v>C26</v>
      </c>
      <c r="C1323" t="str">
        <f>ADDRESS(ROW('Bond 1'!$D$26),COLUMN('Bond 1'!$D$26),4)</f>
        <v>D26</v>
      </c>
      <c r="D1323" t="b" cm="1">
        <f t="array" aca="1" ref="D1323" ca="1">IF(INDIRECT("'"&amp;A1323&amp;"'!"&amp;B1323)="",FALSE,IF(NOT(ISNUMBER(INDIRECT("'"&amp;A1323&amp;"'!"&amp;B1323))),TRUE,FALSE))</f>
        <v>0</v>
      </c>
      <c r="E1323" t="s">
        <v>435</v>
      </c>
      <c r="F1323" t="str">
        <f>INDEX(Lists!I:I,MATCH(Validation!E1323,Lists!G:G,0))</f>
        <v>Error</v>
      </c>
      <c r="G1323" t="str">
        <f>INDEX(Lists!H:H,MATCH(Validation!E1323,Lists!G:G,0))</f>
        <v>Enter an amount only. Do not enter text or spaces.</v>
      </c>
      <c r="H1323" s="25" t="str">
        <f t="shared" ca="1" si="189"/>
        <v/>
      </c>
      <c r="I1323" s="25" t="str">
        <f t="shared" ca="1" si="190"/>
        <v/>
      </c>
      <c r="J1323" s="26" t="str">
        <f t="shared" ca="1" si="191"/>
        <v/>
      </c>
    </row>
    <row r="1324" spans="1:10" x14ac:dyDescent="0.25">
      <c r="A1324" t="s">
        <v>198</v>
      </c>
      <c r="B1324" t="str">
        <f>ADDRESS(ROW('Bond 1'!$C$26),COLUMN('Bond 1'!$C$26),4)</f>
        <v>C26</v>
      </c>
      <c r="C1324" t="str">
        <f>ADDRESS(ROW('Bond 1'!$D$26),COLUMN('Bond 1'!$D$26),4)</f>
        <v>D26</v>
      </c>
      <c r="D1324" t="b" cm="1">
        <f t="array" aca="1" ref="D1324" ca="1">IF(INDIRECT("'"&amp;A1324&amp;"'!"&amp;B1324)="",FALSE,IF(INDIRECT("'"&amp;A1324&amp;"'!"&amp;B1324)&lt;0,TRUE,FALSE))</f>
        <v>0</v>
      </c>
      <c r="E1324" t="s">
        <v>434</v>
      </c>
      <c r="F1324" t="str">
        <f>INDEX(Lists!I:I,MATCH(Validation!E1324,Lists!G:G,0))</f>
        <v>Error</v>
      </c>
      <c r="G1324" t="str">
        <f>INDEX(Lists!H:H,MATCH(Validation!E1324,Lists!G:G,0))</f>
        <v>Amount may not be negative. Enter an amount greater than or equal to zero.</v>
      </c>
      <c r="H1324" s="25" t="str">
        <f t="shared" ca="1" si="189"/>
        <v/>
      </c>
      <c r="I1324" s="25" t="str">
        <f t="shared" ca="1" si="190"/>
        <v/>
      </c>
      <c r="J1324" s="26" t="str">
        <f t="shared" ca="1" si="191"/>
        <v/>
      </c>
    </row>
    <row r="1325" spans="1:10" x14ac:dyDescent="0.25">
      <c r="A1325" t="s">
        <v>302</v>
      </c>
      <c r="B1325" t="str">
        <f>ADDRESS(ROW('Bond 1'!$C$26),COLUMN('Bond 1'!$C$26),4)</f>
        <v>C26</v>
      </c>
      <c r="C1325" t="str">
        <f>ADDRESS(ROW('Bond 1'!$D$26),COLUMN('Bond 1'!$D$26),4)</f>
        <v>D26</v>
      </c>
      <c r="D1325" t="b" cm="1">
        <f t="array" aca="1" ref="D1325" ca="1">IF(INDIRECT("'"&amp;A1325&amp;"'!"&amp;B1325)="",FALSE,IF(INDIRECT("'"&amp;A1325&amp;"'!"&amp;B1325)&lt;0,TRUE,FALSE))</f>
        <v>0</v>
      </c>
      <c r="E1325" t="s">
        <v>434</v>
      </c>
      <c r="F1325" t="str">
        <f>INDEX(Lists!I:I,MATCH(Validation!E1325,Lists!G:G,0))</f>
        <v>Error</v>
      </c>
      <c r="G1325" t="str">
        <f>INDEX(Lists!H:H,MATCH(Validation!E1325,Lists!G:G,0))</f>
        <v>Amount may not be negative. Enter an amount greater than or equal to zero.</v>
      </c>
      <c r="H1325" s="25" t="str">
        <f t="shared" ca="1" si="189"/>
        <v/>
      </c>
      <c r="I1325" s="25" t="str">
        <f t="shared" ca="1" si="190"/>
        <v/>
      </c>
      <c r="J1325" s="26" t="str">
        <f t="shared" ca="1" si="191"/>
        <v/>
      </c>
    </row>
    <row r="1326" spans="1:10" x14ac:dyDescent="0.25">
      <c r="A1326" t="s">
        <v>303</v>
      </c>
      <c r="B1326" t="str">
        <f>ADDRESS(ROW('Bond 1'!$C$26),COLUMN('Bond 1'!$C$26),4)</f>
        <v>C26</v>
      </c>
      <c r="C1326" t="str">
        <f>ADDRESS(ROW('Bond 1'!$D$26),COLUMN('Bond 1'!$D$26),4)</f>
        <v>D26</v>
      </c>
      <c r="D1326" t="b" cm="1">
        <f t="array" aca="1" ref="D1326" ca="1">IF(INDIRECT("'"&amp;A1326&amp;"'!"&amp;B1326)="",FALSE,IF(INDIRECT("'"&amp;A1326&amp;"'!"&amp;B1326)&lt;0,TRUE,FALSE))</f>
        <v>0</v>
      </c>
      <c r="E1326" t="s">
        <v>434</v>
      </c>
      <c r="F1326" t="str">
        <f>INDEX(Lists!I:I,MATCH(Validation!E1326,Lists!G:G,0))</f>
        <v>Error</v>
      </c>
      <c r="G1326" t="str">
        <f>INDEX(Lists!H:H,MATCH(Validation!E1326,Lists!G:G,0))</f>
        <v>Amount may not be negative. Enter an amount greater than or equal to zero.</v>
      </c>
      <c r="H1326" s="25" t="str">
        <f t="shared" ca="1" si="189"/>
        <v/>
      </c>
      <c r="I1326" s="25" t="str">
        <f t="shared" ca="1" si="190"/>
        <v/>
      </c>
      <c r="J1326" s="26" t="str">
        <f t="shared" ca="1" si="191"/>
        <v/>
      </c>
    </row>
    <row r="1327" spans="1:10" x14ac:dyDescent="0.25">
      <c r="A1327" t="s">
        <v>304</v>
      </c>
      <c r="B1327" t="str">
        <f>ADDRESS(ROW('Bond 1'!$C$26),COLUMN('Bond 1'!$C$26),4)</f>
        <v>C26</v>
      </c>
      <c r="C1327" t="str">
        <f>ADDRESS(ROW('Bond 1'!$D$26),COLUMN('Bond 1'!$D$26),4)</f>
        <v>D26</v>
      </c>
      <c r="D1327" t="b" cm="1">
        <f t="array" aca="1" ref="D1327" ca="1">IF(INDIRECT("'"&amp;A1327&amp;"'!"&amp;B1327)="",FALSE,IF(INDIRECT("'"&amp;A1327&amp;"'!"&amp;B1327)&lt;0,TRUE,FALSE))</f>
        <v>0</v>
      </c>
      <c r="E1327" t="s">
        <v>434</v>
      </c>
      <c r="F1327" t="str">
        <f>INDEX(Lists!I:I,MATCH(Validation!E1327,Lists!G:G,0))</f>
        <v>Error</v>
      </c>
      <c r="G1327" t="str">
        <f>INDEX(Lists!H:H,MATCH(Validation!E1327,Lists!G:G,0))</f>
        <v>Amount may not be negative. Enter an amount greater than or equal to zero.</v>
      </c>
      <c r="H1327" s="25" t="str">
        <f t="shared" ca="1" si="189"/>
        <v/>
      </c>
      <c r="I1327" s="25" t="str">
        <f t="shared" ca="1" si="190"/>
        <v/>
      </c>
      <c r="J1327" s="26" t="str">
        <f t="shared" ca="1" si="191"/>
        <v/>
      </c>
    </row>
    <row r="1328" spans="1:10" x14ac:dyDescent="0.25">
      <c r="A1328" t="s">
        <v>305</v>
      </c>
      <c r="B1328" t="str">
        <f>ADDRESS(ROW('Bond 1'!$C$26),COLUMN('Bond 1'!$C$26),4)</f>
        <v>C26</v>
      </c>
      <c r="C1328" t="str">
        <f>ADDRESS(ROW('Bond 1'!$D$26),COLUMN('Bond 1'!$D$26),4)</f>
        <v>D26</v>
      </c>
      <c r="D1328" t="b" cm="1">
        <f t="array" aca="1" ref="D1328" ca="1">IF(INDIRECT("'"&amp;A1328&amp;"'!"&amp;B1328)="",FALSE,IF(INDIRECT("'"&amp;A1328&amp;"'!"&amp;B1328)&lt;0,TRUE,FALSE))</f>
        <v>0</v>
      </c>
      <c r="E1328" t="s">
        <v>434</v>
      </c>
      <c r="F1328" t="str">
        <f>INDEX(Lists!I:I,MATCH(Validation!E1328,Lists!G:G,0))</f>
        <v>Error</v>
      </c>
      <c r="G1328" t="str">
        <f>INDEX(Lists!H:H,MATCH(Validation!E1328,Lists!G:G,0))</f>
        <v>Amount may not be negative. Enter an amount greater than or equal to zero.</v>
      </c>
      <c r="H1328" s="25" t="str">
        <f t="shared" ca="1" si="189"/>
        <v/>
      </c>
      <c r="I1328" s="25" t="str">
        <f t="shared" ca="1" si="190"/>
        <v/>
      </c>
      <c r="J1328" s="26" t="str">
        <f t="shared" ca="1" si="191"/>
        <v/>
      </c>
    </row>
    <row r="1329" spans="1:10" x14ac:dyDescent="0.25">
      <c r="A1329" t="s">
        <v>306</v>
      </c>
      <c r="B1329" t="str">
        <f>ADDRESS(ROW('Bond 1'!$C$26),COLUMN('Bond 1'!$C$26),4)</f>
        <v>C26</v>
      </c>
      <c r="C1329" t="str">
        <f>ADDRESS(ROW('Bond 1'!$D$26),COLUMN('Bond 1'!$D$26),4)</f>
        <v>D26</v>
      </c>
      <c r="D1329" t="b" cm="1">
        <f t="array" aca="1" ref="D1329" ca="1">IF(INDIRECT("'"&amp;A1329&amp;"'!"&amp;B1329)="",FALSE,IF(INDIRECT("'"&amp;A1329&amp;"'!"&amp;B1329)&lt;0,TRUE,FALSE))</f>
        <v>0</v>
      </c>
      <c r="E1329" t="s">
        <v>434</v>
      </c>
      <c r="F1329" t="str">
        <f>INDEX(Lists!I:I,MATCH(Validation!E1329,Lists!G:G,0))</f>
        <v>Error</v>
      </c>
      <c r="G1329" t="str">
        <f>INDEX(Lists!H:H,MATCH(Validation!E1329,Lists!G:G,0))</f>
        <v>Amount may not be negative. Enter an amount greater than or equal to zero.</v>
      </c>
      <c r="H1329" s="25" t="str">
        <f t="shared" ca="1" si="189"/>
        <v/>
      </c>
      <c r="I1329" s="25" t="str">
        <f t="shared" ca="1" si="190"/>
        <v/>
      </c>
      <c r="J1329" s="26" t="str">
        <f t="shared" ca="1" si="191"/>
        <v/>
      </c>
    </row>
    <row r="1330" spans="1:10" x14ac:dyDescent="0.25">
      <c r="A1330" t="s">
        <v>307</v>
      </c>
      <c r="B1330" t="str">
        <f>ADDRESS(ROW('Bond 1'!$C$26),COLUMN('Bond 1'!$C$26),4)</f>
        <v>C26</v>
      </c>
      <c r="C1330" t="str">
        <f>ADDRESS(ROW('Bond 1'!$D$26),COLUMN('Bond 1'!$D$26),4)</f>
        <v>D26</v>
      </c>
      <c r="D1330" t="b" cm="1">
        <f t="array" aca="1" ref="D1330" ca="1">IF(INDIRECT("'"&amp;A1330&amp;"'!"&amp;B1330)="",FALSE,IF(INDIRECT("'"&amp;A1330&amp;"'!"&amp;B1330)&lt;0,TRUE,FALSE))</f>
        <v>0</v>
      </c>
      <c r="E1330" t="s">
        <v>434</v>
      </c>
      <c r="F1330" t="str">
        <f>INDEX(Lists!I:I,MATCH(Validation!E1330,Lists!G:G,0))</f>
        <v>Error</v>
      </c>
      <c r="G1330" t="str">
        <f>INDEX(Lists!H:H,MATCH(Validation!E1330,Lists!G:G,0))</f>
        <v>Amount may not be negative. Enter an amount greater than or equal to zero.</v>
      </c>
      <c r="H1330" s="25" t="str">
        <f t="shared" ca="1" si="189"/>
        <v/>
      </c>
      <c r="I1330" s="25" t="str">
        <f t="shared" ca="1" si="190"/>
        <v/>
      </c>
      <c r="J1330" s="26" t="str">
        <f t="shared" ca="1" si="191"/>
        <v/>
      </c>
    </row>
    <row r="1331" spans="1:10" x14ac:dyDescent="0.25">
      <c r="A1331" t="s">
        <v>308</v>
      </c>
      <c r="B1331" t="str">
        <f>ADDRESS(ROW('Bond 1'!$C$26),COLUMN('Bond 1'!$C$26),4)</f>
        <v>C26</v>
      </c>
      <c r="C1331" t="str">
        <f>ADDRESS(ROW('Bond 1'!$D$26),COLUMN('Bond 1'!$D$26),4)</f>
        <v>D26</v>
      </c>
      <c r="D1331" t="b" cm="1">
        <f t="array" aca="1" ref="D1331" ca="1">IF(INDIRECT("'"&amp;A1331&amp;"'!"&amp;B1331)="",FALSE,IF(INDIRECT("'"&amp;A1331&amp;"'!"&amp;B1331)&lt;0,TRUE,FALSE))</f>
        <v>0</v>
      </c>
      <c r="E1331" t="s">
        <v>434</v>
      </c>
      <c r="F1331" t="str">
        <f>INDEX(Lists!I:I,MATCH(Validation!E1331,Lists!G:G,0))</f>
        <v>Error</v>
      </c>
      <c r="G1331" t="str">
        <f>INDEX(Lists!H:H,MATCH(Validation!E1331,Lists!G:G,0))</f>
        <v>Amount may not be negative. Enter an amount greater than or equal to zero.</v>
      </c>
      <c r="H1331" s="25" t="str">
        <f t="shared" ca="1" si="189"/>
        <v/>
      </c>
      <c r="I1331" s="25" t="str">
        <f t="shared" ca="1" si="190"/>
        <v/>
      </c>
      <c r="J1331" s="26" t="str">
        <f t="shared" ca="1" si="191"/>
        <v/>
      </c>
    </row>
    <row r="1332" spans="1:10" x14ac:dyDescent="0.25">
      <c r="A1332" t="s">
        <v>309</v>
      </c>
      <c r="B1332" t="str">
        <f>ADDRESS(ROW('Bond 1'!$C$26),COLUMN('Bond 1'!$C$26),4)</f>
        <v>C26</v>
      </c>
      <c r="C1332" t="str">
        <f>ADDRESS(ROW('Bond 1'!$D$26),COLUMN('Bond 1'!$D$26),4)</f>
        <v>D26</v>
      </c>
      <c r="D1332" t="b" cm="1">
        <f t="array" aca="1" ref="D1332" ca="1">IF(INDIRECT("'"&amp;A1332&amp;"'!"&amp;B1332)="",FALSE,IF(INDIRECT("'"&amp;A1332&amp;"'!"&amp;B1332)&lt;0,TRUE,FALSE))</f>
        <v>0</v>
      </c>
      <c r="E1332" t="s">
        <v>434</v>
      </c>
      <c r="F1332" t="str">
        <f>INDEX(Lists!I:I,MATCH(Validation!E1332,Lists!G:G,0))</f>
        <v>Error</v>
      </c>
      <c r="G1332" t="str">
        <f>INDEX(Lists!H:H,MATCH(Validation!E1332,Lists!G:G,0))</f>
        <v>Amount may not be negative. Enter an amount greater than or equal to zero.</v>
      </c>
      <c r="H1332" s="25" t="str">
        <f t="shared" ca="1" si="189"/>
        <v/>
      </c>
      <c r="I1332" s="25" t="str">
        <f t="shared" ca="1" si="190"/>
        <v/>
      </c>
      <c r="J1332" s="26" t="str">
        <f t="shared" ca="1" si="191"/>
        <v/>
      </c>
    </row>
    <row r="1333" spans="1:10" x14ac:dyDescent="0.25">
      <c r="A1333" t="s">
        <v>310</v>
      </c>
      <c r="B1333" t="str">
        <f>ADDRESS(ROW('Bond 1'!$C$26),COLUMN('Bond 1'!$C$26),4)</f>
        <v>C26</v>
      </c>
      <c r="C1333" t="str">
        <f>ADDRESS(ROW('Bond 1'!$D$26),COLUMN('Bond 1'!$D$26),4)</f>
        <v>D26</v>
      </c>
      <c r="D1333" t="b" cm="1">
        <f t="array" aca="1" ref="D1333" ca="1">IF(INDIRECT("'"&amp;A1333&amp;"'!"&amp;B1333)="",FALSE,IF(INDIRECT("'"&amp;A1333&amp;"'!"&amp;B1333)&lt;0,TRUE,FALSE))</f>
        <v>0</v>
      </c>
      <c r="E1333" t="s">
        <v>434</v>
      </c>
      <c r="F1333" t="str">
        <f>INDEX(Lists!I:I,MATCH(Validation!E1333,Lists!G:G,0))</f>
        <v>Error</v>
      </c>
      <c r="G1333" t="str">
        <f>INDEX(Lists!H:H,MATCH(Validation!E1333,Lists!G:G,0))</f>
        <v>Amount may not be negative. Enter an amount greater than or equal to zero.</v>
      </c>
      <c r="H1333" s="25" t="str">
        <f t="shared" ca="1" si="189"/>
        <v/>
      </c>
      <c r="I1333" s="25" t="str">
        <f t="shared" ca="1" si="190"/>
        <v/>
      </c>
      <c r="J1333" s="26" t="str">
        <f t="shared" ca="1" si="191"/>
        <v/>
      </c>
    </row>
    <row r="1334" spans="1:10" x14ac:dyDescent="0.25">
      <c r="A1334" t="s">
        <v>311</v>
      </c>
      <c r="B1334" t="str">
        <f>ADDRESS(ROW('Bond 1'!$C$26),COLUMN('Bond 1'!$C$26),4)</f>
        <v>C26</v>
      </c>
      <c r="C1334" t="str">
        <f>ADDRESS(ROW('Bond 1'!$D$26),COLUMN('Bond 1'!$D$26),4)</f>
        <v>D26</v>
      </c>
      <c r="D1334" t="b" cm="1">
        <f t="array" aca="1" ref="D1334" ca="1">IF(INDIRECT("'"&amp;A1334&amp;"'!"&amp;B1334)="",FALSE,IF(INDIRECT("'"&amp;A1334&amp;"'!"&amp;B1334)&lt;0,TRUE,FALSE))</f>
        <v>0</v>
      </c>
      <c r="E1334" t="s">
        <v>434</v>
      </c>
      <c r="F1334" t="str">
        <f>INDEX(Lists!I:I,MATCH(Validation!E1334,Lists!G:G,0))</f>
        <v>Error</v>
      </c>
      <c r="G1334" t="str">
        <f>INDEX(Lists!H:H,MATCH(Validation!E1334,Lists!G:G,0))</f>
        <v>Amount may not be negative. Enter an amount greater than or equal to zero.</v>
      </c>
      <c r="H1334" s="25" t="str">
        <f t="shared" ca="1" si="189"/>
        <v/>
      </c>
      <c r="I1334" s="25" t="str">
        <f t="shared" ca="1" si="190"/>
        <v/>
      </c>
      <c r="J1334" s="26" t="str">
        <f t="shared" ca="1" si="191"/>
        <v/>
      </c>
    </row>
    <row r="1335" spans="1:10" x14ac:dyDescent="0.25">
      <c r="A1335" t="s">
        <v>312</v>
      </c>
      <c r="B1335" t="str">
        <f>ADDRESS(ROW('Bond 1'!$C$26),COLUMN('Bond 1'!$C$26),4)</f>
        <v>C26</v>
      </c>
      <c r="C1335" t="str">
        <f>ADDRESS(ROW('Bond 1'!$D$26),COLUMN('Bond 1'!$D$26),4)</f>
        <v>D26</v>
      </c>
      <c r="D1335" t="b" cm="1">
        <f t="array" aca="1" ref="D1335" ca="1">IF(INDIRECT("'"&amp;A1335&amp;"'!"&amp;B1335)="",FALSE,IF(INDIRECT("'"&amp;A1335&amp;"'!"&amp;B1335)&lt;0,TRUE,FALSE))</f>
        <v>0</v>
      </c>
      <c r="E1335" t="s">
        <v>434</v>
      </c>
      <c r="F1335" t="str">
        <f>INDEX(Lists!I:I,MATCH(Validation!E1335,Lists!G:G,0))</f>
        <v>Error</v>
      </c>
      <c r="G1335" t="str">
        <f>INDEX(Lists!H:H,MATCH(Validation!E1335,Lists!G:G,0))</f>
        <v>Amount may not be negative. Enter an amount greater than or equal to zero.</v>
      </c>
      <c r="H1335" s="25" t="str">
        <f t="shared" ca="1" si="189"/>
        <v/>
      </c>
      <c r="I1335" s="25" t="str">
        <f t="shared" ca="1" si="190"/>
        <v/>
      </c>
      <c r="J1335" s="26" t="str">
        <f t="shared" ca="1" si="191"/>
        <v/>
      </c>
    </row>
    <row r="1336" spans="1:10" x14ac:dyDescent="0.25">
      <c r="A1336" t="s">
        <v>313</v>
      </c>
      <c r="B1336" t="str">
        <f>ADDRESS(ROW('Bond 1'!$C$26),COLUMN('Bond 1'!$C$26),4)</f>
        <v>C26</v>
      </c>
      <c r="C1336" t="str">
        <f>ADDRESS(ROW('Bond 1'!$D$26),COLUMN('Bond 1'!$D$26),4)</f>
        <v>D26</v>
      </c>
      <c r="D1336" t="b" cm="1">
        <f t="array" aca="1" ref="D1336" ca="1">IF(INDIRECT("'"&amp;A1336&amp;"'!"&amp;B1336)="",FALSE,IF(INDIRECT("'"&amp;A1336&amp;"'!"&amp;B1336)&lt;0,TRUE,FALSE))</f>
        <v>0</v>
      </c>
      <c r="E1336" t="s">
        <v>434</v>
      </c>
      <c r="F1336" t="str">
        <f>INDEX(Lists!I:I,MATCH(Validation!E1336,Lists!G:G,0))</f>
        <v>Error</v>
      </c>
      <c r="G1336" t="str">
        <f>INDEX(Lists!H:H,MATCH(Validation!E1336,Lists!G:G,0))</f>
        <v>Amount may not be negative. Enter an amount greater than or equal to zero.</v>
      </c>
      <c r="H1336" s="25" t="str">
        <f t="shared" ca="1" si="189"/>
        <v/>
      </c>
      <c r="I1336" s="25" t="str">
        <f t="shared" ca="1" si="190"/>
        <v/>
      </c>
      <c r="J1336" s="26" t="str">
        <f t="shared" ca="1" si="191"/>
        <v/>
      </c>
    </row>
    <row r="1337" spans="1:10" x14ac:dyDescent="0.25">
      <c r="A1337" t="s">
        <v>314</v>
      </c>
      <c r="B1337" t="str">
        <f>ADDRESS(ROW('Bond 1'!$C$26),COLUMN('Bond 1'!$C$26),4)</f>
        <v>C26</v>
      </c>
      <c r="C1337" t="str">
        <f>ADDRESS(ROW('Bond 1'!$D$26),COLUMN('Bond 1'!$D$26),4)</f>
        <v>D26</v>
      </c>
      <c r="D1337" t="b" cm="1">
        <f t="array" aca="1" ref="D1337" ca="1">IF(INDIRECT("'"&amp;A1337&amp;"'!"&amp;B1337)="",FALSE,IF(INDIRECT("'"&amp;A1337&amp;"'!"&amp;B1337)&lt;0,TRUE,FALSE))</f>
        <v>0</v>
      </c>
      <c r="E1337" t="s">
        <v>434</v>
      </c>
      <c r="F1337" t="str">
        <f>INDEX(Lists!I:I,MATCH(Validation!E1337,Lists!G:G,0))</f>
        <v>Error</v>
      </c>
      <c r="G1337" t="str">
        <f>INDEX(Lists!H:H,MATCH(Validation!E1337,Lists!G:G,0))</f>
        <v>Amount may not be negative. Enter an amount greater than or equal to zero.</v>
      </c>
      <c r="H1337" s="25" t="str">
        <f t="shared" ref="H1337:H1400" ca="1" si="192">IFERROR(IF(OR(NOT(D1337),F1337&lt;&gt;"Error"),"",A1337&amp;CELL("address",INDIRECT(B1337))),"")</f>
        <v/>
      </c>
      <c r="I1337" s="25" t="str">
        <f t="shared" ref="I1337:I1400" ca="1" si="193">IFERROR(IF(NOT(D1337),"",A1337&amp;CELL("address",INDIRECT(C1337))),"")</f>
        <v/>
      </c>
      <c r="J1337" s="26" t="str">
        <f t="shared" ref="J1337:J1400" ca="1" si="194">IFERROR(IF(NOT(D1337),"",A1337),"")</f>
        <v/>
      </c>
    </row>
    <row r="1338" spans="1:10" x14ac:dyDescent="0.25">
      <c r="A1338" t="s">
        <v>315</v>
      </c>
      <c r="B1338" t="str">
        <f>ADDRESS(ROW('Bond 1'!$C$26),COLUMN('Bond 1'!$C$26),4)</f>
        <v>C26</v>
      </c>
      <c r="C1338" t="str">
        <f>ADDRESS(ROW('Bond 1'!$D$26),COLUMN('Bond 1'!$D$26),4)</f>
        <v>D26</v>
      </c>
      <c r="D1338" t="b" cm="1">
        <f t="array" aca="1" ref="D1338" ca="1">IF(INDIRECT("'"&amp;A1338&amp;"'!"&amp;B1338)="",FALSE,IF(INDIRECT("'"&amp;A1338&amp;"'!"&amp;B1338)&lt;0,TRUE,FALSE))</f>
        <v>0</v>
      </c>
      <c r="E1338" t="s">
        <v>434</v>
      </c>
      <c r="F1338" t="str">
        <f>INDEX(Lists!I:I,MATCH(Validation!E1338,Lists!G:G,0))</f>
        <v>Error</v>
      </c>
      <c r="G1338" t="str">
        <f>INDEX(Lists!H:H,MATCH(Validation!E1338,Lists!G:G,0))</f>
        <v>Amount may not be negative. Enter an amount greater than or equal to zero.</v>
      </c>
      <c r="H1338" s="25" t="str">
        <f t="shared" ca="1" si="192"/>
        <v/>
      </c>
      <c r="I1338" s="25" t="str">
        <f t="shared" ca="1" si="193"/>
        <v/>
      </c>
      <c r="J1338" s="26" t="str">
        <f t="shared" ca="1" si="194"/>
        <v/>
      </c>
    </row>
    <row r="1339" spans="1:10" x14ac:dyDescent="0.25">
      <c r="A1339" t="s">
        <v>198</v>
      </c>
      <c r="B1339" t="str">
        <f>ADDRESS(ROW('Bond 1'!$C$26),COLUMN('Bond 1'!$C$26),4)</f>
        <v>C26</v>
      </c>
      <c r="C1339" t="str">
        <f>ADDRESS(ROW('Bond 1'!$D$26),COLUMN('Bond 1'!$D$26),4)</f>
        <v>D26</v>
      </c>
      <c r="D1339" t="b" cm="1">
        <f t="array" aca="1" ref="D1339" ca="1">IF(INDIRECT("'"&amp;A1339&amp;"'!"&amp;B1339)="",FALSE,IF(TRUNC(INDIRECT("'"&amp;A1339&amp;"'!"&amp;B1339))=INDIRECT("'"&amp;A1339&amp;"'!"&amp;B1339),FALSE,TRUE))</f>
        <v>0</v>
      </c>
      <c r="E1339" t="s">
        <v>436</v>
      </c>
      <c r="F1339" t="str">
        <f>INDEX(Lists!I:I,MATCH(Validation!E1339,Lists!G:G,0))</f>
        <v>Error</v>
      </c>
      <c r="G1339" t="str">
        <f>INDEX(Lists!H:H,MATCH(Validation!E1339,Lists!G:G,0))</f>
        <v>Amount must be rounded to the nearest dollar.</v>
      </c>
      <c r="H1339" s="25" t="str">
        <f t="shared" ca="1" si="192"/>
        <v/>
      </c>
      <c r="I1339" s="25" t="str">
        <f t="shared" ca="1" si="193"/>
        <v/>
      </c>
      <c r="J1339" s="26" t="str">
        <f t="shared" ca="1" si="194"/>
        <v/>
      </c>
    </row>
    <row r="1340" spans="1:10" x14ac:dyDescent="0.25">
      <c r="A1340" t="s">
        <v>302</v>
      </c>
      <c r="B1340" t="str">
        <f>ADDRESS(ROW('Bond 1'!$C$26),COLUMN('Bond 1'!$C$26),4)</f>
        <v>C26</v>
      </c>
      <c r="C1340" t="str">
        <f>ADDRESS(ROW('Bond 1'!$D$26),COLUMN('Bond 1'!$D$26),4)</f>
        <v>D26</v>
      </c>
      <c r="D1340" t="b" cm="1">
        <f t="array" aca="1" ref="D1340" ca="1">IF(INDIRECT("'"&amp;A1340&amp;"'!"&amp;B1340)="",FALSE,IF(TRUNC(INDIRECT("'"&amp;A1340&amp;"'!"&amp;B1340))=INDIRECT("'"&amp;A1340&amp;"'!"&amp;B1340),FALSE,TRUE))</f>
        <v>0</v>
      </c>
      <c r="E1340" t="s">
        <v>436</v>
      </c>
      <c r="F1340" t="str">
        <f>INDEX(Lists!I:I,MATCH(Validation!E1340,Lists!G:G,0))</f>
        <v>Error</v>
      </c>
      <c r="G1340" t="str">
        <f>INDEX(Lists!H:H,MATCH(Validation!E1340,Lists!G:G,0))</f>
        <v>Amount must be rounded to the nearest dollar.</v>
      </c>
      <c r="H1340" s="25" t="str">
        <f t="shared" ca="1" si="192"/>
        <v/>
      </c>
      <c r="I1340" s="25" t="str">
        <f t="shared" ca="1" si="193"/>
        <v/>
      </c>
      <c r="J1340" s="26" t="str">
        <f t="shared" ca="1" si="194"/>
        <v/>
      </c>
    </row>
    <row r="1341" spans="1:10" x14ac:dyDescent="0.25">
      <c r="A1341" t="s">
        <v>303</v>
      </c>
      <c r="B1341" t="str">
        <f>ADDRESS(ROW('Bond 1'!$C$26),COLUMN('Bond 1'!$C$26),4)</f>
        <v>C26</v>
      </c>
      <c r="C1341" t="str">
        <f>ADDRESS(ROW('Bond 1'!$D$26),COLUMN('Bond 1'!$D$26),4)</f>
        <v>D26</v>
      </c>
      <c r="D1341" t="b" cm="1">
        <f t="array" aca="1" ref="D1341" ca="1">IF(INDIRECT("'"&amp;A1341&amp;"'!"&amp;B1341)="",FALSE,IF(TRUNC(INDIRECT("'"&amp;A1341&amp;"'!"&amp;B1341))=INDIRECT("'"&amp;A1341&amp;"'!"&amp;B1341),FALSE,TRUE))</f>
        <v>0</v>
      </c>
      <c r="E1341" t="s">
        <v>436</v>
      </c>
      <c r="F1341" t="str">
        <f>INDEX(Lists!I:I,MATCH(Validation!E1341,Lists!G:G,0))</f>
        <v>Error</v>
      </c>
      <c r="G1341" t="str">
        <f>INDEX(Lists!H:H,MATCH(Validation!E1341,Lists!G:G,0))</f>
        <v>Amount must be rounded to the nearest dollar.</v>
      </c>
      <c r="H1341" s="25" t="str">
        <f t="shared" ca="1" si="192"/>
        <v/>
      </c>
      <c r="I1341" s="25" t="str">
        <f t="shared" ca="1" si="193"/>
        <v/>
      </c>
      <c r="J1341" s="26" t="str">
        <f t="shared" ca="1" si="194"/>
        <v/>
      </c>
    </row>
    <row r="1342" spans="1:10" x14ac:dyDescent="0.25">
      <c r="A1342" t="s">
        <v>304</v>
      </c>
      <c r="B1342" t="str">
        <f>ADDRESS(ROW('Bond 1'!$C$26),COLUMN('Bond 1'!$C$26),4)</f>
        <v>C26</v>
      </c>
      <c r="C1342" t="str">
        <f>ADDRESS(ROW('Bond 1'!$D$26),COLUMN('Bond 1'!$D$26),4)</f>
        <v>D26</v>
      </c>
      <c r="D1342" t="b" cm="1">
        <f t="array" aca="1" ref="D1342" ca="1">IF(INDIRECT("'"&amp;A1342&amp;"'!"&amp;B1342)="",FALSE,IF(TRUNC(INDIRECT("'"&amp;A1342&amp;"'!"&amp;B1342))=INDIRECT("'"&amp;A1342&amp;"'!"&amp;B1342),FALSE,TRUE))</f>
        <v>0</v>
      </c>
      <c r="E1342" t="s">
        <v>436</v>
      </c>
      <c r="F1342" t="str">
        <f>INDEX(Lists!I:I,MATCH(Validation!E1342,Lists!G:G,0))</f>
        <v>Error</v>
      </c>
      <c r="G1342" t="str">
        <f>INDEX(Lists!H:H,MATCH(Validation!E1342,Lists!G:G,0))</f>
        <v>Amount must be rounded to the nearest dollar.</v>
      </c>
      <c r="H1342" s="25" t="str">
        <f t="shared" ca="1" si="192"/>
        <v/>
      </c>
      <c r="I1342" s="25" t="str">
        <f t="shared" ca="1" si="193"/>
        <v/>
      </c>
      <c r="J1342" s="26" t="str">
        <f t="shared" ca="1" si="194"/>
        <v/>
      </c>
    </row>
    <row r="1343" spans="1:10" x14ac:dyDescent="0.25">
      <c r="A1343" t="s">
        <v>305</v>
      </c>
      <c r="B1343" t="str">
        <f>ADDRESS(ROW('Bond 1'!$C$26),COLUMN('Bond 1'!$C$26),4)</f>
        <v>C26</v>
      </c>
      <c r="C1343" t="str">
        <f>ADDRESS(ROW('Bond 1'!$D$26),COLUMN('Bond 1'!$D$26),4)</f>
        <v>D26</v>
      </c>
      <c r="D1343" t="b" cm="1">
        <f t="array" aca="1" ref="D1343" ca="1">IF(INDIRECT("'"&amp;A1343&amp;"'!"&amp;B1343)="",FALSE,IF(TRUNC(INDIRECT("'"&amp;A1343&amp;"'!"&amp;B1343))=INDIRECT("'"&amp;A1343&amp;"'!"&amp;B1343),FALSE,TRUE))</f>
        <v>0</v>
      </c>
      <c r="E1343" t="s">
        <v>436</v>
      </c>
      <c r="F1343" t="str">
        <f>INDEX(Lists!I:I,MATCH(Validation!E1343,Lists!G:G,0))</f>
        <v>Error</v>
      </c>
      <c r="G1343" t="str">
        <f>INDEX(Lists!H:H,MATCH(Validation!E1343,Lists!G:G,0))</f>
        <v>Amount must be rounded to the nearest dollar.</v>
      </c>
      <c r="H1343" s="25" t="str">
        <f t="shared" ca="1" si="192"/>
        <v/>
      </c>
      <c r="I1343" s="25" t="str">
        <f t="shared" ca="1" si="193"/>
        <v/>
      </c>
      <c r="J1343" s="26" t="str">
        <f t="shared" ca="1" si="194"/>
        <v/>
      </c>
    </row>
    <row r="1344" spans="1:10" x14ac:dyDescent="0.25">
      <c r="A1344" t="s">
        <v>306</v>
      </c>
      <c r="B1344" t="str">
        <f>ADDRESS(ROW('Bond 1'!$C$26),COLUMN('Bond 1'!$C$26),4)</f>
        <v>C26</v>
      </c>
      <c r="C1344" t="str">
        <f>ADDRESS(ROW('Bond 1'!$D$26),COLUMN('Bond 1'!$D$26),4)</f>
        <v>D26</v>
      </c>
      <c r="D1344" t="b" cm="1">
        <f t="array" aca="1" ref="D1344" ca="1">IF(INDIRECT("'"&amp;A1344&amp;"'!"&amp;B1344)="",FALSE,IF(TRUNC(INDIRECT("'"&amp;A1344&amp;"'!"&amp;B1344))=INDIRECT("'"&amp;A1344&amp;"'!"&amp;B1344),FALSE,TRUE))</f>
        <v>0</v>
      </c>
      <c r="E1344" t="s">
        <v>436</v>
      </c>
      <c r="F1344" t="str">
        <f>INDEX(Lists!I:I,MATCH(Validation!E1344,Lists!G:G,0))</f>
        <v>Error</v>
      </c>
      <c r="G1344" t="str">
        <f>INDEX(Lists!H:H,MATCH(Validation!E1344,Lists!G:G,0))</f>
        <v>Amount must be rounded to the nearest dollar.</v>
      </c>
      <c r="H1344" s="25" t="str">
        <f t="shared" ca="1" si="192"/>
        <v/>
      </c>
      <c r="I1344" s="25" t="str">
        <f t="shared" ca="1" si="193"/>
        <v/>
      </c>
      <c r="J1344" s="26" t="str">
        <f t="shared" ca="1" si="194"/>
        <v/>
      </c>
    </row>
    <row r="1345" spans="1:10" x14ac:dyDescent="0.25">
      <c r="A1345" t="s">
        <v>307</v>
      </c>
      <c r="B1345" t="str">
        <f>ADDRESS(ROW('Bond 1'!$C$26),COLUMN('Bond 1'!$C$26),4)</f>
        <v>C26</v>
      </c>
      <c r="C1345" t="str">
        <f>ADDRESS(ROW('Bond 1'!$D$26),COLUMN('Bond 1'!$D$26),4)</f>
        <v>D26</v>
      </c>
      <c r="D1345" t="b" cm="1">
        <f t="array" aca="1" ref="D1345" ca="1">IF(INDIRECT("'"&amp;A1345&amp;"'!"&amp;B1345)="",FALSE,IF(TRUNC(INDIRECT("'"&amp;A1345&amp;"'!"&amp;B1345))=INDIRECT("'"&amp;A1345&amp;"'!"&amp;B1345),FALSE,TRUE))</f>
        <v>0</v>
      </c>
      <c r="E1345" t="s">
        <v>436</v>
      </c>
      <c r="F1345" t="str">
        <f>INDEX(Lists!I:I,MATCH(Validation!E1345,Lists!G:G,0))</f>
        <v>Error</v>
      </c>
      <c r="G1345" t="str">
        <f>INDEX(Lists!H:H,MATCH(Validation!E1345,Lists!G:G,0))</f>
        <v>Amount must be rounded to the nearest dollar.</v>
      </c>
      <c r="H1345" s="25" t="str">
        <f t="shared" ca="1" si="192"/>
        <v/>
      </c>
      <c r="I1345" s="25" t="str">
        <f t="shared" ca="1" si="193"/>
        <v/>
      </c>
      <c r="J1345" s="26" t="str">
        <f t="shared" ca="1" si="194"/>
        <v/>
      </c>
    </row>
    <row r="1346" spans="1:10" x14ac:dyDescent="0.25">
      <c r="A1346" t="s">
        <v>308</v>
      </c>
      <c r="B1346" t="str">
        <f>ADDRESS(ROW('Bond 1'!$C$26),COLUMN('Bond 1'!$C$26),4)</f>
        <v>C26</v>
      </c>
      <c r="C1346" t="str">
        <f>ADDRESS(ROW('Bond 1'!$D$26),COLUMN('Bond 1'!$D$26),4)</f>
        <v>D26</v>
      </c>
      <c r="D1346" t="b" cm="1">
        <f t="array" aca="1" ref="D1346" ca="1">IF(INDIRECT("'"&amp;A1346&amp;"'!"&amp;B1346)="",FALSE,IF(TRUNC(INDIRECT("'"&amp;A1346&amp;"'!"&amp;B1346))=INDIRECT("'"&amp;A1346&amp;"'!"&amp;B1346),FALSE,TRUE))</f>
        <v>0</v>
      </c>
      <c r="E1346" t="s">
        <v>436</v>
      </c>
      <c r="F1346" t="str">
        <f>INDEX(Lists!I:I,MATCH(Validation!E1346,Lists!G:G,0))</f>
        <v>Error</v>
      </c>
      <c r="G1346" t="str">
        <f>INDEX(Lists!H:H,MATCH(Validation!E1346,Lists!G:G,0))</f>
        <v>Amount must be rounded to the nearest dollar.</v>
      </c>
      <c r="H1346" s="25" t="str">
        <f t="shared" ca="1" si="192"/>
        <v/>
      </c>
      <c r="I1346" s="25" t="str">
        <f t="shared" ca="1" si="193"/>
        <v/>
      </c>
      <c r="J1346" s="26" t="str">
        <f t="shared" ca="1" si="194"/>
        <v/>
      </c>
    </row>
    <row r="1347" spans="1:10" x14ac:dyDescent="0.25">
      <c r="A1347" t="s">
        <v>309</v>
      </c>
      <c r="B1347" t="str">
        <f>ADDRESS(ROW('Bond 1'!$C$26),COLUMN('Bond 1'!$C$26),4)</f>
        <v>C26</v>
      </c>
      <c r="C1347" t="str">
        <f>ADDRESS(ROW('Bond 1'!$D$26),COLUMN('Bond 1'!$D$26),4)</f>
        <v>D26</v>
      </c>
      <c r="D1347" t="b" cm="1">
        <f t="array" aca="1" ref="D1347" ca="1">IF(INDIRECT("'"&amp;A1347&amp;"'!"&amp;B1347)="",FALSE,IF(TRUNC(INDIRECT("'"&amp;A1347&amp;"'!"&amp;B1347))=INDIRECT("'"&amp;A1347&amp;"'!"&amp;B1347),FALSE,TRUE))</f>
        <v>0</v>
      </c>
      <c r="E1347" t="s">
        <v>436</v>
      </c>
      <c r="F1347" t="str">
        <f>INDEX(Lists!I:I,MATCH(Validation!E1347,Lists!G:G,0))</f>
        <v>Error</v>
      </c>
      <c r="G1347" t="str">
        <f>INDEX(Lists!H:H,MATCH(Validation!E1347,Lists!G:G,0))</f>
        <v>Amount must be rounded to the nearest dollar.</v>
      </c>
      <c r="H1347" s="25" t="str">
        <f t="shared" ca="1" si="192"/>
        <v/>
      </c>
      <c r="I1347" s="25" t="str">
        <f t="shared" ca="1" si="193"/>
        <v/>
      </c>
      <c r="J1347" s="26" t="str">
        <f t="shared" ca="1" si="194"/>
        <v/>
      </c>
    </row>
    <row r="1348" spans="1:10" x14ac:dyDescent="0.25">
      <c r="A1348" t="s">
        <v>310</v>
      </c>
      <c r="B1348" t="str">
        <f>ADDRESS(ROW('Bond 1'!$C$26),COLUMN('Bond 1'!$C$26),4)</f>
        <v>C26</v>
      </c>
      <c r="C1348" t="str">
        <f>ADDRESS(ROW('Bond 1'!$D$26),COLUMN('Bond 1'!$D$26),4)</f>
        <v>D26</v>
      </c>
      <c r="D1348" t="b" cm="1">
        <f t="array" aca="1" ref="D1348" ca="1">IF(INDIRECT("'"&amp;A1348&amp;"'!"&amp;B1348)="",FALSE,IF(TRUNC(INDIRECT("'"&amp;A1348&amp;"'!"&amp;B1348))=INDIRECT("'"&amp;A1348&amp;"'!"&amp;B1348),FALSE,TRUE))</f>
        <v>0</v>
      </c>
      <c r="E1348" t="s">
        <v>436</v>
      </c>
      <c r="F1348" t="str">
        <f>INDEX(Lists!I:I,MATCH(Validation!E1348,Lists!G:G,0))</f>
        <v>Error</v>
      </c>
      <c r="G1348" t="str">
        <f>INDEX(Lists!H:H,MATCH(Validation!E1348,Lists!G:G,0))</f>
        <v>Amount must be rounded to the nearest dollar.</v>
      </c>
      <c r="H1348" s="25" t="str">
        <f t="shared" ca="1" si="192"/>
        <v/>
      </c>
      <c r="I1348" s="25" t="str">
        <f t="shared" ca="1" si="193"/>
        <v/>
      </c>
      <c r="J1348" s="26" t="str">
        <f t="shared" ca="1" si="194"/>
        <v/>
      </c>
    </row>
    <row r="1349" spans="1:10" x14ac:dyDescent="0.25">
      <c r="A1349" t="s">
        <v>311</v>
      </c>
      <c r="B1349" t="str">
        <f>ADDRESS(ROW('Bond 1'!$C$26),COLUMN('Bond 1'!$C$26),4)</f>
        <v>C26</v>
      </c>
      <c r="C1349" t="str">
        <f>ADDRESS(ROW('Bond 1'!$D$26),COLUMN('Bond 1'!$D$26),4)</f>
        <v>D26</v>
      </c>
      <c r="D1349" t="b" cm="1">
        <f t="array" aca="1" ref="D1349" ca="1">IF(INDIRECT("'"&amp;A1349&amp;"'!"&amp;B1349)="",FALSE,IF(TRUNC(INDIRECT("'"&amp;A1349&amp;"'!"&amp;B1349))=INDIRECT("'"&amp;A1349&amp;"'!"&amp;B1349),FALSE,TRUE))</f>
        <v>0</v>
      </c>
      <c r="E1349" t="s">
        <v>436</v>
      </c>
      <c r="F1349" t="str">
        <f>INDEX(Lists!I:I,MATCH(Validation!E1349,Lists!G:G,0))</f>
        <v>Error</v>
      </c>
      <c r="G1349" t="str">
        <f>INDEX(Lists!H:H,MATCH(Validation!E1349,Lists!G:G,0))</f>
        <v>Amount must be rounded to the nearest dollar.</v>
      </c>
      <c r="H1349" s="25" t="str">
        <f t="shared" ca="1" si="192"/>
        <v/>
      </c>
      <c r="I1349" s="25" t="str">
        <f t="shared" ca="1" si="193"/>
        <v/>
      </c>
      <c r="J1349" s="26" t="str">
        <f t="shared" ca="1" si="194"/>
        <v/>
      </c>
    </row>
    <row r="1350" spans="1:10" x14ac:dyDescent="0.25">
      <c r="A1350" t="s">
        <v>312</v>
      </c>
      <c r="B1350" t="str">
        <f>ADDRESS(ROW('Bond 1'!$C$26),COLUMN('Bond 1'!$C$26),4)</f>
        <v>C26</v>
      </c>
      <c r="C1350" t="str">
        <f>ADDRESS(ROW('Bond 1'!$D$26),COLUMN('Bond 1'!$D$26),4)</f>
        <v>D26</v>
      </c>
      <c r="D1350" t="b" cm="1">
        <f t="array" aca="1" ref="D1350" ca="1">IF(INDIRECT("'"&amp;A1350&amp;"'!"&amp;B1350)="",FALSE,IF(TRUNC(INDIRECT("'"&amp;A1350&amp;"'!"&amp;B1350))=INDIRECT("'"&amp;A1350&amp;"'!"&amp;B1350),FALSE,TRUE))</f>
        <v>0</v>
      </c>
      <c r="E1350" t="s">
        <v>436</v>
      </c>
      <c r="F1350" t="str">
        <f>INDEX(Lists!I:I,MATCH(Validation!E1350,Lists!G:G,0))</f>
        <v>Error</v>
      </c>
      <c r="G1350" t="str">
        <f>INDEX(Lists!H:H,MATCH(Validation!E1350,Lists!G:G,0))</f>
        <v>Amount must be rounded to the nearest dollar.</v>
      </c>
      <c r="H1350" s="25" t="str">
        <f t="shared" ca="1" si="192"/>
        <v/>
      </c>
      <c r="I1350" s="25" t="str">
        <f t="shared" ca="1" si="193"/>
        <v/>
      </c>
      <c r="J1350" s="26" t="str">
        <f t="shared" ca="1" si="194"/>
        <v/>
      </c>
    </row>
    <row r="1351" spans="1:10" x14ac:dyDescent="0.25">
      <c r="A1351" t="s">
        <v>313</v>
      </c>
      <c r="B1351" t="str">
        <f>ADDRESS(ROW('Bond 1'!$C$26),COLUMN('Bond 1'!$C$26),4)</f>
        <v>C26</v>
      </c>
      <c r="C1351" t="str">
        <f>ADDRESS(ROW('Bond 1'!$D$26),COLUMN('Bond 1'!$D$26),4)</f>
        <v>D26</v>
      </c>
      <c r="D1351" t="b" cm="1">
        <f t="array" aca="1" ref="D1351" ca="1">IF(INDIRECT("'"&amp;A1351&amp;"'!"&amp;B1351)="",FALSE,IF(TRUNC(INDIRECT("'"&amp;A1351&amp;"'!"&amp;B1351))=INDIRECT("'"&amp;A1351&amp;"'!"&amp;B1351),FALSE,TRUE))</f>
        <v>0</v>
      </c>
      <c r="E1351" t="s">
        <v>436</v>
      </c>
      <c r="F1351" t="str">
        <f>INDEX(Lists!I:I,MATCH(Validation!E1351,Lists!G:G,0))</f>
        <v>Error</v>
      </c>
      <c r="G1351" t="str">
        <f>INDEX(Lists!H:H,MATCH(Validation!E1351,Lists!G:G,0))</f>
        <v>Amount must be rounded to the nearest dollar.</v>
      </c>
      <c r="H1351" s="25" t="str">
        <f t="shared" ca="1" si="192"/>
        <v/>
      </c>
      <c r="I1351" s="25" t="str">
        <f t="shared" ca="1" si="193"/>
        <v/>
      </c>
      <c r="J1351" s="26" t="str">
        <f t="shared" ca="1" si="194"/>
        <v/>
      </c>
    </row>
    <row r="1352" spans="1:10" x14ac:dyDescent="0.25">
      <c r="A1352" t="s">
        <v>314</v>
      </c>
      <c r="B1352" t="str">
        <f>ADDRESS(ROW('Bond 1'!$C$26),COLUMN('Bond 1'!$C$26),4)</f>
        <v>C26</v>
      </c>
      <c r="C1352" t="str">
        <f>ADDRESS(ROW('Bond 1'!$D$26),COLUMN('Bond 1'!$D$26),4)</f>
        <v>D26</v>
      </c>
      <c r="D1352" t="b" cm="1">
        <f t="array" aca="1" ref="D1352" ca="1">IF(INDIRECT("'"&amp;A1352&amp;"'!"&amp;B1352)="",FALSE,IF(TRUNC(INDIRECT("'"&amp;A1352&amp;"'!"&amp;B1352))=INDIRECT("'"&amp;A1352&amp;"'!"&amp;B1352),FALSE,TRUE))</f>
        <v>0</v>
      </c>
      <c r="E1352" t="s">
        <v>436</v>
      </c>
      <c r="F1352" t="str">
        <f>INDEX(Lists!I:I,MATCH(Validation!E1352,Lists!G:G,0))</f>
        <v>Error</v>
      </c>
      <c r="G1352" t="str">
        <f>INDEX(Lists!H:H,MATCH(Validation!E1352,Lists!G:G,0))</f>
        <v>Amount must be rounded to the nearest dollar.</v>
      </c>
      <c r="H1352" s="25" t="str">
        <f t="shared" ca="1" si="192"/>
        <v/>
      </c>
      <c r="I1352" s="25" t="str">
        <f t="shared" ca="1" si="193"/>
        <v/>
      </c>
      <c r="J1352" s="26" t="str">
        <f t="shared" ca="1" si="194"/>
        <v/>
      </c>
    </row>
    <row r="1353" spans="1:10" x14ac:dyDescent="0.25">
      <c r="A1353" t="s">
        <v>315</v>
      </c>
      <c r="B1353" t="str">
        <f>ADDRESS(ROW('Bond 1'!$C$26),COLUMN('Bond 1'!$C$26),4)</f>
        <v>C26</v>
      </c>
      <c r="C1353" t="str">
        <f>ADDRESS(ROW('Bond 1'!$D$26),COLUMN('Bond 1'!$D$26),4)</f>
        <v>D26</v>
      </c>
      <c r="D1353" t="b" cm="1">
        <f t="array" aca="1" ref="D1353" ca="1">IF(INDIRECT("'"&amp;A1353&amp;"'!"&amp;B1353)="",FALSE,IF(TRUNC(INDIRECT("'"&amp;A1353&amp;"'!"&amp;B1353))=INDIRECT("'"&amp;A1353&amp;"'!"&amp;B1353),FALSE,TRUE))</f>
        <v>0</v>
      </c>
      <c r="E1353" t="s">
        <v>436</v>
      </c>
      <c r="F1353" t="str">
        <f>INDEX(Lists!I:I,MATCH(Validation!E1353,Lists!G:G,0))</f>
        <v>Error</v>
      </c>
      <c r="G1353" t="str">
        <f>INDEX(Lists!H:H,MATCH(Validation!E1353,Lists!G:G,0))</f>
        <v>Amount must be rounded to the nearest dollar.</v>
      </c>
      <c r="H1353" s="25" t="str">
        <f t="shared" ca="1" si="192"/>
        <v/>
      </c>
      <c r="I1353" s="25" t="str">
        <f t="shared" ca="1" si="193"/>
        <v/>
      </c>
      <c r="J1353" s="26" t="str">
        <f t="shared" ca="1" si="194"/>
        <v/>
      </c>
    </row>
    <row r="1354" spans="1:10" x14ac:dyDescent="0.25">
      <c r="A1354" t="s">
        <v>198</v>
      </c>
      <c r="B1354" t="str">
        <f>ADDRESS(ROW('Bond 1'!$B$27),COLUMN('Bond 1'!$B$27),4)</f>
        <v>B27</v>
      </c>
      <c r="C1354" t="str">
        <f>ADDRESS(ROW('Bond 1'!$D$27),COLUMN('Bond 1'!$D$27),4)</f>
        <v>D27</v>
      </c>
      <c r="D1354" t="b" cm="1">
        <f t="array" aca="1" ref="D1354" ca="1">IF(INDIRECT("'"&amp;A1354&amp;"'!"&amp;B1354)="",FALSE,IF(NOT(ISNUMBER(INDIRECT("'"&amp;A1354&amp;"'!"&amp;B1354))),TRUE,FALSE))</f>
        <v>0</v>
      </c>
      <c r="E1354" t="s">
        <v>435</v>
      </c>
      <c r="F1354" t="str">
        <f>INDEX(Lists!I:I,MATCH(Validation!E1354,Lists!G:G,0))</f>
        <v>Error</v>
      </c>
      <c r="G1354" t="str">
        <f>INDEX(Lists!H:H,MATCH(Validation!E1354,Lists!G:G,0))</f>
        <v>Enter an amount only. Do not enter text or spaces.</v>
      </c>
      <c r="H1354" s="25" t="str">
        <f t="shared" ca="1" si="192"/>
        <v/>
      </c>
      <c r="I1354" s="25" t="str">
        <f t="shared" ca="1" si="193"/>
        <v/>
      </c>
      <c r="J1354" s="26" t="str">
        <f t="shared" ca="1" si="194"/>
        <v/>
      </c>
    </row>
    <row r="1355" spans="1:10" x14ac:dyDescent="0.25">
      <c r="A1355" t="s">
        <v>302</v>
      </c>
      <c r="B1355" t="str">
        <f>ADDRESS(ROW('Bond 1'!$B$27),COLUMN('Bond 1'!$B$27),4)</f>
        <v>B27</v>
      </c>
      <c r="C1355" t="str">
        <f>ADDRESS(ROW('Bond 1'!$D$27),COLUMN('Bond 1'!$D$27),4)</f>
        <v>D27</v>
      </c>
      <c r="D1355" t="b" cm="1">
        <f t="array" aca="1" ref="D1355" ca="1">IF(INDIRECT("'"&amp;A1355&amp;"'!"&amp;B1355)="",FALSE,IF(NOT(ISNUMBER(INDIRECT("'"&amp;A1355&amp;"'!"&amp;B1355))),TRUE,FALSE))</f>
        <v>0</v>
      </c>
      <c r="E1355" t="s">
        <v>435</v>
      </c>
      <c r="F1355" t="str">
        <f>INDEX(Lists!I:I,MATCH(Validation!E1355,Lists!G:G,0))</f>
        <v>Error</v>
      </c>
      <c r="G1355" t="str">
        <f>INDEX(Lists!H:H,MATCH(Validation!E1355,Lists!G:G,0))</f>
        <v>Enter an amount only. Do not enter text or spaces.</v>
      </c>
      <c r="H1355" s="25" t="str">
        <f t="shared" ca="1" si="192"/>
        <v/>
      </c>
      <c r="I1355" s="25" t="str">
        <f t="shared" ca="1" si="193"/>
        <v/>
      </c>
      <c r="J1355" s="26" t="str">
        <f t="shared" ca="1" si="194"/>
        <v/>
      </c>
    </row>
    <row r="1356" spans="1:10" x14ac:dyDescent="0.25">
      <c r="A1356" t="s">
        <v>303</v>
      </c>
      <c r="B1356" t="str">
        <f>ADDRESS(ROW('Bond 1'!$B$27),COLUMN('Bond 1'!$B$27),4)</f>
        <v>B27</v>
      </c>
      <c r="C1356" t="str">
        <f>ADDRESS(ROW('Bond 1'!$D$27),COLUMN('Bond 1'!$D$27),4)</f>
        <v>D27</v>
      </c>
      <c r="D1356" t="b" cm="1">
        <f t="array" aca="1" ref="D1356" ca="1">IF(INDIRECT("'"&amp;A1356&amp;"'!"&amp;B1356)="",FALSE,IF(NOT(ISNUMBER(INDIRECT("'"&amp;A1356&amp;"'!"&amp;B1356))),TRUE,FALSE))</f>
        <v>0</v>
      </c>
      <c r="E1356" t="s">
        <v>435</v>
      </c>
      <c r="F1356" t="str">
        <f>INDEX(Lists!I:I,MATCH(Validation!E1356,Lists!G:G,0))</f>
        <v>Error</v>
      </c>
      <c r="G1356" t="str">
        <f>INDEX(Lists!H:H,MATCH(Validation!E1356,Lists!G:G,0))</f>
        <v>Enter an amount only. Do not enter text or spaces.</v>
      </c>
      <c r="H1356" s="25" t="str">
        <f t="shared" ca="1" si="192"/>
        <v/>
      </c>
      <c r="I1356" s="25" t="str">
        <f t="shared" ca="1" si="193"/>
        <v/>
      </c>
      <c r="J1356" s="26" t="str">
        <f t="shared" ca="1" si="194"/>
        <v/>
      </c>
    </row>
    <row r="1357" spans="1:10" x14ac:dyDescent="0.25">
      <c r="A1357" t="s">
        <v>304</v>
      </c>
      <c r="B1357" t="str">
        <f>ADDRESS(ROW('Bond 1'!$B$27),COLUMN('Bond 1'!$B$27),4)</f>
        <v>B27</v>
      </c>
      <c r="C1357" t="str">
        <f>ADDRESS(ROW('Bond 1'!$D$27),COLUMN('Bond 1'!$D$27),4)</f>
        <v>D27</v>
      </c>
      <c r="D1357" t="b" cm="1">
        <f t="array" aca="1" ref="D1357" ca="1">IF(INDIRECT("'"&amp;A1357&amp;"'!"&amp;B1357)="",FALSE,IF(NOT(ISNUMBER(INDIRECT("'"&amp;A1357&amp;"'!"&amp;B1357))),TRUE,FALSE))</f>
        <v>0</v>
      </c>
      <c r="E1357" t="s">
        <v>435</v>
      </c>
      <c r="F1357" t="str">
        <f>INDEX(Lists!I:I,MATCH(Validation!E1357,Lists!G:G,0))</f>
        <v>Error</v>
      </c>
      <c r="G1357" t="str">
        <f>INDEX(Lists!H:H,MATCH(Validation!E1357,Lists!G:G,0))</f>
        <v>Enter an amount only. Do not enter text or spaces.</v>
      </c>
      <c r="H1357" s="25" t="str">
        <f t="shared" ca="1" si="192"/>
        <v/>
      </c>
      <c r="I1357" s="25" t="str">
        <f t="shared" ca="1" si="193"/>
        <v/>
      </c>
      <c r="J1357" s="26" t="str">
        <f t="shared" ca="1" si="194"/>
        <v/>
      </c>
    </row>
    <row r="1358" spans="1:10" x14ac:dyDescent="0.25">
      <c r="A1358" t="s">
        <v>305</v>
      </c>
      <c r="B1358" t="str">
        <f>ADDRESS(ROW('Bond 1'!$B$27),COLUMN('Bond 1'!$B$27),4)</f>
        <v>B27</v>
      </c>
      <c r="C1358" t="str">
        <f>ADDRESS(ROW('Bond 1'!$D$27),COLUMN('Bond 1'!$D$27),4)</f>
        <v>D27</v>
      </c>
      <c r="D1358" t="b" cm="1">
        <f t="array" aca="1" ref="D1358" ca="1">IF(INDIRECT("'"&amp;A1358&amp;"'!"&amp;B1358)="",FALSE,IF(NOT(ISNUMBER(INDIRECT("'"&amp;A1358&amp;"'!"&amp;B1358))),TRUE,FALSE))</f>
        <v>0</v>
      </c>
      <c r="E1358" t="s">
        <v>435</v>
      </c>
      <c r="F1358" t="str">
        <f>INDEX(Lists!I:I,MATCH(Validation!E1358,Lists!G:G,0))</f>
        <v>Error</v>
      </c>
      <c r="G1358" t="str">
        <f>INDEX(Lists!H:H,MATCH(Validation!E1358,Lists!G:G,0))</f>
        <v>Enter an amount only. Do not enter text or spaces.</v>
      </c>
      <c r="H1358" s="25" t="str">
        <f t="shared" ca="1" si="192"/>
        <v/>
      </c>
      <c r="I1358" s="25" t="str">
        <f t="shared" ca="1" si="193"/>
        <v/>
      </c>
      <c r="J1358" s="26" t="str">
        <f t="shared" ca="1" si="194"/>
        <v/>
      </c>
    </row>
    <row r="1359" spans="1:10" x14ac:dyDescent="0.25">
      <c r="A1359" t="s">
        <v>306</v>
      </c>
      <c r="B1359" t="str">
        <f>ADDRESS(ROW('Bond 1'!$B$27),COLUMN('Bond 1'!$B$27),4)</f>
        <v>B27</v>
      </c>
      <c r="C1359" t="str">
        <f>ADDRESS(ROW('Bond 1'!$D$27),COLUMN('Bond 1'!$D$27),4)</f>
        <v>D27</v>
      </c>
      <c r="D1359" t="b" cm="1">
        <f t="array" aca="1" ref="D1359" ca="1">IF(INDIRECT("'"&amp;A1359&amp;"'!"&amp;B1359)="",FALSE,IF(NOT(ISNUMBER(INDIRECT("'"&amp;A1359&amp;"'!"&amp;B1359))),TRUE,FALSE))</f>
        <v>0</v>
      </c>
      <c r="E1359" t="s">
        <v>435</v>
      </c>
      <c r="F1359" t="str">
        <f>INDEX(Lists!I:I,MATCH(Validation!E1359,Lists!G:G,0))</f>
        <v>Error</v>
      </c>
      <c r="G1359" t="str">
        <f>INDEX(Lists!H:H,MATCH(Validation!E1359,Lists!G:G,0))</f>
        <v>Enter an amount only. Do not enter text or spaces.</v>
      </c>
      <c r="H1359" s="25" t="str">
        <f t="shared" ca="1" si="192"/>
        <v/>
      </c>
      <c r="I1359" s="25" t="str">
        <f t="shared" ca="1" si="193"/>
        <v/>
      </c>
      <c r="J1359" s="26" t="str">
        <f t="shared" ca="1" si="194"/>
        <v/>
      </c>
    </row>
    <row r="1360" spans="1:10" x14ac:dyDescent="0.25">
      <c r="A1360" t="s">
        <v>307</v>
      </c>
      <c r="B1360" t="str">
        <f>ADDRESS(ROW('Bond 1'!$B$27),COLUMN('Bond 1'!$B$27),4)</f>
        <v>B27</v>
      </c>
      <c r="C1360" t="str">
        <f>ADDRESS(ROW('Bond 1'!$D$27),COLUMN('Bond 1'!$D$27),4)</f>
        <v>D27</v>
      </c>
      <c r="D1360" t="b" cm="1">
        <f t="array" aca="1" ref="D1360" ca="1">IF(INDIRECT("'"&amp;A1360&amp;"'!"&amp;B1360)="",FALSE,IF(NOT(ISNUMBER(INDIRECT("'"&amp;A1360&amp;"'!"&amp;B1360))),TRUE,FALSE))</f>
        <v>0</v>
      </c>
      <c r="E1360" t="s">
        <v>435</v>
      </c>
      <c r="F1360" t="str">
        <f>INDEX(Lists!I:I,MATCH(Validation!E1360,Lists!G:G,0))</f>
        <v>Error</v>
      </c>
      <c r="G1360" t="str">
        <f>INDEX(Lists!H:H,MATCH(Validation!E1360,Lists!G:G,0))</f>
        <v>Enter an amount only. Do not enter text or spaces.</v>
      </c>
      <c r="H1360" s="25" t="str">
        <f t="shared" ca="1" si="192"/>
        <v/>
      </c>
      <c r="I1360" s="25" t="str">
        <f t="shared" ca="1" si="193"/>
        <v/>
      </c>
      <c r="J1360" s="26" t="str">
        <f t="shared" ca="1" si="194"/>
        <v/>
      </c>
    </row>
    <row r="1361" spans="1:10" x14ac:dyDescent="0.25">
      <c r="A1361" t="s">
        <v>308</v>
      </c>
      <c r="B1361" t="str">
        <f>ADDRESS(ROW('Bond 1'!$B$27),COLUMN('Bond 1'!$B$27),4)</f>
        <v>B27</v>
      </c>
      <c r="C1361" t="str">
        <f>ADDRESS(ROW('Bond 1'!$D$27),COLUMN('Bond 1'!$D$27),4)</f>
        <v>D27</v>
      </c>
      <c r="D1361" t="b" cm="1">
        <f t="array" aca="1" ref="D1361" ca="1">IF(INDIRECT("'"&amp;A1361&amp;"'!"&amp;B1361)="",FALSE,IF(NOT(ISNUMBER(INDIRECT("'"&amp;A1361&amp;"'!"&amp;B1361))),TRUE,FALSE))</f>
        <v>0</v>
      </c>
      <c r="E1361" t="s">
        <v>435</v>
      </c>
      <c r="F1361" t="str">
        <f>INDEX(Lists!I:I,MATCH(Validation!E1361,Lists!G:G,0))</f>
        <v>Error</v>
      </c>
      <c r="G1361" t="str">
        <f>INDEX(Lists!H:H,MATCH(Validation!E1361,Lists!G:G,0))</f>
        <v>Enter an amount only. Do not enter text or spaces.</v>
      </c>
      <c r="H1361" s="25" t="str">
        <f t="shared" ca="1" si="192"/>
        <v/>
      </c>
      <c r="I1361" s="25" t="str">
        <f t="shared" ca="1" si="193"/>
        <v/>
      </c>
      <c r="J1361" s="26" t="str">
        <f t="shared" ca="1" si="194"/>
        <v/>
      </c>
    </row>
    <row r="1362" spans="1:10" x14ac:dyDescent="0.25">
      <c r="A1362" t="s">
        <v>309</v>
      </c>
      <c r="B1362" t="str">
        <f>ADDRESS(ROW('Bond 1'!$B$27),COLUMN('Bond 1'!$B$27),4)</f>
        <v>B27</v>
      </c>
      <c r="C1362" t="str">
        <f>ADDRESS(ROW('Bond 1'!$D$27),COLUMN('Bond 1'!$D$27),4)</f>
        <v>D27</v>
      </c>
      <c r="D1362" t="b" cm="1">
        <f t="array" aca="1" ref="D1362" ca="1">IF(INDIRECT("'"&amp;A1362&amp;"'!"&amp;B1362)="",FALSE,IF(NOT(ISNUMBER(INDIRECT("'"&amp;A1362&amp;"'!"&amp;B1362))),TRUE,FALSE))</f>
        <v>0</v>
      </c>
      <c r="E1362" t="s">
        <v>435</v>
      </c>
      <c r="F1362" t="str">
        <f>INDEX(Lists!I:I,MATCH(Validation!E1362,Lists!G:G,0))</f>
        <v>Error</v>
      </c>
      <c r="G1362" t="str">
        <f>INDEX(Lists!H:H,MATCH(Validation!E1362,Lists!G:G,0))</f>
        <v>Enter an amount only. Do not enter text or spaces.</v>
      </c>
      <c r="H1362" s="25" t="str">
        <f t="shared" ca="1" si="192"/>
        <v/>
      </c>
      <c r="I1362" s="25" t="str">
        <f t="shared" ca="1" si="193"/>
        <v/>
      </c>
      <c r="J1362" s="26" t="str">
        <f t="shared" ca="1" si="194"/>
        <v/>
      </c>
    </row>
    <row r="1363" spans="1:10" x14ac:dyDescent="0.25">
      <c r="A1363" t="s">
        <v>310</v>
      </c>
      <c r="B1363" t="str">
        <f>ADDRESS(ROW('Bond 1'!$B$27),COLUMN('Bond 1'!$B$27),4)</f>
        <v>B27</v>
      </c>
      <c r="C1363" t="str">
        <f>ADDRESS(ROW('Bond 1'!$D$27),COLUMN('Bond 1'!$D$27),4)</f>
        <v>D27</v>
      </c>
      <c r="D1363" t="b" cm="1">
        <f t="array" aca="1" ref="D1363" ca="1">IF(INDIRECT("'"&amp;A1363&amp;"'!"&amp;B1363)="",FALSE,IF(NOT(ISNUMBER(INDIRECT("'"&amp;A1363&amp;"'!"&amp;B1363))),TRUE,FALSE))</f>
        <v>0</v>
      </c>
      <c r="E1363" t="s">
        <v>435</v>
      </c>
      <c r="F1363" t="str">
        <f>INDEX(Lists!I:I,MATCH(Validation!E1363,Lists!G:G,0))</f>
        <v>Error</v>
      </c>
      <c r="G1363" t="str">
        <f>INDEX(Lists!H:H,MATCH(Validation!E1363,Lists!G:G,0))</f>
        <v>Enter an amount only. Do not enter text or spaces.</v>
      </c>
      <c r="H1363" s="25" t="str">
        <f t="shared" ca="1" si="192"/>
        <v/>
      </c>
      <c r="I1363" s="25" t="str">
        <f t="shared" ca="1" si="193"/>
        <v/>
      </c>
      <c r="J1363" s="26" t="str">
        <f t="shared" ca="1" si="194"/>
        <v/>
      </c>
    </row>
    <row r="1364" spans="1:10" x14ac:dyDescent="0.25">
      <c r="A1364" t="s">
        <v>311</v>
      </c>
      <c r="B1364" t="str">
        <f>ADDRESS(ROW('Bond 1'!$B$27),COLUMN('Bond 1'!$B$27),4)</f>
        <v>B27</v>
      </c>
      <c r="C1364" t="str">
        <f>ADDRESS(ROW('Bond 1'!$D$27),COLUMN('Bond 1'!$D$27),4)</f>
        <v>D27</v>
      </c>
      <c r="D1364" t="b" cm="1">
        <f t="array" aca="1" ref="D1364" ca="1">IF(INDIRECT("'"&amp;A1364&amp;"'!"&amp;B1364)="",FALSE,IF(NOT(ISNUMBER(INDIRECT("'"&amp;A1364&amp;"'!"&amp;B1364))),TRUE,FALSE))</f>
        <v>0</v>
      </c>
      <c r="E1364" t="s">
        <v>435</v>
      </c>
      <c r="F1364" t="str">
        <f>INDEX(Lists!I:I,MATCH(Validation!E1364,Lists!G:G,0))</f>
        <v>Error</v>
      </c>
      <c r="G1364" t="str">
        <f>INDEX(Lists!H:H,MATCH(Validation!E1364,Lists!G:G,0))</f>
        <v>Enter an amount only. Do not enter text or spaces.</v>
      </c>
      <c r="H1364" s="25" t="str">
        <f t="shared" ca="1" si="192"/>
        <v/>
      </c>
      <c r="I1364" s="25" t="str">
        <f t="shared" ca="1" si="193"/>
        <v/>
      </c>
      <c r="J1364" s="26" t="str">
        <f t="shared" ca="1" si="194"/>
        <v/>
      </c>
    </row>
    <row r="1365" spans="1:10" x14ac:dyDescent="0.25">
      <c r="A1365" t="s">
        <v>312</v>
      </c>
      <c r="B1365" t="str">
        <f>ADDRESS(ROW('Bond 1'!$B$27),COLUMN('Bond 1'!$B$27),4)</f>
        <v>B27</v>
      </c>
      <c r="C1365" t="str">
        <f>ADDRESS(ROW('Bond 1'!$D$27),COLUMN('Bond 1'!$D$27),4)</f>
        <v>D27</v>
      </c>
      <c r="D1365" t="b" cm="1">
        <f t="array" aca="1" ref="D1365" ca="1">IF(INDIRECT("'"&amp;A1365&amp;"'!"&amp;B1365)="",FALSE,IF(NOT(ISNUMBER(INDIRECT("'"&amp;A1365&amp;"'!"&amp;B1365))),TRUE,FALSE))</f>
        <v>0</v>
      </c>
      <c r="E1365" t="s">
        <v>435</v>
      </c>
      <c r="F1365" t="str">
        <f>INDEX(Lists!I:I,MATCH(Validation!E1365,Lists!G:G,0))</f>
        <v>Error</v>
      </c>
      <c r="G1365" t="str">
        <f>INDEX(Lists!H:H,MATCH(Validation!E1365,Lists!G:G,0))</f>
        <v>Enter an amount only. Do not enter text or spaces.</v>
      </c>
      <c r="H1365" s="25" t="str">
        <f t="shared" ca="1" si="192"/>
        <v/>
      </c>
      <c r="I1365" s="25" t="str">
        <f t="shared" ca="1" si="193"/>
        <v/>
      </c>
      <c r="J1365" s="26" t="str">
        <f t="shared" ca="1" si="194"/>
        <v/>
      </c>
    </row>
    <row r="1366" spans="1:10" x14ac:dyDescent="0.25">
      <c r="A1366" t="s">
        <v>313</v>
      </c>
      <c r="B1366" t="str">
        <f>ADDRESS(ROW('Bond 1'!$B$27),COLUMN('Bond 1'!$B$27),4)</f>
        <v>B27</v>
      </c>
      <c r="C1366" t="str">
        <f>ADDRESS(ROW('Bond 1'!$D$27),COLUMN('Bond 1'!$D$27),4)</f>
        <v>D27</v>
      </c>
      <c r="D1366" t="b" cm="1">
        <f t="array" aca="1" ref="D1366" ca="1">IF(INDIRECT("'"&amp;A1366&amp;"'!"&amp;B1366)="",FALSE,IF(NOT(ISNUMBER(INDIRECT("'"&amp;A1366&amp;"'!"&amp;B1366))),TRUE,FALSE))</f>
        <v>0</v>
      </c>
      <c r="E1366" t="s">
        <v>435</v>
      </c>
      <c r="F1366" t="str">
        <f>INDEX(Lists!I:I,MATCH(Validation!E1366,Lists!G:G,0))</f>
        <v>Error</v>
      </c>
      <c r="G1366" t="str">
        <f>INDEX(Lists!H:H,MATCH(Validation!E1366,Lists!G:G,0))</f>
        <v>Enter an amount only. Do not enter text or spaces.</v>
      </c>
      <c r="H1366" s="25" t="str">
        <f t="shared" ca="1" si="192"/>
        <v/>
      </c>
      <c r="I1366" s="25" t="str">
        <f t="shared" ca="1" si="193"/>
        <v/>
      </c>
      <c r="J1366" s="26" t="str">
        <f t="shared" ca="1" si="194"/>
        <v/>
      </c>
    </row>
    <row r="1367" spans="1:10" x14ac:dyDescent="0.25">
      <c r="A1367" t="s">
        <v>314</v>
      </c>
      <c r="B1367" t="str">
        <f>ADDRESS(ROW('Bond 1'!$B$27),COLUMN('Bond 1'!$B$27),4)</f>
        <v>B27</v>
      </c>
      <c r="C1367" t="str">
        <f>ADDRESS(ROW('Bond 1'!$D$27),COLUMN('Bond 1'!$D$27),4)</f>
        <v>D27</v>
      </c>
      <c r="D1367" t="b" cm="1">
        <f t="array" aca="1" ref="D1367" ca="1">IF(INDIRECT("'"&amp;A1367&amp;"'!"&amp;B1367)="",FALSE,IF(NOT(ISNUMBER(INDIRECT("'"&amp;A1367&amp;"'!"&amp;B1367))),TRUE,FALSE))</f>
        <v>0</v>
      </c>
      <c r="E1367" t="s">
        <v>435</v>
      </c>
      <c r="F1367" t="str">
        <f>INDEX(Lists!I:I,MATCH(Validation!E1367,Lists!G:G,0))</f>
        <v>Error</v>
      </c>
      <c r="G1367" t="str">
        <f>INDEX(Lists!H:H,MATCH(Validation!E1367,Lists!G:G,0))</f>
        <v>Enter an amount only. Do not enter text or spaces.</v>
      </c>
      <c r="H1367" s="25" t="str">
        <f t="shared" ca="1" si="192"/>
        <v/>
      </c>
      <c r="I1367" s="25" t="str">
        <f t="shared" ca="1" si="193"/>
        <v/>
      </c>
      <c r="J1367" s="26" t="str">
        <f t="shared" ca="1" si="194"/>
        <v/>
      </c>
    </row>
    <row r="1368" spans="1:10" x14ac:dyDescent="0.25">
      <c r="A1368" t="s">
        <v>315</v>
      </c>
      <c r="B1368" t="str">
        <f>ADDRESS(ROW('Bond 1'!$B$27),COLUMN('Bond 1'!$B$27),4)</f>
        <v>B27</v>
      </c>
      <c r="C1368" t="str">
        <f>ADDRESS(ROW('Bond 1'!$D$27),COLUMN('Bond 1'!$D$27),4)</f>
        <v>D27</v>
      </c>
      <c r="D1368" t="b" cm="1">
        <f t="array" aca="1" ref="D1368" ca="1">IF(INDIRECT("'"&amp;A1368&amp;"'!"&amp;B1368)="",FALSE,IF(NOT(ISNUMBER(INDIRECT("'"&amp;A1368&amp;"'!"&amp;B1368))),TRUE,FALSE))</f>
        <v>0</v>
      </c>
      <c r="E1368" t="s">
        <v>435</v>
      </c>
      <c r="F1368" t="str">
        <f>INDEX(Lists!I:I,MATCH(Validation!E1368,Lists!G:G,0))</f>
        <v>Error</v>
      </c>
      <c r="G1368" t="str">
        <f>INDEX(Lists!H:H,MATCH(Validation!E1368,Lists!G:G,0))</f>
        <v>Enter an amount only. Do not enter text or spaces.</v>
      </c>
      <c r="H1368" s="25" t="str">
        <f t="shared" ca="1" si="192"/>
        <v/>
      </c>
      <c r="I1368" s="25" t="str">
        <f t="shared" ca="1" si="193"/>
        <v/>
      </c>
      <c r="J1368" s="26" t="str">
        <f t="shared" ca="1" si="194"/>
        <v/>
      </c>
    </row>
    <row r="1369" spans="1:10" x14ac:dyDescent="0.25">
      <c r="A1369" t="s">
        <v>198</v>
      </c>
      <c r="B1369" t="str">
        <f>ADDRESS(ROW('Bond 1'!$B$27),COLUMN('Bond 1'!$B$27),4)</f>
        <v>B27</v>
      </c>
      <c r="C1369" t="str">
        <f>ADDRESS(ROW('Bond 1'!$D$27),COLUMN('Bond 1'!$D$27),4)</f>
        <v>D27</v>
      </c>
      <c r="D1369" t="b" cm="1">
        <f t="array" aca="1" ref="D1369" ca="1">IF(INDIRECT("'"&amp;A1369&amp;"'!"&amp;B1369)="",FALSE,IF(INDIRECT("'"&amp;A1369&amp;"'!"&amp;B1369)&lt;0,TRUE,FALSE))</f>
        <v>0</v>
      </c>
      <c r="E1369" t="s">
        <v>434</v>
      </c>
      <c r="F1369" t="str">
        <f>INDEX(Lists!I:I,MATCH(Validation!E1369,Lists!G:G,0))</f>
        <v>Error</v>
      </c>
      <c r="G1369" t="str">
        <f>INDEX(Lists!H:H,MATCH(Validation!E1369,Lists!G:G,0))</f>
        <v>Amount may not be negative. Enter an amount greater than or equal to zero.</v>
      </c>
      <c r="H1369" s="25" t="str">
        <f t="shared" ca="1" si="192"/>
        <v/>
      </c>
      <c r="I1369" s="25" t="str">
        <f t="shared" ca="1" si="193"/>
        <v/>
      </c>
      <c r="J1369" s="26" t="str">
        <f t="shared" ca="1" si="194"/>
        <v/>
      </c>
    </row>
    <row r="1370" spans="1:10" x14ac:dyDescent="0.25">
      <c r="A1370" t="s">
        <v>302</v>
      </c>
      <c r="B1370" t="str">
        <f>ADDRESS(ROW('Bond 1'!$B$27),COLUMN('Bond 1'!$B$27),4)</f>
        <v>B27</v>
      </c>
      <c r="C1370" t="str">
        <f>ADDRESS(ROW('Bond 1'!$D$27),COLUMN('Bond 1'!$D$27),4)</f>
        <v>D27</v>
      </c>
      <c r="D1370" t="b" cm="1">
        <f t="array" aca="1" ref="D1370" ca="1">IF(INDIRECT("'"&amp;A1370&amp;"'!"&amp;B1370)="",FALSE,IF(INDIRECT("'"&amp;A1370&amp;"'!"&amp;B1370)&lt;0,TRUE,FALSE))</f>
        <v>0</v>
      </c>
      <c r="E1370" t="s">
        <v>434</v>
      </c>
      <c r="F1370" t="str">
        <f>INDEX(Lists!I:I,MATCH(Validation!E1370,Lists!G:G,0))</f>
        <v>Error</v>
      </c>
      <c r="G1370" t="str">
        <f>INDEX(Lists!H:H,MATCH(Validation!E1370,Lists!G:G,0))</f>
        <v>Amount may not be negative. Enter an amount greater than or equal to zero.</v>
      </c>
      <c r="H1370" s="25" t="str">
        <f t="shared" ca="1" si="192"/>
        <v/>
      </c>
      <c r="I1370" s="25" t="str">
        <f t="shared" ca="1" si="193"/>
        <v/>
      </c>
      <c r="J1370" s="26" t="str">
        <f t="shared" ca="1" si="194"/>
        <v/>
      </c>
    </row>
    <row r="1371" spans="1:10" x14ac:dyDescent="0.25">
      <c r="A1371" t="s">
        <v>303</v>
      </c>
      <c r="B1371" t="str">
        <f>ADDRESS(ROW('Bond 1'!$B$27),COLUMN('Bond 1'!$B$27),4)</f>
        <v>B27</v>
      </c>
      <c r="C1371" t="str">
        <f>ADDRESS(ROW('Bond 1'!$D$27),COLUMN('Bond 1'!$D$27),4)</f>
        <v>D27</v>
      </c>
      <c r="D1371" t="b" cm="1">
        <f t="array" aca="1" ref="D1371" ca="1">IF(INDIRECT("'"&amp;A1371&amp;"'!"&amp;B1371)="",FALSE,IF(INDIRECT("'"&amp;A1371&amp;"'!"&amp;B1371)&lt;0,TRUE,FALSE))</f>
        <v>0</v>
      </c>
      <c r="E1371" t="s">
        <v>434</v>
      </c>
      <c r="F1371" t="str">
        <f>INDEX(Lists!I:I,MATCH(Validation!E1371,Lists!G:G,0))</f>
        <v>Error</v>
      </c>
      <c r="G1371" t="str">
        <f>INDEX(Lists!H:H,MATCH(Validation!E1371,Lists!G:G,0))</f>
        <v>Amount may not be negative. Enter an amount greater than or equal to zero.</v>
      </c>
      <c r="H1371" s="25" t="str">
        <f t="shared" ca="1" si="192"/>
        <v/>
      </c>
      <c r="I1371" s="25" t="str">
        <f t="shared" ca="1" si="193"/>
        <v/>
      </c>
      <c r="J1371" s="26" t="str">
        <f t="shared" ca="1" si="194"/>
        <v/>
      </c>
    </row>
    <row r="1372" spans="1:10" x14ac:dyDescent="0.25">
      <c r="A1372" t="s">
        <v>304</v>
      </c>
      <c r="B1372" t="str">
        <f>ADDRESS(ROW('Bond 1'!$B$27),COLUMN('Bond 1'!$B$27),4)</f>
        <v>B27</v>
      </c>
      <c r="C1372" t="str">
        <f>ADDRESS(ROW('Bond 1'!$D$27),COLUMN('Bond 1'!$D$27),4)</f>
        <v>D27</v>
      </c>
      <c r="D1372" t="b" cm="1">
        <f t="array" aca="1" ref="D1372" ca="1">IF(INDIRECT("'"&amp;A1372&amp;"'!"&amp;B1372)="",FALSE,IF(INDIRECT("'"&amp;A1372&amp;"'!"&amp;B1372)&lt;0,TRUE,FALSE))</f>
        <v>0</v>
      </c>
      <c r="E1372" t="s">
        <v>434</v>
      </c>
      <c r="F1372" t="str">
        <f>INDEX(Lists!I:I,MATCH(Validation!E1372,Lists!G:G,0))</f>
        <v>Error</v>
      </c>
      <c r="G1372" t="str">
        <f>INDEX(Lists!H:H,MATCH(Validation!E1372,Lists!G:G,0))</f>
        <v>Amount may not be negative. Enter an amount greater than or equal to zero.</v>
      </c>
      <c r="H1372" s="25" t="str">
        <f t="shared" ca="1" si="192"/>
        <v/>
      </c>
      <c r="I1372" s="25" t="str">
        <f t="shared" ca="1" si="193"/>
        <v/>
      </c>
      <c r="J1372" s="26" t="str">
        <f t="shared" ca="1" si="194"/>
        <v/>
      </c>
    </row>
    <row r="1373" spans="1:10" x14ac:dyDescent="0.25">
      <c r="A1373" t="s">
        <v>305</v>
      </c>
      <c r="B1373" t="str">
        <f>ADDRESS(ROW('Bond 1'!$B$27),COLUMN('Bond 1'!$B$27),4)</f>
        <v>B27</v>
      </c>
      <c r="C1373" t="str">
        <f>ADDRESS(ROW('Bond 1'!$D$27),COLUMN('Bond 1'!$D$27),4)</f>
        <v>D27</v>
      </c>
      <c r="D1373" t="b" cm="1">
        <f t="array" aca="1" ref="D1373" ca="1">IF(INDIRECT("'"&amp;A1373&amp;"'!"&amp;B1373)="",FALSE,IF(INDIRECT("'"&amp;A1373&amp;"'!"&amp;B1373)&lt;0,TRUE,FALSE))</f>
        <v>0</v>
      </c>
      <c r="E1373" t="s">
        <v>434</v>
      </c>
      <c r="F1373" t="str">
        <f>INDEX(Lists!I:I,MATCH(Validation!E1373,Lists!G:G,0))</f>
        <v>Error</v>
      </c>
      <c r="G1373" t="str">
        <f>INDEX(Lists!H:H,MATCH(Validation!E1373,Lists!G:G,0))</f>
        <v>Amount may not be negative. Enter an amount greater than or equal to zero.</v>
      </c>
      <c r="H1373" s="25" t="str">
        <f t="shared" ca="1" si="192"/>
        <v/>
      </c>
      <c r="I1373" s="25" t="str">
        <f t="shared" ca="1" si="193"/>
        <v/>
      </c>
      <c r="J1373" s="26" t="str">
        <f t="shared" ca="1" si="194"/>
        <v/>
      </c>
    </row>
    <row r="1374" spans="1:10" x14ac:dyDescent="0.25">
      <c r="A1374" t="s">
        <v>306</v>
      </c>
      <c r="B1374" t="str">
        <f>ADDRESS(ROW('Bond 1'!$B$27),COLUMN('Bond 1'!$B$27),4)</f>
        <v>B27</v>
      </c>
      <c r="C1374" t="str">
        <f>ADDRESS(ROW('Bond 1'!$D$27),COLUMN('Bond 1'!$D$27),4)</f>
        <v>D27</v>
      </c>
      <c r="D1374" t="b" cm="1">
        <f t="array" aca="1" ref="D1374" ca="1">IF(INDIRECT("'"&amp;A1374&amp;"'!"&amp;B1374)="",FALSE,IF(INDIRECT("'"&amp;A1374&amp;"'!"&amp;B1374)&lt;0,TRUE,FALSE))</f>
        <v>0</v>
      </c>
      <c r="E1374" t="s">
        <v>434</v>
      </c>
      <c r="F1374" t="str">
        <f>INDEX(Lists!I:I,MATCH(Validation!E1374,Lists!G:G,0))</f>
        <v>Error</v>
      </c>
      <c r="G1374" t="str">
        <f>INDEX(Lists!H:H,MATCH(Validation!E1374,Lists!G:G,0))</f>
        <v>Amount may not be negative. Enter an amount greater than or equal to zero.</v>
      </c>
      <c r="H1374" s="25" t="str">
        <f t="shared" ca="1" si="192"/>
        <v/>
      </c>
      <c r="I1374" s="25" t="str">
        <f t="shared" ca="1" si="193"/>
        <v/>
      </c>
      <c r="J1374" s="26" t="str">
        <f t="shared" ca="1" si="194"/>
        <v/>
      </c>
    </row>
    <row r="1375" spans="1:10" x14ac:dyDescent="0.25">
      <c r="A1375" t="s">
        <v>307</v>
      </c>
      <c r="B1375" t="str">
        <f>ADDRESS(ROW('Bond 1'!$B$27),COLUMN('Bond 1'!$B$27),4)</f>
        <v>B27</v>
      </c>
      <c r="C1375" t="str">
        <f>ADDRESS(ROW('Bond 1'!$D$27),COLUMN('Bond 1'!$D$27),4)</f>
        <v>D27</v>
      </c>
      <c r="D1375" t="b" cm="1">
        <f t="array" aca="1" ref="D1375" ca="1">IF(INDIRECT("'"&amp;A1375&amp;"'!"&amp;B1375)="",FALSE,IF(INDIRECT("'"&amp;A1375&amp;"'!"&amp;B1375)&lt;0,TRUE,FALSE))</f>
        <v>0</v>
      </c>
      <c r="E1375" t="s">
        <v>434</v>
      </c>
      <c r="F1375" t="str">
        <f>INDEX(Lists!I:I,MATCH(Validation!E1375,Lists!G:G,0))</f>
        <v>Error</v>
      </c>
      <c r="G1375" t="str">
        <f>INDEX(Lists!H:H,MATCH(Validation!E1375,Lists!G:G,0))</f>
        <v>Amount may not be negative. Enter an amount greater than or equal to zero.</v>
      </c>
      <c r="H1375" s="25" t="str">
        <f t="shared" ca="1" si="192"/>
        <v/>
      </c>
      <c r="I1375" s="25" t="str">
        <f t="shared" ca="1" si="193"/>
        <v/>
      </c>
      <c r="J1375" s="26" t="str">
        <f t="shared" ca="1" si="194"/>
        <v/>
      </c>
    </row>
    <row r="1376" spans="1:10" x14ac:dyDescent="0.25">
      <c r="A1376" t="s">
        <v>308</v>
      </c>
      <c r="B1376" t="str">
        <f>ADDRESS(ROW('Bond 1'!$B$27),COLUMN('Bond 1'!$B$27),4)</f>
        <v>B27</v>
      </c>
      <c r="C1376" t="str">
        <f>ADDRESS(ROW('Bond 1'!$D$27),COLUMN('Bond 1'!$D$27),4)</f>
        <v>D27</v>
      </c>
      <c r="D1376" t="b" cm="1">
        <f t="array" aca="1" ref="D1376" ca="1">IF(INDIRECT("'"&amp;A1376&amp;"'!"&amp;B1376)="",FALSE,IF(INDIRECT("'"&amp;A1376&amp;"'!"&amp;B1376)&lt;0,TRUE,FALSE))</f>
        <v>0</v>
      </c>
      <c r="E1376" t="s">
        <v>434</v>
      </c>
      <c r="F1376" t="str">
        <f>INDEX(Lists!I:I,MATCH(Validation!E1376,Lists!G:G,0))</f>
        <v>Error</v>
      </c>
      <c r="G1376" t="str">
        <f>INDEX(Lists!H:H,MATCH(Validation!E1376,Lists!G:G,0))</f>
        <v>Amount may not be negative. Enter an amount greater than or equal to zero.</v>
      </c>
      <c r="H1376" s="25" t="str">
        <f t="shared" ca="1" si="192"/>
        <v/>
      </c>
      <c r="I1376" s="25" t="str">
        <f t="shared" ca="1" si="193"/>
        <v/>
      </c>
      <c r="J1376" s="26" t="str">
        <f t="shared" ca="1" si="194"/>
        <v/>
      </c>
    </row>
    <row r="1377" spans="1:10" x14ac:dyDescent="0.25">
      <c r="A1377" t="s">
        <v>309</v>
      </c>
      <c r="B1377" t="str">
        <f>ADDRESS(ROW('Bond 1'!$B$27),COLUMN('Bond 1'!$B$27),4)</f>
        <v>B27</v>
      </c>
      <c r="C1377" t="str">
        <f>ADDRESS(ROW('Bond 1'!$D$27),COLUMN('Bond 1'!$D$27),4)</f>
        <v>D27</v>
      </c>
      <c r="D1377" t="b" cm="1">
        <f t="array" aca="1" ref="D1377" ca="1">IF(INDIRECT("'"&amp;A1377&amp;"'!"&amp;B1377)="",FALSE,IF(INDIRECT("'"&amp;A1377&amp;"'!"&amp;B1377)&lt;0,TRUE,FALSE))</f>
        <v>0</v>
      </c>
      <c r="E1377" t="s">
        <v>434</v>
      </c>
      <c r="F1377" t="str">
        <f>INDEX(Lists!I:I,MATCH(Validation!E1377,Lists!G:G,0))</f>
        <v>Error</v>
      </c>
      <c r="G1377" t="str">
        <f>INDEX(Lists!H:H,MATCH(Validation!E1377,Lists!G:G,0))</f>
        <v>Amount may not be negative. Enter an amount greater than or equal to zero.</v>
      </c>
      <c r="H1377" s="25" t="str">
        <f t="shared" ca="1" si="192"/>
        <v/>
      </c>
      <c r="I1377" s="25" t="str">
        <f t="shared" ca="1" si="193"/>
        <v/>
      </c>
      <c r="J1377" s="26" t="str">
        <f t="shared" ca="1" si="194"/>
        <v/>
      </c>
    </row>
    <row r="1378" spans="1:10" x14ac:dyDescent="0.25">
      <c r="A1378" t="s">
        <v>310</v>
      </c>
      <c r="B1378" t="str">
        <f>ADDRESS(ROW('Bond 1'!$B$27),COLUMN('Bond 1'!$B$27),4)</f>
        <v>B27</v>
      </c>
      <c r="C1378" t="str">
        <f>ADDRESS(ROW('Bond 1'!$D$27),COLUMN('Bond 1'!$D$27),4)</f>
        <v>D27</v>
      </c>
      <c r="D1378" t="b" cm="1">
        <f t="array" aca="1" ref="D1378" ca="1">IF(INDIRECT("'"&amp;A1378&amp;"'!"&amp;B1378)="",FALSE,IF(INDIRECT("'"&amp;A1378&amp;"'!"&amp;B1378)&lt;0,TRUE,FALSE))</f>
        <v>0</v>
      </c>
      <c r="E1378" t="s">
        <v>434</v>
      </c>
      <c r="F1378" t="str">
        <f>INDEX(Lists!I:I,MATCH(Validation!E1378,Lists!G:G,0))</f>
        <v>Error</v>
      </c>
      <c r="G1378" t="str">
        <f>INDEX(Lists!H:H,MATCH(Validation!E1378,Lists!G:G,0))</f>
        <v>Amount may not be negative. Enter an amount greater than or equal to zero.</v>
      </c>
      <c r="H1378" s="25" t="str">
        <f t="shared" ca="1" si="192"/>
        <v/>
      </c>
      <c r="I1378" s="25" t="str">
        <f t="shared" ca="1" si="193"/>
        <v/>
      </c>
      <c r="J1378" s="26" t="str">
        <f t="shared" ca="1" si="194"/>
        <v/>
      </c>
    </row>
    <row r="1379" spans="1:10" x14ac:dyDescent="0.25">
      <c r="A1379" t="s">
        <v>311</v>
      </c>
      <c r="B1379" t="str">
        <f>ADDRESS(ROW('Bond 1'!$B$27),COLUMN('Bond 1'!$B$27),4)</f>
        <v>B27</v>
      </c>
      <c r="C1379" t="str">
        <f>ADDRESS(ROW('Bond 1'!$D$27),COLUMN('Bond 1'!$D$27),4)</f>
        <v>D27</v>
      </c>
      <c r="D1379" t="b" cm="1">
        <f t="array" aca="1" ref="D1379" ca="1">IF(INDIRECT("'"&amp;A1379&amp;"'!"&amp;B1379)="",FALSE,IF(INDIRECT("'"&amp;A1379&amp;"'!"&amp;B1379)&lt;0,TRUE,FALSE))</f>
        <v>0</v>
      </c>
      <c r="E1379" t="s">
        <v>434</v>
      </c>
      <c r="F1379" t="str">
        <f>INDEX(Lists!I:I,MATCH(Validation!E1379,Lists!G:G,0))</f>
        <v>Error</v>
      </c>
      <c r="G1379" t="str">
        <f>INDEX(Lists!H:H,MATCH(Validation!E1379,Lists!G:G,0))</f>
        <v>Amount may not be negative. Enter an amount greater than or equal to zero.</v>
      </c>
      <c r="H1379" s="25" t="str">
        <f t="shared" ca="1" si="192"/>
        <v/>
      </c>
      <c r="I1379" s="25" t="str">
        <f t="shared" ca="1" si="193"/>
        <v/>
      </c>
      <c r="J1379" s="26" t="str">
        <f t="shared" ca="1" si="194"/>
        <v/>
      </c>
    </row>
    <row r="1380" spans="1:10" x14ac:dyDescent="0.25">
      <c r="A1380" t="s">
        <v>312</v>
      </c>
      <c r="B1380" t="str">
        <f>ADDRESS(ROW('Bond 1'!$B$27),COLUMN('Bond 1'!$B$27),4)</f>
        <v>B27</v>
      </c>
      <c r="C1380" t="str">
        <f>ADDRESS(ROW('Bond 1'!$D$27),COLUMN('Bond 1'!$D$27),4)</f>
        <v>D27</v>
      </c>
      <c r="D1380" t="b" cm="1">
        <f t="array" aca="1" ref="D1380" ca="1">IF(INDIRECT("'"&amp;A1380&amp;"'!"&amp;B1380)="",FALSE,IF(INDIRECT("'"&amp;A1380&amp;"'!"&amp;B1380)&lt;0,TRUE,FALSE))</f>
        <v>0</v>
      </c>
      <c r="E1380" t="s">
        <v>434</v>
      </c>
      <c r="F1380" t="str">
        <f>INDEX(Lists!I:I,MATCH(Validation!E1380,Lists!G:G,0))</f>
        <v>Error</v>
      </c>
      <c r="G1380" t="str">
        <f>INDEX(Lists!H:H,MATCH(Validation!E1380,Lists!G:G,0))</f>
        <v>Amount may not be negative. Enter an amount greater than or equal to zero.</v>
      </c>
      <c r="H1380" s="25" t="str">
        <f t="shared" ca="1" si="192"/>
        <v/>
      </c>
      <c r="I1380" s="25" t="str">
        <f t="shared" ca="1" si="193"/>
        <v/>
      </c>
      <c r="J1380" s="26" t="str">
        <f t="shared" ca="1" si="194"/>
        <v/>
      </c>
    </row>
    <row r="1381" spans="1:10" x14ac:dyDescent="0.25">
      <c r="A1381" t="s">
        <v>313</v>
      </c>
      <c r="B1381" t="str">
        <f>ADDRESS(ROW('Bond 1'!$B$27),COLUMN('Bond 1'!$B$27),4)</f>
        <v>B27</v>
      </c>
      <c r="C1381" t="str">
        <f>ADDRESS(ROW('Bond 1'!$D$27),COLUMN('Bond 1'!$D$27),4)</f>
        <v>D27</v>
      </c>
      <c r="D1381" t="b" cm="1">
        <f t="array" aca="1" ref="D1381" ca="1">IF(INDIRECT("'"&amp;A1381&amp;"'!"&amp;B1381)="",FALSE,IF(INDIRECT("'"&amp;A1381&amp;"'!"&amp;B1381)&lt;0,TRUE,FALSE))</f>
        <v>0</v>
      </c>
      <c r="E1381" t="s">
        <v>434</v>
      </c>
      <c r="F1381" t="str">
        <f>INDEX(Lists!I:I,MATCH(Validation!E1381,Lists!G:G,0))</f>
        <v>Error</v>
      </c>
      <c r="G1381" t="str">
        <f>INDEX(Lists!H:H,MATCH(Validation!E1381,Lists!G:G,0))</f>
        <v>Amount may not be negative. Enter an amount greater than or equal to zero.</v>
      </c>
      <c r="H1381" s="25" t="str">
        <f t="shared" ca="1" si="192"/>
        <v/>
      </c>
      <c r="I1381" s="25" t="str">
        <f t="shared" ca="1" si="193"/>
        <v/>
      </c>
      <c r="J1381" s="26" t="str">
        <f t="shared" ca="1" si="194"/>
        <v/>
      </c>
    </row>
    <row r="1382" spans="1:10" x14ac:dyDescent="0.25">
      <c r="A1382" t="s">
        <v>314</v>
      </c>
      <c r="B1382" t="str">
        <f>ADDRESS(ROW('Bond 1'!$B$27),COLUMN('Bond 1'!$B$27),4)</f>
        <v>B27</v>
      </c>
      <c r="C1382" t="str">
        <f>ADDRESS(ROW('Bond 1'!$D$27),COLUMN('Bond 1'!$D$27),4)</f>
        <v>D27</v>
      </c>
      <c r="D1382" t="b" cm="1">
        <f t="array" aca="1" ref="D1382" ca="1">IF(INDIRECT("'"&amp;A1382&amp;"'!"&amp;B1382)="",FALSE,IF(INDIRECT("'"&amp;A1382&amp;"'!"&amp;B1382)&lt;0,TRUE,FALSE))</f>
        <v>0</v>
      </c>
      <c r="E1382" t="s">
        <v>434</v>
      </c>
      <c r="F1382" t="str">
        <f>INDEX(Lists!I:I,MATCH(Validation!E1382,Lists!G:G,0))</f>
        <v>Error</v>
      </c>
      <c r="G1382" t="str">
        <f>INDEX(Lists!H:H,MATCH(Validation!E1382,Lists!G:G,0))</f>
        <v>Amount may not be negative. Enter an amount greater than or equal to zero.</v>
      </c>
      <c r="H1382" s="25" t="str">
        <f t="shared" ca="1" si="192"/>
        <v/>
      </c>
      <c r="I1382" s="25" t="str">
        <f t="shared" ca="1" si="193"/>
        <v/>
      </c>
      <c r="J1382" s="26" t="str">
        <f t="shared" ca="1" si="194"/>
        <v/>
      </c>
    </row>
    <row r="1383" spans="1:10" x14ac:dyDescent="0.25">
      <c r="A1383" t="s">
        <v>315</v>
      </c>
      <c r="B1383" t="str">
        <f>ADDRESS(ROW('Bond 1'!$B$27),COLUMN('Bond 1'!$B$27),4)</f>
        <v>B27</v>
      </c>
      <c r="C1383" t="str">
        <f>ADDRESS(ROW('Bond 1'!$D$27),COLUMN('Bond 1'!$D$27),4)</f>
        <v>D27</v>
      </c>
      <c r="D1383" t="b" cm="1">
        <f t="array" aca="1" ref="D1383" ca="1">IF(INDIRECT("'"&amp;A1383&amp;"'!"&amp;B1383)="",FALSE,IF(INDIRECT("'"&amp;A1383&amp;"'!"&amp;B1383)&lt;0,TRUE,FALSE))</f>
        <v>0</v>
      </c>
      <c r="E1383" t="s">
        <v>434</v>
      </c>
      <c r="F1383" t="str">
        <f>INDEX(Lists!I:I,MATCH(Validation!E1383,Lists!G:G,0))</f>
        <v>Error</v>
      </c>
      <c r="G1383" t="str">
        <f>INDEX(Lists!H:H,MATCH(Validation!E1383,Lists!G:G,0))</f>
        <v>Amount may not be negative. Enter an amount greater than or equal to zero.</v>
      </c>
      <c r="H1383" s="25" t="str">
        <f t="shared" ca="1" si="192"/>
        <v/>
      </c>
      <c r="I1383" s="25" t="str">
        <f t="shared" ca="1" si="193"/>
        <v/>
      </c>
      <c r="J1383" s="26" t="str">
        <f t="shared" ca="1" si="194"/>
        <v/>
      </c>
    </row>
    <row r="1384" spans="1:10" x14ac:dyDescent="0.25">
      <c r="A1384" t="s">
        <v>198</v>
      </c>
      <c r="B1384" t="str">
        <f>ADDRESS(ROW('Bond 1'!$B$27),COLUMN('Bond 1'!$B$27),4)</f>
        <v>B27</v>
      </c>
      <c r="C1384" t="str">
        <f>ADDRESS(ROW('Bond 1'!$D$27),COLUMN('Bond 1'!$D$27),4)</f>
        <v>D27</v>
      </c>
      <c r="D1384" t="b" cm="1">
        <f t="array" aca="1" ref="D1384" ca="1">IF(INDIRECT("'"&amp;A1384&amp;"'!"&amp;B1384)="",FALSE,IF(TRUNC(INDIRECT("'"&amp;A1384&amp;"'!"&amp;B1384))=INDIRECT("'"&amp;A1384&amp;"'!"&amp;B1384),FALSE,TRUE))</f>
        <v>0</v>
      </c>
      <c r="E1384" t="s">
        <v>436</v>
      </c>
      <c r="F1384" t="str">
        <f>INDEX(Lists!I:I,MATCH(Validation!E1384,Lists!G:G,0))</f>
        <v>Error</v>
      </c>
      <c r="G1384" t="str">
        <f>INDEX(Lists!H:H,MATCH(Validation!E1384,Lists!G:G,0))</f>
        <v>Amount must be rounded to the nearest dollar.</v>
      </c>
      <c r="H1384" s="25" t="str">
        <f t="shared" ca="1" si="192"/>
        <v/>
      </c>
      <c r="I1384" s="25" t="str">
        <f t="shared" ca="1" si="193"/>
        <v/>
      </c>
      <c r="J1384" s="26" t="str">
        <f t="shared" ca="1" si="194"/>
        <v/>
      </c>
    </row>
    <row r="1385" spans="1:10" x14ac:dyDescent="0.25">
      <c r="A1385" t="s">
        <v>302</v>
      </c>
      <c r="B1385" t="str">
        <f>ADDRESS(ROW('Bond 1'!$B$27),COLUMN('Bond 1'!$B$27),4)</f>
        <v>B27</v>
      </c>
      <c r="C1385" t="str">
        <f>ADDRESS(ROW('Bond 1'!$D$27),COLUMN('Bond 1'!$D$27),4)</f>
        <v>D27</v>
      </c>
      <c r="D1385" t="b" cm="1">
        <f t="array" aca="1" ref="D1385" ca="1">IF(INDIRECT("'"&amp;A1385&amp;"'!"&amp;B1385)="",FALSE,IF(TRUNC(INDIRECT("'"&amp;A1385&amp;"'!"&amp;B1385))=INDIRECT("'"&amp;A1385&amp;"'!"&amp;B1385),FALSE,TRUE))</f>
        <v>0</v>
      </c>
      <c r="E1385" t="s">
        <v>436</v>
      </c>
      <c r="F1385" t="str">
        <f>INDEX(Lists!I:I,MATCH(Validation!E1385,Lists!G:G,0))</f>
        <v>Error</v>
      </c>
      <c r="G1385" t="str">
        <f>INDEX(Lists!H:H,MATCH(Validation!E1385,Lists!G:G,0))</f>
        <v>Amount must be rounded to the nearest dollar.</v>
      </c>
      <c r="H1385" s="25" t="str">
        <f t="shared" ca="1" si="192"/>
        <v/>
      </c>
      <c r="I1385" s="25" t="str">
        <f t="shared" ca="1" si="193"/>
        <v/>
      </c>
      <c r="J1385" s="26" t="str">
        <f t="shared" ca="1" si="194"/>
        <v/>
      </c>
    </row>
    <row r="1386" spans="1:10" x14ac:dyDescent="0.25">
      <c r="A1386" t="s">
        <v>303</v>
      </c>
      <c r="B1386" t="str">
        <f>ADDRESS(ROW('Bond 1'!$B$27),COLUMN('Bond 1'!$B$27),4)</f>
        <v>B27</v>
      </c>
      <c r="C1386" t="str">
        <f>ADDRESS(ROW('Bond 1'!$D$27),COLUMN('Bond 1'!$D$27),4)</f>
        <v>D27</v>
      </c>
      <c r="D1386" t="b" cm="1">
        <f t="array" aca="1" ref="D1386" ca="1">IF(INDIRECT("'"&amp;A1386&amp;"'!"&amp;B1386)="",FALSE,IF(TRUNC(INDIRECT("'"&amp;A1386&amp;"'!"&amp;B1386))=INDIRECT("'"&amp;A1386&amp;"'!"&amp;B1386),FALSE,TRUE))</f>
        <v>0</v>
      </c>
      <c r="E1386" t="s">
        <v>436</v>
      </c>
      <c r="F1386" t="str">
        <f>INDEX(Lists!I:I,MATCH(Validation!E1386,Lists!G:G,0))</f>
        <v>Error</v>
      </c>
      <c r="G1386" t="str">
        <f>INDEX(Lists!H:H,MATCH(Validation!E1386,Lists!G:G,0))</f>
        <v>Amount must be rounded to the nearest dollar.</v>
      </c>
      <c r="H1386" s="25" t="str">
        <f t="shared" ca="1" si="192"/>
        <v/>
      </c>
      <c r="I1386" s="25" t="str">
        <f t="shared" ca="1" si="193"/>
        <v/>
      </c>
      <c r="J1386" s="26" t="str">
        <f t="shared" ca="1" si="194"/>
        <v/>
      </c>
    </row>
    <row r="1387" spans="1:10" x14ac:dyDescent="0.25">
      <c r="A1387" t="s">
        <v>304</v>
      </c>
      <c r="B1387" t="str">
        <f>ADDRESS(ROW('Bond 1'!$B$27),COLUMN('Bond 1'!$B$27),4)</f>
        <v>B27</v>
      </c>
      <c r="C1387" t="str">
        <f>ADDRESS(ROW('Bond 1'!$D$27),COLUMN('Bond 1'!$D$27),4)</f>
        <v>D27</v>
      </c>
      <c r="D1387" t="b" cm="1">
        <f t="array" aca="1" ref="D1387" ca="1">IF(INDIRECT("'"&amp;A1387&amp;"'!"&amp;B1387)="",FALSE,IF(TRUNC(INDIRECT("'"&amp;A1387&amp;"'!"&amp;B1387))=INDIRECT("'"&amp;A1387&amp;"'!"&amp;B1387),FALSE,TRUE))</f>
        <v>0</v>
      </c>
      <c r="E1387" t="s">
        <v>436</v>
      </c>
      <c r="F1387" t="str">
        <f>INDEX(Lists!I:I,MATCH(Validation!E1387,Lists!G:G,0))</f>
        <v>Error</v>
      </c>
      <c r="G1387" t="str">
        <f>INDEX(Lists!H:H,MATCH(Validation!E1387,Lists!G:G,0))</f>
        <v>Amount must be rounded to the nearest dollar.</v>
      </c>
      <c r="H1387" s="25" t="str">
        <f t="shared" ca="1" si="192"/>
        <v/>
      </c>
      <c r="I1387" s="25" t="str">
        <f t="shared" ca="1" si="193"/>
        <v/>
      </c>
      <c r="J1387" s="26" t="str">
        <f t="shared" ca="1" si="194"/>
        <v/>
      </c>
    </row>
    <row r="1388" spans="1:10" x14ac:dyDescent="0.25">
      <c r="A1388" t="s">
        <v>305</v>
      </c>
      <c r="B1388" t="str">
        <f>ADDRESS(ROW('Bond 1'!$B$27),COLUMN('Bond 1'!$B$27),4)</f>
        <v>B27</v>
      </c>
      <c r="C1388" t="str">
        <f>ADDRESS(ROW('Bond 1'!$D$27),COLUMN('Bond 1'!$D$27),4)</f>
        <v>D27</v>
      </c>
      <c r="D1388" t="b" cm="1">
        <f t="array" aca="1" ref="D1388" ca="1">IF(INDIRECT("'"&amp;A1388&amp;"'!"&amp;B1388)="",FALSE,IF(TRUNC(INDIRECT("'"&amp;A1388&amp;"'!"&amp;B1388))=INDIRECT("'"&amp;A1388&amp;"'!"&amp;B1388),FALSE,TRUE))</f>
        <v>0</v>
      </c>
      <c r="E1388" t="s">
        <v>436</v>
      </c>
      <c r="F1388" t="str">
        <f>INDEX(Lists!I:I,MATCH(Validation!E1388,Lists!G:G,0))</f>
        <v>Error</v>
      </c>
      <c r="G1388" t="str">
        <f>INDEX(Lists!H:H,MATCH(Validation!E1388,Lists!G:G,0))</f>
        <v>Amount must be rounded to the nearest dollar.</v>
      </c>
      <c r="H1388" s="25" t="str">
        <f t="shared" ca="1" si="192"/>
        <v/>
      </c>
      <c r="I1388" s="25" t="str">
        <f t="shared" ca="1" si="193"/>
        <v/>
      </c>
      <c r="J1388" s="26" t="str">
        <f t="shared" ca="1" si="194"/>
        <v/>
      </c>
    </row>
    <row r="1389" spans="1:10" x14ac:dyDescent="0.25">
      <c r="A1389" t="s">
        <v>306</v>
      </c>
      <c r="B1389" t="str">
        <f>ADDRESS(ROW('Bond 1'!$B$27),COLUMN('Bond 1'!$B$27),4)</f>
        <v>B27</v>
      </c>
      <c r="C1389" t="str">
        <f>ADDRESS(ROW('Bond 1'!$D$27),COLUMN('Bond 1'!$D$27),4)</f>
        <v>D27</v>
      </c>
      <c r="D1389" t="b" cm="1">
        <f t="array" aca="1" ref="D1389" ca="1">IF(INDIRECT("'"&amp;A1389&amp;"'!"&amp;B1389)="",FALSE,IF(TRUNC(INDIRECT("'"&amp;A1389&amp;"'!"&amp;B1389))=INDIRECT("'"&amp;A1389&amp;"'!"&amp;B1389),FALSE,TRUE))</f>
        <v>0</v>
      </c>
      <c r="E1389" t="s">
        <v>436</v>
      </c>
      <c r="F1389" t="str">
        <f>INDEX(Lists!I:I,MATCH(Validation!E1389,Lists!G:G,0))</f>
        <v>Error</v>
      </c>
      <c r="G1389" t="str">
        <f>INDEX(Lists!H:H,MATCH(Validation!E1389,Lists!G:G,0))</f>
        <v>Amount must be rounded to the nearest dollar.</v>
      </c>
      <c r="H1389" s="25" t="str">
        <f t="shared" ca="1" si="192"/>
        <v/>
      </c>
      <c r="I1389" s="25" t="str">
        <f t="shared" ca="1" si="193"/>
        <v/>
      </c>
      <c r="J1389" s="26" t="str">
        <f t="shared" ca="1" si="194"/>
        <v/>
      </c>
    </row>
    <row r="1390" spans="1:10" x14ac:dyDescent="0.25">
      <c r="A1390" t="s">
        <v>307</v>
      </c>
      <c r="B1390" t="str">
        <f>ADDRESS(ROW('Bond 1'!$B$27),COLUMN('Bond 1'!$B$27),4)</f>
        <v>B27</v>
      </c>
      <c r="C1390" t="str">
        <f>ADDRESS(ROW('Bond 1'!$D$27),COLUMN('Bond 1'!$D$27),4)</f>
        <v>D27</v>
      </c>
      <c r="D1390" t="b" cm="1">
        <f t="array" aca="1" ref="D1390" ca="1">IF(INDIRECT("'"&amp;A1390&amp;"'!"&amp;B1390)="",FALSE,IF(TRUNC(INDIRECT("'"&amp;A1390&amp;"'!"&amp;B1390))=INDIRECT("'"&amp;A1390&amp;"'!"&amp;B1390),FALSE,TRUE))</f>
        <v>0</v>
      </c>
      <c r="E1390" t="s">
        <v>436</v>
      </c>
      <c r="F1390" t="str">
        <f>INDEX(Lists!I:I,MATCH(Validation!E1390,Lists!G:G,0))</f>
        <v>Error</v>
      </c>
      <c r="G1390" t="str">
        <f>INDEX(Lists!H:H,MATCH(Validation!E1390,Lists!G:G,0))</f>
        <v>Amount must be rounded to the nearest dollar.</v>
      </c>
      <c r="H1390" s="25" t="str">
        <f t="shared" ca="1" si="192"/>
        <v/>
      </c>
      <c r="I1390" s="25" t="str">
        <f t="shared" ca="1" si="193"/>
        <v/>
      </c>
      <c r="J1390" s="26" t="str">
        <f t="shared" ca="1" si="194"/>
        <v/>
      </c>
    </row>
    <row r="1391" spans="1:10" x14ac:dyDescent="0.25">
      <c r="A1391" t="s">
        <v>308</v>
      </c>
      <c r="B1391" t="str">
        <f>ADDRESS(ROW('Bond 1'!$B$27),COLUMN('Bond 1'!$B$27),4)</f>
        <v>B27</v>
      </c>
      <c r="C1391" t="str">
        <f>ADDRESS(ROW('Bond 1'!$D$27),COLUMN('Bond 1'!$D$27),4)</f>
        <v>D27</v>
      </c>
      <c r="D1391" t="b" cm="1">
        <f t="array" aca="1" ref="D1391" ca="1">IF(INDIRECT("'"&amp;A1391&amp;"'!"&amp;B1391)="",FALSE,IF(TRUNC(INDIRECT("'"&amp;A1391&amp;"'!"&amp;B1391))=INDIRECT("'"&amp;A1391&amp;"'!"&amp;B1391),FALSE,TRUE))</f>
        <v>0</v>
      </c>
      <c r="E1391" t="s">
        <v>436</v>
      </c>
      <c r="F1391" t="str">
        <f>INDEX(Lists!I:I,MATCH(Validation!E1391,Lists!G:G,0))</f>
        <v>Error</v>
      </c>
      <c r="G1391" t="str">
        <f>INDEX(Lists!H:H,MATCH(Validation!E1391,Lists!G:G,0))</f>
        <v>Amount must be rounded to the nearest dollar.</v>
      </c>
      <c r="H1391" s="25" t="str">
        <f t="shared" ca="1" si="192"/>
        <v/>
      </c>
      <c r="I1391" s="25" t="str">
        <f t="shared" ca="1" si="193"/>
        <v/>
      </c>
      <c r="J1391" s="26" t="str">
        <f t="shared" ca="1" si="194"/>
        <v/>
      </c>
    </row>
    <row r="1392" spans="1:10" x14ac:dyDescent="0.25">
      <c r="A1392" t="s">
        <v>309</v>
      </c>
      <c r="B1392" t="str">
        <f>ADDRESS(ROW('Bond 1'!$B$27),COLUMN('Bond 1'!$B$27),4)</f>
        <v>B27</v>
      </c>
      <c r="C1392" t="str">
        <f>ADDRESS(ROW('Bond 1'!$D$27),COLUMN('Bond 1'!$D$27),4)</f>
        <v>D27</v>
      </c>
      <c r="D1392" t="b" cm="1">
        <f t="array" aca="1" ref="D1392" ca="1">IF(INDIRECT("'"&amp;A1392&amp;"'!"&amp;B1392)="",FALSE,IF(TRUNC(INDIRECT("'"&amp;A1392&amp;"'!"&amp;B1392))=INDIRECT("'"&amp;A1392&amp;"'!"&amp;B1392),FALSE,TRUE))</f>
        <v>0</v>
      </c>
      <c r="E1392" t="s">
        <v>436</v>
      </c>
      <c r="F1392" t="str">
        <f>INDEX(Lists!I:I,MATCH(Validation!E1392,Lists!G:G,0))</f>
        <v>Error</v>
      </c>
      <c r="G1392" t="str">
        <f>INDEX(Lists!H:H,MATCH(Validation!E1392,Lists!G:G,0))</f>
        <v>Amount must be rounded to the nearest dollar.</v>
      </c>
      <c r="H1392" s="25" t="str">
        <f t="shared" ca="1" si="192"/>
        <v/>
      </c>
      <c r="I1392" s="25" t="str">
        <f t="shared" ca="1" si="193"/>
        <v/>
      </c>
      <c r="J1392" s="26" t="str">
        <f t="shared" ca="1" si="194"/>
        <v/>
      </c>
    </row>
    <row r="1393" spans="1:10" x14ac:dyDescent="0.25">
      <c r="A1393" t="s">
        <v>310</v>
      </c>
      <c r="B1393" t="str">
        <f>ADDRESS(ROW('Bond 1'!$B$27),COLUMN('Bond 1'!$B$27),4)</f>
        <v>B27</v>
      </c>
      <c r="C1393" t="str">
        <f>ADDRESS(ROW('Bond 1'!$D$27),COLUMN('Bond 1'!$D$27),4)</f>
        <v>D27</v>
      </c>
      <c r="D1393" t="b" cm="1">
        <f t="array" aca="1" ref="D1393" ca="1">IF(INDIRECT("'"&amp;A1393&amp;"'!"&amp;B1393)="",FALSE,IF(TRUNC(INDIRECT("'"&amp;A1393&amp;"'!"&amp;B1393))=INDIRECT("'"&amp;A1393&amp;"'!"&amp;B1393),FALSE,TRUE))</f>
        <v>0</v>
      </c>
      <c r="E1393" t="s">
        <v>436</v>
      </c>
      <c r="F1393" t="str">
        <f>INDEX(Lists!I:I,MATCH(Validation!E1393,Lists!G:G,0))</f>
        <v>Error</v>
      </c>
      <c r="G1393" t="str">
        <f>INDEX(Lists!H:H,MATCH(Validation!E1393,Lists!G:G,0))</f>
        <v>Amount must be rounded to the nearest dollar.</v>
      </c>
      <c r="H1393" s="25" t="str">
        <f t="shared" ca="1" si="192"/>
        <v/>
      </c>
      <c r="I1393" s="25" t="str">
        <f t="shared" ca="1" si="193"/>
        <v/>
      </c>
      <c r="J1393" s="26" t="str">
        <f t="shared" ca="1" si="194"/>
        <v/>
      </c>
    </row>
    <row r="1394" spans="1:10" x14ac:dyDescent="0.25">
      <c r="A1394" t="s">
        <v>311</v>
      </c>
      <c r="B1394" t="str">
        <f>ADDRESS(ROW('Bond 1'!$B$27),COLUMN('Bond 1'!$B$27),4)</f>
        <v>B27</v>
      </c>
      <c r="C1394" t="str">
        <f>ADDRESS(ROW('Bond 1'!$D$27),COLUMN('Bond 1'!$D$27),4)</f>
        <v>D27</v>
      </c>
      <c r="D1394" t="b" cm="1">
        <f t="array" aca="1" ref="D1394" ca="1">IF(INDIRECT("'"&amp;A1394&amp;"'!"&amp;B1394)="",FALSE,IF(TRUNC(INDIRECT("'"&amp;A1394&amp;"'!"&amp;B1394))=INDIRECT("'"&amp;A1394&amp;"'!"&amp;B1394),FALSE,TRUE))</f>
        <v>0</v>
      </c>
      <c r="E1394" t="s">
        <v>436</v>
      </c>
      <c r="F1394" t="str">
        <f>INDEX(Lists!I:I,MATCH(Validation!E1394,Lists!G:G,0))</f>
        <v>Error</v>
      </c>
      <c r="G1394" t="str">
        <f>INDEX(Lists!H:H,MATCH(Validation!E1394,Lists!G:G,0))</f>
        <v>Amount must be rounded to the nearest dollar.</v>
      </c>
      <c r="H1394" s="25" t="str">
        <f t="shared" ca="1" si="192"/>
        <v/>
      </c>
      <c r="I1394" s="25" t="str">
        <f t="shared" ca="1" si="193"/>
        <v/>
      </c>
      <c r="J1394" s="26" t="str">
        <f t="shared" ca="1" si="194"/>
        <v/>
      </c>
    </row>
    <row r="1395" spans="1:10" x14ac:dyDescent="0.25">
      <c r="A1395" t="s">
        <v>312</v>
      </c>
      <c r="B1395" t="str">
        <f>ADDRESS(ROW('Bond 1'!$B$27),COLUMN('Bond 1'!$B$27),4)</f>
        <v>B27</v>
      </c>
      <c r="C1395" t="str">
        <f>ADDRESS(ROW('Bond 1'!$D$27),COLUMN('Bond 1'!$D$27),4)</f>
        <v>D27</v>
      </c>
      <c r="D1395" t="b" cm="1">
        <f t="array" aca="1" ref="D1395" ca="1">IF(INDIRECT("'"&amp;A1395&amp;"'!"&amp;B1395)="",FALSE,IF(TRUNC(INDIRECT("'"&amp;A1395&amp;"'!"&amp;B1395))=INDIRECT("'"&amp;A1395&amp;"'!"&amp;B1395),FALSE,TRUE))</f>
        <v>0</v>
      </c>
      <c r="E1395" t="s">
        <v>436</v>
      </c>
      <c r="F1395" t="str">
        <f>INDEX(Lists!I:I,MATCH(Validation!E1395,Lists!G:G,0))</f>
        <v>Error</v>
      </c>
      <c r="G1395" t="str">
        <f>INDEX(Lists!H:H,MATCH(Validation!E1395,Lists!G:G,0))</f>
        <v>Amount must be rounded to the nearest dollar.</v>
      </c>
      <c r="H1395" s="25" t="str">
        <f t="shared" ca="1" si="192"/>
        <v/>
      </c>
      <c r="I1395" s="25" t="str">
        <f t="shared" ca="1" si="193"/>
        <v/>
      </c>
      <c r="J1395" s="26" t="str">
        <f t="shared" ca="1" si="194"/>
        <v/>
      </c>
    </row>
    <row r="1396" spans="1:10" x14ac:dyDescent="0.25">
      <c r="A1396" t="s">
        <v>313</v>
      </c>
      <c r="B1396" t="str">
        <f>ADDRESS(ROW('Bond 1'!$B$27),COLUMN('Bond 1'!$B$27),4)</f>
        <v>B27</v>
      </c>
      <c r="C1396" t="str">
        <f>ADDRESS(ROW('Bond 1'!$D$27),COLUMN('Bond 1'!$D$27),4)</f>
        <v>D27</v>
      </c>
      <c r="D1396" t="b" cm="1">
        <f t="array" aca="1" ref="D1396" ca="1">IF(INDIRECT("'"&amp;A1396&amp;"'!"&amp;B1396)="",FALSE,IF(TRUNC(INDIRECT("'"&amp;A1396&amp;"'!"&amp;B1396))=INDIRECT("'"&amp;A1396&amp;"'!"&amp;B1396),FALSE,TRUE))</f>
        <v>0</v>
      </c>
      <c r="E1396" t="s">
        <v>436</v>
      </c>
      <c r="F1396" t="str">
        <f>INDEX(Lists!I:I,MATCH(Validation!E1396,Lists!G:G,0))</f>
        <v>Error</v>
      </c>
      <c r="G1396" t="str">
        <f>INDEX(Lists!H:H,MATCH(Validation!E1396,Lists!G:G,0))</f>
        <v>Amount must be rounded to the nearest dollar.</v>
      </c>
      <c r="H1396" s="25" t="str">
        <f t="shared" ca="1" si="192"/>
        <v/>
      </c>
      <c r="I1396" s="25" t="str">
        <f t="shared" ca="1" si="193"/>
        <v/>
      </c>
      <c r="J1396" s="26" t="str">
        <f t="shared" ca="1" si="194"/>
        <v/>
      </c>
    </row>
    <row r="1397" spans="1:10" x14ac:dyDescent="0.25">
      <c r="A1397" t="s">
        <v>314</v>
      </c>
      <c r="B1397" t="str">
        <f>ADDRESS(ROW('Bond 1'!$B$27),COLUMN('Bond 1'!$B$27),4)</f>
        <v>B27</v>
      </c>
      <c r="C1397" t="str">
        <f>ADDRESS(ROW('Bond 1'!$D$27),COLUMN('Bond 1'!$D$27),4)</f>
        <v>D27</v>
      </c>
      <c r="D1397" t="b" cm="1">
        <f t="array" aca="1" ref="D1397" ca="1">IF(INDIRECT("'"&amp;A1397&amp;"'!"&amp;B1397)="",FALSE,IF(TRUNC(INDIRECT("'"&amp;A1397&amp;"'!"&amp;B1397))=INDIRECT("'"&amp;A1397&amp;"'!"&amp;B1397),FALSE,TRUE))</f>
        <v>0</v>
      </c>
      <c r="E1397" t="s">
        <v>436</v>
      </c>
      <c r="F1397" t="str">
        <f>INDEX(Lists!I:I,MATCH(Validation!E1397,Lists!G:G,0))</f>
        <v>Error</v>
      </c>
      <c r="G1397" t="str">
        <f>INDEX(Lists!H:H,MATCH(Validation!E1397,Lists!G:G,0))</f>
        <v>Amount must be rounded to the nearest dollar.</v>
      </c>
      <c r="H1397" s="25" t="str">
        <f t="shared" ca="1" si="192"/>
        <v/>
      </c>
      <c r="I1397" s="25" t="str">
        <f t="shared" ca="1" si="193"/>
        <v/>
      </c>
      <c r="J1397" s="26" t="str">
        <f t="shared" ca="1" si="194"/>
        <v/>
      </c>
    </row>
    <row r="1398" spans="1:10" x14ac:dyDescent="0.25">
      <c r="A1398" t="s">
        <v>315</v>
      </c>
      <c r="B1398" t="str">
        <f>ADDRESS(ROW('Bond 1'!$B$27),COLUMN('Bond 1'!$B$27),4)</f>
        <v>B27</v>
      </c>
      <c r="C1398" t="str">
        <f>ADDRESS(ROW('Bond 1'!$D$27),COLUMN('Bond 1'!$D$27),4)</f>
        <v>D27</v>
      </c>
      <c r="D1398" t="b" cm="1">
        <f t="array" aca="1" ref="D1398" ca="1">IF(INDIRECT("'"&amp;A1398&amp;"'!"&amp;B1398)="",FALSE,IF(TRUNC(INDIRECT("'"&amp;A1398&amp;"'!"&amp;B1398))=INDIRECT("'"&amp;A1398&amp;"'!"&amp;B1398),FALSE,TRUE))</f>
        <v>0</v>
      </c>
      <c r="E1398" t="s">
        <v>436</v>
      </c>
      <c r="F1398" t="str">
        <f>INDEX(Lists!I:I,MATCH(Validation!E1398,Lists!G:G,0))</f>
        <v>Error</v>
      </c>
      <c r="G1398" t="str">
        <f>INDEX(Lists!H:H,MATCH(Validation!E1398,Lists!G:G,0))</f>
        <v>Amount must be rounded to the nearest dollar.</v>
      </c>
      <c r="H1398" s="25" t="str">
        <f t="shared" ca="1" si="192"/>
        <v/>
      </c>
      <c r="I1398" s="25" t="str">
        <f t="shared" ca="1" si="193"/>
        <v/>
      </c>
      <c r="J1398" s="26" t="str">
        <f t="shared" ca="1" si="194"/>
        <v/>
      </c>
    </row>
    <row r="1399" spans="1:10" x14ac:dyDescent="0.25">
      <c r="A1399" t="s">
        <v>198</v>
      </c>
      <c r="B1399" t="str">
        <f>ADDRESS(ROW('Bond 1'!$B$27),COLUMN('Bond 1'!$B$27),4)</f>
        <v>B27</v>
      </c>
      <c r="C1399" t="str">
        <f>ADDRESS(ROW('Bond 1'!$D$27),COLUMN('Bond 1'!$D$27),4)</f>
        <v>D27</v>
      </c>
      <c r="D1399" t="b" cm="1">
        <f t="array" aca="1" ref="D1399" ca="1">IF(AND(NOT(ISBLANK('Bond Input'!C$29)),INDIRECT("'"&amp;A1399&amp;"'!"&amp;B1399)&lt;&gt;'Bond Input'!C$29),TRUE,FALSE)</f>
        <v>0</v>
      </c>
      <c r="E1399" t="s">
        <v>634</v>
      </c>
      <c r="F1399" t="str">
        <f>INDEX(Lists!I:I,MATCH(Validation!E1399,Lists!G:G,0))</f>
        <v>Alert</v>
      </c>
      <c r="G1399" t="str">
        <f>INDEX(Lists!H:H,MATCH(Validation!E1399,Lists!G:G,0))</f>
        <v>You have changed previously reported data. Explain in the comments box.</v>
      </c>
      <c r="H1399" s="25" t="str">
        <f t="shared" ca="1" si="192"/>
        <v/>
      </c>
      <c r="I1399" s="25" t="str">
        <f t="shared" ca="1" si="193"/>
        <v/>
      </c>
      <c r="J1399" s="26" t="str">
        <f t="shared" ca="1" si="194"/>
        <v/>
      </c>
    </row>
    <row r="1400" spans="1:10" x14ac:dyDescent="0.25">
      <c r="A1400" t="s">
        <v>302</v>
      </c>
      <c r="B1400" t="str">
        <f>ADDRESS(ROW('Bond 1'!$B$27),COLUMN('Bond 1'!$B$27),4)</f>
        <v>B27</v>
      </c>
      <c r="C1400" t="str">
        <f>ADDRESS(ROW('Bond 1'!$D$27),COLUMN('Bond 1'!$D$27),4)</f>
        <v>D27</v>
      </c>
      <c r="D1400" t="b" cm="1">
        <f t="array" aca="1" ref="D1400" ca="1">IF(AND(NOT(ISBLANK('Bond Input'!D$29)),INDIRECT("'"&amp;A1400&amp;"'!"&amp;B1400)&lt;&gt;'Bond Input'!D$29),TRUE,FALSE)</f>
        <v>0</v>
      </c>
      <c r="E1400" t="s">
        <v>634</v>
      </c>
      <c r="F1400" t="str">
        <f>INDEX(Lists!I:I,MATCH(Validation!E1400,Lists!G:G,0))</f>
        <v>Alert</v>
      </c>
      <c r="G1400" t="str">
        <f>INDEX(Lists!H:H,MATCH(Validation!E1400,Lists!G:G,0))</f>
        <v>You have changed previously reported data. Explain in the comments box.</v>
      </c>
      <c r="H1400" s="25" t="str">
        <f t="shared" ca="1" si="192"/>
        <v/>
      </c>
      <c r="I1400" s="25" t="str">
        <f t="shared" ca="1" si="193"/>
        <v/>
      </c>
      <c r="J1400" s="26" t="str">
        <f t="shared" ca="1" si="194"/>
        <v/>
      </c>
    </row>
    <row r="1401" spans="1:10" x14ac:dyDescent="0.25">
      <c r="A1401" t="s">
        <v>303</v>
      </c>
      <c r="B1401" t="str">
        <f>ADDRESS(ROW('Bond 1'!$B$27),COLUMN('Bond 1'!$B$27),4)</f>
        <v>B27</v>
      </c>
      <c r="C1401" t="str">
        <f>ADDRESS(ROW('Bond 1'!$D$27),COLUMN('Bond 1'!$D$27),4)</f>
        <v>D27</v>
      </c>
      <c r="D1401" t="b" cm="1">
        <f t="array" aca="1" ref="D1401" ca="1">IF(AND(NOT(ISBLANK('Bond Input'!E$29)),INDIRECT("'"&amp;A1401&amp;"'!"&amp;B1401)&lt;&gt;'Bond Input'!E$29),TRUE,FALSE)</f>
        <v>0</v>
      </c>
      <c r="E1401" t="s">
        <v>634</v>
      </c>
      <c r="F1401" t="str">
        <f>INDEX(Lists!I:I,MATCH(Validation!E1401,Lists!G:G,0))</f>
        <v>Alert</v>
      </c>
      <c r="G1401" t="str">
        <f>INDEX(Lists!H:H,MATCH(Validation!E1401,Lists!G:G,0))</f>
        <v>You have changed previously reported data. Explain in the comments box.</v>
      </c>
      <c r="H1401" s="25" t="str">
        <f t="shared" ref="H1401:H1464" ca="1" si="195">IFERROR(IF(OR(NOT(D1401),F1401&lt;&gt;"Error"),"",A1401&amp;CELL("address",INDIRECT(B1401))),"")</f>
        <v/>
      </c>
      <c r="I1401" s="25" t="str">
        <f t="shared" ref="I1401:I1464" ca="1" si="196">IFERROR(IF(NOT(D1401),"",A1401&amp;CELL("address",INDIRECT(C1401))),"")</f>
        <v/>
      </c>
      <c r="J1401" s="26" t="str">
        <f t="shared" ref="J1401:J1464" ca="1" si="197">IFERROR(IF(NOT(D1401),"",A1401),"")</f>
        <v/>
      </c>
    </row>
    <row r="1402" spans="1:10" x14ac:dyDescent="0.25">
      <c r="A1402" t="s">
        <v>304</v>
      </c>
      <c r="B1402" t="str">
        <f>ADDRESS(ROW('Bond 1'!$B$27),COLUMN('Bond 1'!$B$27),4)</f>
        <v>B27</v>
      </c>
      <c r="C1402" t="str">
        <f>ADDRESS(ROW('Bond 1'!$D$27),COLUMN('Bond 1'!$D$27),4)</f>
        <v>D27</v>
      </c>
      <c r="D1402" t="b" cm="1">
        <f t="array" aca="1" ref="D1402" ca="1">IF(AND(NOT(ISBLANK('Bond Input'!F$29)),INDIRECT("'"&amp;A1402&amp;"'!"&amp;B1402)&lt;&gt;'Bond Input'!F$29),TRUE,FALSE)</f>
        <v>0</v>
      </c>
      <c r="E1402" t="s">
        <v>634</v>
      </c>
      <c r="F1402" t="str">
        <f>INDEX(Lists!I:I,MATCH(Validation!E1402,Lists!G:G,0))</f>
        <v>Alert</v>
      </c>
      <c r="G1402" t="str">
        <f>INDEX(Lists!H:H,MATCH(Validation!E1402,Lists!G:G,0))</f>
        <v>You have changed previously reported data. Explain in the comments box.</v>
      </c>
      <c r="H1402" s="25" t="str">
        <f t="shared" ca="1" si="195"/>
        <v/>
      </c>
      <c r="I1402" s="25" t="str">
        <f t="shared" ca="1" si="196"/>
        <v/>
      </c>
      <c r="J1402" s="26" t="str">
        <f t="shared" ca="1" si="197"/>
        <v/>
      </c>
    </row>
    <row r="1403" spans="1:10" x14ac:dyDescent="0.25">
      <c r="A1403" t="s">
        <v>305</v>
      </c>
      <c r="B1403" t="str">
        <f>ADDRESS(ROW('Bond 1'!$B$27),COLUMN('Bond 1'!$B$27),4)</f>
        <v>B27</v>
      </c>
      <c r="C1403" t="str">
        <f>ADDRESS(ROW('Bond 1'!$D$27),COLUMN('Bond 1'!$D$27),4)</f>
        <v>D27</v>
      </c>
      <c r="D1403" t="b" cm="1">
        <f t="array" aca="1" ref="D1403" ca="1">IF(AND(NOT(ISBLANK('Bond Input'!G$29)),INDIRECT("'"&amp;A1403&amp;"'!"&amp;B1403)&lt;&gt;'Bond Input'!G$29),TRUE,FALSE)</f>
        <v>0</v>
      </c>
      <c r="E1403" t="s">
        <v>634</v>
      </c>
      <c r="F1403" t="str">
        <f>INDEX(Lists!I:I,MATCH(Validation!E1403,Lists!G:G,0))</f>
        <v>Alert</v>
      </c>
      <c r="G1403" t="str">
        <f>INDEX(Lists!H:H,MATCH(Validation!E1403,Lists!G:G,0))</f>
        <v>You have changed previously reported data. Explain in the comments box.</v>
      </c>
      <c r="H1403" s="25" t="str">
        <f t="shared" ca="1" si="195"/>
        <v/>
      </c>
      <c r="I1403" s="25" t="str">
        <f t="shared" ca="1" si="196"/>
        <v/>
      </c>
      <c r="J1403" s="26" t="str">
        <f t="shared" ca="1" si="197"/>
        <v/>
      </c>
    </row>
    <row r="1404" spans="1:10" x14ac:dyDescent="0.25">
      <c r="A1404" t="s">
        <v>306</v>
      </c>
      <c r="B1404" t="str">
        <f>ADDRESS(ROW('Bond 1'!$B$27),COLUMN('Bond 1'!$B$27),4)</f>
        <v>B27</v>
      </c>
      <c r="C1404" t="str">
        <f>ADDRESS(ROW('Bond 1'!$D$27),COLUMN('Bond 1'!$D$27),4)</f>
        <v>D27</v>
      </c>
      <c r="D1404" t="b" cm="1">
        <f t="array" aca="1" ref="D1404" ca="1">IF(AND(NOT(ISBLANK('Bond Input'!H$29)),INDIRECT("'"&amp;A1404&amp;"'!"&amp;B1404)&lt;&gt;'Bond Input'!H$29),TRUE,FALSE)</f>
        <v>0</v>
      </c>
      <c r="E1404" t="s">
        <v>634</v>
      </c>
      <c r="F1404" t="str">
        <f>INDEX(Lists!I:I,MATCH(Validation!E1404,Lists!G:G,0))</f>
        <v>Alert</v>
      </c>
      <c r="G1404" t="str">
        <f>INDEX(Lists!H:H,MATCH(Validation!E1404,Lists!G:G,0))</f>
        <v>You have changed previously reported data. Explain in the comments box.</v>
      </c>
      <c r="H1404" s="25" t="str">
        <f t="shared" ca="1" si="195"/>
        <v/>
      </c>
      <c r="I1404" s="25" t="str">
        <f t="shared" ca="1" si="196"/>
        <v/>
      </c>
      <c r="J1404" s="26" t="str">
        <f t="shared" ca="1" si="197"/>
        <v/>
      </c>
    </row>
    <row r="1405" spans="1:10" x14ac:dyDescent="0.25">
      <c r="A1405" t="s">
        <v>307</v>
      </c>
      <c r="B1405" t="str">
        <f>ADDRESS(ROW('Bond 1'!$B$27),COLUMN('Bond 1'!$B$27),4)</f>
        <v>B27</v>
      </c>
      <c r="C1405" t="str">
        <f>ADDRESS(ROW('Bond 1'!$D$27),COLUMN('Bond 1'!$D$27),4)</f>
        <v>D27</v>
      </c>
      <c r="D1405" t="b" cm="1">
        <f t="array" aca="1" ref="D1405" ca="1">IF(AND(NOT(ISBLANK('Bond Input'!I$29)),INDIRECT("'"&amp;A1405&amp;"'!"&amp;B1405)&lt;&gt;'Bond Input'!I$29),TRUE,FALSE)</f>
        <v>0</v>
      </c>
      <c r="E1405" t="s">
        <v>634</v>
      </c>
      <c r="F1405" t="str">
        <f>INDEX(Lists!I:I,MATCH(Validation!E1405,Lists!G:G,0))</f>
        <v>Alert</v>
      </c>
      <c r="G1405" t="str">
        <f>INDEX(Lists!H:H,MATCH(Validation!E1405,Lists!G:G,0))</f>
        <v>You have changed previously reported data. Explain in the comments box.</v>
      </c>
      <c r="H1405" s="25" t="str">
        <f t="shared" ca="1" si="195"/>
        <v/>
      </c>
      <c r="I1405" s="25" t="str">
        <f t="shared" ca="1" si="196"/>
        <v/>
      </c>
      <c r="J1405" s="26" t="str">
        <f t="shared" ca="1" si="197"/>
        <v/>
      </c>
    </row>
    <row r="1406" spans="1:10" x14ac:dyDescent="0.25">
      <c r="A1406" t="s">
        <v>308</v>
      </c>
      <c r="B1406" t="str">
        <f>ADDRESS(ROW('Bond 1'!$B$27),COLUMN('Bond 1'!$B$27),4)</f>
        <v>B27</v>
      </c>
      <c r="C1406" t="str">
        <f>ADDRESS(ROW('Bond 1'!$D$27),COLUMN('Bond 1'!$D$27),4)</f>
        <v>D27</v>
      </c>
      <c r="D1406" t="b" cm="1">
        <f t="array" aca="1" ref="D1406" ca="1">IF(AND(NOT(ISBLANK('Bond Input'!J$29)),INDIRECT("'"&amp;A1406&amp;"'!"&amp;B1406)&lt;&gt;'Bond Input'!J$29),TRUE,FALSE)</f>
        <v>0</v>
      </c>
      <c r="E1406" t="s">
        <v>634</v>
      </c>
      <c r="F1406" t="str">
        <f>INDEX(Lists!I:I,MATCH(Validation!E1406,Lists!G:G,0))</f>
        <v>Alert</v>
      </c>
      <c r="G1406" t="str">
        <f>INDEX(Lists!H:H,MATCH(Validation!E1406,Lists!G:G,0))</f>
        <v>You have changed previously reported data. Explain in the comments box.</v>
      </c>
      <c r="H1406" s="25" t="str">
        <f t="shared" ca="1" si="195"/>
        <v/>
      </c>
      <c r="I1406" s="25" t="str">
        <f t="shared" ca="1" si="196"/>
        <v/>
      </c>
      <c r="J1406" s="26" t="str">
        <f t="shared" ca="1" si="197"/>
        <v/>
      </c>
    </row>
    <row r="1407" spans="1:10" x14ac:dyDescent="0.25">
      <c r="A1407" t="s">
        <v>309</v>
      </c>
      <c r="B1407" t="str">
        <f>ADDRESS(ROW('Bond 1'!$B$27),COLUMN('Bond 1'!$B$27),4)</f>
        <v>B27</v>
      </c>
      <c r="C1407" t="str">
        <f>ADDRESS(ROW('Bond 1'!$D$27),COLUMN('Bond 1'!$D$27),4)</f>
        <v>D27</v>
      </c>
      <c r="D1407" t="b" cm="1">
        <f t="array" aca="1" ref="D1407" ca="1">IF(AND(NOT(ISBLANK('Bond Input'!K$29)),INDIRECT("'"&amp;A1407&amp;"'!"&amp;B1407)&lt;&gt;'Bond Input'!K$29),TRUE,FALSE)</f>
        <v>0</v>
      </c>
      <c r="E1407" t="s">
        <v>634</v>
      </c>
      <c r="F1407" t="str">
        <f>INDEX(Lists!I:I,MATCH(Validation!E1407,Lists!G:G,0))</f>
        <v>Alert</v>
      </c>
      <c r="G1407" t="str">
        <f>INDEX(Lists!H:H,MATCH(Validation!E1407,Lists!G:G,0))</f>
        <v>You have changed previously reported data. Explain in the comments box.</v>
      </c>
      <c r="H1407" s="25" t="str">
        <f t="shared" ca="1" si="195"/>
        <v/>
      </c>
      <c r="I1407" s="25" t="str">
        <f t="shared" ca="1" si="196"/>
        <v/>
      </c>
      <c r="J1407" s="26" t="str">
        <f t="shared" ca="1" si="197"/>
        <v/>
      </c>
    </row>
    <row r="1408" spans="1:10" x14ac:dyDescent="0.25">
      <c r="A1408" t="s">
        <v>310</v>
      </c>
      <c r="B1408" t="str">
        <f>ADDRESS(ROW('Bond 1'!$B$27),COLUMN('Bond 1'!$B$27),4)</f>
        <v>B27</v>
      </c>
      <c r="C1408" t="str">
        <f>ADDRESS(ROW('Bond 1'!$D$27),COLUMN('Bond 1'!$D$27),4)</f>
        <v>D27</v>
      </c>
      <c r="D1408" t="b" cm="1">
        <f t="array" aca="1" ref="D1408" ca="1">IF(AND(NOT(ISBLANK('Bond Input'!L$29)),INDIRECT("'"&amp;A1408&amp;"'!"&amp;B1408)&lt;&gt;'Bond Input'!L$29),TRUE,FALSE)</f>
        <v>0</v>
      </c>
      <c r="E1408" t="s">
        <v>634</v>
      </c>
      <c r="F1408" t="str">
        <f>INDEX(Lists!I:I,MATCH(Validation!E1408,Lists!G:G,0))</f>
        <v>Alert</v>
      </c>
      <c r="G1408" t="str">
        <f>INDEX(Lists!H:H,MATCH(Validation!E1408,Lists!G:G,0))</f>
        <v>You have changed previously reported data. Explain in the comments box.</v>
      </c>
      <c r="H1408" s="25" t="str">
        <f t="shared" ca="1" si="195"/>
        <v/>
      </c>
      <c r="I1408" s="25" t="str">
        <f t="shared" ca="1" si="196"/>
        <v/>
      </c>
      <c r="J1408" s="26" t="str">
        <f t="shared" ca="1" si="197"/>
        <v/>
      </c>
    </row>
    <row r="1409" spans="1:10" x14ac:dyDescent="0.25">
      <c r="A1409" t="s">
        <v>311</v>
      </c>
      <c r="B1409" t="str">
        <f>ADDRESS(ROW('Bond 1'!$B$27),COLUMN('Bond 1'!$B$27),4)</f>
        <v>B27</v>
      </c>
      <c r="C1409" t="str">
        <f>ADDRESS(ROW('Bond 1'!$D$27),COLUMN('Bond 1'!$D$27),4)</f>
        <v>D27</v>
      </c>
      <c r="D1409" t="b" cm="1">
        <f t="array" aca="1" ref="D1409" ca="1">IF(AND(NOT(ISBLANK('Bond Input'!M$29)),INDIRECT("'"&amp;A1409&amp;"'!"&amp;B1409)&lt;&gt;'Bond Input'!M$29),TRUE,FALSE)</f>
        <v>0</v>
      </c>
      <c r="E1409" t="s">
        <v>634</v>
      </c>
      <c r="F1409" t="str">
        <f>INDEX(Lists!I:I,MATCH(Validation!E1409,Lists!G:G,0))</f>
        <v>Alert</v>
      </c>
      <c r="G1409" t="str">
        <f>INDEX(Lists!H:H,MATCH(Validation!E1409,Lists!G:G,0))</f>
        <v>You have changed previously reported data. Explain in the comments box.</v>
      </c>
      <c r="H1409" s="25" t="str">
        <f t="shared" ca="1" si="195"/>
        <v/>
      </c>
      <c r="I1409" s="25" t="str">
        <f t="shared" ca="1" si="196"/>
        <v/>
      </c>
      <c r="J1409" s="26" t="str">
        <f t="shared" ca="1" si="197"/>
        <v/>
      </c>
    </row>
    <row r="1410" spans="1:10" x14ac:dyDescent="0.25">
      <c r="A1410" t="s">
        <v>312</v>
      </c>
      <c r="B1410" t="str">
        <f>ADDRESS(ROW('Bond 1'!$B$27),COLUMN('Bond 1'!$B$27),4)</f>
        <v>B27</v>
      </c>
      <c r="C1410" t="str">
        <f>ADDRESS(ROW('Bond 1'!$D$27),COLUMN('Bond 1'!$D$27),4)</f>
        <v>D27</v>
      </c>
      <c r="D1410" t="b" cm="1">
        <f t="array" aca="1" ref="D1410" ca="1">IF(AND(NOT(ISBLANK('Bond Input'!N$29)),INDIRECT("'"&amp;A1410&amp;"'!"&amp;B1410)&lt;&gt;'Bond Input'!N$29),TRUE,FALSE)</f>
        <v>0</v>
      </c>
      <c r="E1410" t="s">
        <v>634</v>
      </c>
      <c r="F1410" t="str">
        <f>INDEX(Lists!I:I,MATCH(Validation!E1410,Lists!G:G,0))</f>
        <v>Alert</v>
      </c>
      <c r="G1410" t="str">
        <f>INDEX(Lists!H:H,MATCH(Validation!E1410,Lists!G:G,0))</f>
        <v>You have changed previously reported data. Explain in the comments box.</v>
      </c>
      <c r="H1410" s="25" t="str">
        <f t="shared" ca="1" si="195"/>
        <v/>
      </c>
      <c r="I1410" s="25" t="str">
        <f t="shared" ca="1" si="196"/>
        <v/>
      </c>
      <c r="J1410" s="26" t="str">
        <f t="shared" ca="1" si="197"/>
        <v/>
      </c>
    </row>
    <row r="1411" spans="1:10" x14ac:dyDescent="0.25">
      <c r="A1411" t="s">
        <v>313</v>
      </c>
      <c r="B1411" t="str">
        <f>ADDRESS(ROW('Bond 1'!$B$27),COLUMN('Bond 1'!$B$27),4)</f>
        <v>B27</v>
      </c>
      <c r="C1411" t="str">
        <f>ADDRESS(ROW('Bond 1'!$D$27),COLUMN('Bond 1'!$D$27),4)</f>
        <v>D27</v>
      </c>
      <c r="D1411" t="b" cm="1">
        <f t="array" aca="1" ref="D1411" ca="1">IF(AND(NOT(ISBLANK('Bond Input'!O$29)),INDIRECT("'"&amp;A1411&amp;"'!"&amp;B1411)&lt;&gt;'Bond Input'!O$29),TRUE,FALSE)</f>
        <v>0</v>
      </c>
      <c r="E1411" t="s">
        <v>634</v>
      </c>
      <c r="F1411" t="str">
        <f>INDEX(Lists!I:I,MATCH(Validation!E1411,Lists!G:G,0))</f>
        <v>Alert</v>
      </c>
      <c r="G1411" t="str">
        <f>INDEX(Lists!H:H,MATCH(Validation!E1411,Lists!G:G,0))</f>
        <v>You have changed previously reported data. Explain in the comments box.</v>
      </c>
      <c r="H1411" s="25" t="str">
        <f t="shared" ca="1" si="195"/>
        <v/>
      </c>
      <c r="I1411" s="25" t="str">
        <f t="shared" ca="1" si="196"/>
        <v/>
      </c>
      <c r="J1411" s="26" t="str">
        <f t="shared" ca="1" si="197"/>
        <v/>
      </c>
    </row>
    <row r="1412" spans="1:10" x14ac:dyDescent="0.25">
      <c r="A1412" t="s">
        <v>314</v>
      </c>
      <c r="B1412" t="str">
        <f>ADDRESS(ROW('Bond 1'!$B$27),COLUMN('Bond 1'!$B$27),4)</f>
        <v>B27</v>
      </c>
      <c r="C1412" t="str">
        <f>ADDRESS(ROW('Bond 1'!$D$27),COLUMN('Bond 1'!$D$27),4)</f>
        <v>D27</v>
      </c>
      <c r="D1412" t="b" cm="1">
        <f t="array" aca="1" ref="D1412" ca="1">IF(AND(NOT(ISBLANK('Bond Input'!P$29)),INDIRECT("'"&amp;A1412&amp;"'!"&amp;B1412)&lt;&gt;'Bond Input'!P$29),TRUE,FALSE)</f>
        <v>0</v>
      </c>
      <c r="E1412" t="s">
        <v>634</v>
      </c>
      <c r="F1412" t="str">
        <f>INDEX(Lists!I:I,MATCH(Validation!E1412,Lists!G:G,0))</f>
        <v>Alert</v>
      </c>
      <c r="G1412" t="str">
        <f>INDEX(Lists!H:H,MATCH(Validation!E1412,Lists!G:G,0))</f>
        <v>You have changed previously reported data. Explain in the comments box.</v>
      </c>
      <c r="H1412" s="25" t="str">
        <f t="shared" ca="1" si="195"/>
        <v/>
      </c>
      <c r="I1412" s="25" t="str">
        <f t="shared" ca="1" si="196"/>
        <v/>
      </c>
      <c r="J1412" s="26" t="str">
        <f t="shared" ca="1" si="197"/>
        <v/>
      </c>
    </row>
    <row r="1413" spans="1:10" x14ac:dyDescent="0.25">
      <c r="A1413" t="s">
        <v>315</v>
      </c>
      <c r="B1413" t="str">
        <f>ADDRESS(ROW('Bond 1'!$B$27),COLUMN('Bond 1'!$B$27),4)</f>
        <v>B27</v>
      </c>
      <c r="C1413" t="str">
        <f>ADDRESS(ROW('Bond 1'!$D$27),COLUMN('Bond 1'!$D$27),4)</f>
        <v>D27</v>
      </c>
      <c r="D1413" t="b" cm="1">
        <f t="array" aca="1" ref="D1413" ca="1">IF(AND(NOT(ISBLANK('Bond Input'!Q$29)),INDIRECT("'"&amp;A1413&amp;"'!"&amp;B1413)&lt;&gt;'Bond Input'!Q$29),TRUE,FALSE)</f>
        <v>0</v>
      </c>
      <c r="E1413" t="s">
        <v>634</v>
      </c>
      <c r="F1413" t="str">
        <f>INDEX(Lists!I:I,MATCH(Validation!E1413,Lists!G:G,0))</f>
        <v>Alert</v>
      </c>
      <c r="G1413" t="str">
        <f>INDEX(Lists!H:H,MATCH(Validation!E1413,Lists!G:G,0))</f>
        <v>You have changed previously reported data. Explain in the comments box.</v>
      </c>
      <c r="H1413" s="25" t="str">
        <f t="shared" ca="1" si="195"/>
        <v/>
      </c>
      <c r="I1413" s="25" t="str">
        <f t="shared" ca="1" si="196"/>
        <v/>
      </c>
      <c r="J1413" s="26" t="str">
        <f t="shared" ca="1" si="197"/>
        <v/>
      </c>
    </row>
    <row r="1414" spans="1:10" x14ac:dyDescent="0.25">
      <c r="A1414" t="s">
        <v>198</v>
      </c>
      <c r="B1414" t="str">
        <f>ADDRESS(ROW('Bond 1'!$C$27),COLUMN('Bond 1'!$C$27),4)</f>
        <v>C27</v>
      </c>
      <c r="C1414" t="str">
        <f>ADDRESS(ROW('Bond 1'!$D$27),COLUMN('Bond 1'!$D$27),4)</f>
        <v>D27</v>
      </c>
      <c r="D1414" t="b" cm="1">
        <f t="array" aca="1" ref="D1414" ca="1">IF(INDIRECT("'"&amp;A1414&amp;"'!"&amp;B1414)="",FALSE,IF(NOT(ISNUMBER(INDIRECT("'"&amp;A1414&amp;"'!"&amp;B1414))),TRUE,FALSE))</f>
        <v>0</v>
      </c>
      <c r="E1414" t="s">
        <v>435</v>
      </c>
      <c r="F1414" t="str">
        <f>INDEX(Lists!I:I,MATCH(Validation!E1414,Lists!G:G,0))</f>
        <v>Error</v>
      </c>
      <c r="G1414" t="str">
        <f>INDEX(Lists!H:H,MATCH(Validation!E1414,Lists!G:G,0))</f>
        <v>Enter an amount only. Do not enter text or spaces.</v>
      </c>
      <c r="H1414" s="25" t="str">
        <f t="shared" ca="1" si="195"/>
        <v/>
      </c>
      <c r="I1414" s="25" t="str">
        <f t="shared" ca="1" si="196"/>
        <v/>
      </c>
      <c r="J1414" s="26" t="str">
        <f t="shared" ca="1" si="197"/>
        <v/>
      </c>
    </row>
    <row r="1415" spans="1:10" x14ac:dyDescent="0.25">
      <c r="A1415" t="s">
        <v>302</v>
      </c>
      <c r="B1415" t="str">
        <f>ADDRESS(ROW('Bond 1'!$C$27),COLUMN('Bond 1'!$C$27),4)</f>
        <v>C27</v>
      </c>
      <c r="C1415" t="str">
        <f>ADDRESS(ROW('Bond 1'!$D$27),COLUMN('Bond 1'!$D$27),4)</f>
        <v>D27</v>
      </c>
      <c r="D1415" t="b" cm="1">
        <f t="array" aca="1" ref="D1415" ca="1">IF(INDIRECT("'"&amp;A1415&amp;"'!"&amp;B1415)="",FALSE,IF(NOT(ISNUMBER(INDIRECT("'"&amp;A1415&amp;"'!"&amp;B1415))),TRUE,FALSE))</f>
        <v>0</v>
      </c>
      <c r="E1415" t="s">
        <v>435</v>
      </c>
      <c r="F1415" t="str">
        <f>INDEX(Lists!I:I,MATCH(Validation!E1415,Lists!G:G,0))</f>
        <v>Error</v>
      </c>
      <c r="G1415" t="str">
        <f>INDEX(Lists!H:H,MATCH(Validation!E1415,Lists!G:G,0))</f>
        <v>Enter an amount only. Do not enter text or spaces.</v>
      </c>
      <c r="H1415" s="25" t="str">
        <f t="shared" ca="1" si="195"/>
        <v/>
      </c>
      <c r="I1415" s="25" t="str">
        <f t="shared" ca="1" si="196"/>
        <v/>
      </c>
      <c r="J1415" s="26" t="str">
        <f t="shared" ca="1" si="197"/>
        <v/>
      </c>
    </row>
    <row r="1416" spans="1:10" x14ac:dyDescent="0.25">
      <c r="A1416" t="s">
        <v>303</v>
      </c>
      <c r="B1416" t="str">
        <f>ADDRESS(ROW('Bond 1'!$C$27),COLUMN('Bond 1'!$C$27),4)</f>
        <v>C27</v>
      </c>
      <c r="C1416" t="str">
        <f>ADDRESS(ROW('Bond 1'!$D$27),COLUMN('Bond 1'!$D$27),4)</f>
        <v>D27</v>
      </c>
      <c r="D1416" t="b" cm="1">
        <f t="array" aca="1" ref="D1416" ca="1">IF(INDIRECT("'"&amp;A1416&amp;"'!"&amp;B1416)="",FALSE,IF(NOT(ISNUMBER(INDIRECT("'"&amp;A1416&amp;"'!"&amp;B1416))),TRUE,FALSE))</f>
        <v>0</v>
      </c>
      <c r="E1416" t="s">
        <v>435</v>
      </c>
      <c r="F1416" t="str">
        <f>INDEX(Lists!I:I,MATCH(Validation!E1416,Lists!G:G,0))</f>
        <v>Error</v>
      </c>
      <c r="G1416" t="str">
        <f>INDEX(Lists!H:H,MATCH(Validation!E1416,Lists!G:G,0))</f>
        <v>Enter an amount only. Do not enter text or spaces.</v>
      </c>
      <c r="H1416" s="25" t="str">
        <f t="shared" ca="1" si="195"/>
        <v/>
      </c>
      <c r="I1416" s="25" t="str">
        <f t="shared" ca="1" si="196"/>
        <v/>
      </c>
      <c r="J1416" s="26" t="str">
        <f t="shared" ca="1" si="197"/>
        <v/>
      </c>
    </row>
    <row r="1417" spans="1:10" x14ac:dyDescent="0.25">
      <c r="A1417" t="s">
        <v>304</v>
      </c>
      <c r="B1417" t="str">
        <f>ADDRESS(ROW('Bond 1'!$C$27),COLUMN('Bond 1'!$C$27),4)</f>
        <v>C27</v>
      </c>
      <c r="C1417" t="str">
        <f>ADDRESS(ROW('Bond 1'!$D$27),COLUMN('Bond 1'!$D$27),4)</f>
        <v>D27</v>
      </c>
      <c r="D1417" t="b" cm="1">
        <f t="array" aca="1" ref="D1417" ca="1">IF(INDIRECT("'"&amp;A1417&amp;"'!"&amp;B1417)="",FALSE,IF(NOT(ISNUMBER(INDIRECT("'"&amp;A1417&amp;"'!"&amp;B1417))),TRUE,FALSE))</f>
        <v>0</v>
      </c>
      <c r="E1417" t="s">
        <v>435</v>
      </c>
      <c r="F1417" t="str">
        <f>INDEX(Lists!I:I,MATCH(Validation!E1417,Lists!G:G,0))</f>
        <v>Error</v>
      </c>
      <c r="G1417" t="str">
        <f>INDEX(Lists!H:H,MATCH(Validation!E1417,Lists!G:G,0))</f>
        <v>Enter an amount only. Do not enter text or spaces.</v>
      </c>
      <c r="H1417" s="25" t="str">
        <f t="shared" ca="1" si="195"/>
        <v/>
      </c>
      <c r="I1417" s="25" t="str">
        <f t="shared" ca="1" si="196"/>
        <v/>
      </c>
      <c r="J1417" s="26" t="str">
        <f t="shared" ca="1" si="197"/>
        <v/>
      </c>
    </row>
    <row r="1418" spans="1:10" x14ac:dyDescent="0.25">
      <c r="A1418" t="s">
        <v>305</v>
      </c>
      <c r="B1418" t="str">
        <f>ADDRESS(ROW('Bond 1'!$C$27),COLUMN('Bond 1'!$C$27),4)</f>
        <v>C27</v>
      </c>
      <c r="C1418" t="str">
        <f>ADDRESS(ROW('Bond 1'!$D$27),COLUMN('Bond 1'!$D$27),4)</f>
        <v>D27</v>
      </c>
      <c r="D1418" t="b" cm="1">
        <f t="array" aca="1" ref="D1418" ca="1">IF(INDIRECT("'"&amp;A1418&amp;"'!"&amp;B1418)="",FALSE,IF(NOT(ISNUMBER(INDIRECT("'"&amp;A1418&amp;"'!"&amp;B1418))),TRUE,FALSE))</f>
        <v>0</v>
      </c>
      <c r="E1418" t="s">
        <v>435</v>
      </c>
      <c r="F1418" t="str">
        <f>INDEX(Lists!I:I,MATCH(Validation!E1418,Lists!G:G,0))</f>
        <v>Error</v>
      </c>
      <c r="G1418" t="str">
        <f>INDEX(Lists!H:H,MATCH(Validation!E1418,Lists!G:G,0))</f>
        <v>Enter an amount only. Do not enter text or spaces.</v>
      </c>
      <c r="H1418" s="25" t="str">
        <f t="shared" ca="1" si="195"/>
        <v/>
      </c>
      <c r="I1418" s="25" t="str">
        <f t="shared" ca="1" si="196"/>
        <v/>
      </c>
      <c r="J1418" s="26" t="str">
        <f t="shared" ca="1" si="197"/>
        <v/>
      </c>
    </row>
    <row r="1419" spans="1:10" x14ac:dyDescent="0.25">
      <c r="A1419" t="s">
        <v>306</v>
      </c>
      <c r="B1419" t="str">
        <f>ADDRESS(ROW('Bond 1'!$C$27),COLUMN('Bond 1'!$C$27),4)</f>
        <v>C27</v>
      </c>
      <c r="C1419" t="str">
        <f>ADDRESS(ROW('Bond 1'!$D$27),COLUMN('Bond 1'!$D$27),4)</f>
        <v>D27</v>
      </c>
      <c r="D1419" t="b" cm="1">
        <f t="array" aca="1" ref="D1419" ca="1">IF(INDIRECT("'"&amp;A1419&amp;"'!"&amp;B1419)="",FALSE,IF(NOT(ISNUMBER(INDIRECT("'"&amp;A1419&amp;"'!"&amp;B1419))),TRUE,FALSE))</f>
        <v>0</v>
      </c>
      <c r="E1419" t="s">
        <v>435</v>
      </c>
      <c r="F1419" t="str">
        <f>INDEX(Lists!I:I,MATCH(Validation!E1419,Lists!G:G,0))</f>
        <v>Error</v>
      </c>
      <c r="G1419" t="str">
        <f>INDEX(Lists!H:H,MATCH(Validation!E1419,Lists!G:G,0))</f>
        <v>Enter an amount only. Do not enter text or spaces.</v>
      </c>
      <c r="H1419" s="25" t="str">
        <f t="shared" ca="1" si="195"/>
        <v/>
      </c>
      <c r="I1419" s="25" t="str">
        <f t="shared" ca="1" si="196"/>
        <v/>
      </c>
      <c r="J1419" s="26" t="str">
        <f t="shared" ca="1" si="197"/>
        <v/>
      </c>
    </row>
    <row r="1420" spans="1:10" x14ac:dyDescent="0.25">
      <c r="A1420" t="s">
        <v>307</v>
      </c>
      <c r="B1420" t="str">
        <f>ADDRESS(ROW('Bond 1'!$C$27),COLUMN('Bond 1'!$C$27),4)</f>
        <v>C27</v>
      </c>
      <c r="C1420" t="str">
        <f>ADDRESS(ROW('Bond 1'!$D$27),COLUMN('Bond 1'!$D$27),4)</f>
        <v>D27</v>
      </c>
      <c r="D1420" t="b" cm="1">
        <f t="array" aca="1" ref="D1420" ca="1">IF(INDIRECT("'"&amp;A1420&amp;"'!"&amp;B1420)="",FALSE,IF(NOT(ISNUMBER(INDIRECT("'"&amp;A1420&amp;"'!"&amp;B1420))),TRUE,FALSE))</f>
        <v>0</v>
      </c>
      <c r="E1420" t="s">
        <v>435</v>
      </c>
      <c r="F1420" t="str">
        <f>INDEX(Lists!I:I,MATCH(Validation!E1420,Lists!G:G,0))</f>
        <v>Error</v>
      </c>
      <c r="G1420" t="str">
        <f>INDEX(Lists!H:H,MATCH(Validation!E1420,Lists!G:G,0))</f>
        <v>Enter an amount only. Do not enter text or spaces.</v>
      </c>
      <c r="H1420" s="25" t="str">
        <f t="shared" ca="1" si="195"/>
        <v/>
      </c>
      <c r="I1420" s="25" t="str">
        <f t="shared" ca="1" si="196"/>
        <v/>
      </c>
      <c r="J1420" s="26" t="str">
        <f t="shared" ca="1" si="197"/>
        <v/>
      </c>
    </row>
    <row r="1421" spans="1:10" x14ac:dyDescent="0.25">
      <c r="A1421" t="s">
        <v>308</v>
      </c>
      <c r="B1421" t="str">
        <f>ADDRESS(ROW('Bond 1'!$C$27),COLUMN('Bond 1'!$C$27),4)</f>
        <v>C27</v>
      </c>
      <c r="C1421" t="str">
        <f>ADDRESS(ROW('Bond 1'!$D$27),COLUMN('Bond 1'!$D$27),4)</f>
        <v>D27</v>
      </c>
      <c r="D1421" t="b" cm="1">
        <f t="array" aca="1" ref="D1421" ca="1">IF(INDIRECT("'"&amp;A1421&amp;"'!"&amp;B1421)="",FALSE,IF(NOT(ISNUMBER(INDIRECT("'"&amp;A1421&amp;"'!"&amp;B1421))),TRUE,FALSE))</f>
        <v>0</v>
      </c>
      <c r="E1421" t="s">
        <v>435</v>
      </c>
      <c r="F1421" t="str">
        <f>INDEX(Lists!I:I,MATCH(Validation!E1421,Lists!G:G,0))</f>
        <v>Error</v>
      </c>
      <c r="G1421" t="str">
        <f>INDEX(Lists!H:H,MATCH(Validation!E1421,Lists!G:G,0))</f>
        <v>Enter an amount only. Do not enter text or spaces.</v>
      </c>
      <c r="H1421" s="25" t="str">
        <f t="shared" ca="1" si="195"/>
        <v/>
      </c>
      <c r="I1421" s="25" t="str">
        <f t="shared" ca="1" si="196"/>
        <v/>
      </c>
      <c r="J1421" s="26" t="str">
        <f t="shared" ca="1" si="197"/>
        <v/>
      </c>
    </row>
    <row r="1422" spans="1:10" x14ac:dyDescent="0.25">
      <c r="A1422" t="s">
        <v>309</v>
      </c>
      <c r="B1422" t="str">
        <f>ADDRESS(ROW('Bond 1'!$C$27),COLUMN('Bond 1'!$C$27),4)</f>
        <v>C27</v>
      </c>
      <c r="C1422" t="str">
        <f>ADDRESS(ROW('Bond 1'!$D$27),COLUMN('Bond 1'!$D$27),4)</f>
        <v>D27</v>
      </c>
      <c r="D1422" t="b" cm="1">
        <f t="array" aca="1" ref="D1422" ca="1">IF(INDIRECT("'"&amp;A1422&amp;"'!"&amp;B1422)="",FALSE,IF(NOT(ISNUMBER(INDIRECT("'"&amp;A1422&amp;"'!"&amp;B1422))),TRUE,FALSE))</f>
        <v>0</v>
      </c>
      <c r="E1422" t="s">
        <v>435</v>
      </c>
      <c r="F1422" t="str">
        <f>INDEX(Lists!I:I,MATCH(Validation!E1422,Lists!G:G,0))</f>
        <v>Error</v>
      </c>
      <c r="G1422" t="str">
        <f>INDEX(Lists!H:H,MATCH(Validation!E1422,Lists!G:G,0))</f>
        <v>Enter an amount only. Do not enter text or spaces.</v>
      </c>
      <c r="H1422" s="25" t="str">
        <f t="shared" ca="1" si="195"/>
        <v/>
      </c>
      <c r="I1422" s="25" t="str">
        <f t="shared" ca="1" si="196"/>
        <v/>
      </c>
      <c r="J1422" s="26" t="str">
        <f t="shared" ca="1" si="197"/>
        <v/>
      </c>
    </row>
    <row r="1423" spans="1:10" x14ac:dyDescent="0.25">
      <c r="A1423" t="s">
        <v>310</v>
      </c>
      <c r="B1423" t="str">
        <f>ADDRESS(ROW('Bond 1'!$C$27),COLUMN('Bond 1'!$C$27),4)</f>
        <v>C27</v>
      </c>
      <c r="C1423" t="str">
        <f>ADDRESS(ROW('Bond 1'!$D$27),COLUMN('Bond 1'!$D$27),4)</f>
        <v>D27</v>
      </c>
      <c r="D1423" t="b" cm="1">
        <f t="array" aca="1" ref="D1423" ca="1">IF(INDIRECT("'"&amp;A1423&amp;"'!"&amp;B1423)="",FALSE,IF(NOT(ISNUMBER(INDIRECT("'"&amp;A1423&amp;"'!"&amp;B1423))),TRUE,FALSE))</f>
        <v>0</v>
      </c>
      <c r="E1423" t="s">
        <v>435</v>
      </c>
      <c r="F1423" t="str">
        <f>INDEX(Lists!I:I,MATCH(Validation!E1423,Lists!G:G,0))</f>
        <v>Error</v>
      </c>
      <c r="G1423" t="str">
        <f>INDEX(Lists!H:H,MATCH(Validation!E1423,Lists!G:G,0))</f>
        <v>Enter an amount only. Do not enter text or spaces.</v>
      </c>
      <c r="H1423" s="25" t="str">
        <f t="shared" ca="1" si="195"/>
        <v/>
      </c>
      <c r="I1423" s="25" t="str">
        <f t="shared" ca="1" si="196"/>
        <v/>
      </c>
      <c r="J1423" s="26" t="str">
        <f t="shared" ca="1" si="197"/>
        <v/>
      </c>
    </row>
    <row r="1424" spans="1:10" x14ac:dyDescent="0.25">
      <c r="A1424" t="s">
        <v>311</v>
      </c>
      <c r="B1424" t="str">
        <f>ADDRESS(ROW('Bond 1'!$C$27),COLUMN('Bond 1'!$C$27),4)</f>
        <v>C27</v>
      </c>
      <c r="C1424" t="str">
        <f>ADDRESS(ROW('Bond 1'!$D$27),COLUMN('Bond 1'!$D$27),4)</f>
        <v>D27</v>
      </c>
      <c r="D1424" t="b" cm="1">
        <f t="array" aca="1" ref="D1424" ca="1">IF(INDIRECT("'"&amp;A1424&amp;"'!"&amp;B1424)="",FALSE,IF(NOT(ISNUMBER(INDIRECT("'"&amp;A1424&amp;"'!"&amp;B1424))),TRUE,FALSE))</f>
        <v>0</v>
      </c>
      <c r="E1424" t="s">
        <v>435</v>
      </c>
      <c r="F1424" t="str">
        <f>INDEX(Lists!I:I,MATCH(Validation!E1424,Lists!G:G,0))</f>
        <v>Error</v>
      </c>
      <c r="G1424" t="str">
        <f>INDEX(Lists!H:H,MATCH(Validation!E1424,Lists!G:G,0))</f>
        <v>Enter an amount only. Do not enter text or spaces.</v>
      </c>
      <c r="H1424" s="25" t="str">
        <f t="shared" ca="1" si="195"/>
        <v/>
      </c>
      <c r="I1424" s="25" t="str">
        <f t="shared" ca="1" si="196"/>
        <v/>
      </c>
      <c r="J1424" s="26" t="str">
        <f t="shared" ca="1" si="197"/>
        <v/>
      </c>
    </row>
    <row r="1425" spans="1:10" x14ac:dyDescent="0.25">
      <c r="A1425" t="s">
        <v>312</v>
      </c>
      <c r="B1425" t="str">
        <f>ADDRESS(ROW('Bond 1'!$C$27),COLUMN('Bond 1'!$C$27),4)</f>
        <v>C27</v>
      </c>
      <c r="C1425" t="str">
        <f>ADDRESS(ROW('Bond 1'!$D$27),COLUMN('Bond 1'!$D$27),4)</f>
        <v>D27</v>
      </c>
      <c r="D1425" t="b" cm="1">
        <f t="array" aca="1" ref="D1425" ca="1">IF(INDIRECT("'"&amp;A1425&amp;"'!"&amp;B1425)="",FALSE,IF(NOT(ISNUMBER(INDIRECT("'"&amp;A1425&amp;"'!"&amp;B1425))),TRUE,FALSE))</f>
        <v>0</v>
      </c>
      <c r="E1425" t="s">
        <v>435</v>
      </c>
      <c r="F1425" t="str">
        <f>INDEX(Lists!I:I,MATCH(Validation!E1425,Lists!G:G,0))</f>
        <v>Error</v>
      </c>
      <c r="G1425" t="str">
        <f>INDEX(Lists!H:H,MATCH(Validation!E1425,Lists!G:G,0))</f>
        <v>Enter an amount only. Do not enter text or spaces.</v>
      </c>
      <c r="H1425" s="25" t="str">
        <f t="shared" ca="1" si="195"/>
        <v/>
      </c>
      <c r="I1425" s="25" t="str">
        <f t="shared" ca="1" si="196"/>
        <v/>
      </c>
      <c r="J1425" s="26" t="str">
        <f t="shared" ca="1" si="197"/>
        <v/>
      </c>
    </row>
    <row r="1426" spans="1:10" x14ac:dyDescent="0.25">
      <c r="A1426" t="s">
        <v>313</v>
      </c>
      <c r="B1426" t="str">
        <f>ADDRESS(ROW('Bond 1'!$C$27),COLUMN('Bond 1'!$C$27),4)</f>
        <v>C27</v>
      </c>
      <c r="C1426" t="str">
        <f>ADDRESS(ROW('Bond 1'!$D$27),COLUMN('Bond 1'!$D$27),4)</f>
        <v>D27</v>
      </c>
      <c r="D1426" t="b" cm="1">
        <f t="array" aca="1" ref="D1426" ca="1">IF(INDIRECT("'"&amp;A1426&amp;"'!"&amp;B1426)="",FALSE,IF(NOT(ISNUMBER(INDIRECT("'"&amp;A1426&amp;"'!"&amp;B1426))),TRUE,FALSE))</f>
        <v>0</v>
      </c>
      <c r="E1426" t="s">
        <v>435</v>
      </c>
      <c r="F1426" t="str">
        <f>INDEX(Lists!I:I,MATCH(Validation!E1426,Lists!G:G,0))</f>
        <v>Error</v>
      </c>
      <c r="G1426" t="str">
        <f>INDEX(Lists!H:H,MATCH(Validation!E1426,Lists!G:G,0))</f>
        <v>Enter an amount only. Do not enter text or spaces.</v>
      </c>
      <c r="H1426" s="25" t="str">
        <f t="shared" ca="1" si="195"/>
        <v/>
      </c>
      <c r="I1426" s="25" t="str">
        <f t="shared" ca="1" si="196"/>
        <v/>
      </c>
      <c r="J1426" s="26" t="str">
        <f t="shared" ca="1" si="197"/>
        <v/>
      </c>
    </row>
    <row r="1427" spans="1:10" x14ac:dyDescent="0.25">
      <c r="A1427" t="s">
        <v>314</v>
      </c>
      <c r="B1427" t="str">
        <f>ADDRESS(ROW('Bond 1'!$C$27),COLUMN('Bond 1'!$C$27),4)</f>
        <v>C27</v>
      </c>
      <c r="C1427" t="str">
        <f>ADDRESS(ROW('Bond 1'!$D$27),COLUMN('Bond 1'!$D$27),4)</f>
        <v>D27</v>
      </c>
      <c r="D1427" t="b" cm="1">
        <f t="array" aca="1" ref="D1427" ca="1">IF(INDIRECT("'"&amp;A1427&amp;"'!"&amp;B1427)="",FALSE,IF(NOT(ISNUMBER(INDIRECT("'"&amp;A1427&amp;"'!"&amp;B1427))),TRUE,FALSE))</f>
        <v>0</v>
      </c>
      <c r="E1427" t="s">
        <v>435</v>
      </c>
      <c r="F1427" t="str">
        <f>INDEX(Lists!I:I,MATCH(Validation!E1427,Lists!G:G,0))</f>
        <v>Error</v>
      </c>
      <c r="G1427" t="str">
        <f>INDEX(Lists!H:H,MATCH(Validation!E1427,Lists!G:G,0))</f>
        <v>Enter an amount only. Do not enter text or spaces.</v>
      </c>
      <c r="H1427" s="25" t="str">
        <f t="shared" ca="1" si="195"/>
        <v/>
      </c>
      <c r="I1427" s="25" t="str">
        <f t="shared" ca="1" si="196"/>
        <v/>
      </c>
      <c r="J1427" s="26" t="str">
        <f t="shared" ca="1" si="197"/>
        <v/>
      </c>
    </row>
    <row r="1428" spans="1:10" x14ac:dyDescent="0.25">
      <c r="A1428" t="s">
        <v>315</v>
      </c>
      <c r="B1428" t="str">
        <f>ADDRESS(ROW('Bond 1'!$C$27),COLUMN('Bond 1'!$C$27),4)</f>
        <v>C27</v>
      </c>
      <c r="C1428" t="str">
        <f>ADDRESS(ROW('Bond 1'!$D$27),COLUMN('Bond 1'!$D$27),4)</f>
        <v>D27</v>
      </c>
      <c r="D1428" t="b" cm="1">
        <f t="array" aca="1" ref="D1428" ca="1">IF(INDIRECT("'"&amp;A1428&amp;"'!"&amp;B1428)="",FALSE,IF(NOT(ISNUMBER(INDIRECT("'"&amp;A1428&amp;"'!"&amp;B1428))),TRUE,FALSE))</f>
        <v>0</v>
      </c>
      <c r="E1428" t="s">
        <v>435</v>
      </c>
      <c r="F1428" t="str">
        <f>INDEX(Lists!I:I,MATCH(Validation!E1428,Lists!G:G,0))</f>
        <v>Error</v>
      </c>
      <c r="G1428" t="str">
        <f>INDEX(Lists!H:H,MATCH(Validation!E1428,Lists!G:G,0))</f>
        <v>Enter an amount only. Do not enter text or spaces.</v>
      </c>
      <c r="H1428" s="25" t="str">
        <f t="shared" ca="1" si="195"/>
        <v/>
      </c>
      <c r="I1428" s="25" t="str">
        <f t="shared" ca="1" si="196"/>
        <v/>
      </c>
      <c r="J1428" s="26" t="str">
        <f t="shared" ca="1" si="197"/>
        <v/>
      </c>
    </row>
    <row r="1429" spans="1:10" x14ac:dyDescent="0.25">
      <c r="A1429" t="s">
        <v>198</v>
      </c>
      <c r="B1429" t="str">
        <f>ADDRESS(ROW('Bond 1'!$C$27),COLUMN('Bond 1'!$C$27),4)</f>
        <v>C27</v>
      </c>
      <c r="C1429" t="str">
        <f>ADDRESS(ROW('Bond 1'!$D$27),COLUMN('Bond 1'!$D$27),4)</f>
        <v>D27</v>
      </c>
      <c r="D1429" t="b" cm="1">
        <f t="array" aca="1" ref="D1429" ca="1">IF(INDIRECT("'"&amp;A1429&amp;"'!"&amp;B1429)="",FALSE,IF(INDIRECT("'"&amp;A1429&amp;"'!"&amp;B1429)&lt;0,TRUE,FALSE))</f>
        <v>0</v>
      </c>
      <c r="E1429" t="s">
        <v>434</v>
      </c>
      <c r="F1429" t="str">
        <f>INDEX(Lists!I:I,MATCH(Validation!E1429,Lists!G:G,0))</f>
        <v>Error</v>
      </c>
      <c r="G1429" t="str">
        <f>INDEX(Lists!H:H,MATCH(Validation!E1429,Lists!G:G,0))</f>
        <v>Amount may not be negative. Enter an amount greater than or equal to zero.</v>
      </c>
      <c r="H1429" s="25" t="str">
        <f t="shared" ca="1" si="195"/>
        <v/>
      </c>
      <c r="I1429" s="25" t="str">
        <f t="shared" ca="1" si="196"/>
        <v/>
      </c>
      <c r="J1429" s="26" t="str">
        <f t="shared" ca="1" si="197"/>
        <v/>
      </c>
    </row>
    <row r="1430" spans="1:10" x14ac:dyDescent="0.25">
      <c r="A1430" t="s">
        <v>302</v>
      </c>
      <c r="B1430" t="str">
        <f>ADDRESS(ROW('Bond 1'!$C$27),COLUMN('Bond 1'!$C$27),4)</f>
        <v>C27</v>
      </c>
      <c r="C1430" t="str">
        <f>ADDRESS(ROW('Bond 1'!$D$27),COLUMN('Bond 1'!$D$27),4)</f>
        <v>D27</v>
      </c>
      <c r="D1430" t="b" cm="1">
        <f t="array" aca="1" ref="D1430" ca="1">IF(INDIRECT("'"&amp;A1430&amp;"'!"&amp;B1430)="",FALSE,IF(INDIRECT("'"&amp;A1430&amp;"'!"&amp;B1430)&lt;0,TRUE,FALSE))</f>
        <v>0</v>
      </c>
      <c r="E1430" t="s">
        <v>434</v>
      </c>
      <c r="F1430" t="str">
        <f>INDEX(Lists!I:I,MATCH(Validation!E1430,Lists!G:G,0))</f>
        <v>Error</v>
      </c>
      <c r="G1430" t="str">
        <f>INDEX(Lists!H:H,MATCH(Validation!E1430,Lists!G:G,0))</f>
        <v>Amount may not be negative. Enter an amount greater than or equal to zero.</v>
      </c>
      <c r="H1430" s="25" t="str">
        <f t="shared" ca="1" si="195"/>
        <v/>
      </c>
      <c r="I1430" s="25" t="str">
        <f t="shared" ca="1" si="196"/>
        <v/>
      </c>
      <c r="J1430" s="26" t="str">
        <f t="shared" ca="1" si="197"/>
        <v/>
      </c>
    </row>
    <row r="1431" spans="1:10" x14ac:dyDescent="0.25">
      <c r="A1431" t="s">
        <v>303</v>
      </c>
      <c r="B1431" t="str">
        <f>ADDRESS(ROW('Bond 1'!$C$27),COLUMN('Bond 1'!$C$27),4)</f>
        <v>C27</v>
      </c>
      <c r="C1431" t="str">
        <f>ADDRESS(ROW('Bond 1'!$D$27),COLUMN('Bond 1'!$D$27),4)</f>
        <v>D27</v>
      </c>
      <c r="D1431" t="b" cm="1">
        <f t="array" aca="1" ref="D1431" ca="1">IF(INDIRECT("'"&amp;A1431&amp;"'!"&amp;B1431)="",FALSE,IF(INDIRECT("'"&amp;A1431&amp;"'!"&amp;B1431)&lt;0,TRUE,FALSE))</f>
        <v>0</v>
      </c>
      <c r="E1431" t="s">
        <v>434</v>
      </c>
      <c r="F1431" t="str">
        <f>INDEX(Lists!I:I,MATCH(Validation!E1431,Lists!G:G,0))</f>
        <v>Error</v>
      </c>
      <c r="G1431" t="str">
        <f>INDEX(Lists!H:H,MATCH(Validation!E1431,Lists!G:G,0))</f>
        <v>Amount may not be negative. Enter an amount greater than or equal to zero.</v>
      </c>
      <c r="H1431" s="25" t="str">
        <f t="shared" ca="1" si="195"/>
        <v/>
      </c>
      <c r="I1431" s="25" t="str">
        <f t="shared" ca="1" si="196"/>
        <v/>
      </c>
      <c r="J1431" s="26" t="str">
        <f t="shared" ca="1" si="197"/>
        <v/>
      </c>
    </row>
    <row r="1432" spans="1:10" x14ac:dyDescent="0.25">
      <c r="A1432" t="s">
        <v>304</v>
      </c>
      <c r="B1432" t="str">
        <f>ADDRESS(ROW('Bond 1'!$C$27),COLUMN('Bond 1'!$C$27),4)</f>
        <v>C27</v>
      </c>
      <c r="C1432" t="str">
        <f>ADDRESS(ROW('Bond 1'!$D$27),COLUMN('Bond 1'!$D$27),4)</f>
        <v>D27</v>
      </c>
      <c r="D1432" t="b" cm="1">
        <f t="array" aca="1" ref="D1432" ca="1">IF(INDIRECT("'"&amp;A1432&amp;"'!"&amp;B1432)="",FALSE,IF(INDIRECT("'"&amp;A1432&amp;"'!"&amp;B1432)&lt;0,TRUE,FALSE))</f>
        <v>0</v>
      </c>
      <c r="E1432" t="s">
        <v>434</v>
      </c>
      <c r="F1432" t="str">
        <f>INDEX(Lists!I:I,MATCH(Validation!E1432,Lists!G:G,0))</f>
        <v>Error</v>
      </c>
      <c r="G1432" t="str">
        <f>INDEX(Lists!H:H,MATCH(Validation!E1432,Lists!G:G,0))</f>
        <v>Amount may not be negative. Enter an amount greater than or equal to zero.</v>
      </c>
      <c r="H1432" s="25" t="str">
        <f t="shared" ca="1" si="195"/>
        <v/>
      </c>
      <c r="I1432" s="25" t="str">
        <f t="shared" ca="1" si="196"/>
        <v/>
      </c>
      <c r="J1432" s="26" t="str">
        <f t="shared" ca="1" si="197"/>
        <v/>
      </c>
    </row>
    <row r="1433" spans="1:10" x14ac:dyDescent="0.25">
      <c r="A1433" t="s">
        <v>305</v>
      </c>
      <c r="B1433" t="str">
        <f>ADDRESS(ROW('Bond 1'!$C$27),COLUMN('Bond 1'!$C$27),4)</f>
        <v>C27</v>
      </c>
      <c r="C1433" t="str">
        <f>ADDRESS(ROW('Bond 1'!$D$27),COLUMN('Bond 1'!$D$27),4)</f>
        <v>D27</v>
      </c>
      <c r="D1433" t="b" cm="1">
        <f t="array" aca="1" ref="D1433" ca="1">IF(INDIRECT("'"&amp;A1433&amp;"'!"&amp;B1433)="",FALSE,IF(INDIRECT("'"&amp;A1433&amp;"'!"&amp;B1433)&lt;0,TRUE,FALSE))</f>
        <v>0</v>
      </c>
      <c r="E1433" t="s">
        <v>434</v>
      </c>
      <c r="F1433" t="str">
        <f>INDEX(Lists!I:I,MATCH(Validation!E1433,Lists!G:G,0))</f>
        <v>Error</v>
      </c>
      <c r="G1433" t="str">
        <f>INDEX(Lists!H:H,MATCH(Validation!E1433,Lists!G:G,0))</f>
        <v>Amount may not be negative. Enter an amount greater than or equal to zero.</v>
      </c>
      <c r="H1433" s="25" t="str">
        <f t="shared" ca="1" si="195"/>
        <v/>
      </c>
      <c r="I1433" s="25" t="str">
        <f t="shared" ca="1" si="196"/>
        <v/>
      </c>
      <c r="J1433" s="26" t="str">
        <f t="shared" ca="1" si="197"/>
        <v/>
      </c>
    </row>
    <row r="1434" spans="1:10" x14ac:dyDescent="0.25">
      <c r="A1434" t="s">
        <v>306</v>
      </c>
      <c r="B1434" t="str">
        <f>ADDRESS(ROW('Bond 1'!$C$27),COLUMN('Bond 1'!$C$27),4)</f>
        <v>C27</v>
      </c>
      <c r="C1434" t="str">
        <f>ADDRESS(ROW('Bond 1'!$D$27),COLUMN('Bond 1'!$D$27),4)</f>
        <v>D27</v>
      </c>
      <c r="D1434" t="b" cm="1">
        <f t="array" aca="1" ref="D1434" ca="1">IF(INDIRECT("'"&amp;A1434&amp;"'!"&amp;B1434)="",FALSE,IF(INDIRECT("'"&amp;A1434&amp;"'!"&amp;B1434)&lt;0,TRUE,FALSE))</f>
        <v>0</v>
      </c>
      <c r="E1434" t="s">
        <v>434</v>
      </c>
      <c r="F1434" t="str">
        <f>INDEX(Lists!I:I,MATCH(Validation!E1434,Lists!G:G,0))</f>
        <v>Error</v>
      </c>
      <c r="G1434" t="str">
        <f>INDEX(Lists!H:H,MATCH(Validation!E1434,Lists!G:G,0))</f>
        <v>Amount may not be negative. Enter an amount greater than or equal to zero.</v>
      </c>
      <c r="H1434" s="25" t="str">
        <f t="shared" ca="1" si="195"/>
        <v/>
      </c>
      <c r="I1434" s="25" t="str">
        <f t="shared" ca="1" si="196"/>
        <v/>
      </c>
      <c r="J1434" s="26" t="str">
        <f t="shared" ca="1" si="197"/>
        <v/>
      </c>
    </row>
    <row r="1435" spans="1:10" x14ac:dyDescent="0.25">
      <c r="A1435" t="s">
        <v>307</v>
      </c>
      <c r="B1435" t="str">
        <f>ADDRESS(ROW('Bond 1'!$C$27),COLUMN('Bond 1'!$C$27),4)</f>
        <v>C27</v>
      </c>
      <c r="C1435" t="str">
        <f>ADDRESS(ROW('Bond 1'!$D$27),COLUMN('Bond 1'!$D$27),4)</f>
        <v>D27</v>
      </c>
      <c r="D1435" t="b" cm="1">
        <f t="array" aca="1" ref="D1435" ca="1">IF(INDIRECT("'"&amp;A1435&amp;"'!"&amp;B1435)="",FALSE,IF(INDIRECT("'"&amp;A1435&amp;"'!"&amp;B1435)&lt;0,TRUE,FALSE))</f>
        <v>0</v>
      </c>
      <c r="E1435" t="s">
        <v>434</v>
      </c>
      <c r="F1435" t="str">
        <f>INDEX(Lists!I:I,MATCH(Validation!E1435,Lists!G:G,0))</f>
        <v>Error</v>
      </c>
      <c r="G1435" t="str">
        <f>INDEX(Lists!H:H,MATCH(Validation!E1435,Lists!G:G,0))</f>
        <v>Amount may not be negative. Enter an amount greater than or equal to zero.</v>
      </c>
      <c r="H1435" s="25" t="str">
        <f t="shared" ca="1" si="195"/>
        <v/>
      </c>
      <c r="I1435" s="25" t="str">
        <f t="shared" ca="1" si="196"/>
        <v/>
      </c>
      <c r="J1435" s="26" t="str">
        <f t="shared" ca="1" si="197"/>
        <v/>
      </c>
    </row>
    <row r="1436" spans="1:10" x14ac:dyDescent="0.25">
      <c r="A1436" t="s">
        <v>308</v>
      </c>
      <c r="B1436" t="str">
        <f>ADDRESS(ROW('Bond 1'!$C$27),COLUMN('Bond 1'!$C$27),4)</f>
        <v>C27</v>
      </c>
      <c r="C1436" t="str">
        <f>ADDRESS(ROW('Bond 1'!$D$27),COLUMN('Bond 1'!$D$27),4)</f>
        <v>D27</v>
      </c>
      <c r="D1436" t="b" cm="1">
        <f t="array" aca="1" ref="D1436" ca="1">IF(INDIRECT("'"&amp;A1436&amp;"'!"&amp;B1436)="",FALSE,IF(INDIRECT("'"&amp;A1436&amp;"'!"&amp;B1436)&lt;0,TRUE,FALSE))</f>
        <v>0</v>
      </c>
      <c r="E1436" t="s">
        <v>434</v>
      </c>
      <c r="F1436" t="str">
        <f>INDEX(Lists!I:I,MATCH(Validation!E1436,Lists!G:G,0))</f>
        <v>Error</v>
      </c>
      <c r="G1436" t="str">
        <f>INDEX(Lists!H:H,MATCH(Validation!E1436,Lists!G:G,0))</f>
        <v>Amount may not be negative. Enter an amount greater than or equal to zero.</v>
      </c>
      <c r="H1436" s="25" t="str">
        <f t="shared" ca="1" si="195"/>
        <v/>
      </c>
      <c r="I1436" s="25" t="str">
        <f t="shared" ca="1" si="196"/>
        <v/>
      </c>
      <c r="J1436" s="26" t="str">
        <f t="shared" ca="1" si="197"/>
        <v/>
      </c>
    </row>
    <row r="1437" spans="1:10" x14ac:dyDescent="0.25">
      <c r="A1437" t="s">
        <v>309</v>
      </c>
      <c r="B1437" t="str">
        <f>ADDRESS(ROW('Bond 1'!$C$27),COLUMN('Bond 1'!$C$27),4)</f>
        <v>C27</v>
      </c>
      <c r="C1437" t="str">
        <f>ADDRESS(ROW('Bond 1'!$D$27),COLUMN('Bond 1'!$D$27),4)</f>
        <v>D27</v>
      </c>
      <c r="D1437" t="b" cm="1">
        <f t="array" aca="1" ref="D1437" ca="1">IF(INDIRECT("'"&amp;A1437&amp;"'!"&amp;B1437)="",FALSE,IF(INDIRECT("'"&amp;A1437&amp;"'!"&amp;B1437)&lt;0,TRUE,FALSE))</f>
        <v>0</v>
      </c>
      <c r="E1437" t="s">
        <v>434</v>
      </c>
      <c r="F1437" t="str">
        <f>INDEX(Lists!I:I,MATCH(Validation!E1437,Lists!G:G,0))</f>
        <v>Error</v>
      </c>
      <c r="G1437" t="str">
        <f>INDEX(Lists!H:H,MATCH(Validation!E1437,Lists!G:G,0))</f>
        <v>Amount may not be negative. Enter an amount greater than or equal to zero.</v>
      </c>
      <c r="H1437" s="25" t="str">
        <f t="shared" ca="1" si="195"/>
        <v/>
      </c>
      <c r="I1437" s="25" t="str">
        <f t="shared" ca="1" si="196"/>
        <v/>
      </c>
      <c r="J1437" s="26" t="str">
        <f t="shared" ca="1" si="197"/>
        <v/>
      </c>
    </row>
    <row r="1438" spans="1:10" x14ac:dyDescent="0.25">
      <c r="A1438" t="s">
        <v>310</v>
      </c>
      <c r="B1438" t="str">
        <f>ADDRESS(ROW('Bond 1'!$C$27),COLUMN('Bond 1'!$C$27),4)</f>
        <v>C27</v>
      </c>
      <c r="C1438" t="str">
        <f>ADDRESS(ROW('Bond 1'!$D$27),COLUMN('Bond 1'!$D$27),4)</f>
        <v>D27</v>
      </c>
      <c r="D1438" t="b" cm="1">
        <f t="array" aca="1" ref="D1438" ca="1">IF(INDIRECT("'"&amp;A1438&amp;"'!"&amp;B1438)="",FALSE,IF(INDIRECT("'"&amp;A1438&amp;"'!"&amp;B1438)&lt;0,TRUE,FALSE))</f>
        <v>0</v>
      </c>
      <c r="E1438" t="s">
        <v>434</v>
      </c>
      <c r="F1438" t="str">
        <f>INDEX(Lists!I:I,MATCH(Validation!E1438,Lists!G:G,0))</f>
        <v>Error</v>
      </c>
      <c r="G1438" t="str">
        <f>INDEX(Lists!H:H,MATCH(Validation!E1438,Lists!G:G,0))</f>
        <v>Amount may not be negative. Enter an amount greater than or equal to zero.</v>
      </c>
      <c r="H1438" s="25" t="str">
        <f t="shared" ca="1" si="195"/>
        <v/>
      </c>
      <c r="I1438" s="25" t="str">
        <f t="shared" ca="1" si="196"/>
        <v/>
      </c>
      <c r="J1438" s="26" t="str">
        <f t="shared" ca="1" si="197"/>
        <v/>
      </c>
    </row>
    <row r="1439" spans="1:10" x14ac:dyDescent="0.25">
      <c r="A1439" t="s">
        <v>311</v>
      </c>
      <c r="B1439" t="str">
        <f>ADDRESS(ROW('Bond 1'!$C$27),COLUMN('Bond 1'!$C$27),4)</f>
        <v>C27</v>
      </c>
      <c r="C1439" t="str">
        <f>ADDRESS(ROW('Bond 1'!$D$27),COLUMN('Bond 1'!$D$27),4)</f>
        <v>D27</v>
      </c>
      <c r="D1439" t="b" cm="1">
        <f t="array" aca="1" ref="D1439" ca="1">IF(INDIRECT("'"&amp;A1439&amp;"'!"&amp;B1439)="",FALSE,IF(INDIRECT("'"&amp;A1439&amp;"'!"&amp;B1439)&lt;0,TRUE,FALSE))</f>
        <v>0</v>
      </c>
      <c r="E1439" t="s">
        <v>434</v>
      </c>
      <c r="F1439" t="str">
        <f>INDEX(Lists!I:I,MATCH(Validation!E1439,Lists!G:G,0))</f>
        <v>Error</v>
      </c>
      <c r="G1439" t="str">
        <f>INDEX(Lists!H:H,MATCH(Validation!E1439,Lists!G:G,0))</f>
        <v>Amount may not be negative. Enter an amount greater than or equal to zero.</v>
      </c>
      <c r="H1439" s="25" t="str">
        <f t="shared" ca="1" si="195"/>
        <v/>
      </c>
      <c r="I1439" s="25" t="str">
        <f t="shared" ca="1" si="196"/>
        <v/>
      </c>
      <c r="J1439" s="26" t="str">
        <f t="shared" ca="1" si="197"/>
        <v/>
      </c>
    </row>
    <row r="1440" spans="1:10" x14ac:dyDescent="0.25">
      <c r="A1440" t="s">
        <v>312</v>
      </c>
      <c r="B1440" t="str">
        <f>ADDRESS(ROW('Bond 1'!$C$27),COLUMN('Bond 1'!$C$27),4)</f>
        <v>C27</v>
      </c>
      <c r="C1440" t="str">
        <f>ADDRESS(ROW('Bond 1'!$D$27),COLUMN('Bond 1'!$D$27),4)</f>
        <v>D27</v>
      </c>
      <c r="D1440" t="b" cm="1">
        <f t="array" aca="1" ref="D1440" ca="1">IF(INDIRECT("'"&amp;A1440&amp;"'!"&amp;B1440)="",FALSE,IF(INDIRECT("'"&amp;A1440&amp;"'!"&amp;B1440)&lt;0,TRUE,FALSE))</f>
        <v>0</v>
      </c>
      <c r="E1440" t="s">
        <v>434</v>
      </c>
      <c r="F1440" t="str">
        <f>INDEX(Lists!I:I,MATCH(Validation!E1440,Lists!G:G,0))</f>
        <v>Error</v>
      </c>
      <c r="G1440" t="str">
        <f>INDEX(Lists!H:H,MATCH(Validation!E1440,Lists!G:G,0))</f>
        <v>Amount may not be negative. Enter an amount greater than or equal to zero.</v>
      </c>
      <c r="H1440" s="25" t="str">
        <f t="shared" ca="1" si="195"/>
        <v/>
      </c>
      <c r="I1440" s="25" t="str">
        <f t="shared" ca="1" si="196"/>
        <v/>
      </c>
      <c r="J1440" s="26" t="str">
        <f t="shared" ca="1" si="197"/>
        <v/>
      </c>
    </row>
    <row r="1441" spans="1:10" x14ac:dyDescent="0.25">
      <c r="A1441" t="s">
        <v>313</v>
      </c>
      <c r="B1441" t="str">
        <f>ADDRESS(ROW('Bond 1'!$C$27),COLUMN('Bond 1'!$C$27),4)</f>
        <v>C27</v>
      </c>
      <c r="C1441" t="str">
        <f>ADDRESS(ROW('Bond 1'!$D$27),COLUMN('Bond 1'!$D$27),4)</f>
        <v>D27</v>
      </c>
      <c r="D1441" t="b" cm="1">
        <f t="array" aca="1" ref="D1441" ca="1">IF(INDIRECT("'"&amp;A1441&amp;"'!"&amp;B1441)="",FALSE,IF(INDIRECT("'"&amp;A1441&amp;"'!"&amp;B1441)&lt;0,TRUE,FALSE))</f>
        <v>0</v>
      </c>
      <c r="E1441" t="s">
        <v>434</v>
      </c>
      <c r="F1441" t="str">
        <f>INDEX(Lists!I:I,MATCH(Validation!E1441,Lists!G:G,0))</f>
        <v>Error</v>
      </c>
      <c r="G1441" t="str">
        <f>INDEX(Lists!H:H,MATCH(Validation!E1441,Lists!G:G,0))</f>
        <v>Amount may not be negative. Enter an amount greater than or equal to zero.</v>
      </c>
      <c r="H1441" s="25" t="str">
        <f t="shared" ca="1" si="195"/>
        <v/>
      </c>
      <c r="I1441" s="25" t="str">
        <f t="shared" ca="1" si="196"/>
        <v/>
      </c>
      <c r="J1441" s="26" t="str">
        <f t="shared" ca="1" si="197"/>
        <v/>
      </c>
    </row>
    <row r="1442" spans="1:10" x14ac:dyDescent="0.25">
      <c r="A1442" t="s">
        <v>314</v>
      </c>
      <c r="B1442" t="str">
        <f>ADDRESS(ROW('Bond 1'!$C$27),COLUMN('Bond 1'!$C$27),4)</f>
        <v>C27</v>
      </c>
      <c r="C1442" t="str">
        <f>ADDRESS(ROW('Bond 1'!$D$27),COLUMN('Bond 1'!$D$27),4)</f>
        <v>D27</v>
      </c>
      <c r="D1442" t="b" cm="1">
        <f t="array" aca="1" ref="D1442" ca="1">IF(INDIRECT("'"&amp;A1442&amp;"'!"&amp;B1442)="",FALSE,IF(INDIRECT("'"&amp;A1442&amp;"'!"&amp;B1442)&lt;0,TRUE,FALSE))</f>
        <v>0</v>
      </c>
      <c r="E1442" t="s">
        <v>434</v>
      </c>
      <c r="F1442" t="str">
        <f>INDEX(Lists!I:I,MATCH(Validation!E1442,Lists!G:G,0))</f>
        <v>Error</v>
      </c>
      <c r="G1442" t="str">
        <f>INDEX(Lists!H:H,MATCH(Validation!E1442,Lists!G:G,0))</f>
        <v>Amount may not be negative. Enter an amount greater than or equal to zero.</v>
      </c>
      <c r="H1442" s="25" t="str">
        <f t="shared" ca="1" si="195"/>
        <v/>
      </c>
      <c r="I1442" s="25" t="str">
        <f t="shared" ca="1" si="196"/>
        <v/>
      </c>
      <c r="J1442" s="26" t="str">
        <f t="shared" ca="1" si="197"/>
        <v/>
      </c>
    </row>
    <row r="1443" spans="1:10" x14ac:dyDescent="0.25">
      <c r="A1443" t="s">
        <v>315</v>
      </c>
      <c r="B1443" t="str">
        <f>ADDRESS(ROW('Bond 1'!$C$27),COLUMN('Bond 1'!$C$27),4)</f>
        <v>C27</v>
      </c>
      <c r="C1443" t="str">
        <f>ADDRESS(ROW('Bond 1'!$D$27),COLUMN('Bond 1'!$D$27),4)</f>
        <v>D27</v>
      </c>
      <c r="D1443" t="b" cm="1">
        <f t="array" aca="1" ref="D1443" ca="1">IF(INDIRECT("'"&amp;A1443&amp;"'!"&amp;B1443)="",FALSE,IF(INDIRECT("'"&amp;A1443&amp;"'!"&amp;B1443)&lt;0,TRUE,FALSE))</f>
        <v>0</v>
      </c>
      <c r="E1443" t="s">
        <v>434</v>
      </c>
      <c r="F1443" t="str">
        <f>INDEX(Lists!I:I,MATCH(Validation!E1443,Lists!G:G,0))</f>
        <v>Error</v>
      </c>
      <c r="G1443" t="str">
        <f>INDEX(Lists!H:H,MATCH(Validation!E1443,Lists!G:G,0))</f>
        <v>Amount may not be negative. Enter an amount greater than or equal to zero.</v>
      </c>
      <c r="H1443" s="25" t="str">
        <f t="shared" ca="1" si="195"/>
        <v/>
      </c>
      <c r="I1443" s="25" t="str">
        <f t="shared" ca="1" si="196"/>
        <v/>
      </c>
      <c r="J1443" s="26" t="str">
        <f t="shared" ca="1" si="197"/>
        <v/>
      </c>
    </row>
    <row r="1444" spans="1:10" x14ac:dyDescent="0.25">
      <c r="A1444" t="s">
        <v>198</v>
      </c>
      <c r="B1444" t="str">
        <f>ADDRESS(ROW('Bond 1'!$C$27),COLUMN('Bond 1'!$C$27),4)</f>
        <v>C27</v>
      </c>
      <c r="C1444" t="str">
        <f>ADDRESS(ROW('Bond 1'!$D$27),COLUMN('Bond 1'!$D$27),4)</f>
        <v>D27</v>
      </c>
      <c r="D1444" t="b" cm="1">
        <f t="array" aca="1" ref="D1444" ca="1">IF(INDIRECT("'"&amp;A1444&amp;"'!"&amp;B1444)="",FALSE,IF(TRUNC(INDIRECT("'"&amp;A1444&amp;"'!"&amp;B1444))=INDIRECT("'"&amp;A1444&amp;"'!"&amp;B1444),FALSE,TRUE))</f>
        <v>0</v>
      </c>
      <c r="E1444" t="s">
        <v>436</v>
      </c>
      <c r="F1444" t="str">
        <f>INDEX(Lists!I:I,MATCH(Validation!E1444,Lists!G:G,0))</f>
        <v>Error</v>
      </c>
      <c r="G1444" t="str">
        <f>INDEX(Lists!H:H,MATCH(Validation!E1444,Lists!G:G,0))</f>
        <v>Amount must be rounded to the nearest dollar.</v>
      </c>
      <c r="H1444" s="25" t="str">
        <f t="shared" ca="1" si="195"/>
        <v/>
      </c>
      <c r="I1444" s="25" t="str">
        <f t="shared" ca="1" si="196"/>
        <v/>
      </c>
      <c r="J1444" s="26" t="str">
        <f t="shared" ca="1" si="197"/>
        <v/>
      </c>
    </row>
    <row r="1445" spans="1:10" x14ac:dyDescent="0.25">
      <c r="A1445" t="s">
        <v>302</v>
      </c>
      <c r="B1445" t="str">
        <f>ADDRESS(ROW('Bond 1'!$C$27),COLUMN('Bond 1'!$C$27),4)</f>
        <v>C27</v>
      </c>
      <c r="C1445" t="str">
        <f>ADDRESS(ROW('Bond 1'!$D$27),COLUMN('Bond 1'!$D$27),4)</f>
        <v>D27</v>
      </c>
      <c r="D1445" t="b" cm="1">
        <f t="array" aca="1" ref="D1445" ca="1">IF(INDIRECT("'"&amp;A1445&amp;"'!"&amp;B1445)="",FALSE,IF(TRUNC(INDIRECT("'"&amp;A1445&amp;"'!"&amp;B1445))=INDIRECT("'"&amp;A1445&amp;"'!"&amp;B1445),FALSE,TRUE))</f>
        <v>0</v>
      </c>
      <c r="E1445" t="s">
        <v>436</v>
      </c>
      <c r="F1445" t="str">
        <f>INDEX(Lists!I:I,MATCH(Validation!E1445,Lists!G:G,0))</f>
        <v>Error</v>
      </c>
      <c r="G1445" t="str">
        <f>INDEX(Lists!H:H,MATCH(Validation!E1445,Lists!G:G,0))</f>
        <v>Amount must be rounded to the nearest dollar.</v>
      </c>
      <c r="H1445" s="25" t="str">
        <f t="shared" ca="1" si="195"/>
        <v/>
      </c>
      <c r="I1445" s="25" t="str">
        <f t="shared" ca="1" si="196"/>
        <v/>
      </c>
      <c r="J1445" s="26" t="str">
        <f t="shared" ca="1" si="197"/>
        <v/>
      </c>
    </row>
    <row r="1446" spans="1:10" x14ac:dyDescent="0.25">
      <c r="A1446" t="s">
        <v>303</v>
      </c>
      <c r="B1446" t="str">
        <f>ADDRESS(ROW('Bond 1'!$C$27),COLUMN('Bond 1'!$C$27),4)</f>
        <v>C27</v>
      </c>
      <c r="C1446" t="str">
        <f>ADDRESS(ROW('Bond 1'!$D$27),COLUMN('Bond 1'!$D$27),4)</f>
        <v>D27</v>
      </c>
      <c r="D1446" t="b" cm="1">
        <f t="array" aca="1" ref="D1446" ca="1">IF(INDIRECT("'"&amp;A1446&amp;"'!"&amp;B1446)="",FALSE,IF(TRUNC(INDIRECT("'"&amp;A1446&amp;"'!"&amp;B1446))=INDIRECT("'"&amp;A1446&amp;"'!"&amp;B1446),FALSE,TRUE))</f>
        <v>0</v>
      </c>
      <c r="E1446" t="s">
        <v>436</v>
      </c>
      <c r="F1446" t="str">
        <f>INDEX(Lists!I:I,MATCH(Validation!E1446,Lists!G:G,0))</f>
        <v>Error</v>
      </c>
      <c r="G1446" t="str">
        <f>INDEX(Lists!H:H,MATCH(Validation!E1446,Lists!G:G,0))</f>
        <v>Amount must be rounded to the nearest dollar.</v>
      </c>
      <c r="H1446" s="25" t="str">
        <f t="shared" ca="1" si="195"/>
        <v/>
      </c>
      <c r="I1446" s="25" t="str">
        <f t="shared" ca="1" si="196"/>
        <v/>
      </c>
      <c r="J1446" s="26" t="str">
        <f t="shared" ca="1" si="197"/>
        <v/>
      </c>
    </row>
    <row r="1447" spans="1:10" x14ac:dyDescent="0.25">
      <c r="A1447" t="s">
        <v>304</v>
      </c>
      <c r="B1447" t="str">
        <f>ADDRESS(ROW('Bond 1'!$C$27),COLUMN('Bond 1'!$C$27),4)</f>
        <v>C27</v>
      </c>
      <c r="C1447" t="str">
        <f>ADDRESS(ROW('Bond 1'!$D$27),COLUMN('Bond 1'!$D$27),4)</f>
        <v>D27</v>
      </c>
      <c r="D1447" t="b" cm="1">
        <f t="array" aca="1" ref="D1447" ca="1">IF(INDIRECT("'"&amp;A1447&amp;"'!"&amp;B1447)="",FALSE,IF(TRUNC(INDIRECT("'"&amp;A1447&amp;"'!"&amp;B1447))=INDIRECT("'"&amp;A1447&amp;"'!"&amp;B1447),FALSE,TRUE))</f>
        <v>0</v>
      </c>
      <c r="E1447" t="s">
        <v>436</v>
      </c>
      <c r="F1447" t="str">
        <f>INDEX(Lists!I:I,MATCH(Validation!E1447,Lists!G:G,0))</f>
        <v>Error</v>
      </c>
      <c r="G1447" t="str">
        <f>INDEX(Lists!H:H,MATCH(Validation!E1447,Lists!G:G,0))</f>
        <v>Amount must be rounded to the nearest dollar.</v>
      </c>
      <c r="H1447" s="25" t="str">
        <f t="shared" ca="1" si="195"/>
        <v/>
      </c>
      <c r="I1447" s="25" t="str">
        <f t="shared" ca="1" si="196"/>
        <v/>
      </c>
      <c r="J1447" s="26" t="str">
        <f t="shared" ca="1" si="197"/>
        <v/>
      </c>
    </row>
    <row r="1448" spans="1:10" x14ac:dyDescent="0.25">
      <c r="A1448" t="s">
        <v>305</v>
      </c>
      <c r="B1448" t="str">
        <f>ADDRESS(ROW('Bond 1'!$C$27),COLUMN('Bond 1'!$C$27),4)</f>
        <v>C27</v>
      </c>
      <c r="C1448" t="str">
        <f>ADDRESS(ROW('Bond 1'!$D$27),COLUMN('Bond 1'!$D$27),4)</f>
        <v>D27</v>
      </c>
      <c r="D1448" t="b" cm="1">
        <f t="array" aca="1" ref="D1448" ca="1">IF(INDIRECT("'"&amp;A1448&amp;"'!"&amp;B1448)="",FALSE,IF(TRUNC(INDIRECT("'"&amp;A1448&amp;"'!"&amp;B1448))=INDIRECT("'"&amp;A1448&amp;"'!"&amp;B1448),FALSE,TRUE))</f>
        <v>0</v>
      </c>
      <c r="E1448" t="s">
        <v>436</v>
      </c>
      <c r="F1448" t="str">
        <f>INDEX(Lists!I:I,MATCH(Validation!E1448,Lists!G:G,0))</f>
        <v>Error</v>
      </c>
      <c r="G1448" t="str">
        <f>INDEX(Lists!H:H,MATCH(Validation!E1448,Lists!G:G,0))</f>
        <v>Amount must be rounded to the nearest dollar.</v>
      </c>
      <c r="H1448" s="25" t="str">
        <f t="shared" ca="1" si="195"/>
        <v/>
      </c>
      <c r="I1448" s="25" t="str">
        <f t="shared" ca="1" si="196"/>
        <v/>
      </c>
      <c r="J1448" s="26" t="str">
        <f t="shared" ca="1" si="197"/>
        <v/>
      </c>
    </row>
    <row r="1449" spans="1:10" x14ac:dyDescent="0.25">
      <c r="A1449" t="s">
        <v>306</v>
      </c>
      <c r="B1449" t="str">
        <f>ADDRESS(ROW('Bond 1'!$C$27),COLUMN('Bond 1'!$C$27),4)</f>
        <v>C27</v>
      </c>
      <c r="C1449" t="str">
        <f>ADDRESS(ROW('Bond 1'!$D$27),COLUMN('Bond 1'!$D$27),4)</f>
        <v>D27</v>
      </c>
      <c r="D1449" t="b" cm="1">
        <f t="array" aca="1" ref="D1449" ca="1">IF(INDIRECT("'"&amp;A1449&amp;"'!"&amp;B1449)="",FALSE,IF(TRUNC(INDIRECT("'"&amp;A1449&amp;"'!"&amp;B1449))=INDIRECT("'"&amp;A1449&amp;"'!"&amp;B1449),FALSE,TRUE))</f>
        <v>0</v>
      </c>
      <c r="E1449" t="s">
        <v>436</v>
      </c>
      <c r="F1449" t="str">
        <f>INDEX(Lists!I:I,MATCH(Validation!E1449,Lists!G:G,0))</f>
        <v>Error</v>
      </c>
      <c r="G1449" t="str">
        <f>INDEX(Lists!H:H,MATCH(Validation!E1449,Lists!G:G,0))</f>
        <v>Amount must be rounded to the nearest dollar.</v>
      </c>
      <c r="H1449" s="25" t="str">
        <f t="shared" ca="1" si="195"/>
        <v/>
      </c>
      <c r="I1449" s="25" t="str">
        <f t="shared" ca="1" si="196"/>
        <v/>
      </c>
      <c r="J1449" s="26" t="str">
        <f t="shared" ca="1" si="197"/>
        <v/>
      </c>
    </row>
    <row r="1450" spans="1:10" x14ac:dyDescent="0.25">
      <c r="A1450" t="s">
        <v>307</v>
      </c>
      <c r="B1450" t="str">
        <f>ADDRESS(ROW('Bond 1'!$C$27),COLUMN('Bond 1'!$C$27),4)</f>
        <v>C27</v>
      </c>
      <c r="C1450" t="str">
        <f>ADDRESS(ROW('Bond 1'!$D$27),COLUMN('Bond 1'!$D$27),4)</f>
        <v>D27</v>
      </c>
      <c r="D1450" t="b" cm="1">
        <f t="array" aca="1" ref="D1450" ca="1">IF(INDIRECT("'"&amp;A1450&amp;"'!"&amp;B1450)="",FALSE,IF(TRUNC(INDIRECT("'"&amp;A1450&amp;"'!"&amp;B1450))=INDIRECT("'"&amp;A1450&amp;"'!"&amp;B1450),FALSE,TRUE))</f>
        <v>0</v>
      </c>
      <c r="E1450" t="s">
        <v>436</v>
      </c>
      <c r="F1450" t="str">
        <f>INDEX(Lists!I:I,MATCH(Validation!E1450,Lists!G:G,0))</f>
        <v>Error</v>
      </c>
      <c r="G1450" t="str">
        <f>INDEX(Lists!H:H,MATCH(Validation!E1450,Lists!G:G,0))</f>
        <v>Amount must be rounded to the nearest dollar.</v>
      </c>
      <c r="H1450" s="25" t="str">
        <f t="shared" ca="1" si="195"/>
        <v/>
      </c>
      <c r="I1450" s="25" t="str">
        <f t="shared" ca="1" si="196"/>
        <v/>
      </c>
      <c r="J1450" s="26" t="str">
        <f t="shared" ca="1" si="197"/>
        <v/>
      </c>
    </row>
    <row r="1451" spans="1:10" x14ac:dyDescent="0.25">
      <c r="A1451" t="s">
        <v>308</v>
      </c>
      <c r="B1451" t="str">
        <f>ADDRESS(ROW('Bond 1'!$C$27),COLUMN('Bond 1'!$C$27),4)</f>
        <v>C27</v>
      </c>
      <c r="C1451" t="str">
        <f>ADDRESS(ROW('Bond 1'!$D$27),COLUMN('Bond 1'!$D$27),4)</f>
        <v>D27</v>
      </c>
      <c r="D1451" t="b" cm="1">
        <f t="array" aca="1" ref="D1451" ca="1">IF(INDIRECT("'"&amp;A1451&amp;"'!"&amp;B1451)="",FALSE,IF(TRUNC(INDIRECT("'"&amp;A1451&amp;"'!"&amp;B1451))=INDIRECT("'"&amp;A1451&amp;"'!"&amp;B1451),FALSE,TRUE))</f>
        <v>0</v>
      </c>
      <c r="E1451" t="s">
        <v>436</v>
      </c>
      <c r="F1451" t="str">
        <f>INDEX(Lists!I:I,MATCH(Validation!E1451,Lists!G:G,0))</f>
        <v>Error</v>
      </c>
      <c r="G1451" t="str">
        <f>INDEX(Lists!H:H,MATCH(Validation!E1451,Lists!G:G,0))</f>
        <v>Amount must be rounded to the nearest dollar.</v>
      </c>
      <c r="H1451" s="25" t="str">
        <f t="shared" ca="1" si="195"/>
        <v/>
      </c>
      <c r="I1451" s="25" t="str">
        <f t="shared" ca="1" si="196"/>
        <v/>
      </c>
      <c r="J1451" s="26" t="str">
        <f t="shared" ca="1" si="197"/>
        <v/>
      </c>
    </row>
    <row r="1452" spans="1:10" x14ac:dyDescent="0.25">
      <c r="A1452" t="s">
        <v>309</v>
      </c>
      <c r="B1452" t="str">
        <f>ADDRESS(ROW('Bond 1'!$C$27),COLUMN('Bond 1'!$C$27),4)</f>
        <v>C27</v>
      </c>
      <c r="C1452" t="str">
        <f>ADDRESS(ROW('Bond 1'!$D$27),COLUMN('Bond 1'!$D$27),4)</f>
        <v>D27</v>
      </c>
      <c r="D1452" t="b" cm="1">
        <f t="array" aca="1" ref="D1452" ca="1">IF(INDIRECT("'"&amp;A1452&amp;"'!"&amp;B1452)="",FALSE,IF(TRUNC(INDIRECT("'"&amp;A1452&amp;"'!"&amp;B1452))=INDIRECT("'"&amp;A1452&amp;"'!"&amp;B1452),FALSE,TRUE))</f>
        <v>0</v>
      </c>
      <c r="E1452" t="s">
        <v>436</v>
      </c>
      <c r="F1452" t="str">
        <f>INDEX(Lists!I:I,MATCH(Validation!E1452,Lists!G:G,0))</f>
        <v>Error</v>
      </c>
      <c r="G1452" t="str">
        <f>INDEX(Lists!H:H,MATCH(Validation!E1452,Lists!G:G,0))</f>
        <v>Amount must be rounded to the nearest dollar.</v>
      </c>
      <c r="H1452" s="25" t="str">
        <f t="shared" ca="1" si="195"/>
        <v/>
      </c>
      <c r="I1452" s="25" t="str">
        <f t="shared" ca="1" si="196"/>
        <v/>
      </c>
      <c r="J1452" s="26" t="str">
        <f t="shared" ca="1" si="197"/>
        <v/>
      </c>
    </row>
    <row r="1453" spans="1:10" x14ac:dyDescent="0.25">
      <c r="A1453" t="s">
        <v>310</v>
      </c>
      <c r="B1453" t="str">
        <f>ADDRESS(ROW('Bond 1'!$C$27),COLUMN('Bond 1'!$C$27),4)</f>
        <v>C27</v>
      </c>
      <c r="C1453" t="str">
        <f>ADDRESS(ROW('Bond 1'!$D$27),COLUMN('Bond 1'!$D$27),4)</f>
        <v>D27</v>
      </c>
      <c r="D1453" t="b" cm="1">
        <f t="array" aca="1" ref="D1453" ca="1">IF(INDIRECT("'"&amp;A1453&amp;"'!"&amp;B1453)="",FALSE,IF(TRUNC(INDIRECT("'"&amp;A1453&amp;"'!"&amp;B1453))=INDIRECT("'"&amp;A1453&amp;"'!"&amp;B1453),FALSE,TRUE))</f>
        <v>0</v>
      </c>
      <c r="E1453" t="s">
        <v>436</v>
      </c>
      <c r="F1453" t="str">
        <f>INDEX(Lists!I:I,MATCH(Validation!E1453,Lists!G:G,0))</f>
        <v>Error</v>
      </c>
      <c r="G1453" t="str">
        <f>INDEX(Lists!H:H,MATCH(Validation!E1453,Lists!G:G,0))</f>
        <v>Amount must be rounded to the nearest dollar.</v>
      </c>
      <c r="H1453" s="25" t="str">
        <f t="shared" ca="1" si="195"/>
        <v/>
      </c>
      <c r="I1453" s="25" t="str">
        <f t="shared" ca="1" si="196"/>
        <v/>
      </c>
      <c r="J1453" s="26" t="str">
        <f t="shared" ca="1" si="197"/>
        <v/>
      </c>
    </row>
    <row r="1454" spans="1:10" x14ac:dyDescent="0.25">
      <c r="A1454" t="s">
        <v>311</v>
      </c>
      <c r="B1454" t="str">
        <f>ADDRESS(ROW('Bond 1'!$C$27),COLUMN('Bond 1'!$C$27),4)</f>
        <v>C27</v>
      </c>
      <c r="C1454" t="str">
        <f>ADDRESS(ROW('Bond 1'!$D$27),COLUMN('Bond 1'!$D$27),4)</f>
        <v>D27</v>
      </c>
      <c r="D1454" t="b" cm="1">
        <f t="array" aca="1" ref="D1454" ca="1">IF(INDIRECT("'"&amp;A1454&amp;"'!"&amp;B1454)="",FALSE,IF(TRUNC(INDIRECT("'"&amp;A1454&amp;"'!"&amp;B1454))=INDIRECT("'"&amp;A1454&amp;"'!"&amp;B1454),FALSE,TRUE))</f>
        <v>0</v>
      </c>
      <c r="E1454" t="s">
        <v>436</v>
      </c>
      <c r="F1454" t="str">
        <f>INDEX(Lists!I:I,MATCH(Validation!E1454,Lists!G:G,0))</f>
        <v>Error</v>
      </c>
      <c r="G1454" t="str">
        <f>INDEX(Lists!H:H,MATCH(Validation!E1454,Lists!G:G,0))</f>
        <v>Amount must be rounded to the nearest dollar.</v>
      </c>
      <c r="H1454" s="25" t="str">
        <f t="shared" ca="1" si="195"/>
        <v/>
      </c>
      <c r="I1454" s="25" t="str">
        <f t="shared" ca="1" si="196"/>
        <v/>
      </c>
      <c r="J1454" s="26" t="str">
        <f t="shared" ca="1" si="197"/>
        <v/>
      </c>
    </row>
    <row r="1455" spans="1:10" x14ac:dyDescent="0.25">
      <c r="A1455" t="s">
        <v>312</v>
      </c>
      <c r="B1455" t="str">
        <f>ADDRESS(ROW('Bond 1'!$C$27),COLUMN('Bond 1'!$C$27),4)</f>
        <v>C27</v>
      </c>
      <c r="C1455" t="str">
        <f>ADDRESS(ROW('Bond 1'!$D$27),COLUMN('Bond 1'!$D$27),4)</f>
        <v>D27</v>
      </c>
      <c r="D1455" t="b" cm="1">
        <f t="array" aca="1" ref="D1455" ca="1">IF(INDIRECT("'"&amp;A1455&amp;"'!"&amp;B1455)="",FALSE,IF(TRUNC(INDIRECT("'"&amp;A1455&amp;"'!"&amp;B1455))=INDIRECT("'"&amp;A1455&amp;"'!"&amp;B1455),FALSE,TRUE))</f>
        <v>0</v>
      </c>
      <c r="E1455" t="s">
        <v>436</v>
      </c>
      <c r="F1455" t="str">
        <f>INDEX(Lists!I:I,MATCH(Validation!E1455,Lists!G:G,0))</f>
        <v>Error</v>
      </c>
      <c r="G1455" t="str">
        <f>INDEX(Lists!H:H,MATCH(Validation!E1455,Lists!G:G,0))</f>
        <v>Amount must be rounded to the nearest dollar.</v>
      </c>
      <c r="H1455" s="25" t="str">
        <f t="shared" ca="1" si="195"/>
        <v/>
      </c>
      <c r="I1455" s="25" t="str">
        <f t="shared" ca="1" si="196"/>
        <v/>
      </c>
      <c r="J1455" s="26" t="str">
        <f t="shared" ca="1" si="197"/>
        <v/>
      </c>
    </row>
    <row r="1456" spans="1:10" x14ac:dyDescent="0.25">
      <c r="A1456" t="s">
        <v>313</v>
      </c>
      <c r="B1456" t="str">
        <f>ADDRESS(ROW('Bond 1'!$C$27),COLUMN('Bond 1'!$C$27),4)</f>
        <v>C27</v>
      </c>
      <c r="C1456" t="str">
        <f>ADDRESS(ROW('Bond 1'!$D$27),COLUMN('Bond 1'!$D$27),4)</f>
        <v>D27</v>
      </c>
      <c r="D1456" t="b" cm="1">
        <f t="array" aca="1" ref="D1456" ca="1">IF(INDIRECT("'"&amp;A1456&amp;"'!"&amp;B1456)="",FALSE,IF(TRUNC(INDIRECT("'"&amp;A1456&amp;"'!"&amp;B1456))=INDIRECT("'"&amp;A1456&amp;"'!"&amp;B1456),FALSE,TRUE))</f>
        <v>0</v>
      </c>
      <c r="E1456" t="s">
        <v>436</v>
      </c>
      <c r="F1456" t="str">
        <f>INDEX(Lists!I:I,MATCH(Validation!E1456,Lists!G:G,0))</f>
        <v>Error</v>
      </c>
      <c r="G1456" t="str">
        <f>INDEX(Lists!H:H,MATCH(Validation!E1456,Lists!G:G,0))</f>
        <v>Amount must be rounded to the nearest dollar.</v>
      </c>
      <c r="H1456" s="25" t="str">
        <f t="shared" ca="1" si="195"/>
        <v/>
      </c>
      <c r="I1456" s="25" t="str">
        <f t="shared" ca="1" si="196"/>
        <v/>
      </c>
      <c r="J1456" s="26" t="str">
        <f t="shared" ca="1" si="197"/>
        <v/>
      </c>
    </row>
    <row r="1457" spans="1:10" x14ac:dyDescent="0.25">
      <c r="A1457" t="s">
        <v>314</v>
      </c>
      <c r="B1457" t="str">
        <f>ADDRESS(ROW('Bond 1'!$C$27),COLUMN('Bond 1'!$C$27),4)</f>
        <v>C27</v>
      </c>
      <c r="C1457" t="str">
        <f>ADDRESS(ROW('Bond 1'!$D$27),COLUMN('Bond 1'!$D$27),4)</f>
        <v>D27</v>
      </c>
      <c r="D1457" t="b" cm="1">
        <f t="array" aca="1" ref="D1457" ca="1">IF(INDIRECT("'"&amp;A1457&amp;"'!"&amp;B1457)="",FALSE,IF(TRUNC(INDIRECT("'"&amp;A1457&amp;"'!"&amp;B1457))=INDIRECT("'"&amp;A1457&amp;"'!"&amp;B1457),FALSE,TRUE))</f>
        <v>0</v>
      </c>
      <c r="E1457" t="s">
        <v>436</v>
      </c>
      <c r="F1457" t="str">
        <f>INDEX(Lists!I:I,MATCH(Validation!E1457,Lists!G:G,0))</f>
        <v>Error</v>
      </c>
      <c r="G1457" t="str">
        <f>INDEX(Lists!H:H,MATCH(Validation!E1457,Lists!G:G,0))</f>
        <v>Amount must be rounded to the nearest dollar.</v>
      </c>
      <c r="H1457" s="25" t="str">
        <f t="shared" ca="1" si="195"/>
        <v/>
      </c>
      <c r="I1457" s="25" t="str">
        <f t="shared" ca="1" si="196"/>
        <v/>
      </c>
      <c r="J1457" s="26" t="str">
        <f t="shared" ca="1" si="197"/>
        <v/>
      </c>
    </row>
    <row r="1458" spans="1:10" x14ac:dyDescent="0.25">
      <c r="A1458" t="s">
        <v>315</v>
      </c>
      <c r="B1458" t="str">
        <f>ADDRESS(ROW('Bond 1'!$C$27),COLUMN('Bond 1'!$C$27),4)</f>
        <v>C27</v>
      </c>
      <c r="C1458" t="str">
        <f>ADDRESS(ROW('Bond 1'!$D$27),COLUMN('Bond 1'!$D$27),4)</f>
        <v>D27</v>
      </c>
      <c r="D1458" t="b" cm="1">
        <f t="array" aca="1" ref="D1458" ca="1">IF(INDIRECT("'"&amp;A1458&amp;"'!"&amp;B1458)="",FALSE,IF(TRUNC(INDIRECT("'"&amp;A1458&amp;"'!"&amp;B1458))=INDIRECT("'"&amp;A1458&amp;"'!"&amp;B1458),FALSE,TRUE))</f>
        <v>0</v>
      </c>
      <c r="E1458" t="s">
        <v>436</v>
      </c>
      <c r="F1458" t="str">
        <f>INDEX(Lists!I:I,MATCH(Validation!E1458,Lists!G:G,0))</f>
        <v>Error</v>
      </c>
      <c r="G1458" t="str">
        <f>INDEX(Lists!H:H,MATCH(Validation!E1458,Lists!G:G,0))</f>
        <v>Amount must be rounded to the nearest dollar.</v>
      </c>
      <c r="H1458" s="25" t="str">
        <f t="shared" ca="1" si="195"/>
        <v/>
      </c>
      <c r="I1458" s="25" t="str">
        <f t="shared" ca="1" si="196"/>
        <v/>
      </c>
      <c r="J1458" s="26" t="str">
        <f t="shared" ca="1" si="197"/>
        <v/>
      </c>
    </row>
    <row r="1459" spans="1:10" x14ac:dyDescent="0.25">
      <c r="A1459" t="s">
        <v>198</v>
      </c>
      <c r="B1459" t="str">
        <f>ADDRESS(ROW('Bond 1'!$B$28),COLUMN('Bond 1'!$B$28),4)</f>
        <v>B28</v>
      </c>
      <c r="C1459" t="str">
        <f>ADDRESS(ROW('Bond 1'!$D$28),COLUMN('Bond 1'!$D$28),4)</f>
        <v>D28</v>
      </c>
      <c r="D1459" t="b" cm="1">
        <f t="array" aca="1" ref="D1459" ca="1">IF(INDIRECT("'"&amp;A1459&amp;"'!"&amp;B1459)="",FALSE,IF(NOT(ISNUMBER(INDIRECT("'"&amp;A1459&amp;"'!"&amp;B1459))),TRUE,FALSE))</f>
        <v>0</v>
      </c>
      <c r="E1459" t="s">
        <v>435</v>
      </c>
      <c r="F1459" t="str">
        <f>INDEX(Lists!I:I,MATCH(Validation!E1459,Lists!G:G,0))</f>
        <v>Error</v>
      </c>
      <c r="G1459" t="str">
        <f>INDEX(Lists!H:H,MATCH(Validation!E1459,Lists!G:G,0))</f>
        <v>Enter an amount only. Do not enter text or spaces.</v>
      </c>
      <c r="H1459" s="25" t="str">
        <f t="shared" ca="1" si="195"/>
        <v/>
      </c>
      <c r="I1459" s="25" t="str">
        <f t="shared" ca="1" si="196"/>
        <v/>
      </c>
      <c r="J1459" s="26" t="str">
        <f t="shared" ca="1" si="197"/>
        <v/>
      </c>
    </row>
    <row r="1460" spans="1:10" x14ac:dyDescent="0.25">
      <c r="A1460" t="s">
        <v>302</v>
      </c>
      <c r="B1460" t="str">
        <f>ADDRESS(ROW('Bond 1'!$B$28),COLUMN('Bond 1'!$B$28),4)</f>
        <v>B28</v>
      </c>
      <c r="C1460" t="str">
        <f>ADDRESS(ROW('Bond 1'!$D$28),COLUMN('Bond 1'!$D$28),4)</f>
        <v>D28</v>
      </c>
      <c r="D1460" t="b" cm="1">
        <f t="array" aca="1" ref="D1460" ca="1">IF(INDIRECT("'"&amp;A1460&amp;"'!"&amp;B1460)="",FALSE,IF(NOT(ISNUMBER(INDIRECT("'"&amp;A1460&amp;"'!"&amp;B1460))),TRUE,FALSE))</f>
        <v>0</v>
      </c>
      <c r="E1460" t="s">
        <v>435</v>
      </c>
      <c r="F1460" t="str">
        <f>INDEX(Lists!I:I,MATCH(Validation!E1460,Lists!G:G,0))</f>
        <v>Error</v>
      </c>
      <c r="G1460" t="str">
        <f>INDEX(Lists!H:H,MATCH(Validation!E1460,Lists!G:G,0))</f>
        <v>Enter an amount only. Do not enter text or spaces.</v>
      </c>
      <c r="H1460" s="25" t="str">
        <f t="shared" ca="1" si="195"/>
        <v/>
      </c>
      <c r="I1460" s="25" t="str">
        <f t="shared" ca="1" si="196"/>
        <v/>
      </c>
      <c r="J1460" s="26" t="str">
        <f t="shared" ca="1" si="197"/>
        <v/>
      </c>
    </row>
    <row r="1461" spans="1:10" x14ac:dyDescent="0.25">
      <c r="A1461" t="s">
        <v>303</v>
      </c>
      <c r="B1461" t="str">
        <f>ADDRESS(ROW('Bond 1'!$B$28),COLUMN('Bond 1'!$B$28),4)</f>
        <v>B28</v>
      </c>
      <c r="C1461" t="str">
        <f>ADDRESS(ROW('Bond 1'!$D$28),COLUMN('Bond 1'!$D$28),4)</f>
        <v>D28</v>
      </c>
      <c r="D1461" t="b" cm="1">
        <f t="array" aca="1" ref="D1461" ca="1">IF(INDIRECT("'"&amp;A1461&amp;"'!"&amp;B1461)="",FALSE,IF(NOT(ISNUMBER(INDIRECT("'"&amp;A1461&amp;"'!"&amp;B1461))),TRUE,FALSE))</f>
        <v>0</v>
      </c>
      <c r="E1461" t="s">
        <v>435</v>
      </c>
      <c r="F1461" t="str">
        <f>INDEX(Lists!I:I,MATCH(Validation!E1461,Lists!G:G,0))</f>
        <v>Error</v>
      </c>
      <c r="G1461" t="str">
        <f>INDEX(Lists!H:H,MATCH(Validation!E1461,Lists!G:G,0))</f>
        <v>Enter an amount only. Do not enter text or spaces.</v>
      </c>
      <c r="H1461" s="25" t="str">
        <f t="shared" ca="1" si="195"/>
        <v/>
      </c>
      <c r="I1461" s="25" t="str">
        <f t="shared" ca="1" si="196"/>
        <v/>
      </c>
      <c r="J1461" s="26" t="str">
        <f t="shared" ca="1" si="197"/>
        <v/>
      </c>
    </row>
    <row r="1462" spans="1:10" x14ac:dyDescent="0.25">
      <c r="A1462" t="s">
        <v>304</v>
      </c>
      <c r="B1462" t="str">
        <f>ADDRESS(ROW('Bond 1'!$B$28),COLUMN('Bond 1'!$B$28),4)</f>
        <v>B28</v>
      </c>
      <c r="C1462" t="str">
        <f>ADDRESS(ROW('Bond 1'!$D$28),COLUMN('Bond 1'!$D$28),4)</f>
        <v>D28</v>
      </c>
      <c r="D1462" t="b" cm="1">
        <f t="array" aca="1" ref="D1462" ca="1">IF(INDIRECT("'"&amp;A1462&amp;"'!"&amp;B1462)="",FALSE,IF(NOT(ISNUMBER(INDIRECT("'"&amp;A1462&amp;"'!"&amp;B1462))),TRUE,FALSE))</f>
        <v>0</v>
      </c>
      <c r="E1462" t="s">
        <v>435</v>
      </c>
      <c r="F1462" t="str">
        <f>INDEX(Lists!I:I,MATCH(Validation!E1462,Lists!G:G,0))</f>
        <v>Error</v>
      </c>
      <c r="G1462" t="str">
        <f>INDEX(Lists!H:H,MATCH(Validation!E1462,Lists!G:G,0))</f>
        <v>Enter an amount only. Do not enter text or spaces.</v>
      </c>
      <c r="H1462" s="25" t="str">
        <f t="shared" ca="1" si="195"/>
        <v/>
      </c>
      <c r="I1462" s="25" t="str">
        <f t="shared" ca="1" si="196"/>
        <v/>
      </c>
      <c r="J1462" s="26" t="str">
        <f t="shared" ca="1" si="197"/>
        <v/>
      </c>
    </row>
    <row r="1463" spans="1:10" x14ac:dyDescent="0.25">
      <c r="A1463" t="s">
        <v>305</v>
      </c>
      <c r="B1463" t="str">
        <f>ADDRESS(ROW('Bond 1'!$B$28),COLUMN('Bond 1'!$B$28),4)</f>
        <v>B28</v>
      </c>
      <c r="C1463" t="str">
        <f>ADDRESS(ROW('Bond 1'!$D$28),COLUMN('Bond 1'!$D$28),4)</f>
        <v>D28</v>
      </c>
      <c r="D1463" t="b" cm="1">
        <f t="array" aca="1" ref="D1463" ca="1">IF(INDIRECT("'"&amp;A1463&amp;"'!"&amp;B1463)="",FALSE,IF(NOT(ISNUMBER(INDIRECT("'"&amp;A1463&amp;"'!"&amp;B1463))),TRUE,FALSE))</f>
        <v>0</v>
      </c>
      <c r="E1463" t="s">
        <v>435</v>
      </c>
      <c r="F1463" t="str">
        <f>INDEX(Lists!I:I,MATCH(Validation!E1463,Lists!G:G,0))</f>
        <v>Error</v>
      </c>
      <c r="G1463" t="str">
        <f>INDEX(Lists!H:H,MATCH(Validation!E1463,Lists!G:G,0))</f>
        <v>Enter an amount only. Do not enter text or spaces.</v>
      </c>
      <c r="H1463" s="25" t="str">
        <f t="shared" ca="1" si="195"/>
        <v/>
      </c>
      <c r="I1463" s="25" t="str">
        <f t="shared" ca="1" si="196"/>
        <v/>
      </c>
      <c r="J1463" s="26" t="str">
        <f t="shared" ca="1" si="197"/>
        <v/>
      </c>
    </row>
    <row r="1464" spans="1:10" x14ac:dyDescent="0.25">
      <c r="A1464" t="s">
        <v>306</v>
      </c>
      <c r="B1464" t="str">
        <f>ADDRESS(ROW('Bond 1'!$B$28),COLUMN('Bond 1'!$B$28),4)</f>
        <v>B28</v>
      </c>
      <c r="C1464" t="str">
        <f>ADDRESS(ROW('Bond 1'!$D$28),COLUMN('Bond 1'!$D$28),4)</f>
        <v>D28</v>
      </c>
      <c r="D1464" t="b" cm="1">
        <f t="array" aca="1" ref="D1464" ca="1">IF(INDIRECT("'"&amp;A1464&amp;"'!"&amp;B1464)="",FALSE,IF(NOT(ISNUMBER(INDIRECT("'"&amp;A1464&amp;"'!"&amp;B1464))),TRUE,FALSE))</f>
        <v>0</v>
      </c>
      <c r="E1464" t="s">
        <v>435</v>
      </c>
      <c r="F1464" t="str">
        <f>INDEX(Lists!I:I,MATCH(Validation!E1464,Lists!G:G,0))</f>
        <v>Error</v>
      </c>
      <c r="G1464" t="str">
        <f>INDEX(Lists!H:H,MATCH(Validation!E1464,Lists!G:G,0))</f>
        <v>Enter an amount only. Do not enter text or spaces.</v>
      </c>
      <c r="H1464" s="25" t="str">
        <f t="shared" ca="1" si="195"/>
        <v/>
      </c>
      <c r="I1464" s="25" t="str">
        <f t="shared" ca="1" si="196"/>
        <v/>
      </c>
      <c r="J1464" s="26" t="str">
        <f t="shared" ca="1" si="197"/>
        <v/>
      </c>
    </row>
    <row r="1465" spans="1:10" x14ac:dyDescent="0.25">
      <c r="A1465" t="s">
        <v>307</v>
      </c>
      <c r="B1465" t="str">
        <f>ADDRESS(ROW('Bond 1'!$B$28),COLUMN('Bond 1'!$B$28),4)</f>
        <v>B28</v>
      </c>
      <c r="C1465" t="str">
        <f>ADDRESS(ROW('Bond 1'!$D$28),COLUMN('Bond 1'!$D$28),4)</f>
        <v>D28</v>
      </c>
      <c r="D1465" t="b" cm="1">
        <f t="array" aca="1" ref="D1465" ca="1">IF(INDIRECT("'"&amp;A1465&amp;"'!"&amp;B1465)="",FALSE,IF(NOT(ISNUMBER(INDIRECT("'"&amp;A1465&amp;"'!"&amp;B1465))),TRUE,FALSE))</f>
        <v>0</v>
      </c>
      <c r="E1465" t="s">
        <v>435</v>
      </c>
      <c r="F1465" t="str">
        <f>INDEX(Lists!I:I,MATCH(Validation!E1465,Lists!G:G,0))</f>
        <v>Error</v>
      </c>
      <c r="G1465" t="str">
        <f>INDEX(Lists!H:H,MATCH(Validation!E1465,Lists!G:G,0))</f>
        <v>Enter an amount only. Do not enter text or spaces.</v>
      </c>
      <c r="H1465" s="25" t="str">
        <f t="shared" ref="H1465:H1528" ca="1" si="198">IFERROR(IF(OR(NOT(D1465),F1465&lt;&gt;"Error"),"",A1465&amp;CELL("address",INDIRECT(B1465))),"")</f>
        <v/>
      </c>
      <c r="I1465" s="25" t="str">
        <f t="shared" ref="I1465:I1528" ca="1" si="199">IFERROR(IF(NOT(D1465),"",A1465&amp;CELL("address",INDIRECT(C1465))),"")</f>
        <v/>
      </c>
      <c r="J1465" s="26" t="str">
        <f t="shared" ref="J1465:J1528" ca="1" si="200">IFERROR(IF(NOT(D1465),"",A1465),"")</f>
        <v/>
      </c>
    </row>
    <row r="1466" spans="1:10" x14ac:dyDescent="0.25">
      <c r="A1466" t="s">
        <v>308</v>
      </c>
      <c r="B1466" t="str">
        <f>ADDRESS(ROW('Bond 1'!$B$28),COLUMN('Bond 1'!$B$28),4)</f>
        <v>B28</v>
      </c>
      <c r="C1466" t="str">
        <f>ADDRESS(ROW('Bond 1'!$D$28),COLUMN('Bond 1'!$D$28),4)</f>
        <v>D28</v>
      </c>
      <c r="D1466" t="b" cm="1">
        <f t="array" aca="1" ref="D1466" ca="1">IF(INDIRECT("'"&amp;A1466&amp;"'!"&amp;B1466)="",FALSE,IF(NOT(ISNUMBER(INDIRECT("'"&amp;A1466&amp;"'!"&amp;B1466))),TRUE,FALSE))</f>
        <v>0</v>
      </c>
      <c r="E1466" t="s">
        <v>435</v>
      </c>
      <c r="F1466" t="str">
        <f>INDEX(Lists!I:I,MATCH(Validation!E1466,Lists!G:G,0))</f>
        <v>Error</v>
      </c>
      <c r="G1466" t="str">
        <f>INDEX(Lists!H:H,MATCH(Validation!E1466,Lists!G:G,0))</f>
        <v>Enter an amount only. Do not enter text or spaces.</v>
      </c>
      <c r="H1466" s="25" t="str">
        <f t="shared" ca="1" si="198"/>
        <v/>
      </c>
      <c r="I1466" s="25" t="str">
        <f t="shared" ca="1" si="199"/>
        <v/>
      </c>
      <c r="J1466" s="26" t="str">
        <f t="shared" ca="1" si="200"/>
        <v/>
      </c>
    </row>
    <row r="1467" spans="1:10" x14ac:dyDescent="0.25">
      <c r="A1467" t="s">
        <v>309</v>
      </c>
      <c r="B1467" t="str">
        <f>ADDRESS(ROW('Bond 1'!$B$28),COLUMN('Bond 1'!$B$28),4)</f>
        <v>B28</v>
      </c>
      <c r="C1467" t="str">
        <f>ADDRESS(ROW('Bond 1'!$D$28),COLUMN('Bond 1'!$D$28),4)</f>
        <v>D28</v>
      </c>
      <c r="D1467" t="b" cm="1">
        <f t="array" aca="1" ref="D1467" ca="1">IF(INDIRECT("'"&amp;A1467&amp;"'!"&amp;B1467)="",FALSE,IF(NOT(ISNUMBER(INDIRECT("'"&amp;A1467&amp;"'!"&amp;B1467))),TRUE,FALSE))</f>
        <v>0</v>
      </c>
      <c r="E1467" t="s">
        <v>435</v>
      </c>
      <c r="F1467" t="str">
        <f>INDEX(Lists!I:I,MATCH(Validation!E1467,Lists!G:G,0))</f>
        <v>Error</v>
      </c>
      <c r="G1467" t="str">
        <f>INDEX(Lists!H:H,MATCH(Validation!E1467,Lists!G:G,0))</f>
        <v>Enter an amount only. Do not enter text or spaces.</v>
      </c>
      <c r="H1467" s="25" t="str">
        <f t="shared" ca="1" si="198"/>
        <v/>
      </c>
      <c r="I1467" s="25" t="str">
        <f t="shared" ca="1" si="199"/>
        <v/>
      </c>
      <c r="J1467" s="26" t="str">
        <f t="shared" ca="1" si="200"/>
        <v/>
      </c>
    </row>
    <row r="1468" spans="1:10" x14ac:dyDescent="0.25">
      <c r="A1468" t="s">
        <v>310</v>
      </c>
      <c r="B1468" t="str">
        <f>ADDRESS(ROW('Bond 1'!$B$28),COLUMN('Bond 1'!$B$28),4)</f>
        <v>B28</v>
      </c>
      <c r="C1468" t="str">
        <f>ADDRESS(ROW('Bond 1'!$D$28),COLUMN('Bond 1'!$D$28),4)</f>
        <v>D28</v>
      </c>
      <c r="D1468" t="b" cm="1">
        <f t="array" aca="1" ref="D1468" ca="1">IF(INDIRECT("'"&amp;A1468&amp;"'!"&amp;B1468)="",FALSE,IF(NOT(ISNUMBER(INDIRECT("'"&amp;A1468&amp;"'!"&amp;B1468))),TRUE,FALSE))</f>
        <v>0</v>
      </c>
      <c r="E1468" t="s">
        <v>435</v>
      </c>
      <c r="F1468" t="str">
        <f>INDEX(Lists!I:I,MATCH(Validation!E1468,Lists!G:G,0))</f>
        <v>Error</v>
      </c>
      <c r="G1468" t="str">
        <f>INDEX(Lists!H:H,MATCH(Validation!E1468,Lists!G:G,0))</f>
        <v>Enter an amount only. Do not enter text or spaces.</v>
      </c>
      <c r="H1468" s="25" t="str">
        <f t="shared" ca="1" si="198"/>
        <v/>
      </c>
      <c r="I1468" s="25" t="str">
        <f t="shared" ca="1" si="199"/>
        <v/>
      </c>
      <c r="J1468" s="26" t="str">
        <f t="shared" ca="1" si="200"/>
        <v/>
      </c>
    </row>
    <row r="1469" spans="1:10" x14ac:dyDescent="0.25">
      <c r="A1469" t="s">
        <v>311</v>
      </c>
      <c r="B1469" t="str">
        <f>ADDRESS(ROW('Bond 1'!$B$28),COLUMN('Bond 1'!$B$28),4)</f>
        <v>B28</v>
      </c>
      <c r="C1469" t="str">
        <f>ADDRESS(ROW('Bond 1'!$D$28),COLUMN('Bond 1'!$D$28),4)</f>
        <v>D28</v>
      </c>
      <c r="D1469" t="b" cm="1">
        <f t="array" aca="1" ref="D1469" ca="1">IF(INDIRECT("'"&amp;A1469&amp;"'!"&amp;B1469)="",FALSE,IF(NOT(ISNUMBER(INDIRECT("'"&amp;A1469&amp;"'!"&amp;B1469))),TRUE,FALSE))</f>
        <v>0</v>
      </c>
      <c r="E1469" t="s">
        <v>435</v>
      </c>
      <c r="F1469" t="str">
        <f>INDEX(Lists!I:I,MATCH(Validation!E1469,Lists!G:G,0))</f>
        <v>Error</v>
      </c>
      <c r="G1469" t="str">
        <f>INDEX(Lists!H:H,MATCH(Validation!E1469,Lists!G:G,0))</f>
        <v>Enter an amount only. Do not enter text or spaces.</v>
      </c>
      <c r="H1469" s="25" t="str">
        <f t="shared" ca="1" si="198"/>
        <v/>
      </c>
      <c r="I1469" s="25" t="str">
        <f t="shared" ca="1" si="199"/>
        <v/>
      </c>
      <c r="J1469" s="26" t="str">
        <f t="shared" ca="1" si="200"/>
        <v/>
      </c>
    </row>
    <row r="1470" spans="1:10" x14ac:dyDescent="0.25">
      <c r="A1470" t="s">
        <v>312</v>
      </c>
      <c r="B1470" t="str">
        <f>ADDRESS(ROW('Bond 1'!$B$28),COLUMN('Bond 1'!$B$28),4)</f>
        <v>B28</v>
      </c>
      <c r="C1470" t="str">
        <f>ADDRESS(ROW('Bond 1'!$D$28),COLUMN('Bond 1'!$D$28),4)</f>
        <v>D28</v>
      </c>
      <c r="D1470" t="b" cm="1">
        <f t="array" aca="1" ref="D1470" ca="1">IF(INDIRECT("'"&amp;A1470&amp;"'!"&amp;B1470)="",FALSE,IF(NOT(ISNUMBER(INDIRECT("'"&amp;A1470&amp;"'!"&amp;B1470))),TRUE,FALSE))</f>
        <v>0</v>
      </c>
      <c r="E1470" t="s">
        <v>435</v>
      </c>
      <c r="F1470" t="str">
        <f>INDEX(Lists!I:I,MATCH(Validation!E1470,Lists!G:G,0))</f>
        <v>Error</v>
      </c>
      <c r="G1470" t="str">
        <f>INDEX(Lists!H:H,MATCH(Validation!E1470,Lists!G:G,0))</f>
        <v>Enter an amount only. Do not enter text or spaces.</v>
      </c>
      <c r="H1470" s="25" t="str">
        <f t="shared" ca="1" si="198"/>
        <v/>
      </c>
      <c r="I1470" s="25" t="str">
        <f t="shared" ca="1" si="199"/>
        <v/>
      </c>
      <c r="J1470" s="26" t="str">
        <f t="shared" ca="1" si="200"/>
        <v/>
      </c>
    </row>
    <row r="1471" spans="1:10" x14ac:dyDescent="0.25">
      <c r="A1471" t="s">
        <v>313</v>
      </c>
      <c r="B1471" t="str">
        <f>ADDRESS(ROW('Bond 1'!$B$28),COLUMN('Bond 1'!$B$28),4)</f>
        <v>B28</v>
      </c>
      <c r="C1471" t="str">
        <f>ADDRESS(ROW('Bond 1'!$D$28),COLUMN('Bond 1'!$D$28),4)</f>
        <v>D28</v>
      </c>
      <c r="D1471" t="b" cm="1">
        <f t="array" aca="1" ref="D1471" ca="1">IF(INDIRECT("'"&amp;A1471&amp;"'!"&amp;B1471)="",FALSE,IF(NOT(ISNUMBER(INDIRECT("'"&amp;A1471&amp;"'!"&amp;B1471))),TRUE,FALSE))</f>
        <v>0</v>
      </c>
      <c r="E1471" t="s">
        <v>435</v>
      </c>
      <c r="F1471" t="str">
        <f>INDEX(Lists!I:I,MATCH(Validation!E1471,Lists!G:G,0))</f>
        <v>Error</v>
      </c>
      <c r="G1471" t="str">
        <f>INDEX(Lists!H:H,MATCH(Validation!E1471,Lists!G:G,0))</f>
        <v>Enter an amount only. Do not enter text or spaces.</v>
      </c>
      <c r="H1471" s="25" t="str">
        <f t="shared" ca="1" si="198"/>
        <v/>
      </c>
      <c r="I1471" s="25" t="str">
        <f t="shared" ca="1" si="199"/>
        <v/>
      </c>
      <c r="J1471" s="26" t="str">
        <f t="shared" ca="1" si="200"/>
        <v/>
      </c>
    </row>
    <row r="1472" spans="1:10" x14ac:dyDescent="0.25">
      <c r="A1472" t="s">
        <v>314</v>
      </c>
      <c r="B1472" t="str">
        <f>ADDRESS(ROW('Bond 1'!$B$28),COLUMN('Bond 1'!$B$28),4)</f>
        <v>B28</v>
      </c>
      <c r="C1472" t="str">
        <f>ADDRESS(ROW('Bond 1'!$D$28),COLUMN('Bond 1'!$D$28),4)</f>
        <v>D28</v>
      </c>
      <c r="D1472" t="b" cm="1">
        <f t="array" aca="1" ref="D1472" ca="1">IF(INDIRECT("'"&amp;A1472&amp;"'!"&amp;B1472)="",FALSE,IF(NOT(ISNUMBER(INDIRECT("'"&amp;A1472&amp;"'!"&amp;B1472))),TRUE,FALSE))</f>
        <v>0</v>
      </c>
      <c r="E1472" t="s">
        <v>435</v>
      </c>
      <c r="F1472" t="str">
        <f>INDEX(Lists!I:I,MATCH(Validation!E1472,Lists!G:G,0))</f>
        <v>Error</v>
      </c>
      <c r="G1472" t="str">
        <f>INDEX(Lists!H:H,MATCH(Validation!E1472,Lists!G:G,0))</f>
        <v>Enter an amount only. Do not enter text or spaces.</v>
      </c>
      <c r="H1472" s="25" t="str">
        <f t="shared" ca="1" si="198"/>
        <v/>
      </c>
      <c r="I1472" s="25" t="str">
        <f t="shared" ca="1" si="199"/>
        <v/>
      </c>
      <c r="J1472" s="26" t="str">
        <f t="shared" ca="1" si="200"/>
        <v/>
      </c>
    </row>
    <row r="1473" spans="1:10" x14ac:dyDescent="0.25">
      <c r="A1473" t="s">
        <v>315</v>
      </c>
      <c r="B1473" t="str">
        <f>ADDRESS(ROW('Bond 1'!$B$28),COLUMN('Bond 1'!$B$28),4)</f>
        <v>B28</v>
      </c>
      <c r="C1473" t="str">
        <f>ADDRESS(ROW('Bond 1'!$D$28),COLUMN('Bond 1'!$D$28),4)</f>
        <v>D28</v>
      </c>
      <c r="D1473" t="b" cm="1">
        <f t="array" aca="1" ref="D1473" ca="1">IF(INDIRECT("'"&amp;A1473&amp;"'!"&amp;B1473)="",FALSE,IF(NOT(ISNUMBER(INDIRECT("'"&amp;A1473&amp;"'!"&amp;B1473))),TRUE,FALSE))</f>
        <v>0</v>
      </c>
      <c r="E1473" t="s">
        <v>435</v>
      </c>
      <c r="F1473" t="str">
        <f>INDEX(Lists!I:I,MATCH(Validation!E1473,Lists!G:G,0))</f>
        <v>Error</v>
      </c>
      <c r="G1473" t="str">
        <f>INDEX(Lists!H:H,MATCH(Validation!E1473,Lists!G:G,0))</f>
        <v>Enter an amount only. Do not enter text or spaces.</v>
      </c>
      <c r="H1473" s="25" t="str">
        <f t="shared" ca="1" si="198"/>
        <v/>
      </c>
      <c r="I1473" s="25" t="str">
        <f t="shared" ca="1" si="199"/>
        <v/>
      </c>
      <c r="J1473" s="26" t="str">
        <f t="shared" ca="1" si="200"/>
        <v/>
      </c>
    </row>
    <row r="1474" spans="1:10" x14ac:dyDescent="0.25">
      <c r="A1474" t="s">
        <v>198</v>
      </c>
      <c r="B1474" t="str">
        <f>ADDRESS(ROW('Bond 1'!$B$28),COLUMN('Bond 1'!$B$28),4)</f>
        <v>B28</v>
      </c>
      <c r="C1474" t="str">
        <f>ADDRESS(ROW('Bond 1'!$D$28),COLUMN('Bond 1'!$D$28),4)</f>
        <v>D28</v>
      </c>
      <c r="D1474" t="b" cm="1">
        <f t="array" aca="1" ref="D1474" ca="1">IF(INDIRECT("'"&amp;A1474&amp;"'!"&amp;B1474)="",FALSE,IF(INDIRECT("'"&amp;A1474&amp;"'!"&amp;B1474)&lt;0,TRUE,FALSE))</f>
        <v>0</v>
      </c>
      <c r="E1474" t="s">
        <v>434</v>
      </c>
      <c r="F1474" t="str">
        <f>INDEX(Lists!I:I,MATCH(Validation!E1474,Lists!G:G,0))</f>
        <v>Error</v>
      </c>
      <c r="G1474" t="str">
        <f>INDEX(Lists!H:H,MATCH(Validation!E1474,Lists!G:G,0))</f>
        <v>Amount may not be negative. Enter an amount greater than or equal to zero.</v>
      </c>
      <c r="H1474" s="25" t="str">
        <f t="shared" ca="1" si="198"/>
        <v/>
      </c>
      <c r="I1474" s="25" t="str">
        <f t="shared" ca="1" si="199"/>
        <v/>
      </c>
      <c r="J1474" s="26" t="str">
        <f t="shared" ca="1" si="200"/>
        <v/>
      </c>
    </row>
    <row r="1475" spans="1:10" x14ac:dyDescent="0.25">
      <c r="A1475" t="s">
        <v>302</v>
      </c>
      <c r="B1475" t="str">
        <f>ADDRESS(ROW('Bond 1'!$B$28),COLUMN('Bond 1'!$B$28),4)</f>
        <v>B28</v>
      </c>
      <c r="C1475" t="str">
        <f>ADDRESS(ROW('Bond 1'!$D$28),COLUMN('Bond 1'!$D$28),4)</f>
        <v>D28</v>
      </c>
      <c r="D1475" t="b" cm="1">
        <f t="array" aca="1" ref="D1475" ca="1">IF(INDIRECT("'"&amp;A1475&amp;"'!"&amp;B1475)="",FALSE,IF(INDIRECT("'"&amp;A1475&amp;"'!"&amp;B1475)&lt;0,TRUE,FALSE))</f>
        <v>0</v>
      </c>
      <c r="E1475" t="s">
        <v>434</v>
      </c>
      <c r="F1475" t="str">
        <f>INDEX(Lists!I:I,MATCH(Validation!E1475,Lists!G:G,0))</f>
        <v>Error</v>
      </c>
      <c r="G1475" t="str">
        <f>INDEX(Lists!H:H,MATCH(Validation!E1475,Lists!G:G,0))</f>
        <v>Amount may not be negative. Enter an amount greater than or equal to zero.</v>
      </c>
      <c r="H1475" s="25" t="str">
        <f t="shared" ca="1" si="198"/>
        <v/>
      </c>
      <c r="I1475" s="25" t="str">
        <f t="shared" ca="1" si="199"/>
        <v/>
      </c>
      <c r="J1475" s="26" t="str">
        <f t="shared" ca="1" si="200"/>
        <v/>
      </c>
    </row>
    <row r="1476" spans="1:10" x14ac:dyDescent="0.25">
      <c r="A1476" t="s">
        <v>303</v>
      </c>
      <c r="B1476" t="str">
        <f>ADDRESS(ROW('Bond 1'!$B$28),COLUMN('Bond 1'!$B$28),4)</f>
        <v>B28</v>
      </c>
      <c r="C1476" t="str">
        <f>ADDRESS(ROW('Bond 1'!$D$28),COLUMN('Bond 1'!$D$28),4)</f>
        <v>D28</v>
      </c>
      <c r="D1476" t="b" cm="1">
        <f t="array" aca="1" ref="D1476" ca="1">IF(INDIRECT("'"&amp;A1476&amp;"'!"&amp;B1476)="",FALSE,IF(INDIRECT("'"&amp;A1476&amp;"'!"&amp;B1476)&lt;0,TRUE,FALSE))</f>
        <v>0</v>
      </c>
      <c r="E1476" t="s">
        <v>434</v>
      </c>
      <c r="F1476" t="str">
        <f>INDEX(Lists!I:I,MATCH(Validation!E1476,Lists!G:G,0))</f>
        <v>Error</v>
      </c>
      <c r="G1476" t="str">
        <f>INDEX(Lists!H:H,MATCH(Validation!E1476,Lists!G:G,0))</f>
        <v>Amount may not be negative. Enter an amount greater than or equal to zero.</v>
      </c>
      <c r="H1476" s="25" t="str">
        <f t="shared" ca="1" si="198"/>
        <v/>
      </c>
      <c r="I1476" s="25" t="str">
        <f t="shared" ca="1" si="199"/>
        <v/>
      </c>
      <c r="J1476" s="26" t="str">
        <f t="shared" ca="1" si="200"/>
        <v/>
      </c>
    </row>
    <row r="1477" spans="1:10" x14ac:dyDescent="0.25">
      <c r="A1477" t="s">
        <v>304</v>
      </c>
      <c r="B1477" t="str">
        <f>ADDRESS(ROW('Bond 1'!$B$28),COLUMN('Bond 1'!$B$28),4)</f>
        <v>B28</v>
      </c>
      <c r="C1477" t="str">
        <f>ADDRESS(ROW('Bond 1'!$D$28),COLUMN('Bond 1'!$D$28),4)</f>
        <v>D28</v>
      </c>
      <c r="D1477" t="b" cm="1">
        <f t="array" aca="1" ref="D1477" ca="1">IF(INDIRECT("'"&amp;A1477&amp;"'!"&amp;B1477)="",FALSE,IF(INDIRECT("'"&amp;A1477&amp;"'!"&amp;B1477)&lt;0,TRUE,FALSE))</f>
        <v>0</v>
      </c>
      <c r="E1477" t="s">
        <v>434</v>
      </c>
      <c r="F1477" t="str">
        <f>INDEX(Lists!I:I,MATCH(Validation!E1477,Lists!G:G,0))</f>
        <v>Error</v>
      </c>
      <c r="G1477" t="str">
        <f>INDEX(Lists!H:H,MATCH(Validation!E1477,Lists!G:G,0))</f>
        <v>Amount may not be negative. Enter an amount greater than or equal to zero.</v>
      </c>
      <c r="H1477" s="25" t="str">
        <f t="shared" ca="1" si="198"/>
        <v/>
      </c>
      <c r="I1477" s="25" t="str">
        <f t="shared" ca="1" si="199"/>
        <v/>
      </c>
      <c r="J1477" s="26" t="str">
        <f t="shared" ca="1" si="200"/>
        <v/>
      </c>
    </row>
    <row r="1478" spans="1:10" x14ac:dyDescent="0.25">
      <c r="A1478" t="s">
        <v>305</v>
      </c>
      <c r="B1478" t="str">
        <f>ADDRESS(ROW('Bond 1'!$B$28),COLUMN('Bond 1'!$B$28),4)</f>
        <v>B28</v>
      </c>
      <c r="C1478" t="str">
        <f>ADDRESS(ROW('Bond 1'!$D$28),COLUMN('Bond 1'!$D$28),4)</f>
        <v>D28</v>
      </c>
      <c r="D1478" t="b" cm="1">
        <f t="array" aca="1" ref="D1478" ca="1">IF(INDIRECT("'"&amp;A1478&amp;"'!"&amp;B1478)="",FALSE,IF(INDIRECT("'"&amp;A1478&amp;"'!"&amp;B1478)&lt;0,TRUE,FALSE))</f>
        <v>0</v>
      </c>
      <c r="E1478" t="s">
        <v>434</v>
      </c>
      <c r="F1478" t="str">
        <f>INDEX(Lists!I:I,MATCH(Validation!E1478,Lists!G:G,0))</f>
        <v>Error</v>
      </c>
      <c r="G1478" t="str">
        <f>INDEX(Lists!H:H,MATCH(Validation!E1478,Lists!G:G,0))</f>
        <v>Amount may not be negative. Enter an amount greater than or equal to zero.</v>
      </c>
      <c r="H1478" s="25" t="str">
        <f t="shared" ca="1" si="198"/>
        <v/>
      </c>
      <c r="I1478" s="25" t="str">
        <f t="shared" ca="1" si="199"/>
        <v/>
      </c>
      <c r="J1478" s="26" t="str">
        <f t="shared" ca="1" si="200"/>
        <v/>
      </c>
    </row>
    <row r="1479" spans="1:10" x14ac:dyDescent="0.25">
      <c r="A1479" t="s">
        <v>306</v>
      </c>
      <c r="B1479" t="str">
        <f>ADDRESS(ROW('Bond 1'!$B$28),COLUMN('Bond 1'!$B$28),4)</f>
        <v>B28</v>
      </c>
      <c r="C1479" t="str">
        <f>ADDRESS(ROW('Bond 1'!$D$28),COLUMN('Bond 1'!$D$28),4)</f>
        <v>D28</v>
      </c>
      <c r="D1479" t="b" cm="1">
        <f t="array" aca="1" ref="D1479" ca="1">IF(INDIRECT("'"&amp;A1479&amp;"'!"&amp;B1479)="",FALSE,IF(INDIRECT("'"&amp;A1479&amp;"'!"&amp;B1479)&lt;0,TRUE,FALSE))</f>
        <v>0</v>
      </c>
      <c r="E1479" t="s">
        <v>434</v>
      </c>
      <c r="F1479" t="str">
        <f>INDEX(Lists!I:I,MATCH(Validation!E1479,Lists!G:G,0))</f>
        <v>Error</v>
      </c>
      <c r="G1479" t="str">
        <f>INDEX(Lists!H:H,MATCH(Validation!E1479,Lists!G:G,0))</f>
        <v>Amount may not be negative. Enter an amount greater than or equal to zero.</v>
      </c>
      <c r="H1479" s="25" t="str">
        <f t="shared" ca="1" si="198"/>
        <v/>
      </c>
      <c r="I1479" s="25" t="str">
        <f t="shared" ca="1" si="199"/>
        <v/>
      </c>
      <c r="J1479" s="26" t="str">
        <f t="shared" ca="1" si="200"/>
        <v/>
      </c>
    </row>
    <row r="1480" spans="1:10" x14ac:dyDescent="0.25">
      <c r="A1480" t="s">
        <v>307</v>
      </c>
      <c r="B1480" t="str">
        <f>ADDRESS(ROW('Bond 1'!$B$28),COLUMN('Bond 1'!$B$28),4)</f>
        <v>B28</v>
      </c>
      <c r="C1480" t="str">
        <f>ADDRESS(ROW('Bond 1'!$D$28),COLUMN('Bond 1'!$D$28),4)</f>
        <v>D28</v>
      </c>
      <c r="D1480" t="b" cm="1">
        <f t="array" aca="1" ref="D1480" ca="1">IF(INDIRECT("'"&amp;A1480&amp;"'!"&amp;B1480)="",FALSE,IF(INDIRECT("'"&amp;A1480&amp;"'!"&amp;B1480)&lt;0,TRUE,FALSE))</f>
        <v>0</v>
      </c>
      <c r="E1480" t="s">
        <v>434</v>
      </c>
      <c r="F1480" t="str">
        <f>INDEX(Lists!I:I,MATCH(Validation!E1480,Lists!G:G,0))</f>
        <v>Error</v>
      </c>
      <c r="G1480" t="str">
        <f>INDEX(Lists!H:H,MATCH(Validation!E1480,Lists!G:G,0))</f>
        <v>Amount may not be negative. Enter an amount greater than or equal to zero.</v>
      </c>
      <c r="H1480" s="25" t="str">
        <f t="shared" ca="1" si="198"/>
        <v/>
      </c>
      <c r="I1480" s="25" t="str">
        <f t="shared" ca="1" si="199"/>
        <v/>
      </c>
      <c r="J1480" s="26" t="str">
        <f t="shared" ca="1" si="200"/>
        <v/>
      </c>
    </row>
    <row r="1481" spans="1:10" x14ac:dyDescent="0.25">
      <c r="A1481" t="s">
        <v>308</v>
      </c>
      <c r="B1481" t="str">
        <f>ADDRESS(ROW('Bond 1'!$B$28),COLUMN('Bond 1'!$B$28),4)</f>
        <v>B28</v>
      </c>
      <c r="C1481" t="str">
        <f>ADDRESS(ROW('Bond 1'!$D$28),COLUMN('Bond 1'!$D$28),4)</f>
        <v>D28</v>
      </c>
      <c r="D1481" t="b" cm="1">
        <f t="array" aca="1" ref="D1481" ca="1">IF(INDIRECT("'"&amp;A1481&amp;"'!"&amp;B1481)="",FALSE,IF(INDIRECT("'"&amp;A1481&amp;"'!"&amp;B1481)&lt;0,TRUE,FALSE))</f>
        <v>0</v>
      </c>
      <c r="E1481" t="s">
        <v>434</v>
      </c>
      <c r="F1481" t="str">
        <f>INDEX(Lists!I:I,MATCH(Validation!E1481,Lists!G:G,0))</f>
        <v>Error</v>
      </c>
      <c r="G1481" t="str">
        <f>INDEX(Lists!H:H,MATCH(Validation!E1481,Lists!G:G,0))</f>
        <v>Amount may not be negative. Enter an amount greater than or equal to zero.</v>
      </c>
      <c r="H1481" s="25" t="str">
        <f t="shared" ca="1" si="198"/>
        <v/>
      </c>
      <c r="I1481" s="25" t="str">
        <f t="shared" ca="1" si="199"/>
        <v/>
      </c>
      <c r="J1481" s="26" t="str">
        <f t="shared" ca="1" si="200"/>
        <v/>
      </c>
    </row>
    <row r="1482" spans="1:10" x14ac:dyDescent="0.25">
      <c r="A1482" t="s">
        <v>309</v>
      </c>
      <c r="B1482" t="str">
        <f>ADDRESS(ROW('Bond 1'!$B$28),COLUMN('Bond 1'!$B$28),4)</f>
        <v>B28</v>
      </c>
      <c r="C1482" t="str">
        <f>ADDRESS(ROW('Bond 1'!$D$28),COLUMN('Bond 1'!$D$28),4)</f>
        <v>D28</v>
      </c>
      <c r="D1482" t="b" cm="1">
        <f t="array" aca="1" ref="D1482" ca="1">IF(INDIRECT("'"&amp;A1482&amp;"'!"&amp;B1482)="",FALSE,IF(INDIRECT("'"&amp;A1482&amp;"'!"&amp;B1482)&lt;0,TRUE,FALSE))</f>
        <v>0</v>
      </c>
      <c r="E1482" t="s">
        <v>434</v>
      </c>
      <c r="F1482" t="str">
        <f>INDEX(Lists!I:I,MATCH(Validation!E1482,Lists!G:G,0))</f>
        <v>Error</v>
      </c>
      <c r="G1482" t="str">
        <f>INDEX(Lists!H:H,MATCH(Validation!E1482,Lists!G:G,0))</f>
        <v>Amount may not be negative. Enter an amount greater than or equal to zero.</v>
      </c>
      <c r="H1482" s="25" t="str">
        <f t="shared" ca="1" si="198"/>
        <v/>
      </c>
      <c r="I1482" s="25" t="str">
        <f t="shared" ca="1" si="199"/>
        <v/>
      </c>
      <c r="J1482" s="26" t="str">
        <f t="shared" ca="1" si="200"/>
        <v/>
      </c>
    </row>
    <row r="1483" spans="1:10" x14ac:dyDescent="0.25">
      <c r="A1483" t="s">
        <v>310</v>
      </c>
      <c r="B1483" t="str">
        <f>ADDRESS(ROW('Bond 1'!$B$28),COLUMN('Bond 1'!$B$28),4)</f>
        <v>B28</v>
      </c>
      <c r="C1483" t="str">
        <f>ADDRESS(ROW('Bond 1'!$D$28),COLUMN('Bond 1'!$D$28),4)</f>
        <v>D28</v>
      </c>
      <c r="D1483" t="b" cm="1">
        <f t="array" aca="1" ref="D1483" ca="1">IF(INDIRECT("'"&amp;A1483&amp;"'!"&amp;B1483)="",FALSE,IF(INDIRECT("'"&amp;A1483&amp;"'!"&amp;B1483)&lt;0,TRUE,FALSE))</f>
        <v>0</v>
      </c>
      <c r="E1483" t="s">
        <v>434</v>
      </c>
      <c r="F1483" t="str">
        <f>INDEX(Lists!I:I,MATCH(Validation!E1483,Lists!G:G,0))</f>
        <v>Error</v>
      </c>
      <c r="G1483" t="str">
        <f>INDEX(Lists!H:H,MATCH(Validation!E1483,Lists!G:G,0))</f>
        <v>Amount may not be negative. Enter an amount greater than or equal to zero.</v>
      </c>
      <c r="H1483" s="25" t="str">
        <f t="shared" ca="1" si="198"/>
        <v/>
      </c>
      <c r="I1483" s="25" t="str">
        <f t="shared" ca="1" si="199"/>
        <v/>
      </c>
      <c r="J1483" s="26" t="str">
        <f t="shared" ca="1" si="200"/>
        <v/>
      </c>
    </row>
    <row r="1484" spans="1:10" x14ac:dyDescent="0.25">
      <c r="A1484" t="s">
        <v>311</v>
      </c>
      <c r="B1484" t="str">
        <f>ADDRESS(ROW('Bond 1'!$B$28),COLUMN('Bond 1'!$B$28),4)</f>
        <v>B28</v>
      </c>
      <c r="C1484" t="str">
        <f>ADDRESS(ROW('Bond 1'!$D$28),COLUMN('Bond 1'!$D$28),4)</f>
        <v>D28</v>
      </c>
      <c r="D1484" t="b" cm="1">
        <f t="array" aca="1" ref="D1484" ca="1">IF(INDIRECT("'"&amp;A1484&amp;"'!"&amp;B1484)="",FALSE,IF(INDIRECT("'"&amp;A1484&amp;"'!"&amp;B1484)&lt;0,TRUE,FALSE))</f>
        <v>0</v>
      </c>
      <c r="E1484" t="s">
        <v>434</v>
      </c>
      <c r="F1484" t="str">
        <f>INDEX(Lists!I:I,MATCH(Validation!E1484,Lists!G:G,0))</f>
        <v>Error</v>
      </c>
      <c r="G1484" t="str">
        <f>INDEX(Lists!H:H,MATCH(Validation!E1484,Lists!G:G,0))</f>
        <v>Amount may not be negative. Enter an amount greater than or equal to zero.</v>
      </c>
      <c r="H1484" s="25" t="str">
        <f t="shared" ca="1" si="198"/>
        <v/>
      </c>
      <c r="I1484" s="25" t="str">
        <f t="shared" ca="1" si="199"/>
        <v/>
      </c>
      <c r="J1484" s="26" t="str">
        <f t="shared" ca="1" si="200"/>
        <v/>
      </c>
    </row>
    <row r="1485" spans="1:10" x14ac:dyDescent="0.25">
      <c r="A1485" t="s">
        <v>312</v>
      </c>
      <c r="B1485" t="str">
        <f>ADDRESS(ROW('Bond 1'!$B$28),COLUMN('Bond 1'!$B$28),4)</f>
        <v>B28</v>
      </c>
      <c r="C1485" t="str">
        <f>ADDRESS(ROW('Bond 1'!$D$28),COLUMN('Bond 1'!$D$28),4)</f>
        <v>D28</v>
      </c>
      <c r="D1485" t="b" cm="1">
        <f t="array" aca="1" ref="D1485" ca="1">IF(INDIRECT("'"&amp;A1485&amp;"'!"&amp;B1485)="",FALSE,IF(INDIRECT("'"&amp;A1485&amp;"'!"&amp;B1485)&lt;0,TRUE,FALSE))</f>
        <v>0</v>
      </c>
      <c r="E1485" t="s">
        <v>434</v>
      </c>
      <c r="F1485" t="str">
        <f>INDEX(Lists!I:I,MATCH(Validation!E1485,Lists!G:G,0))</f>
        <v>Error</v>
      </c>
      <c r="G1485" t="str">
        <f>INDEX(Lists!H:H,MATCH(Validation!E1485,Lists!G:G,0))</f>
        <v>Amount may not be negative. Enter an amount greater than or equal to zero.</v>
      </c>
      <c r="H1485" s="25" t="str">
        <f t="shared" ca="1" si="198"/>
        <v/>
      </c>
      <c r="I1485" s="25" t="str">
        <f t="shared" ca="1" si="199"/>
        <v/>
      </c>
      <c r="J1485" s="26" t="str">
        <f t="shared" ca="1" si="200"/>
        <v/>
      </c>
    </row>
    <row r="1486" spans="1:10" x14ac:dyDescent="0.25">
      <c r="A1486" t="s">
        <v>313</v>
      </c>
      <c r="B1486" t="str">
        <f>ADDRESS(ROW('Bond 1'!$B$28),COLUMN('Bond 1'!$B$28),4)</f>
        <v>B28</v>
      </c>
      <c r="C1486" t="str">
        <f>ADDRESS(ROW('Bond 1'!$D$28),COLUMN('Bond 1'!$D$28),4)</f>
        <v>D28</v>
      </c>
      <c r="D1486" t="b" cm="1">
        <f t="array" aca="1" ref="D1486" ca="1">IF(INDIRECT("'"&amp;A1486&amp;"'!"&amp;B1486)="",FALSE,IF(INDIRECT("'"&amp;A1486&amp;"'!"&amp;B1486)&lt;0,TRUE,FALSE))</f>
        <v>0</v>
      </c>
      <c r="E1486" t="s">
        <v>434</v>
      </c>
      <c r="F1486" t="str">
        <f>INDEX(Lists!I:I,MATCH(Validation!E1486,Lists!G:G,0))</f>
        <v>Error</v>
      </c>
      <c r="G1486" t="str">
        <f>INDEX(Lists!H:H,MATCH(Validation!E1486,Lists!G:G,0))</f>
        <v>Amount may not be negative. Enter an amount greater than or equal to zero.</v>
      </c>
      <c r="H1486" s="25" t="str">
        <f t="shared" ca="1" si="198"/>
        <v/>
      </c>
      <c r="I1486" s="25" t="str">
        <f t="shared" ca="1" si="199"/>
        <v/>
      </c>
      <c r="J1486" s="26" t="str">
        <f t="shared" ca="1" si="200"/>
        <v/>
      </c>
    </row>
    <row r="1487" spans="1:10" x14ac:dyDescent="0.25">
      <c r="A1487" t="s">
        <v>314</v>
      </c>
      <c r="B1487" t="str">
        <f>ADDRESS(ROW('Bond 1'!$B$28),COLUMN('Bond 1'!$B$28),4)</f>
        <v>B28</v>
      </c>
      <c r="C1487" t="str">
        <f>ADDRESS(ROW('Bond 1'!$D$28),COLUMN('Bond 1'!$D$28),4)</f>
        <v>D28</v>
      </c>
      <c r="D1487" t="b" cm="1">
        <f t="array" aca="1" ref="D1487" ca="1">IF(INDIRECT("'"&amp;A1487&amp;"'!"&amp;B1487)="",FALSE,IF(INDIRECT("'"&amp;A1487&amp;"'!"&amp;B1487)&lt;0,TRUE,FALSE))</f>
        <v>0</v>
      </c>
      <c r="E1487" t="s">
        <v>434</v>
      </c>
      <c r="F1487" t="str">
        <f>INDEX(Lists!I:I,MATCH(Validation!E1487,Lists!G:G,0))</f>
        <v>Error</v>
      </c>
      <c r="G1487" t="str">
        <f>INDEX(Lists!H:H,MATCH(Validation!E1487,Lists!G:G,0))</f>
        <v>Amount may not be negative. Enter an amount greater than or equal to zero.</v>
      </c>
      <c r="H1487" s="25" t="str">
        <f t="shared" ca="1" si="198"/>
        <v/>
      </c>
      <c r="I1487" s="25" t="str">
        <f t="shared" ca="1" si="199"/>
        <v/>
      </c>
      <c r="J1487" s="26" t="str">
        <f t="shared" ca="1" si="200"/>
        <v/>
      </c>
    </row>
    <row r="1488" spans="1:10" x14ac:dyDescent="0.25">
      <c r="A1488" t="s">
        <v>315</v>
      </c>
      <c r="B1488" t="str">
        <f>ADDRESS(ROW('Bond 1'!$B$28),COLUMN('Bond 1'!$B$28),4)</f>
        <v>B28</v>
      </c>
      <c r="C1488" t="str">
        <f>ADDRESS(ROW('Bond 1'!$D$28),COLUMN('Bond 1'!$D$28),4)</f>
        <v>D28</v>
      </c>
      <c r="D1488" t="b" cm="1">
        <f t="array" aca="1" ref="D1488" ca="1">IF(INDIRECT("'"&amp;A1488&amp;"'!"&amp;B1488)="",FALSE,IF(INDIRECT("'"&amp;A1488&amp;"'!"&amp;B1488)&lt;0,TRUE,FALSE))</f>
        <v>0</v>
      </c>
      <c r="E1488" t="s">
        <v>434</v>
      </c>
      <c r="F1488" t="str">
        <f>INDEX(Lists!I:I,MATCH(Validation!E1488,Lists!G:G,0))</f>
        <v>Error</v>
      </c>
      <c r="G1488" t="str">
        <f>INDEX(Lists!H:H,MATCH(Validation!E1488,Lists!G:G,0))</f>
        <v>Amount may not be negative. Enter an amount greater than or equal to zero.</v>
      </c>
      <c r="H1488" s="25" t="str">
        <f t="shared" ca="1" si="198"/>
        <v/>
      </c>
      <c r="I1488" s="25" t="str">
        <f t="shared" ca="1" si="199"/>
        <v/>
      </c>
      <c r="J1488" s="26" t="str">
        <f t="shared" ca="1" si="200"/>
        <v/>
      </c>
    </row>
    <row r="1489" spans="1:10" x14ac:dyDescent="0.25">
      <c r="A1489" t="s">
        <v>198</v>
      </c>
      <c r="B1489" t="str">
        <f>ADDRESS(ROW('Bond 1'!$B$28),COLUMN('Bond 1'!$B$28),4)</f>
        <v>B28</v>
      </c>
      <c r="C1489" t="str">
        <f>ADDRESS(ROW('Bond 1'!$D$28),COLUMN('Bond 1'!$D$28),4)</f>
        <v>D28</v>
      </c>
      <c r="D1489" t="b" cm="1">
        <f t="array" aca="1" ref="D1489" ca="1">IF(INDIRECT("'"&amp;A1489&amp;"'!"&amp;B1489)="",FALSE,IF(TRUNC(INDIRECT("'"&amp;A1489&amp;"'!"&amp;B1489))=INDIRECT("'"&amp;A1489&amp;"'!"&amp;B1489),FALSE,TRUE))</f>
        <v>0</v>
      </c>
      <c r="E1489" t="s">
        <v>436</v>
      </c>
      <c r="F1489" t="str">
        <f>INDEX(Lists!I:I,MATCH(Validation!E1489,Lists!G:G,0))</f>
        <v>Error</v>
      </c>
      <c r="G1489" t="str">
        <f>INDEX(Lists!H:H,MATCH(Validation!E1489,Lists!G:G,0))</f>
        <v>Amount must be rounded to the nearest dollar.</v>
      </c>
      <c r="H1489" s="25" t="str">
        <f t="shared" ca="1" si="198"/>
        <v/>
      </c>
      <c r="I1489" s="25" t="str">
        <f t="shared" ca="1" si="199"/>
        <v/>
      </c>
      <c r="J1489" s="26" t="str">
        <f t="shared" ca="1" si="200"/>
        <v/>
      </c>
    </row>
    <row r="1490" spans="1:10" x14ac:dyDescent="0.25">
      <c r="A1490" t="s">
        <v>302</v>
      </c>
      <c r="B1490" t="str">
        <f>ADDRESS(ROW('Bond 1'!$B$28),COLUMN('Bond 1'!$B$28),4)</f>
        <v>B28</v>
      </c>
      <c r="C1490" t="str">
        <f>ADDRESS(ROW('Bond 1'!$D$28),COLUMN('Bond 1'!$D$28),4)</f>
        <v>D28</v>
      </c>
      <c r="D1490" t="b" cm="1">
        <f t="array" aca="1" ref="D1490" ca="1">IF(INDIRECT("'"&amp;A1490&amp;"'!"&amp;B1490)="",FALSE,IF(TRUNC(INDIRECT("'"&amp;A1490&amp;"'!"&amp;B1490))=INDIRECT("'"&amp;A1490&amp;"'!"&amp;B1490),FALSE,TRUE))</f>
        <v>0</v>
      </c>
      <c r="E1490" t="s">
        <v>436</v>
      </c>
      <c r="F1490" t="str">
        <f>INDEX(Lists!I:I,MATCH(Validation!E1490,Lists!G:G,0))</f>
        <v>Error</v>
      </c>
      <c r="G1490" t="str">
        <f>INDEX(Lists!H:H,MATCH(Validation!E1490,Lists!G:G,0))</f>
        <v>Amount must be rounded to the nearest dollar.</v>
      </c>
      <c r="H1490" s="25" t="str">
        <f t="shared" ca="1" si="198"/>
        <v/>
      </c>
      <c r="I1490" s="25" t="str">
        <f t="shared" ca="1" si="199"/>
        <v/>
      </c>
      <c r="J1490" s="26" t="str">
        <f t="shared" ca="1" si="200"/>
        <v/>
      </c>
    </row>
    <row r="1491" spans="1:10" x14ac:dyDescent="0.25">
      <c r="A1491" t="s">
        <v>303</v>
      </c>
      <c r="B1491" t="str">
        <f>ADDRESS(ROW('Bond 1'!$B$28),COLUMN('Bond 1'!$B$28),4)</f>
        <v>B28</v>
      </c>
      <c r="C1491" t="str">
        <f>ADDRESS(ROW('Bond 1'!$D$28),COLUMN('Bond 1'!$D$28),4)</f>
        <v>D28</v>
      </c>
      <c r="D1491" t="b" cm="1">
        <f t="array" aca="1" ref="D1491" ca="1">IF(INDIRECT("'"&amp;A1491&amp;"'!"&amp;B1491)="",FALSE,IF(TRUNC(INDIRECT("'"&amp;A1491&amp;"'!"&amp;B1491))=INDIRECT("'"&amp;A1491&amp;"'!"&amp;B1491),FALSE,TRUE))</f>
        <v>0</v>
      </c>
      <c r="E1491" t="s">
        <v>436</v>
      </c>
      <c r="F1491" t="str">
        <f>INDEX(Lists!I:I,MATCH(Validation!E1491,Lists!G:G,0))</f>
        <v>Error</v>
      </c>
      <c r="G1491" t="str">
        <f>INDEX(Lists!H:H,MATCH(Validation!E1491,Lists!G:G,0))</f>
        <v>Amount must be rounded to the nearest dollar.</v>
      </c>
      <c r="H1491" s="25" t="str">
        <f t="shared" ca="1" si="198"/>
        <v/>
      </c>
      <c r="I1491" s="25" t="str">
        <f t="shared" ca="1" si="199"/>
        <v/>
      </c>
      <c r="J1491" s="26" t="str">
        <f t="shared" ca="1" si="200"/>
        <v/>
      </c>
    </row>
    <row r="1492" spans="1:10" x14ac:dyDescent="0.25">
      <c r="A1492" t="s">
        <v>304</v>
      </c>
      <c r="B1492" t="str">
        <f>ADDRESS(ROW('Bond 1'!$B$28),COLUMN('Bond 1'!$B$28),4)</f>
        <v>B28</v>
      </c>
      <c r="C1492" t="str">
        <f>ADDRESS(ROW('Bond 1'!$D$28),COLUMN('Bond 1'!$D$28),4)</f>
        <v>D28</v>
      </c>
      <c r="D1492" t="b" cm="1">
        <f t="array" aca="1" ref="D1492" ca="1">IF(INDIRECT("'"&amp;A1492&amp;"'!"&amp;B1492)="",FALSE,IF(TRUNC(INDIRECT("'"&amp;A1492&amp;"'!"&amp;B1492))=INDIRECT("'"&amp;A1492&amp;"'!"&amp;B1492),FALSE,TRUE))</f>
        <v>0</v>
      </c>
      <c r="E1492" t="s">
        <v>436</v>
      </c>
      <c r="F1492" t="str">
        <f>INDEX(Lists!I:I,MATCH(Validation!E1492,Lists!G:G,0))</f>
        <v>Error</v>
      </c>
      <c r="G1492" t="str">
        <f>INDEX(Lists!H:H,MATCH(Validation!E1492,Lists!G:G,0))</f>
        <v>Amount must be rounded to the nearest dollar.</v>
      </c>
      <c r="H1492" s="25" t="str">
        <f t="shared" ca="1" si="198"/>
        <v/>
      </c>
      <c r="I1492" s="25" t="str">
        <f t="shared" ca="1" si="199"/>
        <v/>
      </c>
      <c r="J1492" s="26" t="str">
        <f t="shared" ca="1" si="200"/>
        <v/>
      </c>
    </row>
    <row r="1493" spans="1:10" x14ac:dyDescent="0.25">
      <c r="A1493" t="s">
        <v>305</v>
      </c>
      <c r="B1493" t="str">
        <f>ADDRESS(ROW('Bond 1'!$B$28),COLUMN('Bond 1'!$B$28),4)</f>
        <v>B28</v>
      </c>
      <c r="C1493" t="str">
        <f>ADDRESS(ROW('Bond 1'!$D$28),COLUMN('Bond 1'!$D$28),4)</f>
        <v>D28</v>
      </c>
      <c r="D1493" t="b" cm="1">
        <f t="array" aca="1" ref="D1493" ca="1">IF(INDIRECT("'"&amp;A1493&amp;"'!"&amp;B1493)="",FALSE,IF(TRUNC(INDIRECT("'"&amp;A1493&amp;"'!"&amp;B1493))=INDIRECT("'"&amp;A1493&amp;"'!"&amp;B1493),FALSE,TRUE))</f>
        <v>0</v>
      </c>
      <c r="E1493" t="s">
        <v>436</v>
      </c>
      <c r="F1493" t="str">
        <f>INDEX(Lists!I:I,MATCH(Validation!E1493,Lists!G:G,0))</f>
        <v>Error</v>
      </c>
      <c r="G1493" t="str">
        <f>INDEX(Lists!H:H,MATCH(Validation!E1493,Lists!G:G,0))</f>
        <v>Amount must be rounded to the nearest dollar.</v>
      </c>
      <c r="H1493" s="25" t="str">
        <f t="shared" ca="1" si="198"/>
        <v/>
      </c>
      <c r="I1493" s="25" t="str">
        <f t="shared" ca="1" si="199"/>
        <v/>
      </c>
      <c r="J1493" s="26" t="str">
        <f t="shared" ca="1" si="200"/>
        <v/>
      </c>
    </row>
    <row r="1494" spans="1:10" x14ac:dyDescent="0.25">
      <c r="A1494" t="s">
        <v>306</v>
      </c>
      <c r="B1494" t="str">
        <f>ADDRESS(ROW('Bond 1'!$B$28),COLUMN('Bond 1'!$B$28),4)</f>
        <v>B28</v>
      </c>
      <c r="C1494" t="str">
        <f>ADDRESS(ROW('Bond 1'!$D$28),COLUMN('Bond 1'!$D$28),4)</f>
        <v>D28</v>
      </c>
      <c r="D1494" t="b" cm="1">
        <f t="array" aca="1" ref="D1494" ca="1">IF(INDIRECT("'"&amp;A1494&amp;"'!"&amp;B1494)="",FALSE,IF(TRUNC(INDIRECT("'"&amp;A1494&amp;"'!"&amp;B1494))=INDIRECT("'"&amp;A1494&amp;"'!"&amp;B1494),FALSE,TRUE))</f>
        <v>0</v>
      </c>
      <c r="E1494" t="s">
        <v>436</v>
      </c>
      <c r="F1494" t="str">
        <f>INDEX(Lists!I:I,MATCH(Validation!E1494,Lists!G:G,0))</f>
        <v>Error</v>
      </c>
      <c r="G1494" t="str">
        <f>INDEX(Lists!H:H,MATCH(Validation!E1494,Lists!G:G,0))</f>
        <v>Amount must be rounded to the nearest dollar.</v>
      </c>
      <c r="H1494" s="25" t="str">
        <f t="shared" ca="1" si="198"/>
        <v/>
      </c>
      <c r="I1494" s="25" t="str">
        <f t="shared" ca="1" si="199"/>
        <v/>
      </c>
      <c r="J1494" s="26" t="str">
        <f t="shared" ca="1" si="200"/>
        <v/>
      </c>
    </row>
    <row r="1495" spans="1:10" x14ac:dyDescent="0.25">
      <c r="A1495" t="s">
        <v>307</v>
      </c>
      <c r="B1495" t="str">
        <f>ADDRESS(ROW('Bond 1'!$B$28),COLUMN('Bond 1'!$B$28),4)</f>
        <v>B28</v>
      </c>
      <c r="C1495" t="str">
        <f>ADDRESS(ROW('Bond 1'!$D$28),COLUMN('Bond 1'!$D$28),4)</f>
        <v>D28</v>
      </c>
      <c r="D1495" t="b" cm="1">
        <f t="array" aca="1" ref="D1495" ca="1">IF(INDIRECT("'"&amp;A1495&amp;"'!"&amp;B1495)="",FALSE,IF(TRUNC(INDIRECT("'"&amp;A1495&amp;"'!"&amp;B1495))=INDIRECT("'"&amp;A1495&amp;"'!"&amp;B1495),FALSE,TRUE))</f>
        <v>0</v>
      </c>
      <c r="E1495" t="s">
        <v>436</v>
      </c>
      <c r="F1495" t="str">
        <f>INDEX(Lists!I:I,MATCH(Validation!E1495,Lists!G:G,0))</f>
        <v>Error</v>
      </c>
      <c r="G1495" t="str">
        <f>INDEX(Lists!H:H,MATCH(Validation!E1495,Lists!G:G,0))</f>
        <v>Amount must be rounded to the nearest dollar.</v>
      </c>
      <c r="H1495" s="25" t="str">
        <f t="shared" ca="1" si="198"/>
        <v/>
      </c>
      <c r="I1495" s="25" t="str">
        <f t="shared" ca="1" si="199"/>
        <v/>
      </c>
      <c r="J1495" s="26" t="str">
        <f t="shared" ca="1" si="200"/>
        <v/>
      </c>
    </row>
    <row r="1496" spans="1:10" x14ac:dyDescent="0.25">
      <c r="A1496" t="s">
        <v>308</v>
      </c>
      <c r="B1496" t="str">
        <f>ADDRESS(ROW('Bond 1'!$B$28),COLUMN('Bond 1'!$B$28),4)</f>
        <v>B28</v>
      </c>
      <c r="C1496" t="str">
        <f>ADDRESS(ROW('Bond 1'!$D$28),COLUMN('Bond 1'!$D$28),4)</f>
        <v>D28</v>
      </c>
      <c r="D1496" t="b" cm="1">
        <f t="array" aca="1" ref="D1496" ca="1">IF(INDIRECT("'"&amp;A1496&amp;"'!"&amp;B1496)="",FALSE,IF(TRUNC(INDIRECT("'"&amp;A1496&amp;"'!"&amp;B1496))=INDIRECT("'"&amp;A1496&amp;"'!"&amp;B1496),FALSE,TRUE))</f>
        <v>0</v>
      </c>
      <c r="E1496" t="s">
        <v>436</v>
      </c>
      <c r="F1496" t="str">
        <f>INDEX(Lists!I:I,MATCH(Validation!E1496,Lists!G:G,0))</f>
        <v>Error</v>
      </c>
      <c r="G1496" t="str">
        <f>INDEX(Lists!H:H,MATCH(Validation!E1496,Lists!G:G,0))</f>
        <v>Amount must be rounded to the nearest dollar.</v>
      </c>
      <c r="H1496" s="25" t="str">
        <f t="shared" ca="1" si="198"/>
        <v/>
      </c>
      <c r="I1496" s="25" t="str">
        <f t="shared" ca="1" si="199"/>
        <v/>
      </c>
      <c r="J1496" s="26" t="str">
        <f t="shared" ca="1" si="200"/>
        <v/>
      </c>
    </row>
    <row r="1497" spans="1:10" x14ac:dyDescent="0.25">
      <c r="A1497" t="s">
        <v>309</v>
      </c>
      <c r="B1497" t="str">
        <f>ADDRESS(ROW('Bond 1'!$B$28),COLUMN('Bond 1'!$B$28),4)</f>
        <v>B28</v>
      </c>
      <c r="C1497" t="str">
        <f>ADDRESS(ROW('Bond 1'!$D$28),COLUMN('Bond 1'!$D$28),4)</f>
        <v>D28</v>
      </c>
      <c r="D1497" t="b" cm="1">
        <f t="array" aca="1" ref="D1497" ca="1">IF(INDIRECT("'"&amp;A1497&amp;"'!"&amp;B1497)="",FALSE,IF(TRUNC(INDIRECT("'"&amp;A1497&amp;"'!"&amp;B1497))=INDIRECT("'"&amp;A1497&amp;"'!"&amp;B1497),FALSE,TRUE))</f>
        <v>0</v>
      </c>
      <c r="E1497" t="s">
        <v>436</v>
      </c>
      <c r="F1497" t="str">
        <f>INDEX(Lists!I:I,MATCH(Validation!E1497,Lists!G:G,0))</f>
        <v>Error</v>
      </c>
      <c r="G1497" t="str">
        <f>INDEX(Lists!H:H,MATCH(Validation!E1497,Lists!G:G,0))</f>
        <v>Amount must be rounded to the nearest dollar.</v>
      </c>
      <c r="H1497" s="25" t="str">
        <f t="shared" ca="1" si="198"/>
        <v/>
      </c>
      <c r="I1497" s="25" t="str">
        <f t="shared" ca="1" si="199"/>
        <v/>
      </c>
      <c r="J1497" s="26" t="str">
        <f t="shared" ca="1" si="200"/>
        <v/>
      </c>
    </row>
    <row r="1498" spans="1:10" x14ac:dyDescent="0.25">
      <c r="A1498" t="s">
        <v>310</v>
      </c>
      <c r="B1498" t="str">
        <f>ADDRESS(ROW('Bond 1'!$B$28),COLUMN('Bond 1'!$B$28),4)</f>
        <v>B28</v>
      </c>
      <c r="C1498" t="str">
        <f>ADDRESS(ROW('Bond 1'!$D$28),COLUMN('Bond 1'!$D$28),4)</f>
        <v>D28</v>
      </c>
      <c r="D1498" t="b" cm="1">
        <f t="array" aca="1" ref="D1498" ca="1">IF(INDIRECT("'"&amp;A1498&amp;"'!"&amp;B1498)="",FALSE,IF(TRUNC(INDIRECT("'"&amp;A1498&amp;"'!"&amp;B1498))=INDIRECT("'"&amp;A1498&amp;"'!"&amp;B1498),FALSE,TRUE))</f>
        <v>0</v>
      </c>
      <c r="E1498" t="s">
        <v>436</v>
      </c>
      <c r="F1498" t="str">
        <f>INDEX(Lists!I:I,MATCH(Validation!E1498,Lists!G:G,0))</f>
        <v>Error</v>
      </c>
      <c r="G1498" t="str">
        <f>INDEX(Lists!H:H,MATCH(Validation!E1498,Lists!G:G,0))</f>
        <v>Amount must be rounded to the nearest dollar.</v>
      </c>
      <c r="H1498" s="25" t="str">
        <f t="shared" ca="1" si="198"/>
        <v/>
      </c>
      <c r="I1498" s="25" t="str">
        <f t="shared" ca="1" si="199"/>
        <v/>
      </c>
      <c r="J1498" s="26" t="str">
        <f t="shared" ca="1" si="200"/>
        <v/>
      </c>
    </row>
    <row r="1499" spans="1:10" x14ac:dyDescent="0.25">
      <c r="A1499" t="s">
        <v>311</v>
      </c>
      <c r="B1499" t="str">
        <f>ADDRESS(ROW('Bond 1'!$B$28),COLUMN('Bond 1'!$B$28),4)</f>
        <v>B28</v>
      </c>
      <c r="C1499" t="str">
        <f>ADDRESS(ROW('Bond 1'!$D$28),COLUMN('Bond 1'!$D$28),4)</f>
        <v>D28</v>
      </c>
      <c r="D1499" t="b" cm="1">
        <f t="array" aca="1" ref="D1499" ca="1">IF(INDIRECT("'"&amp;A1499&amp;"'!"&amp;B1499)="",FALSE,IF(TRUNC(INDIRECT("'"&amp;A1499&amp;"'!"&amp;B1499))=INDIRECT("'"&amp;A1499&amp;"'!"&amp;B1499),FALSE,TRUE))</f>
        <v>0</v>
      </c>
      <c r="E1499" t="s">
        <v>436</v>
      </c>
      <c r="F1499" t="str">
        <f>INDEX(Lists!I:I,MATCH(Validation!E1499,Lists!G:G,0))</f>
        <v>Error</v>
      </c>
      <c r="G1499" t="str">
        <f>INDEX(Lists!H:H,MATCH(Validation!E1499,Lists!G:G,0))</f>
        <v>Amount must be rounded to the nearest dollar.</v>
      </c>
      <c r="H1499" s="25" t="str">
        <f t="shared" ca="1" si="198"/>
        <v/>
      </c>
      <c r="I1499" s="25" t="str">
        <f t="shared" ca="1" si="199"/>
        <v/>
      </c>
      <c r="J1499" s="26" t="str">
        <f t="shared" ca="1" si="200"/>
        <v/>
      </c>
    </row>
    <row r="1500" spans="1:10" x14ac:dyDescent="0.25">
      <c r="A1500" t="s">
        <v>312</v>
      </c>
      <c r="B1500" t="str">
        <f>ADDRESS(ROW('Bond 1'!$B$28),COLUMN('Bond 1'!$B$28),4)</f>
        <v>B28</v>
      </c>
      <c r="C1500" t="str">
        <f>ADDRESS(ROW('Bond 1'!$D$28),COLUMN('Bond 1'!$D$28),4)</f>
        <v>D28</v>
      </c>
      <c r="D1500" t="b" cm="1">
        <f t="array" aca="1" ref="D1500" ca="1">IF(INDIRECT("'"&amp;A1500&amp;"'!"&amp;B1500)="",FALSE,IF(TRUNC(INDIRECT("'"&amp;A1500&amp;"'!"&amp;B1500))=INDIRECT("'"&amp;A1500&amp;"'!"&amp;B1500),FALSE,TRUE))</f>
        <v>0</v>
      </c>
      <c r="E1500" t="s">
        <v>436</v>
      </c>
      <c r="F1500" t="str">
        <f>INDEX(Lists!I:I,MATCH(Validation!E1500,Lists!G:G,0))</f>
        <v>Error</v>
      </c>
      <c r="G1500" t="str">
        <f>INDEX(Lists!H:H,MATCH(Validation!E1500,Lists!G:G,0))</f>
        <v>Amount must be rounded to the nearest dollar.</v>
      </c>
      <c r="H1500" s="25" t="str">
        <f t="shared" ca="1" si="198"/>
        <v/>
      </c>
      <c r="I1500" s="25" t="str">
        <f t="shared" ca="1" si="199"/>
        <v/>
      </c>
      <c r="J1500" s="26" t="str">
        <f t="shared" ca="1" si="200"/>
        <v/>
      </c>
    </row>
    <row r="1501" spans="1:10" x14ac:dyDescent="0.25">
      <c r="A1501" t="s">
        <v>313</v>
      </c>
      <c r="B1501" t="str">
        <f>ADDRESS(ROW('Bond 1'!$B$28),COLUMN('Bond 1'!$B$28),4)</f>
        <v>B28</v>
      </c>
      <c r="C1501" t="str">
        <f>ADDRESS(ROW('Bond 1'!$D$28),COLUMN('Bond 1'!$D$28),4)</f>
        <v>D28</v>
      </c>
      <c r="D1501" t="b" cm="1">
        <f t="array" aca="1" ref="D1501" ca="1">IF(INDIRECT("'"&amp;A1501&amp;"'!"&amp;B1501)="",FALSE,IF(TRUNC(INDIRECT("'"&amp;A1501&amp;"'!"&amp;B1501))=INDIRECT("'"&amp;A1501&amp;"'!"&amp;B1501),FALSE,TRUE))</f>
        <v>0</v>
      </c>
      <c r="E1501" t="s">
        <v>436</v>
      </c>
      <c r="F1501" t="str">
        <f>INDEX(Lists!I:I,MATCH(Validation!E1501,Lists!G:G,0))</f>
        <v>Error</v>
      </c>
      <c r="G1501" t="str">
        <f>INDEX(Lists!H:H,MATCH(Validation!E1501,Lists!G:G,0))</f>
        <v>Amount must be rounded to the nearest dollar.</v>
      </c>
      <c r="H1501" s="25" t="str">
        <f t="shared" ca="1" si="198"/>
        <v/>
      </c>
      <c r="I1501" s="25" t="str">
        <f t="shared" ca="1" si="199"/>
        <v/>
      </c>
      <c r="J1501" s="26" t="str">
        <f t="shared" ca="1" si="200"/>
        <v/>
      </c>
    </row>
    <row r="1502" spans="1:10" x14ac:dyDescent="0.25">
      <c r="A1502" t="s">
        <v>314</v>
      </c>
      <c r="B1502" t="str">
        <f>ADDRESS(ROW('Bond 1'!$B$28),COLUMN('Bond 1'!$B$28),4)</f>
        <v>B28</v>
      </c>
      <c r="C1502" t="str">
        <f>ADDRESS(ROW('Bond 1'!$D$28),COLUMN('Bond 1'!$D$28),4)</f>
        <v>D28</v>
      </c>
      <c r="D1502" t="b" cm="1">
        <f t="array" aca="1" ref="D1502" ca="1">IF(INDIRECT("'"&amp;A1502&amp;"'!"&amp;B1502)="",FALSE,IF(TRUNC(INDIRECT("'"&amp;A1502&amp;"'!"&amp;B1502))=INDIRECT("'"&amp;A1502&amp;"'!"&amp;B1502),FALSE,TRUE))</f>
        <v>0</v>
      </c>
      <c r="E1502" t="s">
        <v>436</v>
      </c>
      <c r="F1502" t="str">
        <f>INDEX(Lists!I:I,MATCH(Validation!E1502,Lists!G:G,0))</f>
        <v>Error</v>
      </c>
      <c r="G1502" t="str">
        <f>INDEX(Lists!H:H,MATCH(Validation!E1502,Lists!G:G,0))</f>
        <v>Amount must be rounded to the nearest dollar.</v>
      </c>
      <c r="H1502" s="25" t="str">
        <f t="shared" ca="1" si="198"/>
        <v/>
      </c>
      <c r="I1502" s="25" t="str">
        <f t="shared" ca="1" si="199"/>
        <v/>
      </c>
      <c r="J1502" s="26" t="str">
        <f t="shared" ca="1" si="200"/>
        <v/>
      </c>
    </row>
    <row r="1503" spans="1:10" x14ac:dyDescent="0.25">
      <c r="A1503" t="s">
        <v>315</v>
      </c>
      <c r="B1503" t="str">
        <f>ADDRESS(ROW('Bond 1'!$B$28),COLUMN('Bond 1'!$B$28),4)</f>
        <v>B28</v>
      </c>
      <c r="C1503" t="str">
        <f>ADDRESS(ROW('Bond 1'!$D$28),COLUMN('Bond 1'!$D$28),4)</f>
        <v>D28</v>
      </c>
      <c r="D1503" t="b" cm="1">
        <f t="array" aca="1" ref="D1503" ca="1">IF(INDIRECT("'"&amp;A1503&amp;"'!"&amp;B1503)="",FALSE,IF(TRUNC(INDIRECT("'"&amp;A1503&amp;"'!"&amp;B1503))=INDIRECT("'"&amp;A1503&amp;"'!"&amp;B1503),FALSE,TRUE))</f>
        <v>0</v>
      </c>
      <c r="E1503" t="s">
        <v>436</v>
      </c>
      <c r="F1503" t="str">
        <f>INDEX(Lists!I:I,MATCH(Validation!E1503,Lists!G:G,0))</f>
        <v>Error</v>
      </c>
      <c r="G1503" t="str">
        <f>INDEX(Lists!H:H,MATCH(Validation!E1503,Lists!G:G,0))</f>
        <v>Amount must be rounded to the nearest dollar.</v>
      </c>
      <c r="H1503" s="25" t="str">
        <f t="shared" ca="1" si="198"/>
        <v/>
      </c>
      <c r="I1503" s="25" t="str">
        <f t="shared" ca="1" si="199"/>
        <v/>
      </c>
      <c r="J1503" s="26" t="str">
        <f t="shared" ca="1" si="200"/>
        <v/>
      </c>
    </row>
    <row r="1504" spans="1:10" x14ac:dyDescent="0.25">
      <c r="A1504" t="s">
        <v>198</v>
      </c>
      <c r="B1504" t="str">
        <f>ADDRESS(ROW('Bond 1'!$B$28),COLUMN('Bond 1'!$B$28),4)</f>
        <v>B28</v>
      </c>
      <c r="C1504" t="str">
        <f>ADDRESS(ROW('Bond 1'!$D$28),COLUMN('Bond 1'!$D$28),4)</f>
        <v>D28</v>
      </c>
      <c r="D1504" t="b" cm="1">
        <f t="array" aca="1" ref="D1504" ca="1">IF(AND(NOT(ISBLANK('Bond Input'!C$31)),INDIRECT("'"&amp;A1504&amp;"'!"&amp;B1504)&lt;&gt;'Bond Input'!C$31),TRUE,FALSE)</f>
        <v>0</v>
      </c>
      <c r="E1504" t="s">
        <v>634</v>
      </c>
      <c r="F1504" t="str">
        <f>INDEX(Lists!I:I,MATCH(Validation!E1504,Lists!G:G,0))</f>
        <v>Alert</v>
      </c>
      <c r="G1504" t="str">
        <f>INDEX(Lists!H:H,MATCH(Validation!E1504,Lists!G:G,0))</f>
        <v>You have changed previously reported data. Explain in the comments box.</v>
      </c>
      <c r="H1504" s="25" t="str">
        <f t="shared" ca="1" si="198"/>
        <v/>
      </c>
      <c r="I1504" s="25" t="str">
        <f t="shared" ca="1" si="199"/>
        <v/>
      </c>
      <c r="J1504" s="26" t="str">
        <f t="shared" ca="1" si="200"/>
        <v/>
      </c>
    </row>
    <row r="1505" spans="1:10" x14ac:dyDescent="0.25">
      <c r="A1505" t="s">
        <v>302</v>
      </c>
      <c r="B1505" t="str">
        <f>ADDRESS(ROW('Bond 1'!$B$28),COLUMN('Bond 1'!$B$28),4)</f>
        <v>B28</v>
      </c>
      <c r="C1505" t="str">
        <f>ADDRESS(ROW('Bond 1'!$D$28),COLUMN('Bond 1'!$D$28),4)</f>
        <v>D28</v>
      </c>
      <c r="D1505" t="b" cm="1">
        <f t="array" aca="1" ref="D1505" ca="1">IF(AND(NOT(ISBLANK('Bond Input'!D$31)),INDIRECT("'"&amp;A1505&amp;"'!"&amp;B1505)&lt;&gt;'Bond Input'!D$31),TRUE,FALSE)</f>
        <v>0</v>
      </c>
      <c r="E1505" t="s">
        <v>634</v>
      </c>
      <c r="F1505" t="str">
        <f>INDEX(Lists!I:I,MATCH(Validation!E1505,Lists!G:G,0))</f>
        <v>Alert</v>
      </c>
      <c r="G1505" t="str">
        <f>INDEX(Lists!H:H,MATCH(Validation!E1505,Lists!G:G,0))</f>
        <v>You have changed previously reported data. Explain in the comments box.</v>
      </c>
      <c r="H1505" s="25" t="str">
        <f t="shared" ca="1" si="198"/>
        <v/>
      </c>
      <c r="I1505" s="25" t="str">
        <f t="shared" ca="1" si="199"/>
        <v/>
      </c>
      <c r="J1505" s="26" t="str">
        <f t="shared" ca="1" si="200"/>
        <v/>
      </c>
    </row>
    <row r="1506" spans="1:10" x14ac:dyDescent="0.25">
      <c r="A1506" t="s">
        <v>303</v>
      </c>
      <c r="B1506" t="str">
        <f>ADDRESS(ROW('Bond 1'!$B$28),COLUMN('Bond 1'!$B$28),4)</f>
        <v>B28</v>
      </c>
      <c r="C1506" t="str">
        <f>ADDRESS(ROW('Bond 1'!$D$28),COLUMN('Bond 1'!$D$28),4)</f>
        <v>D28</v>
      </c>
      <c r="D1506" t="b" cm="1">
        <f t="array" aca="1" ref="D1506" ca="1">IF(AND(NOT(ISBLANK('Bond Input'!E$31)),INDIRECT("'"&amp;A1506&amp;"'!"&amp;B1506)&lt;&gt;'Bond Input'!E$31),TRUE,FALSE)</f>
        <v>0</v>
      </c>
      <c r="E1506" t="s">
        <v>634</v>
      </c>
      <c r="F1506" t="str">
        <f>INDEX(Lists!I:I,MATCH(Validation!E1506,Lists!G:G,0))</f>
        <v>Alert</v>
      </c>
      <c r="G1506" t="str">
        <f>INDEX(Lists!H:H,MATCH(Validation!E1506,Lists!G:G,0))</f>
        <v>You have changed previously reported data. Explain in the comments box.</v>
      </c>
      <c r="H1506" s="25" t="str">
        <f t="shared" ca="1" si="198"/>
        <v/>
      </c>
      <c r="I1506" s="25" t="str">
        <f t="shared" ca="1" si="199"/>
        <v/>
      </c>
      <c r="J1506" s="26" t="str">
        <f t="shared" ca="1" si="200"/>
        <v/>
      </c>
    </row>
    <row r="1507" spans="1:10" x14ac:dyDescent="0.25">
      <c r="A1507" t="s">
        <v>304</v>
      </c>
      <c r="B1507" t="str">
        <f>ADDRESS(ROW('Bond 1'!$B$28),COLUMN('Bond 1'!$B$28),4)</f>
        <v>B28</v>
      </c>
      <c r="C1507" t="str">
        <f>ADDRESS(ROW('Bond 1'!$D$28),COLUMN('Bond 1'!$D$28),4)</f>
        <v>D28</v>
      </c>
      <c r="D1507" t="b" cm="1">
        <f t="array" aca="1" ref="D1507" ca="1">IF(AND(NOT(ISBLANK('Bond Input'!F$31)),INDIRECT("'"&amp;A1507&amp;"'!"&amp;B1507)&lt;&gt;'Bond Input'!F$31),TRUE,FALSE)</f>
        <v>0</v>
      </c>
      <c r="E1507" t="s">
        <v>634</v>
      </c>
      <c r="F1507" t="str">
        <f>INDEX(Lists!I:I,MATCH(Validation!E1507,Lists!G:G,0))</f>
        <v>Alert</v>
      </c>
      <c r="G1507" t="str">
        <f>INDEX(Lists!H:H,MATCH(Validation!E1507,Lists!G:G,0))</f>
        <v>You have changed previously reported data. Explain in the comments box.</v>
      </c>
      <c r="H1507" s="25" t="str">
        <f t="shared" ca="1" si="198"/>
        <v/>
      </c>
      <c r="I1507" s="25" t="str">
        <f t="shared" ca="1" si="199"/>
        <v/>
      </c>
      <c r="J1507" s="26" t="str">
        <f t="shared" ca="1" si="200"/>
        <v/>
      </c>
    </row>
    <row r="1508" spans="1:10" x14ac:dyDescent="0.25">
      <c r="A1508" t="s">
        <v>305</v>
      </c>
      <c r="B1508" t="str">
        <f>ADDRESS(ROW('Bond 1'!$B$28),COLUMN('Bond 1'!$B$28),4)</f>
        <v>B28</v>
      </c>
      <c r="C1508" t="str">
        <f>ADDRESS(ROW('Bond 1'!$D$28),COLUMN('Bond 1'!$D$28),4)</f>
        <v>D28</v>
      </c>
      <c r="D1508" t="b" cm="1">
        <f t="array" aca="1" ref="D1508" ca="1">IF(AND(NOT(ISBLANK('Bond Input'!G$31)),INDIRECT("'"&amp;A1508&amp;"'!"&amp;B1508)&lt;&gt;'Bond Input'!G$31),TRUE,FALSE)</f>
        <v>0</v>
      </c>
      <c r="E1508" t="s">
        <v>634</v>
      </c>
      <c r="F1508" t="str">
        <f>INDEX(Lists!I:I,MATCH(Validation!E1508,Lists!G:G,0))</f>
        <v>Alert</v>
      </c>
      <c r="G1508" t="str">
        <f>INDEX(Lists!H:H,MATCH(Validation!E1508,Lists!G:G,0))</f>
        <v>You have changed previously reported data. Explain in the comments box.</v>
      </c>
      <c r="H1508" s="25" t="str">
        <f t="shared" ca="1" si="198"/>
        <v/>
      </c>
      <c r="I1508" s="25" t="str">
        <f t="shared" ca="1" si="199"/>
        <v/>
      </c>
      <c r="J1508" s="26" t="str">
        <f t="shared" ca="1" si="200"/>
        <v/>
      </c>
    </row>
    <row r="1509" spans="1:10" x14ac:dyDescent="0.25">
      <c r="A1509" t="s">
        <v>306</v>
      </c>
      <c r="B1509" t="str">
        <f>ADDRESS(ROW('Bond 1'!$B$28),COLUMN('Bond 1'!$B$28),4)</f>
        <v>B28</v>
      </c>
      <c r="C1509" t="str">
        <f>ADDRESS(ROW('Bond 1'!$D$28),COLUMN('Bond 1'!$D$28),4)</f>
        <v>D28</v>
      </c>
      <c r="D1509" t="b" cm="1">
        <f t="array" aca="1" ref="D1509" ca="1">IF(AND(NOT(ISBLANK('Bond Input'!H$31)),INDIRECT("'"&amp;A1509&amp;"'!"&amp;B1509)&lt;&gt;'Bond Input'!H$31),TRUE,FALSE)</f>
        <v>0</v>
      </c>
      <c r="E1509" t="s">
        <v>634</v>
      </c>
      <c r="F1509" t="str">
        <f>INDEX(Lists!I:I,MATCH(Validation!E1509,Lists!G:G,0))</f>
        <v>Alert</v>
      </c>
      <c r="G1509" t="str">
        <f>INDEX(Lists!H:H,MATCH(Validation!E1509,Lists!G:G,0))</f>
        <v>You have changed previously reported data. Explain in the comments box.</v>
      </c>
      <c r="H1509" s="25" t="str">
        <f t="shared" ca="1" si="198"/>
        <v/>
      </c>
      <c r="I1509" s="25" t="str">
        <f t="shared" ca="1" si="199"/>
        <v/>
      </c>
      <c r="J1509" s="26" t="str">
        <f t="shared" ca="1" si="200"/>
        <v/>
      </c>
    </row>
    <row r="1510" spans="1:10" x14ac:dyDescent="0.25">
      <c r="A1510" t="s">
        <v>307</v>
      </c>
      <c r="B1510" t="str">
        <f>ADDRESS(ROW('Bond 1'!$B$28),COLUMN('Bond 1'!$B$28),4)</f>
        <v>B28</v>
      </c>
      <c r="C1510" t="str">
        <f>ADDRESS(ROW('Bond 1'!$D$28),COLUMN('Bond 1'!$D$28),4)</f>
        <v>D28</v>
      </c>
      <c r="D1510" t="b" cm="1">
        <f t="array" aca="1" ref="D1510" ca="1">IF(AND(NOT(ISBLANK('Bond Input'!I$31)),INDIRECT("'"&amp;A1510&amp;"'!"&amp;B1510)&lt;&gt;'Bond Input'!I$31),TRUE,FALSE)</f>
        <v>0</v>
      </c>
      <c r="E1510" t="s">
        <v>634</v>
      </c>
      <c r="F1510" t="str">
        <f>INDEX(Lists!I:I,MATCH(Validation!E1510,Lists!G:G,0))</f>
        <v>Alert</v>
      </c>
      <c r="G1510" t="str">
        <f>INDEX(Lists!H:H,MATCH(Validation!E1510,Lists!G:G,0))</f>
        <v>You have changed previously reported data. Explain in the comments box.</v>
      </c>
      <c r="H1510" s="25" t="str">
        <f t="shared" ca="1" si="198"/>
        <v/>
      </c>
      <c r="I1510" s="25" t="str">
        <f t="shared" ca="1" si="199"/>
        <v/>
      </c>
      <c r="J1510" s="26" t="str">
        <f t="shared" ca="1" si="200"/>
        <v/>
      </c>
    </row>
    <row r="1511" spans="1:10" x14ac:dyDescent="0.25">
      <c r="A1511" t="s">
        <v>308</v>
      </c>
      <c r="B1511" t="str">
        <f>ADDRESS(ROW('Bond 1'!$B$28),COLUMN('Bond 1'!$B$28),4)</f>
        <v>B28</v>
      </c>
      <c r="C1511" t="str">
        <f>ADDRESS(ROW('Bond 1'!$D$28),COLUMN('Bond 1'!$D$28),4)</f>
        <v>D28</v>
      </c>
      <c r="D1511" t="b" cm="1">
        <f t="array" aca="1" ref="D1511" ca="1">IF(AND(NOT(ISBLANK('Bond Input'!J$31)),INDIRECT("'"&amp;A1511&amp;"'!"&amp;B1511)&lt;&gt;'Bond Input'!J$31),TRUE,FALSE)</f>
        <v>0</v>
      </c>
      <c r="E1511" t="s">
        <v>634</v>
      </c>
      <c r="F1511" t="str">
        <f>INDEX(Lists!I:I,MATCH(Validation!E1511,Lists!G:G,0))</f>
        <v>Alert</v>
      </c>
      <c r="G1511" t="str">
        <f>INDEX(Lists!H:H,MATCH(Validation!E1511,Lists!G:G,0))</f>
        <v>You have changed previously reported data. Explain in the comments box.</v>
      </c>
      <c r="H1511" s="25" t="str">
        <f t="shared" ca="1" si="198"/>
        <v/>
      </c>
      <c r="I1511" s="25" t="str">
        <f t="shared" ca="1" si="199"/>
        <v/>
      </c>
      <c r="J1511" s="26" t="str">
        <f t="shared" ca="1" si="200"/>
        <v/>
      </c>
    </row>
    <row r="1512" spans="1:10" x14ac:dyDescent="0.25">
      <c r="A1512" t="s">
        <v>309</v>
      </c>
      <c r="B1512" t="str">
        <f>ADDRESS(ROW('Bond 1'!$B$28),COLUMN('Bond 1'!$B$28),4)</f>
        <v>B28</v>
      </c>
      <c r="C1512" t="str">
        <f>ADDRESS(ROW('Bond 1'!$D$28),COLUMN('Bond 1'!$D$28),4)</f>
        <v>D28</v>
      </c>
      <c r="D1512" t="b" cm="1">
        <f t="array" aca="1" ref="D1512" ca="1">IF(AND(NOT(ISBLANK('Bond Input'!K$31)),INDIRECT("'"&amp;A1512&amp;"'!"&amp;B1512)&lt;&gt;'Bond Input'!K$31),TRUE,FALSE)</f>
        <v>0</v>
      </c>
      <c r="E1512" t="s">
        <v>634</v>
      </c>
      <c r="F1512" t="str">
        <f>INDEX(Lists!I:I,MATCH(Validation!E1512,Lists!G:G,0))</f>
        <v>Alert</v>
      </c>
      <c r="G1512" t="str">
        <f>INDEX(Lists!H:H,MATCH(Validation!E1512,Lists!G:G,0))</f>
        <v>You have changed previously reported data. Explain in the comments box.</v>
      </c>
      <c r="H1512" s="25" t="str">
        <f t="shared" ca="1" si="198"/>
        <v/>
      </c>
      <c r="I1512" s="25" t="str">
        <f t="shared" ca="1" si="199"/>
        <v/>
      </c>
      <c r="J1512" s="26" t="str">
        <f t="shared" ca="1" si="200"/>
        <v/>
      </c>
    </row>
    <row r="1513" spans="1:10" x14ac:dyDescent="0.25">
      <c r="A1513" t="s">
        <v>310</v>
      </c>
      <c r="B1513" t="str">
        <f>ADDRESS(ROW('Bond 1'!$B$28),COLUMN('Bond 1'!$B$28),4)</f>
        <v>B28</v>
      </c>
      <c r="C1513" t="str">
        <f>ADDRESS(ROW('Bond 1'!$D$28),COLUMN('Bond 1'!$D$28),4)</f>
        <v>D28</v>
      </c>
      <c r="D1513" t="b" cm="1">
        <f t="array" aca="1" ref="D1513" ca="1">IF(AND(NOT(ISBLANK('Bond Input'!L$31)),INDIRECT("'"&amp;A1513&amp;"'!"&amp;B1513)&lt;&gt;'Bond Input'!L$31),TRUE,FALSE)</f>
        <v>0</v>
      </c>
      <c r="E1513" t="s">
        <v>634</v>
      </c>
      <c r="F1513" t="str">
        <f>INDEX(Lists!I:I,MATCH(Validation!E1513,Lists!G:G,0))</f>
        <v>Alert</v>
      </c>
      <c r="G1513" t="str">
        <f>INDEX(Lists!H:H,MATCH(Validation!E1513,Lists!G:G,0))</f>
        <v>You have changed previously reported data. Explain in the comments box.</v>
      </c>
      <c r="H1513" s="25" t="str">
        <f t="shared" ca="1" si="198"/>
        <v/>
      </c>
      <c r="I1513" s="25" t="str">
        <f t="shared" ca="1" si="199"/>
        <v/>
      </c>
      <c r="J1513" s="26" t="str">
        <f t="shared" ca="1" si="200"/>
        <v/>
      </c>
    </row>
    <row r="1514" spans="1:10" x14ac:dyDescent="0.25">
      <c r="A1514" t="s">
        <v>311</v>
      </c>
      <c r="B1514" t="str">
        <f>ADDRESS(ROW('Bond 1'!$B$28),COLUMN('Bond 1'!$B$28),4)</f>
        <v>B28</v>
      </c>
      <c r="C1514" t="str">
        <f>ADDRESS(ROW('Bond 1'!$D$28),COLUMN('Bond 1'!$D$28),4)</f>
        <v>D28</v>
      </c>
      <c r="D1514" t="b" cm="1">
        <f t="array" aca="1" ref="D1514" ca="1">IF(AND(NOT(ISBLANK('Bond Input'!M$31)),INDIRECT("'"&amp;A1514&amp;"'!"&amp;B1514)&lt;&gt;'Bond Input'!M$31),TRUE,FALSE)</f>
        <v>0</v>
      </c>
      <c r="E1514" t="s">
        <v>634</v>
      </c>
      <c r="F1514" t="str">
        <f>INDEX(Lists!I:I,MATCH(Validation!E1514,Lists!G:G,0))</f>
        <v>Alert</v>
      </c>
      <c r="G1514" t="str">
        <f>INDEX(Lists!H:H,MATCH(Validation!E1514,Lists!G:G,0))</f>
        <v>You have changed previously reported data. Explain in the comments box.</v>
      </c>
      <c r="H1514" s="25" t="str">
        <f t="shared" ca="1" si="198"/>
        <v/>
      </c>
      <c r="I1514" s="25" t="str">
        <f t="shared" ca="1" si="199"/>
        <v/>
      </c>
      <c r="J1514" s="26" t="str">
        <f t="shared" ca="1" si="200"/>
        <v/>
      </c>
    </row>
    <row r="1515" spans="1:10" x14ac:dyDescent="0.25">
      <c r="A1515" t="s">
        <v>312</v>
      </c>
      <c r="B1515" t="str">
        <f>ADDRESS(ROW('Bond 1'!$B$28),COLUMN('Bond 1'!$B$28),4)</f>
        <v>B28</v>
      </c>
      <c r="C1515" t="str">
        <f>ADDRESS(ROW('Bond 1'!$D$28),COLUMN('Bond 1'!$D$28),4)</f>
        <v>D28</v>
      </c>
      <c r="D1515" t="b" cm="1">
        <f t="array" aca="1" ref="D1515" ca="1">IF(AND(NOT(ISBLANK('Bond Input'!N$31)),INDIRECT("'"&amp;A1515&amp;"'!"&amp;B1515)&lt;&gt;'Bond Input'!N$31),TRUE,FALSE)</f>
        <v>0</v>
      </c>
      <c r="E1515" t="s">
        <v>634</v>
      </c>
      <c r="F1515" t="str">
        <f>INDEX(Lists!I:I,MATCH(Validation!E1515,Lists!G:G,0))</f>
        <v>Alert</v>
      </c>
      <c r="G1515" t="str">
        <f>INDEX(Lists!H:H,MATCH(Validation!E1515,Lists!G:G,0))</f>
        <v>You have changed previously reported data. Explain in the comments box.</v>
      </c>
      <c r="H1515" s="25" t="str">
        <f t="shared" ca="1" si="198"/>
        <v/>
      </c>
      <c r="I1515" s="25" t="str">
        <f t="shared" ca="1" si="199"/>
        <v/>
      </c>
      <c r="J1515" s="26" t="str">
        <f t="shared" ca="1" si="200"/>
        <v/>
      </c>
    </row>
    <row r="1516" spans="1:10" x14ac:dyDescent="0.25">
      <c r="A1516" t="s">
        <v>313</v>
      </c>
      <c r="B1516" t="str">
        <f>ADDRESS(ROW('Bond 1'!$B$28),COLUMN('Bond 1'!$B$28),4)</f>
        <v>B28</v>
      </c>
      <c r="C1516" t="str">
        <f>ADDRESS(ROW('Bond 1'!$D$28),COLUMN('Bond 1'!$D$28),4)</f>
        <v>D28</v>
      </c>
      <c r="D1516" t="b" cm="1">
        <f t="array" aca="1" ref="D1516" ca="1">IF(AND(NOT(ISBLANK('Bond Input'!O$31)),INDIRECT("'"&amp;A1516&amp;"'!"&amp;B1516)&lt;&gt;'Bond Input'!O$31),TRUE,FALSE)</f>
        <v>0</v>
      </c>
      <c r="E1516" t="s">
        <v>634</v>
      </c>
      <c r="F1516" t="str">
        <f>INDEX(Lists!I:I,MATCH(Validation!E1516,Lists!G:G,0))</f>
        <v>Alert</v>
      </c>
      <c r="G1516" t="str">
        <f>INDEX(Lists!H:H,MATCH(Validation!E1516,Lists!G:G,0))</f>
        <v>You have changed previously reported data. Explain in the comments box.</v>
      </c>
      <c r="H1516" s="25" t="str">
        <f t="shared" ca="1" si="198"/>
        <v/>
      </c>
      <c r="I1516" s="25" t="str">
        <f t="shared" ca="1" si="199"/>
        <v/>
      </c>
      <c r="J1516" s="26" t="str">
        <f t="shared" ca="1" si="200"/>
        <v/>
      </c>
    </row>
    <row r="1517" spans="1:10" x14ac:dyDescent="0.25">
      <c r="A1517" t="s">
        <v>314</v>
      </c>
      <c r="B1517" t="str">
        <f>ADDRESS(ROW('Bond 1'!$B$28),COLUMN('Bond 1'!$B$28),4)</f>
        <v>B28</v>
      </c>
      <c r="C1517" t="str">
        <f>ADDRESS(ROW('Bond 1'!$D$28),COLUMN('Bond 1'!$D$28),4)</f>
        <v>D28</v>
      </c>
      <c r="D1517" t="b" cm="1">
        <f t="array" aca="1" ref="D1517" ca="1">IF(AND(NOT(ISBLANK('Bond Input'!P$31)),INDIRECT("'"&amp;A1517&amp;"'!"&amp;B1517)&lt;&gt;'Bond Input'!P$31),TRUE,FALSE)</f>
        <v>0</v>
      </c>
      <c r="E1517" t="s">
        <v>634</v>
      </c>
      <c r="F1517" t="str">
        <f>INDEX(Lists!I:I,MATCH(Validation!E1517,Lists!G:G,0))</f>
        <v>Alert</v>
      </c>
      <c r="G1517" t="str">
        <f>INDEX(Lists!H:H,MATCH(Validation!E1517,Lists!G:G,0))</f>
        <v>You have changed previously reported data. Explain in the comments box.</v>
      </c>
      <c r="H1517" s="25" t="str">
        <f t="shared" ca="1" si="198"/>
        <v/>
      </c>
      <c r="I1517" s="25" t="str">
        <f t="shared" ca="1" si="199"/>
        <v/>
      </c>
      <c r="J1517" s="26" t="str">
        <f t="shared" ca="1" si="200"/>
        <v/>
      </c>
    </row>
    <row r="1518" spans="1:10" x14ac:dyDescent="0.25">
      <c r="A1518" t="s">
        <v>315</v>
      </c>
      <c r="B1518" t="str">
        <f>ADDRESS(ROW('Bond 1'!$B$28),COLUMN('Bond 1'!$B$28),4)</f>
        <v>B28</v>
      </c>
      <c r="C1518" t="str">
        <f>ADDRESS(ROW('Bond 1'!$D$28),COLUMN('Bond 1'!$D$28),4)</f>
        <v>D28</v>
      </c>
      <c r="D1518" t="b" cm="1">
        <f t="array" aca="1" ref="D1518" ca="1">IF(AND(NOT(ISBLANK('Bond Input'!Q$31)),INDIRECT("'"&amp;A1518&amp;"'!"&amp;B1518)&lt;&gt;'Bond Input'!Q$31),TRUE,FALSE)</f>
        <v>0</v>
      </c>
      <c r="E1518" t="s">
        <v>634</v>
      </c>
      <c r="F1518" t="str">
        <f>INDEX(Lists!I:I,MATCH(Validation!E1518,Lists!G:G,0))</f>
        <v>Alert</v>
      </c>
      <c r="G1518" t="str">
        <f>INDEX(Lists!H:H,MATCH(Validation!E1518,Lists!G:G,0))</f>
        <v>You have changed previously reported data. Explain in the comments box.</v>
      </c>
      <c r="H1518" s="25" t="str">
        <f t="shared" ca="1" si="198"/>
        <v/>
      </c>
      <c r="I1518" s="25" t="str">
        <f t="shared" ca="1" si="199"/>
        <v/>
      </c>
      <c r="J1518" s="26" t="str">
        <f t="shared" ca="1" si="200"/>
        <v/>
      </c>
    </row>
    <row r="1519" spans="1:10" x14ac:dyDescent="0.25">
      <c r="A1519" t="s">
        <v>198</v>
      </c>
      <c r="B1519" t="str">
        <f>ADDRESS(ROW('Bond 1'!$C$28),COLUMN('Bond 1'!$C$28),4)</f>
        <v>C28</v>
      </c>
      <c r="C1519" t="str">
        <f>ADDRESS(ROW('Bond 1'!$D$28),COLUMN('Bond 1'!$D$28),4)</f>
        <v>D28</v>
      </c>
      <c r="D1519" t="b" cm="1">
        <f t="array" aca="1" ref="D1519" ca="1">IF(INDIRECT("'"&amp;A1519&amp;"'!"&amp;B1519)="",FALSE,IF(NOT(ISNUMBER(INDIRECT("'"&amp;A1519&amp;"'!"&amp;B1519))),TRUE,FALSE))</f>
        <v>0</v>
      </c>
      <c r="E1519" t="s">
        <v>435</v>
      </c>
      <c r="F1519" t="str">
        <f>INDEX(Lists!I:I,MATCH(Validation!E1519,Lists!G:G,0))</f>
        <v>Error</v>
      </c>
      <c r="G1519" t="str">
        <f>INDEX(Lists!H:H,MATCH(Validation!E1519,Lists!G:G,0))</f>
        <v>Enter an amount only. Do not enter text or spaces.</v>
      </c>
      <c r="H1519" s="25" t="str">
        <f t="shared" ca="1" si="198"/>
        <v/>
      </c>
      <c r="I1519" s="25" t="str">
        <f t="shared" ca="1" si="199"/>
        <v/>
      </c>
      <c r="J1519" s="26" t="str">
        <f t="shared" ca="1" si="200"/>
        <v/>
      </c>
    </row>
    <row r="1520" spans="1:10" x14ac:dyDescent="0.25">
      <c r="A1520" t="s">
        <v>302</v>
      </c>
      <c r="B1520" t="str">
        <f>ADDRESS(ROW('Bond 1'!$C$28),COLUMN('Bond 1'!$C$28),4)</f>
        <v>C28</v>
      </c>
      <c r="C1520" t="str">
        <f>ADDRESS(ROW('Bond 1'!$D$28),COLUMN('Bond 1'!$D$28),4)</f>
        <v>D28</v>
      </c>
      <c r="D1520" t="b" cm="1">
        <f t="array" aca="1" ref="D1520" ca="1">IF(INDIRECT("'"&amp;A1520&amp;"'!"&amp;B1520)="",FALSE,IF(NOT(ISNUMBER(INDIRECT("'"&amp;A1520&amp;"'!"&amp;B1520))),TRUE,FALSE))</f>
        <v>0</v>
      </c>
      <c r="E1520" t="s">
        <v>435</v>
      </c>
      <c r="F1520" t="str">
        <f>INDEX(Lists!I:I,MATCH(Validation!E1520,Lists!G:G,0))</f>
        <v>Error</v>
      </c>
      <c r="G1520" t="str">
        <f>INDEX(Lists!H:H,MATCH(Validation!E1520,Lists!G:G,0))</f>
        <v>Enter an amount only. Do not enter text or spaces.</v>
      </c>
      <c r="H1520" s="25" t="str">
        <f t="shared" ca="1" si="198"/>
        <v/>
      </c>
      <c r="I1520" s="25" t="str">
        <f t="shared" ca="1" si="199"/>
        <v/>
      </c>
      <c r="J1520" s="26" t="str">
        <f t="shared" ca="1" si="200"/>
        <v/>
      </c>
    </row>
    <row r="1521" spans="1:10" x14ac:dyDescent="0.25">
      <c r="A1521" t="s">
        <v>303</v>
      </c>
      <c r="B1521" t="str">
        <f>ADDRESS(ROW('Bond 1'!$C$28),COLUMN('Bond 1'!$C$28),4)</f>
        <v>C28</v>
      </c>
      <c r="C1521" t="str">
        <f>ADDRESS(ROW('Bond 1'!$D$28),COLUMN('Bond 1'!$D$28),4)</f>
        <v>D28</v>
      </c>
      <c r="D1521" t="b" cm="1">
        <f t="array" aca="1" ref="D1521" ca="1">IF(INDIRECT("'"&amp;A1521&amp;"'!"&amp;B1521)="",FALSE,IF(NOT(ISNUMBER(INDIRECT("'"&amp;A1521&amp;"'!"&amp;B1521))),TRUE,FALSE))</f>
        <v>0</v>
      </c>
      <c r="E1521" t="s">
        <v>435</v>
      </c>
      <c r="F1521" t="str">
        <f>INDEX(Lists!I:I,MATCH(Validation!E1521,Lists!G:G,0))</f>
        <v>Error</v>
      </c>
      <c r="G1521" t="str">
        <f>INDEX(Lists!H:H,MATCH(Validation!E1521,Lists!G:G,0))</f>
        <v>Enter an amount only. Do not enter text or spaces.</v>
      </c>
      <c r="H1521" s="25" t="str">
        <f t="shared" ca="1" si="198"/>
        <v/>
      </c>
      <c r="I1521" s="25" t="str">
        <f t="shared" ca="1" si="199"/>
        <v/>
      </c>
      <c r="J1521" s="26" t="str">
        <f t="shared" ca="1" si="200"/>
        <v/>
      </c>
    </row>
    <row r="1522" spans="1:10" x14ac:dyDescent="0.25">
      <c r="A1522" t="s">
        <v>304</v>
      </c>
      <c r="B1522" t="str">
        <f>ADDRESS(ROW('Bond 1'!$C$28),COLUMN('Bond 1'!$C$28),4)</f>
        <v>C28</v>
      </c>
      <c r="C1522" t="str">
        <f>ADDRESS(ROW('Bond 1'!$D$28),COLUMN('Bond 1'!$D$28),4)</f>
        <v>D28</v>
      </c>
      <c r="D1522" t="b" cm="1">
        <f t="array" aca="1" ref="D1522" ca="1">IF(INDIRECT("'"&amp;A1522&amp;"'!"&amp;B1522)="",FALSE,IF(NOT(ISNUMBER(INDIRECT("'"&amp;A1522&amp;"'!"&amp;B1522))),TRUE,FALSE))</f>
        <v>0</v>
      </c>
      <c r="E1522" t="s">
        <v>435</v>
      </c>
      <c r="F1522" t="str">
        <f>INDEX(Lists!I:I,MATCH(Validation!E1522,Lists!G:G,0))</f>
        <v>Error</v>
      </c>
      <c r="G1522" t="str">
        <f>INDEX(Lists!H:H,MATCH(Validation!E1522,Lists!G:G,0))</f>
        <v>Enter an amount only. Do not enter text or spaces.</v>
      </c>
      <c r="H1522" s="25" t="str">
        <f t="shared" ca="1" si="198"/>
        <v/>
      </c>
      <c r="I1522" s="25" t="str">
        <f t="shared" ca="1" si="199"/>
        <v/>
      </c>
      <c r="J1522" s="26" t="str">
        <f t="shared" ca="1" si="200"/>
        <v/>
      </c>
    </row>
    <row r="1523" spans="1:10" x14ac:dyDescent="0.25">
      <c r="A1523" t="s">
        <v>305</v>
      </c>
      <c r="B1523" t="str">
        <f>ADDRESS(ROW('Bond 1'!$C$28),COLUMN('Bond 1'!$C$28),4)</f>
        <v>C28</v>
      </c>
      <c r="C1523" t="str">
        <f>ADDRESS(ROW('Bond 1'!$D$28),COLUMN('Bond 1'!$D$28),4)</f>
        <v>D28</v>
      </c>
      <c r="D1523" t="b" cm="1">
        <f t="array" aca="1" ref="D1523" ca="1">IF(INDIRECT("'"&amp;A1523&amp;"'!"&amp;B1523)="",FALSE,IF(NOT(ISNUMBER(INDIRECT("'"&amp;A1523&amp;"'!"&amp;B1523))),TRUE,FALSE))</f>
        <v>0</v>
      </c>
      <c r="E1523" t="s">
        <v>435</v>
      </c>
      <c r="F1523" t="str">
        <f>INDEX(Lists!I:I,MATCH(Validation!E1523,Lists!G:G,0))</f>
        <v>Error</v>
      </c>
      <c r="G1523" t="str">
        <f>INDEX(Lists!H:H,MATCH(Validation!E1523,Lists!G:G,0))</f>
        <v>Enter an amount only. Do not enter text or spaces.</v>
      </c>
      <c r="H1523" s="25" t="str">
        <f t="shared" ca="1" si="198"/>
        <v/>
      </c>
      <c r="I1523" s="25" t="str">
        <f t="shared" ca="1" si="199"/>
        <v/>
      </c>
      <c r="J1523" s="26" t="str">
        <f t="shared" ca="1" si="200"/>
        <v/>
      </c>
    </row>
    <row r="1524" spans="1:10" x14ac:dyDescent="0.25">
      <c r="A1524" t="s">
        <v>306</v>
      </c>
      <c r="B1524" t="str">
        <f>ADDRESS(ROW('Bond 1'!$C$28),COLUMN('Bond 1'!$C$28),4)</f>
        <v>C28</v>
      </c>
      <c r="C1524" t="str">
        <f>ADDRESS(ROW('Bond 1'!$D$28),COLUMN('Bond 1'!$D$28),4)</f>
        <v>D28</v>
      </c>
      <c r="D1524" t="b" cm="1">
        <f t="array" aca="1" ref="D1524" ca="1">IF(INDIRECT("'"&amp;A1524&amp;"'!"&amp;B1524)="",FALSE,IF(NOT(ISNUMBER(INDIRECT("'"&amp;A1524&amp;"'!"&amp;B1524))),TRUE,FALSE))</f>
        <v>0</v>
      </c>
      <c r="E1524" t="s">
        <v>435</v>
      </c>
      <c r="F1524" t="str">
        <f>INDEX(Lists!I:I,MATCH(Validation!E1524,Lists!G:G,0))</f>
        <v>Error</v>
      </c>
      <c r="G1524" t="str">
        <f>INDEX(Lists!H:H,MATCH(Validation!E1524,Lists!G:G,0))</f>
        <v>Enter an amount only. Do not enter text or spaces.</v>
      </c>
      <c r="H1524" s="25" t="str">
        <f t="shared" ca="1" si="198"/>
        <v/>
      </c>
      <c r="I1524" s="25" t="str">
        <f t="shared" ca="1" si="199"/>
        <v/>
      </c>
      <c r="J1524" s="26" t="str">
        <f t="shared" ca="1" si="200"/>
        <v/>
      </c>
    </row>
    <row r="1525" spans="1:10" x14ac:dyDescent="0.25">
      <c r="A1525" t="s">
        <v>307</v>
      </c>
      <c r="B1525" t="str">
        <f>ADDRESS(ROW('Bond 1'!$C$28),COLUMN('Bond 1'!$C$28),4)</f>
        <v>C28</v>
      </c>
      <c r="C1525" t="str">
        <f>ADDRESS(ROW('Bond 1'!$D$28),COLUMN('Bond 1'!$D$28),4)</f>
        <v>D28</v>
      </c>
      <c r="D1525" t="b" cm="1">
        <f t="array" aca="1" ref="D1525" ca="1">IF(INDIRECT("'"&amp;A1525&amp;"'!"&amp;B1525)="",FALSE,IF(NOT(ISNUMBER(INDIRECT("'"&amp;A1525&amp;"'!"&amp;B1525))),TRUE,FALSE))</f>
        <v>0</v>
      </c>
      <c r="E1525" t="s">
        <v>435</v>
      </c>
      <c r="F1525" t="str">
        <f>INDEX(Lists!I:I,MATCH(Validation!E1525,Lists!G:G,0))</f>
        <v>Error</v>
      </c>
      <c r="G1525" t="str">
        <f>INDEX(Lists!H:H,MATCH(Validation!E1525,Lists!G:G,0))</f>
        <v>Enter an amount only. Do not enter text or spaces.</v>
      </c>
      <c r="H1525" s="25" t="str">
        <f t="shared" ca="1" si="198"/>
        <v/>
      </c>
      <c r="I1525" s="25" t="str">
        <f t="shared" ca="1" si="199"/>
        <v/>
      </c>
      <c r="J1525" s="26" t="str">
        <f t="shared" ca="1" si="200"/>
        <v/>
      </c>
    </row>
    <row r="1526" spans="1:10" x14ac:dyDescent="0.25">
      <c r="A1526" t="s">
        <v>308</v>
      </c>
      <c r="B1526" t="str">
        <f>ADDRESS(ROW('Bond 1'!$C$28),COLUMN('Bond 1'!$C$28),4)</f>
        <v>C28</v>
      </c>
      <c r="C1526" t="str">
        <f>ADDRESS(ROW('Bond 1'!$D$28),COLUMN('Bond 1'!$D$28),4)</f>
        <v>D28</v>
      </c>
      <c r="D1526" t="b" cm="1">
        <f t="array" aca="1" ref="D1526" ca="1">IF(INDIRECT("'"&amp;A1526&amp;"'!"&amp;B1526)="",FALSE,IF(NOT(ISNUMBER(INDIRECT("'"&amp;A1526&amp;"'!"&amp;B1526))),TRUE,FALSE))</f>
        <v>0</v>
      </c>
      <c r="E1526" t="s">
        <v>435</v>
      </c>
      <c r="F1526" t="str">
        <f>INDEX(Lists!I:I,MATCH(Validation!E1526,Lists!G:G,0))</f>
        <v>Error</v>
      </c>
      <c r="G1526" t="str">
        <f>INDEX(Lists!H:H,MATCH(Validation!E1526,Lists!G:G,0))</f>
        <v>Enter an amount only. Do not enter text or spaces.</v>
      </c>
      <c r="H1526" s="25" t="str">
        <f t="shared" ca="1" si="198"/>
        <v/>
      </c>
      <c r="I1526" s="25" t="str">
        <f t="shared" ca="1" si="199"/>
        <v/>
      </c>
      <c r="J1526" s="26" t="str">
        <f t="shared" ca="1" si="200"/>
        <v/>
      </c>
    </row>
    <row r="1527" spans="1:10" x14ac:dyDescent="0.25">
      <c r="A1527" t="s">
        <v>309</v>
      </c>
      <c r="B1527" t="str">
        <f>ADDRESS(ROW('Bond 1'!$C$28),COLUMN('Bond 1'!$C$28),4)</f>
        <v>C28</v>
      </c>
      <c r="C1527" t="str">
        <f>ADDRESS(ROW('Bond 1'!$D$28),COLUMN('Bond 1'!$D$28),4)</f>
        <v>D28</v>
      </c>
      <c r="D1527" t="b" cm="1">
        <f t="array" aca="1" ref="D1527" ca="1">IF(INDIRECT("'"&amp;A1527&amp;"'!"&amp;B1527)="",FALSE,IF(NOT(ISNUMBER(INDIRECT("'"&amp;A1527&amp;"'!"&amp;B1527))),TRUE,FALSE))</f>
        <v>0</v>
      </c>
      <c r="E1527" t="s">
        <v>435</v>
      </c>
      <c r="F1527" t="str">
        <f>INDEX(Lists!I:I,MATCH(Validation!E1527,Lists!G:G,0))</f>
        <v>Error</v>
      </c>
      <c r="G1527" t="str">
        <f>INDEX(Lists!H:H,MATCH(Validation!E1527,Lists!G:G,0))</f>
        <v>Enter an amount only. Do not enter text or spaces.</v>
      </c>
      <c r="H1527" s="25" t="str">
        <f t="shared" ca="1" si="198"/>
        <v/>
      </c>
      <c r="I1527" s="25" t="str">
        <f t="shared" ca="1" si="199"/>
        <v/>
      </c>
      <c r="J1527" s="26" t="str">
        <f t="shared" ca="1" si="200"/>
        <v/>
      </c>
    </row>
    <row r="1528" spans="1:10" x14ac:dyDescent="0.25">
      <c r="A1528" t="s">
        <v>310</v>
      </c>
      <c r="B1528" t="str">
        <f>ADDRESS(ROW('Bond 1'!$C$28),COLUMN('Bond 1'!$C$28),4)</f>
        <v>C28</v>
      </c>
      <c r="C1528" t="str">
        <f>ADDRESS(ROW('Bond 1'!$D$28),COLUMN('Bond 1'!$D$28),4)</f>
        <v>D28</v>
      </c>
      <c r="D1528" t="b" cm="1">
        <f t="array" aca="1" ref="D1528" ca="1">IF(INDIRECT("'"&amp;A1528&amp;"'!"&amp;B1528)="",FALSE,IF(NOT(ISNUMBER(INDIRECT("'"&amp;A1528&amp;"'!"&amp;B1528))),TRUE,FALSE))</f>
        <v>0</v>
      </c>
      <c r="E1528" t="s">
        <v>435</v>
      </c>
      <c r="F1528" t="str">
        <f>INDEX(Lists!I:I,MATCH(Validation!E1528,Lists!G:G,0))</f>
        <v>Error</v>
      </c>
      <c r="G1528" t="str">
        <f>INDEX(Lists!H:H,MATCH(Validation!E1528,Lists!G:G,0))</f>
        <v>Enter an amount only. Do not enter text or spaces.</v>
      </c>
      <c r="H1528" s="25" t="str">
        <f t="shared" ca="1" si="198"/>
        <v/>
      </c>
      <c r="I1528" s="25" t="str">
        <f t="shared" ca="1" si="199"/>
        <v/>
      </c>
      <c r="J1528" s="26" t="str">
        <f t="shared" ca="1" si="200"/>
        <v/>
      </c>
    </row>
    <row r="1529" spans="1:10" x14ac:dyDescent="0.25">
      <c r="A1529" t="s">
        <v>311</v>
      </c>
      <c r="B1529" t="str">
        <f>ADDRESS(ROW('Bond 1'!$C$28),COLUMN('Bond 1'!$C$28),4)</f>
        <v>C28</v>
      </c>
      <c r="C1529" t="str">
        <f>ADDRESS(ROW('Bond 1'!$D$28),COLUMN('Bond 1'!$D$28),4)</f>
        <v>D28</v>
      </c>
      <c r="D1529" t="b" cm="1">
        <f t="array" aca="1" ref="D1529" ca="1">IF(INDIRECT("'"&amp;A1529&amp;"'!"&amp;B1529)="",FALSE,IF(NOT(ISNUMBER(INDIRECT("'"&amp;A1529&amp;"'!"&amp;B1529))),TRUE,FALSE))</f>
        <v>0</v>
      </c>
      <c r="E1529" t="s">
        <v>435</v>
      </c>
      <c r="F1529" t="str">
        <f>INDEX(Lists!I:I,MATCH(Validation!E1529,Lists!G:G,0))</f>
        <v>Error</v>
      </c>
      <c r="G1529" t="str">
        <f>INDEX(Lists!H:H,MATCH(Validation!E1529,Lists!G:G,0))</f>
        <v>Enter an amount only. Do not enter text or spaces.</v>
      </c>
      <c r="H1529" s="25" t="str">
        <f t="shared" ref="H1529:H1592" ca="1" si="201">IFERROR(IF(OR(NOT(D1529),F1529&lt;&gt;"Error"),"",A1529&amp;CELL("address",INDIRECT(B1529))),"")</f>
        <v/>
      </c>
      <c r="I1529" s="25" t="str">
        <f t="shared" ref="I1529:I1592" ca="1" si="202">IFERROR(IF(NOT(D1529),"",A1529&amp;CELL("address",INDIRECT(C1529))),"")</f>
        <v/>
      </c>
      <c r="J1529" s="26" t="str">
        <f t="shared" ref="J1529:J1592" ca="1" si="203">IFERROR(IF(NOT(D1529),"",A1529),"")</f>
        <v/>
      </c>
    </row>
    <row r="1530" spans="1:10" x14ac:dyDescent="0.25">
      <c r="A1530" t="s">
        <v>312</v>
      </c>
      <c r="B1530" t="str">
        <f>ADDRESS(ROW('Bond 1'!$C$28),COLUMN('Bond 1'!$C$28),4)</f>
        <v>C28</v>
      </c>
      <c r="C1530" t="str">
        <f>ADDRESS(ROW('Bond 1'!$D$28),COLUMN('Bond 1'!$D$28),4)</f>
        <v>D28</v>
      </c>
      <c r="D1530" t="b" cm="1">
        <f t="array" aca="1" ref="D1530" ca="1">IF(INDIRECT("'"&amp;A1530&amp;"'!"&amp;B1530)="",FALSE,IF(NOT(ISNUMBER(INDIRECT("'"&amp;A1530&amp;"'!"&amp;B1530))),TRUE,FALSE))</f>
        <v>0</v>
      </c>
      <c r="E1530" t="s">
        <v>435</v>
      </c>
      <c r="F1530" t="str">
        <f>INDEX(Lists!I:I,MATCH(Validation!E1530,Lists!G:G,0))</f>
        <v>Error</v>
      </c>
      <c r="G1530" t="str">
        <f>INDEX(Lists!H:H,MATCH(Validation!E1530,Lists!G:G,0))</f>
        <v>Enter an amount only. Do not enter text or spaces.</v>
      </c>
      <c r="H1530" s="25" t="str">
        <f t="shared" ca="1" si="201"/>
        <v/>
      </c>
      <c r="I1530" s="25" t="str">
        <f t="shared" ca="1" si="202"/>
        <v/>
      </c>
      <c r="J1530" s="26" t="str">
        <f t="shared" ca="1" si="203"/>
        <v/>
      </c>
    </row>
    <row r="1531" spans="1:10" x14ac:dyDescent="0.25">
      <c r="A1531" t="s">
        <v>313</v>
      </c>
      <c r="B1531" t="str">
        <f>ADDRESS(ROW('Bond 1'!$C$28),COLUMN('Bond 1'!$C$28),4)</f>
        <v>C28</v>
      </c>
      <c r="C1531" t="str">
        <f>ADDRESS(ROW('Bond 1'!$D$28),COLUMN('Bond 1'!$D$28),4)</f>
        <v>D28</v>
      </c>
      <c r="D1531" t="b" cm="1">
        <f t="array" aca="1" ref="D1531" ca="1">IF(INDIRECT("'"&amp;A1531&amp;"'!"&amp;B1531)="",FALSE,IF(NOT(ISNUMBER(INDIRECT("'"&amp;A1531&amp;"'!"&amp;B1531))),TRUE,FALSE))</f>
        <v>0</v>
      </c>
      <c r="E1531" t="s">
        <v>435</v>
      </c>
      <c r="F1531" t="str">
        <f>INDEX(Lists!I:I,MATCH(Validation!E1531,Lists!G:G,0))</f>
        <v>Error</v>
      </c>
      <c r="G1531" t="str">
        <f>INDEX(Lists!H:H,MATCH(Validation!E1531,Lists!G:G,0))</f>
        <v>Enter an amount only. Do not enter text or spaces.</v>
      </c>
      <c r="H1531" s="25" t="str">
        <f t="shared" ca="1" si="201"/>
        <v/>
      </c>
      <c r="I1531" s="25" t="str">
        <f t="shared" ca="1" si="202"/>
        <v/>
      </c>
      <c r="J1531" s="26" t="str">
        <f t="shared" ca="1" si="203"/>
        <v/>
      </c>
    </row>
    <row r="1532" spans="1:10" x14ac:dyDescent="0.25">
      <c r="A1532" t="s">
        <v>314</v>
      </c>
      <c r="B1532" t="str">
        <f>ADDRESS(ROW('Bond 1'!$C$28),COLUMN('Bond 1'!$C$28),4)</f>
        <v>C28</v>
      </c>
      <c r="C1532" t="str">
        <f>ADDRESS(ROW('Bond 1'!$D$28),COLUMN('Bond 1'!$D$28),4)</f>
        <v>D28</v>
      </c>
      <c r="D1532" t="b" cm="1">
        <f t="array" aca="1" ref="D1532" ca="1">IF(INDIRECT("'"&amp;A1532&amp;"'!"&amp;B1532)="",FALSE,IF(NOT(ISNUMBER(INDIRECT("'"&amp;A1532&amp;"'!"&amp;B1532))),TRUE,FALSE))</f>
        <v>0</v>
      </c>
      <c r="E1532" t="s">
        <v>435</v>
      </c>
      <c r="F1532" t="str">
        <f>INDEX(Lists!I:I,MATCH(Validation!E1532,Lists!G:G,0))</f>
        <v>Error</v>
      </c>
      <c r="G1532" t="str">
        <f>INDEX(Lists!H:H,MATCH(Validation!E1532,Lists!G:G,0))</f>
        <v>Enter an amount only. Do not enter text or spaces.</v>
      </c>
      <c r="H1532" s="25" t="str">
        <f t="shared" ca="1" si="201"/>
        <v/>
      </c>
      <c r="I1532" s="25" t="str">
        <f t="shared" ca="1" si="202"/>
        <v/>
      </c>
      <c r="J1532" s="26" t="str">
        <f t="shared" ca="1" si="203"/>
        <v/>
      </c>
    </row>
    <row r="1533" spans="1:10" x14ac:dyDescent="0.25">
      <c r="A1533" t="s">
        <v>315</v>
      </c>
      <c r="B1533" t="str">
        <f>ADDRESS(ROW('Bond 1'!$C$28),COLUMN('Bond 1'!$C$28),4)</f>
        <v>C28</v>
      </c>
      <c r="C1533" t="str">
        <f>ADDRESS(ROW('Bond 1'!$D$28),COLUMN('Bond 1'!$D$28),4)</f>
        <v>D28</v>
      </c>
      <c r="D1533" t="b" cm="1">
        <f t="array" aca="1" ref="D1533" ca="1">IF(INDIRECT("'"&amp;A1533&amp;"'!"&amp;B1533)="",FALSE,IF(NOT(ISNUMBER(INDIRECT("'"&amp;A1533&amp;"'!"&amp;B1533))),TRUE,FALSE))</f>
        <v>0</v>
      </c>
      <c r="E1533" t="s">
        <v>435</v>
      </c>
      <c r="F1533" t="str">
        <f>INDEX(Lists!I:I,MATCH(Validation!E1533,Lists!G:G,0))</f>
        <v>Error</v>
      </c>
      <c r="G1533" t="str">
        <f>INDEX(Lists!H:H,MATCH(Validation!E1533,Lists!G:G,0))</f>
        <v>Enter an amount only. Do not enter text or spaces.</v>
      </c>
      <c r="H1533" s="25" t="str">
        <f t="shared" ca="1" si="201"/>
        <v/>
      </c>
      <c r="I1533" s="25" t="str">
        <f t="shared" ca="1" si="202"/>
        <v/>
      </c>
      <c r="J1533" s="26" t="str">
        <f t="shared" ca="1" si="203"/>
        <v/>
      </c>
    </row>
    <row r="1534" spans="1:10" x14ac:dyDescent="0.25">
      <c r="A1534" t="s">
        <v>198</v>
      </c>
      <c r="B1534" t="str">
        <f>ADDRESS(ROW('Bond 1'!$C$28),COLUMN('Bond 1'!$C$28),4)</f>
        <v>C28</v>
      </c>
      <c r="C1534" t="str">
        <f>ADDRESS(ROW('Bond 1'!$D$28),COLUMN('Bond 1'!$D$28),4)</f>
        <v>D28</v>
      </c>
      <c r="D1534" t="b" cm="1">
        <f t="array" aca="1" ref="D1534" ca="1">IF(INDIRECT("'"&amp;A1534&amp;"'!"&amp;B1534)="",FALSE,IF(INDIRECT("'"&amp;A1534&amp;"'!"&amp;B1534)&lt;0,TRUE,FALSE))</f>
        <v>0</v>
      </c>
      <c r="E1534" t="s">
        <v>434</v>
      </c>
      <c r="F1534" t="str">
        <f>INDEX(Lists!I:I,MATCH(Validation!E1534,Lists!G:G,0))</f>
        <v>Error</v>
      </c>
      <c r="G1534" t="str">
        <f>INDEX(Lists!H:H,MATCH(Validation!E1534,Lists!G:G,0))</f>
        <v>Amount may not be negative. Enter an amount greater than or equal to zero.</v>
      </c>
      <c r="H1534" s="25" t="str">
        <f t="shared" ca="1" si="201"/>
        <v/>
      </c>
      <c r="I1534" s="25" t="str">
        <f t="shared" ca="1" si="202"/>
        <v/>
      </c>
      <c r="J1534" s="26" t="str">
        <f t="shared" ca="1" si="203"/>
        <v/>
      </c>
    </row>
    <row r="1535" spans="1:10" x14ac:dyDescent="0.25">
      <c r="A1535" t="s">
        <v>302</v>
      </c>
      <c r="B1535" t="str">
        <f>ADDRESS(ROW('Bond 1'!$C$28),COLUMN('Bond 1'!$C$28),4)</f>
        <v>C28</v>
      </c>
      <c r="C1535" t="str">
        <f>ADDRESS(ROW('Bond 1'!$D$28),COLUMN('Bond 1'!$D$28),4)</f>
        <v>D28</v>
      </c>
      <c r="D1535" t="b" cm="1">
        <f t="array" aca="1" ref="D1535" ca="1">IF(INDIRECT("'"&amp;A1535&amp;"'!"&amp;B1535)="",FALSE,IF(INDIRECT("'"&amp;A1535&amp;"'!"&amp;B1535)&lt;0,TRUE,FALSE))</f>
        <v>0</v>
      </c>
      <c r="E1535" t="s">
        <v>434</v>
      </c>
      <c r="F1535" t="str">
        <f>INDEX(Lists!I:I,MATCH(Validation!E1535,Lists!G:G,0))</f>
        <v>Error</v>
      </c>
      <c r="G1535" t="str">
        <f>INDEX(Lists!H:H,MATCH(Validation!E1535,Lists!G:G,0))</f>
        <v>Amount may not be negative. Enter an amount greater than or equal to zero.</v>
      </c>
      <c r="H1535" s="25" t="str">
        <f t="shared" ca="1" si="201"/>
        <v/>
      </c>
      <c r="I1535" s="25" t="str">
        <f t="shared" ca="1" si="202"/>
        <v/>
      </c>
      <c r="J1535" s="26" t="str">
        <f t="shared" ca="1" si="203"/>
        <v/>
      </c>
    </row>
    <row r="1536" spans="1:10" x14ac:dyDescent="0.25">
      <c r="A1536" t="s">
        <v>303</v>
      </c>
      <c r="B1536" t="str">
        <f>ADDRESS(ROW('Bond 1'!$C$28),COLUMN('Bond 1'!$C$28),4)</f>
        <v>C28</v>
      </c>
      <c r="C1536" t="str">
        <f>ADDRESS(ROW('Bond 1'!$D$28),COLUMN('Bond 1'!$D$28),4)</f>
        <v>D28</v>
      </c>
      <c r="D1536" t="b" cm="1">
        <f t="array" aca="1" ref="D1536" ca="1">IF(INDIRECT("'"&amp;A1536&amp;"'!"&amp;B1536)="",FALSE,IF(INDIRECT("'"&amp;A1536&amp;"'!"&amp;B1536)&lt;0,TRUE,FALSE))</f>
        <v>0</v>
      </c>
      <c r="E1536" t="s">
        <v>434</v>
      </c>
      <c r="F1536" t="str">
        <f>INDEX(Lists!I:I,MATCH(Validation!E1536,Lists!G:G,0))</f>
        <v>Error</v>
      </c>
      <c r="G1536" t="str">
        <f>INDEX(Lists!H:H,MATCH(Validation!E1536,Lists!G:G,0))</f>
        <v>Amount may not be negative. Enter an amount greater than or equal to zero.</v>
      </c>
      <c r="H1536" s="25" t="str">
        <f t="shared" ca="1" si="201"/>
        <v/>
      </c>
      <c r="I1536" s="25" t="str">
        <f t="shared" ca="1" si="202"/>
        <v/>
      </c>
      <c r="J1536" s="26" t="str">
        <f t="shared" ca="1" si="203"/>
        <v/>
      </c>
    </row>
    <row r="1537" spans="1:10" x14ac:dyDescent="0.25">
      <c r="A1537" t="s">
        <v>304</v>
      </c>
      <c r="B1537" t="str">
        <f>ADDRESS(ROW('Bond 1'!$C$28),COLUMN('Bond 1'!$C$28),4)</f>
        <v>C28</v>
      </c>
      <c r="C1537" t="str">
        <f>ADDRESS(ROW('Bond 1'!$D$28),COLUMN('Bond 1'!$D$28),4)</f>
        <v>D28</v>
      </c>
      <c r="D1537" t="b" cm="1">
        <f t="array" aca="1" ref="D1537" ca="1">IF(INDIRECT("'"&amp;A1537&amp;"'!"&amp;B1537)="",FALSE,IF(INDIRECT("'"&amp;A1537&amp;"'!"&amp;B1537)&lt;0,TRUE,FALSE))</f>
        <v>0</v>
      </c>
      <c r="E1537" t="s">
        <v>434</v>
      </c>
      <c r="F1537" t="str">
        <f>INDEX(Lists!I:I,MATCH(Validation!E1537,Lists!G:G,0))</f>
        <v>Error</v>
      </c>
      <c r="G1537" t="str">
        <f>INDEX(Lists!H:H,MATCH(Validation!E1537,Lists!G:G,0))</f>
        <v>Amount may not be negative. Enter an amount greater than or equal to zero.</v>
      </c>
      <c r="H1537" s="25" t="str">
        <f t="shared" ca="1" si="201"/>
        <v/>
      </c>
      <c r="I1537" s="25" t="str">
        <f t="shared" ca="1" si="202"/>
        <v/>
      </c>
      <c r="J1537" s="26" t="str">
        <f t="shared" ca="1" si="203"/>
        <v/>
      </c>
    </row>
    <row r="1538" spans="1:10" x14ac:dyDescent="0.25">
      <c r="A1538" t="s">
        <v>305</v>
      </c>
      <c r="B1538" t="str">
        <f>ADDRESS(ROW('Bond 1'!$C$28),COLUMN('Bond 1'!$C$28),4)</f>
        <v>C28</v>
      </c>
      <c r="C1538" t="str">
        <f>ADDRESS(ROW('Bond 1'!$D$28),COLUMN('Bond 1'!$D$28),4)</f>
        <v>D28</v>
      </c>
      <c r="D1538" t="b" cm="1">
        <f t="array" aca="1" ref="D1538" ca="1">IF(INDIRECT("'"&amp;A1538&amp;"'!"&amp;B1538)="",FALSE,IF(INDIRECT("'"&amp;A1538&amp;"'!"&amp;B1538)&lt;0,TRUE,FALSE))</f>
        <v>0</v>
      </c>
      <c r="E1538" t="s">
        <v>434</v>
      </c>
      <c r="F1538" t="str">
        <f>INDEX(Lists!I:I,MATCH(Validation!E1538,Lists!G:G,0))</f>
        <v>Error</v>
      </c>
      <c r="G1538" t="str">
        <f>INDEX(Lists!H:H,MATCH(Validation!E1538,Lists!G:G,0))</f>
        <v>Amount may not be negative. Enter an amount greater than or equal to zero.</v>
      </c>
      <c r="H1538" s="25" t="str">
        <f t="shared" ca="1" si="201"/>
        <v/>
      </c>
      <c r="I1538" s="25" t="str">
        <f t="shared" ca="1" si="202"/>
        <v/>
      </c>
      <c r="J1538" s="26" t="str">
        <f t="shared" ca="1" si="203"/>
        <v/>
      </c>
    </row>
    <row r="1539" spans="1:10" x14ac:dyDescent="0.25">
      <c r="A1539" t="s">
        <v>306</v>
      </c>
      <c r="B1539" t="str">
        <f>ADDRESS(ROW('Bond 1'!$C$28),COLUMN('Bond 1'!$C$28),4)</f>
        <v>C28</v>
      </c>
      <c r="C1539" t="str">
        <f>ADDRESS(ROW('Bond 1'!$D$28),COLUMN('Bond 1'!$D$28),4)</f>
        <v>D28</v>
      </c>
      <c r="D1539" t="b" cm="1">
        <f t="array" aca="1" ref="D1539" ca="1">IF(INDIRECT("'"&amp;A1539&amp;"'!"&amp;B1539)="",FALSE,IF(INDIRECT("'"&amp;A1539&amp;"'!"&amp;B1539)&lt;0,TRUE,FALSE))</f>
        <v>0</v>
      </c>
      <c r="E1539" t="s">
        <v>434</v>
      </c>
      <c r="F1539" t="str">
        <f>INDEX(Lists!I:I,MATCH(Validation!E1539,Lists!G:G,0))</f>
        <v>Error</v>
      </c>
      <c r="G1539" t="str">
        <f>INDEX(Lists!H:H,MATCH(Validation!E1539,Lists!G:G,0))</f>
        <v>Amount may not be negative. Enter an amount greater than or equal to zero.</v>
      </c>
      <c r="H1539" s="25" t="str">
        <f t="shared" ca="1" si="201"/>
        <v/>
      </c>
      <c r="I1539" s="25" t="str">
        <f t="shared" ca="1" si="202"/>
        <v/>
      </c>
      <c r="J1539" s="26" t="str">
        <f t="shared" ca="1" si="203"/>
        <v/>
      </c>
    </row>
    <row r="1540" spans="1:10" x14ac:dyDescent="0.25">
      <c r="A1540" t="s">
        <v>307</v>
      </c>
      <c r="B1540" t="str">
        <f>ADDRESS(ROW('Bond 1'!$C$28),COLUMN('Bond 1'!$C$28),4)</f>
        <v>C28</v>
      </c>
      <c r="C1540" t="str">
        <f>ADDRESS(ROW('Bond 1'!$D$28),COLUMN('Bond 1'!$D$28),4)</f>
        <v>D28</v>
      </c>
      <c r="D1540" t="b" cm="1">
        <f t="array" aca="1" ref="D1540" ca="1">IF(INDIRECT("'"&amp;A1540&amp;"'!"&amp;B1540)="",FALSE,IF(INDIRECT("'"&amp;A1540&amp;"'!"&amp;B1540)&lt;0,TRUE,FALSE))</f>
        <v>0</v>
      </c>
      <c r="E1540" t="s">
        <v>434</v>
      </c>
      <c r="F1540" t="str">
        <f>INDEX(Lists!I:I,MATCH(Validation!E1540,Lists!G:G,0))</f>
        <v>Error</v>
      </c>
      <c r="G1540" t="str">
        <f>INDEX(Lists!H:H,MATCH(Validation!E1540,Lists!G:G,0))</f>
        <v>Amount may not be negative. Enter an amount greater than or equal to zero.</v>
      </c>
      <c r="H1540" s="25" t="str">
        <f t="shared" ca="1" si="201"/>
        <v/>
      </c>
      <c r="I1540" s="25" t="str">
        <f t="shared" ca="1" si="202"/>
        <v/>
      </c>
      <c r="J1540" s="26" t="str">
        <f t="shared" ca="1" si="203"/>
        <v/>
      </c>
    </row>
    <row r="1541" spans="1:10" x14ac:dyDescent="0.25">
      <c r="A1541" t="s">
        <v>308</v>
      </c>
      <c r="B1541" t="str">
        <f>ADDRESS(ROW('Bond 1'!$C$28),COLUMN('Bond 1'!$C$28),4)</f>
        <v>C28</v>
      </c>
      <c r="C1541" t="str">
        <f>ADDRESS(ROW('Bond 1'!$D$28),COLUMN('Bond 1'!$D$28),4)</f>
        <v>D28</v>
      </c>
      <c r="D1541" t="b" cm="1">
        <f t="array" aca="1" ref="D1541" ca="1">IF(INDIRECT("'"&amp;A1541&amp;"'!"&amp;B1541)="",FALSE,IF(INDIRECT("'"&amp;A1541&amp;"'!"&amp;B1541)&lt;0,TRUE,FALSE))</f>
        <v>0</v>
      </c>
      <c r="E1541" t="s">
        <v>434</v>
      </c>
      <c r="F1541" t="str">
        <f>INDEX(Lists!I:I,MATCH(Validation!E1541,Lists!G:G,0))</f>
        <v>Error</v>
      </c>
      <c r="G1541" t="str">
        <f>INDEX(Lists!H:H,MATCH(Validation!E1541,Lists!G:G,0))</f>
        <v>Amount may not be negative. Enter an amount greater than or equal to zero.</v>
      </c>
      <c r="H1541" s="25" t="str">
        <f t="shared" ca="1" si="201"/>
        <v/>
      </c>
      <c r="I1541" s="25" t="str">
        <f t="shared" ca="1" si="202"/>
        <v/>
      </c>
      <c r="J1541" s="26" t="str">
        <f t="shared" ca="1" si="203"/>
        <v/>
      </c>
    </row>
    <row r="1542" spans="1:10" x14ac:dyDescent="0.25">
      <c r="A1542" t="s">
        <v>309</v>
      </c>
      <c r="B1542" t="str">
        <f>ADDRESS(ROW('Bond 1'!$C$28),COLUMN('Bond 1'!$C$28),4)</f>
        <v>C28</v>
      </c>
      <c r="C1542" t="str">
        <f>ADDRESS(ROW('Bond 1'!$D$28),COLUMN('Bond 1'!$D$28),4)</f>
        <v>D28</v>
      </c>
      <c r="D1542" t="b" cm="1">
        <f t="array" aca="1" ref="D1542" ca="1">IF(INDIRECT("'"&amp;A1542&amp;"'!"&amp;B1542)="",FALSE,IF(INDIRECT("'"&amp;A1542&amp;"'!"&amp;B1542)&lt;0,TRUE,FALSE))</f>
        <v>0</v>
      </c>
      <c r="E1542" t="s">
        <v>434</v>
      </c>
      <c r="F1542" t="str">
        <f>INDEX(Lists!I:I,MATCH(Validation!E1542,Lists!G:G,0))</f>
        <v>Error</v>
      </c>
      <c r="G1542" t="str">
        <f>INDEX(Lists!H:H,MATCH(Validation!E1542,Lists!G:G,0))</f>
        <v>Amount may not be negative. Enter an amount greater than or equal to zero.</v>
      </c>
      <c r="H1542" s="25" t="str">
        <f t="shared" ca="1" si="201"/>
        <v/>
      </c>
      <c r="I1542" s="25" t="str">
        <f t="shared" ca="1" si="202"/>
        <v/>
      </c>
      <c r="J1542" s="26" t="str">
        <f t="shared" ca="1" si="203"/>
        <v/>
      </c>
    </row>
    <row r="1543" spans="1:10" x14ac:dyDescent="0.25">
      <c r="A1543" t="s">
        <v>310</v>
      </c>
      <c r="B1543" t="str">
        <f>ADDRESS(ROW('Bond 1'!$C$28),COLUMN('Bond 1'!$C$28),4)</f>
        <v>C28</v>
      </c>
      <c r="C1543" t="str">
        <f>ADDRESS(ROW('Bond 1'!$D$28),COLUMN('Bond 1'!$D$28),4)</f>
        <v>D28</v>
      </c>
      <c r="D1543" t="b" cm="1">
        <f t="array" aca="1" ref="D1543" ca="1">IF(INDIRECT("'"&amp;A1543&amp;"'!"&amp;B1543)="",FALSE,IF(INDIRECT("'"&amp;A1543&amp;"'!"&amp;B1543)&lt;0,TRUE,FALSE))</f>
        <v>0</v>
      </c>
      <c r="E1543" t="s">
        <v>434</v>
      </c>
      <c r="F1543" t="str">
        <f>INDEX(Lists!I:I,MATCH(Validation!E1543,Lists!G:G,0))</f>
        <v>Error</v>
      </c>
      <c r="G1543" t="str">
        <f>INDEX(Lists!H:H,MATCH(Validation!E1543,Lists!G:G,0))</f>
        <v>Amount may not be negative. Enter an amount greater than or equal to zero.</v>
      </c>
      <c r="H1543" s="25" t="str">
        <f t="shared" ca="1" si="201"/>
        <v/>
      </c>
      <c r="I1543" s="25" t="str">
        <f t="shared" ca="1" si="202"/>
        <v/>
      </c>
      <c r="J1543" s="26" t="str">
        <f t="shared" ca="1" si="203"/>
        <v/>
      </c>
    </row>
    <row r="1544" spans="1:10" x14ac:dyDescent="0.25">
      <c r="A1544" t="s">
        <v>311</v>
      </c>
      <c r="B1544" t="str">
        <f>ADDRESS(ROW('Bond 1'!$C$28),COLUMN('Bond 1'!$C$28),4)</f>
        <v>C28</v>
      </c>
      <c r="C1544" t="str">
        <f>ADDRESS(ROW('Bond 1'!$D$28),COLUMN('Bond 1'!$D$28),4)</f>
        <v>D28</v>
      </c>
      <c r="D1544" t="b" cm="1">
        <f t="array" aca="1" ref="D1544" ca="1">IF(INDIRECT("'"&amp;A1544&amp;"'!"&amp;B1544)="",FALSE,IF(INDIRECT("'"&amp;A1544&amp;"'!"&amp;B1544)&lt;0,TRUE,FALSE))</f>
        <v>0</v>
      </c>
      <c r="E1544" t="s">
        <v>434</v>
      </c>
      <c r="F1544" t="str">
        <f>INDEX(Lists!I:I,MATCH(Validation!E1544,Lists!G:G,0))</f>
        <v>Error</v>
      </c>
      <c r="G1544" t="str">
        <f>INDEX(Lists!H:H,MATCH(Validation!E1544,Lists!G:G,0))</f>
        <v>Amount may not be negative. Enter an amount greater than or equal to zero.</v>
      </c>
      <c r="H1544" s="25" t="str">
        <f t="shared" ca="1" si="201"/>
        <v/>
      </c>
      <c r="I1544" s="25" t="str">
        <f t="shared" ca="1" si="202"/>
        <v/>
      </c>
      <c r="J1544" s="26" t="str">
        <f t="shared" ca="1" si="203"/>
        <v/>
      </c>
    </row>
    <row r="1545" spans="1:10" x14ac:dyDescent="0.25">
      <c r="A1545" t="s">
        <v>312</v>
      </c>
      <c r="B1545" t="str">
        <f>ADDRESS(ROW('Bond 1'!$C$28),COLUMN('Bond 1'!$C$28),4)</f>
        <v>C28</v>
      </c>
      <c r="C1545" t="str">
        <f>ADDRESS(ROW('Bond 1'!$D$28),COLUMN('Bond 1'!$D$28),4)</f>
        <v>D28</v>
      </c>
      <c r="D1545" t="b" cm="1">
        <f t="array" aca="1" ref="D1545" ca="1">IF(INDIRECT("'"&amp;A1545&amp;"'!"&amp;B1545)="",FALSE,IF(INDIRECT("'"&amp;A1545&amp;"'!"&amp;B1545)&lt;0,TRUE,FALSE))</f>
        <v>0</v>
      </c>
      <c r="E1545" t="s">
        <v>434</v>
      </c>
      <c r="F1545" t="str">
        <f>INDEX(Lists!I:I,MATCH(Validation!E1545,Lists!G:G,0))</f>
        <v>Error</v>
      </c>
      <c r="G1545" t="str">
        <f>INDEX(Lists!H:H,MATCH(Validation!E1545,Lists!G:G,0))</f>
        <v>Amount may not be negative. Enter an amount greater than or equal to zero.</v>
      </c>
      <c r="H1545" s="25" t="str">
        <f t="shared" ca="1" si="201"/>
        <v/>
      </c>
      <c r="I1545" s="25" t="str">
        <f t="shared" ca="1" si="202"/>
        <v/>
      </c>
      <c r="J1545" s="26" t="str">
        <f t="shared" ca="1" si="203"/>
        <v/>
      </c>
    </row>
    <row r="1546" spans="1:10" x14ac:dyDescent="0.25">
      <c r="A1546" t="s">
        <v>313</v>
      </c>
      <c r="B1546" t="str">
        <f>ADDRESS(ROW('Bond 1'!$C$28),COLUMN('Bond 1'!$C$28),4)</f>
        <v>C28</v>
      </c>
      <c r="C1546" t="str">
        <f>ADDRESS(ROW('Bond 1'!$D$28),COLUMN('Bond 1'!$D$28),4)</f>
        <v>D28</v>
      </c>
      <c r="D1546" t="b" cm="1">
        <f t="array" aca="1" ref="D1546" ca="1">IF(INDIRECT("'"&amp;A1546&amp;"'!"&amp;B1546)="",FALSE,IF(INDIRECT("'"&amp;A1546&amp;"'!"&amp;B1546)&lt;0,TRUE,FALSE))</f>
        <v>0</v>
      </c>
      <c r="E1546" t="s">
        <v>434</v>
      </c>
      <c r="F1546" t="str">
        <f>INDEX(Lists!I:I,MATCH(Validation!E1546,Lists!G:G,0))</f>
        <v>Error</v>
      </c>
      <c r="G1546" t="str">
        <f>INDEX(Lists!H:H,MATCH(Validation!E1546,Lists!G:G,0))</f>
        <v>Amount may not be negative. Enter an amount greater than or equal to zero.</v>
      </c>
      <c r="H1546" s="25" t="str">
        <f t="shared" ca="1" si="201"/>
        <v/>
      </c>
      <c r="I1546" s="25" t="str">
        <f t="shared" ca="1" si="202"/>
        <v/>
      </c>
      <c r="J1546" s="26" t="str">
        <f t="shared" ca="1" si="203"/>
        <v/>
      </c>
    </row>
    <row r="1547" spans="1:10" x14ac:dyDescent="0.25">
      <c r="A1547" t="s">
        <v>314</v>
      </c>
      <c r="B1547" t="str">
        <f>ADDRESS(ROW('Bond 1'!$C$28),COLUMN('Bond 1'!$C$28),4)</f>
        <v>C28</v>
      </c>
      <c r="C1547" t="str">
        <f>ADDRESS(ROW('Bond 1'!$D$28),COLUMN('Bond 1'!$D$28),4)</f>
        <v>D28</v>
      </c>
      <c r="D1547" t="b" cm="1">
        <f t="array" aca="1" ref="D1547" ca="1">IF(INDIRECT("'"&amp;A1547&amp;"'!"&amp;B1547)="",FALSE,IF(INDIRECT("'"&amp;A1547&amp;"'!"&amp;B1547)&lt;0,TRUE,FALSE))</f>
        <v>0</v>
      </c>
      <c r="E1547" t="s">
        <v>434</v>
      </c>
      <c r="F1547" t="str">
        <f>INDEX(Lists!I:I,MATCH(Validation!E1547,Lists!G:G,0))</f>
        <v>Error</v>
      </c>
      <c r="G1547" t="str">
        <f>INDEX(Lists!H:H,MATCH(Validation!E1547,Lists!G:G,0))</f>
        <v>Amount may not be negative. Enter an amount greater than or equal to zero.</v>
      </c>
      <c r="H1547" s="25" t="str">
        <f t="shared" ca="1" si="201"/>
        <v/>
      </c>
      <c r="I1547" s="25" t="str">
        <f t="shared" ca="1" si="202"/>
        <v/>
      </c>
      <c r="J1547" s="26" t="str">
        <f t="shared" ca="1" si="203"/>
        <v/>
      </c>
    </row>
    <row r="1548" spans="1:10" x14ac:dyDescent="0.25">
      <c r="A1548" t="s">
        <v>315</v>
      </c>
      <c r="B1548" t="str">
        <f>ADDRESS(ROW('Bond 1'!$C$28),COLUMN('Bond 1'!$C$28),4)</f>
        <v>C28</v>
      </c>
      <c r="C1548" t="str">
        <f>ADDRESS(ROW('Bond 1'!$D$28),COLUMN('Bond 1'!$D$28),4)</f>
        <v>D28</v>
      </c>
      <c r="D1548" t="b" cm="1">
        <f t="array" aca="1" ref="D1548" ca="1">IF(INDIRECT("'"&amp;A1548&amp;"'!"&amp;B1548)="",FALSE,IF(INDIRECT("'"&amp;A1548&amp;"'!"&amp;B1548)&lt;0,TRUE,FALSE))</f>
        <v>0</v>
      </c>
      <c r="E1548" t="s">
        <v>434</v>
      </c>
      <c r="F1548" t="str">
        <f>INDEX(Lists!I:I,MATCH(Validation!E1548,Lists!G:G,0))</f>
        <v>Error</v>
      </c>
      <c r="G1548" t="str">
        <f>INDEX(Lists!H:H,MATCH(Validation!E1548,Lists!G:G,0))</f>
        <v>Amount may not be negative. Enter an amount greater than or equal to zero.</v>
      </c>
      <c r="H1548" s="25" t="str">
        <f t="shared" ca="1" si="201"/>
        <v/>
      </c>
      <c r="I1548" s="25" t="str">
        <f t="shared" ca="1" si="202"/>
        <v/>
      </c>
      <c r="J1548" s="26" t="str">
        <f t="shared" ca="1" si="203"/>
        <v/>
      </c>
    </row>
    <row r="1549" spans="1:10" x14ac:dyDescent="0.25">
      <c r="A1549" t="s">
        <v>198</v>
      </c>
      <c r="B1549" t="str">
        <f>ADDRESS(ROW('Bond 1'!$C$28),COLUMN('Bond 1'!$C$28),4)</f>
        <v>C28</v>
      </c>
      <c r="C1549" t="str">
        <f>ADDRESS(ROW('Bond 1'!$D$28),COLUMN('Bond 1'!$D$28),4)</f>
        <v>D28</v>
      </c>
      <c r="D1549" t="b" cm="1">
        <f t="array" aca="1" ref="D1549" ca="1">IF(INDIRECT("'"&amp;A1549&amp;"'!"&amp;B1549)="",FALSE,IF(TRUNC(INDIRECT("'"&amp;A1549&amp;"'!"&amp;B1549))=INDIRECT("'"&amp;A1549&amp;"'!"&amp;B1549),FALSE,TRUE))</f>
        <v>0</v>
      </c>
      <c r="E1549" t="s">
        <v>436</v>
      </c>
      <c r="F1549" t="str">
        <f>INDEX(Lists!I:I,MATCH(Validation!E1549,Lists!G:G,0))</f>
        <v>Error</v>
      </c>
      <c r="G1549" t="str">
        <f>INDEX(Lists!H:H,MATCH(Validation!E1549,Lists!G:G,0))</f>
        <v>Amount must be rounded to the nearest dollar.</v>
      </c>
      <c r="H1549" s="25" t="str">
        <f t="shared" ca="1" si="201"/>
        <v/>
      </c>
      <c r="I1549" s="25" t="str">
        <f t="shared" ca="1" si="202"/>
        <v/>
      </c>
      <c r="J1549" s="26" t="str">
        <f t="shared" ca="1" si="203"/>
        <v/>
      </c>
    </row>
    <row r="1550" spans="1:10" x14ac:dyDescent="0.25">
      <c r="A1550" t="s">
        <v>302</v>
      </c>
      <c r="B1550" t="str">
        <f>ADDRESS(ROW('Bond 1'!$C$28),COLUMN('Bond 1'!$C$28),4)</f>
        <v>C28</v>
      </c>
      <c r="C1550" t="str">
        <f>ADDRESS(ROW('Bond 1'!$D$28),COLUMN('Bond 1'!$D$28),4)</f>
        <v>D28</v>
      </c>
      <c r="D1550" t="b" cm="1">
        <f t="array" aca="1" ref="D1550" ca="1">IF(INDIRECT("'"&amp;A1550&amp;"'!"&amp;B1550)="",FALSE,IF(TRUNC(INDIRECT("'"&amp;A1550&amp;"'!"&amp;B1550))=INDIRECT("'"&amp;A1550&amp;"'!"&amp;B1550),FALSE,TRUE))</f>
        <v>0</v>
      </c>
      <c r="E1550" t="s">
        <v>436</v>
      </c>
      <c r="F1550" t="str">
        <f>INDEX(Lists!I:I,MATCH(Validation!E1550,Lists!G:G,0))</f>
        <v>Error</v>
      </c>
      <c r="G1550" t="str">
        <f>INDEX(Lists!H:H,MATCH(Validation!E1550,Lists!G:G,0))</f>
        <v>Amount must be rounded to the nearest dollar.</v>
      </c>
      <c r="H1550" s="25" t="str">
        <f t="shared" ca="1" si="201"/>
        <v/>
      </c>
      <c r="I1550" s="25" t="str">
        <f t="shared" ca="1" si="202"/>
        <v/>
      </c>
      <c r="J1550" s="26" t="str">
        <f t="shared" ca="1" si="203"/>
        <v/>
      </c>
    </row>
    <row r="1551" spans="1:10" x14ac:dyDescent="0.25">
      <c r="A1551" t="s">
        <v>303</v>
      </c>
      <c r="B1551" t="str">
        <f>ADDRESS(ROW('Bond 1'!$C$28),COLUMN('Bond 1'!$C$28),4)</f>
        <v>C28</v>
      </c>
      <c r="C1551" t="str">
        <f>ADDRESS(ROW('Bond 1'!$D$28),COLUMN('Bond 1'!$D$28),4)</f>
        <v>D28</v>
      </c>
      <c r="D1551" t="b" cm="1">
        <f t="array" aca="1" ref="D1551" ca="1">IF(INDIRECT("'"&amp;A1551&amp;"'!"&amp;B1551)="",FALSE,IF(TRUNC(INDIRECT("'"&amp;A1551&amp;"'!"&amp;B1551))=INDIRECT("'"&amp;A1551&amp;"'!"&amp;B1551),FALSE,TRUE))</f>
        <v>0</v>
      </c>
      <c r="E1551" t="s">
        <v>436</v>
      </c>
      <c r="F1551" t="str">
        <f>INDEX(Lists!I:I,MATCH(Validation!E1551,Lists!G:G,0))</f>
        <v>Error</v>
      </c>
      <c r="G1551" t="str">
        <f>INDEX(Lists!H:H,MATCH(Validation!E1551,Lists!G:G,0))</f>
        <v>Amount must be rounded to the nearest dollar.</v>
      </c>
      <c r="H1551" s="25" t="str">
        <f t="shared" ca="1" si="201"/>
        <v/>
      </c>
      <c r="I1551" s="25" t="str">
        <f t="shared" ca="1" si="202"/>
        <v/>
      </c>
      <c r="J1551" s="26" t="str">
        <f t="shared" ca="1" si="203"/>
        <v/>
      </c>
    </row>
    <row r="1552" spans="1:10" x14ac:dyDescent="0.25">
      <c r="A1552" t="s">
        <v>304</v>
      </c>
      <c r="B1552" t="str">
        <f>ADDRESS(ROW('Bond 1'!$C$28),COLUMN('Bond 1'!$C$28),4)</f>
        <v>C28</v>
      </c>
      <c r="C1552" t="str">
        <f>ADDRESS(ROW('Bond 1'!$D$28),COLUMN('Bond 1'!$D$28),4)</f>
        <v>D28</v>
      </c>
      <c r="D1552" t="b" cm="1">
        <f t="array" aca="1" ref="D1552" ca="1">IF(INDIRECT("'"&amp;A1552&amp;"'!"&amp;B1552)="",FALSE,IF(TRUNC(INDIRECT("'"&amp;A1552&amp;"'!"&amp;B1552))=INDIRECT("'"&amp;A1552&amp;"'!"&amp;B1552),FALSE,TRUE))</f>
        <v>0</v>
      </c>
      <c r="E1552" t="s">
        <v>436</v>
      </c>
      <c r="F1552" t="str">
        <f>INDEX(Lists!I:I,MATCH(Validation!E1552,Lists!G:G,0))</f>
        <v>Error</v>
      </c>
      <c r="G1552" t="str">
        <f>INDEX(Lists!H:H,MATCH(Validation!E1552,Lists!G:G,0))</f>
        <v>Amount must be rounded to the nearest dollar.</v>
      </c>
      <c r="H1552" s="25" t="str">
        <f t="shared" ca="1" si="201"/>
        <v/>
      </c>
      <c r="I1552" s="25" t="str">
        <f t="shared" ca="1" si="202"/>
        <v/>
      </c>
      <c r="J1552" s="26" t="str">
        <f t="shared" ca="1" si="203"/>
        <v/>
      </c>
    </row>
    <row r="1553" spans="1:10" x14ac:dyDescent="0.25">
      <c r="A1553" t="s">
        <v>305</v>
      </c>
      <c r="B1553" t="str">
        <f>ADDRESS(ROW('Bond 1'!$C$28),COLUMN('Bond 1'!$C$28),4)</f>
        <v>C28</v>
      </c>
      <c r="C1553" t="str">
        <f>ADDRESS(ROW('Bond 1'!$D$28),COLUMN('Bond 1'!$D$28),4)</f>
        <v>D28</v>
      </c>
      <c r="D1553" t="b" cm="1">
        <f t="array" aca="1" ref="D1553" ca="1">IF(INDIRECT("'"&amp;A1553&amp;"'!"&amp;B1553)="",FALSE,IF(TRUNC(INDIRECT("'"&amp;A1553&amp;"'!"&amp;B1553))=INDIRECT("'"&amp;A1553&amp;"'!"&amp;B1553),FALSE,TRUE))</f>
        <v>0</v>
      </c>
      <c r="E1553" t="s">
        <v>436</v>
      </c>
      <c r="F1553" t="str">
        <f>INDEX(Lists!I:I,MATCH(Validation!E1553,Lists!G:G,0))</f>
        <v>Error</v>
      </c>
      <c r="G1553" t="str">
        <f>INDEX(Lists!H:H,MATCH(Validation!E1553,Lists!G:G,0))</f>
        <v>Amount must be rounded to the nearest dollar.</v>
      </c>
      <c r="H1553" s="25" t="str">
        <f t="shared" ca="1" si="201"/>
        <v/>
      </c>
      <c r="I1553" s="25" t="str">
        <f t="shared" ca="1" si="202"/>
        <v/>
      </c>
      <c r="J1553" s="26" t="str">
        <f t="shared" ca="1" si="203"/>
        <v/>
      </c>
    </row>
    <row r="1554" spans="1:10" x14ac:dyDescent="0.25">
      <c r="A1554" t="s">
        <v>306</v>
      </c>
      <c r="B1554" t="str">
        <f>ADDRESS(ROW('Bond 1'!$C$28),COLUMN('Bond 1'!$C$28),4)</f>
        <v>C28</v>
      </c>
      <c r="C1554" t="str">
        <f>ADDRESS(ROW('Bond 1'!$D$28),COLUMN('Bond 1'!$D$28),4)</f>
        <v>D28</v>
      </c>
      <c r="D1554" t="b" cm="1">
        <f t="array" aca="1" ref="D1554" ca="1">IF(INDIRECT("'"&amp;A1554&amp;"'!"&amp;B1554)="",FALSE,IF(TRUNC(INDIRECT("'"&amp;A1554&amp;"'!"&amp;B1554))=INDIRECT("'"&amp;A1554&amp;"'!"&amp;B1554),FALSE,TRUE))</f>
        <v>0</v>
      </c>
      <c r="E1554" t="s">
        <v>436</v>
      </c>
      <c r="F1554" t="str">
        <f>INDEX(Lists!I:I,MATCH(Validation!E1554,Lists!G:G,0))</f>
        <v>Error</v>
      </c>
      <c r="G1554" t="str">
        <f>INDEX(Lists!H:H,MATCH(Validation!E1554,Lists!G:G,0))</f>
        <v>Amount must be rounded to the nearest dollar.</v>
      </c>
      <c r="H1554" s="25" t="str">
        <f t="shared" ca="1" si="201"/>
        <v/>
      </c>
      <c r="I1554" s="25" t="str">
        <f t="shared" ca="1" si="202"/>
        <v/>
      </c>
      <c r="J1554" s="26" t="str">
        <f t="shared" ca="1" si="203"/>
        <v/>
      </c>
    </row>
    <row r="1555" spans="1:10" x14ac:dyDescent="0.25">
      <c r="A1555" t="s">
        <v>307</v>
      </c>
      <c r="B1555" t="str">
        <f>ADDRESS(ROW('Bond 1'!$C$28),COLUMN('Bond 1'!$C$28),4)</f>
        <v>C28</v>
      </c>
      <c r="C1555" t="str">
        <f>ADDRESS(ROW('Bond 1'!$D$28),COLUMN('Bond 1'!$D$28),4)</f>
        <v>D28</v>
      </c>
      <c r="D1555" t="b" cm="1">
        <f t="array" aca="1" ref="D1555" ca="1">IF(INDIRECT("'"&amp;A1555&amp;"'!"&amp;B1555)="",FALSE,IF(TRUNC(INDIRECT("'"&amp;A1555&amp;"'!"&amp;B1555))=INDIRECT("'"&amp;A1555&amp;"'!"&amp;B1555),FALSE,TRUE))</f>
        <v>0</v>
      </c>
      <c r="E1555" t="s">
        <v>436</v>
      </c>
      <c r="F1555" t="str">
        <f>INDEX(Lists!I:I,MATCH(Validation!E1555,Lists!G:G,0))</f>
        <v>Error</v>
      </c>
      <c r="G1555" t="str">
        <f>INDEX(Lists!H:H,MATCH(Validation!E1555,Lists!G:G,0))</f>
        <v>Amount must be rounded to the nearest dollar.</v>
      </c>
      <c r="H1555" s="25" t="str">
        <f t="shared" ca="1" si="201"/>
        <v/>
      </c>
      <c r="I1555" s="25" t="str">
        <f t="shared" ca="1" si="202"/>
        <v/>
      </c>
      <c r="J1555" s="26" t="str">
        <f t="shared" ca="1" si="203"/>
        <v/>
      </c>
    </row>
    <row r="1556" spans="1:10" x14ac:dyDescent="0.25">
      <c r="A1556" t="s">
        <v>308</v>
      </c>
      <c r="B1556" t="str">
        <f>ADDRESS(ROW('Bond 1'!$C$28),COLUMN('Bond 1'!$C$28),4)</f>
        <v>C28</v>
      </c>
      <c r="C1556" t="str">
        <f>ADDRESS(ROW('Bond 1'!$D$28),COLUMN('Bond 1'!$D$28),4)</f>
        <v>D28</v>
      </c>
      <c r="D1556" t="b" cm="1">
        <f t="array" aca="1" ref="D1556" ca="1">IF(INDIRECT("'"&amp;A1556&amp;"'!"&amp;B1556)="",FALSE,IF(TRUNC(INDIRECT("'"&amp;A1556&amp;"'!"&amp;B1556))=INDIRECT("'"&amp;A1556&amp;"'!"&amp;B1556),FALSE,TRUE))</f>
        <v>0</v>
      </c>
      <c r="E1556" t="s">
        <v>436</v>
      </c>
      <c r="F1556" t="str">
        <f>INDEX(Lists!I:I,MATCH(Validation!E1556,Lists!G:G,0))</f>
        <v>Error</v>
      </c>
      <c r="G1556" t="str">
        <f>INDEX(Lists!H:H,MATCH(Validation!E1556,Lists!G:G,0))</f>
        <v>Amount must be rounded to the nearest dollar.</v>
      </c>
      <c r="H1556" s="25" t="str">
        <f t="shared" ca="1" si="201"/>
        <v/>
      </c>
      <c r="I1556" s="25" t="str">
        <f t="shared" ca="1" si="202"/>
        <v/>
      </c>
      <c r="J1556" s="26" t="str">
        <f t="shared" ca="1" si="203"/>
        <v/>
      </c>
    </row>
    <row r="1557" spans="1:10" x14ac:dyDescent="0.25">
      <c r="A1557" t="s">
        <v>309</v>
      </c>
      <c r="B1557" t="str">
        <f>ADDRESS(ROW('Bond 1'!$C$28),COLUMN('Bond 1'!$C$28),4)</f>
        <v>C28</v>
      </c>
      <c r="C1557" t="str">
        <f>ADDRESS(ROW('Bond 1'!$D$28),COLUMN('Bond 1'!$D$28),4)</f>
        <v>D28</v>
      </c>
      <c r="D1557" t="b" cm="1">
        <f t="array" aca="1" ref="D1557" ca="1">IF(INDIRECT("'"&amp;A1557&amp;"'!"&amp;B1557)="",FALSE,IF(TRUNC(INDIRECT("'"&amp;A1557&amp;"'!"&amp;B1557))=INDIRECT("'"&amp;A1557&amp;"'!"&amp;B1557),FALSE,TRUE))</f>
        <v>0</v>
      </c>
      <c r="E1557" t="s">
        <v>436</v>
      </c>
      <c r="F1557" t="str">
        <f>INDEX(Lists!I:I,MATCH(Validation!E1557,Lists!G:G,0))</f>
        <v>Error</v>
      </c>
      <c r="G1557" t="str">
        <f>INDEX(Lists!H:H,MATCH(Validation!E1557,Lists!G:G,0))</f>
        <v>Amount must be rounded to the nearest dollar.</v>
      </c>
      <c r="H1557" s="25" t="str">
        <f t="shared" ca="1" si="201"/>
        <v/>
      </c>
      <c r="I1557" s="25" t="str">
        <f t="shared" ca="1" si="202"/>
        <v/>
      </c>
      <c r="J1557" s="26" t="str">
        <f t="shared" ca="1" si="203"/>
        <v/>
      </c>
    </row>
    <row r="1558" spans="1:10" x14ac:dyDescent="0.25">
      <c r="A1558" t="s">
        <v>310</v>
      </c>
      <c r="B1558" t="str">
        <f>ADDRESS(ROW('Bond 1'!$C$28),COLUMN('Bond 1'!$C$28),4)</f>
        <v>C28</v>
      </c>
      <c r="C1558" t="str">
        <f>ADDRESS(ROW('Bond 1'!$D$28),COLUMN('Bond 1'!$D$28),4)</f>
        <v>D28</v>
      </c>
      <c r="D1558" t="b" cm="1">
        <f t="array" aca="1" ref="D1558" ca="1">IF(INDIRECT("'"&amp;A1558&amp;"'!"&amp;B1558)="",FALSE,IF(TRUNC(INDIRECT("'"&amp;A1558&amp;"'!"&amp;B1558))=INDIRECT("'"&amp;A1558&amp;"'!"&amp;B1558),FALSE,TRUE))</f>
        <v>0</v>
      </c>
      <c r="E1558" t="s">
        <v>436</v>
      </c>
      <c r="F1558" t="str">
        <f>INDEX(Lists!I:I,MATCH(Validation!E1558,Lists!G:G,0))</f>
        <v>Error</v>
      </c>
      <c r="G1558" t="str">
        <f>INDEX(Lists!H:H,MATCH(Validation!E1558,Lists!G:G,0))</f>
        <v>Amount must be rounded to the nearest dollar.</v>
      </c>
      <c r="H1558" s="25" t="str">
        <f t="shared" ca="1" si="201"/>
        <v/>
      </c>
      <c r="I1558" s="25" t="str">
        <f t="shared" ca="1" si="202"/>
        <v/>
      </c>
      <c r="J1558" s="26" t="str">
        <f t="shared" ca="1" si="203"/>
        <v/>
      </c>
    </row>
    <row r="1559" spans="1:10" x14ac:dyDescent="0.25">
      <c r="A1559" t="s">
        <v>311</v>
      </c>
      <c r="B1559" t="str">
        <f>ADDRESS(ROW('Bond 1'!$C$28),COLUMN('Bond 1'!$C$28),4)</f>
        <v>C28</v>
      </c>
      <c r="C1559" t="str">
        <f>ADDRESS(ROW('Bond 1'!$D$28),COLUMN('Bond 1'!$D$28),4)</f>
        <v>D28</v>
      </c>
      <c r="D1559" t="b" cm="1">
        <f t="array" aca="1" ref="D1559" ca="1">IF(INDIRECT("'"&amp;A1559&amp;"'!"&amp;B1559)="",FALSE,IF(TRUNC(INDIRECT("'"&amp;A1559&amp;"'!"&amp;B1559))=INDIRECT("'"&amp;A1559&amp;"'!"&amp;B1559),FALSE,TRUE))</f>
        <v>0</v>
      </c>
      <c r="E1559" t="s">
        <v>436</v>
      </c>
      <c r="F1559" t="str">
        <f>INDEX(Lists!I:I,MATCH(Validation!E1559,Lists!G:G,0))</f>
        <v>Error</v>
      </c>
      <c r="G1559" t="str">
        <f>INDEX(Lists!H:H,MATCH(Validation!E1559,Lists!G:G,0))</f>
        <v>Amount must be rounded to the nearest dollar.</v>
      </c>
      <c r="H1559" s="25" t="str">
        <f t="shared" ca="1" si="201"/>
        <v/>
      </c>
      <c r="I1559" s="25" t="str">
        <f t="shared" ca="1" si="202"/>
        <v/>
      </c>
      <c r="J1559" s="26" t="str">
        <f t="shared" ca="1" si="203"/>
        <v/>
      </c>
    </row>
    <row r="1560" spans="1:10" x14ac:dyDescent="0.25">
      <c r="A1560" t="s">
        <v>312</v>
      </c>
      <c r="B1560" t="str">
        <f>ADDRESS(ROW('Bond 1'!$C$28),COLUMN('Bond 1'!$C$28),4)</f>
        <v>C28</v>
      </c>
      <c r="C1560" t="str">
        <f>ADDRESS(ROW('Bond 1'!$D$28),COLUMN('Bond 1'!$D$28),4)</f>
        <v>D28</v>
      </c>
      <c r="D1560" t="b" cm="1">
        <f t="array" aca="1" ref="D1560" ca="1">IF(INDIRECT("'"&amp;A1560&amp;"'!"&amp;B1560)="",FALSE,IF(TRUNC(INDIRECT("'"&amp;A1560&amp;"'!"&amp;B1560))=INDIRECT("'"&amp;A1560&amp;"'!"&amp;B1560),FALSE,TRUE))</f>
        <v>0</v>
      </c>
      <c r="E1560" t="s">
        <v>436</v>
      </c>
      <c r="F1560" t="str">
        <f>INDEX(Lists!I:I,MATCH(Validation!E1560,Lists!G:G,0))</f>
        <v>Error</v>
      </c>
      <c r="G1560" t="str">
        <f>INDEX(Lists!H:H,MATCH(Validation!E1560,Lists!G:G,0))</f>
        <v>Amount must be rounded to the nearest dollar.</v>
      </c>
      <c r="H1560" s="25" t="str">
        <f t="shared" ca="1" si="201"/>
        <v/>
      </c>
      <c r="I1560" s="25" t="str">
        <f t="shared" ca="1" si="202"/>
        <v/>
      </c>
      <c r="J1560" s="26" t="str">
        <f t="shared" ca="1" si="203"/>
        <v/>
      </c>
    </row>
    <row r="1561" spans="1:10" x14ac:dyDescent="0.25">
      <c r="A1561" t="s">
        <v>313</v>
      </c>
      <c r="B1561" t="str">
        <f>ADDRESS(ROW('Bond 1'!$C$28),COLUMN('Bond 1'!$C$28),4)</f>
        <v>C28</v>
      </c>
      <c r="C1561" t="str">
        <f>ADDRESS(ROW('Bond 1'!$D$28),COLUMN('Bond 1'!$D$28),4)</f>
        <v>D28</v>
      </c>
      <c r="D1561" t="b" cm="1">
        <f t="array" aca="1" ref="D1561" ca="1">IF(INDIRECT("'"&amp;A1561&amp;"'!"&amp;B1561)="",FALSE,IF(TRUNC(INDIRECT("'"&amp;A1561&amp;"'!"&amp;B1561))=INDIRECT("'"&amp;A1561&amp;"'!"&amp;B1561),FALSE,TRUE))</f>
        <v>0</v>
      </c>
      <c r="E1561" t="s">
        <v>436</v>
      </c>
      <c r="F1561" t="str">
        <f>INDEX(Lists!I:I,MATCH(Validation!E1561,Lists!G:G,0))</f>
        <v>Error</v>
      </c>
      <c r="G1561" t="str">
        <f>INDEX(Lists!H:H,MATCH(Validation!E1561,Lists!G:G,0))</f>
        <v>Amount must be rounded to the nearest dollar.</v>
      </c>
      <c r="H1561" s="25" t="str">
        <f t="shared" ca="1" si="201"/>
        <v/>
      </c>
      <c r="I1561" s="25" t="str">
        <f t="shared" ca="1" si="202"/>
        <v/>
      </c>
      <c r="J1561" s="26" t="str">
        <f t="shared" ca="1" si="203"/>
        <v/>
      </c>
    </row>
    <row r="1562" spans="1:10" x14ac:dyDescent="0.25">
      <c r="A1562" t="s">
        <v>314</v>
      </c>
      <c r="B1562" t="str">
        <f>ADDRESS(ROW('Bond 1'!$C$28),COLUMN('Bond 1'!$C$28),4)</f>
        <v>C28</v>
      </c>
      <c r="C1562" t="str">
        <f>ADDRESS(ROW('Bond 1'!$D$28),COLUMN('Bond 1'!$D$28),4)</f>
        <v>D28</v>
      </c>
      <c r="D1562" t="b" cm="1">
        <f t="array" aca="1" ref="D1562" ca="1">IF(INDIRECT("'"&amp;A1562&amp;"'!"&amp;B1562)="",FALSE,IF(TRUNC(INDIRECT("'"&amp;A1562&amp;"'!"&amp;B1562))=INDIRECT("'"&amp;A1562&amp;"'!"&amp;B1562),FALSE,TRUE))</f>
        <v>0</v>
      </c>
      <c r="E1562" t="s">
        <v>436</v>
      </c>
      <c r="F1562" t="str">
        <f>INDEX(Lists!I:I,MATCH(Validation!E1562,Lists!G:G,0))</f>
        <v>Error</v>
      </c>
      <c r="G1562" t="str">
        <f>INDEX(Lists!H:H,MATCH(Validation!E1562,Lists!G:G,0))</f>
        <v>Amount must be rounded to the nearest dollar.</v>
      </c>
      <c r="H1562" s="25" t="str">
        <f t="shared" ca="1" si="201"/>
        <v/>
      </c>
      <c r="I1562" s="25" t="str">
        <f t="shared" ca="1" si="202"/>
        <v/>
      </c>
      <c r="J1562" s="26" t="str">
        <f t="shared" ca="1" si="203"/>
        <v/>
      </c>
    </row>
    <row r="1563" spans="1:10" x14ac:dyDescent="0.25">
      <c r="A1563" t="s">
        <v>315</v>
      </c>
      <c r="B1563" t="str">
        <f>ADDRESS(ROW('Bond 1'!$C$28),COLUMN('Bond 1'!$C$28),4)</f>
        <v>C28</v>
      </c>
      <c r="C1563" t="str">
        <f>ADDRESS(ROW('Bond 1'!$D$28),COLUMN('Bond 1'!$D$28),4)</f>
        <v>D28</v>
      </c>
      <c r="D1563" t="b" cm="1">
        <f t="array" aca="1" ref="D1563" ca="1">IF(INDIRECT("'"&amp;A1563&amp;"'!"&amp;B1563)="",FALSE,IF(TRUNC(INDIRECT("'"&amp;A1563&amp;"'!"&amp;B1563))=INDIRECT("'"&amp;A1563&amp;"'!"&amp;B1563),FALSE,TRUE))</f>
        <v>0</v>
      </c>
      <c r="E1563" t="s">
        <v>436</v>
      </c>
      <c r="F1563" t="str">
        <f>INDEX(Lists!I:I,MATCH(Validation!E1563,Lists!G:G,0))</f>
        <v>Error</v>
      </c>
      <c r="G1563" t="str">
        <f>INDEX(Lists!H:H,MATCH(Validation!E1563,Lists!G:G,0))</f>
        <v>Amount must be rounded to the nearest dollar.</v>
      </c>
      <c r="H1563" s="25" t="str">
        <f t="shared" ca="1" si="201"/>
        <v/>
      </c>
      <c r="I1563" s="25" t="str">
        <f t="shared" ca="1" si="202"/>
        <v/>
      </c>
      <c r="J1563" s="26" t="str">
        <f t="shared" ca="1" si="203"/>
        <v/>
      </c>
    </row>
    <row r="1564" spans="1:10" x14ac:dyDescent="0.25">
      <c r="A1564" t="s">
        <v>198</v>
      </c>
      <c r="B1564" t="str">
        <f>ADDRESS(ROW('Bond 1'!$B$29),COLUMN('Bond 1'!$B$29),4)</f>
        <v>B29</v>
      </c>
      <c r="C1564" t="str">
        <f>ADDRESS(ROW('Bond 1'!$D$29),COLUMN('Bond 1'!$D$29),4)</f>
        <v>D29</v>
      </c>
      <c r="D1564" t="b" cm="1">
        <f t="array" aca="1" ref="D1564" ca="1">IF(INDIRECT("'"&amp;A1564&amp;"'!"&amp;B1564)="",FALSE,IF(NOT(ISNUMBER(INDIRECT("'"&amp;A1564&amp;"'!"&amp;B1564))),TRUE,FALSE))</f>
        <v>0</v>
      </c>
      <c r="E1564" t="s">
        <v>435</v>
      </c>
      <c r="F1564" t="str">
        <f>INDEX(Lists!I:I,MATCH(Validation!E1564,Lists!G:G,0))</f>
        <v>Error</v>
      </c>
      <c r="G1564" t="str">
        <f>INDEX(Lists!H:H,MATCH(Validation!E1564,Lists!G:G,0))</f>
        <v>Enter an amount only. Do not enter text or spaces.</v>
      </c>
      <c r="H1564" s="25" t="str">
        <f t="shared" ca="1" si="201"/>
        <v/>
      </c>
      <c r="I1564" s="25" t="str">
        <f t="shared" ca="1" si="202"/>
        <v/>
      </c>
      <c r="J1564" s="26" t="str">
        <f t="shared" ca="1" si="203"/>
        <v/>
      </c>
    </row>
    <row r="1565" spans="1:10" x14ac:dyDescent="0.25">
      <c r="A1565" t="s">
        <v>302</v>
      </c>
      <c r="B1565" t="str">
        <f>ADDRESS(ROW('Bond 1'!$B$29),COLUMN('Bond 1'!$B$29),4)</f>
        <v>B29</v>
      </c>
      <c r="C1565" t="str">
        <f>ADDRESS(ROW('Bond 1'!$D$29),COLUMN('Bond 1'!$D$29),4)</f>
        <v>D29</v>
      </c>
      <c r="D1565" t="b" cm="1">
        <f t="array" aca="1" ref="D1565" ca="1">IF(INDIRECT("'"&amp;A1565&amp;"'!"&amp;B1565)="",FALSE,IF(NOT(ISNUMBER(INDIRECT("'"&amp;A1565&amp;"'!"&amp;B1565))),TRUE,FALSE))</f>
        <v>0</v>
      </c>
      <c r="E1565" t="s">
        <v>435</v>
      </c>
      <c r="F1565" t="str">
        <f>INDEX(Lists!I:I,MATCH(Validation!E1565,Lists!G:G,0))</f>
        <v>Error</v>
      </c>
      <c r="G1565" t="str">
        <f>INDEX(Lists!H:H,MATCH(Validation!E1565,Lists!G:G,0))</f>
        <v>Enter an amount only. Do not enter text or spaces.</v>
      </c>
      <c r="H1565" s="25" t="str">
        <f t="shared" ca="1" si="201"/>
        <v/>
      </c>
      <c r="I1565" s="25" t="str">
        <f t="shared" ca="1" si="202"/>
        <v/>
      </c>
      <c r="J1565" s="26" t="str">
        <f t="shared" ca="1" si="203"/>
        <v/>
      </c>
    </row>
    <row r="1566" spans="1:10" x14ac:dyDescent="0.25">
      <c r="A1566" t="s">
        <v>303</v>
      </c>
      <c r="B1566" t="str">
        <f>ADDRESS(ROW('Bond 1'!$B$29),COLUMN('Bond 1'!$B$29),4)</f>
        <v>B29</v>
      </c>
      <c r="C1566" t="str">
        <f>ADDRESS(ROW('Bond 1'!$D$29),COLUMN('Bond 1'!$D$29),4)</f>
        <v>D29</v>
      </c>
      <c r="D1566" t="b" cm="1">
        <f t="array" aca="1" ref="D1566" ca="1">IF(INDIRECT("'"&amp;A1566&amp;"'!"&amp;B1566)="",FALSE,IF(NOT(ISNUMBER(INDIRECT("'"&amp;A1566&amp;"'!"&amp;B1566))),TRUE,FALSE))</f>
        <v>0</v>
      </c>
      <c r="E1566" t="s">
        <v>435</v>
      </c>
      <c r="F1566" t="str">
        <f>INDEX(Lists!I:I,MATCH(Validation!E1566,Lists!G:G,0))</f>
        <v>Error</v>
      </c>
      <c r="G1566" t="str">
        <f>INDEX(Lists!H:H,MATCH(Validation!E1566,Lists!G:G,0))</f>
        <v>Enter an amount only. Do not enter text or spaces.</v>
      </c>
      <c r="H1566" s="25" t="str">
        <f t="shared" ca="1" si="201"/>
        <v/>
      </c>
      <c r="I1566" s="25" t="str">
        <f t="shared" ca="1" si="202"/>
        <v/>
      </c>
      <c r="J1566" s="26" t="str">
        <f t="shared" ca="1" si="203"/>
        <v/>
      </c>
    </row>
    <row r="1567" spans="1:10" x14ac:dyDescent="0.25">
      <c r="A1567" t="s">
        <v>304</v>
      </c>
      <c r="B1567" t="str">
        <f>ADDRESS(ROW('Bond 1'!$B$29),COLUMN('Bond 1'!$B$29),4)</f>
        <v>B29</v>
      </c>
      <c r="C1567" t="str">
        <f>ADDRESS(ROW('Bond 1'!$D$29),COLUMN('Bond 1'!$D$29),4)</f>
        <v>D29</v>
      </c>
      <c r="D1567" t="b" cm="1">
        <f t="array" aca="1" ref="D1567" ca="1">IF(INDIRECT("'"&amp;A1567&amp;"'!"&amp;B1567)="",FALSE,IF(NOT(ISNUMBER(INDIRECT("'"&amp;A1567&amp;"'!"&amp;B1567))),TRUE,FALSE))</f>
        <v>0</v>
      </c>
      <c r="E1567" t="s">
        <v>435</v>
      </c>
      <c r="F1567" t="str">
        <f>INDEX(Lists!I:I,MATCH(Validation!E1567,Lists!G:G,0))</f>
        <v>Error</v>
      </c>
      <c r="G1567" t="str">
        <f>INDEX(Lists!H:H,MATCH(Validation!E1567,Lists!G:G,0))</f>
        <v>Enter an amount only. Do not enter text or spaces.</v>
      </c>
      <c r="H1567" s="25" t="str">
        <f t="shared" ca="1" si="201"/>
        <v/>
      </c>
      <c r="I1567" s="25" t="str">
        <f t="shared" ca="1" si="202"/>
        <v/>
      </c>
      <c r="J1567" s="26" t="str">
        <f t="shared" ca="1" si="203"/>
        <v/>
      </c>
    </row>
    <row r="1568" spans="1:10" x14ac:dyDescent="0.25">
      <c r="A1568" t="s">
        <v>305</v>
      </c>
      <c r="B1568" t="str">
        <f>ADDRESS(ROW('Bond 1'!$B$29),COLUMN('Bond 1'!$B$29),4)</f>
        <v>B29</v>
      </c>
      <c r="C1568" t="str">
        <f>ADDRESS(ROW('Bond 1'!$D$29),COLUMN('Bond 1'!$D$29),4)</f>
        <v>D29</v>
      </c>
      <c r="D1568" t="b" cm="1">
        <f t="array" aca="1" ref="D1568" ca="1">IF(INDIRECT("'"&amp;A1568&amp;"'!"&amp;B1568)="",FALSE,IF(NOT(ISNUMBER(INDIRECT("'"&amp;A1568&amp;"'!"&amp;B1568))),TRUE,FALSE))</f>
        <v>0</v>
      </c>
      <c r="E1568" t="s">
        <v>435</v>
      </c>
      <c r="F1568" t="str">
        <f>INDEX(Lists!I:I,MATCH(Validation!E1568,Lists!G:G,0))</f>
        <v>Error</v>
      </c>
      <c r="G1568" t="str">
        <f>INDEX(Lists!H:H,MATCH(Validation!E1568,Lists!G:G,0))</f>
        <v>Enter an amount only. Do not enter text or spaces.</v>
      </c>
      <c r="H1568" s="25" t="str">
        <f t="shared" ca="1" si="201"/>
        <v/>
      </c>
      <c r="I1568" s="25" t="str">
        <f t="shared" ca="1" si="202"/>
        <v/>
      </c>
      <c r="J1568" s="26" t="str">
        <f t="shared" ca="1" si="203"/>
        <v/>
      </c>
    </row>
    <row r="1569" spans="1:10" x14ac:dyDescent="0.25">
      <c r="A1569" t="s">
        <v>306</v>
      </c>
      <c r="B1569" t="str">
        <f>ADDRESS(ROW('Bond 1'!$B$29),COLUMN('Bond 1'!$B$29),4)</f>
        <v>B29</v>
      </c>
      <c r="C1569" t="str">
        <f>ADDRESS(ROW('Bond 1'!$D$29),COLUMN('Bond 1'!$D$29),4)</f>
        <v>D29</v>
      </c>
      <c r="D1569" t="b" cm="1">
        <f t="array" aca="1" ref="D1569" ca="1">IF(INDIRECT("'"&amp;A1569&amp;"'!"&amp;B1569)="",FALSE,IF(NOT(ISNUMBER(INDIRECT("'"&amp;A1569&amp;"'!"&amp;B1569))),TRUE,FALSE))</f>
        <v>0</v>
      </c>
      <c r="E1569" t="s">
        <v>435</v>
      </c>
      <c r="F1569" t="str">
        <f>INDEX(Lists!I:I,MATCH(Validation!E1569,Lists!G:G,0))</f>
        <v>Error</v>
      </c>
      <c r="G1569" t="str">
        <f>INDEX(Lists!H:H,MATCH(Validation!E1569,Lists!G:G,0))</f>
        <v>Enter an amount only. Do not enter text or spaces.</v>
      </c>
      <c r="H1569" s="25" t="str">
        <f t="shared" ca="1" si="201"/>
        <v/>
      </c>
      <c r="I1569" s="25" t="str">
        <f t="shared" ca="1" si="202"/>
        <v/>
      </c>
      <c r="J1569" s="26" t="str">
        <f t="shared" ca="1" si="203"/>
        <v/>
      </c>
    </row>
    <row r="1570" spans="1:10" x14ac:dyDescent="0.25">
      <c r="A1570" t="s">
        <v>307</v>
      </c>
      <c r="B1570" t="str">
        <f>ADDRESS(ROW('Bond 1'!$B$29),COLUMN('Bond 1'!$B$29),4)</f>
        <v>B29</v>
      </c>
      <c r="C1570" t="str">
        <f>ADDRESS(ROW('Bond 1'!$D$29),COLUMN('Bond 1'!$D$29),4)</f>
        <v>D29</v>
      </c>
      <c r="D1570" t="b" cm="1">
        <f t="array" aca="1" ref="D1570" ca="1">IF(INDIRECT("'"&amp;A1570&amp;"'!"&amp;B1570)="",FALSE,IF(NOT(ISNUMBER(INDIRECT("'"&amp;A1570&amp;"'!"&amp;B1570))),TRUE,FALSE))</f>
        <v>0</v>
      </c>
      <c r="E1570" t="s">
        <v>435</v>
      </c>
      <c r="F1570" t="str">
        <f>INDEX(Lists!I:I,MATCH(Validation!E1570,Lists!G:G,0))</f>
        <v>Error</v>
      </c>
      <c r="G1570" t="str">
        <f>INDEX(Lists!H:H,MATCH(Validation!E1570,Lists!G:G,0))</f>
        <v>Enter an amount only. Do not enter text or spaces.</v>
      </c>
      <c r="H1570" s="25" t="str">
        <f t="shared" ca="1" si="201"/>
        <v/>
      </c>
      <c r="I1570" s="25" t="str">
        <f t="shared" ca="1" si="202"/>
        <v/>
      </c>
      <c r="J1570" s="26" t="str">
        <f t="shared" ca="1" si="203"/>
        <v/>
      </c>
    </row>
    <row r="1571" spans="1:10" x14ac:dyDescent="0.25">
      <c r="A1571" t="s">
        <v>308</v>
      </c>
      <c r="B1571" t="str">
        <f>ADDRESS(ROW('Bond 1'!$B$29),COLUMN('Bond 1'!$B$29),4)</f>
        <v>B29</v>
      </c>
      <c r="C1571" t="str">
        <f>ADDRESS(ROW('Bond 1'!$D$29),COLUMN('Bond 1'!$D$29),4)</f>
        <v>D29</v>
      </c>
      <c r="D1571" t="b" cm="1">
        <f t="array" aca="1" ref="D1571" ca="1">IF(INDIRECT("'"&amp;A1571&amp;"'!"&amp;B1571)="",FALSE,IF(NOT(ISNUMBER(INDIRECT("'"&amp;A1571&amp;"'!"&amp;B1571))),TRUE,FALSE))</f>
        <v>0</v>
      </c>
      <c r="E1571" t="s">
        <v>435</v>
      </c>
      <c r="F1571" t="str">
        <f>INDEX(Lists!I:I,MATCH(Validation!E1571,Lists!G:G,0))</f>
        <v>Error</v>
      </c>
      <c r="G1571" t="str">
        <f>INDEX(Lists!H:H,MATCH(Validation!E1571,Lists!G:G,0))</f>
        <v>Enter an amount only. Do not enter text or spaces.</v>
      </c>
      <c r="H1571" s="25" t="str">
        <f t="shared" ca="1" si="201"/>
        <v/>
      </c>
      <c r="I1571" s="25" t="str">
        <f t="shared" ca="1" si="202"/>
        <v/>
      </c>
      <c r="J1571" s="26" t="str">
        <f t="shared" ca="1" si="203"/>
        <v/>
      </c>
    </row>
    <row r="1572" spans="1:10" x14ac:dyDescent="0.25">
      <c r="A1572" t="s">
        <v>309</v>
      </c>
      <c r="B1572" t="str">
        <f>ADDRESS(ROW('Bond 1'!$B$29),COLUMN('Bond 1'!$B$29),4)</f>
        <v>B29</v>
      </c>
      <c r="C1572" t="str">
        <f>ADDRESS(ROW('Bond 1'!$D$29),COLUMN('Bond 1'!$D$29),4)</f>
        <v>D29</v>
      </c>
      <c r="D1572" t="b" cm="1">
        <f t="array" aca="1" ref="D1572" ca="1">IF(INDIRECT("'"&amp;A1572&amp;"'!"&amp;B1572)="",FALSE,IF(NOT(ISNUMBER(INDIRECT("'"&amp;A1572&amp;"'!"&amp;B1572))),TRUE,FALSE))</f>
        <v>0</v>
      </c>
      <c r="E1572" t="s">
        <v>435</v>
      </c>
      <c r="F1572" t="str">
        <f>INDEX(Lists!I:I,MATCH(Validation!E1572,Lists!G:G,0))</f>
        <v>Error</v>
      </c>
      <c r="G1572" t="str">
        <f>INDEX(Lists!H:H,MATCH(Validation!E1572,Lists!G:G,0))</f>
        <v>Enter an amount only. Do not enter text or spaces.</v>
      </c>
      <c r="H1572" s="25" t="str">
        <f t="shared" ca="1" si="201"/>
        <v/>
      </c>
      <c r="I1572" s="25" t="str">
        <f t="shared" ca="1" si="202"/>
        <v/>
      </c>
      <c r="J1572" s="26" t="str">
        <f t="shared" ca="1" si="203"/>
        <v/>
      </c>
    </row>
    <row r="1573" spans="1:10" x14ac:dyDescent="0.25">
      <c r="A1573" t="s">
        <v>310</v>
      </c>
      <c r="B1573" t="str">
        <f>ADDRESS(ROW('Bond 1'!$B$29),COLUMN('Bond 1'!$B$29),4)</f>
        <v>B29</v>
      </c>
      <c r="C1573" t="str">
        <f>ADDRESS(ROW('Bond 1'!$D$29),COLUMN('Bond 1'!$D$29),4)</f>
        <v>D29</v>
      </c>
      <c r="D1573" t="b" cm="1">
        <f t="array" aca="1" ref="D1573" ca="1">IF(INDIRECT("'"&amp;A1573&amp;"'!"&amp;B1573)="",FALSE,IF(NOT(ISNUMBER(INDIRECT("'"&amp;A1573&amp;"'!"&amp;B1573))),TRUE,FALSE))</f>
        <v>0</v>
      </c>
      <c r="E1573" t="s">
        <v>435</v>
      </c>
      <c r="F1573" t="str">
        <f>INDEX(Lists!I:I,MATCH(Validation!E1573,Lists!G:G,0))</f>
        <v>Error</v>
      </c>
      <c r="G1573" t="str">
        <f>INDEX(Lists!H:H,MATCH(Validation!E1573,Lists!G:G,0))</f>
        <v>Enter an amount only. Do not enter text or spaces.</v>
      </c>
      <c r="H1573" s="25" t="str">
        <f t="shared" ca="1" si="201"/>
        <v/>
      </c>
      <c r="I1573" s="25" t="str">
        <f t="shared" ca="1" si="202"/>
        <v/>
      </c>
      <c r="J1573" s="26" t="str">
        <f t="shared" ca="1" si="203"/>
        <v/>
      </c>
    </row>
    <row r="1574" spans="1:10" x14ac:dyDescent="0.25">
      <c r="A1574" t="s">
        <v>311</v>
      </c>
      <c r="B1574" t="str">
        <f>ADDRESS(ROW('Bond 1'!$B$29),COLUMN('Bond 1'!$B$29),4)</f>
        <v>B29</v>
      </c>
      <c r="C1574" t="str">
        <f>ADDRESS(ROW('Bond 1'!$D$29),COLUMN('Bond 1'!$D$29),4)</f>
        <v>D29</v>
      </c>
      <c r="D1574" t="b" cm="1">
        <f t="array" aca="1" ref="D1574" ca="1">IF(INDIRECT("'"&amp;A1574&amp;"'!"&amp;B1574)="",FALSE,IF(NOT(ISNUMBER(INDIRECT("'"&amp;A1574&amp;"'!"&amp;B1574))),TRUE,FALSE))</f>
        <v>0</v>
      </c>
      <c r="E1574" t="s">
        <v>435</v>
      </c>
      <c r="F1574" t="str">
        <f>INDEX(Lists!I:I,MATCH(Validation!E1574,Lists!G:G,0))</f>
        <v>Error</v>
      </c>
      <c r="G1574" t="str">
        <f>INDEX(Lists!H:H,MATCH(Validation!E1574,Lists!G:G,0))</f>
        <v>Enter an amount only. Do not enter text or spaces.</v>
      </c>
      <c r="H1574" s="25" t="str">
        <f t="shared" ca="1" si="201"/>
        <v/>
      </c>
      <c r="I1574" s="25" t="str">
        <f t="shared" ca="1" si="202"/>
        <v/>
      </c>
      <c r="J1574" s="26" t="str">
        <f t="shared" ca="1" si="203"/>
        <v/>
      </c>
    </row>
    <row r="1575" spans="1:10" x14ac:dyDescent="0.25">
      <c r="A1575" t="s">
        <v>312</v>
      </c>
      <c r="B1575" t="str">
        <f>ADDRESS(ROW('Bond 1'!$B$29),COLUMN('Bond 1'!$B$29),4)</f>
        <v>B29</v>
      </c>
      <c r="C1575" t="str">
        <f>ADDRESS(ROW('Bond 1'!$D$29),COLUMN('Bond 1'!$D$29),4)</f>
        <v>D29</v>
      </c>
      <c r="D1575" t="b" cm="1">
        <f t="array" aca="1" ref="D1575" ca="1">IF(INDIRECT("'"&amp;A1575&amp;"'!"&amp;B1575)="",FALSE,IF(NOT(ISNUMBER(INDIRECT("'"&amp;A1575&amp;"'!"&amp;B1575))),TRUE,FALSE))</f>
        <v>0</v>
      </c>
      <c r="E1575" t="s">
        <v>435</v>
      </c>
      <c r="F1575" t="str">
        <f>INDEX(Lists!I:I,MATCH(Validation!E1575,Lists!G:G,0))</f>
        <v>Error</v>
      </c>
      <c r="G1575" t="str">
        <f>INDEX(Lists!H:H,MATCH(Validation!E1575,Lists!G:G,0))</f>
        <v>Enter an amount only. Do not enter text or spaces.</v>
      </c>
      <c r="H1575" s="25" t="str">
        <f t="shared" ca="1" si="201"/>
        <v/>
      </c>
      <c r="I1575" s="25" t="str">
        <f t="shared" ca="1" si="202"/>
        <v/>
      </c>
      <c r="J1575" s="26" t="str">
        <f t="shared" ca="1" si="203"/>
        <v/>
      </c>
    </row>
    <row r="1576" spans="1:10" x14ac:dyDescent="0.25">
      <c r="A1576" t="s">
        <v>313</v>
      </c>
      <c r="B1576" t="str">
        <f>ADDRESS(ROW('Bond 1'!$B$29),COLUMN('Bond 1'!$B$29),4)</f>
        <v>B29</v>
      </c>
      <c r="C1576" t="str">
        <f>ADDRESS(ROW('Bond 1'!$D$29),COLUMN('Bond 1'!$D$29),4)</f>
        <v>D29</v>
      </c>
      <c r="D1576" t="b" cm="1">
        <f t="array" aca="1" ref="D1576" ca="1">IF(INDIRECT("'"&amp;A1576&amp;"'!"&amp;B1576)="",FALSE,IF(NOT(ISNUMBER(INDIRECT("'"&amp;A1576&amp;"'!"&amp;B1576))),TRUE,FALSE))</f>
        <v>0</v>
      </c>
      <c r="E1576" t="s">
        <v>435</v>
      </c>
      <c r="F1576" t="str">
        <f>INDEX(Lists!I:I,MATCH(Validation!E1576,Lists!G:G,0))</f>
        <v>Error</v>
      </c>
      <c r="G1576" t="str">
        <f>INDEX(Lists!H:H,MATCH(Validation!E1576,Lists!G:G,0))</f>
        <v>Enter an amount only. Do not enter text or spaces.</v>
      </c>
      <c r="H1576" s="25" t="str">
        <f t="shared" ca="1" si="201"/>
        <v/>
      </c>
      <c r="I1576" s="25" t="str">
        <f t="shared" ca="1" si="202"/>
        <v/>
      </c>
      <c r="J1576" s="26" t="str">
        <f t="shared" ca="1" si="203"/>
        <v/>
      </c>
    </row>
    <row r="1577" spans="1:10" x14ac:dyDescent="0.25">
      <c r="A1577" t="s">
        <v>314</v>
      </c>
      <c r="B1577" t="str">
        <f>ADDRESS(ROW('Bond 1'!$B$29),COLUMN('Bond 1'!$B$29),4)</f>
        <v>B29</v>
      </c>
      <c r="C1577" t="str">
        <f>ADDRESS(ROW('Bond 1'!$D$29),COLUMN('Bond 1'!$D$29),4)</f>
        <v>D29</v>
      </c>
      <c r="D1577" t="b" cm="1">
        <f t="array" aca="1" ref="D1577" ca="1">IF(INDIRECT("'"&amp;A1577&amp;"'!"&amp;B1577)="",FALSE,IF(NOT(ISNUMBER(INDIRECT("'"&amp;A1577&amp;"'!"&amp;B1577))),TRUE,FALSE))</f>
        <v>0</v>
      </c>
      <c r="E1577" t="s">
        <v>435</v>
      </c>
      <c r="F1577" t="str">
        <f>INDEX(Lists!I:I,MATCH(Validation!E1577,Lists!G:G,0))</f>
        <v>Error</v>
      </c>
      <c r="G1577" t="str">
        <f>INDEX(Lists!H:H,MATCH(Validation!E1577,Lists!G:G,0))</f>
        <v>Enter an amount only. Do not enter text or spaces.</v>
      </c>
      <c r="H1577" s="25" t="str">
        <f t="shared" ca="1" si="201"/>
        <v/>
      </c>
      <c r="I1577" s="25" t="str">
        <f t="shared" ca="1" si="202"/>
        <v/>
      </c>
      <c r="J1577" s="26" t="str">
        <f t="shared" ca="1" si="203"/>
        <v/>
      </c>
    </row>
    <row r="1578" spans="1:10" x14ac:dyDescent="0.25">
      <c r="A1578" t="s">
        <v>315</v>
      </c>
      <c r="B1578" t="str">
        <f>ADDRESS(ROW('Bond 1'!$B$29),COLUMN('Bond 1'!$B$29),4)</f>
        <v>B29</v>
      </c>
      <c r="C1578" t="str">
        <f>ADDRESS(ROW('Bond 1'!$D$29),COLUMN('Bond 1'!$D$29),4)</f>
        <v>D29</v>
      </c>
      <c r="D1578" t="b" cm="1">
        <f t="array" aca="1" ref="D1578" ca="1">IF(INDIRECT("'"&amp;A1578&amp;"'!"&amp;B1578)="",FALSE,IF(NOT(ISNUMBER(INDIRECT("'"&amp;A1578&amp;"'!"&amp;B1578))),TRUE,FALSE))</f>
        <v>0</v>
      </c>
      <c r="E1578" t="s">
        <v>435</v>
      </c>
      <c r="F1578" t="str">
        <f>INDEX(Lists!I:I,MATCH(Validation!E1578,Lists!G:G,0))</f>
        <v>Error</v>
      </c>
      <c r="G1578" t="str">
        <f>INDEX(Lists!H:H,MATCH(Validation!E1578,Lists!G:G,0))</f>
        <v>Enter an amount only. Do not enter text or spaces.</v>
      </c>
      <c r="H1578" s="25" t="str">
        <f t="shared" ca="1" si="201"/>
        <v/>
      </c>
      <c r="I1578" s="25" t="str">
        <f t="shared" ca="1" si="202"/>
        <v/>
      </c>
      <c r="J1578" s="26" t="str">
        <f t="shared" ca="1" si="203"/>
        <v/>
      </c>
    </row>
    <row r="1579" spans="1:10" x14ac:dyDescent="0.25">
      <c r="A1579" t="s">
        <v>198</v>
      </c>
      <c r="B1579" t="str">
        <f>ADDRESS(ROW('Bond 1'!$B$29),COLUMN('Bond 1'!$B$29),4)</f>
        <v>B29</v>
      </c>
      <c r="C1579" t="str">
        <f>ADDRESS(ROW('Bond 1'!$D$29),COLUMN('Bond 1'!$D$29),4)</f>
        <v>D29</v>
      </c>
      <c r="D1579" t="b" cm="1">
        <f t="array" aca="1" ref="D1579" ca="1">IF(INDIRECT("'"&amp;A1579&amp;"'!"&amp;B1579)="",FALSE,IF(INDIRECT("'"&amp;A1579&amp;"'!"&amp;B1579)&lt;0,TRUE,FALSE))</f>
        <v>0</v>
      </c>
      <c r="E1579" t="s">
        <v>434</v>
      </c>
      <c r="F1579" t="str">
        <f>INDEX(Lists!I:I,MATCH(Validation!E1579,Lists!G:G,0))</f>
        <v>Error</v>
      </c>
      <c r="G1579" t="str">
        <f>INDEX(Lists!H:H,MATCH(Validation!E1579,Lists!G:G,0))</f>
        <v>Amount may not be negative. Enter an amount greater than or equal to zero.</v>
      </c>
      <c r="H1579" s="25" t="str">
        <f t="shared" ca="1" si="201"/>
        <v/>
      </c>
      <c r="I1579" s="25" t="str">
        <f t="shared" ca="1" si="202"/>
        <v/>
      </c>
      <c r="J1579" s="26" t="str">
        <f t="shared" ca="1" si="203"/>
        <v/>
      </c>
    </row>
    <row r="1580" spans="1:10" x14ac:dyDescent="0.25">
      <c r="A1580" t="s">
        <v>302</v>
      </c>
      <c r="B1580" t="str">
        <f>ADDRESS(ROW('Bond 1'!$B$29),COLUMN('Bond 1'!$B$29),4)</f>
        <v>B29</v>
      </c>
      <c r="C1580" t="str">
        <f>ADDRESS(ROW('Bond 1'!$D$29),COLUMN('Bond 1'!$D$29),4)</f>
        <v>D29</v>
      </c>
      <c r="D1580" t="b" cm="1">
        <f t="array" aca="1" ref="D1580" ca="1">IF(INDIRECT("'"&amp;A1580&amp;"'!"&amp;B1580)="",FALSE,IF(INDIRECT("'"&amp;A1580&amp;"'!"&amp;B1580)&lt;0,TRUE,FALSE))</f>
        <v>0</v>
      </c>
      <c r="E1580" t="s">
        <v>434</v>
      </c>
      <c r="F1580" t="str">
        <f>INDEX(Lists!I:I,MATCH(Validation!E1580,Lists!G:G,0))</f>
        <v>Error</v>
      </c>
      <c r="G1580" t="str">
        <f>INDEX(Lists!H:H,MATCH(Validation!E1580,Lists!G:G,0))</f>
        <v>Amount may not be negative. Enter an amount greater than or equal to zero.</v>
      </c>
      <c r="H1580" s="25" t="str">
        <f t="shared" ca="1" si="201"/>
        <v/>
      </c>
      <c r="I1580" s="25" t="str">
        <f t="shared" ca="1" si="202"/>
        <v/>
      </c>
      <c r="J1580" s="26" t="str">
        <f t="shared" ca="1" si="203"/>
        <v/>
      </c>
    </row>
    <row r="1581" spans="1:10" x14ac:dyDescent="0.25">
      <c r="A1581" t="s">
        <v>303</v>
      </c>
      <c r="B1581" t="str">
        <f>ADDRESS(ROW('Bond 1'!$B$29),COLUMN('Bond 1'!$B$29),4)</f>
        <v>B29</v>
      </c>
      <c r="C1581" t="str">
        <f>ADDRESS(ROW('Bond 1'!$D$29),COLUMN('Bond 1'!$D$29),4)</f>
        <v>D29</v>
      </c>
      <c r="D1581" t="b" cm="1">
        <f t="array" aca="1" ref="D1581" ca="1">IF(INDIRECT("'"&amp;A1581&amp;"'!"&amp;B1581)="",FALSE,IF(INDIRECT("'"&amp;A1581&amp;"'!"&amp;B1581)&lt;0,TRUE,FALSE))</f>
        <v>0</v>
      </c>
      <c r="E1581" t="s">
        <v>434</v>
      </c>
      <c r="F1581" t="str">
        <f>INDEX(Lists!I:I,MATCH(Validation!E1581,Lists!G:G,0))</f>
        <v>Error</v>
      </c>
      <c r="G1581" t="str">
        <f>INDEX(Lists!H:H,MATCH(Validation!E1581,Lists!G:G,0))</f>
        <v>Amount may not be negative. Enter an amount greater than or equal to zero.</v>
      </c>
      <c r="H1581" s="25" t="str">
        <f t="shared" ca="1" si="201"/>
        <v/>
      </c>
      <c r="I1581" s="25" t="str">
        <f t="shared" ca="1" si="202"/>
        <v/>
      </c>
      <c r="J1581" s="26" t="str">
        <f t="shared" ca="1" si="203"/>
        <v/>
      </c>
    </row>
    <row r="1582" spans="1:10" x14ac:dyDescent="0.25">
      <c r="A1582" t="s">
        <v>304</v>
      </c>
      <c r="B1582" t="str">
        <f>ADDRESS(ROW('Bond 1'!$B$29),COLUMN('Bond 1'!$B$29),4)</f>
        <v>B29</v>
      </c>
      <c r="C1582" t="str">
        <f>ADDRESS(ROW('Bond 1'!$D$29),COLUMN('Bond 1'!$D$29),4)</f>
        <v>D29</v>
      </c>
      <c r="D1582" t="b" cm="1">
        <f t="array" aca="1" ref="D1582" ca="1">IF(INDIRECT("'"&amp;A1582&amp;"'!"&amp;B1582)="",FALSE,IF(INDIRECT("'"&amp;A1582&amp;"'!"&amp;B1582)&lt;0,TRUE,FALSE))</f>
        <v>0</v>
      </c>
      <c r="E1582" t="s">
        <v>434</v>
      </c>
      <c r="F1582" t="str">
        <f>INDEX(Lists!I:I,MATCH(Validation!E1582,Lists!G:G,0))</f>
        <v>Error</v>
      </c>
      <c r="G1582" t="str">
        <f>INDEX(Lists!H:H,MATCH(Validation!E1582,Lists!G:G,0))</f>
        <v>Amount may not be negative. Enter an amount greater than or equal to zero.</v>
      </c>
      <c r="H1582" s="25" t="str">
        <f t="shared" ca="1" si="201"/>
        <v/>
      </c>
      <c r="I1582" s="25" t="str">
        <f t="shared" ca="1" si="202"/>
        <v/>
      </c>
      <c r="J1582" s="26" t="str">
        <f t="shared" ca="1" si="203"/>
        <v/>
      </c>
    </row>
    <row r="1583" spans="1:10" x14ac:dyDescent="0.25">
      <c r="A1583" t="s">
        <v>305</v>
      </c>
      <c r="B1583" t="str">
        <f>ADDRESS(ROW('Bond 1'!$B$29),COLUMN('Bond 1'!$B$29),4)</f>
        <v>B29</v>
      </c>
      <c r="C1583" t="str">
        <f>ADDRESS(ROW('Bond 1'!$D$29),COLUMN('Bond 1'!$D$29),4)</f>
        <v>D29</v>
      </c>
      <c r="D1583" t="b" cm="1">
        <f t="array" aca="1" ref="D1583" ca="1">IF(INDIRECT("'"&amp;A1583&amp;"'!"&amp;B1583)="",FALSE,IF(INDIRECT("'"&amp;A1583&amp;"'!"&amp;B1583)&lt;0,TRUE,FALSE))</f>
        <v>0</v>
      </c>
      <c r="E1583" t="s">
        <v>434</v>
      </c>
      <c r="F1583" t="str">
        <f>INDEX(Lists!I:I,MATCH(Validation!E1583,Lists!G:G,0))</f>
        <v>Error</v>
      </c>
      <c r="G1583" t="str">
        <f>INDEX(Lists!H:H,MATCH(Validation!E1583,Lists!G:G,0))</f>
        <v>Amount may not be negative. Enter an amount greater than or equal to zero.</v>
      </c>
      <c r="H1583" s="25" t="str">
        <f t="shared" ca="1" si="201"/>
        <v/>
      </c>
      <c r="I1583" s="25" t="str">
        <f t="shared" ca="1" si="202"/>
        <v/>
      </c>
      <c r="J1583" s="26" t="str">
        <f t="shared" ca="1" si="203"/>
        <v/>
      </c>
    </row>
    <row r="1584" spans="1:10" x14ac:dyDescent="0.25">
      <c r="A1584" t="s">
        <v>306</v>
      </c>
      <c r="B1584" t="str">
        <f>ADDRESS(ROW('Bond 1'!$B$29),COLUMN('Bond 1'!$B$29),4)</f>
        <v>B29</v>
      </c>
      <c r="C1584" t="str">
        <f>ADDRESS(ROW('Bond 1'!$D$29),COLUMN('Bond 1'!$D$29),4)</f>
        <v>D29</v>
      </c>
      <c r="D1584" t="b" cm="1">
        <f t="array" aca="1" ref="D1584" ca="1">IF(INDIRECT("'"&amp;A1584&amp;"'!"&amp;B1584)="",FALSE,IF(INDIRECT("'"&amp;A1584&amp;"'!"&amp;B1584)&lt;0,TRUE,FALSE))</f>
        <v>0</v>
      </c>
      <c r="E1584" t="s">
        <v>434</v>
      </c>
      <c r="F1584" t="str">
        <f>INDEX(Lists!I:I,MATCH(Validation!E1584,Lists!G:G,0))</f>
        <v>Error</v>
      </c>
      <c r="G1584" t="str">
        <f>INDEX(Lists!H:H,MATCH(Validation!E1584,Lists!G:G,0))</f>
        <v>Amount may not be negative. Enter an amount greater than or equal to zero.</v>
      </c>
      <c r="H1584" s="25" t="str">
        <f t="shared" ca="1" si="201"/>
        <v/>
      </c>
      <c r="I1584" s="25" t="str">
        <f t="shared" ca="1" si="202"/>
        <v/>
      </c>
      <c r="J1584" s="26" t="str">
        <f t="shared" ca="1" si="203"/>
        <v/>
      </c>
    </row>
    <row r="1585" spans="1:10" x14ac:dyDescent="0.25">
      <c r="A1585" t="s">
        <v>307</v>
      </c>
      <c r="B1585" t="str">
        <f>ADDRESS(ROW('Bond 1'!$B$29),COLUMN('Bond 1'!$B$29),4)</f>
        <v>B29</v>
      </c>
      <c r="C1585" t="str">
        <f>ADDRESS(ROW('Bond 1'!$D$29),COLUMN('Bond 1'!$D$29),4)</f>
        <v>D29</v>
      </c>
      <c r="D1585" t="b" cm="1">
        <f t="array" aca="1" ref="D1585" ca="1">IF(INDIRECT("'"&amp;A1585&amp;"'!"&amp;B1585)="",FALSE,IF(INDIRECT("'"&amp;A1585&amp;"'!"&amp;B1585)&lt;0,TRUE,FALSE))</f>
        <v>0</v>
      </c>
      <c r="E1585" t="s">
        <v>434</v>
      </c>
      <c r="F1585" t="str">
        <f>INDEX(Lists!I:I,MATCH(Validation!E1585,Lists!G:G,0))</f>
        <v>Error</v>
      </c>
      <c r="G1585" t="str">
        <f>INDEX(Lists!H:H,MATCH(Validation!E1585,Lists!G:G,0))</f>
        <v>Amount may not be negative. Enter an amount greater than or equal to zero.</v>
      </c>
      <c r="H1585" s="25" t="str">
        <f t="shared" ca="1" si="201"/>
        <v/>
      </c>
      <c r="I1585" s="25" t="str">
        <f t="shared" ca="1" si="202"/>
        <v/>
      </c>
      <c r="J1585" s="26" t="str">
        <f t="shared" ca="1" si="203"/>
        <v/>
      </c>
    </row>
    <row r="1586" spans="1:10" x14ac:dyDescent="0.25">
      <c r="A1586" t="s">
        <v>308</v>
      </c>
      <c r="B1586" t="str">
        <f>ADDRESS(ROW('Bond 1'!$B$29),COLUMN('Bond 1'!$B$29),4)</f>
        <v>B29</v>
      </c>
      <c r="C1586" t="str">
        <f>ADDRESS(ROW('Bond 1'!$D$29),COLUMN('Bond 1'!$D$29),4)</f>
        <v>D29</v>
      </c>
      <c r="D1586" t="b" cm="1">
        <f t="array" aca="1" ref="D1586" ca="1">IF(INDIRECT("'"&amp;A1586&amp;"'!"&amp;B1586)="",FALSE,IF(INDIRECT("'"&amp;A1586&amp;"'!"&amp;B1586)&lt;0,TRUE,FALSE))</f>
        <v>0</v>
      </c>
      <c r="E1586" t="s">
        <v>434</v>
      </c>
      <c r="F1586" t="str">
        <f>INDEX(Lists!I:I,MATCH(Validation!E1586,Lists!G:G,0))</f>
        <v>Error</v>
      </c>
      <c r="G1586" t="str">
        <f>INDEX(Lists!H:H,MATCH(Validation!E1586,Lists!G:G,0))</f>
        <v>Amount may not be negative. Enter an amount greater than or equal to zero.</v>
      </c>
      <c r="H1586" s="25" t="str">
        <f t="shared" ca="1" si="201"/>
        <v/>
      </c>
      <c r="I1586" s="25" t="str">
        <f t="shared" ca="1" si="202"/>
        <v/>
      </c>
      <c r="J1586" s="26" t="str">
        <f t="shared" ca="1" si="203"/>
        <v/>
      </c>
    </row>
    <row r="1587" spans="1:10" x14ac:dyDescent="0.25">
      <c r="A1587" t="s">
        <v>309</v>
      </c>
      <c r="B1587" t="str">
        <f>ADDRESS(ROW('Bond 1'!$B$29),COLUMN('Bond 1'!$B$29),4)</f>
        <v>B29</v>
      </c>
      <c r="C1587" t="str">
        <f>ADDRESS(ROW('Bond 1'!$D$29),COLUMN('Bond 1'!$D$29),4)</f>
        <v>D29</v>
      </c>
      <c r="D1587" t="b" cm="1">
        <f t="array" aca="1" ref="D1587" ca="1">IF(INDIRECT("'"&amp;A1587&amp;"'!"&amp;B1587)="",FALSE,IF(INDIRECT("'"&amp;A1587&amp;"'!"&amp;B1587)&lt;0,TRUE,FALSE))</f>
        <v>0</v>
      </c>
      <c r="E1587" t="s">
        <v>434</v>
      </c>
      <c r="F1587" t="str">
        <f>INDEX(Lists!I:I,MATCH(Validation!E1587,Lists!G:G,0))</f>
        <v>Error</v>
      </c>
      <c r="G1587" t="str">
        <f>INDEX(Lists!H:H,MATCH(Validation!E1587,Lists!G:G,0))</f>
        <v>Amount may not be negative. Enter an amount greater than or equal to zero.</v>
      </c>
      <c r="H1587" s="25" t="str">
        <f t="shared" ca="1" si="201"/>
        <v/>
      </c>
      <c r="I1587" s="25" t="str">
        <f t="shared" ca="1" si="202"/>
        <v/>
      </c>
      <c r="J1587" s="26" t="str">
        <f t="shared" ca="1" si="203"/>
        <v/>
      </c>
    </row>
    <row r="1588" spans="1:10" x14ac:dyDescent="0.25">
      <c r="A1588" t="s">
        <v>310</v>
      </c>
      <c r="B1588" t="str">
        <f>ADDRESS(ROW('Bond 1'!$B$29),COLUMN('Bond 1'!$B$29),4)</f>
        <v>B29</v>
      </c>
      <c r="C1588" t="str">
        <f>ADDRESS(ROW('Bond 1'!$D$29),COLUMN('Bond 1'!$D$29),4)</f>
        <v>D29</v>
      </c>
      <c r="D1588" t="b" cm="1">
        <f t="array" aca="1" ref="D1588" ca="1">IF(INDIRECT("'"&amp;A1588&amp;"'!"&amp;B1588)="",FALSE,IF(INDIRECT("'"&amp;A1588&amp;"'!"&amp;B1588)&lt;0,TRUE,FALSE))</f>
        <v>0</v>
      </c>
      <c r="E1588" t="s">
        <v>434</v>
      </c>
      <c r="F1588" t="str">
        <f>INDEX(Lists!I:I,MATCH(Validation!E1588,Lists!G:G,0))</f>
        <v>Error</v>
      </c>
      <c r="G1588" t="str">
        <f>INDEX(Lists!H:H,MATCH(Validation!E1588,Lists!G:G,0))</f>
        <v>Amount may not be negative. Enter an amount greater than or equal to zero.</v>
      </c>
      <c r="H1588" s="25" t="str">
        <f t="shared" ca="1" si="201"/>
        <v/>
      </c>
      <c r="I1588" s="25" t="str">
        <f t="shared" ca="1" si="202"/>
        <v/>
      </c>
      <c r="J1588" s="26" t="str">
        <f t="shared" ca="1" si="203"/>
        <v/>
      </c>
    </row>
    <row r="1589" spans="1:10" x14ac:dyDescent="0.25">
      <c r="A1589" t="s">
        <v>311</v>
      </c>
      <c r="B1589" t="str">
        <f>ADDRESS(ROW('Bond 1'!$B$29),COLUMN('Bond 1'!$B$29),4)</f>
        <v>B29</v>
      </c>
      <c r="C1589" t="str">
        <f>ADDRESS(ROW('Bond 1'!$D$29),COLUMN('Bond 1'!$D$29),4)</f>
        <v>D29</v>
      </c>
      <c r="D1589" t="b" cm="1">
        <f t="array" aca="1" ref="D1589" ca="1">IF(INDIRECT("'"&amp;A1589&amp;"'!"&amp;B1589)="",FALSE,IF(INDIRECT("'"&amp;A1589&amp;"'!"&amp;B1589)&lt;0,TRUE,FALSE))</f>
        <v>0</v>
      </c>
      <c r="E1589" t="s">
        <v>434</v>
      </c>
      <c r="F1589" t="str">
        <f>INDEX(Lists!I:I,MATCH(Validation!E1589,Lists!G:G,0))</f>
        <v>Error</v>
      </c>
      <c r="G1589" t="str">
        <f>INDEX(Lists!H:H,MATCH(Validation!E1589,Lists!G:G,0))</f>
        <v>Amount may not be negative. Enter an amount greater than or equal to zero.</v>
      </c>
      <c r="H1589" s="25" t="str">
        <f t="shared" ca="1" si="201"/>
        <v/>
      </c>
      <c r="I1589" s="25" t="str">
        <f t="shared" ca="1" si="202"/>
        <v/>
      </c>
      <c r="J1589" s="26" t="str">
        <f t="shared" ca="1" si="203"/>
        <v/>
      </c>
    </row>
    <row r="1590" spans="1:10" x14ac:dyDescent="0.25">
      <c r="A1590" t="s">
        <v>312</v>
      </c>
      <c r="B1590" t="str">
        <f>ADDRESS(ROW('Bond 1'!$B$29),COLUMN('Bond 1'!$B$29),4)</f>
        <v>B29</v>
      </c>
      <c r="C1590" t="str">
        <f>ADDRESS(ROW('Bond 1'!$D$29),COLUMN('Bond 1'!$D$29),4)</f>
        <v>D29</v>
      </c>
      <c r="D1590" t="b" cm="1">
        <f t="array" aca="1" ref="D1590" ca="1">IF(INDIRECT("'"&amp;A1590&amp;"'!"&amp;B1590)="",FALSE,IF(INDIRECT("'"&amp;A1590&amp;"'!"&amp;B1590)&lt;0,TRUE,FALSE))</f>
        <v>0</v>
      </c>
      <c r="E1590" t="s">
        <v>434</v>
      </c>
      <c r="F1590" t="str">
        <f>INDEX(Lists!I:I,MATCH(Validation!E1590,Lists!G:G,0))</f>
        <v>Error</v>
      </c>
      <c r="G1590" t="str">
        <f>INDEX(Lists!H:H,MATCH(Validation!E1590,Lists!G:G,0))</f>
        <v>Amount may not be negative. Enter an amount greater than or equal to zero.</v>
      </c>
      <c r="H1590" s="25" t="str">
        <f t="shared" ca="1" si="201"/>
        <v/>
      </c>
      <c r="I1590" s="25" t="str">
        <f t="shared" ca="1" si="202"/>
        <v/>
      </c>
      <c r="J1590" s="26" t="str">
        <f t="shared" ca="1" si="203"/>
        <v/>
      </c>
    </row>
    <row r="1591" spans="1:10" x14ac:dyDescent="0.25">
      <c r="A1591" t="s">
        <v>313</v>
      </c>
      <c r="B1591" t="str">
        <f>ADDRESS(ROW('Bond 1'!$B$29),COLUMN('Bond 1'!$B$29),4)</f>
        <v>B29</v>
      </c>
      <c r="C1591" t="str">
        <f>ADDRESS(ROW('Bond 1'!$D$29),COLUMN('Bond 1'!$D$29),4)</f>
        <v>D29</v>
      </c>
      <c r="D1591" t="b" cm="1">
        <f t="array" aca="1" ref="D1591" ca="1">IF(INDIRECT("'"&amp;A1591&amp;"'!"&amp;B1591)="",FALSE,IF(INDIRECT("'"&amp;A1591&amp;"'!"&amp;B1591)&lt;0,TRUE,FALSE))</f>
        <v>0</v>
      </c>
      <c r="E1591" t="s">
        <v>434</v>
      </c>
      <c r="F1591" t="str">
        <f>INDEX(Lists!I:I,MATCH(Validation!E1591,Lists!G:G,0))</f>
        <v>Error</v>
      </c>
      <c r="G1591" t="str">
        <f>INDEX(Lists!H:H,MATCH(Validation!E1591,Lists!G:G,0))</f>
        <v>Amount may not be negative. Enter an amount greater than or equal to zero.</v>
      </c>
      <c r="H1591" s="25" t="str">
        <f t="shared" ca="1" si="201"/>
        <v/>
      </c>
      <c r="I1591" s="25" t="str">
        <f t="shared" ca="1" si="202"/>
        <v/>
      </c>
      <c r="J1591" s="26" t="str">
        <f t="shared" ca="1" si="203"/>
        <v/>
      </c>
    </row>
    <row r="1592" spans="1:10" x14ac:dyDescent="0.25">
      <c r="A1592" t="s">
        <v>314</v>
      </c>
      <c r="B1592" t="str">
        <f>ADDRESS(ROW('Bond 1'!$B$29),COLUMN('Bond 1'!$B$29),4)</f>
        <v>B29</v>
      </c>
      <c r="C1592" t="str">
        <f>ADDRESS(ROW('Bond 1'!$D$29),COLUMN('Bond 1'!$D$29),4)</f>
        <v>D29</v>
      </c>
      <c r="D1592" t="b" cm="1">
        <f t="array" aca="1" ref="D1592" ca="1">IF(INDIRECT("'"&amp;A1592&amp;"'!"&amp;B1592)="",FALSE,IF(INDIRECT("'"&amp;A1592&amp;"'!"&amp;B1592)&lt;0,TRUE,FALSE))</f>
        <v>0</v>
      </c>
      <c r="E1592" t="s">
        <v>434</v>
      </c>
      <c r="F1592" t="str">
        <f>INDEX(Lists!I:I,MATCH(Validation!E1592,Lists!G:G,0))</f>
        <v>Error</v>
      </c>
      <c r="G1592" t="str">
        <f>INDEX(Lists!H:H,MATCH(Validation!E1592,Lists!G:G,0))</f>
        <v>Amount may not be negative. Enter an amount greater than or equal to zero.</v>
      </c>
      <c r="H1592" s="25" t="str">
        <f t="shared" ca="1" si="201"/>
        <v/>
      </c>
      <c r="I1592" s="25" t="str">
        <f t="shared" ca="1" si="202"/>
        <v/>
      </c>
      <c r="J1592" s="26" t="str">
        <f t="shared" ca="1" si="203"/>
        <v/>
      </c>
    </row>
    <row r="1593" spans="1:10" x14ac:dyDescent="0.25">
      <c r="A1593" t="s">
        <v>315</v>
      </c>
      <c r="B1593" t="str">
        <f>ADDRESS(ROW('Bond 1'!$B$29),COLUMN('Bond 1'!$B$29),4)</f>
        <v>B29</v>
      </c>
      <c r="C1593" t="str">
        <f>ADDRESS(ROW('Bond 1'!$D$29),COLUMN('Bond 1'!$D$29),4)</f>
        <v>D29</v>
      </c>
      <c r="D1593" t="b" cm="1">
        <f t="array" aca="1" ref="D1593" ca="1">IF(INDIRECT("'"&amp;A1593&amp;"'!"&amp;B1593)="",FALSE,IF(INDIRECT("'"&amp;A1593&amp;"'!"&amp;B1593)&lt;0,TRUE,FALSE))</f>
        <v>0</v>
      </c>
      <c r="E1593" t="s">
        <v>434</v>
      </c>
      <c r="F1593" t="str">
        <f>INDEX(Lists!I:I,MATCH(Validation!E1593,Lists!G:G,0))</f>
        <v>Error</v>
      </c>
      <c r="G1593" t="str">
        <f>INDEX(Lists!H:H,MATCH(Validation!E1593,Lists!G:G,0))</f>
        <v>Amount may not be negative. Enter an amount greater than or equal to zero.</v>
      </c>
      <c r="H1593" s="25" t="str">
        <f t="shared" ref="H1593:H1656" ca="1" si="204">IFERROR(IF(OR(NOT(D1593),F1593&lt;&gt;"Error"),"",A1593&amp;CELL("address",INDIRECT(B1593))),"")</f>
        <v/>
      </c>
      <c r="I1593" s="25" t="str">
        <f t="shared" ref="I1593:I1656" ca="1" si="205">IFERROR(IF(NOT(D1593),"",A1593&amp;CELL("address",INDIRECT(C1593))),"")</f>
        <v/>
      </c>
      <c r="J1593" s="26" t="str">
        <f t="shared" ref="J1593:J1656" ca="1" si="206">IFERROR(IF(NOT(D1593),"",A1593),"")</f>
        <v/>
      </c>
    </row>
    <row r="1594" spans="1:10" x14ac:dyDescent="0.25">
      <c r="A1594" t="s">
        <v>198</v>
      </c>
      <c r="B1594" t="str">
        <f>ADDRESS(ROW('Bond 1'!$B$29),COLUMN('Bond 1'!$B$29),4)</f>
        <v>B29</v>
      </c>
      <c r="C1594" t="str">
        <f>ADDRESS(ROW('Bond 1'!$D$29),COLUMN('Bond 1'!$D$29),4)</f>
        <v>D29</v>
      </c>
      <c r="D1594" t="b" cm="1">
        <f t="array" aca="1" ref="D1594" ca="1">IF(INDIRECT("'"&amp;A1594&amp;"'!"&amp;B1594)="",FALSE,IF(TRUNC(INDIRECT("'"&amp;A1594&amp;"'!"&amp;B1594))=INDIRECT("'"&amp;A1594&amp;"'!"&amp;B1594),FALSE,TRUE))</f>
        <v>0</v>
      </c>
      <c r="E1594" t="s">
        <v>436</v>
      </c>
      <c r="F1594" t="str">
        <f>INDEX(Lists!I:I,MATCH(Validation!E1594,Lists!G:G,0))</f>
        <v>Error</v>
      </c>
      <c r="G1594" t="str">
        <f>INDEX(Lists!H:H,MATCH(Validation!E1594,Lists!G:G,0))</f>
        <v>Amount must be rounded to the nearest dollar.</v>
      </c>
      <c r="H1594" s="25" t="str">
        <f t="shared" ca="1" si="204"/>
        <v/>
      </c>
      <c r="I1594" s="25" t="str">
        <f t="shared" ca="1" si="205"/>
        <v/>
      </c>
      <c r="J1594" s="26" t="str">
        <f t="shared" ca="1" si="206"/>
        <v/>
      </c>
    </row>
    <row r="1595" spans="1:10" x14ac:dyDescent="0.25">
      <c r="A1595" t="s">
        <v>302</v>
      </c>
      <c r="B1595" t="str">
        <f>ADDRESS(ROW('Bond 1'!$B$29),COLUMN('Bond 1'!$B$29),4)</f>
        <v>B29</v>
      </c>
      <c r="C1595" t="str">
        <f>ADDRESS(ROW('Bond 1'!$D$29),COLUMN('Bond 1'!$D$29),4)</f>
        <v>D29</v>
      </c>
      <c r="D1595" t="b" cm="1">
        <f t="array" aca="1" ref="D1595" ca="1">IF(INDIRECT("'"&amp;A1595&amp;"'!"&amp;B1595)="",FALSE,IF(TRUNC(INDIRECT("'"&amp;A1595&amp;"'!"&amp;B1595))=INDIRECT("'"&amp;A1595&amp;"'!"&amp;B1595),FALSE,TRUE))</f>
        <v>0</v>
      </c>
      <c r="E1595" t="s">
        <v>436</v>
      </c>
      <c r="F1595" t="str">
        <f>INDEX(Lists!I:I,MATCH(Validation!E1595,Lists!G:G,0))</f>
        <v>Error</v>
      </c>
      <c r="G1595" t="str">
        <f>INDEX(Lists!H:H,MATCH(Validation!E1595,Lists!G:G,0))</f>
        <v>Amount must be rounded to the nearest dollar.</v>
      </c>
      <c r="H1595" s="25" t="str">
        <f t="shared" ca="1" si="204"/>
        <v/>
      </c>
      <c r="I1595" s="25" t="str">
        <f t="shared" ca="1" si="205"/>
        <v/>
      </c>
      <c r="J1595" s="26" t="str">
        <f t="shared" ca="1" si="206"/>
        <v/>
      </c>
    </row>
    <row r="1596" spans="1:10" x14ac:dyDescent="0.25">
      <c r="A1596" t="s">
        <v>303</v>
      </c>
      <c r="B1596" t="str">
        <f>ADDRESS(ROW('Bond 1'!$B$29),COLUMN('Bond 1'!$B$29),4)</f>
        <v>B29</v>
      </c>
      <c r="C1596" t="str">
        <f>ADDRESS(ROW('Bond 1'!$D$29),COLUMN('Bond 1'!$D$29),4)</f>
        <v>D29</v>
      </c>
      <c r="D1596" t="b" cm="1">
        <f t="array" aca="1" ref="D1596" ca="1">IF(INDIRECT("'"&amp;A1596&amp;"'!"&amp;B1596)="",FALSE,IF(TRUNC(INDIRECT("'"&amp;A1596&amp;"'!"&amp;B1596))=INDIRECT("'"&amp;A1596&amp;"'!"&amp;B1596),FALSE,TRUE))</f>
        <v>0</v>
      </c>
      <c r="E1596" t="s">
        <v>436</v>
      </c>
      <c r="F1596" t="str">
        <f>INDEX(Lists!I:I,MATCH(Validation!E1596,Lists!G:G,0))</f>
        <v>Error</v>
      </c>
      <c r="G1596" t="str">
        <f>INDEX(Lists!H:H,MATCH(Validation!E1596,Lists!G:G,0))</f>
        <v>Amount must be rounded to the nearest dollar.</v>
      </c>
      <c r="H1596" s="25" t="str">
        <f t="shared" ca="1" si="204"/>
        <v/>
      </c>
      <c r="I1596" s="25" t="str">
        <f t="shared" ca="1" si="205"/>
        <v/>
      </c>
      <c r="J1596" s="26" t="str">
        <f t="shared" ca="1" si="206"/>
        <v/>
      </c>
    </row>
    <row r="1597" spans="1:10" x14ac:dyDescent="0.25">
      <c r="A1597" t="s">
        <v>304</v>
      </c>
      <c r="B1597" t="str">
        <f>ADDRESS(ROW('Bond 1'!$B$29),COLUMN('Bond 1'!$B$29),4)</f>
        <v>B29</v>
      </c>
      <c r="C1597" t="str">
        <f>ADDRESS(ROW('Bond 1'!$D$29),COLUMN('Bond 1'!$D$29),4)</f>
        <v>D29</v>
      </c>
      <c r="D1597" t="b" cm="1">
        <f t="array" aca="1" ref="D1597" ca="1">IF(INDIRECT("'"&amp;A1597&amp;"'!"&amp;B1597)="",FALSE,IF(TRUNC(INDIRECT("'"&amp;A1597&amp;"'!"&amp;B1597))=INDIRECT("'"&amp;A1597&amp;"'!"&amp;B1597),FALSE,TRUE))</f>
        <v>0</v>
      </c>
      <c r="E1597" t="s">
        <v>436</v>
      </c>
      <c r="F1597" t="str">
        <f>INDEX(Lists!I:I,MATCH(Validation!E1597,Lists!G:G,0))</f>
        <v>Error</v>
      </c>
      <c r="G1597" t="str">
        <f>INDEX(Lists!H:H,MATCH(Validation!E1597,Lists!G:G,0))</f>
        <v>Amount must be rounded to the nearest dollar.</v>
      </c>
      <c r="H1597" s="25" t="str">
        <f t="shared" ca="1" si="204"/>
        <v/>
      </c>
      <c r="I1597" s="25" t="str">
        <f t="shared" ca="1" si="205"/>
        <v/>
      </c>
      <c r="J1597" s="26" t="str">
        <f t="shared" ca="1" si="206"/>
        <v/>
      </c>
    </row>
    <row r="1598" spans="1:10" x14ac:dyDescent="0.25">
      <c r="A1598" t="s">
        <v>305</v>
      </c>
      <c r="B1598" t="str">
        <f>ADDRESS(ROW('Bond 1'!$B$29),COLUMN('Bond 1'!$B$29),4)</f>
        <v>B29</v>
      </c>
      <c r="C1598" t="str">
        <f>ADDRESS(ROW('Bond 1'!$D$29),COLUMN('Bond 1'!$D$29),4)</f>
        <v>D29</v>
      </c>
      <c r="D1598" t="b" cm="1">
        <f t="array" aca="1" ref="D1598" ca="1">IF(INDIRECT("'"&amp;A1598&amp;"'!"&amp;B1598)="",FALSE,IF(TRUNC(INDIRECT("'"&amp;A1598&amp;"'!"&amp;B1598))=INDIRECT("'"&amp;A1598&amp;"'!"&amp;B1598),FALSE,TRUE))</f>
        <v>0</v>
      </c>
      <c r="E1598" t="s">
        <v>436</v>
      </c>
      <c r="F1598" t="str">
        <f>INDEX(Lists!I:I,MATCH(Validation!E1598,Lists!G:G,0))</f>
        <v>Error</v>
      </c>
      <c r="G1598" t="str">
        <f>INDEX(Lists!H:H,MATCH(Validation!E1598,Lists!G:G,0))</f>
        <v>Amount must be rounded to the nearest dollar.</v>
      </c>
      <c r="H1598" s="25" t="str">
        <f t="shared" ca="1" si="204"/>
        <v/>
      </c>
      <c r="I1598" s="25" t="str">
        <f t="shared" ca="1" si="205"/>
        <v/>
      </c>
      <c r="J1598" s="26" t="str">
        <f t="shared" ca="1" si="206"/>
        <v/>
      </c>
    </row>
    <row r="1599" spans="1:10" x14ac:dyDescent="0.25">
      <c r="A1599" t="s">
        <v>306</v>
      </c>
      <c r="B1599" t="str">
        <f>ADDRESS(ROW('Bond 1'!$B$29),COLUMN('Bond 1'!$B$29),4)</f>
        <v>B29</v>
      </c>
      <c r="C1599" t="str">
        <f>ADDRESS(ROW('Bond 1'!$D$29),COLUMN('Bond 1'!$D$29),4)</f>
        <v>D29</v>
      </c>
      <c r="D1599" t="b" cm="1">
        <f t="array" aca="1" ref="D1599" ca="1">IF(INDIRECT("'"&amp;A1599&amp;"'!"&amp;B1599)="",FALSE,IF(TRUNC(INDIRECT("'"&amp;A1599&amp;"'!"&amp;B1599))=INDIRECT("'"&amp;A1599&amp;"'!"&amp;B1599),FALSE,TRUE))</f>
        <v>0</v>
      </c>
      <c r="E1599" t="s">
        <v>436</v>
      </c>
      <c r="F1599" t="str">
        <f>INDEX(Lists!I:I,MATCH(Validation!E1599,Lists!G:G,0))</f>
        <v>Error</v>
      </c>
      <c r="G1599" t="str">
        <f>INDEX(Lists!H:H,MATCH(Validation!E1599,Lists!G:G,0))</f>
        <v>Amount must be rounded to the nearest dollar.</v>
      </c>
      <c r="H1599" s="25" t="str">
        <f t="shared" ca="1" si="204"/>
        <v/>
      </c>
      <c r="I1599" s="25" t="str">
        <f t="shared" ca="1" si="205"/>
        <v/>
      </c>
      <c r="J1599" s="26" t="str">
        <f t="shared" ca="1" si="206"/>
        <v/>
      </c>
    </row>
    <row r="1600" spans="1:10" x14ac:dyDescent="0.25">
      <c r="A1600" t="s">
        <v>307</v>
      </c>
      <c r="B1600" t="str">
        <f>ADDRESS(ROW('Bond 1'!$B$29),COLUMN('Bond 1'!$B$29),4)</f>
        <v>B29</v>
      </c>
      <c r="C1600" t="str">
        <f>ADDRESS(ROW('Bond 1'!$D$29),COLUMN('Bond 1'!$D$29),4)</f>
        <v>D29</v>
      </c>
      <c r="D1600" t="b" cm="1">
        <f t="array" aca="1" ref="D1600" ca="1">IF(INDIRECT("'"&amp;A1600&amp;"'!"&amp;B1600)="",FALSE,IF(TRUNC(INDIRECT("'"&amp;A1600&amp;"'!"&amp;B1600))=INDIRECT("'"&amp;A1600&amp;"'!"&amp;B1600),FALSE,TRUE))</f>
        <v>0</v>
      </c>
      <c r="E1600" t="s">
        <v>436</v>
      </c>
      <c r="F1600" t="str">
        <f>INDEX(Lists!I:I,MATCH(Validation!E1600,Lists!G:G,0))</f>
        <v>Error</v>
      </c>
      <c r="G1600" t="str">
        <f>INDEX(Lists!H:H,MATCH(Validation!E1600,Lists!G:G,0))</f>
        <v>Amount must be rounded to the nearest dollar.</v>
      </c>
      <c r="H1600" s="25" t="str">
        <f t="shared" ca="1" si="204"/>
        <v/>
      </c>
      <c r="I1600" s="25" t="str">
        <f t="shared" ca="1" si="205"/>
        <v/>
      </c>
      <c r="J1600" s="26" t="str">
        <f t="shared" ca="1" si="206"/>
        <v/>
      </c>
    </row>
    <row r="1601" spans="1:10" x14ac:dyDescent="0.25">
      <c r="A1601" t="s">
        <v>308</v>
      </c>
      <c r="B1601" t="str">
        <f>ADDRESS(ROW('Bond 1'!$B$29),COLUMN('Bond 1'!$B$29),4)</f>
        <v>B29</v>
      </c>
      <c r="C1601" t="str">
        <f>ADDRESS(ROW('Bond 1'!$D$29),COLUMN('Bond 1'!$D$29),4)</f>
        <v>D29</v>
      </c>
      <c r="D1601" t="b" cm="1">
        <f t="array" aca="1" ref="D1601" ca="1">IF(INDIRECT("'"&amp;A1601&amp;"'!"&amp;B1601)="",FALSE,IF(TRUNC(INDIRECT("'"&amp;A1601&amp;"'!"&amp;B1601))=INDIRECT("'"&amp;A1601&amp;"'!"&amp;B1601),FALSE,TRUE))</f>
        <v>0</v>
      </c>
      <c r="E1601" t="s">
        <v>436</v>
      </c>
      <c r="F1601" t="str">
        <f>INDEX(Lists!I:I,MATCH(Validation!E1601,Lists!G:G,0))</f>
        <v>Error</v>
      </c>
      <c r="G1601" t="str">
        <f>INDEX(Lists!H:H,MATCH(Validation!E1601,Lists!G:G,0))</f>
        <v>Amount must be rounded to the nearest dollar.</v>
      </c>
      <c r="H1601" s="25" t="str">
        <f t="shared" ca="1" si="204"/>
        <v/>
      </c>
      <c r="I1601" s="25" t="str">
        <f t="shared" ca="1" si="205"/>
        <v/>
      </c>
      <c r="J1601" s="26" t="str">
        <f t="shared" ca="1" si="206"/>
        <v/>
      </c>
    </row>
    <row r="1602" spans="1:10" x14ac:dyDescent="0.25">
      <c r="A1602" t="s">
        <v>309</v>
      </c>
      <c r="B1602" t="str">
        <f>ADDRESS(ROW('Bond 1'!$B$29),COLUMN('Bond 1'!$B$29),4)</f>
        <v>B29</v>
      </c>
      <c r="C1602" t="str">
        <f>ADDRESS(ROW('Bond 1'!$D$29),COLUMN('Bond 1'!$D$29),4)</f>
        <v>D29</v>
      </c>
      <c r="D1602" t="b" cm="1">
        <f t="array" aca="1" ref="D1602" ca="1">IF(INDIRECT("'"&amp;A1602&amp;"'!"&amp;B1602)="",FALSE,IF(TRUNC(INDIRECT("'"&amp;A1602&amp;"'!"&amp;B1602))=INDIRECT("'"&amp;A1602&amp;"'!"&amp;B1602),FALSE,TRUE))</f>
        <v>0</v>
      </c>
      <c r="E1602" t="s">
        <v>436</v>
      </c>
      <c r="F1602" t="str">
        <f>INDEX(Lists!I:I,MATCH(Validation!E1602,Lists!G:G,0))</f>
        <v>Error</v>
      </c>
      <c r="G1602" t="str">
        <f>INDEX(Lists!H:H,MATCH(Validation!E1602,Lists!G:G,0))</f>
        <v>Amount must be rounded to the nearest dollar.</v>
      </c>
      <c r="H1602" s="25" t="str">
        <f t="shared" ca="1" si="204"/>
        <v/>
      </c>
      <c r="I1602" s="25" t="str">
        <f t="shared" ca="1" si="205"/>
        <v/>
      </c>
      <c r="J1602" s="26" t="str">
        <f t="shared" ca="1" si="206"/>
        <v/>
      </c>
    </row>
    <row r="1603" spans="1:10" x14ac:dyDescent="0.25">
      <c r="A1603" t="s">
        <v>310</v>
      </c>
      <c r="B1603" t="str">
        <f>ADDRESS(ROW('Bond 1'!$B$29),COLUMN('Bond 1'!$B$29),4)</f>
        <v>B29</v>
      </c>
      <c r="C1603" t="str">
        <f>ADDRESS(ROW('Bond 1'!$D$29),COLUMN('Bond 1'!$D$29),4)</f>
        <v>D29</v>
      </c>
      <c r="D1603" t="b" cm="1">
        <f t="array" aca="1" ref="D1603" ca="1">IF(INDIRECT("'"&amp;A1603&amp;"'!"&amp;B1603)="",FALSE,IF(TRUNC(INDIRECT("'"&amp;A1603&amp;"'!"&amp;B1603))=INDIRECT("'"&amp;A1603&amp;"'!"&amp;B1603),FALSE,TRUE))</f>
        <v>0</v>
      </c>
      <c r="E1603" t="s">
        <v>436</v>
      </c>
      <c r="F1603" t="str">
        <f>INDEX(Lists!I:I,MATCH(Validation!E1603,Lists!G:G,0))</f>
        <v>Error</v>
      </c>
      <c r="G1603" t="str">
        <f>INDEX(Lists!H:H,MATCH(Validation!E1603,Lists!G:G,0))</f>
        <v>Amount must be rounded to the nearest dollar.</v>
      </c>
      <c r="H1603" s="25" t="str">
        <f t="shared" ca="1" si="204"/>
        <v/>
      </c>
      <c r="I1603" s="25" t="str">
        <f t="shared" ca="1" si="205"/>
        <v/>
      </c>
      <c r="J1603" s="26" t="str">
        <f t="shared" ca="1" si="206"/>
        <v/>
      </c>
    </row>
    <row r="1604" spans="1:10" x14ac:dyDescent="0.25">
      <c r="A1604" t="s">
        <v>311</v>
      </c>
      <c r="B1604" t="str">
        <f>ADDRESS(ROW('Bond 1'!$B$29),COLUMN('Bond 1'!$B$29),4)</f>
        <v>B29</v>
      </c>
      <c r="C1604" t="str">
        <f>ADDRESS(ROW('Bond 1'!$D$29),COLUMN('Bond 1'!$D$29),4)</f>
        <v>D29</v>
      </c>
      <c r="D1604" t="b" cm="1">
        <f t="array" aca="1" ref="D1604" ca="1">IF(INDIRECT("'"&amp;A1604&amp;"'!"&amp;B1604)="",FALSE,IF(TRUNC(INDIRECT("'"&amp;A1604&amp;"'!"&amp;B1604))=INDIRECT("'"&amp;A1604&amp;"'!"&amp;B1604),FALSE,TRUE))</f>
        <v>0</v>
      </c>
      <c r="E1604" t="s">
        <v>436</v>
      </c>
      <c r="F1604" t="str">
        <f>INDEX(Lists!I:I,MATCH(Validation!E1604,Lists!G:G,0))</f>
        <v>Error</v>
      </c>
      <c r="G1604" t="str">
        <f>INDEX(Lists!H:H,MATCH(Validation!E1604,Lists!G:G,0))</f>
        <v>Amount must be rounded to the nearest dollar.</v>
      </c>
      <c r="H1604" s="25" t="str">
        <f t="shared" ca="1" si="204"/>
        <v/>
      </c>
      <c r="I1604" s="25" t="str">
        <f t="shared" ca="1" si="205"/>
        <v/>
      </c>
      <c r="J1604" s="26" t="str">
        <f t="shared" ca="1" si="206"/>
        <v/>
      </c>
    </row>
    <row r="1605" spans="1:10" x14ac:dyDescent="0.25">
      <c r="A1605" t="s">
        <v>312</v>
      </c>
      <c r="B1605" t="str">
        <f>ADDRESS(ROW('Bond 1'!$B$29),COLUMN('Bond 1'!$B$29),4)</f>
        <v>B29</v>
      </c>
      <c r="C1605" t="str">
        <f>ADDRESS(ROW('Bond 1'!$D$29),COLUMN('Bond 1'!$D$29),4)</f>
        <v>D29</v>
      </c>
      <c r="D1605" t="b" cm="1">
        <f t="array" aca="1" ref="D1605" ca="1">IF(INDIRECT("'"&amp;A1605&amp;"'!"&amp;B1605)="",FALSE,IF(TRUNC(INDIRECT("'"&amp;A1605&amp;"'!"&amp;B1605))=INDIRECT("'"&amp;A1605&amp;"'!"&amp;B1605),FALSE,TRUE))</f>
        <v>0</v>
      </c>
      <c r="E1605" t="s">
        <v>436</v>
      </c>
      <c r="F1605" t="str">
        <f>INDEX(Lists!I:I,MATCH(Validation!E1605,Lists!G:G,0))</f>
        <v>Error</v>
      </c>
      <c r="G1605" t="str">
        <f>INDEX(Lists!H:H,MATCH(Validation!E1605,Lists!G:G,0))</f>
        <v>Amount must be rounded to the nearest dollar.</v>
      </c>
      <c r="H1605" s="25" t="str">
        <f t="shared" ca="1" si="204"/>
        <v/>
      </c>
      <c r="I1605" s="25" t="str">
        <f t="shared" ca="1" si="205"/>
        <v/>
      </c>
      <c r="J1605" s="26" t="str">
        <f t="shared" ca="1" si="206"/>
        <v/>
      </c>
    </row>
    <row r="1606" spans="1:10" x14ac:dyDescent="0.25">
      <c r="A1606" t="s">
        <v>313</v>
      </c>
      <c r="B1606" t="str">
        <f>ADDRESS(ROW('Bond 1'!$B$29),COLUMN('Bond 1'!$B$29),4)</f>
        <v>B29</v>
      </c>
      <c r="C1606" t="str">
        <f>ADDRESS(ROW('Bond 1'!$D$29),COLUMN('Bond 1'!$D$29),4)</f>
        <v>D29</v>
      </c>
      <c r="D1606" t="b" cm="1">
        <f t="array" aca="1" ref="D1606" ca="1">IF(INDIRECT("'"&amp;A1606&amp;"'!"&amp;B1606)="",FALSE,IF(TRUNC(INDIRECT("'"&amp;A1606&amp;"'!"&amp;B1606))=INDIRECT("'"&amp;A1606&amp;"'!"&amp;B1606),FALSE,TRUE))</f>
        <v>0</v>
      </c>
      <c r="E1606" t="s">
        <v>436</v>
      </c>
      <c r="F1606" t="str">
        <f>INDEX(Lists!I:I,MATCH(Validation!E1606,Lists!G:G,0))</f>
        <v>Error</v>
      </c>
      <c r="G1606" t="str">
        <f>INDEX(Lists!H:H,MATCH(Validation!E1606,Lists!G:G,0))</f>
        <v>Amount must be rounded to the nearest dollar.</v>
      </c>
      <c r="H1606" s="25" t="str">
        <f t="shared" ca="1" si="204"/>
        <v/>
      </c>
      <c r="I1606" s="25" t="str">
        <f t="shared" ca="1" si="205"/>
        <v/>
      </c>
      <c r="J1606" s="26" t="str">
        <f t="shared" ca="1" si="206"/>
        <v/>
      </c>
    </row>
    <row r="1607" spans="1:10" x14ac:dyDescent="0.25">
      <c r="A1607" t="s">
        <v>314</v>
      </c>
      <c r="B1607" t="str">
        <f>ADDRESS(ROW('Bond 1'!$B$29),COLUMN('Bond 1'!$B$29),4)</f>
        <v>B29</v>
      </c>
      <c r="C1607" t="str">
        <f>ADDRESS(ROW('Bond 1'!$D$29),COLUMN('Bond 1'!$D$29),4)</f>
        <v>D29</v>
      </c>
      <c r="D1607" t="b" cm="1">
        <f t="array" aca="1" ref="D1607" ca="1">IF(INDIRECT("'"&amp;A1607&amp;"'!"&amp;B1607)="",FALSE,IF(TRUNC(INDIRECT("'"&amp;A1607&amp;"'!"&amp;B1607))=INDIRECT("'"&amp;A1607&amp;"'!"&amp;B1607),FALSE,TRUE))</f>
        <v>0</v>
      </c>
      <c r="E1607" t="s">
        <v>436</v>
      </c>
      <c r="F1607" t="str">
        <f>INDEX(Lists!I:I,MATCH(Validation!E1607,Lists!G:G,0))</f>
        <v>Error</v>
      </c>
      <c r="G1607" t="str">
        <f>INDEX(Lists!H:H,MATCH(Validation!E1607,Lists!G:G,0))</f>
        <v>Amount must be rounded to the nearest dollar.</v>
      </c>
      <c r="H1607" s="25" t="str">
        <f t="shared" ca="1" si="204"/>
        <v/>
      </c>
      <c r="I1607" s="25" t="str">
        <f t="shared" ca="1" si="205"/>
        <v/>
      </c>
      <c r="J1607" s="26" t="str">
        <f t="shared" ca="1" si="206"/>
        <v/>
      </c>
    </row>
    <row r="1608" spans="1:10" x14ac:dyDescent="0.25">
      <c r="A1608" t="s">
        <v>315</v>
      </c>
      <c r="B1608" t="str">
        <f>ADDRESS(ROW('Bond 1'!$B$29),COLUMN('Bond 1'!$B$29),4)</f>
        <v>B29</v>
      </c>
      <c r="C1608" t="str">
        <f>ADDRESS(ROW('Bond 1'!$D$29),COLUMN('Bond 1'!$D$29),4)</f>
        <v>D29</v>
      </c>
      <c r="D1608" t="b" cm="1">
        <f t="array" aca="1" ref="D1608" ca="1">IF(INDIRECT("'"&amp;A1608&amp;"'!"&amp;B1608)="",FALSE,IF(TRUNC(INDIRECT("'"&amp;A1608&amp;"'!"&amp;B1608))=INDIRECT("'"&amp;A1608&amp;"'!"&amp;B1608),FALSE,TRUE))</f>
        <v>0</v>
      </c>
      <c r="E1608" t="s">
        <v>436</v>
      </c>
      <c r="F1608" t="str">
        <f>INDEX(Lists!I:I,MATCH(Validation!E1608,Lists!G:G,0))</f>
        <v>Error</v>
      </c>
      <c r="G1608" t="str">
        <f>INDEX(Lists!H:H,MATCH(Validation!E1608,Lists!G:G,0))</f>
        <v>Amount must be rounded to the nearest dollar.</v>
      </c>
      <c r="H1608" s="25" t="str">
        <f t="shared" ca="1" si="204"/>
        <v/>
      </c>
      <c r="I1608" s="25" t="str">
        <f t="shared" ca="1" si="205"/>
        <v/>
      </c>
      <c r="J1608" s="26" t="str">
        <f t="shared" ca="1" si="206"/>
        <v/>
      </c>
    </row>
    <row r="1609" spans="1:10" x14ac:dyDescent="0.25">
      <c r="A1609" t="s">
        <v>198</v>
      </c>
      <c r="B1609" t="str">
        <f>ADDRESS(ROW('Bond 1'!$B$29),COLUMN('Bond 1'!$B$29),4)</f>
        <v>B29</v>
      </c>
      <c r="C1609" t="str">
        <f>ADDRESS(ROW('Bond 1'!$D$29),COLUMN('Bond 1'!$D$29),4)</f>
        <v>D29</v>
      </c>
      <c r="D1609" t="b" cm="1">
        <f t="array" aca="1" ref="D1609" ca="1">IF(AND(NOT(ISBLANK('Bond Input'!C$33)),INDIRECT("'"&amp;A1609&amp;"'!"&amp;B1609)&lt;&gt;'Bond Input'!C$33),TRUE,FALSE)</f>
        <v>0</v>
      </c>
      <c r="E1609" t="s">
        <v>634</v>
      </c>
      <c r="F1609" t="str">
        <f>INDEX(Lists!I:I,MATCH(Validation!E1609,Lists!G:G,0))</f>
        <v>Alert</v>
      </c>
      <c r="G1609" t="str">
        <f>INDEX(Lists!H:H,MATCH(Validation!E1609,Lists!G:G,0))</f>
        <v>You have changed previously reported data. Explain in the comments box.</v>
      </c>
      <c r="H1609" s="25" t="str">
        <f t="shared" ca="1" si="204"/>
        <v/>
      </c>
      <c r="I1609" s="25" t="str">
        <f t="shared" ca="1" si="205"/>
        <v/>
      </c>
      <c r="J1609" s="26" t="str">
        <f t="shared" ca="1" si="206"/>
        <v/>
      </c>
    </row>
    <row r="1610" spans="1:10" x14ac:dyDescent="0.25">
      <c r="A1610" t="s">
        <v>302</v>
      </c>
      <c r="B1610" t="str">
        <f>ADDRESS(ROW('Bond 1'!$B$29),COLUMN('Bond 1'!$B$29),4)</f>
        <v>B29</v>
      </c>
      <c r="C1610" t="str">
        <f>ADDRESS(ROW('Bond 1'!$D$29),COLUMN('Bond 1'!$D$29),4)</f>
        <v>D29</v>
      </c>
      <c r="D1610" t="b" cm="1">
        <f t="array" aca="1" ref="D1610" ca="1">IF(AND(NOT(ISBLANK('Bond Input'!D$33)),INDIRECT("'"&amp;A1610&amp;"'!"&amp;B1610)&lt;&gt;'Bond Input'!D$33),TRUE,FALSE)</f>
        <v>0</v>
      </c>
      <c r="E1610" t="s">
        <v>634</v>
      </c>
      <c r="F1610" t="str">
        <f>INDEX(Lists!I:I,MATCH(Validation!E1610,Lists!G:G,0))</f>
        <v>Alert</v>
      </c>
      <c r="G1610" t="str">
        <f>INDEX(Lists!H:H,MATCH(Validation!E1610,Lists!G:G,0))</f>
        <v>You have changed previously reported data. Explain in the comments box.</v>
      </c>
      <c r="H1610" s="25" t="str">
        <f t="shared" ca="1" si="204"/>
        <v/>
      </c>
      <c r="I1610" s="25" t="str">
        <f t="shared" ca="1" si="205"/>
        <v/>
      </c>
      <c r="J1610" s="26" t="str">
        <f t="shared" ca="1" si="206"/>
        <v/>
      </c>
    </row>
    <row r="1611" spans="1:10" x14ac:dyDescent="0.25">
      <c r="A1611" t="s">
        <v>303</v>
      </c>
      <c r="B1611" t="str">
        <f>ADDRESS(ROW('Bond 1'!$B$29),COLUMN('Bond 1'!$B$29),4)</f>
        <v>B29</v>
      </c>
      <c r="C1611" t="str">
        <f>ADDRESS(ROW('Bond 1'!$D$29),COLUMN('Bond 1'!$D$29),4)</f>
        <v>D29</v>
      </c>
      <c r="D1611" t="b" cm="1">
        <f t="array" aca="1" ref="D1611" ca="1">IF(AND(NOT(ISBLANK('Bond Input'!E$33)),INDIRECT("'"&amp;A1611&amp;"'!"&amp;B1611)&lt;&gt;'Bond Input'!E$33),TRUE,FALSE)</f>
        <v>0</v>
      </c>
      <c r="E1611" t="s">
        <v>634</v>
      </c>
      <c r="F1611" t="str">
        <f>INDEX(Lists!I:I,MATCH(Validation!E1611,Lists!G:G,0))</f>
        <v>Alert</v>
      </c>
      <c r="G1611" t="str">
        <f>INDEX(Lists!H:H,MATCH(Validation!E1611,Lists!G:G,0))</f>
        <v>You have changed previously reported data. Explain in the comments box.</v>
      </c>
      <c r="H1611" s="25" t="str">
        <f t="shared" ca="1" si="204"/>
        <v/>
      </c>
      <c r="I1611" s="25" t="str">
        <f t="shared" ca="1" si="205"/>
        <v/>
      </c>
      <c r="J1611" s="26" t="str">
        <f t="shared" ca="1" si="206"/>
        <v/>
      </c>
    </row>
    <row r="1612" spans="1:10" x14ac:dyDescent="0.25">
      <c r="A1612" t="s">
        <v>304</v>
      </c>
      <c r="B1612" t="str">
        <f>ADDRESS(ROW('Bond 1'!$B$29),COLUMN('Bond 1'!$B$29),4)</f>
        <v>B29</v>
      </c>
      <c r="C1612" t="str">
        <f>ADDRESS(ROW('Bond 1'!$D$29),COLUMN('Bond 1'!$D$29),4)</f>
        <v>D29</v>
      </c>
      <c r="D1612" t="b" cm="1">
        <f t="array" aca="1" ref="D1612" ca="1">IF(AND(NOT(ISBLANK('Bond Input'!F$33)),INDIRECT("'"&amp;A1612&amp;"'!"&amp;B1612)&lt;&gt;'Bond Input'!F$33),TRUE,FALSE)</f>
        <v>0</v>
      </c>
      <c r="E1612" t="s">
        <v>634</v>
      </c>
      <c r="F1612" t="str">
        <f>INDEX(Lists!I:I,MATCH(Validation!E1612,Lists!G:G,0))</f>
        <v>Alert</v>
      </c>
      <c r="G1612" t="str">
        <f>INDEX(Lists!H:H,MATCH(Validation!E1612,Lists!G:G,0))</f>
        <v>You have changed previously reported data. Explain in the comments box.</v>
      </c>
      <c r="H1612" s="25" t="str">
        <f t="shared" ca="1" si="204"/>
        <v/>
      </c>
      <c r="I1612" s="25" t="str">
        <f t="shared" ca="1" si="205"/>
        <v/>
      </c>
      <c r="J1612" s="26" t="str">
        <f t="shared" ca="1" si="206"/>
        <v/>
      </c>
    </row>
    <row r="1613" spans="1:10" x14ac:dyDescent="0.25">
      <c r="A1613" t="s">
        <v>305</v>
      </c>
      <c r="B1613" t="str">
        <f>ADDRESS(ROW('Bond 1'!$B$29),COLUMN('Bond 1'!$B$29),4)</f>
        <v>B29</v>
      </c>
      <c r="C1613" t="str">
        <f>ADDRESS(ROW('Bond 1'!$D$29),COLUMN('Bond 1'!$D$29),4)</f>
        <v>D29</v>
      </c>
      <c r="D1613" t="b" cm="1">
        <f t="array" aca="1" ref="D1613" ca="1">IF(AND(NOT(ISBLANK('Bond Input'!G$33)),INDIRECT("'"&amp;A1613&amp;"'!"&amp;B1613)&lt;&gt;'Bond Input'!G$33),TRUE,FALSE)</f>
        <v>0</v>
      </c>
      <c r="E1613" t="s">
        <v>634</v>
      </c>
      <c r="F1613" t="str">
        <f>INDEX(Lists!I:I,MATCH(Validation!E1613,Lists!G:G,0))</f>
        <v>Alert</v>
      </c>
      <c r="G1613" t="str">
        <f>INDEX(Lists!H:H,MATCH(Validation!E1613,Lists!G:G,0))</f>
        <v>You have changed previously reported data. Explain in the comments box.</v>
      </c>
      <c r="H1613" s="25" t="str">
        <f t="shared" ca="1" si="204"/>
        <v/>
      </c>
      <c r="I1613" s="25" t="str">
        <f t="shared" ca="1" si="205"/>
        <v/>
      </c>
      <c r="J1613" s="26" t="str">
        <f t="shared" ca="1" si="206"/>
        <v/>
      </c>
    </row>
    <row r="1614" spans="1:10" x14ac:dyDescent="0.25">
      <c r="A1614" t="s">
        <v>306</v>
      </c>
      <c r="B1614" t="str">
        <f>ADDRESS(ROW('Bond 1'!$B$29),COLUMN('Bond 1'!$B$29),4)</f>
        <v>B29</v>
      </c>
      <c r="C1614" t="str">
        <f>ADDRESS(ROW('Bond 1'!$D$29),COLUMN('Bond 1'!$D$29),4)</f>
        <v>D29</v>
      </c>
      <c r="D1614" t="b" cm="1">
        <f t="array" aca="1" ref="D1614" ca="1">IF(AND(NOT(ISBLANK('Bond Input'!H$33)),INDIRECT("'"&amp;A1614&amp;"'!"&amp;B1614)&lt;&gt;'Bond Input'!H$33),TRUE,FALSE)</f>
        <v>0</v>
      </c>
      <c r="E1614" t="s">
        <v>634</v>
      </c>
      <c r="F1614" t="str">
        <f>INDEX(Lists!I:I,MATCH(Validation!E1614,Lists!G:G,0))</f>
        <v>Alert</v>
      </c>
      <c r="G1614" t="str">
        <f>INDEX(Lists!H:H,MATCH(Validation!E1614,Lists!G:G,0))</f>
        <v>You have changed previously reported data. Explain in the comments box.</v>
      </c>
      <c r="H1614" s="25" t="str">
        <f t="shared" ca="1" si="204"/>
        <v/>
      </c>
      <c r="I1614" s="25" t="str">
        <f t="shared" ca="1" si="205"/>
        <v/>
      </c>
      <c r="J1614" s="26" t="str">
        <f t="shared" ca="1" si="206"/>
        <v/>
      </c>
    </row>
    <row r="1615" spans="1:10" x14ac:dyDescent="0.25">
      <c r="A1615" t="s">
        <v>307</v>
      </c>
      <c r="B1615" t="str">
        <f>ADDRESS(ROW('Bond 1'!$B$29),COLUMN('Bond 1'!$B$29),4)</f>
        <v>B29</v>
      </c>
      <c r="C1615" t="str">
        <f>ADDRESS(ROW('Bond 1'!$D$29),COLUMN('Bond 1'!$D$29),4)</f>
        <v>D29</v>
      </c>
      <c r="D1615" t="b" cm="1">
        <f t="array" aca="1" ref="D1615" ca="1">IF(AND(NOT(ISBLANK('Bond Input'!I$33)),INDIRECT("'"&amp;A1615&amp;"'!"&amp;B1615)&lt;&gt;'Bond Input'!I$33),TRUE,FALSE)</f>
        <v>0</v>
      </c>
      <c r="E1615" t="s">
        <v>634</v>
      </c>
      <c r="F1615" t="str">
        <f>INDEX(Lists!I:I,MATCH(Validation!E1615,Lists!G:G,0))</f>
        <v>Alert</v>
      </c>
      <c r="G1615" t="str">
        <f>INDEX(Lists!H:H,MATCH(Validation!E1615,Lists!G:G,0))</f>
        <v>You have changed previously reported data. Explain in the comments box.</v>
      </c>
      <c r="H1615" s="25" t="str">
        <f t="shared" ca="1" si="204"/>
        <v/>
      </c>
      <c r="I1615" s="25" t="str">
        <f t="shared" ca="1" si="205"/>
        <v/>
      </c>
      <c r="J1615" s="26" t="str">
        <f t="shared" ca="1" si="206"/>
        <v/>
      </c>
    </row>
    <row r="1616" spans="1:10" x14ac:dyDescent="0.25">
      <c r="A1616" t="s">
        <v>308</v>
      </c>
      <c r="B1616" t="str">
        <f>ADDRESS(ROW('Bond 1'!$B$29),COLUMN('Bond 1'!$B$29),4)</f>
        <v>B29</v>
      </c>
      <c r="C1616" t="str">
        <f>ADDRESS(ROW('Bond 1'!$D$29),COLUMN('Bond 1'!$D$29),4)</f>
        <v>D29</v>
      </c>
      <c r="D1616" t="b" cm="1">
        <f t="array" aca="1" ref="D1616" ca="1">IF(AND(NOT(ISBLANK('Bond Input'!J$33)),INDIRECT("'"&amp;A1616&amp;"'!"&amp;B1616)&lt;&gt;'Bond Input'!J$33),TRUE,FALSE)</f>
        <v>0</v>
      </c>
      <c r="E1616" t="s">
        <v>634</v>
      </c>
      <c r="F1616" t="str">
        <f>INDEX(Lists!I:I,MATCH(Validation!E1616,Lists!G:G,0))</f>
        <v>Alert</v>
      </c>
      <c r="G1616" t="str">
        <f>INDEX(Lists!H:H,MATCH(Validation!E1616,Lists!G:G,0))</f>
        <v>You have changed previously reported data. Explain in the comments box.</v>
      </c>
      <c r="H1616" s="25" t="str">
        <f t="shared" ca="1" si="204"/>
        <v/>
      </c>
      <c r="I1616" s="25" t="str">
        <f t="shared" ca="1" si="205"/>
        <v/>
      </c>
      <c r="J1616" s="26" t="str">
        <f t="shared" ca="1" si="206"/>
        <v/>
      </c>
    </row>
    <row r="1617" spans="1:10" x14ac:dyDescent="0.25">
      <c r="A1617" t="s">
        <v>309</v>
      </c>
      <c r="B1617" t="str">
        <f>ADDRESS(ROW('Bond 1'!$B$29),COLUMN('Bond 1'!$B$29),4)</f>
        <v>B29</v>
      </c>
      <c r="C1617" t="str">
        <f>ADDRESS(ROW('Bond 1'!$D$29),COLUMN('Bond 1'!$D$29),4)</f>
        <v>D29</v>
      </c>
      <c r="D1617" t="b" cm="1">
        <f t="array" aca="1" ref="D1617" ca="1">IF(AND(NOT(ISBLANK('Bond Input'!K$33)),INDIRECT("'"&amp;A1617&amp;"'!"&amp;B1617)&lt;&gt;'Bond Input'!K$33),TRUE,FALSE)</f>
        <v>0</v>
      </c>
      <c r="E1617" t="s">
        <v>634</v>
      </c>
      <c r="F1617" t="str">
        <f>INDEX(Lists!I:I,MATCH(Validation!E1617,Lists!G:G,0))</f>
        <v>Alert</v>
      </c>
      <c r="G1617" t="str">
        <f>INDEX(Lists!H:H,MATCH(Validation!E1617,Lists!G:G,0))</f>
        <v>You have changed previously reported data. Explain in the comments box.</v>
      </c>
      <c r="H1617" s="25" t="str">
        <f t="shared" ca="1" si="204"/>
        <v/>
      </c>
      <c r="I1617" s="25" t="str">
        <f t="shared" ca="1" si="205"/>
        <v/>
      </c>
      <c r="J1617" s="26" t="str">
        <f t="shared" ca="1" si="206"/>
        <v/>
      </c>
    </row>
    <row r="1618" spans="1:10" x14ac:dyDescent="0.25">
      <c r="A1618" t="s">
        <v>310</v>
      </c>
      <c r="B1618" t="str">
        <f>ADDRESS(ROW('Bond 1'!$B$29),COLUMN('Bond 1'!$B$29),4)</f>
        <v>B29</v>
      </c>
      <c r="C1618" t="str">
        <f>ADDRESS(ROW('Bond 1'!$D$29),COLUMN('Bond 1'!$D$29),4)</f>
        <v>D29</v>
      </c>
      <c r="D1618" t="b" cm="1">
        <f t="array" aca="1" ref="D1618" ca="1">IF(AND(NOT(ISBLANK('Bond Input'!L$33)),INDIRECT("'"&amp;A1618&amp;"'!"&amp;B1618)&lt;&gt;'Bond Input'!L$33),TRUE,FALSE)</f>
        <v>0</v>
      </c>
      <c r="E1618" t="s">
        <v>634</v>
      </c>
      <c r="F1618" t="str">
        <f>INDEX(Lists!I:I,MATCH(Validation!E1618,Lists!G:G,0))</f>
        <v>Alert</v>
      </c>
      <c r="G1618" t="str">
        <f>INDEX(Lists!H:H,MATCH(Validation!E1618,Lists!G:G,0))</f>
        <v>You have changed previously reported data. Explain in the comments box.</v>
      </c>
      <c r="H1618" s="25" t="str">
        <f t="shared" ca="1" si="204"/>
        <v/>
      </c>
      <c r="I1618" s="25" t="str">
        <f t="shared" ca="1" si="205"/>
        <v/>
      </c>
      <c r="J1618" s="26" t="str">
        <f t="shared" ca="1" si="206"/>
        <v/>
      </c>
    </row>
    <row r="1619" spans="1:10" x14ac:dyDescent="0.25">
      <c r="A1619" t="s">
        <v>311</v>
      </c>
      <c r="B1619" t="str">
        <f>ADDRESS(ROW('Bond 1'!$B$29),COLUMN('Bond 1'!$B$29),4)</f>
        <v>B29</v>
      </c>
      <c r="C1619" t="str">
        <f>ADDRESS(ROW('Bond 1'!$D$29),COLUMN('Bond 1'!$D$29),4)</f>
        <v>D29</v>
      </c>
      <c r="D1619" t="b" cm="1">
        <f t="array" aca="1" ref="D1619" ca="1">IF(AND(NOT(ISBLANK('Bond Input'!M$33)),INDIRECT("'"&amp;A1619&amp;"'!"&amp;B1619)&lt;&gt;'Bond Input'!M$33),TRUE,FALSE)</f>
        <v>0</v>
      </c>
      <c r="E1619" t="s">
        <v>634</v>
      </c>
      <c r="F1619" t="str">
        <f>INDEX(Lists!I:I,MATCH(Validation!E1619,Lists!G:G,0))</f>
        <v>Alert</v>
      </c>
      <c r="G1619" t="str">
        <f>INDEX(Lists!H:H,MATCH(Validation!E1619,Lists!G:G,0))</f>
        <v>You have changed previously reported data. Explain in the comments box.</v>
      </c>
      <c r="H1619" s="25" t="str">
        <f t="shared" ca="1" si="204"/>
        <v/>
      </c>
      <c r="I1619" s="25" t="str">
        <f t="shared" ca="1" si="205"/>
        <v/>
      </c>
      <c r="J1619" s="26" t="str">
        <f t="shared" ca="1" si="206"/>
        <v/>
      </c>
    </row>
    <row r="1620" spans="1:10" x14ac:dyDescent="0.25">
      <c r="A1620" t="s">
        <v>312</v>
      </c>
      <c r="B1620" t="str">
        <f>ADDRESS(ROW('Bond 1'!$B$29),COLUMN('Bond 1'!$B$29),4)</f>
        <v>B29</v>
      </c>
      <c r="C1620" t="str">
        <f>ADDRESS(ROW('Bond 1'!$D$29),COLUMN('Bond 1'!$D$29),4)</f>
        <v>D29</v>
      </c>
      <c r="D1620" t="b" cm="1">
        <f t="array" aca="1" ref="D1620" ca="1">IF(AND(NOT(ISBLANK('Bond Input'!N$33)),INDIRECT("'"&amp;A1620&amp;"'!"&amp;B1620)&lt;&gt;'Bond Input'!N$33),TRUE,FALSE)</f>
        <v>0</v>
      </c>
      <c r="E1620" t="s">
        <v>634</v>
      </c>
      <c r="F1620" t="str">
        <f>INDEX(Lists!I:I,MATCH(Validation!E1620,Lists!G:G,0))</f>
        <v>Alert</v>
      </c>
      <c r="G1620" t="str">
        <f>INDEX(Lists!H:H,MATCH(Validation!E1620,Lists!G:G,0))</f>
        <v>You have changed previously reported data. Explain in the comments box.</v>
      </c>
      <c r="H1620" s="25" t="str">
        <f t="shared" ca="1" si="204"/>
        <v/>
      </c>
      <c r="I1620" s="25" t="str">
        <f t="shared" ca="1" si="205"/>
        <v/>
      </c>
      <c r="J1620" s="26" t="str">
        <f t="shared" ca="1" si="206"/>
        <v/>
      </c>
    </row>
    <row r="1621" spans="1:10" x14ac:dyDescent="0.25">
      <c r="A1621" t="s">
        <v>313</v>
      </c>
      <c r="B1621" t="str">
        <f>ADDRESS(ROW('Bond 1'!$B$29),COLUMN('Bond 1'!$B$29),4)</f>
        <v>B29</v>
      </c>
      <c r="C1621" t="str">
        <f>ADDRESS(ROW('Bond 1'!$D$29),COLUMN('Bond 1'!$D$29),4)</f>
        <v>D29</v>
      </c>
      <c r="D1621" t="b" cm="1">
        <f t="array" aca="1" ref="D1621" ca="1">IF(AND(NOT(ISBLANK('Bond Input'!O$33)),INDIRECT("'"&amp;A1621&amp;"'!"&amp;B1621)&lt;&gt;'Bond Input'!O$33),TRUE,FALSE)</f>
        <v>0</v>
      </c>
      <c r="E1621" t="s">
        <v>634</v>
      </c>
      <c r="F1621" t="str">
        <f>INDEX(Lists!I:I,MATCH(Validation!E1621,Lists!G:G,0))</f>
        <v>Alert</v>
      </c>
      <c r="G1621" t="str">
        <f>INDEX(Lists!H:H,MATCH(Validation!E1621,Lists!G:G,0))</f>
        <v>You have changed previously reported data. Explain in the comments box.</v>
      </c>
      <c r="H1621" s="25" t="str">
        <f t="shared" ca="1" si="204"/>
        <v/>
      </c>
      <c r="I1621" s="25" t="str">
        <f t="shared" ca="1" si="205"/>
        <v/>
      </c>
      <c r="J1621" s="26" t="str">
        <f t="shared" ca="1" si="206"/>
        <v/>
      </c>
    </row>
    <row r="1622" spans="1:10" x14ac:dyDescent="0.25">
      <c r="A1622" t="s">
        <v>314</v>
      </c>
      <c r="B1622" t="str">
        <f>ADDRESS(ROW('Bond 1'!$B$29),COLUMN('Bond 1'!$B$29),4)</f>
        <v>B29</v>
      </c>
      <c r="C1622" t="str">
        <f>ADDRESS(ROW('Bond 1'!$D$29),COLUMN('Bond 1'!$D$29),4)</f>
        <v>D29</v>
      </c>
      <c r="D1622" t="b" cm="1">
        <f t="array" aca="1" ref="D1622" ca="1">IF(AND(NOT(ISBLANK('Bond Input'!P$33)),INDIRECT("'"&amp;A1622&amp;"'!"&amp;B1622)&lt;&gt;'Bond Input'!P$33),TRUE,FALSE)</f>
        <v>0</v>
      </c>
      <c r="E1622" t="s">
        <v>634</v>
      </c>
      <c r="F1622" t="str">
        <f>INDEX(Lists!I:I,MATCH(Validation!E1622,Lists!G:G,0))</f>
        <v>Alert</v>
      </c>
      <c r="G1622" t="str">
        <f>INDEX(Lists!H:H,MATCH(Validation!E1622,Lists!G:G,0))</f>
        <v>You have changed previously reported data. Explain in the comments box.</v>
      </c>
      <c r="H1622" s="25" t="str">
        <f t="shared" ca="1" si="204"/>
        <v/>
      </c>
      <c r="I1622" s="25" t="str">
        <f t="shared" ca="1" si="205"/>
        <v/>
      </c>
      <c r="J1622" s="26" t="str">
        <f t="shared" ca="1" si="206"/>
        <v/>
      </c>
    </row>
    <row r="1623" spans="1:10" x14ac:dyDescent="0.25">
      <c r="A1623" t="s">
        <v>315</v>
      </c>
      <c r="B1623" t="str">
        <f>ADDRESS(ROW('Bond 1'!$B$29),COLUMN('Bond 1'!$B$29),4)</f>
        <v>B29</v>
      </c>
      <c r="C1623" t="str">
        <f>ADDRESS(ROW('Bond 1'!$D$29),COLUMN('Bond 1'!$D$29),4)</f>
        <v>D29</v>
      </c>
      <c r="D1623" t="b" cm="1">
        <f t="array" aca="1" ref="D1623" ca="1">IF(AND(NOT(ISBLANK('Bond Input'!Q$33)),INDIRECT("'"&amp;A1623&amp;"'!"&amp;B1623)&lt;&gt;'Bond Input'!Q$33),TRUE,FALSE)</f>
        <v>0</v>
      </c>
      <c r="E1623" t="s">
        <v>634</v>
      </c>
      <c r="F1623" t="str">
        <f>INDEX(Lists!I:I,MATCH(Validation!E1623,Lists!G:G,0))</f>
        <v>Alert</v>
      </c>
      <c r="G1623" t="str">
        <f>INDEX(Lists!H:H,MATCH(Validation!E1623,Lists!G:G,0))</f>
        <v>You have changed previously reported data. Explain in the comments box.</v>
      </c>
      <c r="H1623" s="25" t="str">
        <f t="shared" ca="1" si="204"/>
        <v/>
      </c>
      <c r="I1623" s="25" t="str">
        <f t="shared" ca="1" si="205"/>
        <v/>
      </c>
      <c r="J1623" s="26" t="str">
        <f t="shared" ca="1" si="206"/>
        <v/>
      </c>
    </row>
    <row r="1624" spans="1:10" x14ac:dyDescent="0.25">
      <c r="A1624" t="s">
        <v>198</v>
      </c>
      <c r="B1624" t="str">
        <f>ADDRESS(ROW('Bond 1'!$C$29),COLUMN('Bond 1'!$C$29),4)</f>
        <v>C29</v>
      </c>
      <c r="C1624" t="str">
        <f>ADDRESS(ROW('Bond 1'!$D$29),COLUMN('Bond 1'!$D$29),4)</f>
        <v>D29</v>
      </c>
      <c r="D1624" t="b" cm="1">
        <f t="array" aca="1" ref="D1624" ca="1">IF(INDIRECT("'"&amp;A1624&amp;"'!"&amp;B1624)="",FALSE,IF(NOT(ISNUMBER(INDIRECT("'"&amp;A1624&amp;"'!"&amp;B1624))),TRUE,FALSE))</f>
        <v>0</v>
      </c>
      <c r="E1624" t="s">
        <v>435</v>
      </c>
      <c r="F1624" t="str">
        <f>INDEX(Lists!I:I,MATCH(Validation!E1624,Lists!G:G,0))</f>
        <v>Error</v>
      </c>
      <c r="G1624" t="str">
        <f>INDEX(Lists!H:H,MATCH(Validation!E1624,Lists!G:G,0))</f>
        <v>Enter an amount only. Do not enter text or spaces.</v>
      </c>
      <c r="H1624" s="25" t="str">
        <f t="shared" ca="1" si="204"/>
        <v/>
      </c>
      <c r="I1624" s="25" t="str">
        <f t="shared" ca="1" si="205"/>
        <v/>
      </c>
      <c r="J1624" s="26" t="str">
        <f t="shared" ca="1" si="206"/>
        <v/>
      </c>
    </row>
    <row r="1625" spans="1:10" x14ac:dyDescent="0.25">
      <c r="A1625" t="s">
        <v>302</v>
      </c>
      <c r="B1625" t="str">
        <f>ADDRESS(ROW('Bond 1'!$C$29),COLUMN('Bond 1'!$C$29),4)</f>
        <v>C29</v>
      </c>
      <c r="C1625" t="str">
        <f>ADDRESS(ROW('Bond 1'!$D$29),COLUMN('Bond 1'!$D$29),4)</f>
        <v>D29</v>
      </c>
      <c r="D1625" t="b" cm="1">
        <f t="array" aca="1" ref="D1625" ca="1">IF(INDIRECT("'"&amp;A1625&amp;"'!"&amp;B1625)="",FALSE,IF(NOT(ISNUMBER(INDIRECT("'"&amp;A1625&amp;"'!"&amp;B1625))),TRUE,FALSE))</f>
        <v>0</v>
      </c>
      <c r="E1625" t="s">
        <v>435</v>
      </c>
      <c r="F1625" t="str">
        <f>INDEX(Lists!I:I,MATCH(Validation!E1625,Lists!G:G,0))</f>
        <v>Error</v>
      </c>
      <c r="G1625" t="str">
        <f>INDEX(Lists!H:H,MATCH(Validation!E1625,Lists!G:G,0))</f>
        <v>Enter an amount only. Do not enter text or spaces.</v>
      </c>
      <c r="H1625" s="25" t="str">
        <f t="shared" ca="1" si="204"/>
        <v/>
      </c>
      <c r="I1625" s="25" t="str">
        <f t="shared" ca="1" si="205"/>
        <v/>
      </c>
      <c r="J1625" s="26" t="str">
        <f t="shared" ca="1" si="206"/>
        <v/>
      </c>
    </row>
    <row r="1626" spans="1:10" x14ac:dyDescent="0.25">
      <c r="A1626" t="s">
        <v>303</v>
      </c>
      <c r="B1626" t="str">
        <f>ADDRESS(ROW('Bond 1'!$C$29),COLUMN('Bond 1'!$C$29),4)</f>
        <v>C29</v>
      </c>
      <c r="C1626" t="str">
        <f>ADDRESS(ROW('Bond 1'!$D$29),COLUMN('Bond 1'!$D$29),4)</f>
        <v>D29</v>
      </c>
      <c r="D1626" t="b" cm="1">
        <f t="array" aca="1" ref="D1626" ca="1">IF(INDIRECT("'"&amp;A1626&amp;"'!"&amp;B1626)="",FALSE,IF(NOT(ISNUMBER(INDIRECT("'"&amp;A1626&amp;"'!"&amp;B1626))),TRUE,FALSE))</f>
        <v>0</v>
      </c>
      <c r="E1626" t="s">
        <v>435</v>
      </c>
      <c r="F1626" t="str">
        <f>INDEX(Lists!I:I,MATCH(Validation!E1626,Lists!G:G,0))</f>
        <v>Error</v>
      </c>
      <c r="G1626" t="str">
        <f>INDEX(Lists!H:H,MATCH(Validation!E1626,Lists!G:G,0))</f>
        <v>Enter an amount only. Do not enter text or spaces.</v>
      </c>
      <c r="H1626" s="25" t="str">
        <f t="shared" ca="1" si="204"/>
        <v/>
      </c>
      <c r="I1626" s="25" t="str">
        <f t="shared" ca="1" si="205"/>
        <v/>
      </c>
      <c r="J1626" s="26" t="str">
        <f t="shared" ca="1" si="206"/>
        <v/>
      </c>
    </row>
    <row r="1627" spans="1:10" x14ac:dyDescent="0.25">
      <c r="A1627" t="s">
        <v>304</v>
      </c>
      <c r="B1627" t="str">
        <f>ADDRESS(ROW('Bond 1'!$C$29),COLUMN('Bond 1'!$C$29),4)</f>
        <v>C29</v>
      </c>
      <c r="C1627" t="str">
        <f>ADDRESS(ROW('Bond 1'!$D$29),COLUMN('Bond 1'!$D$29),4)</f>
        <v>D29</v>
      </c>
      <c r="D1627" t="b" cm="1">
        <f t="array" aca="1" ref="D1627" ca="1">IF(INDIRECT("'"&amp;A1627&amp;"'!"&amp;B1627)="",FALSE,IF(NOT(ISNUMBER(INDIRECT("'"&amp;A1627&amp;"'!"&amp;B1627))),TRUE,FALSE))</f>
        <v>0</v>
      </c>
      <c r="E1627" t="s">
        <v>435</v>
      </c>
      <c r="F1627" t="str">
        <f>INDEX(Lists!I:I,MATCH(Validation!E1627,Lists!G:G,0))</f>
        <v>Error</v>
      </c>
      <c r="G1627" t="str">
        <f>INDEX(Lists!H:H,MATCH(Validation!E1627,Lists!G:G,0))</f>
        <v>Enter an amount only. Do not enter text or spaces.</v>
      </c>
      <c r="H1627" s="25" t="str">
        <f t="shared" ca="1" si="204"/>
        <v/>
      </c>
      <c r="I1627" s="25" t="str">
        <f t="shared" ca="1" si="205"/>
        <v/>
      </c>
      <c r="J1627" s="26" t="str">
        <f t="shared" ca="1" si="206"/>
        <v/>
      </c>
    </row>
    <row r="1628" spans="1:10" x14ac:dyDescent="0.25">
      <c r="A1628" t="s">
        <v>305</v>
      </c>
      <c r="B1628" t="str">
        <f>ADDRESS(ROW('Bond 1'!$C$29),COLUMN('Bond 1'!$C$29),4)</f>
        <v>C29</v>
      </c>
      <c r="C1628" t="str">
        <f>ADDRESS(ROW('Bond 1'!$D$29),COLUMN('Bond 1'!$D$29),4)</f>
        <v>D29</v>
      </c>
      <c r="D1628" t="b" cm="1">
        <f t="array" aca="1" ref="D1628" ca="1">IF(INDIRECT("'"&amp;A1628&amp;"'!"&amp;B1628)="",FALSE,IF(NOT(ISNUMBER(INDIRECT("'"&amp;A1628&amp;"'!"&amp;B1628))),TRUE,FALSE))</f>
        <v>0</v>
      </c>
      <c r="E1628" t="s">
        <v>435</v>
      </c>
      <c r="F1628" t="str">
        <f>INDEX(Lists!I:I,MATCH(Validation!E1628,Lists!G:G,0))</f>
        <v>Error</v>
      </c>
      <c r="G1628" t="str">
        <f>INDEX(Lists!H:H,MATCH(Validation!E1628,Lists!G:G,0))</f>
        <v>Enter an amount only. Do not enter text or spaces.</v>
      </c>
      <c r="H1628" s="25" t="str">
        <f t="shared" ca="1" si="204"/>
        <v/>
      </c>
      <c r="I1628" s="25" t="str">
        <f t="shared" ca="1" si="205"/>
        <v/>
      </c>
      <c r="J1628" s="26" t="str">
        <f t="shared" ca="1" si="206"/>
        <v/>
      </c>
    </row>
    <row r="1629" spans="1:10" x14ac:dyDescent="0.25">
      <c r="A1629" t="s">
        <v>306</v>
      </c>
      <c r="B1629" t="str">
        <f>ADDRESS(ROW('Bond 1'!$C$29),COLUMN('Bond 1'!$C$29),4)</f>
        <v>C29</v>
      </c>
      <c r="C1629" t="str">
        <f>ADDRESS(ROW('Bond 1'!$D$29),COLUMN('Bond 1'!$D$29),4)</f>
        <v>D29</v>
      </c>
      <c r="D1629" t="b" cm="1">
        <f t="array" aca="1" ref="D1629" ca="1">IF(INDIRECT("'"&amp;A1629&amp;"'!"&amp;B1629)="",FALSE,IF(NOT(ISNUMBER(INDIRECT("'"&amp;A1629&amp;"'!"&amp;B1629))),TRUE,FALSE))</f>
        <v>0</v>
      </c>
      <c r="E1629" t="s">
        <v>435</v>
      </c>
      <c r="F1629" t="str">
        <f>INDEX(Lists!I:I,MATCH(Validation!E1629,Lists!G:G,0))</f>
        <v>Error</v>
      </c>
      <c r="G1629" t="str">
        <f>INDEX(Lists!H:H,MATCH(Validation!E1629,Lists!G:G,0))</f>
        <v>Enter an amount only. Do not enter text or spaces.</v>
      </c>
      <c r="H1629" s="25" t="str">
        <f t="shared" ca="1" si="204"/>
        <v/>
      </c>
      <c r="I1629" s="25" t="str">
        <f t="shared" ca="1" si="205"/>
        <v/>
      </c>
      <c r="J1629" s="26" t="str">
        <f t="shared" ca="1" si="206"/>
        <v/>
      </c>
    </row>
    <row r="1630" spans="1:10" x14ac:dyDescent="0.25">
      <c r="A1630" t="s">
        <v>307</v>
      </c>
      <c r="B1630" t="str">
        <f>ADDRESS(ROW('Bond 1'!$C$29),COLUMN('Bond 1'!$C$29),4)</f>
        <v>C29</v>
      </c>
      <c r="C1630" t="str">
        <f>ADDRESS(ROW('Bond 1'!$D$29),COLUMN('Bond 1'!$D$29),4)</f>
        <v>D29</v>
      </c>
      <c r="D1630" t="b" cm="1">
        <f t="array" aca="1" ref="D1630" ca="1">IF(INDIRECT("'"&amp;A1630&amp;"'!"&amp;B1630)="",FALSE,IF(NOT(ISNUMBER(INDIRECT("'"&amp;A1630&amp;"'!"&amp;B1630))),TRUE,FALSE))</f>
        <v>0</v>
      </c>
      <c r="E1630" t="s">
        <v>435</v>
      </c>
      <c r="F1630" t="str">
        <f>INDEX(Lists!I:I,MATCH(Validation!E1630,Lists!G:G,0))</f>
        <v>Error</v>
      </c>
      <c r="G1630" t="str">
        <f>INDEX(Lists!H:H,MATCH(Validation!E1630,Lists!G:G,0))</f>
        <v>Enter an amount only. Do not enter text or spaces.</v>
      </c>
      <c r="H1630" s="25" t="str">
        <f t="shared" ca="1" si="204"/>
        <v/>
      </c>
      <c r="I1630" s="25" t="str">
        <f t="shared" ca="1" si="205"/>
        <v/>
      </c>
      <c r="J1630" s="26" t="str">
        <f t="shared" ca="1" si="206"/>
        <v/>
      </c>
    </row>
    <row r="1631" spans="1:10" x14ac:dyDescent="0.25">
      <c r="A1631" t="s">
        <v>308</v>
      </c>
      <c r="B1631" t="str">
        <f>ADDRESS(ROW('Bond 1'!$C$29),COLUMN('Bond 1'!$C$29),4)</f>
        <v>C29</v>
      </c>
      <c r="C1631" t="str">
        <f>ADDRESS(ROW('Bond 1'!$D$29),COLUMN('Bond 1'!$D$29),4)</f>
        <v>D29</v>
      </c>
      <c r="D1631" t="b" cm="1">
        <f t="array" aca="1" ref="D1631" ca="1">IF(INDIRECT("'"&amp;A1631&amp;"'!"&amp;B1631)="",FALSE,IF(NOT(ISNUMBER(INDIRECT("'"&amp;A1631&amp;"'!"&amp;B1631))),TRUE,FALSE))</f>
        <v>0</v>
      </c>
      <c r="E1631" t="s">
        <v>435</v>
      </c>
      <c r="F1631" t="str">
        <f>INDEX(Lists!I:I,MATCH(Validation!E1631,Lists!G:G,0))</f>
        <v>Error</v>
      </c>
      <c r="G1631" t="str">
        <f>INDEX(Lists!H:H,MATCH(Validation!E1631,Lists!G:G,0))</f>
        <v>Enter an amount only. Do not enter text or spaces.</v>
      </c>
      <c r="H1631" s="25" t="str">
        <f t="shared" ca="1" si="204"/>
        <v/>
      </c>
      <c r="I1631" s="25" t="str">
        <f t="shared" ca="1" si="205"/>
        <v/>
      </c>
      <c r="J1631" s="26" t="str">
        <f t="shared" ca="1" si="206"/>
        <v/>
      </c>
    </row>
    <row r="1632" spans="1:10" x14ac:dyDescent="0.25">
      <c r="A1632" t="s">
        <v>309</v>
      </c>
      <c r="B1632" t="str">
        <f>ADDRESS(ROW('Bond 1'!$C$29),COLUMN('Bond 1'!$C$29),4)</f>
        <v>C29</v>
      </c>
      <c r="C1632" t="str">
        <f>ADDRESS(ROW('Bond 1'!$D$29),COLUMN('Bond 1'!$D$29),4)</f>
        <v>D29</v>
      </c>
      <c r="D1632" t="b" cm="1">
        <f t="array" aca="1" ref="D1632" ca="1">IF(INDIRECT("'"&amp;A1632&amp;"'!"&amp;B1632)="",FALSE,IF(NOT(ISNUMBER(INDIRECT("'"&amp;A1632&amp;"'!"&amp;B1632))),TRUE,FALSE))</f>
        <v>0</v>
      </c>
      <c r="E1632" t="s">
        <v>435</v>
      </c>
      <c r="F1632" t="str">
        <f>INDEX(Lists!I:I,MATCH(Validation!E1632,Lists!G:G,0))</f>
        <v>Error</v>
      </c>
      <c r="G1632" t="str">
        <f>INDEX(Lists!H:H,MATCH(Validation!E1632,Lists!G:G,0))</f>
        <v>Enter an amount only. Do not enter text or spaces.</v>
      </c>
      <c r="H1632" s="25" t="str">
        <f t="shared" ca="1" si="204"/>
        <v/>
      </c>
      <c r="I1632" s="25" t="str">
        <f t="shared" ca="1" si="205"/>
        <v/>
      </c>
      <c r="J1632" s="26" t="str">
        <f t="shared" ca="1" si="206"/>
        <v/>
      </c>
    </row>
    <row r="1633" spans="1:10" x14ac:dyDescent="0.25">
      <c r="A1633" t="s">
        <v>310</v>
      </c>
      <c r="B1633" t="str">
        <f>ADDRESS(ROW('Bond 1'!$C$29),COLUMN('Bond 1'!$C$29),4)</f>
        <v>C29</v>
      </c>
      <c r="C1633" t="str">
        <f>ADDRESS(ROW('Bond 1'!$D$29),COLUMN('Bond 1'!$D$29),4)</f>
        <v>D29</v>
      </c>
      <c r="D1633" t="b" cm="1">
        <f t="array" aca="1" ref="D1633" ca="1">IF(INDIRECT("'"&amp;A1633&amp;"'!"&amp;B1633)="",FALSE,IF(NOT(ISNUMBER(INDIRECT("'"&amp;A1633&amp;"'!"&amp;B1633))),TRUE,FALSE))</f>
        <v>0</v>
      </c>
      <c r="E1633" t="s">
        <v>435</v>
      </c>
      <c r="F1633" t="str">
        <f>INDEX(Lists!I:I,MATCH(Validation!E1633,Lists!G:G,0))</f>
        <v>Error</v>
      </c>
      <c r="G1633" t="str">
        <f>INDEX(Lists!H:H,MATCH(Validation!E1633,Lists!G:G,0))</f>
        <v>Enter an amount only. Do not enter text or spaces.</v>
      </c>
      <c r="H1633" s="25" t="str">
        <f t="shared" ca="1" si="204"/>
        <v/>
      </c>
      <c r="I1633" s="25" t="str">
        <f t="shared" ca="1" si="205"/>
        <v/>
      </c>
      <c r="J1633" s="26" t="str">
        <f t="shared" ca="1" si="206"/>
        <v/>
      </c>
    </row>
    <row r="1634" spans="1:10" x14ac:dyDescent="0.25">
      <c r="A1634" t="s">
        <v>311</v>
      </c>
      <c r="B1634" t="str">
        <f>ADDRESS(ROW('Bond 1'!$C$29),COLUMN('Bond 1'!$C$29),4)</f>
        <v>C29</v>
      </c>
      <c r="C1634" t="str">
        <f>ADDRESS(ROW('Bond 1'!$D$29),COLUMN('Bond 1'!$D$29),4)</f>
        <v>D29</v>
      </c>
      <c r="D1634" t="b" cm="1">
        <f t="array" aca="1" ref="D1634" ca="1">IF(INDIRECT("'"&amp;A1634&amp;"'!"&amp;B1634)="",FALSE,IF(NOT(ISNUMBER(INDIRECT("'"&amp;A1634&amp;"'!"&amp;B1634))),TRUE,FALSE))</f>
        <v>0</v>
      </c>
      <c r="E1634" t="s">
        <v>435</v>
      </c>
      <c r="F1634" t="str">
        <f>INDEX(Lists!I:I,MATCH(Validation!E1634,Lists!G:G,0))</f>
        <v>Error</v>
      </c>
      <c r="G1634" t="str">
        <f>INDEX(Lists!H:H,MATCH(Validation!E1634,Lists!G:G,0))</f>
        <v>Enter an amount only. Do not enter text or spaces.</v>
      </c>
      <c r="H1634" s="25" t="str">
        <f t="shared" ca="1" si="204"/>
        <v/>
      </c>
      <c r="I1634" s="25" t="str">
        <f t="shared" ca="1" si="205"/>
        <v/>
      </c>
      <c r="J1634" s="26" t="str">
        <f t="shared" ca="1" si="206"/>
        <v/>
      </c>
    </row>
    <row r="1635" spans="1:10" x14ac:dyDescent="0.25">
      <c r="A1635" t="s">
        <v>312</v>
      </c>
      <c r="B1635" t="str">
        <f>ADDRESS(ROW('Bond 1'!$C$29),COLUMN('Bond 1'!$C$29),4)</f>
        <v>C29</v>
      </c>
      <c r="C1635" t="str">
        <f>ADDRESS(ROW('Bond 1'!$D$29),COLUMN('Bond 1'!$D$29),4)</f>
        <v>D29</v>
      </c>
      <c r="D1635" t="b" cm="1">
        <f t="array" aca="1" ref="D1635" ca="1">IF(INDIRECT("'"&amp;A1635&amp;"'!"&amp;B1635)="",FALSE,IF(NOT(ISNUMBER(INDIRECT("'"&amp;A1635&amp;"'!"&amp;B1635))),TRUE,FALSE))</f>
        <v>0</v>
      </c>
      <c r="E1635" t="s">
        <v>435</v>
      </c>
      <c r="F1635" t="str">
        <f>INDEX(Lists!I:I,MATCH(Validation!E1635,Lists!G:G,0))</f>
        <v>Error</v>
      </c>
      <c r="G1635" t="str">
        <f>INDEX(Lists!H:H,MATCH(Validation!E1635,Lists!G:G,0))</f>
        <v>Enter an amount only. Do not enter text or spaces.</v>
      </c>
      <c r="H1635" s="25" t="str">
        <f t="shared" ca="1" si="204"/>
        <v/>
      </c>
      <c r="I1635" s="25" t="str">
        <f t="shared" ca="1" si="205"/>
        <v/>
      </c>
      <c r="J1635" s="26" t="str">
        <f t="shared" ca="1" si="206"/>
        <v/>
      </c>
    </row>
    <row r="1636" spans="1:10" x14ac:dyDescent="0.25">
      <c r="A1636" t="s">
        <v>313</v>
      </c>
      <c r="B1636" t="str">
        <f>ADDRESS(ROW('Bond 1'!$C$29),COLUMN('Bond 1'!$C$29),4)</f>
        <v>C29</v>
      </c>
      <c r="C1636" t="str">
        <f>ADDRESS(ROW('Bond 1'!$D$29),COLUMN('Bond 1'!$D$29),4)</f>
        <v>D29</v>
      </c>
      <c r="D1636" t="b" cm="1">
        <f t="array" aca="1" ref="D1636" ca="1">IF(INDIRECT("'"&amp;A1636&amp;"'!"&amp;B1636)="",FALSE,IF(NOT(ISNUMBER(INDIRECT("'"&amp;A1636&amp;"'!"&amp;B1636))),TRUE,FALSE))</f>
        <v>0</v>
      </c>
      <c r="E1636" t="s">
        <v>435</v>
      </c>
      <c r="F1636" t="str">
        <f>INDEX(Lists!I:I,MATCH(Validation!E1636,Lists!G:G,0))</f>
        <v>Error</v>
      </c>
      <c r="G1636" t="str">
        <f>INDEX(Lists!H:H,MATCH(Validation!E1636,Lists!G:G,0))</f>
        <v>Enter an amount only. Do not enter text or spaces.</v>
      </c>
      <c r="H1636" s="25" t="str">
        <f t="shared" ca="1" si="204"/>
        <v/>
      </c>
      <c r="I1636" s="25" t="str">
        <f t="shared" ca="1" si="205"/>
        <v/>
      </c>
      <c r="J1636" s="26" t="str">
        <f t="shared" ca="1" si="206"/>
        <v/>
      </c>
    </row>
    <row r="1637" spans="1:10" x14ac:dyDescent="0.25">
      <c r="A1637" t="s">
        <v>314</v>
      </c>
      <c r="B1637" t="str">
        <f>ADDRESS(ROW('Bond 1'!$C$29),COLUMN('Bond 1'!$C$29),4)</f>
        <v>C29</v>
      </c>
      <c r="C1637" t="str">
        <f>ADDRESS(ROW('Bond 1'!$D$29),COLUMN('Bond 1'!$D$29),4)</f>
        <v>D29</v>
      </c>
      <c r="D1637" t="b" cm="1">
        <f t="array" aca="1" ref="D1637" ca="1">IF(INDIRECT("'"&amp;A1637&amp;"'!"&amp;B1637)="",FALSE,IF(NOT(ISNUMBER(INDIRECT("'"&amp;A1637&amp;"'!"&amp;B1637))),TRUE,FALSE))</f>
        <v>0</v>
      </c>
      <c r="E1637" t="s">
        <v>435</v>
      </c>
      <c r="F1637" t="str">
        <f>INDEX(Lists!I:I,MATCH(Validation!E1637,Lists!G:G,0))</f>
        <v>Error</v>
      </c>
      <c r="G1637" t="str">
        <f>INDEX(Lists!H:H,MATCH(Validation!E1637,Lists!G:G,0))</f>
        <v>Enter an amount only. Do not enter text or spaces.</v>
      </c>
      <c r="H1637" s="25" t="str">
        <f t="shared" ca="1" si="204"/>
        <v/>
      </c>
      <c r="I1637" s="25" t="str">
        <f t="shared" ca="1" si="205"/>
        <v/>
      </c>
      <c r="J1637" s="26" t="str">
        <f t="shared" ca="1" si="206"/>
        <v/>
      </c>
    </row>
    <row r="1638" spans="1:10" x14ac:dyDescent="0.25">
      <c r="A1638" t="s">
        <v>315</v>
      </c>
      <c r="B1638" t="str">
        <f>ADDRESS(ROW('Bond 1'!$C$29),COLUMN('Bond 1'!$C$29),4)</f>
        <v>C29</v>
      </c>
      <c r="C1638" t="str">
        <f>ADDRESS(ROW('Bond 1'!$D$29),COLUMN('Bond 1'!$D$29),4)</f>
        <v>D29</v>
      </c>
      <c r="D1638" t="b" cm="1">
        <f t="array" aca="1" ref="D1638" ca="1">IF(INDIRECT("'"&amp;A1638&amp;"'!"&amp;B1638)="",FALSE,IF(NOT(ISNUMBER(INDIRECT("'"&amp;A1638&amp;"'!"&amp;B1638))),TRUE,FALSE))</f>
        <v>0</v>
      </c>
      <c r="E1638" t="s">
        <v>435</v>
      </c>
      <c r="F1638" t="str">
        <f>INDEX(Lists!I:I,MATCH(Validation!E1638,Lists!G:G,0))</f>
        <v>Error</v>
      </c>
      <c r="G1638" t="str">
        <f>INDEX(Lists!H:H,MATCH(Validation!E1638,Lists!G:G,0))</f>
        <v>Enter an amount only. Do not enter text or spaces.</v>
      </c>
      <c r="H1638" s="25" t="str">
        <f t="shared" ca="1" si="204"/>
        <v/>
      </c>
      <c r="I1638" s="25" t="str">
        <f t="shared" ca="1" si="205"/>
        <v/>
      </c>
      <c r="J1638" s="26" t="str">
        <f t="shared" ca="1" si="206"/>
        <v/>
      </c>
    </row>
    <row r="1639" spans="1:10" x14ac:dyDescent="0.25">
      <c r="A1639" t="s">
        <v>198</v>
      </c>
      <c r="B1639" t="str">
        <f>ADDRESS(ROW('Bond 1'!$C$29),COLUMN('Bond 1'!$C$29),4)</f>
        <v>C29</v>
      </c>
      <c r="C1639" t="str">
        <f>ADDRESS(ROW('Bond 1'!$D$29),COLUMN('Bond 1'!$D$29),4)</f>
        <v>D29</v>
      </c>
      <c r="D1639" t="b" cm="1">
        <f t="array" aca="1" ref="D1639" ca="1">IF(INDIRECT("'"&amp;A1639&amp;"'!"&amp;B1639)="",FALSE,IF(INDIRECT("'"&amp;A1639&amp;"'!"&amp;B1639)&lt;0,TRUE,FALSE))</f>
        <v>0</v>
      </c>
      <c r="E1639" t="s">
        <v>434</v>
      </c>
      <c r="F1639" t="str">
        <f>INDEX(Lists!I:I,MATCH(Validation!E1639,Lists!G:G,0))</f>
        <v>Error</v>
      </c>
      <c r="G1639" t="str">
        <f>INDEX(Lists!H:H,MATCH(Validation!E1639,Lists!G:G,0))</f>
        <v>Amount may not be negative. Enter an amount greater than or equal to zero.</v>
      </c>
      <c r="H1639" s="25" t="str">
        <f t="shared" ca="1" si="204"/>
        <v/>
      </c>
      <c r="I1639" s="25" t="str">
        <f t="shared" ca="1" si="205"/>
        <v/>
      </c>
      <c r="J1639" s="26" t="str">
        <f t="shared" ca="1" si="206"/>
        <v/>
      </c>
    </row>
    <row r="1640" spans="1:10" x14ac:dyDescent="0.25">
      <c r="A1640" t="s">
        <v>302</v>
      </c>
      <c r="B1640" t="str">
        <f>ADDRESS(ROW('Bond 1'!$C$29),COLUMN('Bond 1'!$C$29),4)</f>
        <v>C29</v>
      </c>
      <c r="C1640" t="str">
        <f>ADDRESS(ROW('Bond 1'!$D$29),COLUMN('Bond 1'!$D$29),4)</f>
        <v>D29</v>
      </c>
      <c r="D1640" t="b" cm="1">
        <f t="array" aca="1" ref="D1640" ca="1">IF(INDIRECT("'"&amp;A1640&amp;"'!"&amp;B1640)="",FALSE,IF(INDIRECT("'"&amp;A1640&amp;"'!"&amp;B1640)&lt;0,TRUE,FALSE))</f>
        <v>0</v>
      </c>
      <c r="E1640" t="s">
        <v>434</v>
      </c>
      <c r="F1640" t="str">
        <f>INDEX(Lists!I:I,MATCH(Validation!E1640,Lists!G:G,0))</f>
        <v>Error</v>
      </c>
      <c r="G1640" t="str">
        <f>INDEX(Lists!H:H,MATCH(Validation!E1640,Lists!G:G,0))</f>
        <v>Amount may not be negative. Enter an amount greater than or equal to zero.</v>
      </c>
      <c r="H1640" s="25" t="str">
        <f t="shared" ca="1" si="204"/>
        <v/>
      </c>
      <c r="I1640" s="25" t="str">
        <f t="shared" ca="1" si="205"/>
        <v/>
      </c>
      <c r="J1640" s="26" t="str">
        <f t="shared" ca="1" si="206"/>
        <v/>
      </c>
    </row>
    <row r="1641" spans="1:10" x14ac:dyDescent="0.25">
      <c r="A1641" t="s">
        <v>303</v>
      </c>
      <c r="B1641" t="str">
        <f>ADDRESS(ROW('Bond 1'!$C$29),COLUMN('Bond 1'!$C$29),4)</f>
        <v>C29</v>
      </c>
      <c r="C1641" t="str">
        <f>ADDRESS(ROW('Bond 1'!$D$29),COLUMN('Bond 1'!$D$29),4)</f>
        <v>D29</v>
      </c>
      <c r="D1641" t="b" cm="1">
        <f t="array" aca="1" ref="D1641" ca="1">IF(INDIRECT("'"&amp;A1641&amp;"'!"&amp;B1641)="",FALSE,IF(INDIRECT("'"&amp;A1641&amp;"'!"&amp;B1641)&lt;0,TRUE,FALSE))</f>
        <v>0</v>
      </c>
      <c r="E1641" t="s">
        <v>434</v>
      </c>
      <c r="F1641" t="str">
        <f>INDEX(Lists!I:I,MATCH(Validation!E1641,Lists!G:G,0))</f>
        <v>Error</v>
      </c>
      <c r="G1641" t="str">
        <f>INDEX(Lists!H:H,MATCH(Validation!E1641,Lists!G:G,0))</f>
        <v>Amount may not be negative. Enter an amount greater than or equal to zero.</v>
      </c>
      <c r="H1641" s="25" t="str">
        <f t="shared" ca="1" si="204"/>
        <v/>
      </c>
      <c r="I1641" s="25" t="str">
        <f t="shared" ca="1" si="205"/>
        <v/>
      </c>
      <c r="J1641" s="26" t="str">
        <f t="shared" ca="1" si="206"/>
        <v/>
      </c>
    </row>
    <row r="1642" spans="1:10" x14ac:dyDescent="0.25">
      <c r="A1642" t="s">
        <v>304</v>
      </c>
      <c r="B1642" t="str">
        <f>ADDRESS(ROW('Bond 1'!$C$29),COLUMN('Bond 1'!$C$29),4)</f>
        <v>C29</v>
      </c>
      <c r="C1642" t="str">
        <f>ADDRESS(ROW('Bond 1'!$D$29),COLUMN('Bond 1'!$D$29),4)</f>
        <v>D29</v>
      </c>
      <c r="D1642" t="b" cm="1">
        <f t="array" aca="1" ref="D1642" ca="1">IF(INDIRECT("'"&amp;A1642&amp;"'!"&amp;B1642)="",FALSE,IF(INDIRECT("'"&amp;A1642&amp;"'!"&amp;B1642)&lt;0,TRUE,FALSE))</f>
        <v>0</v>
      </c>
      <c r="E1642" t="s">
        <v>434</v>
      </c>
      <c r="F1642" t="str">
        <f>INDEX(Lists!I:I,MATCH(Validation!E1642,Lists!G:G,0))</f>
        <v>Error</v>
      </c>
      <c r="G1642" t="str">
        <f>INDEX(Lists!H:H,MATCH(Validation!E1642,Lists!G:G,0))</f>
        <v>Amount may not be negative. Enter an amount greater than or equal to zero.</v>
      </c>
      <c r="H1642" s="25" t="str">
        <f t="shared" ca="1" si="204"/>
        <v/>
      </c>
      <c r="I1642" s="25" t="str">
        <f t="shared" ca="1" si="205"/>
        <v/>
      </c>
      <c r="J1642" s="26" t="str">
        <f t="shared" ca="1" si="206"/>
        <v/>
      </c>
    </row>
    <row r="1643" spans="1:10" x14ac:dyDescent="0.25">
      <c r="A1643" t="s">
        <v>305</v>
      </c>
      <c r="B1643" t="str">
        <f>ADDRESS(ROW('Bond 1'!$C$29),COLUMN('Bond 1'!$C$29),4)</f>
        <v>C29</v>
      </c>
      <c r="C1643" t="str">
        <f>ADDRESS(ROW('Bond 1'!$D$29),COLUMN('Bond 1'!$D$29),4)</f>
        <v>D29</v>
      </c>
      <c r="D1643" t="b" cm="1">
        <f t="array" aca="1" ref="D1643" ca="1">IF(INDIRECT("'"&amp;A1643&amp;"'!"&amp;B1643)="",FALSE,IF(INDIRECT("'"&amp;A1643&amp;"'!"&amp;B1643)&lt;0,TRUE,FALSE))</f>
        <v>0</v>
      </c>
      <c r="E1643" t="s">
        <v>434</v>
      </c>
      <c r="F1643" t="str">
        <f>INDEX(Lists!I:I,MATCH(Validation!E1643,Lists!G:G,0))</f>
        <v>Error</v>
      </c>
      <c r="G1643" t="str">
        <f>INDEX(Lists!H:H,MATCH(Validation!E1643,Lists!G:G,0))</f>
        <v>Amount may not be negative. Enter an amount greater than or equal to zero.</v>
      </c>
      <c r="H1643" s="25" t="str">
        <f t="shared" ca="1" si="204"/>
        <v/>
      </c>
      <c r="I1643" s="25" t="str">
        <f t="shared" ca="1" si="205"/>
        <v/>
      </c>
      <c r="J1643" s="26" t="str">
        <f t="shared" ca="1" si="206"/>
        <v/>
      </c>
    </row>
    <row r="1644" spans="1:10" x14ac:dyDescent="0.25">
      <c r="A1644" t="s">
        <v>306</v>
      </c>
      <c r="B1644" t="str">
        <f>ADDRESS(ROW('Bond 1'!$C$29),COLUMN('Bond 1'!$C$29),4)</f>
        <v>C29</v>
      </c>
      <c r="C1644" t="str">
        <f>ADDRESS(ROW('Bond 1'!$D$29),COLUMN('Bond 1'!$D$29),4)</f>
        <v>D29</v>
      </c>
      <c r="D1644" t="b" cm="1">
        <f t="array" aca="1" ref="D1644" ca="1">IF(INDIRECT("'"&amp;A1644&amp;"'!"&amp;B1644)="",FALSE,IF(INDIRECT("'"&amp;A1644&amp;"'!"&amp;B1644)&lt;0,TRUE,FALSE))</f>
        <v>0</v>
      </c>
      <c r="E1644" t="s">
        <v>434</v>
      </c>
      <c r="F1644" t="str">
        <f>INDEX(Lists!I:I,MATCH(Validation!E1644,Lists!G:G,0))</f>
        <v>Error</v>
      </c>
      <c r="G1644" t="str">
        <f>INDEX(Lists!H:H,MATCH(Validation!E1644,Lists!G:G,0))</f>
        <v>Amount may not be negative. Enter an amount greater than or equal to zero.</v>
      </c>
      <c r="H1644" s="25" t="str">
        <f t="shared" ca="1" si="204"/>
        <v/>
      </c>
      <c r="I1644" s="25" t="str">
        <f t="shared" ca="1" si="205"/>
        <v/>
      </c>
      <c r="J1644" s="26" t="str">
        <f t="shared" ca="1" si="206"/>
        <v/>
      </c>
    </row>
    <row r="1645" spans="1:10" x14ac:dyDescent="0.25">
      <c r="A1645" t="s">
        <v>307</v>
      </c>
      <c r="B1645" t="str">
        <f>ADDRESS(ROW('Bond 1'!$C$29),COLUMN('Bond 1'!$C$29),4)</f>
        <v>C29</v>
      </c>
      <c r="C1645" t="str">
        <f>ADDRESS(ROW('Bond 1'!$D$29),COLUMN('Bond 1'!$D$29),4)</f>
        <v>D29</v>
      </c>
      <c r="D1645" t="b" cm="1">
        <f t="array" aca="1" ref="D1645" ca="1">IF(INDIRECT("'"&amp;A1645&amp;"'!"&amp;B1645)="",FALSE,IF(INDIRECT("'"&amp;A1645&amp;"'!"&amp;B1645)&lt;0,TRUE,FALSE))</f>
        <v>0</v>
      </c>
      <c r="E1645" t="s">
        <v>434</v>
      </c>
      <c r="F1645" t="str">
        <f>INDEX(Lists!I:I,MATCH(Validation!E1645,Lists!G:G,0))</f>
        <v>Error</v>
      </c>
      <c r="G1645" t="str">
        <f>INDEX(Lists!H:H,MATCH(Validation!E1645,Lists!G:G,0))</f>
        <v>Amount may not be negative. Enter an amount greater than or equal to zero.</v>
      </c>
      <c r="H1645" s="25" t="str">
        <f t="shared" ca="1" si="204"/>
        <v/>
      </c>
      <c r="I1645" s="25" t="str">
        <f t="shared" ca="1" si="205"/>
        <v/>
      </c>
      <c r="J1645" s="26" t="str">
        <f t="shared" ca="1" si="206"/>
        <v/>
      </c>
    </row>
    <row r="1646" spans="1:10" x14ac:dyDescent="0.25">
      <c r="A1646" t="s">
        <v>308</v>
      </c>
      <c r="B1646" t="str">
        <f>ADDRESS(ROW('Bond 1'!$C$29),COLUMN('Bond 1'!$C$29),4)</f>
        <v>C29</v>
      </c>
      <c r="C1646" t="str">
        <f>ADDRESS(ROW('Bond 1'!$D$29),COLUMN('Bond 1'!$D$29),4)</f>
        <v>D29</v>
      </c>
      <c r="D1646" t="b" cm="1">
        <f t="array" aca="1" ref="D1646" ca="1">IF(INDIRECT("'"&amp;A1646&amp;"'!"&amp;B1646)="",FALSE,IF(INDIRECT("'"&amp;A1646&amp;"'!"&amp;B1646)&lt;0,TRUE,FALSE))</f>
        <v>0</v>
      </c>
      <c r="E1646" t="s">
        <v>434</v>
      </c>
      <c r="F1646" t="str">
        <f>INDEX(Lists!I:I,MATCH(Validation!E1646,Lists!G:G,0))</f>
        <v>Error</v>
      </c>
      <c r="G1646" t="str">
        <f>INDEX(Lists!H:H,MATCH(Validation!E1646,Lists!G:G,0))</f>
        <v>Amount may not be negative. Enter an amount greater than or equal to zero.</v>
      </c>
      <c r="H1646" s="25" t="str">
        <f t="shared" ca="1" si="204"/>
        <v/>
      </c>
      <c r="I1646" s="25" t="str">
        <f t="shared" ca="1" si="205"/>
        <v/>
      </c>
      <c r="J1646" s="26" t="str">
        <f t="shared" ca="1" si="206"/>
        <v/>
      </c>
    </row>
    <row r="1647" spans="1:10" x14ac:dyDescent="0.25">
      <c r="A1647" t="s">
        <v>309</v>
      </c>
      <c r="B1647" t="str">
        <f>ADDRESS(ROW('Bond 1'!$C$29),COLUMN('Bond 1'!$C$29),4)</f>
        <v>C29</v>
      </c>
      <c r="C1647" t="str">
        <f>ADDRESS(ROW('Bond 1'!$D$29),COLUMN('Bond 1'!$D$29),4)</f>
        <v>D29</v>
      </c>
      <c r="D1647" t="b" cm="1">
        <f t="array" aca="1" ref="D1647" ca="1">IF(INDIRECT("'"&amp;A1647&amp;"'!"&amp;B1647)="",FALSE,IF(INDIRECT("'"&amp;A1647&amp;"'!"&amp;B1647)&lt;0,TRUE,FALSE))</f>
        <v>0</v>
      </c>
      <c r="E1647" t="s">
        <v>434</v>
      </c>
      <c r="F1647" t="str">
        <f>INDEX(Lists!I:I,MATCH(Validation!E1647,Lists!G:G,0))</f>
        <v>Error</v>
      </c>
      <c r="G1647" t="str">
        <f>INDEX(Lists!H:H,MATCH(Validation!E1647,Lists!G:G,0))</f>
        <v>Amount may not be negative. Enter an amount greater than or equal to zero.</v>
      </c>
      <c r="H1647" s="25" t="str">
        <f t="shared" ca="1" si="204"/>
        <v/>
      </c>
      <c r="I1647" s="25" t="str">
        <f t="shared" ca="1" si="205"/>
        <v/>
      </c>
      <c r="J1647" s="26" t="str">
        <f t="shared" ca="1" si="206"/>
        <v/>
      </c>
    </row>
    <row r="1648" spans="1:10" x14ac:dyDescent="0.25">
      <c r="A1648" t="s">
        <v>310</v>
      </c>
      <c r="B1648" t="str">
        <f>ADDRESS(ROW('Bond 1'!$C$29),COLUMN('Bond 1'!$C$29),4)</f>
        <v>C29</v>
      </c>
      <c r="C1648" t="str">
        <f>ADDRESS(ROW('Bond 1'!$D$29),COLUMN('Bond 1'!$D$29),4)</f>
        <v>D29</v>
      </c>
      <c r="D1648" t="b" cm="1">
        <f t="array" aca="1" ref="D1648" ca="1">IF(INDIRECT("'"&amp;A1648&amp;"'!"&amp;B1648)="",FALSE,IF(INDIRECT("'"&amp;A1648&amp;"'!"&amp;B1648)&lt;0,TRUE,FALSE))</f>
        <v>0</v>
      </c>
      <c r="E1648" t="s">
        <v>434</v>
      </c>
      <c r="F1648" t="str">
        <f>INDEX(Lists!I:I,MATCH(Validation!E1648,Lists!G:G,0))</f>
        <v>Error</v>
      </c>
      <c r="G1648" t="str">
        <f>INDEX(Lists!H:H,MATCH(Validation!E1648,Lists!G:G,0))</f>
        <v>Amount may not be negative. Enter an amount greater than or equal to zero.</v>
      </c>
      <c r="H1648" s="25" t="str">
        <f t="shared" ca="1" si="204"/>
        <v/>
      </c>
      <c r="I1648" s="25" t="str">
        <f t="shared" ca="1" si="205"/>
        <v/>
      </c>
      <c r="J1648" s="26" t="str">
        <f t="shared" ca="1" si="206"/>
        <v/>
      </c>
    </row>
    <row r="1649" spans="1:10" x14ac:dyDescent="0.25">
      <c r="A1649" t="s">
        <v>311</v>
      </c>
      <c r="B1649" t="str">
        <f>ADDRESS(ROW('Bond 1'!$C$29),COLUMN('Bond 1'!$C$29),4)</f>
        <v>C29</v>
      </c>
      <c r="C1649" t="str">
        <f>ADDRESS(ROW('Bond 1'!$D$29),COLUMN('Bond 1'!$D$29),4)</f>
        <v>D29</v>
      </c>
      <c r="D1649" t="b" cm="1">
        <f t="array" aca="1" ref="D1649" ca="1">IF(INDIRECT("'"&amp;A1649&amp;"'!"&amp;B1649)="",FALSE,IF(INDIRECT("'"&amp;A1649&amp;"'!"&amp;B1649)&lt;0,TRUE,FALSE))</f>
        <v>0</v>
      </c>
      <c r="E1649" t="s">
        <v>434</v>
      </c>
      <c r="F1649" t="str">
        <f>INDEX(Lists!I:I,MATCH(Validation!E1649,Lists!G:G,0))</f>
        <v>Error</v>
      </c>
      <c r="G1649" t="str">
        <f>INDEX(Lists!H:H,MATCH(Validation!E1649,Lists!G:G,0))</f>
        <v>Amount may not be negative. Enter an amount greater than or equal to zero.</v>
      </c>
      <c r="H1649" s="25" t="str">
        <f t="shared" ca="1" si="204"/>
        <v/>
      </c>
      <c r="I1649" s="25" t="str">
        <f t="shared" ca="1" si="205"/>
        <v/>
      </c>
      <c r="J1649" s="26" t="str">
        <f t="shared" ca="1" si="206"/>
        <v/>
      </c>
    </row>
    <row r="1650" spans="1:10" x14ac:dyDescent="0.25">
      <c r="A1650" t="s">
        <v>312</v>
      </c>
      <c r="B1650" t="str">
        <f>ADDRESS(ROW('Bond 1'!$C$29),COLUMN('Bond 1'!$C$29),4)</f>
        <v>C29</v>
      </c>
      <c r="C1650" t="str">
        <f>ADDRESS(ROW('Bond 1'!$D$29),COLUMN('Bond 1'!$D$29),4)</f>
        <v>D29</v>
      </c>
      <c r="D1650" t="b" cm="1">
        <f t="array" aca="1" ref="D1650" ca="1">IF(INDIRECT("'"&amp;A1650&amp;"'!"&amp;B1650)="",FALSE,IF(INDIRECT("'"&amp;A1650&amp;"'!"&amp;B1650)&lt;0,TRUE,FALSE))</f>
        <v>0</v>
      </c>
      <c r="E1650" t="s">
        <v>434</v>
      </c>
      <c r="F1650" t="str">
        <f>INDEX(Lists!I:I,MATCH(Validation!E1650,Lists!G:G,0))</f>
        <v>Error</v>
      </c>
      <c r="G1650" t="str">
        <f>INDEX(Lists!H:H,MATCH(Validation!E1650,Lists!G:G,0))</f>
        <v>Amount may not be negative. Enter an amount greater than or equal to zero.</v>
      </c>
      <c r="H1650" s="25" t="str">
        <f t="shared" ca="1" si="204"/>
        <v/>
      </c>
      <c r="I1650" s="25" t="str">
        <f t="shared" ca="1" si="205"/>
        <v/>
      </c>
      <c r="J1650" s="26" t="str">
        <f t="shared" ca="1" si="206"/>
        <v/>
      </c>
    </row>
    <row r="1651" spans="1:10" x14ac:dyDescent="0.25">
      <c r="A1651" t="s">
        <v>313</v>
      </c>
      <c r="B1651" t="str">
        <f>ADDRESS(ROW('Bond 1'!$C$29),COLUMN('Bond 1'!$C$29),4)</f>
        <v>C29</v>
      </c>
      <c r="C1651" t="str">
        <f>ADDRESS(ROW('Bond 1'!$D$29),COLUMN('Bond 1'!$D$29),4)</f>
        <v>D29</v>
      </c>
      <c r="D1651" t="b" cm="1">
        <f t="array" aca="1" ref="D1651" ca="1">IF(INDIRECT("'"&amp;A1651&amp;"'!"&amp;B1651)="",FALSE,IF(INDIRECT("'"&amp;A1651&amp;"'!"&amp;B1651)&lt;0,TRUE,FALSE))</f>
        <v>0</v>
      </c>
      <c r="E1651" t="s">
        <v>434</v>
      </c>
      <c r="F1651" t="str">
        <f>INDEX(Lists!I:I,MATCH(Validation!E1651,Lists!G:G,0))</f>
        <v>Error</v>
      </c>
      <c r="G1651" t="str">
        <f>INDEX(Lists!H:H,MATCH(Validation!E1651,Lists!G:G,0))</f>
        <v>Amount may not be negative. Enter an amount greater than or equal to zero.</v>
      </c>
      <c r="H1651" s="25" t="str">
        <f t="shared" ca="1" si="204"/>
        <v/>
      </c>
      <c r="I1651" s="25" t="str">
        <f t="shared" ca="1" si="205"/>
        <v/>
      </c>
      <c r="J1651" s="26" t="str">
        <f t="shared" ca="1" si="206"/>
        <v/>
      </c>
    </row>
    <row r="1652" spans="1:10" x14ac:dyDescent="0.25">
      <c r="A1652" t="s">
        <v>314</v>
      </c>
      <c r="B1652" t="str">
        <f>ADDRESS(ROW('Bond 1'!$C$29),COLUMN('Bond 1'!$C$29),4)</f>
        <v>C29</v>
      </c>
      <c r="C1652" t="str">
        <f>ADDRESS(ROW('Bond 1'!$D$29),COLUMN('Bond 1'!$D$29),4)</f>
        <v>D29</v>
      </c>
      <c r="D1652" t="b" cm="1">
        <f t="array" aca="1" ref="D1652" ca="1">IF(INDIRECT("'"&amp;A1652&amp;"'!"&amp;B1652)="",FALSE,IF(INDIRECT("'"&amp;A1652&amp;"'!"&amp;B1652)&lt;0,TRUE,FALSE))</f>
        <v>0</v>
      </c>
      <c r="E1652" t="s">
        <v>434</v>
      </c>
      <c r="F1652" t="str">
        <f>INDEX(Lists!I:I,MATCH(Validation!E1652,Lists!G:G,0))</f>
        <v>Error</v>
      </c>
      <c r="G1652" t="str">
        <f>INDEX(Lists!H:H,MATCH(Validation!E1652,Lists!G:G,0))</f>
        <v>Amount may not be negative. Enter an amount greater than or equal to zero.</v>
      </c>
      <c r="H1652" s="25" t="str">
        <f t="shared" ca="1" si="204"/>
        <v/>
      </c>
      <c r="I1652" s="25" t="str">
        <f t="shared" ca="1" si="205"/>
        <v/>
      </c>
      <c r="J1652" s="26" t="str">
        <f t="shared" ca="1" si="206"/>
        <v/>
      </c>
    </row>
    <row r="1653" spans="1:10" x14ac:dyDescent="0.25">
      <c r="A1653" t="s">
        <v>315</v>
      </c>
      <c r="B1653" t="str">
        <f>ADDRESS(ROW('Bond 1'!$C$29),COLUMN('Bond 1'!$C$29),4)</f>
        <v>C29</v>
      </c>
      <c r="C1653" t="str">
        <f>ADDRESS(ROW('Bond 1'!$D$29),COLUMN('Bond 1'!$D$29),4)</f>
        <v>D29</v>
      </c>
      <c r="D1653" t="b" cm="1">
        <f t="array" aca="1" ref="D1653" ca="1">IF(INDIRECT("'"&amp;A1653&amp;"'!"&amp;B1653)="",FALSE,IF(INDIRECT("'"&amp;A1653&amp;"'!"&amp;B1653)&lt;0,TRUE,FALSE))</f>
        <v>0</v>
      </c>
      <c r="E1653" t="s">
        <v>434</v>
      </c>
      <c r="F1653" t="str">
        <f>INDEX(Lists!I:I,MATCH(Validation!E1653,Lists!G:G,0))</f>
        <v>Error</v>
      </c>
      <c r="G1653" t="str">
        <f>INDEX(Lists!H:H,MATCH(Validation!E1653,Lists!G:G,0))</f>
        <v>Amount may not be negative. Enter an amount greater than or equal to zero.</v>
      </c>
      <c r="H1653" s="25" t="str">
        <f t="shared" ca="1" si="204"/>
        <v/>
      </c>
      <c r="I1653" s="25" t="str">
        <f t="shared" ca="1" si="205"/>
        <v/>
      </c>
      <c r="J1653" s="26" t="str">
        <f t="shared" ca="1" si="206"/>
        <v/>
      </c>
    </row>
    <row r="1654" spans="1:10" x14ac:dyDescent="0.25">
      <c r="A1654" t="s">
        <v>198</v>
      </c>
      <c r="B1654" t="str">
        <f>ADDRESS(ROW('Bond 1'!$C$29),COLUMN('Bond 1'!$C$29),4)</f>
        <v>C29</v>
      </c>
      <c r="C1654" t="str">
        <f>ADDRESS(ROW('Bond 1'!$D$29),COLUMN('Bond 1'!$D$29),4)</f>
        <v>D29</v>
      </c>
      <c r="D1654" t="b" cm="1">
        <f t="array" aca="1" ref="D1654" ca="1">IF(INDIRECT("'"&amp;A1654&amp;"'!"&amp;B1654)="",FALSE,IF(TRUNC(INDIRECT("'"&amp;A1654&amp;"'!"&amp;B1654))=INDIRECT("'"&amp;A1654&amp;"'!"&amp;B1654),FALSE,TRUE))</f>
        <v>0</v>
      </c>
      <c r="E1654" t="s">
        <v>436</v>
      </c>
      <c r="F1654" t="str">
        <f>INDEX(Lists!I:I,MATCH(Validation!E1654,Lists!G:G,0))</f>
        <v>Error</v>
      </c>
      <c r="G1654" t="str">
        <f>INDEX(Lists!H:H,MATCH(Validation!E1654,Lists!G:G,0))</f>
        <v>Amount must be rounded to the nearest dollar.</v>
      </c>
      <c r="H1654" s="25" t="str">
        <f t="shared" ca="1" si="204"/>
        <v/>
      </c>
      <c r="I1654" s="25" t="str">
        <f t="shared" ca="1" si="205"/>
        <v/>
      </c>
      <c r="J1654" s="26" t="str">
        <f t="shared" ca="1" si="206"/>
        <v/>
      </c>
    </row>
    <row r="1655" spans="1:10" x14ac:dyDescent="0.25">
      <c r="A1655" t="s">
        <v>302</v>
      </c>
      <c r="B1655" t="str">
        <f>ADDRESS(ROW('Bond 1'!$C$29),COLUMN('Bond 1'!$C$29),4)</f>
        <v>C29</v>
      </c>
      <c r="C1655" t="str">
        <f>ADDRESS(ROW('Bond 1'!$D$29),COLUMN('Bond 1'!$D$29),4)</f>
        <v>D29</v>
      </c>
      <c r="D1655" t="b" cm="1">
        <f t="array" aca="1" ref="D1655" ca="1">IF(INDIRECT("'"&amp;A1655&amp;"'!"&amp;B1655)="",FALSE,IF(TRUNC(INDIRECT("'"&amp;A1655&amp;"'!"&amp;B1655))=INDIRECT("'"&amp;A1655&amp;"'!"&amp;B1655),FALSE,TRUE))</f>
        <v>0</v>
      </c>
      <c r="E1655" t="s">
        <v>436</v>
      </c>
      <c r="F1655" t="str">
        <f>INDEX(Lists!I:I,MATCH(Validation!E1655,Lists!G:G,0))</f>
        <v>Error</v>
      </c>
      <c r="G1655" t="str">
        <f>INDEX(Lists!H:H,MATCH(Validation!E1655,Lists!G:G,0))</f>
        <v>Amount must be rounded to the nearest dollar.</v>
      </c>
      <c r="H1655" s="25" t="str">
        <f t="shared" ca="1" si="204"/>
        <v/>
      </c>
      <c r="I1655" s="25" t="str">
        <f t="shared" ca="1" si="205"/>
        <v/>
      </c>
      <c r="J1655" s="26" t="str">
        <f t="shared" ca="1" si="206"/>
        <v/>
      </c>
    </row>
    <row r="1656" spans="1:10" x14ac:dyDescent="0.25">
      <c r="A1656" t="s">
        <v>303</v>
      </c>
      <c r="B1656" t="str">
        <f>ADDRESS(ROW('Bond 1'!$C$29),COLUMN('Bond 1'!$C$29),4)</f>
        <v>C29</v>
      </c>
      <c r="C1656" t="str">
        <f>ADDRESS(ROW('Bond 1'!$D$29),COLUMN('Bond 1'!$D$29),4)</f>
        <v>D29</v>
      </c>
      <c r="D1656" t="b" cm="1">
        <f t="array" aca="1" ref="D1656" ca="1">IF(INDIRECT("'"&amp;A1656&amp;"'!"&amp;B1656)="",FALSE,IF(TRUNC(INDIRECT("'"&amp;A1656&amp;"'!"&amp;B1656))=INDIRECT("'"&amp;A1656&amp;"'!"&amp;B1656),FALSE,TRUE))</f>
        <v>0</v>
      </c>
      <c r="E1656" t="s">
        <v>436</v>
      </c>
      <c r="F1656" t="str">
        <f>INDEX(Lists!I:I,MATCH(Validation!E1656,Lists!G:G,0))</f>
        <v>Error</v>
      </c>
      <c r="G1656" t="str">
        <f>INDEX(Lists!H:H,MATCH(Validation!E1656,Lists!G:G,0))</f>
        <v>Amount must be rounded to the nearest dollar.</v>
      </c>
      <c r="H1656" s="25" t="str">
        <f t="shared" ca="1" si="204"/>
        <v/>
      </c>
      <c r="I1656" s="25" t="str">
        <f t="shared" ca="1" si="205"/>
        <v/>
      </c>
      <c r="J1656" s="26" t="str">
        <f t="shared" ca="1" si="206"/>
        <v/>
      </c>
    </row>
    <row r="1657" spans="1:10" x14ac:dyDescent="0.25">
      <c r="A1657" t="s">
        <v>304</v>
      </c>
      <c r="B1657" t="str">
        <f>ADDRESS(ROW('Bond 1'!$C$29),COLUMN('Bond 1'!$C$29),4)</f>
        <v>C29</v>
      </c>
      <c r="C1657" t="str">
        <f>ADDRESS(ROW('Bond 1'!$D$29),COLUMN('Bond 1'!$D$29),4)</f>
        <v>D29</v>
      </c>
      <c r="D1657" t="b" cm="1">
        <f t="array" aca="1" ref="D1657" ca="1">IF(INDIRECT("'"&amp;A1657&amp;"'!"&amp;B1657)="",FALSE,IF(TRUNC(INDIRECT("'"&amp;A1657&amp;"'!"&amp;B1657))=INDIRECT("'"&amp;A1657&amp;"'!"&amp;B1657),FALSE,TRUE))</f>
        <v>0</v>
      </c>
      <c r="E1657" t="s">
        <v>436</v>
      </c>
      <c r="F1657" t="str">
        <f>INDEX(Lists!I:I,MATCH(Validation!E1657,Lists!G:G,0))</f>
        <v>Error</v>
      </c>
      <c r="G1657" t="str">
        <f>INDEX(Lists!H:H,MATCH(Validation!E1657,Lists!G:G,0))</f>
        <v>Amount must be rounded to the nearest dollar.</v>
      </c>
      <c r="H1657" s="25" t="str">
        <f t="shared" ref="H1657:H1720" ca="1" si="207">IFERROR(IF(OR(NOT(D1657),F1657&lt;&gt;"Error"),"",A1657&amp;CELL("address",INDIRECT(B1657))),"")</f>
        <v/>
      </c>
      <c r="I1657" s="25" t="str">
        <f t="shared" ref="I1657:I1720" ca="1" si="208">IFERROR(IF(NOT(D1657),"",A1657&amp;CELL("address",INDIRECT(C1657))),"")</f>
        <v/>
      </c>
      <c r="J1657" s="26" t="str">
        <f t="shared" ref="J1657:J1720" ca="1" si="209">IFERROR(IF(NOT(D1657),"",A1657),"")</f>
        <v/>
      </c>
    </row>
    <row r="1658" spans="1:10" x14ac:dyDescent="0.25">
      <c r="A1658" t="s">
        <v>305</v>
      </c>
      <c r="B1658" t="str">
        <f>ADDRESS(ROW('Bond 1'!$C$29),COLUMN('Bond 1'!$C$29),4)</f>
        <v>C29</v>
      </c>
      <c r="C1658" t="str">
        <f>ADDRESS(ROW('Bond 1'!$D$29),COLUMN('Bond 1'!$D$29),4)</f>
        <v>D29</v>
      </c>
      <c r="D1658" t="b" cm="1">
        <f t="array" aca="1" ref="D1658" ca="1">IF(INDIRECT("'"&amp;A1658&amp;"'!"&amp;B1658)="",FALSE,IF(TRUNC(INDIRECT("'"&amp;A1658&amp;"'!"&amp;B1658))=INDIRECT("'"&amp;A1658&amp;"'!"&amp;B1658),FALSE,TRUE))</f>
        <v>0</v>
      </c>
      <c r="E1658" t="s">
        <v>436</v>
      </c>
      <c r="F1658" t="str">
        <f>INDEX(Lists!I:I,MATCH(Validation!E1658,Lists!G:G,0))</f>
        <v>Error</v>
      </c>
      <c r="G1658" t="str">
        <f>INDEX(Lists!H:H,MATCH(Validation!E1658,Lists!G:G,0))</f>
        <v>Amount must be rounded to the nearest dollar.</v>
      </c>
      <c r="H1658" s="25" t="str">
        <f t="shared" ca="1" si="207"/>
        <v/>
      </c>
      <c r="I1658" s="25" t="str">
        <f t="shared" ca="1" si="208"/>
        <v/>
      </c>
      <c r="J1658" s="26" t="str">
        <f t="shared" ca="1" si="209"/>
        <v/>
      </c>
    </row>
    <row r="1659" spans="1:10" x14ac:dyDescent="0.25">
      <c r="A1659" t="s">
        <v>306</v>
      </c>
      <c r="B1659" t="str">
        <f>ADDRESS(ROW('Bond 1'!$C$29),COLUMN('Bond 1'!$C$29),4)</f>
        <v>C29</v>
      </c>
      <c r="C1659" t="str">
        <f>ADDRESS(ROW('Bond 1'!$D$29),COLUMN('Bond 1'!$D$29),4)</f>
        <v>D29</v>
      </c>
      <c r="D1659" t="b" cm="1">
        <f t="array" aca="1" ref="D1659" ca="1">IF(INDIRECT("'"&amp;A1659&amp;"'!"&amp;B1659)="",FALSE,IF(TRUNC(INDIRECT("'"&amp;A1659&amp;"'!"&amp;B1659))=INDIRECT("'"&amp;A1659&amp;"'!"&amp;B1659),FALSE,TRUE))</f>
        <v>0</v>
      </c>
      <c r="E1659" t="s">
        <v>436</v>
      </c>
      <c r="F1659" t="str">
        <f>INDEX(Lists!I:I,MATCH(Validation!E1659,Lists!G:G,0))</f>
        <v>Error</v>
      </c>
      <c r="G1659" t="str">
        <f>INDEX(Lists!H:H,MATCH(Validation!E1659,Lists!G:G,0))</f>
        <v>Amount must be rounded to the nearest dollar.</v>
      </c>
      <c r="H1659" s="25" t="str">
        <f t="shared" ca="1" si="207"/>
        <v/>
      </c>
      <c r="I1659" s="25" t="str">
        <f t="shared" ca="1" si="208"/>
        <v/>
      </c>
      <c r="J1659" s="26" t="str">
        <f t="shared" ca="1" si="209"/>
        <v/>
      </c>
    </row>
    <row r="1660" spans="1:10" x14ac:dyDescent="0.25">
      <c r="A1660" t="s">
        <v>307</v>
      </c>
      <c r="B1660" t="str">
        <f>ADDRESS(ROW('Bond 1'!$C$29),COLUMN('Bond 1'!$C$29),4)</f>
        <v>C29</v>
      </c>
      <c r="C1660" t="str">
        <f>ADDRESS(ROW('Bond 1'!$D$29),COLUMN('Bond 1'!$D$29),4)</f>
        <v>D29</v>
      </c>
      <c r="D1660" t="b" cm="1">
        <f t="array" aca="1" ref="D1660" ca="1">IF(INDIRECT("'"&amp;A1660&amp;"'!"&amp;B1660)="",FALSE,IF(TRUNC(INDIRECT("'"&amp;A1660&amp;"'!"&amp;B1660))=INDIRECT("'"&amp;A1660&amp;"'!"&amp;B1660),FALSE,TRUE))</f>
        <v>0</v>
      </c>
      <c r="E1660" t="s">
        <v>436</v>
      </c>
      <c r="F1660" t="str">
        <f>INDEX(Lists!I:I,MATCH(Validation!E1660,Lists!G:G,0))</f>
        <v>Error</v>
      </c>
      <c r="G1660" t="str">
        <f>INDEX(Lists!H:H,MATCH(Validation!E1660,Lists!G:G,0))</f>
        <v>Amount must be rounded to the nearest dollar.</v>
      </c>
      <c r="H1660" s="25" t="str">
        <f t="shared" ca="1" si="207"/>
        <v/>
      </c>
      <c r="I1660" s="25" t="str">
        <f t="shared" ca="1" si="208"/>
        <v/>
      </c>
      <c r="J1660" s="26" t="str">
        <f t="shared" ca="1" si="209"/>
        <v/>
      </c>
    </row>
    <row r="1661" spans="1:10" x14ac:dyDescent="0.25">
      <c r="A1661" t="s">
        <v>308</v>
      </c>
      <c r="B1661" t="str">
        <f>ADDRESS(ROW('Bond 1'!$C$29),COLUMN('Bond 1'!$C$29),4)</f>
        <v>C29</v>
      </c>
      <c r="C1661" t="str">
        <f>ADDRESS(ROW('Bond 1'!$D$29),COLUMN('Bond 1'!$D$29),4)</f>
        <v>D29</v>
      </c>
      <c r="D1661" t="b" cm="1">
        <f t="array" aca="1" ref="D1661" ca="1">IF(INDIRECT("'"&amp;A1661&amp;"'!"&amp;B1661)="",FALSE,IF(TRUNC(INDIRECT("'"&amp;A1661&amp;"'!"&amp;B1661))=INDIRECT("'"&amp;A1661&amp;"'!"&amp;B1661),FALSE,TRUE))</f>
        <v>0</v>
      </c>
      <c r="E1661" t="s">
        <v>436</v>
      </c>
      <c r="F1661" t="str">
        <f>INDEX(Lists!I:I,MATCH(Validation!E1661,Lists!G:G,0))</f>
        <v>Error</v>
      </c>
      <c r="G1661" t="str">
        <f>INDEX(Lists!H:H,MATCH(Validation!E1661,Lists!G:G,0))</f>
        <v>Amount must be rounded to the nearest dollar.</v>
      </c>
      <c r="H1661" s="25" t="str">
        <f t="shared" ca="1" si="207"/>
        <v/>
      </c>
      <c r="I1661" s="25" t="str">
        <f t="shared" ca="1" si="208"/>
        <v/>
      </c>
      <c r="J1661" s="26" t="str">
        <f t="shared" ca="1" si="209"/>
        <v/>
      </c>
    </row>
    <row r="1662" spans="1:10" x14ac:dyDescent="0.25">
      <c r="A1662" t="s">
        <v>309</v>
      </c>
      <c r="B1662" t="str">
        <f>ADDRESS(ROW('Bond 1'!$C$29),COLUMN('Bond 1'!$C$29),4)</f>
        <v>C29</v>
      </c>
      <c r="C1662" t="str">
        <f>ADDRESS(ROW('Bond 1'!$D$29),COLUMN('Bond 1'!$D$29),4)</f>
        <v>D29</v>
      </c>
      <c r="D1662" t="b" cm="1">
        <f t="array" aca="1" ref="D1662" ca="1">IF(INDIRECT("'"&amp;A1662&amp;"'!"&amp;B1662)="",FALSE,IF(TRUNC(INDIRECT("'"&amp;A1662&amp;"'!"&amp;B1662))=INDIRECT("'"&amp;A1662&amp;"'!"&amp;B1662),FALSE,TRUE))</f>
        <v>0</v>
      </c>
      <c r="E1662" t="s">
        <v>436</v>
      </c>
      <c r="F1662" t="str">
        <f>INDEX(Lists!I:I,MATCH(Validation!E1662,Lists!G:G,0))</f>
        <v>Error</v>
      </c>
      <c r="G1662" t="str">
        <f>INDEX(Lists!H:H,MATCH(Validation!E1662,Lists!G:G,0))</f>
        <v>Amount must be rounded to the nearest dollar.</v>
      </c>
      <c r="H1662" s="25" t="str">
        <f t="shared" ca="1" si="207"/>
        <v/>
      </c>
      <c r="I1662" s="25" t="str">
        <f t="shared" ca="1" si="208"/>
        <v/>
      </c>
      <c r="J1662" s="26" t="str">
        <f t="shared" ca="1" si="209"/>
        <v/>
      </c>
    </row>
    <row r="1663" spans="1:10" x14ac:dyDescent="0.25">
      <c r="A1663" t="s">
        <v>310</v>
      </c>
      <c r="B1663" t="str">
        <f>ADDRESS(ROW('Bond 1'!$C$29),COLUMN('Bond 1'!$C$29),4)</f>
        <v>C29</v>
      </c>
      <c r="C1663" t="str">
        <f>ADDRESS(ROW('Bond 1'!$D$29),COLUMN('Bond 1'!$D$29),4)</f>
        <v>D29</v>
      </c>
      <c r="D1663" t="b" cm="1">
        <f t="array" aca="1" ref="D1663" ca="1">IF(INDIRECT("'"&amp;A1663&amp;"'!"&amp;B1663)="",FALSE,IF(TRUNC(INDIRECT("'"&amp;A1663&amp;"'!"&amp;B1663))=INDIRECT("'"&amp;A1663&amp;"'!"&amp;B1663),FALSE,TRUE))</f>
        <v>0</v>
      </c>
      <c r="E1663" t="s">
        <v>436</v>
      </c>
      <c r="F1663" t="str">
        <f>INDEX(Lists!I:I,MATCH(Validation!E1663,Lists!G:G,0))</f>
        <v>Error</v>
      </c>
      <c r="G1663" t="str">
        <f>INDEX(Lists!H:H,MATCH(Validation!E1663,Lists!G:G,0))</f>
        <v>Amount must be rounded to the nearest dollar.</v>
      </c>
      <c r="H1663" s="25" t="str">
        <f t="shared" ca="1" si="207"/>
        <v/>
      </c>
      <c r="I1663" s="25" t="str">
        <f t="shared" ca="1" si="208"/>
        <v/>
      </c>
      <c r="J1663" s="26" t="str">
        <f t="shared" ca="1" si="209"/>
        <v/>
      </c>
    </row>
    <row r="1664" spans="1:10" x14ac:dyDescent="0.25">
      <c r="A1664" t="s">
        <v>311</v>
      </c>
      <c r="B1664" t="str">
        <f>ADDRESS(ROW('Bond 1'!$C$29),COLUMN('Bond 1'!$C$29),4)</f>
        <v>C29</v>
      </c>
      <c r="C1664" t="str">
        <f>ADDRESS(ROW('Bond 1'!$D$29),COLUMN('Bond 1'!$D$29),4)</f>
        <v>D29</v>
      </c>
      <c r="D1664" t="b" cm="1">
        <f t="array" aca="1" ref="D1664" ca="1">IF(INDIRECT("'"&amp;A1664&amp;"'!"&amp;B1664)="",FALSE,IF(TRUNC(INDIRECT("'"&amp;A1664&amp;"'!"&amp;B1664))=INDIRECT("'"&amp;A1664&amp;"'!"&amp;B1664),FALSE,TRUE))</f>
        <v>0</v>
      </c>
      <c r="E1664" t="s">
        <v>436</v>
      </c>
      <c r="F1664" t="str">
        <f>INDEX(Lists!I:I,MATCH(Validation!E1664,Lists!G:G,0))</f>
        <v>Error</v>
      </c>
      <c r="G1664" t="str">
        <f>INDEX(Lists!H:H,MATCH(Validation!E1664,Lists!G:G,0))</f>
        <v>Amount must be rounded to the nearest dollar.</v>
      </c>
      <c r="H1664" s="25" t="str">
        <f t="shared" ca="1" si="207"/>
        <v/>
      </c>
      <c r="I1664" s="25" t="str">
        <f t="shared" ca="1" si="208"/>
        <v/>
      </c>
      <c r="J1664" s="26" t="str">
        <f t="shared" ca="1" si="209"/>
        <v/>
      </c>
    </row>
    <row r="1665" spans="1:10" x14ac:dyDescent="0.25">
      <c r="A1665" t="s">
        <v>312</v>
      </c>
      <c r="B1665" t="str">
        <f>ADDRESS(ROW('Bond 1'!$C$29),COLUMN('Bond 1'!$C$29),4)</f>
        <v>C29</v>
      </c>
      <c r="C1665" t="str">
        <f>ADDRESS(ROW('Bond 1'!$D$29),COLUMN('Bond 1'!$D$29),4)</f>
        <v>D29</v>
      </c>
      <c r="D1665" t="b" cm="1">
        <f t="array" aca="1" ref="D1665" ca="1">IF(INDIRECT("'"&amp;A1665&amp;"'!"&amp;B1665)="",FALSE,IF(TRUNC(INDIRECT("'"&amp;A1665&amp;"'!"&amp;B1665))=INDIRECT("'"&amp;A1665&amp;"'!"&amp;B1665),FALSE,TRUE))</f>
        <v>0</v>
      </c>
      <c r="E1665" t="s">
        <v>436</v>
      </c>
      <c r="F1665" t="str">
        <f>INDEX(Lists!I:I,MATCH(Validation!E1665,Lists!G:G,0))</f>
        <v>Error</v>
      </c>
      <c r="G1665" t="str">
        <f>INDEX(Lists!H:H,MATCH(Validation!E1665,Lists!G:G,0))</f>
        <v>Amount must be rounded to the nearest dollar.</v>
      </c>
      <c r="H1665" s="25" t="str">
        <f t="shared" ca="1" si="207"/>
        <v/>
      </c>
      <c r="I1665" s="25" t="str">
        <f t="shared" ca="1" si="208"/>
        <v/>
      </c>
      <c r="J1665" s="26" t="str">
        <f t="shared" ca="1" si="209"/>
        <v/>
      </c>
    </row>
    <row r="1666" spans="1:10" x14ac:dyDescent="0.25">
      <c r="A1666" t="s">
        <v>313</v>
      </c>
      <c r="B1666" t="str">
        <f>ADDRESS(ROW('Bond 1'!$C$29),COLUMN('Bond 1'!$C$29),4)</f>
        <v>C29</v>
      </c>
      <c r="C1666" t="str">
        <f>ADDRESS(ROW('Bond 1'!$D$29),COLUMN('Bond 1'!$D$29),4)</f>
        <v>D29</v>
      </c>
      <c r="D1666" t="b" cm="1">
        <f t="array" aca="1" ref="D1666" ca="1">IF(INDIRECT("'"&amp;A1666&amp;"'!"&amp;B1666)="",FALSE,IF(TRUNC(INDIRECT("'"&amp;A1666&amp;"'!"&amp;B1666))=INDIRECT("'"&amp;A1666&amp;"'!"&amp;B1666),FALSE,TRUE))</f>
        <v>0</v>
      </c>
      <c r="E1666" t="s">
        <v>436</v>
      </c>
      <c r="F1666" t="str">
        <f>INDEX(Lists!I:I,MATCH(Validation!E1666,Lists!G:G,0))</f>
        <v>Error</v>
      </c>
      <c r="G1666" t="str">
        <f>INDEX(Lists!H:H,MATCH(Validation!E1666,Lists!G:G,0))</f>
        <v>Amount must be rounded to the nearest dollar.</v>
      </c>
      <c r="H1666" s="25" t="str">
        <f t="shared" ca="1" si="207"/>
        <v/>
      </c>
      <c r="I1666" s="25" t="str">
        <f t="shared" ca="1" si="208"/>
        <v/>
      </c>
      <c r="J1666" s="26" t="str">
        <f t="shared" ca="1" si="209"/>
        <v/>
      </c>
    </row>
    <row r="1667" spans="1:10" x14ac:dyDescent="0.25">
      <c r="A1667" t="s">
        <v>314</v>
      </c>
      <c r="B1667" t="str">
        <f>ADDRESS(ROW('Bond 1'!$C$29),COLUMN('Bond 1'!$C$29),4)</f>
        <v>C29</v>
      </c>
      <c r="C1667" t="str">
        <f>ADDRESS(ROW('Bond 1'!$D$29),COLUMN('Bond 1'!$D$29),4)</f>
        <v>D29</v>
      </c>
      <c r="D1667" t="b" cm="1">
        <f t="array" aca="1" ref="D1667" ca="1">IF(INDIRECT("'"&amp;A1667&amp;"'!"&amp;B1667)="",FALSE,IF(TRUNC(INDIRECT("'"&amp;A1667&amp;"'!"&amp;B1667))=INDIRECT("'"&amp;A1667&amp;"'!"&amp;B1667),FALSE,TRUE))</f>
        <v>0</v>
      </c>
      <c r="E1667" t="s">
        <v>436</v>
      </c>
      <c r="F1667" t="str">
        <f>INDEX(Lists!I:I,MATCH(Validation!E1667,Lists!G:G,0))</f>
        <v>Error</v>
      </c>
      <c r="G1667" t="str">
        <f>INDEX(Lists!H:H,MATCH(Validation!E1667,Lists!G:G,0))</f>
        <v>Amount must be rounded to the nearest dollar.</v>
      </c>
      <c r="H1667" s="25" t="str">
        <f t="shared" ca="1" si="207"/>
        <v/>
      </c>
      <c r="I1667" s="25" t="str">
        <f t="shared" ca="1" si="208"/>
        <v/>
      </c>
      <c r="J1667" s="26" t="str">
        <f t="shared" ca="1" si="209"/>
        <v/>
      </c>
    </row>
    <row r="1668" spans="1:10" x14ac:dyDescent="0.25">
      <c r="A1668" t="s">
        <v>315</v>
      </c>
      <c r="B1668" t="str">
        <f>ADDRESS(ROW('Bond 1'!$C$29),COLUMN('Bond 1'!$C$29),4)</f>
        <v>C29</v>
      </c>
      <c r="C1668" t="str">
        <f>ADDRESS(ROW('Bond 1'!$D$29),COLUMN('Bond 1'!$D$29),4)</f>
        <v>D29</v>
      </c>
      <c r="D1668" t="b" cm="1">
        <f t="array" aca="1" ref="D1668" ca="1">IF(INDIRECT("'"&amp;A1668&amp;"'!"&amp;B1668)="",FALSE,IF(TRUNC(INDIRECT("'"&amp;A1668&amp;"'!"&amp;B1668))=INDIRECT("'"&amp;A1668&amp;"'!"&amp;B1668),FALSE,TRUE))</f>
        <v>0</v>
      </c>
      <c r="E1668" t="s">
        <v>436</v>
      </c>
      <c r="F1668" t="str">
        <f>INDEX(Lists!I:I,MATCH(Validation!E1668,Lists!G:G,0))</f>
        <v>Error</v>
      </c>
      <c r="G1668" t="str">
        <f>INDEX(Lists!H:H,MATCH(Validation!E1668,Lists!G:G,0))</f>
        <v>Amount must be rounded to the nearest dollar.</v>
      </c>
      <c r="H1668" s="25" t="str">
        <f t="shared" ca="1" si="207"/>
        <v/>
      </c>
      <c r="I1668" s="25" t="str">
        <f t="shared" ca="1" si="208"/>
        <v/>
      </c>
      <c r="J1668" s="26" t="str">
        <f t="shared" ca="1" si="209"/>
        <v/>
      </c>
    </row>
    <row r="1669" spans="1:10" x14ac:dyDescent="0.25">
      <c r="A1669" t="s">
        <v>198</v>
      </c>
      <c r="B1669" t="str">
        <f>ADDRESS(ROW('Bond 1'!$B$30),COLUMN('Bond 1'!$B$30),4)</f>
        <v>B30</v>
      </c>
      <c r="C1669" t="str">
        <f>ADDRESS(ROW('Bond 1'!$D$30),COLUMN('Bond 1'!$D$30),4)</f>
        <v>D30</v>
      </c>
      <c r="D1669" t="b" cm="1">
        <f t="array" aca="1" ref="D1669" ca="1">IF(INDIRECT("'"&amp;A1669&amp;"'!"&amp;B1669)="",FALSE,IF(NOT(ISNUMBER(INDIRECT("'"&amp;A1669&amp;"'!"&amp;B1669))),TRUE,FALSE))</f>
        <v>0</v>
      </c>
      <c r="E1669" t="s">
        <v>435</v>
      </c>
      <c r="F1669" t="str">
        <f>INDEX(Lists!I:I,MATCH(Validation!E1669,Lists!G:G,0))</f>
        <v>Error</v>
      </c>
      <c r="G1669" t="str">
        <f>INDEX(Lists!H:H,MATCH(Validation!E1669,Lists!G:G,0))</f>
        <v>Enter an amount only. Do not enter text or spaces.</v>
      </c>
      <c r="H1669" s="25" t="str">
        <f t="shared" ca="1" si="207"/>
        <v/>
      </c>
      <c r="I1669" s="25" t="str">
        <f t="shared" ca="1" si="208"/>
        <v/>
      </c>
      <c r="J1669" s="26" t="str">
        <f t="shared" ca="1" si="209"/>
        <v/>
      </c>
    </row>
    <row r="1670" spans="1:10" x14ac:dyDescent="0.25">
      <c r="A1670" t="s">
        <v>302</v>
      </c>
      <c r="B1670" t="str">
        <f>ADDRESS(ROW('Bond 1'!$B$30),COLUMN('Bond 1'!$B$30),4)</f>
        <v>B30</v>
      </c>
      <c r="C1670" t="str">
        <f>ADDRESS(ROW('Bond 1'!$D$30),COLUMN('Bond 1'!$D$30),4)</f>
        <v>D30</v>
      </c>
      <c r="D1670" t="b" cm="1">
        <f t="array" aca="1" ref="D1670" ca="1">IF(INDIRECT("'"&amp;A1670&amp;"'!"&amp;B1670)="",FALSE,IF(NOT(ISNUMBER(INDIRECT("'"&amp;A1670&amp;"'!"&amp;B1670))),TRUE,FALSE))</f>
        <v>0</v>
      </c>
      <c r="E1670" t="s">
        <v>435</v>
      </c>
      <c r="F1670" t="str">
        <f>INDEX(Lists!I:I,MATCH(Validation!E1670,Lists!G:G,0))</f>
        <v>Error</v>
      </c>
      <c r="G1670" t="str">
        <f>INDEX(Lists!H:H,MATCH(Validation!E1670,Lists!G:G,0))</f>
        <v>Enter an amount only. Do not enter text or spaces.</v>
      </c>
      <c r="H1670" s="25" t="str">
        <f t="shared" ca="1" si="207"/>
        <v/>
      </c>
      <c r="I1670" s="25" t="str">
        <f t="shared" ca="1" si="208"/>
        <v/>
      </c>
      <c r="J1670" s="26" t="str">
        <f t="shared" ca="1" si="209"/>
        <v/>
      </c>
    </row>
    <row r="1671" spans="1:10" x14ac:dyDescent="0.25">
      <c r="A1671" t="s">
        <v>303</v>
      </c>
      <c r="B1671" t="str">
        <f>ADDRESS(ROW('Bond 1'!$B$30),COLUMN('Bond 1'!$B$30),4)</f>
        <v>B30</v>
      </c>
      <c r="C1671" t="str">
        <f>ADDRESS(ROW('Bond 1'!$D$30),COLUMN('Bond 1'!$D$30),4)</f>
        <v>D30</v>
      </c>
      <c r="D1671" t="b" cm="1">
        <f t="array" aca="1" ref="D1671" ca="1">IF(INDIRECT("'"&amp;A1671&amp;"'!"&amp;B1671)="",FALSE,IF(NOT(ISNUMBER(INDIRECT("'"&amp;A1671&amp;"'!"&amp;B1671))),TRUE,FALSE))</f>
        <v>0</v>
      </c>
      <c r="E1671" t="s">
        <v>435</v>
      </c>
      <c r="F1671" t="str">
        <f>INDEX(Lists!I:I,MATCH(Validation!E1671,Lists!G:G,0))</f>
        <v>Error</v>
      </c>
      <c r="G1671" t="str">
        <f>INDEX(Lists!H:H,MATCH(Validation!E1671,Lists!G:G,0))</f>
        <v>Enter an amount only. Do not enter text or spaces.</v>
      </c>
      <c r="H1671" s="25" t="str">
        <f t="shared" ca="1" si="207"/>
        <v/>
      </c>
      <c r="I1671" s="25" t="str">
        <f t="shared" ca="1" si="208"/>
        <v/>
      </c>
      <c r="J1671" s="26" t="str">
        <f t="shared" ca="1" si="209"/>
        <v/>
      </c>
    </row>
    <row r="1672" spans="1:10" x14ac:dyDescent="0.25">
      <c r="A1672" t="s">
        <v>304</v>
      </c>
      <c r="B1672" t="str">
        <f>ADDRESS(ROW('Bond 1'!$B$30),COLUMN('Bond 1'!$B$30),4)</f>
        <v>B30</v>
      </c>
      <c r="C1672" t="str">
        <f>ADDRESS(ROW('Bond 1'!$D$30),COLUMN('Bond 1'!$D$30),4)</f>
        <v>D30</v>
      </c>
      <c r="D1672" t="b" cm="1">
        <f t="array" aca="1" ref="D1672" ca="1">IF(INDIRECT("'"&amp;A1672&amp;"'!"&amp;B1672)="",FALSE,IF(NOT(ISNUMBER(INDIRECT("'"&amp;A1672&amp;"'!"&amp;B1672))),TRUE,FALSE))</f>
        <v>0</v>
      </c>
      <c r="E1672" t="s">
        <v>435</v>
      </c>
      <c r="F1672" t="str">
        <f>INDEX(Lists!I:I,MATCH(Validation!E1672,Lists!G:G,0))</f>
        <v>Error</v>
      </c>
      <c r="G1672" t="str">
        <f>INDEX(Lists!H:H,MATCH(Validation!E1672,Lists!G:G,0))</f>
        <v>Enter an amount only. Do not enter text or spaces.</v>
      </c>
      <c r="H1672" s="25" t="str">
        <f t="shared" ca="1" si="207"/>
        <v/>
      </c>
      <c r="I1672" s="25" t="str">
        <f t="shared" ca="1" si="208"/>
        <v/>
      </c>
      <c r="J1672" s="26" t="str">
        <f t="shared" ca="1" si="209"/>
        <v/>
      </c>
    </row>
    <row r="1673" spans="1:10" x14ac:dyDescent="0.25">
      <c r="A1673" t="s">
        <v>305</v>
      </c>
      <c r="B1673" t="str">
        <f>ADDRESS(ROW('Bond 1'!$B$30),COLUMN('Bond 1'!$B$30),4)</f>
        <v>B30</v>
      </c>
      <c r="C1673" t="str">
        <f>ADDRESS(ROW('Bond 1'!$D$30),COLUMN('Bond 1'!$D$30),4)</f>
        <v>D30</v>
      </c>
      <c r="D1673" t="b" cm="1">
        <f t="array" aca="1" ref="D1673" ca="1">IF(INDIRECT("'"&amp;A1673&amp;"'!"&amp;B1673)="",FALSE,IF(NOT(ISNUMBER(INDIRECT("'"&amp;A1673&amp;"'!"&amp;B1673))),TRUE,FALSE))</f>
        <v>0</v>
      </c>
      <c r="E1673" t="s">
        <v>435</v>
      </c>
      <c r="F1673" t="str">
        <f>INDEX(Lists!I:I,MATCH(Validation!E1673,Lists!G:G,0))</f>
        <v>Error</v>
      </c>
      <c r="G1673" t="str">
        <f>INDEX(Lists!H:H,MATCH(Validation!E1673,Lists!G:G,0))</f>
        <v>Enter an amount only. Do not enter text or spaces.</v>
      </c>
      <c r="H1673" s="25" t="str">
        <f t="shared" ca="1" si="207"/>
        <v/>
      </c>
      <c r="I1673" s="25" t="str">
        <f t="shared" ca="1" si="208"/>
        <v/>
      </c>
      <c r="J1673" s="26" t="str">
        <f t="shared" ca="1" si="209"/>
        <v/>
      </c>
    </row>
    <row r="1674" spans="1:10" x14ac:dyDescent="0.25">
      <c r="A1674" t="s">
        <v>306</v>
      </c>
      <c r="B1674" t="str">
        <f>ADDRESS(ROW('Bond 1'!$B$30),COLUMN('Bond 1'!$B$30),4)</f>
        <v>B30</v>
      </c>
      <c r="C1674" t="str">
        <f>ADDRESS(ROW('Bond 1'!$D$30),COLUMN('Bond 1'!$D$30),4)</f>
        <v>D30</v>
      </c>
      <c r="D1674" t="b" cm="1">
        <f t="array" aca="1" ref="D1674" ca="1">IF(INDIRECT("'"&amp;A1674&amp;"'!"&amp;B1674)="",FALSE,IF(NOT(ISNUMBER(INDIRECT("'"&amp;A1674&amp;"'!"&amp;B1674))),TRUE,FALSE))</f>
        <v>0</v>
      </c>
      <c r="E1674" t="s">
        <v>435</v>
      </c>
      <c r="F1674" t="str">
        <f>INDEX(Lists!I:I,MATCH(Validation!E1674,Lists!G:G,0))</f>
        <v>Error</v>
      </c>
      <c r="G1674" t="str">
        <f>INDEX(Lists!H:H,MATCH(Validation!E1674,Lists!G:G,0))</f>
        <v>Enter an amount only. Do not enter text or spaces.</v>
      </c>
      <c r="H1674" s="25" t="str">
        <f t="shared" ca="1" si="207"/>
        <v/>
      </c>
      <c r="I1674" s="25" t="str">
        <f t="shared" ca="1" si="208"/>
        <v/>
      </c>
      <c r="J1674" s="26" t="str">
        <f t="shared" ca="1" si="209"/>
        <v/>
      </c>
    </row>
    <row r="1675" spans="1:10" x14ac:dyDescent="0.25">
      <c r="A1675" t="s">
        <v>307</v>
      </c>
      <c r="B1675" t="str">
        <f>ADDRESS(ROW('Bond 1'!$B$30),COLUMN('Bond 1'!$B$30),4)</f>
        <v>B30</v>
      </c>
      <c r="C1675" t="str">
        <f>ADDRESS(ROW('Bond 1'!$D$30),COLUMN('Bond 1'!$D$30),4)</f>
        <v>D30</v>
      </c>
      <c r="D1675" t="b" cm="1">
        <f t="array" aca="1" ref="D1675" ca="1">IF(INDIRECT("'"&amp;A1675&amp;"'!"&amp;B1675)="",FALSE,IF(NOT(ISNUMBER(INDIRECT("'"&amp;A1675&amp;"'!"&amp;B1675))),TRUE,FALSE))</f>
        <v>0</v>
      </c>
      <c r="E1675" t="s">
        <v>435</v>
      </c>
      <c r="F1675" t="str">
        <f>INDEX(Lists!I:I,MATCH(Validation!E1675,Lists!G:G,0))</f>
        <v>Error</v>
      </c>
      <c r="G1675" t="str">
        <f>INDEX(Lists!H:H,MATCH(Validation!E1675,Lists!G:G,0))</f>
        <v>Enter an amount only. Do not enter text or spaces.</v>
      </c>
      <c r="H1675" s="25" t="str">
        <f t="shared" ca="1" si="207"/>
        <v/>
      </c>
      <c r="I1675" s="25" t="str">
        <f t="shared" ca="1" si="208"/>
        <v/>
      </c>
      <c r="J1675" s="26" t="str">
        <f t="shared" ca="1" si="209"/>
        <v/>
      </c>
    </row>
    <row r="1676" spans="1:10" x14ac:dyDescent="0.25">
      <c r="A1676" t="s">
        <v>308</v>
      </c>
      <c r="B1676" t="str">
        <f>ADDRESS(ROW('Bond 1'!$B$30),COLUMN('Bond 1'!$B$30),4)</f>
        <v>B30</v>
      </c>
      <c r="C1676" t="str">
        <f>ADDRESS(ROW('Bond 1'!$D$30),COLUMN('Bond 1'!$D$30),4)</f>
        <v>D30</v>
      </c>
      <c r="D1676" t="b" cm="1">
        <f t="array" aca="1" ref="D1676" ca="1">IF(INDIRECT("'"&amp;A1676&amp;"'!"&amp;B1676)="",FALSE,IF(NOT(ISNUMBER(INDIRECT("'"&amp;A1676&amp;"'!"&amp;B1676))),TRUE,FALSE))</f>
        <v>0</v>
      </c>
      <c r="E1676" t="s">
        <v>435</v>
      </c>
      <c r="F1676" t="str">
        <f>INDEX(Lists!I:I,MATCH(Validation!E1676,Lists!G:G,0))</f>
        <v>Error</v>
      </c>
      <c r="G1676" t="str">
        <f>INDEX(Lists!H:H,MATCH(Validation!E1676,Lists!G:G,0))</f>
        <v>Enter an amount only. Do not enter text or spaces.</v>
      </c>
      <c r="H1676" s="25" t="str">
        <f t="shared" ca="1" si="207"/>
        <v/>
      </c>
      <c r="I1676" s="25" t="str">
        <f t="shared" ca="1" si="208"/>
        <v/>
      </c>
      <c r="J1676" s="26" t="str">
        <f t="shared" ca="1" si="209"/>
        <v/>
      </c>
    </row>
    <row r="1677" spans="1:10" x14ac:dyDescent="0.25">
      <c r="A1677" t="s">
        <v>309</v>
      </c>
      <c r="B1677" t="str">
        <f>ADDRESS(ROW('Bond 1'!$B$30),COLUMN('Bond 1'!$B$30),4)</f>
        <v>B30</v>
      </c>
      <c r="C1677" t="str">
        <f>ADDRESS(ROW('Bond 1'!$D$30),COLUMN('Bond 1'!$D$30),4)</f>
        <v>D30</v>
      </c>
      <c r="D1677" t="b" cm="1">
        <f t="array" aca="1" ref="D1677" ca="1">IF(INDIRECT("'"&amp;A1677&amp;"'!"&amp;B1677)="",FALSE,IF(NOT(ISNUMBER(INDIRECT("'"&amp;A1677&amp;"'!"&amp;B1677))),TRUE,FALSE))</f>
        <v>0</v>
      </c>
      <c r="E1677" t="s">
        <v>435</v>
      </c>
      <c r="F1677" t="str">
        <f>INDEX(Lists!I:I,MATCH(Validation!E1677,Lists!G:G,0))</f>
        <v>Error</v>
      </c>
      <c r="G1677" t="str">
        <f>INDEX(Lists!H:H,MATCH(Validation!E1677,Lists!G:G,0))</f>
        <v>Enter an amount only. Do not enter text or spaces.</v>
      </c>
      <c r="H1677" s="25" t="str">
        <f t="shared" ca="1" si="207"/>
        <v/>
      </c>
      <c r="I1677" s="25" t="str">
        <f t="shared" ca="1" si="208"/>
        <v/>
      </c>
      <c r="J1677" s="26" t="str">
        <f t="shared" ca="1" si="209"/>
        <v/>
      </c>
    </row>
    <row r="1678" spans="1:10" x14ac:dyDescent="0.25">
      <c r="A1678" t="s">
        <v>310</v>
      </c>
      <c r="B1678" t="str">
        <f>ADDRESS(ROW('Bond 1'!$B$30),COLUMN('Bond 1'!$B$30),4)</f>
        <v>B30</v>
      </c>
      <c r="C1678" t="str">
        <f>ADDRESS(ROW('Bond 1'!$D$30),COLUMN('Bond 1'!$D$30),4)</f>
        <v>D30</v>
      </c>
      <c r="D1678" t="b" cm="1">
        <f t="array" aca="1" ref="D1678" ca="1">IF(INDIRECT("'"&amp;A1678&amp;"'!"&amp;B1678)="",FALSE,IF(NOT(ISNUMBER(INDIRECT("'"&amp;A1678&amp;"'!"&amp;B1678))),TRUE,FALSE))</f>
        <v>0</v>
      </c>
      <c r="E1678" t="s">
        <v>435</v>
      </c>
      <c r="F1678" t="str">
        <f>INDEX(Lists!I:I,MATCH(Validation!E1678,Lists!G:G,0))</f>
        <v>Error</v>
      </c>
      <c r="G1678" t="str">
        <f>INDEX(Lists!H:H,MATCH(Validation!E1678,Lists!G:G,0))</f>
        <v>Enter an amount only. Do not enter text or spaces.</v>
      </c>
      <c r="H1678" s="25" t="str">
        <f t="shared" ca="1" si="207"/>
        <v/>
      </c>
      <c r="I1678" s="25" t="str">
        <f t="shared" ca="1" si="208"/>
        <v/>
      </c>
      <c r="J1678" s="26" t="str">
        <f t="shared" ca="1" si="209"/>
        <v/>
      </c>
    </row>
    <row r="1679" spans="1:10" x14ac:dyDescent="0.25">
      <c r="A1679" t="s">
        <v>311</v>
      </c>
      <c r="B1679" t="str">
        <f>ADDRESS(ROW('Bond 1'!$B$30),COLUMN('Bond 1'!$B$30),4)</f>
        <v>B30</v>
      </c>
      <c r="C1679" t="str">
        <f>ADDRESS(ROW('Bond 1'!$D$30),COLUMN('Bond 1'!$D$30),4)</f>
        <v>D30</v>
      </c>
      <c r="D1679" t="b" cm="1">
        <f t="array" aca="1" ref="D1679" ca="1">IF(INDIRECT("'"&amp;A1679&amp;"'!"&amp;B1679)="",FALSE,IF(NOT(ISNUMBER(INDIRECT("'"&amp;A1679&amp;"'!"&amp;B1679))),TRUE,FALSE))</f>
        <v>0</v>
      </c>
      <c r="E1679" t="s">
        <v>435</v>
      </c>
      <c r="F1679" t="str">
        <f>INDEX(Lists!I:I,MATCH(Validation!E1679,Lists!G:G,0))</f>
        <v>Error</v>
      </c>
      <c r="G1679" t="str">
        <f>INDEX(Lists!H:H,MATCH(Validation!E1679,Lists!G:G,0))</f>
        <v>Enter an amount only. Do not enter text or spaces.</v>
      </c>
      <c r="H1679" s="25" t="str">
        <f t="shared" ca="1" si="207"/>
        <v/>
      </c>
      <c r="I1679" s="25" t="str">
        <f t="shared" ca="1" si="208"/>
        <v/>
      </c>
      <c r="J1679" s="26" t="str">
        <f t="shared" ca="1" si="209"/>
        <v/>
      </c>
    </row>
    <row r="1680" spans="1:10" x14ac:dyDescent="0.25">
      <c r="A1680" t="s">
        <v>312</v>
      </c>
      <c r="B1680" t="str">
        <f>ADDRESS(ROW('Bond 1'!$B$30),COLUMN('Bond 1'!$B$30),4)</f>
        <v>B30</v>
      </c>
      <c r="C1680" t="str">
        <f>ADDRESS(ROW('Bond 1'!$D$30),COLUMN('Bond 1'!$D$30),4)</f>
        <v>D30</v>
      </c>
      <c r="D1680" t="b" cm="1">
        <f t="array" aca="1" ref="D1680" ca="1">IF(INDIRECT("'"&amp;A1680&amp;"'!"&amp;B1680)="",FALSE,IF(NOT(ISNUMBER(INDIRECT("'"&amp;A1680&amp;"'!"&amp;B1680))),TRUE,FALSE))</f>
        <v>0</v>
      </c>
      <c r="E1680" t="s">
        <v>435</v>
      </c>
      <c r="F1680" t="str">
        <f>INDEX(Lists!I:I,MATCH(Validation!E1680,Lists!G:G,0))</f>
        <v>Error</v>
      </c>
      <c r="G1680" t="str">
        <f>INDEX(Lists!H:H,MATCH(Validation!E1680,Lists!G:G,0))</f>
        <v>Enter an amount only. Do not enter text or spaces.</v>
      </c>
      <c r="H1680" s="25" t="str">
        <f t="shared" ca="1" si="207"/>
        <v/>
      </c>
      <c r="I1680" s="25" t="str">
        <f t="shared" ca="1" si="208"/>
        <v/>
      </c>
      <c r="J1680" s="26" t="str">
        <f t="shared" ca="1" si="209"/>
        <v/>
      </c>
    </row>
    <row r="1681" spans="1:10" x14ac:dyDescent="0.25">
      <c r="A1681" t="s">
        <v>313</v>
      </c>
      <c r="B1681" t="str">
        <f>ADDRESS(ROW('Bond 1'!$B$30),COLUMN('Bond 1'!$B$30),4)</f>
        <v>B30</v>
      </c>
      <c r="C1681" t="str">
        <f>ADDRESS(ROW('Bond 1'!$D$30),COLUMN('Bond 1'!$D$30),4)</f>
        <v>D30</v>
      </c>
      <c r="D1681" t="b" cm="1">
        <f t="array" aca="1" ref="D1681" ca="1">IF(INDIRECT("'"&amp;A1681&amp;"'!"&amp;B1681)="",FALSE,IF(NOT(ISNUMBER(INDIRECT("'"&amp;A1681&amp;"'!"&amp;B1681))),TRUE,FALSE))</f>
        <v>0</v>
      </c>
      <c r="E1681" t="s">
        <v>435</v>
      </c>
      <c r="F1681" t="str">
        <f>INDEX(Lists!I:I,MATCH(Validation!E1681,Lists!G:G,0))</f>
        <v>Error</v>
      </c>
      <c r="G1681" t="str">
        <f>INDEX(Lists!H:H,MATCH(Validation!E1681,Lists!G:G,0))</f>
        <v>Enter an amount only. Do not enter text or spaces.</v>
      </c>
      <c r="H1681" s="25" t="str">
        <f t="shared" ca="1" si="207"/>
        <v/>
      </c>
      <c r="I1681" s="25" t="str">
        <f t="shared" ca="1" si="208"/>
        <v/>
      </c>
      <c r="J1681" s="26" t="str">
        <f t="shared" ca="1" si="209"/>
        <v/>
      </c>
    </row>
    <row r="1682" spans="1:10" x14ac:dyDescent="0.25">
      <c r="A1682" t="s">
        <v>314</v>
      </c>
      <c r="B1682" t="str">
        <f>ADDRESS(ROW('Bond 1'!$B$30),COLUMN('Bond 1'!$B$30),4)</f>
        <v>B30</v>
      </c>
      <c r="C1682" t="str">
        <f>ADDRESS(ROW('Bond 1'!$D$30),COLUMN('Bond 1'!$D$30),4)</f>
        <v>D30</v>
      </c>
      <c r="D1682" t="b" cm="1">
        <f t="array" aca="1" ref="D1682" ca="1">IF(INDIRECT("'"&amp;A1682&amp;"'!"&amp;B1682)="",FALSE,IF(NOT(ISNUMBER(INDIRECT("'"&amp;A1682&amp;"'!"&amp;B1682))),TRUE,FALSE))</f>
        <v>0</v>
      </c>
      <c r="E1682" t="s">
        <v>435</v>
      </c>
      <c r="F1682" t="str">
        <f>INDEX(Lists!I:I,MATCH(Validation!E1682,Lists!G:G,0))</f>
        <v>Error</v>
      </c>
      <c r="G1682" t="str">
        <f>INDEX(Lists!H:H,MATCH(Validation!E1682,Lists!G:G,0))</f>
        <v>Enter an amount only. Do not enter text or spaces.</v>
      </c>
      <c r="H1682" s="25" t="str">
        <f t="shared" ca="1" si="207"/>
        <v/>
      </c>
      <c r="I1682" s="25" t="str">
        <f t="shared" ca="1" si="208"/>
        <v/>
      </c>
      <c r="J1682" s="26" t="str">
        <f t="shared" ca="1" si="209"/>
        <v/>
      </c>
    </row>
    <row r="1683" spans="1:10" x14ac:dyDescent="0.25">
      <c r="A1683" t="s">
        <v>315</v>
      </c>
      <c r="B1683" t="str">
        <f>ADDRESS(ROW('Bond 1'!$B$30),COLUMN('Bond 1'!$B$30),4)</f>
        <v>B30</v>
      </c>
      <c r="C1683" t="str">
        <f>ADDRESS(ROW('Bond 1'!$D$30),COLUMN('Bond 1'!$D$30),4)</f>
        <v>D30</v>
      </c>
      <c r="D1683" t="b" cm="1">
        <f t="array" aca="1" ref="D1683" ca="1">IF(INDIRECT("'"&amp;A1683&amp;"'!"&amp;B1683)="",FALSE,IF(NOT(ISNUMBER(INDIRECT("'"&amp;A1683&amp;"'!"&amp;B1683))),TRUE,FALSE))</f>
        <v>0</v>
      </c>
      <c r="E1683" t="s">
        <v>435</v>
      </c>
      <c r="F1683" t="str">
        <f>INDEX(Lists!I:I,MATCH(Validation!E1683,Lists!G:G,0))</f>
        <v>Error</v>
      </c>
      <c r="G1683" t="str">
        <f>INDEX(Lists!H:H,MATCH(Validation!E1683,Lists!G:G,0))</f>
        <v>Enter an amount only. Do not enter text or spaces.</v>
      </c>
      <c r="H1683" s="25" t="str">
        <f t="shared" ca="1" si="207"/>
        <v/>
      </c>
      <c r="I1683" s="25" t="str">
        <f t="shared" ca="1" si="208"/>
        <v/>
      </c>
      <c r="J1683" s="26" t="str">
        <f t="shared" ca="1" si="209"/>
        <v/>
      </c>
    </row>
    <row r="1684" spans="1:10" x14ac:dyDescent="0.25">
      <c r="A1684" t="s">
        <v>198</v>
      </c>
      <c r="B1684" t="str">
        <f>ADDRESS(ROW('Bond 1'!$B$30),COLUMN('Bond 1'!$B$30),4)</f>
        <v>B30</v>
      </c>
      <c r="C1684" t="str">
        <f>ADDRESS(ROW('Bond 1'!$D$30),COLUMN('Bond 1'!$D$30),4)</f>
        <v>D30</v>
      </c>
      <c r="D1684" t="b" cm="1">
        <f t="array" aca="1" ref="D1684" ca="1">IF(INDIRECT("'"&amp;A1684&amp;"'!"&amp;B1684)="",FALSE,IF(INDIRECT("'"&amp;A1684&amp;"'!"&amp;B1684)&lt;0,TRUE,FALSE))</f>
        <v>0</v>
      </c>
      <c r="E1684" t="s">
        <v>434</v>
      </c>
      <c r="F1684" t="str">
        <f>INDEX(Lists!I:I,MATCH(Validation!E1684,Lists!G:G,0))</f>
        <v>Error</v>
      </c>
      <c r="G1684" t="str">
        <f>INDEX(Lists!H:H,MATCH(Validation!E1684,Lists!G:G,0))</f>
        <v>Amount may not be negative. Enter an amount greater than or equal to zero.</v>
      </c>
      <c r="H1684" s="25" t="str">
        <f t="shared" ca="1" si="207"/>
        <v/>
      </c>
      <c r="I1684" s="25" t="str">
        <f t="shared" ca="1" si="208"/>
        <v/>
      </c>
      <c r="J1684" s="26" t="str">
        <f t="shared" ca="1" si="209"/>
        <v/>
      </c>
    </row>
    <row r="1685" spans="1:10" x14ac:dyDescent="0.25">
      <c r="A1685" t="s">
        <v>302</v>
      </c>
      <c r="B1685" t="str">
        <f>ADDRESS(ROW('Bond 1'!$B$30),COLUMN('Bond 1'!$B$30),4)</f>
        <v>B30</v>
      </c>
      <c r="C1685" t="str">
        <f>ADDRESS(ROW('Bond 1'!$D$30),COLUMN('Bond 1'!$D$30),4)</f>
        <v>D30</v>
      </c>
      <c r="D1685" t="b" cm="1">
        <f t="array" aca="1" ref="D1685" ca="1">IF(INDIRECT("'"&amp;A1685&amp;"'!"&amp;B1685)="",FALSE,IF(INDIRECT("'"&amp;A1685&amp;"'!"&amp;B1685)&lt;0,TRUE,FALSE))</f>
        <v>0</v>
      </c>
      <c r="E1685" t="s">
        <v>434</v>
      </c>
      <c r="F1685" t="str">
        <f>INDEX(Lists!I:I,MATCH(Validation!E1685,Lists!G:G,0))</f>
        <v>Error</v>
      </c>
      <c r="G1685" t="str">
        <f>INDEX(Lists!H:H,MATCH(Validation!E1685,Lists!G:G,0))</f>
        <v>Amount may not be negative. Enter an amount greater than or equal to zero.</v>
      </c>
      <c r="H1685" s="25" t="str">
        <f t="shared" ca="1" si="207"/>
        <v/>
      </c>
      <c r="I1685" s="25" t="str">
        <f t="shared" ca="1" si="208"/>
        <v/>
      </c>
      <c r="J1685" s="26" t="str">
        <f t="shared" ca="1" si="209"/>
        <v/>
      </c>
    </row>
    <row r="1686" spans="1:10" x14ac:dyDescent="0.25">
      <c r="A1686" t="s">
        <v>303</v>
      </c>
      <c r="B1686" t="str">
        <f>ADDRESS(ROW('Bond 1'!$B$30),COLUMN('Bond 1'!$B$30),4)</f>
        <v>B30</v>
      </c>
      <c r="C1686" t="str">
        <f>ADDRESS(ROW('Bond 1'!$D$30),COLUMN('Bond 1'!$D$30),4)</f>
        <v>D30</v>
      </c>
      <c r="D1686" t="b" cm="1">
        <f t="array" aca="1" ref="D1686" ca="1">IF(INDIRECT("'"&amp;A1686&amp;"'!"&amp;B1686)="",FALSE,IF(INDIRECT("'"&amp;A1686&amp;"'!"&amp;B1686)&lt;0,TRUE,FALSE))</f>
        <v>0</v>
      </c>
      <c r="E1686" t="s">
        <v>434</v>
      </c>
      <c r="F1686" t="str">
        <f>INDEX(Lists!I:I,MATCH(Validation!E1686,Lists!G:G,0))</f>
        <v>Error</v>
      </c>
      <c r="G1686" t="str">
        <f>INDEX(Lists!H:H,MATCH(Validation!E1686,Lists!G:G,0))</f>
        <v>Amount may not be negative. Enter an amount greater than or equal to zero.</v>
      </c>
      <c r="H1686" s="25" t="str">
        <f t="shared" ca="1" si="207"/>
        <v/>
      </c>
      <c r="I1686" s="25" t="str">
        <f t="shared" ca="1" si="208"/>
        <v/>
      </c>
      <c r="J1686" s="26" t="str">
        <f t="shared" ca="1" si="209"/>
        <v/>
      </c>
    </row>
    <row r="1687" spans="1:10" x14ac:dyDescent="0.25">
      <c r="A1687" t="s">
        <v>304</v>
      </c>
      <c r="B1687" t="str">
        <f>ADDRESS(ROW('Bond 1'!$B$30),COLUMN('Bond 1'!$B$30),4)</f>
        <v>B30</v>
      </c>
      <c r="C1687" t="str">
        <f>ADDRESS(ROW('Bond 1'!$D$30),COLUMN('Bond 1'!$D$30),4)</f>
        <v>D30</v>
      </c>
      <c r="D1687" t="b" cm="1">
        <f t="array" aca="1" ref="D1687" ca="1">IF(INDIRECT("'"&amp;A1687&amp;"'!"&amp;B1687)="",FALSE,IF(INDIRECT("'"&amp;A1687&amp;"'!"&amp;B1687)&lt;0,TRUE,FALSE))</f>
        <v>0</v>
      </c>
      <c r="E1687" t="s">
        <v>434</v>
      </c>
      <c r="F1687" t="str">
        <f>INDEX(Lists!I:I,MATCH(Validation!E1687,Lists!G:G,0))</f>
        <v>Error</v>
      </c>
      <c r="G1687" t="str">
        <f>INDEX(Lists!H:H,MATCH(Validation!E1687,Lists!G:G,0))</f>
        <v>Amount may not be negative. Enter an amount greater than or equal to zero.</v>
      </c>
      <c r="H1687" s="25" t="str">
        <f t="shared" ca="1" si="207"/>
        <v/>
      </c>
      <c r="I1687" s="25" t="str">
        <f t="shared" ca="1" si="208"/>
        <v/>
      </c>
      <c r="J1687" s="26" t="str">
        <f t="shared" ca="1" si="209"/>
        <v/>
      </c>
    </row>
    <row r="1688" spans="1:10" x14ac:dyDescent="0.25">
      <c r="A1688" t="s">
        <v>305</v>
      </c>
      <c r="B1688" t="str">
        <f>ADDRESS(ROW('Bond 1'!$B$30),COLUMN('Bond 1'!$B$30),4)</f>
        <v>B30</v>
      </c>
      <c r="C1688" t="str">
        <f>ADDRESS(ROW('Bond 1'!$D$30),COLUMN('Bond 1'!$D$30),4)</f>
        <v>D30</v>
      </c>
      <c r="D1688" t="b" cm="1">
        <f t="array" aca="1" ref="D1688" ca="1">IF(INDIRECT("'"&amp;A1688&amp;"'!"&amp;B1688)="",FALSE,IF(INDIRECT("'"&amp;A1688&amp;"'!"&amp;B1688)&lt;0,TRUE,FALSE))</f>
        <v>0</v>
      </c>
      <c r="E1688" t="s">
        <v>434</v>
      </c>
      <c r="F1688" t="str">
        <f>INDEX(Lists!I:I,MATCH(Validation!E1688,Lists!G:G,0))</f>
        <v>Error</v>
      </c>
      <c r="G1688" t="str">
        <f>INDEX(Lists!H:H,MATCH(Validation!E1688,Lists!G:G,0))</f>
        <v>Amount may not be negative. Enter an amount greater than or equal to zero.</v>
      </c>
      <c r="H1688" s="25" t="str">
        <f t="shared" ca="1" si="207"/>
        <v/>
      </c>
      <c r="I1688" s="25" t="str">
        <f t="shared" ca="1" si="208"/>
        <v/>
      </c>
      <c r="J1688" s="26" t="str">
        <f t="shared" ca="1" si="209"/>
        <v/>
      </c>
    </row>
    <row r="1689" spans="1:10" x14ac:dyDescent="0.25">
      <c r="A1689" t="s">
        <v>306</v>
      </c>
      <c r="B1689" t="str">
        <f>ADDRESS(ROW('Bond 1'!$B$30),COLUMN('Bond 1'!$B$30),4)</f>
        <v>B30</v>
      </c>
      <c r="C1689" t="str">
        <f>ADDRESS(ROW('Bond 1'!$D$30),COLUMN('Bond 1'!$D$30),4)</f>
        <v>D30</v>
      </c>
      <c r="D1689" t="b" cm="1">
        <f t="array" aca="1" ref="D1689" ca="1">IF(INDIRECT("'"&amp;A1689&amp;"'!"&amp;B1689)="",FALSE,IF(INDIRECT("'"&amp;A1689&amp;"'!"&amp;B1689)&lt;0,TRUE,FALSE))</f>
        <v>0</v>
      </c>
      <c r="E1689" t="s">
        <v>434</v>
      </c>
      <c r="F1689" t="str">
        <f>INDEX(Lists!I:I,MATCH(Validation!E1689,Lists!G:G,0))</f>
        <v>Error</v>
      </c>
      <c r="G1689" t="str">
        <f>INDEX(Lists!H:H,MATCH(Validation!E1689,Lists!G:G,0))</f>
        <v>Amount may not be negative. Enter an amount greater than or equal to zero.</v>
      </c>
      <c r="H1689" s="25" t="str">
        <f t="shared" ca="1" si="207"/>
        <v/>
      </c>
      <c r="I1689" s="25" t="str">
        <f t="shared" ca="1" si="208"/>
        <v/>
      </c>
      <c r="J1689" s="26" t="str">
        <f t="shared" ca="1" si="209"/>
        <v/>
      </c>
    </row>
    <row r="1690" spans="1:10" x14ac:dyDescent="0.25">
      <c r="A1690" t="s">
        <v>307</v>
      </c>
      <c r="B1690" t="str">
        <f>ADDRESS(ROW('Bond 1'!$B$30),COLUMN('Bond 1'!$B$30),4)</f>
        <v>B30</v>
      </c>
      <c r="C1690" t="str">
        <f>ADDRESS(ROW('Bond 1'!$D$30),COLUMN('Bond 1'!$D$30),4)</f>
        <v>D30</v>
      </c>
      <c r="D1690" t="b" cm="1">
        <f t="array" aca="1" ref="D1690" ca="1">IF(INDIRECT("'"&amp;A1690&amp;"'!"&amp;B1690)="",FALSE,IF(INDIRECT("'"&amp;A1690&amp;"'!"&amp;B1690)&lt;0,TRUE,FALSE))</f>
        <v>0</v>
      </c>
      <c r="E1690" t="s">
        <v>434</v>
      </c>
      <c r="F1690" t="str">
        <f>INDEX(Lists!I:I,MATCH(Validation!E1690,Lists!G:G,0))</f>
        <v>Error</v>
      </c>
      <c r="G1690" t="str">
        <f>INDEX(Lists!H:H,MATCH(Validation!E1690,Lists!G:G,0))</f>
        <v>Amount may not be negative. Enter an amount greater than or equal to zero.</v>
      </c>
      <c r="H1690" s="25" t="str">
        <f t="shared" ca="1" si="207"/>
        <v/>
      </c>
      <c r="I1690" s="25" t="str">
        <f t="shared" ca="1" si="208"/>
        <v/>
      </c>
      <c r="J1690" s="26" t="str">
        <f t="shared" ca="1" si="209"/>
        <v/>
      </c>
    </row>
    <row r="1691" spans="1:10" x14ac:dyDescent="0.25">
      <c r="A1691" t="s">
        <v>308</v>
      </c>
      <c r="B1691" t="str">
        <f>ADDRESS(ROW('Bond 1'!$B$30),COLUMN('Bond 1'!$B$30),4)</f>
        <v>B30</v>
      </c>
      <c r="C1691" t="str">
        <f>ADDRESS(ROW('Bond 1'!$D$30),COLUMN('Bond 1'!$D$30),4)</f>
        <v>D30</v>
      </c>
      <c r="D1691" t="b" cm="1">
        <f t="array" aca="1" ref="D1691" ca="1">IF(INDIRECT("'"&amp;A1691&amp;"'!"&amp;B1691)="",FALSE,IF(INDIRECT("'"&amp;A1691&amp;"'!"&amp;B1691)&lt;0,TRUE,FALSE))</f>
        <v>0</v>
      </c>
      <c r="E1691" t="s">
        <v>434</v>
      </c>
      <c r="F1691" t="str">
        <f>INDEX(Lists!I:I,MATCH(Validation!E1691,Lists!G:G,0))</f>
        <v>Error</v>
      </c>
      <c r="G1691" t="str">
        <f>INDEX(Lists!H:H,MATCH(Validation!E1691,Lists!G:G,0))</f>
        <v>Amount may not be negative. Enter an amount greater than or equal to zero.</v>
      </c>
      <c r="H1691" s="25" t="str">
        <f t="shared" ca="1" si="207"/>
        <v/>
      </c>
      <c r="I1691" s="25" t="str">
        <f t="shared" ca="1" si="208"/>
        <v/>
      </c>
      <c r="J1691" s="26" t="str">
        <f t="shared" ca="1" si="209"/>
        <v/>
      </c>
    </row>
    <row r="1692" spans="1:10" x14ac:dyDescent="0.25">
      <c r="A1692" t="s">
        <v>309</v>
      </c>
      <c r="B1692" t="str">
        <f>ADDRESS(ROW('Bond 1'!$B$30),COLUMN('Bond 1'!$B$30),4)</f>
        <v>B30</v>
      </c>
      <c r="C1692" t="str">
        <f>ADDRESS(ROW('Bond 1'!$D$30),COLUMN('Bond 1'!$D$30),4)</f>
        <v>D30</v>
      </c>
      <c r="D1692" t="b" cm="1">
        <f t="array" aca="1" ref="D1692" ca="1">IF(INDIRECT("'"&amp;A1692&amp;"'!"&amp;B1692)="",FALSE,IF(INDIRECT("'"&amp;A1692&amp;"'!"&amp;B1692)&lt;0,TRUE,FALSE))</f>
        <v>0</v>
      </c>
      <c r="E1692" t="s">
        <v>434</v>
      </c>
      <c r="F1692" t="str">
        <f>INDEX(Lists!I:I,MATCH(Validation!E1692,Lists!G:G,0))</f>
        <v>Error</v>
      </c>
      <c r="G1692" t="str">
        <f>INDEX(Lists!H:H,MATCH(Validation!E1692,Lists!G:G,0))</f>
        <v>Amount may not be negative. Enter an amount greater than or equal to zero.</v>
      </c>
      <c r="H1692" s="25" t="str">
        <f t="shared" ca="1" si="207"/>
        <v/>
      </c>
      <c r="I1692" s="25" t="str">
        <f t="shared" ca="1" si="208"/>
        <v/>
      </c>
      <c r="J1692" s="26" t="str">
        <f t="shared" ca="1" si="209"/>
        <v/>
      </c>
    </row>
    <row r="1693" spans="1:10" x14ac:dyDescent="0.25">
      <c r="A1693" t="s">
        <v>310</v>
      </c>
      <c r="B1693" t="str">
        <f>ADDRESS(ROW('Bond 1'!$B$30),COLUMN('Bond 1'!$B$30),4)</f>
        <v>B30</v>
      </c>
      <c r="C1693" t="str">
        <f>ADDRESS(ROW('Bond 1'!$D$30),COLUMN('Bond 1'!$D$30),4)</f>
        <v>D30</v>
      </c>
      <c r="D1693" t="b" cm="1">
        <f t="array" aca="1" ref="D1693" ca="1">IF(INDIRECT("'"&amp;A1693&amp;"'!"&amp;B1693)="",FALSE,IF(INDIRECT("'"&amp;A1693&amp;"'!"&amp;B1693)&lt;0,TRUE,FALSE))</f>
        <v>0</v>
      </c>
      <c r="E1693" t="s">
        <v>434</v>
      </c>
      <c r="F1693" t="str">
        <f>INDEX(Lists!I:I,MATCH(Validation!E1693,Lists!G:G,0))</f>
        <v>Error</v>
      </c>
      <c r="G1693" t="str">
        <f>INDEX(Lists!H:H,MATCH(Validation!E1693,Lists!G:G,0))</f>
        <v>Amount may not be negative. Enter an amount greater than or equal to zero.</v>
      </c>
      <c r="H1693" s="25" t="str">
        <f t="shared" ca="1" si="207"/>
        <v/>
      </c>
      <c r="I1693" s="25" t="str">
        <f t="shared" ca="1" si="208"/>
        <v/>
      </c>
      <c r="J1693" s="26" t="str">
        <f t="shared" ca="1" si="209"/>
        <v/>
      </c>
    </row>
    <row r="1694" spans="1:10" x14ac:dyDescent="0.25">
      <c r="A1694" t="s">
        <v>311</v>
      </c>
      <c r="B1694" t="str">
        <f>ADDRESS(ROW('Bond 1'!$B$30),COLUMN('Bond 1'!$B$30),4)</f>
        <v>B30</v>
      </c>
      <c r="C1694" t="str">
        <f>ADDRESS(ROW('Bond 1'!$D$30),COLUMN('Bond 1'!$D$30),4)</f>
        <v>D30</v>
      </c>
      <c r="D1694" t="b" cm="1">
        <f t="array" aca="1" ref="D1694" ca="1">IF(INDIRECT("'"&amp;A1694&amp;"'!"&amp;B1694)="",FALSE,IF(INDIRECT("'"&amp;A1694&amp;"'!"&amp;B1694)&lt;0,TRUE,FALSE))</f>
        <v>0</v>
      </c>
      <c r="E1694" t="s">
        <v>434</v>
      </c>
      <c r="F1694" t="str">
        <f>INDEX(Lists!I:I,MATCH(Validation!E1694,Lists!G:G,0))</f>
        <v>Error</v>
      </c>
      <c r="G1694" t="str">
        <f>INDEX(Lists!H:H,MATCH(Validation!E1694,Lists!G:G,0))</f>
        <v>Amount may not be negative. Enter an amount greater than or equal to zero.</v>
      </c>
      <c r="H1694" s="25" t="str">
        <f t="shared" ca="1" si="207"/>
        <v/>
      </c>
      <c r="I1694" s="25" t="str">
        <f t="shared" ca="1" si="208"/>
        <v/>
      </c>
      <c r="J1694" s="26" t="str">
        <f t="shared" ca="1" si="209"/>
        <v/>
      </c>
    </row>
    <row r="1695" spans="1:10" x14ac:dyDescent="0.25">
      <c r="A1695" t="s">
        <v>312</v>
      </c>
      <c r="B1695" t="str">
        <f>ADDRESS(ROW('Bond 1'!$B$30),COLUMN('Bond 1'!$B$30),4)</f>
        <v>B30</v>
      </c>
      <c r="C1695" t="str">
        <f>ADDRESS(ROW('Bond 1'!$D$30),COLUMN('Bond 1'!$D$30),4)</f>
        <v>D30</v>
      </c>
      <c r="D1695" t="b" cm="1">
        <f t="array" aca="1" ref="D1695" ca="1">IF(INDIRECT("'"&amp;A1695&amp;"'!"&amp;B1695)="",FALSE,IF(INDIRECT("'"&amp;A1695&amp;"'!"&amp;B1695)&lt;0,TRUE,FALSE))</f>
        <v>0</v>
      </c>
      <c r="E1695" t="s">
        <v>434</v>
      </c>
      <c r="F1695" t="str">
        <f>INDEX(Lists!I:I,MATCH(Validation!E1695,Lists!G:G,0))</f>
        <v>Error</v>
      </c>
      <c r="G1695" t="str">
        <f>INDEX(Lists!H:H,MATCH(Validation!E1695,Lists!G:G,0))</f>
        <v>Amount may not be negative. Enter an amount greater than or equal to zero.</v>
      </c>
      <c r="H1695" s="25" t="str">
        <f t="shared" ca="1" si="207"/>
        <v/>
      </c>
      <c r="I1695" s="25" t="str">
        <f t="shared" ca="1" si="208"/>
        <v/>
      </c>
      <c r="J1695" s="26" t="str">
        <f t="shared" ca="1" si="209"/>
        <v/>
      </c>
    </row>
    <row r="1696" spans="1:10" x14ac:dyDescent="0.25">
      <c r="A1696" t="s">
        <v>313</v>
      </c>
      <c r="B1696" t="str">
        <f>ADDRESS(ROW('Bond 1'!$B$30),COLUMN('Bond 1'!$B$30),4)</f>
        <v>B30</v>
      </c>
      <c r="C1696" t="str">
        <f>ADDRESS(ROW('Bond 1'!$D$30),COLUMN('Bond 1'!$D$30),4)</f>
        <v>D30</v>
      </c>
      <c r="D1696" t="b" cm="1">
        <f t="array" aca="1" ref="D1696" ca="1">IF(INDIRECT("'"&amp;A1696&amp;"'!"&amp;B1696)="",FALSE,IF(INDIRECT("'"&amp;A1696&amp;"'!"&amp;B1696)&lt;0,TRUE,FALSE))</f>
        <v>0</v>
      </c>
      <c r="E1696" t="s">
        <v>434</v>
      </c>
      <c r="F1696" t="str">
        <f>INDEX(Lists!I:I,MATCH(Validation!E1696,Lists!G:G,0))</f>
        <v>Error</v>
      </c>
      <c r="G1696" t="str">
        <f>INDEX(Lists!H:H,MATCH(Validation!E1696,Lists!G:G,0))</f>
        <v>Amount may not be negative. Enter an amount greater than or equal to zero.</v>
      </c>
      <c r="H1696" s="25" t="str">
        <f t="shared" ca="1" si="207"/>
        <v/>
      </c>
      <c r="I1696" s="25" t="str">
        <f t="shared" ca="1" si="208"/>
        <v/>
      </c>
      <c r="J1696" s="26" t="str">
        <f t="shared" ca="1" si="209"/>
        <v/>
      </c>
    </row>
    <row r="1697" spans="1:10" x14ac:dyDescent="0.25">
      <c r="A1697" t="s">
        <v>314</v>
      </c>
      <c r="B1697" t="str">
        <f>ADDRESS(ROW('Bond 1'!$B$30),COLUMN('Bond 1'!$B$30),4)</f>
        <v>B30</v>
      </c>
      <c r="C1697" t="str">
        <f>ADDRESS(ROW('Bond 1'!$D$30),COLUMN('Bond 1'!$D$30),4)</f>
        <v>D30</v>
      </c>
      <c r="D1697" t="b" cm="1">
        <f t="array" aca="1" ref="D1697" ca="1">IF(INDIRECT("'"&amp;A1697&amp;"'!"&amp;B1697)="",FALSE,IF(INDIRECT("'"&amp;A1697&amp;"'!"&amp;B1697)&lt;0,TRUE,FALSE))</f>
        <v>0</v>
      </c>
      <c r="E1697" t="s">
        <v>434</v>
      </c>
      <c r="F1697" t="str">
        <f>INDEX(Lists!I:I,MATCH(Validation!E1697,Lists!G:G,0))</f>
        <v>Error</v>
      </c>
      <c r="G1697" t="str">
        <f>INDEX(Lists!H:H,MATCH(Validation!E1697,Lists!G:G,0))</f>
        <v>Amount may not be negative. Enter an amount greater than or equal to zero.</v>
      </c>
      <c r="H1697" s="25" t="str">
        <f t="shared" ca="1" si="207"/>
        <v/>
      </c>
      <c r="I1697" s="25" t="str">
        <f t="shared" ca="1" si="208"/>
        <v/>
      </c>
      <c r="J1697" s="26" t="str">
        <f t="shared" ca="1" si="209"/>
        <v/>
      </c>
    </row>
    <row r="1698" spans="1:10" x14ac:dyDescent="0.25">
      <c r="A1698" t="s">
        <v>315</v>
      </c>
      <c r="B1698" t="str">
        <f>ADDRESS(ROW('Bond 1'!$B$30),COLUMN('Bond 1'!$B$30),4)</f>
        <v>B30</v>
      </c>
      <c r="C1698" t="str">
        <f>ADDRESS(ROW('Bond 1'!$D$30),COLUMN('Bond 1'!$D$30),4)</f>
        <v>D30</v>
      </c>
      <c r="D1698" t="b" cm="1">
        <f t="array" aca="1" ref="D1698" ca="1">IF(INDIRECT("'"&amp;A1698&amp;"'!"&amp;B1698)="",FALSE,IF(INDIRECT("'"&amp;A1698&amp;"'!"&amp;B1698)&lt;0,TRUE,FALSE))</f>
        <v>0</v>
      </c>
      <c r="E1698" t="s">
        <v>434</v>
      </c>
      <c r="F1698" t="str">
        <f>INDEX(Lists!I:I,MATCH(Validation!E1698,Lists!G:G,0))</f>
        <v>Error</v>
      </c>
      <c r="G1698" t="str">
        <f>INDEX(Lists!H:H,MATCH(Validation!E1698,Lists!G:G,0))</f>
        <v>Amount may not be negative. Enter an amount greater than or equal to zero.</v>
      </c>
      <c r="H1698" s="25" t="str">
        <f t="shared" ca="1" si="207"/>
        <v/>
      </c>
      <c r="I1698" s="25" t="str">
        <f t="shared" ca="1" si="208"/>
        <v/>
      </c>
      <c r="J1698" s="26" t="str">
        <f t="shared" ca="1" si="209"/>
        <v/>
      </c>
    </row>
    <row r="1699" spans="1:10" x14ac:dyDescent="0.25">
      <c r="A1699" t="s">
        <v>198</v>
      </c>
      <c r="B1699" t="str">
        <f>ADDRESS(ROW('Bond 1'!$B$30),COLUMN('Bond 1'!$B$30),4)</f>
        <v>B30</v>
      </c>
      <c r="C1699" t="str">
        <f>ADDRESS(ROW('Bond 1'!$D$30),COLUMN('Bond 1'!$D$30),4)</f>
        <v>D30</v>
      </c>
      <c r="D1699" t="b" cm="1">
        <f t="array" aca="1" ref="D1699" ca="1">IF(INDIRECT("'"&amp;A1699&amp;"'!"&amp;B1699)="",FALSE,IF(TRUNC(INDIRECT("'"&amp;A1699&amp;"'!"&amp;B1699))=INDIRECT("'"&amp;A1699&amp;"'!"&amp;B1699),FALSE,TRUE))</f>
        <v>0</v>
      </c>
      <c r="E1699" t="s">
        <v>436</v>
      </c>
      <c r="F1699" t="str">
        <f>INDEX(Lists!I:I,MATCH(Validation!E1699,Lists!G:G,0))</f>
        <v>Error</v>
      </c>
      <c r="G1699" t="str">
        <f>INDEX(Lists!H:H,MATCH(Validation!E1699,Lists!G:G,0))</f>
        <v>Amount must be rounded to the nearest dollar.</v>
      </c>
      <c r="H1699" s="25" t="str">
        <f t="shared" ca="1" si="207"/>
        <v/>
      </c>
      <c r="I1699" s="25" t="str">
        <f t="shared" ca="1" si="208"/>
        <v/>
      </c>
      <c r="J1699" s="26" t="str">
        <f t="shared" ca="1" si="209"/>
        <v/>
      </c>
    </row>
    <row r="1700" spans="1:10" x14ac:dyDescent="0.25">
      <c r="A1700" t="s">
        <v>302</v>
      </c>
      <c r="B1700" t="str">
        <f>ADDRESS(ROW('Bond 1'!$B$30),COLUMN('Bond 1'!$B$30),4)</f>
        <v>B30</v>
      </c>
      <c r="C1700" t="str">
        <f>ADDRESS(ROW('Bond 1'!$D$30),COLUMN('Bond 1'!$D$30),4)</f>
        <v>D30</v>
      </c>
      <c r="D1700" t="b" cm="1">
        <f t="array" aca="1" ref="D1700" ca="1">IF(INDIRECT("'"&amp;A1700&amp;"'!"&amp;B1700)="",FALSE,IF(TRUNC(INDIRECT("'"&amp;A1700&amp;"'!"&amp;B1700))=INDIRECT("'"&amp;A1700&amp;"'!"&amp;B1700),FALSE,TRUE))</f>
        <v>0</v>
      </c>
      <c r="E1700" t="s">
        <v>436</v>
      </c>
      <c r="F1700" t="str">
        <f>INDEX(Lists!I:I,MATCH(Validation!E1700,Lists!G:G,0))</f>
        <v>Error</v>
      </c>
      <c r="G1700" t="str">
        <f>INDEX(Lists!H:H,MATCH(Validation!E1700,Lists!G:G,0))</f>
        <v>Amount must be rounded to the nearest dollar.</v>
      </c>
      <c r="H1700" s="25" t="str">
        <f t="shared" ca="1" si="207"/>
        <v/>
      </c>
      <c r="I1700" s="25" t="str">
        <f t="shared" ca="1" si="208"/>
        <v/>
      </c>
      <c r="J1700" s="26" t="str">
        <f t="shared" ca="1" si="209"/>
        <v/>
      </c>
    </row>
    <row r="1701" spans="1:10" x14ac:dyDescent="0.25">
      <c r="A1701" t="s">
        <v>303</v>
      </c>
      <c r="B1701" t="str">
        <f>ADDRESS(ROW('Bond 1'!$B$30),COLUMN('Bond 1'!$B$30),4)</f>
        <v>B30</v>
      </c>
      <c r="C1701" t="str">
        <f>ADDRESS(ROW('Bond 1'!$D$30),COLUMN('Bond 1'!$D$30),4)</f>
        <v>D30</v>
      </c>
      <c r="D1701" t="b" cm="1">
        <f t="array" aca="1" ref="D1701" ca="1">IF(INDIRECT("'"&amp;A1701&amp;"'!"&amp;B1701)="",FALSE,IF(TRUNC(INDIRECT("'"&amp;A1701&amp;"'!"&amp;B1701))=INDIRECT("'"&amp;A1701&amp;"'!"&amp;B1701),FALSE,TRUE))</f>
        <v>0</v>
      </c>
      <c r="E1701" t="s">
        <v>436</v>
      </c>
      <c r="F1701" t="str">
        <f>INDEX(Lists!I:I,MATCH(Validation!E1701,Lists!G:G,0))</f>
        <v>Error</v>
      </c>
      <c r="G1701" t="str">
        <f>INDEX(Lists!H:H,MATCH(Validation!E1701,Lists!G:G,0))</f>
        <v>Amount must be rounded to the nearest dollar.</v>
      </c>
      <c r="H1701" s="25" t="str">
        <f t="shared" ca="1" si="207"/>
        <v/>
      </c>
      <c r="I1701" s="25" t="str">
        <f t="shared" ca="1" si="208"/>
        <v/>
      </c>
      <c r="J1701" s="26" t="str">
        <f t="shared" ca="1" si="209"/>
        <v/>
      </c>
    </row>
    <row r="1702" spans="1:10" x14ac:dyDescent="0.25">
      <c r="A1702" t="s">
        <v>304</v>
      </c>
      <c r="B1702" t="str">
        <f>ADDRESS(ROW('Bond 1'!$B$30),COLUMN('Bond 1'!$B$30),4)</f>
        <v>B30</v>
      </c>
      <c r="C1702" t="str">
        <f>ADDRESS(ROW('Bond 1'!$D$30),COLUMN('Bond 1'!$D$30),4)</f>
        <v>D30</v>
      </c>
      <c r="D1702" t="b" cm="1">
        <f t="array" aca="1" ref="D1702" ca="1">IF(INDIRECT("'"&amp;A1702&amp;"'!"&amp;B1702)="",FALSE,IF(TRUNC(INDIRECT("'"&amp;A1702&amp;"'!"&amp;B1702))=INDIRECT("'"&amp;A1702&amp;"'!"&amp;B1702),FALSE,TRUE))</f>
        <v>0</v>
      </c>
      <c r="E1702" t="s">
        <v>436</v>
      </c>
      <c r="F1702" t="str">
        <f>INDEX(Lists!I:I,MATCH(Validation!E1702,Lists!G:G,0))</f>
        <v>Error</v>
      </c>
      <c r="G1702" t="str">
        <f>INDEX(Lists!H:H,MATCH(Validation!E1702,Lists!G:G,0))</f>
        <v>Amount must be rounded to the nearest dollar.</v>
      </c>
      <c r="H1702" s="25" t="str">
        <f t="shared" ca="1" si="207"/>
        <v/>
      </c>
      <c r="I1702" s="25" t="str">
        <f t="shared" ca="1" si="208"/>
        <v/>
      </c>
      <c r="J1702" s="26" t="str">
        <f t="shared" ca="1" si="209"/>
        <v/>
      </c>
    </row>
    <row r="1703" spans="1:10" x14ac:dyDescent="0.25">
      <c r="A1703" t="s">
        <v>305</v>
      </c>
      <c r="B1703" t="str">
        <f>ADDRESS(ROW('Bond 1'!$B$30),COLUMN('Bond 1'!$B$30),4)</f>
        <v>B30</v>
      </c>
      <c r="C1703" t="str">
        <f>ADDRESS(ROW('Bond 1'!$D$30),COLUMN('Bond 1'!$D$30),4)</f>
        <v>D30</v>
      </c>
      <c r="D1703" t="b" cm="1">
        <f t="array" aca="1" ref="D1703" ca="1">IF(INDIRECT("'"&amp;A1703&amp;"'!"&amp;B1703)="",FALSE,IF(TRUNC(INDIRECT("'"&amp;A1703&amp;"'!"&amp;B1703))=INDIRECT("'"&amp;A1703&amp;"'!"&amp;B1703),FALSE,TRUE))</f>
        <v>0</v>
      </c>
      <c r="E1703" t="s">
        <v>436</v>
      </c>
      <c r="F1703" t="str">
        <f>INDEX(Lists!I:I,MATCH(Validation!E1703,Lists!G:G,0))</f>
        <v>Error</v>
      </c>
      <c r="G1703" t="str">
        <f>INDEX(Lists!H:H,MATCH(Validation!E1703,Lists!G:G,0))</f>
        <v>Amount must be rounded to the nearest dollar.</v>
      </c>
      <c r="H1703" s="25" t="str">
        <f t="shared" ca="1" si="207"/>
        <v/>
      </c>
      <c r="I1703" s="25" t="str">
        <f t="shared" ca="1" si="208"/>
        <v/>
      </c>
      <c r="J1703" s="26" t="str">
        <f t="shared" ca="1" si="209"/>
        <v/>
      </c>
    </row>
    <row r="1704" spans="1:10" x14ac:dyDescent="0.25">
      <c r="A1704" t="s">
        <v>306</v>
      </c>
      <c r="B1704" t="str">
        <f>ADDRESS(ROW('Bond 1'!$B$30),COLUMN('Bond 1'!$B$30),4)</f>
        <v>B30</v>
      </c>
      <c r="C1704" t="str">
        <f>ADDRESS(ROW('Bond 1'!$D$30),COLUMN('Bond 1'!$D$30),4)</f>
        <v>D30</v>
      </c>
      <c r="D1704" t="b" cm="1">
        <f t="array" aca="1" ref="D1704" ca="1">IF(INDIRECT("'"&amp;A1704&amp;"'!"&amp;B1704)="",FALSE,IF(TRUNC(INDIRECT("'"&amp;A1704&amp;"'!"&amp;B1704))=INDIRECT("'"&amp;A1704&amp;"'!"&amp;B1704),FALSE,TRUE))</f>
        <v>0</v>
      </c>
      <c r="E1704" t="s">
        <v>436</v>
      </c>
      <c r="F1704" t="str">
        <f>INDEX(Lists!I:I,MATCH(Validation!E1704,Lists!G:G,0))</f>
        <v>Error</v>
      </c>
      <c r="G1704" t="str">
        <f>INDEX(Lists!H:H,MATCH(Validation!E1704,Lists!G:G,0))</f>
        <v>Amount must be rounded to the nearest dollar.</v>
      </c>
      <c r="H1704" s="25" t="str">
        <f t="shared" ca="1" si="207"/>
        <v/>
      </c>
      <c r="I1704" s="25" t="str">
        <f t="shared" ca="1" si="208"/>
        <v/>
      </c>
      <c r="J1704" s="26" t="str">
        <f t="shared" ca="1" si="209"/>
        <v/>
      </c>
    </row>
    <row r="1705" spans="1:10" x14ac:dyDescent="0.25">
      <c r="A1705" t="s">
        <v>307</v>
      </c>
      <c r="B1705" t="str">
        <f>ADDRESS(ROW('Bond 1'!$B$30),COLUMN('Bond 1'!$B$30),4)</f>
        <v>B30</v>
      </c>
      <c r="C1705" t="str">
        <f>ADDRESS(ROW('Bond 1'!$D$30),COLUMN('Bond 1'!$D$30),4)</f>
        <v>D30</v>
      </c>
      <c r="D1705" t="b" cm="1">
        <f t="array" aca="1" ref="D1705" ca="1">IF(INDIRECT("'"&amp;A1705&amp;"'!"&amp;B1705)="",FALSE,IF(TRUNC(INDIRECT("'"&amp;A1705&amp;"'!"&amp;B1705))=INDIRECT("'"&amp;A1705&amp;"'!"&amp;B1705),FALSE,TRUE))</f>
        <v>0</v>
      </c>
      <c r="E1705" t="s">
        <v>436</v>
      </c>
      <c r="F1705" t="str">
        <f>INDEX(Lists!I:I,MATCH(Validation!E1705,Lists!G:G,0))</f>
        <v>Error</v>
      </c>
      <c r="G1705" t="str">
        <f>INDEX(Lists!H:H,MATCH(Validation!E1705,Lists!G:G,0))</f>
        <v>Amount must be rounded to the nearest dollar.</v>
      </c>
      <c r="H1705" s="25" t="str">
        <f t="shared" ca="1" si="207"/>
        <v/>
      </c>
      <c r="I1705" s="25" t="str">
        <f t="shared" ca="1" si="208"/>
        <v/>
      </c>
      <c r="J1705" s="26" t="str">
        <f t="shared" ca="1" si="209"/>
        <v/>
      </c>
    </row>
    <row r="1706" spans="1:10" x14ac:dyDescent="0.25">
      <c r="A1706" t="s">
        <v>308</v>
      </c>
      <c r="B1706" t="str">
        <f>ADDRESS(ROW('Bond 1'!$B$30),COLUMN('Bond 1'!$B$30),4)</f>
        <v>B30</v>
      </c>
      <c r="C1706" t="str">
        <f>ADDRESS(ROW('Bond 1'!$D$30),COLUMN('Bond 1'!$D$30),4)</f>
        <v>D30</v>
      </c>
      <c r="D1706" t="b" cm="1">
        <f t="array" aca="1" ref="D1706" ca="1">IF(INDIRECT("'"&amp;A1706&amp;"'!"&amp;B1706)="",FALSE,IF(TRUNC(INDIRECT("'"&amp;A1706&amp;"'!"&amp;B1706))=INDIRECT("'"&amp;A1706&amp;"'!"&amp;B1706),FALSE,TRUE))</f>
        <v>0</v>
      </c>
      <c r="E1706" t="s">
        <v>436</v>
      </c>
      <c r="F1706" t="str">
        <f>INDEX(Lists!I:I,MATCH(Validation!E1706,Lists!G:G,0))</f>
        <v>Error</v>
      </c>
      <c r="G1706" t="str">
        <f>INDEX(Lists!H:H,MATCH(Validation!E1706,Lists!G:G,0))</f>
        <v>Amount must be rounded to the nearest dollar.</v>
      </c>
      <c r="H1706" s="25" t="str">
        <f t="shared" ca="1" si="207"/>
        <v/>
      </c>
      <c r="I1706" s="25" t="str">
        <f t="shared" ca="1" si="208"/>
        <v/>
      </c>
      <c r="J1706" s="26" t="str">
        <f t="shared" ca="1" si="209"/>
        <v/>
      </c>
    </row>
    <row r="1707" spans="1:10" x14ac:dyDescent="0.25">
      <c r="A1707" t="s">
        <v>309</v>
      </c>
      <c r="B1707" t="str">
        <f>ADDRESS(ROW('Bond 1'!$B$30),COLUMN('Bond 1'!$B$30),4)</f>
        <v>B30</v>
      </c>
      <c r="C1707" t="str">
        <f>ADDRESS(ROW('Bond 1'!$D$30),COLUMN('Bond 1'!$D$30),4)</f>
        <v>D30</v>
      </c>
      <c r="D1707" t="b" cm="1">
        <f t="array" aca="1" ref="D1707" ca="1">IF(INDIRECT("'"&amp;A1707&amp;"'!"&amp;B1707)="",FALSE,IF(TRUNC(INDIRECT("'"&amp;A1707&amp;"'!"&amp;B1707))=INDIRECT("'"&amp;A1707&amp;"'!"&amp;B1707),FALSE,TRUE))</f>
        <v>0</v>
      </c>
      <c r="E1707" t="s">
        <v>436</v>
      </c>
      <c r="F1707" t="str">
        <f>INDEX(Lists!I:I,MATCH(Validation!E1707,Lists!G:G,0))</f>
        <v>Error</v>
      </c>
      <c r="G1707" t="str">
        <f>INDEX(Lists!H:H,MATCH(Validation!E1707,Lists!G:G,0))</f>
        <v>Amount must be rounded to the nearest dollar.</v>
      </c>
      <c r="H1707" s="25" t="str">
        <f t="shared" ca="1" si="207"/>
        <v/>
      </c>
      <c r="I1707" s="25" t="str">
        <f t="shared" ca="1" si="208"/>
        <v/>
      </c>
      <c r="J1707" s="26" t="str">
        <f t="shared" ca="1" si="209"/>
        <v/>
      </c>
    </row>
    <row r="1708" spans="1:10" x14ac:dyDescent="0.25">
      <c r="A1708" t="s">
        <v>310</v>
      </c>
      <c r="B1708" t="str">
        <f>ADDRESS(ROW('Bond 1'!$B$30),COLUMN('Bond 1'!$B$30),4)</f>
        <v>B30</v>
      </c>
      <c r="C1708" t="str">
        <f>ADDRESS(ROW('Bond 1'!$D$30),COLUMN('Bond 1'!$D$30),4)</f>
        <v>D30</v>
      </c>
      <c r="D1708" t="b" cm="1">
        <f t="array" aca="1" ref="D1708" ca="1">IF(INDIRECT("'"&amp;A1708&amp;"'!"&amp;B1708)="",FALSE,IF(TRUNC(INDIRECT("'"&amp;A1708&amp;"'!"&amp;B1708))=INDIRECT("'"&amp;A1708&amp;"'!"&amp;B1708),FALSE,TRUE))</f>
        <v>0</v>
      </c>
      <c r="E1708" t="s">
        <v>436</v>
      </c>
      <c r="F1708" t="str">
        <f>INDEX(Lists!I:I,MATCH(Validation!E1708,Lists!G:G,0))</f>
        <v>Error</v>
      </c>
      <c r="G1708" t="str">
        <f>INDEX(Lists!H:H,MATCH(Validation!E1708,Lists!G:G,0))</f>
        <v>Amount must be rounded to the nearest dollar.</v>
      </c>
      <c r="H1708" s="25" t="str">
        <f t="shared" ca="1" si="207"/>
        <v/>
      </c>
      <c r="I1708" s="25" t="str">
        <f t="shared" ca="1" si="208"/>
        <v/>
      </c>
      <c r="J1708" s="26" t="str">
        <f t="shared" ca="1" si="209"/>
        <v/>
      </c>
    </row>
    <row r="1709" spans="1:10" x14ac:dyDescent="0.25">
      <c r="A1709" t="s">
        <v>311</v>
      </c>
      <c r="B1709" t="str">
        <f>ADDRESS(ROW('Bond 1'!$B$30),COLUMN('Bond 1'!$B$30),4)</f>
        <v>B30</v>
      </c>
      <c r="C1709" t="str">
        <f>ADDRESS(ROW('Bond 1'!$D$30),COLUMN('Bond 1'!$D$30),4)</f>
        <v>D30</v>
      </c>
      <c r="D1709" t="b" cm="1">
        <f t="array" aca="1" ref="D1709" ca="1">IF(INDIRECT("'"&amp;A1709&amp;"'!"&amp;B1709)="",FALSE,IF(TRUNC(INDIRECT("'"&amp;A1709&amp;"'!"&amp;B1709))=INDIRECT("'"&amp;A1709&amp;"'!"&amp;B1709),FALSE,TRUE))</f>
        <v>0</v>
      </c>
      <c r="E1709" t="s">
        <v>436</v>
      </c>
      <c r="F1709" t="str">
        <f>INDEX(Lists!I:I,MATCH(Validation!E1709,Lists!G:G,0))</f>
        <v>Error</v>
      </c>
      <c r="G1709" t="str">
        <f>INDEX(Lists!H:H,MATCH(Validation!E1709,Lists!G:G,0))</f>
        <v>Amount must be rounded to the nearest dollar.</v>
      </c>
      <c r="H1709" s="25" t="str">
        <f t="shared" ca="1" si="207"/>
        <v/>
      </c>
      <c r="I1709" s="25" t="str">
        <f t="shared" ca="1" si="208"/>
        <v/>
      </c>
      <c r="J1709" s="26" t="str">
        <f t="shared" ca="1" si="209"/>
        <v/>
      </c>
    </row>
    <row r="1710" spans="1:10" x14ac:dyDescent="0.25">
      <c r="A1710" t="s">
        <v>312</v>
      </c>
      <c r="B1710" t="str">
        <f>ADDRESS(ROW('Bond 1'!$B$30),COLUMN('Bond 1'!$B$30),4)</f>
        <v>B30</v>
      </c>
      <c r="C1710" t="str">
        <f>ADDRESS(ROW('Bond 1'!$D$30),COLUMN('Bond 1'!$D$30),4)</f>
        <v>D30</v>
      </c>
      <c r="D1710" t="b" cm="1">
        <f t="array" aca="1" ref="D1710" ca="1">IF(INDIRECT("'"&amp;A1710&amp;"'!"&amp;B1710)="",FALSE,IF(TRUNC(INDIRECT("'"&amp;A1710&amp;"'!"&amp;B1710))=INDIRECT("'"&amp;A1710&amp;"'!"&amp;B1710),FALSE,TRUE))</f>
        <v>0</v>
      </c>
      <c r="E1710" t="s">
        <v>436</v>
      </c>
      <c r="F1710" t="str">
        <f>INDEX(Lists!I:I,MATCH(Validation!E1710,Lists!G:G,0))</f>
        <v>Error</v>
      </c>
      <c r="G1710" t="str">
        <f>INDEX(Lists!H:H,MATCH(Validation!E1710,Lists!G:G,0))</f>
        <v>Amount must be rounded to the nearest dollar.</v>
      </c>
      <c r="H1710" s="25" t="str">
        <f t="shared" ca="1" si="207"/>
        <v/>
      </c>
      <c r="I1710" s="25" t="str">
        <f t="shared" ca="1" si="208"/>
        <v/>
      </c>
      <c r="J1710" s="26" t="str">
        <f t="shared" ca="1" si="209"/>
        <v/>
      </c>
    </row>
    <row r="1711" spans="1:10" x14ac:dyDescent="0.25">
      <c r="A1711" t="s">
        <v>313</v>
      </c>
      <c r="B1711" t="str">
        <f>ADDRESS(ROW('Bond 1'!$B$30),COLUMN('Bond 1'!$B$30),4)</f>
        <v>B30</v>
      </c>
      <c r="C1711" t="str">
        <f>ADDRESS(ROW('Bond 1'!$D$30),COLUMN('Bond 1'!$D$30),4)</f>
        <v>D30</v>
      </c>
      <c r="D1711" t="b" cm="1">
        <f t="array" aca="1" ref="D1711" ca="1">IF(INDIRECT("'"&amp;A1711&amp;"'!"&amp;B1711)="",FALSE,IF(TRUNC(INDIRECT("'"&amp;A1711&amp;"'!"&amp;B1711))=INDIRECT("'"&amp;A1711&amp;"'!"&amp;B1711),FALSE,TRUE))</f>
        <v>0</v>
      </c>
      <c r="E1711" t="s">
        <v>436</v>
      </c>
      <c r="F1711" t="str">
        <f>INDEX(Lists!I:I,MATCH(Validation!E1711,Lists!G:G,0))</f>
        <v>Error</v>
      </c>
      <c r="G1711" t="str">
        <f>INDEX(Lists!H:H,MATCH(Validation!E1711,Lists!G:G,0))</f>
        <v>Amount must be rounded to the nearest dollar.</v>
      </c>
      <c r="H1711" s="25" t="str">
        <f t="shared" ca="1" si="207"/>
        <v/>
      </c>
      <c r="I1711" s="25" t="str">
        <f t="shared" ca="1" si="208"/>
        <v/>
      </c>
      <c r="J1711" s="26" t="str">
        <f t="shared" ca="1" si="209"/>
        <v/>
      </c>
    </row>
    <row r="1712" spans="1:10" x14ac:dyDescent="0.25">
      <c r="A1712" t="s">
        <v>314</v>
      </c>
      <c r="B1712" t="str">
        <f>ADDRESS(ROW('Bond 1'!$B$30),COLUMN('Bond 1'!$B$30),4)</f>
        <v>B30</v>
      </c>
      <c r="C1712" t="str">
        <f>ADDRESS(ROW('Bond 1'!$D$30),COLUMN('Bond 1'!$D$30),4)</f>
        <v>D30</v>
      </c>
      <c r="D1712" t="b" cm="1">
        <f t="array" aca="1" ref="D1712" ca="1">IF(INDIRECT("'"&amp;A1712&amp;"'!"&amp;B1712)="",FALSE,IF(TRUNC(INDIRECT("'"&amp;A1712&amp;"'!"&amp;B1712))=INDIRECT("'"&amp;A1712&amp;"'!"&amp;B1712),FALSE,TRUE))</f>
        <v>0</v>
      </c>
      <c r="E1712" t="s">
        <v>436</v>
      </c>
      <c r="F1712" t="str">
        <f>INDEX(Lists!I:I,MATCH(Validation!E1712,Lists!G:G,0))</f>
        <v>Error</v>
      </c>
      <c r="G1712" t="str">
        <f>INDEX(Lists!H:H,MATCH(Validation!E1712,Lists!G:G,0))</f>
        <v>Amount must be rounded to the nearest dollar.</v>
      </c>
      <c r="H1712" s="25" t="str">
        <f t="shared" ca="1" si="207"/>
        <v/>
      </c>
      <c r="I1712" s="25" t="str">
        <f t="shared" ca="1" si="208"/>
        <v/>
      </c>
      <c r="J1712" s="26" t="str">
        <f t="shared" ca="1" si="209"/>
        <v/>
      </c>
    </row>
    <row r="1713" spans="1:10" x14ac:dyDescent="0.25">
      <c r="A1713" t="s">
        <v>315</v>
      </c>
      <c r="B1713" t="str">
        <f>ADDRESS(ROW('Bond 1'!$B$30),COLUMN('Bond 1'!$B$30),4)</f>
        <v>B30</v>
      </c>
      <c r="C1713" t="str">
        <f>ADDRESS(ROW('Bond 1'!$D$30),COLUMN('Bond 1'!$D$30),4)</f>
        <v>D30</v>
      </c>
      <c r="D1713" t="b" cm="1">
        <f t="array" aca="1" ref="D1713" ca="1">IF(INDIRECT("'"&amp;A1713&amp;"'!"&amp;B1713)="",FALSE,IF(TRUNC(INDIRECT("'"&amp;A1713&amp;"'!"&amp;B1713))=INDIRECT("'"&amp;A1713&amp;"'!"&amp;B1713),FALSE,TRUE))</f>
        <v>0</v>
      </c>
      <c r="E1713" t="s">
        <v>436</v>
      </c>
      <c r="F1713" t="str">
        <f>INDEX(Lists!I:I,MATCH(Validation!E1713,Lists!G:G,0))</f>
        <v>Error</v>
      </c>
      <c r="G1713" t="str">
        <f>INDEX(Lists!H:H,MATCH(Validation!E1713,Lists!G:G,0))</f>
        <v>Amount must be rounded to the nearest dollar.</v>
      </c>
      <c r="H1713" s="25" t="str">
        <f t="shared" ca="1" si="207"/>
        <v/>
      </c>
      <c r="I1713" s="25" t="str">
        <f t="shared" ca="1" si="208"/>
        <v/>
      </c>
      <c r="J1713" s="26" t="str">
        <f t="shared" ca="1" si="209"/>
        <v/>
      </c>
    </row>
    <row r="1714" spans="1:10" x14ac:dyDescent="0.25">
      <c r="A1714" t="s">
        <v>198</v>
      </c>
      <c r="B1714" t="str">
        <f>ADDRESS(ROW('Bond 1'!$B$30),COLUMN('Bond 1'!$B$30),4)</f>
        <v>B30</v>
      </c>
      <c r="C1714" t="str">
        <f>ADDRESS(ROW('Bond 1'!$D$30),COLUMN('Bond 1'!$D$30),4)</f>
        <v>D30</v>
      </c>
      <c r="D1714" t="b" cm="1">
        <f t="array" aca="1" ref="D1714" ca="1">IF(AND(NOT(ISBLANK('Bond Input'!C$35)),INDIRECT("'"&amp;A1714&amp;"'!"&amp;B1714)&lt;&gt;'Bond Input'!C$35),TRUE,FALSE)</f>
        <v>0</v>
      </c>
      <c r="E1714" t="s">
        <v>634</v>
      </c>
      <c r="F1714" t="str">
        <f>INDEX(Lists!I:I,MATCH(Validation!E1714,Lists!G:G,0))</f>
        <v>Alert</v>
      </c>
      <c r="G1714" t="str">
        <f>INDEX(Lists!H:H,MATCH(Validation!E1714,Lists!G:G,0))</f>
        <v>You have changed previously reported data. Explain in the comments box.</v>
      </c>
      <c r="H1714" s="25" t="str">
        <f t="shared" ca="1" si="207"/>
        <v/>
      </c>
      <c r="I1714" s="25" t="str">
        <f t="shared" ca="1" si="208"/>
        <v/>
      </c>
      <c r="J1714" s="26" t="str">
        <f t="shared" ca="1" si="209"/>
        <v/>
      </c>
    </row>
    <row r="1715" spans="1:10" x14ac:dyDescent="0.25">
      <c r="A1715" t="s">
        <v>302</v>
      </c>
      <c r="B1715" t="str">
        <f>ADDRESS(ROW('Bond 1'!$B$30),COLUMN('Bond 1'!$B$30),4)</f>
        <v>B30</v>
      </c>
      <c r="C1715" t="str">
        <f>ADDRESS(ROW('Bond 1'!$D$30),COLUMN('Bond 1'!$D$30),4)</f>
        <v>D30</v>
      </c>
      <c r="D1715" t="b" cm="1">
        <f t="array" aca="1" ref="D1715" ca="1">IF(AND(NOT(ISBLANK('Bond Input'!D$35)),INDIRECT("'"&amp;A1715&amp;"'!"&amp;B1715)&lt;&gt;'Bond Input'!D$35),TRUE,FALSE)</f>
        <v>0</v>
      </c>
      <c r="E1715" t="s">
        <v>634</v>
      </c>
      <c r="F1715" t="str">
        <f>INDEX(Lists!I:I,MATCH(Validation!E1715,Lists!G:G,0))</f>
        <v>Alert</v>
      </c>
      <c r="G1715" t="str">
        <f>INDEX(Lists!H:H,MATCH(Validation!E1715,Lists!G:G,0))</f>
        <v>You have changed previously reported data. Explain in the comments box.</v>
      </c>
      <c r="H1715" s="25" t="str">
        <f t="shared" ca="1" si="207"/>
        <v/>
      </c>
      <c r="I1715" s="25" t="str">
        <f t="shared" ca="1" si="208"/>
        <v/>
      </c>
      <c r="J1715" s="26" t="str">
        <f t="shared" ca="1" si="209"/>
        <v/>
      </c>
    </row>
    <row r="1716" spans="1:10" x14ac:dyDescent="0.25">
      <c r="A1716" t="s">
        <v>303</v>
      </c>
      <c r="B1716" t="str">
        <f>ADDRESS(ROW('Bond 1'!$B$30),COLUMN('Bond 1'!$B$30),4)</f>
        <v>B30</v>
      </c>
      <c r="C1716" t="str">
        <f>ADDRESS(ROW('Bond 1'!$D$30),COLUMN('Bond 1'!$D$30),4)</f>
        <v>D30</v>
      </c>
      <c r="D1716" t="b" cm="1">
        <f t="array" aca="1" ref="D1716" ca="1">IF(AND(NOT(ISBLANK('Bond Input'!E$35)),INDIRECT("'"&amp;A1716&amp;"'!"&amp;B1716)&lt;&gt;'Bond Input'!E$35),TRUE,FALSE)</f>
        <v>0</v>
      </c>
      <c r="E1716" t="s">
        <v>634</v>
      </c>
      <c r="F1716" t="str">
        <f>INDEX(Lists!I:I,MATCH(Validation!E1716,Lists!G:G,0))</f>
        <v>Alert</v>
      </c>
      <c r="G1716" t="str">
        <f>INDEX(Lists!H:H,MATCH(Validation!E1716,Lists!G:G,0))</f>
        <v>You have changed previously reported data. Explain in the comments box.</v>
      </c>
      <c r="H1716" s="25" t="str">
        <f t="shared" ca="1" si="207"/>
        <v/>
      </c>
      <c r="I1716" s="25" t="str">
        <f t="shared" ca="1" si="208"/>
        <v/>
      </c>
      <c r="J1716" s="26" t="str">
        <f t="shared" ca="1" si="209"/>
        <v/>
      </c>
    </row>
    <row r="1717" spans="1:10" x14ac:dyDescent="0.25">
      <c r="A1717" t="s">
        <v>304</v>
      </c>
      <c r="B1717" t="str">
        <f>ADDRESS(ROW('Bond 1'!$B$30),COLUMN('Bond 1'!$B$30),4)</f>
        <v>B30</v>
      </c>
      <c r="C1717" t="str">
        <f>ADDRESS(ROW('Bond 1'!$D$30),COLUMN('Bond 1'!$D$30),4)</f>
        <v>D30</v>
      </c>
      <c r="D1717" t="b" cm="1">
        <f t="array" aca="1" ref="D1717" ca="1">IF(AND(NOT(ISBLANK('Bond Input'!F$35)),INDIRECT("'"&amp;A1717&amp;"'!"&amp;B1717)&lt;&gt;'Bond Input'!F$35),TRUE,FALSE)</f>
        <v>0</v>
      </c>
      <c r="E1717" t="s">
        <v>634</v>
      </c>
      <c r="F1717" t="str">
        <f>INDEX(Lists!I:I,MATCH(Validation!E1717,Lists!G:G,0))</f>
        <v>Alert</v>
      </c>
      <c r="G1717" t="str">
        <f>INDEX(Lists!H:H,MATCH(Validation!E1717,Lists!G:G,0))</f>
        <v>You have changed previously reported data. Explain in the comments box.</v>
      </c>
      <c r="H1717" s="25" t="str">
        <f t="shared" ca="1" si="207"/>
        <v/>
      </c>
      <c r="I1717" s="25" t="str">
        <f t="shared" ca="1" si="208"/>
        <v/>
      </c>
      <c r="J1717" s="26" t="str">
        <f t="shared" ca="1" si="209"/>
        <v/>
      </c>
    </row>
    <row r="1718" spans="1:10" x14ac:dyDescent="0.25">
      <c r="A1718" t="s">
        <v>305</v>
      </c>
      <c r="B1718" t="str">
        <f>ADDRESS(ROW('Bond 1'!$B$30),COLUMN('Bond 1'!$B$30),4)</f>
        <v>B30</v>
      </c>
      <c r="C1718" t="str">
        <f>ADDRESS(ROW('Bond 1'!$D$30),COLUMN('Bond 1'!$D$30),4)</f>
        <v>D30</v>
      </c>
      <c r="D1718" t="b" cm="1">
        <f t="array" aca="1" ref="D1718" ca="1">IF(AND(NOT(ISBLANK('Bond Input'!G$35)),INDIRECT("'"&amp;A1718&amp;"'!"&amp;B1718)&lt;&gt;'Bond Input'!G$35),TRUE,FALSE)</f>
        <v>0</v>
      </c>
      <c r="E1718" t="s">
        <v>634</v>
      </c>
      <c r="F1718" t="str">
        <f>INDEX(Lists!I:I,MATCH(Validation!E1718,Lists!G:G,0))</f>
        <v>Alert</v>
      </c>
      <c r="G1718" t="str">
        <f>INDEX(Lists!H:H,MATCH(Validation!E1718,Lists!G:G,0))</f>
        <v>You have changed previously reported data. Explain in the comments box.</v>
      </c>
      <c r="H1718" s="25" t="str">
        <f t="shared" ca="1" si="207"/>
        <v/>
      </c>
      <c r="I1718" s="25" t="str">
        <f t="shared" ca="1" si="208"/>
        <v/>
      </c>
      <c r="J1718" s="26" t="str">
        <f t="shared" ca="1" si="209"/>
        <v/>
      </c>
    </row>
    <row r="1719" spans="1:10" x14ac:dyDescent="0.25">
      <c r="A1719" t="s">
        <v>306</v>
      </c>
      <c r="B1719" t="str">
        <f>ADDRESS(ROW('Bond 1'!$B$30),COLUMN('Bond 1'!$B$30),4)</f>
        <v>B30</v>
      </c>
      <c r="C1719" t="str">
        <f>ADDRESS(ROW('Bond 1'!$D$30),COLUMN('Bond 1'!$D$30),4)</f>
        <v>D30</v>
      </c>
      <c r="D1719" t="b" cm="1">
        <f t="array" aca="1" ref="D1719" ca="1">IF(AND(NOT(ISBLANK('Bond Input'!H$35)),INDIRECT("'"&amp;A1719&amp;"'!"&amp;B1719)&lt;&gt;'Bond Input'!H$35),TRUE,FALSE)</f>
        <v>0</v>
      </c>
      <c r="E1719" t="s">
        <v>634</v>
      </c>
      <c r="F1719" t="str">
        <f>INDEX(Lists!I:I,MATCH(Validation!E1719,Lists!G:G,0))</f>
        <v>Alert</v>
      </c>
      <c r="G1719" t="str">
        <f>INDEX(Lists!H:H,MATCH(Validation!E1719,Lists!G:G,0))</f>
        <v>You have changed previously reported data. Explain in the comments box.</v>
      </c>
      <c r="H1719" s="25" t="str">
        <f t="shared" ca="1" si="207"/>
        <v/>
      </c>
      <c r="I1719" s="25" t="str">
        <f t="shared" ca="1" si="208"/>
        <v/>
      </c>
      <c r="J1719" s="26" t="str">
        <f t="shared" ca="1" si="209"/>
        <v/>
      </c>
    </row>
    <row r="1720" spans="1:10" x14ac:dyDescent="0.25">
      <c r="A1720" t="s">
        <v>307</v>
      </c>
      <c r="B1720" t="str">
        <f>ADDRESS(ROW('Bond 1'!$B$30),COLUMN('Bond 1'!$B$30),4)</f>
        <v>B30</v>
      </c>
      <c r="C1720" t="str">
        <f>ADDRESS(ROW('Bond 1'!$D$30),COLUMN('Bond 1'!$D$30),4)</f>
        <v>D30</v>
      </c>
      <c r="D1720" t="b" cm="1">
        <f t="array" aca="1" ref="D1720" ca="1">IF(AND(NOT(ISBLANK('Bond Input'!I$35)),INDIRECT("'"&amp;A1720&amp;"'!"&amp;B1720)&lt;&gt;'Bond Input'!I$35),TRUE,FALSE)</f>
        <v>0</v>
      </c>
      <c r="E1720" t="s">
        <v>634</v>
      </c>
      <c r="F1720" t="str">
        <f>INDEX(Lists!I:I,MATCH(Validation!E1720,Lists!G:G,0))</f>
        <v>Alert</v>
      </c>
      <c r="G1720" t="str">
        <f>INDEX(Lists!H:H,MATCH(Validation!E1720,Lists!G:G,0))</f>
        <v>You have changed previously reported data. Explain in the comments box.</v>
      </c>
      <c r="H1720" s="25" t="str">
        <f t="shared" ca="1" si="207"/>
        <v/>
      </c>
      <c r="I1720" s="25" t="str">
        <f t="shared" ca="1" si="208"/>
        <v/>
      </c>
      <c r="J1720" s="26" t="str">
        <f t="shared" ca="1" si="209"/>
        <v/>
      </c>
    </row>
    <row r="1721" spans="1:10" x14ac:dyDescent="0.25">
      <c r="A1721" t="s">
        <v>308</v>
      </c>
      <c r="B1721" t="str">
        <f>ADDRESS(ROW('Bond 1'!$B$30),COLUMN('Bond 1'!$B$30),4)</f>
        <v>B30</v>
      </c>
      <c r="C1721" t="str">
        <f>ADDRESS(ROW('Bond 1'!$D$30),COLUMN('Bond 1'!$D$30),4)</f>
        <v>D30</v>
      </c>
      <c r="D1721" t="b" cm="1">
        <f t="array" aca="1" ref="D1721" ca="1">IF(AND(NOT(ISBLANK('Bond Input'!J$35)),INDIRECT("'"&amp;A1721&amp;"'!"&amp;B1721)&lt;&gt;'Bond Input'!J$35),TRUE,FALSE)</f>
        <v>0</v>
      </c>
      <c r="E1721" t="s">
        <v>634</v>
      </c>
      <c r="F1721" t="str">
        <f>INDEX(Lists!I:I,MATCH(Validation!E1721,Lists!G:G,0))</f>
        <v>Alert</v>
      </c>
      <c r="G1721" t="str">
        <f>INDEX(Lists!H:H,MATCH(Validation!E1721,Lists!G:G,0))</f>
        <v>You have changed previously reported data. Explain in the comments box.</v>
      </c>
      <c r="H1721" s="25" t="str">
        <f t="shared" ref="H1721:H1814" ca="1" si="210">IFERROR(IF(OR(NOT(D1721),F1721&lt;&gt;"Error"),"",A1721&amp;CELL("address",INDIRECT(B1721))),"")</f>
        <v/>
      </c>
      <c r="I1721" s="25" t="str">
        <f t="shared" ref="I1721:I1814" ca="1" si="211">IFERROR(IF(NOT(D1721),"",A1721&amp;CELL("address",INDIRECT(C1721))),"")</f>
        <v/>
      </c>
      <c r="J1721" s="26" t="str">
        <f t="shared" ref="J1721:J1814" ca="1" si="212">IFERROR(IF(NOT(D1721),"",A1721),"")</f>
        <v/>
      </c>
    </row>
    <row r="1722" spans="1:10" x14ac:dyDescent="0.25">
      <c r="A1722" t="s">
        <v>309</v>
      </c>
      <c r="B1722" t="str">
        <f>ADDRESS(ROW('Bond 1'!$B$30),COLUMN('Bond 1'!$B$30),4)</f>
        <v>B30</v>
      </c>
      <c r="C1722" t="str">
        <f>ADDRESS(ROW('Bond 1'!$D$30),COLUMN('Bond 1'!$D$30),4)</f>
        <v>D30</v>
      </c>
      <c r="D1722" t="b" cm="1">
        <f t="array" aca="1" ref="D1722" ca="1">IF(AND(NOT(ISBLANK('Bond Input'!K$35)),INDIRECT("'"&amp;A1722&amp;"'!"&amp;B1722)&lt;&gt;'Bond Input'!K$35),TRUE,FALSE)</f>
        <v>0</v>
      </c>
      <c r="E1722" t="s">
        <v>634</v>
      </c>
      <c r="F1722" t="str">
        <f>INDEX(Lists!I:I,MATCH(Validation!E1722,Lists!G:G,0))</f>
        <v>Alert</v>
      </c>
      <c r="G1722" t="str">
        <f>INDEX(Lists!H:H,MATCH(Validation!E1722,Lists!G:G,0))</f>
        <v>You have changed previously reported data. Explain in the comments box.</v>
      </c>
      <c r="H1722" s="25" t="str">
        <f t="shared" ca="1" si="210"/>
        <v/>
      </c>
      <c r="I1722" s="25" t="str">
        <f t="shared" ca="1" si="211"/>
        <v/>
      </c>
      <c r="J1722" s="26" t="str">
        <f t="shared" ca="1" si="212"/>
        <v/>
      </c>
    </row>
    <row r="1723" spans="1:10" x14ac:dyDescent="0.25">
      <c r="A1723" t="s">
        <v>310</v>
      </c>
      <c r="B1723" t="str">
        <f>ADDRESS(ROW('Bond 1'!$B$30),COLUMN('Bond 1'!$B$30),4)</f>
        <v>B30</v>
      </c>
      <c r="C1723" t="str">
        <f>ADDRESS(ROW('Bond 1'!$D$30),COLUMN('Bond 1'!$D$30),4)</f>
        <v>D30</v>
      </c>
      <c r="D1723" t="b" cm="1">
        <f t="array" aca="1" ref="D1723" ca="1">IF(AND(NOT(ISBLANK('Bond Input'!L$35)),INDIRECT("'"&amp;A1723&amp;"'!"&amp;B1723)&lt;&gt;'Bond Input'!L$35),TRUE,FALSE)</f>
        <v>0</v>
      </c>
      <c r="E1723" t="s">
        <v>634</v>
      </c>
      <c r="F1723" t="str">
        <f>INDEX(Lists!I:I,MATCH(Validation!E1723,Lists!G:G,0))</f>
        <v>Alert</v>
      </c>
      <c r="G1723" t="str">
        <f>INDEX(Lists!H:H,MATCH(Validation!E1723,Lists!G:G,0))</f>
        <v>You have changed previously reported data. Explain in the comments box.</v>
      </c>
      <c r="H1723" s="25" t="str">
        <f t="shared" ca="1" si="210"/>
        <v/>
      </c>
      <c r="I1723" s="25" t="str">
        <f t="shared" ca="1" si="211"/>
        <v/>
      </c>
      <c r="J1723" s="26" t="str">
        <f t="shared" ca="1" si="212"/>
        <v/>
      </c>
    </row>
    <row r="1724" spans="1:10" x14ac:dyDescent="0.25">
      <c r="A1724" t="s">
        <v>311</v>
      </c>
      <c r="B1724" t="str">
        <f>ADDRESS(ROW('Bond 1'!$B$30),COLUMN('Bond 1'!$B$30),4)</f>
        <v>B30</v>
      </c>
      <c r="C1724" t="str">
        <f>ADDRESS(ROW('Bond 1'!$D$30),COLUMN('Bond 1'!$D$30),4)</f>
        <v>D30</v>
      </c>
      <c r="D1724" t="b" cm="1">
        <f t="array" aca="1" ref="D1724" ca="1">IF(AND(NOT(ISBLANK('Bond Input'!M$35)),INDIRECT("'"&amp;A1724&amp;"'!"&amp;B1724)&lt;&gt;'Bond Input'!M$35),TRUE,FALSE)</f>
        <v>0</v>
      </c>
      <c r="E1724" t="s">
        <v>634</v>
      </c>
      <c r="F1724" t="str">
        <f>INDEX(Lists!I:I,MATCH(Validation!E1724,Lists!G:G,0))</f>
        <v>Alert</v>
      </c>
      <c r="G1724" t="str">
        <f>INDEX(Lists!H:H,MATCH(Validation!E1724,Lists!G:G,0))</f>
        <v>You have changed previously reported data. Explain in the comments box.</v>
      </c>
      <c r="H1724" s="25" t="str">
        <f t="shared" ca="1" si="210"/>
        <v/>
      </c>
      <c r="I1724" s="25" t="str">
        <f t="shared" ca="1" si="211"/>
        <v/>
      </c>
      <c r="J1724" s="26" t="str">
        <f t="shared" ca="1" si="212"/>
        <v/>
      </c>
    </row>
    <row r="1725" spans="1:10" x14ac:dyDescent="0.25">
      <c r="A1725" t="s">
        <v>312</v>
      </c>
      <c r="B1725" t="str">
        <f>ADDRESS(ROW('Bond 1'!$B$30),COLUMN('Bond 1'!$B$30),4)</f>
        <v>B30</v>
      </c>
      <c r="C1725" t="str">
        <f>ADDRESS(ROW('Bond 1'!$D$30),COLUMN('Bond 1'!$D$30),4)</f>
        <v>D30</v>
      </c>
      <c r="D1725" t="b" cm="1">
        <f t="array" aca="1" ref="D1725" ca="1">IF(AND(NOT(ISBLANK('Bond Input'!N$35)),INDIRECT("'"&amp;A1725&amp;"'!"&amp;B1725)&lt;&gt;'Bond Input'!N$35),TRUE,FALSE)</f>
        <v>0</v>
      </c>
      <c r="E1725" t="s">
        <v>634</v>
      </c>
      <c r="F1725" t="str">
        <f>INDEX(Lists!I:I,MATCH(Validation!E1725,Lists!G:G,0))</f>
        <v>Alert</v>
      </c>
      <c r="G1725" t="str">
        <f>INDEX(Lists!H:H,MATCH(Validation!E1725,Lists!G:G,0))</f>
        <v>You have changed previously reported data. Explain in the comments box.</v>
      </c>
      <c r="H1725" s="25" t="str">
        <f t="shared" ca="1" si="210"/>
        <v/>
      </c>
      <c r="I1725" s="25" t="str">
        <f t="shared" ca="1" si="211"/>
        <v/>
      </c>
      <c r="J1725" s="26" t="str">
        <f t="shared" ca="1" si="212"/>
        <v/>
      </c>
    </row>
    <row r="1726" spans="1:10" x14ac:dyDescent="0.25">
      <c r="A1726" t="s">
        <v>313</v>
      </c>
      <c r="B1726" t="str">
        <f>ADDRESS(ROW('Bond 1'!$B$30),COLUMN('Bond 1'!$B$30),4)</f>
        <v>B30</v>
      </c>
      <c r="C1726" t="str">
        <f>ADDRESS(ROW('Bond 1'!$D$30),COLUMN('Bond 1'!$D$30),4)</f>
        <v>D30</v>
      </c>
      <c r="D1726" t="b" cm="1">
        <f t="array" aca="1" ref="D1726" ca="1">IF(AND(NOT(ISBLANK('Bond Input'!O$35)),INDIRECT("'"&amp;A1726&amp;"'!"&amp;B1726)&lt;&gt;'Bond Input'!O$35),TRUE,FALSE)</f>
        <v>0</v>
      </c>
      <c r="E1726" t="s">
        <v>634</v>
      </c>
      <c r="F1726" t="str">
        <f>INDEX(Lists!I:I,MATCH(Validation!E1726,Lists!G:G,0))</f>
        <v>Alert</v>
      </c>
      <c r="G1726" t="str">
        <f>INDEX(Lists!H:H,MATCH(Validation!E1726,Lists!G:G,0))</f>
        <v>You have changed previously reported data. Explain in the comments box.</v>
      </c>
      <c r="H1726" s="25" t="str">
        <f t="shared" ca="1" si="210"/>
        <v/>
      </c>
      <c r="I1726" s="25" t="str">
        <f t="shared" ca="1" si="211"/>
        <v/>
      </c>
      <c r="J1726" s="26" t="str">
        <f t="shared" ca="1" si="212"/>
        <v/>
      </c>
    </row>
    <row r="1727" spans="1:10" x14ac:dyDescent="0.25">
      <c r="A1727" t="s">
        <v>314</v>
      </c>
      <c r="B1727" t="str">
        <f>ADDRESS(ROW('Bond 1'!$B$30),COLUMN('Bond 1'!$B$30),4)</f>
        <v>B30</v>
      </c>
      <c r="C1727" t="str">
        <f>ADDRESS(ROW('Bond 1'!$D$30),COLUMN('Bond 1'!$D$30),4)</f>
        <v>D30</v>
      </c>
      <c r="D1727" t="b" cm="1">
        <f t="array" aca="1" ref="D1727" ca="1">IF(AND(NOT(ISBLANK('Bond Input'!P$35)),INDIRECT("'"&amp;A1727&amp;"'!"&amp;B1727)&lt;&gt;'Bond Input'!P$35),TRUE,FALSE)</f>
        <v>0</v>
      </c>
      <c r="E1727" t="s">
        <v>634</v>
      </c>
      <c r="F1727" t="str">
        <f>INDEX(Lists!I:I,MATCH(Validation!E1727,Lists!G:G,0))</f>
        <v>Alert</v>
      </c>
      <c r="G1727" t="str">
        <f>INDEX(Lists!H:H,MATCH(Validation!E1727,Lists!G:G,0))</f>
        <v>You have changed previously reported data. Explain in the comments box.</v>
      </c>
      <c r="H1727" s="25" t="str">
        <f t="shared" ca="1" si="210"/>
        <v/>
      </c>
      <c r="I1727" s="25" t="str">
        <f t="shared" ca="1" si="211"/>
        <v/>
      </c>
      <c r="J1727" s="26" t="str">
        <f t="shared" ca="1" si="212"/>
        <v/>
      </c>
    </row>
    <row r="1728" spans="1:10" x14ac:dyDescent="0.25">
      <c r="A1728" t="s">
        <v>315</v>
      </c>
      <c r="B1728" t="str">
        <f>ADDRESS(ROW('Bond 1'!$B$30),COLUMN('Bond 1'!$B$30),4)</f>
        <v>B30</v>
      </c>
      <c r="C1728" t="str">
        <f>ADDRESS(ROW('Bond 1'!$D$30),COLUMN('Bond 1'!$D$30),4)</f>
        <v>D30</v>
      </c>
      <c r="D1728" t="b" cm="1">
        <f t="array" aca="1" ref="D1728" ca="1">IF(AND(NOT(ISBLANK('Bond Input'!Q$35)),INDIRECT("'"&amp;A1728&amp;"'!"&amp;B1728)&lt;&gt;'Bond Input'!Q$35),TRUE,FALSE)</f>
        <v>0</v>
      </c>
      <c r="E1728" t="s">
        <v>634</v>
      </c>
      <c r="F1728" t="str">
        <f>INDEX(Lists!I:I,MATCH(Validation!E1728,Lists!G:G,0))</f>
        <v>Alert</v>
      </c>
      <c r="G1728" t="str">
        <f>INDEX(Lists!H:H,MATCH(Validation!E1728,Lists!G:G,0))</f>
        <v>You have changed previously reported data. Explain in the comments box.</v>
      </c>
      <c r="H1728" s="25" t="str">
        <f t="shared" ca="1" si="210"/>
        <v/>
      </c>
      <c r="I1728" s="25" t="str">
        <f t="shared" ca="1" si="211"/>
        <v/>
      </c>
      <c r="J1728" s="26" t="str">
        <f t="shared" ca="1" si="212"/>
        <v/>
      </c>
    </row>
    <row r="1729" spans="1:10" x14ac:dyDescent="0.25">
      <c r="A1729" t="s">
        <v>198</v>
      </c>
      <c r="B1729" t="str">
        <f>ADDRESS(ROW('Bond 1'!$C$30),COLUMN('Bond 1'!$C$30),4)</f>
        <v>C30</v>
      </c>
      <c r="C1729" t="str">
        <f>ADDRESS(ROW('Bond 1'!$D$30),COLUMN('Bond 1'!$D$30),4)</f>
        <v>D30</v>
      </c>
      <c r="D1729" t="b" cm="1">
        <f t="array" aca="1" ref="D1729" ca="1">IF(INDIRECT("'"&amp;A1729&amp;"'!"&amp;B1729)="",FALSE,IF(NOT(ISNUMBER(INDIRECT("'"&amp;A1729&amp;"'!"&amp;B1729))),TRUE,FALSE))</f>
        <v>0</v>
      </c>
      <c r="E1729" t="s">
        <v>435</v>
      </c>
      <c r="F1729" t="str">
        <f>INDEX(Lists!I:I,MATCH(Validation!E1729,Lists!G:G,0))</f>
        <v>Error</v>
      </c>
      <c r="G1729" t="str">
        <f>INDEX(Lists!H:H,MATCH(Validation!E1729,Lists!G:G,0))</f>
        <v>Enter an amount only. Do not enter text or spaces.</v>
      </c>
      <c r="H1729" s="25" t="str">
        <f t="shared" ca="1" si="210"/>
        <v/>
      </c>
      <c r="I1729" s="25" t="str">
        <f t="shared" ca="1" si="211"/>
        <v/>
      </c>
      <c r="J1729" s="26" t="str">
        <f t="shared" ca="1" si="212"/>
        <v/>
      </c>
    </row>
    <row r="1730" spans="1:10" x14ac:dyDescent="0.25">
      <c r="A1730" t="s">
        <v>302</v>
      </c>
      <c r="B1730" t="str">
        <f>ADDRESS(ROW('Bond 1'!$C$30),COLUMN('Bond 1'!$C$30),4)</f>
        <v>C30</v>
      </c>
      <c r="C1730" t="str">
        <f>ADDRESS(ROW('Bond 1'!$D$30),COLUMN('Bond 1'!$D$30),4)</f>
        <v>D30</v>
      </c>
      <c r="D1730" t="b" cm="1">
        <f t="array" aca="1" ref="D1730" ca="1">IF(INDIRECT("'"&amp;A1730&amp;"'!"&amp;B1730)="",FALSE,IF(NOT(ISNUMBER(INDIRECT("'"&amp;A1730&amp;"'!"&amp;B1730))),TRUE,FALSE))</f>
        <v>0</v>
      </c>
      <c r="E1730" t="s">
        <v>435</v>
      </c>
      <c r="F1730" t="str">
        <f>INDEX(Lists!I:I,MATCH(Validation!E1730,Lists!G:G,0))</f>
        <v>Error</v>
      </c>
      <c r="G1730" t="str">
        <f>INDEX(Lists!H:H,MATCH(Validation!E1730,Lists!G:G,0))</f>
        <v>Enter an amount only. Do not enter text or spaces.</v>
      </c>
      <c r="H1730" s="25" t="str">
        <f t="shared" ca="1" si="210"/>
        <v/>
      </c>
      <c r="I1730" s="25" t="str">
        <f t="shared" ca="1" si="211"/>
        <v/>
      </c>
      <c r="J1730" s="26" t="str">
        <f t="shared" ca="1" si="212"/>
        <v/>
      </c>
    </row>
    <row r="1731" spans="1:10" x14ac:dyDescent="0.25">
      <c r="A1731" t="s">
        <v>303</v>
      </c>
      <c r="B1731" t="str">
        <f>ADDRESS(ROW('Bond 1'!$C$30),COLUMN('Bond 1'!$C$30),4)</f>
        <v>C30</v>
      </c>
      <c r="C1731" t="str">
        <f>ADDRESS(ROW('Bond 1'!$D$30),COLUMN('Bond 1'!$D$30),4)</f>
        <v>D30</v>
      </c>
      <c r="D1731" t="b" cm="1">
        <f t="array" aca="1" ref="D1731" ca="1">IF(INDIRECT("'"&amp;A1731&amp;"'!"&amp;B1731)="",FALSE,IF(NOT(ISNUMBER(INDIRECT("'"&amp;A1731&amp;"'!"&amp;B1731))),TRUE,FALSE))</f>
        <v>0</v>
      </c>
      <c r="E1731" t="s">
        <v>435</v>
      </c>
      <c r="F1731" t="str">
        <f>INDEX(Lists!I:I,MATCH(Validation!E1731,Lists!G:G,0))</f>
        <v>Error</v>
      </c>
      <c r="G1731" t="str">
        <f>INDEX(Lists!H:H,MATCH(Validation!E1731,Lists!G:G,0))</f>
        <v>Enter an amount only. Do not enter text or spaces.</v>
      </c>
      <c r="H1731" s="25" t="str">
        <f t="shared" ca="1" si="210"/>
        <v/>
      </c>
      <c r="I1731" s="25" t="str">
        <f t="shared" ca="1" si="211"/>
        <v/>
      </c>
      <c r="J1731" s="26" t="str">
        <f t="shared" ca="1" si="212"/>
        <v/>
      </c>
    </row>
    <row r="1732" spans="1:10" x14ac:dyDescent="0.25">
      <c r="A1732" t="s">
        <v>304</v>
      </c>
      <c r="B1732" t="str">
        <f>ADDRESS(ROW('Bond 1'!$C$30),COLUMN('Bond 1'!$C$30),4)</f>
        <v>C30</v>
      </c>
      <c r="C1732" t="str">
        <f>ADDRESS(ROW('Bond 1'!$D$30),COLUMN('Bond 1'!$D$30),4)</f>
        <v>D30</v>
      </c>
      <c r="D1732" t="b" cm="1">
        <f t="array" aca="1" ref="D1732" ca="1">IF(INDIRECT("'"&amp;A1732&amp;"'!"&amp;B1732)="",FALSE,IF(NOT(ISNUMBER(INDIRECT("'"&amp;A1732&amp;"'!"&amp;B1732))),TRUE,FALSE))</f>
        <v>0</v>
      </c>
      <c r="E1732" t="s">
        <v>435</v>
      </c>
      <c r="F1732" t="str">
        <f>INDEX(Lists!I:I,MATCH(Validation!E1732,Lists!G:G,0))</f>
        <v>Error</v>
      </c>
      <c r="G1732" t="str">
        <f>INDEX(Lists!H:H,MATCH(Validation!E1732,Lists!G:G,0))</f>
        <v>Enter an amount only. Do not enter text or spaces.</v>
      </c>
      <c r="H1732" s="25" t="str">
        <f t="shared" ca="1" si="210"/>
        <v/>
      </c>
      <c r="I1732" s="25" t="str">
        <f t="shared" ca="1" si="211"/>
        <v/>
      </c>
      <c r="J1732" s="26" t="str">
        <f t="shared" ca="1" si="212"/>
        <v/>
      </c>
    </row>
    <row r="1733" spans="1:10" x14ac:dyDescent="0.25">
      <c r="A1733" t="s">
        <v>305</v>
      </c>
      <c r="B1733" t="str">
        <f>ADDRESS(ROW('Bond 1'!$C$30),COLUMN('Bond 1'!$C$30),4)</f>
        <v>C30</v>
      </c>
      <c r="C1733" t="str">
        <f>ADDRESS(ROW('Bond 1'!$D$30),COLUMN('Bond 1'!$D$30),4)</f>
        <v>D30</v>
      </c>
      <c r="D1733" t="b" cm="1">
        <f t="array" aca="1" ref="D1733" ca="1">IF(INDIRECT("'"&amp;A1733&amp;"'!"&amp;B1733)="",FALSE,IF(NOT(ISNUMBER(INDIRECT("'"&amp;A1733&amp;"'!"&amp;B1733))),TRUE,FALSE))</f>
        <v>0</v>
      </c>
      <c r="E1733" t="s">
        <v>435</v>
      </c>
      <c r="F1733" t="str">
        <f>INDEX(Lists!I:I,MATCH(Validation!E1733,Lists!G:G,0))</f>
        <v>Error</v>
      </c>
      <c r="G1733" t="str">
        <f>INDEX(Lists!H:H,MATCH(Validation!E1733,Lists!G:G,0))</f>
        <v>Enter an amount only. Do not enter text or spaces.</v>
      </c>
      <c r="H1733" s="25" t="str">
        <f t="shared" ca="1" si="210"/>
        <v/>
      </c>
      <c r="I1733" s="25" t="str">
        <f t="shared" ca="1" si="211"/>
        <v/>
      </c>
      <c r="J1733" s="26" t="str">
        <f t="shared" ca="1" si="212"/>
        <v/>
      </c>
    </row>
    <row r="1734" spans="1:10" x14ac:dyDescent="0.25">
      <c r="A1734" t="s">
        <v>306</v>
      </c>
      <c r="B1734" t="str">
        <f>ADDRESS(ROW('Bond 1'!$C$30),COLUMN('Bond 1'!$C$30),4)</f>
        <v>C30</v>
      </c>
      <c r="C1734" t="str">
        <f>ADDRESS(ROW('Bond 1'!$D$30),COLUMN('Bond 1'!$D$30),4)</f>
        <v>D30</v>
      </c>
      <c r="D1734" t="b" cm="1">
        <f t="array" aca="1" ref="D1734" ca="1">IF(INDIRECT("'"&amp;A1734&amp;"'!"&amp;B1734)="",FALSE,IF(NOT(ISNUMBER(INDIRECT("'"&amp;A1734&amp;"'!"&amp;B1734))),TRUE,FALSE))</f>
        <v>0</v>
      </c>
      <c r="E1734" t="s">
        <v>435</v>
      </c>
      <c r="F1734" t="str">
        <f>INDEX(Lists!I:I,MATCH(Validation!E1734,Lists!G:G,0))</f>
        <v>Error</v>
      </c>
      <c r="G1734" t="str">
        <f>INDEX(Lists!H:H,MATCH(Validation!E1734,Lists!G:G,0))</f>
        <v>Enter an amount only. Do not enter text or spaces.</v>
      </c>
      <c r="H1734" s="25" t="str">
        <f t="shared" ca="1" si="210"/>
        <v/>
      </c>
      <c r="I1734" s="25" t="str">
        <f t="shared" ca="1" si="211"/>
        <v/>
      </c>
      <c r="J1734" s="26" t="str">
        <f t="shared" ca="1" si="212"/>
        <v/>
      </c>
    </row>
    <row r="1735" spans="1:10" x14ac:dyDescent="0.25">
      <c r="A1735" t="s">
        <v>307</v>
      </c>
      <c r="B1735" t="str">
        <f>ADDRESS(ROW('Bond 1'!$C$30),COLUMN('Bond 1'!$C$30),4)</f>
        <v>C30</v>
      </c>
      <c r="C1735" t="str">
        <f>ADDRESS(ROW('Bond 1'!$D$30),COLUMN('Bond 1'!$D$30),4)</f>
        <v>D30</v>
      </c>
      <c r="D1735" t="b" cm="1">
        <f t="array" aca="1" ref="D1735" ca="1">IF(INDIRECT("'"&amp;A1735&amp;"'!"&amp;B1735)="",FALSE,IF(NOT(ISNUMBER(INDIRECT("'"&amp;A1735&amp;"'!"&amp;B1735))),TRUE,FALSE))</f>
        <v>0</v>
      </c>
      <c r="E1735" t="s">
        <v>435</v>
      </c>
      <c r="F1735" t="str">
        <f>INDEX(Lists!I:I,MATCH(Validation!E1735,Lists!G:G,0))</f>
        <v>Error</v>
      </c>
      <c r="G1735" t="str">
        <f>INDEX(Lists!H:H,MATCH(Validation!E1735,Lists!G:G,0))</f>
        <v>Enter an amount only. Do not enter text or spaces.</v>
      </c>
      <c r="H1735" s="25" t="str">
        <f t="shared" ca="1" si="210"/>
        <v/>
      </c>
      <c r="I1735" s="25" t="str">
        <f t="shared" ca="1" si="211"/>
        <v/>
      </c>
      <c r="J1735" s="26" t="str">
        <f t="shared" ca="1" si="212"/>
        <v/>
      </c>
    </row>
    <row r="1736" spans="1:10" x14ac:dyDescent="0.25">
      <c r="A1736" t="s">
        <v>308</v>
      </c>
      <c r="B1736" t="str">
        <f>ADDRESS(ROW('Bond 1'!$C$30),COLUMN('Bond 1'!$C$30),4)</f>
        <v>C30</v>
      </c>
      <c r="C1736" t="str">
        <f>ADDRESS(ROW('Bond 1'!$D$30),COLUMN('Bond 1'!$D$30),4)</f>
        <v>D30</v>
      </c>
      <c r="D1736" t="b" cm="1">
        <f t="array" aca="1" ref="D1736" ca="1">IF(INDIRECT("'"&amp;A1736&amp;"'!"&amp;B1736)="",FALSE,IF(NOT(ISNUMBER(INDIRECT("'"&amp;A1736&amp;"'!"&amp;B1736))),TRUE,FALSE))</f>
        <v>0</v>
      </c>
      <c r="E1736" t="s">
        <v>435</v>
      </c>
      <c r="F1736" t="str">
        <f>INDEX(Lists!I:I,MATCH(Validation!E1736,Lists!G:G,0))</f>
        <v>Error</v>
      </c>
      <c r="G1736" t="str">
        <f>INDEX(Lists!H:H,MATCH(Validation!E1736,Lists!G:G,0))</f>
        <v>Enter an amount only. Do not enter text or spaces.</v>
      </c>
      <c r="H1736" s="25" t="str">
        <f t="shared" ca="1" si="210"/>
        <v/>
      </c>
      <c r="I1736" s="25" t="str">
        <f t="shared" ca="1" si="211"/>
        <v/>
      </c>
      <c r="J1736" s="26" t="str">
        <f t="shared" ca="1" si="212"/>
        <v/>
      </c>
    </row>
    <row r="1737" spans="1:10" x14ac:dyDescent="0.25">
      <c r="A1737" t="s">
        <v>309</v>
      </c>
      <c r="B1737" t="str">
        <f>ADDRESS(ROW('Bond 1'!$C$30),COLUMN('Bond 1'!$C$30),4)</f>
        <v>C30</v>
      </c>
      <c r="C1737" t="str">
        <f>ADDRESS(ROW('Bond 1'!$D$30),COLUMN('Bond 1'!$D$30),4)</f>
        <v>D30</v>
      </c>
      <c r="D1737" t="b" cm="1">
        <f t="array" aca="1" ref="D1737" ca="1">IF(INDIRECT("'"&amp;A1737&amp;"'!"&amp;B1737)="",FALSE,IF(NOT(ISNUMBER(INDIRECT("'"&amp;A1737&amp;"'!"&amp;B1737))),TRUE,FALSE))</f>
        <v>0</v>
      </c>
      <c r="E1737" t="s">
        <v>435</v>
      </c>
      <c r="F1737" t="str">
        <f>INDEX(Lists!I:I,MATCH(Validation!E1737,Lists!G:G,0))</f>
        <v>Error</v>
      </c>
      <c r="G1737" t="str">
        <f>INDEX(Lists!H:H,MATCH(Validation!E1737,Lists!G:G,0))</f>
        <v>Enter an amount only. Do not enter text or spaces.</v>
      </c>
      <c r="H1737" s="25" t="str">
        <f t="shared" ca="1" si="210"/>
        <v/>
      </c>
      <c r="I1737" s="25" t="str">
        <f t="shared" ca="1" si="211"/>
        <v/>
      </c>
      <c r="J1737" s="26" t="str">
        <f t="shared" ca="1" si="212"/>
        <v/>
      </c>
    </row>
    <row r="1738" spans="1:10" x14ac:dyDescent="0.25">
      <c r="A1738" t="s">
        <v>310</v>
      </c>
      <c r="B1738" t="str">
        <f>ADDRESS(ROW('Bond 1'!$C$30),COLUMN('Bond 1'!$C$30),4)</f>
        <v>C30</v>
      </c>
      <c r="C1738" t="str">
        <f>ADDRESS(ROW('Bond 1'!$D$30),COLUMN('Bond 1'!$D$30),4)</f>
        <v>D30</v>
      </c>
      <c r="D1738" t="b" cm="1">
        <f t="array" aca="1" ref="D1738" ca="1">IF(INDIRECT("'"&amp;A1738&amp;"'!"&amp;B1738)="",FALSE,IF(NOT(ISNUMBER(INDIRECT("'"&amp;A1738&amp;"'!"&amp;B1738))),TRUE,FALSE))</f>
        <v>0</v>
      </c>
      <c r="E1738" t="s">
        <v>435</v>
      </c>
      <c r="F1738" t="str">
        <f>INDEX(Lists!I:I,MATCH(Validation!E1738,Lists!G:G,0))</f>
        <v>Error</v>
      </c>
      <c r="G1738" t="str">
        <f>INDEX(Lists!H:H,MATCH(Validation!E1738,Lists!G:G,0))</f>
        <v>Enter an amount only. Do not enter text or spaces.</v>
      </c>
      <c r="H1738" s="25" t="str">
        <f t="shared" ca="1" si="210"/>
        <v/>
      </c>
      <c r="I1738" s="25" t="str">
        <f t="shared" ca="1" si="211"/>
        <v/>
      </c>
      <c r="J1738" s="26" t="str">
        <f t="shared" ca="1" si="212"/>
        <v/>
      </c>
    </row>
    <row r="1739" spans="1:10" x14ac:dyDescent="0.25">
      <c r="A1739" t="s">
        <v>311</v>
      </c>
      <c r="B1739" t="str">
        <f>ADDRESS(ROW('Bond 1'!$C$30),COLUMN('Bond 1'!$C$30),4)</f>
        <v>C30</v>
      </c>
      <c r="C1739" t="str">
        <f>ADDRESS(ROW('Bond 1'!$D$30),COLUMN('Bond 1'!$D$30),4)</f>
        <v>D30</v>
      </c>
      <c r="D1739" t="b" cm="1">
        <f t="array" aca="1" ref="D1739" ca="1">IF(INDIRECT("'"&amp;A1739&amp;"'!"&amp;B1739)="",FALSE,IF(NOT(ISNUMBER(INDIRECT("'"&amp;A1739&amp;"'!"&amp;B1739))),TRUE,FALSE))</f>
        <v>0</v>
      </c>
      <c r="E1739" t="s">
        <v>435</v>
      </c>
      <c r="F1739" t="str">
        <f>INDEX(Lists!I:I,MATCH(Validation!E1739,Lists!G:G,0))</f>
        <v>Error</v>
      </c>
      <c r="G1739" t="str">
        <f>INDEX(Lists!H:H,MATCH(Validation!E1739,Lists!G:G,0))</f>
        <v>Enter an amount only. Do not enter text or spaces.</v>
      </c>
      <c r="H1739" s="25" t="str">
        <f t="shared" ca="1" si="210"/>
        <v/>
      </c>
      <c r="I1739" s="25" t="str">
        <f t="shared" ca="1" si="211"/>
        <v/>
      </c>
      <c r="J1739" s="26" t="str">
        <f t="shared" ca="1" si="212"/>
        <v/>
      </c>
    </row>
    <row r="1740" spans="1:10" x14ac:dyDescent="0.25">
      <c r="A1740" t="s">
        <v>312</v>
      </c>
      <c r="B1740" t="str">
        <f>ADDRESS(ROW('Bond 1'!$C$30),COLUMN('Bond 1'!$C$30),4)</f>
        <v>C30</v>
      </c>
      <c r="C1740" t="str">
        <f>ADDRESS(ROW('Bond 1'!$D$30),COLUMN('Bond 1'!$D$30),4)</f>
        <v>D30</v>
      </c>
      <c r="D1740" t="b" cm="1">
        <f t="array" aca="1" ref="D1740" ca="1">IF(INDIRECT("'"&amp;A1740&amp;"'!"&amp;B1740)="",FALSE,IF(NOT(ISNUMBER(INDIRECT("'"&amp;A1740&amp;"'!"&amp;B1740))),TRUE,FALSE))</f>
        <v>0</v>
      </c>
      <c r="E1740" t="s">
        <v>435</v>
      </c>
      <c r="F1740" t="str">
        <f>INDEX(Lists!I:I,MATCH(Validation!E1740,Lists!G:G,0))</f>
        <v>Error</v>
      </c>
      <c r="G1740" t="str">
        <f>INDEX(Lists!H:H,MATCH(Validation!E1740,Lists!G:G,0))</f>
        <v>Enter an amount only. Do not enter text or spaces.</v>
      </c>
      <c r="H1740" s="25" t="str">
        <f t="shared" ca="1" si="210"/>
        <v/>
      </c>
      <c r="I1740" s="25" t="str">
        <f t="shared" ca="1" si="211"/>
        <v/>
      </c>
      <c r="J1740" s="26" t="str">
        <f t="shared" ca="1" si="212"/>
        <v/>
      </c>
    </row>
    <row r="1741" spans="1:10" x14ac:dyDescent="0.25">
      <c r="A1741" t="s">
        <v>313</v>
      </c>
      <c r="B1741" t="str">
        <f>ADDRESS(ROW('Bond 1'!$C$30),COLUMN('Bond 1'!$C$30),4)</f>
        <v>C30</v>
      </c>
      <c r="C1741" t="str">
        <f>ADDRESS(ROW('Bond 1'!$D$30),COLUMN('Bond 1'!$D$30),4)</f>
        <v>D30</v>
      </c>
      <c r="D1741" t="b" cm="1">
        <f t="array" aca="1" ref="D1741" ca="1">IF(INDIRECT("'"&amp;A1741&amp;"'!"&amp;B1741)="",FALSE,IF(NOT(ISNUMBER(INDIRECT("'"&amp;A1741&amp;"'!"&amp;B1741))),TRUE,FALSE))</f>
        <v>0</v>
      </c>
      <c r="E1741" t="s">
        <v>435</v>
      </c>
      <c r="F1741" t="str">
        <f>INDEX(Lists!I:I,MATCH(Validation!E1741,Lists!G:G,0))</f>
        <v>Error</v>
      </c>
      <c r="G1741" t="str">
        <f>INDEX(Lists!H:H,MATCH(Validation!E1741,Lists!G:G,0))</f>
        <v>Enter an amount only. Do not enter text or spaces.</v>
      </c>
      <c r="H1741" s="25" t="str">
        <f t="shared" ca="1" si="210"/>
        <v/>
      </c>
      <c r="I1741" s="25" t="str">
        <f t="shared" ca="1" si="211"/>
        <v/>
      </c>
      <c r="J1741" s="26" t="str">
        <f t="shared" ca="1" si="212"/>
        <v/>
      </c>
    </row>
    <row r="1742" spans="1:10" x14ac:dyDescent="0.25">
      <c r="A1742" t="s">
        <v>314</v>
      </c>
      <c r="B1742" t="str">
        <f>ADDRESS(ROW('Bond 1'!$C$30),COLUMN('Bond 1'!$C$30),4)</f>
        <v>C30</v>
      </c>
      <c r="C1742" t="str">
        <f>ADDRESS(ROW('Bond 1'!$D$30),COLUMN('Bond 1'!$D$30),4)</f>
        <v>D30</v>
      </c>
      <c r="D1742" t="b" cm="1">
        <f t="array" aca="1" ref="D1742" ca="1">IF(INDIRECT("'"&amp;A1742&amp;"'!"&amp;B1742)="",FALSE,IF(NOT(ISNUMBER(INDIRECT("'"&amp;A1742&amp;"'!"&amp;B1742))),TRUE,FALSE))</f>
        <v>0</v>
      </c>
      <c r="E1742" t="s">
        <v>435</v>
      </c>
      <c r="F1742" t="str">
        <f>INDEX(Lists!I:I,MATCH(Validation!E1742,Lists!G:G,0))</f>
        <v>Error</v>
      </c>
      <c r="G1742" t="str">
        <f>INDEX(Lists!H:H,MATCH(Validation!E1742,Lists!G:G,0))</f>
        <v>Enter an amount only. Do not enter text or spaces.</v>
      </c>
      <c r="H1742" s="25" t="str">
        <f t="shared" ca="1" si="210"/>
        <v/>
      </c>
      <c r="I1742" s="25" t="str">
        <f t="shared" ca="1" si="211"/>
        <v/>
      </c>
      <c r="J1742" s="26" t="str">
        <f t="shared" ca="1" si="212"/>
        <v/>
      </c>
    </row>
    <row r="1743" spans="1:10" x14ac:dyDescent="0.25">
      <c r="A1743" t="s">
        <v>315</v>
      </c>
      <c r="B1743" t="str">
        <f>ADDRESS(ROW('Bond 1'!$C$30),COLUMN('Bond 1'!$C$30),4)</f>
        <v>C30</v>
      </c>
      <c r="C1743" t="str">
        <f>ADDRESS(ROW('Bond 1'!$D$30),COLUMN('Bond 1'!$D$30),4)</f>
        <v>D30</v>
      </c>
      <c r="D1743" t="b" cm="1">
        <f t="array" aca="1" ref="D1743" ca="1">IF(INDIRECT("'"&amp;A1743&amp;"'!"&amp;B1743)="",FALSE,IF(NOT(ISNUMBER(INDIRECT("'"&amp;A1743&amp;"'!"&amp;B1743))),TRUE,FALSE))</f>
        <v>0</v>
      </c>
      <c r="E1743" t="s">
        <v>435</v>
      </c>
      <c r="F1743" t="str">
        <f>INDEX(Lists!I:I,MATCH(Validation!E1743,Lists!G:G,0))</f>
        <v>Error</v>
      </c>
      <c r="G1743" t="str">
        <f>INDEX(Lists!H:H,MATCH(Validation!E1743,Lists!G:G,0))</f>
        <v>Enter an amount only. Do not enter text or spaces.</v>
      </c>
      <c r="H1743" s="25" t="str">
        <f t="shared" ca="1" si="210"/>
        <v/>
      </c>
      <c r="I1743" s="25" t="str">
        <f t="shared" ca="1" si="211"/>
        <v/>
      </c>
      <c r="J1743" s="26" t="str">
        <f t="shared" ca="1" si="212"/>
        <v/>
      </c>
    </row>
    <row r="1744" spans="1:10" x14ac:dyDescent="0.25">
      <c r="A1744" t="s">
        <v>198</v>
      </c>
      <c r="B1744" t="str">
        <f>ADDRESS(ROW('Bond 1'!$C$30),COLUMN('Bond 1'!$C$30),4)</f>
        <v>C30</v>
      </c>
      <c r="C1744" t="str">
        <f>ADDRESS(ROW('Bond 1'!$D$30),COLUMN('Bond 1'!$D$30),4)</f>
        <v>D30</v>
      </c>
      <c r="D1744" t="b" cm="1">
        <f t="array" aca="1" ref="D1744" ca="1">IF(INDIRECT("'"&amp;A1744&amp;"'!"&amp;B1744)="",FALSE,IF(INDIRECT("'"&amp;A1744&amp;"'!"&amp;B1744)&lt;0,TRUE,FALSE))</f>
        <v>0</v>
      </c>
      <c r="E1744" t="s">
        <v>434</v>
      </c>
      <c r="F1744" t="str">
        <f>INDEX(Lists!I:I,MATCH(Validation!E1744,Lists!G:G,0))</f>
        <v>Error</v>
      </c>
      <c r="G1744" t="str">
        <f>INDEX(Lists!H:H,MATCH(Validation!E1744,Lists!G:G,0))</f>
        <v>Amount may not be negative. Enter an amount greater than or equal to zero.</v>
      </c>
      <c r="H1744" s="25" t="str">
        <f t="shared" ca="1" si="210"/>
        <v/>
      </c>
      <c r="I1744" s="25" t="str">
        <f t="shared" ca="1" si="211"/>
        <v/>
      </c>
      <c r="J1744" s="26" t="str">
        <f t="shared" ca="1" si="212"/>
        <v/>
      </c>
    </row>
    <row r="1745" spans="1:10" x14ac:dyDescent="0.25">
      <c r="A1745" t="s">
        <v>302</v>
      </c>
      <c r="B1745" t="str">
        <f>ADDRESS(ROW('Bond 1'!$C$30),COLUMN('Bond 1'!$C$30),4)</f>
        <v>C30</v>
      </c>
      <c r="C1745" t="str">
        <f>ADDRESS(ROW('Bond 1'!$D$30),COLUMN('Bond 1'!$D$30),4)</f>
        <v>D30</v>
      </c>
      <c r="D1745" t="b" cm="1">
        <f t="array" aca="1" ref="D1745" ca="1">IF(INDIRECT("'"&amp;A1745&amp;"'!"&amp;B1745)="",FALSE,IF(INDIRECT("'"&amp;A1745&amp;"'!"&amp;B1745)&lt;0,TRUE,FALSE))</f>
        <v>0</v>
      </c>
      <c r="E1745" t="s">
        <v>434</v>
      </c>
      <c r="F1745" t="str">
        <f>INDEX(Lists!I:I,MATCH(Validation!E1745,Lists!G:G,0))</f>
        <v>Error</v>
      </c>
      <c r="G1745" t="str">
        <f>INDEX(Lists!H:H,MATCH(Validation!E1745,Lists!G:G,0))</f>
        <v>Amount may not be negative. Enter an amount greater than or equal to zero.</v>
      </c>
      <c r="H1745" s="25" t="str">
        <f t="shared" ca="1" si="210"/>
        <v/>
      </c>
      <c r="I1745" s="25" t="str">
        <f t="shared" ca="1" si="211"/>
        <v/>
      </c>
      <c r="J1745" s="26" t="str">
        <f t="shared" ca="1" si="212"/>
        <v/>
      </c>
    </row>
    <row r="1746" spans="1:10" x14ac:dyDescent="0.25">
      <c r="A1746" t="s">
        <v>303</v>
      </c>
      <c r="B1746" t="str">
        <f>ADDRESS(ROW('Bond 1'!$C$30),COLUMN('Bond 1'!$C$30),4)</f>
        <v>C30</v>
      </c>
      <c r="C1746" t="str">
        <f>ADDRESS(ROW('Bond 1'!$D$30),COLUMN('Bond 1'!$D$30),4)</f>
        <v>D30</v>
      </c>
      <c r="D1746" t="b" cm="1">
        <f t="array" aca="1" ref="D1746" ca="1">IF(INDIRECT("'"&amp;A1746&amp;"'!"&amp;B1746)="",FALSE,IF(INDIRECT("'"&amp;A1746&amp;"'!"&amp;B1746)&lt;0,TRUE,FALSE))</f>
        <v>0</v>
      </c>
      <c r="E1746" t="s">
        <v>434</v>
      </c>
      <c r="F1746" t="str">
        <f>INDEX(Lists!I:I,MATCH(Validation!E1746,Lists!G:G,0))</f>
        <v>Error</v>
      </c>
      <c r="G1746" t="str">
        <f>INDEX(Lists!H:H,MATCH(Validation!E1746,Lists!G:G,0))</f>
        <v>Amount may not be negative. Enter an amount greater than or equal to zero.</v>
      </c>
      <c r="H1746" s="25" t="str">
        <f t="shared" ca="1" si="210"/>
        <v/>
      </c>
      <c r="I1746" s="25" t="str">
        <f t="shared" ca="1" si="211"/>
        <v/>
      </c>
      <c r="J1746" s="26" t="str">
        <f t="shared" ca="1" si="212"/>
        <v/>
      </c>
    </row>
    <row r="1747" spans="1:10" x14ac:dyDescent="0.25">
      <c r="A1747" t="s">
        <v>304</v>
      </c>
      <c r="B1747" t="str">
        <f>ADDRESS(ROW('Bond 1'!$C$30),COLUMN('Bond 1'!$C$30),4)</f>
        <v>C30</v>
      </c>
      <c r="C1747" t="str">
        <f>ADDRESS(ROW('Bond 1'!$D$30),COLUMN('Bond 1'!$D$30),4)</f>
        <v>D30</v>
      </c>
      <c r="D1747" t="b" cm="1">
        <f t="array" aca="1" ref="D1747" ca="1">IF(INDIRECT("'"&amp;A1747&amp;"'!"&amp;B1747)="",FALSE,IF(INDIRECT("'"&amp;A1747&amp;"'!"&amp;B1747)&lt;0,TRUE,FALSE))</f>
        <v>0</v>
      </c>
      <c r="E1747" t="s">
        <v>434</v>
      </c>
      <c r="F1747" t="str">
        <f>INDEX(Lists!I:I,MATCH(Validation!E1747,Lists!G:G,0))</f>
        <v>Error</v>
      </c>
      <c r="G1747" t="str">
        <f>INDEX(Lists!H:H,MATCH(Validation!E1747,Lists!G:G,0))</f>
        <v>Amount may not be negative. Enter an amount greater than or equal to zero.</v>
      </c>
      <c r="H1747" s="25" t="str">
        <f t="shared" ca="1" si="210"/>
        <v/>
      </c>
      <c r="I1747" s="25" t="str">
        <f t="shared" ca="1" si="211"/>
        <v/>
      </c>
      <c r="J1747" s="26" t="str">
        <f t="shared" ca="1" si="212"/>
        <v/>
      </c>
    </row>
    <row r="1748" spans="1:10" x14ac:dyDescent="0.25">
      <c r="A1748" t="s">
        <v>305</v>
      </c>
      <c r="B1748" t="str">
        <f>ADDRESS(ROW('Bond 1'!$C$30),COLUMN('Bond 1'!$C$30),4)</f>
        <v>C30</v>
      </c>
      <c r="C1748" t="str">
        <f>ADDRESS(ROW('Bond 1'!$D$30),COLUMN('Bond 1'!$D$30),4)</f>
        <v>D30</v>
      </c>
      <c r="D1748" t="b" cm="1">
        <f t="array" aca="1" ref="D1748" ca="1">IF(INDIRECT("'"&amp;A1748&amp;"'!"&amp;B1748)="",FALSE,IF(INDIRECT("'"&amp;A1748&amp;"'!"&amp;B1748)&lt;0,TRUE,FALSE))</f>
        <v>0</v>
      </c>
      <c r="E1748" t="s">
        <v>434</v>
      </c>
      <c r="F1748" t="str">
        <f>INDEX(Lists!I:I,MATCH(Validation!E1748,Lists!G:G,0))</f>
        <v>Error</v>
      </c>
      <c r="G1748" t="str">
        <f>INDEX(Lists!H:H,MATCH(Validation!E1748,Lists!G:G,0))</f>
        <v>Amount may not be negative. Enter an amount greater than or equal to zero.</v>
      </c>
      <c r="H1748" s="25" t="str">
        <f t="shared" ca="1" si="210"/>
        <v/>
      </c>
      <c r="I1748" s="25" t="str">
        <f t="shared" ca="1" si="211"/>
        <v/>
      </c>
      <c r="J1748" s="26" t="str">
        <f t="shared" ca="1" si="212"/>
        <v/>
      </c>
    </row>
    <row r="1749" spans="1:10" x14ac:dyDescent="0.25">
      <c r="A1749" t="s">
        <v>306</v>
      </c>
      <c r="B1749" t="str">
        <f>ADDRESS(ROW('Bond 1'!$C$30),COLUMN('Bond 1'!$C$30),4)</f>
        <v>C30</v>
      </c>
      <c r="C1749" t="str">
        <f>ADDRESS(ROW('Bond 1'!$D$30),COLUMN('Bond 1'!$D$30),4)</f>
        <v>D30</v>
      </c>
      <c r="D1749" t="b" cm="1">
        <f t="array" aca="1" ref="D1749" ca="1">IF(INDIRECT("'"&amp;A1749&amp;"'!"&amp;B1749)="",FALSE,IF(INDIRECT("'"&amp;A1749&amp;"'!"&amp;B1749)&lt;0,TRUE,FALSE))</f>
        <v>0</v>
      </c>
      <c r="E1749" t="s">
        <v>434</v>
      </c>
      <c r="F1749" t="str">
        <f>INDEX(Lists!I:I,MATCH(Validation!E1749,Lists!G:G,0))</f>
        <v>Error</v>
      </c>
      <c r="G1749" t="str">
        <f>INDEX(Lists!H:H,MATCH(Validation!E1749,Lists!G:G,0))</f>
        <v>Amount may not be negative. Enter an amount greater than or equal to zero.</v>
      </c>
      <c r="H1749" s="25" t="str">
        <f t="shared" ca="1" si="210"/>
        <v/>
      </c>
      <c r="I1749" s="25" t="str">
        <f t="shared" ca="1" si="211"/>
        <v/>
      </c>
      <c r="J1749" s="26" t="str">
        <f t="shared" ca="1" si="212"/>
        <v/>
      </c>
    </row>
    <row r="1750" spans="1:10" x14ac:dyDescent="0.25">
      <c r="A1750" t="s">
        <v>307</v>
      </c>
      <c r="B1750" t="str">
        <f>ADDRESS(ROW('Bond 1'!$C$30),COLUMN('Bond 1'!$C$30),4)</f>
        <v>C30</v>
      </c>
      <c r="C1750" t="str">
        <f>ADDRESS(ROW('Bond 1'!$D$30),COLUMN('Bond 1'!$D$30),4)</f>
        <v>D30</v>
      </c>
      <c r="D1750" t="b" cm="1">
        <f t="array" aca="1" ref="D1750" ca="1">IF(INDIRECT("'"&amp;A1750&amp;"'!"&amp;B1750)="",FALSE,IF(INDIRECT("'"&amp;A1750&amp;"'!"&amp;B1750)&lt;0,TRUE,FALSE))</f>
        <v>0</v>
      </c>
      <c r="E1750" t="s">
        <v>434</v>
      </c>
      <c r="F1750" t="str">
        <f>INDEX(Lists!I:I,MATCH(Validation!E1750,Lists!G:G,0))</f>
        <v>Error</v>
      </c>
      <c r="G1750" t="str">
        <f>INDEX(Lists!H:H,MATCH(Validation!E1750,Lists!G:G,0))</f>
        <v>Amount may not be negative. Enter an amount greater than or equal to zero.</v>
      </c>
      <c r="H1750" s="25" t="str">
        <f t="shared" ca="1" si="210"/>
        <v/>
      </c>
      <c r="I1750" s="25" t="str">
        <f t="shared" ca="1" si="211"/>
        <v/>
      </c>
      <c r="J1750" s="26" t="str">
        <f t="shared" ca="1" si="212"/>
        <v/>
      </c>
    </row>
    <row r="1751" spans="1:10" x14ac:dyDescent="0.25">
      <c r="A1751" t="s">
        <v>308</v>
      </c>
      <c r="B1751" t="str">
        <f>ADDRESS(ROW('Bond 1'!$C$30),COLUMN('Bond 1'!$C$30),4)</f>
        <v>C30</v>
      </c>
      <c r="C1751" t="str">
        <f>ADDRESS(ROW('Bond 1'!$D$30),COLUMN('Bond 1'!$D$30),4)</f>
        <v>D30</v>
      </c>
      <c r="D1751" t="b" cm="1">
        <f t="array" aca="1" ref="D1751" ca="1">IF(INDIRECT("'"&amp;A1751&amp;"'!"&amp;B1751)="",FALSE,IF(INDIRECT("'"&amp;A1751&amp;"'!"&amp;B1751)&lt;0,TRUE,FALSE))</f>
        <v>0</v>
      </c>
      <c r="E1751" t="s">
        <v>434</v>
      </c>
      <c r="F1751" t="str">
        <f>INDEX(Lists!I:I,MATCH(Validation!E1751,Lists!G:G,0))</f>
        <v>Error</v>
      </c>
      <c r="G1751" t="str">
        <f>INDEX(Lists!H:H,MATCH(Validation!E1751,Lists!G:G,0))</f>
        <v>Amount may not be negative. Enter an amount greater than or equal to zero.</v>
      </c>
      <c r="H1751" s="25" t="str">
        <f t="shared" ca="1" si="210"/>
        <v/>
      </c>
      <c r="I1751" s="25" t="str">
        <f t="shared" ca="1" si="211"/>
        <v/>
      </c>
      <c r="J1751" s="26" t="str">
        <f t="shared" ca="1" si="212"/>
        <v/>
      </c>
    </row>
    <row r="1752" spans="1:10" x14ac:dyDescent="0.25">
      <c r="A1752" t="s">
        <v>309</v>
      </c>
      <c r="B1752" t="str">
        <f>ADDRESS(ROW('Bond 1'!$C$30),COLUMN('Bond 1'!$C$30),4)</f>
        <v>C30</v>
      </c>
      <c r="C1752" t="str">
        <f>ADDRESS(ROW('Bond 1'!$D$30),COLUMN('Bond 1'!$D$30),4)</f>
        <v>D30</v>
      </c>
      <c r="D1752" t="b" cm="1">
        <f t="array" aca="1" ref="D1752" ca="1">IF(INDIRECT("'"&amp;A1752&amp;"'!"&amp;B1752)="",FALSE,IF(INDIRECT("'"&amp;A1752&amp;"'!"&amp;B1752)&lt;0,TRUE,FALSE))</f>
        <v>0</v>
      </c>
      <c r="E1752" t="s">
        <v>434</v>
      </c>
      <c r="F1752" t="str">
        <f>INDEX(Lists!I:I,MATCH(Validation!E1752,Lists!G:G,0))</f>
        <v>Error</v>
      </c>
      <c r="G1752" t="str">
        <f>INDEX(Lists!H:H,MATCH(Validation!E1752,Lists!G:G,0))</f>
        <v>Amount may not be negative. Enter an amount greater than or equal to zero.</v>
      </c>
      <c r="H1752" s="25" t="str">
        <f t="shared" ca="1" si="210"/>
        <v/>
      </c>
      <c r="I1752" s="25" t="str">
        <f t="shared" ca="1" si="211"/>
        <v/>
      </c>
      <c r="J1752" s="26" t="str">
        <f t="shared" ca="1" si="212"/>
        <v/>
      </c>
    </row>
    <row r="1753" spans="1:10" x14ac:dyDescent="0.25">
      <c r="A1753" t="s">
        <v>310</v>
      </c>
      <c r="B1753" t="str">
        <f>ADDRESS(ROW('Bond 1'!$C$30),COLUMN('Bond 1'!$C$30),4)</f>
        <v>C30</v>
      </c>
      <c r="C1753" t="str">
        <f>ADDRESS(ROW('Bond 1'!$D$30),COLUMN('Bond 1'!$D$30),4)</f>
        <v>D30</v>
      </c>
      <c r="D1753" t="b" cm="1">
        <f t="array" aca="1" ref="D1753" ca="1">IF(INDIRECT("'"&amp;A1753&amp;"'!"&amp;B1753)="",FALSE,IF(INDIRECT("'"&amp;A1753&amp;"'!"&amp;B1753)&lt;0,TRUE,FALSE))</f>
        <v>0</v>
      </c>
      <c r="E1753" t="s">
        <v>434</v>
      </c>
      <c r="F1753" t="str">
        <f>INDEX(Lists!I:I,MATCH(Validation!E1753,Lists!G:G,0))</f>
        <v>Error</v>
      </c>
      <c r="G1753" t="str">
        <f>INDEX(Lists!H:H,MATCH(Validation!E1753,Lists!G:G,0))</f>
        <v>Amount may not be negative. Enter an amount greater than or equal to zero.</v>
      </c>
      <c r="H1753" s="25" t="str">
        <f t="shared" ca="1" si="210"/>
        <v/>
      </c>
      <c r="I1753" s="25" t="str">
        <f t="shared" ca="1" si="211"/>
        <v/>
      </c>
      <c r="J1753" s="26" t="str">
        <f t="shared" ca="1" si="212"/>
        <v/>
      </c>
    </row>
    <row r="1754" spans="1:10" x14ac:dyDescent="0.25">
      <c r="A1754" t="s">
        <v>311</v>
      </c>
      <c r="B1754" t="str">
        <f>ADDRESS(ROW('Bond 1'!$C$30),COLUMN('Bond 1'!$C$30),4)</f>
        <v>C30</v>
      </c>
      <c r="C1754" t="str">
        <f>ADDRESS(ROW('Bond 1'!$D$30),COLUMN('Bond 1'!$D$30),4)</f>
        <v>D30</v>
      </c>
      <c r="D1754" t="b" cm="1">
        <f t="array" aca="1" ref="D1754" ca="1">IF(INDIRECT("'"&amp;A1754&amp;"'!"&amp;B1754)="",FALSE,IF(INDIRECT("'"&amp;A1754&amp;"'!"&amp;B1754)&lt;0,TRUE,FALSE))</f>
        <v>0</v>
      </c>
      <c r="E1754" t="s">
        <v>434</v>
      </c>
      <c r="F1754" t="str">
        <f>INDEX(Lists!I:I,MATCH(Validation!E1754,Lists!G:G,0))</f>
        <v>Error</v>
      </c>
      <c r="G1754" t="str">
        <f>INDEX(Lists!H:H,MATCH(Validation!E1754,Lists!G:G,0))</f>
        <v>Amount may not be negative. Enter an amount greater than or equal to zero.</v>
      </c>
      <c r="H1754" s="25" t="str">
        <f t="shared" ca="1" si="210"/>
        <v/>
      </c>
      <c r="I1754" s="25" t="str">
        <f t="shared" ca="1" si="211"/>
        <v/>
      </c>
      <c r="J1754" s="26" t="str">
        <f t="shared" ca="1" si="212"/>
        <v/>
      </c>
    </row>
    <row r="1755" spans="1:10" x14ac:dyDescent="0.25">
      <c r="A1755" t="s">
        <v>312</v>
      </c>
      <c r="B1755" t="str">
        <f>ADDRESS(ROW('Bond 1'!$C$30),COLUMN('Bond 1'!$C$30),4)</f>
        <v>C30</v>
      </c>
      <c r="C1755" t="str">
        <f>ADDRESS(ROW('Bond 1'!$D$30),COLUMN('Bond 1'!$D$30),4)</f>
        <v>D30</v>
      </c>
      <c r="D1755" t="b" cm="1">
        <f t="array" aca="1" ref="D1755" ca="1">IF(INDIRECT("'"&amp;A1755&amp;"'!"&amp;B1755)="",FALSE,IF(INDIRECT("'"&amp;A1755&amp;"'!"&amp;B1755)&lt;0,TRUE,FALSE))</f>
        <v>0</v>
      </c>
      <c r="E1755" t="s">
        <v>434</v>
      </c>
      <c r="F1755" t="str">
        <f>INDEX(Lists!I:I,MATCH(Validation!E1755,Lists!G:G,0))</f>
        <v>Error</v>
      </c>
      <c r="G1755" t="str">
        <f>INDEX(Lists!H:H,MATCH(Validation!E1755,Lists!G:G,0))</f>
        <v>Amount may not be negative. Enter an amount greater than or equal to zero.</v>
      </c>
      <c r="H1755" s="25" t="str">
        <f t="shared" ca="1" si="210"/>
        <v/>
      </c>
      <c r="I1755" s="25" t="str">
        <f t="shared" ca="1" si="211"/>
        <v/>
      </c>
      <c r="J1755" s="26" t="str">
        <f t="shared" ca="1" si="212"/>
        <v/>
      </c>
    </row>
    <row r="1756" spans="1:10" x14ac:dyDescent="0.25">
      <c r="A1756" t="s">
        <v>313</v>
      </c>
      <c r="B1756" t="str">
        <f>ADDRESS(ROW('Bond 1'!$C$30),COLUMN('Bond 1'!$C$30),4)</f>
        <v>C30</v>
      </c>
      <c r="C1756" t="str">
        <f>ADDRESS(ROW('Bond 1'!$D$30),COLUMN('Bond 1'!$D$30),4)</f>
        <v>D30</v>
      </c>
      <c r="D1756" t="b" cm="1">
        <f t="array" aca="1" ref="D1756" ca="1">IF(INDIRECT("'"&amp;A1756&amp;"'!"&amp;B1756)="",FALSE,IF(INDIRECT("'"&amp;A1756&amp;"'!"&amp;B1756)&lt;0,TRUE,FALSE))</f>
        <v>0</v>
      </c>
      <c r="E1756" t="s">
        <v>434</v>
      </c>
      <c r="F1756" t="str">
        <f>INDEX(Lists!I:I,MATCH(Validation!E1756,Lists!G:G,0))</f>
        <v>Error</v>
      </c>
      <c r="G1756" t="str">
        <f>INDEX(Lists!H:H,MATCH(Validation!E1756,Lists!G:G,0))</f>
        <v>Amount may not be negative. Enter an amount greater than or equal to zero.</v>
      </c>
      <c r="H1756" s="25" t="str">
        <f t="shared" ca="1" si="210"/>
        <v/>
      </c>
      <c r="I1756" s="25" t="str">
        <f t="shared" ca="1" si="211"/>
        <v/>
      </c>
      <c r="J1756" s="26" t="str">
        <f t="shared" ca="1" si="212"/>
        <v/>
      </c>
    </row>
    <row r="1757" spans="1:10" x14ac:dyDescent="0.25">
      <c r="A1757" t="s">
        <v>314</v>
      </c>
      <c r="B1757" t="str">
        <f>ADDRESS(ROW('Bond 1'!$C$30),COLUMN('Bond 1'!$C$30),4)</f>
        <v>C30</v>
      </c>
      <c r="C1757" t="str">
        <f>ADDRESS(ROW('Bond 1'!$D$30),COLUMN('Bond 1'!$D$30),4)</f>
        <v>D30</v>
      </c>
      <c r="D1757" t="b" cm="1">
        <f t="array" aca="1" ref="D1757" ca="1">IF(INDIRECT("'"&amp;A1757&amp;"'!"&amp;B1757)="",FALSE,IF(INDIRECT("'"&amp;A1757&amp;"'!"&amp;B1757)&lt;0,TRUE,FALSE))</f>
        <v>0</v>
      </c>
      <c r="E1757" t="s">
        <v>434</v>
      </c>
      <c r="F1757" t="str">
        <f>INDEX(Lists!I:I,MATCH(Validation!E1757,Lists!G:G,0))</f>
        <v>Error</v>
      </c>
      <c r="G1757" t="str">
        <f>INDEX(Lists!H:H,MATCH(Validation!E1757,Lists!G:G,0))</f>
        <v>Amount may not be negative. Enter an amount greater than or equal to zero.</v>
      </c>
      <c r="H1757" s="25" t="str">
        <f t="shared" ca="1" si="210"/>
        <v/>
      </c>
      <c r="I1757" s="25" t="str">
        <f t="shared" ca="1" si="211"/>
        <v/>
      </c>
      <c r="J1757" s="26" t="str">
        <f t="shared" ca="1" si="212"/>
        <v/>
      </c>
    </row>
    <row r="1758" spans="1:10" x14ac:dyDescent="0.25">
      <c r="A1758" t="s">
        <v>315</v>
      </c>
      <c r="B1758" t="str">
        <f>ADDRESS(ROW('Bond 1'!$C$30),COLUMN('Bond 1'!$C$30),4)</f>
        <v>C30</v>
      </c>
      <c r="C1758" t="str">
        <f>ADDRESS(ROW('Bond 1'!$D$30),COLUMN('Bond 1'!$D$30),4)</f>
        <v>D30</v>
      </c>
      <c r="D1758" t="b" cm="1">
        <f t="array" aca="1" ref="D1758" ca="1">IF(INDIRECT("'"&amp;A1758&amp;"'!"&amp;B1758)="",FALSE,IF(INDIRECT("'"&amp;A1758&amp;"'!"&amp;B1758)&lt;0,TRUE,FALSE))</f>
        <v>0</v>
      </c>
      <c r="E1758" t="s">
        <v>434</v>
      </c>
      <c r="F1758" t="str">
        <f>INDEX(Lists!I:I,MATCH(Validation!E1758,Lists!G:G,0))</f>
        <v>Error</v>
      </c>
      <c r="G1758" t="str">
        <f>INDEX(Lists!H:H,MATCH(Validation!E1758,Lists!G:G,0))</f>
        <v>Amount may not be negative. Enter an amount greater than or equal to zero.</v>
      </c>
      <c r="H1758" s="25" t="str">
        <f t="shared" ca="1" si="210"/>
        <v/>
      </c>
      <c r="I1758" s="25" t="str">
        <f t="shared" ca="1" si="211"/>
        <v/>
      </c>
      <c r="J1758" s="26" t="str">
        <f t="shared" ca="1" si="212"/>
        <v/>
      </c>
    </row>
    <row r="1759" spans="1:10" x14ac:dyDescent="0.25">
      <c r="A1759" t="s">
        <v>198</v>
      </c>
      <c r="B1759" t="str">
        <f>ADDRESS(ROW('Bond 1'!$C$30),COLUMN('Bond 1'!$C$30),4)</f>
        <v>C30</v>
      </c>
      <c r="C1759" t="str">
        <f>ADDRESS(ROW('Bond 1'!$D$30),COLUMN('Bond 1'!$D$30),4)</f>
        <v>D30</v>
      </c>
      <c r="D1759" t="b" cm="1">
        <f t="array" aca="1" ref="D1759" ca="1">IF(INDIRECT("'"&amp;A1759&amp;"'!"&amp;B1759)="",FALSE,IF(TRUNC(INDIRECT("'"&amp;A1759&amp;"'!"&amp;B1759))=INDIRECT("'"&amp;A1759&amp;"'!"&amp;B1759),FALSE,TRUE))</f>
        <v>0</v>
      </c>
      <c r="E1759" t="s">
        <v>436</v>
      </c>
      <c r="F1759" t="str">
        <f>INDEX(Lists!I:I,MATCH(Validation!E1759,Lists!G:G,0))</f>
        <v>Error</v>
      </c>
      <c r="G1759" t="str">
        <f>INDEX(Lists!H:H,MATCH(Validation!E1759,Lists!G:G,0))</f>
        <v>Amount must be rounded to the nearest dollar.</v>
      </c>
      <c r="H1759" s="25" t="str">
        <f t="shared" ca="1" si="210"/>
        <v/>
      </c>
      <c r="I1759" s="25" t="str">
        <f t="shared" ca="1" si="211"/>
        <v/>
      </c>
      <c r="J1759" s="26" t="str">
        <f t="shared" ca="1" si="212"/>
        <v/>
      </c>
    </row>
    <row r="1760" spans="1:10" x14ac:dyDescent="0.25">
      <c r="A1760" t="s">
        <v>302</v>
      </c>
      <c r="B1760" t="str">
        <f>ADDRESS(ROW('Bond 1'!$C$30),COLUMN('Bond 1'!$C$30),4)</f>
        <v>C30</v>
      </c>
      <c r="C1760" t="str">
        <f>ADDRESS(ROW('Bond 1'!$D$30),COLUMN('Bond 1'!$D$30),4)</f>
        <v>D30</v>
      </c>
      <c r="D1760" t="b" cm="1">
        <f t="array" aca="1" ref="D1760" ca="1">IF(INDIRECT("'"&amp;A1760&amp;"'!"&amp;B1760)="",FALSE,IF(TRUNC(INDIRECT("'"&amp;A1760&amp;"'!"&amp;B1760))=INDIRECT("'"&amp;A1760&amp;"'!"&amp;B1760),FALSE,TRUE))</f>
        <v>0</v>
      </c>
      <c r="E1760" t="s">
        <v>436</v>
      </c>
      <c r="F1760" t="str">
        <f>INDEX(Lists!I:I,MATCH(Validation!E1760,Lists!G:G,0))</f>
        <v>Error</v>
      </c>
      <c r="G1760" t="str">
        <f>INDEX(Lists!H:H,MATCH(Validation!E1760,Lists!G:G,0))</f>
        <v>Amount must be rounded to the nearest dollar.</v>
      </c>
      <c r="H1760" s="25" t="str">
        <f t="shared" ca="1" si="210"/>
        <v/>
      </c>
      <c r="I1760" s="25" t="str">
        <f t="shared" ca="1" si="211"/>
        <v/>
      </c>
      <c r="J1760" s="26" t="str">
        <f t="shared" ca="1" si="212"/>
        <v/>
      </c>
    </row>
    <row r="1761" spans="1:10" x14ac:dyDescent="0.25">
      <c r="A1761" t="s">
        <v>303</v>
      </c>
      <c r="B1761" t="str">
        <f>ADDRESS(ROW('Bond 1'!$C$30),COLUMN('Bond 1'!$C$30),4)</f>
        <v>C30</v>
      </c>
      <c r="C1761" t="str">
        <f>ADDRESS(ROW('Bond 1'!$D$30),COLUMN('Bond 1'!$D$30),4)</f>
        <v>D30</v>
      </c>
      <c r="D1761" t="b" cm="1">
        <f t="array" aca="1" ref="D1761" ca="1">IF(INDIRECT("'"&amp;A1761&amp;"'!"&amp;B1761)="",FALSE,IF(TRUNC(INDIRECT("'"&amp;A1761&amp;"'!"&amp;B1761))=INDIRECT("'"&amp;A1761&amp;"'!"&amp;B1761),FALSE,TRUE))</f>
        <v>0</v>
      </c>
      <c r="E1761" t="s">
        <v>436</v>
      </c>
      <c r="F1761" t="str">
        <f>INDEX(Lists!I:I,MATCH(Validation!E1761,Lists!G:G,0))</f>
        <v>Error</v>
      </c>
      <c r="G1761" t="str">
        <f>INDEX(Lists!H:H,MATCH(Validation!E1761,Lists!G:G,0))</f>
        <v>Amount must be rounded to the nearest dollar.</v>
      </c>
      <c r="H1761" s="25" t="str">
        <f t="shared" ca="1" si="210"/>
        <v/>
      </c>
      <c r="I1761" s="25" t="str">
        <f t="shared" ca="1" si="211"/>
        <v/>
      </c>
      <c r="J1761" s="26" t="str">
        <f t="shared" ca="1" si="212"/>
        <v/>
      </c>
    </row>
    <row r="1762" spans="1:10" x14ac:dyDescent="0.25">
      <c r="A1762" t="s">
        <v>304</v>
      </c>
      <c r="B1762" t="str">
        <f>ADDRESS(ROW('Bond 1'!$C$30),COLUMN('Bond 1'!$C$30),4)</f>
        <v>C30</v>
      </c>
      <c r="C1762" t="str">
        <f>ADDRESS(ROW('Bond 1'!$D$30),COLUMN('Bond 1'!$D$30),4)</f>
        <v>D30</v>
      </c>
      <c r="D1762" t="b" cm="1">
        <f t="array" aca="1" ref="D1762" ca="1">IF(INDIRECT("'"&amp;A1762&amp;"'!"&amp;B1762)="",FALSE,IF(TRUNC(INDIRECT("'"&amp;A1762&amp;"'!"&amp;B1762))=INDIRECT("'"&amp;A1762&amp;"'!"&amp;B1762),FALSE,TRUE))</f>
        <v>0</v>
      </c>
      <c r="E1762" t="s">
        <v>436</v>
      </c>
      <c r="F1762" t="str">
        <f>INDEX(Lists!I:I,MATCH(Validation!E1762,Lists!G:G,0))</f>
        <v>Error</v>
      </c>
      <c r="G1762" t="str">
        <f>INDEX(Lists!H:H,MATCH(Validation!E1762,Lists!G:G,0))</f>
        <v>Amount must be rounded to the nearest dollar.</v>
      </c>
      <c r="H1762" s="25" t="str">
        <f t="shared" ca="1" si="210"/>
        <v/>
      </c>
      <c r="I1762" s="25" t="str">
        <f t="shared" ca="1" si="211"/>
        <v/>
      </c>
      <c r="J1762" s="26" t="str">
        <f t="shared" ca="1" si="212"/>
        <v/>
      </c>
    </row>
    <row r="1763" spans="1:10" x14ac:dyDescent="0.25">
      <c r="A1763" t="s">
        <v>305</v>
      </c>
      <c r="B1763" t="str">
        <f>ADDRESS(ROW('Bond 1'!$C$30),COLUMN('Bond 1'!$C$30),4)</f>
        <v>C30</v>
      </c>
      <c r="C1763" t="str">
        <f>ADDRESS(ROW('Bond 1'!$D$30),COLUMN('Bond 1'!$D$30),4)</f>
        <v>D30</v>
      </c>
      <c r="D1763" t="b" cm="1">
        <f t="array" aca="1" ref="D1763" ca="1">IF(INDIRECT("'"&amp;A1763&amp;"'!"&amp;B1763)="",FALSE,IF(TRUNC(INDIRECT("'"&amp;A1763&amp;"'!"&amp;B1763))=INDIRECT("'"&amp;A1763&amp;"'!"&amp;B1763),FALSE,TRUE))</f>
        <v>0</v>
      </c>
      <c r="E1763" t="s">
        <v>436</v>
      </c>
      <c r="F1763" t="str">
        <f>INDEX(Lists!I:I,MATCH(Validation!E1763,Lists!G:G,0))</f>
        <v>Error</v>
      </c>
      <c r="G1763" t="str">
        <f>INDEX(Lists!H:H,MATCH(Validation!E1763,Lists!G:G,0))</f>
        <v>Amount must be rounded to the nearest dollar.</v>
      </c>
      <c r="H1763" s="25" t="str">
        <f t="shared" ca="1" si="210"/>
        <v/>
      </c>
      <c r="I1763" s="25" t="str">
        <f t="shared" ca="1" si="211"/>
        <v/>
      </c>
      <c r="J1763" s="26" t="str">
        <f t="shared" ca="1" si="212"/>
        <v/>
      </c>
    </row>
    <row r="1764" spans="1:10" x14ac:dyDescent="0.25">
      <c r="A1764" t="s">
        <v>306</v>
      </c>
      <c r="B1764" t="str">
        <f>ADDRESS(ROW('Bond 1'!$C$30),COLUMN('Bond 1'!$C$30),4)</f>
        <v>C30</v>
      </c>
      <c r="C1764" t="str">
        <f>ADDRESS(ROW('Bond 1'!$D$30),COLUMN('Bond 1'!$D$30),4)</f>
        <v>D30</v>
      </c>
      <c r="D1764" t="b" cm="1">
        <f t="array" aca="1" ref="D1764" ca="1">IF(INDIRECT("'"&amp;A1764&amp;"'!"&amp;B1764)="",FALSE,IF(TRUNC(INDIRECT("'"&amp;A1764&amp;"'!"&amp;B1764))=INDIRECT("'"&amp;A1764&amp;"'!"&amp;B1764),FALSE,TRUE))</f>
        <v>0</v>
      </c>
      <c r="E1764" t="s">
        <v>436</v>
      </c>
      <c r="F1764" t="str">
        <f>INDEX(Lists!I:I,MATCH(Validation!E1764,Lists!G:G,0))</f>
        <v>Error</v>
      </c>
      <c r="G1764" t="str">
        <f>INDEX(Lists!H:H,MATCH(Validation!E1764,Lists!G:G,0))</f>
        <v>Amount must be rounded to the nearest dollar.</v>
      </c>
      <c r="H1764" s="25" t="str">
        <f t="shared" ca="1" si="210"/>
        <v/>
      </c>
      <c r="I1764" s="25" t="str">
        <f t="shared" ca="1" si="211"/>
        <v/>
      </c>
      <c r="J1764" s="26" t="str">
        <f t="shared" ca="1" si="212"/>
        <v/>
      </c>
    </row>
    <row r="1765" spans="1:10" x14ac:dyDescent="0.25">
      <c r="A1765" t="s">
        <v>307</v>
      </c>
      <c r="B1765" t="str">
        <f>ADDRESS(ROW('Bond 1'!$C$30),COLUMN('Bond 1'!$C$30),4)</f>
        <v>C30</v>
      </c>
      <c r="C1765" t="str">
        <f>ADDRESS(ROW('Bond 1'!$D$30),COLUMN('Bond 1'!$D$30),4)</f>
        <v>D30</v>
      </c>
      <c r="D1765" t="b" cm="1">
        <f t="array" aca="1" ref="D1765" ca="1">IF(INDIRECT("'"&amp;A1765&amp;"'!"&amp;B1765)="",FALSE,IF(TRUNC(INDIRECT("'"&amp;A1765&amp;"'!"&amp;B1765))=INDIRECT("'"&amp;A1765&amp;"'!"&amp;B1765),FALSE,TRUE))</f>
        <v>0</v>
      </c>
      <c r="E1765" t="s">
        <v>436</v>
      </c>
      <c r="F1765" t="str">
        <f>INDEX(Lists!I:I,MATCH(Validation!E1765,Lists!G:G,0))</f>
        <v>Error</v>
      </c>
      <c r="G1765" t="str">
        <f>INDEX(Lists!H:H,MATCH(Validation!E1765,Lists!G:G,0))</f>
        <v>Amount must be rounded to the nearest dollar.</v>
      </c>
      <c r="H1765" s="25" t="str">
        <f t="shared" ca="1" si="210"/>
        <v/>
      </c>
      <c r="I1765" s="25" t="str">
        <f t="shared" ca="1" si="211"/>
        <v/>
      </c>
      <c r="J1765" s="26" t="str">
        <f t="shared" ca="1" si="212"/>
        <v/>
      </c>
    </row>
    <row r="1766" spans="1:10" x14ac:dyDescent="0.25">
      <c r="A1766" t="s">
        <v>308</v>
      </c>
      <c r="B1766" t="str">
        <f>ADDRESS(ROW('Bond 1'!$C$30),COLUMN('Bond 1'!$C$30),4)</f>
        <v>C30</v>
      </c>
      <c r="C1766" t="str">
        <f>ADDRESS(ROW('Bond 1'!$D$30),COLUMN('Bond 1'!$D$30),4)</f>
        <v>D30</v>
      </c>
      <c r="D1766" t="b" cm="1">
        <f t="array" aca="1" ref="D1766" ca="1">IF(INDIRECT("'"&amp;A1766&amp;"'!"&amp;B1766)="",FALSE,IF(TRUNC(INDIRECT("'"&amp;A1766&amp;"'!"&amp;B1766))=INDIRECT("'"&amp;A1766&amp;"'!"&amp;B1766),FALSE,TRUE))</f>
        <v>0</v>
      </c>
      <c r="E1766" t="s">
        <v>436</v>
      </c>
      <c r="F1766" t="str">
        <f>INDEX(Lists!I:I,MATCH(Validation!E1766,Lists!G:G,0))</f>
        <v>Error</v>
      </c>
      <c r="G1766" t="str">
        <f>INDEX(Lists!H:H,MATCH(Validation!E1766,Lists!G:G,0))</f>
        <v>Amount must be rounded to the nearest dollar.</v>
      </c>
      <c r="H1766" s="25" t="str">
        <f t="shared" ca="1" si="210"/>
        <v/>
      </c>
      <c r="I1766" s="25" t="str">
        <f t="shared" ca="1" si="211"/>
        <v/>
      </c>
      <c r="J1766" s="26" t="str">
        <f t="shared" ca="1" si="212"/>
        <v/>
      </c>
    </row>
    <row r="1767" spans="1:10" x14ac:dyDescent="0.25">
      <c r="A1767" t="s">
        <v>309</v>
      </c>
      <c r="B1767" t="str">
        <f>ADDRESS(ROW('Bond 1'!$C$30),COLUMN('Bond 1'!$C$30),4)</f>
        <v>C30</v>
      </c>
      <c r="C1767" t="str">
        <f>ADDRESS(ROW('Bond 1'!$D$30),COLUMN('Bond 1'!$D$30),4)</f>
        <v>D30</v>
      </c>
      <c r="D1767" t="b" cm="1">
        <f t="array" aca="1" ref="D1767" ca="1">IF(INDIRECT("'"&amp;A1767&amp;"'!"&amp;B1767)="",FALSE,IF(TRUNC(INDIRECT("'"&amp;A1767&amp;"'!"&amp;B1767))=INDIRECT("'"&amp;A1767&amp;"'!"&amp;B1767),FALSE,TRUE))</f>
        <v>0</v>
      </c>
      <c r="E1767" t="s">
        <v>436</v>
      </c>
      <c r="F1767" t="str">
        <f>INDEX(Lists!I:I,MATCH(Validation!E1767,Lists!G:G,0))</f>
        <v>Error</v>
      </c>
      <c r="G1767" t="str">
        <f>INDEX(Lists!H:H,MATCH(Validation!E1767,Lists!G:G,0))</f>
        <v>Amount must be rounded to the nearest dollar.</v>
      </c>
      <c r="H1767" s="25" t="str">
        <f t="shared" ca="1" si="210"/>
        <v/>
      </c>
      <c r="I1767" s="25" t="str">
        <f t="shared" ca="1" si="211"/>
        <v/>
      </c>
      <c r="J1767" s="26" t="str">
        <f t="shared" ca="1" si="212"/>
        <v/>
      </c>
    </row>
    <row r="1768" spans="1:10" x14ac:dyDescent="0.25">
      <c r="A1768" t="s">
        <v>310</v>
      </c>
      <c r="B1768" t="str">
        <f>ADDRESS(ROW('Bond 1'!$C$30),COLUMN('Bond 1'!$C$30),4)</f>
        <v>C30</v>
      </c>
      <c r="C1768" t="str">
        <f>ADDRESS(ROW('Bond 1'!$D$30),COLUMN('Bond 1'!$D$30),4)</f>
        <v>D30</v>
      </c>
      <c r="D1768" t="b" cm="1">
        <f t="array" aca="1" ref="D1768" ca="1">IF(INDIRECT("'"&amp;A1768&amp;"'!"&amp;B1768)="",FALSE,IF(TRUNC(INDIRECT("'"&amp;A1768&amp;"'!"&amp;B1768))=INDIRECT("'"&amp;A1768&amp;"'!"&amp;B1768),FALSE,TRUE))</f>
        <v>0</v>
      </c>
      <c r="E1768" t="s">
        <v>436</v>
      </c>
      <c r="F1768" t="str">
        <f>INDEX(Lists!I:I,MATCH(Validation!E1768,Lists!G:G,0))</f>
        <v>Error</v>
      </c>
      <c r="G1768" t="str">
        <f>INDEX(Lists!H:H,MATCH(Validation!E1768,Lists!G:G,0))</f>
        <v>Amount must be rounded to the nearest dollar.</v>
      </c>
      <c r="H1768" s="25" t="str">
        <f t="shared" ca="1" si="210"/>
        <v/>
      </c>
      <c r="I1768" s="25" t="str">
        <f t="shared" ca="1" si="211"/>
        <v/>
      </c>
      <c r="J1768" s="26" t="str">
        <f t="shared" ca="1" si="212"/>
        <v/>
      </c>
    </row>
    <row r="1769" spans="1:10" x14ac:dyDescent="0.25">
      <c r="A1769" t="s">
        <v>311</v>
      </c>
      <c r="B1769" t="str">
        <f>ADDRESS(ROW('Bond 1'!$C$30),COLUMN('Bond 1'!$C$30),4)</f>
        <v>C30</v>
      </c>
      <c r="C1769" t="str">
        <f>ADDRESS(ROW('Bond 1'!$D$30),COLUMN('Bond 1'!$D$30),4)</f>
        <v>D30</v>
      </c>
      <c r="D1769" t="b" cm="1">
        <f t="array" aca="1" ref="D1769" ca="1">IF(INDIRECT("'"&amp;A1769&amp;"'!"&amp;B1769)="",FALSE,IF(TRUNC(INDIRECT("'"&amp;A1769&amp;"'!"&amp;B1769))=INDIRECT("'"&amp;A1769&amp;"'!"&amp;B1769),FALSE,TRUE))</f>
        <v>0</v>
      </c>
      <c r="E1769" t="s">
        <v>436</v>
      </c>
      <c r="F1769" t="str">
        <f>INDEX(Lists!I:I,MATCH(Validation!E1769,Lists!G:G,0))</f>
        <v>Error</v>
      </c>
      <c r="G1769" t="str">
        <f>INDEX(Lists!H:H,MATCH(Validation!E1769,Lists!G:G,0))</f>
        <v>Amount must be rounded to the nearest dollar.</v>
      </c>
      <c r="H1769" s="25" t="str">
        <f t="shared" ca="1" si="210"/>
        <v/>
      </c>
      <c r="I1769" s="25" t="str">
        <f t="shared" ca="1" si="211"/>
        <v/>
      </c>
      <c r="J1769" s="26" t="str">
        <f t="shared" ca="1" si="212"/>
        <v/>
      </c>
    </row>
    <row r="1770" spans="1:10" x14ac:dyDescent="0.25">
      <c r="A1770" t="s">
        <v>312</v>
      </c>
      <c r="B1770" t="str">
        <f>ADDRESS(ROW('Bond 1'!$C$30),COLUMN('Bond 1'!$C$30),4)</f>
        <v>C30</v>
      </c>
      <c r="C1770" t="str">
        <f>ADDRESS(ROW('Bond 1'!$D$30),COLUMN('Bond 1'!$D$30),4)</f>
        <v>D30</v>
      </c>
      <c r="D1770" t="b" cm="1">
        <f t="array" aca="1" ref="D1770" ca="1">IF(INDIRECT("'"&amp;A1770&amp;"'!"&amp;B1770)="",FALSE,IF(TRUNC(INDIRECT("'"&amp;A1770&amp;"'!"&amp;B1770))=INDIRECT("'"&amp;A1770&amp;"'!"&amp;B1770),FALSE,TRUE))</f>
        <v>0</v>
      </c>
      <c r="E1770" t="s">
        <v>436</v>
      </c>
      <c r="F1770" t="str">
        <f>INDEX(Lists!I:I,MATCH(Validation!E1770,Lists!G:G,0))</f>
        <v>Error</v>
      </c>
      <c r="G1770" t="str">
        <f>INDEX(Lists!H:H,MATCH(Validation!E1770,Lists!G:G,0))</f>
        <v>Amount must be rounded to the nearest dollar.</v>
      </c>
      <c r="H1770" s="25" t="str">
        <f t="shared" ca="1" si="210"/>
        <v/>
      </c>
      <c r="I1770" s="25" t="str">
        <f t="shared" ca="1" si="211"/>
        <v/>
      </c>
      <c r="J1770" s="26" t="str">
        <f t="shared" ca="1" si="212"/>
        <v/>
      </c>
    </row>
    <row r="1771" spans="1:10" x14ac:dyDescent="0.25">
      <c r="A1771" t="s">
        <v>313</v>
      </c>
      <c r="B1771" t="str">
        <f>ADDRESS(ROW('Bond 1'!$C$30),COLUMN('Bond 1'!$C$30),4)</f>
        <v>C30</v>
      </c>
      <c r="C1771" t="str">
        <f>ADDRESS(ROW('Bond 1'!$D$30),COLUMN('Bond 1'!$D$30),4)</f>
        <v>D30</v>
      </c>
      <c r="D1771" t="b" cm="1">
        <f t="array" aca="1" ref="D1771" ca="1">IF(INDIRECT("'"&amp;A1771&amp;"'!"&amp;B1771)="",FALSE,IF(TRUNC(INDIRECT("'"&amp;A1771&amp;"'!"&amp;B1771))=INDIRECT("'"&amp;A1771&amp;"'!"&amp;B1771),FALSE,TRUE))</f>
        <v>0</v>
      </c>
      <c r="E1771" t="s">
        <v>436</v>
      </c>
      <c r="F1771" t="str">
        <f>INDEX(Lists!I:I,MATCH(Validation!E1771,Lists!G:G,0))</f>
        <v>Error</v>
      </c>
      <c r="G1771" t="str">
        <f>INDEX(Lists!H:H,MATCH(Validation!E1771,Lists!G:G,0))</f>
        <v>Amount must be rounded to the nearest dollar.</v>
      </c>
      <c r="H1771" s="25" t="str">
        <f t="shared" ca="1" si="210"/>
        <v/>
      </c>
      <c r="I1771" s="25" t="str">
        <f t="shared" ca="1" si="211"/>
        <v/>
      </c>
      <c r="J1771" s="26" t="str">
        <f t="shared" ca="1" si="212"/>
        <v/>
      </c>
    </row>
    <row r="1772" spans="1:10" x14ac:dyDescent="0.25">
      <c r="A1772" t="s">
        <v>314</v>
      </c>
      <c r="B1772" t="str">
        <f>ADDRESS(ROW('Bond 1'!$C$30),COLUMN('Bond 1'!$C$30),4)</f>
        <v>C30</v>
      </c>
      <c r="C1772" t="str">
        <f>ADDRESS(ROW('Bond 1'!$D$30),COLUMN('Bond 1'!$D$30),4)</f>
        <v>D30</v>
      </c>
      <c r="D1772" t="b" cm="1">
        <f t="array" aca="1" ref="D1772" ca="1">IF(INDIRECT("'"&amp;A1772&amp;"'!"&amp;B1772)="",FALSE,IF(TRUNC(INDIRECT("'"&amp;A1772&amp;"'!"&amp;B1772))=INDIRECT("'"&amp;A1772&amp;"'!"&amp;B1772),FALSE,TRUE))</f>
        <v>0</v>
      </c>
      <c r="E1772" t="s">
        <v>436</v>
      </c>
      <c r="F1772" t="str">
        <f>INDEX(Lists!I:I,MATCH(Validation!E1772,Lists!G:G,0))</f>
        <v>Error</v>
      </c>
      <c r="G1772" t="str">
        <f>INDEX(Lists!H:H,MATCH(Validation!E1772,Lists!G:G,0))</f>
        <v>Amount must be rounded to the nearest dollar.</v>
      </c>
      <c r="H1772" s="25" t="str">
        <f t="shared" ca="1" si="210"/>
        <v/>
      </c>
      <c r="I1772" s="25" t="str">
        <f t="shared" ca="1" si="211"/>
        <v/>
      </c>
      <c r="J1772" s="26" t="str">
        <f t="shared" ca="1" si="212"/>
        <v/>
      </c>
    </row>
    <row r="1773" spans="1:10" x14ac:dyDescent="0.25">
      <c r="A1773" t="s">
        <v>315</v>
      </c>
      <c r="B1773" t="str">
        <f>ADDRESS(ROW('Bond 1'!$C$30),COLUMN('Bond 1'!$C$30),4)</f>
        <v>C30</v>
      </c>
      <c r="C1773" t="str">
        <f>ADDRESS(ROW('Bond 1'!$D$30),COLUMN('Bond 1'!$D$30),4)</f>
        <v>D30</v>
      </c>
      <c r="D1773" t="b" cm="1">
        <f t="array" aca="1" ref="D1773" ca="1">IF(INDIRECT("'"&amp;A1773&amp;"'!"&amp;B1773)="",FALSE,IF(TRUNC(INDIRECT("'"&amp;A1773&amp;"'!"&amp;B1773))=INDIRECT("'"&amp;A1773&amp;"'!"&amp;B1773),FALSE,TRUE))</f>
        <v>0</v>
      </c>
      <c r="E1773" t="s">
        <v>436</v>
      </c>
      <c r="F1773" t="str">
        <f>INDEX(Lists!I:I,MATCH(Validation!E1773,Lists!G:G,0))</f>
        <v>Error</v>
      </c>
      <c r="G1773" t="str">
        <f>INDEX(Lists!H:H,MATCH(Validation!E1773,Lists!G:G,0))</f>
        <v>Amount must be rounded to the nearest dollar.</v>
      </c>
      <c r="H1773" s="25" t="str">
        <f t="shared" ca="1" si="210"/>
        <v/>
      </c>
      <c r="I1773" s="25" t="str">
        <f t="shared" ca="1" si="211"/>
        <v/>
      </c>
      <c r="J1773" s="26" t="str">
        <f t="shared" ca="1" si="212"/>
        <v/>
      </c>
    </row>
    <row r="1774" spans="1:10" x14ac:dyDescent="0.25">
      <c r="A1774" t="s">
        <v>198</v>
      </c>
      <c r="B1774" t="str">
        <f>ADDRESS(ROW('Bond 1'!$C$31),COLUMN('Bond 1'!$C$31),4)</f>
        <v>C31</v>
      </c>
      <c r="C1774" t="str">
        <f>ADDRESS(ROW('Bond 1'!$D$31),COLUMN('Bond 1'!$D$31),4)</f>
        <v>D31</v>
      </c>
      <c r="D1774" t="b" cm="1">
        <f t="array" aca="1" ref="D1774" ca="1">IF(INDIRECT("'"&amp;A1774&amp;"'!B$31")+INDIRECT("'"&amp;A1774&amp;"'!C$31")&gt;INDIRECT("'"&amp;A1774&amp;"'!B$16"),TRUE,FALSE)</f>
        <v>0</v>
      </c>
      <c r="E1774" t="s">
        <v>1307</v>
      </c>
      <c r="F1774" t="str">
        <f>INDEX(Lists!I:I,MATCH(Validation!E1774,Lists!G:G,0))</f>
        <v>Error</v>
      </c>
      <c r="G1774" t="str">
        <f>INDEX(Lists!H:H,MATCH(Validation!E1774,Lists!G:G,0))</f>
        <v>Uses cannot exceed total proceeds. Correct entries.</v>
      </c>
      <c r="H1774" s="25" t="str">
        <f t="shared" ref="H1774:H1788" ca="1" si="213">IFERROR(IF(OR(NOT(D1774),F1774&lt;&gt;"Error"),"",A1774&amp;CELL("address",INDIRECT(B1774))),"")</f>
        <v/>
      </c>
      <c r="I1774" s="25" t="str">
        <f t="shared" ref="I1774:I1788" ca="1" si="214">IFERROR(IF(NOT(D1774),"",A1774&amp;CELL("address",INDIRECT(C1774))),"")</f>
        <v/>
      </c>
      <c r="J1774" s="26" t="str">
        <f t="shared" ref="J1774:J1788" ca="1" si="215">IFERROR(IF(NOT(D1774),"",A1774),"")</f>
        <v/>
      </c>
    </row>
    <row r="1775" spans="1:10" x14ac:dyDescent="0.25">
      <c r="A1775" t="s">
        <v>302</v>
      </c>
      <c r="B1775" t="str">
        <f>ADDRESS(ROW('Bond 1'!$C$31),COLUMN('Bond 1'!$C$31),4)</f>
        <v>C31</v>
      </c>
      <c r="C1775" t="str">
        <f>ADDRESS(ROW('Bond 1'!$D$31),COLUMN('Bond 1'!$D$31),4)</f>
        <v>D31</v>
      </c>
      <c r="D1775" t="b" cm="1">
        <f t="array" aca="1" ref="D1775" ca="1">IF(INDIRECT("'"&amp;A1775&amp;"'!B$31")+INDIRECT("'"&amp;A1775&amp;"'!C$31")&gt;INDIRECT("'"&amp;A1775&amp;"'!B$16"),TRUE,FALSE)</f>
        <v>0</v>
      </c>
      <c r="E1775" t="s">
        <v>1307</v>
      </c>
      <c r="F1775" t="str">
        <f>INDEX(Lists!I:I,MATCH(Validation!E1775,Lists!G:G,0))</f>
        <v>Error</v>
      </c>
      <c r="G1775" t="str">
        <f>INDEX(Lists!H:H,MATCH(Validation!E1775,Lists!G:G,0))</f>
        <v>Uses cannot exceed total proceeds. Correct entries.</v>
      </c>
      <c r="H1775" s="25" t="str">
        <f t="shared" ca="1" si="213"/>
        <v/>
      </c>
      <c r="I1775" s="25" t="str">
        <f t="shared" ca="1" si="214"/>
        <v/>
      </c>
      <c r="J1775" s="26" t="str">
        <f t="shared" ca="1" si="215"/>
        <v/>
      </c>
    </row>
    <row r="1776" spans="1:10" x14ac:dyDescent="0.25">
      <c r="A1776" t="s">
        <v>303</v>
      </c>
      <c r="B1776" t="str">
        <f>ADDRESS(ROW('Bond 1'!$C$31),COLUMN('Bond 1'!$C$31),4)</f>
        <v>C31</v>
      </c>
      <c r="C1776" t="str">
        <f>ADDRESS(ROW('Bond 1'!$D$31),COLUMN('Bond 1'!$D$31),4)</f>
        <v>D31</v>
      </c>
      <c r="D1776" t="b" cm="1">
        <f t="array" aca="1" ref="D1776" ca="1">IF(INDIRECT("'"&amp;A1776&amp;"'!B$31")+INDIRECT("'"&amp;A1776&amp;"'!C$31")&gt;INDIRECT("'"&amp;A1776&amp;"'!B$16"),TRUE,FALSE)</f>
        <v>0</v>
      </c>
      <c r="E1776" t="s">
        <v>1307</v>
      </c>
      <c r="F1776" t="str">
        <f>INDEX(Lists!I:I,MATCH(Validation!E1776,Lists!G:G,0))</f>
        <v>Error</v>
      </c>
      <c r="G1776" t="str">
        <f>INDEX(Lists!H:H,MATCH(Validation!E1776,Lists!G:G,0))</f>
        <v>Uses cannot exceed total proceeds. Correct entries.</v>
      </c>
      <c r="H1776" s="25" t="str">
        <f t="shared" ca="1" si="213"/>
        <v/>
      </c>
      <c r="I1776" s="25" t="str">
        <f t="shared" ca="1" si="214"/>
        <v/>
      </c>
      <c r="J1776" s="26" t="str">
        <f t="shared" ca="1" si="215"/>
        <v/>
      </c>
    </row>
    <row r="1777" spans="1:10" x14ac:dyDescent="0.25">
      <c r="A1777" t="s">
        <v>304</v>
      </c>
      <c r="B1777" t="str">
        <f>ADDRESS(ROW('Bond 1'!$C$31),COLUMN('Bond 1'!$C$31),4)</f>
        <v>C31</v>
      </c>
      <c r="C1777" t="str">
        <f>ADDRESS(ROW('Bond 1'!$D$31),COLUMN('Bond 1'!$D$31),4)</f>
        <v>D31</v>
      </c>
      <c r="D1777" t="b" cm="1">
        <f t="array" aca="1" ref="D1777" ca="1">IF(INDIRECT("'"&amp;A1777&amp;"'!B$31")+INDIRECT("'"&amp;A1777&amp;"'!C$31")&gt;INDIRECT("'"&amp;A1777&amp;"'!B$16"),TRUE,FALSE)</f>
        <v>0</v>
      </c>
      <c r="E1777" t="s">
        <v>1307</v>
      </c>
      <c r="F1777" t="str">
        <f>INDEX(Lists!I:I,MATCH(Validation!E1777,Lists!G:G,0))</f>
        <v>Error</v>
      </c>
      <c r="G1777" t="str">
        <f>INDEX(Lists!H:H,MATCH(Validation!E1777,Lists!G:G,0))</f>
        <v>Uses cannot exceed total proceeds. Correct entries.</v>
      </c>
      <c r="H1777" s="25" t="str">
        <f t="shared" ca="1" si="213"/>
        <v/>
      </c>
      <c r="I1777" s="25" t="str">
        <f t="shared" ca="1" si="214"/>
        <v/>
      </c>
      <c r="J1777" s="26" t="str">
        <f t="shared" ca="1" si="215"/>
        <v/>
      </c>
    </row>
    <row r="1778" spans="1:10" x14ac:dyDescent="0.25">
      <c r="A1778" t="s">
        <v>305</v>
      </c>
      <c r="B1778" t="str">
        <f>ADDRESS(ROW('Bond 1'!$C$31),COLUMN('Bond 1'!$C$31),4)</f>
        <v>C31</v>
      </c>
      <c r="C1778" t="str">
        <f>ADDRESS(ROW('Bond 1'!$D$31),COLUMN('Bond 1'!$D$31),4)</f>
        <v>D31</v>
      </c>
      <c r="D1778" t="b" cm="1">
        <f t="array" aca="1" ref="D1778" ca="1">IF(INDIRECT("'"&amp;A1778&amp;"'!B$31")+INDIRECT("'"&amp;A1778&amp;"'!C$31")&gt;INDIRECT("'"&amp;A1778&amp;"'!B$16"),TRUE,FALSE)</f>
        <v>0</v>
      </c>
      <c r="E1778" t="s">
        <v>1307</v>
      </c>
      <c r="F1778" t="str">
        <f>INDEX(Lists!I:I,MATCH(Validation!E1778,Lists!G:G,0))</f>
        <v>Error</v>
      </c>
      <c r="G1778" t="str">
        <f>INDEX(Lists!H:H,MATCH(Validation!E1778,Lists!G:G,0))</f>
        <v>Uses cannot exceed total proceeds. Correct entries.</v>
      </c>
      <c r="H1778" s="25" t="str">
        <f t="shared" ca="1" si="213"/>
        <v/>
      </c>
      <c r="I1778" s="25" t="str">
        <f t="shared" ca="1" si="214"/>
        <v/>
      </c>
      <c r="J1778" s="26" t="str">
        <f t="shared" ca="1" si="215"/>
        <v/>
      </c>
    </row>
    <row r="1779" spans="1:10" x14ac:dyDescent="0.25">
      <c r="A1779" t="s">
        <v>306</v>
      </c>
      <c r="B1779" t="str">
        <f>ADDRESS(ROW('Bond 1'!$C$31),COLUMN('Bond 1'!$C$31),4)</f>
        <v>C31</v>
      </c>
      <c r="C1779" t="str">
        <f>ADDRESS(ROW('Bond 1'!$D$31),COLUMN('Bond 1'!$D$31),4)</f>
        <v>D31</v>
      </c>
      <c r="D1779" t="b" cm="1">
        <f t="array" aca="1" ref="D1779" ca="1">IF(INDIRECT("'"&amp;A1779&amp;"'!B$31")+INDIRECT("'"&amp;A1779&amp;"'!C$31")&gt;INDIRECT("'"&amp;A1779&amp;"'!B$16"),TRUE,FALSE)</f>
        <v>0</v>
      </c>
      <c r="E1779" t="s">
        <v>1307</v>
      </c>
      <c r="F1779" t="str">
        <f>INDEX(Lists!I:I,MATCH(Validation!E1779,Lists!G:G,0))</f>
        <v>Error</v>
      </c>
      <c r="G1779" t="str">
        <f>INDEX(Lists!H:H,MATCH(Validation!E1779,Lists!G:G,0))</f>
        <v>Uses cannot exceed total proceeds. Correct entries.</v>
      </c>
      <c r="H1779" s="25" t="str">
        <f t="shared" ca="1" si="213"/>
        <v/>
      </c>
      <c r="I1779" s="25" t="str">
        <f t="shared" ca="1" si="214"/>
        <v/>
      </c>
      <c r="J1779" s="26" t="str">
        <f t="shared" ca="1" si="215"/>
        <v/>
      </c>
    </row>
    <row r="1780" spans="1:10" x14ac:dyDescent="0.25">
      <c r="A1780" t="s">
        <v>307</v>
      </c>
      <c r="B1780" t="str">
        <f>ADDRESS(ROW('Bond 1'!$C$31),COLUMN('Bond 1'!$C$31),4)</f>
        <v>C31</v>
      </c>
      <c r="C1780" t="str">
        <f>ADDRESS(ROW('Bond 1'!$D$31),COLUMN('Bond 1'!$D$31),4)</f>
        <v>D31</v>
      </c>
      <c r="D1780" t="b" cm="1">
        <f t="array" aca="1" ref="D1780" ca="1">IF(INDIRECT("'"&amp;A1780&amp;"'!B$31")+INDIRECT("'"&amp;A1780&amp;"'!C$31")&gt;INDIRECT("'"&amp;A1780&amp;"'!B$16"),TRUE,FALSE)</f>
        <v>0</v>
      </c>
      <c r="E1780" t="s">
        <v>1307</v>
      </c>
      <c r="F1780" t="str">
        <f>INDEX(Lists!I:I,MATCH(Validation!E1780,Lists!G:G,0))</f>
        <v>Error</v>
      </c>
      <c r="G1780" t="str">
        <f>INDEX(Lists!H:H,MATCH(Validation!E1780,Lists!G:G,0))</f>
        <v>Uses cannot exceed total proceeds. Correct entries.</v>
      </c>
      <c r="H1780" s="25" t="str">
        <f t="shared" ca="1" si="213"/>
        <v/>
      </c>
      <c r="I1780" s="25" t="str">
        <f t="shared" ca="1" si="214"/>
        <v/>
      </c>
      <c r="J1780" s="26" t="str">
        <f t="shared" ca="1" si="215"/>
        <v/>
      </c>
    </row>
    <row r="1781" spans="1:10" x14ac:dyDescent="0.25">
      <c r="A1781" t="s">
        <v>308</v>
      </c>
      <c r="B1781" t="str">
        <f>ADDRESS(ROW('Bond 1'!$C$31),COLUMN('Bond 1'!$C$31),4)</f>
        <v>C31</v>
      </c>
      <c r="C1781" t="str">
        <f>ADDRESS(ROW('Bond 1'!$D$31),COLUMN('Bond 1'!$D$31),4)</f>
        <v>D31</v>
      </c>
      <c r="D1781" t="b" cm="1">
        <f t="array" aca="1" ref="D1781" ca="1">IF(INDIRECT("'"&amp;A1781&amp;"'!B$31")+INDIRECT("'"&amp;A1781&amp;"'!C$31")&gt;INDIRECT("'"&amp;A1781&amp;"'!B$16"),TRUE,FALSE)</f>
        <v>0</v>
      </c>
      <c r="E1781" t="s">
        <v>1307</v>
      </c>
      <c r="F1781" t="str">
        <f>INDEX(Lists!I:I,MATCH(Validation!E1781,Lists!G:G,0))</f>
        <v>Error</v>
      </c>
      <c r="G1781" t="str">
        <f>INDEX(Lists!H:H,MATCH(Validation!E1781,Lists!G:G,0))</f>
        <v>Uses cannot exceed total proceeds. Correct entries.</v>
      </c>
      <c r="H1781" s="25" t="str">
        <f t="shared" ca="1" si="213"/>
        <v/>
      </c>
      <c r="I1781" s="25" t="str">
        <f t="shared" ca="1" si="214"/>
        <v/>
      </c>
      <c r="J1781" s="26" t="str">
        <f t="shared" ca="1" si="215"/>
        <v/>
      </c>
    </row>
    <row r="1782" spans="1:10" x14ac:dyDescent="0.25">
      <c r="A1782" t="s">
        <v>309</v>
      </c>
      <c r="B1782" t="str">
        <f>ADDRESS(ROW('Bond 1'!$C$31),COLUMN('Bond 1'!$C$31),4)</f>
        <v>C31</v>
      </c>
      <c r="C1782" t="str">
        <f>ADDRESS(ROW('Bond 1'!$D$31),COLUMN('Bond 1'!$D$31),4)</f>
        <v>D31</v>
      </c>
      <c r="D1782" t="b" cm="1">
        <f t="array" aca="1" ref="D1782" ca="1">IF(INDIRECT("'"&amp;A1782&amp;"'!B$31")+INDIRECT("'"&amp;A1782&amp;"'!C$31")&gt;INDIRECT("'"&amp;A1782&amp;"'!B$16"),TRUE,FALSE)</f>
        <v>0</v>
      </c>
      <c r="E1782" t="s">
        <v>1307</v>
      </c>
      <c r="F1782" t="str">
        <f>INDEX(Lists!I:I,MATCH(Validation!E1782,Lists!G:G,0))</f>
        <v>Error</v>
      </c>
      <c r="G1782" t="str">
        <f>INDEX(Lists!H:H,MATCH(Validation!E1782,Lists!G:G,0))</f>
        <v>Uses cannot exceed total proceeds. Correct entries.</v>
      </c>
      <c r="H1782" s="25" t="str">
        <f t="shared" ca="1" si="213"/>
        <v/>
      </c>
      <c r="I1782" s="25" t="str">
        <f t="shared" ca="1" si="214"/>
        <v/>
      </c>
      <c r="J1782" s="26" t="str">
        <f t="shared" ca="1" si="215"/>
        <v/>
      </c>
    </row>
    <row r="1783" spans="1:10" x14ac:dyDescent="0.25">
      <c r="A1783" t="s">
        <v>310</v>
      </c>
      <c r="B1783" t="str">
        <f>ADDRESS(ROW('Bond 1'!$C$31),COLUMN('Bond 1'!$C$31),4)</f>
        <v>C31</v>
      </c>
      <c r="C1783" t="str">
        <f>ADDRESS(ROW('Bond 1'!$D$31),COLUMN('Bond 1'!$D$31),4)</f>
        <v>D31</v>
      </c>
      <c r="D1783" t="b" cm="1">
        <f t="array" aca="1" ref="D1783" ca="1">IF(INDIRECT("'"&amp;A1783&amp;"'!B$31")+INDIRECT("'"&amp;A1783&amp;"'!C$31")&gt;INDIRECT("'"&amp;A1783&amp;"'!B$16"),TRUE,FALSE)</f>
        <v>0</v>
      </c>
      <c r="E1783" t="s">
        <v>1307</v>
      </c>
      <c r="F1783" t="str">
        <f>INDEX(Lists!I:I,MATCH(Validation!E1783,Lists!G:G,0))</f>
        <v>Error</v>
      </c>
      <c r="G1783" t="str">
        <f>INDEX(Lists!H:H,MATCH(Validation!E1783,Lists!G:G,0))</f>
        <v>Uses cannot exceed total proceeds. Correct entries.</v>
      </c>
      <c r="H1783" s="25" t="str">
        <f t="shared" ca="1" si="213"/>
        <v/>
      </c>
      <c r="I1783" s="25" t="str">
        <f t="shared" ca="1" si="214"/>
        <v/>
      </c>
      <c r="J1783" s="26" t="str">
        <f t="shared" ca="1" si="215"/>
        <v/>
      </c>
    </row>
    <row r="1784" spans="1:10" x14ac:dyDescent="0.25">
      <c r="A1784" t="s">
        <v>311</v>
      </c>
      <c r="B1784" t="str">
        <f>ADDRESS(ROW('Bond 1'!$C$31),COLUMN('Bond 1'!$C$31),4)</f>
        <v>C31</v>
      </c>
      <c r="C1784" t="str">
        <f>ADDRESS(ROW('Bond 1'!$D$31),COLUMN('Bond 1'!$D$31),4)</f>
        <v>D31</v>
      </c>
      <c r="D1784" t="b" cm="1">
        <f t="array" aca="1" ref="D1784" ca="1">IF(INDIRECT("'"&amp;A1784&amp;"'!B$31")+INDIRECT("'"&amp;A1784&amp;"'!C$31")&gt;INDIRECT("'"&amp;A1784&amp;"'!B$16"),TRUE,FALSE)</f>
        <v>0</v>
      </c>
      <c r="E1784" t="s">
        <v>1307</v>
      </c>
      <c r="F1784" t="str">
        <f>INDEX(Lists!I:I,MATCH(Validation!E1784,Lists!G:G,0))</f>
        <v>Error</v>
      </c>
      <c r="G1784" t="str">
        <f>INDEX(Lists!H:H,MATCH(Validation!E1784,Lists!G:G,0))</f>
        <v>Uses cannot exceed total proceeds. Correct entries.</v>
      </c>
      <c r="H1784" s="25" t="str">
        <f t="shared" ca="1" si="213"/>
        <v/>
      </c>
      <c r="I1784" s="25" t="str">
        <f t="shared" ca="1" si="214"/>
        <v/>
      </c>
      <c r="J1784" s="26" t="str">
        <f t="shared" ca="1" si="215"/>
        <v/>
      </c>
    </row>
    <row r="1785" spans="1:10" x14ac:dyDescent="0.25">
      <c r="A1785" t="s">
        <v>312</v>
      </c>
      <c r="B1785" t="str">
        <f>ADDRESS(ROW('Bond 1'!$C$31),COLUMN('Bond 1'!$C$31),4)</f>
        <v>C31</v>
      </c>
      <c r="C1785" t="str">
        <f>ADDRESS(ROW('Bond 1'!$D$31),COLUMN('Bond 1'!$D$31),4)</f>
        <v>D31</v>
      </c>
      <c r="D1785" t="b" cm="1">
        <f t="array" aca="1" ref="D1785" ca="1">IF(INDIRECT("'"&amp;A1785&amp;"'!B$31")+INDIRECT("'"&amp;A1785&amp;"'!C$31")&gt;INDIRECT("'"&amp;A1785&amp;"'!B$16"),TRUE,FALSE)</f>
        <v>0</v>
      </c>
      <c r="E1785" t="s">
        <v>1307</v>
      </c>
      <c r="F1785" t="str">
        <f>INDEX(Lists!I:I,MATCH(Validation!E1785,Lists!G:G,0))</f>
        <v>Error</v>
      </c>
      <c r="G1785" t="str">
        <f>INDEX(Lists!H:H,MATCH(Validation!E1785,Lists!G:G,0))</f>
        <v>Uses cannot exceed total proceeds. Correct entries.</v>
      </c>
      <c r="H1785" s="25" t="str">
        <f t="shared" ca="1" si="213"/>
        <v/>
      </c>
      <c r="I1785" s="25" t="str">
        <f t="shared" ca="1" si="214"/>
        <v/>
      </c>
      <c r="J1785" s="26" t="str">
        <f t="shared" ca="1" si="215"/>
        <v/>
      </c>
    </row>
    <row r="1786" spans="1:10" x14ac:dyDescent="0.25">
      <c r="A1786" t="s">
        <v>313</v>
      </c>
      <c r="B1786" t="str">
        <f>ADDRESS(ROW('Bond 1'!$C$31),COLUMN('Bond 1'!$C$31),4)</f>
        <v>C31</v>
      </c>
      <c r="C1786" t="str">
        <f>ADDRESS(ROW('Bond 1'!$D$31),COLUMN('Bond 1'!$D$31),4)</f>
        <v>D31</v>
      </c>
      <c r="D1786" t="b" cm="1">
        <f t="array" aca="1" ref="D1786" ca="1">IF(INDIRECT("'"&amp;A1786&amp;"'!B$31")+INDIRECT("'"&amp;A1786&amp;"'!C$31")&gt;INDIRECT("'"&amp;A1786&amp;"'!B$16"),TRUE,FALSE)</f>
        <v>0</v>
      </c>
      <c r="E1786" t="s">
        <v>1307</v>
      </c>
      <c r="F1786" t="str">
        <f>INDEX(Lists!I:I,MATCH(Validation!E1786,Lists!G:G,0))</f>
        <v>Error</v>
      </c>
      <c r="G1786" t="str">
        <f>INDEX(Lists!H:H,MATCH(Validation!E1786,Lists!G:G,0))</f>
        <v>Uses cannot exceed total proceeds. Correct entries.</v>
      </c>
      <c r="H1786" s="25" t="str">
        <f t="shared" ca="1" si="213"/>
        <v/>
      </c>
      <c r="I1786" s="25" t="str">
        <f t="shared" ca="1" si="214"/>
        <v/>
      </c>
      <c r="J1786" s="26" t="str">
        <f t="shared" ca="1" si="215"/>
        <v/>
      </c>
    </row>
    <row r="1787" spans="1:10" x14ac:dyDescent="0.25">
      <c r="A1787" t="s">
        <v>314</v>
      </c>
      <c r="B1787" t="str">
        <f>ADDRESS(ROW('Bond 1'!$C$31),COLUMN('Bond 1'!$C$31),4)</f>
        <v>C31</v>
      </c>
      <c r="C1787" t="str">
        <f>ADDRESS(ROW('Bond 1'!$D$31),COLUMN('Bond 1'!$D$31),4)</f>
        <v>D31</v>
      </c>
      <c r="D1787" t="b" cm="1">
        <f t="array" aca="1" ref="D1787" ca="1">IF(INDIRECT("'"&amp;A1787&amp;"'!B$31")+INDIRECT("'"&amp;A1787&amp;"'!C$31")&gt;INDIRECT("'"&amp;A1787&amp;"'!B$16"),TRUE,FALSE)</f>
        <v>0</v>
      </c>
      <c r="E1787" t="s">
        <v>1307</v>
      </c>
      <c r="F1787" t="str">
        <f>INDEX(Lists!I:I,MATCH(Validation!E1787,Lists!G:G,0))</f>
        <v>Error</v>
      </c>
      <c r="G1787" t="str">
        <f>INDEX(Lists!H:H,MATCH(Validation!E1787,Lists!G:G,0))</f>
        <v>Uses cannot exceed total proceeds. Correct entries.</v>
      </c>
      <c r="H1787" s="25" t="str">
        <f t="shared" ca="1" si="213"/>
        <v/>
      </c>
      <c r="I1787" s="25" t="str">
        <f t="shared" ca="1" si="214"/>
        <v/>
      </c>
      <c r="J1787" s="26" t="str">
        <f t="shared" ca="1" si="215"/>
        <v/>
      </c>
    </row>
    <row r="1788" spans="1:10" x14ac:dyDescent="0.25">
      <c r="A1788" t="s">
        <v>315</v>
      </c>
      <c r="B1788" t="str">
        <f>ADDRESS(ROW('Bond 1'!$C$31),COLUMN('Bond 1'!$C$31),4)</f>
        <v>C31</v>
      </c>
      <c r="C1788" t="str">
        <f>ADDRESS(ROW('Bond 1'!$D$31),COLUMN('Bond 1'!$D$31),4)</f>
        <v>D31</v>
      </c>
      <c r="D1788" t="b" cm="1">
        <f t="array" aca="1" ref="D1788" ca="1">IF(INDIRECT("'"&amp;A1788&amp;"'!B$31")+INDIRECT("'"&amp;A1788&amp;"'!C$31")&gt;INDIRECT("'"&amp;A1788&amp;"'!B$16"),TRUE,FALSE)</f>
        <v>0</v>
      </c>
      <c r="E1788" t="s">
        <v>1307</v>
      </c>
      <c r="F1788" t="str">
        <f>INDEX(Lists!I:I,MATCH(Validation!E1788,Lists!G:G,0))</f>
        <v>Error</v>
      </c>
      <c r="G1788" t="str">
        <f>INDEX(Lists!H:H,MATCH(Validation!E1788,Lists!G:G,0))</f>
        <v>Uses cannot exceed total proceeds. Correct entries.</v>
      </c>
      <c r="H1788" s="25" t="str">
        <f t="shared" ca="1" si="213"/>
        <v/>
      </c>
      <c r="I1788" s="25" t="str">
        <f t="shared" ca="1" si="214"/>
        <v/>
      </c>
      <c r="J1788" s="26" t="str">
        <f t="shared" ca="1" si="215"/>
        <v/>
      </c>
    </row>
    <row r="1789" spans="1:10" x14ac:dyDescent="0.25">
      <c r="A1789" t="s">
        <v>198</v>
      </c>
      <c r="B1789" t="str">
        <f>ADDRESS(ROW('Bond 1'!$C$32),COLUMN('Bond 1'!$C$32),4)</f>
        <v>C32</v>
      </c>
      <c r="C1789" t="str">
        <f>ADDRESS(ROW('Bond 1'!$D$32),COLUMN('Bond 1'!$D$32),4)</f>
        <v>D32</v>
      </c>
      <c r="D1789" t="b" cm="1">
        <f t="array" aca="1" ref="D1789" ca="1">IF(INDIRECT("'"&amp;A1789&amp;"'!"&amp;B1789)="",FALSE,IF(INDIRECT("'"&amp;A1789&amp;"'!"&amp;B1789)&lt;0,TRUE,FALSE))</f>
        <v>0</v>
      </c>
      <c r="E1789" t="s">
        <v>1310</v>
      </c>
      <c r="F1789" t="str">
        <f>INDEX(Lists!I:I,MATCH(Validation!E1789,Lists!G:G,0))</f>
        <v>Error</v>
      </c>
      <c r="G1789" t="str">
        <f>INDEX(Lists!H:H,MATCH(Validation!E1789,Lists!G:G,0))</f>
        <v>Remaining proceeds cannot be negative. Correct entries.</v>
      </c>
      <c r="H1789" s="25" t="str">
        <f t="shared" ref="H1789:H1803" ca="1" si="216">IFERROR(IF(OR(NOT(D1789),F1789&lt;&gt;"Error"),"",A1789&amp;CELL("address",INDIRECT(B1789))),"")</f>
        <v/>
      </c>
      <c r="I1789" s="25" t="str">
        <f t="shared" ref="I1789:I1803" ca="1" si="217">IFERROR(IF(NOT(D1789),"",A1789&amp;CELL("address",INDIRECT(C1789))),"")</f>
        <v/>
      </c>
      <c r="J1789" s="26" t="str">
        <f t="shared" ref="J1789:J1803" ca="1" si="218">IFERROR(IF(NOT(D1789),"",A1789),"")</f>
        <v/>
      </c>
    </row>
    <row r="1790" spans="1:10" x14ac:dyDescent="0.25">
      <c r="A1790" t="s">
        <v>302</v>
      </c>
      <c r="B1790" t="str">
        <f>ADDRESS(ROW('Bond 1'!$C$32),COLUMN('Bond 1'!$C$32),4)</f>
        <v>C32</v>
      </c>
      <c r="C1790" t="str">
        <f>ADDRESS(ROW('Bond 1'!$D$32),COLUMN('Bond 1'!$D$32),4)</f>
        <v>D32</v>
      </c>
      <c r="D1790" t="b" cm="1">
        <f t="array" aca="1" ref="D1790" ca="1">IF(INDIRECT("'"&amp;A1790&amp;"'!"&amp;B1790)="",FALSE,IF(INDIRECT("'"&amp;A1790&amp;"'!"&amp;B1790)&lt;0,TRUE,FALSE))</f>
        <v>0</v>
      </c>
      <c r="E1790" t="s">
        <v>1310</v>
      </c>
      <c r="F1790" t="str">
        <f>INDEX(Lists!I:I,MATCH(Validation!E1790,Lists!G:G,0))</f>
        <v>Error</v>
      </c>
      <c r="G1790" t="str">
        <f>INDEX(Lists!H:H,MATCH(Validation!E1790,Lists!G:G,0))</f>
        <v>Remaining proceeds cannot be negative. Correct entries.</v>
      </c>
      <c r="H1790" s="25" t="str">
        <f t="shared" ca="1" si="216"/>
        <v/>
      </c>
      <c r="I1790" s="25" t="str">
        <f t="shared" ca="1" si="217"/>
        <v/>
      </c>
      <c r="J1790" s="26" t="str">
        <f t="shared" ca="1" si="218"/>
        <v/>
      </c>
    </row>
    <row r="1791" spans="1:10" x14ac:dyDescent="0.25">
      <c r="A1791" t="s">
        <v>303</v>
      </c>
      <c r="B1791" t="str">
        <f>ADDRESS(ROW('Bond 1'!$C$32),COLUMN('Bond 1'!$C$32),4)</f>
        <v>C32</v>
      </c>
      <c r="C1791" t="str">
        <f>ADDRESS(ROW('Bond 1'!$D$32),COLUMN('Bond 1'!$D$32),4)</f>
        <v>D32</v>
      </c>
      <c r="D1791" t="b" cm="1">
        <f t="array" aca="1" ref="D1791" ca="1">IF(INDIRECT("'"&amp;A1791&amp;"'!"&amp;B1791)="",FALSE,IF(INDIRECT("'"&amp;A1791&amp;"'!"&amp;B1791)&lt;0,TRUE,FALSE))</f>
        <v>0</v>
      </c>
      <c r="E1791" t="s">
        <v>1310</v>
      </c>
      <c r="F1791" t="str">
        <f>INDEX(Lists!I:I,MATCH(Validation!E1791,Lists!G:G,0))</f>
        <v>Error</v>
      </c>
      <c r="G1791" t="str">
        <f>INDEX(Lists!H:H,MATCH(Validation!E1791,Lists!G:G,0))</f>
        <v>Remaining proceeds cannot be negative. Correct entries.</v>
      </c>
      <c r="H1791" s="25" t="str">
        <f t="shared" ca="1" si="216"/>
        <v/>
      </c>
      <c r="I1791" s="25" t="str">
        <f t="shared" ca="1" si="217"/>
        <v/>
      </c>
      <c r="J1791" s="26" t="str">
        <f t="shared" ca="1" si="218"/>
        <v/>
      </c>
    </row>
    <row r="1792" spans="1:10" x14ac:dyDescent="0.25">
      <c r="A1792" t="s">
        <v>304</v>
      </c>
      <c r="B1792" t="str">
        <f>ADDRESS(ROW('Bond 1'!$C$32),COLUMN('Bond 1'!$C$32),4)</f>
        <v>C32</v>
      </c>
      <c r="C1792" t="str">
        <f>ADDRESS(ROW('Bond 1'!$D$32),COLUMN('Bond 1'!$D$32),4)</f>
        <v>D32</v>
      </c>
      <c r="D1792" t="b" cm="1">
        <f t="array" aca="1" ref="D1792" ca="1">IF(INDIRECT("'"&amp;A1792&amp;"'!"&amp;B1792)="",FALSE,IF(INDIRECT("'"&amp;A1792&amp;"'!"&amp;B1792)&lt;0,TRUE,FALSE))</f>
        <v>0</v>
      </c>
      <c r="E1792" t="s">
        <v>1310</v>
      </c>
      <c r="F1792" t="str">
        <f>INDEX(Lists!I:I,MATCH(Validation!E1792,Lists!G:G,0))</f>
        <v>Error</v>
      </c>
      <c r="G1792" t="str">
        <f>INDEX(Lists!H:H,MATCH(Validation!E1792,Lists!G:G,0))</f>
        <v>Remaining proceeds cannot be negative. Correct entries.</v>
      </c>
      <c r="H1792" s="25" t="str">
        <f t="shared" ca="1" si="216"/>
        <v/>
      </c>
      <c r="I1792" s="25" t="str">
        <f t="shared" ca="1" si="217"/>
        <v/>
      </c>
      <c r="J1792" s="26" t="str">
        <f t="shared" ca="1" si="218"/>
        <v/>
      </c>
    </row>
    <row r="1793" spans="1:10" x14ac:dyDescent="0.25">
      <c r="A1793" t="s">
        <v>305</v>
      </c>
      <c r="B1793" t="str">
        <f>ADDRESS(ROW('Bond 1'!$C$32),COLUMN('Bond 1'!$C$32),4)</f>
        <v>C32</v>
      </c>
      <c r="C1793" t="str">
        <f>ADDRESS(ROW('Bond 1'!$D$32),COLUMN('Bond 1'!$D$32),4)</f>
        <v>D32</v>
      </c>
      <c r="D1793" t="b" cm="1">
        <f t="array" aca="1" ref="D1793" ca="1">IF(INDIRECT("'"&amp;A1793&amp;"'!"&amp;B1793)="",FALSE,IF(INDIRECT("'"&amp;A1793&amp;"'!"&amp;B1793)&lt;0,TRUE,FALSE))</f>
        <v>0</v>
      </c>
      <c r="E1793" t="s">
        <v>1310</v>
      </c>
      <c r="F1793" t="str">
        <f>INDEX(Lists!I:I,MATCH(Validation!E1793,Lists!G:G,0))</f>
        <v>Error</v>
      </c>
      <c r="G1793" t="str">
        <f>INDEX(Lists!H:H,MATCH(Validation!E1793,Lists!G:G,0))</f>
        <v>Remaining proceeds cannot be negative. Correct entries.</v>
      </c>
      <c r="H1793" s="25" t="str">
        <f t="shared" ca="1" si="216"/>
        <v/>
      </c>
      <c r="I1793" s="25" t="str">
        <f t="shared" ca="1" si="217"/>
        <v/>
      </c>
      <c r="J1793" s="26" t="str">
        <f t="shared" ca="1" si="218"/>
        <v/>
      </c>
    </row>
    <row r="1794" spans="1:10" x14ac:dyDescent="0.25">
      <c r="A1794" t="s">
        <v>306</v>
      </c>
      <c r="B1794" t="str">
        <f>ADDRESS(ROW('Bond 1'!$C$32),COLUMN('Bond 1'!$C$32),4)</f>
        <v>C32</v>
      </c>
      <c r="C1794" t="str">
        <f>ADDRESS(ROW('Bond 1'!$D$32),COLUMN('Bond 1'!$D$32),4)</f>
        <v>D32</v>
      </c>
      <c r="D1794" t="b" cm="1">
        <f t="array" aca="1" ref="D1794" ca="1">IF(INDIRECT("'"&amp;A1794&amp;"'!"&amp;B1794)="",FALSE,IF(INDIRECT("'"&amp;A1794&amp;"'!"&amp;B1794)&lt;0,TRUE,FALSE))</f>
        <v>0</v>
      </c>
      <c r="E1794" t="s">
        <v>1310</v>
      </c>
      <c r="F1794" t="str">
        <f>INDEX(Lists!I:I,MATCH(Validation!E1794,Lists!G:G,0))</f>
        <v>Error</v>
      </c>
      <c r="G1794" t="str">
        <f>INDEX(Lists!H:H,MATCH(Validation!E1794,Lists!G:G,0))</f>
        <v>Remaining proceeds cannot be negative. Correct entries.</v>
      </c>
      <c r="H1794" s="25" t="str">
        <f t="shared" ca="1" si="216"/>
        <v/>
      </c>
      <c r="I1794" s="25" t="str">
        <f t="shared" ca="1" si="217"/>
        <v/>
      </c>
      <c r="J1794" s="26" t="str">
        <f t="shared" ca="1" si="218"/>
        <v/>
      </c>
    </row>
    <row r="1795" spans="1:10" x14ac:dyDescent="0.25">
      <c r="A1795" t="s">
        <v>307</v>
      </c>
      <c r="B1795" t="str">
        <f>ADDRESS(ROW('Bond 1'!$C$32),COLUMN('Bond 1'!$C$32),4)</f>
        <v>C32</v>
      </c>
      <c r="C1795" t="str">
        <f>ADDRESS(ROW('Bond 1'!$D$32),COLUMN('Bond 1'!$D$32),4)</f>
        <v>D32</v>
      </c>
      <c r="D1795" t="b" cm="1">
        <f t="array" aca="1" ref="D1795" ca="1">IF(INDIRECT("'"&amp;A1795&amp;"'!"&amp;B1795)="",FALSE,IF(INDIRECT("'"&amp;A1795&amp;"'!"&amp;B1795)&lt;0,TRUE,FALSE))</f>
        <v>0</v>
      </c>
      <c r="E1795" t="s">
        <v>1310</v>
      </c>
      <c r="F1795" t="str">
        <f>INDEX(Lists!I:I,MATCH(Validation!E1795,Lists!G:G,0))</f>
        <v>Error</v>
      </c>
      <c r="G1795" t="str">
        <f>INDEX(Lists!H:H,MATCH(Validation!E1795,Lists!G:G,0))</f>
        <v>Remaining proceeds cannot be negative. Correct entries.</v>
      </c>
      <c r="H1795" s="25" t="str">
        <f t="shared" ca="1" si="216"/>
        <v/>
      </c>
      <c r="I1795" s="25" t="str">
        <f t="shared" ca="1" si="217"/>
        <v/>
      </c>
      <c r="J1795" s="26" t="str">
        <f t="shared" ca="1" si="218"/>
        <v/>
      </c>
    </row>
    <row r="1796" spans="1:10" x14ac:dyDescent="0.25">
      <c r="A1796" t="s">
        <v>308</v>
      </c>
      <c r="B1796" t="str">
        <f>ADDRESS(ROW('Bond 1'!$C$32),COLUMN('Bond 1'!$C$32),4)</f>
        <v>C32</v>
      </c>
      <c r="C1796" t="str">
        <f>ADDRESS(ROW('Bond 1'!$D$32),COLUMN('Bond 1'!$D$32),4)</f>
        <v>D32</v>
      </c>
      <c r="D1796" t="b" cm="1">
        <f t="array" aca="1" ref="D1796" ca="1">IF(INDIRECT("'"&amp;A1796&amp;"'!"&amp;B1796)="",FALSE,IF(INDIRECT("'"&amp;A1796&amp;"'!"&amp;B1796)&lt;0,TRUE,FALSE))</f>
        <v>0</v>
      </c>
      <c r="E1796" t="s">
        <v>1310</v>
      </c>
      <c r="F1796" t="str">
        <f>INDEX(Lists!I:I,MATCH(Validation!E1796,Lists!G:G,0))</f>
        <v>Error</v>
      </c>
      <c r="G1796" t="str">
        <f>INDEX(Lists!H:H,MATCH(Validation!E1796,Lists!G:G,0))</f>
        <v>Remaining proceeds cannot be negative. Correct entries.</v>
      </c>
      <c r="H1796" s="25" t="str">
        <f t="shared" ca="1" si="216"/>
        <v/>
      </c>
      <c r="I1796" s="25" t="str">
        <f t="shared" ca="1" si="217"/>
        <v/>
      </c>
      <c r="J1796" s="26" t="str">
        <f t="shared" ca="1" si="218"/>
        <v/>
      </c>
    </row>
    <row r="1797" spans="1:10" x14ac:dyDescent="0.25">
      <c r="A1797" t="s">
        <v>309</v>
      </c>
      <c r="B1797" t="str">
        <f>ADDRESS(ROW('Bond 1'!$C$32),COLUMN('Bond 1'!$C$32),4)</f>
        <v>C32</v>
      </c>
      <c r="C1797" t="str">
        <f>ADDRESS(ROW('Bond 1'!$D$32),COLUMN('Bond 1'!$D$32),4)</f>
        <v>D32</v>
      </c>
      <c r="D1797" t="b" cm="1">
        <f t="array" aca="1" ref="D1797" ca="1">IF(INDIRECT("'"&amp;A1797&amp;"'!"&amp;B1797)="",FALSE,IF(INDIRECT("'"&amp;A1797&amp;"'!"&amp;B1797)&lt;0,TRUE,FALSE))</f>
        <v>0</v>
      </c>
      <c r="E1797" t="s">
        <v>1310</v>
      </c>
      <c r="F1797" t="str">
        <f>INDEX(Lists!I:I,MATCH(Validation!E1797,Lists!G:G,0))</f>
        <v>Error</v>
      </c>
      <c r="G1797" t="str">
        <f>INDEX(Lists!H:H,MATCH(Validation!E1797,Lists!G:G,0))</f>
        <v>Remaining proceeds cannot be negative. Correct entries.</v>
      </c>
      <c r="H1797" s="25" t="str">
        <f t="shared" ca="1" si="216"/>
        <v/>
      </c>
      <c r="I1797" s="25" t="str">
        <f t="shared" ca="1" si="217"/>
        <v/>
      </c>
      <c r="J1797" s="26" t="str">
        <f t="shared" ca="1" si="218"/>
        <v/>
      </c>
    </row>
    <row r="1798" spans="1:10" x14ac:dyDescent="0.25">
      <c r="A1798" t="s">
        <v>310</v>
      </c>
      <c r="B1798" t="str">
        <f>ADDRESS(ROW('Bond 1'!$C$32),COLUMN('Bond 1'!$C$32),4)</f>
        <v>C32</v>
      </c>
      <c r="C1798" t="str">
        <f>ADDRESS(ROW('Bond 1'!$D$32),COLUMN('Bond 1'!$D$32),4)</f>
        <v>D32</v>
      </c>
      <c r="D1798" t="b" cm="1">
        <f t="array" aca="1" ref="D1798" ca="1">IF(INDIRECT("'"&amp;A1798&amp;"'!"&amp;B1798)="",FALSE,IF(INDIRECT("'"&amp;A1798&amp;"'!"&amp;B1798)&lt;0,TRUE,FALSE))</f>
        <v>0</v>
      </c>
      <c r="E1798" t="s">
        <v>1310</v>
      </c>
      <c r="F1798" t="str">
        <f>INDEX(Lists!I:I,MATCH(Validation!E1798,Lists!G:G,0))</f>
        <v>Error</v>
      </c>
      <c r="G1798" t="str">
        <f>INDEX(Lists!H:H,MATCH(Validation!E1798,Lists!G:G,0))</f>
        <v>Remaining proceeds cannot be negative. Correct entries.</v>
      </c>
      <c r="H1798" s="25" t="str">
        <f t="shared" ca="1" si="216"/>
        <v/>
      </c>
      <c r="I1798" s="25" t="str">
        <f t="shared" ca="1" si="217"/>
        <v/>
      </c>
      <c r="J1798" s="26" t="str">
        <f t="shared" ca="1" si="218"/>
        <v/>
      </c>
    </row>
    <row r="1799" spans="1:10" x14ac:dyDescent="0.25">
      <c r="A1799" t="s">
        <v>311</v>
      </c>
      <c r="B1799" t="str">
        <f>ADDRESS(ROW('Bond 1'!$C$32),COLUMN('Bond 1'!$C$32),4)</f>
        <v>C32</v>
      </c>
      <c r="C1799" t="str">
        <f>ADDRESS(ROW('Bond 1'!$D$32),COLUMN('Bond 1'!$D$32),4)</f>
        <v>D32</v>
      </c>
      <c r="D1799" t="b" cm="1">
        <f t="array" aca="1" ref="D1799" ca="1">IF(INDIRECT("'"&amp;A1799&amp;"'!"&amp;B1799)="",FALSE,IF(INDIRECT("'"&amp;A1799&amp;"'!"&amp;B1799)&lt;0,TRUE,FALSE))</f>
        <v>0</v>
      </c>
      <c r="E1799" t="s">
        <v>1310</v>
      </c>
      <c r="F1799" t="str">
        <f>INDEX(Lists!I:I,MATCH(Validation!E1799,Lists!G:G,0))</f>
        <v>Error</v>
      </c>
      <c r="G1799" t="str">
        <f>INDEX(Lists!H:H,MATCH(Validation!E1799,Lists!G:G,0))</f>
        <v>Remaining proceeds cannot be negative. Correct entries.</v>
      </c>
      <c r="H1799" s="25" t="str">
        <f t="shared" ca="1" si="216"/>
        <v/>
      </c>
      <c r="I1799" s="25" t="str">
        <f t="shared" ca="1" si="217"/>
        <v/>
      </c>
      <c r="J1799" s="26" t="str">
        <f t="shared" ca="1" si="218"/>
        <v/>
      </c>
    </row>
    <row r="1800" spans="1:10" x14ac:dyDescent="0.25">
      <c r="A1800" t="s">
        <v>312</v>
      </c>
      <c r="B1800" t="str">
        <f>ADDRESS(ROW('Bond 1'!$C$32),COLUMN('Bond 1'!$C$32),4)</f>
        <v>C32</v>
      </c>
      <c r="C1800" t="str">
        <f>ADDRESS(ROW('Bond 1'!$D$32),COLUMN('Bond 1'!$D$32),4)</f>
        <v>D32</v>
      </c>
      <c r="D1800" t="b" cm="1">
        <f t="array" aca="1" ref="D1800" ca="1">IF(INDIRECT("'"&amp;A1800&amp;"'!"&amp;B1800)="",FALSE,IF(INDIRECT("'"&amp;A1800&amp;"'!"&amp;B1800)&lt;0,TRUE,FALSE))</f>
        <v>0</v>
      </c>
      <c r="E1800" t="s">
        <v>1310</v>
      </c>
      <c r="F1800" t="str">
        <f>INDEX(Lists!I:I,MATCH(Validation!E1800,Lists!G:G,0))</f>
        <v>Error</v>
      </c>
      <c r="G1800" t="str">
        <f>INDEX(Lists!H:H,MATCH(Validation!E1800,Lists!G:G,0))</f>
        <v>Remaining proceeds cannot be negative. Correct entries.</v>
      </c>
      <c r="H1800" s="25" t="str">
        <f t="shared" ca="1" si="216"/>
        <v/>
      </c>
      <c r="I1800" s="25" t="str">
        <f t="shared" ca="1" si="217"/>
        <v/>
      </c>
      <c r="J1800" s="26" t="str">
        <f t="shared" ca="1" si="218"/>
        <v/>
      </c>
    </row>
    <row r="1801" spans="1:10" x14ac:dyDescent="0.25">
      <c r="A1801" t="s">
        <v>313</v>
      </c>
      <c r="B1801" t="str">
        <f>ADDRESS(ROW('Bond 1'!$C$32),COLUMN('Bond 1'!$C$32),4)</f>
        <v>C32</v>
      </c>
      <c r="C1801" t="str">
        <f>ADDRESS(ROW('Bond 1'!$D$32),COLUMN('Bond 1'!$D$32),4)</f>
        <v>D32</v>
      </c>
      <c r="D1801" t="b" cm="1">
        <f t="array" aca="1" ref="D1801" ca="1">IF(INDIRECT("'"&amp;A1801&amp;"'!"&amp;B1801)="",FALSE,IF(INDIRECT("'"&amp;A1801&amp;"'!"&amp;B1801)&lt;0,TRUE,FALSE))</f>
        <v>0</v>
      </c>
      <c r="E1801" t="s">
        <v>1310</v>
      </c>
      <c r="F1801" t="str">
        <f>INDEX(Lists!I:I,MATCH(Validation!E1801,Lists!G:G,0))</f>
        <v>Error</v>
      </c>
      <c r="G1801" t="str">
        <f>INDEX(Lists!H:H,MATCH(Validation!E1801,Lists!G:G,0))</f>
        <v>Remaining proceeds cannot be negative. Correct entries.</v>
      </c>
      <c r="H1801" s="25" t="str">
        <f t="shared" ca="1" si="216"/>
        <v/>
      </c>
      <c r="I1801" s="25" t="str">
        <f t="shared" ca="1" si="217"/>
        <v/>
      </c>
      <c r="J1801" s="26" t="str">
        <f t="shared" ca="1" si="218"/>
        <v/>
      </c>
    </row>
    <row r="1802" spans="1:10" x14ac:dyDescent="0.25">
      <c r="A1802" t="s">
        <v>314</v>
      </c>
      <c r="B1802" t="str">
        <f>ADDRESS(ROW('Bond 1'!$C$32),COLUMN('Bond 1'!$C$32),4)</f>
        <v>C32</v>
      </c>
      <c r="C1802" t="str">
        <f>ADDRESS(ROW('Bond 1'!$D$32),COLUMN('Bond 1'!$D$32),4)</f>
        <v>D32</v>
      </c>
      <c r="D1802" t="b" cm="1">
        <f t="array" aca="1" ref="D1802" ca="1">IF(INDIRECT("'"&amp;A1802&amp;"'!"&amp;B1802)="",FALSE,IF(INDIRECT("'"&amp;A1802&amp;"'!"&amp;B1802)&lt;0,TRUE,FALSE))</f>
        <v>0</v>
      </c>
      <c r="E1802" t="s">
        <v>1310</v>
      </c>
      <c r="F1802" t="str">
        <f>INDEX(Lists!I:I,MATCH(Validation!E1802,Lists!G:G,0))</f>
        <v>Error</v>
      </c>
      <c r="G1802" t="str">
        <f>INDEX(Lists!H:H,MATCH(Validation!E1802,Lists!G:G,0))</f>
        <v>Remaining proceeds cannot be negative. Correct entries.</v>
      </c>
      <c r="H1802" s="25" t="str">
        <f t="shared" ca="1" si="216"/>
        <v/>
      </c>
      <c r="I1802" s="25" t="str">
        <f t="shared" ca="1" si="217"/>
        <v/>
      </c>
      <c r="J1802" s="26" t="str">
        <f t="shared" ca="1" si="218"/>
        <v/>
      </c>
    </row>
    <row r="1803" spans="1:10" x14ac:dyDescent="0.25">
      <c r="A1803" t="s">
        <v>315</v>
      </c>
      <c r="B1803" t="str">
        <f>ADDRESS(ROW('Bond 1'!$C$32),COLUMN('Bond 1'!$C$32),4)</f>
        <v>C32</v>
      </c>
      <c r="C1803" t="str">
        <f>ADDRESS(ROW('Bond 1'!$D$32),COLUMN('Bond 1'!$D$32),4)</f>
        <v>D32</v>
      </c>
      <c r="D1803" t="b" cm="1">
        <f t="array" aca="1" ref="D1803" ca="1">IF(INDIRECT("'"&amp;A1803&amp;"'!"&amp;B1803)="",FALSE,IF(INDIRECT("'"&amp;A1803&amp;"'!"&amp;B1803)&lt;0,TRUE,FALSE))</f>
        <v>0</v>
      </c>
      <c r="E1803" t="s">
        <v>1310</v>
      </c>
      <c r="F1803" t="str">
        <f>INDEX(Lists!I:I,MATCH(Validation!E1803,Lists!G:G,0))</f>
        <v>Error</v>
      </c>
      <c r="G1803" t="str">
        <f>INDEX(Lists!H:H,MATCH(Validation!E1803,Lists!G:G,0))</f>
        <v>Remaining proceeds cannot be negative. Correct entries.</v>
      </c>
      <c r="H1803" s="25" t="str">
        <f t="shared" ca="1" si="216"/>
        <v/>
      </c>
      <c r="I1803" s="25" t="str">
        <f t="shared" ca="1" si="217"/>
        <v/>
      </c>
      <c r="J1803" s="26" t="str">
        <f t="shared" ca="1" si="218"/>
        <v/>
      </c>
    </row>
    <row r="1804" spans="1:10" x14ac:dyDescent="0.25">
      <c r="A1804" t="s">
        <v>198</v>
      </c>
      <c r="B1804" t="str">
        <f>ADDRESS(ROW('Bond 1'!$B$33),COLUMN('Bond 1'!$B$33),4)</f>
        <v>B33</v>
      </c>
      <c r="C1804" t="str">
        <f>ADDRESS(ROW('Bond 1'!$D$33),COLUMN('Bond 1'!$D$33),4)</f>
        <v>D33</v>
      </c>
      <c r="D1804" t="b" cm="1">
        <f t="array" aca="1" ref="D1804" ca="1">IF(INDIRECT("'"&amp;A1804&amp;"'!"&amp;B1804)="",FALSE,IF(NOT(ISNUMBER(INDIRECT("'"&amp;A1804&amp;"'!"&amp;B1804))),TRUE,FALSE))</f>
        <v>0</v>
      </c>
      <c r="E1804" t="s">
        <v>435</v>
      </c>
      <c r="F1804" t="str">
        <f>INDEX(Lists!I:I,MATCH(Validation!E1804,Lists!G:G,0))</f>
        <v>Error</v>
      </c>
      <c r="G1804" t="str">
        <f>INDEX(Lists!H:H,MATCH(Validation!E1804,Lists!G:G,0))</f>
        <v>Enter an amount only. Do not enter text or spaces.</v>
      </c>
      <c r="H1804" s="25" t="str">
        <f t="shared" ca="1" si="210"/>
        <v/>
      </c>
      <c r="I1804" s="25" t="str">
        <f t="shared" ca="1" si="211"/>
        <v/>
      </c>
      <c r="J1804" s="26" t="str">
        <f t="shared" ca="1" si="212"/>
        <v/>
      </c>
    </row>
    <row r="1805" spans="1:10" x14ac:dyDescent="0.25">
      <c r="A1805" t="s">
        <v>302</v>
      </c>
      <c r="B1805" t="str">
        <f>ADDRESS(ROW('Bond 1'!$B$33),COLUMN('Bond 1'!$B$33),4)</f>
        <v>B33</v>
      </c>
      <c r="C1805" t="str">
        <f>ADDRESS(ROW('Bond 1'!$D$33),COLUMN('Bond 1'!$D$33),4)</f>
        <v>D33</v>
      </c>
      <c r="D1805" t="b" cm="1">
        <f t="array" aca="1" ref="D1805" ca="1">IF(INDIRECT("'"&amp;A1805&amp;"'!"&amp;B1805)="",FALSE,IF(NOT(ISNUMBER(INDIRECT("'"&amp;A1805&amp;"'!"&amp;B1805))),TRUE,FALSE))</f>
        <v>0</v>
      </c>
      <c r="E1805" t="s">
        <v>435</v>
      </c>
      <c r="F1805" t="str">
        <f>INDEX(Lists!I:I,MATCH(Validation!E1805,Lists!G:G,0))</f>
        <v>Error</v>
      </c>
      <c r="G1805" t="str">
        <f>INDEX(Lists!H:H,MATCH(Validation!E1805,Lists!G:G,0))</f>
        <v>Enter an amount only. Do not enter text or spaces.</v>
      </c>
      <c r="H1805" s="25" t="str">
        <f t="shared" ca="1" si="210"/>
        <v/>
      </c>
      <c r="I1805" s="25" t="str">
        <f t="shared" ca="1" si="211"/>
        <v/>
      </c>
      <c r="J1805" s="26" t="str">
        <f t="shared" ca="1" si="212"/>
        <v/>
      </c>
    </row>
    <row r="1806" spans="1:10" x14ac:dyDescent="0.25">
      <c r="A1806" t="s">
        <v>303</v>
      </c>
      <c r="B1806" t="str">
        <f>ADDRESS(ROW('Bond 1'!$B$33),COLUMN('Bond 1'!$B$33),4)</f>
        <v>B33</v>
      </c>
      <c r="C1806" t="str">
        <f>ADDRESS(ROW('Bond 1'!$D$33),COLUMN('Bond 1'!$D$33),4)</f>
        <v>D33</v>
      </c>
      <c r="D1806" t="b" cm="1">
        <f t="array" aca="1" ref="D1806" ca="1">IF(INDIRECT("'"&amp;A1806&amp;"'!"&amp;B1806)="",FALSE,IF(NOT(ISNUMBER(INDIRECT("'"&amp;A1806&amp;"'!"&amp;B1806))),TRUE,FALSE))</f>
        <v>0</v>
      </c>
      <c r="E1806" t="s">
        <v>435</v>
      </c>
      <c r="F1806" t="str">
        <f>INDEX(Lists!I:I,MATCH(Validation!E1806,Lists!G:G,0))</f>
        <v>Error</v>
      </c>
      <c r="G1806" t="str">
        <f>INDEX(Lists!H:H,MATCH(Validation!E1806,Lists!G:G,0))</f>
        <v>Enter an amount only. Do not enter text or spaces.</v>
      </c>
      <c r="H1806" s="25" t="str">
        <f t="shared" ca="1" si="210"/>
        <v/>
      </c>
      <c r="I1806" s="25" t="str">
        <f t="shared" ca="1" si="211"/>
        <v/>
      </c>
      <c r="J1806" s="26" t="str">
        <f t="shared" ca="1" si="212"/>
        <v/>
      </c>
    </row>
    <row r="1807" spans="1:10" x14ac:dyDescent="0.25">
      <c r="A1807" t="s">
        <v>304</v>
      </c>
      <c r="B1807" t="str">
        <f>ADDRESS(ROW('Bond 1'!$B$33),COLUMN('Bond 1'!$B$33),4)</f>
        <v>B33</v>
      </c>
      <c r="C1807" t="str">
        <f>ADDRESS(ROW('Bond 1'!$D$33),COLUMN('Bond 1'!$D$33),4)</f>
        <v>D33</v>
      </c>
      <c r="D1807" t="b" cm="1">
        <f t="array" aca="1" ref="D1807" ca="1">IF(INDIRECT("'"&amp;A1807&amp;"'!"&amp;B1807)="",FALSE,IF(NOT(ISNUMBER(INDIRECT("'"&amp;A1807&amp;"'!"&amp;B1807))),TRUE,FALSE))</f>
        <v>0</v>
      </c>
      <c r="E1807" t="s">
        <v>435</v>
      </c>
      <c r="F1807" t="str">
        <f>INDEX(Lists!I:I,MATCH(Validation!E1807,Lists!G:G,0))</f>
        <v>Error</v>
      </c>
      <c r="G1807" t="str">
        <f>INDEX(Lists!H:H,MATCH(Validation!E1807,Lists!G:G,0))</f>
        <v>Enter an amount only. Do not enter text or spaces.</v>
      </c>
      <c r="H1807" s="25" t="str">
        <f t="shared" ca="1" si="210"/>
        <v/>
      </c>
      <c r="I1807" s="25" t="str">
        <f t="shared" ca="1" si="211"/>
        <v/>
      </c>
      <c r="J1807" s="26" t="str">
        <f t="shared" ca="1" si="212"/>
        <v/>
      </c>
    </row>
    <row r="1808" spans="1:10" x14ac:dyDescent="0.25">
      <c r="A1808" t="s">
        <v>305</v>
      </c>
      <c r="B1808" t="str">
        <f>ADDRESS(ROW('Bond 1'!$B$33),COLUMN('Bond 1'!$B$33),4)</f>
        <v>B33</v>
      </c>
      <c r="C1808" t="str">
        <f>ADDRESS(ROW('Bond 1'!$D$33),COLUMN('Bond 1'!$D$33),4)</f>
        <v>D33</v>
      </c>
      <c r="D1808" t="b" cm="1">
        <f t="array" aca="1" ref="D1808" ca="1">IF(INDIRECT("'"&amp;A1808&amp;"'!"&amp;B1808)="",FALSE,IF(NOT(ISNUMBER(INDIRECT("'"&amp;A1808&amp;"'!"&amp;B1808))),TRUE,FALSE))</f>
        <v>0</v>
      </c>
      <c r="E1808" t="s">
        <v>435</v>
      </c>
      <c r="F1808" t="str">
        <f>INDEX(Lists!I:I,MATCH(Validation!E1808,Lists!G:G,0))</f>
        <v>Error</v>
      </c>
      <c r="G1808" t="str">
        <f>INDEX(Lists!H:H,MATCH(Validation!E1808,Lists!G:G,0))</f>
        <v>Enter an amount only. Do not enter text or spaces.</v>
      </c>
      <c r="H1808" s="25" t="str">
        <f t="shared" ca="1" si="210"/>
        <v/>
      </c>
      <c r="I1808" s="25" t="str">
        <f t="shared" ca="1" si="211"/>
        <v/>
      </c>
      <c r="J1808" s="26" t="str">
        <f t="shared" ca="1" si="212"/>
        <v/>
      </c>
    </row>
    <row r="1809" spans="1:10" x14ac:dyDescent="0.25">
      <c r="A1809" t="s">
        <v>306</v>
      </c>
      <c r="B1809" t="str">
        <f>ADDRESS(ROW('Bond 1'!$B$33),COLUMN('Bond 1'!$B$33),4)</f>
        <v>B33</v>
      </c>
      <c r="C1809" t="str">
        <f>ADDRESS(ROW('Bond 1'!$D$33),COLUMN('Bond 1'!$D$33),4)</f>
        <v>D33</v>
      </c>
      <c r="D1809" t="b" cm="1">
        <f t="array" aca="1" ref="D1809" ca="1">IF(INDIRECT("'"&amp;A1809&amp;"'!"&amp;B1809)="",FALSE,IF(NOT(ISNUMBER(INDIRECT("'"&amp;A1809&amp;"'!"&amp;B1809))),TRUE,FALSE))</f>
        <v>0</v>
      </c>
      <c r="E1809" t="s">
        <v>435</v>
      </c>
      <c r="F1809" t="str">
        <f>INDEX(Lists!I:I,MATCH(Validation!E1809,Lists!G:G,0))</f>
        <v>Error</v>
      </c>
      <c r="G1809" t="str">
        <f>INDEX(Lists!H:H,MATCH(Validation!E1809,Lists!G:G,0))</f>
        <v>Enter an amount only. Do not enter text or spaces.</v>
      </c>
      <c r="H1809" s="25" t="str">
        <f t="shared" ca="1" si="210"/>
        <v/>
      </c>
      <c r="I1809" s="25" t="str">
        <f t="shared" ca="1" si="211"/>
        <v/>
      </c>
      <c r="J1809" s="26" t="str">
        <f t="shared" ca="1" si="212"/>
        <v/>
      </c>
    </row>
    <row r="1810" spans="1:10" x14ac:dyDescent="0.25">
      <c r="A1810" t="s">
        <v>307</v>
      </c>
      <c r="B1810" t="str">
        <f>ADDRESS(ROW('Bond 1'!$B$33),COLUMN('Bond 1'!$B$33),4)</f>
        <v>B33</v>
      </c>
      <c r="C1810" t="str">
        <f>ADDRESS(ROW('Bond 1'!$D$33),COLUMN('Bond 1'!$D$33),4)</f>
        <v>D33</v>
      </c>
      <c r="D1810" t="b" cm="1">
        <f t="array" aca="1" ref="D1810" ca="1">IF(INDIRECT("'"&amp;A1810&amp;"'!"&amp;B1810)="",FALSE,IF(NOT(ISNUMBER(INDIRECT("'"&amp;A1810&amp;"'!"&amp;B1810))),TRUE,FALSE))</f>
        <v>0</v>
      </c>
      <c r="E1810" t="s">
        <v>435</v>
      </c>
      <c r="F1810" t="str">
        <f>INDEX(Lists!I:I,MATCH(Validation!E1810,Lists!G:G,0))</f>
        <v>Error</v>
      </c>
      <c r="G1810" t="str">
        <f>INDEX(Lists!H:H,MATCH(Validation!E1810,Lists!G:G,0))</f>
        <v>Enter an amount only. Do not enter text or spaces.</v>
      </c>
      <c r="H1810" s="25" t="str">
        <f t="shared" ca="1" si="210"/>
        <v/>
      </c>
      <c r="I1810" s="25" t="str">
        <f t="shared" ca="1" si="211"/>
        <v/>
      </c>
      <c r="J1810" s="26" t="str">
        <f t="shared" ca="1" si="212"/>
        <v/>
      </c>
    </row>
    <row r="1811" spans="1:10" x14ac:dyDescent="0.25">
      <c r="A1811" t="s">
        <v>308</v>
      </c>
      <c r="B1811" t="str">
        <f>ADDRESS(ROW('Bond 1'!$B$33),COLUMN('Bond 1'!$B$33),4)</f>
        <v>B33</v>
      </c>
      <c r="C1811" t="str">
        <f>ADDRESS(ROW('Bond 1'!$D$33),COLUMN('Bond 1'!$D$33),4)</f>
        <v>D33</v>
      </c>
      <c r="D1811" t="b" cm="1">
        <f t="array" aca="1" ref="D1811" ca="1">IF(INDIRECT("'"&amp;A1811&amp;"'!"&amp;B1811)="",FALSE,IF(NOT(ISNUMBER(INDIRECT("'"&amp;A1811&amp;"'!"&amp;B1811))),TRUE,FALSE))</f>
        <v>0</v>
      </c>
      <c r="E1811" t="s">
        <v>435</v>
      </c>
      <c r="F1811" t="str">
        <f>INDEX(Lists!I:I,MATCH(Validation!E1811,Lists!G:G,0))</f>
        <v>Error</v>
      </c>
      <c r="G1811" t="str">
        <f>INDEX(Lists!H:H,MATCH(Validation!E1811,Lists!G:G,0))</f>
        <v>Enter an amount only. Do not enter text or spaces.</v>
      </c>
      <c r="H1811" s="25" t="str">
        <f t="shared" ca="1" si="210"/>
        <v/>
      </c>
      <c r="I1811" s="25" t="str">
        <f t="shared" ca="1" si="211"/>
        <v/>
      </c>
      <c r="J1811" s="26" t="str">
        <f t="shared" ca="1" si="212"/>
        <v/>
      </c>
    </row>
    <row r="1812" spans="1:10" x14ac:dyDescent="0.25">
      <c r="A1812" t="s">
        <v>309</v>
      </c>
      <c r="B1812" t="str">
        <f>ADDRESS(ROW('Bond 1'!$B$33),COLUMN('Bond 1'!$B$33),4)</f>
        <v>B33</v>
      </c>
      <c r="C1812" t="str">
        <f>ADDRESS(ROW('Bond 1'!$D$33),COLUMN('Bond 1'!$D$33),4)</f>
        <v>D33</v>
      </c>
      <c r="D1812" t="b" cm="1">
        <f t="array" aca="1" ref="D1812" ca="1">IF(INDIRECT("'"&amp;A1812&amp;"'!"&amp;B1812)="",FALSE,IF(NOT(ISNUMBER(INDIRECT("'"&amp;A1812&amp;"'!"&amp;B1812))),TRUE,FALSE))</f>
        <v>0</v>
      </c>
      <c r="E1812" t="s">
        <v>435</v>
      </c>
      <c r="F1812" t="str">
        <f>INDEX(Lists!I:I,MATCH(Validation!E1812,Lists!G:G,0))</f>
        <v>Error</v>
      </c>
      <c r="G1812" t="str">
        <f>INDEX(Lists!H:H,MATCH(Validation!E1812,Lists!G:G,0))</f>
        <v>Enter an amount only. Do not enter text or spaces.</v>
      </c>
      <c r="H1812" s="25" t="str">
        <f t="shared" ca="1" si="210"/>
        <v/>
      </c>
      <c r="I1812" s="25" t="str">
        <f t="shared" ca="1" si="211"/>
        <v/>
      </c>
      <c r="J1812" s="26" t="str">
        <f t="shared" ca="1" si="212"/>
        <v/>
      </c>
    </row>
    <row r="1813" spans="1:10" x14ac:dyDescent="0.25">
      <c r="A1813" t="s">
        <v>310</v>
      </c>
      <c r="B1813" t="str">
        <f>ADDRESS(ROW('Bond 1'!$B$33),COLUMN('Bond 1'!$B$33),4)</f>
        <v>B33</v>
      </c>
      <c r="C1813" t="str">
        <f>ADDRESS(ROW('Bond 1'!$D$33),COLUMN('Bond 1'!$D$33),4)</f>
        <v>D33</v>
      </c>
      <c r="D1813" t="b" cm="1">
        <f t="array" aca="1" ref="D1813" ca="1">IF(INDIRECT("'"&amp;A1813&amp;"'!"&amp;B1813)="",FALSE,IF(NOT(ISNUMBER(INDIRECT("'"&amp;A1813&amp;"'!"&amp;B1813))),TRUE,FALSE))</f>
        <v>0</v>
      </c>
      <c r="E1813" t="s">
        <v>435</v>
      </c>
      <c r="F1813" t="str">
        <f>INDEX(Lists!I:I,MATCH(Validation!E1813,Lists!G:G,0))</f>
        <v>Error</v>
      </c>
      <c r="G1813" t="str">
        <f>INDEX(Lists!H:H,MATCH(Validation!E1813,Lists!G:G,0))</f>
        <v>Enter an amount only. Do not enter text or spaces.</v>
      </c>
      <c r="H1813" s="25" t="str">
        <f t="shared" ca="1" si="210"/>
        <v/>
      </c>
      <c r="I1813" s="25" t="str">
        <f t="shared" ca="1" si="211"/>
        <v/>
      </c>
      <c r="J1813" s="26" t="str">
        <f t="shared" ca="1" si="212"/>
        <v/>
      </c>
    </row>
    <row r="1814" spans="1:10" x14ac:dyDescent="0.25">
      <c r="A1814" t="s">
        <v>311</v>
      </c>
      <c r="B1814" t="str">
        <f>ADDRESS(ROW('Bond 1'!$B$33),COLUMN('Bond 1'!$B$33),4)</f>
        <v>B33</v>
      </c>
      <c r="C1814" t="str">
        <f>ADDRESS(ROW('Bond 1'!$D$33),COLUMN('Bond 1'!$D$33),4)</f>
        <v>D33</v>
      </c>
      <c r="D1814" t="b" cm="1">
        <f t="array" aca="1" ref="D1814" ca="1">IF(INDIRECT("'"&amp;A1814&amp;"'!"&amp;B1814)="",FALSE,IF(NOT(ISNUMBER(INDIRECT("'"&amp;A1814&amp;"'!"&amp;B1814))),TRUE,FALSE))</f>
        <v>0</v>
      </c>
      <c r="E1814" t="s">
        <v>435</v>
      </c>
      <c r="F1814" t="str">
        <f>INDEX(Lists!I:I,MATCH(Validation!E1814,Lists!G:G,0))</f>
        <v>Error</v>
      </c>
      <c r="G1814" t="str">
        <f>INDEX(Lists!H:H,MATCH(Validation!E1814,Lists!G:G,0))</f>
        <v>Enter an amount only. Do not enter text or spaces.</v>
      </c>
      <c r="H1814" s="25" t="str">
        <f t="shared" ca="1" si="210"/>
        <v/>
      </c>
      <c r="I1814" s="25" t="str">
        <f t="shared" ca="1" si="211"/>
        <v/>
      </c>
      <c r="J1814" s="26" t="str">
        <f t="shared" ca="1" si="212"/>
        <v/>
      </c>
    </row>
    <row r="1815" spans="1:10" x14ac:dyDescent="0.25">
      <c r="A1815" t="s">
        <v>312</v>
      </c>
      <c r="B1815" t="str">
        <f>ADDRESS(ROW('Bond 1'!$B$33),COLUMN('Bond 1'!$B$33),4)</f>
        <v>B33</v>
      </c>
      <c r="C1815" t="str">
        <f>ADDRESS(ROW('Bond 1'!$D$33),COLUMN('Bond 1'!$D$33),4)</f>
        <v>D33</v>
      </c>
      <c r="D1815" t="b" cm="1">
        <f t="array" aca="1" ref="D1815" ca="1">IF(INDIRECT("'"&amp;A1815&amp;"'!"&amp;B1815)="",FALSE,IF(NOT(ISNUMBER(INDIRECT("'"&amp;A1815&amp;"'!"&amp;B1815))),TRUE,FALSE))</f>
        <v>0</v>
      </c>
      <c r="E1815" t="s">
        <v>435</v>
      </c>
      <c r="F1815" t="str">
        <f>INDEX(Lists!I:I,MATCH(Validation!E1815,Lists!G:G,0))</f>
        <v>Error</v>
      </c>
      <c r="G1815" t="str">
        <f>INDEX(Lists!H:H,MATCH(Validation!E1815,Lists!G:G,0))</f>
        <v>Enter an amount only. Do not enter text or spaces.</v>
      </c>
      <c r="H1815" s="25" t="str">
        <f t="shared" ref="H1815:H1878" ca="1" si="219">IFERROR(IF(OR(NOT(D1815),F1815&lt;&gt;"Error"),"",A1815&amp;CELL("address",INDIRECT(B1815))),"")</f>
        <v/>
      </c>
      <c r="I1815" s="25" t="str">
        <f t="shared" ref="I1815:I1878" ca="1" si="220">IFERROR(IF(NOT(D1815),"",A1815&amp;CELL("address",INDIRECT(C1815))),"")</f>
        <v/>
      </c>
      <c r="J1815" s="26" t="str">
        <f t="shared" ref="J1815:J1878" ca="1" si="221">IFERROR(IF(NOT(D1815),"",A1815),"")</f>
        <v/>
      </c>
    </row>
    <row r="1816" spans="1:10" x14ac:dyDescent="0.25">
      <c r="A1816" t="s">
        <v>313</v>
      </c>
      <c r="B1816" t="str">
        <f>ADDRESS(ROW('Bond 1'!$B$33),COLUMN('Bond 1'!$B$33),4)</f>
        <v>B33</v>
      </c>
      <c r="C1816" t="str">
        <f>ADDRESS(ROW('Bond 1'!$D$33),COLUMN('Bond 1'!$D$33),4)</f>
        <v>D33</v>
      </c>
      <c r="D1816" t="b" cm="1">
        <f t="array" aca="1" ref="D1816" ca="1">IF(INDIRECT("'"&amp;A1816&amp;"'!"&amp;B1816)="",FALSE,IF(NOT(ISNUMBER(INDIRECT("'"&amp;A1816&amp;"'!"&amp;B1816))),TRUE,FALSE))</f>
        <v>0</v>
      </c>
      <c r="E1816" t="s">
        <v>435</v>
      </c>
      <c r="F1816" t="str">
        <f>INDEX(Lists!I:I,MATCH(Validation!E1816,Lists!G:G,0))</f>
        <v>Error</v>
      </c>
      <c r="G1816" t="str">
        <f>INDEX(Lists!H:H,MATCH(Validation!E1816,Lists!G:G,0))</f>
        <v>Enter an amount only. Do not enter text or spaces.</v>
      </c>
      <c r="H1816" s="25" t="str">
        <f t="shared" ca="1" si="219"/>
        <v/>
      </c>
      <c r="I1816" s="25" t="str">
        <f t="shared" ca="1" si="220"/>
        <v/>
      </c>
      <c r="J1816" s="26" t="str">
        <f t="shared" ca="1" si="221"/>
        <v/>
      </c>
    </row>
    <row r="1817" spans="1:10" x14ac:dyDescent="0.25">
      <c r="A1817" t="s">
        <v>314</v>
      </c>
      <c r="B1817" t="str">
        <f>ADDRESS(ROW('Bond 1'!$B$33),COLUMN('Bond 1'!$B$33),4)</f>
        <v>B33</v>
      </c>
      <c r="C1817" t="str">
        <f>ADDRESS(ROW('Bond 1'!$D$33),COLUMN('Bond 1'!$D$33),4)</f>
        <v>D33</v>
      </c>
      <c r="D1817" t="b" cm="1">
        <f t="array" aca="1" ref="D1817" ca="1">IF(INDIRECT("'"&amp;A1817&amp;"'!"&amp;B1817)="",FALSE,IF(NOT(ISNUMBER(INDIRECT("'"&amp;A1817&amp;"'!"&amp;B1817))),TRUE,FALSE))</f>
        <v>0</v>
      </c>
      <c r="E1817" t="s">
        <v>435</v>
      </c>
      <c r="F1817" t="str">
        <f>INDEX(Lists!I:I,MATCH(Validation!E1817,Lists!G:G,0))</f>
        <v>Error</v>
      </c>
      <c r="G1817" t="str">
        <f>INDEX(Lists!H:H,MATCH(Validation!E1817,Lists!G:G,0))</f>
        <v>Enter an amount only. Do not enter text or spaces.</v>
      </c>
      <c r="H1817" s="25" t="str">
        <f t="shared" ca="1" si="219"/>
        <v/>
      </c>
      <c r="I1817" s="25" t="str">
        <f t="shared" ca="1" si="220"/>
        <v/>
      </c>
      <c r="J1817" s="26" t="str">
        <f t="shared" ca="1" si="221"/>
        <v/>
      </c>
    </row>
    <row r="1818" spans="1:10" x14ac:dyDescent="0.25">
      <c r="A1818" t="s">
        <v>315</v>
      </c>
      <c r="B1818" t="str">
        <f>ADDRESS(ROW('Bond 1'!$B$33),COLUMN('Bond 1'!$B$33),4)</f>
        <v>B33</v>
      </c>
      <c r="C1818" t="str">
        <f>ADDRESS(ROW('Bond 1'!$D$33),COLUMN('Bond 1'!$D$33),4)</f>
        <v>D33</v>
      </c>
      <c r="D1818" t="b" cm="1">
        <f t="array" aca="1" ref="D1818" ca="1">IF(INDIRECT("'"&amp;A1818&amp;"'!"&amp;B1818)="",FALSE,IF(NOT(ISNUMBER(INDIRECT("'"&amp;A1818&amp;"'!"&amp;B1818))),TRUE,FALSE))</f>
        <v>0</v>
      </c>
      <c r="E1818" t="s">
        <v>435</v>
      </c>
      <c r="F1818" t="str">
        <f>INDEX(Lists!I:I,MATCH(Validation!E1818,Lists!G:G,0))</f>
        <v>Error</v>
      </c>
      <c r="G1818" t="str">
        <f>INDEX(Lists!H:H,MATCH(Validation!E1818,Lists!G:G,0))</f>
        <v>Enter an amount only. Do not enter text or spaces.</v>
      </c>
      <c r="H1818" s="25" t="str">
        <f t="shared" ca="1" si="219"/>
        <v/>
      </c>
      <c r="I1818" s="25" t="str">
        <f t="shared" ca="1" si="220"/>
        <v/>
      </c>
      <c r="J1818" s="26" t="str">
        <f t="shared" ca="1" si="221"/>
        <v/>
      </c>
    </row>
    <row r="1819" spans="1:10" x14ac:dyDescent="0.25">
      <c r="A1819" t="s">
        <v>198</v>
      </c>
      <c r="B1819" t="str">
        <f>ADDRESS(ROW('Bond 1'!$B$33),COLUMN('Bond 1'!$B$33),4)</f>
        <v>B33</v>
      </c>
      <c r="C1819" t="str">
        <f>ADDRESS(ROW('Bond 1'!$D$33),COLUMN('Bond 1'!$D$33),4)</f>
        <v>D33</v>
      </c>
      <c r="D1819" t="b" cm="1">
        <f t="array" aca="1" ref="D1819" ca="1">IF(INDIRECT("'"&amp;A1819&amp;"'!"&amp;B1819)="",FALSE,IF(INDIRECT("'"&amp;A1819&amp;"'!"&amp;B1819)&lt;0,TRUE,FALSE))</f>
        <v>0</v>
      </c>
      <c r="E1819" t="s">
        <v>434</v>
      </c>
      <c r="F1819" t="str">
        <f>INDEX(Lists!I:I,MATCH(Validation!E1819,Lists!G:G,0))</f>
        <v>Error</v>
      </c>
      <c r="G1819" t="str">
        <f>INDEX(Lists!H:H,MATCH(Validation!E1819,Lists!G:G,0))</f>
        <v>Amount may not be negative. Enter an amount greater than or equal to zero.</v>
      </c>
      <c r="H1819" s="25" t="str">
        <f t="shared" ca="1" si="219"/>
        <v/>
      </c>
      <c r="I1819" s="25" t="str">
        <f t="shared" ca="1" si="220"/>
        <v/>
      </c>
      <c r="J1819" s="26" t="str">
        <f t="shared" ca="1" si="221"/>
        <v/>
      </c>
    </row>
    <row r="1820" spans="1:10" x14ac:dyDescent="0.25">
      <c r="A1820" t="s">
        <v>302</v>
      </c>
      <c r="B1820" t="str">
        <f>ADDRESS(ROW('Bond 1'!$B$33),COLUMN('Bond 1'!$B$33),4)</f>
        <v>B33</v>
      </c>
      <c r="C1820" t="str">
        <f>ADDRESS(ROW('Bond 1'!$D$33),COLUMN('Bond 1'!$D$33),4)</f>
        <v>D33</v>
      </c>
      <c r="D1820" t="b" cm="1">
        <f t="array" aca="1" ref="D1820" ca="1">IF(INDIRECT("'"&amp;A1820&amp;"'!"&amp;B1820)="",FALSE,IF(INDIRECT("'"&amp;A1820&amp;"'!"&amp;B1820)&lt;0,TRUE,FALSE))</f>
        <v>0</v>
      </c>
      <c r="E1820" t="s">
        <v>434</v>
      </c>
      <c r="F1820" t="str">
        <f>INDEX(Lists!I:I,MATCH(Validation!E1820,Lists!G:G,0))</f>
        <v>Error</v>
      </c>
      <c r="G1820" t="str">
        <f>INDEX(Lists!H:H,MATCH(Validation!E1820,Lists!G:G,0))</f>
        <v>Amount may not be negative. Enter an amount greater than or equal to zero.</v>
      </c>
      <c r="H1820" s="25" t="str">
        <f t="shared" ca="1" si="219"/>
        <v/>
      </c>
      <c r="I1820" s="25" t="str">
        <f t="shared" ca="1" si="220"/>
        <v/>
      </c>
      <c r="J1820" s="26" t="str">
        <f t="shared" ca="1" si="221"/>
        <v/>
      </c>
    </row>
    <row r="1821" spans="1:10" x14ac:dyDescent="0.25">
      <c r="A1821" t="s">
        <v>303</v>
      </c>
      <c r="B1821" t="str">
        <f>ADDRESS(ROW('Bond 1'!$B$33),COLUMN('Bond 1'!$B$33),4)</f>
        <v>B33</v>
      </c>
      <c r="C1821" t="str">
        <f>ADDRESS(ROW('Bond 1'!$D$33),COLUMN('Bond 1'!$D$33),4)</f>
        <v>D33</v>
      </c>
      <c r="D1821" t="b" cm="1">
        <f t="array" aca="1" ref="D1821" ca="1">IF(INDIRECT("'"&amp;A1821&amp;"'!"&amp;B1821)="",FALSE,IF(INDIRECT("'"&amp;A1821&amp;"'!"&amp;B1821)&lt;0,TRUE,FALSE))</f>
        <v>0</v>
      </c>
      <c r="E1821" t="s">
        <v>434</v>
      </c>
      <c r="F1821" t="str">
        <f>INDEX(Lists!I:I,MATCH(Validation!E1821,Lists!G:G,0))</f>
        <v>Error</v>
      </c>
      <c r="G1821" t="str">
        <f>INDEX(Lists!H:H,MATCH(Validation!E1821,Lists!G:G,0))</f>
        <v>Amount may not be negative. Enter an amount greater than or equal to zero.</v>
      </c>
      <c r="H1821" s="25" t="str">
        <f t="shared" ca="1" si="219"/>
        <v/>
      </c>
      <c r="I1821" s="25" t="str">
        <f t="shared" ca="1" si="220"/>
        <v/>
      </c>
      <c r="J1821" s="26" t="str">
        <f t="shared" ca="1" si="221"/>
        <v/>
      </c>
    </row>
    <row r="1822" spans="1:10" x14ac:dyDescent="0.25">
      <c r="A1822" t="s">
        <v>304</v>
      </c>
      <c r="B1822" t="str">
        <f>ADDRESS(ROW('Bond 1'!$B$33),COLUMN('Bond 1'!$B$33),4)</f>
        <v>B33</v>
      </c>
      <c r="C1822" t="str">
        <f>ADDRESS(ROW('Bond 1'!$D$33),COLUMN('Bond 1'!$D$33),4)</f>
        <v>D33</v>
      </c>
      <c r="D1822" t="b" cm="1">
        <f t="array" aca="1" ref="D1822" ca="1">IF(INDIRECT("'"&amp;A1822&amp;"'!"&amp;B1822)="",FALSE,IF(INDIRECT("'"&amp;A1822&amp;"'!"&amp;B1822)&lt;0,TRUE,FALSE))</f>
        <v>0</v>
      </c>
      <c r="E1822" t="s">
        <v>434</v>
      </c>
      <c r="F1822" t="str">
        <f>INDEX(Lists!I:I,MATCH(Validation!E1822,Lists!G:G,0))</f>
        <v>Error</v>
      </c>
      <c r="G1822" t="str">
        <f>INDEX(Lists!H:H,MATCH(Validation!E1822,Lists!G:G,0))</f>
        <v>Amount may not be negative. Enter an amount greater than or equal to zero.</v>
      </c>
      <c r="H1822" s="25" t="str">
        <f t="shared" ca="1" si="219"/>
        <v/>
      </c>
      <c r="I1822" s="25" t="str">
        <f t="shared" ca="1" si="220"/>
        <v/>
      </c>
      <c r="J1822" s="26" t="str">
        <f t="shared" ca="1" si="221"/>
        <v/>
      </c>
    </row>
    <row r="1823" spans="1:10" x14ac:dyDescent="0.25">
      <c r="A1823" t="s">
        <v>305</v>
      </c>
      <c r="B1823" t="str">
        <f>ADDRESS(ROW('Bond 1'!$B$33),COLUMN('Bond 1'!$B$33),4)</f>
        <v>B33</v>
      </c>
      <c r="C1823" t="str">
        <f>ADDRESS(ROW('Bond 1'!$D$33),COLUMN('Bond 1'!$D$33),4)</f>
        <v>D33</v>
      </c>
      <c r="D1823" t="b" cm="1">
        <f t="array" aca="1" ref="D1823" ca="1">IF(INDIRECT("'"&amp;A1823&amp;"'!"&amp;B1823)="",FALSE,IF(INDIRECT("'"&amp;A1823&amp;"'!"&amp;B1823)&lt;0,TRUE,FALSE))</f>
        <v>0</v>
      </c>
      <c r="E1823" t="s">
        <v>434</v>
      </c>
      <c r="F1823" t="str">
        <f>INDEX(Lists!I:I,MATCH(Validation!E1823,Lists!G:G,0))</f>
        <v>Error</v>
      </c>
      <c r="G1823" t="str">
        <f>INDEX(Lists!H:H,MATCH(Validation!E1823,Lists!G:G,0))</f>
        <v>Amount may not be negative. Enter an amount greater than or equal to zero.</v>
      </c>
      <c r="H1823" s="25" t="str">
        <f t="shared" ca="1" si="219"/>
        <v/>
      </c>
      <c r="I1823" s="25" t="str">
        <f t="shared" ca="1" si="220"/>
        <v/>
      </c>
      <c r="J1823" s="26" t="str">
        <f t="shared" ca="1" si="221"/>
        <v/>
      </c>
    </row>
    <row r="1824" spans="1:10" x14ac:dyDescent="0.25">
      <c r="A1824" t="s">
        <v>306</v>
      </c>
      <c r="B1824" t="str">
        <f>ADDRESS(ROW('Bond 1'!$B$33),COLUMN('Bond 1'!$B$33),4)</f>
        <v>B33</v>
      </c>
      <c r="C1824" t="str">
        <f>ADDRESS(ROW('Bond 1'!$D$33),COLUMN('Bond 1'!$D$33),4)</f>
        <v>D33</v>
      </c>
      <c r="D1824" t="b" cm="1">
        <f t="array" aca="1" ref="D1824" ca="1">IF(INDIRECT("'"&amp;A1824&amp;"'!"&amp;B1824)="",FALSE,IF(INDIRECT("'"&amp;A1824&amp;"'!"&amp;B1824)&lt;0,TRUE,FALSE))</f>
        <v>0</v>
      </c>
      <c r="E1824" t="s">
        <v>434</v>
      </c>
      <c r="F1824" t="str">
        <f>INDEX(Lists!I:I,MATCH(Validation!E1824,Lists!G:G,0))</f>
        <v>Error</v>
      </c>
      <c r="G1824" t="str">
        <f>INDEX(Lists!H:H,MATCH(Validation!E1824,Lists!G:G,0))</f>
        <v>Amount may not be negative. Enter an amount greater than or equal to zero.</v>
      </c>
      <c r="H1824" s="25" t="str">
        <f t="shared" ca="1" si="219"/>
        <v/>
      </c>
      <c r="I1824" s="25" t="str">
        <f t="shared" ca="1" si="220"/>
        <v/>
      </c>
      <c r="J1824" s="26" t="str">
        <f t="shared" ca="1" si="221"/>
        <v/>
      </c>
    </row>
    <row r="1825" spans="1:10" x14ac:dyDescent="0.25">
      <c r="A1825" t="s">
        <v>307</v>
      </c>
      <c r="B1825" t="str">
        <f>ADDRESS(ROW('Bond 1'!$B$33),COLUMN('Bond 1'!$B$33),4)</f>
        <v>B33</v>
      </c>
      <c r="C1825" t="str">
        <f>ADDRESS(ROW('Bond 1'!$D$33),COLUMN('Bond 1'!$D$33),4)</f>
        <v>D33</v>
      </c>
      <c r="D1825" t="b" cm="1">
        <f t="array" aca="1" ref="D1825" ca="1">IF(INDIRECT("'"&amp;A1825&amp;"'!"&amp;B1825)="",FALSE,IF(INDIRECT("'"&amp;A1825&amp;"'!"&amp;B1825)&lt;0,TRUE,FALSE))</f>
        <v>0</v>
      </c>
      <c r="E1825" t="s">
        <v>434</v>
      </c>
      <c r="F1825" t="str">
        <f>INDEX(Lists!I:I,MATCH(Validation!E1825,Lists!G:G,0))</f>
        <v>Error</v>
      </c>
      <c r="G1825" t="str">
        <f>INDEX(Lists!H:H,MATCH(Validation!E1825,Lists!G:G,0))</f>
        <v>Amount may not be negative. Enter an amount greater than or equal to zero.</v>
      </c>
      <c r="H1825" s="25" t="str">
        <f t="shared" ca="1" si="219"/>
        <v/>
      </c>
      <c r="I1825" s="25" t="str">
        <f t="shared" ca="1" si="220"/>
        <v/>
      </c>
      <c r="J1825" s="26" t="str">
        <f t="shared" ca="1" si="221"/>
        <v/>
      </c>
    </row>
    <row r="1826" spans="1:10" x14ac:dyDescent="0.25">
      <c r="A1826" t="s">
        <v>308</v>
      </c>
      <c r="B1826" t="str">
        <f>ADDRESS(ROW('Bond 1'!$B$33),COLUMN('Bond 1'!$B$33),4)</f>
        <v>B33</v>
      </c>
      <c r="C1826" t="str">
        <f>ADDRESS(ROW('Bond 1'!$D$33),COLUMN('Bond 1'!$D$33),4)</f>
        <v>D33</v>
      </c>
      <c r="D1826" t="b" cm="1">
        <f t="array" aca="1" ref="D1826" ca="1">IF(INDIRECT("'"&amp;A1826&amp;"'!"&amp;B1826)="",FALSE,IF(INDIRECT("'"&amp;A1826&amp;"'!"&amp;B1826)&lt;0,TRUE,FALSE))</f>
        <v>0</v>
      </c>
      <c r="E1826" t="s">
        <v>434</v>
      </c>
      <c r="F1826" t="str">
        <f>INDEX(Lists!I:I,MATCH(Validation!E1826,Lists!G:G,0))</f>
        <v>Error</v>
      </c>
      <c r="G1826" t="str">
        <f>INDEX(Lists!H:H,MATCH(Validation!E1826,Lists!G:G,0))</f>
        <v>Amount may not be negative. Enter an amount greater than or equal to zero.</v>
      </c>
      <c r="H1826" s="25" t="str">
        <f t="shared" ca="1" si="219"/>
        <v/>
      </c>
      <c r="I1826" s="25" t="str">
        <f t="shared" ca="1" si="220"/>
        <v/>
      </c>
      <c r="J1826" s="26" t="str">
        <f t="shared" ca="1" si="221"/>
        <v/>
      </c>
    </row>
    <row r="1827" spans="1:10" x14ac:dyDescent="0.25">
      <c r="A1827" t="s">
        <v>309</v>
      </c>
      <c r="B1827" t="str">
        <f>ADDRESS(ROW('Bond 1'!$B$33),COLUMN('Bond 1'!$B$33),4)</f>
        <v>B33</v>
      </c>
      <c r="C1827" t="str">
        <f>ADDRESS(ROW('Bond 1'!$D$33),COLUMN('Bond 1'!$D$33),4)</f>
        <v>D33</v>
      </c>
      <c r="D1827" t="b" cm="1">
        <f t="array" aca="1" ref="D1827" ca="1">IF(INDIRECT("'"&amp;A1827&amp;"'!"&amp;B1827)="",FALSE,IF(INDIRECT("'"&amp;A1827&amp;"'!"&amp;B1827)&lt;0,TRUE,FALSE))</f>
        <v>0</v>
      </c>
      <c r="E1827" t="s">
        <v>434</v>
      </c>
      <c r="F1827" t="str">
        <f>INDEX(Lists!I:I,MATCH(Validation!E1827,Lists!G:G,0))</f>
        <v>Error</v>
      </c>
      <c r="G1827" t="str">
        <f>INDEX(Lists!H:H,MATCH(Validation!E1827,Lists!G:G,0))</f>
        <v>Amount may not be negative. Enter an amount greater than or equal to zero.</v>
      </c>
      <c r="H1827" s="25" t="str">
        <f t="shared" ca="1" si="219"/>
        <v/>
      </c>
      <c r="I1827" s="25" t="str">
        <f t="shared" ca="1" si="220"/>
        <v/>
      </c>
      <c r="J1827" s="26" t="str">
        <f t="shared" ca="1" si="221"/>
        <v/>
      </c>
    </row>
    <row r="1828" spans="1:10" x14ac:dyDescent="0.25">
      <c r="A1828" t="s">
        <v>310</v>
      </c>
      <c r="B1828" t="str">
        <f>ADDRESS(ROW('Bond 1'!$B$33),COLUMN('Bond 1'!$B$33),4)</f>
        <v>B33</v>
      </c>
      <c r="C1828" t="str">
        <f>ADDRESS(ROW('Bond 1'!$D$33),COLUMN('Bond 1'!$D$33),4)</f>
        <v>D33</v>
      </c>
      <c r="D1828" t="b" cm="1">
        <f t="array" aca="1" ref="D1828" ca="1">IF(INDIRECT("'"&amp;A1828&amp;"'!"&amp;B1828)="",FALSE,IF(INDIRECT("'"&amp;A1828&amp;"'!"&amp;B1828)&lt;0,TRUE,FALSE))</f>
        <v>0</v>
      </c>
      <c r="E1828" t="s">
        <v>434</v>
      </c>
      <c r="F1828" t="str">
        <f>INDEX(Lists!I:I,MATCH(Validation!E1828,Lists!G:G,0))</f>
        <v>Error</v>
      </c>
      <c r="G1828" t="str">
        <f>INDEX(Lists!H:H,MATCH(Validation!E1828,Lists!G:G,0))</f>
        <v>Amount may not be negative. Enter an amount greater than or equal to zero.</v>
      </c>
      <c r="H1828" s="25" t="str">
        <f t="shared" ca="1" si="219"/>
        <v/>
      </c>
      <c r="I1828" s="25" t="str">
        <f t="shared" ca="1" si="220"/>
        <v/>
      </c>
      <c r="J1828" s="26" t="str">
        <f t="shared" ca="1" si="221"/>
        <v/>
      </c>
    </row>
    <row r="1829" spans="1:10" x14ac:dyDescent="0.25">
      <c r="A1829" t="s">
        <v>311</v>
      </c>
      <c r="B1829" t="str">
        <f>ADDRESS(ROW('Bond 1'!$B$33),COLUMN('Bond 1'!$B$33),4)</f>
        <v>B33</v>
      </c>
      <c r="C1829" t="str">
        <f>ADDRESS(ROW('Bond 1'!$D$33),COLUMN('Bond 1'!$D$33),4)</f>
        <v>D33</v>
      </c>
      <c r="D1829" t="b" cm="1">
        <f t="array" aca="1" ref="D1829" ca="1">IF(INDIRECT("'"&amp;A1829&amp;"'!"&amp;B1829)="",FALSE,IF(INDIRECT("'"&amp;A1829&amp;"'!"&amp;B1829)&lt;0,TRUE,FALSE))</f>
        <v>0</v>
      </c>
      <c r="E1829" t="s">
        <v>434</v>
      </c>
      <c r="F1829" t="str">
        <f>INDEX(Lists!I:I,MATCH(Validation!E1829,Lists!G:G,0))</f>
        <v>Error</v>
      </c>
      <c r="G1829" t="str">
        <f>INDEX(Lists!H:H,MATCH(Validation!E1829,Lists!G:G,0))</f>
        <v>Amount may not be negative. Enter an amount greater than or equal to zero.</v>
      </c>
      <c r="H1829" s="25" t="str">
        <f t="shared" ca="1" si="219"/>
        <v/>
      </c>
      <c r="I1829" s="25" t="str">
        <f t="shared" ca="1" si="220"/>
        <v/>
      </c>
      <c r="J1829" s="26" t="str">
        <f t="shared" ca="1" si="221"/>
        <v/>
      </c>
    </row>
    <row r="1830" spans="1:10" x14ac:dyDescent="0.25">
      <c r="A1830" t="s">
        <v>312</v>
      </c>
      <c r="B1830" t="str">
        <f>ADDRESS(ROW('Bond 1'!$B$33),COLUMN('Bond 1'!$B$33),4)</f>
        <v>B33</v>
      </c>
      <c r="C1830" t="str">
        <f>ADDRESS(ROW('Bond 1'!$D$33),COLUMN('Bond 1'!$D$33),4)</f>
        <v>D33</v>
      </c>
      <c r="D1830" t="b" cm="1">
        <f t="array" aca="1" ref="D1830" ca="1">IF(INDIRECT("'"&amp;A1830&amp;"'!"&amp;B1830)="",FALSE,IF(INDIRECT("'"&amp;A1830&amp;"'!"&amp;B1830)&lt;0,TRUE,FALSE))</f>
        <v>0</v>
      </c>
      <c r="E1830" t="s">
        <v>434</v>
      </c>
      <c r="F1830" t="str">
        <f>INDEX(Lists!I:I,MATCH(Validation!E1830,Lists!G:G,0))</f>
        <v>Error</v>
      </c>
      <c r="G1830" t="str">
        <f>INDEX(Lists!H:H,MATCH(Validation!E1830,Lists!G:G,0))</f>
        <v>Amount may not be negative. Enter an amount greater than or equal to zero.</v>
      </c>
      <c r="H1830" s="25" t="str">
        <f t="shared" ca="1" si="219"/>
        <v/>
      </c>
      <c r="I1830" s="25" t="str">
        <f t="shared" ca="1" si="220"/>
        <v/>
      </c>
      <c r="J1830" s="26" t="str">
        <f t="shared" ca="1" si="221"/>
        <v/>
      </c>
    </row>
    <row r="1831" spans="1:10" x14ac:dyDescent="0.25">
      <c r="A1831" t="s">
        <v>313</v>
      </c>
      <c r="B1831" t="str">
        <f>ADDRESS(ROW('Bond 1'!$B$33),COLUMN('Bond 1'!$B$33),4)</f>
        <v>B33</v>
      </c>
      <c r="C1831" t="str">
        <f>ADDRESS(ROW('Bond 1'!$D$33),COLUMN('Bond 1'!$D$33),4)</f>
        <v>D33</v>
      </c>
      <c r="D1831" t="b" cm="1">
        <f t="array" aca="1" ref="D1831" ca="1">IF(INDIRECT("'"&amp;A1831&amp;"'!"&amp;B1831)="",FALSE,IF(INDIRECT("'"&amp;A1831&amp;"'!"&amp;B1831)&lt;0,TRUE,FALSE))</f>
        <v>0</v>
      </c>
      <c r="E1831" t="s">
        <v>434</v>
      </c>
      <c r="F1831" t="str">
        <f>INDEX(Lists!I:I,MATCH(Validation!E1831,Lists!G:G,0))</f>
        <v>Error</v>
      </c>
      <c r="G1831" t="str">
        <f>INDEX(Lists!H:H,MATCH(Validation!E1831,Lists!G:G,0))</f>
        <v>Amount may not be negative. Enter an amount greater than or equal to zero.</v>
      </c>
      <c r="H1831" s="25" t="str">
        <f t="shared" ca="1" si="219"/>
        <v/>
      </c>
      <c r="I1831" s="25" t="str">
        <f t="shared" ca="1" si="220"/>
        <v/>
      </c>
      <c r="J1831" s="26" t="str">
        <f t="shared" ca="1" si="221"/>
        <v/>
      </c>
    </row>
    <row r="1832" spans="1:10" x14ac:dyDescent="0.25">
      <c r="A1832" t="s">
        <v>314</v>
      </c>
      <c r="B1832" t="str">
        <f>ADDRESS(ROW('Bond 1'!$B$33),COLUMN('Bond 1'!$B$33),4)</f>
        <v>B33</v>
      </c>
      <c r="C1832" t="str">
        <f>ADDRESS(ROW('Bond 1'!$D$33),COLUMN('Bond 1'!$D$33),4)</f>
        <v>D33</v>
      </c>
      <c r="D1832" t="b" cm="1">
        <f t="array" aca="1" ref="D1832" ca="1">IF(INDIRECT("'"&amp;A1832&amp;"'!"&amp;B1832)="",FALSE,IF(INDIRECT("'"&amp;A1832&amp;"'!"&amp;B1832)&lt;0,TRUE,FALSE))</f>
        <v>0</v>
      </c>
      <c r="E1832" t="s">
        <v>434</v>
      </c>
      <c r="F1832" t="str">
        <f>INDEX(Lists!I:I,MATCH(Validation!E1832,Lists!G:G,0))</f>
        <v>Error</v>
      </c>
      <c r="G1832" t="str">
        <f>INDEX(Lists!H:H,MATCH(Validation!E1832,Lists!G:G,0))</f>
        <v>Amount may not be negative. Enter an amount greater than or equal to zero.</v>
      </c>
      <c r="H1832" s="25" t="str">
        <f t="shared" ca="1" si="219"/>
        <v/>
      </c>
      <c r="I1832" s="25" t="str">
        <f t="shared" ca="1" si="220"/>
        <v/>
      </c>
      <c r="J1832" s="26" t="str">
        <f t="shared" ca="1" si="221"/>
        <v/>
      </c>
    </row>
    <row r="1833" spans="1:10" x14ac:dyDescent="0.25">
      <c r="A1833" t="s">
        <v>315</v>
      </c>
      <c r="B1833" t="str">
        <f>ADDRESS(ROW('Bond 1'!$B$33),COLUMN('Bond 1'!$B$33),4)</f>
        <v>B33</v>
      </c>
      <c r="C1833" t="str">
        <f>ADDRESS(ROW('Bond 1'!$D$33),COLUMN('Bond 1'!$D$33),4)</f>
        <v>D33</v>
      </c>
      <c r="D1833" t="b" cm="1">
        <f t="array" aca="1" ref="D1833" ca="1">IF(INDIRECT("'"&amp;A1833&amp;"'!"&amp;B1833)="",FALSE,IF(INDIRECT("'"&amp;A1833&amp;"'!"&amp;B1833)&lt;0,TRUE,FALSE))</f>
        <v>0</v>
      </c>
      <c r="E1833" t="s">
        <v>434</v>
      </c>
      <c r="F1833" t="str">
        <f>INDEX(Lists!I:I,MATCH(Validation!E1833,Lists!G:G,0))</f>
        <v>Error</v>
      </c>
      <c r="G1833" t="str">
        <f>INDEX(Lists!H:H,MATCH(Validation!E1833,Lists!G:G,0))</f>
        <v>Amount may not be negative. Enter an amount greater than or equal to zero.</v>
      </c>
      <c r="H1833" s="25" t="str">
        <f t="shared" ca="1" si="219"/>
        <v/>
      </c>
      <c r="I1833" s="25" t="str">
        <f t="shared" ca="1" si="220"/>
        <v/>
      </c>
      <c r="J1833" s="26" t="str">
        <f t="shared" ca="1" si="221"/>
        <v/>
      </c>
    </row>
    <row r="1834" spans="1:10" x14ac:dyDescent="0.25">
      <c r="A1834" t="s">
        <v>198</v>
      </c>
      <c r="B1834" t="str">
        <f>ADDRESS(ROW('Bond 1'!$B$33),COLUMN('Bond 1'!$B$33),4)</f>
        <v>B33</v>
      </c>
      <c r="C1834" t="str">
        <f>ADDRESS(ROW('Bond 1'!$D$33),COLUMN('Bond 1'!$D$33),4)</f>
        <v>D33</v>
      </c>
      <c r="D1834" t="b" cm="1">
        <f t="array" aca="1" ref="D1834" ca="1">IF(INDIRECT("'"&amp;A1834&amp;"'!"&amp;B1834)="",FALSE,IF(TRUNC(INDIRECT("'"&amp;A1834&amp;"'!"&amp;B1834))=INDIRECT("'"&amp;A1834&amp;"'!"&amp;B1834),FALSE,TRUE))</f>
        <v>0</v>
      </c>
      <c r="E1834" t="s">
        <v>436</v>
      </c>
      <c r="F1834" t="str">
        <f>INDEX(Lists!I:I,MATCH(Validation!E1834,Lists!G:G,0))</f>
        <v>Error</v>
      </c>
      <c r="G1834" t="str">
        <f>INDEX(Lists!H:H,MATCH(Validation!E1834,Lists!G:G,0))</f>
        <v>Amount must be rounded to the nearest dollar.</v>
      </c>
      <c r="H1834" s="25" t="str">
        <f t="shared" ca="1" si="219"/>
        <v/>
      </c>
      <c r="I1834" s="25" t="str">
        <f t="shared" ca="1" si="220"/>
        <v/>
      </c>
      <c r="J1834" s="26" t="str">
        <f t="shared" ca="1" si="221"/>
        <v/>
      </c>
    </row>
    <row r="1835" spans="1:10" x14ac:dyDescent="0.25">
      <c r="A1835" t="s">
        <v>302</v>
      </c>
      <c r="B1835" t="str">
        <f>ADDRESS(ROW('Bond 1'!$B$33),COLUMN('Bond 1'!$B$33),4)</f>
        <v>B33</v>
      </c>
      <c r="C1835" t="str">
        <f>ADDRESS(ROW('Bond 1'!$D$33),COLUMN('Bond 1'!$D$33),4)</f>
        <v>D33</v>
      </c>
      <c r="D1835" t="b" cm="1">
        <f t="array" aca="1" ref="D1835" ca="1">IF(INDIRECT("'"&amp;A1835&amp;"'!"&amp;B1835)="",FALSE,IF(TRUNC(INDIRECT("'"&amp;A1835&amp;"'!"&amp;B1835))=INDIRECT("'"&amp;A1835&amp;"'!"&amp;B1835),FALSE,TRUE))</f>
        <v>0</v>
      </c>
      <c r="E1835" t="s">
        <v>436</v>
      </c>
      <c r="F1835" t="str">
        <f>INDEX(Lists!I:I,MATCH(Validation!E1835,Lists!G:G,0))</f>
        <v>Error</v>
      </c>
      <c r="G1835" t="str">
        <f>INDEX(Lists!H:H,MATCH(Validation!E1835,Lists!G:G,0))</f>
        <v>Amount must be rounded to the nearest dollar.</v>
      </c>
      <c r="H1835" s="25" t="str">
        <f t="shared" ca="1" si="219"/>
        <v/>
      </c>
      <c r="I1835" s="25" t="str">
        <f t="shared" ca="1" si="220"/>
        <v/>
      </c>
      <c r="J1835" s="26" t="str">
        <f t="shared" ca="1" si="221"/>
        <v/>
      </c>
    </row>
    <row r="1836" spans="1:10" x14ac:dyDescent="0.25">
      <c r="A1836" t="s">
        <v>303</v>
      </c>
      <c r="B1836" t="str">
        <f>ADDRESS(ROW('Bond 1'!$B$33),COLUMN('Bond 1'!$B$33),4)</f>
        <v>B33</v>
      </c>
      <c r="C1836" t="str">
        <f>ADDRESS(ROW('Bond 1'!$D$33),COLUMN('Bond 1'!$D$33),4)</f>
        <v>D33</v>
      </c>
      <c r="D1836" t="b" cm="1">
        <f t="array" aca="1" ref="D1836" ca="1">IF(INDIRECT("'"&amp;A1836&amp;"'!"&amp;B1836)="",FALSE,IF(TRUNC(INDIRECT("'"&amp;A1836&amp;"'!"&amp;B1836))=INDIRECT("'"&amp;A1836&amp;"'!"&amp;B1836),FALSE,TRUE))</f>
        <v>0</v>
      </c>
      <c r="E1836" t="s">
        <v>436</v>
      </c>
      <c r="F1836" t="str">
        <f>INDEX(Lists!I:I,MATCH(Validation!E1836,Lists!G:G,0))</f>
        <v>Error</v>
      </c>
      <c r="G1836" t="str">
        <f>INDEX(Lists!H:H,MATCH(Validation!E1836,Lists!G:G,0))</f>
        <v>Amount must be rounded to the nearest dollar.</v>
      </c>
      <c r="H1836" s="25" t="str">
        <f t="shared" ca="1" si="219"/>
        <v/>
      </c>
      <c r="I1836" s="25" t="str">
        <f t="shared" ca="1" si="220"/>
        <v/>
      </c>
      <c r="J1836" s="26" t="str">
        <f t="shared" ca="1" si="221"/>
        <v/>
      </c>
    </row>
    <row r="1837" spans="1:10" x14ac:dyDescent="0.25">
      <c r="A1837" t="s">
        <v>304</v>
      </c>
      <c r="B1837" t="str">
        <f>ADDRESS(ROW('Bond 1'!$B$33),COLUMN('Bond 1'!$B$33),4)</f>
        <v>B33</v>
      </c>
      <c r="C1837" t="str">
        <f>ADDRESS(ROW('Bond 1'!$D$33),COLUMN('Bond 1'!$D$33),4)</f>
        <v>D33</v>
      </c>
      <c r="D1837" t="b" cm="1">
        <f t="array" aca="1" ref="D1837" ca="1">IF(INDIRECT("'"&amp;A1837&amp;"'!"&amp;B1837)="",FALSE,IF(TRUNC(INDIRECT("'"&amp;A1837&amp;"'!"&amp;B1837))=INDIRECT("'"&amp;A1837&amp;"'!"&amp;B1837),FALSE,TRUE))</f>
        <v>0</v>
      </c>
      <c r="E1837" t="s">
        <v>436</v>
      </c>
      <c r="F1837" t="str">
        <f>INDEX(Lists!I:I,MATCH(Validation!E1837,Lists!G:G,0))</f>
        <v>Error</v>
      </c>
      <c r="G1837" t="str">
        <f>INDEX(Lists!H:H,MATCH(Validation!E1837,Lists!G:G,0))</f>
        <v>Amount must be rounded to the nearest dollar.</v>
      </c>
      <c r="H1837" s="25" t="str">
        <f t="shared" ca="1" si="219"/>
        <v/>
      </c>
      <c r="I1837" s="25" t="str">
        <f t="shared" ca="1" si="220"/>
        <v/>
      </c>
      <c r="J1837" s="26" t="str">
        <f t="shared" ca="1" si="221"/>
        <v/>
      </c>
    </row>
    <row r="1838" spans="1:10" x14ac:dyDescent="0.25">
      <c r="A1838" t="s">
        <v>305</v>
      </c>
      <c r="B1838" t="str">
        <f>ADDRESS(ROW('Bond 1'!$B$33),COLUMN('Bond 1'!$B$33),4)</f>
        <v>B33</v>
      </c>
      <c r="C1838" t="str">
        <f>ADDRESS(ROW('Bond 1'!$D$33),COLUMN('Bond 1'!$D$33),4)</f>
        <v>D33</v>
      </c>
      <c r="D1838" t="b" cm="1">
        <f t="array" aca="1" ref="D1838" ca="1">IF(INDIRECT("'"&amp;A1838&amp;"'!"&amp;B1838)="",FALSE,IF(TRUNC(INDIRECT("'"&amp;A1838&amp;"'!"&amp;B1838))=INDIRECT("'"&amp;A1838&amp;"'!"&amp;B1838),FALSE,TRUE))</f>
        <v>0</v>
      </c>
      <c r="E1838" t="s">
        <v>436</v>
      </c>
      <c r="F1838" t="str">
        <f>INDEX(Lists!I:I,MATCH(Validation!E1838,Lists!G:G,0))</f>
        <v>Error</v>
      </c>
      <c r="G1838" t="str">
        <f>INDEX(Lists!H:H,MATCH(Validation!E1838,Lists!G:G,0))</f>
        <v>Amount must be rounded to the nearest dollar.</v>
      </c>
      <c r="H1838" s="25" t="str">
        <f t="shared" ca="1" si="219"/>
        <v/>
      </c>
      <c r="I1838" s="25" t="str">
        <f t="shared" ca="1" si="220"/>
        <v/>
      </c>
      <c r="J1838" s="26" t="str">
        <f t="shared" ca="1" si="221"/>
        <v/>
      </c>
    </row>
    <row r="1839" spans="1:10" x14ac:dyDescent="0.25">
      <c r="A1839" t="s">
        <v>306</v>
      </c>
      <c r="B1839" t="str">
        <f>ADDRESS(ROW('Bond 1'!$B$33),COLUMN('Bond 1'!$B$33),4)</f>
        <v>B33</v>
      </c>
      <c r="C1839" t="str">
        <f>ADDRESS(ROW('Bond 1'!$D$33),COLUMN('Bond 1'!$D$33),4)</f>
        <v>D33</v>
      </c>
      <c r="D1839" t="b" cm="1">
        <f t="array" aca="1" ref="D1839" ca="1">IF(INDIRECT("'"&amp;A1839&amp;"'!"&amp;B1839)="",FALSE,IF(TRUNC(INDIRECT("'"&amp;A1839&amp;"'!"&amp;B1839))=INDIRECT("'"&amp;A1839&amp;"'!"&amp;B1839),FALSE,TRUE))</f>
        <v>0</v>
      </c>
      <c r="E1839" t="s">
        <v>436</v>
      </c>
      <c r="F1839" t="str">
        <f>INDEX(Lists!I:I,MATCH(Validation!E1839,Lists!G:G,0))</f>
        <v>Error</v>
      </c>
      <c r="G1839" t="str">
        <f>INDEX(Lists!H:H,MATCH(Validation!E1839,Lists!G:G,0))</f>
        <v>Amount must be rounded to the nearest dollar.</v>
      </c>
      <c r="H1839" s="25" t="str">
        <f t="shared" ca="1" si="219"/>
        <v/>
      </c>
      <c r="I1839" s="25" t="str">
        <f t="shared" ca="1" si="220"/>
        <v/>
      </c>
      <c r="J1839" s="26" t="str">
        <f t="shared" ca="1" si="221"/>
        <v/>
      </c>
    </row>
    <row r="1840" spans="1:10" x14ac:dyDescent="0.25">
      <c r="A1840" t="s">
        <v>307</v>
      </c>
      <c r="B1840" t="str">
        <f>ADDRESS(ROW('Bond 1'!$B$33),COLUMN('Bond 1'!$B$33),4)</f>
        <v>B33</v>
      </c>
      <c r="C1840" t="str">
        <f>ADDRESS(ROW('Bond 1'!$D$33),COLUMN('Bond 1'!$D$33),4)</f>
        <v>D33</v>
      </c>
      <c r="D1840" t="b" cm="1">
        <f t="array" aca="1" ref="D1840" ca="1">IF(INDIRECT("'"&amp;A1840&amp;"'!"&amp;B1840)="",FALSE,IF(TRUNC(INDIRECT("'"&amp;A1840&amp;"'!"&amp;B1840))=INDIRECT("'"&amp;A1840&amp;"'!"&amp;B1840),FALSE,TRUE))</f>
        <v>0</v>
      </c>
      <c r="E1840" t="s">
        <v>436</v>
      </c>
      <c r="F1840" t="str">
        <f>INDEX(Lists!I:I,MATCH(Validation!E1840,Lists!G:G,0))</f>
        <v>Error</v>
      </c>
      <c r="G1840" t="str">
        <f>INDEX(Lists!H:H,MATCH(Validation!E1840,Lists!G:G,0))</f>
        <v>Amount must be rounded to the nearest dollar.</v>
      </c>
      <c r="H1840" s="25" t="str">
        <f t="shared" ca="1" si="219"/>
        <v/>
      </c>
      <c r="I1840" s="25" t="str">
        <f t="shared" ca="1" si="220"/>
        <v/>
      </c>
      <c r="J1840" s="26" t="str">
        <f t="shared" ca="1" si="221"/>
        <v/>
      </c>
    </row>
    <row r="1841" spans="1:10" x14ac:dyDescent="0.25">
      <c r="A1841" t="s">
        <v>308</v>
      </c>
      <c r="B1841" t="str">
        <f>ADDRESS(ROW('Bond 1'!$B$33),COLUMN('Bond 1'!$B$33),4)</f>
        <v>B33</v>
      </c>
      <c r="C1841" t="str">
        <f>ADDRESS(ROW('Bond 1'!$D$33),COLUMN('Bond 1'!$D$33),4)</f>
        <v>D33</v>
      </c>
      <c r="D1841" t="b" cm="1">
        <f t="array" aca="1" ref="D1841" ca="1">IF(INDIRECT("'"&amp;A1841&amp;"'!"&amp;B1841)="",FALSE,IF(TRUNC(INDIRECT("'"&amp;A1841&amp;"'!"&amp;B1841))=INDIRECT("'"&amp;A1841&amp;"'!"&amp;B1841),FALSE,TRUE))</f>
        <v>0</v>
      </c>
      <c r="E1841" t="s">
        <v>436</v>
      </c>
      <c r="F1841" t="str">
        <f>INDEX(Lists!I:I,MATCH(Validation!E1841,Lists!G:G,0))</f>
        <v>Error</v>
      </c>
      <c r="G1841" t="str">
        <f>INDEX(Lists!H:H,MATCH(Validation!E1841,Lists!G:G,0))</f>
        <v>Amount must be rounded to the nearest dollar.</v>
      </c>
      <c r="H1841" s="25" t="str">
        <f t="shared" ca="1" si="219"/>
        <v/>
      </c>
      <c r="I1841" s="25" t="str">
        <f t="shared" ca="1" si="220"/>
        <v/>
      </c>
      <c r="J1841" s="26" t="str">
        <f t="shared" ca="1" si="221"/>
        <v/>
      </c>
    </row>
    <row r="1842" spans="1:10" x14ac:dyDescent="0.25">
      <c r="A1842" t="s">
        <v>309</v>
      </c>
      <c r="B1842" t="str">
        <f>ADDRESS(ROW('Bond 1'!$B$33),COLUMN('Bond 1'!$B$33),4)</f>
        <v>B33</v>
      </c>
      <c r="C1842" t="str">
        <f>ADDRESS(ROW('Bond 1'!$D$33),COLUMN('Bond 1'!$D$33),4)</f>
        <v>D33</v>
      </c>
      <c r="D1842" t="b" cm="1">
        <f t="array" aca="1" ref="D1842" ca="1">IF(INDIRECT("'"&amp;A1842&amp;"'!"&amp;B1842)="",FALSE,IF(TRUNC(INDIRECT("'"&amp;A1842&amp;"'!"&amp;B1842))=INDIRECT("'"&amp;A1842&amp;"'!"&amp;B1842),FALSE,TRUE))</f>
        <v>0</v>
      </c>
      <c r="E1842" t="s">
        <v>436</v>
      </c>
      <c r="F1842" t="str">
        <f>INDEX(Lists!I:I,MATCH(Validation!E1842,Lists!G:G,0))</f>
        <v>Error</v>
      </c>
      <c r="G1842" t="str">
        <f>INDEX(Lists!H:H,MATCH(Validation!E1842,Lists!G:G,0))</f>
        <v>Amount must be rounded to the nearest dollar.</v>
      </c>
      <c r="H1842" s="25" t="str">
        <f t="shared" ca="1" si="219"/>
        <v/>
      </c>
      <c r="I1842" s="25" t="str">
        <f t="shared" ca="1" si="220"/>
        <v/>
      </c>
      <c r="J1842" s="26" t="str">
        <f t="shared" ca="1" si="221"/>
        <v/>
      </c>
    </row>
    <row r="1843" spans="1:10" x14ac:dyDescent="0.25">
      <c r="A1843" t="s">
        <v>310</v>
      </c>
      <c r="B1843" t="str">
        <f>ADDRESS(ROW('Bond 1'!$B$33),COLUMN('Bond 1'!$B$33),4)</f>
        <v>B33</v>
      </c>
      <c r="C1843" t="str">
        <f>ADDRESS(ROW('Bond 1'!$D$33),COLUMN('Bond 1'!$D$33),4)</f>
        <v>D33</v>
      </c>
      <c r="D1843" t="b" cm="1">
        <f t="array" aca="1" ref="D1843" ca="1">IF(INDIRECT("'"&amp;A1843&amp;"'!"&amp;B1843)="",FALSE,IF(TRUNC(INDIRECT("'"&amp;A1843&amp;"'!"&amp;B1843))=INDIRECT("'"&amp;A1843&amp;"'!"&amp;B1843),FALSE,TRUE))</f>
        <v>0</v>
      </c>
      <c r="E1843" t="s">
        <v>436</v>
      </c>
      <c r="F1843" t="str">
        <f>INDEX(Lists!I:I,MATCH(Validation!E1843,Lists!G:G,0))</f>
        <v>Error</v>
      </c>
      <c r="G1843" t="str">
        <f>INDEX(Lists!H:H,MATCH(Validation!E1843,Lists!G:G,0))</f>
        <v>Amount must be rounded to the nearest dollar.</v>
      </c>
      <c r="H1843" s="25" t="str">
        <f t="shared" ca="1" si="219"/>
        <v/>
      </c>
      <c r="I1843" s="25" t="str">
        <f t="shared" ca="1" si="220"/>
        <v/>
      </c>
      <c r="J1843" s="26" t="str">
        <f t="shared" ca="1" si="221"/>
        <v/>
      </c>
    </row>
    <row r="1844" spans="1:10" x14ac:dyDescent="0.25">
      <c r="A1844" t="s">
        <v>311</v>
      </c>
      <c r="B1844" t="str">
        <f>ADDRESS(ROW('Bond 1'!$B$33),COLUMN('Bond 1'!$B$33),4)</f>
        <v>B33</v>
      </c>
      <c r="C1844" t="str">
        <f>ADDRESS(ROW('Bond 1'!$D$33),COLUMN('Bond 1'!$D$33),4)</f>
        <v>D33</v>
      </c>
      <c r="D1844" t="b" cm="1">
        <f t="array" aca="1" ref="D1844" ca="1">IF(INDIRECT("'"&amp;A1844&amp;"'!"&amp;B1844)="",FALSE,IF(TRUNC(INDIRECT("'"&amp;A1844&amp;"'!"&amp;B1844))=INDIRECT("'"&amp;A1844&amp;"'!"&amp;B1844),FALSE,TRUE))</f>
        <v>0</v>
      </c>
      <c r="E1844" t="s">
        <v>436</v>
      </c>
      <c r="F1844" t="str">
        <f>INDEX(Lists!I:I,MATCH(Validation!E1844,Lists!G:G,0))</f>
        <v>Error</v>
      </c>
      <c r="G1844" t="str">
        <f>INDEX(Lists!H:H,MATCH(Validation!E1844,Lists!G:G,0))</f>
        <v>Amount must be rounded to the nearest dollar.</v>
      </c>
      <c r="H1844" s="25" t="str">
        <f t="shared" ca="1" si="219"/>
        <v/>
      </c>
      <c r="I1844" s="25" t="str">
        <f t="shared" ca="1" si="220"/>
        <v/>
      </c>
      <c r="J1844" s="26" t="str">
        <f t="shared" ca="1" si="221"/>
        <v/>
      </c>
    </row>
    <row r="1845" spans="1:10" x14ac:dyDescent="0.25">
      <c r="A1845" t="s">
        <v>312</v>
      </c>
      <c r="B1845" t="str">
        <f>ADDRESS(ROW('Bond 1'!$B$33),COLUMN('Bond 1'!$B$33),4)</f>
        <v>B33</v>
      </c>
      <c r="C1845" t="str">
        <f>ADDRESS(ROW('Bond 1'!$D$33),COLUMN('Bond 1'!$D$33),4)</f>
        <v>D33</v>
      </c>
      <c r="D1845" t="b" cm="1">
        <f t="array" aca="1" ref="D1845" ca="1">IF(INDIRECT("'"&amp;A1845&amp;"'!"&amp;B1845)="",FALSE,IF(TRUNC(INDIRECT("'"&amp;A1845&amp;"'!"&amp;B1845))=INDIRECT("'"&amp;A1845&amp;"'!"&amp;B1845),FALSE,TRUE))</f>
        <v>0</v>
      </c>
      <c r="E1845" t="s">
        <v>436</v>
      </c>
      <c r="F1845" t="str">
        <f>INDEX(Lists!I:I,MATCH(Validation!E1845,Lists!G:G,0))</f>
        <v>Error</v>
      </c>
      <c r="G1845" t="str">
        <f>INDEX(Lists!H:H,MATCH(Validation!E1845,Lists!G:G,0))</f>
        <v>Amount must be rounded to the nearest dollar.</v>
      </c>
      <c r="H1845" s="25" t="str">
        <f t="shared" ca="1" si="219"/>
        <v/>
      </c>
      <c r="I1845" s="25" t="str">
        <f t="shared" ca="1" si="220"/>
        <v/>
      </c>
      <c r="J1845" s="26" t="str">
        <f t="shared" ca="1" si="221"/>
        <v/>
      </c>
    </row>
    <row r="1846" spans="1:10" x14ac:dyDescent="0.25">
      <c r="A1846" t="s">
        <v>313</v>
      </c>
      <c r="B1846" t="str">
        <f>ADDRESS(ROW('Bond 1'!$B$33),COLUMN('Bond 1'!$B$33),4)</f>
        <v>B33</v>
      </c>
      <c r="C1846" t="str">
        <f>ADDRESS(ROW('Bond 1'!$D$33),COLUMN('Bond 1'!$D$33),4)</f>
        <v>D33</v>
      </c>
      <c r="D1846" t="b" cm="1">
        <f t="array" aca="1" ref="D1846" ca="1">IF(INDIRECT("'"&amp;A1846&amp;"'!"&amp;B1846)="",FALSE,IF(TRUNC(INDIRECT("'"&amp;A1846&amp;"'!"&amp;B1846))=INDIRECT("'"&amp;A1846&amp;"'!"&amp;B1846),FALSE,TRUE))</f>
        <v>0</v>
      </c>
      <c r="E1846" t="s">
        <v>436</v>
      </c>
      <c r="F1846" t="str">
        <f>INDEX(Lists!I:I,MATCH(Validation!E1846,Lists!G:G,0))</f>
        <v>Error</v>
      </c>
      <c r="G1846" t="str">
        <f>INDEX(Lists!H:H,MATCH(Validation!E1846,Lists!G:G,0))</f>
        <v>Amount must be rounded to the nearest dollar.</v>
      </c>
      <c r="H1846" s="25" t="str">
        <f t="shared" ca="1" si="219"/>
        <v/>
      </c>
      <c r="I1846" s="25" t="str">
        <f t="shared" ca="1" si="220"/>
        <v/>
      </c>
      <c r="J1846" s="26" t="str">
        <f t="shared" ca="1" si="221"/>
        <v/>
      </c>
    </row>
    <row r="1847" spans="1:10" x14ac:dyDescent="0.25">
      <c r="A1847" t="s">
        <v>314</v>
      </c>
      <c r="B1847" t="str">
        <f>ADDRESS(ROW('Bond 1'!$B$33),COLUMN('Bond 1'!$B$33),4)</f>
        <v>B33</v>
      </c>
      <c r="C1847" t="str">
        <f>ADDRESS(ROW('Bond 1'!$D$33),COLUMN('Bond 1'!$D$33),4)</f>
        <v>D33</v>
      </c>
      <c r="D1847" t="b" cm="1">
        <f t="array" aca="1" ref="D1847" ca="1">IF(INDIRECT("'"&amp;A1847&amp;"'!"&amp;B1847)="",FALSE,IF(TRUNC(INDIRECT("'"&amp;A1847&amp;"'!"&amp;B1847))=INDIRECT("'"&amp;A1847&amp;"'!"&amp;B1847),FALSE,TRUE))</f>
        <v>0</v>
      </c>
      <c r="E1847" t="s">
        <v>436</v>
      </c>
      <c r="F1847" t="str">
        <f>INDEX(Lists!I:I,MATCH(Validation!E1847,Lists!G:G,0))</f>
        <v>Error</v>
      </c>
      <c r="G1847" t="str">
        <f>INDEX(Lists!H:H,MATCH(Validation!E1847,Lists!G:G,0))</f>
        <v>Amount must be rounded to the nearest dollar.</v>
      </c>
      <c r="H1847" s="25" t="str">
        <f t="shared" ca="1" si="219"/>
        <v/>
      </c>
      <c r="I1847" s="25" t="str">
        <f t="shared" ca="1" si="220"/>
        <v/>
      </c>
      <c r="J1847" s="26" t="str">
        <f t="shared" ca="1" si="221"/>
        <v/>
      </c>
    </row>
    <row r="1848" spans="1:10" x14ac:dyDescent="0.25">
      <c r="A1848" t="s">
        <v>315</v>
      </c>
      <c r="B1848" t="str">
        <f>ADDRESS(ROW('Bond 1'!$B$33),COLUMN('Bond 1'!$B$33),4)</f>
        <v>B33</v>
      </c>
      <c r="C1848" t="str">
        <f>ADDRESS(ROW('Bond 1'!$D$33),COLUMN('Bond 1'!$D$33),4)</f>
        <v>D33</v>
      </c>
      <c r="D1848" t="b" cm="1">
        <f t="array" aca="1" ref="D1848" ca="1">IF(INDIRECT("'"&amp;A1848&amp;"'!"&amp;B1848)="",FALSE,IF(TRUNC(INDIRECT("'"&amp;A1848&amp;"'!"&amp;B1848))=INDIRECT("'"&amp;A1848&amp;"'!"&amp;B1848),FALSE,TRUE))</f>
        <v>0</v>
      </c>
      <c r="E1848" t="s">
        <v>436</v>
      </c>
      <c r="F1848" t="str">
        <f>INDEX(Lists!I:I,MATCH(Validation!E1848,Lists!G:G,0))</f>
        <v>Error</v>
      </c>
      <c r="G1848" t="str">
        <f>INDEX(Lists!H:H,MATCH(Validation!E1848,Lists!G:G,0))</f>
        <v>Amount must be rounded to the nearest dollar.</v>
      </c>
      <c r="H1848" s="25" t="str">
        <f t="shared" ca="1" si="219"/>
        <v/>
      </c>
      <c r="I1848" s="25" t="str">
        <f t="shared" ca="1" si="220"/>
        <v/>
      </c>
      <c r="J1848" s="26" t="str">
        <f t="shared" ca="1" si="221"/>
        <v/>
      </c>
    </row>
    <row r="1849" spans="1:10" x14ac:dyDescent="0.25">
      <c r="A1849" t="s">
        <v>198</v>
      </c>
      <c r="B1849" t="str">
        <f>ADDRESS(ROW('Bond 1'!$B$33),COLUMN('Bond 1'!$B$33),4)</f>
        <v>B33</v>
      </c>
      <c r="C1849" t="str">
        <f>ADDRESS(ROW('Bond 1'!$D$33),COLUMN('Bond 1'!$D$33),4)</f>
        <v>D33</v>
      </c>
      <c r="D1849" t="b" cm="1">
        <f t="array" aca="1" ref="D1849" ca="1">IF(AND(NOT(ISBLANK('Bond Input'!C$41)),INDIRECT("'"&amp;A1849&amp;"'!"&amp;B1849)&lt;&gt;'Bond Input'!C$41),TRUE,FALSE)</f>
        <v>0</v>
      </c>
      <c r="E1849" t="s">
        <v>634</v>
      </c>
      <c r="F1849" t="str">
        <f>INDEX(Lists!I:I,MATCH(Validation!E1849,Lists!G:G,0))</f>
        <v>Alert</v>
      </c>
      <c r="G1849" t="str">
        <f>INDEX(Lists!H:H,MATCH(Validation!E1849,Lists!G:G,0))</f>
        <v>You have changed previously reported data. Explain in the comments box.</v>
      </c>
      <c r="H1849" s="25" t="str">
        <f t="shared" ca="1" si="219"/>
        <v/>
      </c>
      <c r="I1849" s="25" t="str">
        <f t="shared" ca="1" si="220"/>
        <v/>
      </c>
      <c r="J1849" s="26" t="str">
        <f t="shared" ca="1" si="221"/>
        <v/>
      </c>
    </row>
    <row r="1850" spans="1:10" x14ac:dyDescent="0.25">
      <c r="A1850" t="s">
        <v>302</v>
      </c>
      <c r="B1850" t="str">
        <f>ADDRESS(ROW('Bond 1'!$B$33),COLUMN('Bond 1'!$B$33),4)</f>
        <v>B33</v>
      </c>
      <c r="C1850" t="str">
        <f>ADDRESS(ROW('Bond 1'!$D$33),COLUMN('Bond 1'!$D$33),4)</f>
        <v>D33</v>
      </c>
      <c r="D1850" t="b" cm="1">
        <f t="array" aca="1" ref="D1850" ca="1">IF(AND(NOT(ISBLANK('Bond Input'!D$41)),INDIRECT("'"&amp;A1850&amp;"'!"&amp;B1850)&lt;&gt;'Bond Input'!D$41),TRUE,FALSE)</f>
        <v>0</v>
      </c>
      <c r="E1850" t="s">
        <v>634</v>
      </c>
      <c r="F1850" t="str">
        <f>INDEX(Lists!I:I,MATCH(Validation!E1850,Lists!G:G,0))</f>
        <v>Alert</v>
      </c>
      <c r="G1850" t="str">
        <f>INDEX(Lists!H:H,MATCH(Validation!E1850,Lists!G:G,0))</f>
        <v>You have changed previously reported data. Explain in the comments box.</v>
      </c>
      <c r="H1850" s="25" t="str">
        <f t="shared" ca="1" si="219"/>
        <v/>
      </c>
      <c r="I1850" s="25" t="str">
        <f t="shared" ca="1" si="220"/>
        <v/>
      </c>
      <c r="J1850" s="26" t="str">
        <f t="shared" ca="1" si="221"/>
        <v/>
      </c>
    </row>
    <row r="1851" spans="1:10" x14ac:dyDescent="0.25">
      <c r="A1851" t="s">
        <v>303</v>
      </c>
      <c r="B1851" t="str">
        <f>ADDRESS(ROW('Bond 1'!$B$33),COLUMN('Bond 1'!$B$33),4)</f>
        <v>B33</v>
      </c>
      <c r="C1851" t="str">
        <f>ADDRESS(ROW('Bond 1'!$D$33),COLUMN('Bond 1'!$D$33),4)</f>
        <v>D33</v>
      </c>
      <c r="D1851" t="b" cm="1">
        <f t="array" aca="1" ref="D1851" ca="1">IF(AND(NOT(ISBLANK('Bond Input'!E$41)),INDIRECT("'"&amp;A1851&amp;"'!"&amp;B1851)&lt;&gt;'Bond Input'!E$41),TRUE,FALSE)</f>
        <v>0</v>
      </c>
      <c r="E1851" t="s">
        <v>634</v>
      </c>
      <c r="F1851" t="str">
        <f>INDEX(Lists!I:I,MATCH(Validation!E1851,Lists!G:G,0))</f>
        <v>Alert</v>
      </c>
      <c r="G1851" t="str">
        <f>INDEX(Lists!H:H,MATCH(Validation!E1851,Lists!G:G,0))</f>
        <v>You have changed previously reported data. Explain in the comments box.</v>
      </c>
      <c r="H1851" s="25" t="str">
        <f t="shared" ca="1" si="219"/>
        <v/>
      </c>
      <c r="I1851" s="25" t="str">
        <f t="shared" ca="1" si="220"/>
        <v/>
      </c>
      <c r="J1851" s="26" t="str">
        <f t="shared" ca="1" si="221"/>
        <v/>
      </c>
    </row>
    <row r="1852" spans="1:10" x14ac:dyDescent="0.25">
      <c r="A1852" t="s">
        <v>304</v>
      </c>
      <c r="B1852" t="str">
        <f>ADDRESS(ROW('Bond 1'!$B$33),COLUMN('Bond 1'!$B$33),4)</f>
        <v>B33</v>
      </c>
      <c r="C1852" t="str">
        <f>ADDRESS(ROW('Bond 1'!$D$33),COLUMN('Bond 1'!$D$33),4)</f>
        <v>D33</v>
      </c>
      <c r="D1852" t="b" cm="1">
        <f t="array" aca="1" ref="D1852" ca="1">IF(AND(NOT(ISBLANK('Bond Input'!F$41)),INDIRECT("'"&amp;A1852&amp;"'!"&amp;B1852)&lt;&gt;'Bond Input'!F$41),TRUE,FALSE)</f>
        <v>0</v>
      </c>
      <c r="E1852" t="s">
        <v>634</v>
      </c>
      <c r="F1852" t="str">
        <f>INDEX(Lists!I:I,MATCH(Validation!E1852,Lists!G:G,0))</f>
        <v>Alert</v>
      </c>
      <c r="G1852" t="str">
        <f>INDEX(Lists!H:H,MATCH(Validation!E1852,Lists!G:G,0))</f>
        <v>You have changed previously reported data. Explain in the comments box.</v>
      </c>
      <c r="H1852" s="25" t="str">
        <f t="shared" ca="1" si="219"/>
        <v/>
      </c>
      <c r="I1852" s="25" t="str">
        <f t="shared" ca="1" si="220"/>
        <v/>
      </c>
      <c r="J1852" s="26" t="str">
        <f t="shared" ca="1" si="221"/>
        <v/>
      </c>
    </row>
    <row r="1853" spans="1:10" x14ac:dyDescent="0.25">
      <c r="A1853" t="s">
        <v>305</v>
      </c>
      <c r="B1853" t="str">
        <f>ADDRESS(ROW('Bond 1'!$B$33),COLUMN('Bond 1'!$B$33),4)</f>
        <v>B33</v>
      </c>
      <c r="C1853" t="str">
        <f>ADDRESS(ROW('Bond 1'!$D$33),COLUMN('Bond 1'!$D$33),4)</f>
        <v>D33</v>
      </c>
      <c r="D1853" t="b" cm="1">
        <f t="array" aca="1" ref="D1853" ca="1">IF(AND(NOT(ISBLANK('Bond Input'!G$41)),INDIRECT("'"&amp;A1853&amp;"'!"&amp;B1853)&lt;&gt;'Bond Input'!G$41),TRUE,FALSE)</f>
        <v>0</v>
      </c>
      <c r="E1853" t="s">
        <v>634</v>
      </c>
      <c r="F1853" t="str">
        <f>INDEX(Lists!I:I,MATCH(Validation!E1853,Lists!G:G,0))</f>
        <v>Alert</v>
      </c>
      <c r="G1853" t="str">
        <f>INDEX(Lists!H:H,MATCH(Validation!E1853,Lists!G:G,0))</f>
        <v>You have changed previously reported data. Explain in the comments box.</v>
      </c>
      <c r="H1853" s="25" t="str">
        <f t="shared" ca="1" si="219"/>
        <v/>
      </c>
      <c r="I1853" s="25" t="str">
        <f t="shared" ca="1" si="220"/>
        <v/>
      </c>
      <c r="J1853" s="26" t="str">
        <f t="shared" ca="1" si="221"/>
        <v/>
      </c>
    </row>
    <row r="1854" spans="1:10" x14ac:dyDescent="0.25">
      <c r="A1854" t="s">
        <v>306</v>
      </c>
      <c r="B1854" t="str">
        <f>ADDRESS(ROW('Bond 1'!$B$33),COLUMN('Bond 1'!$B$33),4)</f>
        <v>B33</v>
      </c>
      <c r="C1854" t="str">
        <f>ADDRESS(ROW('Bond 1'!$D$33),COLUMN('Bond 1'!$D$33),4)</f>
        <v>D33</v>
      </c>
      <c r="D1854" t="b" cm="1">
        <f t="array" aca="1" ref="D1854" ca="1">IF(AND(NOT(ISBLANK('Bond Input'!H$41)),INDIRECT("'"&amp;A1854&amp;"'!"&amp;B1854)&lt;&gt;'Bond Input'!H$41),TRUE,FALSE)</f>
        <v>0</v>
      </c>
      <c r="E1854" t="s">
        <v>634</v>
      </c>
      <c r="F1854" t="str">
        <f>INDEX(Lists!I:I,MATCH(Validation!E1854,Lists!G:G,0))</f>
        <v>Alert</v>
      </c>
      <c r="G1854" t="str">
        <f>INDEX(Lists!H:H,MATCH(Validation!E1854,Lists!G:G,0))</f>
        <v>You have changed previously reported data. Explain in the comments box.</v>
      </c>
      <c r="H1854" s="25" t="str">
        <f t="shared" ca="1" si="219"/>
        <v/>
      </c>
      <c r="I1854" s="25" t="str">
        <f t="shared" ca="1" si="220"/>
        <v/>
      </c>
      <c r="J1854" s="26" t="str">
        <f t="shared" ca="1" si="221"/>
        <v/>
      </c>
    </row>
    <row r="1855" spans="1:10" x14ac:dyDescent="0.25">
      <c r="A1855" t="s">
        <v>307</v>
      </c>
      <c r="B1855" t="str">
        <f>ADDRESS(ROW('Bond 1'!$B$33),COLUMN('Bond 1'!$B$33),4)</f>
        <v>B33</v>
      </c>
      <c r="C1855" t="str">
        <f>ADDRESS(ROW('Bond 1'!$D$33),COLUMN('Bond 1'!$D$33),4)</f>
        <v>D33</v>
      </c>
      <c r="D1855" t="b" cm="1">
        <f t="array" aca="1" ref="D1855" ca="1">IF(AND(NOT(ISBLANK('Bond Input'!I$41)),INDIRECT("'"&amp;A1855&amp;"'!"&amp;B1855)&lt;&gt;'Bond Input'!I$41),TRUE,FALSE)</f>
        <v>0</v>
      </c>
      <c r="E1855" t="s">
        <v>634</v>
      </c>
      <c r="F1855" t="str">
        <f>INDEX(Lists!I:I,MATCH(Validation!E1855,Lists!G:G,0))</f>
        <v>Alert</v>
      </c>
      <c r="G1855" t="str">
        <f>INDEX(Lists!H:H,MATCH(Validation!E1855,Lists!G:G,0))</f>
        <v>You have changed previously reported data. Explain in the comments box.</v>
      </c>
      <c r="H1855" s="25" t="str">
        <f t="shared" ca="1" si="219"/>
        <v/>
      </c>
      <c r="I1855" s="25" t="str">
        <f t="shared" ca="1" si="220"/>
        <v/>
      </c>
      <c r="J1855" s="26" t="str">
        <f t="shared" ca="1" si="221"/>
        <v/>
      </c>
    </row>
    <row r="1856" spans="1:10" x14ac:dyDescent="0.25">
      <c r="A1856" t="s">
        <v>308</v>
      </c>
      <c r="B1856" t="str">
        <f>ADDRESS(ROW('Bond 1'!$B$33),COLUMN('Bond 1'!$B$33),4)</f>
        <v>B33</v>
      </c>
      <c r="C1856" t="str">
        <f>ADDRESS(ROW('Bond 1'!$D$33),COLUMN('Bond 1'!$D$33),4)</f>
        <v>D33</v>
      </c>
      <c r="D1856" t="b" cm="1">
        <f t="array" aca="1" ref="D1856" ca="1">IF(AND(NOT(ISBLANK('Bond Input'!J$41)),INDIRECT("'"&amp;A1856&amp;"'!"&amp;B1856)&lt;&gt;'Bond Input'!J$41),TRUE,FALSE)</f>
        <v>0</v>
      </c>
      <c r="E1856" t="s">
        <v>634</v>
      </c>
      <c r="F1856" t="str">
        <f>INDEX(Lists!I:I,MATCH(Validation!E1856,Lists!G:G,0))</f>
        <v>Alert</v>
      </c>
      <c r="G1856" t="str">
        <f>INDEX(Lists!H:H,MATCH(Validation!E1856,Lists!G:G,0))</f>
        <v>You have changed previously reported data. Explain in the comments box.</v>
      </c>
      <c r="H1856" s="25" t="str">
        <f t="shared" ca="1" si="219"/>
        <v/>
      </c>
      <c r="I1856" s="25" t="str">
        <f t="shared" ca="1" si="220"/>
        <v/>
      </c>
      <c r="J1856" s="26" t="str">
        <f t="shared" ca="1" si="221"/>
        <v/>
      </c>
    </row>
    <row r="1857" spans="1:10" x14ac:dyDescent="0.25">
      <c r="A1857" t="s">
        <v>309</v>
      </c>
      <c r="B1857" t="str">
        <f>ADDRESS(ROW('Bond 1'!$B$33),COLUMN('Bond 1'!$B$33),4)</f>
        <v>B33</v>
      </c>
      <c r="C1857" t="str">
        <f>ADDRESS(ROW('Bond 1'!$D$33),COLUMN('Bond 1'!$D$33),4)</f>
        <v>D33</v>
      </c>
      <c r="D1857" t="b" cm="1">
        <f t="array" aca="1" ref="D1857" ca="1">IF(AND(NOT(ISBLANK('Bond Input'!K$41)),INDIRECT("'"&amp;A1857&amp;"'!"&amp;B1857)&lt;&gt;'Bond Input'!K$41),TRUE,FALSE)</f>
        <v>0</v>
      </c>
      <c r="E1857" t="s">
        <v>634</v>
      </c>
      <c r="F1857" t="str">
        <f>INDEX(Lists!I:I,MATCH(Validation!E1857,Lists!G:G,0))</f>
        <v>Alert</v>
      </c>
      <c r="G1857" t="str">
        <f>INDEX(Lists!H:H,MATCH(Validation!E1857,Lists!G:G,0))</f>
        <v>You have changed previously reported data. Explain in the comments box.</v>
      </c>
      <c r="H1857" s="25" t="str">
        <f t="shared" ca="1" si="219"/>
        <v/>
      </c>
      <c r="I1857" s="25" t="str">
        <f t="shared" ca="1" si="220"/>
        <v/>
      </c>
      <c r="J1857" s="26" t="str">
        <f t="shared" ca="1" si="221"/>
        <v/>
      </c>
    </row>
    <row r="1858" spans="1:10" x14ac:dyDescent="0.25">
      <c r="A1858" t="s">
        <v>310</v>
      </c>
      <c r="B1858" t="str">
        <f>ADDRESS(ROW('Bond 1'!$B$33),COLUMN('Bond 1'!$B$33),4)</f>
        <v>B33</v>
      </c>
      <c r="C1858" t="str">
        <f>ADDRESS(ROW('Bond 1'!$D$33),COLUMN('Bond 1'!$D$33),4)</f>
        <v>D33</v>
      </c>
      <c r="D1858" t="b" cm="1">
        <f t="array" aca="1" ref="D1858" ca="1">IF(AND(NOT(ISBLANK('Bond Input'!L$41)),INDIRECT("'"&amp;A1858&amp;"'!"&amp;B1858)&lt;&gt;'Bond Input'!L$41),TRUE,FALSE)</f>
        <v>0</v>
      </c>
      <c r="E1858" t="s">
        <v>634</v>
      </c>
      <c r="F1858" t="str">
        <f>INDEX(Lists!I:I,MATCH(Validation!E1858,Lists!G:G,0))</f>
        <v>Alert</v>
      </c>
      <c r="G1858" t="str">
        <f>INDEX(Lists!H:H,MATCH(Validation!E1858,Lists!G:G,0))</f>
        <v>You have changed previously reported data. Explain in the comments box.</v>
      </c>
      <c r="H1858" s="25" t="str">
        <f t="shared" ca="1" si="219"/>
        <v/>
      </c>
      <c r="I1858" s="25" t="str">
        <f t="shared" ca="1" si="220"/>
        <v/>
      </c>
      <c r="J1858" s="26" t="str">
        <f t="shared" ca="1" si="221"/>
        <v/>
      </c>
    </row>
    <row r="1859" spans="1:10" x14ac:dyDescent="0.25">
      <c r="A1859" t="s">
        <v>311</v>
      </c>
      <c r="B1859" t="str">
        <f>ADDRESS(ROW('Bond 1'!$B$33),COLUMN('Bond 1'!$B$33),4)</f>
        <v>B33</v>
      </c>
      <c r="C1859" t="str">
        <f>ADDRESS(ROW('Bond 1'!$D$33),COLUMN('Bond 1'!$D$33),4)</f>
        <v>D33</v>
      </c>
      <c r="D1859" t="b" cm="1">
        <f t="array" aca="1" ref="D1859" ca="1">IF(AND(NOT(ISBLANK('Bond Input'!M$41)),INDIRECT("'"&amp;A1859&amp;"'!"&amp;B1859)&lt;&gt;'Bond Input'!M$41),TRUE,FALSE)</f>
        <v>0</v>
      </c>
      <c r="E1859" t="s">
        <v>634</v>
      </c>
      <c r="F1859" t="str">
        <f>INDEX(Lists!I:I,MATCH(Validation!E1859,Lists!G:G,0))</f>
        <v>Alert</v>
      </c>
      <c r="G1859" t="str">
        <f>INDEX(Lists!H:H,MATCH(Validation!E1859,Lists!G:G,0))</f>
        <v>You have changed previously reported data. Explain in the comments box.</v>
      </c>
      <c r="H1859" s="25" t="str">
        <f t="shared" ca="1" si="219"/>
        <v/>
      </c>
      <c r="I1859" s="25" t="str">
        <f t="shared" ca="1" si="220"/>
        <v/>
      </c>
      <c r="J1859" s="26" t="str">
        <f t="shared" ca="1" si="221"/>
        <v/>
      </c>
    </row>
    <row r="1860" spans="1:10" x14ac:dyDescent="0.25">
      <c r="A1860" t="s">
        <v>312</v>
      </c>
      <c r="B1860" t="str">
        <f>ADDRESS(ROW('Bond 1'!$B$33),COLUMN('Bond 1'!$B$33),4)</f>
        <v>B33</v>
      </c>
      <c r="C1860" t="str">
        <f>ADDRESS(ROW('Bond 1'!$D$33),COLUMN('Bond 1'!$D$33),4)</f>
        <v>D33</v>
      </c>
      <c r="D1860" t="b" cm="1">
        <f t="array" aca="1" ref="D1860" ca="1">IF(AND(NOT(ISBLANK('Bond Input'!N$41)),INDIRECT("'"&amp;A1860&amp;"'!"&amp;B1860)&lt;&gt;'Bond Input'!N$41),TRUE,FALSE)</f>
        <v>0</v>
      </c>
      <c r="E1860" t="s">
        <v>634</v>
      </c>
      <c r="F1860" t="str">
        <f>INDEX(Lists!I:I,MATCH(Validation!E1860,Lists!G:G,0))</f>
        <v>Alert</v>
      </c>
      <c r="G1860" t="str">
        <f>INDEX(Lists!H:H,MATCH(Validation!E1860,Lists!G:G,0))</f>
        <v>You have changed previously reported data. Explain in the comments box.</v>
      </c>
      <c r="H1860" s="25" t="str">
        <f t="shared" ca="1" si="219"/>
        <v/>
      </c>
      <c r="I1860" s="25" t="str">
        <f t="shared" ca="1" si="220"/>
        <v/>
      </c>
      <c r="J1860" s="26" t="str">
        <f t="shared" ca="1" si="221"/>
        <v/>
      </c>
    </row>
    <row r="1861" spans="1:10" x14ac:dyDescent="0.25">
      <c r="A1861" t="s">
        <v>313</v>
      </c>
      <c r="B1861" t="str">
        <f>ADDRESS(ROW('Bond 1'!$B$33),COLUMN('Bond 1'!$B$33),4)</f>
        <v>B33</v>
      </c>
      <c r="C1861" t="str">
        <f>ADDRESS(ROW('Bond 1'!$D$33),COLUMN('Bond 1'!$D$33),4)</f>
        <v>D33</v>
      </c>
      <c r="D1861" t="b" cm="1">
        <f t="array" aca="1" ref="D1861" ca="1">IF(AND(NOT(ISBLANK('Bond Input'!O$41)),INDIRECT("'"&amp;A1861&amp;"'!"&amp;B1861)&lt;&gt;'Bond Input'!O$41),TRUE,FALSE)</f>
        <v>0</v>
      </c>
      <c r="E1861" t="s">
        <v>634</v>
      </c>
      <c r="F1861" t="str">
        <f>INDEX(Lists!I:I,MATCH(Validation!E1861,Lists!G:G,0))</f>
        <v>Alert</v>
      </c>
      <c r="G1861" t="str">
        <f>INDEX(Lists!H:H,MATCH(Validation!E1861,Lists!G:G,0))</f>
        <v>You have changed previously reported data. Explain in the comments box.</v>
      </c>
      <c r="H1861" s="25" t="str">
        <f t="shared" ca="1" si="219"/>
        <v/>
      </c>
      <c r="I1861" s="25" t="str">
        <f t="shared" ca="1" si="220"/>
        <v/>
      </c>
      <c r="J1861" s="26" t="str">
        <f t="shared" ca="1" si="221"/>
        <v/>
      </c>
    </row>
    <row r="1862" spans="1:10" x14ac:dyDescent="0.25">
      <c r="A1862" t="s">
        <v>314</v>
      </c>
      <c r="B1862" t="str">
        <f>ADDRESS(ROW('Bond 1'!$B$33),COLUMN('Bond 1'!$B$33),4)</f>
        <v>B33</v>
      </c>
      <c r="C1862" t="str">
        <f>ADDRESS(ROW('Bond 1'!$D$33),COLUMN('Bond 1'!$D$33),4)</f>
        <v>D33</v>
      </c>
      <c r="D1862" t="b" cm="1">
        <f t="array" aca="1" ref="D1862" ca="1">IF(AND(NOT(ISBLANK('Bond Input'!P$41)),INDIRECT("'"&amp;A1862&amp;"'!"&amp;B1862)&lt;&gt;'Bond Input'!P$41),TRUE,FALSE)</f>
        <v>0</v>
      </c>
      <c r="E1862" t="s">
        <v>634</v>
      </c>
      <c r="F1862" t="str">
        <f>INDEX(Lists!I:I,MATCH(Validation!E1862,Lists!G:G,0))</f>
        <v>Alert</v>
      </c>
      <c r="G1862" t="str">
        <f>INDEX(Lists!H:H,MATCH(Validation!E1862,Lists!G:G,0))</f>
        <v>You have changed previously reported data. Explain in the comments box.</v>
      </c>
      <c r="H1862" s="25" t="str">
        <f t="shared" ca="1" si="219"/>
        <v/>
      </c>
      <c r="I1862" s="25" t="str">
        <f t="shared" ca="1" si="220"/>
        <v/>
      </c>
      <c r="J1862" s="26" t="str">
        <f t="shared" ca="1" si="221"/>
        <v/>
      </c>
    </row>
    <row r="1863" spans="1:10" x14ac:dyDescent="0.25">
      <c r="A1863" t="s">
        <v>315</v>
      </c>
      <c r="B1863" t="str">
        <f>ADDRESS(ROW('Bond 1'!$B$33),COLUMN('Bond 1'!$B$33),4)</f>
        <v>B33</v>
      </c>
      <c r="C1863" t="str">
        <f>ADDRESS(ROW('Bond 1'!$D$33),COLUMN('Bond 1'!$D$33),4)</f>
        <v>D33</v>
      </c>
      <c r="D1863" t="b" cm="1">
        <f t="array" aca="1" ref="D1863" ca="1">IF(AND(NOT(ISBLANK('Bond Input'!Q$41)),INDIRECT("'"&amp;A1863&amp;"'!"&amp;B1863)&lt;&gt;'Bond Input'!Q$41),TRUE,FALSE)</f>
        <v>0</v>
      </c>
      <c r="E1863" t="s">
        <v>634</v>
      </c>
      <c r="F1863" t="str">
        <f>INDEX(Lists!I:I,MATCH(Validation!E1863,Lists!G:G,0))</f>
        <v>Alert</v>
      </c>
      <c r="G1863" t="str">
        <f>INDEX(Lists!H:H,MATCH(Validation!E1863,Lists!G:G,0))</f>
        <v>You have changed previously reported data. Explain in the comments box.</v>
      </c>
      <c r="H1863" s="25" t="str">
        <f t="shared" ca="1" si="219"/>
        <v/>
      </c>
      <c r="I1863" s="25" t="str">
        <f t="shared" ca="1" si="220"/>
        <v/>
      </c>
      <c r="J1863" s="26" t="str">
        <f t="shared" ca="1" si="221"/>
        <v/>
      </c>
    </row>
    <row r="1864" spans="1:10" x14ac:dyDescent="0.25">
      <c r="A1864" t="s">
        <v>198</v>
      </c>
      <c r="B1864" t="str">
        <f>ADDRESS(ROW('Bond 1'!$C$33),COLUMN('Bond 1'!$C$33),4)</f>
        <v>C33</v>
      </c>
      <c r="C1864" t="str">
        <f>ADDRESS(ROW('Bond 1'!$D$33),COLUMN('Bond 1'!$D$33),4)</f>
        <v>D33</v>
      </c>
      <c r="D1864" t="b" cm="1">
        <f t="array" aca="1" ref="D1864" ca="1">IF(INDIRECT("'"&amp;A1864&amp;"'!"&amp;B1864)="",FALSE,IF(NOT(ISNUMBER(INDIRECT("'"&amp;A1864&amp;"'!"&amp;B1864))),TRUE,FALSE))</f>
        <v>0</v>
      </c>
      <c r="E1864" t="s">
        <v>435</v>
      </c>
      <c r="F1864" t="str">
        <f>INDEX(Lists!I:I,MATCH(Validation!E1864,Lists!G:G,0))</f>
        <v>Error</v>
      </c>
      <c r="G1864" t="str">
        <f>INDEX(Lists!H:H,MATCH(Validation!E1864,Lists!G:G,0))</f>
        <v>Enter an amount only. Do not enter text or spaces.</v>
      </c>
      <c r="H1864" s="25" t="str">
        <f t="shared" ca="1" si="219"/>
        <v/>
      </c>
      <c r="I1864" s="25" t="str">
        <f t="shared" ca="1" si="220"/>
        <v/>
      </c>
      <c r="J1864" s="26" t="str">
        <f t="shared" ca="1" si="221"/>
        <v/>
      </c>
    </row>
    <row r="1865" spans="1:10" x14ac:dyDescent="0.25">
      <c r="A1865" t="s">
        <v>302</v>
      </c>
      <c r="B1865" t="str">
        <f>ADDRESS(ROW('Bond 1'!$C$33),COLUMN('Bond 1'!$C$33),4)</f>
        <v>C33</v>
      </c>
      <c r="C1865" t="str">
        <f>ADDRESS(ROW('Bond 1'!$D$33),COLUMN('Bond 1'!$D$33),4)</f>
        <v>D33</v>
      </c>
      <c r="D1865" t="b" cm="1">
        <f t="array" aca="1" ref="D1865" ca="1">IF(INDIRECT("'"&amp;A1865&amp;"'!"&amp;B1865)="",FALSE,IF(NOT(ISNUMBER(INDIRECT("'"&amp;A1865&amp;"'!"&amp;B1865))),TRUE,FALSE))</f>
        <v>0</v>
      </c>
      <c r="E1865" t="s">
        <v>435</v>
      </c>
      <c r="F1865" t="str">
        <f>INDEX(Lists!I:I,MATCH(Validation!E1865,Lists!G:G,0))</f>
        <v>Error</v>
      </c>
      <c r="G1865" t="str">
        <f>INDEX(Lists!H:H,MATCH(Validation!E1865,Lists!G:G,0))</f>
        <v>Enter an amount only. Do not enter text or spaces.</v>
      </c>
      <c r="H1865" s="25" t="str">
        <f t="shared" ca="1" si="219"/>
        <v/>
      </c>
      <c r="I1865" s="25" t="str">
        <f t="shared" ca="1" si="220"/>
        <v/>
      </c>
      <c r="J1865" s="26" t="str">
        <f t="shared" ca="1" si="221"/>
        <v/>
      </c>
    </row>
    <row r="1866" spans="1:10" x14ac:dyDescent="0.25">
      <c r="A1866" t="s">
        <v>303</v>
      </c>
      <c r="B1866" t="str">
        <f>ADDRESS(ROW('Bond 1'!$C$33),COLUMN('Bond 1'!$C$33),4)</f>
        <v>C33</v>
      </c>
      <c r="C1866" t="str">
        <f>ADDRESS(ROW('Bond 1'!$D$33),COLUMN('Bond 1'!$D$33),4)</f>
        <v>D33</v>
      </c>
      <c r="D1866" t="b" cm="1">
        <f t="array" aca="1" ref="D1866" ca="1">IF(INDIRECT("'"&amp;A1866&amp;"'!"&amp;B1866)="",FALSE,IF(NOT(ISNUMBER(INDIRECT("'"&amp;A1866&amp;"'!"&amp;B1866))),TRUE,FALSE))</f>
        <v>0</v>
      </c>
      <c r="E1866" t="s">
        <v>435</v>
      </c>
      <c r="F1866" t="str">
        <f>INDEX(Lists!I:I,MATCH(Validation!E1866,Lists!G:G,0))</f>
        <v>Error</v>
      </c>
      <c r="G1866" t="str">
        <f>INDEX(Lists!H:H,MATCH(Validation!E1866,Lists!G:G,0))</f>
        <v>Enter an amount only. Do not enter text or spaces.</v>
      </c>
      <c r="H1866" s="25" t="str">
        <f t="shared" ca="1" si="219"/>
        <v/>
      </c>
      <c r="I1866" s="25" t="str">
        <f t="shared" ca="1" si="220"/>
        <v/>
      </c>
      <c r="J1866" s="26" t="str">
        <f t="shared" ca="1" si="221"/>
        <v/>
      </c>
    </row>
    <row r="1867" spans="1:10" x14ac:dyDescent="0.25">
      <c r="A1867" t="s">
        <v>304</v>
      </c>
      <c r="B1867" t="str">
        <f>ADDRESS(ROW('Bond 1'!$C$33),COLUMN('Bond 1'!$C$33),4)</f>
        <v>C33</v>
      </c>
      <c r="C1867" t="str">
        <f>ADDRESS(ROW('Bond 1'!$D$33),COLUMN('Bond 1'!$D$33),4)</f>
        <v>D33</v>
      </c>
      <c r="D1867" t="b" cm="1">
        <f t="array" aca="1" ref="D1867" ca="1">IF(INDIRECT("'"&amp;A1867&amp;"'!"&amp;B1867)="",FALSE,IF(NOT(ISNUMBER(INDIRECT("'"&amp;A1867&amp;"'!"&amp;B1867))),TRUE,FALSE))</f>
        <v>0</v>
      </c>
      <c r="E1867" t="s">
        <v>435</v>
      </c>
      <c r="F1867" t="str">
        <f>INDEX(Lists!I:I,MATCH(Validation!E1867,Lists!G:G,0))</f>
        <v>Error</v>
      </c>
      <c r="G1867" t="str">
        <f>INDEX(Lists!H:H,MATCH(Validation!E1867,Lists!G:G,0))</f>
        <v>Enter an amount only. Do not enter text or spaces.</v>
      </c>
      <c r="H1867" s="25" t="str">
        <f t="shared" ca="1" si="219"/>
        <v/>
      </c>
      <c r="I1867" s="25" t="str">
        <f t="shared" ca="1" si="220"/>
        <v/>
      </c>
      <c r="J1867" s="26" t="str">
        <f t="shared" ca="1" si="221"/>
        <v/>
      </c>
    </row>
    <row r="1868" spans="1:10" x14ac:dyDescent="0.25">
      <c r="A1868" t="s">
        <v>305</v>
      </c>
      <c r="B1868" t="str">
        <f>ADDRESS(ROW('Bond 1'!$C$33),COLUMN('Bond 1'!$C$33),4)</f>
        <v>C33</v>
      </c>
      <c r="C1868" t="str">
        <f>ADDRESS(ROW('Bond 1'!$D$33),COLUMN('Bond 1'!$D$33),4)</f>
        <v>D33</v>
      </c>
      <c r="D1868" t="b" cm="1">
        <f t="array" aca="1" ref="D1868" ca="1">IF(INDIRECT("'"&amp;A1868&amp;"'!"&amp;B1868)="",FALSE,IF(NOT(ISNUMBER(INDIRECT("'"&amp;A1868&amp;"'!"&amp;B1868))),TRUE,FALSE))</f>
        <v>0</v>
      </c>
      <c r="E1868" t="s">
        <v>435</v>
      </c>
      <c r="F1868" t="str">
        <f>INDEX(Lists!I:I,MATCH(Validation!E1868,Lists!G:G,0))</f>
        <v>Error</v>
      </c>
      <c r="G1868" t="str">
        <f>INDEX(Lists!H:H,MATCH(Validation!E1868,Lists!G:G,0))</f>
        <v>Enter an amount only. Do not enter text or spaces.</v>
      </c>
      <c r="H1868" s="25" t="str">
        <f t="shared" ca="1" si="219"/>
        <v/>
      </c>
      <c r="I1868" s="25" t="str">
        <f t="shared" ca="1" si="220"/>
        <v/>
      </c>
      <c r="J1868" s="26" t="str">
        <f t="shared" ca="1" si="221"/>
        <v/>
      </c>
    </row>
    <row r="1869" spans="1:10" x14ac:dyDescent="0.25">
      <c r="A1869" t="s">
        <v>306</v>
      </c>
      <c r="B1869" t="str">
        <f>ADDRESS(ROW('Bond 1'!$C$33),COLUMN('Bond 1'!$C$33),4)</f>
        <v>C33</v>
      </c>
      <c r="C1869" t="str">
        <f>ADDRESS(ROW('Bond 1'!$D$33),COLUMN('Bond 1'!$D$33),4)</f>
        <v>D33</v>
      </c>
      <c r="D1869" t="b" cm="1">
        <f t="array" aca="1" ref="D1869" ca="1">IF(INDIRECT("'"&amp;A1869&amp;"'!"&amp;B1869)="",FALSE,IF(NOT(ISNUMBER(INDIRECT("'"&amp;A1869&amp;"'!"&amp;B1869))),TRUE,FALSE))</f>
        <v>0</v>
      </c>
      <c r="E1869" t="s">
        <v>435</v>
      </c>
      <c r="F1869" t="str">
        <f>INDEX(Lists!I:I,MATCH(Validation!E1869,Lists!G:G,0))</f>
        <v>Error</v>
      </c>
      <c r="G1869" t="str">
        <f>INDEX(Lists!H:H,MATCH(Validation!E1869,Lists!G:G,0))</f>
        <v>Enter an amount only. Do not enter text or spaces.</v>
      </c>
      <c r="H1869" s="25" t="str">
        <f t="shared" ca="1" si="219"/>
        <v/>
      </c>
      <c r="I1869" s="25" t="str">
        <f t="shared" ca="1" si="220"/>
        <v/>
      </c>
      <c r="J1869" s="26" t="str">
        <f t="shared" ca="1" si="221"/>
        <v/>
      </c>
    </row>
    <row r="1870" spans="1:10" x14ac:dyDescent="0.25">
      <c r="A1870" t="s">
        <v>307</v>
      </c>
      <c r="B1870" t="str">
        <f>ADDRESS(ROW('Bond 1'!$C$33),COLUMN('Bond 1'!$C$33),4)</f>
        <v>C33</v>
      </c>
      <c r="C1870" t="str">
        <f>ADDRESS(ROW('Bond 1'!$D$33),COLUMN('Bond 1'!$D$33),4)</f>
        <v>D33</v>
      </c>
      <c r="D1870" t="b" cm="1">
        <f t="array" aca="1" ref="D1870" ca="1">IF(INDIRECT("'"&amp;A1870&amp;"'!"&amp;B1870)="",FALSE,IF(NOT(ISNUMBER(INDIRECT("'"&amp;A1870&amp;"'!"&amp;B1870))),TRUE,FALSE))</f>
        <v>0</v>
      </c>
      <c r="E1870" t="s">
        <v>435</v>
      </c>
      <c r="F1870" t="str">
        <f>INDEX(Lists!I:I,MATCH(Validation!E1870,Lists!G:G,0))</f>
        <v>Error</v>
      </c>
      <c r="G1870" t="str">
        <f>INDEX(Lists!H:H,MATCH(Validation!E1870,Lists!G:G,0))</f>
        <v>Enter an amount only. Do not enter text or spaces.</v>
      </c>
      <c r="H1870" s="25" t="str">
        <f t="shared" ca="1" si="219"/>
        <v/>
      </c>
      <c r="I1870" s="25" t="str">
        <f t="shared" ca="1" si="220"/>
        <v/>
      </c>
      <c r="J1870" s="26" t="str">
        <f t="shared" ca="1" si="221"/>
        <v/>
      </c>
    </row>
    <row r="1871" spans="1:10" x14ac:dyDescent="0.25">
      <c r="A1871" t="s">
        <v>308</v>
      </c>
      <c r="B1871" t="str">
        <f>ADDRESS(ROW('Bond 1'!$C$33),COLUMN('Bond 1'!$C$33),4)</f>
        <v>C33</v>
      </c>
      <c r="C1871" t="str">
        <f>ADDRESS(ROW('Bond 1'!$D$33),COLUMN('Bond 1'!$D$33),4)</f>
        <v>D33</v>
      </c>
      <c r="D1871" t="b" cm="1">
        <f t="array" aca="1" ref="D1871" ca="1">IF(INDIRECT("'"&amp;A1871&amp;"'!"&amp;B1871)="",FALSE,IF(NOT(ISNUMBER(INDIRECT("'"&amp;A1871&amp;"'!"&amp;B1871))),TRUE,FALSE))</f>
        <v>0</v>
      </c>
      <c r="E1871" t="s">
        <v>435</v>
      </c>
      <c r="F1871" t="str">
        <f>INDEX(Lists!I:I,MATCH(Validation!E1871,Lists!G:G,0))</f>
        <v>Error</v>
      </c>
      <c r="G1871" t="str">
        <f>INDEX(Lists!H:H,MATCH(Validation!E1871,Lists!G:G,0))</f>
        <v>Enter an amount only. Do not enter text or spaces.</v>
      </c>
      <c r="H1871" s="25" t="str">
        <f t="shared" ca="1" si="219"/>
        <v/>
      </c>
      <c r="I1871" s="25" t="str">
        <f t="shared" ca="1" si="220"/>
        <v/>
      </c>
      <c r="J1871" s="26" t="str">
        <f t="shared" ca="1" si="221"/>
        <v/>
      </c>
    </row>
    <row r="1872" spans="1:10" x14ac:dyDescent="0.25">
      <c r="A1872" t="s">
        <v>309</v>
      </c>
      <c r="B1872" t="str">
        <f>ADDRESS(ROW('Bond 1'!$C$33),COLUMN('Bond 1'!$C$33),4)</f>
        <v>C33</v>
      </c>
      <c r="C1872" t="str">
        <f>ADDRESS(ROW('Bond 1'!$D$33),COLUMN('Bond 1'!$D$33),4)</f>
        <v>D33</v>
      </c>
      <c r="D1872" t="b" cm="1">
        <f t="array" aca="1" ref="D1872" ca="1">IF(INDIRECT("'"&amp;A1872&amp;"'!"&amp;B1872)="",FALSE,IF(NOT(ISNUMBER(INDIRECT("'"&amp;A1872&amp;"'!"&amp;B1872))),TRUE,FALSE))</f>
        <v>0</v>
      </c>
      <c r="E1872" t="s">
        <v>435</v>
      </c>
      <c r="F1872" t="str">
        <f>INDEX(Lists!I:I,MATCH(Validation!E1872,Lists!G:G,0))</f>
        <v>Error</v>
      </c>
      <c r="G1872" t="str">
        <f>INDEX(Lists!H:H,MATCH(Validation!E1872,Lists!G:G,0))</f>
        <v>Enter an amount only. Do not enter text or spaces.</v>
      </c>
      <c r="H1872" s="25" t="str">
        <f t="shared" ca="1" si="219"/>
        <v/>
      </c>
      <c r="I1872" s="25" t="str">
        <f t="shared" ca="1" si="220"/>
        <v/>
      </c>
      <c r="J1872" s="26" t="str">
        <f t="shared" ca="1" si="221"/>
        <v/>
      </c>
    </row>
    <row r="1873" spans="1:10" x14ac:dyDescent="0.25">
      <c r="A1873" t="s">
        <v>310</v>
      </c>
      <c r="B1873" t="str">
        <f>ADDRESS(ROW('Bond 1'!$C$33),COLUMN('Bond 1'!$C$33),4)</f>
        <v>C33</v>
      </c>
      <c r="C1873" t="str">
        <f>ADDRESS(ROW('Bond 1'!$D$33),COLUMN('Bond 1'!$D$33),4)</f>
        <v>D33</v>
      </c>
      <c r="D1873" t="b" cm="1">
        <f t="array" aca="1" ref="D1873" ca="1">IF(INDIRECT("'"&amp;A1873&amp;"'!"&amp;B1873)="",FALSE,IF(NOT(ISNUMBER(INDIRECT("'"&amp;A1873&amp;"'!"&amp;B1873))),TRUE,FALSE))</f>
        <v>0</v>
      </c>
      <c r="E1873" t="s">
        <v>435</v>
      </c>
      <c r="F1873" t="str">
        <f>INDEX(Lists!I:I,MATCH(Validation!E1873,Lists!G:G,0))</f>
        <v>Error</v>
      </c>
      <c r="G1873" t="str">
        <f>INDEX(Lists!H:H,MATCH(Validation!E1873,Lists!G:G,0))</f>
        <v>Enter an amount only. Do not enter text or spaces.</v>
      </c>
      <c r="H1873" s="25" t="str">
        <f t="shared" ca="1" si="219"/>
        <v/>
      </c>
      <c r="I1873" s="25" t="str">
        <f t="shared" ca="1" si="220"/>
        <v/>
      </c>
      <c r="J1873" s="26" t="str">
        <f t="shared" ca="1" si="221"/>
        <v/>
      </c>
    </row>
    <row r="1874" spans="1:10" x14ac:dyDescent="0.25">
      <c r="A1874" t="s">
        <v>311</v>
      </c>
      <c r="B1874" t="str">
        <f>ADDRESS(ROW('Bond 1'!$C$33),COLUMN('Bond 1'!$C$33),4)</f>
        <v>C33</v>
      </c>
      <c r="C1874" t="str">
        <f>ADDRESS(ROW('Bond 1'!$D$33),COLUMN('Bond 1'!$D$33),4)</f>
        <v>D33</v>
      </c>
      <c r="D1874" t="b" cm="1">
        <f t="array" aca="1" ref="D1874" ca="1">IF(INDIRECT("'"&amp;A1874&amp;"'!"&amp;B1874)="",FALSE,IF(NOT(ISNUMBER(INDIRECT("'"&amp;A1874&amp;"'!"&amp;B1874))),TRUE,FALSE))</f>
        <v>0</v>
      </c>
      <c r="E1874" t="s">
        <v>435</v>
      </c>
      <c r="F1874" t="str">
        <f>INDEX(Lists!I:I,MATCH(Validation!E1874,Lists!G:G,0))</f>
        <v>Error</v>
      </c>
      <c r="G1874" t="str">
        <f>INDEX(Lists!H:H,MATCH(Validation!E1874,Lists!G:G,0))</f>
        <v>Enter an amount only. Do not enter text or spaces.</v>
      </c>
      <c r="H1874" s="25" t="str">
        <f t="shared" ca="1" si="219"/>
        <v/>
      </c>
      <c r="I1874" s="25" t="str">
        <f t="shared" ca="1" si="220"/>
        <v/>
      </c>
      <c r="J1874" s="26" t="str">
        <f t="shared" ca="1" si="221"/>
        <v/>
      </c>
    </row>
    <row r="1875" spans="1:10" x14ac:dyDescent="0.25">
      <c r="A1875" t="s">
        <v>312</v>
      </c>
      <c r="B1875" t="str">
        <f>ADDRESS(ROW('Bond 1'!$C$33),COLUMN('Bond 1'!$C$33),4)</f>
        <v>C33</v>
      </c>
      <c r="C1875" t="str">
        <f>ADDRESS(ROW('Bond 1'!$D$33),COLUMN('Bond 1'!$D$33),4)</f>
        <v>D33</v>
      </c>
      <c r="D1875" t="b" cm="1">
        <f t="array" aca="1" ref="D1875" ca="1">IF(INDIRECT("'"&amp;A1875&amp;"'!"&amp;B1875)="",FALSE,IF(NOT(ISNUMBER(INDIRECT("'"&amp;A1875&amp;"'!"&amp;B1875))),TRUE,FALSE))</f>
        <v>0</v>
      </c>
      <c r="E1875" t="s">
        <v>435</v>
      </c>
      <c r="F1875" t="str">
        <f>INDEX(Lists!I:I,MATCH(Validation!E1875,Lists!G:G,0))</f>
        <v>Error</v>
      </c>
      <c r="G1875" t="str">
        <f>INDEX(Lists!H:H,MATCH(Validation!E1875,Lists!G:G,0))</f>
        <v>Enter an amount only. Do not enter text or spaces.</v>
      </c>
      <c r="H1875" s="25" t="str">
        <f t="shared" ca="1" si="219"/>
        <v/>
      </c>
      <c r="I1875" s="25" t="str">
        <f t="shared" ca="1" si="220"/>
        <v/>
      </c>
      <c r="J1875" s="26" t="str">
        <f t="shared" ca="1" si="221"/>
        <v/>
      </c>
    </row>
    <row r="1876" spans="1:10" x14ac:dyDescent="0.25">
      <c r="A1876" t="s">
        <v>313</v>
      </c>
      <c r="B1876" t="str">
        <f>ADDRESS(ROW('Bond 1'!$C$33),COLUMN('Bond 1'!$C$33),4)</f>
        <v>C33</v>
      </c>
      <c r="C1876" t="str">
        <f>ADDRESS(ROW('Bond 1'!$D$33),COLUMN('Bond 1'!$D$33),4)</f>
        <v>D33</v>
      </c>
      <c r="D1876" t="b" cm="1">
        <f t="array" aca="1" ref="D1876" ca="1">IF(INDIRECT("'"&amp;A1876&amp;"'!"&amp;B1876)="",FALSE,IF(NOT(ISNUMBER(INDIRECT("'"&amp;A1876&amp;"'!"&amp;B1876))),TRUE,FALSE))</f>
        <v>0</v>
      </c>
      <c r="E1876" t="s">
        <v>435</v>
      </c>
      <c r="F1876" t="str">
        <f>INDEX(Lists!I:I,MATCH(Validation!E1876,Lists!G:G,0))</f>
        <v>Error</v>
      </c>
      <c r="G1876" t="str">
        <f>INDEX(Lists!H:H,MATCH(Validation!E1876,Lists!G:G,0))</f>
        <v>Enter an amount only. Do not enter text or spaces.</v>
      </c>
      <c r="H1876" s="25" t="str">
        <f t="shared" ca="1" si="219"/>
        <v/>
      </c>
      <c r="I1876" s="25" t="str">
        <f t="shared" ca="1" si="220"/>
        <v/>
      </c>
      <c r="J1876" s="26" t="str">
        <f t="shared" ca="1" si="221"/>
        <v/>
      </c>
    </row>
    <row r="1877" spans="1:10" x14ac:dyDescent="0.25">
      <c r="A1877" t="s">
        <v>314</v>
      </c>
      <c r="B1877" t="str">
        <f>ADDRESS(ROW('Bond 1'!$C$33),COLUMN('Bond 1'!$C$33),4)</f>
        <v>C33</v>
      </c>
      <c r="C1877" t="str">
        <f>ADDRESS(ROW('Bond 1'!$D$33),COLUMN('Bond 1'!$D$33),4)</f>
        <v>D33</v>
      </c>
      <c r="D1877" t="b" cm="1">
        <f t="array" aca="1" ref="D1877" ca="1">IF(INDIRECT("'"&amp;A1877&amp;"'!"&amp;B1877)="",FALSE,IF(NOT(ISNUMBER(INDIRECT("'"&amp;A1877&amp;"'!"&amp;B1877))),TRUE,FALSE))</f>
        <v>0</v>
      </c>
      <c r="E1877" t="s">
        <v>435</v>
      </c>
      <c r="F1877" t="str">
        <f>INDEX(Lists!I:I,MATCH(Validation!E1877,Lists!G:G,0))</f>
        <v>Error</v>
      </c>
      <c r="G1877" t="str">
        <f>INDEX(Lists!H:H,MATCH(Validation!E1877,Lists!G:G,0))</f>
        <v>Enter an amount only. Do not enter text or spaces.</v>
      </c>
      <c r="H1877" s="25" t="str">
        <f t="shared" ca="1" si="219"/>
        <v/>
      </c>
      <c r="I1877" s="25" t="str">
        <f t="shared" ca="1" si="220"/>
        <v/>
      </c>
      <c r="J1877" s="26" t="str">
        <f t="shared" ca="1" si="221"/>
        <v/>
      </c>
    </row>
    <row r="1878" spans="1:10" x14ac:dyDescent="0.25">
      <c r="A1878" t="s">
        <v>315</v>
      </c>
      <c r="B1878" t="str">
        <f>ADDRESS(ROW('Bond 1'!$C$33),COLUMN('Bond 1'!$C$33),4)</f>
        <v>C33</v>
      </c>
      <c r="C1878" t="str">
        <f>ADDRESS(ROW('Bond 1'!$D$33),COLUMN('Bond 1'!$D$33),4)</f>
        <v>D33</v>
      </c>
      <c r="D1878" t="b" cm="1">
        <f t="array" aca="1" ref="D1878" ca="1">IF(INDIRECT("'"&amp;A1878&amp;"'!"&amp;B1878)="",FALSE,IF(NOT(ISNUMBER(INDIRECT("'"&amp;A1878&amp;"'!"&amp;B1878))),TRUE,FALSE))</f>
        <v>0</v>
      </c>
      <c r="E1878" t="s">
        <v>435</v>
      </c>
      <c r="F1878" t="str">
        <f>INDEX(Lists!I:I,MATCH(Validation!E1878,Lists!G:G,0))</f>
        <v>Error</v>
      </c>
      <c r="G1878" t="str">
        <f>INDEX(Lists!H:H,MATCH(Validation!E1878,Lists!G:G,0))</f>
        <v>Enter an amount only. Do not enter text or spaces.</v>
      </c>
      <c r="H1878" s="25" t="str">
        <f t="shared" ca="1" si="219"/>
        <v/>
      </c>
      <c r="I1878" s="25" t="str">
        <f t="shared" ca="1" si="220"/>
        <v/>
      </c>
      <c r="J1878" s="26" t="str">
        <f t="shared" ca="1" si="221"/>
        <v/>
      </c>
    </row>
    <row r="1879" spans="1:10" x14ac:dyDescent="0.25">
      <c r="A1879" t="s">
        <v>198</v>
      </c>
      <c r="B1879" t="str">
        <f>ADDRESS(ROW('Bond 1'!$C$33),COLUMN('Bond 1'!$C$33),4)</f>
        <v>C33</v>
      </c>
      <c r="C1879" t="str">
        <f>ADDRESS(ROW('Bond 1'!$D$33),COLUMN('Bond 1'!$D$33),4)</f>
        <v>D33</v>
      </c>
      <c r="D1879" t="b" cm="1">
        <f t="array" aca="1" ref="D1879" ca="1">IF(INDIRECT("'"&amp;A1879&amp;"'!"&amp;B1879)="",FALSE,IF(INDIRECT("'"&amp;A1879&amp;"'!"&amp;B1879)&lt;0,TRUE,FALSE))</f>
        <v>0</v>
      </c>
      <c r="E1879" t="s">
        <v>434</v>
      </c>
      <c r="F1879" t="str">
        <f>INDEX(Lists!I:I,MATCH(Validation!E1879,Lists!G:G,0))</f>
        <v>Error</v>
      </c>
      <c r="G1879" t="str">
        <f>INDEX(Lists!H:H,MATCH(Validation!E1879,Lists!G:G,0))</f>
        <v>Amount may not be negative. Enter an amount greater than or equal to zero.</v>
      </c>
      <c r="H1879" s="25" t="str">
        <f t="shared" ref="H1879:H1972" ca="1" si="222">IFERROR(IF(OR(NOT(D1879),F1879&lt;&gt;"Error"),"",A1879&amp;CELL("address",INDIRECT(B1879))),"")</f>
        <v/>
      </c>
      <c r="I1879" s="25" t="str">
        <f t="shared" ref="I1879:I1972" ca="1" si="223">IFERROR(IF(NOT(D1879),"",A1879&amp;CELL("address",INDIRECT(C1879))),"")</f>
        <v/>
      </c>
      <c r="J1879" s="26" t="str">
        <f t="shared" ref="J1879:J1972" ca="1" si="224">IFERROR(IF(NOT(D1879),"",A1879),"")</f>
        <v/>
      </c>
    </row>
    <row r="1880" spans="1:10" x14ac:dyDescent="0.25">
      <c r="A1880" t="s">
        <v>302</v>
      </c>
      <c r="B1880" t="str">
        <f>ADDRESS(ROW('Bond 1'!$C$33),COLUMN('Bond 1'!$C$33),4)</f>
        <v>C33</v>
      </c>
      <c r="C1880" t="str">
        <f>ADDRESS(ROW('Bond 1'!$D$33),COLUMN('Bond 1'!$D$33),4)</f>
        <v>D33</v>
      </c>
      <c r="D1880" t="b" cm="1">
        <f t="array" aca="1" ref="D1880" ca="1">IF(INDIRECT("'"&amp;A1880&amp;"'!"&amp;B1880)="",FALSE,IF(INDIRECT("'"&amp;A1880&amp;"'!"&amp;B1880)&lt;0,TRUE,FALSE))</f>
        <v>0</v>
      </c>
      <c r="E1880" t="s">
        <v>434</v>
      </c>
      <c r="F1880" t="str">
        <f>INDEX(Lists!I:I,MATCH(Validation!E1880,Lists!G:G,0))</f>
        <v>Error</v>
      </c>
      <c r="G1880" t="str">
        <f>INDEX(Lists!H:H,MATCH(Validation!E1880,Lists!G:G,0))</f>
        <v>Amount may not be negative. Enter an amount greater than or equal to zero.</v>
      </c>
      <c r="H1880" s="25" t="str">
        <f t="shared" ca="1" si="222"/>
        <v/>
      </c>
      <c r="I1880" s="25" t="str">
        <f t="shared" ca="1" si="223"/>
        <v/>
      </c>
      <c r="J1880" s="26" t="str">
        <f t="shared" ca="1" si="224"/>
        <v/>
      </c>
    </row>
    <row r="1881" spans="1:10" x14ac:dyDescent="0.25">
      <c r="A1881" t="s">
        <v>303</v>
      </c>
      <c r="B1881" t="str">
        <f>ADDRESS(ROW('Bond 1'!$C$33),COLUMN('Bond 1'!$C$33),4)</f>
        <v>C33</v>
      </c>
      <c r="C1881" t="str">
        <f>ADDRESS(ROW('Bond 1'!$D$33),COLUMN('Bond 1'!$D$33),4)</f>
        <v>D33</v>
      </c>
      <c r="D1881" t="b" cm="1">
        <f t="array" aca="1" ref="D1881" ca="1">IF(INDIRECT("'"&amp;A1881&amp;"'!"&amp;B1881)="",FALSE,IF(INDIRECT("'"&amp;A1881&amp;"'!"&amp;B1881)&lt;0,TRUE,FALSE))</f>
        <v>0</v>
      </c>
      <c r="E1881" t="s">
        <v>434</v>
      </c>
      <c r="F1881" t="str">
        <f>INDEX(Lists!I:I,MATCH(Validation!E1881,Lists!G:G,0))</f>
        <v>Error</v>
      </c>
      <c r="G1881" t="str">
        <f>INDEX(Lists!H:H,MATCH(Validation!E1881,Lists!G:G,0))</f>
        <v>Amount may not be negative. Enter an amount greater than or equal to zero.</v>
      </c>
      <c r="H1881" s="25" t="str">
        <f t="shared" ca="1" si="222"/>
        <v/>
      </c>
      <c r="I1881" s="25" t="str">
        <f t="shared" ca="1" si="223"/>
        <v/>
      </c>
      <c r="J1881" s="26" t="str">
        <f t="shared" ca="1" si="224"/>
        <v/>
      </c>
    </row>
    <row r="1882" spans="1:10" x14ac:dyDescent="0.25">
      <c r="A1882" t="s">
        <v>304</v>
      </c>
      <c r="B1882" t="str">
        <f>ADDRESS(ROW('Bond 1'!$C$33),COLUMN('Bond 1'!$C$33),4)</f>
        <v>C33</v>
      </c>
      <c r="C1882" t="str">
        <f>ADDRESS(ROW('Bond 1'!$D$33),COLUMN('Bond 1'!$D$33),4)</f>
        <v>D33</v>
      </c>
      <c r="D1882" t="b" cm="1">
        <f t="array" aca="1" ref="D1882" ca="1">IF(INDIRECT("'"&amp;A1882&amp;"'!"&amp;B1882)="",FALSE,IF(INDIRECT("'"&amp;A1882&amp;"'!"&amp;B1882)&lt;0,TRUE,FALSE))</f>
        <v>0</v>
      </c>
      <c r="E1882" t="s">
        <v>434</v>
      </c>
      <c r="F1882" t="str">
        <f>INDEX(Lists!I:I,MATCH(Validation!E1882,Lists!G:G,0))</f>
        <v>Error</v>
      </c>
      <c r="G1882" t="str">
        <f>INDEX(Lists!H:H,MATCH(Validation!E1882,Lists!G:G,0))</f>
        <v>Amount may not be negative. Enter an amount greater than or equal to zero.</v>
      </c>
      <c r="H1882" s="25" t="str">
        <f t="shared" ca="1" si="222"/>
        <v/>
      </c>
      <c r="I1882" s="25" t="str">
        <f t="shared" ca="1" si="223"/>
        <v/>
      </c>
      <c r="J1882" s="26" t="str">
        <f t="shared" ca="1" si="224"/>
        <v/>
      </c>
    </row>
    <row r="1883" spans="1:10" x14ac:dyDescent="0.25">
      <c r="A1883" t="s">
        <v>305</v>
      </c>
      <c r="B1883" t="str">
        <f>ADDRESS(ROW('Bond 1'!$C$33),COLUMN('Bond 1'!$C$33),4)</f>
        <v>C33</v>
      </c>
      <c r="C1883" t="str">
        <f>ADDRESS(ROW('Bond 1'!$D$33),COLUMN('Bond 1'!$D$33),4)</f>
        <v>D33</v>
      </c>
      <c r="D1883" t="b" cm="1">
        <f t="array" aca="1" ref="D1883" ca="1">IF(INDIRECT("'"&amp;A1883&amp;"'!"&amp;B1883)="",FALSE,IF(INDIRECT("'"&amp;A1883&amp;"'!"&amp;B1883)&lt;0,TRUE,FALSE))</f>
        <v>0</v>
      </c>
      <c r="E1883" t="s">
        <v>434</v>
      </c>
      <c r="F1883" t="str">
        <f>INDEX(Lists!I:I,MATCH(Validation!E1883,Lists!G:G,0))</f>
        <v>Error</v>
      </c>
      <c r="G1883" t="str">
        <f>INDEX(Lists!H:H,MATCH(Validation!E1883,Lists!G:G,0))</f>
        <v>Amount may not be negative. Enter an amount greater than or equal to zero.</v>
      </c>
      <c r="H1883" s="25" t="str">
        <f t="shared" ca="1" si="222"/>
        <v/>
      </c>
      <c r="I1883" s="25" t="str">
        <f t="shared" ca="1" si="223"/>
        <v/>
      </c>
      <c r="J1883" s="26" t="str">
        <f t="shared" ca="1" si="224"/>
        <v/>
      </c>
    </row>
    <row r="1884" spans="1:10" x14ac:dyDescent="0.25">
      <c r="A1884" t="s">
        <v>306</v>
      </c>
      <c r="B1884" t="str">
        <f>ADDRESS(ROW('Bond 1'!$C$33),COLUMN('Bond 1'!$C$33),4)</f>
        <v>C33</v>
      </c>
      <c r="C1884" t="str">
        <f>ADDRESS(ROW('Bond 1'!$D$33),COLUMN('Bond 1'!$D$33),4)</f>
        <v>D33</v>
      </c>
      <c r="D1884" t="b" cm="1">
        <f t="array" aca="1" ref="D1884" ca="1">IF(INDIRECT("'"&amp;A1884&amp;"'!"&amp;B1884)="",FALSE,IF(INDIRECT("'"&amp;A1884&amp;"'!"&amp;B1884)&lt;0,TRUE,FALSE))</f>
        <v>0</v>
      </c>
      <c r="E1884" t="s">
        <v>434</v>
      </c>
      <c r="F1884" t="str">
        <f>INDEX(Lists!I:I,MATCH(Validation!E1884,Lists!G:G,0))</f>
        <v>Error</v>
      </c>
      <c r="G1884" t="str">
        <f>INDEX(Lists!H:H,MATCH(Validation!E1884,Lists!G:G,0))</f>
        <v>Amount may not be negative. Enter an amount greater than or equal to zero.</v>
      </c>
      <c r="H1884" s="25" t="str">
        <f t="shared" ca="1" si="222"/>
        <v/>
      </c>
      <c r="I1884" s="25" t="str">
        <f t="shared" ca="1" si="223"/>
        <v/>
      </c>
      <c r="J1884" s="26" t="str">
        <f t="shared" ca="1" si="224"/>
        <v/>
      </c>
    </row>
    <row r="1885" spans="1:10" x14ac:dyDescent="0.25">
      <c r="A1885" t="s">
        <v>307</v>
      </c>
      <c r="B1885" t="str">
        <f>ADDRESS(ROW('Bond 1'!$C$33),COLUMN('Bond 1'!$C$33),4)</f>
        <v>C33</v>
      </c>
      <c r="C1885" t="str">
        <f>ADDRESS(ROW('Bond 1'!$D$33),COLUMN('Bond 1'!$D$33),4)</f>
        <v>D33</v>
      </c>
      <c r="D1885" t="b" cm="1">
        <f t="array" aca="1" ref="D1885" ca="1">IF(INDIRECT("'"&amp;A1885&amp;"'!"&amp;B1885)="",FALSE,IF(INDIRECT("'"&amp;A1885&amp;"'!"&amp;B1885)&lt;0,TRUE,FALSE))</f>
        <v>0</v>
      </c>
      <c r="E1885" t="s">
        <v>434</v>
      </c>
      <c r="F1885" t="str">
        <f>INDEX(Lists!I:I,MATCH(Validation!E1885,Lists!G:G,0))</f>
        <v>Error</v>
      </c>
      <c r="G1885" t="str">
        <f>INDEX(Lists!H:H,MATCH(Validation!E1885,Lists!G:G,0))</f>
        <v>Amount may not be negative. Enter an amount greater than or equal to zero.</v>
      </c>
      <c r="H1885" s="25" t="str">
        <f t="shared" ca="1" si="222"/>
        <v/>
      </c>
      <c r="I1885" s="25" t="str">
        <f t="shared" ca="1" si="223"/>
        <v/>
      </c>
      <c r="J1885" s="26" t="str">
        <f t="shared" ca="1" si="224"/>
        <v/>
      </c>
    </row>
    <row r="1886" spans="1:10" x14ac:dyDescent="0.25">
      <c r="A1886" t="s">
        <v>308</v>
      </c>
      <c r="B1886" t="str">
        <f>ADDRESS(ROW('Bond 1'!$C$33),COLUMN('Bond 1'!$C$33),4)</f>
        <v>C33</v>
      </c>
      <c r="C1886" t="str">
        <f>ADDRESS(ROW('Bond 1'!$D$33),COLUMN('Bond 1'!$D$33),4)</f>
        <v>D33</v>
      </c>
      <c r="D1886" t="b" cm="1">
        <f t="array" aca="1" ref="D1886" ca="1">IF(INDIRECT("'"&amp;A1886&amp;"'!"&amp;B1886)="",FALSE,IF(INDIRECT("'"&amp;A1886&amp;"'!"&amp;B1886)&lt;0,TRUE,FALSE))</f>
        <v>0</v>
      </c>
      <c r="E1886" t="s">
        <v>434</v>
      </c>
      <c r="F1886" t="str">
        <f>INDEX(Lists!I:I,MATCH(Validation!E1886,Lists!G:G,0))</f>
        <v>Error</v>
      </c>
      <c r="G1886" t="str">
        <f>INDEX(Lists!H:H,MATCH(Validation!E1886,Lists!G:G,0))</f>
        <v>Amount may not be negative. Enter an amount greater than or equal to zero.</v>
      </c>
      <c r="H1886" s="25" t="str">
        <f t="shared" ca="1" si="222"/>
        <v/>
      </c>
      <c r="I1886" s="25" t="str">
        <f t="shared" ca="1" si="223"/>
        <v/>
      </c>
      <c r="J1886" s="26" t="str">
        <f t="shared" ca="1" si="224"/>
        <v/>
      </c>
    </row>
    <row r="1887" spans="1:10" x14ac:dyDescent="0.25">
      <c r="A1887" t="s">
        <v>309</v>
      </c>
      <c r="B1887" t="str">
        <f>ADDRESS(ROW('Bond 1'!$C$33),COLUMN('Bond 1'!$C$33),4)</f>
        <v>C33</v>
      </c>
      <c r="C1887" t="str">
        <f>ADDRESS(ROW('Bond 1'!$D$33),COLUMN('Bond 1'!$D$33),4)</f>
        <v>D33</v>
      </c>
      <c r="D1887" t="b" cm="1">
        <f t="array" aca="1" ref="D1887" ca="1">IF(INDIRECT("'"&amp;A1887&amp;"'!"&amp;B1887)="",FALSE,IF(INDIRECT("'"&amp;A1887&amp;"'!"&amp;B1887)&lt;0,TRUE,FALSE))</f>
        <v>0</v>
      </c>
      <c r="E1887" t="s">
        <v>434</v>
      </c>
      <c r="F1887" t="str">
        <f>INDEX(Lists!I:I,MATCH(Validation!E1887,Lists!G:G,0))</f>
        <v>Error</v>
      </c>
      <c r="G1887" t="str">
        <f>INDEX(Lists!H:H,MATCH(Validation!E1887,Lists!G:G,0))</f>
        <v>Amount may not be negative. Enter an amount greater than or equal to zero.</v>
      </c>
      <c r="H1887" s="25" t="str">
        <f t="shared" ca="1" si="222"/>
        <v/>
      </c>
      <c r="I1887" s="25" t="str">
        <f t="shared" ca="1" si="223"/>
        <v/>
      </c>
      <c r="J1887" s="26" t="str">
        <f t="shared" ca="1" si="224"/>
        <v/>
      </c>
    </row>
    <row r="1888" spans="1:10" x14ac:dyDescent="0.25">
      <c r="A1888" t="s">
        <v>310</v>
      </c>
      <c r="B1888" t="str">
        <f>ADDRESS(ROW('Bond 1'!$C$33),COLUMN('Bond 1'!$C$33),4)</f>
        <v>C33</v>
      </c>
      <c r="C1888" t="str">
        <f>ADDRESS(ROW('Bond 1'!$D$33),COLUMN('Bond 1'!$D$33),4)</f>
        <v>D33</v>
      </c>
      <c r="D1888" t="b" cm="1">
        <f t="array" aca="1" ref="D1888" ca="1">IF(INDIRECT("'"&amp;A1888&amp;"'!"&amp;B1888)="",FALSE,IF(INDIRECT("'"&amp;A1888&amp;"'!"&amp;B1888)&lt;0,TRUE,FALSE))</f>
        <v>0</v>
      </c>
      <c r="E1888" t="s">
        <v>434</v>
      </c>
      <c r="F1888" t="str">
        <f>INDEX(Lists!I:I,MATCH(Validation!E1888,Lists!G:G,0))</f>
        <v>Error</v>
      </c>
      <c r="G1888" t="str">
        <f>INDEX(Lists!H:H,MATCH(Validation!E1888,Lists!G:G,0))</f>
        <v>Amount may not be negative. Enter an amount greater than or equal to zero.</v>
      </c>
      <c r="H1888" s="25" t="str">
        <f t="shared" ca="1" si="222"/>
        <v/>
      </c>
      <c r="I1888" s="25" t="str">
        <f t="shared" ca="1" si="223"/>
        <v/>
      </c>
      <c r="J1888" s="26" t="str">
        <f t="shared" ca="1" si="224"/>
        <v/>
      </c>
    </row>
    <row r="1889" spans="1:10" x14ac:dyDescent="0.25">
      <c r="A1889" t="s">
        <v>311</v>
      </c>
      <c r="B1889" t="str">
        <f>ADDRESS(ROW('Bond 1'!$C$33),COLUMN('Bond 1'!$C$33),4)</f>
        <v>C33</v>
      </c>
      <c r="C1889" t="str">
        <f>ADDRESS(ROW('Bond 1'!$D$33),COLUMN('Bond 1'!$D$33),4)</f>
        <v>D33</v>
      </c>
      <c r="D1889" t="b" cm="1">
        <f t="array" aca="1" ref="D1889" ca="1">IF(INDIRECT("'"&amp;A1889&amp;"'!"&amp;B1889)="",FALSE,IF(INDIRECT("'"&amp;A1889&amp;"'!"&amp;B1889)&lt;0,TRUE,FALSE))</f>
        <v>0</v>
      </c>
      <c r="E1889" t="s">
        <v>434</v>
      </c>
      <c r="F1889" t="str">
        <f>INDEX(Lists!I:I,MATCH(Validation!E1889,Lists!G:G,0))</f>
        <v>Error</v>
      </c>
      <c r="G1889" t="str">
        <f>INDEX(Lists!H:H,MATCH(Validation!E1889,Lists!G:G,0))</f>
        <v>Amount may not be negative. Enter an amount greater than or equal to zero.</v>
      </c>
      <c r="H1889" s="25" t="str">
        <f t="shared" ca="1" si="222"/>
        <v/>
      </c>
      <c r="I1889" s="25" t="str">
        <f t="shared" ca="1" si="223"/>
        <v/>
      </c>
      <c r="J1889" s="26" t="str">
        <f t="shared" ca="1" si="224"/>
        <v/>
      </c>
    </row>
    <row r="1890" spans="1:10" x14ac:dyDescent="0.25">
      <c r="A1890" t="s">
        <v>312</v>
      </c>
      <c r="B1890" t="str">
        <f>ADDRESS(ROW('Bond 1'!$C$33),COLUMN('Bond 1'!$C$33),4)</f>
        <v>C33</v>
      </c>
      <c r="C1890" t="str">
        <f>ADDRESS(ROW('Bond 1'!$D$33),COLUMN('Bond 1'!$D$33),4)</f>
        <v>D33</v>
      </c>
      <c r="D1890" t="b" cm="1">
        <f t="array" aca="1" ref="D1890" ca="1">IF(INDIRECT("'"&amp;A1890&amp;"'!"&amp;B1890)="",FALSE,IF(INDIRECT("'"&amp;A1890&amp;"'!"&amp;B1890)&lt;0,TRUE,FALSE))</f>
        <v>0</v>
      </c>
      <c r="E1890" t="s">
        <v>434</v>
      </c>
      <c r="F1890" t="str">
        <f>INDEX(Lists!I:I,MATCH(Validation!E1890,Lists!G:G,0))</f>
        <v>Error</v>
      </c>
      <c r="G1890" t="str">
        <f>INDEX(Lists!H:H,MATCH(Validation!E1890,Lists!G:G,0))</f>
        <v>Amount may not be negative. Enter an amount greater than or equal to zero.</v>
      </c>
      <c r="H1890" s="25" t="str">
        <f t="shared" ca="1" si="222"/>
        <v/>
      </c>
      <c r="I1890" s="25" t="str">
        <f t="shared" ca="1" si="223"/>
        <v/>
      </c>
      <c r="J1890" s="26" t="str">
        <f t="shared" ca="1" si="224"/>
        <v/>
      </c>
    </row>
    <row r="1891" spans="1:10" x14ac:dyDescent="0.25">
      <c r="A1891" t="s">
        <v>313</v>
      </c>
      <c r="B1891" t="str">
        <f>ADDRESS(ROW('Bond 1'!$C$33),COLUMN('Bond 1'!$C$33),4)</f>
        <v>C33</v>
      </c>
      <c r="C1891" t="str">
        <f>ADDRESS(ROW('Bond 1'!$D$33),COLUMN('Bond 1'!$D$33),4)</f>
        <v>D33</v>
      </c>
      <c r="D1891" t="b" cm="1">
        <f t="array" aca="1" ref="D1891" ca="1">IF(INDIRECT("'"&amp;A1891&amp;"'!"&amp;B1891)="",FALSE,IF(INDIRECT("'"&amp;A1891&amp;"'!"&amp;B1891)&lt;0,TRUE,FALSE))</f>
        <v>0</v>
      </c>
      <c r="E1891" t="s">
        <v>434</v>
      </c>
      <c r="F1891" t="str">
        <f>INDEX(Lists!I:I,MATCH(Validation!E1891,Lists!G:G,0))</f>
        <v>Error</v>
      </c>
      <c r="G1891" t="str">
        <f>INDEX(Lists!H:H,MATCH(Validation!E1891,Lists!G:G,0))</f>
        <v>Amount may not be negative. Enter an amount greater than or equal to zero.</v>
      </c>
      <c r="H1891" s="25" t="str">
        <f t="shared" ca="1" si="222"/>
        <v/>
      </c>
      <c r="I1891" s="25" t="str">
        <f t="shared" ca="1" si="223"/>
        <v/>
      </c>
      <c r="J1891" s="26" t="str">
        <f t="shared" ca="1" si="224"/>
        <v/>
      </c>
    </row>
    <row r="1892" spans="1:10" x14ac:dyDescent="0.25">
      <c r="A1892" t="s">
        <v>314</v>
      </c>
      <c r="B1892" t="str">
        <f>ADDRESS(ROW('Bond 1'!$C$33),COLUMN('Bond 1'!$C$33),4)</f>
        <v>C33</v>
      </c>
      <c r="C1892" t="str">
        <f>ADDRESS(ROW('Bond 1'!$D$33),COLUMN('Bond 1'!$D$33),4)</f>
        <v>D33</v>
      </c>
      <c r="D1892" t="b" cm="1">
        <f t="array" aca="1" ref="D1892" ca="1">IF(INDIRECT("'"&amp;A1892&amp;"'!"&amp;B1892)="",FALSE,IF(INDIRECT("'"&amp;A1892&amp;"'!"&amp;B1892)&lt;0,TRUE,FALSE))</f>
        <v>0</v>
      </c>
      <c r="E1892" t="s">
        <v>434</v>
      </c>
      <c r="F1892" t="str">
        <f>INDEX(Lists!I:I,MATCH(Validation!E1892,Lists!G:G,0))</f>
        <v>Error</v>
      </c>
      <c r="G1892" t="str">
        <f>INDEX(Lists!H:H,MATCH(Validation!E1892,Lists!G:G,0))</f>
        <v>Amount may not be negative. Enter an amount greater than or equal to zero.</v>
      </c>
      <c r="H1892" s="25" t="str">
        <f t="shared" ca="1" si="222"/>
        <v/>
      </c>
      <c r="I1892" s="25" t="str">
        <f t="shared" ca="1" si="223"/>
        <v/>
      </c>
      <c r="J1892" s="26" t="str">
        <f t="shared" ca="1" si="224"/>
        <v/>
      </c>
    </row>
    <row r="1893" spans="1:10" x14ac:dyDescent="0.25">
      <c r="A1893" t="s">
        <v>315</v>
      </c>
      <c r="B1893" t="str">
        <f>ADDRESS(ROW('Bond 1'!$C$33),COLUMN('Bond 1'!$C$33),4)</f>
        <v>C33</v>
      </c>
      <c r="C1893" t="str">
        <f>ADDRESS(ROW('Bond 1'!$D$33),COLUMN('Bond 1'!$D$33),4)</f>
        <v>D33</v>
      </c>
      <c r="D1893" t="b" cm="1">
        <f t="array" aca="1" ref="D1893" ca="1">IF(INDIRECT("'"&amp;A1893&amp;"'!"&amp;B1893)="",FALSE,IF(INDIRECT("'"&amp;A1893&amp;"'!"&amp;B1893)&lt;0,TRUE,FALSE))</f>
        <v>0</v>
      </c>
      <c r="E1893" t="s">
        <v>434</v>
      </c>
      <c r="F1893" t="str">
        <f>INDEX(Lists!I:I,MATCH(Validation!E1893,Lists!G:G,0))</f>
        <v>Error</v>
      </c>
      <c r="G1893" t="str">
        <f>INDEX(Lists!H:H,MATCH(Validation!E1893,Lists!G:G,0))</f>
        <v>Amount may not be negative. Enter an amount greater than or equal to zero.</v>
      </c>
      <c r="H1893" s="25" t="str">
        <f t="shared" ca="1" si="222"/>
        <v/>
      </c>
      <c r="I1893" s="25" t="str">
        <f t="shared" ca="1" si="223"/>
        <v/>
      </c>
      <c r="J1893" s="26" t="str">
        <f t="shared" ca="1" si="224"/>
        <v/>
      </c>
    </row>
    <row r="1894" spans="1:10" x14ac:dyDescent="0.25">
      <c r="A1894" t="s">
        <v>198</v>
      </c>
      <c r="B1894" t="str">
        <f>ADDRESS(ROW('Bond 1'!$C$33),COLUMN('Bond 1'!$C$33),4)</f>
        <v>C33</v>
      </c>
      <c r="C1894" t="str">
        <f>ADDRESS(ROW('Bond 1'!$D$33),COLUMN('Bond 1'!$D$33),4)</f>
        <v>D33</v>
      </c>
      <c r="D1894" t="b" cm="1">
        <f t="array" aca="1" ref="D1894" ca="1">IF(INDIRECT("'"&amp;A1894&amp;"'!"&amp;B1894)="",FALSE,IF(TRUNC(INDIRECT("'"&amp;A1894&amp;"'!"&amp;B1894))=INDIRECT("'"&amp;A1894&amp;"'!"&amp;B1894),FALSE,TRUE))</f>
        <v>0</v>
      </c>
      <c r="E1894" t="s">
        <v>436</v>
      </c>
      <c r="F1894" t="str">
        <f>INDEX(Lists!I:I,MATCH(Validation!E1894,Lists!G:G,0))</f>
        <v>Error</v>
      </c>
      <c r="G1894" t="str">
        <f>INDEX(Lists!H:H,MATCH(Validation!E1894,Lists!G:G,0))</f>
        <v>Amount must be rounded to the nearest dollar.</v>
      </c>
      <c r="H1894" s="25" t="str">
        <f t="shared" ca="1" si="222"/>
        <v/>
      </c>
      <c r="I1894" s="25" t="str">
        <f t="shared" ca="1" si="223"/>
        <v/>
      </c>
      <c r="J1894" s="26" t="str">
        <f t="shared" ca="1" si="224"/>
        <v/>
      </c>
    </row>
    <row r="1895" spans="1:10" x14ac:dyDescent="0.25">
      <c r="A1895" t="s">
        <v>302</v>
      </c>
      <c r="B1895" t="str">
        <f>ADDRESS(ROW('Bond 1'!$C$33),COLUMN('Bond 1'!$C$33),4)</f>
        <v>C33</v>
      </c>
      <c r="C1895" t="str">
        <f>ADDRESS(ROW('Bond 1'!$D$33),COLUMN('Bond 1'!$D$33),4)</f>
        <v>D33</v>
      </c>
      <c r="D1895" t="b" cm="1">
        <f t="array" aca="1" ref="D1895" ca="1">IF(INDIRECT("'"&amp;A1895&amp;"'!"&amp;B1895)="",FALSE,IF(TRUNC(INDIRECT("'"&amp;A1895&amp;"'!"&amp;B1895))=INDIRECT("'"&amp;A1895&amp;"'!"&amp;B1895),FALSE,TRUE))</f>
        <v>0</v>
      </c>
      <c r="E1895" t="s">
        <v>436</v>
      </c>
      <c r="F1895" t="str">
        <f>INDEX(Lists!I:I,MATCH(Validation!E1895,Lists!G:G,0))</f>
        <v>Error</v>
      </c>
      <c r="G1895" t="str">
        <f>INDEX(Lists!H:H,MATCH(Validation!E1895,Lists!G:G,0))</f>
        <v>Amount must be rounded to the nearest dollar.</v>
      </c>
      <c r="H1895" s="25" t="str">
        <f t="shared" ca="1" si="222"/>
        <v/>
      </c>
      <c r="I1895" s="25" t="str">
        <f t="shared" ca="1" si="223"/>
        <v/>
      </c>
      <c r="J1895" s="26" t="str">
        <f t="shared" ca="1" si="224"/>
        <v/>
      </c>
    </row>
    <row r="1896" spans="1:10" x14ac:dyDescent="0.25">
      <c r="A1896" t="s">
        <v>303</v>
      </c>
      <c r="B1896" t="str">
        <f>ADDRESS(ROW('Bond 1'!$C$33),COLUMN('Bond 1'!$C$33),4)</f>
        <v>C33</v>
      </c>
      <c r="C1896" t="str">
        <f>ADDRESS(ROW('Bond 1'!$D$33),COLUMN('Bond 1'!$D$33),4)</f>
        <v>D33</v>
      </c>
      <c r="D1896" t="b" cm="1">
        <f t="array" aca="1" ref="D1896" ca="1">IF(INDIRECT("'"&amp;A1896&amp;"'!"&amp;B1896)="",FALSE,IF(TRUNC(INDIRECT("'"&amp;A1896&amp;"'!"&amp;B1896))=INDIRECT("'"&amp;A1896&amp;"'!"&amp;B1896),FALSE,TRUE))</f>
        <v>0</v>
      </c>
      <c r="E1896" t="s">
        <v>436</v>
      </c>
      <c r="F1896" t="str">
        <f>INDEX(Lists!I:I,MATCH(Validation!E1896,Lists!G:G,0))</f>
        <v>Error</v>
      </c>
      <c r="G1896" t="str">
        <f>INDEX(Lists!H:H,MATCH(Validation!E1896,Lists!G:G,0))</f>
        <v>Amount must be rounded to the nearest dollar.</v>
      </c>
      <c r="H1896" s="25" t="str">
        <f t="shared" ca="1" si="222"/>
        <v/>
      </c>
      <c r="I1896" s="25" t="str">
        <f t="shared" ca="1" si="223"/>
        <v/>
      </c>
      <c r="J1896" s="26" t="str">
        <f t="shared" ca="1" si="224"/>
        <v/>
      </c>
    </row>
    <row r="1897" spans="1:10" x14ac:dyDescent="0.25">
      <c r="A1897" t="s">
        <v>304</v>
      </c>
      <c r="B1897" t="str">
        <f>ADDRESS(ROW('Bond 1'!$C$33),COLUMN('Bond 1'!$C$33),4)</f>
        <v>C33</v>
      </c>
      <c r="C1897" t="str">
        <f>ADDRESS(ROW('Bond 1'!$D$33),COLUMN('Bond 1'!$D$33),4)</f>
        <v>D33</v>
      </c>
      <c r="D1897" t="b" cm="1">
        <f t="array" aca="1" ref="D1897" ca="1">IF(INDIRECT("'"&amp;A1897&amp;"'!"&amp;B1897)="",FALSE,IF(TRUNC(INDIRECT("'"&amp;A1897&amp;"'!"&amp;B1897))=INDIRECT("'"&amp;A1897&amp;"'!"&amp;B1897),FALSE,TRUE))</f>
        <v>0</v>
      </c>
      <c r="E1897" t="s">
        <v>436</v>
      </c>
      <c r="F1897" t="str">
        <f>INDEX(Lists!I:I,MATCH(Validation!E1897,Lists!G:G,0))</f>
        <v>Error</v>
      </c>
      <c r="G1897" t="str">
        <f>INDEX(Lists!H:H,MATCH(Validation!E1897,Lists!G:G,0))</f>
        <v>Amount must be rounded to the nearest dollar.</v>
      </c>
      <c r="H1897" s="25" t="str">
        <f t="shared" ca="1" si="222"/>
        <v/>
      </c>
      <c r="I1897" s="25" t="str">
        <f t="shared" ca="1" si="223"/>
        <v/>
      </c>
      <c r="J1897" s="26" t="str">
        <f t="shared" ca="1" si="224"/>
        <v/>
      </c>
    </row>
    <row r="1898" spans="1:10" x14ac:dyDescent="0.25">
      <c r="A1898" t="s">
        <v>305</v>
      </c>
      <c r="B1898" t="str">
        <f>ADDRESS(ROW('Bond 1'!$C$33),COLUMN('Bond 1'!$C$33),4)</f>
        <v>C33</v>
      </c>
      <c r="C1898" t="str">
        <f>ADDRESS(ROW('Bond 1'!$D$33),COLUMN('Bond 1'!$D$33),4)</f>
        <v>D33</v>
      </c>
      <c r="D1898" t="b" cm="1">
        <f t="array" aca="1" ref="D1898" ca="1">IF(INDIRECT("'"&amp;A1898&amp;"'!"&amp;B1898)="",FALSE,IF(TRUNC(INDIRECT("'"&amp;A1898&amp;"'!"&amp;B1898))=INDIRECT("'"&amp;A1898&amp;"'!"&amp;B1898),FALSE,TRUE))</f>
        <v>0</v>
      </c>
      <c r="E1898" t="s">
        <v>436</v>
      </c>
      <c r="F1898" t="str">
        <f>INDEX(Lists!I:I,MATCH(Validation!E1898,Lists!G:G,0))</f>
        <v>Error</v>
      </c>
      <c r="G1898" t="str">
        <f>INDEX(Lists!H:H,MATCH(Validation!E1898,Lists!G:G,0))</f>
        <v>Amount must be rounded to the nearest dollar.</v>
      </c>
      <c r="H1898" s="25" t="str">
        <f t="shared" ca="1" si="222"/>
        <v/>
      </c>
      <c r="I1898" s="25" t="str">
        <f t="shared" ca="1" si="223"/>
        <v/>
      </c>
      <c r="J1898" s="26" t="str">
        <f t="shared" ca="1" si="224"/>
        <v/>
      </c>
    </row>
    <row r="1899" spans="1:10" x14ac:dyDescent="0.25">
      <c r="A1899" t="s">
        <v>306</v>
      </c>
      <c r="B1899" t="str">
        <f>ADDRESS(ROW('Bond 1'!$C$33),COLUMN('Bond 1'!$C$33),4)</f>
        <v>C33</v>
      </c>
      <c r="C1899" t="str">
        <f>ADDRESS(ROW('Bond 1'!$D$33),COLUMN('Bond 1'!$D$33),4)</f>
        <v>D33</v>
      </c>
      <c r="D1899" t="b" cm="1">
        <f t="array" aca="1" ref="D1899" ca="1">IF(INDIRECT("'"&amp;A1899&amp;"'!"&amp;B1899)="",FALSE,IF(TRUNC(INDIRECT("'"&amp;A1899&amp;"'!"&amp;B1899))=INDIRECT("'"&amp;A1899&amp;"'!"&amp;B1899),FALSE,TRUE))</f>
        <v>0</v>
      </c>
      <c r="E1899" t="s">
        <v>436</v>
      </c>
      <c r="F1899" t="str">
        <f>INDEX(Lists!I:I,MATCH(Validation!E1899,Lists!G:G,0))</f>
        <v>Error</v>
      </c>
      <c r="G1899" t="str">
        <f>INDEX(Lists!H:H,MATCH(Validation!E1899,Lists!G:G,0))</f>
        <v>Amount must be rounded to the nearest dollar.</v>
      </c>
      <c r="H1899" s="25" t="str">
        <f t="shared" ca="1" si="222"/>
        <v/>
      </c>
      <c r="I1899" s="25" t="str">
        <f t="shared" ca="1" si="223"/>
        <v/>
      </c>
      <c r="J1899" s="26" t="str">
        <f t="shared" ca="1" si="224"/>
        <v/>
      </c>
    </row>
    <row r="1900" spans="1:10" x14ac:dyDescent="0.25">
      <c r="A1900" t="s">
        <v>307</v>
      </c>
      <c r="B1900" t="str">
        <f>ADDRESS(ROW('Bond 1'!$C$33),COLUMN('Bond 1'!$C$33),4)</f>
        <v>C33</v>
      </c>
      <c r="C1900" t="str">
        <f>ADDRESS(ROW('Bond 1'!$D$33),COLUMN('Bond 1'!$D$33),4)</f>
        <v>D33</v>
      </c>
      <c r="D1900" t="b" cm="1">
        <f t="array" aca="1" ref="D1900" ca="1">IF(INDIRECT("'"&amp;A1900&amp;"'!"&amp;B1900)="",FALSE,IF(TRUNC(INDIRECT("'"&amp;A1900&amp;"'!"&amp;B1900))=INDIRECT("'"&amp;A1900&amp;"'!"&amp;B1900),FALSE,TRUE))</f>
        <v>0</v>
      </c>
      <c r="E1900" t="s">
        <v>436</v>
      </c>
      <c r="F1900" t="str">
        <f>INDEX(Lists!I:I,MATCH(Validation!E1900,Lists!G:G,0))</f>
        <v>Error</v>
      </c>
      <c r="G1900" t="str">
        <f>INDEX(Lists!H:H,MATCH(Validation!E1900,Lists!G:G,0))</f>
        <v>Amount must be rounded to the nearest dollar.</v>
      </c>
      <c r="H1900" s="25" t="str">
        <f t="shared" ca="1" si="222"/>
        <v/>
      </c>
      <c r="I1900" s="25" t="str">
        <f t="shared" ca="1" si="223"/>
        <v/>
      </c>
      <c r="J1900" s="26" t="str">
        <f t="shared" ca="1" si="224"/>
        <v/>
      </c>
    </row>
    <row r="1901" spans="1:10" x14ac:dyDescent="0.25">
      <c r="A1901" t="s">
        <v>308</v>
      </c>
      <c r="B1901" t="str">
        <f>ADDRESS(ROW('Bond 1'!$C$33),COLUMN('Bond 1'!$C$33),4)</f>
        <v>C33</v>
      </c>
      <c r="C1901" t="str">
        <f>ADDRESS(ROW('Bond 1'!$D$33),COLUMN('Bond 1'!$D$33),4)</f>
        <v>D33</v>
      </c>
      <c r="D1901" t="b" cm="1">
        <f t="array" aca="1" ref="D1901" ca="1">IF(INDIRECT("'"&amp;A1901&amp;"'!"&amp;B1901)="",FALSE,IF(TRUNC(INDIRECT("'"&amp;A1901&amp;"'!"&amp;B1901))=INDIRECT("'"&amp;A1901&amp;"'!"&amp;B1901),FALSE,TRUE))</f>
        <v>0</v>
      </c>
      <c r="E1901" t="s">
        <v>436</v>
      </c>
      <c r="F1901" t="str">
        <f>INDEX(Lists!I:I,MATCH(Validation!E1901,Lists!G:G,0))</f>
        <v>Error</v>
      </c>
      <c r="G1901" t="str">
        <f>INDEX(Lists!H:H,MATCH(Validation!E1901,Lists!G:G,0))</f>
        <v>Amount must be rounded to the nearest dollar.</v>
      </c>
      <c r="H1901" s="25" t="str">
        <f t="shared" ca="1" si="222"/>
        <v/>
      </c>
      <c r="I1901" s="25" t="str">
        <f t="shared" ca="1" si="223"/>
        <v/>
      </c>
      <c r="J1901" s="26" t="str">
        <f t="shared" ca="1" si="224"/>
        <v/>
      </c>
    </row>
    <row r="1902" spans="1:10" x14ac:dyDescent="0.25">
      <c r="A1902" t="s">
        <v>309</v>
      </c>
      <c r="B1902" t="str">
        <f>ADDRESS(ROW('Bond 1'!$C$33),COLUMN('Bond 1'!$C$33),4)</f>
        <v>C33</v>
      </c>
      <c r="C1902" t="str">
        <f>ADDRESS(ROW('Bond 1'!$D$33),COLUMN('Bond 1'!$D$33),4)</f>
        <v>D33</v>
      </c>
      <c r="D1902" t="b" cm="1">
        <f t="array" aca="1" ref="D1902" ca="1">IF(INDIRECT("'"&amp;A1902&amp;"'!"&amp;B1902)="",FALSE,IF(TRUNC(INDIRECT("'"&amp;A1902&amp;"'!"&amp;B1902))=INDIRECT("'"&amp;A1902&amp;"'!"&amp;B1902),FALSE,TRUE))</f>
        <v>0</v>
      </c>
      <c r="E1902" t="s">
        <v>436</v>
      </c>
      <c r="F1902" t="str">
        <f>INDEX(Lists!I:I,MATCH(Validation!E1902,Lists!G:G,0))</f>
        <v>Error</v>
      </c>
      <c r="G1902" t="str">
        <f>INDEX(Lists!H:H,MATCH(Validation!E1902,Lists!G:G,0))</f>
        <v>Amount must be rounded to the nearest dollar.</v>
      </c>
      <c r="H1902" s="25" t="str">
        <f t="shared" ca="1" si="222"/>
        <v/>
      </c>
      <c r="I1902" s="25" t="str">
        <f t="shared" ca="1" si="223"/>
        <v/>
      </c>
      <c r="J1902" s="26" t="str">
        <f t="shared" ca="1" si="224"/>
        <v/>
      </c>
    </row>
    <row r="1903" spans="1:10" x14ac:dyDescent="0.25">
      <c r="A1903" t="s">
        <v>310</v>
      </c>
      <c r="B1903" t="str">
        <f>ADDRESS(ROW('Bond 1'!$C$33),COLUMN('Bond 1'!$C$33),4)</f>
        <v>C33</v>
      </c>
      <c r="C1903" t="str">
        <f>ADDRESS(ROW('Bond 1'!$D$33),COLUMN('Bond 1'!$D$33),4)</f>
        <v>D33</v>
      </c>
      <c r="D1903" t="b" cm="1">
        <f t="array" aca="1" ref="D1903" ca="1">IF(INDIRECT("'"&amp;A1903&amp;"'!"&amp;B1903)="",FALSE,IF(TRUNC(INDIRECT("'"&amp;A1903&amp;"'!"&amp;B1903))=INDIRECT("'"&amp;A1903&amp;"'!"&amp;B1903),FALSE,TRUE))</f>
        <v>0</v>
      </c>
      <c r="E1903" t="s">
        <v>436</v>
      </c>
      <c r="F1903" t="str">
        <f>INDEX(Lists!I:I,MATCH(Validation!E1903,Lists!G:G,0))</f>
        <v>Error</v>
      </c>
      <c r="G1903" t="str">
        <f>INDEX(Lists!H:H,MATCH(Validation!E1903,Lists!G:G,0))</f>
        <v>Amount must be rounded to the nearest dollar.</v>
      </c>
      <c r="H1903" s="25" t="str">
        <f t="shared" ca="1" si="222"/>
        <v/>
      </c>
      <c r="I1903" s="25" t="str">
        <f t="shared" ca="1" si="223"/>
        <v/>
      </c>
      <c r="J1903" s="26" t="str">
        <f t="shared" ca="1" si="224"/>
        <v/>
      </c>
    </row>
    <row r="1904" spans="1:10" x14ac:dyDescent="0.25">
      <c r="A1904" t="s">
        <v>311</v>
      </c>
      <c r="B1904" t="str">
        <f>ADDRESS(ROW('Bond 1'!$C$33),COLUMN('Bond 1'!$C$33),4)</f>
        <v>C33</v>
      </c>
      <c r="C1904" t="str">
        <f>ADDRESS(ROW('Bond 1'!$D$33),COLUMN('Bond 1'!$D$33),4)</f>
        <v>D33</v>
      </c>
      <c r="D1904" t="b" cm="1">
        <f t="array" aca="1" ref="D1904" ca="1">IF(INDIRECT("'"&amp;A1904&amp;"'!"&amp;B1904)="",FALSE,IF(TRUNC(INDIRECT("'"&amp;A1904&amp;"'!"&amp;B1904))=INDIRECT("'"&amp;A1904&amp;"'!"&amp;B1904),FALSE,TRUE))</f>
        <v>0</v>
      </c>
      <c r="E1904" t="s">
        <v>436</v>
      </c>
      <c r="F1904" t="str">
        <f>INDEX(Lists!I:I,MATCH(Validation!E1904,Lists!G:G,0))</f>
        <v>Error</v>
      </c>
      <c r="G1904" t="str">
        <f>INDEX(Lists!H:H,MATCH(Validation!E1904,Lists!G:G,0))</f>
        <v>Amount must be rounded to the nearest dollar.</v>
      </c>
      <c r="H1904" s="25" t="str">
        <f t="shared" ca="1" si="222"/>
        <v/>
      </c>
      <c r="I1904" s="25" t="str">
        <f t="shared" ca="1" si="223"/>
        <v/>
      </c>
      <c r="J1904" s="26" t="str">
        <f t="shared" ca="1" si="224"/>
        <v/>
      </c>
    </row>
    <row r="1905" spans="1:10" x14ac:dyDescent="0.25">
      <c r="A1905" t="s">
        <v>312</v>
      </c>
      <c r="B1905" t="str">
        <f>ADDRESS(ROW('Bond 1'!$C$33),COLUMN('Bond 1'!$C$33),4)</f>
        <v>C33</v>
      </c>
      <c r="C1905" t="str">
        <f>ADDRESS(ROW('Bond 1'!$D$33),COLUMN('Bond 1'!$D$33),4)</f>
        <v>D33</v>
      </c>
      <c r="D1905" t="b" cm="1">
        <f t="array" aca="1" ref="D1905" ca="1">IF(INDIRECT("'"&amp;A1905&amp;"'!"&amp;B1905)="",FALSE,IF(TRUNC(INDIRECT("'"&amp;A1905&amp;"'!"&amp;B1905))=INDIRECT("'"&amp;A1905&amp;"'!"&amp;B1905),FALSE,TRUE))</f>
        <v>0</v>
      </c>
      <c r="E1905" t="s">
        <v>436</v>
      </c>
      <c r="F1905" t="str">
        <f>INDEX(Lists!I:I,MATCH(Validation!E1905,Lists!G:G,0))</f>
        <v>Error</v>
      </c>
      <c r="G1905" t="str">
        <f>INDEX(Lists!H:H,MATCH(Validation!E1905,Lists!G:G,0))</f>
        <v>Amount must be rounded to the nearest dollar.</v>
      </c>
      <c r="H1905" s="25" t="str">
        <f t="shared" ca="1" si="222"/>
        <v/>
      </c>
      <c r="I1905" s="25" t="str">
        <f t="shared" ca="1" si="223"/>
        <v/>
      </c>
      <c r="J1905" s="26" t="str">
        <f t="shared" ca="1" si="224"/>
        <v/>
      </c>
    </row>
    <row r="1906" spans="1:10" x14ac:dyDescent="0.25">
      <c r="A1906" t="s">
        <v>313</v>
      </c>
      <c r="B1906" t="str">
        <f>ADDRESS(ROW('Bond 1'!$C$33),COLUMN('Bond 1'!$C$33),4)</f>
        <v>C33</v>
      </c>
      <c r="C1906" t="str">
        <f>ADDRESS(ROW('Bond 1'!$D$33),COLUMN('Bond 1'!$D$33),4)</f>
        <v>D33</v>
      </c>
      <c r="D1906" t="b" cm="1">
        <f t="array" aca="1" ref="D1906" ca="1">IF(INDIRECT("'"&amp;A1906&amp;"'!"&amp;B1906)="",FALSE,IF(TRUNC(INDIRECT("'"&amp;A1906&amp;"'!"&amp;B1906))=INDIRECT("'"&amp;A1906&amp;"'!"&amp;B1906),FALSE,TRUE))</f>
        <v>0</v>
      </c>
      <c r="E1906" t="s">
        <v>436</v>
      </c>
      <c r="F1906" t="str">
        <f>INDEX(Lists!I:I,MATCH(Validation!E1906,Lists!G:G,0))</f>
        <v>Error</v>
      </c>
      <c r="G1906" t="str">
        <f>INDEX(Lists!H:H,MATCH(Validation!E1906,Lists!G:G,0))</f>
        <v>Amount must be rounded to the nearest dollar.</v>
      </c>
      <c r="H1906" s="25" t="str">
        <f t="shared" ca="1" si="222"/>
        <v/>
      </c>
      <c r="I1906" s="25" t="str">
        <f t="shared" ca="1" si="223"/>
        <v/>
      </c>
      <c r="J1906" s="26" t="str">
        <f t="shared" ca="1" si="224"/>
        <v/>
      </c>
    </row>
    <row r="1907" spans="1:10" x14ac:dyDescent="0.25">
      <c r="A1907" t="s">
        <v>314</v>
      </c>
      <c r="B1907" t="str">
        <f>ADDRESS(ROW('Bond 1'!$C$33),COLUMN('Bond 1'!$C$33),4)</f>
        <v>C33</v>
      </c>
      <c r="C1907" t="str">
        <f>ADDRESS(ROW('Bond 1'!$D$33),COLUMN('Bond 1'!$D$33),4)</f>
        <v>D33</v>
      </c>
      <c r="D1907" t="b" cm="1">
        <f t="array" aca="1" ref="D1907" ca="1">IF(INDIRECT("'"&amp;A1907&amp;"'!"&amp;B1907)="",FALSE,IF(TRUNC(INDIRECT("'"&amp;A1907&amp;"'!"&amp;B1907))=INDIRECT("'"&amp;A1907&amp;"'!"&amp;B1907),FALSE,TRUE))</f>
        <v>0</v>
      </c>
      <c r="E1907" t="s">
        <v>436</v>
      </c>
      <c r="F1907" t="str">
        <f>INDEX(Lists!I:I,MATCH(Validation!E1907,Lists!G:G,0))</f>
        <v>Error</v>
      </c>
      <c r="G1907" t="str">
        <f>INDEX(Lists!H:H,MATCH(Validation!E1907,Lists!G:G,0))</f>
        <v>Amount must be rounded to the nearest dollar.</v>
      </c>
      <c r="H1907" s="25" t="str">
        <f t="shared" ca="1" si="222"/>
        <v/>
      </c>
      <c r="I1907" s="25" t="str">
        <f t="shared" ca="1" si="223"/>
        <v/>
      </c>
      <c r="J1907" s="26" t="str">
        <f t="shared" ca="1" si="224"/>
        <v/>
      </c>
    </row>
    <row r="1908" spans="1:10" x14ac:dyDescent="0.25">
      <c r="A1908" t="s">
        <v>315</v>
      </c>
      <c r="B1908" t="str">
        <f>ADDRESS(ROW('Bond 1'!$C$33),COLUMN('Bond 1'!$C$33),4)</f>
        <v>C33</v>
      </c>
      <c r="C1908" t="str">
        <f>ADDRESS(ROW('Bond 1'!$D$33),COLUMN('Bond 1'!$D$33),4)</f>
        <v>D33</v>
      </c>
      <c r="D1908" t="b" cm="1">
        <f t="array" aca="1" ref="D1908" ca="1">IF(INDIRECT("'"&amp;A1908&amp;"'!"&amp;B1908)="",FALSE,IF(TRUNC(INDIRECT("'"&amp;A1908&amp;"'!"&amp;B1908))=INDIRECT("'"&amp;A1908&amp;"'!"&amp;B1908),FALSE,TRUE))</f>
        <v>0</v>
      </c>
      <c r="E1908" t="s">
        <v>436</v>
      </c>
      <c r="F1908" t="str">
        <f>INDEX(Lists!I:I,MATCH(Validation!E1908,Lists!G:G,0))</f>
        <v>Error</v>
      </c>
      <c r="G1908" t="str">
        <f>INDEX(Lists!H:H,MATCH(Validation!E1908,Lists!G:G,0))</f>
        <v>Amount must be rounded to the nearest dollar.</v>
      </c>
      <c r="H1908" s="25" t="str">
        <f t="shared" ca="1" si="222"/>
        <v/>
      </c>
      <c r="I1908" s="25" t="str">
        <f t="shared" ca="1" si="223"/>
        <v/>
      </c>
      <c r="J1908" s="26" t="str">
        <f t="shared" ca="1" si="224"/>
        <v/>
      </c>
    </row>
    <row r="1909" spans="1:10" x14ac:dyDescent="0.25">
      <c r="A1909" t="s">
        <v>198</v>
      </c>
      <c r="B1909" t="str">
        <f>ADDRESS(ROW('Bond 1'!$B$34),COLUMN('Bond 1'!$B$34),4)</f>
        <v>B34</v>
      </c>
      <c r="C1909" t="str">
        <f>ADDRESS(ROW('Bond 1'!$D$31),COLUMN('Bond 1'!$D$31),4)</f>
        <v>D31</v>
      </c>
      <c r="D1909" t="b">
        <f>IFERROR(IF('Bond 1'!B$12="",FALSE,IF('Bond 1'!B$33+'Bond 1'!B$34='Bond 1'!B$31,FALSE,TRUE)),FALSE)</f>
        <v>0</v>
      </c>
      <c r="E1909" t="s">
        <v>1446</v>
      </c>
      <c r="F1909" t="str">
        <f>INDEX(Lists!I:I,MATCH(Validation!E1909,Lists!G:G,0))</f>
        <v>Error</v>
      </c>
      <c r="G1909" t="str">
        <f>INDEX(Lists!H:H,MATCH(Validation!E1909,Lists!G:G,0))</f>
        <v>The sum of Rows 33 and 34 must equal Row 31.</v>
      </c>
      <c r="H1909" s="16" t="str">
        <f t="shared" ca="1" si="222"/>
        <v/>
      </c>
      <c r="I1909" s="16" t="str">
        <f t="shared" ca="1" si="223"/>
        <v/>
      </c>
      <c r="J1909" s="17" t="str">
        <f t="shared" si="224"/>
        <v/>
      </c>
    </row>
    <row r="1910" spans="1:10" x14ac:dyDescent="0.25">
      <c r="A1910" t="s">
        <v>302</v>
      </c>
      <c r="B1910" t="str">
        <f>ADDRESS(ROW('Bond 1'!$B$34),COLUMN('Bond 1'!$B$34),4)</f>
        <v>B34</v>
      </c>
      <c r="C1910" t="str">
        <f>ADDRESS(ROW('Bond 1'!$D$31),COLUMN('Bond 1'!$D$31),4)</f>
        <v>D31</v>
      </c>
      <c r="D1910" t="b">
        <f>IFERROR(IF('Bond 2'!B$12="",FALSE,IF('Bond 2'!B$33+'Bond 2'!B$34='Bond 2'!B$31,FALSE,TRUE)),FALSE)</f>
        <v>0</v>
      </c>
      <c r="E1910" t="s">
        <v>1446</v>
      </c>
      <c r="F1910" t="str">
        <f>INDEX(Lists!I:I,MATCH(Validation!E1910,Lists!G:G,0))</f>
        <v>Error</v>
      </c>
      <c r="G1910" t="str">
        <f>INDEX(Lists!H:H,MATCH(Validation!E1910,Lists!G:G,0))</f>
        <v>The sum of Rows 33 and 34 must equal Row 31.</v>
      </c>
      <c r="H1910" s="16" t="str">
        <f t="shared" ca="1" si="222"/>
        <v/>
      </c>
      <c r="I1910" s="16" t="str">
        <f t="shared" ca="1" si="223"/>
        <v/>
      </c>
      <c r="J1910" s="17" t="str">
        <f t="shared" si="224"/>
        <v/>
      </c>
    </row>
    <row r="1911" spans="1:10" x14ac:dyDescent="0.25">
      <c r="A1911" t="s">
        <v>303</v>
      </c>
      <c r="B1911" t="str">
        <f>ADDRESS(ROW('Bond 1'!$B$34),COLUMN('Bond 1'!$B$34),4)</f>
        <v>B34</v>
      </c>
      <c r="C1911" t="str">
        <f>ADDRESS(ROW('Bond 1'!$D$31),COLUMN('Bond 1'!$D$31),4)</f>
        <v>D31</v>
      </c>
      <c r="D1911" t="b">
        <f>IFERROR(IF('Bond 3'!B$12="",FALSE,IF('Bond 3'!B$33+'Bond 3'!B$34='Bond 3'!B$31,FALSE,TRUE)),FALSE)</f>
        <v>0</v>
      </c>
      <c r="E1911" t="s">
        <v>1446</v>
      </c>
      <c r="F1911" t="str">
        <f>INDEX(Lists!I:I,MATCH(Validation!E1911,Lists!G:G,0))</f>
        <v>Error</v>
      </c>
      <c r="G1911" t="str">
        <f>INDEX(Lists!H:H,MATCH(Validation!E1911,Lists!G:G,0))</f>
        <v>The sum of Rows 33 and 34 must equal Row 31.</v>
      </c>
      <c r="H1911" s="16" t="str">
        <f t="shared" ca="1" si="222"/>
        <v/>
      </c>
      <c r="I1911" s="16" t="str">
        <f t="shared" ca="1" si="223"/>
        <v/>
      </c>
      <c r="J1911" s="17" t="str">
        <f t="shared" si="224"/>
        <v/>
      </c>
    </row>
    <row r="1912" spans="1:10" x14ac:dyDescent="0.25">
      <c r="A1912" t="s">
        <v>304</v>
      </c>
      <c r="B1912" t="str">
        <f>ADDRESS(ROW('Bond 1'!$B$34),COLUMN('Bond 1'!$B$34),4)</f>
        <v>B34</v>
      </c>
      <c r="C1912" t="str">
        <f>ADDRESS(ROW('Bond 1'!$D$31),COLUMN('Bond 1'!$D$31),4)</f>
        <v>D31</v>
      </c>
      <c r="D1912" t="b">
        <f>IFERROR(IF('Bond 4'!B$12="",FALSE,IF('Bond 4'!B$33+'Bond 4'!B$34='Bond 4'!B$31,FALSE,TRUE)),FALSE)</f>
        <v>0</v>
      </c>
      <c r="E1912" t="s">
        <v>1446</v>
      </c>
      <c r="F1912" t="str">
        <f>INDEX(Lists!I:I,MATCH(Validation!E1912,Lists!G:G,0))</f>
        <v>Error</v>
      </c>
      <c r="G1912" t="str">
        <f>INDEX(Lists!H:H,MATCH(Validation!E1912,Lists!G:G,0))</f>
        <v>The sum of Rows 33 and 34 must equal Row 31.</v>
      </c>
      <c r="H1912" s="16" t="str">
        <f t="shared" ca="1" si="222"/>
        <v/>
      </c>
      <c r="I1912" s="16" t="str">
        <f t="shared" ca="1" si="223"/>
        <v/>
      </c>
      <c r="J1912" s="17" t="str">
        <f t="shared" si="224"/>
        <v/>
      </c>
    </row>
    <row r="1913" spans="1:10" x14ac:dyDescent="0.25">
      <c r="A1913" t="s">
        <v>305</v>
      </c>
      <c r="B1913" t="str">
        <f>ADDRESS(ROW('Bond 1'!$B$34),COLUMN('Bond 1'!$B$34),4)</f>
        <v>B34</v>
      </c>
      <c r="C1913" t="str">
        <f>ADDRESS(ROW('Bond 1'!$D$31),COLUMN('Bond 1'!$D$31),4)</f>
        <v>D31</v>
      </c>
      <c r="D1913" t="b">
        <f>IFERROR(IF('Bond 5'!B$12="",FALSE,IF('Bond 5'!B$33+'Bond 5'!B$34='Bond 5'!B$31,FALSE,TRUE)),FALSE)</f>
        <v>0</v>
      </c>
      <c r="E1913" t="s">
        <v>1446</v>
      </c>
      <c r="F1913" t="str">
        <f>INDEX(Lists!I:I,MATCH(Validation!E1913,Lists!G:G,0))</f>
        <v>Error</v>
      </c>
      <c r="G1913" t="str">
        <f>INDEX(Lists!H:H,MATCH(Validation!E1913,Lists!G:G,0))</f>
        <v>The sum of Rows 33 and 34 must equal Row 31.</v>
      </c>
      <c r="H1913" s="16" t="str">
        <f t="shared" ca="1" si="222"/>
        <v/>
      </c>
      <c r="I1913" s="16" t="str">
        <f t="shared" ca="1" si="223"/>
        <v/>
      </c>
      <c r="J1913" s="17" t="str">
        <f t="shared" si="224"/>
        <v/>
      </c>
    </row>
    <row r="1914" spans="1:10" x14ac:dyDescent="0.25">
      <c r="A1914" t="s">
        <v>306</v>
      </c>
      <c r="B1914" t="str">
        <f>ADDRESS(ROW('Bond 1'!$B$34),COLUMN('Bond 1'!$B$34),4)</f>
        <v>B34</v>
      </c>
      <c r="C1914" t="str">
        <f>ADDRESS(ROW('Bond 1'!$D$31),COLUMN('Bond 1'!$D$31),4)</f>
        <v>D31</v>
      </c>
      <c r="D1914" t="b">
        <f>IFERROR(IF('Bond 6'!B$12="",FALSE,IF('Bond 6'!B$33+'Bond 6'!B$34='Bond 6'!B$31,FALSE,TRUE)),FALSE)</f>
        <v>0</v>
      </c>
      <c r="E1914" t="s">
        <v>1446</v>
      </c>
      <c r="F1914" t="str">
        <f>INDEX(Lists!I:I,MATCH(Validation!E1914,Lists!G:G,0))</f>
        <v>Error</v>
      </c>
      <c r="G1914" t="str">
        <f>INDEX(Lists!H:H,MATCH(Validation!E1914,Lists!G:G,0))</f>
        <v>The sum of Rows 33 and 34 must equal Row 31.</v>
      </c>
      <c r="H1914" s="16" t="str">
        <f t="shared" ca="1" si="222"/>
        <v/>
      </c>
      <c r="I1914" s="16" t="str">
        <f t="shared" ca="1" si="223"/>
        <v/>
      </c>
      <c r="J1914" s="17" t="str">
        <f t="shared" si="224"/>
        <v/>
      </c>
    </row>
    <row r="1915" spans="1:10" x14ac:dyDescent="0.25">
      <c r="A1915" t="s">
        <v>307</v>
      </c>
      <c r="B1915" t="str">
        <f>ADDRESS(ROW('Bond 1'!$B$34),COLUMN('Bond 1'!$B$34),4)</f>
        <v>B34</v>
      </c>
      <c r="C1915" t="str">
        <f>ADDRESS(ROW('Bond 1'!$D$31),COLUMN('Bond 1'!$D$31),4)</f>
        <v>D31</v>
      </c>
      <c r="D1915" t="b">
        <f>IFERROR(IF('Bond 7'!B$12="",FALSE,IF('Bond 7'!B$33+'Bond 7'!B$34='Bond 7'!B$31,FALSE,TRUE)),FALSE)</f>
        <v>0</v>
      </c>
      <c r="E1915" t="s">
        <v>1446</v>
      </c>
      <c r="F1915" t="str">
        <f>INDEX(Lists!I:I,MATCH(Validation!E1915,Lists!G:G,0))</f>
        <v>Error</v>
      </c>
      <c r="G1915" t="str">
        <f>INDEX(Lists!H:H,MATCH(Validation!E1915,Lists!G:G,0))</f>
        <v>The sum of Rows 33 and 34 must equal Row 31.</v>
      </c>
      <c r="H1915" s="16" t="str">
        <f t="shared" ca="1" si="222"/>
        <v/>
      </c>
      <c r="I1915" s="16" t="str">
        <f t="shared" ca="1" si="223"/>
        <v/>
      </c>
      <c r="J1915" s="17" t="str">
        <f t="shared" si="224"/>
        <v/>
      </c>
    </row>
    <row r="1916" spans="1:10" x14ac:dyDescent="0.25">
      <c r="A1916" t="s">
        <v>308</v>
      </c>
      <c r="B1916" t="str">
        <f>ADDRESS(ROW('Bond 1'!$B$34),COLUMN('Bond 1'!$B$34),4)</f>
        <v>B34</v>
      </c>
      <c r="C1916" t="str">
        <f>ADDRESS(ROW('Bond 1'!$D$31),COLUMN('Bond 1'!$D$31),4)</f>
        <v>D31</v>
      </c>
      <c r="D1916" t="b">
        <f>IFERROR(IF('Bond 8'!B$12="",FALSE,IF('Bond 8'!B$33+'Bond 8'!B$34='Bond 8'!B$31,FALSE,TRUE)),FALSE)</f>
        <v>0</v>
      </c>
      <c r="E1916" t="s">
        <v>1446</v>
      </c>
      <c r="F1916" t="str">
        <f>INDEX(Lists!I:I,MATCH(Validation!E1916,Lists!G:G,0))</f>
        <v>Error</v>
      </c>
      <c r="G1916" t="str">
        <f>INDEX(Lists!H:H,MATCH(Validation!E1916,Lists!G:G,0))</f>
        <v>The sum of Rows 33 and 34 must equal Row 31.</v>
      </c>
      <c r="H1916" s="16" t="str">
        <f t="shared" ca="1" si="222"/>
        <v/>
      </c>
      <c r="I1916" s="16" t="str">
        <f t="shared" ca="1" si="223"/>
        <v/>
      </c>
      <c r="J1916" s="17" t="str">
        <f t="shared" si="224"/>
        <v/>
      </c>
    </row>
    <row r="1917" spans="1:10" x14ac:dyDescent="0.25">
      <c r="A1917" t="s">
        <v>309</v>
      </c>
      <c r="B1917" t="str">
        <f>ADDRESS(ROW('Bond 1'!$B$34),COLUMN('Bond 1'!$B$34),4)</f>
        <v>B34</v>
      </c>
      <c r="C1917" t="str">
        <f>ADDRESS(ROW('Bond 1'!$D$31),COLUMN('Bond 1'!$D$31),4)</f>
        <v>D31</v>
      </c>
      <c r="D1917" t="b">
        <f>IFERROR(IF('Bond 9'!B$12="",FALSE,IF('Bond 9'!B$33+'Bond 9'!B$34='Bond 9'!B$31,FALSE,TRUE)),FALSE)</f>
        <v>0</v>
      </c>
      <c r="E1917" t="s">
        <v>1446</v>
      </c>
      <c r="F1917" t="str">
        <f>INDEX(Lists!I:I,MATCH(Validation!E1917,Lists!G:G,0))</f>
        <v>Error</v>
      </c>
      <c r="G1917" t="str">
        <f>INDEX(Lists!H:H,MATCH(Validation!E1917,Lists!G:G,0))</f>
        <v>The sum of Rows 33 and 34 must equal Row 31.</v>
      </c>
      <c r="H1917" s="16" t="str">
        <f t="shared" ca="1" si="222"/>
        <v/>
      </c>
      <c r="I1917" s="16" t="str">
        <f t="shared" ca="1" si="223"/>
        <v/>
      </c>
      <c r="J1917" s="17" t="str">
        <f t="shared" si="224"/>
        <v/>
      </c>
    </row>
    <row r="1918" spans="1:10" x14ac:dyDescent="0.25">
      <c r="A1918" t="s">
        <v>310</v>
      </c>
      <c r="B1918" t="str">
        <f>ADDRESS(ROW('Bond 1'!$B$34),COLUMN('Bond 1'!$B$34),4)</f>
        <v>B34</v>
      </c>
      <c r="C1918" t="str">
        <f>ADDRESS(ROW('Bond 1'!$D$31),COLUMN('Bond 1'!$D$31),4)</f>
        <v>D31</v>
      </c>
      <c r="D1918" t="b">
        <f>IFERROR(IF('Bond 10'!B$12="",FALSE,IF('Bond 10'!B$33+'Bond 10'!B$34='Bond 10'!B$31,FALSE,TRUE)),FALSE)</f>
        <v>0</v>
      </c>
      <c r="E1918" t="s">
        <v>1446</v>
      </c>
      <c r="F1918" t="str">
        <f>INDEX(Lists!I:I,MATCH(Validation!E1918,Lists!G:G,0))</f>
        <v>Error</v>
      </c>
      <c r="G1918" t="str">
        <f>INDEX(Lists!H:H,MATCH(Validation!E1918,Lists!G:G,0))</f>
        <v>The sum of Rows 33 and 34 must equal Row 31.</v>
      </c>
      <c r="H1918" s="16" t="str">
        <f t="shared" ca="1" si="222"/>
        <v/>
      </c>
      <c r="I1918" s="16" t="str">
        <f t="shared" ca="1" si="223"/>
        <v/>
      </c>
      <c r="J1918" s="17" t="str">
        <f t="shared" si="224"/>
        <v/>
      </c>
    </row>
    <row r="1919" spans="1:10" x14ac:dyDescent="0.25">
      <c r="A1919" t="s">
        <v>311</v>
      </c>
      <c r="B1919" t="str">
        <f>ADDRESS(ROW('Bond 1'!$B$34),COLUMN('Bond 1'!$B$34),4)</f>
        <v>B34</v>
      </c>
      <c r="C1919" t="str">
        <f>ADDRESS(ROW('Bond 1'!$D$31),COLUMN('Bond 1'!$D$31),4)</f>
        <v>D31</v>
      </c>
      <c r="D1919" t="b">
        <f>IFERROR(IF('Bond 11'!B$12="",FALSE,IF('Bond 11'!B$33+'Bond 11'!B$34='Bond 11'!B$31,FALSE,TRUE)),FALSE)</f>
        <v>0</v>
      </c>
      <c r="E1919" t="s">
        <v>1446</v>
      </c>
      <c r="F1919" t="str">
        <f>INDEX(Lists!I:I,MATCH(Validation!E1919,Lists!G:G,0))</f>
        <v>Error</v>
      </c>
      <c r="G1919" t="str">
        <f>INDEX(Lists!H:H,MATCH(Validation!E1919,Lists!G:G,0))</f>
        <v>The sum of Rows 33 and 34 must equal Row 31.</v>
      </c>
      <c r="H1919" s="16" t="str">
        <f t="shared" ca="1" si="222"/>
        <v/>
      </c>
      <c r="I1919" s="16" t="str">
        <f t="shared" ca="1" si="223"/>
        <v/>
      </c>
      <c r="J1919" s="17" t="str">
        <f t="shared" si="224"/>
        <v/>
      </c>
    </row>
    <row r="1920" spans="1:10" x14ac:dyDescent="0.25">
      <c r="A1920" t="s">
        <v>312</v>
      </c>
      <c r="B1920" t="str">
        <f>ADDRESS(ROW('Bond 1'!$B$34),COLUMN('Bond 1'!$B$34),4)</f>
        <v>B34</v>
      </c>
      <c r="C1920" t="str">
        <f>ADDRESS(ROW('Bond 1'!$D$31),COLUMN('Bond 1'!$D$31),4)</f>
        <v>D31</v>
      </c>
      <c r="D1920" t="b">
        <f>IFERROR(IF('Bond 12'!B$12="",FALSE,IF('Bond 12'!B$33+'Bond 12'!B$34='Bond 12'!B$31,FALSE,TRUE)),FALSE)</f>
        <v>0</v>
      </c>
      <c r="E1920" t="s">
        <v>1446</v>
      </c>
      <c r="F1920" t="str">
        <f>INDEX(Lists!I:I,MATCH(Validation!E1920,Lists!G:G,0))</f>
        <v>Error</v>
      </c>
      <c r="G1920" t="str">
        <f>INDEX(Lists!H:H,MATCH(Validation!E1920,Lists!G:G,0))</f>
        <v>The sum of Rows 33 and 34 must equal Row 31.</v>
      </c>
      <c r="H1920" s="16" t="str">
        <f t="shared" ca="1" si="222"/>
        <v/>
      </c>
      <c r="I1920" s="16" t="str">
        <f t="shared" ca="1" si="223"/>
        <v/>
      </c>
      <c r="J1920" s="17" t="str">
        <f t="shared" si="224"/>
        <v/>
      </c>
    </row>
    <row r="1921" spans="1:10" x14ac:dyDescent="0.25">
      <c r="A1921" t="s">
        <v>313</v>
      </c>
      <c r="B1921" t="str">
        <f>ADDRESS(ROW('Bond 1'!$B$34),COLUMN('Bond 1'!$B$34),4)</f>
        <v>B34</v>
      </c>
      <c r="C1921" t="str">
        <f>ADDRESS(ROW('Bond 1'!$D$31),COLUMN('Bond 1'!$D$31),4)</f>
        <v>D31</v>
      </c>
      <c r="D1921" t="b">
        <f>IFERROR(IF('Bond 13'!B$12="",FALSE,IF('Bond 13'!B$33+'Bond 13'!B$34='Bond 13'!B$31,FALSE,TRUE)),FALSE)</f>
        <v>0</v>
      </c>
      <c r="E1921" t="s">
        <v>1446</v>
      </c>
      <c r="F1921" t="str">
        <f>INDEX(Lists!I:I,MATCH(Validation!E1921,Lists!G:G,0))</f>
        <v>Error</v>
      </c>
      <c r="G1921" t="str">
        <f>INDEX(Lists!H:H,MATCH(Validation!E1921,Lists!G:G,0))</f>
        <v>The sum of Rows 33 and 34 must equal Row 31.</v>
      </c>
      <c r="H1921" s="16" t="str">
        <f t="shared" ca="1" si="222"/>
        <v/>
      </c>
      <c r="I1921" s="16" t="str">
        <f t="shared" ca="1" si="223"/>
        <v/>
      </c>
      <c r="J1921" s="17" t="str">
        <f t="shared" si="224"/>
        <v/>
      </c>
    </row>
    <row r="1922" spans="1:10" x14ac:dyDescent="0.25">
      <c r="A1922" t="s">
        <v>314</v>
      </c>
      <c r="B1922" t="str">
        <f>ADDRESS(ROW('Bond 1'!$B$34),COLUMN('Bond 1'!$B$34),4)</f>
        <v>B34</v>
      </c>
      <c r="C1922" t="str">
        <f>ADDRESS(ROW('Bond 1'!$D$31),COLUMN('Bond 1'!$D$31),4)</f>
        <v>D31</v>
      </c>
      <c r="D1922" t="b">
        <f>IFERROR(IF('Bond 14'!B$12="",FALSE,IF('Bond 14'!B$33+'Bond 14'!B$34='Bond 14'!B$31,FALSE,TRUE)),FALSE)</f>
        <v>0</v>
      </c>
      <c r="E1922" t="s">
        <v>1446</v>
      </c>
      <c r="F1922" t="str">
        <f>INDEX(Lists!I:I,MATCH(Validation!E1922,Lists!G:G,0))</f>
        <v>Error</v>
      </c>
      <c r="G1922" t="str">
        <f>INDEX(Lists!H:H,MATCH(Validation!E1922,Lists!G:G,0))</f>
        <v>The sum of Rows 33 and 34 must equal Row 31.</v>
      </c>
      <c r="H1922" s="16" t="str">
        <f t="shared" ca="1" si="222"/>
        <v/>
      </c>
      <c r="I1922" s="16" t="str">
        <f t="shared" ca="1" si="223"/>
        <v/>
      </c>
      <c r="J1922" s="17" t="str">
        <f t="shared" si="224"/>
        <v/>
      </c>
    </row>
    <row r="1923" spans="1:10" x14ac:dyDescent="0.25">
      <c r="A1923" t="s">
        <v>315</v>
      </c>
      <c r="B1923" t="str">
        <f>ADDRESS(ROW('Bond 1'!$B$34),COLUMN('Bond 1'!$B$34),4)</f>
        <v>B34</v>
      </c>
      <c r="C1923" t="str">
        <f>ADDRESS(ROW('Bond 1'!$D$31),COLUMN('Bond 1'!$D$31),4)</f>
        <v>D31</v>
      </c>
      <c r="D1923" t="b">
        <f>IFERROR(IF('Bond 15'!B$12="",FALSE,IF('Bond 15'!B$33+'Bond 15'!B$34='Bond 15'!B$31,FALSE,TRUE)),FALSE)</f>
        <v>0</v>
      </c>
      <c r="E1923" t="s">
        <v>1446</v>
      </c>
      <c r="F1923" t="str">
        <f>INDEX(Lists!I:I,MATCH(Validation!E1923,Lists!G:G,0))</f>
        <v>Error</v>
      </c>
      <c r="G1923" t="str">
        <f>INDEX(Lists!H:H,MATCH(Validation!E1923,Lists!G:G,0))</f>
        <v>The sum of Rows 33 and 34 must equal Row 31.</v>
      </c>
      <c r="H1923" s="16" t="str">
        <f t="shared" ca="1" si="222"/>
        <v/>
      </c>
      <c r="I1923" s="16" t="str">
        <f t="shared" ca="1" si="223"/>
        <v/>
      </c>
      <c r="J1923" s="17" t="str">
        <f t="shared" si="224"/>
        <v/>
      </c>
    </row>
    <row r="1924" spans="1:10" x14ac:dyDescent="0.25">
      <c r="A1924" t="s">
        <v>198</v>
      </c>
      <c r="B1924" t="str">
        <f>ADDRESS(ROW('Bond 1'!$C$34),COLUMN('Bond 1'!$C$34),4)</f>
        <v>C34</v>
      </c>
      <c r="C1924" t="str">
        <f>ADDRESS(ROW('Bond 1'!$D$31),COLUMN('Bond 1'!$D$31),4)</f>
        <v>D31</v>
      </c>
      <c r="D1924" t="b">
        <f>IF('Bond 1'!B$12="",FALSE,IF('Bond 1'!C$33+'Bond 1'!C$34='Bond 1'!C$31,FALSE,TRUE))</f>
        <v>0</v>
      </c>
      <c r="E1924" t="s">
        <v>1446</v>
      </c>
      <c r="F1924" t="str">
        <f>INDEX(Lists!I:I,MATCH(Validation!E1924,Lists!G:G,0))</f>
        <v>Error</v>
      </c>
      <c r="G1924" t="str">
        <f>INDEX(Lists!H:H,MATCH(Validation!E1924,Lists!G:G,0))</f>
        <v>The sum of Rows 33 and 34 must equal Row 31.</v>
      </c>
      <c r="H1924" s="16" t="str">
        <f t="shared" ca="1" si="222"/>
        <v/>
      </c>
      <c r="I1924" s="16" t="str">
        <f t="shared" ca="1" si="223"/>
        <v/>
      </c>
      <c r="J1924" s="17" t="str">
        <f t="shared" si="224"/>
        <v/>
      </c>
    </row>
    <row r="1925" spans="1:10" x14ac:dyDescent="0.25">
      <c r="A1925" t="s">
        <v>302</v>
      </c>
      <c r="B1925" t="str">
        <f>ADDRESS(ROW('Bond 1'!$C$34),COLUMN('Bond 1'!$C$34),4)</f>
        <v>C34</v>
      </c>
      <c r="C1925" t="str">
        <f>ADDRESS(ROW('Bond 1'!$D$31),COLUMN('Bond 1'!$D$31),4)</f>
        <v>D31</v>
      </c>
      <c r="D1925" t="b">
        <f>IF('Bond 2'!B$12="",FALSE,IF('Bond 2'!C$33+'Bond 2'!C$34='Bond 2'!C$31,FALSE,TRUE))</f>
        <v>0</v>
      </c>
      <c r="E1925" t="s">
        <v>1446</v>
      </c>
      <c r="F1925" t="str">
        <f>INDEX(Lists!I:I,MATCH(Validation!E1925,Lists!G:G,0))</f>
        <v>Error</v>
      </c>
      <c r="G1925" t="str">
        <f>INDEX(Lists!H:H,MATCH(Validation!E1925,Lists!G:G,0))</f>
        <v>The sum of Rows 33 and 34 must equal Row 31.</v>
      </c>
      <c r="H1925" s="16" t="str">
        <f t="shared" ca="1" si="222"/>
        <v/>
      </c>
      <c r="I1925" s="16" t="str">
        <f t="shared" ca="1" si="223"/>
        <v/>
      </c>
      <c r="J1925" s="17" t="str">
        <f t="shared" si="224"/>
        <v/>
      </c>
    </row>
    <row r="1926" spans="1:10" x14ac:dyDescent="0.25">
      <c r="A1926" t="s">
        <v>303</v>
      </c>
      <c r="B1926" t="str">
        <f>ADDRESS(ROW('Bond 1'!$C$34),COLUMN('Bond 1'!$C$34),4)</f>
        <v>C34</v>
      </c>
      <c r="C1926" t="str">
        <f>ADDRESS(ROW('Bond 1'!$D$31),COLUMN('Bond 1'!$D$31),4)</f>
        <v>D31</v>
      </c>
      <c r="D1926" t="b">
        <f>IF('Bond 3'!B$12="",FALSE,IF('Bond 3'!C$33+'Bond 3'!C$34='Bond 3'!C$31,FALSE,TRUE))</f>
        <v>0</v>
      </c>
      <c r="E1926" t="s">
        <v>1446</v>
      </c>
      <c r="F1926" t="str">
        <f>INDEX(Lists!I:I,MATCH(Validation!E1926,Lists!G:G,0))</f>
        <v>Error</v>
      </c>
      <c r="G1926" t="str">
        <f>INDEX(Lists!H:H,MATCH(Validation!E1926,Lists!G:G,0))</f>
        <v>The sum of Rows 33 and 34 must equal Row 31.</v>
      </c>
      <c r="H1926" s="16" t="str">
        <f t="shared" ca="1" si="222"/>
        <v/>
      </c>
      <c r="I1926" s="16" t="str">
        <f t="shared" ca="1" si="223"/>
        <v/>
      </c>
      <c r="J1926" s="17" t="str">
        <f t="shared" si="224"/>
        <v/>
      </c>
    </row>
    <row r="1927" spans="1:10" x14ac:dyDescent="0.25">
      <c r="A1927" t="s">
        <v>304</v>
      </c>
      <c r="B1927" t="str">
        <f>ADDRESS(ROW('Bond 1'!$C$34),COLUMN('Bond 1'!$C$34),4)</f>
        <v>C34</v>
      </c>
      <c r="C1927" t="str">
        <f>ADDRESS(ROW('Bond 1'!$D$31),COLUMN('Bond 1'!$D$31),4)</f>
        <v>D31</v>
      </c>
      <c r="D1927" t="b">
        <f>IF('Bond 4'!B$12="",FALSE,IF('Bond 4'!C$33+'Bond 4'!C$34='Bond 4'!C$31,FALSE,TRUE))</f>
        <v>0</v>
      </c>
      <c r="E1927" t="s">
        <v>1446</v>
      </c>
      <c r="F1927" t="str">
        <f>INDEX(Lists!I:I,MATCH(Validation!E1927,Lists!G:G,0))</f>
        <v>Error</v>
      </c>
      <c r="G1927" t="str">
        <f>INDEX(Lists!H:H,MATCH(Validation!E1927,Lists!G:G,0))</f>
        <v>The sum of Rows 33 and 34 must equal Row 31.</v>
      </c>
      <c r="H1927" s="16" t="str">
        <f t="shared" ca="1" si="222"/>
        <v/>
      </c>
      <c r="I1927" s="16" t="str">
        <f t="shared" ca="1" si="223"/>
        <v/>
      </c>
      <c r="J1927" s="17" t="str">
        <f t="shared" si="224"/>
        <v/>
      </c>
    </row>
    <row r="1928" spans="1:10" x14ac:dyDescent="0.25">
      <c r="A1928" t="s">
        <v>305</v>
      </c>
      <c r="B1928" t="str">
        <f>ADDRESS(ROW('Bond 1'!$C$34),COLUMN('Bond 1'!$C$34),4)</f>
        <v>C34</v>
      </c>
      <c r="C1928" t="str">
        <f>ADDRESS(ROW('Bond 1'!$D$31),COLUMN('Bond 1'!$D$31),4)</f>
        <v>D31</v>
      </c>
      <c r="D1928" t="b">
        <f>IF('Bond 5'!B$12="",FALSE,IF('Bond 5'!C$33+'Bond 5'!C$34='Bond 5'!C$31,FALSE,TRUE))</f>
        <v>0</v>
      </c>
      <c r="E1928" t="s">
        <v>1446</v>
      </c>
      <c r="F1928" t="str">
        <f>INDEX(Lists!I:I,MATCH(Validation!E1928,Lists!G:G,0))</f>
        <v>Error</v>
      </c>
      <c r="G1928" t="str">
        <f>INDEX(Lists!H:H,MATCH(Validation!E1928,Lists!G:G,0))</f>
        <v>The sum of Rows 33 and 34 must equal Row 31.</v>
      </c>
      <c r="H1928" s="16" t="str">
        <f t="shared" ca="1" si="222"/>
        <v/>
      </c>
      <c r="I1928" s="16" t="str">
        <f t="shared" ca="1" si="223"/>
        <v/>
      </c>
      <c r="J1928" s="17" t="str">
        <f t="shared" si="224"/>
        <v/>
      </c>
    </row>
    <row r="1929" spans="1:10" x14ac:dyDescent="0.25">
      <c r="A1929" t="s">
        <v>306</v>
      </c>
      <c r="B1929" t="str">
        <f>ADDRESS(ROW('Bond 1'!$C$34),COLUMN('Bond 1'!$C$34),4)</f>
        <v>C34</v>
      </c>
      <c r="C1929" t="str">
        <f>ADDRESS(ROW('Bond 1'!$D$31),COLUMN('Bond 1'!$D$31),4)</f>
        <v>D31</v>
      </c>
      <c r="D1929" t="b">
        <f>IF('Bond 6'!B$12="",FALSE,IF('Bond 6'!C$33+'Bond 6'!C$34='Bond 6'!C$31,FALSE,TRUE))</f>
        <v>0</v>
      </c>
      <c r="E1929" t="s">
        <v>1446</v>
      </c>
      <c r="F1929" t="str">
        <f>INDEX(Lists!I:I,MATCH(Validation!E1929,Lists!G:G,0))</f>
        <v>Error</v>
      </c>
      <c r="G1929" t="str">
        <f>INDEX(Lists!H:H,MATCH(Validation!E1929,Lists!G:G,0))</f>
        <v>The sum of Rows 33 and 34 must equal Row 31.</v>
      </c>
      <c r="H1929" s="16" t="str">
        <f t="shared" ca="1" si="222"/>
        <v/>
      </c>
      <c r="I1929" s="16" t="str">
        <f t="shared" ca="1" si="223"/>
        <v/>
      </c>
      <c r="J1929" s="17" t="str">
        <f t="shared" si="224"/>
        <v/>
      </c>
    </row>
    <row r="1930" spans="1:10" x14ac:dyDescent="0.25">
      <c r="A1930" t="s">
        <v>307</v>
      </c>
      <c r="B1930" t="str">
        <f>ADDRESS(ROW('Bond 1'!$C$34),COLUMN('Bond 1'!$C$34),4)</f>
        <v>C34</v>
      </c>
      <c r="C1930" t="str">
        <f>ADDRESS(ROW('Bond 1'!$D$31),COLUMN('Bond 1'!$D$31),4)</f>
        <v>D31</v>
      </c>
      <c r="D1930" t="b">
        <f>IF('Bond 7'!B$12="",FALSE,IF('Bond 7'!C$33+'Bond 7'!C$34='Bond 7'!C$31,FALSE,TRUE))</f>
        <v>0</v>
      </c>
      <c r="E1930" t="s">
        <v>1446</v>
      </c>
      <c r="F1930" t="str">
        <f>INDEX(Lists!I:I,MATCH(Validation!E1930,Lists!G:G,0))</f>
        <v>Error</v>
      </c>
      <c r="G1930" t="str">
        <f>INDEX(Lists!H:H,MATCH(Validation!E1930,Lists!G:G,0))</f>
        <v>The sum of Rows 33 and 34 must equal Row 31.</v>
      </c>
      <c r="H1930" s="16" t="str">
        <f t="shared" ca="1" si="222"/>
        <v/>
      </c>
      <c r="I1930" s="16" t="str">
        <f t="shared" ca="1" si="223"/>
        <v/>
      </c>
      <c r="J1930" s="17" t="str">
        <f t="shared" si="224"/>
        <v/>
      </c>
    </row>
    <row r="1931" spans="1:10" x14ac:dyDescent="0.25">
      <c r="A1931" t="s">
        <v>308</v>
      </c>
      <c r="B1931" t="str">
        <f>ADDRESS(ROW('Bond 1'!$C$34),COLUMN('Bond 1'!$C$34),4)</f>
        <v>C34</v>
      </c>
      <c r="C1931" t="str">
        <f>ADDRESS(ROW('Bond 1'!$D$31),COLUMN('Bond 1'!$D$31),4)</f>
        <v>D31</v>
      </c>
      <c r="D1931" t="b">
        <f>IF('Bond 8'!B$12="",FALSE,IF('Bond 8'!C$33+'Bond 8'!C$34='Bond 8'!C$31,FALSE,TRUE))</f>
        <v>0</v>
      </c>
      <c r="E1931" t="s">
        <v>1446</v>
      </c>
      <c r="F1931" t="str">
        <f>INDEX(Lists!I:I,MATCH(Validation!E1931,Lists!G:G,0))</f>
        <v>Error</v>
      </c>
      <c r="G1931" t="str">
        <f>INDEX(Lists!H:H,MATCH(Validation!E1931,Lists!G:G,0))</f>
        <v>The sum of Rows 33 and 34 must equal Row 31.</v>
      </c>
      <c r="H1931" s="16" t="str">
        <f t="shared" ca="1" si="222"/>
        <v/>
      </c>
      <c r="I1931" s="16" t="str">
        <f t="shared" ca="1" si="223"/>
        <v/>
      </c>
      <c r="J1931" s="17" t="str">
        <f t="shared" si="224"/>
        <v/>
      </c>
    </row>
    <row r="1932" spans="1:10" x14ac:dyDescent="0.25">
      <c r="A1932" t="s">
        <v>309</v>
      </c>
      <c r="B1932" t="str">
        <f>ADDRESS(ROW('Bond 1'!$C$34),COLUMN('Bond 1'!$C$34),4)</f>
        <v>C34</v>
      </c>
      <c r="C1932" t="str">
        <f>ADDRESS(ROW('Bond 1'!$D$31),COLUMN('Bond 1'!$D$31),4)</f>
        <v>D31</v>
      </c>
      <c r="D1932" t="b">
        <f>IF('Bond 9'!B$12="",FALSE,IF('Bond 9'!C$33+'Bond 9'!C$34='Bond 9'!C$31,FALSE,TRUE))</f>
        <v>0</v>
      </c>
      <c r="E1932" t="s">
        <v>1446</v>
      </c>
      <c r="F1932" t="str">
        <f>INDEX(Lists!I:I,MATCH(Validation!E1932,Lists!G:G,0))</f>
        <v>Error</v>
      </c>
      <c r="G1932" t="str">
        <f>INDEX(Lists!H:H,MATCH(Validation!E1932,Lists!G:G,0))</f>
        <v>The sum of Rows 33 and 34 must equal Row 31.</v>
      </c>
      <c r="H1932" s="16" t="str">
        <f t="shared" ca="1" si="222"/>
        <v/>
      </c>
      <c r="I1932" s="16" t="str">
        <f t="shared" ca="1" si="223"/>
        <v/>
      </c>
      <c r="J1932" s="17" t="str">
        <f t="shared" si="224"/>
        <v/>
      </c>
    </row>
    <row r="1933" spans="1:10" x14ac:dyDescent="0.25">
      <c r="A1933" t="s">
        <v>310</v>
      </c>
      <c r="B1933" t="str">
        <f>ADDRESS(ROW('Bond 1'!$C$34),COLUMN('Bond 1'!$C$34),4)</f>
        <v>C34</v>
      </c>
      <c r="C1933" t="str">
        <f>ADDRESS(ROW('Bond 1'!$D$31),COLUMN('Bond 1'!$D$31),4)</f>
        <v>D31</v>
      </c>
      <c r="D1933" t="b">
        <f>IF('Bond 10'!B$12="",FALSE,IF('Bond 10'!C$33+'Bond 10'!C$34='Bond 10'!C$31,FALSE,TRUE))</f>
        <v>0</v>
      </c>
      <c r="E1933" t="s">
        <v>1446</v>
      </c>
      <c r="F1933" t="str">
        <f>INDEX(Lists!I:I,MATCH(Validation!E1933,Lists!G:G,0))</f>
        <v>Error</v>
      </c>
      <c r="G1933" t="str">
        <f>INDEX(Lists!H:H,MATCH(Validation!E1933,Lists!G:G,0))</f>
        <v>The sum of Rows 33 and 34 must equal Row 31.</v>
      </c>
      <c r="H1933" s="16" t="str">
        <f t="shared" ca="1" si="222"/>
        <v/>
      </c>
      <c r="I1933" s="16" t="str">
        <f t="shared" ca="1" si="223"/>
        <v/>
      </c>
      <c r="J1933" s="17" t="str">
        <f t="shared" si="224"/>
        <v/>
      </c>
    </row>
    <row r="1934" spans="1:10" x14ac:dyDescent="0.25">
      <c r="A1934" t="s">
        <v>311</v>
      </c>
      <c r="B1934" t="str">
        <f>ADDRESS(ROW('Bond 1'!$C$34),COLUMN('Bond 1'!$C$34),4)</f>
        <v>C34</v>
      </c>
      <c r="C1934" t="str">
        <f>ADDRESS(ROW('Bond 1'!$D$31),COLUMN('Bond 1'!$D$31),4)</f>
        <v>D31</v>
      </c>
      <c r="D1934" t="b">
        <f>IF('Bond 11'!B$12="",FALSE,IF('Bond 11'!C$33+'Bond 11'!C$34='Bond 11'!C$31,FALSE,TRUE))</f>
        <v>0</v>
      </c>
      <c r="E1934" t="s">
        <v>1446</v>
      </c>
      <c r="F1934" t="str">
        <f>INDEX(Lists!I:I,MATCH(Validation!E1934,Lists!G:G,0))</f>
        <v>Error</v>
      </c>
      <c r="G1934" t="str">
        <f>INDEX(Lists!H:H,MATCH(Validation!E1934,Lists!G:G,0))</f>
        <v>The sum of Rows 33 and 34 must equal Row 31.</v>
      </c>
      <c r="H1934" s="16" t="str">
        <f t="shared" ca="1" si="222"/>
        <v/>
      </c>
      <c r="I1934" s="16" t="str">
        <f t="shared" ca="1" si="223"/>
        <v/>
      </c>
      <c r="J1934" s="17" t="str">
        <f t="shared" si="224"/>
        <v/>
      </c>
    </row>
    <row r="1935" spans="1:10" x14ac:dyDescent="0.25">
      <c r="A1935" t="s">
        <v>312</v>
      </c>
      <c r="B1935" t="str">
        <f>ADDRESS(ROW('Bond 1'!$C$34),COLUMN('Bond 1'!$C$34),4)</f>
        <v>C34</v>
      </c>
      <c r="C1935" t="str">
        <f>ADDRESS(ROW('Bond 1'!$D$31),COLUMN('Bond 1'!$D$31),4)</f>
        <v>D31</v>
      </c>
      <c r="D1935" t="b">
        <f>IF('Bond 12'!B$12="",FALSE,IF('Bond 12'!C$33+'Bond 12'!C$34='Bond 12'!C$31,FALSE,TRUE))</f>
        <v>0</v>
      </c>
      <c r="E1935" t="s">
        <v>1446</v>
      </c>
      <c r="F1935" t="str">
        <f>INDEX(Lists!I:I,MATCH(Validation!E1935,Lists!G:G,0))</f>
        <v>Error</v>
      </c>
      <c r="G1935" t="str">
        <f>INDEX(Lists!H:H,MATCH(Validation!E1935,Lists!G:G,0))</f>
        <v>The sum of Rows 33 and 34 must equal Row 31.</v>
      </c>
      <c r="H1935" s="16" t="str">
        <f t="shared" ca="1" si="222"/>
        <v/>
      </c>
      <c r="I1935" s="16" t="str">
        <f t="shared" ca="1" si="223"/>
        <v/>
      </c>
      <c r="J1935" s="17" t="str">
        <f t="shared" si="224"/>
        <v/>
      </c>
    </row>
    <row r="1936" spans="1:10" x14ac:dyDescent="0.25">
      <c r="A1936" t="s">
        <v>313</v>
      </c>
      <c r="B1936" t="str">
        <f>ADDRESS(ROW('Bond 1'!$C$34),COLUMN('Bond 1'!$C$34),4)</f>
        <v>C34</v>
      </c>
      <c r="C1936" t="str">
        <f>ADDRESS(ROW('Bond 1'!$D$31),COLUMN('Bond 1'!$D$31),4)</f>
        <v>D31</v>
      </c>
      <c r="D1936" t="b">
        <f>IF('Bond 13'!B$12="",FALSE,IF('Bond 13'!C$33+'Bond 13'!C$34='Bond 13'!C$31,FALSE,TRUE))</f>
        <v>0</v>
      </c>
      <c r="E1936" t="s">
        <v>1446</v>
      </c>
      <c r="F1936" t="str">
        <f>INDEX(Lists!I:I,MATCH(Validation!E1936,Lists!G:G,0))</f>
        <v>Error</v>
      </c>
      <c r="G1936" t="str">
        <f>INDEX(Lists!H:H,MATCH(Validation!E1936,Lists!G:G,0))</f>
        <v>The sum of Rows 33 and 34 must equal Row 31.</v>
      </c>
      <c r="H1936" s="16" t="str">
        <f t="shared" ca="1" si="222"/>
        <v/>
      </c>
      <c r="I1936" s="16" t="str">
        <f t="shared" ca="1" si="223"/>
        <v/>
      </c>
      <c r="J1936" s="17" t="str">
        <f t="shared" si="224"/>
        <v/>
      </c>
    </row>
    <row r="1937" spans="1:10" x14ac:dyDescent="0.25">
      <c r="A1937" t="s">
        <v>314</v>
      </c>
      <c r="B1937" t="str">
        <f>ADDRESS(ROW('Bond 1'!$C$34),COLUMN('Bond 1'!$C$34),4)</f>
        <v>C34</v>
      </c>
      <c r="C1937" t="str">
        <f>ADDRESS(ROW('Bond 1'!$D$31),COLUMN('Bond 1'!$D$31),4)</f>
        <v>D31</v>
      </c>
      <c r="D1937" t="b">
        <f>IF('Bond 14'!B$12="",FALSE,IF('Bond 14'!C$33+'Bond 14'!C$34='Bond 14'!C$31,FALSE,TRUE))</f>
        <v>0</v>
      </c>
      <c r="E1937" t="s">
        <v>1446</v>
      </c>
      <c r="F1937" t="str">
        <f>INDEX(Lists!I:I,MATCH(Validation!E1937,Lists!G:G,0))</f>
        <v>Error</v>
      </c>
      <c r="G1937" t="str">
        <f>INDEX(Lists!H:H,MATCH(Validation!E1937,Lists!G:G,0))</f>
        <v>The sum of Rows 33 and 34 must equal Row 31.</v>
      </c>
      <c r="H1937" s="16" t="str">
        <f t="shared" ca="1" si="222"/>
        <v/>
      </c>
      <c r="I1937" s="16" t="str">
        <f t="shared" ca="1" si="223"/>
        <v/>
      </c>
      <c r="J1937" s="17" t="str">
        <f t="shared" si="224"/>
        <v/>
      </c>
    </row>
    <row r="1938" spans="1:10" x14ac:dyDescent="0.25">
      <c r="A1938" t="s">
        <v>315</v>
      </c>
      <c r="B1938" t="str">
        <f>ADDRESS(ROW('Bond 1'!$C$34),COLUMN('Bond 1'!$C$34),4)</f>
        <v>C34</v>
      </c>
      <c r="C1938" t="str">
        <f>ADDRESS(ROW('Bond 1'!$D$31),COLUMN('Bond 1'!$D$31),4)</f>
        <v>D31</v>
      </c>
      <c r="D1938" t="b">
        <f>IF('Bond 15'!B$12="",FALSE,IF('Bond 15'!C$33+'Bond 15'!C$34='Bond 15'!C$31,FALSE,TRUE))</f>
        <v>0</v>
      </c>
      <c r="E1938" t="s">
        <v>1446</v>
      </c>
      <c r="F1938" t="str">
        <f>INDEX(Lists!I:I,MATCH(Validation!E1938,Lists!G:G,0))</f>
        <v>Error</v>
      </c>
      <c r="G1938" t="str">
        <f>INDEX(Lists!H:H,MATCH(Validation!E1938,Lists!G:G,0))</f>
        <v>The sum of Rows 33 and 34 must equal Row 31.</v>
      </c>
      <c r="H1938" s="16" t="str">
        <f t="shared" ca="1" si="222"/>
        <v/>
      </c>
      <c r="I1938" s="16" t="str">
        <f t="shared" ca="1" si="223"/>
        <v/>
      </c>
      <c r="J1938" s="17" t="str">
        <f t="shared" si="224"/>
        <v/>
      </c>
    </row>
    <row r="1939" spans="1:10" x14ac:dyDescent="0.25">
      <c r="A1939" t="s">
        <v>198</v>
      </c>
      <c r="B1939" t="str">
        <f>ADDRESS(ROW('Bond 1'!$B$34),COLUMN('Bond 1'!$B$34),4)</f>
        <v>B34</v>
      </c>
      <c r="C1939" t="str">
        <f>ADDRESS(ROW('Bond 1'!$D$34),COLUMN('Bond 1'!$D$34),4)</f>
        <v>D34</v>
      </c>
      <c r="D1939" t="b" cm="1">
        <f t="array" aca="1" ref="D1939" ca="1">IF(INDIRECT("'"&amp;A1939&amp;"'!"&amp;B1939)="",FALSE,IF(NOT(ISNUMBER(INDIRECT("'"&amp;A1939&amp;"'!"&amp;B1939))),TRUE,FALSE))</f>
        <v>0</v>
      </c>
      <c r="E1939" t="s">
        <v>435</v>
      </c>
      <c r="F1939" t="str">
        <f>INDEX(Lists!I:I,MATCH(Validation!E1939,Lists!G:G,0))</f>
        <v>Error</v>
      </c>
      <c r="G1939" t="str">
        <f>INDEX(Lists!H:H,MATCH(Validation!E1939,Lists!G:G,0))</f>
        <v>Enter an amount only. Do not enter text or spaces.</v>
      </c>
      <c r="H1939" s="25" t="str">
        <f t="shared" ca="1" si="222"/>
        <v/>
      </c>
      <c r="I1939" s="25" t="str">
        <f t="shared" ca="1" si="223"/>
        <v/>
      </c>
      <c r="J1939" s="26" t="str">
        <f t="shared" ca="1" si="224"/>
        <v/>
      </c>
    </row>
    <row r="1940" spans="1:10" x14ac:dyDescent="0.25">
      <c r="A1940" t="s">
        <v>302</v>
      </c>
      <c r="B1940" t="str">
        <f>ADDRESS(ROW('Bond 1'!$B$34),COLUMN('Bond 1'!$B$34),4)</f>
        <v>B34</v>
      </c>
      <c r="C1940" t="str">
        <f>ADDRESS(ROW('Bond 1'!$D$34),COLUMN('Bond 1'!$D$34),4)</f>
        <v>D34</v>
      </c>
      <c r="D1940" t="b" cm="1">
        <f t="array" aca="1" ref="D1940" ca="1">IF(INDIRECT("'"&amp;A1940&amp;"'!"&amp;B1940)="",FALSE,IF(NOT(ISNUMBER(INDIRECT("'"&amp;A1940&amp;"'!"&amp;B1940))),TRUE,FALSE))</f>
        <v>0</v>
      </c>
      <c r="E1940" t="s">
        <v>435</v>
      </c>
      <c r="F1940" t="str">
        <f>INDEX(Lists!I:I,MATCH(Validation!E1940,Lists!G:G,0))</f>
        <v>Error</v>
      </c>
      <c r="G1940" t="str">
        <f>INDEX(Lists!H:H,MATCH(Validation!E1940,Lists!G:G,0))</f>
        <v>Enter an amount only. Do not enter text or spaces.</v>
      </c>
      <c r="H1940" s="25" t="str">
        <f t="shared" ca="1" si="222"/>
        <v/>
      </c>
      <c r="I1940" s="25" t="str">
        <f t="shared" ca="1" si="223"/>
        <v/>
      </c>
      <c r="J1940" s="26" t="str">
        <f t="shared" ca="1" si="224"/>
        <v/>
      </c>
    </row>
    <row r="1941" spans="1:10" x14ac:dyDescent="0.25">
      <c r="A1941" t="s">
        <v>303</v>
      </c>
      <c r="B1941" t="str">
        <f>ADDRESS(ROW('Bond 1'!$B$34),COLUMN('Bond 1'!$B$34),4)</f>
        <v>B34</v>
      </c>
      <c r="C1941" t="str">
        <f>ADDRESS(ROW('Bond 1'!$D$34),COLUMN('Bond 1'!$D$34),4)</f>
        <v>D34</v>
      </c>
      <c r="D1941" t="b" cm="1">
        <f t="array" aca="1" ref="D1941" ca="1">IF(INDIRECT("'"&amp;A1941&amp;"'!"&amp;B1941)="",FALSE,IF(NOT(ISNUMBER(INDIRECT("'"&amp;A1941&amp;"'!"&amp;B1941))),TRUE,FALSE))</f>
        <v>0</v>
      </c>
      <c r="E1941" t="s">
        <v>435</v>
      </c>
      <c r="F1941" t="str">
        <f>INDEX(Lists!I:I,MATCH(Validation!E1941,Lists!G:G,0))</f>
        <v>Error</v>
      </c>
      <c r="G1941" t="str">
        <f>INDEX(Lists!H:H,MATCH(Validation!E1941,Lists!G:G,0))</f>
        <v>Enter an amount only. Do not enter text or spaces.</v>
      </c>
      <c r="H1941" s="25" t="str">
        <f t="shared" ca="1" si="222"/>
        <v/>
      </c>
      <c r="I1941" s="25" t="str">
        <f t="shared" ca="1" si="223"/>
        <v/>
      </c>
      <c r="J1941" s="26" t="str">
        <f t="shared" ca="1" si="224"/>
        <v/>
      </c>
    </row>
    <row r="1942" spans="1:10" x14ac:dyDescent="0.25">
      <c r="A1942" t="s">
        <v>304</v>
      </c>
      <c r="B1942" t="str">
        <f>ADDRESS(ROW('Bond 1'!$B$34),COLUMN('Bond 1'!$B$34),4)</f>
        <v>B34</v>
      </c>
      <c r="C1942" t="str">
        <f>ADDRESS(ROW('Bond 1'!$D$34),COLUMN('Bond 1'!$D$34),4)</f>
        <v>D34</v>
      </c>
      <c r="D1942" t="b" cm="1">
        <f t="array" aca="1" ref="D1942" ca="1">IF(INDIRECT("'"&amp;A1942&amp;"'!"&amp;B1942)="",FALSE,IF(NOT(ISNUMBER(INDIRECT("'"&amp;A1942&amp;"'!"&amp;B1942))),TRUE,FALSE))</f>
        <v>0</v>
      </c>
      <c r="E1942" t="s">
        <v>435</v>
      </c>
      <c r="F1942" t="str">
        <f>INDEX(Lists!I:I,MATCH(Validation!E1942,Lists!G:G,0))</f>
        <v>Error</v>
      </c>
      <c r="G1942" t="str">
        <f>INDEX(Lists!H:H,MATCH(Validation!E1942,Lists!G:G,0))</f>
        <v>Enter an amount only. Do not enter text or spaces.</v>
      </c>
      <c r="H1942" s="25" t="str">
        <f t="shared" ca="1" si="222"/>
        <v/>
      </c>
      <c r="I1942" s="25" t="str">
        <f t="shared" ca="1" si="223"/>
        <v/>
      </c>
      <c r="J1942" s="26" t="str">
        <f t="shared" ca="1" si="224"/>
        <v/>
      </c>
    </row>
    <row r="1943" spans="1:10" x14ac:dyDescent="0.25">
      <c r="A1943" t="s">
        <v>305</v>
      </c>
      <c r="B1943" t="str">
        <f>ADDRESS(ROW('Bond 1'!$B$34),COLUMN('Bond 1'!$B$34),4)</f>
        <v>B34</v>
      </c>
      <c r="C1943" t="str">
        <f>ADDRESS(ROW('Bond 1'!$D$34),COLUMN('Bond 1'!$D$34),4)</f>
        <v>D34</v>
      </c>
      <c r="D1943" t="b" cm="1">
        <f t="array" aca="1" ref="D1943" ca="1">IF(INDIRECT("'"&amp;A1943&amp;"'!"&amp;B1943)="",FALSE,IF(NOT(ISNUMBER(INDIRECT("'"&amp;A1943&amp;"'!"&amp;B1943))),TRUE,FALSE))</f>
        <v>0</v>
      </c>
      <c r="E1943" t="s">
        <v>435</v>
      </c>
      <c r="F1943" t="str">
        <f>INDEX(Lists!I:I,MATCH(Validation!E1943,Lists!G:G,0))</f>
        <v>Error</v>
      </c>
      <c r="G1943" t="str">
        <f>INDEX(Lists!H:H,MATCH(Validation!E1943,Lists!G:G,0))</f>
        <v>Enter an amount only. Do not enter text or spaces.</v>
      </c>
      <c r="H1943" s="25" t="str">
        <f t="shared" ca="1" si="222"/>
        <v/>
      </c>
      <c r="I1943" s="25" t="str">
        <f t="shared" ca="1" si="223"/>
        <v/>
      </c>
      <c r="J1943" s="26" t="str">
        <f t="shared" ca="1" si="224"/>
        <v/>
      </c>
    </row>
    <row r="1944" spans="1:10" x14ac:dyDescent="0.25">
      <c r="A1944" t="s">
        <v>306</v>
      </c>
      <c r="B1944" t="str">
        <f>ADDRESS(ROW('Bond 1'!$B$34),COLUMN('Bond 1'!$B$34),4)</f>
        <v>B34</v>
      </c>
      <c r="C1944" t="str">
        <f>ADDRESS(ROW('Bond 1'!$D$34),COLUMN('Bond 1'!$D$34),4)</f>
        <v>D34</v>
      </c>
      <c r="D1944" t="b" cm="1">
        <f t="array" aca="1" ref="D1944" ca="1">IF(INDIRECT("'"&amp;A1944&amp;"'!"&amp;B1944)="",FALSE,IF(NOT(ISNUMBER(INDIRECT("'"&amp;A1944&amp;"'!"&amp;B1944))),TRUE,FALSE))</f>
        <v>0</v>
      </c>
      <c r="E1944" t="s">
        <v>435</v>
      </c>
      <c r="F1944" t="str">
        <f>INDEX(Lists!I:I,MATCH(Validation!E1944,Lists!G:G,0))</f>
        <v>Error</v>
      </c>
      <c r="G1944" t="str">
        <f>INDEX(Lists!H:H,MATCH(Validation!E1944,Lists!G:G,0))</f>
        <v>Enter an amount only. Do not enter text or spaces.</v>
      </c>
      <c r="H1944" s="25" t="str">
        <f t="shared" ca="1" si="222"/>
        <v/>
      </c>
      <c r="I1944" s="25" t="str">
        <f t="shared" ca="1" si="223"/>
        <v/>
      </c>
      <c r="J1944" s="26" t="str">
        <f t="shared" ca="1" si="224"/>
        <v/>
      </c>
    </row>
    <row r="1945" spans="1:10" x14ac:dyDescent="0.25">
      <c r="A1945" t="s">
        <v>307</v>
      </c>
      <c r="B1945" t="str">
        <f>ADDRESS(ROW('Bond 1'!$B$34),COLUMN('Bond 1'!$B$34),4)</f>
        <v>B34</v>
      </c>
      <c r="C1945" t="str">
        <f>ADDRESS(ROW('Bond 1'!$D$34),COLUMN('Bond 1'!$D$34),4)</f>
        <v>D34</v>
      </c>
      <c r="D1945" t="b" cm="1">
        <f t="array" aca="1" ref="D1945" ca="1">IF(INDIRECT("'"&amp;A1945&amp;"'!"&amp;B1945)="",FALSE,IF(NOT(ISNUMBER(INDIRECT("'"&amp;A1945&amp;"'!"&amp;B1945))),TRUE,FALSE))</f>
        <v>0</v>
      </c>
      <c r="E1945" t="s">
        <v>435</v>
      </c>
      <c r="F1945" t="str">
        <f>INDEX(Lists!I:I,MATCH(Validation!E1945,Lists!G:G,0))</f>
        <v>Error</v>
      </c>
      <c r="G1945" t="str">
        <f>INDEX(Lists!H:H,MATCH(Validation!E1945,Lists!G:G,0))</f>
        <v>Enter an amount only. Do not enter text or spaces.</v>
      </c>
      <c r="H1945" s="25" t="str">
        <f t="shared" ca="1" si="222"/>
        <v/>
      </c>
      <c r="I1945" s="25" t="str">
        <f t="shared" ca="1" si="223"/>
        <v/>
      </c>
      <c r="J1945" s="26" t="str">
        <f t="shared" ca="1" si="224"/>
        <v/>
      </c>
    </row>
    <row r="1946" spans="1:10" x14ac:dyDescent="0.25">
      <c r="A1946" t="s">
        <v>308</v>
      </c>
      <c r="B1946" t="str">
        <f>ADDRESS(ROW('Bond 1'!$B$34),COLUMN('Bond 1'!$B$34),4)</f>
        <v>B34</v>
      </c>
      <c r="C1946" t="str">
        <f>ADDRESS(ROW('Bond 1'!$D$34),COLUMN('Bond 1'!$D$34),4)</f>
        <v>D34</v>
      </c>
      <c r="D1946" t="b" cm="1">
        <f t="array" aca="1" ref="D1946" ca="1">IF(INDIRECT("'"&amp;A1946&amp;"'!"&amp;B1946)="",FALSE,IF(NOT(ISNUMBER(INDIRECT("'"&amp;A1946&amp;"'!"&amp;B1946))),TRUE,FALSE))</f>
        <v>0</v>
      </c>
      <c r="E1946" t="s">
        <v>435</v>
      </c>
      <c r="F1946" t="str">
        <f>INDEX(Lists!I:I,MATCH(Validation!E1946,Lists!G:G,0))</f>
        <v>Error</v>
      </c>
      <c r="G1946" t="str">
        <f>INDEX(Lists!H:H,MATCH(Validation!E1946,Lists!G:G,0))</f>
        <v>Enter an amount only. Do not enter text or spaces.</v>
      </c>
      <c r="H1946" s="25" t="str">
        <f t="shared" ca="1" si="222"/>
        <v/>
      </c>
      <c r="I1946" s="25" t="str">
        <f t="shared" ca="1" si="223"/>
        <v/>
      </c>
      <c r="J1946" s="26" t="str">
        <f t="shared" ca="1" si="224"/>
        <v/>
      </c>
    </row>
    <row r="1947" spans="1:10" x14ac:dyDescent="0.25">
      <c r="A1947" t="s">
        <v>309</v>
      </c>
      <c r="B1947" t="str">
        <f>ADDRESS(ROW('Bond 1'!$B$34),COLUMN('Bond 1'!$B$34),4)</f>
        <v>B34</v>
      </c>
      <c r="C1947" t="str">
        <f>ADDRESS(ROW('Bond 1'!$D$34),COLUMN('Bond 1'!$D$34),4)</f>
        <v>D34</v>
      </c>
      <c r="D1947" t="b" cm="1">
        <f t="array" aca="1" ref="D1947" ca="1">IF(INDIRECT("'"&amp;A1947&amp;"'!"&amp;B1947)="",FALSE,IF(NOT(ISNUMBER(INDIRECT("'"&amp;A1947&amp;"'!"&amp;B1947))),TRUE,FALSE))</f>
        <v>0</v>
      </c>
      <c r="E1947" t="s">
        <v>435</v>
      </c>
      <c r="F1947" t="str">
        <f>INDEX(Lists!I:I,MATCH(Validation!E1947,Lists!G:G,0))</f>
        <v>Error</v>
      </c>
      <c r="G1947" t="str">
        <f>INDEX(Lists!H:H,MATCH(Validation!E1947,Lists!G:G,0))</f>
        <v>Enter an amount only. Do not enter text or spaces.</v>
      </c>
      <c r="H1947" s="25" t="str">
        <f t="shared" ca="1" si="222"/>
        <v/>
      </c>
      <c r="I1947" s="25" t="str">
        <f t="shared" ca="1" si="223"/>
        <v/>
      </c>
      <c r="J1947" s="26" t="str">
        <f t="shared" ca="1" si="224"/>
        <v/>
      </c>
    </row>
    <row r="1948" spans="1:10" x14ac:dyDescent="0.25">
      <c r="A1948" t="s">
        <v>310</v>
      </c>
      <c r="B1948" t="str">
        <f>ADDRESS(ROW('Bond 1'!$B$34),COLUMN('Bond 1'!$B$34),4)</f>
        <v>B34</v>
      </c>
      <c r="C1948" t="str">
        <f>ADDRESS(ROW('Bond 1'!$D$34),COLUMN('Bond 1'!$D$34),4)</f>
        <v>D34</v>
      </c>
      <c r="D1948" t="b" cm="1">
        <f t="array" aca="1" ref="D1948" ca="1">IF(INDIRECT("'"&amp;A1948&amp;"'!"&amp;B1948)="",FALSE,IF(NOT(ISNUMBER(INDIRECT("'"&amp;A1948&amp;"'!"&amp;B1948))),TRUE,FALSE))</f>
        <v>0</v>
      </c>
      <c r="E1948" t="s">
        <v>435</v>
      </c>
      <c r="F1948" t="str">
        <f>INDEX(Lists!I:I,MATCH(Validation!E1948,Lists!G:G,0))</f>
        <v>Error</v>
      </c>
      <c r="G1948" t="str">
        <f>INDEX(Lists!H:H,MATCH(Validation!E1948,Lists!G:G,0))</f>
        <v>Enter an amount only. Do not enter text or spaces.</v>
      </c>
      <c r="H1948" s="25" t="str">
        <f t="shared" ca="1" si="222"/>
        <v/>
      </c>
      <c r="I1948" s="25" t="str">
        <f t="shared" ca="1" si="223"/>
        <v/>
      </c>
      <c r="J1948" s="26" t="str">
        <f t="shared" ca="1" si="224"/>
        <v/>
      </c>
    </row>
    <row r="1949" spans="1:10" x14ac:dyDescent="0.25">
      <c r="A1949" t="s">
        <v>311</v>
      </c>
      <c r="B1949" t="str">
        <f>ADDRESS(ROW('Bond 1'!$B$34),COLUMN('Bond 1'!$B$34),4)</f>
        <v>B34</v>
      </c>
      <c r="C1949" t="str">
        <f>ADDRESS(ROW('Bond 1'!$D$34),COLUMN('Bond 1'!$D$34),4)</f>
        <v>D34</v>
      </c>
      <c r="D1949" t="b" cm="1">
        <f t="array" aca="1" ref="D1949" ca="1">IF(INDIRECT("'"&amp;A1949&amp;"'!"&amp;B1949)="",FALSE,IF(NOT(ISNUMBER(INDIRECT("'"&amp;A1949&amp;"'!"&amp;B1949))),TRUE,FALSE))</f>
        <v>0</v>
      </c>
      <c r="E1949" t="s">
        <v>435</v>
      </c>
      <c r="F1949" t="str">
        <f>INDEX(Lists!I:I,MATCH(Validation!E1949,Lists!G:G,0))</f>
        <v>Error</v>
      </c>
      <c r="G1949" t="str">
        <f>INDEX(Lists!H:H,MATCH(Validation!E1949,Lists!G:G,0))</f>
        <v>Enter an amount only. Do not enter text or spaces.</v>
      </c>
      <c r="H1949" s="25" t="str">
        <f t="shared" ca="1" si="222"/>
        <v/>
      </c>
      <c r="I1949" s="25" t="str">
        <f t="shared" ca="1" si="223"/>
        <v/>
      </c>
      <c r="J1949" s="26" t="str">
        <f t="shared" ca="1" si="224"/>
        <v/>
      </c>
    </row>
    <row r="1950" spans="1:10" x14ac:dyDescent="0.25">
      <c r="A1950" t="s">
        <v>312</v>
      </c>
      <c r="B1950" t="str">
        <f>ADDRESS(ROW('Bond 1'!$B$34),COLUMN('Bond 1'!$B$34),4)</f>
        <v>B34</v>
      </c>
      <c r="C1950" t="str">
        <f>ADDRESS(ROW('Bond 1'!$D$34),COLUMN('Bond 1'!$D$34),4)</f>
        <v>D34</v>
      </c>
      <c r="D1950" t="b" cm="1">
        <f t="array" aca="1" ref="D1950" ca="1">IF(INDIRECT("'"&amp;A1950&amp;"'!"&amp;B1950)="",FALSE,IF(NOT(ISNUMBER(INDIRECT("'"&amp;A1950&amp;"'!"&amp;B1950))),TRUE,FALSE))</f>
        <v>0</v>
      </c>
      <c r="E1950" t="s">
        <v>435</v>
      </c>
      <c r="F1950" t="str">
        <f>INDEX(Lists!I:I,MATCH(Validation!E1950,Lists!G:G,0))</f>
        <v>Error</v>
      </c>
      <c r="G1950" t="str">
        <f>INDEX(Lists!H:H,MATCH(Validation!E1950,Lists!G:G,0))</f>
        <v>Enter an amount only. Do not enter text or spaces.</v>
      </c>
      <c r="H1950" s="25" t="str">
        <f t="shared" ca="1" si="222"/>
        <v/>
      </c>
      <c r="I1950" s="25" t="str">
        <f t="shared" ca="1" si="223"/>
        <v/>
      </c>
      <c r="J1950" s="26" t="str">
        <f t="shared" ca="1" si="224"/>
        <v/>
      </c>
    </row>
    <row r="1951" spans="1:10" x14ac:dyDescent="0.25">
      <c r="A1951" t="s">
        <v>313</v>
      </c>
      <c r="B1951" t="str">
        <f>ADDRESS(ROW('Bond 1'!$B$34),COLUMN('Bond 1'!$B$34),4)</f>
        <v>B34</v>
      </c>
      <c r="C1951" t="str">
        <f>ADDRESS(ROW('Bond 1'!$D$34),COLUMN('Bond 1'!$D$34),4)</f>
        <v>D34</v>
      </c>
      <c r="D1951" t="b" cm="1">
        <f t="array" aca="1" ref="D1951" ca="1">IF(INDIRECT("'"&amp;A1951&amp;"'!"&amp;B1951)="",FALSE,IF(NOT(ISNUMBER(INDIRECT("'"&amp;A1951&amp;"'!"&amp;B1951))),TRUE,FALSE))</f>
        <v>0</v>
      </c>
      <c r="E1951" t="s">
        <v>435</v>
      </c>
      <c r="F1951" t="str">
        <f>INDEX(Lists!I:I,MATCH(Validation!E1951,Lists!G:G,0))</f>
        <v>Error</v>
      </c>
      <c r="G1951" t="str">
        <f>INDEX(Lists!H:H,MATCH(Validation!E1951,Lists!G:G,0))</f>
        <v>Enter an amount only. Do not enter text or spaces.</v>
      </c>
      <c r="H1951" s="25" t="str">
        <f t="shared" ca="1" si="222"/>
        <v/>
      </c>
      <c r="I1951" s="25" t="str">
        <f t="shared" ca="1" si="223"/>
        <v/>
      </c>
      <c r="J1951" s="26" t="str">
        <f t="shared" ca="1" si="224"/>
        <v/>
      </c>
    </row>
    <row r="1952" spans="1:10" x14ac:dyDescent="0.25">
      <c r="A1952" t="s">
        <v>314</v>
      </c>
      <c r="B1952" t="str">
        <f>ADDRESS(ROW('Bond 1'!$B$34),COLUMN('Bond 1'!$B$34),4)</f>
        <v>B34</v>
      </c>
      <c r="C1952" t="str">
        <f>ADDRESS(ROW('Bond 1'!$D$34),COLUMN('Bond 1'!$D$34),4)</f>
        <v>D34</v>
      </c>
      <c r="D1952" t="b" cm="1">
        <f t="array" aca="1" ref="D1952" ca="1">IF(INDIRECT("'"&amp;A1952&amp;"'!"&amp;B1952)="",FALSE,IF(NOT(ISNUMBER(INDIRECT("'"&amp;A1952&amp;"'!"&amp;B1952))),TRUE,FALSE))</f>
        <v>0</v>
      </c>
      <c r="E1952" t="s">
        <v>435</v>
      </c>
      <c r="F1952" t="str">
        <f>INDEX(Lists!I:I,MATCH(Validation!E1952,Lists!G:G,0))</f>
        <v>Error</v>
      </c>
      <c r="G1952" t="str">
        <f>INDEX(Lists!H:H,MATCH(Validation!E1952,Lists!G:G,0))</f>
        <v>Enter an amount only. Do not enter text or spaces.</v>
      </c>
      <c r="H1952" s="25" t="str">
        <f t="shared" ca="1" si="222"/>
        <v/>
      </c>
      <c r="I1952" s="25" t="str">
        <f t="shared" ca="1" si="223"/>
        <v/>
      </c>
      <c r="J1952" s="26" t="str">
        <f t="shared" ca="1" si="224"/>
        <v/>
      </c>
    </row>
    <row r="1953" spans="1:10" x14ac:dyDescent="0.25">
      <c r="A1953" t="s">
        <v>315</v>
      </c>
      <c r="B1953" t="str">
        <f>ADDRESS(ROW('Bond 1'!$B$34),COLUMN('Bond 1'!$B$34),4)</f>
        <v>B34</v>
      </c>
      <c r="C1953" t="str">
        <f>ADDRESS(ROW('Bond 1'!$D$34),COLUMN('Bond 1'!$D$34),4)</f>
        <v>D34</v>
      </c>
      <c r="D1953" t="b" cm="1">
        <f t="array" aca="1" ref="D1953" ca="1">IF(INDIRECT("'"&amp;A1953&amp;"'!"&amp;B1953)="",FALSE,IF(NOT(ISNUMBER(INDIRECT("'"&amp;A1953&amp;"'!"&amp;B1953))),TRUE,FALSE))</f>
        <v>0</v>
      </c>
      <c r="E1953" t="s">
        <v>435</v>
      </c>
      <c r="F1953" t="str">
        <f>INDEX(Lists!I:I,MATCH(Validation!E1953,Lists!G:G,0))</f>
        <v>Error</v>
      </c>
      <c r="G1953" t="str">
        <f>INDEX(Lists!H:H,MATCH(Validation!E1953,Lists!G:G,0))</f>
        <v>Enter an amount only. Do not enter text or spaces.</v>
      </c>
      <c r="H1953" s="25" t="str">
        <f t="shared" ca="1" si="222"/>
        <v/>
      </c>
      <c r="I1953" s="25" t="str">
        <f t="shared" ca="1" si="223"/>
        <v/>
      </c>
      <c r="J1953" s="26" t="str">
        <f t="shared" ca="1" si="224"/>
        <v/>
      </c>
    </row>
    <row r="1954" spans="1:10" x14ac:dyDescent="0.25">
      <c r="A1954" t="s">
        <v>198</v>
      </c>
      <c r="B1954" t="str">
        <f>ADDRESS(ROW('Bond 1'!$B$34),COLUMN('Bond 1'!$B$34),4)</f>
        <v>B34</v>
      </c>
      <c r="C1954" t="str">
        <f>ADDRESS(ROW('Bond 1'!$D$34),COLUMN('Bond 1'!$D$34),4)</f>
        <v>D34</v>
      </c>
      <c r="D1954" t="b" cm="1">
        <f t="array" aca="1" ref="D1954" ca="1">IF(INDIRECT("'"&amp;A1954&amp;"'!"&amp;B1954)="",FALSE,IF(INDIRECT("'"&amp;A1954&amp;"'!"&amp;B1954)&lt;0,TRUE,FALSE))</f>
        <v>0</v>
      </c>
      <c r="E1954" t="s">
        <v>434</v>
      </c>
      <c r="F1954" t="str">
        <f>INDEX(Lists!I:I,MATCH(Validation!E1954,Lists!G:G,0))</f>
        <v>Error</v>
      </c>
      <c r="G1954" t="str">
        <f>INDEX(Lists!H:H,MATCH(Validation!E1954,Lists!G:G,0))</f>
        <v>Amount may not be negative. Enter an amount greater than or equal to zero.</v>
      </c>
      <c r="H1954" s="25" t="str">
        <f t="shared" ca="1" si="222"/>
        <v/>
      </c>
      <c r="I1954" s="25" t="str">
        <f t="shared" ca="1" si="223"/>
        <v/>
      </c>
      <c r="J1954" s="26" t="str">
        <f t="shared" ca="1" si="224"/>
        <v/>
      </c>
    </row>
    <row r="1955" spans="1:10" x14ac:dyDescent="0.25">
      <c r="A1955" t="s">
        <v>302</v>
      </c>
      <c r="B1955" t="str">
        <f>ADDRESS(ROW('Bond 1'!$B$34),COLUMN('Bond 1'!$B$34),4)</f>
        <v>B34</v>
      </c>
      <c r="C1955" t="str">
        <f>ADDRESS(ROW('Bond 1'!$D$34),COLUMN('Bond 1'!$D$34),4)</f>
        <v>D34</v>
      </c>
      <c r="D1955" t="b" cm="1">
        <f t="array" aca="1" ref="D1955" ca="1">IF(INDIRECT("'"&amp;A1955&amp;"'!"&amp;B1955)="",FALSE,IF(INDIRECT("'"&amp;A1955&amp;"'!"&amp;B1955)&lt;0,TRUE,FALSE))</f>
        <v>0</v>
      </c>
      <c r="E1955" t="s">
        <v>434</v>
      </c>
      <c r="F1955" t="str">
        <f>INDEX(Lists!I:I,MATCH(Validation!E1955,Lists!G:G,0))</f>
        <v>Error</v>
      </c>
      <c r="G1955" t="str">
        <f>INDEX(Lists!H:H,MATCH(Validation!E1955,Lists!G:G,0))</f>
        <v>Amount may not be negative. Enter an amount greater than or equal to zero.</v>
      </c>
      <c r="H1955" s="25" t="str">
        <f t="shared" ca="1" si="222"/>
        <v/>
      </c>
      <c r="I1955" s="25" t="str">
        <f t="shared" ca="1" si="223"/>
        <v/>
      </c>
      <c r="J1955" s="26" t="str">
        <f t="shared" ca="1" si="224"/>
        <v/>
      </c>
    </row>
    <row r="1956" spans="1:10" x14ac:dyDescent="0.25">
      <c r="A1956" t="s">
        <v>303</v>
      </c>
      <c r="B1956" t="str">
        <f>ADDRESS(ROW('Bond 1'!$B$34),COLUMN('Bond 1'!$B$34),4)</f>
        <v>B34</v>
      </c>
      <c r="C1956" t="str">
        <f>ADDRESS(ROW('Bond 1'!$D$34),COLUMN('Bond 1'!$D$34),4)</f>
        <v>D34</v>
      </c>
      <c r="D1956" t="b" cm="1">
        <f t="array" aca="1" ref="D1956" ca="1">IF(INDIRECT("'"&amp;A1956&amp;"'!"&amp;B1956)="",FALSE,IF(INDIRECT("'"&amp;A1956&amp;"'!"&amp;B1956)&lt;0,TRUE,FALSE))</f>
        <v>0</v>
      </c>
      <c r="E1956" t="s">
        <v>434</v>
      </c>
      <c r="F1956" t="str">
        <f>INDEX(Lists!I:I,MATCH(Validation!E1956,Lists!G:G,0))</f>
        <v>Error</v>
      </c>
      <c r="G1956" t="str">
        <f>INDEX(Lists!H:H,MATCH(Validation!E1956,Lists!G:G,0))</f>
        <v>Amount may not be negative. Enter an amount greater than or equal to zero.</v>
      </c>
      <c r="H1956" s="25" t="str">
        <f t="shared" ca="1" si="222"/>
        <v/>
      </c>
      <c r="I1956" s="25" t="str">
        <f t="shared" ca="1" si="223"/>
        <v/>
      </c>
      <c r="J1956" s="26" t="str">
        <f t="shared" ca="1" si="224"/>
        <v/>
      </c>
    </row>
    <row r="1957" spans="1:10" x14ac:dyDescent="0.25">
      <c r="A1957" t="s">
        <v>304</v>
      </c>
      <c r="B1957" t="str">
        <f>ADDRESS(ROW('Bond 1'!$B$34),COLUMN('Bond 1'!$B$34),4)</f>
        <v>B34</v>
      </c>
      <c r="C1957" t="str">
        <f>ADDRESS(ROW('Bond 1'!$D$34),COLUMN('Bond 1'!$D$34),4)</f>
        <v>D34</v>
      </c>
      <c r="D1957" t="b" cm="1">
        <f t="array" aca="1" ref="D1957" ca="1">IF(INDIRECT("'"&amp;A1957&amp;"'!"&amp;B1957)="",FALSE,IF(INDIRECT("'"&amp;A1957&amp;"'!"&amp;B1957)&lt;0,TRUE,FALSE))</f>
        <v>0</v>
      </c>
      <c r="E1957" t="s">
        <v>434</v>
      </c>
      <c r="F1957" t="str">
        <f>INDEX(Lists!I:I,MATCH(Validation!E1957,Lists!G:G,0))</f>
        <v>Error</v>
      </c>
      <c r="G1957" t="str">
        <f>INDEX(Lists!H:H,MATCH(Validation!E1957,Lists!G:G,0))</f>
        <v>Amount may not be negative. Enter an amount greater than or equal to zero.</v>
      </c>
      <c r="H1957" s="25" t="str">
        <f t="shared" ca="1" si="222"/>
        <v/>
      </c>
      <c r="I1957" s="25" t="str">
        <f t="shared" ca="1" si="223"/>
        <v/>
      </c>
      <c r="J1957" s="26" t="str">
        <f t="shared" ca="1" si="224"/>
        <v/>
      </c>
    </row>
    <row r="1958" spans="1:10" x14ac:dyDescent="0.25">
      <c r="A1958" t="s">
        <v>305</v>
      </c>
      <c r="B1958" t="str">
        <f>ADDRESS(ROW('Bond 1'!$B$34),COLUMN('Bond 1'!$B$34),4)</f>
        <v>B34</v>
      </c>
      <c r="C1958" t="str">
        <f>ADDRESS(ROW('Bond 1'!$D$34),COLUMN('Bond 1'!$D$34),4)</f>
        <v>D34</v>
      </c>
      <c r="D1958" t="b" cm="1">
        <f t="array" aca="1" ref="D1958" ca="1">IF(INDIRECT("'"&amp;A1958&amp;"'!"&amp;B1958)="",FALSE,IF(INDIRECT("'"&amp;A1958&amp;"'!"&amp;B1958)&lt;0,TRUE,FALSE))</f>
        <v>0</v>
      </c>
      <c r="E1958" t="s">
        <v>434</v>
      </c>
      <c r="F1958" t="str">
        <f>INDEX(Lists!I:I,MATCH(Validation!E1958,Lists!G:G,0))</f>
        <v>Error</v>
      </c>
      <c r="G1958" t="str">
        <f>INDEX(Lists!H:H,MATCH(Validation!E1958,Lists!G:G,0))</f>
        <v>Amount may not be negative. Enter an amount greater than or equal to zero.</v>
      </c>
      <c r="H1958" s="25" t="str">
        <f t="shared" ca="1" si="222"/>
        <v/>
      </c>
      <c r="I1958" s="25" t="str">
        <f t="shared" ca="1" si="223"/>
        <v/>
      </c>
      <c r="J1958" s="26" t="str">
        <f t="shared" ca="1" si="224"/>
        <v/>
      </c>
    </row>
    <row r="1959" spans="1:10" x14ac:dyDescent="0.25">
      <c r="A1959" t="s">
        <v>306</v>
      </c>
      <c r="B1959" t="str">
        <f>ADDRESS(ROW('Bond 1'!$B$34),COLUMN('Bond 1'!$B$34),4)</f>
        <v>B34</v>
      </c>
      <c r="C1959" t="str">
        <f>ADDRESS(ROW('Bond 1'!$D$34),COLUMN('Bond 1'!$D$34),4)</f>
        <v>D34</v>
      </c>
      <c r="D1959" t="b" cm="1">
        <f t="array" aca="1" ref="D1959" ca="1">IF(INDIRECT("'"&amp;A1959&amp;"'!"&amp;B1959)="",FALSE,IF(INDIRECT("'"&amp;A1959&amp;"'!"&amp;B1959)&lt;0,TRUE,FALSE))</f>
        <v>0</v>
      </c>
      <c r="E1959" t="s">
        <v>434</v>
      </c>
      <c r="F1959" t="str">
        <f>INDEX(Lists!I:I,MATCH(Validation!E1959,Lists!G:G,0))</f>
        <v>Error</v>
      </c>
      <c r="G1959" t="str">
        <f>INDEX(Lists!H:H,MATCH(Validation!E1959,Lists!G:G,0))</f>
        <v>Amount may not be negative. Enter an amount greater than or equal to zero.</v>
      </c>
      <c r="H1959" s="25" t="str">
        <f t="shared" ca="1" si="222"/>
        <v/>
      </c>
      <c r="I1959" s="25" t="str">
        <f t="shared" ca="1" si="223"/>
        <v/>
      </c>
      <c r="J1959" s="26" t="str">
        <f t="shared" ca="1" si="224"/>
        <v/>
      </c>
    </row>
    <row r="1960" spans="1:10" x14ac:dyDescent="0.25">
      <c r="A1960" t="s">
        <v>307</v>
      </c>
      <c r="B1960" t="str">
        <f>ADDRESS(ROW('Bond 1'!$B$34),COLUMN('Bond 1'!$B$34),4)</f>
        <v>B34</v>
      </c>
      <c r="C1960" t="str">
        <f>ADDRESS(ROW('Bond 1'!$D$34),COLUMN('Bond 1'!$D$34),4)</f>
        <v>D34</v>
      </c>
      <c r="D1960" t="b" cm="1">
        <f t="array" aca="1" ref="D1960" ca="1">IF(INDIRECT("'"&amp;A1960&amp;"'!"&amp;B1960)="",FALSE,IF(INDIRECT("'"&amp;A1960&amp;"'!"&amp;B1960)&lt;0,TRUE,FALSE))</f>
        <v>0</v>
      </c>
      <c r="E1960" t="s">
        <v>434</v>
      </c>
      <c r="F1960" t="str">
        <f>INDEX(Lists!I:I,MATCH(Validation!E1960,Lists!G:G,0))</f>
        <v>Error</v>
      </c>
      <c r="G1960" t="str">
        <f>INDEX(Lists!H:H,MATCH(Validation!E1960,Lists!G:G,0))</f>
        <v>Amount may not be negative. Enter an amount greater than or equal to zero.</v>
      </c>
      <c r="H1960" s="25" t="str">
        <f t="shared" ca="1" si="222"/>
        <v/>
      </c>
      <c r="I1960" s="25" t="str">
        <f t="shared" ca="1" si="223"/>
        <v/>
      </c>
      <c r="J1960" s="26" t="str">
        <f t="shared" ca="1" si="224"/>
        <v/>
      </c>
    </row>
    <row r="1961" spans="1:10" x14ac:dyDescent="0.25">
      <c r="A1961" t="s">
        <v>308</v>
      </c>
      <c r="B1961" t="str">
        <f>ADDRESS(ROW('Bond 1'!$B$34),COLUMN('Bond 1'!$B$34),4)</f>
        <v>B34</v>
      </c>
      <c r="C1961" t="str">
        <f>ADDRESS(ROW('Bond 1'!$D$34),COLUMN('Bond 1'!$D$34),4)</f>
        <v>D34</v>
      </c>
      <c r="D1961" t="b" cm="1">
        <f t="array" aca="1" ref="D1961" ca="1">IF(INDIRECT("'"&amp;A1961&amp;"'!"&amp;B1961)="",FALSE,IF(INDIRECT("'"&amp;A1961&amp;"'!"&amp;B1961)&lt;0,TRUE,FALSE))</f>
        <v>0</v>
      </c>
      <c r="E1961" t="s">
        <v>434</v>
      </c>
      <c r="F1961" t="str">
        <f>INDEX(Lists!I:I,MATCH(Validation!E1961,Lists!G:G,0))</f>
        <v>Error</v>
      </c>
      <c r="G1961" t="str">
        <f>INDEX(Lists!H:H,MATCH(Validation!E1961,Lists!G:G,0))</f>
        <v>Amount may not be negative. Enter an amount greater than or equal to zero.</v>
      </c>
      <c r="H1961" s="25" t="str">
        <f t="shared" ca="1" si="222"/>
        <v/>
      </c>
      <c r="I1961" s="25" t="str">
        <f t="shared" ca="1" si="223"/>
        <v/>
      </c>
      <c r="J1961" s="26" t="str">
        <f t="shared" ca="1" si="224"/>
        <v/>
      </c>
    </row>
    <row r="1962" spans="1:10" x14ac:dyDescent="0.25">
      <c r="A1962" t="s">
        <v>309</v>
      </c>
      <c r="B1962" t="str">
        <f>ADDRESS(ROW('Bond 1'!$B$34),COLUMN('Bond 1'!$B$34),4)</f>
        <v>B34</v>
      </c>
      <c r="C1962" t="str">
        <f>ADDRESS(ROW('Bond 1'!$D$34),COLUMN('Bond 1'!$D$34),4)</f>
        <v>D34</v>
      </c>
      <c r="D1962" t="b" cm="1">
        <f t="array" aca="1" ref="D1962" ca="1">IF(INDIRECT("'"&amp;A1962&amp;"'!"&amp;B1962)="",FALSE,IF(INDIRECT("'"&amp;A1962&amp;"'!"&amp;B1962)&lt;0,TRUE,FALSE))</f>
        <v>0</v>
      </c>
      <c r="E1962" t="s">
        <v>434</v>
      </c>
      <c r="F1962" t="str">
        <f>INDEX(Lists!I:I,MATCH(Validation!E1962,Lists!G:G,0))</f>
        <v>Error</v>
      </c>
      <c r="G1962" t="str">
        <f>INDEX(Lists!H:H,MATCH(Validation!E1962,Lists!G:G,0))</f>
        <v>Amount may not be negative. Enter an amount greater than or equal to zero.</v>
      </c>
      <c r="H1962" s="25" t="str">
        <f t="shared" ca="1" si="222"/>
        <v/>
      </c>
      <c r="I1962" s="25" t="str">
        <f t="shared" ca="1" si="223"/>
        <v/>
      </c>
      <c r="J1962" s="26" t="str">
        <f t="shared" ca="1" si="224"/>
        <v/>
      </c>
    </row>
    <row r="1963" spans="1:10" x14ac:dyDescent="0.25">
      <c r="A1963" t="s">
        <v>310</v>
      </c>
      <c r="B1963" t="str">
        <f>ADDRESS(ROW('Bond 1'!$B$34),COLUMN('Bond 1'!$B$34),4)</f>
        <v>B34</v>
      </c>
      <c r="C1963" t="str">
        <f>ADDRESS(ROW('Bond 1'!$D$34),COLUMN('Bond 1'!$D$34),4)</f>
        <v>D34</v>
      </c>
      <c r="D1963" t="b" cm="1">
        <f t="array" aca="1" ref="D1963" ca="1">IF(INDIRECT("'"&amp;A1963&amp;"'!"&amp;B1963)="",FALSE,IF(INDIRECT("'"&amp;A1963&amp;"'!"&amp;B1963)&lt;0,TRUE,FALSE))</f>
        <v>0</v>
      </c>
      <c r="E1963" t="s">
        <v>434</v>
      </c>
      <c r="F1963" t="str">
        <f>INDEX(Lists!I:I,MATCH(Validation!E1963,Lists!G:G,0))</f>
        <v>Error</v>
      </c>
      <c r="G1963" t="str">
        <f>INDEX(Lists!H:H,MATCH(Validation!E1963,Lists!G:G,0))</f>
        <v>Amount may not be negative. Enter an amount greater than or equal to zero.</v>
      </c>
      <c r="H1963" s="25" t="str">
        <f t="shared" ca="1" si="222"/>
        <v/>
      </c>
      <c r="I1963" s="25" t="str">
        <f t="shared" ca="1" si="223"/>
        <v/>
      </c>
      <c r="J1963" s="26" t="str">
        <f t="shared" ca="1" si="224"/>
        <v/>
      </c>
    </row>
    <row r="1964" spans="1:10" x14ac:dyDescent="0.25">
      <c r="A1964" t="s">
        <v>311</v>
      </c>
      <c r="B1964" t="str">
        <f>ADDRESS(ROW('Bond 1'!$B$34),COLUMN('Bond 1'!$B$34),4)</f>
        <v>B34</v>
      </c>
      <c r="C1964" t="str">
        <f>ADDRESS(ROW('Bond 1'!$D$34),COLUMN('Bond 1'!$D$34),4)</f>
        <v>D34</v>
      </c>
      <c r="D1964" t="b" cm="1">
        <f t="array" aca="1" ref="D1964" ca="1">IF(INDIRECT("'"&amp;A1964&amp;"'!"&amp;B1964)="",FALSE,IF(INDIRECT("'"&amp;A1964&amp;"'!"&amp;B1964)&lt;0,TRUE,FALSE))</f>
        <v>0</v>
      </c>
      <c r="E1964" t="s">
        <v>434</v>
      </c>
      <c r="F1964" t="str">
        <f>INDEX(Lists!I:I,MATCH(Validation!E1964,Lists!G:G,0))</f>
        <v>Error</v>
      </c>
      <c r="G1964" t="str">
        <f>INDEX(Lists!H:H,MATCH(Validation!E1964,Lists!G:G,0))</f>
        <v>Amount may not be negative. Enter an amount greater than or equal to zero.</v>
      </c>
      <c r="H1964" s="25" t="str">
        <f t="shared" ca="1" si="222"/>
        <v/>
      </c>
      <c r="I1964" s="25" t="str">
        <f t="shared" ca="1" si="223"/>
        <v/>
      </c>
      <c r="J1964" s="26" t="str">
        <f t="shared" ca="1" si="224"/>
        <v/>
      </c>
    </row>
    <row r="1965" spans="1:10" x14ac:dyDescent="0.25">
      <c r="A1965" t="s">
        <v>312</v>
      </c>
      <c r="B1965" t="str">
        <f>ADDRESS(ROW('Bond 1'!$B$34),COLUMN('Bond 1'!$B$34),4)</f>
        <v>B34</v>
      </c>
      <c r="C1965" t="str">
        <f>ADDRESS(ROW('Bond 1'!$D$34),COLUMN('Bond 1'!$D$34),4)</f>
        <v>D34</v>
      </c>
      <c r="D1965" t="b" cm="1">
        <f t="array" aca="1" ref="D1965" ca="1">IF(INDIRECT("'"&amp;A1965&amp;"'!"&amp;B1965)="",FALSE,IF(INDIRECT("'"&amp;A1965&amp;"'!"&amp;B1965)&lt;0,TRUE,FALSE))</f>
        <v>0</v>
      </c>
      <c r="E1965" t="s">
        <v>434</v>
      </c>
      <c r="F1965" t="str">
        <f>INDEX(Lists!I:I,MATCH(Validation!E1965,Lists!G:G,0))</f>
        <v>Error</v>
      </c>
      <c r="G1965" t="str">
        <f>INDEX(Lists!H:H,MATCH(Validation!E1965,Lists!G:G,0))</f>
        <v>Amount may not be negative. Enter an amount greater than or equal to zero.</v>
      </c>
      <c r="H1965" s="25" t="str">
        <f t="shared" ca="1" si="222"/>
        <v/>
      </c>
      <c r="I1965" s="25" t="str">
        <f t="shared" ca="1" si="223"/>
        <v/>
      </c>
      <c r="J1965" s="26" t="str">
        <f t="shared" ca="1" si="224"/>
        <v/>
      </c>
    </row>
    <row r="1966" spans="1:10" x14ac:dyDescent="0.25">
      <c r="A1966" t="s">
        <v>313</v>
      </c>
      <c r="B1966" t="str">
        <f>ADDRESS(ROW('Bond 1'!$B$34),COLUMN('Bond 1'!$B$34),4)</f>
        <v>B34</v>
      </c>
      <c r="C1966" t="str">
        <f>ADDRESS(ROW('Bond 1'!$D$34),COLUMN('Bond 1'!$D$34),4)</f>
        <v>D34</v>
      </c>
      <c r="D1966" t="b" cm="1">
        <f t="array" aca="1" ref="D1966" ca="1">IF(INDIRECT("'"&amp;A1966&amp;"'!"&amp;B1966)="",FALSE,IF(INDIRECT("'"&amp;A1966&amp;"'!"&amp;B1966)&lt;0,TRUE,FALSE))</f>
        <v>0</v>
      </c>
      <c r="E1966" t="s">
        <v>434</v>
      </c>
      <c r="F1966" t="str">
        <f>INDEX(Lists!I:I,MATCH(Validation!E1966,Lists!G:G,0))</f>
        <v>Error</v>
      </c>
      <c r="G1966" t="str">
        <f>INDEX(Lists!H:H,MATCH(Validation!E1966,Lists!G:G,0))</f>
        <v>Amount may not be negative. Enter an amount greater than or equal to zero.</v>
      </c>
      <c r="H1966" s="25" t="str">
        <f t="shared" ca="1" si="222"/>
        <v/>
      </c>
      <c r="I1966" s="25" t="str">
        <f t="shared" ca="1" si="223"/>
        <v/>
      </c>
      <c r="J1966" s="26" t="str">
        <f t="shared" ca="1" si="224"/>
        <v/>
      </c>
    </row>
    <row r="1967" spans="1:10" x14ac:dyDescent="0.25">
      <c r="A1967" t="s">
        <v>314</v>
      </c>
      <c r="B1967" t="str">
        <f>ADDRESS(ROW('Bond 1'!$B$34),COLUMN('Bond 1'!$B$34),4)</f>
        <v>B34</v>
      </c>
      <c r="C1967" t="str">
        <f>ADDRESS(ROW('Bond 1'!$D$34),COLUMN('Bond 1'!$D$34),4)</f>
        <v>D34</v>
      </c>
      <c r="D1967" t="b" cm="1">
        <f t="array" aca="1" ref="D1967" ca="1">IF(INDIRECT("'"&amp;A1967&amp;"'!"&amp;B1967)="",FALSE,IF(INDIRECT("'"&amp;A1967&amp;"'!"&amp;B1967)&lt;0,TRUE,FALSE))</f>
        <v>0</v>
      </c>
      <c r="E1967" t="s">
        <v>434</v>
      </c>
      <c r="F1967" t="str">
        <f>INDEX(Lists!I:I,MATCH(Validation!E1967,Lists!G:G,0))</f>
        <v>Error</v>
      </c>
      <c r="G1967" t="str">
        <f>INDEX(Lists!H:H,MATCH(Validation!E1967,Lists!G:G,0))</f>
        <v>Amount may not be negative. Enter an amount greater than or equal to zero.</v>
      </c>
      <c r="H1967" s="25" t="str">
        <f t="shared" ca="1" si="222"/>
        <v/>
      </c>
      <c r="I1967" s="25" t="str">
        <f t="shared" ca="1" si="223"/>
        <v/>
      </c>
      <c r="J1967" s="26" t="str">
        <f t="shared" ca="1" si="224"/>
        <v/>
      </c>
    </row>
    <row r="1968" spans="1:10" x14ac:dyDescent="0.25">
      <c r="A1968" t="s">
        <v>315</v>
      </c>
      <c r="B1968" t="str">
        <f>ADDRESS(ROW('Bond 1'!$B$34),COLUMN('Bond 1'!$B$34),4)</f>
        <v>B34</v>
      </c>
      <c r="C1968" t="str">
        <f>ADDRESS(ROW('Bond 1'!$D$34),COLUMN('Bond 1'!$D$34),4)</f>
        <v>D34</v>
      </c>
      <c r="D1968" t="b" cm="1">
        <f t="array" aca="1" ref="D1968" ca="1">IF(INDIRECT("'"&amp;A1968&amp;"'!"&amp;B1968)="",FALSE,IF(INDIRECT("'"&amp;A1968&amp;"'!"&amp;B1968)&lt;0,TRUE,FALSE))</f>
        <v>0</v>
      </c>
      <c r="E1968" t="s">
        <v>434</v>
      </c>
      <c r="F1968" t="str">
        <f>INDEX(Lists!I:I,MATCH(Validation!E1968,Lists!G:G,0))</f>
        <v>Error</v>
      </c>
      <c r="G1968" t="str">
        <f>INDEX(Lists!H:H,MATCH(Validation!E1968,Lists!G:G,0))</f>
        <v>Amount may not be negative. Enter an amount greater than or equal to zero.</v>
      </c>
      <c r="H1968" s="25" t="str">
        <f t="shared" ca="1" si="222"/>
        <v/>
      </c>
      <c r="I1968" s="25" t="str">
        <f t="shared" ca="1" si="223"/>
        <v/>
      </c>
      <c r="J1968" s="26" t="str">
        <f t="shared" ca="1" si="224"/>
        <v/>
      </c>
    </row>
    <row r="1969" spans="1:10" x14ac:dyDescent="0.25">
      <c r="A1969" t="s">
        <v>198</v>
      </c>
      <c r="B1969" t="str">
        <f>ADDRESS(ROW('Bond 1'!$B$34),COLUMN('Bond 1'!$B$34),4)</f>
        <v>B34</v>
      </c>
      <c r="C1969" t="str">
        <f>ADDRESS(ROW('Bond 1'!$D$34),COLUMN('Bond 1'!$D$34),4)</f>
        <v>D34</v>
      </c>
      <c r="D1969" t="b" cm="1">
        <f t="array" aca="1" ref="D1969" ca="1">IF(INDIRECT("'"&amp;A1969&amp;"'!"&amp;B1969)="",FALSE,IF(TRUNC(INDIRECT("'"&amp;A1969&amp;"'!"&amp;B1969))=INDIRECT("'"&amp;A1969&amp;"'!"&amp;B1969),FALSE,TRUE))</f>
        <v>0</v>
      </c>
      <c r="E1969" t="s">
        <v>436</v>
      </c>
      <c r="F1969" t="str">
        <f>INDEX(Lists!I:I,MATCH(Validation!E1969,Lists!G:G,0))</f>
        <v>Error</v>
      </c>
      <c r="G1969" t="str">
        <f>INDEX(Lists!H:H,MATCH(Validation!E1969,Lists!G:G,0))</f>
        <v>Amount must be rounded to the nearest dollar.</v>
      </c>
      <c r="H1969" s="25" t="str">
        <f t="shared" ca="1" si="222"/>
        <v/>
      </c>
      <c r="I1969" s="25" t="str">
        <f t="shared" ca="1" si="223"/>
        <v/>
      </c>
      <c r="J1969" s="26" t="str">
        <f t="shared" ca="1" si="224"/>
        <v/>
      </c>
    </row>
    <row r="1970" spans="1:10" x14ac:dyDescent="0.25">
      <c r="A1970" t="s">
        <v>302</v>
      </c>
      <c r="B1970" t="str">
        <f>ADDRESS(ROW('Bond 1'!$B$34),COLUMN('Bond 1'!$B$34),4)</f>
        <v>B34</v>
      </c>
      <c r="C1970" t="str">
        <f>ADDRESS(ROW('Bond 1'!$D$34),COLUMN('Bond 1'!$D$34),4)</f>
        <v>D34</v>
      </c>
      <c r="D1970" t="b" cm="1">
        <f t="array" aca="1" ref="D1970" ca="1">IF(INDIRECT("'"&amp;A1970&amp;"'!"&amp;B1970)="",FALSE,IF(TRUNC(INDIRECT("'"&amp;A1970&amp;"'!"&amp;B1970))=INDIRECT("'"&amp;A1970&amp;"'!"&amp;B1970),FALSE,TRUE))</f>
        <v>0</v>
      </c>
      <c r="E1970" t="s">
        <v>436</v>
      </c>
      <c r="F1970" t="str">
        <f>INDEX(Lists!I:I,MATCH(Validation!E1970,Lists!G:G,0))</f>
        <v>Error</v>
      </c>
      <c r="G1970" t="str">
        <f>INDEX(Lists!H:H,MATCH(Validation!E1970,Lists!G:G,0))</f>
        <v>Amount must be rounded to the nearest dollar.</v>
      </c>
      <c r="H1970" s="25" t="str">
        <f t="shared" ca="1" si="222"/>
        <v/>
      </c>
      <c r="I1970" s="25" t="str">
        <f t="shared" ca="1" si="223"/>
        <v/>
      </c>
      <c r="J1970" s="26" t="str">
        <f t="shared" ca="1" si="224"/>
        <v/>
      </c>
    </row>
    <row r="1971" spans="1:10" x14ac:dyDescent="0.25">
      <c r="A1971" t="s">
        <v>303</v>
      </c>
      <c r="B1971" t="str">
        <f>ADDRESS(ROW('Bond 1'!$B$34),COLUMN('Bond 1'!$B$34),4)</f>
        <v>B34</v>
      </c>
      <c r="C1971" t="str">
        <f>ADDRESS(ROW('Bond 1'!$D$34),COLUMN('Bond 1'!$D$34),4)</f>
        <v>D34</v>
      </c>
      <c r="D1971" t="b" cm="1">
        <f t="array" aca="1" ref="D1971" ca="1">IF(INDIRECT("'"&amp;A1971&amp;"'!"&amp;B1971)="",FALSE,IF(TRUNC(INDIRECT("'"&amp;A1971&amp;"'!"&amp;B1971))=INDIRECT("'"&amp;A1971&amp;"'!"&amp;B1971),FALSE,TRUE))</f>
        <v>0</v>
      </c>
      <c r="E1971" t="s">
        <v>436</v>
      </c>
      <c r="F1971" t="str">
        <f>INDEX(Lists!I:I,MATCH(Validation!E1971,Lists!G:G,0))</f>
        <v>Error</v>
      </c>
      <c r="G1971" t="str">
        <f>INDEX(Lists!H:H,MATCH(Validation!E1971,Lists!G:G,0))</f>
        <v>Amount must be rounded to the nearest dollar.</v>
      </c>
      <c r="H1971" s="25" t="str">
        <f t="shared" ca="1" si="222"/>
        <v/>
      </c>
      <c r="I1971" s="25" t="str">
        <f t="shared" ca="1" si="223"/>
        <v/>
      </c>
      <c r="J1971" s="26" t="str">
        <f t="shared" ca="1" si="224"/>
        <v/>
      </c>
    </row>
    <row r="1972" spans="1:10" x14ac:dyDescent="0.25">
      <c r="A1972" t="s">
        <v>304</v>
      </c>
      <c r="B1972" t="str">
        <f>ADDRESS(ROW('Bond 1'!$B$34),COLUMN('Bond 1'!$B$34),4)</f>
        <v>B34</v>
      </c>
      <c r="C1972" t="str">
        <f>ADDRESS(ROW('Bond 1'!$D$34),COLUMN('Bond 1'!$D$34),4)</f>
        <v>D34</v>
      </c>
      <c r="D1972" t="b" cm="1">
        <f t="array" aca="1" ref="D1972" ca="1">IF(INDIRECT("'"&amp;A1972&amp;"'!"&amp;B1972)="",FALSE,IF(TRUNC(INDIRECT("'"&amp;A1972&amp;"'!"&amp;B1972))=INDIRECT("'"&amp;A1972&amp;"'!"&amp;B1972),FALSE,TRUE))</f>
        <v>0</v>
      </c>
      <c r="E1972" t="s">
        <v>436</v>
      </c>
      <c r="F1972" t="str">
        <f>INDEX(Lists!I:I,MATCH(Validation!E1972,Lists!G:G,0))</f>
        <v>Error</v>
      </c>
      <c r="G1972" t="str">
        <f>INDEX(Lists!H:H,MATCH(Validation!E1972,Lists!G:G,0))</f>
        <v>Amount must be rounded to the nearest dollar.</v>
      </c>
      <c r="H1972" s="25" t="str">
        <f t="shared" ca="1" si="222"/>
        <v/>
      </c>
      <c r="I1972" s="25" t="str">
        <f t="shared" ca="1" si="223"/>
        <v/>
      </c>
      <c r="J1972" s="26" t="str">
        <f t="shared" ca="1" si="224"/>
        <v/>
      </c>
    </row>
    <row r="1973" spans="1:10" x14ac:dyDescent="0.25">
      <c r="A1973" t="s">
        <v>305</v>
      </c>
      <c r="B1973" t="str">
        <f>ADDRESS(ROW('Bond 1'!$B$34),COLUMN('Bond 1'!$B$34),4)</f>
        <v>B34</v>
      </c>
      <c r="C1973" t="str">
        <f>ADDRESS(ROW('Bond 1'!$D$34),COLUMN('Bond 1'!$D$34),4)</f>
        <v>D34</v>
      </c>
      <c r="D1973" t="b" cm="1">
        <f t="array" aca="1" ref="D1973" ca="1">IF(INDIRECT("'"&amp;A1973&amp;"'!"&amp;B1973)="",FALSE,IF(TRUNC(INDIRECT("'"&amp;A1973&amp;"'!"&amp;B1973))=INDIRECT("'"&amp;A1973&amp;"'!"&amp;B1973),FALSE,TRUE))</f>
        <v>0</v>
      </c>
      <c r="E1973" t="s">
        <v>436</v>
      </c>
      <c r="F1973" t="str">
        <f>INDEX(Lists!I:I,MATCH(Validation!E1973,Lists!G:G,0))</f>
        <v>Error</v>
      </c>
      <c r="G1973" t="str">
        <f>INDEX(Lists!H:H,MATCH(Validation!E1973,Lists!G:G,0))</f>
        <v>Amount must be rounded to the nearest dollar.</v>
      </c>
      <c r="H1973" s="25" t="str">
        <f t="shared" ref="H1973:H2036" ca="1" si="225">IFERROR(IF(OR(NOT(D1973),F1973&lt;&gt;"Error"),"",A1973&amp;CELL("address",INDIRECT(B1973))),"")</f>
        <v/>
      </c>
      <c r="I1973" s="25" t="str">
        <f t="shared" ref="I1973:I2036" ca="1" si="226">IFERROR(IF(NOT(D1973),"",A1973&amp;CELL("address",INDIRECT(C1973))),"")</f>
        <v/>
      </c>
      <c r="J1973" s="26" t="str">
        <f t="shared" ref="J1973:J2036" ca="1" si="227">IFERROR(IF(NOT(D1973),"",A1973),"")</f>
        <v/>
      </c>
    </row>
    <row r="1974" spans="1:10" x14ac:dyDescent="0.25">
      <c r="A1974" t="s">
        <v>306</v>
      </c>
      <c r="B1974" t="str">
        <f>ADDRESS(ROW('Bond 1'!$B$34),COLUMN('Bond 1'!$B$34),4)</f>
        <v>B34</v>
      </c>
      <c r="C1974" t="str">
        <f>ADDRESS(ROW('Bond 1'!$D$34),COLUMN('Bond 1'!$D$34),4)</f>
        <v>D34</v>
      </c>
      <c r="D1974" t="b" cm="1">
        <f t="array" aca="1" ref="D1974" ca="1">IF(INDIRECT("'"&amp;A1974&amp;"'!"&amp;B1974)="",FALSE,IF(TRUNC(INDIRECT("'"&amp;A1974&amp;"'!"&amp;B1974))=INDIRECT("'"&amp;A1974&amp;"'!"&amp;B1974),FALSE,TRUE))</f>
        <v>0</v>
      </c>
      <c r="E1974" t="s">
        <v>436</v>
      </c>
      <c r="F1974" t="str">
        <f>INDEX(Lists!I:I,MATCH(Validation!E1974,Lists!G:G,0))</f>
        <v>Error</v>
      </c>
      <c r="G1974" t="str">
        <f>INDEX(Lists!H:H,MATCH(Validation!E1974,Lists!G:G,0))</f>
        <v>Amount must be rounded to the nearest dollar.</v>
      </c>
      <c r="H1974" s="25" t="str">
        <f t="shared" ca="1" si="225"/>
        <v/>
      </c>
      <c r="I1974" s="25" t="str">
        <f t="shared" ca="1" si="226"/>
        <v/>
      </c>
      <c r="J1974" s="26" t="str">
        <f t="shared" ca="1" si="227"/>
        <v/>
      </c>
    </row>
    <row r="1975" spans="1:10" x14ac:dyDescent="0.25">
      <c r="A1975" t="s">
        <v>307</v>
      </c>
      <c r="B1975" t="str">
        <f>ADDRESS(ROW('Bond 1'!$B$34),COLUMN('Bond 1'!$B$34),4)</f>
        <v>B34</v>
      </c>
      <c r="C1975" t="str">
        <f>ADDRESS(ROW('Bond 1'!$D$34),COLUMN('Bond 1'!$D$34),4)</f>
        <v>D34</v>
      </c>
      <c r="D1975" t="b" cm="1">
        <f t="array" aca="1" ref="D1975" ca="1">IF(INDIRECT("'"&amp;A1975&amp;"'!"&amp;B1975)="",FALSE,IF(TRUNC(INDIRECT("'"&amp;A1975&amp;"'!"&amp;B1975))=INDIRECT("'"&amp;A1975&amp;"'!"&amp;B1975),FALSE,TRUE))</f>
        <v>0</v>
      </c>
      <c r="E1975" t="s">
        <v>436</v>
      </c>
      <c r="F1975" t="str">
        <f>INDEX(Lists!I:I,MATCH(Validation!E1975,Lists!G:G,0))</f>
        <v>Error</v>
      </c>
      <c r="G1975" t="str">
        <f>INDEX(Lists!H:H,MATCH(Validation!E1975,Lists!G:G,0))</f>
        <v>Amount must be rounded to the nearest dollar.</v>
      </c>
      <c r="H1975" s="25" t="str">
        <f t="shared" ca="1" si="225"/>
        <v/>
      </c>
      <c r="I1975" s="25" t="str">
        <f t="shared" ca="1" si="226"/>
        <v/>
      </c>
      <c r="J1975" s="26" t="str">
        <f t="shared" ca="1" si="227"/>
        <v/>
      </c>
    </row>
    <row r="1976" spans="1:10" x14ac:dyDescent="0.25">
      <c r="A1976" t="s">
        <v>308</v>
      </c>
      <c r="B1976" t="str">
        <f>ADDRESS(ROW('Bond 1'!$B$34),COLUMN('Bond 1'!$B$34),4)</f>
        <v>B34</v>
      </c>
      <c r="C1976" t="str">
        <f>ADDRESS(ROW('Bond 1'!$D$34),COLUMN('Bond 1'!$D$34),4)</f>
        <v>D34</v>
      </c>
      <c r="D1976" t="b" cm="1">
        <f t="array" aca="1" ref="D1976" ca="1">IF(INDIRECT("'"&amp;A1976&amp;"'!"&amp;B1976)="",FALSE,IF(TRUNC(INDIRECT("'"&amp;A1976&amp;"'!"&amp;B1976))=INDIRECT("'"&amp;A1976&amp;"'!"&amp;B1976),FALSE,TRUE))</f>
        <v>0</v>
      </c>
      <c r="E1976" t="s">
        <v>436</v>
      </c>
      <c r="F1976" t="str">
        <f>INDEX(Lists!I:I,MATCH(Validation!E1976,Lists!G:G,0))</f>
        <v>Error</v>
      </c>
      <c r="G1976" t="str">
        <f>INDEX(Lists!H:H,MATCH(Validation!E1976,Lists!G:G,0))</f>
        <v>Amount must be rounded to the nearest dollar.</v>
      </c>
      <c r="H1976" s="25" t="str">
        <f t="shared" ca="1" si="225"/>
        <v/>
      </c>
      <c r="I1976" s="25" t="str">
        <f t="shared" ca="1" si="226"/>
        <v/>
      </c>
      <c r="J1976" s="26" t="str">
        <f t="shared" ca="1" si="227"/>
        <v/>
      </c>
    </row>
    <row r="1977" spans="1:10" x14ac:dyDescent="0.25">
      <c r="A1977" t="s">
        <v>309</v>
      </c>
      <c r="B1977" t="str">
        <f>ADDRESS(ROW('Bond 1'!$B$34),COLUMN('Bond 1'!$B$34),4)</f>
        <v>B34</v>
      </c>
      <c r="C1977" t="str">
        <f>ADDRESS(ROW('Bond 1'!$D$34),COLUMN('Bond 1'!$D$34),4)</f>
        <v>D34</v>
      </c>
      <c r="D1977" t="b" cm="1">
        <f t="array" aca="1" ref="D1977" ca="1">IF(INDIRECT("'"&amp;A1977&amp;"'!"&amp;B1977)="",FALSE,IF(TRUNC(INDIRECT("'"&amp;A1977&amp;"'!"&amp;B1977))=INDIRECT("'"&amp;A1977&amp;"'!"&amp;B1977),FALSE,TRUE))</f>
        <v>0</v>
      </c>
      <c r="E1977" t="s">
        <v>436</v>
      </c>
      <c r="F1977" t="str">
        <f>INDEX(Lists!I:I,MATCH(Validation!E1977,Lists!G:G,0))</f>
        <v>Error</v>
      </c>
      <c r="G1977" t="str">
        <f>INDEX(Lists!H:H,MATCH(Validation!E1977,Lists!G:G,0))</f>
        <v>Amount must be rounded to the nearest dollar.</v>
      </c>
      <c r="H1977" s="25" t="str">
        <f t="shared" ca="1" si="225"/>
        <v/>
      </c>
      <c r="I1977" s="25" t="str">
        <f t="shared" ca="1" si="226"/>
        <v/>
      </c>
      <c r="J1977" s="26" t="str">
        <f t="shared" ca="1" si="227"/>
        <v/>
      </c>
    </row>
    <row r="1978" spans="1:10" x14ac:dyDescent="0.25">
      <c r="A1978" t="s">
        <v>310</v>
      </c>
      <c r="B1978" t="str">
        <f>ADDRESS(ROW('Bond 1'!$B$34),COLUMN('Bond 1'!$B$34),4)</f>
        <v>B34</v>
      </c>
      <c r="C1978" t="str">
        <f>ADDRESS(ROW('Bond 1'!$D$34),COLUMN('Bond 1'!$D$34),4)</f>
        <v>D34</v>
      </c>
      <c r="D1978" t="b" cm="1">
        <f t="array" aca="1" ref="D1978" ca="1">IF(INDIRECT("'"&amp;A1978&amp;"'!"&amp;B1978)="",FALSE,IF(TRUNC(INDIRECT("'"&amp;A1978&amp;"'!"&amp;B1978))=INDIRECT("'"&amp;A1978&amp;"'!"&amp;B1978),FALSE,TRUE))</f>
        <v>0</v>
      </c>
      <c r="E1978" t="s">
        <v>436</v>
      </c>
      <c r="F1978" t="str">
        <f>INDEX(Lists!I:I,MATCH(Validation!E1978,Lists!G:G,0))</f>
        <v>Error</v>
      </c>
      <c r="G1978" t="str">
        <f>INDEX(Lists!H:H,MATCH(Validation!E1978,Lists!G:G,0))</f>
        <v>Amount must be rounded to the nearest dollar.</v>
      </c>
      <c r="H1978" s="25" t="str">
        <f t="shared" ca="1" si="225"/>
        <v/>
      </c>
      <c r="I1978" s="25" t="str">
        <f t="shared" ca="1" si="226"/>
        <v/>
      </c>
      <c r="J1978" s="26" t="str">
        <f t="shared" ca="1" si="227"/>
        <v/>
      </c>
    </row>
    <row r="1979" spans="1:10" x14ac:dyDescent="0.25">
      <c r="A1979" t="s">
        <v>311</v>
      </c>
      <c r="B1979" t="str">
        <f>ADDRESS(ROW('Bond 1'!$B$34),COLUMN('Bond 1'!$B$34),4)</f>
        <v>B34</v>
      </c>
      <c r="C1979" t="str">
        <f>ADDRESS(ROW('Bond 1'!$D$34),COLUMN('Bond 1'!$D$34),4)</f>
        <v>D34</v>
      </c>
      <c r="D1979" t="b" cm="1">
        <f t="array" aca="1" ref="D1979" ca="1">IF(INDIRECT("'"&amp;A1979&amp;"'!"&amp;B1979)="",FALSE,IF(TRUNC(INDIRECT("'"&amp;A1979&amp;"'!"&amp;B1979))=INDIRECT("'"&amp;A1979&amp;"'!"&amp;B1979),FALSE,TRUE))</f>
        <v>0</v>
      </c>
      <c r="E1979" t="s">
        <v>436</v>
      </c>
      <c r="F1979" t="str">
        <f>INDEX(Lists!I:I,MATCH(Validation!E1979,Lists!G:G,0))</f>
        <v>Error</v>
      </c>
      <c r="G1979" t="str">
        <f>INDEX(Lists!H:H,MATCH(Validation!E1979,Lists!G:G,0))</f>
        <v>Amount must be rounded to the nearest dollar.</v>
      </c>
      <c r="H1979" s="25" t="str">
        <f t="shared" ca="1" si="225"/>
        <v/>
      </c>
      <c r="I1979" s="25" t="str">
        <f t="shared" ca="1" si="226"/>
        <v/>
      </c>
      <c r="J1979" s="26" t="str">
        <f t="shared" ca="1" si="227"/>
        <v/>
      </c>
    </row>
    <row r="1980" spans="1:10" x14ac:dyDescent="0.25">
      <c r="A1980" t="s">
        <v>312</v>
      </c>
      <c r="B1980" t="str">
        <f>ADDRESS(ROW('Bond 1'!$B$34),COLUMN('Bond 1'!$B$34),4)</f>
        <v>B34</v>
      </c>
      <c r="C1980" t="str">
        <f>ADDRESS(ROW('Bond 1'!$D$34),COLUMN('Bond 1'!$D$34),4)</f>
        <v>D34</v>
      </c>
      <c r="D1980" t="b" cm="1">
        <f t="array" aca="1" ref="D1980" ca="1">IF(INDIRECT("'"&amp;A1980&amp;"'!"&amp;B1980)="",FALSE,IF(TRUNC(INDIRECT("'"&amp;A1980&amp;"'!"&amp;B1980))=INDIRECT("'"&amp;A1980&amp;"'!"&amp;B1980),FALSE,TRUE))</f>
        <v>0</v>
      </c>
      <c r="E1980" t="s">
        <v>436</v>
      </c>
      <c r="F1980" t="str">
        <f>INDEX(Lists!I:I,MATCH(Validation!E1980,Lists!G:G,0))</f>
        <v>Error</v>
      </c>
      <c r="G1980" t="str">
        <f>INDEX(Lists!H:H,MATCH(Validation!E1980,Lists!G:G,0))</f>
        <v>Amount must be rounded to the nearest dollar.</v>
      </c>
      <c r="H1980" s="25" t="str">
        <f t="shared" ca="1" si="225"/>
        <v/>
      </c>
      <c r="I1980" s="25" t="str">
        <f t="shared" ca="1" si="226"/>
        <v/>
      </c>
      <c r="J1980" s="26" t="str">
        <f t="shared" ca="1" si="227"/>
        <v/>
      </c>
    </row>
    <row r="1981" spans="1:10" x14ac:dyDescent="0.25">
      <c r="A1981" t="s">
        <v>313</v>
      </c>
      <c r="B1981" t="str">
        <f>ADDRESS(ROW('Bond 1'!$B$34),COLUMN('Bond 1'!$B$34),4)</f>
        <v>B34</v>
      </c>
      <c r="C1981" t="str">
        <f>ADDRESS(ROW('Bond 1'!$D$34),COLUMN('Bond 1'!$D$34),4)</f>
        <v>D34</v>
      </c>
      <c r="D1981" t="b" cm="1">
        <f t="array" aca="1" ref="D1981" ca="1">IF(INDIRECT("'"&amp;A1981&amp;"'!"&amp;B1981)="",FALSE,IF(TRUNC(INDIRECT("'"&amp;A1981&amp;"'!"&amp;B1981))=INDIRECT("'"&amp;A1981&amp;"'!"&amp;B1981),FALSE,TRUE))</f>
        <v>0</v>
      </c>
      <c r="E1981" t="s">
        <v>436</v>
      </c>
      <c r="F1981" t="str">
        <f>INDEX(Lists!I:I,MATCH(Validation!E1981,Lists!G:G,0))</f>
        <v>Error</v>
      </c>
      <c r="G1981" t="str">
        <f>INDEX(Lists!H:H,MATCH(Validation!E1981,Lists!G:G,0))</f>
        <v>Amount must be rounded to the nearest dollar.</v>
      </c>
      <c r="H1981" s="25" t="str">
        <f t="shared" ca="1" si="225"/>
        <v/>
      </c>
      <c r="I1981" s="25" t="str">
        <f t="shared" ca="1" si="226"/>
        <v/>
      </c>
      <c r="J1981" s="26" t="str">
        <f t="shared" ca="1" si="227"/>
        <v/>
      </c>
    </row>
    <row r="1982" spans="1:10" x14ac:dyDescent="0.25">
      <c r="A1982" t="s">
        <v>314</v>
      </c>
      <c r="B1982" t="str">
        <f>ADDRESS(ROW('Bond 1'!$B$34),COLUMN('Bond 1'!$B$34),4)</f>
        <v>B34</v>
      </c>
      <c r="C1982" t="str">
        <f>ADDRESS(ROW('Bond 1'!$D$34),COLUMN('Bond 1'!$D$34),4)</f>
        <v>D34</v>
      </c>
      <c r="D1982" t="b" cm="1">
        <f t="array" aca="1" ref="D1982" ca="1">IF(INDIRECT("'"&amp;A1982&amp;"'!"&amp;B1982)="",FALSE,IF(TRUNC(INDIRECT("'"&amp;A1982&amp;"'!"&amp;B1982))=INDIRECT("'"&amp;A1982&amp;"'!"&amp;B1982),FALSE,TRUE))</f>
        <v>0</v>
      </c>
      <c r="E1982" t="s">
        <v>436</v>
      </c>
      <c r="F1982" t="str">
        <f>INDEX(Lists!I:I,MATCH(Validation!E1982,Lists!G:G,0))</f>
        <v>Error</v>
      </c>
      <c r="G1982" t="str">
        <f>INDEX(Lists!H:H,MATCH(Validation!E1982,Lists!G:G,0))</f>
        <v>Amount must be rounded to the nearest dollar.</v>
      </c>
      <c r="H1982" s="25" t="str">
        <f t="shared" ca="1" si="225"/>
        <v/>
      </c>
      <c r="I1982" s="25" t="str">
        <f t="shared" ca="1" si="226"/>
        <v/>
      </c>
      <c r="J1982" s="26" t="str">
        <f t="shared" ca="1" si="227"/>
        <v/>
      </c>
    </row>
    <row r="1983" spans="1:10" x14ac:dyDescent="0.25">
      <c r="A1983" t="s">
        <v>315</v>
      </c>
      <c r="B1983" t="str">
        <f>ADDRESS(ROW('Bond 1'!$B$34),COLUMN('Bond 1'!$B$34),4)</f>
        <v>B34</v>
      </c>
      <c r="C1983" t="str">
        <f>ADDRESS(ROW('Bond 1'!$D$34),COLUMN('Bond 1'!$D$34),4)</f>
        <v>D34</v>
      </c>
      <c r="D1983" t="b" cm="1">
        <f t="array" aca="1" ref="D1983" ca="1">IF(INDIRECT("'"&amp;A1983&amp;"'!"&amp;B1983)="",FALSE,IF(TRUNC(INDIRECT("'"&amp;A1983&amp;"'!"&amp;B1983))=INDIRECT("'"&amp;A1983&amp;"'!"&amp;B1983),FALSE,TRUE))</f>
        <v>0</v>
      </c>
      <c r="E1983" t="s">
        <v>436</v>
      </c>
      <c r="F1983" t="str">
        <f>INDEX(Lists!I:I,MATCH(Validation!E1983,Lists!G:G,0))</f>
        <v>Error</v>
      </c>
      <c r="G1983" t="str">
        <f>INDEX(Lists!H:H,MATCH(Validation!E1983,Lists!G:G,0))</f>
        <v>Amount must be rounded to the nearest dollar.</v>
      </c>
      <c r="H1983" s="25" t="str">
        <f t="shared" ca="1" si="225"/>
        <v/>
      </c>
      <c r="I1983" s="25" t="str">
        <f t="shared" ca="1" si="226"/>
        <v/>
      </c>
      <c r="J1983" s="26" t="str">
        <f t="shared" ca="1" si="227"/>
        <v/>
      </c>
    </row>
    <row r="1984" spans="1:10" x14ac:dyDescent="0.25">
      <c r="A1984" t="s">
        <v>198</v>
      </c>
      <c r="B1984" t="str">
        <f>ADDRESS(ROW('Bond 1'!$B$34),COLUMN('Bond 1'!$B$34),4)</f>
        <v>B34</v>
      </c>
      <c r="C1984" t="str">
        <f>ADDRESS(ROW('Bond 1'!$D$34),COLUMN('Bond 1'!$D$34),4)</f>
        <v>D34</v>
      </c>
      <c r="D1984" t="b" cm="1">
        <f t="array" aca="1" ref="D1984" ca="1">IF(AND(NOT(ISBLANK('Bond Input'!C$43)),INDIRECT("'"&amp;A1984&amp;"'!"&amp;B1984)&lt;&gt;'Bond Input'!C$43),TRUE,FALSE)</f>
        <v>0</v>
      </c>
      <c r="E1984" t="s">
        <v>634</v>
      </c>
      <c r="F1984" t="str">
        <f>INDEX(Lists!I:I,MATCH(Validation!E1984,Lists!G:G,0))</f>
        <v>Alert</v>
      </c>
      <c r="G1984" t="str">
        <f>INDEX(Lists!H:H,MATCH(Validation!E1984,Lists!G:G,0))</f>
        <v>You have changed previously reported data. Explain in the comments box.</v>
      </c>
      <c r="H1984" s="25" t="str">
        <f t="shared" ca="1" si="225"/>
        <v/>
      </c>
      <c r="I1984" s="25" t="str">
        <f t="shared" ca="1" si="226"/>
        <v/>
      </c>
      <c r="J1984" s="26" t="str">
        <f t="shared" ca="1" si="227"/>
        <v/>
      </c>
    </row>
    <row r="1985" spans="1:10" x14ac:dyDescent="0.25">
      <c r="A1985" t="s">
        <v>302</v>
      </c>
      <c r="B1985" t="str">
        <f>ADDRESS(ROW('Bond 1'!$B$34),COLUMN('Bond 1'!$B$34),4)</f>
        <v>B34</v>
      </c>
      <c r="C1985" t="str">
        <f>ADDRESS(ROW('Bond 1'!$D$34),COLUMN('Bond 1'!$D$34),4)</f>
        <v>D34</v>
      </c>
      <c r="D1985" t="b" cm="1">
        <f t="array" aca="1" ref="D1985" ca="1">IF(AND(NOT(ISBLANK('Bond Input'!D$43)),INDIRECT("'"&amp;A1985&amp;"'!"&amp;B1985)&lt;&gt;'Bond Input'!D$43),TRUE,FALSE)</f>
        <v>0</v>
      </c>
      <c r="E1985" t="s">
        <v>634</v>
      </c>
      <c r="F1985" t="str">
        <f>INDEX(Lists!I:I,MATCH(Validation!E1985,Lists!G:G,0))</f>
        <v>Alert</v>
      </c>
      <c r="G1985" t="str">
        <f>INDEX(Lists!H:H,MATCH(Validation!E1985,Lists!G:G,0))</f>
        <v>You have changed previously reported data. Explain in the comments box.</v>
      </c>
      <c r="H1985" s="25" t="str">
        <f t="shared" ca="1" si="225"/>
        <v/>
      </c>
      <c r="I1985" s="25" t="str">
        <f t="shared" ca="1" si="226"/>
        <v/>
      </c>
      <c r="J1985" s="26" t="str">
        <f t="shared" ca="1" si="227"/>
        <v/>
      </c>
    </row>
    <row r="1986" spans="1:10" x14ac:dyDescent="0.25">
      <c r="A1986" t="s">
        <v>303</v>
      </c>
      <c r="B1986" t="str">
        <f>ADDRESS(ROW('Bond 1'!$B$34),COLUMN('Bond 1'!$B$34),4)</f>
        <v>B34</v>
      </c>
      <c r="C1986" t="str">
        <f>ADDRESS(ROW('Bond 1'!$D$34),COLUMN('Bond 1'!$D$34),4)</f>
        <v>D34</v>
      </c>
      <c r="D1986" t="b" cm="1">
        <f t="array" aca="1" ref="D1986" ca="1">IF(AND(NOT(ISBLANK('Bond Input'!E$43)),INDIRECT("'"&amp;A1986&amp;"'!"&amp;B1986)&lt;&gt;'Bond Input'!E$43),TRUE,FALSE)</f>
        <v>0</v>
      </c>
      <c r="E1986" t="s">
        <v>634</v>
      </c>
      <c r="F1986" t="str">
        <f>INDEX(Lists!I:I,MATCH(Validation!E1986,Lists!G:G,0))</f>
        <v>Alert</v>
      </c>
      <c r="G1986" t="str">
        <f>INDEX(Lists!H:H,MATCH(Validation!E1986,Lists!G:G,0))</f>
        <v>You have changed previously reported data. Explain in the comments box.</v>
      </c>
      <c r="H1986" s="25" t="str">
        <f t="shared" ca="1" si="225"/>
        <v/>
      </c>
      <c r="I1986" s="25" t="str">
        <f t="shared" ca="1" si="226"/>
        <v/>
      </c>
      <c r="J1986" s="26" t="str">
        <f t="shared" ca="1" si="227"/>
        <v/>
      </c>
    </row>
    <row r="1987" spans="1:10" x14ac:dyDescent="0.25">
      <c r="A1987" t="s">
        <v>304</v>
      </c>
      <c r="B1987" t="str">
        <f>ADDRESS(ROW('Bond 1'!$B$34),COLUMN('Bond 1'!$B$34),4)</f>
        <v>B34</v>
      </c>
      <c r="C1987" t="str">
        <f>ADDRESS(ROW('Bond 1'!$D$34),COLUMN('Bond 1'!$D$34),4)</f>
        <v>D34</v>
      </c>
      <c r="D1987" t="b" cm="1">
        <f t="array" aca="1" ref="D1987" ca="1">IF(AND(NOT(ISBLANK('Bond Input'!F$43)),INDIRECT("'"&amp;A1987&amp;"'!"&amp;B1987)&lt;&gt;'Bond Input'!F$43),TRUE,FALSE)</f>
        <v>0</v>
      </c>
      <c r="E1987" t="s">
        <v>634</v>
      </c>
      <c r="F1987" t="str">
        <f>INDEX(Lists!I:I,MATCH(Validation!E1987,Lists!G:G,0))</f>
        <v>Alert</v>
      </c>
      <c r="G1987" t="str">
        <f>INDEX(Lists!H:H,MATCH(Validation!E1987,Lists!G:G,0))</f>
        <v>You have changed previously reported data. Explain in the comments box.</v>
      </c>
      <c r="H1987" s="25" t="str">
        <f t="shared" ca="1" si="225"/>
        <v/>
      </c>
      <c r="I1987" s="25" t="str">
        <f t="shared" ca="1" si="226"/>
        <v/>
      </c>
      <c r="J1987" s="26" t="str">
        <f t="shared" ca="1" si="227"/>
        <v/>
      </c>
    </row>
    <row r="1988" spans="1:10" x14ac:dyDescent="0.25">
      <c r="A1988" t="s">
        <v>305</v>
      </c>
      <c r="B1988" t="str">
        <f>ADDRESS(ROW('Bond 1'!$B$34),COLUMN('Bond 1'!$B$34),4)</f>
        <v>B34</v>
      </c>
      <c r="C1988" t="str">
        <f>ADDRESS(ROW('Bond 1'!$D$34),COLUMN('Bond 1'!$D$34),4)</f>
        <v>D34</v>
      </c>
      <c r="D1988" t="b" cm="1">
        <f t="array" aca="1" ref="D1988" ca="1">IF(AND(NOT(ISBLANK('Bond Input'!G$43)),INDIRECT("'"&amp;A1988&amp;"'!"&amp;B1988)&lt;&gt;'Bond Input'!G$43),TRUE,FALSE)</f>
        <v>0</v>
      </c>
      <c r="E1988" t="s">
        <v>634</v>
      </c>
      <c r="F1988" t="str">
        <f>INDEX(Lists!I:I,MATCH(Validation!E1988,Lists!G:G,0))</f>
        <v>Alert</v>
      </c>
      <c r="G1988" t="str">
        <f>INDEX(Lists!H:H,MATCH(Validation!E1988,Lists!G:G,0))</f>
        <v>You have changed previously reported data. Explain in the comments box.</v>
      </c>
      <c r="H1988" s="25" t="str">
        <f t="shared" ca="1" si="225"/>
        <v/>
      </c>
      <c r="I1988" s="25" t="str">
        <f t="shared" ca="1" si="226"/>
        <v/>
      </c>
      <c r="J1988" s="26" t="str">
        <f t="shared" ca="1" si="227"/>
        <v/>
      </c>
    </row>
    <row r="1989" spans="1:10" x14ac:dyDescent="0.25">
      <c r="A1989" t="s">
        <v>306</v>
      </c>
      <c r="B1989" t="str">
        <f>ADDRESS(ROW('Bond 1'!$B$34),COLUMN('Bond 1'!$B$34),4)</f>
        <v>B34</v>
      </c>
      <c r="C1989" t="str">
        <f>ADDRESS(ROW('Bond 1'!$D$34),COLUMN('Bond 1'!$D$34),4)</f>
        <v>D34</v>
      </c>
      <c r="D1989" t="b" cm="1">
        <f t="array" aca="1" ref="D1989" ca="1">IF(AND(NOT(ISBLANK('Bond Input'!H$43)),INDIRECT("'"&amp;A1989&amp;"'!"&amp;B1989)&lt;&gt;'Bond Input'!H$43),TRUE,FALSE)</f>
        <v>0</v>
      </c>
      <c r="E1989" t="s">
        <v>634</v>
      </c>
      <c r="F1989" t="str">
        <f>INDEX(Lists!I:I,MATCH(Validation!E1989,Lists!G:G,0))</f>
        <v>Alert</v>
      </c>
      <c r="G1989" t="str">
        <f>INDEX(Lists!H:H,MATCH(Validation!E1989,Lists!G:G,0))</f>
        <v>You have changed previously reported data. Explain in the comments box.</v>
      </c>
      <c r="H1989" s="25" t="str">
        <f t="shared" ca="1" si="225"/>
        <v/>
      </c>
      <c r="I1989" s="25" t="str">
        <f t="shared" ca="1" si="226"/>
        <v/>
      </c>
      <c r="J1989" s="26" t="str">
        <f t="shared" ca="1" si="227"/>
        <v/>
      </c>
    </row>
    <row r="1990" spans="1:10" x14ac:dyDescent="0.25">
      <c r="A1990" t="s">
        <v>307</v>
      </c>
      <c r="B1990" t="str">
        <f>ADDRESS(ROW('Bond 1'!$B$34),COLUMN('Bond 1'!$B$34),4)</f>
        <v>B34</v>
      </c>
      <c r="C1990" t="str">
        <f>ADDRESS(ROW('Bond 1'!$D$34),COLUMN('Bond 1'!$D$34),4)</f>
        <v>D34</v>
      </c>
      <c r="D1990" t="b" cm="1">
        <f t="array" aca="1" ref="D1990" ca="1">IF(AND(NOT(ISBLANK('Bond Input'!I$43)),INDIRECT("'"&amp;A1990&amp;"'!"&amp;B1990)&lt;&gt;'Bond Input'!I$43),TRUE,FALSE)</f>
        <v>0</v>
      </c>
      <c r="E1990" t="s">
        <v>634</v>
      </c>
      <c r="F1990" t="str">
        <f>INDEX(Lists!I:I,MATCH(Validation!E1990,Lists!G:G,0))</f>
        <v>Alert</v>
      </c>
      <c r="G1990" t="str">
        <f>INDEX(Lists!H:H,MATCH(Validation!E1990,Lists!G:G,0))</f>
        <v>You have changed previously reported data. Explain in the comments box.</v>
      </c>
      <c r="H1990" s="25" t="str">
        <f t="shared" ca="1" si="225"/>
        <v/>
      </c>
      <c r="I1990" s="25" t="str">
        <f t="shared" ca="1" si="226"/>
        <v/>
      </c>
      <c r="J1990" s="26" t="str">
        <f t="shared" ca="1" si="227"/>
        <v/>
      </c>
    </row>
    <row r="1991" spans="1:10" x14ac:dyDescent="0.25">
      <c r="A1991" t="s">
        <v>308</v>
      </c>
      <c r="B1991" t="str">
        <f>ADDRESS(ROW('Bond 1'!$B$34),COLUMN('Bond 1'!$B$34),4)</f>
        <v>B34</v>
      </c>
      <c r="C1991" t="str">
        <f>ADDRESS(ROW('Bond 1'!$D$34),COLUMN('Bond 1'!$D$34),4)</f>
        <v>D34</v>
      </c>
      <c r="D1991" t="b" cm="1">
        <f t="array" aca="1" ref="D1991" ca="1">IF(AND(NOT(ISBLANK('Bond Input'!J$43)),INDIRECT("'"&amp;A1991&amp;"'!"&amp;B1991)&lt;&gt;'Bond Input'!J$43),TRUE,FALSE)</f>
        <v>0</v>
      </c>
      <c r="E1991" t="s">
        <v>634</v>
      </c>
      <c r="F1991" t="str">
        <f>INDEX(Lists!I:I,MATCH(Validation!E1991,Lists!G:G,0))</f>
        <v>Alert</v>
      </c>
      <c r="G1991" t="str">
        <f>INDEX(Lists!H:H,MATCH(Validation!E1991,Lists!G:G,0))</f>
        <v>You have changed previously reported data. Explain in the comments box.</v>
      </c>
      <c r="H1991" s="25" t="str">
        <f t="shared" ca="1" si="225"/>
        <v/>
      </c>
      <c r="I1991" s="25" t="str">
        <f t="shared" ca="1" si="226"/>
        <v/>
      </c>
      <c r="J1991" s="26" t="str">
        <f t="shared" ca="1" si="227"/>
        <v/>
      </c>
    </row>
    <row r="1992" spans="1:10" x14ac:dyDescent="0.25">
      <c r="A1992" t="s">
        <v>309</v>
      </c>
      <c r="B1992" t="str">
        <f>ADDRESS(ROW('Bond 1'!$B$34),COLUMN('Bond 1'!$B$34),4)</f>
        <v>B34</v>
      </c>
      <c r="C1992" t="str">
        <f>ADDRESS(ROW('Bond 1'!$D$34),COLUMN('Bond 1'!$D$34),4)</f>
        <v>D34</v>
      </c>
      <c r="D1992" t="b" cm="1">
        <f t="array" aca="1" ref="D1992" ca="1">IF(AND(NOT(ISBLANK('Bond Input'!K$43)),INDIRECT("'"&amp;A1992&amp;"'!"&amp;B1992)&lt;&gt;'Bond Input'!K$43),TRUE,FALSE)</f>
        <v>0</v>
      </c>
      <c r="E1992" t="s">
        <v>634</v>
      </c>
      <c r="F1992" t="str">
        <f>INDEX(Lists!I:I,MATCH(Validation!E1992,Lists!G:G,0))</f>
        <v>Alert</v>
      </c>
      <c r="G1992" t="str">
        <f>INDEX(Lists!H:H,MATCH(Validation!E1992,Lists!G:G,0))</f>
        <v>You have changed previously reported data. Explain in the comments box.</v>
      </c>
      <c r="H1992" s="25" t="str">
        <f t="shared" ca="1" si="225"/>
        <v/>
      </c>
      <c r="I1992" s="25" t="str">
        <f t="shared" ca="1" si="226"/>
        <v/>
      </c>
      <c r="J1992" s="26" t="str">
        <f t="shared" ca="1" si="227"/>
        <v/>
      </c>
    </row>
    <row r="1993" spans="1:10" x14ac:dyDescent="0.25">
      <c r="A1993" t="s">
        <v>310</v>
      </c>
      <c r="B1993" t="str">
        <f>ADDRESS(ROW('Bond 1'!$B$34),COLUMN('Bond 1'!$B$34),4)</f>
        <v>B34</v>
      </c>
      <c r="C1993" t="str">
        <f>ADDRESS(ROW('Bond 1'!$D$34),COLUMN('Bond 1'!$D$34),4)</f>
        <v>D34</v>
      </c>
      <c r="D1993" t="b" cm="1">
        <f t="array" aca="1" ref="D1993" ca="1">IF(AND(NOT(ISBLANK('Bond Input'!L$43)),INDIRECT("'"&amp;A1993&amp;"'!"&amp;B1993)&lt;&gt;'Bond Input'!L$43),TRUE,FALSE)</f>
        <v>0</v>
      </c>
      <c r="E1993" t="s">
        <v>634</v>
      </c>
      <c r="F1993" t="str">
        <f>INDEX(Lists!I:I,MATCH(Validation!E1993,Lists!G:G,0))</f>
        <v>Alert</v>
      </c>
      <c r="G1993" t="str">
        <f>INDEX(Lists!H:H,MATCH(Validation!E1993,Lists!G:G,0))</f>
        <v>You have changed previously reported data. Explain in the comments box.</v>
      </c>
      <c r="H1993" s="25" t="str">
        <f t="shared" ca="1" si="225"/>
        <v/>
      </c>
      <c r="I1993" s="25" t="str">
        <f t="shared" ca="1" si="226"/>
        <v/>
      </c>
      <c r="J1993" s="26" t="str">
        <f t="shared" ca="1" si="227"/>
        <v/>
      </c>
    </row>
    <row r="1994" spans="1:10" x14ac:dyDescent="0.25">
      <c r="A1994" t="s">
        <v>311</v>
      </c>
      <c r="B1994" t="str">
        <f>ADDRESS(ROW('Bond 1'!$B$34),COLUMN('Bond 1'!$B$34),4)</f>
        <v>B34</v>
      </c>
      <c r="C1994" t="str">
        <f>ADDRESS(ROW('Bond 1'!$D$34),COLUMN('Bond 1'!$D$34),4)</f>
        <v>D34</v>
      </c>
      <c r="D1994" t="b" cm="1">
        <f t="array" aca="1" ref="D1994" ca="1">IF(AND(NOT(ISBLANK('Bond Input'!M$43)),INDIRECT("'"&amp;A1994&amp;"'!"&amp;B1994)&lt;&gt;'Bond Input'!M$43),TRUE,FALSE)</f>
        <v>0</v>
      </c>
      <c r="E1994" t="s">
        <v>634</v>
      </c>
      <c r="F1994" t="str">
        <f>INDEX(Lists!I:I,MATCH(Validation!E1994,Lists!G:G,0))</f>
        <v>Alert</v>
      </c>
      <c r="G1994" t="str">
        <f>INDEX(Lists!H:H,MATCH(Validation!E1994,Lists!G:G,0))</f>
        <v>You have changed previously reported data. Explain in the comments box.</v>
      </c>
      <c r="H1994" s="25" t="str">
        <f t="shared" ca="1" si="225"/>
        <v/>
      </c>
      <c r="I1994" s="25" t="str">
        <f t="shared" ca="1" si="226"/>
        <v/>
      </c>
      <c r="J1994" s="26" t="str">
        <f t="shared" ca="1" si="227"/>
        <v/>
      </c>
    </row>
    <row r="1995" spans="1:10" x14ac:dyDescent="0.25">
      <c r="A1995" t="s">
        <v>312</v>
      </c>
      <c r="B1995" t="str">
        <f>ADDRESS(ROW('Bond 1'!$B$34),COLUMN('Bond 1'!$B$34),4)</f>
        <v>B34</v>
      </c>
      <c r="C1995" t="str">
        <f>ADDRESS(ROW('Bond 1'!$D$34),COLUMN('Bond 1'!$D$34),4)</f>
        <v>D34</v>
      </c>
      <c r="D1995" t="b" cm="1">
        <f t="array" aca="1" ref="D1995" ca="1">IF(AND(NOT(ISBLANK('Bond Input'!N$43)),INDIRECT("'"&amp;A1995&amp;"'!"&amp;B1995)&lt;&gt;'Bond Input'!N$43),TRUE,FALSE)</f>
        <v>0</v>
      </c>
      <c r="E1995" t="s">
        <v>634</v>
      </c>
      <c r="F1995" t="str">
        <f>INDEX(Lists!I:I,MATCH(Validation!E1995,Lists!G:G,0))</f>
        <v>Alert</v>
      </c>
      <c r="G1995" t="str">
        <f>INDEX(Lists!H:H,MATCH(Validation!E1995,Lists!G:G,0))</f>
        <v>You have changed previously reported data. Explain in the comments box.</v>
      </c>
      <c r="H1995" s="25" t="str">
        <f t="shared" ca="1" si="225"/>
        <v/>
      </c>
      <c r="I1995" s="25" t="str">
        <f t="shared" ca="1" si="226"/>
        <v/>
      </c>
      <c r="J1995" s="26" t="str">
        <f t="shared" ca="1" si="227"/>
        <v/>
      </c>
    </row>
    <row r="1996" spans="1:10" x14ac:dyDescent="0.25">
      <c r="A1996" t="s">
        <v>313</v>
      </c>
      <c r="B1996" t="str">
        <f>ADDRESS(ROW('Bond 1'!$B$34),COLUMN('Bond 1'!$B$34),4)</f>
        <v>B34</v>
      </c>
      <c r="C1996" t="str">
        <f>ADDRESS(ROW('Bond 1'!$D$34),COLUMN('Bond 1'!$D$34),4)</f>
        <v>D34</v>
      </c>
      <c r="D1996" t="b" cm="1">
        <f t="array" aca="1" ref="D1996" ca="1">IF(AND(NOT(ISBLANK('Bond Input'!O$43)),INDIRECT("'"&amp;A1996&amp;"'!"&amp;B1996)&lt;&gt;'Bond Input'!O$43),TRUE,FALSE)</f>
        <v>0</v>
      </c>
      <c r="E1996" t="s">
        <v>634</v>
      </c>
      <c r="F1996" t="str">
        <f>INDEX(Lists!I:I,MATCH(Validation!E1996,Lists!G:G,0))</f>
        <v>Alert</v>
      </c>
      <c r="G1996" t="str">
        <f>INDEX(Lists!H:H,MATCH(Validation!E1996,Lists!G:G,0))</f>
        <v>You have changed previously reported data. Explain in the comments box.</v>
      </c>
      <c r="H1996" s="25" t="str">
        <f t="shared" ca="1" si="225"/>
        <v/>
      </c>
      <c r="I1996" s="25" t="str">
        <f t="shared" ca="1" si="226"/>
        <v/>
      </c>
      <c r="J1996" s="26" t="str">
        <f t="shared" ca="1" si="227"/>
        <v/>
      </c>
    </row>
    <row r="1997" spans="1:10" x14ac:dyDescent="0.25">
      <c r="A1997" t="s">
        <v>314</v>
      </c>
      <c r="B1997" t="str">
        <f>ADDRESS(ROW('Bond 1'!$B$34),COLUMN('Bond 1'!$B$34),4)</f>
        <v>B34</v>
      </c>
      <c r="C1997" t="str">
        <f>ADDRESS(ROW('Bond 1'!$D$34),COLUMN('Bond 1'!$D$34),4)</f>
        <v>D34</v>
      </c>
      <c r="D1997" t="b" cm="1">
        <f t="array" aca="1" ref="D1997" ca="1">IF(AND(NOT(ISBLANK('Bond Input'!P$43)),INDIRECT("'"&amp;A1997&amp;"'!"&amp;B1997)&lt;&gt;'Bond Input'!P$43),TRUE,FALSE)</f>
        <v>0</v>
      </c>
      <c r="E1997" t="s">
        <v>634</v>
      </c>
      <c r="F1997" t="str">
        <f>INDEX(Lists!I:I,MATCH(Validation!E1997,Lists!G:G,0))</f>
        <v>Alert</v>
      </c>
      <c r="G1997" t="str">
        <f>INDEX(Lists!H:H,MATCH(Validation!E1997,Lists!G:G,0))</f>
        <v>You have changed previously reported data. Explain in the comments box.</v>
      </c>
      <c r="H1997" s="25" t="str">
        <f t="shared" ca="1" si="225"/>
        <v/>
      </c>
      <c r="I1997" s="25" t="str">
        <f t="shared" ca="1" si="226"/>
        <v/>
      </c>
      <c r="J1997" s="26" t="str">
        <f t="shared" ca="1" si="227"/>
        <v/>
      </c>
    </row>
    <row r="1998" spans="1:10" x14ac:dyDescent="0.25">
      <c r="A1998" t="s">
        <v>315</v>
      </c>
      <c r="B1998" t="str">
        <f>ADDRESS(ROW('Bond 1'!$B$34),COLUMN('Bond 1'!$B$34),4)</f>
        <v>B34</v>
      </c>
      <c r="C1998" t="str">
        <f>ADDRESS(ROW('Bond 1'!$D$34),COLUMN('Bond 1'!$D$34),4)</f>
        <v>D34</v>
      </c>
      <c r="D1998" t="b" cm="1">
        <f t="array" aca="1" ref="D1998" ca="1">IF(AND(NOT(ISBLANK('Bond Input'!Q$43)),INDIRECT("'"&amp;A1998&amp;"'!"&amp;B1998)&lt;&gt;'Bond Input'!Q$43),TRUE,FALSE)</f>
        <v>0</v>
      </c>
      <c r="E1998" t="s">
        <v>634</v>
      </c>
      <c r="F1998" t="str">
        <f>INDEX(Lists!I:I,MATCH(Validation!E1998,Lists!G:G,0))</f>
        <v>Alert</v>
      </c>
      <c r="G1998" t="str">
        <f>INDEX(Lists!H:H,MATCH(Validation!E1998,Lists!G:G,0))</f>
        <v>You have changed previously reported data. Explain in the comments box.</v>
      </c>
      <c r="H1998" s="25" t="str">
        <f t="shared" ca="1" si="225"/>
        <v/>
      </c>
      <c r="I1998" s="25" t="str">
        <f t="shared" ca="1" si="226"/>
        <v/>
      </c>
      <c r="J1998" s="26" t="str">
        <f t="shared" ca="1" si="227"/>
        <v/>
      </c>
    </row>
    <row r="1999" spans="1:10" x14ac:dyDescent="0.25">
      <c r="A1999" t="s">
        <v>198</v>
      </c>
      <c r="B1999" t="str">
        <f>ADDRESS(ROW('Bond 1'!$C$34),COLUMN('Bond 1'!$C$34),4)</f>
        <v>C34</v>
      </c>
      <c r="C1999" t="str">
        <f>ADDRESS(ROW('Bond 1'!$D$34),COLUMN('Bond 1'!$D$34),4)</f>
        <v>D34</v>
      </c>
      <c r="D1999" t="b" cm="1">
        <f t="array" aca="1" ref="D1999" ca="1">IF(INDIRECT("'"&amp;A1999&amp;"'!"&amp;B1999)="",FALSE,IF(NOT(ISNUMBER(INDIRECT("'"&amp;A1999&amp;"'!"&amp;B1999))),TRUE,FALSE))</f>
        <v>0</v>
      </c>
      <c r="E1999" t="s">
        <v>435</v>
      </c>
      <c r="F1999" t="str">
        <f>INDEX(Lists!I:I,MATCH(Validation!E1999,Lists!G:G,0))</f>
        <v>Error</v>
      </c>
      <c r="G1999" t="str">
        <f>INDEX(Lists!H:H,MATCH(Validation!E1999,Lists!G:G,0))</f>
        <v>Enter an amount only. Do not enter text or spaces.</v>
      </c>
      <c r="H1999" s="25" t="str">
        <f t="shared" ca="1" si="225"/>
        <v/>
      </c>
      <c r="I1999" s="25" t="str">
        <f t="shared" ca="1" si="226"/>
        <v/>
      </c>
      <c r="J1999" s="26" t="str">
        <f t="shared" ca="1" si="227"/>
        <v/>
      </c>
    </row>
    <row r="2000" spans="1:10" x14ac:dyDescent="0.25">
      <c r="A2000" t="s">
        <v>302</v>
      </c>
      <c r="B2000" t="str">
        <f>ADDRESS(ROW('Bond 1'!$C$34),COLUMN('Bond 1'!$C$34),4)</f>
        <v>C34</v>
      </c>
      <c r="C2000" t="str">
        <f>ADDRESS(ROW('Bond 1'!$D$34),COLUMN('Bond 1'!$D$34),4)</f>
        <v>D34</v>
      </c>
      <c r="D2000" t="b" cm="1">
        <f t="array" aca="1" ref="D2000" ca="1">IF(INDIRECT("'"&amp;A2000&amp;"'!"&amp;B2000)="",FALSE,IF(NOT(ISNUMBER(INDIRECT("'"&amp;A2000&amp;"'!"&amp;B2000))),TRUE,FALSE))</f>
        <v>0</v>
      </c>
      <c r="E2000" t="s">
        <v>435</v>
      </c>
      <c r="F2000" t="str">
        <f>INDEX(Lists!I:I,MATCH(Validation!E2000,Lists!G:G,0))</f>
        <v>Error</v>
      </c>
      <c r="G2000" t="str">
        <f>INDEX(Lists!H:H,MATCH(Validation!E2000,Lists!G:G,0))</f>
        <v>Enter an amount only. Do not enter text or spaces.</v>
      </c>
      <c r="H2000" s="25" t="str">
        <f t="shared" ca="1" si="225"/>
        <v/>
      </c>
      <c r="I2000" s="25" t="str">
        <f t="shared" ca="1" si="226"/>
        <v/>
      </c>
      <c r="J2000" s="26" t="str">
        <f t="shared" ca="1" si="227"/>
        <v/>
      </c>
    </row>
    <row r="2001" spans="1:10" x14ac:dyDescent="0.25">
      <c r="A2001" t="s">
        <v>303</v>
      </c>
      <c r="B2001" t="str">
        <f>ADDRESS(ROW('Bond 1'!$C$34),COLUMN('Bond 1'!$C$34),4)</f>
        <v>C34</v>
      </c>
      <c r="C2001" t="str">
        <f>ADDRESS(ROW('Bond 1'!$D$34),COLUMN('Bond 1'!$D$34),4)</f>
        <v>D34</v>
      </c>
      <c r="D2001" t="b" cm="1">
        <f t="array" aca="1" ref="D2001" ca="1">IF(INDIRECT("'"&amp;A2001&amp;"'!"&amp;B2001)="",FALSE,IF(NOT(ISNUMBER(INDIRECT("'"&amp;A2001&amp;"'!"&amp;B2001))),TRUE,FALSE))</f>
        <v>0</v>
      </c>
      <c r="E2001" t="s">
        <v>435</v>
      </c>
      <c r="F2001" t="str">
        <f>INDEX(Lists!I:I,MATCH(Validation!E2001,Lists!G:G,0))</f>
        <v>Error</v>
      </c>
      <c r="G2001" t="str">
        <f>INDEX(Lists!H:H,MATCH(Validation!E2001,Lists!G:G,0))</f>
        <v>Enter an amount only. Do not enter text or spaces.</v>
      </c>
      <c r="H2001" s="25" t="str">
        <f t="shared" ca="1" si="225"/>
        <v/>
      </c>
      <c r="I2001" s="25" t="str">
        <f t="shared" ca="1" si="226"/>
        <v/>
      </c>
      <c r="J2001" s="26" t="str">
        <f t="shared" ca="1" si="227"/>
        <v/>
      </c>
    </row>
    <row r="2002" spans="1:10" x14ac:dyDescent="0.25">
      <c r="A2002" t="s">
        <v>304</v>
      </c>
      <c r="B2002" t="str">
        <f>ADDRESS(ROW('Bond 1'!$C$34),COLUMN('Bond 1'!$C$34),4)</f>
        <v>C34</v>
      </c>
      <c r="C2002" t="str">
        <f>ADDRESS(ROW('Bond 1'!$D$34),COLUMN('Bond 1'!$D$34),4)</f>
        <v>D34</v>
      </c>
      <c r="D2002" t="b" cm="1">
        <f t="array" aca="1" ref="D2002" ca="1">IF(INDIRECT("'"&amp;A2002&amp;"'!"&amp;B2002)="",FALSE,IF(NOT(ISNUMBER(INDIRECT("'"&amp;A2002&amp;"'!"&amp;B2002))),TRUE,FALSE))</f>
        <v>0</v>
      </c>
      <c r="E2002" t="s">
        <v>435</v>
      </c>
      <c r="F2002" t="str">
        <f>INDEX(Lists!I:I,MATCH(Validation!E2002,Lists!G:G,0))</f>
        <v>Error</v>
      </c>
      <c r="G2002" t="str">
        <f>INDEX(Lists!H:H,MATCH(Validation!E2002,Lists!G:G,0))</f>
        <v>Enter an amount only. Do not enter text or spaces.</v>
      </c>
      <c r="H2002" s="25" t="str">
        <f t="shared" ca="1" si="225"/>
        <v/>
      </c>
      <c r="I2002" s="25" t="str">
        <f t="shared" ca="1" si="226"/>
        <v/>
      </c>
      <c r="J2002" s="26" t="str">
        <f t="shared" ca="1" si="227"/>
        <v/>
      </c>
    </row>
    <row r="2003" spans="1:10" x14ac:dyDescent="0.25">
      <c r="A2003" t="s">
        <v>305</v>
      </c>
      <c r="B2003" t="str">
        <f>ADDRESS(ROW('Bond 1'!$C$34),COLUMN('Bond 1'!$C$34),4)</f>
        <v>C34</v>
      </c>
      <c r="C2003" t="str">
        <f>ADDRESS(ROW('Bond 1'!$D$34),COLUMN('Bond 1'!$D$34),4)</f>
        <v>D34</v>
      </c>
      <c r="D2003" t="b" cm="1">
        <f t="array" aca="1" ref="D2003" ca="1">IF(INDIRECT("'"&amp;A2003&amp;"'!"&amp;B2003)="",FALSE,IF(NOT(ISNUMBER(INDIRECT("'"&amp;A2003&amp;"'!"&amp;B2003))),TRUE,FALSE))</f>
        <v>0</v>
      </c>
      <c r="E2003" t="s">
        <v>435</v>
      </c>
      <c r="F2003" t="str">
        <f>INDEX(Lists!I:I,MATCH(Validation!E2003,Lists!G:G,0))</f>
        <v>Error</v>
      </c>
      <c r="G2003" t="str">
        <f>INDEX(Lists!H:H,MATCH(Validation!E2003,Lists!G:G,0))</f>
        <v>Enter an amount only. Do not enter text or spaces.</v>
      </c>
      <c r="H2003" s="25" t="str">
        <f t="shared" ca="1" si="225"/>
        <v/>
      </c>
      <c r="I2003" s="25" t="str">
        <f t="shared" ca="1" si="226"/>
        <v/>
      </c>
      <c r="J2003" s="26" t="str">
        <f t="shared" ca="1" si="227"/>
        <v/>
      </c>
    </row>
    <row r="2004" spans="1:10" x14ac:dyDescent="0.25">
      <c r="A2004" t="s">
        <v>306</v>
      </c>
      <c r="B2004" t="str">
        <f>ADDRESS(ROW('Bond 1'!$C$34),COLUMN('Bond 1'!$C$34),4)</f>
        <v>C34</v>
      </c>
      <c r="C2004" t="str">
        <f>ADDRESS(ROW('Bond 1'!$D$34),COLUMN('Bond 1'!$D$34),4)</f>
        <v>D34</v>
      </c>
      <c r="D2004" t="b" cm="1">
        <f t="array" aca="1" ref="D2004" ca="1">IF(INDIRECT("'"&amp;A2004&amp;"'!"&amp;B2004)="",FALSE,IF(NOT(ISNUMBER(INDIRECT("'"&amp;A2004&amp;"'!"&amp;B2004))),TRUE,FALSE))</f>
        <v>0</v>
      </c>
      <c r="E2004" t="s">
        <v>435</v>
      </c>
      <c r="F2004" t="str">
        <f>INDEX(Lists!I:I,MATCH(Validation!E2004,Lists!G:G,0))</f>
        <v>Error</v>
      </c>
      <c r="G2004" t="str">
        <f>INDEX(Lists!H:H,MATCH(Validation!E2004,Lists!G:G,0))</f>
        <v>Enter an amount only. Do not enter text or spaces.</v>
      </c>
      <c r="H2004" s="25" t="str">
        <f t="shared" ca="1" si="225"/>
        <v/>
      </c>
      <c r="I2004" s="25" t="str">
        <f t="shared" ca="1" si="226"/>
        <v/>
      </c>
      <c r="J2004" s="26" t="str">
        <f t="shared" ca="1" si="227"/>
        <v/>
      </c>
    </row>
    <row r="2005" spans="1:10" x14ac:dyDescent="0.25">
      <c r="A2005" t="s">
        <v>307</v>
      </c>
      <c r="B2005" t="str">
        <f>ADDRESS(ROW('Bond 1'!$C$34),COLUMN('Bond 1'!$C$34),4)</f>
        <v>C34</v>
      </c>
      <c r="C2005" t="str">
        <f>ADDRESS(ROW('Bond 1'!$D$34),COLUMN('Bond 1'!$D$34),4)</f>
        <v>D34</v>
      </c>
      <c r="D2005" t="b" cm="1">
        <f t="array" aca="1" ref="D2005" ca="1">IF(INDIRECT("'"&amp;A2005&amp;"'!"&amp;B2005)="",FALSE,IF(NOT(ISNUMBER(INDIRECT("'"&amp;A2005&amp;"'!"&amp;B2005))),TRUE,FALSE))</f>
        <v>0</v>
      </c>
      <c r="E2005" t="s">
        <v>435</v>
      </c>
      <c r="F2005" t="str">
        <f>INDEX(Lists!I:I,MATCH(Validation!E2005,Lists!G:G,0))</f>
        <v>Error</v>
      </c>
      <c r="G2005" t="str">
        <f>INDEX(Lists!H:H,MATCH(Validation!E2005,Lists!G:G,0))</f>
        <v>Enter an amount only. Do not enter text or spaces.</v>
      </c>
      <c r="H2005" s="25" t="str">
        <f t="shared" ca="1" si="225"/>
        <v/>
      </c>
      <c r="I2005" s="25" t="str">
        <f t="shared" ca="1" si="226"/>
        <v/>
      </c>
      <c r="J2005" s="26" t="str">
        <f t="shared" ca="1" si="227"/>
        <v/>
      </c>
    </row>
    <row r="2006" spans="1:10" x14ac:dyDescent="0.25">
      <c r="A2006" t="s">
        <v>308</v>
      </c>
      <c r="B2006" t="str">
        <f>ADDRESS(ROW('Bond 1'!$C$34),COLUMN('Bond 1'!$C$34),4)</f>
        <v>C34</v>
      </c>
      <c r="C2006" t="str">
        <f>ADDRESS(ROW('Bond 1'!$D$34),COLUMN('Bond 1'!$D$34),4)</f>
        <v>D34</v>
      </c>
      <c r="D2006" t="b" cm="1">
        <f t="array" aca="1" ref="D2006" ca="1">IF(INDIRECT("'"&amp;A2006&amp;"'!"&amp;B2006)="",FALSE,IF(NOT(ISNUMBER(INDIRECT("'"&amp;A2006&amp;"'!"&amp;B2006))),TRUE,FALSE))</f>
        <v>0</v>
      </c>
      <c r="E2006" t="s">
        <v>435</v>
      </c>
      <c r="F2006" t="str">
        <f>INDEX(Lists!I:I,MATCH(Validation!E2006,Lists!G:G,0))</f>
        <v>Error</v>
      </c>
      <c r="G2006" t="str">
        <f>INDEX(Lists!H:H,MATCH(Validation!E2006,Lists!G:G,0))</f>
        <v>Enter an amount only. Do not enter text or spaces.</v>
      </c>
      <c r="H2006" s="25" t="str">
        <f t="shared" ca="1" si="225"/>
        <v/>
      </c>
      <c r="I2006" s="25" t="str">
        <f t="shared" ca="1" si="226"/>
        <v/>
      </c>
      <c r="J2006" s="26" t="str">
        <f t="shared" ca="1" si="227"/>
        <v/>
      </c>
    </row>
    <row r="2007" spans="1:10" x14ac:dyDescent="0.25">
      <c r="A2007" t="s">
        <v>309</v>
      </c>
      <c r="B2007" t="str">
        <f>ADDRESS(ROW('Bond 1'!$C$34),COLUMN('Bond 1'!$C$34),4)</f>
        <v>C34</v>
      </c>
      <c r="C2007" t="str">
        <f>ADDRESS(ROW('Bond 1'!$D$34),COLUMN('Bond 1'!$D$34),4)</f>
        <v>D34</v>
      </c>
      <c r="D2007" t="b" cm="1">
        <f t="array" aca="1" ref="D2007" ca="1">IF(INDIRECT("'"&amp;A2007&amp;"'!"&amp;B2007)="",FALSE,IF(NOT(ISNUMBER(INDIRECT("'"&amp;A2007&amp;"'!"&amp;B2007))),TRUE,FALSE))</f>
        <v>0</v>
      </c>
      <c r="E2007" t="s">
        <v>435</v>
      </c>
      <c r="F2007" t="str">
        <f>INDEX(Lists!I:I,MATCH(Validation!E2007,Lists!G:G,0))</f>
        <v>Error</v>
      </c>
      <c r="G2007" t="str">
        <f>INDEX(Lists!H:H,MATCH(Validation!E2007,Lists!G:G,0))</f>
        <v>Enter an amount only. Do not enter text or spaces.</v>
      </c>
      <c r="H2007" s="25" t="str">
        <f t="shared" ca="1" si="225"/>
        <v/>
      </c>
      <c r="I2007" s="25" t="str">
        <f t="shared" ca="1" si="226"/>
        <v/>
      </c>
      <c r="J2007" s="26" t="str">
        <f t="shared" ca="1" si="227"/>
        <v/>
      </c>
    </row>
    <row r="2008" spans="1:10" x14ac:dyDescent="0.25">
      <c r="A2008" t="s">
        <v>310</v>
      </c>
      <c r="B2008" t="str">
        <f>ADDRESS(ROW('Bond 1'!$C$34),COLUMN('Bond 1'!$C$34),4)</f>
        <v>C34</v>
      </c>
      <c r="C2008" t="str">
        <f>ADDRESS(ROW('Bond 1'!$D$34),COLUMN('Bond 1'!$D$34),4)</f>
        <v>D34</v>
      </c>
      <c r="D2008" t="b" cm="1">
        <f t="array" aca="1" ref="D2008" ca="1">IF(INDIRECT("'"&amp;A2008&amp;"'!"&amp;B2008)="",FALSE,IF(NOT(ISNUMBER(INDIRECT("'"&amp;A2008&amp;"'!"&amp;B2008))),TRUE,FALSE))</f>
        <v>0</v>
      </c>
      <c r="E2008" t="s">
        <v>435</v>
      </c>
      <c r="F2008" t="str">
        <f>INDEX(Lists!I:I,MATCH(Validation!E2008,Lists!G:G,0))</f>
        <v>Error</v>
      </c>
      <c r="G2008" t="str">
        <f>INDEX(Lists!H:H,MATCH(Validation!E2008,Lists!G:G,0))</f>
        <v>Enter an amount only. Do not enter text or spaces.</v>
      </c>
      <c r="H2008" s="25" t="str">
        <f t="shared" ca="1" si="225"/>
        <v/>
      </c>
      <c r="I2008" s="25" t="str">
        <f t="shared" ca="1" si="226"/>
        <v/>
      </c>
      <c r="J2008" s="26" t="str">
        <f t="shared" ca="1" si="227"/>
        <v/>
      </c>
    </row>
    <row r="2009" spans="1:10" x14ac:dyDescent="0.25">
      <c r="A2009" t="s">
        <v>311</v>
      </c>
      <c r="B2009" t="str">
        <f>ADDRESS(ROW('Bond 1'!$C$34),COLUMN('Bond 1'!$C$34),4)</f>
        <v>C34</v>
      </c>
      <c r="C2009" t="str">
        <f>ADDRESS(ROW('Bond 1'!$D$34),COLUMN('Bond 1'!$D$34),4)</f>
        <v>D34</v>
      </c>
      <c r="D2009" t="b" cm="1">
        <f t="array" aca="1" ref="D2009" ca="1">IF(INDIRECT("'"&amp;A2009&amp;"'!"&amp;B2009)="",FALSE,IF(NOT(ISNUMBER(INDIRECT("'"&amp;A2009&amp;"'!"&amp;B2009))),TRUE,FALSE))</f>
        <v>0</v>
      </c>
      <c r="E2009" t="s">
        <v>435</v>
      </c>
      <c r="F2009" t="str">
        <f>INDEX(Lists!I:I,MATCH(Validation!E2009,Lists!G:G,0))</f>
        <v>Error</v>
      </c>
      <c r="G2009" t="str">
        <f>INDEX(Lists!H:H,MATCH(Validation!E2009,Lists!G:G,0))</f>
        <v>Enter an amount only. Do not enter text or spaces.</v>
      </c>
      <c r="H2009" s="25" t="str">
        <f t="shared" ca="1" si="225"/>
        <v/>
      </c>
      <c r="I2009" s="25" t="str">
        <f t="shared" ca="1" si="226"/>
        <v/>
      </c>
      <c r="J2009" s="26" t="str">
        <f t="shared" ca="1" si="227"/>
        <v/>
      </c>
    </row>
    <row r="2010" spans="1:10" x14ac:dyDescent="0.25">
      <c r="A2010" t="s">
        <v>312</v>
      </c>
      <c r="B2010" t="str">
        <f>ADDRESS(ROW('Bond 1'!$C$34),COLUMN('Bond 1'!$C$34),4)</f>
        <v>C34</v>
      </c>
      <c r="C2010" t="str">
        <f>ADDRESS(ROW('Bond 1'!$D$34),COLUMN('Bond 1'!$D$34),4)</f>
        <v>D34</v>
      </c>
      <c r="D2010" t="b" cm="1">
        <f t="array" aca="1" ref="D2010" ca="1">IF(INDIRECT("'"&amp;A2010&amp;"'!"&amp;B2010)="",FALSE,IF(NOT(ISNUMBER(INDIRECT("'"&amp;A2010&amp;"'!"&amp;B2010))),TRUE,FALSE))</f>
        <v>0</v>
      </c>
      <c r="E2010" t="s">
        <v>435</v>
      </c>
      <c r="F2010" t="str">
        <f>INDEX(Lists!I:I,MATCH(Validation!E2010,Lists!G:G,0))</f>
        <v>Error</v>
      </c>
      <c r="G2010" t="str">
        <f>INDEX(Lists!H:H,MATCH(Validation!E2010,Lists!G:G,0))</f>
        <v>Enter an amount only. Do not enter text or spaces.</v>
      </c>
      <c r="H2010" s="25" t="str">
        <f t="shared" ca="1" si="225"/>
        <v/>
      </c>
      <c r="I2010" s="25" t="str">
        <f t="shared" ca="1" si="226"/>
        <v/>
      </c>
      <c r="J2010" s="26" t="str">
        <f t="shared" ca="1" si="227"/>
        <v/>
      </c>
    </row>
    <row r="2011" spans="1:10" x14ac:dyDescent="0.25">
      <c r="A2011" t="s">
        <v>313</v>
      </c>
      <c r="B2011" t="str">
        <f>ADDRESS(ROW('Bond 1'!$C$34),COLUMN('Bond 1'!$C$34),4)</f>
        <v>C34</v>
      </c>
      <c r="C2011" t="str">
        <f>ADDRESS(ROW('Bond 1'!$D$34),COLUMN('Bond 1'!$D$34),4)</f>
        <v>D34</v>
      </c>
      <c r="D2011" t="b" cm="1">
        <f t="array" aca="1" ref="D2011" ca="1">IF(INDIRECT("'"&amp;A2011&amp;"'!"&amp;B2011)="",FALSE,IF(NOT(ISNUMBER(INDIRECT("'"&amp;A2011&amp;"'!"&amp;B2011))),TRUE,FALSE))</f>
        <v>0</v>
      </c>
      <c r="E2011" t="s">
        <v>435</v>
      </c>
      <c r="F2011" t="str">
        <f>INDEX(Lists!I:I,MATCH(Validation!E2011,Lists!G:G,0))</f>
        <v>Error</v>
      </c>
      <c r="G2011" t="str">
        <f>INDEX(Lists!H:H,MATCH(Validation!E2011,Lists!G:G,0))</f>
        <v>Enter an amount only. Do not enter text or spaces.</v>
      </c>
      <c r="H2011" s="25" t="str">
        <f t="shared" ca="1" si="225"/>
        <v/>
      </c>
      <c r="I2011" s="25" t="str">
        <f t="shared" ca="1" si="226"/>
        <v/>
      </c>
      <c r="J2011" s="26" t="str">
        <f t="shared" ca="1" si="227"/>
        <v/>
      </c>
    </row>
    <row r="2012" spans="1:10" x14ac:dyDescent="0.25">
      <c r="A2012" t="s">
        <v>314</v>
      </c>
      <c r="B2012" t="str">
        <f>ADDRESS(ROW('Bond 1'!$C$34),COLUMN('Bond 1'!$C$34),4)</f>
        <v>C34</v>
      </c>
      <c r="C2012" t="str">
        <f>ADDRESS(ROW('Bond 1'!$D$34),COLUMN('Bond 1'!$D$34),4)</f>
        <v>D34</v>
      </c>
      <c r="D2012" t="b" cm="1">
        <f t="array" aca="1" ref="D2012" ca="1">IF(INDIRECT("'"&amp;A2012&amp;"'!"&amp;B2012)="",FALSE,IF(NOT(ISNUMBER(INDIRECT("'"&amp;A2012&amp;"'!"&amp;B2012))),TRUE,FALSE))</f>
        <v>0</v>
      </c>
      <c r="E2012" t="s">
        <v>435</v>
      </c>
      <c r="F2012" t="str">
        <f>INDEX(Lists!I:I,MATCH(Validation!E2012,Lists!G:G,0))</f>
        <v>Error</v>
      </c>
      <c r="G2012" t="str">
        <f>INDEX(Lists!H:H,MATCH(Validation!E2012,Lists!G:G,0))</f>
        <v>Enter an amount only. Do not enter text or spaces.</v>
      </c>
      <c r="H2012" s="25" t="str">
        <f t="shared" ca="1" si="225"/>
        <v/>
      </c>
      <c r="I2012" s="25" t="str">
        <f t="shared" ca="1" si="226"/>
        <v/>
      </c>
      <c r="J2012" s="26" t="str">
        <f t="shared" ca="1" si="227"/>
        <v/>
      </c>
    </row>
    <row r="2013" spans="1:10" x14ac:dyDescent="0.25">
      <c r="A2013" t="s">
        <v>315</v>
      </c>
      <c r="B2013" t="str">
        <f>ADDRESS(ROW('Bond 1'!$C$34),COLUMN('Bond 1'!$C$34),4)</f>
        <v>C34</v>
      </c>
      <c r="C2013" t="str">
        <f>ADDRESS(ROW('Bond 1'!$D$34),COLUMN('Bond 1'!$D$34),4)</f>
        <v>D34</v>
      </c>
      <c r="D2013" t="b" cm="1">
        <f t="array" aca="1" ref="D2013" ca="1">IF(INDIRECT("'"&amp;A2013&amp;"'!"&amp;B2013)="",FALSE,IF(NOT(ISNUMBER(INDIRECT("'"&amp;A2013&amp;"'!"&amp;B2013))),TRUE,FALSE))</f>
        <v>0</v>
      </c>
      <c r="E2013" t="s">
        <v>435</v>
      </c>
      <c r="F2013" t="str">
        <f>INDEX(Lists!I:I,MATCH(Validation!E2013,Lists!G:G,0))</f>
        <v>Error</v>
      </c>
      <c r="G2013" t="str">
        <f>INDEX(Lists!H:H,MATCH(Validation!E2013,Lists!G:G,0))</f>
        <v>Enter an amount only. Do not enter text or spaces.</v>
      </c>
      <c r="H2013" s="25" t="str">
        <f t="shared" ca="1" si="225"/>
        <v/>
      </c>
      <c r="I2013" s="25" t="str">
        <f t="shared" ca="1" si="226"/>
        <v/>
      </c>
      <c r="J2013" s="26" t="str">
        <f t="shared" ca="1" si="227"/>
        <v/>
      </c>
    </row>
    <row r="2014" spans="1:10" x14ac:dyDescent="0.25">
      <c r="A2014" t="s">
        <v>198</v>
      </c>
      <c r="B2014" t="str">
        <f>ADDRESS(ROW('Bond 1'!$C$34),COLUMN('Bond 1'!$C$34),4)</f>
        <v>C34</v>
      </c>
      <c r="C2014" t="str">
        <f>ADDRESS(ROW('Bond 1'!$D$34),COLUMN('Bond 1'!$D$34),4)</f>
        <v>D34</v>
      </c>
      <c r="D2014" t="b" cm="1">
        <f t="array" aca="1" ref="D2014" ca="1">IF(INDIRECT("'"&amp;A2014&amp;"'!"&amp;B2014)="",FALSE,IF(INDIRECT("'"&amp;A2014&amp;"'!"&amp;B2014)&lt;0,TRUE,FALSE))</f>
        <v>0</v>
      </c>
      <c r="E2014" t="s">
        <v>434</v>
      </c>
      <c r="F2014" t="str">
        <f>INDEX(Lists!I:I,MATCH(Validation!E2014,Lists!G:G,0))</f>
        <v>Error</v>
      </c>
      <c r="G2014" t="str">
        <f>INDEX(Lists!H:H,MATCH(Validation!E2014,Lists!G:G,0))</f>
        <v>Amount may not be negative. Enter an amount greater than or equal to zero.</v>
      </c>
      <c r="H2014" s="25" t="str">
        <f t="shared" ca="1" si="225"/>
        <v/>
      </c>
      <c r="I2014" s="25" t="str">
        <f t="shared" ca="1" si="226"/>
        <v/>
      </c>
      <c r="J2014" s="26" t="str">
        <f t="shared" ca="1" si="227"/>
        <v/>
      </c>
    </row>
    <row r="2015" spans="1:10" x14ac:dyDescent="0.25">
      <c r="A2015" t="s">
        <v>302</v>
      </c>
      <c r="B2015" t="str">
        <f>ADDRESS(ROW('Bond 1'!$C$34),COLUMN('Bond 1'!$C$34),4)</f>
        <v>C34</v>
      </c>
      <c r="C2015" t="str">
        <f>ADDRESS(ROW('Bond 1'!$D$34),COLUMN('Bond 1'!$D$34),4)</f>
        <v>D34</v>
      </c>
      <c r="D2015" t="b" cm="1">
        <f t="array" aca="1" ref="D2015" ca="1">IF(INDIRECT("'"&amp;A2015&amp;"'!"&amp;B2015)="",FALSE,IF(INDIRECT("'"&amp;A2015&amp;"'!"&amp;B2015)&lt;0,TRUE,FALSE))</f>
        <v>0</v>
      </c>
      <c r="E2015" t="s">
        <v>434</v>
      </c>
      <c r="F2015" t="str">
        <f>INDEX(Lists!I:I,MATCH(Validation!E2015,Lists!G:G,0))</f>
        <v>Error</v>
      </c>
      <c r="G2015" t="str">
        <f>INDEX(Lists!H:H,MATCH(Validation!E2015,Lists!G:G,0))</f>
        <v>Amount may not be negative. Enter an amount greater than or equal to zero.</v>
      </c>
      <c r="H2015" s="25" t="str">
        <f t="shared" ca="1" si="225"/>
        <v/>
      </c>
      <c r="I2015" s="25" t="str">
        <f t="shared" ca="1" si="226"/>
        <v/>
      </c>
      <c r="J2015" s="26" t="str">
        <f t="shared" ca="1" si="227"/>
        <v/>
      </c>
    </row>
    <row r="2016" spans="1:10" x14ac:dyDescent="0.25">
      <c r="A2016" t="s">
        <v>303</v>
      </c>
      <c r="B2016" t="str">
        <f>ADDRESS(ROW('Bond 1'!$C$34),COLUMN('Bond 1'!$C$34),4)</f>
        <v>C34</v>
      </c>
      <c r="C2016" t="str">
        <f>ADDRESS(ROW('Bond 1'!$D$34),COLUMN('Bond 1'!$D$34),4)</f>
        <v>D34</v>
      </c>
      <c r="D2016" t="b" cm="1">
        <f t="array" aca="1" ref="D2016" ca="1">IF(INDIRECT("'"&amp;A2016&amp;"'!"&amp;B2016)="",FALSE,IF(INDIRECT("'"&amp;A2016&amp;"'!"&amp;B2016)&lt;0,TRUE,FALSE))</f>
        <v>0</v>
      </c>
      <c r="E2016" t="s">
        <v>434</v>
      </c>
      <c r="F2016" t="str">
        <f>INDEX(Lists!I:I,MATCH(Validation!E2016,Lists!G:G,0))</f>
        <v>Error</v>
      </c>
      <c r="G2016" t="str">
        <f>INDEX(Lists!H:H,MATCH(Validation!E2016,Lists!G:G,0))</f>
        <v>Amount may not be negative. Enter an amount greater than or equal to zero.</v>
      </c>
      <c r="H2016" s="25" t="str">
        <f t="shared" ca="1" si="225"/>
        <v/>
      </c>
      <c r="I2016" s="25" t="str">
        <f t="shared" ca="1" si="226"/>
        <v/>
      </c>
      <c r="J2016" s="26" t="str">
        <f t="shared" ca="1" si="227"/>
        <v/>
      </c>
    </row>
    <row r="2017" spans="1:10" x14ac:dyDescent="0.25">
      <c r="A2017" t="s">
        <v>304</v>
      </c>
      <c r="B2017" t="str">
        <f>ADDRESS(ROW('Bond 1'!$C$34),COLUMN('Bond 1'!$C$34),4)</f>
        <v>C34</v>
      </c>
      <c r="C2017" t="str">
        <f>ADDRESS(ROW('Bond 1'!$D$34),COLUMN('Bond 1'!$D$34),4)</f>
        <v>D34</v>
      </c>
      <c r="D2017" t="b" cm="1">
        <f t="array" aca="1" ref="D2017" ca="1">IF(INDIRECT("'"&amp;A2017&amp;"'!"&amp;B2017)="",FALSE,IF(INDIRECT("'"&amp;A2017&amp;"'!"&amp;B2017)&lt;0,TRUE,FALSE))</f>
        <v>0</v>
      </c>
      <c r="E2017" t="s">
        <v>434</v>
      </c>
      <c r="F2017" t="str">
        <f>INDEX(Lists!I:I,MATCH(Validation!E2017,Lists!G:G,0))</f>
        <v>Error</v>
      </c>
      <c r="G2017" t="str">
        <f>INDEX(Lists!H:H,MATCH(Validation!E2017,Lists!G:G,0))</f>
        <v>Amount may not be negative. Enter an amount greater than or equal to zero.</v>
      </c>
      <c r="H2017" s="25" t="str">
        <f t="shared" ca="1" si="225"/>
        <v/>
      </c>
      <c r="I2017" s="25" t="str">
        <f t="shared" ca="1" si="226"/>
        <v/>
      </c>
      <c r="J2017" s="26" t="str">
        <f t="shared" ca="1" si="227"/>
        <v/>
      </c>
    </row>
    <row r="2018" spans="1:10" x14ac:dyDescent="0.25">
      <c r="A2018" t="s">
        <v>305</v>
      </c>
      <c r="B2018" t="str">
        <f>ADDRESS(ROW('Bond 1'!$C$34),COLUMN('Bond 1'!$C$34),4)</f>
        <v>C34</v>
      </c>
      <c r="C2018" t="str">
        <f>ADDRESS(ROW('Bond 1'!$D$34),COLUMN('Bond 1'!$D$34),4)</f>
        <v>D34</v>
      </c>
      <c r="D2018" t="b" cm="1">
        <f t="array" aca="1" ref="D2018" ca="1">IF(INDIRECT("'"&amp;A2018&amp;"'!"&amp;B2018)="",FALSE,IF(INDIRECT("'"&amp;A2018&amp;"'!"&amp;B2018)&lt;0,TRUE,FALSE))</f>
        <v>0</v>
      </c>
      <c r="E2018" t="s">
        <v>434</v>
      </c>
      <c r="F2018" t="str">
        <f>INDEX(Lists!I:I,MATCH(Validation!E2018,Lists!G:G,0))</f>
        <v>Error</v>
      </c>
      <c r="G2018" t="str">
        <f>INDEX(Lists!H:H,MATCH(Validation!E2018,Lists!G:G,0))</f>
        <v>Amount may not be negative. Enter an amount greater than or equal to zero.</v>
      </c>
      <c r="H2018" s="25" t="str">
        <f t="shared" ca="1" si="225"/>
        <v/>
      </c>
      <c r="I2018" s="25" t="str">
        <f t="shared" ca="1" si="226"/>
        <v/>
      </c>
      <c r="J2018" s="26" t="str">
        <f t="shared" ca="1" si="227"/>
        <v/>
      </c>
    </row>
    <row r="2019" spans="1:10" x14ac:dyDescent="0.25">
      <c r="A2019" t="s">
        <v>306</v>
      </c>
      <c r="B2019" t="str">
        <f>ADDRESS(ROW('Bond 1'!$C$34),COLUMN('Bond 1'!$C$34),4)</f>
        <v>C34</v>
      </c>
      <c r="C2019" t="str">
        <f>ADDRESS(ROW('Bond 1'!$D$34),COLUMN('Bond 1'!$D$34),4)</f>
        <v>D34</v>
      </c>
      <c r="D2019" t="b" cm="1">
        <f t="array" aca="1" ref="D2019" ca="1">IF(INDIRECT("'"&amp;A2019&amp;"'!"&amp;B2019)="",FALSE,IF(INDIRECT("'"&amp;A2019&amp;"'!"&amp;B2019)&lt;0,TRUE,FALSE))</f>
        <v>0</v>
      </c>
      <c r="E2019" t="s">
        <v>434</v>
      </c>
      <c r="F2019" t="str">
        <f>INDEX(Lists!I:I,MATCH(Validation!E2019,Lists!G:G,0))</f>
        <v>Error</v>
      </c>
      <c r="G2019" t="str">
        <f>INDEX(Lists!H:H,MATCH(Validation!E2019,Lists!G:G,0))</f>
        <v>Amount may not be negative. Enter an amount greater than or equal to zero.</v>
      </c>
      <c r="H2019" s="25" t="str">
        <f t="shared" ca="1" si="225"/>
        <v/>
      </c>
      <c r="I2019" s="25" t="str">
        <f t="shared" ca="1" si="226"/>
        <v/>
      </c>
      <c r="J2019" s="26" t="str">
        <f t="shared" ca="1" si="227"/>
        <v/>
      </c>
    </row>
    <row r="2020" spans="1:10" x14ac:dyDescent="0.25">
      <c r="A2020" t="s">
        <v>307</v>
      </c>
      <c r="B2020" t="str">
        <f>ADDRESS(ROW('Bond 1'!$C$34),COLUMN('Bond 1'!$C$34),4)</f>
        <v>C34</v>
      </c>
      <c r="C2020" t="str">
        <f>ADDRESS(ROW('Bond 1'!$D$34),COLUMN('Bond 1'!$D$34),4)</f>
        <v>D34</v>
      </c>
      <c r="D2020" t="b" cm="1">
        <f t="array" aca="1" ref="D2020" ca="1">IF(INDIRECT("'"&amp;A2020&amp;"'!"&amp;B2020)="",FALSE,IF(INDIRECT("'"&amp;A2020&amp;"'!"&amp;B2020)&lt;0,TRUE,FALSE))</f>
        <v>0</v>
      </c>
      <c r="E2020" t="s">
        <v>434</v>
      </c>
      <c r="F2020" t="str">
        <f>INDEX(Lists!I:I,MATCH(Validation!E2020,Lists!G:G,0))</f>
        <v>Error</v>
      </c>
      <c r="G2020" t="str">
        <f>INDEX(Lists!H:H,MATCH(Validation!E2020,Lists!G:G,0))</f>
        <v>Amount may not be negative. Enter an amount greater than or equal to zero.</v>
      </c>
      <c r="H2020" s="25" t="str">
        <f t="shared" ca="1" si="225"/>
        <v/>
      </c>
      <c r="I2020" s="25" t="str">
        <f t="shared" ca="1" si="226"/>
        <v/>
      </c>
      <c r="J2020" s="26" t="str">
        <f t="shared" ca="1" si="227"/>
        <v/>
      </c>
    </row>
    <row r="2021" spans="1:10" x14ac:dyDescent="0.25">
      <c r="A2021" t="s">
        <v>308</v>
      </c>
      <c r="B2021" t="str">
        <f>ADDRESS(ROW('Bond 1'!$C$34),COLUMN('Bond 1'!$C$34),4)</f>
        <v>C34</v>
      </c>
      <c r="C2021" t="str">
        <f>ADDRESS(ROW('Bond 1'!$D$34),COLUMN('Bond 1'!$D$34),4)</f>
        <v>D34</v>
      </c>
      <c r="D2021" t="b" cm="1">
        <f t="array" aca="1" ref="D2021" ca="1">IF(INDIRECT("'"&amp;A2021&amp;"'!"&amp;B2021)="",FALSE,IF(INDIRECT("'"&amp;A2021&amp;"'!"&amp;B2021)&lt;0,TRUE,FALSE))</f>
        <v>0</v>
      </c>
      <c r="E2021" t="s">
        <v>434</v>
      </c>
      <c r="F2021" t="str">
        <f>INDEX(Lists!I:I,MATCH(Validation!E2021,Lists!G:G,0))</f>
        <v>Error</v>
      </c>
      <c r="G2021" t="str">
        <f>INDEX(Lists!H:H,MATCH(Validation!E2021,Lists!G:G,0))</f>
        <v>Amount may not be negative. Enter an amount greater than or equal to zero.</v>
      </c>
      <c r="H2021" s="25" t="str">
        <f t="shared" ca="1" si="225"/>
        <v/>
      </c>
      <c r="I2021" s="25" t="str">
        <f t="shared" ca="1" si="226"/>
        <v/>
      </c>
      <c r="J2021" s="26" t="str">
        <f t="shared" ca="1" si="227"/>
        <v/>
      </c>
    </row>
    <row r="2022" spans="1:10" x14ac:dyDescent="0.25">
      <c r="A2022" t="s">
        <v>309</v>
      </c>
      <c r="B2022" t="str">
        <f>ADDRESS(ROW('Bond 1'!$C$34),COLUMN('Bond 1'!$C$34),4)</f>
        <v>C34</v>
      </c>
      <c r="C2022" t="str">
        <f>ADDRESS(ROW('Bond 1'!$D$34),COLUMN('Bond 1'!$D$34),4)</f>
        <v>D34</v>
      </c>
      <c r="D2022" t="b" cm="1">
        <f t="array" aca="1" ref="D2022" ca="1">IF(INDIRECT("'"&amp;A2022&amp;"'!"&amp;B2022)="",FALSE,IF(INDIRECT("'"&amp;A2022&amp;"'!"&amp;B2022)&lt;0,TRUE,FALSE))</f>
        <v>0</v>
      </c>
      <c r="E2022" t="s">
        <v>434</v>
      </c>
      <c r="F2022" t="str">
        <f>INDEX(Lists!I:I,MATCH(Validation!E2022,Lists!G:G,0))</f>
        <v>Error</v>
      </c>
      <c r="G2022" t="str">
        <f>INDEX(Lists!H:H,MATCH(Validation!E2022,Lists!G:G,0))</f>
        <v>Amount may not be negative. Enter an amount greater than or equal to zero.</v>
      </c>
      <c r="H2022" s="25" t="str">
        <f t="shared" ca="1" si="225"/>
        <v/>
      </c>
      <c r="I2022" s="25" t="str">
        <f t="shared" ca="1" si="226"/>
        <v/>
      </c>
      <c r="J2022" s="26" t="str">
        <f t="shared" ca="1" si="227"/>
        <v/>
      </c>
    </row>
    <row r="2023" spans="1:10" x14ac:dyDescent="0.25">
      <c r="A2023" t="s">
        <v>310</v>
      </c>
      <c r="B2023" t="str">
        <f>ADDRESS(ROW('Bond 1'!$C$34),COLUMN('Bond 1'!$C$34),4)</f>
        <v>C34</v>
      </c>
      <c r="C2023" t="str">
        <f>ADDRESS(ROW('Bond 1'!$D$34),COLUMN('Bond 1'!$D$34),4)</f>
        <v>D34</v>
      </c>
      <c r="D2023" t="b" cm="1">
        <f t="array" aca="1" ref="D2023" ca="1">IF(INDIRECT("'"&amp;A2023&amp;"'!"&amp;B2023)="",FALSE,IF(INDIRECT("'"&amp;A2023&amp;"'!"&amp;B2023)&lt;0,TRUE,FALSE))</f>
        <v>0</v>
      </c>
      <c r="E2023" t="s">
        <v>434</v>
      </c>
      <c r="F2023" t="str">
        <f>INDEX(Lists!I:I,MATCH(Validation!E2023,Lists!G:G,0))</f>
        <v>Error</v>
      </c>
      <c r="G2023" t="str">
        <f>INDEX(Lists!H:H,MATCH(Validation!E2023,Lists!G:G,0))</f>
        <v>Amount may not be negative. Enter an amount greater than or equal to zero.</v>
      </c>
      <c r="H2023" s="25" t="str">
        <f t="shared" ca="1" si="225"/>
        <v/>
      </c>
      <c r="I2023" s="25" t="str">
        <f t="shared" ca="1" si="226"/>
        <v/>
      </c>
      <c r="J2023" s="26" t="str">
        <f t="shared" ca="1" si="227"/>
        <v/>
      </c>
    </row>
    <row r="2024" spans="1:10" x14ac:dyDescent="0.25">
      <c r="A2024" t="s">
        <v>311</v>
      </c>
      <c r="B2024" t="str">
        <f>ADDRESS(ROW('Bond 1'!$C$34),COLUMN('Bond 1'!$C$34),4)</f>
        <v>C34</v>
      </c>
      <c r="C2024" t="str">
        <f>ADDRESS(ROW('Bond 1'!$D$34),COLUMN('Bond 1'!$D$34),4)</f>
        <v>D34</v>
      </c>
      <c r="D2024" t="b" cm="1">
        <f t="array" aca="1" ref="D2024" ca="1">IF(INDIRECT("'"&amp;A2024&amp;"'!"&amp;B2024)="",FALSE,IF(INDIRECT("'"&amp;A2024&amp;"'!"&amp;B2024)&lt;0,TRUE,FALSE))</f>
        <v>0</v>
      </c>
      <c r="E2024" t="s">
        <v>434</v>
      </c>
      <c r="F2024" t="str">
        <f>INDEX(Lists!I:I,MATCH(Validation!E2024,Lists!G:G,0))</f>
        <v>Error</v>
      </c>
      <c r="G2024" t="str">
        <f>INDEX(Lists!H:H,MATCH(Validation!E2024,Lists!G:G,0))</f>
        <v>Amount may not be negative. Enter an amount greater than or equal to zero.</v>
      </c>
      <c r="H2024" s="25" t="str">
        <f t="shared" ca="1" si="225"/>
        <v/>
      </c>
      <c r="I2024" s="25" t="str">
        <f t="shared" ca="1" si="226"/>
        <v/>
      </c>
      <c r="J2024" s="26" t="str">
        <f t="shared" ca="1" si="227"/>
        <v/>
      </c>
    </row>
    <row r="2025" spans="1:10" x14ac:dyDescent="0.25">
      <c r="A2025" t="s">
        <v>312</v>
      </c>
      <c r="B2025" t="str">
        <f>ADDRESS(ROW('Bond 1'!$C$34),COLUMN('Bond 1'!$C$34),4)</f>
        <v>C34</v>
      </c>
      <c r="C2025" t="str">
        <f>ADDRESS(ROW('Bond 1'!$D$34),COLUMN('Bond 1'!$D$34),4)</f>
        <v>D34</v>
      </c>
      <c r="D2025" t="b" cm="1">
        <f t="array" aca="1" ref="D2025" ca="1">IF(INDIRECT("'"&amp;A2025&amp;"'!"&amp;B2025)="",FALSE,IF(INDIRECT("'"&amp;A2025&amp;"'!"&amp;B2025)&lt;0,TRUE,FALSE))</f>
        <v>0</v>
      </c>
      <c r="E2025" t="s">
        <v>434</v>
      </c>
      <c r="F2025" t="str">
        <f>INDEX(Lists!I:I,MATCH(Validation!E2025,Lists!G:G,0))</f>
        <v>Error</v>
      </c>
      <c r="G2025" t="str">
        <f>INDEX(Lists!H:H,MATCH(Validation!E2025,Lists!G:G,0))</f>
        <v>Amount may not be negative. Enter an amount greater than or equal to zero.</v>
      </c>
      <c r="H2025" s="25" t="str">
        <f t="shared" ca="1" si="225"/>
        <v/>
      </c>
      <c r="I2025" s="25" t="str">
        <f t="shared" ca="1" si="226"/>
        <v/>
      </c>
      <c r="J2025" s="26" t="str">
        <f t="shared" ca="1" si="227"/>
        <v/>
      </c>
    </row>
    <row r="2026" spans="1:10" x14ac:dyDescent="0.25">
      <c r="A2026" t="s">
        <v>313</v>
      </c>
      <c r="B2026" t="str">
        <f>ADDRESS(ROW('Bond 1'!$C$34),COLUMN('Bond 1'!$C$34),4)</f>
        <v>C34</v>
      </c>
      <c r="C2026" t="str">
        <f>ADDRESS(ROW('Bond 1'!$D$34),COLUMN('Bond 1'!$D$34),4)</f>
        <v>D34</v>
      </c>
      <c r="D2026" t="b" cm="1">
        <f t="array" aca="1" ref="D2026" ca="1">IF(INDIRECT("'"&amp;A2026&amp;"'!"&amp;B2026)="",FALSE,IF(INDIRECT("'"&amp;A2026&amp;"'!"&amp;B2026)&lt;0,TRUE,FALSE))</f>
        <v>0</v>
      </c>
      <c r="E2026" t="s">
        <v>434</v>
      </c>
      <c r="F2026" t="str">
        <f>INDEX(Lists!I:I,MATCH(Validation!E2026,Lists!G:G,0))</f>
        <v>Error</v>
      </c>
      <c r="G2026" t="str">
        <f>INDEX(Lists!H:H,MATCH(Validation!E2026,Lists!G:G,0))</f>
        <v>Amount may not be negative. Enter an amount greater than or equal to zero.</v>
      </c>
      <c r="H2026" s="25" t="str">
        <f t="shared" ca="1" si="225"/>
        <v/>
      </c>
      <c r="I2026" s="25" t="str">
        <f t="shared" ca="1" si="226"/>
        <v/>
      </c>
      <c r="J2026" s="26" t="str">
        <f t="shared" ca="1" si="227"/>
        <v/>
      </c>
    </row>
    <row r="2027" spans="1:10" x14ac:dyDescent="0.25">
      <c r="A2027" t="s">
        <v>314</v>
      </c>
      <c r="B2027" t="str">
        <f>ADDRESS(ROW('Bond 1'!$C$34),COLUMN('Bond 1'!$C$34),4)</f>
        <v>C34</v>
      </c>
      <c r="C2027" t="str">
        <f>ADDRESS(ROW('Bond 1'!$D$34),COLUMN('Bond 1'!$D$34),4)</f>
        <v>D34</v>
      </c>
      <c r="D2027" t="b" cm="1">
        <f t="array" aca="1" ref="D2027" ca="1">IF(INDIRECT("'"&amp;A2027&amp;"'!"&amp;B2027)="",FALSE,IF(INDIRECT("'"&amp;A2027&amp;"'!"&amp;B2027)&lt;0,TRUE,FALSE))</f>
        <v>0</v>
      </c>
      <c r="E2027" t="s">
        <v>434</v>
      </c>
      <c r="F2027" t="str">
        <f>INDEX(Lists!I:I,MATCH(Validation!E2027,Lists!G:G,0))</f>
        <v>Error</v>
      </c>
      <c r="G2027" t="str">
        <f>INDEX(Lists!H:H,MATCH(Validation!E2027,Lists!G:G,0))</f>
        <v>Amount may not be negative. Enter an amount greater than or equal to zero.</v>
      </c>
      <c r="H2027" s="25" t="str">
        <f t="shared" ca="1" si="225"/>
        <v/>
      </c>
      <c r="I2027" s="25" t="str">
        <f t="shared" ca="1" si="226"/>
        <v/>
      </c>
      <c r="J2027" s="26" t="str">
        <f t="shared" ca="1" si="227"/>
        <v/>
      </c>
    </row>
    <row r="2028" spans="1:10" x14ac:dyDescent="0.25">
      <c r="A2028" t="s">
        <v>315</v>
      </c>
      <c r="B2028" t="str">
        <f>ADDRESS(ROW('Bond 1'!$C$34),COLUMN('Bond 1'!$C$34),4)</f>
        <v>C34</v>
      </c>
      <c r="C2028" t="str">
        <f>ADDRESS(ROW('Bond 1'!$D$34),COLUMN('Bond 1'!$D$34),4)</f>
        <v>D34</v>
      </c>
      <c r="D2028" t="b" cm="1">
        <f t="array" aca="1" ref="D2028" ca="1">IF(INDIRECT("'"&amp;A2028&amp;"'!"&amp;B2028)="",FALSE,IF(INDIRECT("'"&amp;A2028&amp;"'!"&amp;B2028)&lt;0,TRUE,FALSE))</f>
        <v>0</v>
      </c>
      <c r="E2028" t="s">
        <v>434</v>
      </c>
      <c r="F2028" t="str">
        <f>INDEX(Lists!I:I,MATCH(Validation!E2028,Lists!G:G,0))</f>
        <v>Error</v>
      </c>
      <c r="G2028" t="str">
        <f>INDEX(Lists!H:H,MATCH(Validation!E2028,Lists!G:G,0))</f>
        <v>Amount may not be negative. Enter an amount greater than or equal to zero.</v>
      </c>
      <c r="H2028" s="25" t="str">
        <f t="shared" ca="1" si="225"/>
        <v/>
      </c>
      <c r="I2028" s="25" t="str">
        <f t="shared" ca="1" si="226"/>
        <v/>
      </c>
      <c r="J2028" s="26" t="str">
        <f t="shared" ca="1" si="227"/>
        <v/>
      </c>
    </row>
    <row r="2029" spans="1:10" x14ac:dyDescent="0.25">
      <c r="A2029" t="s">
        <v>198</v>
      </c>
      <c r="B2029" t="str">
        <f>ADDRESS(ROW('Bond 1'!$C$34),COLUMN('Bond 1'!$C$34),4)</f>
        <v>C34</v>
      </c>
      <c r="C2029" t="str">
        <f>ADDRESS(ROW('Bond 1'!$D$34),COLUMN('Bond 1'!$D$34),4)</f>
        <v>D34</v>
      </c>
      <c r="D2029" t="b" cm="1">
        <f t="array" aca="1" ref="D2029" ca="1">IF(INDIRECT("'"&amp;A2029&amp;"'!"&amp;B2029)="",FALSE,IF(TRUNC(INDIRECT("'"&amp;A2029&amp;"'!"&amp;B2029))=INDIRECT("'"&amp;A2029&amp;"'!"&amp;B2029),FALSE,TRUE))</f>
        <v>0</v>
      </c>
      <c r="E2029" t="s">
        <v>436</v>
      </c>
      <c r="F2029" t="str">
        <f>INDEX(Lists!I:I,MATCH(Validation!E2029,Lists!G:G,0))</f>
        <v>Error</v>
      </c>
      <c r="G2029" t="str">
        <f>INDEX(Lists!H:H,MATCH(Validation!E2029,Lists!G:G,0))</f>
        <v>Amount must be rounded to the nearest dollar.</v>
      </c>
      <c r="H2029" s="25" t="str">
        <f t="shared" ca="1" si="225"/>
        <v/>
      </c>
      <c r="I2029" s="25" t="str">
        <f t="shared" ca="1" si="226"/>
        <v/>
      </c>
      <c r="J2029" s="26" t="str">
        <f t="shared" ca="1" si="227"/>
        <v/>
      </c>
    </row>
    <row r="2030" spans="1:10" x14ac:dyDescent="0.25">
      <c r="A2030" t="s">
        <v>302</v>
      </c>
      <c r="B2030" t="str">
        <f>ADDRESS(ROW('Bond 1'!$C$34),COLUMN('Bond 1'!$C$34),4)</f>
        <v>C34</v>
      </c>
      <c r="C2030" t="str">
        <f>ADDRESS(ROW('Bond 1'!$D$34),COLUMN('Bond 1'!$D$34),4)</f>
        <v>D34</v>
      </c>
      <c r="D2030" t="b" cm="1">
        <f t="array" aca="1" ref="D2030" ca="1">IF(INDIRECT("'"&amp;A2030&amp;"'!"&amp;B2030)="",FALSE,IF(TRUNC(INDIRECT("'"&amp;A2030&amp;"'!"&amp;B2030))=INDIRECT("'"&amp;A2030&amp;"'!"&amp;B2030),FALSE,TRUE))</f>
        <v>0</v>
      </c>
      <c r="E2030" t="s">
        <v>436</v>
      </c>
      <c r="F2030" t="str">
        <f>INDEX(Lists!I:I,MATCH(Validation!E2030,Lists!G:G,0))</f>
        <v>Error</v>
      </c>
      <c r="G2030" t="str">
        <f>INDEX(Lists!H:H,MATCH(Validation!E2030,Lists!G:G,0))</f>
        <v>Amount must be rounded to the nearest dollar.</v>
      </c>
      <c r="H2030" s="25" t="str">
        <f t="shared" ca="1" si="225"/>
        <v/>
      </c>
      <c r="I2030" s="25" t="str">
        <f t="shared" ca="1" si="226"/>
        <v/>
      </c>
      <c r="J2030" s="26" t="str">
        <f t="shared" ca="1" si="227"/>
        <v/>
      </c>
    </row>
    <row r="2031" spans="1:10" x14ac:dyDescent="0.25">
      <c r="A2031" t="s">
        <v>303</v>
      </c>
      <c r="B2031" t="str">
        <f>ADDRESS(ROW('Bond 1'!$C$34),COLUMN('Bond 1'!$C$34),4)</f>
        <v>C34</v>
      </c>
      <c r="C2031" t="str">
        <f>ADDRESS(ROW('Bond 1'!$D$34),COLUMN('Bond 1'!$D$34),4)</f>
        <v>D34</v>
      </c>
      <c r="D2031" t="b" cm="1">
        <f t="array" aca="1" ref="D2031" ca="1">IF(INDIRECT("'"&amp;A2031&amp;"'!"&amp;B2031)="",FALSE,IF(TRUNC(INDIRECT("'"&amp;A2031&amp;"'!"&amp;B2031))=INDIRECT("'"&amp;A2031&amp;"'!"&amp;B2031),FALSE,TRUE))</f>
        <v>0</v>
      </c>
      <c r="E2031" t="s">
        <v>436</v>
      </c>
      <c r="F2031" t="str">
        <f>INDEX(Lists!I:I,MATCH(Validation!E2031,Lists!G:G,0))</f>
        <v>Error</v>
      </c>
      <c r="G2031" t="str">
        <f>INDEX(Lists!H:H,MATCH(Validation!E2031,Lists!G:G,0))</f>
        <v>Amount must be rounded to the nearest dollar.</v>
      </c>
      <c r="H2031" s="25" t="str">
        <f t="shared" ca="1" si="225"/>
        <v/>
      </c>
      <c r="I2031" s="25" t="str">
        <f t="shared" ca="1" si="226"/>
        <v/>
      </c>
      <c r="J2031" s="26" t="str">
        <f t="shared" ca="1" si="227"/>
        <v/>
      </c>
    </row>
    <row r="2032" spans="1:10" x14ac:dyDescent="0.25">
      <c r="A2032" t="s">
        <v>304</v>
      </c>
      <c r="B2032" t="str">
        <f>ADDRESS(ROW('Bond 1'!$C$34),COLUMN('Bond 1'!$C$34),4)</f>
        <v>C34</v>
      </c>
      <c r="C2032" t="str">
        <f>ADDRESS(ROW('Bond 1'!$D$34),COLUMN('Bond 1'!$D$34),4)</f>
        <v>D34</v>
      </c>
      <c r="D2032" t="b" cm="1">
        <f t="array" aca="1" ref="D2032" ca="1">IF(INDIRECT("'"&amp;A2032&amp;"'!"&amp;B2032)="",FALSE,IF(TRUNC(INDIRECT("'"&amp;A2032&amp;"'!"&amp;B2032))=INDIRECT("'"&amp;A2032&amp;"'!"&amp;B2032),FALSE,TRUE))</f>
        <v>0</v>
      </c>
      <c r="E2032" t="s">
        <v>436</v>
      </c>
      <c r="F2032" t="str">
        <f>INDEX(Lists!I:I,MATCH(Validation!E2032,Lists!G:G,0))</f>
        <v>Error</v>
      </c>
      <c r="G2032" t="str">
        <f>INDEX(Lists!H:H,MATCH(Validation!E2032,Lists!G:G,0))</f>
        <v>Amount must be rounded to the nearest dollar.</v>
      </c>
      <c r="H2032" s="25" t="str">
        <f t="shared" ca="1" si="225"/>
        <v/>
      </c>
      <c r="I2032" s="25" t="str">
        <f t="shared" ca="1" si="226"/>
        <v/>
      </c>
      <c r="J2032" s="26" t="str">
        <f t="shared" ca="1" si="227"/>
        <v/>
      </c>
    </row>
    <row r="2033" spans="1:10" x14ac:dyDescent="0.25">
      <c r="A2033" t="s">
        <v>305</v>
      </c>
      <c r="B2033" t="str">
        <f>ADDRESS(ROW('Bond 1'!$C$34),COLUMN('Bond 1'!$C$34),4)</f>
        <v>C34</v>
      </c>
      <c r="C2033" t="str">
        <f>ADDRESS(ROW('Bond 1'!$D$34),COLUMN('Bond 1'!$D$34),4)</f>
        <v>D34</v>
      </c>
      <c r="D2033" t="b" cm="1">
        <f t="array" aca="1" ref="D2033" ca="1">IF(INDIRECT("'"&amp;A2033&amp;"'!"&amp;B2033)="",FALSE,IF(TRUNC(INDIRECT("'"&amp;A2033&amp;"'!"&amp;B2033))=INDIRECT("'"&amp;A2033&amp;"'!"&amp;B2033),FALSE,TRUE))</f>
        <v>0</v>
      </c>
      <c r="E2033" t="s">
        <v>436</v>
      </c>
      <c r="F2033" t="str">
        <f>INDEX(Lists!I:I,MATCH(Validation!E2033,Lists!G:G,0))</f>
        <v>Error</v>
      </c>
      <c r="G2033" t="str">
        <f>INDEX(Lists!H:H,MATCH(Validation!E2033,Lists!G:G,0))</f>
        <v>Amount must be rounded to the nearest dollar.</v>
      </c>
      <c r="H2033" s="25" t="str">
        <f t="shared" ca="1" si="225"/>
        <v/>
      </c>
      <c r="I2033" s="25" t="str">
        <f t="shared" ca="1" si="226"/>
        <v/>
      </c>
      <c r="J2033" s="26" t="str">
        <f t="shared" ca="1" si="227"/>
        <v/>
      </c>
    </row>
    <row r="2034" spans="1:10" x14ac:dyDescent="0.25">
      <c r="A2034" t="s">
        <v>306</v>
      </c>
      <c r="B2034" t="str">
        <f>ADDRESS(ROW('Bond 1'!$C$34),COLUMN('Bond 1'!$C$34),4)</f>
        <v>C34</v>
      </c>
      <c r="C2034" t="str">
        <f>ADDRESS(ROW('Bond 1'!$D$34),COLUMN('Bond 1'!$D$34),4)</f>
        <v>D34</v>
      </c>
      <c r="D2034" t="b" cm="1">
        <f t="array" aca="1" ref="D2034" ca="1">IF(INDIRECT("'"&amp;A2034&amp;"'!"&amp;B2034)="",FALSE,IF(TRUNC(INDIRECT("'"&amp;A2034&amp;"'!"&amp;B2034))=INDIRECT("'"&amp;A2034&amp;"'!"&amp;B2034),FALSE,TRUE))</f>
        <v>0</v>
      </c>
      <c r="E2034" t="s">
        <v>436</v>
      </c>
      <c r="F2034" t="str">
        <f>INDEX(Lists!I:I,MATCH(Validation!E2034,Lists!G:G,0))</f>
        <v>Error</v>
      </c>
      <c r="G2034" t="str">
        <f>INDEX(Lists!H:H,MATCH(Validation!E2034,Lists!G:G,0))</f>
        <v>Amount must be rounded to the nearest dollar.</v>
      </c>
      <c r="H2034" s="25" t="str">
        <f t="shared" ca="1" si="225"/>
        <v/>
      </c>
      <c r="I2034" s="25" t="str">
        <f t="shared" ca="1" si="226"/>
        <v/>
      </c>
      <c r="J2034" s="26" t="str">
        <f t="shared" ca="1" si="227"/>
        <v/>
      </c>
    </row>
    <row r="2035" spans="1:10" x14ac:dyDescent="0.25">
      <c r="A2035" t="s">
        <v>307</v>
      </c>
      <c r="B2035" t="str">
        <f>ADDRESS(ROW('Bond 1'!$C$34),COLUMN('Bond 1'!$C$34),4)</f>
        <v>C34</v>
      </c>
      <c r="C2035" t="str">
        <f>ADDRESS(ROW('Bond 1'!$D$34),COLUMN('Bond 1'!$D$34),4)</f>
        <v>D34</v>
      </c>
      <c r="D2035" t="b" cm="1">
        <f t="array" aca="1" ref="D2035" ca="1">IF(INDIRECT("'"&amp;A2035&amp;"'!"&amp;B2035)="",FALSE,IF(TRUNC(INDIRECT("'"&amp;A2035&amp;"'!"&amp;B2035))=INDIRECT("'"&amp;A2035&amp;"'!"&amp;B2035),FALSE,TRUE))</f>
        <v>0</v>
      </c>
      <c r="E2035" t="s">
        <v>436</v>
      </c>
      <c r="F2035" t="str">
        <f>INDEX(Lists!I:I,MATCH(Validation!E2035,Lists!G:G,0))</f>
        <v>Error</v>
      </c>
      <c r="G2035" t="str">
        <f>INDEX(Lists!H:H,MATCH(Validation!E2035,Lists!G:G,0))</f>
        <v>Amount must be rounded to the nearest dollar.</v>
      </c>
      <c r="H2035" s="25" t="str">
        <f t="shared" ca="1" si="225"/>
        <v/>
      </c>
      <c r="I2035" s="25" t="str">
        <f t="shared" ca="1" si="226"/>
        <v/>
      </c>
      <c r="J2035" s="26" t="str">
        <f t="shared" ca="1" si="227"/>
        <v/>
      </c>
    </row>
    <row r="2036" spans="1:10" x14ac:dyDescent="0.25">
      <c r="A2036" t="s">
        <v>308</v>
      </c>
      <c r="B2036" t="str">
        <f>ADDRESS(ROW('Bond 1'!$C$34),COLUMN('Bond 1'!$C$34),4)</f>
        <v>C34</v>
      </c>
      <c r="C2036" t="str">
        <f>ADDRESS(ROW('Bond 1'!$D$34),COLUMN('Bond 1'!$D$34),4)</f>
        <v>D34</v>
      </c>
      <c r="D2036" t="b" cm="1">
        <f t="array" aca="1" ref="D2036" ca="1">IF(INDIRECT("'"&amp;A2036&amp;"'!"&amp;B2036)="",FALSE,IF(TRUNC(INDIRECT("'"&amp;A2036&amp;"'!"&amp;B2036))=INDIRECT("'"&amp;A2036&amp;"'!"&amp;B2036),FALSE,TRUE))</f>
        <v>0</v>
      </c>
      <c r="E2036" t="s">
        <v>436</v>
      </c>
      <c r="F2036" t="str">
        <f>INDEX(Lists!I:I,MATCH(Validation!E2036,Lists!G:G,0))</f>
        <v>Error</v>
      </c>
      <c r="G2036" t="str">
        <f>INDEX(Lists!H:H,MATCH(Validation!E2036,Lists!G:G,0))</f>
        <v>Amount must be rounded to the nearest dollar.</v>
      </c>
      <c r="H2036" s="25" t="str">
        <f t="shared" ca="1" si="225"/>
        <v/>
      </c>
      <c r="I2036" s="25" t="str">
        <f t="shared" ca="1" si="226"/>
        <v/>
      </c>
      <c r="J2036" s="26" t="str">
        <f t="shared" ca="1" si="227"/>
        <v/>
      </c>
    </row>
    <row r="2037" spans="1:10" x14ac:dyDescent="0.25">
      <c r="A2037" t="s">
        <v>309</v>
      </c>
      <c r="B2037" t="str">
        <f>ADDRESS(ROW('Bond 1'!$C$34),COLUMN('Bond 1'!$C$34),4)</f>
        <v>C34</v>
      </c>
      <c r="C2037" t="str">
        <f>ADDRESS(ROW('Bond 1'!$D$34),COLUMN('Bond 1'!$D$34),4)</f>
        <v>D34</v>
      </c>
      <c r="D2037" t="b" cm="1">
        <f t="array" aca="1" ref="D2037" ca="1">IF(INDIRECT("'"&amp;A2037&amp;"'!"&amp;B2037)="",FALSE,IF(TRUNC(INDIRECT("'"&amp;A2037&amp;"'!"&amp;B2037))=INDIRECT("'"&amp;A2037&amp;"'!"&amp;B2037),FALSE,TRUE))</f>
        <v>0</v>
      </c>
      <c r="E2037" t="s">
        <v>436</v>
      </c>
      <c r="F2037" t="str">
        <f>INDEX(Lists!I:I,MATCH(Validation!E2037,Lists!G:G,0))</f>
        <v>Error</v>
      </c>
      <c r="G2037" t="str">
        <f>INDEX(Lists!H:H,MATCH(Validation!E2037,Lists!G:G,0))</f>
        <v>Amount must be rounded to the nearest dollar.</v>
      </c>
      <c r="H2037" s="25" t="str">
        <f t="shared" ref="H2037:H2043" ca="1" si="228">IFERROR(IF(OR(NOT(D2037),F2037&lt;&gt;"Error"),"",A2037&amp;CELL("address",INDIRECT(B2037))),"")</f>
        <v/>
      </c>
      <c r="I2037" s="25" t="str">
        <f t="shared" ref="I2037:I2043" ca="1" si="229">IFERROR(IF(NOT(D2037),"",A2037&amp;CELL("address",INDIRECT(C2037))),"")</f>
        <v/>
      </c>
      <c r="J2037" s="26" t="str">
        <f t="shared" ref="J2037:J2043" ca="1" si="230">IFERROR(IF(NOT(D2037),"",A2037),"")</f>
        <v/>
      </c>
    </row>
    <row r="2038" spans="1:10" x14ac:dyDescent="0.25">
      <c r="A2038" t="s">
        <v>310</v>
      </c>
      <c r="B2038" t="str">
        <f>ADDRESS(ROW('Bond 1'!$C$34),COLUMN('Bond 1'!$C$34),4)</f>
        <v>C34</v>
      </c>
      <c r="C2038" t="str">
        <f>ADDRESS(ROW('Bond 1'!$D$34),COLUMN('Bond 1'!$D$34),4)</f>
        <v>D34</v>
      </c>
      <c r="D2038" t="b" cm="1">
        <f t="array" aca="1" ref="D2038" ca="1">IF(INDIRECT("'"&amp;A2038&amp;"'!"&amp;B2038)="",FALSE,IF(TRUNC(INDIRECT("'"&amp;A2038&amp;"'!"&amp;B2038))=INDIRECT("'"&amp;A2038&amp;"'!"&amp;B2038),FALSE,TRUE))</f>
        <v>0</v>
      </c>
      <c r="E2038" t="s">
        <v>436</v>
      </c>
      <c r="F2038" t="str">
        <f>INDEX(Lists!I:I,MATCH(Validation!E2038,Lists!G:G,0))</f>
        <v>Error</v>
      </c>
      <c r="G2038" t="str">
        <f>INDEX(Lists!H:H,MATCH(Validation!E2038,Lists!G:G,0))</f>
        <v>Amount must be rounded to the nearest dollar.</v>
      </c>
      <c r="H2038" s="25" t="str">
        <f t="shared" ca="1" si="228"/>
        <v/>
      </c>
      <c r="I2038" s="25" t="str">
        <f t="shared" ca="1" si="229"/>
        <v/>
      </c>
      <c r="J2038" s="26" t="str">
        <f t="shared" ca="1" si="230"/>
        <v/>
      </c>
    </row>
    <row r="2039" spans="1:10" x14ac:dyDescent="0.25">
      <c r="A2039" t="s">
        <v>311</v>
      </c>
      <c r="B2039" t="str">
        <f>ADDRESS(ROW('Bond 1'!$C$34),COLUMN('Bond 1'!$C$34),4)</f>
        <v>C34</v>
      </c>
      <c r="C2039" t="str">
        <f>ADDRESS(ROW('Bond 1'!$D$34),COLUMN('Bond 1'!$D$34),4)</f>
        <v>D34</v>
      </c>
      <c r="D2039" t="b" cm="1">
        <f t="array" aca="1" ref="D2039" ca="1">IF(INDIRECT("'"&amp;A2039&amp;"'!"&amp;B2039)="",FALSE,IF(TRUNC(INDIRECT("'"&amp;A2039&amp;"'!"&amp;B2039))=INDIRECT("'"&amp;A2039&amp;"'!"&amp;B2039),FALSE,TRUE))</f>
        <v>0</v>
      </c>
      <c r="E2039" t="s">
        <v>436</v>
      </c>
      <c r="F2039" t="str">
        <f>INDEX(Lists!I:I,MATCH(Validation!E2039,Lists!G:G,0))</f>
        <v>Error</v>
      </c>
      <c r="G2039" t="str">
        <f>INDEX(Lists!H:H,MATCH(Validation!E2039,Lists!G:G,0))</f>
        <v>Amount must be rounded to the nearest dollar.</v>
      </c>
      <c r="H2039" s="25" t="str">
        <f t="shared" ca="1" si="228"/>
        <v/>
      </c>
      <c r="I2039" s="25" t="str">
        <f t="shared" ca="1" si="229"/>
        <v/>
      </c>
      <c r="J2039" s="26" t="str">
        <f t="shared" ca="1" si="230"/>
        <v/>
      </c>
    </row>
    <row r="2040" spans="1:10" x14ac:dyDescent="0.25">
      <c r="A2040" t="s">
        <v>312</v>
      </c>
      <c r="B2040" t="str">
        <f>ADDRESS(ROW('Bond 1'!$C$34),COLUMN('Bond 1'!$C$34),4)</f>
        <v>C34</v>
      </c>
      <c r="C2040" t="str">
        <f>ADDRESS(ROW('Bond 1'!$D$34),COLUMN('Bond 1'!$D$34),4)</f>
        <v>D34</v>
      </c>
      <c r="D2040" t="b" cm="1">
        <f t="array" aca="1" ref="D2040" ca="1">IF(INDIRECT("'"&amp;A2040&amp;"'!"&amp;B2040)="",FALSE,IF(TRUNC(INDIRECT("'"&amp;A2040&amp;"'!"&amp;B2040))=INDIRECT("'"&amp;A2040&amp;"'!"&amp;B2040),FALSE,TRUE))</f>
        <v>0</v>
      </c>
      <c r="E2040" t="s">
        <v>436</v>
      </c>
      <c r="F2040" t="str">
        <f>INDEX(Lists!I:I,MATCH(Validation!E2040,Lists!G:G,0))</f>
        <v>Error</v>
      </c>
      <c r="G2040" t="str">
        <f>INDEX(Lists!H:H,MATCH(Validation!E2040,Lists!G:G,0))</f>
        <v>Amount must be rounded to the nearest dollar.</v>
      </c>
      <c r="H2040" s="25" t="str">
        <f t="shared" ca="1" si="228"/>
        <v/>
      </c>
      <c r="I2040" s="25" t="str">
        <f t="shared" ca="1" si="229"/>
        <v/>
      </c>
      <c r="J2040" s="26" t="str">
        <f t="shared" ca="1" si="230"/>
        <v/>
      </c>
    </row>
    <row r="2041" spans="1:10" x14ac:dyDescent="0.25">
      <c r="A2041" t="s">
        <v>313</v>
      </c>
      <c r="B2041" t="str">
        <f>ADDRESS(ROW('Bond 1'!$C$34),COLUMN('Bond 1'!$C$34),4)</f>
        <v>C34</v>
      </c>
      <c r="C2041" t="str">
        <f>ADDRESS(ROW('Bond 1'!$D$34),COLUMN('Bond 1'!$D$34),4)</f>
        <v>D34</v>
      </c>
      <c r="D2041" t="b" cm="1">
        <f t="array" aca="1" ref="D2041" ca="1">IF(INDIRECT("'"&amp;A2041&amp;"'!"&amp;B2041)="",FALSE,IF(TRUNC(INDIRECT("'"&amp;A2041&amp;"'!"&amp;B2041))=INDIRECT("'"&amp;A2041&amp;"'!"&amp;B2041),FALSE,TRUE))</f>
        <v>0</v>
      </c>
      <c r="E2041" t="s">
        <v>436</v>
      </c>
      <c r="F2041" t="str">
        <f>INDEX(Lists!I:I,MATCH(Validation!E2041,Lists!G:G,0))</f>
        <v>Error</v>
      </c>
      <c r="G2041" t="str">
        <f>INDEX(Lists!H:H,MATCH(Validation!E2041,Lists!G:G,0))</f>
        <v>Amount must be rounded to the nearest dollar.</v>
      </c>
      <c r="H2041" s="25" t="str">
        <f t="shared" ca="1" si="228"/>
        <v/>
      </c>
      <c r="I2041" s="25" t="str">
        <f t="shared" ca="1" si="229"/>
        <v/>
      </c>
      <c r="J2041" s="26" t="str">
        <f t="shared" ca="1" si="230"/>
        <v/>
      </c>
    </row>
    <row r="2042" spans="1:10" x14ac:dyDescent="0.25">
      <c r="A2042" t="s">
        <v>314</v>
      </c>
      <c r="B2042" t="str">
        <f>ADDRESS(ROW('Bond 1'!$C$34),COLUMN('Bond 1'!$C$34),4)</f>
        <v>C34</v>
      </c>
      <c r="C2042" t="str">
        <f>ADDRESS(ROW('Bond 1'!$D$34),COLUMN('Bond 1'!$D$34),4)</f>
        <v>D34</v>
      </c>
      <c r="D2042" t="b" cm="1">
        <f t="array" aca="1" ref="D2042" ca="1">IF(INDIRECT("'"&amp;A2042&amp;"'!"&amp;B2042)="",FALSE,IF(TRUNC(INDIRECT("'"&amp;A2042&amp;"'!"&amp;B2042))=INDIRECT("'"&amp;A2042&amp;"'!"&amp;B2042),FALSE,TRUE))</f>
        <v>0</v>
      </c>
      <c r="E2042" t="s">
        <v>436</v>
      </c>
      <c r="F2042" t="str">
        <f>INDEX(Lists!I:I,MATCH(Validation!E2042,Lists!G:G,0))</f>
        <v>Error</v>
      </c>
      <c r="G2042" t="str">
        <f>INDEX(Lists!H:H,MATCH(Validation!E2042,Lists!G:G,0))</f>
        <v>Amount must be rounded to the nearest dollar.</v>
      </c>
      <c r="H2042" s="25" t="str">
        <f t="shared" ca="1" si="228"/>
        <v/>
      </c>
      <c r="I2042" s="25" t="str">
        <f t="shared" ca="1" si="229"/>
        <v/>
      </c>
      <c r="J2042" s="26" t="str">
        <f t="shared" ca="1" si="230"/>
        <v/>
      </c>
    </row>
    <row r="2043" spans="1:10" x14ac:dyDescent="0.25">
      <c r="A2043" t="s">
        <v>315</v>
      </c>
      <c r="B2043" t="str">
        <f>ADDRESS(ROW('Bond 1'!$C$34),COLUMN('Bond 1'!$C$34),4)</f>
        <v>C34</v>
      </c>
      <c r="C2043" t="str">
        <f>ADDRESS(ROW('Bond 1'!$D$34),COLUMN('Bond 1'!$D$34),4)</f>
        <v>D34</v>
      </c>
      <c r="D2043" t="b" cm="1">
        <f t="array" aca="1" ref="D2043" ca="1">IF(INDIRECT("'"&amp;A2043&amp;"'!"&amp;B2043)="",FALSE,IF(TRUNC(INDIRECT("'"&amp;A2043&amp;"'!"&amp;B2043))=INDIRECT("'"&amp;A2043&amp;"'!"&amp;B2043),FALSE,TRUE))</f>
        <v>0</v>
      </c>
      <c r="E2043" t="s">
        <v>436</v>
      </c>
      <c r="F2043" t="str">
        <f>INDEX(Lists!I:I,MATCH(Validation!E2043,Lists!G:G,0))</f>
        <v>Error</v>
      </c>
      <c r="G2043" t="str">
        <f>INDEX(Lists!H:H,MATCH(Validation!E2043,Lists!G:G,0))</f>
        <v>Amount must be rounded to the nearest dollar.</v>
      </c>
      <c r="H2043" s="25" t="str">
        <f t="shared" ca="1" si="228"/>
        <v/>
      </c>
      <c r="I2043" s="25" t="str">
        <f t="shared" ca="1" si="229"/>
        <v/>
      </c>
      <c r="J2043" s="26" t="str">
        <f t="shared" ca="1" si="230"/>
        <v/>
      </c>
    </row>
    <row r="2044" spans="1:10" x14ac:dyDescent="0.25">
      <c r="A2044" t="s">
        <v>198</v>
      </c>
      <c r="B2044" t="str">
        <f>ADDRESS(ROW('Bond 1'!$B$36),COLUMN('Bond 1'!$B$36),4)</f>
        <v>B36</v>
      </c>
      <c r="C2044" t="str">
        <f>ADDRESS(ROW('Bond 1'!$D$36),COLUMN('Bond 1'!$D$36),4)</f>
        <v>D36</v>
      </c>
      <c r="D2044" t="b" cm="1">
        <f t="array" aca="1" ref="D2044" ca="1">IF(INDIRECT("'"&amp;A2044&amp;"'!"&amp;B2044)="",FALSE,IF(NOT(ISNUMBER(INDIRECT("'"&amp;A2044&amp;"'!"&amp;B2044))),TRUE,FALSE))</f>
        <v>0</v>
      </c>
      <c r="E2044" t="s">
        <v>435</v>
      </c>
      <c r="F2044" t="str">
        <f>INDEX(Lists!I:I,MATCH(Validation!E2044,Lists!G:G,0))</f>
        <v>Error</v>
      </c>
      <c r="G2044" t="str">
        <f>INDEX(Lists!H:H,MATCH(Validation!E2044,Lists!G:G,0))</f>
        <v>Enter an amount only. Do not enter text or spaces.</v>
      </c>
      <c r="H2044" s="25" t="str">
        <f t="shared" ca="1" si="162"/>
        <v/>
      </c>
      <c r="I2044" s="25" t="str">
        <f t="shared" ca="1" si="163"/>
        <v/>
      </c>
      <c r="J2044" s="26" t="str">
        <f t="shared" ca="1" si="164"/>
        <v/>
      </c>
    </row>
    <row r="2045" spans="1:10" x14ac:dyDescent="0.25">
      <c r="A2045" t="s">
        <v>302</v>
      </c>
      <c r="B2045" t="str">
        <f>ADDRESS(ROW('Bond 1'!$B$36),COLUMN('Bond 1'!$B$36),4)</f>
        <v>B36</v>
      </c>
      <c r="C2045" t="str">
        <f>ADDRESS(ROW('Bond 1'!$D$36),COLUMN('Bond 1'!$D$36),4)</f>
        <v>D36</v>
      </c>
      <c r="D2045" t="b" cm="1">
        <f t="array" aca="1" ref="D2045" ca="1">IF(INDIRECT("'"&amp;A2045&amp;"'!"&amp;B2045)="",FALSE,IF(NOT(ISNUMBER(INDIRECT("'"&amp;A2045&amp;"'!"&amp;B2045))),TRUE,FALSE))</f>
        <v>0</v>
      </c>
      <c r="E2045" t="s">
        <v>435</v>
      </c>
      <c r="F2045" t="str">
        <f>INDEX(Lists!I:I,MATCH(Validation!E2045,Lists!G:G,0))</f>
        <v>Error</v>
      </c>
      <c r="G2045" t="str">
        <f>INDEX(Lists!H:H,MATCH(Validation!E2045,Lists!G:G,0))</f>
        <v>Enter an amount only. Do not enter text or spaces.</v>
      </c>
      <c r="H2045" s="25" t="str">
        <f t="shared" ca="1" si="162"/>
        <v/>
      </c>
      <c r="I2045" s="25" t="str">
        <f t="shared" ca="1" si="163"/>
        <v/>
      </c>
      <c r="J2045" s="26" t="str">
        <f t="shared" ca="1" si="164"/>
        <v/>
      </c>
    </row>
    <row r="2046" spans="1:10" x14ac:dyDescent="0.25">
      <c r="A2046" t="s">
        <v>303</v>
      </c>
      <c r="B2046" t="str">
        <f>ADDRESS(ROW('Bond 1'!$B$36),COLUMN('Bond 1'!$B$36),4)</f>
        <v>B36</v>
      </c>
      <c r="C2046" t="str">
        <f>ADDRESS(ROW('Bond 1'!$D$36),COLUMN('Bond 1'!$D$36),4)</f>
        <v>D36</v>
      </c>
      <c r="D2046" t="b" cm="1">
        <f t="array" aca="1" ref="D2046" ca="1">IF(INDIRECT("'"&amp;A2046&amp;"'!"&amp;B2046)="",FALSE,IF(NOT(ISNUMBER(INDIRECT("'"&amp;A2046&amp;"'!"&amp;B2046))),TRUE,FALSE))</f>
        <v>0</v>
      </c>
      <c r="E2046" t="s">
        <v>435</v>
      </c>
      <c r="F2046" t="str">
        <f>INDEX(Lists!I:I,MATCH(Validation!E2046,Lists!G:G,0))</f>
        <v>Error</v>
      </c>
      <c r="G2046" t="str">
        <f>INDEX(Lists!H:H,MATCH(Validation!E2046,Lists!G:G,0))</f>
        <v>Enter an amount only. Do not enter text or spaces.</v>
      </c>
      <c r="H2046" s="25" t="str">
        <f t="shared" ca="1" si="162"/>
        <v/>
      </c>
      <c r="I2046" s="25" t="str">
        <f t="shared" ca="1" si="163"/>
        <v/>
      </c>
      <c r="J2046" s="26" t="str">
        <f t="shared" ca="1" si="164"/>
        <v/>
      </c>
    </row>
    <row r="2047" spans="1:10" x14ac:dyDescent="0.25">
      <c r="A2047" t="s">
        <v>304</v>
      </c>
      <c r="B2047" t="str">
        <f>ADDRESS(ROW('Bond 1'!$B$36),COLUMN('Bond 1'!$B$36),4)</f>
        <v>B36</v>
      </c>
      <c r="C2047" t="str">
        <f>ADDRESS(ROW('Bond 1'!$D$36),COLUMN('Bond 1'!$D$36),4)</f>
        <v>D36</v>
      </c>
      <c r="D2047" t="b" cm="1">
        <f t="array" aca="1" ref="D2047" ca="1">IF(INDIRECT("'"&amp;A2047&amp;"'!"&amp;B2047)="",FALSE,IF(NOT(ISNUMBER(INDIRECT("'"&amp;A2047&amp;"'!"&amp;B2047))),TRUE,FALSE))</f>
        <v>0</v>
      </c>
      <c r="E2047" t="s">
        <v>435</v>
      </c>
      <c r="F2047" t="str">
        <f>INDEX(Lists!I:I,MATCH(Validation!E2047,Lists!G:G,0))</f>
        <v>Error</v>
      </c>
      <c r="G2047" t="str">
        <f>INDEX(Lists!H:H,MATCH(Validation!E2047,Lists!G:G,0))</f>
        <v>Enter an amount only. Do not enter text or spaces.</v>
      </c>
      <c r="H2047" s="25" t="str">
        <f t="shared" ca="1" si="162"/>
        <v/>
      </c>
      <c r="I2047" s="25" t="str">
        <f t="shared" ca="1" si="163"/>
        <v/>
      </c>
      <c r="J2047" s="26" t="str">
        <f t="shared" ca="1" si="164"/>
        <v/>
      </c>
    </row>
    <row r="2048" spans="1:10" x14ac:dyDescent="0.25">
      <c r="A2048" t="s">
        <v>305</v>
      </c>
      <c r="B2048" t="str">
        <f>ADDRESS(ROW('Bond 1'!$B$36),COLUMN('Bond 1'!$B$36),4)</f>
        <v>B36</v>
      </c>
      <c r="C2048" t="str">
        <f>ADDRESS(ROW('Bond 1'!$D$36),COLUMN('Bond 1'!$D$36),4)</f>
        <v>D36</v>
      </c>
      <c r="D2048" t="b" cm="1">
        <f t="array" aca="1" ref="D2048" ca="1">IF(INDIRECT("'"&amp;A2048&amp;"'!"&amp;B2048)="",FALSE,IF(NOT(ISNUMBER(INDIRECT("'"&amp;A2048&amp;"'!"&amp;B2048))),TRUE,FALSE))</f>
        <v>0</v>
      </c>
      <c r="E2048" t="s">
        <v>435</v>
      </c>
      <c r="F2048" t="str">
        <f>INDEX(Lists!I:I,MATCH(Validation!E2048,Lists!G:G,0))</f>
        <v>Error</v>
      </c>
      <c r="G2048" t="str">
        <f>INDEX(Lists!H:H,MATCH(Validation!E2048,Lists!G:G,0))</f>
        <v>Enter an amount only. Do not enter text or spaces.</v>
      </c>
      <c r="H2048" s="25" t="str">
        <f t="shared" ca="1" si="162"/>
        <v/>
      </c>
      <c r="I2048" s="25" t="str">
        <f t="shared" ca="1" si="163"/>
        <v/>
      </c>
      <c r="J2048" s="26" t="str">
        <f t="shared" ca="1" si="164"/>
        <v/>
      </c>
    </row>
    <row r="2049" spans="1:10" x14ac:dyDescent="0.25">
      <c r="A2049" t="s">
        <v>306</v>
      </c>
      <c r="B2049" t="str">
        <f>ADDRESS(ROW('Bond 1'!$B$36),COLUMN('Bond 1'!$B$36),4)</f>
        <v>B36</v>
      </c>
      <c r="C2049" t="str">
        <f>ADDRESS(ROW('Bond 1'!$D$36),COLUMN('Bond 1'!$D$36),4)</f>
        <v>D36</v>
      </c>
      <c r="D2049" t="b" cm="1">
        <f t="array" aca="1" ref="D2049" ca="1">IF(INDIRECT("'"&amp;A2049&amp;"'!"&amp;B2049)="",FALSE,IF(NOT(ISNUMBER(INDIRECT("'"&amp;A2049&amp;"'!"&amp;B2049))),TRUE,FALSE))</f>
        <v>0</v>
      </c>
      <c r="E2049" t="s">
        <v>435</v>
      </c>
      <c r="F2049" t="str">
        <f>INDEX(Lists!I:I,MATCH(Validation!E2049,Lists!G:G,0))</f>
        <v>Error</v>
      </c>
      <c r="G2049" t="str">
        <f>INDEX(Lists!H:H,MATCH(Validation!E2049,Lists!G:G,0))</f>
        <v>Enter an amount only. Do not enter text or spaces.</v>
      </c>
      <c r="H2049" s="25" t="str">
        <f t="shared" ca="1" si="162"/>
        <v/>
      </c>
      <c r="I2049" s="25" t="str">
        <f t="shared" ca="1" si="163"/>
        <v/>
      </c>
      <c r="J2049" s="26" t="str">
        <f t="shared" ca="1" si="164"/>
        <v/>
      </c>
    </row>
    <row r="2050" spans="1:10" x14ac:dyDescent="0.25">
      <c r="A2050" t="s">
        <v>307</v>
      </c>
      <c r="B2050" t="str">
        <f>ADDRESS(ROW('Bond 1'!$B$36),COLUMN('Bond 1'!$B$36),4)</f>
        <v>B36</v>
      </c>
      <c r="C2050" t="str">
        <f>ADDRESS(ROW('Bond 1'!$D$36),COLUMN('Bond 1'!$D$36),4)</f>
        <v>D36</v>
      </c>
      <c r="D2050" t="b" cm="1">
        <f t="array" aca="1" ref="D2050" ca="1">IF(INDIRECT("'"&amp;A2050&amp;"'!"&amp;B2050)="",FALSE,IF(NOT(ISNUMBER(INDIRECT("'"&amp;A2050&amp;"'!"&amp;B2050))),TRUE,FALSE))</f>
        <v>0</v>
      </c>
      <c r="E2050" t="s">
        <v>435</v>
      </c>
      <c r="F2050" t="str">
        <f>INDEX(Lists!I:I,MATCH(Validation!E2050,Lists!G:G,0))</f>
        <v>Error</v>
      </c>
      <c r="G2050" t="str">
        <f>INDEX(Lists!H:H,MATCH(Validation!E2050,Lists!G:G,0))</f>
        <v>Enter an amount only. Do not enter text or spaces.</v>
      </c>
      <c r="H2050" s="25" t="str">
        <f t="shared" ca="1" si="162"/>
        <v/>
      </c>
      <c r="I2050" s="25" t="str">
        <f t="shared" ca="1" si="163"/>
        <v/>
      </c>
      <c r="J2050" s="26" t="str">
        <f t="shared" ca="1" si="164"/>
        <v/>
      </c>
    </row>
    <row r="2051" spans="1:10" x14ac:dyDescent="0.25">
      <c r="A2051" t="s">
        <v>308</v>
      </c>
      <c r="B2051" t="str">
        <f>ADDRESS(ROW('Bond 1'!$B$36),COLUMN('Bond 1'!$B$36),4)</f>
        <v>B36</v>
      </c>
      <c r="C2051" t="str">
        <f>ADDRESS(ROW('Bond 1'!$D$36),COLUMN('Bond 1'!$D$36),4)</f>
        <v>D36</v>
      </c>
      <c r="D2051" t="b" cm="1">
        <f t="array" aca="1" ref="D2051" ca="1">IF(INDIRECT("'"&amp;A2051&amp;"'!"&amp;B2051)="",FALSE,IF(NOT(ISNUMBER(INDIRECT("'"&amp;A2051&amp;"'!"&amp;B2051))),TRUE,FALSE))</f>
        <v>0</v>
      </c>
      <c r="E2051" t="s">
        <v>435</v>
      </c>
      <c r="F2051" t="str">
        <f>INDEX(Lists!I:I,MATCH(Validation!E2051,Lists!G:G,0))</f>
        <v>Error</v>
      </c>
      <c r="G2051" t="str">
        <f>INDEX(Lists!H:H,MATCH(Validation!E2051,Lists!G:G,0))</f>
        <v>Enter an amount only. Do not enter text or spaces.</v>
      </c>
      <c r="H2051" s="25" t="str">
        <f t="shared" ca="1" si="162"/>
        <v/>
      </c>
      <c r="I2051" s="25" t="str">
        <f t="shared" ca="1" si="163"/>
        <v/>
      </c>
      <c r="J2051" s="26" t="str">
        <f t="shared" ca="1" si="164"/>
        <v/>
      </c>
    </row>
    <row r="2052" spans="1:10" x14ac:dyDescent="0.25">
      <c r="A2052" t="s">
        <v>309</v>
      </c>
      <c r="B2052" t="str">
        <f>ADDRESS(ROW('Bond 1'!$B$36),COLUMN('Bond 1'!$B$36),4)</f>
        <v>B36</v>
      </c>
      <c r="C2052" t="str">
        <f>ADDRESS(ROW('Bond 1'!$D$36),COLUMN('Bond 1'!$D$36),4)</f>
        <v>D36</v>
      </c>
      <c r="D2052" t="b" cm="1">
        <f t="array" aca="1" ref="D2052" ca="1">IF(INDIRECT("'"&amp;A2052&amp;"'!"&amp;B2052)="",FALSE,IF(NOT(ISNUMBER(INDIRECT("'"&amp;A2052&amp;"'!"&amp;B2052))),TRUE,FALSE))</f>
        <v>0</v>
      </c>
      <c r="E2052" t="s">
        <v>435</v>
      </c>
      <c r="F2052" t="str">
        <f>INDEX(Lists!I:I,MATCH(Validation!E2052,Lists!G:G,0))</f>
        <v>Error</v>
      </c>
      <c r="G2052" t="str">
        <f>INDEX(Lists!H:H,MATCH(Validation!E2052,Lists!G:G,0))</f>
        <v>Enter an amount only. Do not enter text or spaces.</v>
      </c>
      <c r="H2052" s="25" t="str">
        <f t="shared" ca="1" si="162"/>
        <v/>
      </c>
      <c r="I2052" s="25" t="str">
        <f t="shared" ca="1" si="163"/>
        <v/>
      </c>
      <c r="J2052" s="26" t="str">
        <f t="shared" ca="1" si="164"/>
        <v/>
      </c>
    </row>
    <row r="2053" spans="1:10" x14ac:dyDescent="0.25">
      <c r="A2053" t="s">
        <v>310</v>
      </c>
      <c r="B2053" t="str">
        <f>ADDRESS(ROW('Bond 1'!$B$36),COLUMN('Bond 1'!$B$36),4)</f>
        <v>B36</v>
      </c>
      <c r="C2053" t="str">
        <f>ADDRESS(ROW('Bond 1'!$D$36),COLUMN('Bond 1'!$D$36),4)</f>
        <v>D36</v>
      </c>
      <c r="D2053" t="b" cm="1">
        <f t="array" aca="1" ref="D2053" ca="1">IF(INDIRECT("'"&amp;A2053&amp;"'!"&amp;B2053)="",FALSE,IF(NOT(ISNUMBER(INDIRECT("'"&amp;A2053&amp;"'!"&amp;B2053))),TRUE,FALSE))</f>
        <v>0</v>
      </c>
      <c r="E2053" t="s">
        <v>435</v>
      </c>
      <c r="F2053" t="str">
        <f>INDEX(Lists!I:I,MATCH(Validation!E2053,Lists!G:G,0))</f>
        <v>Error</v>
      </c>
      <c r="G2053" t="str">
        <f>INDEX(Lists!H:H,MATCH(Validation!E2053,Lists!G:G,0))</f>
        <v>Enter an amount only. Do not enter text or spaces.</v>
      </c>
      <c r="H2053" s="25" t="str">
        <f t="shared" ca="1" si="162"/>
        <v/>
      </c>
      <c r="I2053" s="25" t="str">
        <f t="shared" ca="1" si="163"/>
        <v/>
      </c>
      <c r="J2053" s="26" t="str">
        <f t="shared" ca="1" si="164"/>
        <v/>
      </c>
    </row>
    <row r="2054" spans="1:10" x14ac:dyDescent="0.25">
      <c r="A2054" t="s">
        <v>311</v>
      </c>
      <c r="B2054" t="str">
        <f>ADDRESS(ROW('Bond 1'!$B$36),COLUMN('Bond 1'!$B$36),4)</f>
        <v>B36</v>
      </c>
      <c r="C2054" t="str">
        <f>ADDRESS(ROW('Bond 1'!$D$36),COLUMN('Bond 1'!$D$36),4)</f>
        <v>D36</v>
      </c>
      <c r="D2054" t="b" cm="1">
        <f t="array" aca="1" ref="D2054" ca="1">IF(INDIRECT("'"&amp;A2054&amp;"'!"&amp;B2054)="",FALSE,IF(NOT(ISNUMBER(INDIRECT("'"&amp;A2054&amp;"'!"&amp;B2054))),TRUE,FALSE))</f>
        <v>0</v>
      </c>
      <c r="E2054" t="s">
        <v>435</v>
      </c>
      <c r="F2054" t="str">
        <f>INDEX(Lists!I:I,MATCH(Validation!E2054,Lists!G:G,0))</f>
        <v>Error</v>
      </c>
      <c r="G2054" t="str">
        <f>INDEX(Lists!H:H,MATCH(Validation!E2054,Lists!G:G,0))</f>
        <v>Enter an amount only. Do not enter text or spaces.</v>
      </c>
      <c r="H2054" s="25" t="str">
        <f t="shared" ca="1" si="162"/>
        <v/>
      </c>
      <c r="I2054" s="25" t="str">
        <f t="shared" ca="1" si="163"/>
        <v/>
      </c>
      <c r="J2054" s="26" t="str">
        <f t="shared" ca="1" si="164"/>
        <v/>
      </c>
    </row>
    <row r="2055" spans="1:10" x14ac:dyDescent="0.25">
      <c r="A2055" t="s">
        <v>312</v>
      </c>
      <c r="B2055" t="str">
        <f>ADDRESS(ROW('Bond 1'!$B$36),COLUMN('Bond 1'!$B$36),4)</f>
        <v>B36</v>
      </c>
      <c r="C2055" t="str">
        <f>ADDRESS(ROW('Bond 1'!$D$36),COLUMN('Bond 1'!$D$36),4)</f>
        <v>D36</v>
      </c>
      <c r="D2055" t="b" cm="1">
        <f t="array" aca="1" ref="D2055" ca="1">IF(INDIRECT("'"&amp;A2055&amp;"'!"&amp;B2055)="",FALSE,IF(NOT(ISNUMBER(INDIRECT("'"&amp;A2055&amp;"'!"&amp;B2055))),TRUE,FALSE))</f>
        <v>0</v>
      </c>
      <c r="E2055" t="s">
        <v>435</v>
      </c>
      <c r="F2055" t="str">
        <f>INDEX(Lists!I:I,MATCH(Validation!E2055,Lists!G:G,0))</f>
        <v>Error</v>
      </c>
      <c r="G2055" t="str">
        <f>INDEX(Lists!H:H,MATCH(Validation!E2055,Lists!G:G,0))</f>
        <v>Enter an amount only. Do not enter text or spaces.</v>
      </c>
      <c r="H2055" s="25" t="str">
        <f t="shared" ca="1" si="162"/>
        <v/>
      </c>
      <c r="I2055" s="25" t="str">
        <f t="shared" ca="1" si="163"/>
        <v/>
      </c>
      <c r="J2055" s="26" t="str">
        <f t="shared" ca="1" si="164"/>
        <v/>
      </c>
    </row>
    <row r="2056" spans="1:10" x14ac:dyDescent="0.25">
      <c r="A2056" t="s">
        <v>313</v>
      </c>
      <c r="B2056" t="str">
        <f>ADDRESS(ROW('Bond 1'!$B$36),COLUMN('Bond 1'!$B$36),4)</f>
        <v>B36</v>
      </c>
      <c r="C2056" t="str">
        <f>ADDRESS(ROW('Bond 1'!$D$36),COLUMN('Bond 1'!$D$36),4)</f>
        <v>D36</v>
      </c>
      <c r="D2056" t="b" cm="1">
        <f t="array" aca="1" ref="D2056" ca="1">IF(INDIRECT("'"&amp;A2056&amp;"'!"&amp;B2056)="",FALSE,IF(NOT(ISNUMBER(INDIRECT("'"&amp;A2056&amp;"'!"&amp;B2056))),TRUE,FALSE))</f>
        <v>0</v>
      </c>
      <c r="E2056" t="s">
        <v>435</v>
      </c>
      <c r="F2056" t="str">
        <f>INDEX(Lists!I:I,MATCH(Validation!E2056,Lists!G:G,0))</f>
        <v>Error</v>
      </c>
      <c r="G2056" t="str">
        <f>INDEX(Lists!H:H,MATCH(Validation!E2056,Lists!G:G,0))</f>
        <v>Enter an amount only. Do not enter text or spaces.</v>
      </c>
      <c r="H2056" s="25" t="str">
        <f t="shared" ca="1" si="162"/>
        <v/>
      </c>
      <c r="I2056" s="25" t="str">
        <f t="shared" ca="1" si="163"/>
        <v/>
      </c>
      <c r="J2056" s="26" t="str">
        <f t="shared" ca="1" si="164"/>
        <v/>
      </c>
    </row>
    <row r="2057" spans="1:10" x14ac:dyDescent="0.25">
      <c r="A2057" t="s">
        <v>314</v>
      </c>
      <c r="B2057" t="str">
        <f>ADDRESS(ROW('Bond 1'!$B$36),COLUMN('Bond 1'!$B$36),4)</f>
        <v>B36</v>
      </c>
      <c r="C2057" t="str">
        <f>ADDRESS(ROW('Bond 1'!$D$36),COLUMN('Bond 1'!$D$36),4)</f>
        <v>D36</v>
      </c>
      <c r="D2057" t="b" cm="1">
        <f t="array" aca="1" ref="D2057" ca="1">IF(INDIRECT("'"&amp;A2057&amp;"'!"&amp;B2057)="",FALSE,IF(NOT(ISNUMBER(INDIRECT("'"&amp;A2057&amp;"'!"&amp;B2057))),TRUE,FALSE))</f>
        <v>0</v>
      </c>
      <c r="E2057" t="s">
        <v>435</v>
      </c>
      <c r="F2057" t="str">
        <f>INDEX(Lists!I:I,MATCH(Validation!E2057,Lists!G:G,0))</f>
        <v>Error</v>
      </c>
      <c r="G2057" t="str">
        <f>INDEX(Lists!H:H,MATCH(Validation!E2057,Lists!G:G,0))</f>
        <v>Enter an amount only. Do not enter text or spaces.</v>
      </c>
      <c r="H2057" s="25" t="str">
        <f t="shared" ca="1" si="162"/>
        <v/>
      </c>
      <c r="I2057" s="25" t="str">
        <f t="shared" ca="1" si="163"/>
        <v/>
      </c>
      <c r="J2057" s="26" t="str">
        <f t="shared" ca="1" si="164"/>
        <v/>
      </c>
    </row>
    <row r="2058" spans="1:10" x14ac:dyDescent="0.25">
      <c r="A2058" t="s">
        <v>315</v>
      </c>
      <c r="B2058" t="str">
        <f>ADDRESS(ROW('Bond 1'!$B$36),COLUMN('Bond 1'!$B$36),4)</f>
        <v>B36</v>
      </c>
      <c r="C2058" t="str">
        <f>ADDRESS(ROW('Bond 1'!$D$36),COLUMN('Bond 1'!$D$36),4)</f>
        <v>D36</v>
      </c>
      <c r="D2058" t="b" cm="1">
        <f t="array" aca="1" ref="D2058" ca="1">IF(INDIRECT("'"&amp;A2058&amp;"'!"&amp;B2058)="",FALSE,IF(NOT(ISNUMBER(INDIRECT("'"&amp;A2058&amp;"'!"&amp;B2058))),TRUE,FALSE))</f>
        <v>0</v>
      </c>
      <c r="E2058" t="s">
        <v>435</v>
      </c>
      <c r="F2058" t="str">
        <f>INDEX(Lists!I:I,MATCH(Validation!E2058,Lists!G:G,0))</f>
        <v>Error</v>
      </c>
      <c r="G2058" t="str">
        <f>INDEX(Lists!H:H,MATCH(Validation!E2058,Lists!G:G,0))</f>
        <v>Enter an amount only. Do not enter text or spaces.</v>
      </c>
      <c r="H2058" s="25" t="str">
        <f t="shared" ca="1" si="162"/>
        <v/>
      </c>
      <c r="I2058" s="25" t="str">
        <f t="shared" ca="1" si="163"/>
        <v/>
      </c>
      <c r="J2058" s="26" t="str">
        <f t="shared" ca="1" si="164"/>
        <v/>
      </c>
    </row>
    <row r="2059" spans="1:10" x14ac:dyDescent="0.25">
      <c r="A2059" t="s">
        <v>198</v>
      </c>
      <c r="B2059" t="str">
        <f>ADDRESS(ROW('Bond 1'!$B$36),COLUMN('Bond 1'!$B$36),4)</f>
        <v>B36</v>
      </c>
      <c r="C2059" t="str">
        <f>ADDRESS(ROW('Bond 1'!$D$36),COLUMN('Bond 1'!$D$36),4)</f>
        <v>D36</v>
      </c>
      <c r="D2059" t="b" cm="1">
        <f t="array" aca="1" ref="D2059" ca="1">IF(INDIRECT("'"&amp;A2059&amp;"'!"&amp;B2059)="",FALSE,IF(INDIRECT("'"&amp;A2059&amp;"'!"&amp;B2059)&lt;0,TRUE,FALSE))</f>
        <v>0</v>
      </c>
      <c r="E2059" t="s">
        <v>434</v>
      </c>
      <c r="F2059" t="str">
        <f>INDEX(Lists!I:I,MATCH(Validation!E2059,Lists!G:G,0))</f>
        <v>Error</v>
      </c>
      <c r="G2059" t="str">
        <f>INDEX(Lists!H:H,MATCH(Validation!E2059,Lists!G:G,0))</f>
        <v>Amount may not be negative. Enter an amount greater than or equal to zero.</v>
      </c>
      <c r="H2059" s="25" t="str">
        <f t="shared" ca="1" si="162"/>
        <v/>
      </c>
      <c r="I2059" s="25" t="str">
        <f t="shared" ca="1" si="163"/>
        <v/>
      </c>
      <c r="J2059" s="26" t="str">
        <f t="shared" ca="1" si="164"/>
        <v/>
      </c>
    </row>
    <row r="2060" spans="1:10" x14ac:dyDescent="0.25">
      <c r="A2060" t="s">
        <v>302</v>
      </c>
      <c r="B2060" t="str">
        <f>ADDRESS(ROW('Bond 1'!$B$36),COLUMN('Bond 1'!$B$36),4)</f>
        <v>B36</v>
      </c>
      <c r="C2060" t="str">
        <f>ADDRESS(ROW('Bond 1'!$D$36),COLUMN('Bond 1'!$D$36),4)</f>
        <v>D36</v>
      </c>
      <c r="D2060" t="b" cm="1">
        <f t="array" aca="1" ref="D2060" ca="1">IF(INDIRECT("'"&amp;A2060&amp;"'!"&amp;B2060)="",FALSE,IF(INDIRECT("'"&amp;A2060&amp;"'!"&amp;B2060)&lt;0,TRUE,FALSE))</f>
        <v>0</v>
      </c>
      <c r="E2060" t="s">
        <v>434</v>
      </c>
      <c r="F2060" t="str">
        <f>INDEX(Lists!I:I,MATCH(Validation!E2060,Lists!G:G,0))</f>
        <v>Error</v>
      </c>
      <c r="G2060" t="str">
        <f>INDEX(Lists!H:H,MATCH(Validation!E2060,Lists!G:G,0))</f>
        <v>Amount may not be negative. Enter an amount greater than or equal to zero.</v>
      </c>
      <c r="H2060" s="25" t="str">
        <f t="shared" ca="1" si="162"/>
        <v/>
      </c>
      <c r="I2060" s="25" t="str">
        <f t="shared" ca="1" si="163"/>
        <v/>
      </c>
      <c r="J2060" s="26" t="str">
        <f t="shared" ca="1" si="164"/>
        <v/>
      </c>
    </row>
    <row r="2061" spans="1:10" x14ac:dyDescent="0.25">
      <c r="A2061" t="s">
        <v>303</v>
      </c>
      <c r="B2061" t="str">
        <f>ADDRESS(ROW('Bond 1'!$B$36),COLUMN('Bond 1'!$B$36),4)</f>
        <v>B36</v>
      </c>
      <c r="C2061" t="str">
        <f>ADDRESS(ROW('Bond 1'!$D$36),COLUMN('Bond 1'!$D$36),4)</f>
        <v>D36</v>
      </c>
      <c r="D2061" t="b" cm="1">
        <f t="array" aca="1" ref="D2061" ca="1">IF(INDIRECT("'"&amp;A2061&amp;"'!"&amp;B2061)="",FALSE,IF(INDIRECT("'"&amp;A2061&amp;"'!"&amp;B2061)&lt;0,TRUE,FALSE))</f>
        <v>0</v>
      </c>
      <c r="E2061" t="s">
        <v>434</v>
      </c>
      <c r="F2061" t="str">
        <f>INDEX(Lists!I:I,MATCH(Validation!E2061,Lists!G:G,0))</f>
        <v>Error</v>
      </c>
      <c r="G2061" t="str">
        <f>INDEX(Lists!H:H,MATCH(Validation!E2061,Lists!G:G,0))</f>
        <v>Amount may not be negative. Enter an amount greater than or equal to zero.</v>
      </c>
      <c r="H2061" s="25" t="str">
        <f t="shared" ca="1" si="162"/>
        <v/>
      </c>
      <c r="I2061" s="25" t="str">
        <f t="shared" ca="1" si="163"/>
        <v/>
      </c>
      <c r="J2061" s="26" t="str">
        <f t="shared" ca="1" si="164"/>
        <v/>
      </c>
    </row>
    <row r="2062" spans="1:10" x14ac:dyDescent="0.25">
      <c r="A2062" t="s">
        <v>304</v>
      </c>
      <c r="B2062" t="str">
        <f>ADDRESS(ROW('Bond 1'!$B$36),COLUMN('Bond 1'!$B$36),4)</f>
        <v>B36</v>
      </c>
      <c r="C2062" t="str">
        <f>ADDRESS(ROW('Bond 1'!$D$36),COLUMN('Bond 1'!$D$36),4)</f>
        <v>D36</v>
      </c>
      <c r="D2062" t="b" cm="1">
        <f t="array" aca="1" ref="D2062" ca="1">IF(INDIRECT("'"&amp;A2062&amp;"'!"&amp;B2062)="",FALSE,IF(INDIRECT("'"&amp;A2062&amp;"'!"&amp;B2062)&lt;0,TRUE,FALSE))</f>
        <v>0</v>
      </c>
      <c r="E2062" t="s">
        <v>434</v>
      </c>
      <c r="F2062" t="str">
        <f>INDEX(Lists!I:I,MATCH(Validation!E2062,Lists!G:G,0))</f>
        <v>Error</v>
      </c>
      <c r="G2062" t="str">
        <f>INDEX(Lists!H:H,MATCH(Validation!E2062,Lists!G:G,0))</f>
        <v>Amount may not be negative. Enter an amount greater than or equal to zero.</v>
      </c>
      <c r="H2062" s="25" t="str">
        <f t="shared" ca="1" si="162"/>
        <v/>
      </c>
      <c r="I2062" s="25" t="str">
        <f t="shared" ca="1" si="163"/>
        <v/>
      </c>
      <c r="J2062" s="26" t="str">
        <f t="shared" ca="1" si="164"/>
        <v/>
      </c>
    </row>
    <row r="2063" spans="1:10" x14ac:dyDescent="0.25">
      <c r="A2063" t="s">
        <v>305</v>
      </c>
      <c r="B2063" t="str">
        <f>ADDRESS(ROW('Bond 1'!$B$36),COLUMN('Bond 1'!$B$36),4)</f>
        <v>B36</v>
      </c>
      <c r="C2063" t="str">
        <f>ADDRESS(ROW('Bond 1'!$D$36),COLUMN('Bond 1'!$D$36),4)</f>
        <v>D36</v>
      </c>
      <c r="D2063" t="b" cm="1">
        <f t="array" aca="1" ref="D2063" ca="1">IF(INDIRECT("'"&amp;A2063&amp;"'!"&amp;B2063)="",FALSE,IF(INDIRECT("'"&amp;A2063&amp;"'!"&amp;B2063)&lt;0,TRUE,FALSE))</f>
        <v>0</v>
      </c>
      <c r="E2063" t="s">
        <v>434</v>
      </c>
      <c r="F2063" t="str">
        <f>INDEX(Lists!I:I,MATCH(Validation!E2063,Lists!G:G,0))</f>
        <v>Error</v>
      </c>
      <c r="G2063" t="str">
        <f>INDEX(Lists!H:H,MATCH(Validation!E2063,Lists!G:G,0))</f>
        <v>Amount may not be negative. Enter an amount greater than or equal to zero.</v>
      </c>
      <c r="H2063" s="25" t="str">
        <f t="shared" ca="1" si="162"/>
        <v/>
      </c>
      <c r="I2063" s="25" t="str">
        <f t="shared" ca="1" si="163"/>
        <v/>
      </c>
      <c r="J2063" s="26" t="str">
        <f t="shared" ca="1" si="164"/>
        <v/>
      </c>
    </row>
    <row r="2064" spans="1:10" x14ac:dyDescent="0.25">
      <c r="A2064" t="s">
        <v>306</v>
      </c>
      <c r="B2064" t="str">
        <f>ADDRESS(ROW('Bond 1'!$B$36),COLUMN('Bond 1'!$B$36),4)</f>
        <v>B36</v>
      </c>
      <c r="C2064" t="str">
        <f>ADDRESS(ROW('Bond 1'!$D$36),COLUMN('Bond 1'!$D$36),4)</f>
        <v>D36</v>
      </c>
      <c r="D2064" t="b" cm="1">
        <f t="array" aca="1" ref="D2064" ca="1">IF(INDIRECT("'"&amp;A2064&amp;"'!"&amp;B2064)="",FALSE,IF(INDIRECT("'"&amp;A2064&amp;"'!"&amp;B2064)&lt;0,TRUE,FALSE))</f>
        <v>0</v>
      </c>
      <c r="E2064" t="s">
        <v>434</v>
      </c>
      <c r="F2064" t="str">
        <f>INDEX(Lists!I:I,MATCH(Validation!E2064,Lists!G:G,0))</f>
        <v>Error</v>
      </c>
      <c r="G2064" t="str">
        <f>INDEX(Lists!H:H,MATCH(Validation!E2064,Lists!G:G,0))</f>
        <v>Amount may not be negative. Enter an amount greater than or equal to zero.</v>
      </c>
      <c r="H2064" s="25" t="str">
        <f t="shared" ca="1" si="162"/>
        <v/>
      </c>
      <c r="I2064" s="25" t="str">
        <f t="shared" ca="1" si="163"/>
        <v/>
      </c>
      <c r="J2064" s="26" t="str">
        <f t="shared" ca="1" si="164"/>
        <v/>
      </c>
    </row>
    <row r="2065" spans="1:10" x14ac:dyDescent="0.25">
      <c r="A2065" t="s">
        <v>307</v>
      </c>
      <c r="B2065" t="str">
        <f>ADDRESS(ROW('Bond 1'!$B$36),COLUMN('Bond 1'!$B$36),4)</f>
        <v>B36</v>
      </c>
      <c r="C2065" t="str">
        <f>ADDRESS(ROW('Bond 1'!$D$36),COLUMN('Bond 1'!$D$36),4)</f>
        <v>D36</v>
      </c>
      <c r="D2065" t="b" cm="1">
        <f t="array" aca="1" ref="D2065" ca="1">IF(INDIRECT("'"&amp;A2065&amp;"'!"&amp;B2065)="",FALSE,IF(INDIRECT("'"&amp;A2065&amp;"'!"&amp;B2065)&lt;0,TRUE,FALSE))</f>
        <v>0</v>
      </c>
      <c r="E2065" t="s">
        <v>434</v>
      </c>
      <c r="F2065" t="str">
        <f>INDEX(Lists!I:I,MATCH(Validation!E2065,Lists!G:G,0))</f>
        <v>Error</v>
      </c>
      <c r="G2065" t="str">
        <f>INDEX(Lists!H:H,MATCH(Validation!E2065,Lists!G:G,0))</f>
        <v>Amount may not be negative. Enter an amount greater than or equal to zero.</v>
      </c>
      <c r="H2065" s="25" t="str">
        <f t="shared" ca="1" si="162"/>
        <v/>
      </c>
      <c r="I2065" s="25" t="str">
        <f t="shared" ca="1" si="163"/>
        <v/>
      </c>
      <c r="J2065" s="26" t="str">
        <f t="shared" ca="1" si="164"/>
        <v/>
      </c>
    </row>
    <row r="2066" spans="1:10" x14ac:dyDescent="0.25">
      <c r="A2066" t="s">
        <v>308</v>
      </c>
      <c r="B2066" t="str">
        <f>ADDRESS(ROW('Bond 1'!$B$36),COLUMN('Bond 1'!$B$36),4)</f>
        <v>B36</v>
      </c>
      <c r="C2066" t="str">
        <f>ADDRESS(ROW('Bond 1'!$D$36),COLUMN('Bond 1'!$D$36),4)</f>
        <v>D36</v>
      </c>
      <c r="D2066" t="b" cm="1">
        <f t="array" aca="1" ref="D2066" ca="1">IF(INDIRECT("'"&amp;A2066&amp;"'!"&amp;B2066)="",FALSE,IF(INDIRECT("'"&amp;A2066&amp;"'!"&amp;B2066)&lt;0,TRUE,FALSE))</f>
        <v>0</v>
      </c>
      <c r="E2066" t="s">
        <v>434</v>
      </c>
      <c r="F2066" t="str">
        <f>INDEX(Lists!I:I,MATCH(Validation!E2066,Lists!G:G,0))</f>
        <v>Error</v>
      </c>
      <c r="G2066" t="str">
        <f>INDEX(Lists!H:H,MATCH(Validation!E2066,Lists!G:G,0))</f>
        <v>Amount may not be negative. Enter an amount greater than or equal to zero.</v>
      </c>
      <c r="H2066" s="25" t="str">
        <f t="shared" ca="1" si="162"/>
        <v/>
      </c>
      <c r="I2066" s="25" t="str">
        <f t="shared" ca="1" si="163"/>
        <v/>
      </c>
      <c r="J2066" s="26" t="str">
        <f t="shared" ca="1" si="164"/>
        <v/>
      </c>
    </row>
    <row r="2067" spans="1:10" x14ac:dyDescent="0.25">
      <c r="A2067" t="s">
        <v>309</v>
      </c>
      <c r="B2067" t="str">
        <f>ADDRESS(ROW('Bond 1'!$B$36),COLUMN('Bond 1'!$B$36),4)</f>
        <v>B36</v>
      </c>
      <c r="C2067" t="str">
        <f>ADDRESS(ROW('Bond 1'!$D$36),COLUMN('Bond 1'!$D$36),4)</f>
        <v>D36</v>
      </c>
      <c r="D2067" t="b" cm="1">
        <f t="array" aca="1" ref="D2067" ca="1">IF(INDIRECT("'"&amp;A2067&amp;"'!"&amp;B2067)="",FALSE,IF(INDIRECT("'"&amp;A2067&amp;"'!"&amp;B2067)&lt;0,TRUE,FALSE))</f>
        <v>0</v>
      </c>
      <c r="E2067" t="s">
        <v>434</v>
      </c>
      <c r="F2067" t="str">
        <f>INDEX(Lists!I:I,MATCH(Validation!E2067,Lists!G:G,0))</f>
        <v>Error</v>
      </c>
      <c r="G2067" t="str">
        <f>INDEX(Lists!H:H,MATCH(Validation!E2067,Lists!G:G,0))</f>
        <v>Amount may not be negative. Enter an amount greater than or equal to zero.</v>
      </c>
      <c r="H2067" s="25" t="str">
        <f t="shared" ca="1" si="162"/>
        <v/>
      </c>
      <c r="I2067" s="25" t="str">
        <f t="shared" ca="1" si="163"/>
        <v/>
      </c>
      <c r="J2067" s="26" t="str">
        <f t="shared" ca="1" si="164"/>
        <v/>
      </c>
    </row>
    <row r="2068" spans="1:10" x14ac:dyDescent="0.25">
      <c r="A2068" t="s">
        <v>310</v>
      </c>
      <c r="B2068" t="str">
        <f>ADDRESS(ROW('Bond 1'!$B$36),COLUMN('Bond 1'!$B$36),4)</f>
        <v>B36</v>
      </c>
      <c r="C2068" t="str">
        <f>ADDRESS(ROW('Bond 1'!$D$36),COLUMN('Bond 1'!$D$36),4)</f>
        <v>D36</v>
      </c>
      <c r="D2068" t="b" cm="1">
        <f t="array" aca="1" ref="D2068" ca="1">IF(INDIRECT("'"&amp;A2068&amp;"'!"&amp;B2068)="",FALSE,IF(INDIRECT("'"&amp;A2068&amp;"'!"&amp;B2068)&lt;0,TRUE,FALSE))</f>
        <v>0</v>
      </c>
      <c r="E2068" t="s">
        <v>434</v>
      </c>
      <c r="F2068" t="str">
        <f>INDEX(Lists!I:I,MATCH(Validation!E2068,Lists!G:G,0))</f>
        <v>Error</v>
      </c>
      <c r="G2068" t="str">
        <f>INDEX(Lists!H:H,MATCH(Validation!E2068,Lists!G:G,0))</f>
        <v>Amount may not be negative. Enter an amount greater than or equal to zero.</v>
      </c>
      <c r="H2068" s="25" t="str">
        <f t="shared" ca="1" si="162"/>
        <v/>
      </c>
      <c r="I2068" s="25" t="str">
        <f t="shared" ca="1" si="163"/>
        <v/>
      </c>
      <c r="J2068" s="26" t="str">
        <f t="shared" ca="1" si="164"/>
        <v/>
      </c>
    </row>
    <row r="2069" spans="1:10" x14ac:dyDescent="0.25">
      <c r="A2069" t="s">
        <v>311</v>
      </c>
      <c r="B2069" t="str">
        <f>ADDRESS(ROW('Bond 1'!$B$36),COLUMN('Bond 1'!$B$36),4)</f>
        <v>B36</v>
      </c>
      <c r="C2069" t="str">
        <f>ADDRESS(ROW('Bond 1'!$D$36),COLUMN('Bond 1'!$D$36),4)</f>
        <v>D36</v>
      </c>
      <c r="D2069" t="b" cm="1">
        <f t="array" aca="1" ref="D2069" ca="1">IF(INDIRECT("'"&amp;A2069&amp;"'!"&amp;B2069)="",FALSE,IF(INDIRECT("'"&amp;A2069&amp;"'!"&amp;B2069)&lt;0,TRUE,FALSE))</f>
        <v>0</v>
      </c>
      <c r="E2069" t="s">
        <v>434</v>
      </c>
      <c r="F2069" t="str">
        <f>INDEX(Lists!I:I,MATCH(Validation!E2069,Lists!G:G,0))</f>
        <v>Error</v>
      </c>
      <c r="G2069" t="str">
        <f>INDEX(Lists!H:H,MATCH(Validation!E2069,Lists!G:G,0))</f>
        <v>Amount may not be negative. Enter an amount greater than or equal to zero.</v>
      </c>
      <c r="H2069" s="25" t="str">
        <f t="shared" ca="1" si="162"/>
        <v/>
      </c>
      <c r="I2069" s="25" t="str">
        <f t="shared" ca="1" si="163"/>
        <v/>
      </c>
      <c r="J2069" s="26" t="str">
        <f t="shared" ca="1" si="164"/>
        <v/>
      </c>
    </row>
    <row r="2070" spans="1:10" x14ac:dyDescent="0.25">
      <c r="A2070" t="s">
        <v>312</v>
      </c>
      <c r="B2070" t="str">
        <f>ADDRESS(ROW('Bond 1'!$B$36),COLUMN('Bond 1'!$B$36),4)</f>
        <v>B36</v>
      </c>
      <c r="C2070" t="str">
        <f>ADDRESS(ROW('Bond 1'!$D$36),COLUMN('Bond 1'!$D$36),4)</f>
        <v>D36</v>
      </c>
      <c r="D2070" t="b" cm="1">
        <f t="array" aca="1" ref="D2070" ca="1">IF(INDIRECT("'"&amp;A2070&amp;"'!"&amp;B2070)="",FALSE,IF(INDIRECT("'"&amp;A2070&amp;"'!"&amp;B2070)&lt;0,TRUE,FALSE))</f>
        <v>0</v>
      </c>
      <c r="E2070" t="s">
        <v>434</v>
      </c>
      <c r="F2070" t="str">
        <f>INDEX(Lists!I:I,MATCH(Validation!E2070,Lists!G:G,0))</f>
        <v>Error</v>
      </c>
      <c r="G2070" t="str">
        <f>INDEX(Lists!H:H,MATCH(Validation!E2070,Lists!G:G,0))</f>
        <v>Amount may not be negative. Enter an amount greater than or equal to zero.</v>
      </c>
      <c r="H2070" s="25" t="str">
        <f t="shared" ca="1" si="162"/>
        <v/>
      </c>
      <c r="I2070" s="25" t="str">
        <f t="shared" ca="1" si="163"/>
        <v/>
      </c>
      <c r="J2070" s="26" t="str">
        <f t="shared" ca="1" si="164"/>
        <v/>
      </c>
    </row>
    <row r="2071" spans="1:10" x14ac:dyDescent="0.25">
      <c r="A2071" t="s">
        <v>313</v>
      </c>
      <c r="B2071" t="str">
        <f>ADDRESS(ROW('Bond 1'!$B$36),COLUMN('Bond 1'!$B$36),4)</f>
        <v>B36</v>
      </c>
      <c r="C2071" t="str">
        <f>ADDRESS(ROW('Bond 1'!$D$36),COLUMN('Bond 1'!$D$36),4)</f>
        <v>D36</v>
      </c>
      <c r="D2071" t="b" cm="1">
        <f t="array" aca="1" ref="D2071" ca="1">IF(INDIRECT("'"&amp;A2071&amp;"'!"&amp;B2071)="",FALSE,IF(INDIRECT("'"&amp;A2071&amp;"'!"&amp;B2071)&lt;0,TRUE,FALSE))</f>
        <v>0</v>
      </c>
      <c r="E2071" t="s">
        <v>434</v>
      </c>
      <c r="F2071" t="str">
        <f>INDEX(Lists!I:I,MATCH(Validation!E2071,Lists!G:G,0))</f>
        <v>Error</v>
      </c>
      <c r="G2071" t="str">
        <f>INDEX(Lists!H:H,MATCH(Validation!E2071,Lists!G:G,0))</f>
        <v>Amount may not be negative. Enter an amount greater than or equal to zero.</v>
      </c>
      <c r="H2071" s="25" t="str">
        <f t="shared" ca="1" si="162"/>
        <v/>
      </c>
      <c r="I2071" s="25" t="str">
        <f t="shared" ca="1" si="163"/>
        <v/>
      </c>
      <c r="J2071" s="26" t="str">
        <f t="shared" ca="1" si="164"/>
        <v/>
      </c>
    </row>
    <row r="2072" spans="1:10" x14ac:dyDescent="0.25">
      <c r="A2072" t="s">
        <v>314</v>
      </c>
      <c r="B2072" t="str">
        <f>ADDRESS(ROW('Bond 1'!$B$36),COLUMN('Bond 1'!$B$36),4)</f>
        <v>B36</v>
      </c>
      <c r="C2072" t="str">
        <f>ADDRESS(ROW('Bond 1'!$D$36),COLUMN('Bond 1'!$D$36),4)</f>
        <v>D36</v>
      </c>
      <c r="D2072" t="b" cm="1">
        <f t="array" aca="1" ref="D2072" ca="1">IF(INDIRECT("'"&amp;A2072&amp;"'!"&amp;B2072)="",FALSE,IF(INDIRECT("'"&amp;A2072&amp;"'!"&amp;B2072)&lt;0,TRUE,FALSE))</f>
        <v>0</v>
      </c>
      <c r="E2072" t="s">
        <v>434</v>
      </c>
      <c r="F2072" t="str">
        <f>INDEX(Lists!I:I,MATCH(Validation!E2072,Lists!G:G,0))</f>
        <v>Error</v>
      </c>
      <c r="G2072" t="str">
        <f>INDEX(Lists!H:H,MATCH(Validation!E2072,Lists!G:G,0))</f>
        <v>Amount may not be negative. Enter an amount greater than or equal to zero.</v>
      </c>
      <c r="H2072" s="25" t="str">
        <f t="shared" ca="1" si="162"/>
        <v/>
      </c>
      <c r="I2072" s="25" t="str">
        <f t="shared" ca="1" si="163"/>
        <v/>
      </c>
      <c r="J2072" s="26" t="str">
        <f t="shared" ca="1" si="164"/>
        <v/>
      </c>
    </row>
    <row r="2073" spans="1:10" x14ac:dyDescent="0.25">
      <c r="A2073" t="s">
        <v>315</v>
      </c>
      <c r="B2073" t="str">
        <f>ADDRESS(ROW('Bond 1'!$B$36),COLUMN('Bond 1'!$B$36),4)</f>
        <v>B36</v>
      </c>
      <c r="C2073" t="str">
        <f>ADDRESS(ROW('Bond 1'!$D$36),COLUMN('Bond 1'!$D$36),4)</f>
        <v>D36</v>
      </c>
      <c r="D2073" t="b" cm="1">
        <f t="array" aca="1" ref="D2073" ca="1">IF(INDIRECT("'"&amp;A2073&amp;"'!"&amp;B2073)="",FALSE,IF(INDIRECT("'"&amp;A2073&amp;"'!"&amp;B2073)&lt;0,TRUE,FALSE))</f>
        <v>0</v>
      </c>
      <c r="E2073" t="s">
        <v>434</v>
      </c>
      <c r="F2073" t="str">
        <f>INDEX(Lists!I:I,MATCH(Validation!E2073,Lists!G:G,0))</f>
        <v>Error</v>
      </c>
      <c r="G2073" t="str">
        <f>INDEX(Lists!H:H,MATCH(Validation!E2073,Lists!G:G,0))</f>
        <v>Amount may not be negative. Enter an amount greater than or equal to zero.</v>
      </c>
      <c r="H2073" s="25" t="str">
        <f t="shared" ca="1" si="162"/>
        <v/>
      </c>
      <c r="I2073" s="25" t="str">
        <f t="shared" ca="1" si="163"/>
        <v/>
      </c>
      <c r="J2073" s="26" t="str">
        <f t="shared" ca="1" si="164"/>
        <v/>
      </c>
    </row>
    <row r="2074" spans="1:10" x14ac:dyDescent="0.25">
      <c r="A2074" t="s">
        <v>198</v>
      </c>
      <c r="B2074" t="str">
        <f>ADDRESS(ROW('Bond 1'!$B$36),COLUMN('Bond 1'!$B$36),4)</f>
        <v>B36</v>
      </c>
      <c r="C2074" t="str">
        <f>ADDRESS(ROW('Bond 1'!$D$36),COLUMN('Bond 1'!$D$36),4)</f>
        <v>D36</v>
      </c>
      <c r="D2074" t="b" cm="1">
        <f t="array" aca="1" ref="D2074" ca="1">IF(INDIRECT("'"&amp;A2074&amp;"'!"&amp;B2074)="",FALSE,IF(TRUNC(INDIRECT("'"&amp;A2074&amp;"'!"&amp;B2074))=INDIRECT("'"&amp;A2074&amp;"'!"&amp;B2074),FALSE,TRUE))</f>
        <v>0</v>
      </c>
      <c r="E2074" t="s">
        <v>436</v>
      </c>
      <c r="F2074" t="str">
        <f>INDEX(Lists!I:I,MATCH(Validation!E2074,Lists!G:G,0))</f>
        <v>Error</v>
      </c>
      <c r="G2074" t="str">
        <f>INDEX(Lists!H:H,MATCH(Validation!E2074,Lists!G:G,0))</f>
        <v>Amount must be rounded to the nearest dollar.</v>
      </c>
      <c r="H2074" s="25" t="str">
        <f t="shared" ca="1" si="162"/>
        <v/>
      </c>
      <c r="I2074" s="25" t="str">
        <f t="shared" ca="1" si="163"/>
        <v/>
      </c>
      <c r="J2074" s="26" t="str">
        <f t="shared" ca="1" si="164"/>
        <v/>
      </c>
    </row>
    <row r="2075" spans="1:10" x14ac:dyDescent="0.25">
      <c r="A2075" t="s">
        <v>302</v>
      </c>
      <c r="B2075" t="str">
        <f>ADDRESS(ROW('Bond 1'!$B$36),COLUMN('Bond 1'!$B$36),4)</f>
        <v>B36</v>
      </c>
      <c r="C2075" t="str">
        <f>ADDRESS(ROW('Bond 1'!$D$36),COLUMN('Bond 1'!$D$36),4)</f>
        <v>D36</v>
      </c>
      <c r="D2075" t="b" cm="1">
        <f t="array" aca="1" ref="D2075" ca="1">IF(INDIRECT("'"&amp;A2075&amp;"'!"&amp;B2075)="",FALSE,IF(TRUNC(INDIRECT("'"&amp;A2075&amp;"'!"&amp;B2075))=INDIRECT("'"&amp;A2075&amp;"'!"&amp;B2075),FALSE,TRUE))</f>
        <v>0</v>
      </c>
      <c r="E2075" t="s">
        <v>436</v>
      </c>
      <c r="F2075" t="str">
        <f>INDEX(Lists!I:I,MATCH(Validation!E2075,Lists!G:G,0))</f>
        <v>Error</v>
      </c>
      <c r="G2075" t="str">
        <f>INDEX(Lists!H:H,MATCH(Validation!E2075,Lists!G:G,0))</f>
        <v>Amount must be rounded to the nearest dollar.</v>
      </c>
      <c r="H2075" s="25" t="str">
        <f t="shared" ca="1" si="162"/>
        <v/>
      </c>
      <c r="I2075" s="25" t="str">
        <f t="shared" ca="1" si="163"/>
        <v/>
      </c>
      <c r="J2075" s="26" t="str">
        <f t="shared" ca="1" si="164"/>
        <v/>
      </c>
    </row>
    <row r="2076" spans="1:10" x14ac:dyDescent="0.25">
      <c r="A2076" t="s">
        <v>303</v>
      </c>
      <c r="B2076" t="str">
        <f>ADDRESS(ROW('Bond 1'!$B$36),COLUMN('Bond 1'!$B$36),4)</f>
        <v>B36</v>
      </c>
      <c r="C2076" t="str">
        <f>ADDRESS(ROW('Bond 1'!$D$36),COLUMN('Bond 1'!$D$36),4)</f>
        <v>D36</v>
      </c>
      <c r="D2076" t="b" cm="1">
        <f t="array" aca="1" ref="D2076" ca="1">IF(INDIRECT("'"&amp;A2076&amp;"'!"&amp;B2076)="",FALSE,IF(TRUNC(INDIRECT("'"&amp;A2076&amp;"'!"&amp;B2076))=INDIRECT("'"&amp;A2076&amp;"'!"&amp;B2076),FALSE,TRUE))</f>
        <v>0</v>
      </c>
      <c r="E2076" t="s">
        <v>436</v>
      </c>
      <c r="F2076" t="str">
        <f>INDEX(Lists!I:I,MATCH(Validation!E2076,Lists!G:G,0))</f>
        <v>Error</v>
      </c>
      <c r="G2076" t="str">
        <f>INDEX(Lists!H:H,MATCH(Validation!E2076,Lists!G:G,0))</f>
        <v>Amount must be rounded to the nearest dollar.</v>
      </c>
      <c r="H2076" s="25" t="str">
        <f t="shared" ca="1" si="162"/>
        <v/>
      </c>
      <c r="I2076" s="25" t="str">
        <f t="shared" ca="1" si="163"/>
        <v/>
      </c>
      <c r="J2076" s="26" t="str">
        <f t="shared" ca="1" si="164"/>
        <v/>
      </c>
    </row>
    <row r="2077" spans="1:10" x14ac:dyDescent="0.25">
      <c r="A2077" t="s">
        <v>304</v>
      </c>
      <c r="B2077" t="str">
        <f>ADDRESS(ROW('Bond 1'!$B$36),COLUMN('Bond 1'!$B$36),4)</f>
        <v>B36</v>
      </c>
      <c r="C2077" t="str">
        <f>ADDRESS(ROW('Bond 1'!$D$36),COLUMN('Bond 1'!$D$36),4)</f>
        <v>D36</v>
      </c>
      <c r="D2077" t="b" cm="1">
        <f t="array" aca="1" ref="D2077" ca="1">IF(INDIRECT("'"&amp;A2077&amp;"'!"&amp;B2077)="",FALSE,IF(TRUNC(INDIRECT("'"&amp;A2077&amp;"'!"&amp;B2077))=INDIRECT("'"&amp;A2077&amp;"'!"&amp;B2077),FALSE,TRUE))</f>
        <v>0</v>
      </c>
      <c r="E2077" t="s">
        <v>436</v>
      </c>
      <c r="F2077" t="str">
        <f>INDEX(Lists!I:I,MATCH(Validation!E2077,Lists!G:G,0))</f>
        <v>Error</v>
      </c>
      <c r="G2077" t="str">
        <f>INDEX(Lists!H:H,MATCH(Validation!E2077,Lists!G:G,0))</f>
        <v>Amount must be rounded to the nearest dollar.</v>
      </c>
      <c r="H2077" s="25" t="str">
        <f t="shared" ca="1" si="162"/>
        <v/>
      </c>
      <c r="I2077" s="25" t="str">
        <f t="shared" ca="1" si="163"/>
        <v/>
      </c>
      <c r="J2077" s="26" t="str">
        <f t="shared" ca="1" si="164"/>
        <v/>
      </c>
    </row>
    <row r="2078" spans="1:10" x14ac:dyDescent="0.25">
      <c r="A2078" t="s">
        <v>305</v>
      </c>
      <c r="B2078" t="str">
        <f>ADDRESS(ROW('Bond 1'!$B$36),COLUMN('Bond 1'!$B$36),4)</f>
        <v>B36</v>
      </c>
      <c r="C2078" t="str">
        <f>ADDRESS(ROW('Bond 1'!$D$36),COLUMN('Bond 1'!$D$36),4)</f>
        <v>D36</v>
      </c>
      <c r="D2078" t="b" cm="1">
        <f t="array" aca="1" ref="D2078" ca="1">IF(INDIRECT("'"&amp;A2078&amp;"'!"&amp;B2078)="",FALSE,IF(TRUNC(INDIRECT("'"&amp;A2078&amp;"'!"&amp;B2078))=INDIRECT("'"&amp;A2078&amp;"'!"&amp;B2078),FALSE,TRUE))</f>
        <v>0</v>
      </c>
      <c r="E2078" t="s">
        <v>436</v>
      </c>
      <c r="F2078" t="str">
        <f>INDEX(Lists!I:I,MATCH(Validation!E2078,Lists!G:G,0))</f>
        <v>Error</v>
      </c>
      <c r="G2078" t="str">
        <f>INDEX(Lists!H:H,MATCH(Validation!E2078,Lists!G:G,0))</f>
        <v>Amount must be rounded to the nearest dollar.</v>
      </c>
      <c r="H2078" s="25" t="str">
        <f t="shared" ref="H2078:H2197" ca="1" si="231">IFERROR(IF(OR(NOT(D2078),F2078&lt;&gt;"Error"),"",A2078&amp;CELL("address",INDIRECT(B2078))),"")</f>
        <v/>
      </c>
      <c r="I2078" s="25" t="str">
        <f t="shared" ref="I2078:I2197" ca="1" si="232">IFERROR(IF(NOT(D2078),"",A2078&amp;CELL("address",INDIRECT(C2078))),"")</f>
        <v/>
      </c>
      <c r="J2078" s="26" t="str">
        <f t="shared" ref="J2078:J2197" ca="1" si="233">IFERROR(IF(NOT(D2078),"",A2078),"")</f>
        <v/>
      </c>
    </row>
    <row r="2079" spans="1:10" x14ac:dyDescent="0.25">
      <c r="A2079" t="s">
        <v>306</v>
      </c>
      <c r="B2079" t="str">
        <f>ADDRESS(ROW('Bond 1'!$B$36),COLUMN('Bond 1'!$B$36),4)</f>
        <v>B36</v>
      </c>
      <c r="C2079" t="str">
        <f>ADDRESS(ROW('Bond 1'!$D$36),COLUMN('Bond 1'!$D$36),4)</f>
        <v>D36</v>
      </c>
      <c r="D2079" t="b" cm="1">
        <f t="array" aca="1" ref="D2079" ca="1">IF(INDIRECT("'"&amp;A2079&amp;"'!"&amp;B2079)="",FALSE,IF(TRUNC(INDIRECT("'"&amp;A2079&amp;"'!"&amp;B2079))=INDIRECT("'"&amp;A2079&amp;"'!"&amp;B2079),FALSE,TRUE))</f>
        <v>0</v>
      </c>
      <c r="E2079" t="s">
        <v>436</v>
      </c>
      <c r="F2079" t="str">
        <f>INDEX(Lists!I:I,MATCH(Validation!E2079,Lists!G:G,0))</f>
        <v>Error</v>
      </c>
      <c r="G2079" t="str">
        <f>INDEX(Lists!H:H,MATCH(Validation!E2079,Lists!G:G,0))</f>
        <v>Amount must be rounded to the nearest dollar.</v>
      </c>
      <c r="H2079" s="25" t="str">
        <f t="shared" ca="1" si="231"/>
        <v/>
      </c>
      <c r="I2079" s="25" t="str">
        <f t="shared" ca="1" si="232"/>
        <v/>
      </c>
      <c r="J2079" s="26" t="str">
        <f t="shared" ca="1" si="233"/>
        <v/>
      </c>
    </row>
    <row r="2080" spans="1:10" x14ac:dyDescent="0.25">
      <c r="A2080" t="s">
        <v>307</v>
      </c>
      <c r="B2080" t="str">
        <f>ADDRESS(ROW('Bond 1'!$B$36),COLUMN('Bond 1'!$B$36),4)</f>
        <v>B36</v>
      </c>
      <c r="C2080" t="str">
        <f>ADDRESS(ROW('Bond 1'!$D$36),COLUMN('Bond 1'!$D$36),4)</f>
        <v>D36</v>
      </c>
      <c r="D2080" t="b" cm="1">
        <f t="array" aca="1" ref="D2080" ca="1">IF(INDIRECT("'"&amp;A2080&amp;"'!"&amp;B2080)="",FALSE,IF(TRUNC(INDIRECT("'"&amp;A2080&amp;"'!"&amp;B2080))=INDIRECT("'"&amp;A2080&amp;"'!"&amp;B2080),FALSE,TRUE))</f>
        <v>0</v>
      </c>
      <c r="E2080" t="s">
        <v>436</v>
      </c>
      <c r="F2080" t="str">
        <f>INDEX(Lists!I:I,MATCH(Validation!E2080,Lists!G:G,0))</f>
        <v>Error</v>
      </c>
      <c r="G2080" t="str">
        <f>INDEX(Lists!H:H,MATCH(Validation!E2080,Lists!G:G,0))</f>
        <v>Amount must be rounded to the nearest dollar.</v>
      </c>
      <c r="H2080" s="25" t="str">
        <f t="shared" ca="1" si="231"/>
        <v/>
      </c>
      <c r="I2080" s="25" t="str">
        <f t="shared" ca="1" si="232"/>
        <v/>
      </c>
      <c r="J2080" s="26" t="str">
        <f t="shared" ca="1" si="233"/>
        <v/>
      </c>
    </row>
    <row r="2081" spans="1:10" x14ac:dyDescent="0.25">
      <c r="A2081" t="s">
        <v>308</v>
      </c>
      <c r="B2081" t="str">
        <f>ADDRESS(ROW('Bond 1'!$B$36),COLUMN('Bond 1'!$B$36),4)</f>
        <v>B36</v>
      </c>
      <c r="C2081" t="str">
        <f>ADDRESS(ROW('Bond 1'!$D$36),COLUMN('Bond 1'!$D$36),4)</f>
        <v>D36</v>
      </c>
      <c r="D2081" t="b" cm="1">
        <f t="array" aca="1" ref="D2081" ca="1">IF(INDIRECT("'"&amp;A2081&amp;"'!"&amp;B2081)="",FALSE,IF(TRUNC(INDIRECT("'"&amp;A2081&amp;"'!"&amp;B2081))=INDIRECT("'"&amp;A2081&amp;"'!"&amp;B2081),FALSE,TRUE))</f>
        <v>0</v>
      </c>
      <c r="E2081" t="s">
        <v>436</v>
      </c>
      <c r="F2081" t="str">
        <f>INDEX(Lists!I:I,MATCH(Validation!E2081,Lists!G:G,0))</f>
        <v>Error</v>
      </c>
      <c r="G2081" t="str">
        <f>INDEX(Lists!H:H,MATCH(Validation!E2081,Lists!G:G,0))</f>
        <v>Amount must be rounded to the nearest dollar.</v>
      </c>
      <c r="H2081" s="25" t="str">
        <f t="shared" ca="1" si="231"/>
        <v/>
      </c>
      <c r="I2081" s="25" t="str">
        <f t="shared" ca="1" si="232"/>
        <v/>
      </c>
      <c r="J2081" s="26" t="str">
        <f t="shared" ca="1" si="233"/>
        <v/>
      </c>
    </row>
    <row r="2082" spans="1:10" x14ac:dyDescent="0.25">
      <c r="A2082" t="s">
        <v>309</v>
      </c>
      <c r="B2082" t="str">
        <f>ADDRESS(ROW('Bond 1'!$B$36),COLUMN('Bond 1'!$B$36),4)</f>
        <v>B36</v>
      </c>
      <c r="C2082" t="str">
        <f>ADDRESS(ROW('Bond 1'!$D$36),COLUMN('Bond 1'!$D$36),4)</f>
        <v>D36</v>
      </c>
      <c r="D2082" t="b" cm="1">
        <f t="array" aca="1" ref="D2082" ca="1">IF(INDIRECT("'"&amp;A2082&amp;"'!"&amp;B2082)="",FALSE,IF(TRUNC(INDIRECT("'"&amp;A2082&amp;"'!"&amp;B2082))=INDIRECT("'"&amp;A2082&amp;"'!"&amp;B2082),FALSE,TRUE))</f>
        <v>0</v>
      </c>
      <c r="E2082" t="s">
        <v>436</v>
      </c>
      <c r="F2082" t="str">
        <f>INDEX(Lists!I:I,MATCH(Validation!E2082,Lists!G:G,0))</f>
        <v>Error</v>
      </c>
      <c r="G2082" t="str">
        <f>INDEX(Lists!H:H,MATCH(Validation!E2082,Lists!G:G,0))</f>
        <v>Amount must be rounded to the nearest dollar.</v>
      </c>
      <c r="H2082" s="25" t="str">
        <f t="shared" ca="1" si="231"/>
        <v/>
      </c>
      <c r="I2082" s="25" t="str">
        <f t="shared" ca="1" si="232"/>
        <v/>
      </c>
      <c r="J2082" s="26" t="str">
        <f t="shared" ca="1" si="233"/>
        <v/>
      </c>
    </row>
    <row r="2083" spans="1:10" x14ac:dyDescent="0.25">
      <c r="A2083" t="s">
        <v>310</v>
      </c>
      <c r="B2083" t="str">
        <f>ADDRESS(ROW('Bond 1'!$B$36),COLUMN('Bond 1'!$B$36),4)</f>
        <v>B36</v>
      </c>
      <c r="C2083" t="str">
        <f>ADDRESS(ROW('Bond 1'!$D$36),COLUMN('Bond 1'!$D$36),4)</f>
        <v>D36</v>
      </c>
      <c r="D2083" t="b" cm="1">
        <f t="array" aca="1" ref="D2083" ca="1">IF(INDIRECT("'"&amp;A2083&amp;"'!"&amp;B2083)="",FALSE,IF(TRUNC(INDIRECT("'"&amp;A2083&amp;"'!"&amp;B2083))=INDIRECT("'"&amp;A2083&amp;"'!"&amp;B2083),FALSE,TRUE))</f>
        <v>0</v>
      </c>
      <c r="E2083" t="s">
        <v>436</v>
      </c>
      <c r="F2083" t="str">
        <f>INDEX(Lists!I:I,MATCH(Validation!E2083,Lists!G:G,0))</f>
        <v>Error</v>
      </c>
      <c r="G2083" t="str">
        <f>INDEX(Lists!H:H,MATCH(Validation!E2083,Lists!G:G,0))</f>
        <v>Amount must be rounded to the nearest dollar.</v>
      </c>
      <c r="H2083" s="25" t="str">
        <f t="shared" ca="1" si="231"/>
        <v/>
      </c>
      <c r="I2083" s="25" t="str">
        <f t="shared" ca="1" si="232"/>
        <v/>
      </c>
      <c r="J2083" s="26" t="str">
        <f t="shared" ca="1" si="233"/>
        <v/>
      </c>
    </row>
    <row r="2084" spans="1:10" x14ac:dyDescent="0.25">
      <c r="A2084" t="s">
        <v>311</v>
      </c>
      <c r="B2084" t="str">
        <f>ADDRESS(ROW('Bond 1'!$B$36),COLUMN('Bond 1'!$B$36),4)</f>
        <v>B36</v>
      </c>
      <c r="C2084" t="str">
        <f>ADDRESS(ROW('Bond 1'!$D$36),COLUMN('Bond 1'!$D$36),4)</f>
        <v>D36</v>
      </c>
      <c r="D2084" t="b" cm="1">
        <f t="array" aca="1" ref="D2084" ca="1">IF(INDIRECT("'"&amp;A2084&amp;"'!"&amp;B2084)="",FALSE,IF(TRUNC(INDIRECT("'"&amp;A2084&amp;"'!"&amp;B2084))=INDIRECT("'"&amp;A2084&amp;"'!"&amp;B2084),FALSE,TRUE))</f>
        <v>0</v>
      </c>
      <c r="E2084" t="s">
        <v>436</v>
      </c>
      <c r="F2084" t="str">
        <f>INDEX(Lists!I:I,MATCH(Validation!E2084,Lists!G:G,0))</f>
        <v>Error</v>
      </c>
      <c r="G2084" t="str">
        <f>INDEX(Lists!H:H,MATCH(Validation!E2084,Lists!G:G,0))</f>
        <v>Amount must be rounded to the nearest dollar.</v>
      </c>
      <c r="H2084" s="25" t="str">
        <f t="shared" ca="1" si="231"/>
        <v/>
      </c>
      <c r="I2084" s="25" t="str">
        <f t="shared" ca="1" si="232"/>
        <v/>
      </c>
      <c r="J2084" s="26" t="str">
        <f t="shared" ca="1" si="233"/>
        <v/>
      </c>
    </row>
    <row r="2085" spans="1:10" x14ac:dyDescent="0.25">
      <c r="A2085" t="s">
        <v>312</v>
      </c>
      <c r="B2085" t="str">
        <f>ADDRESS(ROW('Bond 1'!$B$36),COLUMN('Bond 1'!$B$36),4)</f>
        <v>B36</v>
      </c>
      <c r="C2085" t="str">
        <f>ADDRESS(ROW('Bond 1'!$D$36),COLUMN('Bond 1'!$D$36),4)</f>
        <v>D36</v>
      </c>
      <c r="D2085" t="b" cm="1">
        <f t="array" aca="1" ref="D2085" ca="1">IF(INDIRECT("'"&amp;A2085&amp;"'!"&amp;B2085)="",FALSE,IF(TRUNC(INDIRECT("'"&amp;A2085&amp;"'!"&amp;B2085))=INDIRECT("'"&amp;A2085&amp;"'!"&amp;B2085),FALSE,TRUE))</f>
        <v>0</v>
      </c>
      <c r="E2085" t="s">
        <v>436</v>
      </c>
      <c r="F2085" t="str">
        <f>INDEX(Lists!I:I,MATCH(Validation!E2085,Lists!G:G,0))</f>
        <v>Error</v>
      </c>
      <c r="G2085" t="str">
        <f>INDEX(Lists!H:H,MATCH(Validation!E2085,Lists!G:G,0))</f>
        <v>Amount must be rounded to the nearest dollar.</v>
      </c>
      <c r="H2085" s="25" t="str">
        <f t="shared" ca="1" si="231"/>
        <v/>
      </c>
      <c r="I2085" s="25" t="str">
        <f t="shared" ca="1" si="232"/>
        <v/>
      </c>
      <c r="J2085" s="26" t="str">
        <f t="shared" ca="1" si="233"/>
        <v/>
      </c>
    </row>
    <row r="2086" spans="1:10" x14ac:dyDescent="0.25">
      <c r="A2086" t="s">
        <v>313</v>
      </c>
      <c r="B2086" t="str">
        <f>ADDRESS(ROW('Bond 1'!$B$36),COLUMN('Bond 1'!$B$36),4)</f>
        <v>B36</v>
      </c>
      <c r="C2086" t="str">
        <f>ADDRESS(ROW('Bond 1'!$D$36),COLUMN('Bond 1'!$D$36),4)</f>
        <v>D36</v>
      </c>
      <c r="D2086" t="b" cm="1">
        <f t="array" aca="1" ref="D2086" ca="1">IF(INDIRECT("'"&amp;A2086&amp;"'!"&amp;B2086)="",FALSE,IF(TRUNC(INDIRECT("'"&amp;A2086&amp;"'!"&amp;B2086))=INDIRECT("'"&amp;A2086&amp;"'!"&amp;B2086),FALSE,TRUE))</f>
        <v>0</v>
      </c>
      <c r="E2086" t="s">
        <v>436</v>
      </c>
      <c r="F2086" t="str">
        <f>INDEX(Lists!I:I,MATCH(Validation!E2086,Lists!G:G,0))</f>
        <v>Error</v>
      </c>
      <c r="G2086" t="str">
        <f>INDEX(Lists!H:H,MATCH(Validation!E2086,Lists!G:G,0))</f>
        <v>Amount must be rounded to the nearest dollar.</v>
      </c>
      <c r="H2086" s="25" t="str">
        <f t="shared" ca="1" si="231"/>
        <v/>
      </c>
      <c r="I2086" s="25" t="str">
        <f t="shared" ca="1" si="232"/>
        <v/>
      </c>
      <c r="J2086" s="26" t="str">
        <f t="shared" ca="1" si="233"/>
        <v/>
      </c>
    </row>
    <row r="2087" spans="1:10" x14ac:dyDescent="0.25">
      <c r="A2087" t="s">
        <v>314</v>
      </c>
      <c r="B2087" t="str">
        <f>ADDRESS(ROW('Bond 1'!$B$36),COLUMN('Bond 1'!$B$36),4)</f>
        <v>B36</v>
      </c>
      <c r="C2087" t="str">
        <f>ADDRESS(ROW('Bond 1'!$D$36),COLUMN('Bond 1'!$D$36),4)</f>
        <v>D36</v>
      </c>
      <c r="D2087" t="b" cm="1">
        <f t="array" aca="1" ref="D2087" ca="1">IF(INDIRECT("'"&amp;A2087&amp;"'!"&amp;B2087)="",FALSE,IF(TRUNC(INDIRECT("'"&amp;A2087&amp;"'!"&amp;B2087))=INDIRECT("'"&amp;A2087&amp;"'!"&amp;B2087),FALSE,TRUE))</f>
        <v>0</v>
      </c>
      <c r="E2087" t="s">
        <v>436</v>
      </c>
      <c r="F2087" t="str">
        <f>INDEX(Lists!I:I,MATCH(Validation!E2087,Lists!G:G,0))</f>
        <v>Error</v>
      </c>
      <c r="G2087" t="str">
        <f>INDEX(Lists!H:H,MATCH(Validation!E2087,Lists!G:G,0))</f>
        <v>Amount must be rounded to the nearest dollar.</v>
      </c>
      <c r="H2087" s="25" t="str">
        <f t="shared" ca="1" si="231"/>
        <v/>
      </c>
      <c r="I2087" s="25" t="str">
        <f t="shared" ca="1" si="232"/>
        <v/>
      </c>
      <c r="J2087" s="26" t="str">
        <f t="shared" ca="1" si="233"/>
        <v/>
      </c>
    </row>
    <row r="2088" spans="1:10" x14ac:dyDescent="0.25">
      <c r="A2088" t="s">
        <v>315</v>
      </c>
      <c r="B2088" t="str">
        <f>ADDRESS(ROW('Bond 1'!$B$36),COLUMN('Bond 1'!$B$36),4)</f>
        <v>B36</v>
      </c>
      <c r="C2088" t="str">
        <f>ADDRESS(ROW('Bond 1'!$D$36),COLUMN('Bond 1'!$D$36),4)</f>
        <v>D36</v>
      </c>
      <c r="D2088" t="b" cm="1">
        <f t="array" aca="1" ref="D2088" ca="1">IF(INDIRECT("'"&amp;A2088&amp;"'!"&amp;B2088)="",FALSE,IF(TRUNC(INDIRECT("'"&amp;A2088&amp;"'!"&amp;B2088))=INDIRECT("'"&amp;A2088&amp;"'!"&amp;B2088),FALSE,TRUE))</f>
        <v>0</v>
      </c>
      <c r="E2088" t="s">
        <v>436</v>
      </c>
      <c r="F2088" t="str">
        <f>INDEX(Lists!I:I,MATCH(Validation!E2088,Lists!G:G,0))</f>
        <v>Error</v>
      </c>
      <c r="G2088" t="str">
        <f>INDEX(Lists!H:H,MATCH(Validation!E2088,Lists!G:G,0))</f>
        <v>Amount must be rounded to the nearest dollar.</v>
      </c>
      <c r="H2088" s="25" t="str">
        <f t="shared" ca="1" si="231"/>
        <v/>
      </c>
      <c r="I2088" s="25" t="str">
        <f t="shared" ca="1" si="232"/>
        <v/>
      </c>
      <c r="J2088" s="26" t="str">
        <f t="shared" ca="1" si="233"/>
        <v/>
      </c>
    </row>
    <row r="2089" spans="1:10" x14ac:dyDescent="0.25">
      <c r="A2089" t="s">
        <v>198</v>
      </c>
      <c r="B2089" t="str">
        <f>ADDRESS(ROW('Bond 1'!$B$36),COLUMN('Bond 1'!$B$36),4)</f>
        <v>B36</v>
      </c>
      <c r="C2089" t="str">
        <f>ADDRESS(ROW('Bond 1'!$D$36),COLUMN('Bond 1'!$D$36),4)</f>
        <v>D36</v>
      </c>
      <c r="D2089" t="b" cm="1">
        <f t="array" aca="1" ref="D2089" ca="1">IF(AND(NOT(ISBLANK('Bond Input'!C$45)),INDIRECT("'"&amp;A2089&amp;"'!"&amp;B2089)&lt;&gt;'Bond Input'!C$45),TRUE,FALSE)</f>
        <v>0</v>
      </c>
      <c r="E2089" t="s">
        <v>634</v>
      </c>
      <c r="F2089" t="str">
        <f>INDEX(Lists!I:I,MATCH(Validation!E2089,Lists!G:G,0))</f>
        <v>Alert</v>
      </c>
      <c r="G2089" t="str">
        <f>INDEX(Lists!H:H,MATCH(Validation!E2089,Lists!G:G,0))</f>
        <v>You have changed previously reported data. Explain in the comments box.</v>
      </c>
      <c r="H2089" s="25" t="str">
        <f t="shared" ref="H2089:H2102" ca="1" si="234">IFERROR(IF(OR(NOT(D2089),F2089&lt;&gt;"Error"),"",A2089&amp;CELL("address",INDIRECT(B2089))),"")</f>
        <v/>
      </c>
      <c r="I2089" s="25" t="str">
        <f t="shared" ref="I2089:I2102" ca="1" si="235">IFERROR(IF(NOT(D2089),"",A2089&amp;CELL("address",INDIRECT(C2089))),"")</f>
        <v/>
      </c>
      <c r="J2089" s="26" t="str">
        <f t="shared" ref="J2089:J2102" ca="1" si="236">IFERROR(IF(NOT(D2089),"",A2089),"")</f>
        <v/>
      </c>
    </row>
    <row r="2090" spans="1:10" x14ac:dyDescent="0.25">
      <c r="A2090" t="s">
        <v>302</v>
      </c>
      <c r="B2090" t="str">
        <f>ADDRESS(ROW('Bond 1'!$B$36),COLUMN('Bond 1'!$B$36),4)</f>
        <v>B36</v>
      </c>
      <c r="C2090" t="str">
        <f>ADDRESS(ROW('Bond 1'!$D$36),COLUMN('Bond 1'!$D$36),4)</f>
        <v>D36</v>
      </c>
      <c r="D2090" t="b" cm="1">
        <f t="array" aca="1" ref="D2090" ca="1">IF(AND(NOT(ISBLANK('Bond Input'!D$45)),INDIRECT("'"&amp;A2090&amp;"'!"&amp;B2090)&lt;&gt;'Bond Input'!D$45),TRUE,FALSE)</f>
        <v>0</v>
      </c>
      <c r="E2090" t="s">
        <v>634</v>
      </c>
      <c r="F2090" t="str">
        <f>INDEX(Lists!I:I,MATCH(Validation!E2090,Lists!G:G,0))</f>
        <v>Alert</v>
      </c>
      <c r="G2090" t="str">
        <f>INDEX(Lists!H:H,MATCH(Validation!E2090,Lists!G:G,0))</f>
        <v>You have changed previously reported data. Explain in the comments box.</v>
      </c>
      <c r="H2090" s="25" t="str">
        <f t="shared" ca="1" si="234"/>
        <v/>
      </c>
      <c r="I2090" s="25" t="str">
        <f t="shared" ca="1" si="235"/>
        <v/>
      </c>
      <c r="J2090" s="26" t="str">
        <f t="shared" ca="1" si="236"/>
        <v/>
      </c>
    </row>
    <row r="2091" spans="1:10" x14ac:dyDescent="0.25">
      <c r="A2091" t="s">
        <v>303</v>
      </c>
      <c r="B2091" t="str">
        <f>ADDRESS(ROW('Bond 1'!$B$36),COLUMN('Bond 1'!$B$36),4)</f>
        <v>B36</v>
      </c>
      <c r="C2091" t="str">
        <f>ADDRESS(ROW('Bond 1'!$D$36),COLUMN('Bond 1'!$D$36),4)</f>
        <v>D36</v>
      </c>
      <c r="D2091" t="b" cm="1">
        <f t="array" aca="1" ref="D2091" ca="1">IF(AND(NOT(ISBLANK('Bond Input'!E$45)),INDIRECT("'"&amp;A2091&amp;"'!"&amp;B2091)&lt;&gt;'Bond Input'!E$45),TRUE,FALSE)</f>
        <v>0</v>
      </c>
      <c r="E2091" t="s">
        <v>634</v>
      </c>
      <c r="F2091" t="str">
        <f>INDEX(Lists!I:I,MATCH(Validation!E2091,Lists!G:G,0))</f>
        <v>Alert</v>
      </c>
      <c r="G2091" t="str">
        <f>INDEX(Lists!H:H,MATCH(Validation!E2091,Lists!G:G,0))</f>
        <v>You have changed previously reported data. Explain in the comments box.</v>
      </c>
      <c r="H2091" s="25" t="str">
        <f t="shared" ca="1" si="234"/>
        <v/>
      </c>
      <c r="I2091" s="25" t="str">
        <f t="shared" ca="1" si="235"/>
        <v/>
      </c>
      <c r="J2091" s="26" t="str">
        <f t="shared" ca="1" si="236"/>
        <v/>
      </c>
    </row>
    <row r="2092" spans="1:10" x14ac:dyDescent="0.25">
      <c r="A2092" t="s">
        <v>304</v>
      </c>
      <c r="B2092" t="str">
        <f>ADDRESS(ROW('Bond 1'!$B$36),COLUMN('Bond 1'!$B$36),4)</f>
        <v>B36</v>
      </c>
      <c r="C2092" t="str">
        <f>ADDRESS(ROW('Bond 1'!$D$36),COLUMN('Bond 1'!$D$36),4)</f>
        <v>D36</v>
      </c>
      <c r="D2092" t="b" cm="1">
        <f t="array" aca="1" ref="D2092" ca="1">IF(AND(NOT(ISBLANK('Bond Input'!F$45)),INDIRECT("'"&amp;A2092&amp;"'!"&amp;B2092)&lt;&gt;'Bond Input'!F$45),TRUE,FALSE)</f>
        <v>0</v>
      </c>
      <c r="E2092" t="s">
        <v>634</v>
      </c>
      <c r="F2092" t="str">
        <f>INDEX(Lists!I:I,MATCH(Validation!E2092,Lists!G:G,0))</f>
        <v>Alert</v>
      </c>
      <c r="G2092" t="str">
        <f>INDEX(Lists!H:H,MATCH(Validation!E2092,Lists!G:G,0))</f>
        <v>You have changed previously reported data. Explain in the comments box.</v>
      </c>
      <c r="H2092" s="25" t="str">
        <f t="shared" ca="1" si="234"/>
        <v/>
      </c>
      <c r="I2092" s="25" t="str">
        <f t="shared" ca="1" si="235"/>
        <v/>
      </c>
      <c r="J2092" s="26" t="str">
        <f t="shared" ca="1" si="236"/>
        <v/>
      </c>
    </row>
    <row r="2093" spans="1:10" x14ac:dyDescent="0.25">
      <c r="A2093" t="s">
        <v>305</v>
      </c>
      <c r="B2093" t="str">
        <f>ADDRESS(ROW('Bond 1'!$B$36),COLUMN('Bond 1'!$B$36),4)</f>
        <v>B36</v>
      </c>
      <c r="C2093" t="str">
        <f>ADDRESS(ROW('Bond 1'!$D$36),COLUMN('Bond 1'!$D$36),4)</f>
        <v>D36</v>
      </c>
      <c r="D2093" t="b" cm="1">
        <f t="array" aca="1" ref="D2093" ca="1">IF(AND(NOT(ISBLANK('Bond Input'!G$45)),INDIRECT("'"&amp;A2093&amp;"'!"&amp;B2093)&lt;&gt;'Bond Input'!G$45),TRUE,FALSE)</f>
        <v>0</v>
      </c>
      <c r="E2093" t="s">
        <v>634</v>
      </c>
      <c r="F2093" t="str">
        <f>INDEX(Lists!I:I,MATCH(Validation!E2093,Lists!G:G,0))</f>
        <v>Alert</v>
      </c>
      <c r="G2093" t="str">
        <f>INDEX(Lists!H:H,MATCH(Validation!E2093,Lists!G:G,0))</f>
        <v>You have changed previously reported data. Explain in the comments box.</v>
      </c>
      <c r="H2093" s="25" t="str">
        <f t="shared" ca="1" si="234"/>
        <v/>
      </c>
      <c r="I2093" s="25" t="str">
        <f t="shared" ca="1" si="235"/>
        <v/>
      </c>
      <c r="J2093" s="26" t="str">
        <f t="shared" ca="1" si="236"/>
        <v/>
      </c>
    </row>
    <row r="2094" spans="1:10" x14ac:dyDescent="0.25">
      <c r="A2094" t="s">
        <v>306</v>
      </c>
      <c r="B2094" t="str">
        <f>ADDRESS(ROW('Bond 1'!$B$36),COLUMN('Bond 1'!$B$36),4)</f>
        <v>B36</v>
      </c>
      <c r="C2094" t="str">
        <f>ADDRESS(ROW('Bond 1'!$D$36),COLUMN('Bond 1'!$D$36),4)</f>
        <v>D36</v>
      </c>
      <c r="D2094" t="b" cm="1">
        <f t="array" aca="1" ref="D2094" ca="1">IF(AND(NOT(ISBLANK('Bond Input'!H$45)),INDIRECT("'"&amp;A2094&amp;"'!"&amp;B2094)&lt;&gt;'Bond Input'!H$45),TRUE,FALSE)</f>
        <v>0</v>
      </c>
      <c r="E2094" t="s">
        <v>634</v>
      </c>
      <c r="F2094" t="str">
        <f>INDEX(Lists!I:I,MATCH(Validation!E2094,Lists!G:G,0))</f>
        <v>Alert</v>
      </c>
      <c r="G2094" t="str">
        <f>INDEX(Lists!H:H,MATCH(Validation!E2094,Lists!G:G,0))</f>
        <v>You have changed previously reported data. Explain in the comments box.</v>
      </c>
      <c r="H2094" s="25" t="str">
        <f t="shared" ca="1" si="234"/>
        <v/>
      </c>
      <c r="I2094" s="25" t="str">
        <f t="shared" ca="1" si="235"/>
        <v/>
      </c>
      <c r="J2094" s="26" t="str">
        <f t="shared" ca="1" si="236"/>
        <v/>
      </c>
    </row>
    <row r="2095" spans="1:10" x14ac:dyDescent="0.25">
      <c r="A2095" t="s">
        <v>307</v>
      </c>
      <c r="B2095" t="str">
        <f>ADDRESS(ROW('Bond 1'!$B$36),COLUMN('Bond 1'!$B$36),4)</f>
        <v>B36</v>
      </c>
      <c r="C2095" t="str">
        <f>ADDRESS(ROW('Bond 1'!$D$36),COLUMN('Bond 1'!$D$36),4)</f>
        <v>D36</v>
      </c>
      <c r="D2095" t="b" cm="1">
        <f t="array" aca="1" ref="D2095" ca="1">IF(AND(NOT(ISBLANK('Bond Input'!I$45)),INDIRECT("'"&amp;A2095&amp;"'!"&amp;B2095)&lt;&gt;'Bond Input'!I$45),TRUE,FALSE)</f>
        <v>0</v>
      </c>
      <c r="E2095" t="s">
        <v>634</v>
      </c>
      <c r="F2095" t="str">
        <f>INDEX(Lists!I:I,MATCH(Validation!E2095,Lists!G:G,0))</f>
        <v>Alert</v>
      </c>
      <c r="G2095" t="str">
        <f>INDEX(Lists!H:H,MATCH(Validation!E2095,Lists!G:G,0))</f>
        <v>You have changed previously reported data. Explain in the comments box.</v>
      </c>
      <c r="H2095" s="25" t="str">
        <f t="shared" ca="1" si="234"/>
        <v/>
      </c>
      <c r="I2095" s="25" t="str">
        <f t="shared" ca="1" si="235"/>
        <v/>
      </c>
      <c r="J2095" s="26" t="str">
        <f t="shared" ca="1" si="236"/>
        <v/>
      </c>
    </row>
    <row r="2096" spans="1:10" x14ac:dyDescent="0.25">
      <c r="A2096" t="s">
        <v>308</v>
      </c>
      <c r="B2096" t="str">
        <f>ADDRESS(ROW('Bond 1'!$B$36),COLUMN('Bond 1'!$B$36),4)</f>
        <v>B36</v>
      </c>
      <c r="C2096" t="str">
        <f>ADDRESS(ROW('Bond 1'!$D$36),COLUMN('Bond 1'!$D$36),4)</f>
        <v>D36</v>
      </c>
      <c r="D2096" t="b" cm="1">
        <f t="array" aca="1" ref="D2096" ca="1">IF(AND(NOT(ISBLANK('Bond Input'!J$45)),INDIRECT("'"&amp;A2096&amp;"'!"&amp;B2096)&lt;&gt;'Bond Input'!J$45),TRUE,FALSE)</f>
        <v>0</v>
      </c>
      <c r="E2096" t="s">
        <v>634</v>
      </c>
      <c r="F2096" t="str">
        <f>INDEX(Lists!I:I,MATCH(Validation!E2096,Lists!G:G,0))</f>
        <v>Alert</v>
      </c>
      <c r="G2096" t="str">
        <f>INDEX(Lists!H:H,MATCH(Validation!E2096,Lists!G:G,0))</f>
        <v>You have changed previously reported data. Explain in the comments box.</v>
      </c>
      <c r="H2096" s="25" t="str">
        <f t="shared" ca="1" si="234"/>
        <v/>
      </c>
      <c r="I2096" s="25" t="str">
        <f t="shared" ca="1" si="235"/>
        <v/>
      </c>
      <c r="J2096" s="26" t="str">
        <f t="shared" ca="1" si="236"/>
        <v/>
      </c>
    </row>
    <row r="2097" spans="1:10" x14ac:dyDescent="0.25">
      <c r="A2097" t="s">
        <v>309</v>
      </c>
      <c r="B2097" t="str">
        <f>ADDRESS(ROW('Bond 1'!$B$36),COLUMN('Bond 1'!$B$36),4)</f>
        <v>B36</v>
      </c>
      <c r="C2097" t="str">
        <f>ADDRESS(ROW('Bond 1'!$D$36),COLUMN('Bond 1'!$D$36),4)</f>
        <v>D36</v>
      </c>
      <c r="D2097" t="b" cm="1">
        <f t="array" aca="1" ref="D2097" ca="1">IF(AND(NOT(ISBLANK('Bond Input'!K$45)),INDIRECT("'"&amp;A2097&amp;"'!"&amp;B2097)&lt;&gt;'Bond Input'!K$45),TRUE,FALSE)</f>
        <v>0</v>
      </c>
      <c r="E2097" t="s">
        <v>634</v>
      </c>
      <c r="F2097" t="str">
        <f>INDEX(Lists!I:I,MATCH(Validation!E2097,Lists!G:G,0))</f>
        <v>Alert</v>
      </c>
      <c r="G2097" t="str">
        <f>INDEX(Lists!H:H,MATCH(Validation!E2097,Lists!G:G,0))</f>
        <v>You have changed previously reported data. Explain in the comments box.</v>
      </c>
      <c r="H2097" s="25" t="str">
        <f t="shared" ca="1" si="234"/>
        <v/>
      </c>
      <c r="I2097" s="25" t="str">
        <f t="shared" ca="1" si="235"/>
        <v/>
      </c>
      <c r="J2097" s="26" t="str">
        <f t="shared" ca="1" si="236"/>
        <v/>
      </c>
    </row>
    <row r="2098" spans="1:10" x14ac:dyDescent="0.25">
      <c r="A2098" t="s">
        <v>310</v>
      </c>
      <c r="B2098" t="str">
        <f>ADDRESS(ROW('Bond 1'!$B$36),COLUMN('Bond 1'!$B$36),4)</f>
        <v>B36</v>
      </c>
      <c r="C2098" t="str">
        <f>ADDRESS(ROW('Bond 1'!$D$36),COLUMN('Bond 1'!$D$36),4)</f>
        <v>D36</v>
      </c>
      <c r="D2098" t="b" cm="1">
        <f t="array" aca="1" ref="D2098" ca="1">IF(AND(NOT(ISBLANK('Bond Input'!L$45)),INDIRECT("'"&amp;A2098&amp;"'!"&amp;B2098)&lt;&gt;'Bond Input'!L$45),TRUE,FALSE)</f>
        <v>0</v>
      </c>
      <c r="E2098" t="s">
        <v>634</v>
      </c>
      <c r="F2098" t="str">
        <f>INDEX(Lists!I:I,MATCH(Validation!E2098,Lists!G:G,0))</f>
        <v>Alert</v>
      </c>
      <c r="G2098" t="str">
        <f>INDEX(Lists!H:H,MATCH(Validation!E2098,Lists!G:G,0))</f>
        <v>You have changed previously reported data. Explain in the comments box.</v>
      </c>
      <c r="H2098" s="25" t="str">
        <f t="shared" ca="1" si="234"/>
        <v/>
      </c>
      <c r="I2098" s="25" t="str">
        <f t="shared" ca="1" si="235"/>
        <v/>
      </c>
      <c r="J2098" s="26" t="str">
        <f t="shared" ca="1" si="236"/>
        <v/>
      </c>
    </row>
    <row r="2099" spans="1:10" x14ac:dyDescent="0.25">
      <c r="A2099" t="s">
        <v>311</v>
      </c>
      <c r="B2099" t="str">
        <f>ADDRESS(ROW('Bond 1'!$B$36),COLUMN('Bond 1'!$B$36),4)</f>
        <v>B36</v>
      </c>
      <c r="C2099" t="str">
        <f>ADDRESS(ROW('Bond 1'!$D$36),COLUMN('Bond 1'!$D$36),4)</f>
        <v>D36</v>
      </c>
      <c r="D2099" t="b" cm="1">
        <f t="array" aca="1" ref="D2099" ca="1">IF(AND(NOT(ISBLANK('Bond Input'!M$45)),INDIRECT("'"&amp;A2099&amp;"'!"&amp;B2099)&lt;&gt;'Bond Input'!M$45),TRUE,FALSE)</f>
        <v>0</v>
      </c>
      <c r="E2099" t="s">
        <v>634</v>
      </c>
      <c r="F2099" t="str">
        <f>INDEX(Lists!I:I,MATCH(Validation!E2099,Lists!G:G,0))</f>
        <v>Alert</v>
      </c>
      <c r="G2099" t="str">
        <f>INDEX(Lists!H:H,MATCH(Validation!E2099,Lists!G:G,0))</f>
        <v>You have changed previously reported data. Explain in the comments box.</v>
      </c>
      <c r="H2099" s="25" t="str">
        <f t="shared" ca="1" si="234"/>
        <v/>
      </c>
      <c r="I2099" s="25" t="str">
        <f t="shared" ca="1" si="235"/>
        <v/>
      </c>
      <c r="J2099" s="26" t="str">
        <f t="shared" ca="1" si="236"/>
        <v/>
      </c>
    </row>
    <row r="2100" spans="1:10" x14ac:dyDescent="0.25">
      <c r="A2100" t="s">
        <v>312</v>
      </c>
      <c r="B2100" t="str">
        <f>ADDRESS(ROW('Bond 1'!$B$36),COLUMN('Bond 1'!$B$36),4)</f>
        <v>B36</v>
      </c>
      <c r="C2100" t="str">
        <f>ADDRESS(ROW('Bond 1'!$D$36),COLUMN('Bond 1'!$D$36),4)</f>
        <v>D36</v>
      </c>
      <c r="D2100" t="b" cm="1">
        <f t="array" aca="1" ref="D2100" ca="1">IF(AND(NOT(ISBLANK('Bond Input'!N$45)),INDIRECT("'"&amp;A2100&amp;"'!"&amp;B2100)&lt;&gt;'Bond Input'!N$45),TRUE,FALSE)</f>
        <v>0</v>
      </c>
      <c r="E2100" t="s">
        <v>634</v>
      </c>
      <c r="F2100" t="str">
        <f>INDEX(Lists!I:I,MATCH(Validation!E2100,Lists!G:G,0))</f>
        <v>Alert</v>
      </c>
      <c r="G2100" t="str">
        <f>INDEX(Lists!H:H,MATCH(Validation!E2100,Lists!G:G,0))</f>
        <v>You have changed previously reported data. Explain in the comments box.</v>
      </c>
      <c r="H2100" s="25" t="str">
        <f t="shared" ca="1" si="234"/>
        <v/>
      </c>
      <c r="I2100" s="25" t="str">
        <f t="shared" ca="1" si="235"/>
        <v/>
      </c>
      <c r="J2100" s="26" t="str">
        <f t="shared" ca="1" si="236"/>
        <v/>
      </c>
    </row>
    <row r="2101" spans="1:10" x14ac:dyDescent="0.25">
      <c r="A2101" t="s">
        <v>313</v>
      </c>
      <c r="B2101" t="str">
        <f>ADDRESS(ROW('Bond 1'!$B$36),COLUMN('Bond 1'!$B$36),4)</f>
        <v>B36</v>
      </c>
      <c r="C2101" t="str">
        <f>ADDRESS(ROW('Bond 1'!$D$36),COLUMN('Bond 1'!$D$36),4)</f>
        <v>D36</v>
      </c>
      <c r="D2101" t="b" cm="1">
        <f t="array" aca="1" ref="D2101" ca="1">IF(AND(NOT(ISBLANK('Bond Input'!O$45)),INDIRECT("'"&amp;A2101&amp;"'!"&amp;B2101)&lt;&gt;'Bond Input'!O$45),TRUE,FALSE)</f>
        <v>0</v>
      </c>
      <c r="E2101" t="s">
        <v>634</v>
      </c>
      <c r="F2101" t="str">
        <f>INDEX(Lists!I:I,MATCH(Validation!E2101,Lists!G:G,0))</f>
        <v>Alert</v>
      </c>
      <c r="G2101" t="str">
        <f>INDEX(Lists!H:H,MATCH(Validation!E2101,Lists!G:G,0))</f>
        <v>You have changed previously reported data. Explain in the comments box.</v>
      </c>
      <c r="H2101" s="25" t="str">
        <f t="shared" ca="1" si="234"/>
        <v/>
      </c>
      <c r="I2101" s="25" t="str">
        <f t="shared" ca="1" si="235"/>
        <v/>
      </c>
      <c r="J2101" s="26" t="str">
        <f t="shared" ca="1" si="236"/>
        <v/>
      </c>
    </row>
    <row r="2102" spans="1:10" x14ac:dyDescent="0.25">
      <c r="A2102" t="s">
        <v>314</v>
      </c>
      <c r="B2102" t="str">
        <f>ADDRESS(ROW('Bond 1'!$B$36),COLUMN('Bond 1'!$B$36),4)</f>
        <v>B36</v>
      </c>
      <c r="C2102" t="str">
        <f>ADDRESS(ROW('Bond 1'!$D$36),COLUMN('Bond 1'!$D$36),4)</f>
        <v>D36</v>
      </c>
      <c r="D2102" t="b" cm="1">
        <f t="array" aca="1" ref="D2102" ca="1">IF(AND(NOT(ISBLANK('Bond Input'!P$45)),INDIRECT("'"&amp;A2102&amp;"'!"&amp;B2102)&lt;&gt;'Bond Input'!P$45),TRUE,FALSE)</f>
        <v>0</v>
      </c>
      <c r="E2102" t="s">
        <v>634</v>
      </c>
      <c r="F2102" t="str">
        <f>INDEX(Lists!I:I,MATCH(Validation!E2102,Lists!G:G,0))</f>
        <v>Alert</v>
      </c>
      <c r="G2102" t="str">
        <f>INDEX(Lists!H:H,MATCH(Validation!E2102,Lists!G:G,0))</f>
        <v>You have changed previously reported data. Explain in the comments box.</v>
      </c>
      <c r="H2102" s="25" t="str">
        <f t="shared" ca="1" si="234"/>
        <v/>
      </c>
      <c r="I2102" s="25" t="str">
        <f t="shared" ca="1" si="235"/>
        <v/>
      </c>
      <c r="J2102" s="26" t="str">
        <f t="shared" ca="1" si="236"/>
        <v/>
      </c>
    </row>
    <row r="2103" spans="1:10" x14ac:dyDescent="0.25">
      <c r="A2103" t="s">
        <v>315</v>
      </c>
      <c r="B2103" t="str">
        <f>ADDRESS(ROW('Bond 1'!$B$36),COLUMN('Bond 1'!$B$36),4)</f>
        <v>B36</v>
      </c>
      <c r="C2103" t="str">
        <f>ADDRESS(ROW('Bond 1'!$D$36),COLUMN('Bond 1'!$D$36),4)</f>
        <v>D36</v>
      </c>
      <c r="D2103" t="b" cm="1">
        <f t="array" aca="1" ref="D2103" ca="1">IF(AND(NOT(ISBLANK('Bond Input'!Q$45)),INDIRECT("'"&amp;A2103&amp;"'!"&amp;B2103)&lt;&gt;'Bond Input'!Q$45),TRUE,FALSE)</f>
        <v>0</v>
      </c>
      <c r="E2103" t="s">
        <v>634</v>
      </c>
      <c r="F2103" t="str">
        <f>INDEX(Lists!I:I,MATCH(Validation!E2103,Lists!G:G,0))</f>
        <v>Alert</v>
      </c>
      <c r="G2103" t="str">
        <f>INDEX(Lists!H:H,MATCH(Validation!E2103,Lists!G:G,0))</f>
        <v>You have changed previously reported data. Explain in the comments box.</v>
      </c>
      <c r="H2103" s="25" t="str">
        <f t="shared" ref="H2103:H2163" ca="1" si="237">IFERROR(IF(OR(NOT(D2103),F2103&lt;&gt;"Error"),"",A2103&amp;CELL("address",INDIRECT(B2103))),"")</f>
        <v/>
      </c>
      <c r="I2103" s="25" t="str">
        <f t="shared" ref="I2103:I2163" ca="1" si="238">IFERROR(IF(NOT(D2103),"",A2103&amp;CELL("address",INDIRECT(C2103))),"")</f>
        <v/>
      </c>
      <c r="J2103" s="26" t="str">
        <f t="shared" ref="J2103:J2163" ca="1" si="239">IFERROR(IF(NOT(D2103),"",A2103),"")</f>
        <v/>
      </c>
    </row>
    <row r="2104" spans="1:10" x14ac:dyDescent="0.25">
      <c r="A2104" t="s">
        <v>198</v>
      </c>
      <c r="B2104" t="str">
        <f>ADDRESS(ROW('Bond 1'!$C$36),COLUMN('Bond 1'!$C$36),4)</f>
        <v>C36</v>
      </c>
      <c r="C2104" t="str">
        <f>ADDRESS(ROW('Bond 1'!$D$36),COLUMN('Bond 1'!$D$36),4)</f>
        <v>D36</v>
      </c>
      <c r="D2104" t="b" cm="1">
        <f t="array" aca="1" ref="D2104" ca="1">IF(INDIRECT("'"&amp;A2104&amp;"'!"&amp;B2104)="",FALSE,IF(NOT(ISNUMBER(INDIRECT("'"&amp;A2104&amp;"'!"&amp;B2104))),TRUE,FALSE))</f>
        <v>0</v>
      </c>
      <c r="E2104" t="s">
        <v>435</v>
      </c>
      <c r="F2104" t="str">
        <f>INDEX(Lists!I:I,MATCH(Validation!E2104,Lists!G:G,0))</f>
        <v>Error</v>
      </c>
      <c r="G2104" t="str">
        <f>INDEX(Lists!H:H,MATCH(Validation!E2104,Lists!G:G,0))</f>
        <v>Enter an amount only. Do not enter text or spaces.</v>
      </c>
      <c r="H2104" s="25" t="str">
        <f t="shared" ref="H2104:H2148" ca="1" si="240">IFERROR(IF(OR(NOT(D2104),F2104&lt;&gt;"Error"),"",A2104&amp;CELL("address",INDIRECT(B2104))),"")</f>
        <v/>
      </c>
      <c r="I2104" s="25" t="str">
        <f t="shared" ref="I2104:I2148" ca="1" si="241">IFERROR(IF(NOT(D2104),"",A2104&amp;CELL("address",INDIRECT(C2104))),"")</f>
        <v/>
      </c>
      <c r="J2104" s="26" t="str">
        <f t="shared" ref="J2104:J2148" ca="1" si="242">IFERROR(IF(NOT(D2104),"",A2104),"")</f>
        <v/>
      </c>
    </row>
    <row r="2105" spans="1:10" x14ac:dyDescent="0.25">
      <c r="A2105" t="s">
        <v>302</v>
      </c>
      <c r="B2105" t="str">
        <f>ADDRESS(ROW('Bond 1'!$C$36),COLUMN('Bond 1'!$C$36),4)</f>
        <v>C36</v>
      </c>
      <c r="C2105" t="str">
        <f>ADDRESS(ROW('Bond 1'!$D$36),COLUMN('Bond 1'!$D$36),4)</f>
        <v>D36</v>
      </c>
      <c r="D2105" t="b" cm="1">
        <f t="array" aca="1" ref="D2105" ca="1">IF(INDIRECT("'"&amp;A2105&amp;"'!"&amp;B2105)="",FALSE,IF(NOT(ISNUMBER(INDIRECT("'"&amp;A2105&amp;"'!"&amp;B2105))),TRUE,FALSE))</f>
        <v>0</v>
      </c>
      <c r="E2105" t="s">
        <v>435</v>
      </c>
      <c r="F2105" t="str">
        <f>INDEX(Lists!I:I,MATCH(Validation!E2105,Lists!G:G,0))</f>
        <v>Error</v>
      </c>
      <c r="G2105" t="str">
        <f>INDEX(Lists!H:H,MATCH(Validation!E2105,Lists!G:G,0))</f>
        <v>Enter an amount only. Do not enter text or spaces.</v>
      </c>
      <c r="H2105" s="25" t="str">
        <f t="shared" ca="1" si="240"/>
        <v/>
      </c>
      <c r="I2105" s="25" t="str">
        <f t="shared" ca="1" si="241"/>
        <v/>
      </c>
      <c r="J2105" s="26" t="str">
        <f t="shared" ca="1" si="242"/>
        <v/>
      </c>
    </row>
    <row r="2106" spans="1:10" x14ac:dyDescent="0.25">
      <c r="A2106" t="s">
        <v>303</v>
      </c>
      <c r="B2106" t="str">
        <f>ADDRESS(ROW('Bond 1'!$C$36),COLUMN('Bond 1'!$C$36),4)</f>
        <v>C36</v>
      </c>
      <c r="C2106" t="str">
        <f>ADDRESS(ROW('Bond 1'!$D$36),COLUMN('Bond 1'!$D$36),4)</f>
        <v>D36</v>
      </c>
      <c r="D2106" t="b" cm="1">
        <f t="array" aca="1" ref="D2106" ca="1">IF(INDIRECT("'"&amp;A2106&amp;"'!"&amp;B2106)="",FALSE,IF(NOT(ISNUMBER(INDIRECT("'"&amp;A2106&amp;"'!"&amp;B2106))),TRUE,FALSE))</f>
        <v>0</v>
      </c>
      <c r="E2106" t="s">
        <v>435</v>
      </c>
      <c r="F2106" t="str">
        <f>INDEX(Lists!I:I,MATCH(Validation!E2106,Lists!G:G,0))</f>
        <v>Error</v>
      </c>
      <c r="G2106" t="str">
        <f>INDEX(Lists!H:H,MATCH(Validation!E2106,Lists!G:G,0))</f>
        <v>Enter an amount only. Do not enter text or spaces.</v>
      </c>
      <c r="H2106" s="25" t="str">
        <f t="shared" ca="1" si="240"/>
        <v/>
      </c>
      <c r="I2106" s="25" t="str">
        <f t="shared" ca="1" si="241"/>
        <v/>
      </c>
      <c r="J2106" s="26" t="str">
        <f t="shared" ca="1" si="242"/>
        <v/>
      </c>
    </row>
    <row r="2107" spans="1:10" x14ac:dyDescent="0.25">
      <c r="A2107" t="s">
        <v>304</v>
      </c>
      <c r="B2107" t="str">
        <f>ADDRESS(ROW('Bond 1'!$C$36),COLUMN('Bond 1'!$C$36),4)</f>
        <v>C36</v>
      </c>
      <c r="C2107" t="str">
        <f>ADDRESS(ROW('Bond 1'!$D$36),COLUMN('Bond 1'!$D$36),4)</f>
        <v>D36</v>
      </c>
      <c r="D2107" t="b" cm="1">
        <f t="array" aca="1" ref="D2107" ca="1">IF(INDIRECT("'"&amp;A2107&amp;"'!"&amp;B2107)="",FALSE,IF(NOT(ISNUMBER(INDIRECT("'"&amp;A2107&amp;"'!"&amp;B2107))),TRUE,FALSE))</f>
        <v>0</v>
      </c>
      <c r="E2107" t="s">
        <v>435</v>
      </c>
      <c r="F2107" t="str">
        <f>INDEX(Lists!I:I,MATCH(Validation!E2107,Lists!G:G,0))</f>
        <v>Error</v>
      </c>
      <c r="G2107" t="str">
        <f>INDEX(Lists!H:H,MATCH(Validation!E2107,Lists!G:G,0))</f>
        <v>Enter an amount only. Do not enter text or spaces.</v>
      </c>
      <c r="H2107" s="25" t="str">
        <f t="shared" ca="1" si="240"/>
        <v/>
      </c>
      <c r="I2107" s="25" t="str">
        <f t="shared" ca="1" si="241"/>
        <v/>
      </c>
      <c r="J2107" s="26" t="str">
        <f t="shared" ca="1" si="242"/>
        <v/>
      </c>
    </row>
    <row r="2108" spans="1:10" x14ac:dyDescent="0.25">
      <c r="A2108" t="s">
        <v>305</v>
      </c>
      <c r="B2108" t="str">
        <f>ADDRESS(ROW('Bond 1'!$C$36),COLUMN('Bond 1'!$C$36),4)</f>
        <v>C36</v>
      </c>
      <c r="C2108" t="str">
        <f>ADDRESS(ROW('Bond 1'!$D$36),COLUMN('Bond 1'!$D$36),4)</f>
        <v>D36</v>
      </c>
      <c r="D2108" t="b" cm="1">
        <f t="array" aca="1" ref="D2108" ca="1">IF(INDIRECT("'"&amp;A2108&amp;"'!"&amp;B2108)="",FALSE,IF(NOT(ISNUMBER(INDIRECT("'"&amp;A2108&amp;"'!"&amp;B2108))),TRUE,FALSE))</f>
        <v>0</v>
      </c>
      <c r="E2108" t="s">
        <v>435</v>
      </c>
      <c r="F2108" t="str">
        <f>INDEX(Lists!I:I,MATCH(Validation!E2108,Lists!G:G,0))</f>
        <v>Error</v>
      </c>
      <c r="G2108" t="str">
        <f>INDEX(Lists!H:H,MATCH(Validation!E2108,Lists!G:G,0))</f>
        <v>Enter an amount only. Do not enter text or spaces.</v>
      </c>
      <c r="H2108" s="25" t="str">
        <f t="shared" ca="1" si="240"/>
        <v/>
      </c>
      <c r="I2108" s="25" t="str">
        <f t="shared" ca="1" si="241"/>
        <v/>
      </c>
      <c r="J2108" s="26" t="str">
        <f t="shared" ca="1" si="242"/>
        <v/>
      </c>
    </row>
    <row r="2109" spans="1:10" x14ac:dyDescent="0.25">
      <c r="A2109" t="s">
        <v>306</v>
      </c>
      <c r="B2109" t="str">
        <f>ADDRESS(ROW('Bond 1'!$C$36),COLUMN('Bond 1'!$C$36),4)</f>
        <v>C36</v>
      </c>
      <c r="C2109" t="str">
        <f>ADDRESS(ROW('Bond 1'!$D$36),COLUMN('Bond 1'!$D$36),4)</f>
        <v>D36</v>
      </c>
      <c r="D2109" t="b" cm="1">
        <f t="array" aca="1" ref="D2109" ca="1">IF(INDIRECT("'"&amp;A2109&amp;"'!"&amp;B2109)="",FALSE,IF(NOT(ISNUMBER(INDIRECT("'"&amp;A2109&amp;"'!"&amp;B2109))),TRUE,FALSE))</f>
        <v>0</v>
      </c>
      <c r="E2109" t="s">
        <v>435</v>
      </c>
      <c r="F2109" t="str">
        <f>INDEX(Lists!I:I,MATCH(Validation!E2109,Lists!G:G,0))</f>
        <v>Error</v>
      </c>
      <c r="G2109" t="str">
        <f>INDEX(Lists!H:H,MATCH(Validation!E2109,Lists!G:G,0))</f>
        <v>Enter an amount only. Do not enter text or spaces.</v>
      </c>
      <c r="H2109" s="25" t="str">
        <f t="shared" ca="1" si="240"/>
        <v/>
      </c>
      <c r="I2109" s="25" t="str">
        <f t="shared" ca="1" si="241"/>
        <v/>
      </c>
      <c r="J2109" s="26" t="str">
        <f t="shared" ca="1" si="242"/>
        <v/>
      </c>
    </row>
    <row r="2110" spans="1:10" x14ac:dyDescent="0.25">
      <c r="A2110" t="s">
        <v>307</v>
      </c>
      <c r="B2110" t="str">
        <f>ADDRESS(ROW('Bond 1'!$C$36),COLUMN('Bond 1'!$C$36),4)</f>
        <v>C36</v>
      </c>
      <c r="C2110" t="str">
        <f>ADDRESS(ROW('Bond 1'!$D$36),COLUMN('Bond 1'!$D$36),4)</f>
        <v>D36</v>
      </c>
      <c r="D2110" t="b" cm="1">
        <f t="array" aca="1" ref="D2110" ca="1">IF(INDIRECT("'"&amp;A2110&amp;"'!"&amp;B2110)="",FALSE,IF(NOT(ISNUMBER(INDIRECT("'"&amp;A2110&amp;"'!"&amp;B2110))),TRUE,FALSE))</f>
        <v>0</v>
      </c>
      <c r="E2110" t="s">
        <v>435</v>
      </c>
      <c r="F2110" t="str">
        <f>INDEX(Lists!I:I,MATCH(Validation!E2110,Lists!G:G,0))</f>
        <v>Error</v>
      </c>
      <c r="G2110" t="str">
        <f>INDEX(Lists!H:H,MATCH(Validation!E2110,Lists!G:G,0))</f>
        <v>Enter an amount only. Do not enter text or spaces.</v>
      </c>
      <c r="H2110" s="25" t="str">
        <f t="shared" ca="1" si="240"/>
        <v/>
      </c>
      <c r="I2110" s="25" t="str">
        <f t="shared" ca="1" si="241"/>
        <v/>
      </c>
      <c r="J2110" s="26" t="str">
        <f t="shared" ca="1" si="242"/>
        <v/>
      </c>
    </row>
    <row r="2111" spans="1:10" x14ac:dyDescent="0.25">
      <c r="A2111" t="s">
        <v>308</v>
      </c>
      <c r="B2111" t="str">
        <f>ADDRESS(ROW('Bond 1'!$C$36),COLUMN('Bond 1'!$C$36),4)</f>
        <v>C36</v>
      </c>
      <c r="C2111" t="str">
        <f>ADDRESS(ROW('Bond 1'!$D$36),COLUMN('Bond 1'!$D$36),4)</f>
        <v>D36</v>
      </c>
      <c r="D2111" t="b" cm="1">
        <f t="array" aca="1" ref="D2111" ca="1">IF(INDIRECT("'"&amp;A2111&amp;"'!"&amp;B2111)="",FALSE,IF(NOT(ISNUMBER(INDIRECT("'"&amp;A2111&amp;"'!"&amp;B2111))),TRUE,FALSE))</f>
        <v>0</v>
      </c>
      <c r="E2111" t="s">
        <v>435</v>
      </c>
      <c r="F2111" t="str">
        <f>INDEX(Lists!I:I,MATCH(Validation!E2111,Lists!G:G,0))</f>
        <v>Error</v>
      </c>
      <c r="G2111" t="str">
        <f>INDEX(Lists!H:H,MATCH(Validation!E2111,Lists!G:G,0))</f>
        <v>Enter an amount only. Do not enter text or spaces.</v>
      </c>
      <c r="H2111" s="25" t="str">
        <f t="shared" ca="1" si="240"/>
        <v/>
      </c>
      <c r="I2111" s="25" t="str">
        <f t="shared" ca="1" si="241"/>
        <v/>
      </c>
      <c r="J2111" s="26" t="str">
        <f t="shared" ca="1" si="242"/>
        <v/>
      </c>
    </row>
    <row r="2112" spans="1:10" x14ac:dyDescent="0.25">
      <c r="A2112" t="s">
        <v>309</v>
      </c>
      <c r="B2112" t="str">
        <f>ADDRESS(ROW('Bond 1'!$C$36),COLUMN('Bond 1'!$C$36),4)</f>
        <v>C36</v>
      </c>
      <c r="C2112" t="str">
        <f>ADDRESS(ROW('Bond 1'!$D$36),COLUMN('Bond 1'!$D$36),4)</f>
        <v>D36</v>
      </c>
      <c r="D2112" t="b" cm="1">
        <f t="array" aca="1" ref="D2112" ca="1">IF(INDIRECT("'"&amp;A2112&amp;"'!"&amp;B2112)="",FALSE,IF(NOT(ISNUMBER(INDIRECT("'"&amp;A2112&amp;"'!"&amp;B2112))),TRUE,FALSE))</f>
        <v>0</v>
      </c>
      <c r="E2112" t="s">
        <v>435</v>
      </c>
      <c r="F2112" t="str">
        <f>INDEX(Lists!I:I,MATCH(Validation!E2112,Lists!G:G,0))</f>
        <v>Error</v>
      </c>
      <c r="G2112" t="str">
        <f>INDEX(Lists!H:H,MATCH(Validation!E2112,Lists!G:G,0))</f>
        <v>Enter an amount only. Do not enter text or spaces.</v>
      </c>
      <c r="H2112" s="25" t="str">
        <f t="shared" ca="1" si="240"/>
        <v/>
      </c>
      <c r="I2112" s="25" t="str">
        <f t="shared" ca="1" si="241"/>
        <v/>
      </c>
      <c r="J2112" s="26" t="str">
        <f t="shared" ca="1" si="242"/>
        <v/>
      </c>
    </row>
    <row r="2113" spans="1:10" x14ac:dyDescent="0.25">
      <c r="A2113" t="s">
        <v>310</v>
      </c>
      <c r="B2113" t="str">
        <f>ADDRESS(ROW('Bond 1'!$C$36),COLUMN('Bond 1'!$C$36),4)</f>
        <v>C36</v>
      </c>
      <c r="C2113" t="str">
        <f>ADDRESS(ROW('Bond 1'!$D$36),COLUMN('Bond 1'!$D$36),4)</f>
        <v>D36</v>
      </c>
      <c r="D2113" t="b" cm="1">
        <f t="array" aca="1" ref="D2113" ca="1">IF(INDIRECT("'"&amp;A2113&amp;"'!"&amp;B2113)="",FALSE,IF(NOT(ISNUMBER(INDIRECT("'"&amp;A2113&amp;"'!"&amp;B2113))),TRUE,FALSE))</f>
        <v>0</v>
      </c>
      <c r="E2113" t="s">
        <v>435</v>
      </c>
      <c r="F2113" t="str">
        <f>INDEX(Lists!I:I,MATCH(Validation!E2113,Lists!G:G,0))</f>
        <v>Error</v>
      </c>
      <c r="G2113" t="str">
        <f>INDEX(Lists!H:H,MATCH(Validation!E2113,Lists!G:G,0))</f>
        <v>Enter an amount only. Do not enter text or spaces.</v>
      </c>
      <c r="H2113" s="25" t="str">
        <f t="shared" ca="1" si="240"/>
        <v/>
      </c>
      <c r="I2113" s="25" t="str">
        <f t="shared" ca="1" si="241"/>
        <v/>
      </c>
      <c r="J2113" s="26" t="str">
        <f t="shared" ca="1" si="242"/>
        <v/>
      </c>
    </row>
    <row r="2114" spans="1:10" x14ac:dyDescent="0.25">
      <c r="A2114" t="s">
        <v>311</v>
      </c>
      <c r="B2114" t="str">
        <f>ADDRESS(ROW('Bond 1'!$C$36),COLUMN('Bond 1'!$C$36),4)</f>
        <v>C36</v>
      </c>
      <c r="C2114" t="str">
        <f>ADDRESS(ROW('Bond 1'!$D$36),COLUMN('Bond 1'!$D$36),4)</f>
        <v>D36</v>
      </c>
      <c r="D2114" t="b" cm="1">
        <f t="array" aca="1" ref="D2114" ca="1">IF(INDIRECT("'"&amp;A2114&amp;"'!"&amp;B2114)="",FALSE,IF(NOT(ISNUMBER(INDIRECT("'"&amp;A2114&amp;"'!"&amp;B2114))),TRUE,FALSE))</f>
        <v>0</v>
      </c>
      <c r="E2114" t="s">
        <v>435</v>
      </c>
      <c r="F2114" t="str">
        <f>INDEX(Lists!I:I,MATCH(Validation!E2114,Lists!G:G,0))</f>
        <v>Error</v>
      </c>
      <c r="G2114" t="str">
        <f>INDEX(Lists!H:H,MATCH(Validation!E2114,Lists!G:G,0))</f>
        <v>Enter an amount only. Do not enter text or spaces.</v>
      </c>
      <c r="H2114" s="25" t="str">
        <f t="shared" ca="1" si="240"/>
        <v/>
      </c>
      <c r="I2114" s="25" t="str">
        <f t="shared" ca="1" si="241"/>
        <v/>
      </c>
      <c r="J2114" s="26" t="str">
        <f t="shared" ca="1" si="242"/>
        <v/>
      </c>
    </row>
    <row r="2115" spans="1:10" x14ac:dyDescent="0.25">
      <c r="A2115" t="s">
        <v>312</v>
      </c>
      <c r="B2115" t="str">
        <f>ADDRESS(ROW('Bond 1'!$C$36),COLUMN('Bond 1'!$C$36),4)</f>
        <v>C36</v>
      </c>
      <c r="C2115" t="str">
        <f>ADDRESS(ROW('Bond 1'!$D$36),COLUMN('Bond 1'!$D$36),4)</f>
        <v>D36</v>
      </c>
      <c r="D2115" t="b" cm="1">
        <f t="array" aca="1" ref="D2115" ca="1">IF(INDIRECT("'"&amp;A2115&amp;"'!"&amp;B2115)="",FALSE,IF(NOT(ISNUMBER(INDIRECT("'"&amp;A2115&amp;"'!"&amp;B2115))),TRUE,FALSE))</f>
        <v>0</v>
      </c>
      <c r="E2115" t="s">
        <v>435</v>
      </c>
      <c r="F2115" t="str">
        <f>INDEX(Lists!I:I,MATCH(Validation!E2115,Lists!G:G,0))</f>
        <v>Error</v>
      </c>
      <c r="G2115" t="str">
        <f>INDEX(Lists!H:H,MATCH(Validation!E2115,Lists!G:G,0))</f>
        <v>Enter an amount only. Do not enter text or spaces.</v>
      </c>
      <c r="H2115" s="25" t="str">
        <f t="shared" ca="1" si="240"/>
        <v/>
      </c>
      <c r="I2115" s="25" t="str">
        <f t="shared" ca="1" si="241"/>
        <v/>
      </c>
      <c r="J2115" s="26" t="str">
        <f t="shared" ca="1" si="242"/>
        <v/>
      </c>
    </row>
    <row r="2116" spans="1:10" x14ac:dyDescent="0.25">
      <c r="A2116" t="s">
        <v>313</v>
      </c>
      <c r="B2116" t="str">
        <f>ADDRESS(ROW('Bond 1'!$C$36),COLUMN('Bond 1'!$C$36),4)</f>
        <v>C36</v>
      </c>
      <c r="C2116" t="str">
        <f>ADDRESS(ROW('Bond 1'!$D$36),COLUMN('Bond 1'!$D$36),4)</f>
        <v>D36</v>
      </c>
      <c r="D2116" t="b" cm="1">
        <f t="array" aca="1" ref="D2116" ca="1">IF(INDIRECT("'"&amp;A2116&amp;"'!"&amp;B2116)="",FALSE,IF(NOT(ISNUMBER(INDIRECT("'"&amp;A2116&amp;"'!"&amp;B2116))),TRUE,FALSE))</f>
        <v>0</v>
      </c>
      <c r="E2116" t="s">
        <v>435</v>
      </c>
      <c r="F2116" t="str">
        <f>INDEX(Lists!I:I,MATCH(Validation!E2116,Lists!G:G,0))</f>
        <v>Error</v>
      </c>
      <c r="G2116" t="str">
        <f>INDEX(Lists!H:H,MATCH(Validation!E2116,Lists!G:G,0))</f>
        <v>Enter an amount only. Do not enter text or spaces.</v>
      </c>
      <c r="H2116" s="25" t="str">
        <f t="shared" ca="1" si="240"/>
        <v/>
      </c>
      <c r="I2116" s="25" t="str">
        <f t="shared" ca="1" si="241"/>
        <v/>
      </c>
      <c r="J2116" s="26" t="str">
        <f t="shared" ca="1" si="242"/>
        <v/>
      </c>
    </row>
    <row r="2117" spans="1:10" x14ac:dyDescent="0.25">
      <c r="A2117" t="s">
        <v>314</v>
      </c>
      <c r="B2117" t="str">
        <f>ADDRESS(ROW('Bond 1'!$C$36),COLUMN('Bond 1'!$C$36),4)</f>
        <v>C36</v>
      </c>
      <c r="C2117" t="str">
        <f>ADDRESS(ROW('Bond 1'!$D$36),COLUMN('Bond 1'!$D$36),4)</f>
        <v>D36</v>
      </c>
      <c r="D2117" t="b" cm="1">
        <f t="array" aca="1" ref="D2117" ca="1">IF(INDIRECT("'"&amp;A2117&amp;"'!"&amp;B2117)="",FALSE,IF(NOT(ISNUMBER(INDIRECT("'"&amp;A2117&amp;"'!"&amp;B2117))),TRUE,FALSE))</f>
        <v>0</v>
      </c>
      <c r="E2117" t="s">
        <v>435</v>
      </c>
      <c r="F2117" t="str">
        <f>INDEX(Lists!I:I,MATCH(Validation!E2117,Lists!G:G,0))</f>
        <v>Error</v>
      </c>
      <c r="G2117" t="str">
        <f>INDEX(Lists!H:H,MATCH(Validation!E2117,Lists!G:G,0))</f>
        <v>Enter an amount only. Do not enter text or spaces.</v>
      </c>
      <c r="H2117" s="25" t="str">
        <f t="shared" ca="1" si="240"/>
        <v/>
      </c>
      <c r="I2117" s="25" t="str">
        <f t="shared" ca="1" si="241"/>
        <v/>
      </c>
      <c r="J2117" s="26" t="str">
        <f t="shared" ca="1" si="242"/>
        <v/>
      </c>
    </row>
    <row r="2118" spans="1:10" x14ac:dyDescent="0.25">
      <c r="A2118" t="s">
        <v>315</v>
      </c>
      <c r="B2118" t="str">
        <f>ADDRESS(ROW('Bond 1'!$C$36),COLUMN('Bond 1'!$C$36),4)</f>
        <v>C36</v>
      </c>
      <c r="C2118" t="str">
        <f>ADDRESS(ROW('Bond 1'!$D$36),COLUMN('Bond 1'!$D$36),4)</f>
        <v>D36</v>
      </c>
      <c r="D2118" t="b" cm="1">
        <f t="array" aca="1" ref="D2118" ca="1">IF(INDIRECT("'"&amp;A2118&amp;"'!"&amp;B2118)="",FALSE,IF(NOT(ISNUMBER(INDIRECT("'"&amp;A2118&amp;"'!"&amp;B2118))),TRUE,FALSE))</f>
        <v>0</v>
      </c>
      <c r="E2118" t="s">
        <v>435</v>
      </c>
      <c r="F2118" t="str">
        <f>INDEX(Lists!I:I,MATCH(Validation!E2118,Lists!G:G,0))</f>
        <v>Error</v>
      </c>
      <c r="G2118" t="str">
        <f>INDEX(Lists!H:H,MATCH(Validation!E2118,Lists!G:G,0))</f>
        <v>Enter an amount only. Do not enter text or spaces.</v>
      </c>
      <c r="H2118" s="25" t="str">
        <f t="shared" ca="1" si="240"/>
        <v/>
      </c>
      <c r="I2118" s="25" t="str">
        <f t="shared" ca="1" si="241"/>
        <v/>
      </c>
      <c r="J2118" s="26" t="str">
        <f t="shared" ca="1" si="242"/>
        <v/>
      </c>
    </row>
    <row r="2119" spans="1:10" x14ac:dyDescent="0.25">
      <c r="A2119" t="s">
        <v>198</v>
      </c>
      <c r="B2119" t="str">
        <f>ADDRESS(ROW('Bond 1'!$C$36),COLUMN('Bond 1'!$C$36),4)</f>
        <v>C36</v>
      </c>
      <c r="C2119" t="str">
        <f>ADDRESS(ROW('Bond 1'!$D$36),COLUMN('Bond 1'!$D$36),4)</f>
        <v>D36</v>
      </c>
      <c r="D2119" t="b" cm="1">
        <f t="array" aca="1" ref="D2119" ca="1">IF(INDIRECT("'"&amp;A2119&amp;"'!"&amp;B2119)="",FALSE,IF(INDIRECT("'"&amp;A2119&amp;"'!"&amp;B2119)&lt;0,TRUE,FALSE))</f>
        <v>0</v>
      </c>
      <c r="E2119" t="s">
        <v>434</v>
      </c>
      <c r="F2119" t="str">
        <f>INDEX(Lists!I:I,MATCH(Validation!E2119,Lists!G:G,0))</f>
        <v>Error</v>
      </c>
      <c r="G2119" t="str">
        <f>INDEX(Lists!H:H,MATCH(Validation!E2119,Lists!G:G,0))</f>
        <v>Amount may not be negative. Enter an amount greater than or equal to zero.</v>
      </c>
      <c r="H2119" s="25" t="str">
        <f t="shared" ca="1" si="240"/>
        <v/>
      </c>
      <c r="I2119" s="25" t="str">
        <f t="shared" ca="1" si="241"/>
        <v/>
      </c>
      <c r="J2119" s="26" t="str">
        <f t="shared" ca="1" si="242"/>
        <v/>
      </c>
    </row>
    <row r="2120" spans="1:10" x14ac:dyDescent="0.25">
      <c r="A2120" t="s">
        <v>302</v>
      </c>
      <c r="B2120" t="str">
        <f>ADDRESS(ROW('Bond 1'!$C$36),COLUMN('Bond 1'!$C$36),4)</f>
        <v>C36</v>
      </c>
      <c r="C2120" t="str">
        <f>ADDRESS(ROW('Bond 1'!$D$36),COLUMN('Bond 1'!$D$36),4)</f>
        <v>D36</v>
      </c>
      <c r="D2120" t="b" cm="1">
        <f t="array" aca="1" ref="D2120" ca="1">IF(INDIRECT("'"&amp;A2120&amp;"'!"&amp;B2120)="",FALSE,IF(INDIRECT("'"&amp;A2120&amp;"'!"&amp;B2120)&lt;0,TRUE,FALSE))</f>
        <v>0</v>
      </c>
      <c r="E2120" t="s">
        <v>434</v>
      </c>
      <c r="F2120" t="str">
        <f>INDEX(Lists!I:I,MATCH(Validation!E2120,Lists!G:G,0))</f>
        <v>Error</v>
      </c>
      <c r="G2120" t="str">
        <f>INDEX(Lists!H:H,MATCH(Validation!E2120,Lists!G:G,0))</f>
        <v>Amount may not be negative. Enter an amount greater than or equal to zero.</v>
      </c>
      <c r="H2120" s="25" t="str">
        <f t="shared" ca="1" si="240"/>
        <v/>
      </c>
      <c r="I2120" s="25" t="str">
        <f t="shared" ca="1" si="241"/>
        <v/>
      </c>
      <c r="J2120" s="26" t="str">
        <f t="shared" ca="1" si="242"/>
        <v/>
      </c>
    </row>
    <row r="2121" spans="1:10" x14ac:dyDescent="0.25">
      <c r="A2121" t="s">
        <v>303</v>
      </c>
      <c r="B2121" t="str">
        <f>ADDRESS(ROW('Bond 1'!$C$36),COLUMN('Bond 1'!$C$36),4)</f>
        <v>C36</v>
      </c>
      <c r="C2121" t="str">
        <f>ADDRESS(ROW('Bond 1'!$D$36),COLUMN('Bond 1'!$D$36),4)</f>
        <v>D36</v>
      </c>
      <c r="D2121" t="b" cm="1">
        <f t="array" aca="1" ref="D2121" ca="1">IF(INDIRECT("'"&amp;A2121&amp;"'!"&amp;B2121)="",FALSE,IF(INDIRECT("'"&amp;A2121&amp;"'!"&amp;B2121)&lt;0,TRUE,FALSE))</f>
        <v>0</v>
      </c>
      <c r="E2121" t="s">
        <v>434</v>
      </c>
      <c r="F2121" t="str">
        <f>INDEX(Lists!I:I,MATCH(Validation!E2121,Lists!G:G,0))</f>
        <v>Error</v>
      </c>
      <c r="G2121" t="str">
        <f>INDEX(Lists!H:H,MATCH(Validation!E2121,Lists!G:G,0))</f>
        <v>Amount may not be negative. Enter an amount greater than or equal to zero.</v>
      </c>
      <c r="H2121" s="25" t="str">
        <f t="shared" ca="1" si="240"/>
        <v/>
      </c>
      <c r="I2121" s="25" t="str">
        <f t="shared" ca="1" si="241"/>
        <v/>
      </c>
      <c r="J2121" s="26" t="str">
        <f t="shared" ca="1" si="242"/>
        <v/>
      </c>
    </row>
    <row r="2122" spans="1:10" x14ac:dyDescent="0.25">
      <c r="A2122" t="s">
        <v>304</v>
      </c>
      <c r="B2122" t="str">
        <f>ADDRESS(ROW('Bond 1'!$C$36),COLUMN('Bond 1'!$C$36),4)</f>
        <v>C36</v>
      </c>
      <c r="C2122" t="str">
        <f>ADDRESS(ROW('Bond 1'!$D$36),COLUMN('Bond 1'!$D$36),4)</f>
        <v>D36</v>
      </c>
      <c r="D2122" t="b" cm="1">
        <f t="array" aca="1" ref="D2122" ca="1">IF(INDIRECT("'"&amp;A2122&amp;"'!"&amp;B2122)="",FALSE,IF(INDIRECT("'"&amp;A2122&amp;"'!"&amp;B2122)&lt;0,TRUE,FALSE))</f>
        <v>0</v>
      </c>
      <c r="E2122" t="s">
        <v>434</v>
      </c>
      <c r="F2122" t="str">
        <f>INDEX(Lists!I:I,MATCH(Validation!E2122,Lists!G:G,0))</f>
        <v>Error</v>
      </c>
      <c r="G2122" t="str">
        <f>INDEX(Lists!H:H,MATCH(Validation!E2122,Lists!G:G,0))</f>
        <v>Amount may not be negative. Enter an amount greater than or equal to zero.</v>
      </c>
      <c r="H2122" s="25" t="str">
        <f t="shared" ca="1" si="240"/>
        <v/>
      </c>
      <c r="I2122" s="25" t="str">
        <f t="shared" ca="1" si="241"/>
        <v/>
      </c>
      <c r="J2122" s="26" t="str">
        <f t="shared" ca="1" si="242"/>
        <v/>
      </c>
    </row>
    <row r="2123" spans="1:10" x14ac:dyDescent="0.25">
      <c r="A2123" t="s">
        <v>305</v>
      </c>
      <c r="B2123" t="str">
        <f>ADDRESS(ROW('Bond 1'!$C$36),COLUMN('Bond 1'!$C$36),4)</f>
        <v>C36</v>
      </c>
      <c r="C2123" t="str">
        <f>ADDRESS(ROW('Bond 1'!$D$36),COLUMN('Bond 1'!$D$36),4)</f>
        <v>D36</v>
      </c>
      <c r="D2123" t="b" cm="1">
        <f t="array" aca="1" ref="D2123" ca="1">IF(INDIRECT("'"&amp;A2123&amp;"'!"&amp;B2123)="",FALSE,IF(INDIRECT("'"&amp;A2123&amp;"'!"&amp;B2123)&lt;0,TRUE,FALSE))</f>
        <v>0</v>
      </c>
      <c r="E2123" t="s">
        <v>434</v>
      </c>
      <c r="F2123" t="str">
        <f>INDEX(Lists!I:I,MATCH(Validation!E2123,Lists!G:G,0))</f>
        <v>Error</v>
      </c>
      <c r="G2123" t="str">
        <f>INDEX(Lists!H:H,MATCH(Validation!E2123,Lists!G:G,0))</f>
        <v>Amount may not be negative. Enter an amount greater than or equal to zero.</v>
      </c>
      <c r="H2123" s="25" t="str">
        <f t="shared" ca="1" si="240"/>
        <v/>
      </c>
      <c r="I2123" s="25" t="str">
        <f t="shared" ca="1" si="241"/>
        <v/>
      </c>
      <c r="J2123" s="26" t="str">
        <f t="shared" ca="1" si="242"/>
        <v/>
      </c>
    </row>
    <row r="2124" spans="1:10" x14ac:dyDescent="0.25">
      <c r="A2124" t="s">
        <v>306</v>
      </c>
      <c r="B2124" t="str">
        <f>ADDRESS(ROW('Bond 1'!$C$36),COLUMN('Bond 1'!$C$36),4)</f>
        <v>C36</v>
      </c>
      <c r="C2124" t="str">
        <f>ADDRESS(ROW('Bond 1'!$D$36),COLUMN('Bond 1'!$D$36),4)</f>
        <v>D36</v>
      </c>
      <c r="D2124" t="b" cm="1">
        <f t="array" aca="1" ref="D2124" ca="1">IF(INDIRECT("'"&amp;A2124&amp;"'!"&amp;B2124)="",FALSE,IF(INDIRECT("'"&amp;A2124&amp;"'!"&amp;B2124)&lt;0,TRUE,FALSE))</f>
        <v>0</v>
      </c>
      <c r="E2124" t="s">
        <v>434</v>
      </c>
      <c r="F2124" t="str">
        <f>INDEX(Lists!I:I,MATCH(Validation!E2124,Lists!G:G,0))</f>
        <v>Error</v>
      </c>
      <c r="G2124" t="str">
        <f>INDEX(Lists!H:H,MATCH(Validation!E2124,Lists!G:G,0))</f>
        <v>Amount may not be negative. Enter an amount greater than or equal to zero.</v>
      </c>
      <c r="H2124" s="25" t="str">
        <f t="shared" ca="1" si="240"/>
        <v/>
      </c>
      <c r="I2124" s="25" t="str">
        <f t="shared" ca="1" si="241"/>
        <v/>
      </c>
      <c r="J2124" s="26" t="str">
        <f t="shared" ca="1" si="242"/>
        <v/>
      </c>
    </row>
    <row r="2125" spans="1:10" x14ac:dyDescent="0.25">
      <c r="A2125" t="s">
        <v>307</v>
      </c>
      <c r="B2125" t="str">
        <f>ADDRESS(ROW('Bond 1'!$C$36),COLUMN('Bond 1'!$C$36),4)</f>
        <v>C36</v>
      </c>
      <c r="C2125" t="str">
        <f>ADDRESS(ROW('Bond 1'!$D$36),COLUMN('Bond 1'!$D$36),4)</f>
        <v>D36</v>
      </c>
      <c r="D2125" t="b" cm="1">
        <f t="array" aca="1" ref="D2125" ca="1">IF(INDIRECT("'"&amp;A2125&amp;"'!"&amp;B2125)="",FALSE,IF(INDIRECT("'"&amp;A2125&amp;"'!"&amp;B2125)&lt;0,TRUE,FALSE))</f>
        <v>0</v>
      </c>
      <c r="E2125" t="s">
        <v>434</v>
      </c>
      <c r="F2125" t="str">
        <f>INDEX(Lists!I:I,MATCH(Validation!E2125,Lists!G:G,0))</f>
        <v>Error</v>
      </c>
      <c r="G2125" t="str">
        <f>INDEX(Lists!H:H,MATCH(Validation!E2125,Lists!G:G,0))</f>
        <v>Amount may not be negative. Enter an amount greater than or equal to zero.</v>
      </c>
      <c r="H2125" s="25" t="str">
        <f t="shared" ca="1" si="240"/>
        <v/>
      </c>
      <c r="I2125" s="25" t="str">
        <f t="shared" ca="1" si="241"/>
        <v/>
      </c>
      <c r="J2125" s="26" t="str">
        <f t="shared" ca="1" si="242"/>
        <v/>
      </c>
    </row>
    <row r="2126" spans="1:10" x14ac:dyDescent="0.25">
      <c r="A2126" t="s">
        <v>308</v>
      </c>
      <c r="B2126" t="str">
        <f>ADDRESS(ROW('Bond 1'!$C$36),COLUMN('Bond 1'!$C$36),4)</f>
        <v>C36</v>
      </c>
      <c r="C2126" t="str">
        <f>ADDRESS(ROW('Bond 1'!$D$36),COLUMN('Bond 1'!$D$36),4)</f>
        <v>D36</v>
      </c>
      <c r="D2126" t="b" cm="1">
        <f t="array" aca="1" ref="D2126" ca="1">IF(INDIRECT("'"&amp;A2126&amp;"'!"&amp;B2126)="",FALSE,IF(INDIRECT("'"&amp;A2126&amp;"'!"&amp;B2126)&lt;0,TRUE,FALSE))</f>
        <v>0</v>
      </c>
      <c r="E2126" t="s">
        <v>434</v>
      </c>
      <c r="F2126" t="str">
        <f>INDEX(Lists!I:I,MATCH(Validation!E2126,Lists!G:G,0))</f>
        <v>Error</v>
      </c>
      <c r="G2126" t="str">
        <f>INDEX(Lists!H:H,MATCH(Validation!E2126,Lists!G:G,0))</f>
        <v>Amount may not be negative. Enter an amount greater than or equal to zero.</v>
      </c>
      <c r="H2126" s="25" t="str">
        <f t="shared" ca="1" si="240"/>
        <v/>
      </c>
      <c r="I2126" s="25" t="str">
        <f t="shared" ca="1" si="241"/>
        <v/>
      </c>
      <c r="J2126" s="26" t="str">
        <f t="shared" ca="1" si="242"/>
        <v/>
      </c>
    </row>
    <row r="2127" spans="1:10" x14ac:dyDescent="0.25">
      <c r="A2127" t="s">
        <v>309</v>
      </c>
      <c r="B2127" t="str">
        <f>ADDRESS(ROW('Bond 1'!$C$36),COLUMN('Bond 1'!$C$36),4)</f>
        <v>C36</v>
      </c>
      <c r="C2127" t="str">
        <f>ADDRESS(ROW('Bond 1'!$D$36),COLUMN('Bond 1'!$D$36),4)</f>
        <v>D36</v>
      </c>
      <c r="D2127" t="b" cm="1">
        <f t="array" aca="1" ref="D2127" ca="1">IF(INDIRECT("'"&amp;A2127&amp;"'!"&amp;B2127)="",FALSE,IF(INDIRECT("'"&amp;A2127&amp;"'!"&amp;B2127)&lt;0,TRUE,FALSE))</f>
        <v>0</v>
      </c>
      <c r="E2127" t="s">
        <v>434</v>
      </c>
      <c r="F2127" t="str">
        <f>INDEX(Lists!I:I,MATCH(Validation!E2127,Lists!G:G,0))</f>
        <v>Error</v>
      </c>
      <c r="G2127" t="str">
        <f>INDEX(Lists!H:H,MATCH(Validation!E2127,Lists!G:G,0))</f>
        <v>Amount may not be negative. Enter an amount greater than or equal to zero.</v>
      </c>
      <c r="H2127" s="25" t="str">
        <f t="shared" ca="1" si="240"/>
        <v/>
      </c>
      <c r="I2127" s="25" t="str">
        <f t="shared" ca="1" si="241"/>
        <v/>
      </c>
      <c r="J2127" s="26" t="str">
        <f t="shared" ca="1" si="242"/>
        <v/>
      </c>
    </row>
    <row r="2128" spans="1:10" x14ac:dyDescent="0.25">
      <c r="A2128" t="s">
        <v>310</v>
      </c>
      <c r="B2128" t="str">
        <f>ADDRESS(ROW('Bond 1'!$C$36),COLUMN('Bond 1'!$C$36),4)</f>
        <v>C36</v>
      </c>
      <c r="C2128" t="str">
        <f>ADDRESS(ROW('Bond 1'!$D$36),COLUMN('Bond 1'!$D$36),4)</f>
        <v>D36</v>
      </c>
      <c r="D2128" t="b" cm="1">
        <f t="array" aca="1" ref="D2128" ca="1">IF(INDIRECT("'"&amp;A2128&amp;"'!"&amp;B2128)="",FALSE,IF(INDIRECT("'"&amp;A2128&amp;"'!"&amp;B2128)&lt;0,TRUE,FALSE))</f>
        <v>0</v>
      </c>
      <c r="E2128" t="s">
        <v>434</v>
      </c>
      <c r="F2128" t="str">
        <f>INDEX(Lists!I:I,MATCH(Validation!E2128,Lists!G:G,0))</f>
        <v>Error</v>
      </c>
      <c r="G2128" t="str">
        <f>INDEX(Lists!H:H,MATCH(Validation!E2128,Lists!G:G,0))</f>
        <v>Amount may not be negative. Enter an amount greater than or equal to zero.</v>
      </c>
      <c r="H2128" s="25" t="str">
        <f t="shared" ca="1" si="240"/>
        <v/>
      </c>
      <c r="I2128" s="25" t="str">
        <f t="shared" ca="1" si="241"/>
        <v/>
      </c>
      <c r="J2128" s="26" t="str">
        <f t="shared" ca="1" si="242"/>
        <v/>
      </c>
    </row>
    <row r="2129" spans="1:10" x14ac:dyDescent="0.25">
      <c r="A2129" t="s">
        <v>311</v>
      </c>
      <c r="B2129" t="str">
        <f>ADDRESS(ROW('Bond 1'!$C$36),COLUMN('Bond 1'!$C$36),4)</f>
        <v>C36</v>
      </c>
      <c r="C2129" t="str">
        <f>ADDRESS(ROW('Bond 1'!$D$36),COLUMN('Bond 1'!$D$36),4)</f>
        <v>D36</v>
      </c>
      <c r="D2129" t="b" cm="1">
        <f t="array" aca="1" ref="D2129" ca="1">IF(INDIRECT("'"&amp;A2129&amp;"'!"&amp;B2129)="",FALSE,IF(INDIRECT("'"&amp;A2129&amp;"'!"&amp;B2129)&lt;0,TRUE,FALSE))</f>
        <v>0</v>
      </c>
      <c r="E2129" t="s">
        <v>434</v>
      </c>
      <c r="F2129" t="str">
        <f>INDEX(Lists!I:I,MATCH(Validation!E2129,Lists!G:G,0))</f>
        <v>Error</v>
      </c>
      <c r="G2129" t="str">
        <f>INDEX(Lists!H:H,MATCH(Validation!E2129,Lists!G:G,0))</f>
        <v>Amount may not be negative. Enter an amount greater than or equal to zero.</v>
      </c>
      <c r="H2129" s="25" t="str">
        <f t="shared" ca="1" si="240"/>
        <v/>
      </c>
      <c r="I2129" s="25" t="str">
        <f t="shared" ca="1" si="241"/>
        <v/>
      </c>
      <c r="J2129" s="26" t="str">
        <f t="shared" ca="1" si="242"/>
        <v/>
      </c>
    </row>
    <row r="2130" spans="1:10" x14ac:dyDescent="0.25">
      <c r="A2130" t="s">
        <v>312</v>
      </c>
      <c r="B2130" t="str">
        <f>ADDRESS(ROW('Bond 1'!$C$36),COLUMN('Bond 1'!$C$36),4)</f>
        <v>C36</v>
      </c>
      <c r="C2130" t="str">
        <f>ADDRESS(ROW('Bond 1'!$D$36),COLUMN('Bond 1'!$D$36),4)</f>
        <v>D36</v>
      </c>
      <c r="D2130" t="b" cm="1">
        <f t="array" aca="1" ref="D2130" ca="1">IF(INDIRECT("'"&amp;A2130&amp;"'!"&amp;B2130)="",FALSE,IF(INDIRECT("'"&amp;A2130&amp;"'!"&amp;B2130)&lt;0,TRUE,FALSE))</f>
        <v>0</v>
      </c>
      <c r="E2130" t="s">
        <v>434</v>
      </c>
      <c r="F2130" t="str">
        <f>INDEX(Lists!I:I,MATCH(Validation!E2130,Lists!G:G,0))</f>
        <v>Error</v>
      </c>
      <c r="G2130" t="str">
        <f>INDEX(Lists!H:H,MATCH(Validation!E2130,Lists!G:G,0))</f>
        <v>Amount may not be negative. Enter an amount greater than or equal to zero.</v>
      </c>
      <c r="H2130" s="25" t="str">
        <f t="shared" ca="1" si="240"/>
        <v/>
      </c>
      <c r="I2130" s="25" t="str">
        <f t="shared" ca="1" si="241"/>
        <v/>
      </c>
      <c r="J2130" s="26" t="str">
        <f t="shared" ca="1" si="242"/>
        <v/>
      </c>
    </row>
    <row r="2131" spans="1:10" x14ac:dyDescent="0.25">
      <c r="A2131" t="s">
        <v>313</v>
      </c>
      <c r="B2131" t="str">
        <f>ADDRESS(ROW('Bond 1'!$C$36),COLUMN('Bond 1'!$C$36),4)</f>
        <v>C36</v>
      </c>
      <c r="C2131" t="str">
        <f>ADDRESS(ROW('Bond 1'!$D$36),COLUMN('Bond 1'!$D$36),4)</f>
        <v>D36</v>
      </c>
      <c r="D2131" t="b" cm="1">
        <f t="array" aca="1" ref="D2131" ca="1">IF(INDIRECT("'"&amp;A2131&amp;"'!"&amp;B2131)="",FALSE,IF(INDIRECT("'"&amp;A2131&amp;"'!"&amp;B2131)&lt;0,TRUE,FALSE))</f>
        <v>0</v>
      </c>
      <c r="E2131" t="s">
        <v>434</v>
      </c>
      <c r="F2131" t="str">
        <f>INDEX(Lists!I:I,MATCH(Validation!E2131,Lists!G:G,0))</f>
        <v>Error</v>
      </c>
      <c r="G2131" t="str">
        <f>INDEX(Lists!H:H,MATCH(Validation!E2131,Lists!G:G,0))</f>
        <v>Amount may not be negative. Enter an amount greater than or equal to zero.</v>
      </c>
      <c r="H2131" s="25" t="str">
        <f t="shared" ca="1" si="240"/>
        <v/>
      </c>
      <c r="I2131" s="25" t="str">
        <f t="shared" ca="1" si="241"/>
        <v/>
      </c>
      <c r="J2131" s="26" t="str">
        <f t="shared" ca="1" si="242"/>
        <v/>
      </c>
    </row>
    <row r="2132" spans="1:10" x14ac:dyDescent="0.25">
      <c r="A2132" t="s">
        <v>314</v>
      </c>
      <c r="B2132" t="str">
        <f>ADDRESS(ROW('Bond 1'!$C$36),COLUMN('Bond 1'!$C$36),4)</f>
        <v>C36</v>
      </c>
      <c r="C2132" t="str">
        <f>ADDRESS(ROW('Bond 1'!$D$36),COLUMN('Bond 1'!$D$36),4)</f>
        <v>D36</v>
      </c>
      <c r="D2132" t="b" cm="1">
        <f t="array" aca="1" ref="D2132" ca="1">IF(INDIRECT("'"&amp;A2132&amp;"'!"&amp;B2132)="",FALSE,IF(INDIRECT("'"&amp;A2132&amp;"'!"&amp;B2132)&lt;0,TRUE,FALSE))</f>
        <v>0</v>
      </c>
      <c r="E2132" t="s">
        <v>434</v>
      </c>
      <c r="F2132" t="str">
        <f>INDEX(Lists!I:I,MATCH(Validation!E2132,Lists!G:G,0))</f>
        <v>Error</v>
      </c>
      <c r="G2132" t="str">
        <f>INDEX(Lists!H:H,MATCH(Validation!E2132,Lists!G:G,0))</f>
        <v>Amount may not be negative. Enter an amount greater than or equal to zero.</v>
      </c>
      <c r="H2132" s="25" t="str">
        <f t="shared" ca="1" si="240"/>
        <v/>
      </c>
      <c r="I2132" s="25" t="str">
        <f t="shared" ca="1" si="241"/>
        <v/>
      </c>
      <c r="J2132" s="26" t="str">
        <f t="shared" ca="1" si="242"/>
        <v/>
      </c>
    </row>
    <row r="2133" spans="1:10" x14ac:dyDescent="0.25">
      <c r="A2133" t="s">
        <v>315</v>
      </c>
      <c r="B2133" t="str">
        <f>ADDRESS(ROW('Bond 1'!$C$36),COLUMN('Bond 1'!$C$36),4)</f>
        <v>C36</v>
      </c>
      <c r="C2133" t="str">
        <f>ADDRESS(ROW('Bond 1'!$D$36),COLUMN('Bond 1'!$D$36),4)</f>
        <v>D36</v>
      </c>
      <c r="D2133" t="b" cm="1">
        <f t="array" aca="1" ref="D2133" ca="1">IF(INDIRECT("'"&amp;A2133&amp;"'!"&amp;B2133)="",FALSE,IF(INDIRECT("'"&amp;A2133&amp;"'!"&amp;B2133)&lt;0,TRUE,FALSE))</f>
        <v>0</v>
      </c>
      <c r="E2133" t="s">
        <v>434</v>
      </c>
      <c r="F2133" t="str">
        <f>INDEX(Lists!I:I,MATCH(Validation!E2133,Lists!G:G,0))</f>
        <v>Error</v>
      </c>
      <c r="G2133" t="str">
        <f>INDEX(Lists!H:H,MATCH(Validation!E2133,Lists!G:G,0))</f>
        <v>Amount may not be negative. Enter an amount greater than or equal to zero.</v>
      </c>
      <c r="H2133" s="25" t="str">
        <f t="shared" ca="1" si="240"/>
        <v/>
      </c>
      <c r="I2133" s="25" t="str">
        <f t="shared" ca="1" si="241"/>
        <v/>
      </c>
      <c r="J2133" s="26" t="str">
        <f t="shared" ca="1" si="242"/>
        <v/>
      </c>
    </row>
    <row r="2134" spans="1:10" x14ac:dyDescent="0.25">
      <c r="A2134" t="s">
        <v>198</v>
      </c>
      <c r="B2134" t="str">
        <f>ADDRESS(ROW('Bond 1'!$C$36),COLUMN('Bond 1'!$C$36),4)</f>
        <v>C36</v>
      </c>
      <c r="C2134" t="str">
        <f>ADDRESS(ROW('Bond 1'!$D$36),COLUMN('Bond 1'!$D$36),4)</f>
        <v>D36</v>
      </c>
      <c r="D2134" t="b" cm="1">
        <f t="array" aca="1" ref="D2134" ca="1">IF(INDIRECT("'"&amp;A2134&amp;"'!"&amp;B2134)="",FALSE,IF(TRUNC(INDIRECT("'"&amp;A2134&amp;"'!"&amp;B2134))=INDIRECT("'"&amp;A2134&amp;"'!"&amp;B2134),FALSE,TRUE))</f>
        <v>0</v>
      </c>
      <c r="E2134" t="s">
        <v>436</v>
      </c>
      <c r="F2134" t="str">
        <f>INDEX(Lists!I:I,MATCH(Validation!E2134,Lists!G:G,0))</f>
        <v>Error</v>
      </c>
      <c r="G2134" t="str">
        <f>INDEX(Lists!H:H,MATCH(Validation!E2134,Lists!G:G,0))</f>
        <v>Amount must be rounded to the nearest dollar.</v>
      </c>
      <c r="H2134" s="25" t="str">
        <f t="shared" ca="1" si="240"/>
        <v/>
      </c>
      <c r="I2134" s="25" t="str">
        <f t="shared" ca="1" si="241"/>
        <v/>
      </c>
      <c r="J2134" s="26" t="str">
        <f t="shared" ca="1" si="242"/>
        <v/>
      </c>
    </row>
    <row r="2135" spans="1:10" x14ac:dyDescent="0.25">
      <c r="A2135" t="s">
        <v>302</v>
      </c>
      <c r="B2135" t="str">
        <f>ADDRESS(ROW('Bond 1'!$C$36),COLUMN('Bond 1'!$C$36),4)</f>
        <v>C36</v>
      </c>
      <c r="C2135" t="str">
        <f>ADDRESS(ROW('Bond 1'!$D$36),COLUMN('Bond 1'!$D$36),4)</f>
        <v>D36</v>
      </c>
      <c r="D2135" t="b" cm="1">
        <f t="array" aca="1" ref="D2135" ca="1">IF(INDIRECT("'"&amp;A2135&amp;"'!"&amp;B2135)="",FALSE,IF(TRUNC(INDIRECT("'"&amp;A2135&amp;"'!"&amp;B2135))=INDIRECT("'"&amp;A2135&amp;"'!"&amp;B2135),FALSE,TRUE))</f>
        <v>0</v>
      </c>
      <c r="E2135" t="s">
        <v>436</v>
      </c>
      <c r="F2135" t="str">
        <f>INDEX(Lists!I:I,MATCH(Validation!E2135,Lists!G:G,0))</f>
        <v>Error</v>
      </c>
      <c r="G2135" t="str">
        <f>INDEX(Lists!H:H,MATCH(Validation!E2135,Lists!G:G,0))</f>
        <v>Amount must be rounded to the nearest dollar.</v>
      </c>
      <c r="H2135" s="25" t="str">
        <f t="shared" ca="1" si="240"/>
        <v/>
      </c>
      <c r="I2135" s="25" t="str">
        <f t="shared" ca="1" si="241"/>
        <v/>
      </c>
      <c r="J2135" s="26" t="str">
        <f t="shared" ca="1" si="242"/>
        <v/>
      </c>
    </row>
    <row r="2136" spans="1:10" x14ac:dyDescent="0.25">
      <c r="A2136" t="s">
        <v>303</v>
      </c>
      <c r="B2136" t="str">
        <f>ADDRESS(ROW('Bond 1'!$C$36),COLUMN('Bond 1'!$C$36),4)</f>
        <v>C36</v>
      </c>
      <c r="C2136" t="str">
        <f>ADDRESS(ROW('Bond 1'!$D$36),COLUMN('Bond 1'!$D$36),4)</f>
        <v>D36</v>
      </c>
      <c r="D2136" t="b" cm="1">
        <f t="array" aca="1" ref="D2136" ca="1">IF(INDIRECT("'"&amp;A2136&amp;"'!"&amp;B2136)="",FALSE,IF(TRUNC(INDIRECT("'"&amp;A2136&amp;"'!"&amp;B2136))=INDIRECT("'"&amp;A2136&amp;"'!"&amp;B2136),FALSE,TRUE))</f>
        <v>0</v>
      </c>
      <c r="E2136" t="s">
        <v>436</v>
      </c>
      <c r="F2136" t="str">
        <f>INDEX(Lists!I:I,MATCH(Validation!E2136,Lists!G:G,0))</f>
        <v>Error</v>
      </c>
      <c r="G2136" t="str">
        <f>INDEX(Lists!H:H,MATCH(Validation!E2136,Lists!G:G,0))</f>
        <v>Amount must be rounded to the nearest dollar.</v>
      </c>
      <c r="H2136" s="25" t="str">
        <f t="shared" ca="1" si="240"/>
        <v/>
      </c>
      <c r="I2136" s="25" t="str">
        <f t="shared" ca="1" si="241"/>
        <v/>
      </c>
      <c r="J2136" s="26" t="str">
        <f t="shared" ca="1" si="242"/>
        <v/>
      </c>
    </row>
    <row r="2137" spans="1:10" x14ac:dyDescent="0.25">
      <c r="A2137" t="s">
        <v>304</v>
      </c>
      <c r="B2137" t="str">
        <f>ADDRESS(ROW('Bond 1'!$C$36),COLUMN('Bond 1'!$C$36),4)</f>
        <v>C36</v>
      </c>
      <c r="C2137" t="str">
        <f>ADDRESS(ROW('Bond 1'!$D$36),COLUMN('Bond 1'!$D$36),4)</f>
        <v>D36</v>
      </c>
      <c r="D2137" t="b" cm="1">
        <f t="array" aca="1" ref="D2137" ca="1">IF(INDIRECT("'"&amp;A2137&amp;"'!"&amp;B2137)="",FALSE,IF(TRUNC(INDIRECT("'"&amp;A2137&amp;"'!"&amp;B2137))=INDIRECT("'"&amp;A2137&amp;"'!"&amp;B2137),FALSE,TRUE))</f>
        <v>0</v>
      </c>
      <c r="E2137" t="s">
        <v>436</v>
      </c>
      <c r="F2137" t="str">
        <f>INDEX(Lists!I:I,MATCH(Validation!E2137,Lists!G:G,0))</f>
        <v>Error</v>
      </c>
      <c r="G2137" t="str">
        <f>INDEX(Lists!H:H,MATCH(Validation!E2137,Lists!G:G,0))</f>
        <v>Amount must be rounded to the nearest dollar.</v>
      </c>
      <c r="H2137" s="25" t="str">
        <f t="shared" ca="1" si="240"/>
        <v/>
      </c>
      <c r="I2137" s="25" t="str">
        <f t="shared" ca="1" si="241"/>
        <v/>
      </c>
      <c r="J2137" s="26" t="str">
        <f t="shared" ca="1" si="242"/>
        <v/>
      </c>
    </row>
    <row r="2138" spans="1:10" x14ac:dyDescent="0.25">
      <c r="A2138" t="s">
        <v>305</v>
      </c>
      <c r="B2138" t="str">
        <f>ADDRESS(ROW('Bond 1'!$C$36),COLUMN('Bond 1'!$C$36),4)</f>
        <v>C36</v>
      </c>
      <c r="C2138" t="str">
        <f>ADDRESS(ROW('Bond 1'!$D$36),COLUMN('Bond 1'!$D$36),4)</f>
        <v>D36</v>
      </c>
      <c r="D2138" t="b" cm="1">
        <f t="array" aca="1" ref="D2138" ca="1">IF(INDIRECT("'"&amp;A2138&amp;"'!"&amp;B2138)="",FALSE,IF(TRUNC(INDIRECT("'"&amp;A2138&amp;"'!"&amp;B2138))=INDIRECT("'"&amp;A2138&amp;"'!"&amp;B2138),FALSE,TRUE))</f>
        <v>0</v>
      </c>
      <c r="E2138" t="s">
        <v>436</v>
      </c>
      <c r="F2138" t="str">
        <f>INDEX(Lists!I:I,MATCH(Validation!E2138,Lists!G:G,0))</f>
        <v>Error</v>
      </c>
      <c r="G2138" t="str">
        <f>INDEX(Lists!H:H,MATCH(Validation!E2138,Lists!G:G,0))</f>
        <v>Amount must be rounded to the nearest dollar.</v>
      </c>
      <c r="H2138" s="25" t="str">
        <f t="shared" ca="1" si="240"/>
        <v/>
      </c>
      <c r="I2138" s="25" t="str">
        <f t="shared" ca="1" si="241"/>
        <v/>
      </c>
      <c r="J2138" s="26" t="str">
        <f t="shared" ca="1" si="242"/>
        <v/>
      </c>
    </row>
    <row r="2139" spans="1:10" x14ac:dyDescent="0.25">
      <c r="A2139" t="s">
        <v>306</v>
      </c>
      <c r="B2139" t="str">
        <f>ADDRESS(ROW('Bond 1'!$C$36),COLUMN('Bond 1'!$C$36),4)</f>
        <v>C36</v>
      </c>
      <c r="C2139" t="str">
        <f>ADDRESS(ROW('Bond 1'!$D$36),COLUMN('Bond 1'!$D$36),4)</f>
        <v>D36</v>
      </c>
      <c r="D2139" t="b" cm="1">
        <f t="array" aca="1" ref="D2139" ca="1">IF(INDIRECT("'"&amp;A2139&amp;"'!"&amp;B2139)="",FALSE,IF(TRUNC(INDIRECT("'"&amp;A2139&amp;"'!"&amp;B2139))=INDIRECT("'"&amp;A2139&amp;"'!"&amp;B2139),FALSE,TRUE))</f>
        <v>0</v>
      </c>
      <c r="E2139" t="s">
        <v>436</v>
      </c>
      <c r="F2139" t="str">
        <f>INDEX(Lists!I:I,MATCH(Validation!E2139,Lists!G:G,0))</f>
        <v>Error</v>
      </c>
      <c r="G2139" t="str">
        <f>INDEX(Lists!H:H,MATCH(Validation!E2139,Lists!G:G,0))</f>
        <v>Amount must be rounded to the nearest dollar.</v>
      </c>
      <c r="H2139" s="25" t="str">
        <f t="shared" ca="1" si="240"/>
        <v/>
      </c>
      <c r="I2139" s="25" t="str">
        <f t="shared" ca="1" si="241"/>
        <v/>
      </c>
      <c r="J2139" s="26" t="str">
        <f t="shared" ca="1" si="242"/>
        <v/>
      </c>
    </row>
    <row r="2140" spans="1:10" x14ac:dyDescent="0.25">
      <c r="A2140" t="s">
        <v>307</v>
      </c>
      <c r="B2140" t="str">
        <f>ADDRESS(ROW('Bond 1'!$C$36),COLUMN('Bond 1'!$C$36),4)</f>
        <v>C36</v>
      </c>
      <c r="C2140" t="str">
        <f>ADDRESS(ROW('Bond 1'!$D$36),COLUMN('Bond 1'!$D$36),4)</f>
        <v>D36</v>
      </c>
      <c r="D2140" t="b" cm="1">
        <f t="array" aca="1" ref="D2140" ca="1">IF(INDIRECT("'"&amp;A2140&amp;"'!"&amp;B2140)="",FALSE,IF(TRUNC(INDIRECT("'"&amp;A2140&amp;"'!"&amp;B2140))=INDIRECT("'"&amp;A2140&amp;"'!"&amp;B2140),FALSE,TRUE))</f>
        <v>0</v>
      </c>
      <c r="E2140" t="s">
        <v>436</v>
      </c>
      <c r="F2140" t="str">
        <f>INDEX(Lists!I:I,MATCH(Validation!E2140,Lists!G:G,0))</f>
        <v>Error</v>
      </c>
      <c r="G2140" t="str">
        <f>INDEX(Lists!H:H,MATCH(Validation!E2140,Lists!G:G,0))</f>
        <v>Amount must be rounded to the nearest dollar.</v>
      </c>
      <c r="H2140" s="25" t="str">
        <f t="shared" ca="1" si="240"/>
        <v/>
      </c>
      <c r="I2140" s="25" t="str">
        <f t="shared" ca="1" si="241"/>
        <v/>
      </c>
      <c r="J2140" s="26" t="str">
        <f t="shared" ca="1" si="242"/>
        <v/>
      </c>
    </row>
    <row r="2141" spans="1:10" x14ac:dyDescent="0.25">
      <c r="A2141" t="s">
        <v>308</v>
      </c>
      <c r="B2141" t="str">
        <f>ADDRESS(ROW('Bond 1'!$C$36),COLUMN('Bond 1'!$C$36),4)</f>
        <v>C36</v>
      </c>
      <c r="C2141" t="str">
        <f>ADDRESS(ROW('Bond 1'!$D$36),COLUMN('Bond 1'!$D$36),4)</f>
        <v>D36</v>
      </c>
      <c r="D2141" t="b" cm="1">
        <f t="array" aca="1" ref="D2141" ca="1">IF(INDIRECT("'"&amp;A2141&amp;"'!"&amp;B2141)="",FALSE,IF(TRUNC(INDIRECT("'"&amp;A2141&amp;"'!"&amp;B2141))=INDIRECT("'"&amp;A2141&amp;"'!"&amp;B2141),FALSE,TRUE))</f>
        <v>0</v>
      </c>
      <c r="E2141" t="s">
        <v>436</v>
      </c>
      <c r="F2141" t="str">
        <f>INDEX(Lists!I:I,MATCH(Validation!E2141,Lists!G:G,0))</f>
        <v>Error</v>
      </c>
      <c r="G2141" t="str">
        <f>INDEX(Lists!H:H,MATCH(Validation!E2141,Lists!G:G,0))</f>
        <v>Amount must be rounded to the nearest dollar.</v>
      </c>
      <c r="H2141" s="25" t="str">
        <f t="shared" ca="1" si="240"/>
        <v/>
      </c>
      <c r="I2141" s="25" t="str">
        <f t="shared" ca="1" si="241"/>
        <v/>
      </c>
      <c r="J2141" s="26" t="str">
        <f t="shared" ca="1" si="242"/>
        <v/>
      </c>
    </row>
    <row r="2142" spans="1:10" x14ac:dyDescent="0.25">
      <c r="A2142" t="s">
        <v>309</v>
      </c>
      <c r="B2142" t="str">
        <f>ADDRESS(ROW('Bond 1'!$C$36),COLUMN('Bond 1'!$C$36),4)</f>
        <v>C36</v>
      </c>
      <c r="C2142" t="str">
        <f>ADDRESS(ROW('Bond 1'!$D$36),COLUMN('Bond 1'!$D$36),4)</f>
        <v>D36</v>
      </c>
      <c r="D2142" t="b" cm="1">
        <f t="array" aca="1" ref="D2142" ca="1">IF(INDIRECT("'"&amp;A2142&amp;"'!"&amp;B2142)="",FALSE,IF(TRUNC(INDIRECT("'"&amp;A2142&amp;"'!"&amp;B2142))=INDIRECT("'"&amp;A2142&amp;"'!"&amp;B2142),FALSE,TRUE))</f>
        <v>0</v>
      </c>
      <c r="E2142" t="s">
        <v>436</v>
      </c>
      <c r="F2142" t="str">
        <f>INDEX(Lists!I:I,MATCH(Validation!E2142,Lists!G:G,0))</f>
        <v>Error</v>
      </c>
      <c r="G2142" t="str">
        <f>INDEX(Lists!H:H,MATCH(Validation!E2142,Lists!G:G,0))</f>
        <v>Amount must be rounded to the nearest dollar.</v>
      </c>
      <c r="H2142" s="25" t="str">
        <f t="shared" ca="1" si="240"/>
        <v/>
      </c>
      <c r="I2142" s="25" t="str">
        <f t="shared" ca="1" si="241"/>
        <v/>
      </c>
      <c r="J2142" s="26" t="str">
        <f t="shared" ca="1" si="242"/>
        <v/>
      </c>
    </row>
    <row r="2143" spans="1:10" x14ac:dyDescent="0.25">
      <c r="A2143" t="s">
        <v>310</v>
      </c>
      <c r="B2143" t="str">
        <f>ADDRESS(ROW('Bond 1'!$C$36),COLUMN('Bond 1'!$C$36),4)</f>
        <v>C36</v>
      </c>
      <c r="C2143" t="str">
        <f>ADDRESS(ROW('Bond 1'!$D$36),COLUMN('Bond 1'!$D$36),4)</f>
        <v>D36</v>
      </c>
      <c r="D2143" t="b" cm="1">
        <f t="array" aca="1" ref="D2143" ca="1">IF(INDIRECT("'"&amp;A2143&amp;"'!"&amp;B2143)="",FALSE,IF(TRUNC(INDIRECT("'"&amp;A2143&amp;"'!"&amp;B2143))=INDIRECT("'"&amp;A2143&amp;"'!"&amp;B2143),FALSE,TRUE))</f>
        <v>0</v>
      </c>
      <c r="E2143" t="s">
        <v>436</v>
      </c>
      <c r="F2143" t="str">
        <f>INDEX(Lists!I:I,MATCH(Validation!E2143,Lists!G:G,0))</f>
        <v>Error</v>
      </c>
      <c r="G2143" t="str">
        <f>INDEX(Lists!H:H,MATCH(Validation!E2143,Lists!G:G,0))</f>
        <v>Amount must be rounded to the nearest dollar.</v>
      </c>
      <c r="H2143" s="25" t="str">
        <f t="shared" ca="1" si="240"/>
        <v/>
      </c>
      <c r="I2143" s="25" t="str">
        <f t="shared" ca="1" si="241"/>
        <v/>
      </c>
      <c r="J2143" s="26" t="str">
        <f t="shared" ca="1" si="242"/>
        <v/>
      </c>
    </row>
    <row r="2144" spans="1:10" x14ac:dyDescent="0.25">
      <c r="A2144" t="s">
        <v>311</v>
      </c>
      <c r="B2144" t="str">
        <f>ADDRESS(ROW('Bond 1'!$C$36),COLUMN('Bond 1'!$C$36),4)</f>
        <v>C36</v>
      </c>
      <c r="C2144" t="str">
        <f>ADDRESS(ROW('Bond 1'!$D$36),COLUMN('Bond 1'!$D$36),4)</f>
        <v>D36</v>
      </c>
      <c r="D2144" t="b" cm="1">
        <f t="array" aca="1" ref="D2144" ca="1">IF(INDIRECT("'"&amp;A2144&amp;"'!"&amp;B2144)="",FALSE,IF(TRUNC(INDIRECT("'"&amp;A2144&amp;"'!"&amp;B2144))=INDIRECT("'"&amp;A2144&amp;"'!"&amp;B2144),FALSE,TRUE))</f>
        <v>0</v>
      </c>
      <c r="E2144" t="s">
        <v>436</v>
      </c>
      <c r="F2144" t="str">
        <f>INDEX(Lists!I:I,MATCH(Validation!E2144,Lists!G:G,0))</f>
        <v>Error</v>
      </c>
      <c r="G2144" t="str">
        <f>INDEX(Lists!H:H,MATCH(Validation!E2144,Lists!G:G,0))</f>
        <v>Amount must be rounded to the nearest dollar.</v>
      </c>
      <c r="H2144" s="25" t="str">
        <f t="shared" ca="1" si="240"/>
        <v/>
      </c>
      <c r="I2144" s="25" t="str">
        <f t="shared" ca="1" si="241"/>
        <v/>
      </c>
      <c r="J2144" s="26" t="str">
        <f t="shared" ca="1" si="242"/>
        <v/>
      </c>
    </row>
    <row r="2145" spans="1:10" x14ac:dyDescent="0.25">
      <c r="A2145" t="s">
        <v>312</v>
      </c>
      <c r="B2145" t="str">
        <f>ADDRESS(ROW('Bond 1'!$C$36),COLUMN('Bond 1'!$C$36),4)</f>
        <v>C36</v>
      </c>
      <c r="C2145" t="str">
        <f>ADDRESS(ROW('Bond 1'!$D$36),COLUMN('Bond 1'!$D$36),4)</f>
        <v>D36</v>
      </c>
      <c r="D2145" t="b" cm="1">
        <f t="array" aca="1" ref="D2145" ca="1">IF(INDIRECT("'"&amp;A2145&amp;"'!"&amp;B2145)="",FALSE,IF(TRUNC(INDIRECT("'"&amp;A2145&amp;"'!"&amp;B2145))=INDIRECT("'"&amp;A2145&amp;"'!"&amp;B2145),FALSE,TRUE))</f>
        <v>0</v>
      </c>
      <c r="E2145" t="s">
        <v>436</v>
      </c>
      <c r="F2145" t="str">
        <f>INDEX(Lists!I:I,MATCH(Validation!E2145,Lists!G:G,0))</f>
        <v>Error</v>
      </c>
      <c r="G2145" t="str">
        <f>INDEX(Lists!H:H,MATCH(Validation!E2145,Lists!G:G,0))</f>
        <v>Amount must be rounded to the nearest dollar.</v>
      </c>
      <c r="H2145" s="25" t="str">
        <f t="shared" ca="1" si="240"/>
        <v/>
      </c>
      <c r="I2145" s="25" t="str">
        <f t="shared" ca="1" si="241"/>
        <v/>
      </c>
      <c r="J2145" s="26" t="str">
        <f t="shared" ca="1" si="242"/>
        <v/>
      </c>
    </row>
    <row r="2146" spans="1:10" x14ac:dyDescent="0.25">
      <c r="A2146" t="s">
        <v>313</v>
      </c>
      <c r="B2146" t="str">
        <f>ADDRESS(ROW('Bond 1'!$C$36),COLUMN('Bond 1'!$C$36),4)</f>
        <v>C36</v>
      </c>
      <c r="C2146" t="str">
        <f>ADDRESS(ROW('Bond 1'!$D$36),COLUMN('Bond 1'!$D$36),4)</f>
        <v>D36</v>
      </c>
      <c r="D2146" t="b" cm="1">
        <f t="array" aca="1" ref="D2146" ca="1">IF(INDIRECT("'"&amp;A2146&amp;"'!"&amp;B2146)="",FALSE,IF(TRUNC(INDIRECT("'"&amp;A2146&amp;"'!"&amp;B2146))=INDIRECT("'"&amp;A2146&amp;"'!"&amp;B2146),FALSE,TRUE))</f>
        <v>0</v>
      </c>
      <c r="E2146" t="s">
        <v>436</v>
      </c>
      <c r="F2146" t="str">
        <f>INDEX(Lists!I:I,MATCH(Validation!E2146,Lists!G:G,0))</f>
        <v>Error</v>
      </c>
      <c r="G2146" t="str">
        <f>INDEX(Lists!H:H,MATCH(Validation!E2146,Lists!G:G,0))</f>
        <v>Amount must be rounded to the nearest dollar.</v>
      </c>
      <c r="H2146" s="25" t="str">
        <f t="shared" ca="1" si="240"/>
        <v/>
      </c>
      <c r="I2146" s="25" t="str">
        <f t="shared" ca="1" si="241"/>
        <v/>
      </c>
      <c r="J2146" s="26" t="str">
        <f t="shared" ca="1" si="242"/>
        <v/>
      </c>
    </row>
    <row r="2147" spans="1:10" x14ac:dyDescent="0.25">
      <c r="A2147" t="s">
        <v>314</v>
      </c>
      <c r="B2147" t="str">
        <f>ADDRESS(ROW('Bond 1'!$C$36),COLUMN('Bond 1'!$C$36),4)</f>
        <v>C36</v>
      </c>
      <c r="C2147" t="str">
        <f>ADDRESS(ROW('Bond 1'!$D$36),COLUMN('Bond 1'!$D$36),4)</f>
        <v>D36</v>
      </c>
      <c r="D2147" t="b" cm="1">
        <f t="array" aca="1" ref="D2147" ca="1">IF(INDIRECT("'"&amp;A2147&amp;"'!"&amp;B2147)="",FALSE,IF(TRUNC(INDIRECT("'"&amp;A2147&amp;"'!"&amp;B2147))=INDIRECT("'"&amp;A2147&amp;"'!"&amp;B2147),FALSE,TRUE))</f>
        <v>0</v>
      </c>
      <c r="E2147" t="s">
        <v>436</v>
      </c>
      <c r="F2147" t="str">
        <f>INDEX(Lists!I:I,MATCH(Validation!E2147,Lists!G:G,0))</f>
        <v>Error</v>
      </c>
      <c r="G2147" t="str">
        <f>INDEX(Lists!H:H,MATCH(Validation!E2147,Lists!G:G,0))</f>
        <v>Amount must be rounded to the nearest dollar.</v>
      </c>
      <c r="H2147" s="25" t="str">
        <f t="shared" ca="1" si="240"/>
        <v/>
      </c>
      <c r="I2147" s="25" t="str">
        <f t="shared" ca="1" si="241"/>
        <v/>
      </c>
      <c r="J2147" s="26" t="str">
        <f t="shared" ca="1" si="242"/>
        <v/>
      </c>
    </row>
    <row r="2148" spans="1:10" x14ac:dyDescent="0.25">
      <c r="A2148" t="s">
        <v>315</v>
      </c>
      <c r="B2148" t="str">
        <f>ADDRESS(ROW('Bond 1'!$C$36),COLUMN('Bond 1'!$C$36),4)</f>
        <v>C36</v>
      </c>
      <c r="C2148" t="str">
        <f>ADDRESS(ROW('Bond 1'!$D$36),COLUMN('Bond 1'!$D$36),4)</f>
        <v>D36</v>
      </c>
      <c r="D2148" t="b" cm="1">
        <f t="array" aca="1" ref="D2148" ca="1">IF(INDIRECT("'"&amp;A2148&amp;"'!"&amp;B2148)="",FALSE,IF(TRUNC(INDIRECT("'"&amp;A2148&amp;"'!"&amp;B2148))=INDIRECT("'"&amp;A2148&amp;"'!"&amp;B2148),FALSE,TRUE))</f>
        <v>0</v>
      </c>
      <c r="E2148" t="s">
        <v>436</v>
      </c>
      <c r="F2148" t="str">
        <f>INDEX(Lists!I:I,MATCH(Validation!E2148,Lists!G:G,0))</f>
        <v>Error</v>
      </c>
      <c r="G2148" t="str">
        <f>INDEX(Lists!H:H,MATCH(Validation!E2148,Lists!G:G,0))</f>
        <v>Amount must be rounded to the nearest dollar.</v>
      </c>
      <c r="H2148" s="25" t="str">
        <f t="shared" ca="1" si="240"/>
        <v/>
      </c>
      <c r="I2148" s="25" t="str">
        <f t="shared" ca="1" si="241"/>
        <v/>
      </c>
      <c r="J2148" s="26" t="str">
        <f t="shared" ca="1" si="242"/>
        <v/>
      </c>
    </row>
    <row r="2149" spans="1:10" x14ac:dyDescent="0.25">
      <c r="A2149" t="s">
        <v>198</v>
      </c>
      <c r="B2149" t="str">
        <f>ADDRESS(ROW('Bond 1'!$B$37),COLUMN('Bond 1'!$B$37),4)</f>
        <v>B37</v>
      </c>
      <c r="C2149" t="str">
        <f>ADDRESS(ROW('Bond 1'!$D$37),COLUMN('Bond 1'!$D$37),4)</f>
        <v>D37</v>
      </c>
      <c r="D2149" t="b" cm="1">
        <f t="array" aca="1" ref="D2149" ca="1">IF(AND('Bond 1'!B$8="Non-TIF Bond",OR(ISBLANK(INDIRECT("'"&amp;A2149&amp;"'!"&amp;B2149)),INDIRECT("'"&amp;A2149&amp;"'!"&amp;B2149)&lt;&gt;0)),TRUE,FALSE)</f>
        <v>0</v>
      </c>
      <c r="E2149" t="s">
        <v>630</v>
      </c>
      <c r="F2149" t="str">
        <f>INDEX(Lists!I:I,MATCH(Validation!E2149,Lists!G:G,0))</f>
        <v>Error</v>
      </c>
      <c r="G2149" t="str">
        <f>INDEX(Lists!H:H,MATCH(Validation!E2149,Lists!G:G,0))</f>
        <v>Enter $0 if debt type is Non-TIF Bond.</v>
      </c>
      <c r="H2149" s="25" t="str">
        <f t="shared" ca="1" si="237"/>
        <v/>
      </c>
      <c r="I2149" s="25" t="str">
        <f t="shared" ca="1" si="238"/>
        <v/>
      </c>
      <c r="J2149" s="26" t="str">
        <f t="shared" ca="1" si="239"/>
        <v/>
      </c>
    </row>
    <row r="2150" spans="1:10" x14ac:dyDescent="0.25">
      <c r="A2150" t="s">
        <v>302</v>
      </c>
      <c r="B2150" t="str">
        <f>ADDRESS(ROW('Bond 1'!$B$37),COLUMN('Bond 1'!$B$37),4)</f>
        <v>B37</v>
      </c>
      <c r="C2150" t="str">
        <f>ADDRESS(ROW('Bond 1'!$D$37),COLUMN('Bond 1'!$D$37),4)</f>
        <v>D37</v>
      </c>
      <c r="D2150" t="b" cm="1">
        <f t="array" aca="1" ref="D2150" ca="1">IF(AND('Bond 2'!B$8="Non-TIF Bond",OR(ISBLANK(INDIRECT("'"&amp;A2150&amp;"'!"&amp;B2150)),INDIRECT("'"&amp;A2150&amp;"'!"&amp;B2150)&lt;&gt;0)),TRUE,FALSE)</f>
        <v>0</v>
      </c>
      <c r="E2150" t="s">
        <v>630</v>
      </c>
      <c r="F2150" t="str">
        <f>INDEX(Lists!I:I,MATCH(Validation!E2150,Lists!G:G,0))</f>
        <v>Error</v>
      </c>
      <c r="G2150" t="str">
        <f>INDEX(Lists!H:H,MATCH(Validation!E2150,Lists!G:G,0))</f>
        <v>Enter $0 if debt type is Non-TIF Bond.</v>
      </c>
      <c r="H2150" s="25" t="str">
        <f t="shared" ca="1" si="237"/>
        <v/>
      </c>
      <c r="I2150" s="25" t="str">
        <f t="shared" ca="1" si="238"/>
        <v/>
      </c>
      <c r="J2150" s="26" t="str">
        <f t="shared" ca="1" si="239"/>
        <v/>
      </c>
    </row>
    <row r="2151" spans="1:10" x14ac:dyDescent="0.25">
      <c r="A2151" t="s">
        <v>303</v>
      </c>
      <c r="B2151" t="str">
        <f>ADDRESS(ROW('Bond 1'!$B$37),COLUMN('Bond 1'!$B$37),4)</f>
        <v>B37</v>
      </c>
      <c r="C2151" t="str">
        <f>ADDRESS(ROW('Bond 1'!$D$37),COLUMN('Bond 1'!$D$37),4)</f>
        <v>D37</v>
      </c>
      <c r="D2151" t="b" cm="1">
        <f t="array" aca="1" ref="D2151" ca="1">IF(AND('Bond 3'!B$8="Non-TIF Bond",OR(ISBLANK(INDIRECT("'"&amp;A2151&amp;"'!"&amp;B2151)),INDIRECT("'"&amp;A2151&amp;"'!"&amp;B2151)&lt;&gt;0)),TRUE,FALSE)</f>
        <v>0</v>
      </c>
      <c r="E2151" t="s">
        <v>630</v>
      </c>
      <c r="F2151" t="str">
        <f>INDEX(Lists!I:I,MATCH(Validation!E2151,Lists!G:G,0))</f>
        <v>Error</v>
      </c>
      <c r="G2151" t="str">
        <f>INDEX(Lists!H:H,MATCH(Validation!E2151,Lists!G:G,0))</f>
        <v>Enter $0 if debt type is Non-TIF Bond.</v>
      </c>
      <c r="H2151" s="25" t="str">
        <f t="shared" ca="1" si="237"/>
        <v/>
      </c>
      <c r="I2151" s="25" t="str">
        <f t="shared" ca="1" si="238"/>
        <v/>
      </c>
      <c r="J2151" s="26" t="str">
        <f t="shared" ca="1" si="239"/>
        <v/>
      </c>
    </row>
    <row r="2152" spans="1:10" x14ac:dyDescent="0.25">
      <c r="A2152" t="s">
        <v>304</v>
      </c>
      <c r="B2152" t="str">
        <f>ADDRESS(ROW('Bond 1'!$B$37),COLUMN('Bond 1'!$B$37),4)</f>
        <v>B37</v>
      </c>
      <c r="C2152" t="str">
        <f>ADDRESS(ROW('Bond 1'!$D$37),COLUMN('Bond 1'!$D$37),4)</f>
        <v>D37</v>
      </c>
      <c r="D2152" t="b" cm="1">
        <f t="array" aca="1" ref="D2152" ca="1">IF(AND('Bond 4'!B$8="Non-TIF Bond",OR(ISBLANK(INDIRECT("'"&amp;A2152&amp;"'!"&amp;B2152)),INDIRECT("'"&amp;A2152&amp;"'!"&amp;B2152)&lt;&gt;0)),TRUE,FALSE)</f>
        <v>0</v>
      </c>
      <c r="E2152" t="s">
        <v>630</v>
      </c>
      <c r="F2152" t="str">
        <f>INDEX(Lists!I:I,MATCH(Validation!E2152,Lists!G:G,0))</f>
        <v>Error</v>
      </c>
      <c r="G2152" t="str">
        <f>INDEX(Lists!H:H,MATCH(Validation!E2152,Lists!G:G,0))</f>
        <v>Enter $0 if debt type is Non-TIF Bond.</v>
      </c>
      <c r="H2152" s="25" t="str">
        <f t="shared" ca="1" si="237"/>
        <v/>
      </c>
      <c r="I2152" s="25" t="str">
        <f t="shared" ca="1" si="238"/>
        <v/>
      </c>
      <c r="J2152" s="26" t="str">
        <f t="shared" ca="1" si="239"/>
        <v/>
      </c>
    </row>
    <row r="2153" spans="1:10" x14ac:dyDescent="0.25">
      <c r="A2153" t="s">
        <v>305</v>
      </c>
      <c r="B2153" t="str">
        <f>ADDRESS(ROW('Bond 1'!$B$37),COLUMN('Bond 1'!$B$37),4)</f>
        <v>B37</v>
      </c>
      <c r="C2153" t="str">
        <f>ADDRESS(ROW('Bond 1'!$D$37),COLUMN('Bond 1'!$D$37),4)</f>
        <v>D37</v>
      </c>
      <c r="D2153" t="b" cm="1">
        <f t="array" aca="1" ref="D2153" ca="1">IF(AND('Bond 5'!B$8="Non-TIF Bond",OR(ISBLANK(INDIRECT("'"&amp;A2153&amp;"'!"&amp;B2153)),INDIRECT("'"&amp;A2153&amp;"'!"&amp;B2153)&lt;&gt;0)),TRUE,FALSE)</f>
        <v>0</v>
      </c>
      <c r="E2153" t="s">
        <v>630</v>
      </c>
      <c r="F2153" t="str">
        <f>INDEX(Lists!I:I,MATCH(Validation!E2153,Lists!G:G,0))</f>
        <v>Error</v>
      </c>
      <c r="G2153" t="str">
        <f>INDEX(Lists!H:H,MATCH(Validation!E2153,Lists!G:G,0))</f>
        <v>Enter $0 if debt type is Non-TIF Bond.</v>
      </c>
      <c r="H2153" s="25" t="str">
        <f t="shared" ca="1" si="237"/>
        <v/>
      </c>
      <c r="I2153" s="25" t="str">
        <f t="shared" ca="1" si="238"/>
        <v/>
      </c>
      <c r="J2153" s="26" t="str">
        <f t="shared" ca="1" si="239"/>
        <v/>
      </c>
    </row>
    <row r="2154" spans="1:10" x14ac:dyDescent="0.25">
      <c r="A2154" t="s">
        <v>306</v>
      </c>
      <c r="B2154" t="str">
        <f>ADDRESS(ROW('Bond 1'!$B$37),COLUMN('Bond 1'!$B$37),4)</f>
        <v>B37</v>
      </c>
      <c r="C2154" t="str">
        <f>ADDRESS(ROW('Bond 1'!$D$37),COLUMN('Bond 1'!$D$37),4)</f>
        <v>D37</v>
      </c>
      <c r="D2154" t="b" cm="1">
        <f t="array" aca="1" ref="D2154" ca="1">IF(AND('Bond 6'!B$8="Non-TIF Bond",OR(ISBLANK(INDIRECT("'"&amp;A2154&amp;"'!"&amp;B2154)),INDIRECT("'"&amp;A2154&amp;"'!"&amp;B2154)&lt;&gt;0)),TRUE,FALSE)</f>
        <v>0</v>
      </c>
      <c r="E2154" t="s">
        <v>630</v>
      </c>
      <c r="F2154" t="str">
        <f>INDEX(Lists!I:I,MATCH(Validation!E2154,Lists!G:G,0))</f>
        <v>Error</v>
      </c>
      <c r="G2154" t="str">
        <f>INDEX(Lists!H:H,MATCH(Validation!E2154,Lists!G:G,0))</f>
        <v>Enter $0 if debt type is Non-TIF Bond.</v>
      </c>
      <c r="H2154" s="25" t="str">
        <f t="shared" ca="1" si="237"/>
        <v/>
      </c>
      <c r="I2154" s="25" t="str">
        <f t="shared" ca="1" si="238"/>
        <v/>
      </c>
      <c r="J2154" s="26" t="str">
        <f t="shared" ca="1" si="239"/>
        <v/>
      </c>
    </row>
    <row r="2155" spans="1:10" x14ac:dyDescent="0.25">
      <c r="A2155" t="s">
        <v>307</v>
      </c>
      <c r="B2155" t="str">
        <f>ADDRESS(ROW('Bond 1'!$B$37),COLUMN('Bond 1'!$B$37),4)</f>
        <v>B37</v>
      </c>
      <c r="C2155" t="str">
        <f>ADDRESS(ROW('Bond 1'!$D$37),COLUMN('Bond 1'!$D$37),4)</f>
        <v>D37</v>
      </c>
      <c r="D2155" t="b" cm="1">
        <f t="array" aca="1" ref="D2155" ca="1">IF(AND('Bond 7'!B$8="Non-TIF Bond",OR(ISBLANK(INDIRECT("'"&amp;A2155&amp;"'!"&amp;B2155)),INDIRECT("'"&amp;A2155&amp;"'!"&amp;B2155)&lt;&gt;0)),TRUE,FALSE)</f>
        <v>0</v>
      </c>
      <c r="E2155" t="s">
        <v>630</v>
      </c>
      <c r="F2155" t="str">
        <f>INDEX(Lists!I:I,MATCH(Validation!E2155,Lists!G:G,0))</f>
        <v>Error</v>
      </c>
      <c r="G2155" t="str">
        <f>INDEX(Lists!H:H,MATCH(Validation!E2155,Lists!G:G,0))</f>
        <v>Enter $0 if debt type is Non-TIF Bond.</v>
      </c>
      <c r="H2155" s="25" t="str">
        <f t="shared" ca="1" si="237"/>
        <v/>
      </c>
      <c r="I2155" s="25" t="str">
        <f t="shared" ca="1" si="238"/>
        <v/>
      </c>
      <c r="J2155" s="26" t="str">
        <f t="shared" ca="1" si="239"/>
        <v/>
      </c>
    </row>
    <row r="2156" spans="1:10" x14ac:dyDescent="0.25">
      <c r="A2156" t="s">
        <v>308</v>
      </c>
      <c r="B2156" t="str">
        <f>ADDRESS(ROW('Bond 1'!$B$37),COLUMN('Bond 1'!$B$37),4)</f>
        <v>B37</v>
      </c>
      <c r="C2156" t="str">
        <f>ADDRESS(ROW('Bond 1'!$D$37),COLUMN('Bond 1'!$D$37),4)</f>
        <v>D37</v>
      </c>
      <c r="D2156" t="b" cm="1">
        <f t="array" aca="1" ref="D2156" ca="1">IF(AND('Bond 8'!B$8="Non-TIF Bond",OR(ISBLANK(INDIRECT("'"&amp;A2156&amp;"'!"&amp;B2156)),INDIRECT("'"&amp;A2156&amp;"'!"&amp;B2156)&lt;&gt;0)),TRUE,FALSE)</f>
        <v>0</v>
      </c>
      <c r="E2156" t="s">
        <v>630</v>
      </c>
      <c r="F2156" t="str">
        <f>INDEX(Lists!I:I,MATCH(Validation!E2156,Lists!G:G,0))</f>
        <v>Error</v>
      </c>
      <c r="G2156" t="str">
        <f>INDEX(Lists!H:H,MATCH(Validation!E2156,Lists!G:G,0))</f>
        <v>Enter $0 if debt type is Non-TIF Bond.</v>
      </c>
      <c r="H2156" s="25" t="str">
        <f t="shared" ca="1" si="237"/>
        <v/>
      </c>
      <c r="I2156" s="25" t="str">
        <f t="shared" ca="1" si="238"/>
        <v/>
      </c>
      <c r="J2156" s="26" t="str">
        <f t="shared" ca="1" si="239"/>
        <v/>
      </c>
    </row>
    <row r="2157" spans="1:10" x14ac:dyDescent="0.25">
      <c r="A2157" t="s">
        <v>309</v>
      </c>
      <c r="B2157" t="str">
        <f>ADDRESS(ROW('Bond 1'!$B$37),COLUMN('Bond 1'!$B$37),4)</f>
        <v>B37</v>
      </c>
      <c r="C2157" t="str">
        <f>ADDRESS(ROW('Bond 1'!$D$37),COLUMN('Bond 1'!$D$37),4)</f>
        <v>D37</v>
      </c>
      <c r="D2157" t="b" cm="1">
        <f t="array" aca="1" ref="D2157" ca="1">IF(AND('Bond 9'!B$8="Non-TIF Bond",OR(ISBLANK(INDIRECT("'"&amp;A2157&amp;"'!"&amp;B2157)),INDIRECT("'"&amp;A2157&amp;"'!"&amp;B2157)&lt;&gt;0)),TRUE,FALSE)</f>
        <v>0</v>
      </c>
      <c r="E2157" t="s">
        <v>630</v>
      </c>
      <c r="F2157" t="str">
        <f>INDEX(Lists!I:I,MATCH(Validation!E2157,Lists!G:G,0))</f>
        <v>Error</v>
      </c>
      <c r="G2157" t="str">
        <f>INDEX(Lists!H:H,MATCH(Validation!E2157,Lists!G:G,0))</f>
        <v>Enter $0 if debt type is Non-TIF Bond.</v>
      </c>
      <c r="H2157" s="25" t="str">
        <f t="shared" ca="1" si="237"/>
        <v/>
      </c>
      <c r="I2157" s="25" t="str">
        <f t="shared" ca="1" si="238"/>
        <v/>
      </c>
      <c r="J2157" s="26" t="str">
        <f t="shared" ca="1" si="239"/>
        <v/>
      </c>
    </row>
    <row r="2158" spans="1:10" x14ac:dyDescent="0.25">
      <c r="A2158" t="s">
        <v>310</v>
      </c>
      <c r="B2158" t="str">
        <f>ADDRESS(ROW('Bond 1'!$B$37),COLUMN('Bond 1'!$B$37),4)</f>
        <v>B37</v>
      </c>
      <c r="C2158" t="str">
        <f>ADDRESS(ROW('Bond 1'!$D$37),COLUMN('Bond 1'!$D$37),4)</f>
        <v>D37</v>
      </c>
      <c r="D2158" t="b" cm="1">
        <f t="array" aca="1" ref="D2158" ca="1">IF(AND('Bond 10'!B$8="Non-TIF Bond",OR(ISBLANK(INDIRECT("'"&amp;A2158&amp;"'!"&amp;B2158)),INDIRECT("'"&amp;A2158&amp;"'!"&amp;B2158)&lt;&gt;0)),TRUE,FALSE)</f>
        <v>0</v>
      </c>
      <c r="E2158" t="s">
        <v>630</v>
      </c>
      <c r="F2158" t="str">
        <f>INDEX(Lists!I:I,MATCH(Validation!E2158,Lists!G:G,0))</f>
        <v>Error</v>
      </c>
      <c r="G2158" t="str">
        <f>INDEX(Lists!H:H,MATCH(Validation!E2158,Lists!G:G,0))</f>
        <v>Enter $0 if debt type is Non-TIF Bond.</v>
      </c>
      <c r="H2158" s="25" t="str">
        <f t="shared" ca="1" si="237"/>
        <v/>
      </c>
      <c r="I2158" s="25" t="str">
        <f t="shared" ca="1" si="238"/>
        <v/>
      </c>
      <c r="J2158" s="26" t="str">
        <f t="shared" ca="1" si="239"/>
        <v/>
      </c>
    </row>
    <row r="2159" spans="1:10" x14ac:dyDescent="0.25">
      <c r="A2159" t="s">
        <v>311</v>
      </c>
      <c r="B2159" t="str">
        <f>ADDRESS(ROW('Bond 1'!$B$37),COLUMN('Bond 1'!$B$37),4)</f>
        <v>B37</v>
      </c>
      <c r="C2159" t="str">
        <f>ADDRESS(ROW('Bond 1'!$D$37),COLUMN('Bond 1'!$D$37),4)</f>
        <v>D37</v>
      </c>
      <c r="D2159" t="b" cm="1">
        <f t="array" aca="1" ref="D2159" ca="1">IF(AND('Bond 11'!B$8="Non-TIF Bond",OR(ISBLANK(INDIRECT("'"&amp;A2159&amp;"'!"&amp;B2159)),INDIRECT("'"&amp;A2159&amp;"'!"&amp;B2159)&lt;&gt;0)),TRUE,FALSE)</f>
        <v>0</v>
      </c>
      <c r="E2159" t="s">
        <v>630</v>
      </c>
      <c r="F2159" t="str">
        <f>INDEX(Lists!I:I,MATCH(Validation!E2159,Lists!G:G,0))</f>
        <v>Error</v>
      </c>
      <c r="G2159" t="str">
        <f>INDEX(Lists!H:H,MATCH(Validation!E2159,Lists!G:G,0))</f>
        <v>Enter $0 if debt type is Non-TIF Bond.</v>
      </c>
      <c r="H2159" s="25" t="str">
        <f t="shared" ca="1" si="237"/>
        <v/>
      </c>
      <c r="I2159" s="25" t="str">
        <f t="shared" ca="1" si="238"/>
        <v/>
      </c>
      <c r="J2159" s="26" t="str">
        <f t="shared" ca="1" si="239"/>
        <v/>
      </c>
    </row>
    <row r="2160" spans="1:10" x14ac:dyDescent="0.25">
      <c r="A2160" t="s">
        <v>312</v>
      </c>
      <c r="B2160" t="str">
        <f>ADDRESS(ROW('Bond 1'!$B$37),COLUMN('Bond 1'!$B$37),4)</f>
        <v>B37</v>
      </c>
      <c r="C2160" t="str">
        <f>ADDRESS(ROW('Bond 1'!$D$37),COLUMN('Bond 1'!$D$37),4)</f>
        <v>D37</v>
      </c>
      <c r="D2160" t="b" cm="1">
        <f t="array" aca="1" ref="D2160" ca="1">IF(AND('Bond 12'!B$8="Non-TIF Bond",OR(ISBLANK(INDIRECT("'"&amp;A2160&amp;"'!"&amp;B2160)),INDIRECT("'"&amp;A2160&amp;"'!"&amp;B2160)&lt;&gt;0)),TRUE,FALSE)</f>
        <v>0</v>
      </c>
      <c r="E2160" t="s">
        <v>630</v>
      </c>
      <c r="F2160" t="str">
        <f>INDEX(Lists!I:I,MATCH(Validation!E2160,Lists!G:G,0))</f>
        <v>Error</v>
      </c>
      <c r="G2160" t="str">
        <f>INDEX(Lists!H:H,MATCH(Validation!E2160,Lists!G:G,0))</f>
        <v>Enter $0 if debt type is Non-TIF Bond.</v>
      </c>
      <c r="H2160" s="25" t="str">
        <f t="shared" ca="1" si="237"/>
        <v/>
      </c>
      <c r="I2160" s="25" t="str">
        <f t="shared" ca="1" si="238"/>
        <v/>
      </c>
      <c r="J2160" s="26" t="str">
        <f t="shared" ca="1" si="239"/>
        <v/>
      </c>
    </row>
    <row r="2161" spans="1:10" x14ac:dyDescent="0.25">
      <c r="A2161" t="s">
        <v>313</v>
      </c>
      <c r="B2161" t="str">
        <f>ADDRESS(ROW('Bond 1'!$B$37),COLUMN('Bond 1'!$B$37),4)</f>
        <v>B37</v>
      </c>
      <c r="C2161" t="str">
        <f>ADDRESS(ROW('Bond 1'!$D$37),COLUMN('Bond 1'!$D$37),4)</f>
        <v>D37</v>
      </c>
      <c r="D2161" t="b" cm="1">
        <f t="array" aca="1" ref="D2161" ca="1">IF(AND('Bond 13'!B$8="Non-TIF Bond",OR(ISBLANK(INDIRECT("'"&amp;A2161&amp;"'!"&amp;B2161)),INDIRECT("'"&amp;A2161&amp;"'!"&amp;B2161)&lt;&gt;0)),TRUE,FALSE)</f>
        <v>0</v>
      </c>
      <c r="E2161" t="s">
        <v>630</v>
      </c>
      <c r="F2161" t="str">
        <f>INDEX(Lists!I:I,MATCH(Validation!E2161,Lists!G:G,0))</f>
        <v>Error</v>
      </c>
      <c r="G2161" t="str">
        <f>INDEX(Lists!H:H,MATCH(Validation!E2161,Lists!G:G,0))</f>
        <v>Enter $0 if debt type is Non-TIF Bond.</v>
      </c>
      <c r="H2161" s="25" t="str">
        <f t="shared" ca="1" si="237"/>
        <v/>
      </c>
      <c r="I2161" s="25" t="str">
        <f t="shared" ca="1" si="238"/>
        <v/>
      </c>
      <c r="J2161" s="26" t="str">
        <f t="shared" ca="1" si="239"/>
        <v/>
      </c>
    </row>
    <row r="2162" spans="1:10" x14ac:dyDescent="0.25">
      <c r="A2162" t="s">
        <v>314</v>
      </c>
      <c r="B2162" t="str">
        <f>ADDRESS(ROW('Bond 1'!$B$37),COLUMN('Bond 1'!$B$37),4)</f>
        <v>B37</v>
      </c>
      <c r="C2162" t="str">
        <f>ADDRESS(ROW('Bond 1'!$D$37),COLUMN('Bond 1'!$D$37),4)</f>
        <v>D37</v>
      </c>
      <c r="D2162" t="b" cm="1">
        <f t="array" aca="1" ref="D2162" ca="1">IF(AND('Bond 14'!B$8="Non-TIF Bond",OR(ISBLANK(INDIRECT("'"&amp;A2162&amp;"'!"&amp;B2162)),INDIRECT("'"&amp;A2162&amp;"'!"&amp;B2162)&lt;&gt;0)),TRUE,FALSE)</f>
        <v>0</v>
      </c>
      <c r="E2162" t="s">
        <v>630</v>
      </c>
      <c r="F2162" t="str">
        <f>INDEX(Lists!I:I,MATCH(Validation!E2162,Lists!G:G,0))</f>
        <v>Error</v>
      </c>
      <c r="G2162" t="str">
        <f>INDEX(Lists!H:H,MATCH(Validation!E2162,Lists!G:G,0))</f>
        <v>Enter $0 if debt type is Non-TIF Bond.</v>
      </c>
      <c r="H2162" s="25" t="str">
        <f t="shared" ca="1" si="237"/>
        <v/>
      </c>
      <c r="I2162" s="25" t="str">
        <f t="shared" ca="1" si="238"/>
        <v/>
      </c>
      <c r="J2162" s="26" t="str">
        <f t="shared" ca="1" si="239"/>
        <v/>
      </c>
    </row>
    <row r="2163" spans="1:10" x14ac:dyDescent="0.25">
      <c r="A2163" t="s">
        <v>315</v>
      </c>
      <c r="B2163" t="str">
        <f>ADDRESS(ROW('Bond 1'!$B$37),COLUMN('Bond 1'!$B$37),4)</f>
        <v>B37</v>
      </c>
      <c r="C2163" t="str">
        <f>ADDRESS(ROW('Bond 1'!$D$37),COLUMN('Bond 1'!$D$37),4)</f>
        <v>D37</v>
      </c>
      <c r="D2163" t="b" cm="1">
        <f t="array" aca="1" ref="D2163" ca="1">IF(AND('Bond 15'!B$8="Non-TIF Bond",OR(ISBLANK(INDIRECT("'"&amp;A2163&amp;"'!"&amp;B2163)),INDIRECT("'"&amp;A2163&amp;"'!"&amp;B2163)&lt;&gt;0)),TRUE,FALSE)</f>
        <v>0</v>
      </c>
      <c r="E2163" t="s">
        <v>630</v>
      </c>
      <c r="F2163" t="str">
        <f>INDEX(Lists!I:I,MATCH(Validation!E2163,Lists!G:G,0))</f>
        <v>Error</v>
      </c>
      <c r="G2163" t="str">
        <f>INDEX(Lists!H:H,MATCH(Validation!E2163,Lists!G:G,0))</f>
        <v>Enter $0 if debt type is Non-TIF Bond.</v>
      </c>
      <c r="H2163" s="25" t="str">
        <f t="shared" ca="1" si="237"/>
        <v/>
      </c>
      <c r="I2163" s="25" t="str">
        <f t="shared" ca="1" si="238"/>
        <v/>
      </c>
      <c r="J2163" s="26" t="str">
        <f t="shared" ca="1" si="239"/>
        <v/>
      </c>
    </row>
    <row r="2164" spans="1:10" x14ac:dyDescent="0.25">
      <c r="A2164" t="s">
        <v>198</v>
      </c>
      <c r="B2164" t="str">
        <f>ADDRESS(ROW('Bond 1'!$B$37),COLUMN('Bond 1'!$B$37),4)</f>
        <v>B37</v>
      </c>
      <c r="C2164" t="str">
        <f>ADDRESS(ROW('Bond 1'!$D$37),COLUMN('Bond 1'!$D$37),4)</f>
        <v>D37</v>
      </c>
      <c r="D2164" t="b" cm="1">
        <f t="array" aca="1" ref="D2164" ca="1">IF(INDIRECT("'"&amp;A2164&amp;"'!"&amp;B2164)="",FALSE,IF(NOT(ISNUMBER(INDIRECT("'"&amp;A2164&amp;"'!"&amp;B2164))),TRUE,FALSE))</f>
        <v>0</v>
      </c>
      <c r="E2164" t="s">
        <v>435</v>
      </c>
      <c r="F2164" t="str">
        <f>INDEX(Lists!I:I,MATCH(Validation!E2164,Lists!G:G,0))</f>
        <v>Error</v>
      </c>
      <c r="G2164" t="str">
        <f>INDEX(Lists!H:H,MATCH(Validation!E2164,Lists!G:G,0))</f>
        <v>Enter an amount only. Do not enter text or spaces.</v>
      </c>
      <c r="H2164" s="25" t="str">
        <f t="shared" ca="1" si="231"/>
        <v/>
      </c>
      <c r="I2164" s="25" t="str">
        <f t="shared" ca="1" si="232"/>
        <v/>
      </c>
      <c r="J2164" s="26" t="str">
        <f t="shared" ca="1" si="233"/>
        <v/>
      </c>
    </row>
    <row r="2165" spans="1:10" x14ac:dyDescent="0.25">
      <c r="A2165" t="s">
        <v>302</v>
      </c>
      <c r="B2165" t="str">
        <f>ADDRESS(ROW('Bond 1'!$B$37),COLUMN('Bond 1'!$B$37),4)</f>
        <v>B37</v>
      </c>
      <c r="C2165" t="str">
        <f>ADDRESS(ROW('Bond 1'!$D$37),COLUMN('Bond 1'!$D$37),4)</f>
        <v>D37</v>
      </c>
      <c r="D2165" t="b" cm="1">
        <f t="array" aca="1" ref="D2165" ca="1">IF(INDIRECT("'"&amp;A2165&amp;"'!"&amp;B2165)="",FALSE,IF(NOT(ISNUMBER(INDIRECT("'"&amp;A2165&amp;"'!"&amp;B2165))),TRUE,FALSE))</f>
        <v>0</v>
      </c>
      <c r="E2165" t="s">
        <v>435</v>
      </c>
      <c r="F2165" t="str">
        <f>INDEX(Lists!I:I,MATCH(Validation!E2165,Lists!G:G,0))</f>
        <v>Error</v>
      </c>
      <c r="G2165" t="str">
        <f>INDEX(Lists!H:H,MATCH(Validation!E2165,Lists!G:G,0))</f>
        <v>Enter an amount only. Do not enter text or spaces.</v>
      </c>
      <c r="H2165" s="25" t="str">
        <f t="shared" ca="1" si="231"/>
        <v/>
      </c>
      <c r="I2165" s="25" t="str">
        <f t="shared" ca="1" si="232"/>
        <v/>
      </c>
      <c r="J2165" s="26" t="str">
        <f t="shared" ca="1" si="233"/>
        <v/>
      </c>
    </row>
    <row r="2166" spans="1:10" x14ac:dyDescent="0.25">
      <c r="A2166" t="s">
        <v>303</v>
      </c>
      <c r="B2166" t="str">
        <f>ADDRESS(ROW('Bond 1'!$B$37),COLUMN('Bond 1'!$B$37),4)</f>
        <v>B37</v>
      </c>
      <c r="C2166" t="str">
        <f>ADDRESS(ROW('Bond 1'!$D$37),COLUMN('Bond 1'!$D$37),4)</f>
        <v>D37</v>
      </c>
      <c r="D2166" t="b" cm="1">
        <f t="array" aca="1" ref="D2166" ca="1">IF(INDIRECT("'"&amp;A2166&amp;"'!"&amp;B2166)="",FALSE,IF(NOT(ISNUMBER(INDIRECT("'"&amp;A2166&amp;"'!"&amp;B2166))),TRUE,FALSE))</f>
        <v>0</v>
      </c>
      <c r="E2166" t="s">
        <v>435</v>
      </c>
      <c r="F2166" t="str">
        <f>INDEX(Lists!I:I,MATCH(Validation!E2166,Lists!G:G,0))</f>
        <v>Error</v>
      </c>
      <c r="G2166" t="str">
        <f>INDEX(Lists!H:H,MATCH(Validation!E2166,Lists!G:G,0))</f>
        <v>Enter an amount only. Do not enter text or spaces.</v>
      </c>
      <c r="H2166" s="25" t="str">
        <f t="shared" ca="1" si="231"/>
        <v/>
      </c>
      <c r="I2166" s="25" t="str">
        <f t="shared" ca="1" si="232"/>
        <v/>
      </c>
      <c r="J2166" s="26" t="str">
        <f t="shared" ca="1" si="233"/>
        <v/>
      </c>
    </row>
    <row r="2167" spans="1:10" x14ac:dyDescent="0.25">
      <c r="A2167" t="s">
        <v>304</v>
      </c>
      <c r="B2167" t="str">
        <f>ADDRESS(ROW('Bond 1'!$B$37),COLUMN('Bond 1'!$B$37),4)</f>
        <v>B37</v>
      </c>
      <c r="C2167" t="str">
        <f>ADDRESS(ROW('Bond 1'!$D$37),COLUMN('Bond 1'!$D$37),4)</f>
        <v>D37</v>
      </c>
      <c r="D2167" t="b" cm="1">
        <f t="array" aca="1" ref="D2167" ca="1">IF(INDIRECT("'"&amp;A2167&amp;"'!"&amp;B2167)="",FALSE,IF(NOT(ISNUMBER(INDIRECT("'"&amp;A2167&amp;"'!"&amp;B2167))),TRUE,FALSE))</f>
        <v>0</v>
      </c>
      <c r="E2167" t="s">
        <v>435</v>
      </c>
      <c r="F2167" t="str">
        <f>INDEX(Lists!I:I,MATCH(Validation!E2167,Lists!G:G,0))</f>
        <v>Error</v>
      </c>
      <c r="G2167" t="str">
        <f>INDEX(Lists!H:H,MATCH(Validation!E2167,Lists!G:G,0))</f>
        <v>Enter an amount only. Do not enter text or spaces.</v>
      </c>
      <c r="H2167" s="25" t="str">
        <f t="shared" ca="1" si="231"/>
        <v/>
      </c>
      <c r="I2167" s="25" t="str">
        <f t="shared" ca="1" si="232"/>
        <v/>
      </c>
      <c r="J2167" s="26" t="str">
        <f t="shared" ca="1" si="233"/>
        <v/>
      </c>
    </row>
    <row r="2168" spans="1:10" x14ac:dyDescent="0.25">
      <c r="A2168" t="s">
        <v>305</v>
      </c>
      <c r="B2168" t="str">
        <f>ADDRESS(ROW('Bond 1'!$B$37),COLUMN('Bond 1'!$B$37),4)</f>
        <v>B37</v>
      </c>
      <c r="C2168" t="str">
        <f>ADDRESS(ROW('Bond 1'!$D$37),COLUMN('Bond 1'!$D$37),4)</f>
        <v>D37</v>
      </c>
      <c r="D2168" t="b" cm="1">
        <f t="array" aca="1" ref="D2168" ca="1">IF(INDIRECT("'"&amp;A2168&amp;"'!"&amp;B2168)="",FALSE,IF(NOT(ISNUMBER(INDIRECT("'"&amp;A2168&amp;"'!"&amp;B2168))),TRUE,FALSE))</f>
        <v>0</v>
      </c>
      <c r="E2168" t="s">
        <v>435</v>
      </c>
      <c r="F2168" t="str">
        <f>INDEX(Lists!I:I,MATCH(Validation!E2168,Lists!G:G,0))</f>
        <v>Error</v>
      </c>
      <c r="G2168" t="str">
        <f>INDEX(Lists!H:H,MATCH(Validation!E2168,Lists!G:G,0))</f>
        <v>Enter an amount only. Do not enter text or spaces.</v>
      </c>
      <c r="H2168" s="25" t="str">
        <f t="shared" ca="1" si="231"/>
        <v/>
      </c>
      <c r="I2168" s="25" t="str">
        <f t="shared" ca="1" si="232"/>
        <v/>
      </c>
      <c r="J2168" s="26" t="str">
        <f t="shared" ca="1" si="233"/>
        <v/>
      </c>
    </row>
    <row r="2169" spans="1:10" x14ac:dyDescent="0.25">
      <c r="A2169" t="s">
        <v>306</v>
      </c>
      <c r="B2169" t="str">
        <f>ADDRESS(ROW('Bond 1'!$B$37),COLUMN('Bond 1'!$B$37),4)</f>
        <v>B37</v>
      </c>
      <c r="C2169" t="str">
        <f>ADDRESS(ROW('Bond 1'!$D$37),COLUMN('Bond 1'!$D$37),4)</f>
        <v>D37</v>
      </c>
      <c r="D2169" t="b" cm="1">
        <f t="array" aca="1" ref="D2169" ca="1">IF(INDIRECT("'"&amp;A2169&amp;"'!"&amp;B2169)="",FALSE,IF(NOT(ISNUMBER(INDIRECT("'"&amp;A2169&amp;"'!"&amp;B2169))),TRUE,FALSE))</f>
        <v>0</v>
      </c>
      <c r="E2169" t="s">
        <v>435</v>
      </c>
      <c r="F2169" t="str">
        <f>INDEX(Lists!I:I,MATCH(Validation!E2169,Lists!G:G,0))</f>
        <v>Error</v>
      </c>
      <c r="G2169" t="str">
        <f>INDEX(Lists!H:H,MATCH(Validation!E2169,Lists!G:G,0))</f>
        <v>Enter an amount only. Do not enter text or spaces.</v>
      </c>
      <c r="H2169" s="25" t="str">
        <f t="shared" ca="1" si="231"/>
        <v/>
      </c>
      <c r="I2169" s="25" t="str">
        <f t="shared" ca="1" si="232"/>
        <v/>
      </c>
      <c r="J2169" s="26" t="str">
        <f t="shared" ca="1" si="233"/>
        <v/>
      </c>
    </row>
    <row r="2170" spans="1:10" x14ac:dyDescent="0.25">
      <c r="A2170" t="s">
        <v>307</v>
      </c>
      <c r="B2170" t="str">
        <f>ADDRESS(ROW('Bond 1'!$B$37),COLUMN('Bond 1'!$B$37),4)</f>
        <v>B37</v>
      </c>
      <c r="C2170" t="str">
        <f>ADDRESS(ROW('Bond 1'!$D$37),COLUMN('Bond 1'!$D$37),4)</f>
        <v>D37</v>
      </c>
      <c r="D2170" t="b" cm="1">
        <f t="array" aca="1" ref="D2170" ca="1">IF(INDIRECT("'"&amp;A2170&amp;"'!"&amp;B2170)="",FALSE,IF(NOT(ISNUMBER(INDIRECT("'"&amp;A2170&amp;"'!"&amp;B2170))),TRUE,FALSE))</f>
        <v>0</v>
      </c>
      <c r="E2170" t="s">
        <v>435</v>
      </c>
      <c r="F2170" t="str">
        <f>INDEX(Lists!I:I,MATCH(Validation!E2170,Lists!G:G,0))</f>
        <v>Error</v>
      </c>
      <c r="G2170" t="str">
        <f>INDEX(Lists!H:H,MATCH(Validation!E2170,Lists!G:G,0))</f>
        <v>Enter an amount only. Do not enter text or spaces.</v>
      </c>
      <c r="H2170" s="25" t="str">
        <f t="shared" ca="1" si="231"/>
        <v/>
      </c>
      <c r="I2170" s="25" t="str">
        <f t="shared" ca="1" si="232"/>
        <v/>
      </c>
      <c r="J2170" s="26" t="str">
        <f t="shared" ca="1" si="233"/>
        <v/>
      </c>
    </row>
    <row r="2171" spans="1:10" x14ac:dyDescent="0.25">
      <c r="A2171" t="s">
        <v>308</v>
      </c>
      <c r="B2171" t="str">
        <f>ADDRESS(ROW('Bond 1'!$B$37),COLUMN('Bond 1'!$B$37),4)</f>
        <v>B37</v>
      </c>
      <c r="C2171" t="str">
        <f>ADDRESS(ROW('Bond 1'!$D$37),COLUMN('Bond 1'!$D$37),4)</f>
        <v>D37</v>
      </c>
      <c r="D2171" t="b" cm="1">
        <f t="array" aca="1" ref="D2171" ca="1">IF(INDIRECT("'"&amp;A2171&amp;"'!"&amp;B2171)="",FALSE,IF(NOT(ISNUMBER(INDIRECT("'"&amp;A2171&amp;"'!"&amp;B2171))),TRUE,FALSE))</f>
        <v>0</v>
      </c>
      <c r="E2171" t="s">
        <v>435</v>
      </c>
      <c r="F2171" t="str">
        <f>INDEX(Lists!I:I,MATCH(Validation!E2171,Lists!G:G,0))</f>
        <v>Error</v>
      </c>
      <c r="G2171" t="str">
        <f>INDEX(Lists!H:H,MATCH(Validation!E2171,Lists!G:G,0))</f>
        <v>Enter an amount only. Do not enter text or spaces.</v>
      </c>
      <c r="H2171" s="25" t="str">
        <f t="shared" ca="1" si="231"/>
        <v/>
      </c>
      <c r="I2171" s="25" t="str">
        <f t="shared" ca="1" si="232"/>
        <v/>
      </c>
      <c r="J2171" s="26" t="str">
        <f t="shared" ca="1" si="233"/>
        <v/>
      </c>
    </row>
    <row r="2172" spans="1:10" x14ac:dyDescent="0.25">
      <c r="A2172" t="s">
        <v>309</v>
      </c>
      <c r="B2172" t="str">
        <f>ADDRESS(ROW('Bond 1'!$B$37),COLUMN('Bond 1'!$B$37),4)</f>
        <v>B37</v>
      </c>
      <c r="C2172" t="str">
        <f>ADDRESS(ROW('Bond 1'!$D$37),COLUMN('Bond 1'!$D$37),4)</f>
        <v>D37</v>
      </c>
      <c r="D2172" t="b" cm="1">
        <f t="array" aca="1" ref="D2172" ca="1">IF(INDIRECT("'"&amp;A2172&amp;"'!"&amp;B2172)="",FALSE,IF(NOT(ISNUMBER(INDIRECT("'"&amp;A2172&amp;"'!"&amp;B2172))),TRUE,FALSE))</f>
        <v>0</v>
      </c>
      <c r="E2172" t="s">
        <v>435</v>
      </c>
      <c r="F2172" t="str">
        <f>INDEX(Lists!I:I,MATCH(Validation!E2172,Lists!G:G,0))</f>
        <v>Error</v>
      </c>
      <c r="G2172" t="str">
        <f>INDEX(Lists!H:H,MATCH(Validation!E2172,Lists!G:G,0))</f>
        <v>Enter an amount only. Do not enter text or spaces.</v>
      </c>
      <c r="H2172" s="25" t="str">
        <f t="shared" ca="1" si="231"/>
        <v/>
      </c>
      <c r="I2172" s="25" t="str">
        <f t="shared" ca="1" si="232"/>
        <v/>
      </c>
      <c r="J2172" s="26" t="str">
        <f t="shared" ca="1" si="233"/>
        <v/>
      </c>
    </row>
    <row r="2173" spans="1:10" x14ac:dyDescent="0.25">
      <c r="A2173" t="s">
        <v>310</v>
      </c>
      <c r="B2173" t="str">
        <f>ADDRESS(ROW('Bond 1'!$B$37),COLUMN('Bond 1'!$B$37),4)</f>
        <v>B37</v>
      </c>
      <c r="C2173" t="str">
        <f>ADDRESS(ROW('Bond 1'!$D$37),COLUMN('Bond 1'!$D$37),4)</f>
        <v>D37</v>
      </c>
      <c r="D2173" t="b" cm="1">
        <f t="array" aca="1" ref="D2173" ca="1">IF(INDIRECT("'"&amp;A2173&amp;"'!"&amp;B2173)="",FALSE,IF(NOT(ISNUMBER(INDIRECT("'"&amp;A2173&amp;"'!"&amp;B2173))),TRUE,FALSE))</f>
        <v>0</v>
      </c>
      <c r="E2173" t="s">
        <v>435</v>
      </c>
      <c r="F2173" t="str">
        <f>INDEX(Lists!I:I,MATCH(Validation!E2173,Lists!G:G,0))</f>
        <v>Error</v>
      </c>
      <c r="G2173" t="str">
        <f>INDEX(Lists!H:H,MATCH(Validation!E2173,Lists!G:G,0))</f>
        <v>Enter an amount only. Do not enter text or spaces.</v>
      </c>
      <c r="H2173" s="25" t="str">
        <f t="shared" ca="1" si="231"/>
        <v/>
      </c>
      <c r="I2173" s="25" t="str">
        <f t="shared" ca="1" si="232"/>
        <v/>
      </c>
      <c r="J2173" s="26" t="str">
        <f t="shared" ca="1" si="233"/>
        <v/>
      </c>
    </row>
    <row r="2174" spans="1:10" x14ac:dyDescent="0.25">
      <c r="A2174" t="s">
        <v>311</v>
      </c>
      <c r="B2174" t="str">
        <f>ADDRESS(ROW('Bond 1'!$B$37),COLUMN('Bond 1'!$B$37),4)</f>
        <v>B37</v>
      </c>
      <c r="C2174" t="str">
        <f>ADDRESS(ROW('Bond 1'!$D$37),COLUMN('Bond 1'!$D$37),4)</f>
        <v>D37</v>
      </c>
      <c r="D2174" t="b" cm="1">
        <f t="array" aca="1" ref="D2174" ca="1">IF(INDIRECT("'"&amp;A2174&amp;"'!"&amp;B2174)="",FALSE,IF(NOT(ISNUMBER(INDIRECT("'"&amp;A2174&amp;"'!"&amp;B2174))),TRUE,FALSE))</f>
        <v>0</v>
      </c>
      <c r="E2174" t="s">
        <v>435</v>
      </c>
      <c r="F2174" t="str">
        <f>INDEX(Lists!I:I,MATCH(Validation!E2174,Lists!G:G,0))</f>
        <v>Error</v>
      </c>
      <c r="G2174" t="str">
        <f>INDEX(Lists!H:H,MATCH(Validation!E2174,Lists!G:G,0))</f>
        <v>Enter an amount only. Do not enter text or spaces.</v>
      </c>
      <c r="H2174" s="25" t="str">
        <f t="shared" ca="1" si="231"/>
        <v/>
      </c>
      <c r="I2174" s="25" t="str">
        <f t="shared" ca="1" si="232"/>
        <v/>
      </c>
      <c r="J2174" s="26" t="str">
        <f t="shared" ca="1" si="233"/>
        <v/>
      </c>
    </row>
    <row r="2175" spans="1:10" x14ac:dyDescent="0.25">
      <c r="A2175" t="s">
        <v>312</v>
      </c>
      <c r="B2175" t="str">
        <f>ADDRESS(ROW('Bond 1'!$B$37),COLUMN('Bond 1'!$B$37),4)</f>
        <v>B37</v>
      </c>
      <c r="C2175" t="str">
        <f>ADDRESS(ROW('Bond 1'!$D$37),COLUMN('Bond 1'!$D$37),4)</f>
        <v>D37</v>
      </c>
      <c r="D2175" t="b" cm="1">
        <f t="array" aca="1" ref="D2175" ca="1">IF(INDIRECT("'"&amp;A2175&amp;"'!"&amp;B2175)="",FALSE,IF(NOT(ISNUMBER(INDIRECT("'"&amp;A2175&amp;"'!"&amp;B2175))),TRUE,FALSE))</f>
        <v>0</v>
      </c>
      <c r="E2175" t="s">
        <v>435</v>
      </c>
      <c r="F2175" t="str">
        <f>INDEX(Lists!I:I,MATCH(Validation!E2175,Lists!G:G,0))</f>
        <v>Error</v>
      </c>
      <c r="G2175" t="str">
        <f>INDEX(Lists!H:H,MATCH(Validation!E2175,Lists!G:G,0))</f>
        <v>Enter an amount only. Do not enter text or spaces.</v>
      </c>
      <c r="H2175" s="25" t="str">
        <f t="shared" ca="1" si="231"/>
        <v/>
      </c>
      <c r="I2175" s="25" t="str">
        <f t="shared" ca="1" si="232"/>
        <v/>
      </c>
      <c r="J2175" s="26" t="str">
        <f t="shared" ca="1" si="233"/>
        <v/>
      </c>
    </row>
    <row r="2176" spans="1:10" x14ac:dyDescent="0.25">
      <c r="A2176" t="s">
        <v>313</v>
      </c>
      <c r="B2176" t="str">
        <f>ADDRESS(ROW('Bond 1'!$B$37),COLUMN('Bond 1'!$B$37),4)</f>
        <v>B37</v>
      </c>
      <c r="C2176" t="str">
        <f>ADDRESS(ROW('Bond 1'!$D$37),COLUMN('Bond 1'!$D$37),4)</f>
        <v>D37</v>
      </c>
      <c r="D2176" t="b" cm="1">
        <f t="array" aca="1" ref="D2176" ca="1">IF(INDIRECT("'"&amp;A2176&amp;"'!"&amp;B2176)="",FALSE,IF(NOT(ISNUMBER(INDIRECT("'"&amp;A2176&amp;"'!"&amp;B2176))),TRUE,FALSE))</f>
        <v>0</v>
      </c>
      <c r="E2176" t="s">
        <v>435</v>
      </c>
      <c r="F2176" t="str">
        <f>INDEX(Lists!I:I,MATCH(Validation!E2176,Lists!G:G,0))</f>
        <v>Error</v>
      </c>
      <c r="G2176" t="str">
        <f>INDEX(Lists!H:H,MATCH(Validation!E2176,Lists!G:G,0))</f>
        <v>Enter an amount only. Do not enter text or spaces.</v>
      </c>
      <c r="H2176" s="25" t="str">
        <f t="shared" ca="1" si="231"/>
        <v/>
      </c>
      <c r="I2176" s="25" t="str">
        <f t="shared" ca="1" si="232"/>
        <v/>
      </c>
      <c r="J2176" s="26" t="str">
        <f t="shared" ca="1" si="233"/>
        <v/>
      </c>
    </row>
    <row r="2177" spans="1:10" x14ac:dyDescent="0.25">
      <c r="A2177" t="s">
        <v>314</v>
      </c>
      <c r="B2177" t="str">
        <f>ADDRESS(ROW('Bond 1'!$B$37),COLUMN('Bond 1'!$B$37),4)</f>
        <v>B37</v>
      </c>
      <c r="C2177" t="str">
        <f>ADDRESS(ROW('Bond 1'!$D$37),COLUMN('Bond 1'!$D$37),4)</f>
        <v>D37</v>
      </c>
      <c r="D2177" t="b" cm="1">
        <f t="array" aca="1" ref="D2177" ca="1">IF(INDIRECT("'"&amp;A2177&amp;"'!"&amp;B2177)="",FALSE,IF(NOT(ISNUMBER(INDIRECT("'"&amp;A2177&amp;"'!"&amp;B2177))),TRUE,FALSE))</f>
        <v>0</v>
      </c>
      <c r="E2177" t="s">
        <v>435</v>
      </c>
      <c r="F2177" t="str">
        <f>INDEX(Lists!I:I,MATCH(Validation!E2177,Lists!G:G,0))</f>
        <v>Error</v>
      </c>
      <c r="G2177" t="str">
        <f>INDEX(Lists!H:H,MATCH(Validation!E2177,Lists!G:G,0))</f>
        <v>Enter an amount only. Do not enter text or spaces.</v>
      </c>
      <c r="H2177" s="25" t="str">
        <f t="shared" ca="1" si="231"/>
        <v/>
      </c>
      <c r="I2177" s="25" t="str">
        <f t="shared" ca="1" si="232"/>
        <v/>
      </c>
      <c r="J2177" s="26" t="str">
        <f t="shared" ca="1" si="233"/>
        <v/>
      </c>
    </row>
    <row r="2178" spans="1:10" x14ac:dyDescent="0.25">
      <c r="A2178" t="s">
        <v>315</v>
      </c>
      <c r="B2178" t="str">
        <f>ADDRESS(ROW('Bond 1'!$B$37),COLUMN('Bond 1'!$B$37),4)</f>
        <v>B37</v>
      </c>
      <c r="C2178" t="str">
        <f>ADDRESS(ROW('Bond 1'!$D$37),COLUMN('Bond 1'!$D$37),4)</f>
        <v>D37</v>
      </c>
      <c r="D2178" t="b" cm="1">
        <f t="array" aca="1" ref="D2178" ca="1">IF(INDIRECT("'"&amp;A2178&amp;"'!"&amp;B2178)="",FALSE,IF(NOT(ISNUMBER(INDIRECT("'"&amp;A2178&amp;"'!"&amp;B2178))),TRUE,FALSE))</f>
        <v>0</v>
      </c>
      <c r="E2178" t="s">
        <v>435</v>
      </c>
      <c r="F2178" t="str">
        <f>INDEX(Lists!I:I,MATCH(Validation!E2178,Lists!G:G,0))</f>
        <v>Error</v>
      </c>
      <c r="G2178" t="str">
        <f>INDEX(Lists!H:H,MATCH(Validation!E2178,Lists!G:G,0))</f>
        <v>Enter an amount only. Do not enter text or spaces.</v>
      </c>
      <c r="H2178" s="25" t="str">
        <f t="shared" ca="1" si="231"/>
        <v/>
      </c>
      <c r="I2178" s="25" t="str">
        <f t="shared" ca="1" si="232"/>
        <v/>
      </c>
      <c r="J2178" s="26" t="str">
        <f t="shared" ca="1" si="233"/>
        <v/>
      </c>
    </row>
    <row r="2179" spans="1:10" x14ac:dyDescent="0.25">
      <c r="A2179" t="s">
        <v>198</v>
      </c>
      <c r="B2179" t="str">
        <f>ADDRESS(ROW('Bond 1'!$B$37),COLUMN('Bond 1'!$B$37),4)</f>
        <v>B37</v>
      </c>
      <c r="C2179" t="str">
        <f>ADDRESS(ROW('Bond 1'!$D$37),COLUMN('Bond 1'!$D$37),4)</f>
        <v>D37</v>
      </c>
      <c r="D2179" t="b" cm="1">
        <f t="array" aca="1" ref="D2179" ca="1">IF(INDIRECT("'"&amp;A2179&amp;"'!"&amp;B2179)="",FALSE,IF(INDIRECT("'"&amp;A2179&amp;"'!"&amp;B2179)&lt;0,TRUE,FALSE))</f>
        <v>0</v>
      </c>
      <c r="E2179" t="s">
        <v>434</v>
      </c>
      <c r="F2179" t="str">
        <f>INDEX(Lists!I:I,MATCH(Validation!E2179,Lists!G:G,0))</f>
        <v>Error</v>
      </c>
      <c r="G2179" t="str">
        <f>INDEX(Lists!H:H,MATCH(Validation!E2179,Lists!G:G,0))</f>
        <v>Amount may not be negative. Enter an amount greater than or equal to zero.</v>
      </c>
      <c r="H2179" s="25" t="str">
        <f t="shared" ca="1" si="231"/>
        <v/>
      </c>
      <c r="I2179" s="25" t="str">
        <f t="shared" ca="1" si="232"/>
        <v/>
      </c>
      <c r="J2179" s="26" t="str">
        <f t="shared" ca="1" si="233"/>
        <v/>
      </c>
    </row>
    <row r="2180" spans="1:10" x14ac:dyDescent="0.25">
      <c r="A2180" t="s">
        <v>302</v>
      </c>
      <c r="B2180" t="str">
        <f>ADDRESS(ROW('Bond 1'!$B$37),COLUMN('Bond 1'!$B$37),4)</f>
        <v>B37</v>
      </c>
      <c r="C2180" t="str">
        <f>ADDRESS(ROW('Bond 1'!$D$37),COLUMN('Bond 1'!$D$37),4)</f>
        <v>D37</v>
      </c>
      <c r="D2180" t="b" cm="1">
        <f t="array" aca="1" ref="D2180" ca="1">IF(INDIRECT("'"&amp;A2180&amp;"'!"&amp;B2180)="",FALSE,IF(INDIRECT("'"&amp;A2180&amp;"'!"&amp;B2180)&lt;0,TRUE,FALSE))</f>
        <v>0</v>
      </c>
      <c r="E2180" t="s">
        <v>434</v>
      </c>
      <c r="F2180" t="str">
        <f>INDEX(Lists!I:I,MATCH(Validation!E2180,Lists!G:G,0))</f>
        <v>Error</v>
      </c>
      <c r="G2180" t="str">
        <f>INDEX(Lists!H:H,MATCH(Validation!E2180,Lists!G:G,0))</f>
        <v>Amount may not be negative. Enter an amount greater than or equal to zero.</v>
      </c>
      <c r="H2180" s="25" t="str">
        <f t="shared" ca="1" si="231"/>
        <v/>
      </c>
      <c r="I2180" s="25" t="str">
        <f t="shared" ca="1" si="232"/>
        <v/>
      </c>
      <c r="J2180" s="26" t="str">
        <f t="shared" ca="1" si="233"/>
        <v/>
      </c>
    </row>
    <row r="2181" spans="1:10" x14ac:dyDescent="0.25">
      <c r="A2181" t="s">
        <v>303</v>
      </c>
      <c r="B2181" t="str">
        <f>ADDRESS(ROW('Bond 1'!$B$37),COLUMN('Bond 1'!$B$37),4)</f>
        <v>B37</v>
      </c>
      <c r="C2181" t="str">
        <f>ADDRESS(ROW('Bond 1'!$D$37),COLUMN('Bond 1'!$D$37),4)</f>
        <v>D37</v>
      </c>
      <c r="D2181" t="b" cm="1">
        <f t="array" aca="1" ref="D2181" ca="1">IF(INDIRECT("'"&amp;A2181&amp;"'!"&amp;B2181)="",FALSE,IF(INDIRECT("'"&amp;A2181&amp;"'!"&amp;B2181)&lt;0,TRUE,FALSE))</f>
        <v>0</v>
      </c>
      <c r="E2181" t="s">
        <v>434</v>
      </c>
      <c r="F2181" t="str">
        <f>INDEX(Lists!I:I,MATCH(Validation!E2181,Lists!G:G,0))</f>
        <v>Error</v>
      </c>
      <c r="G2181" t="str">
        <f>INDEX(Lists!H:H,MATCH(Validation!E2181,Lists!G:G,0))</f>
        <v>Amount may not be negative. Enter an amount greater than or equal to zero.</v>
      </c>
      <c r="H2181" s="25" t="str">
        <f t="shared" ca="1" si="231"/>
        <v/>
      </c>
      <c r="I2181" s="25" t="str">
        <f t="shared" ca="1" si="232"/>
        <v/>
      </c>
      <c r="J2181" s="26" t="str">
        <f t="shared" ca="1" si="233"/>
        <v/>
      </c>
    </row>
    <row r="2182" spans="1:10" x14ac:dyDescent="0.25">
      <c r="A2182" t="s">
        <v>304</v>
      </c>
      <c r="B2182" t="str">
        <f>ADDRESS(ROW('Bond 1'!$B$37),COLUMN('Bond 1'!$B$37),4)</f>
        <v>B37</v>
      </c>
      <c r="C2182" t="str">
        <f>ADDRESS(ROW('Bond 1'!$D$37),COLUMN('Bond 1'!$D$37),4)</f>
        <v>D37</v>
      </c>
      <c r="D2182" t="b" cm="1">
        <f t="array" aca="1" ref="D2182" ca="1">IF(INDIRECT("'"&amp;A2182&amp;"'!"&amp;B2182)="",FALSE,IF(INDIRECT("'"&amp;A2182&amp;"'!"&amp;B2182)&lt;0,TRUE,FALSE))</f>
        <v>0</v>
      </c>
      <c r="E2182" t="s">
        <v>434</v>
      </c>
      <c r="F2182" t="str">
        <f>INDEX(Lists!I:I,MATCH(Validation!E2182,Lists!G:G,0))</f>
        <v>Error</v>
      </c>
      <c r="G2182" t="str">
        <f>INDEX(Lists!H:H,MATCH(Validation!E2182,Lists!G:G,0))</f>
        <v>Amount may not be negative. Enter an amount greater than or equal to zero.</v>
      </c>
      <c r="H2182" s="25" t="str">
        <f t="shared" ca="1" si="231"/>
        <v/>
      </c>
      <c r="I2182" s="25" t="str">
        <f t="shared" ca="1" si="232"/>
        <v/>
      </c>
      <c r="J2182" s="26" t="str">
        <f t="shared" ca="1" si="233"/>
        <v/>
      </c>
    </row>
    <row r="2183" spans="1:10" x14ac:dyDescent="0.25">
      <c r="A2183" t="s">
        <v>305</v>
      </c>
      <c r="B2183" t="str">
        <f>ADDRESS(ROW('Bond 1'!$B$37),COLUMN('Bond 1'!$B$37),4)</f>
        <v>B37</v>
      </c>
      <c r="C2183" t="str">
        <f>ADDRESS(ROW('Bond 1'!$D$37),COLUMN('Bond 1'!$D$37),4)</f>
        <v>D37</v>
      </c>
      <c r="D2183" t="b" cm="1">
        <f t="array" aca="1" ref="D2183" ca="1">IF(INDIRECT("'"&amp;A2183&amp;"'!"&amp;B2183)="",FALSE,IF(INDIRECT("'"&amp;A2183&amp;"'!"&amp;B2183)&lt;0,TRUE,FALSE))</f>
        <v>0</v>
      </c>
      <c r="E2183" t="s">
        <v>434</v>
      </c>
      <c r="F2183" t="str">
        <f>INDEX(Lists!I:I,MATCH(Validation!E2183,Lists!G:G,0))</f>
        <v>Error</v>
      </c>
      <c r="G2183" t="str">
        <f>INDEX(Lists!H:H,MATCH(Validation!E2183,Lists!G:G,0))</f>
        <v>Amount may not be negative. Enter an amount greater than or equal to zero.</v>
      </c>
      <c r="H2183" s="25" t="str">
        <f t="shared" ca="1" si="231"/>
        <v/>
      </c>
      <c r="I2183" s="25" t="str">
        <f t="shared" ca="1" si="232"/>
        <v/>
      </c>
      <c r="J2183" s="26" t="str">
        <f t="shared" ca="1" si="233"/>
        <v/>
      </c>
    </row>
    <row r="2184" spans="1:10" x14ac:dyDescent="0.25">
      <c r="A2184" t="s">
        <v>306</v>
      </c>
      <c r="B2184" t="str">
        <f>ADDRESS(ROW('Bond 1'!$B$37),COLUMN('Bond 1'!$B$37),4)</f>
        <v>B37</v>
      </c>
      <c r="C2184" t="str">
        <f>ADDRESS(ROW('Bond 1'!$D$37),COLUMN('Bond 1'!$D$37),4)</f>
        <v>D37</v>
      </c>
      <c r="D2184" t="b" cm="1">
        <f t="array" aca="1" ref="D2184" ca="1">IF(INDIRECT("'"&amp;A2184&amp;"'!"&amp;B2184)="",FALSE,IF(INDIRECT("'"&amp;A2184&amp;"'!"&amp;B2184)&lt;0,TRUE,FALSE))</f>
        <v>0</v>
      </c>
      <c r="E2184" t="s">
        <v>434</v>
      </c>
      <c r="F2184" t="str">
        <f>INDEX(Lists!I:I,MATCH(Validation!E2184,Lists!G:G,0))</f>
        <v>Error</v>
      </c>
      <c r="G2184" t="str">
        <f>INDEX(Lists!H:H,MATCH(Validation!E2184,Lists!G:G,0))</f>
        <v>Amount may not be negative. Enter an amount greater than or equal to zero.</v>
      </c>
      <c r="H2184" s="25" t="str">
        <f t="shared" ca="1" si="231"/>
        <v/>
      </c>
      <c r="I2184" s="25" t="str">
        <f t="shared" ca="1" si="232"/>
        <v/>
      </c>
      <c r="J2184" s="26" t="str">
        <f t="shared" ca="1" si="233"/>
        <v/>
      </c>
    </row>
    <row r="2185" spans="1:10" x14ac:dyDescent="0.25">
      <c r="A2185" t="s">
        <v>307</v>
      </c>
      <c r="B2185" t="str">
        <f>ADDRESS(ROW('Bond 1'!$B$37),COLUMN('Bond 1'!$B$37),4)</f>
        <v>B37</v>
      </c>
      <c r="C2185" t="str">
        <f>ADDRESS(ROW('Bond 1'!$D$37),COLUMN('Bond 1'!$D$37),4)</f>
        <v>D37</v>
      </c>
      <c r="D2185" t="b" cm="1">
        <f t="array" aca="1" ref="D2185" ca="1">IF(INDIRECT("'"&amp;A2185&amp;"'!"&amp;B2185)="",FALSE,IF(INDIRECT("'"&amp;A2185&amp;"'!"&amp;B2185)&lt;0,TRUE,FALSE))</f>
        <v>0</v>
      </c>
      <c r="E2185" t="s">
        <v>434</v>
      </c>
      <c r="F2185" t="str">
        <f>INDEX(Lists!I:I,MATCH(Validation!E2185,Lists!G:G,0))</f>
        <v>Error</v>
      </c>
      <c r="G2185" t="str">
        <f>INDEX(Lists!H:H,MATCH(Validation!E2185,Lists!G:G,0))</f>
        <v>Amount may not be negative. Enter an amount greater than or equal to zero.</v>
      </c>
      <c r="H2185" s="25" t="str">
        <f t="shared" ca="1" si="231"/>
        <v/>
      </c>
      <c r="I2185" s="25" t="str">
        <f t="shared" ca="1" si="232"/>
        <v/>
      </c>
      <c r="J2185" s="26" t="str">
        <f t="shared" ca="1" si="233"/>
        <v/>
      </c>
    </row>
    <row r="2186" spans="1:10" x14ac:dyDescent="0.25">
      <c r="A2186" t="s">
        <v>308</v>
      </c>
      <c r="B2186" t="str">
        <f>ADDRESS(ROW('Bond 1'!$B$37),COLUMN('Bond 1'!$B$37),4)</f>
        <v>B37</v>
      </c>
      <c r="C2186" t="str">
        <f>ADDRESS(ROW('Bond 1'!$D$37),COLUMN('Bond 1'!$D$37),4)</f>
        <v>D37</v>
      </c>
      <c r="D2186" t="b" cm="1">
        <f t="array" aca="1" ref="D2186" ca="1">IF(INDIRECT("'"&amp;A2186&amp;"'!"&amp;B2186)="",FALSE,IF(INDIRECT("'"&amp;A2186&amp;"'!"&amp;B2186)&lt;0,TRUE,FALSE))</f>
        <v>0</v>
      </c>
      <c r="E2186" t="s">
        <v>434</v>
      </c>
      <c r="F2186" t="str">
        <f>INDEX(Lists!I:I,MATCH(Validation!E2186,Lists!G:G,0))</f>
        <v>Error</v>
      </c>
      <c r="G2186" t="str">
        <f>INDEX(Lists!H:H,MATCH(Validation!E2186,Lists!G:G,0))</f>
        <v>Amount may not be negative. Enter an amount greater than or equal to zero.</v>
      </c>
      <c r="H2186" s="25" t="str">
        <f t="shared" ca="1" si="231"/>
        <v/>
      </c>
      <c r="I2186" s="25" t="str">
        <f t="shared" ca="1" si="232"/>
        <v/>
      </c>
      <c r="J2186" s="26" t="str">
        <f t="shared" ca="1" si="233"/>
        <v/>
      </c>
    </row>
    <row r="2187" spans="1:10" x14ac:dyDescent="0.25">
      <c r="A2187" t="s">
        <v>309</v>
      </c>
      <c r="B2187" t="str">
        <f>ADDRESS(ROW('Bond 1'!$B$37),COLUMN('Bond 1'!$B$37),4)</f>
        <v>B37</v>
      </c>
      <c r="C2187" t="str">
        <f>ADDRESS(ROW('Bond 1'!$D$37),COLUMN('Bond 1'!$D$37),4)</f>
        <v>D37</v>
      </c>
      <c r="D2187" t="b" cm="1">
        <f t="array" aca="1" ref="D2187" ca="1">IF(INDIRECT("'"&amp;A2187&amp;"'!"&amp;B2187)="",FALSE,IF(INDIRECT("'"&amp;A2187&amp;"'!"&amp;B2187)&lt;0,TRUE,FALSE))</f>
        <v>0</v>
      </c>
      <c r="E2187" t="s">
        <v>434</v>
      </c>
      <c r="F2187" t="str">
        <f>INDEX(Lists!I:I,MATCH(Validation!E2187,Lists!G:G,0))</f>
        <v>Error</v>
      </c>
      <c r="G2187" t="str">
        <f>INDEX(Lists!H:H,MATCH(Validation!E2187,Lists!G:G,0))</f>
        <v>Amount may not be negative. Enter an amount greater than or equal to zero.</v>
      </c>
      <c r="H2187" s="25" t="str">
        <f t="shared" ca="1" si="231"/>
        <v/>
      </c>
      <c r="I2187" s="25" t="str">
        <f t="shared" ca="1" si="232"/>
        <v/>
      </c>
      <c r="J2187" s="26" t="str">
        <f t="shared" ca="1" si="233"/>
        <v/>
      </c>
    </row>
    <row r="2188" spans="1:10" x14ac:dyDescent="0.25">
      <c r="A2188" t="s">
        <v>310</v>
      </c>
      <c r="B2188" t="str">
        <f>ADDRESS(ROW('Bond 1'!$B$37),COLUMN('Bond 1'!$B$37),4)</f>
        <v>B37</v>
      </c>
      <c r="C2188" t="str">
        <f>ADDRESS(ROW('Bond 1'!$D$37),COLUMN('Bond 1'!$D$37),4)</f>
        <v>D37</v>
      </c>
      <c r="D2188" t="b" cm="1">
        <f t="array" aca="1" ref="D2188" ca="1">IF(INDIRECT("'"&amp;A2188&amp;"'!"&amp;B2188)="",FALSE,IF(INDIRECT("'"&amp;A2188&amp;"'!"&amp;B2188)&lt;0,TRUE,FALSE))</f>
        <v>0</v>
      </c>
      <c r="E2188" t="s">
        <v>434</v>
      </c>
      <c r="F2188" t="str">
        <f>INDEX(Lists!I:I,MATCH(Validation!E2188,Lists!G:G,0))</f>
        <v>Error</v>
      </c>
      <c r="G2188" t="str">
        <f>INDEX(Lists!H:H,MATCH(Validation!E2188,Lists!G:G,0))</f>
        <v>Amount may not be negative. Enter an amount greater than or equal to zero.</v>
      </c>
      <c r="H2188" s="25" t="str">
        <f t="shared" ca="1" si="231"/>
        <v/>
      </c>
      <c r="I2188" s="25" t="str">
        <f t="shared" ca="1" si="232"/>
        <v/>
      </c>
      <c r="J2188" s="26" t="str">
        <f t="shared" ca="1" si="233"/>
        <v/>
      </c>
    </row>
    <row r="2189" spans="1:10" x14ac:dyDescent="0.25">
      <c r="A2189" t="s">
        <v>311</v>
      </c>
      <c r="B2189" t="str">
        <f>ADDRESS(ROW('Bond 1'!$B$37),COLUMN('Bond 1'!$B$37),4)</f>
        <v>B37</v>
      </c>
      <c r="C2189" t="str">
        <f>ADDRESS(ROW('Bond 1'!$D$37),COLUMN('Bond 1'!$D$37),4)</f>
        <v>D37</v>
      </c>
      <c r="D2189" t="b" cm="1">
        <f t="array" aca="1" ref="D2189" ca="1">IF(INDIRECT("'"&amp;A2189&amp;"'!"&amp;B2189)="",FALSE,IF(INDIRECT("'"&amp;A2189&amp;"'!"&amp;B2189)&lt;0,TRUE,FALSE))</f>
        <v>0</v>
      </c>
      <c r="E2189" t="s">
        <v>434</v>
      </c>
      <c r="F2189" t="str">
        <f>INDEX(Lists!I:I,MATCH(Validation!E2189,Lists!G:G,0))</f>
        <v>Error</v>
      </c>
      <c r="G2189" t="str">
        <f>INDEX(Lists!H:H,MATCH(Validation!E2189,Lists!G:G,0))</f>
        <v>Amount may not be negative. Enter an amount greater than or equal to zero.</v>
      </c>
      <c r="H2189" s="25" t="str">
        <f t="shared" ca="1" si="231"/>
        <v/>
      </c>
      <c r="I2189" s="25" t="str">
        <f t="shared" ca="1" si="232"/>
        <v/>
      </c>
      <c r="J2189" s="26" t="str">
        <f t="shared" ca="1" si="233"/>
        <v/>
      </c>
    </row>
    <row r="2190" spans="1:10" x14ac:dyDescent="0.25">
      <c r="A2190" t="s">
        <v>312</v>
      </c>
      <c r="B2190" t="str">
        <f>ADDRESS(ROW('Bond 1'!$B$37),COLUMN('Bond 1'!$B$37),4)</f>
        <v>B37</v>
      </c>
      <c r="C2190" t="str">
        <f>ADDRESS(ROW('Bond 1'!$D$37),COLUMN('Bond 1'!$D$37),4)</f>
        <v>D37</v>
      </c>
      <c r="D2190" t="b" cm="1">
        <f t="array" aca="1" ref="D2190" ca="1">IF(INDIRECT("'"&amp;A2190&amp;"'!"&amp;B2190)="",FALSE,IF(INDIRECT("'"&amp;A2190&amp;"'!"&amp;B2190)&lt;0,TRUE,FALSE))</f>
        <v>0</v>
      </c>
      <c r="E2190" t="s">
        <v>434</v>
      </c>
      <c r="F2190" t="str">
        <f>INDEX(Lists!I:I,MATCH(Validation!E2190,Lists!G:G,0))</f>
        <v>Error</v>
      </c>
      <c r="G2190" t="str">
        <f>INDEX(Lists!H:H,MATCH(Validation!E2190,Lists!G:G,0))</f>
        <v>Amount may not be negative. Enter an amount greater than or equal to zero.</v>
      </c>
      <c r="H2190" s="25" t="str">
        <f t="shared" ca="1" si="231"/>
        <v/>
      </c>
      <c r="I2190" s="25" t="str">
        <f t="shared" ca="1" si="232"/>
        <v/>
      </c>
      <c r="J2190" s="26" t="str">
        <f t="shared" ca="1" si="233"/>
        <v/>
      </c>
    </row>
    <row r="2191" spans="1:10" x14ac:dyDescent="0.25">
      <c r="A2191" t="s">
        <v>313</v>
      </c>
      <c r="B2191" t="str">
        <f>ADDRESS(ROW('Bond 1'!$B$37),COLUMN('Bond 1'!$B$37),4)</f>
        <v>B37</v>
      </c>
      <c r="C2191" t="str">
        <f>ADDRESS(ROW('Bond 1'!$D$37),COLUMN('Bond 1'!$D$37),4)</f>
        <v>D37</v>
      </c>
      <c r="D2191" t="b" cm="1">
        <f t="array" aca="1" ref="D2191" ca="1">IF(INDIRECT("'"&amp;A2191&amp;"'!"&amp;B2191)="",FALSE,IF(INDIRECT("'"&amp;A2191&amp;"'!"&amp;B2191)&lt;0,TRUE,FALSE))</f>
        <v>0</v>
      </c>
      <c r="E2191" t="s">
        <v>434</v>
      </c>
      <c r="F2191" t="str">
        <f>INDEX(Lists!I:I,MATCH(Validation!E2191,Lists!G:G,0))</f>
        <v>Error</v>
      </c>
      <c r="G2191" t="str">
        <f>INDEX(Lists!H:H,MATCH(Validation!E2191,Lists!G:G,0))</f>
        <v>Amount may not be negative. Enter an amount greater than or equal to zero.</v>
      </c>
      <c r="H2191" s="25" t="str">
        <f t="shared" ca="1" si="231"/>
        <v/>
      </c>
      <c r="I2191" s="25" t="str">
        <f t="shared" ca="1" si="232"/>
        <v/>
      </c>
      <c r="J2191" s="26" t="str">
        <f t="shared" ca="1" si="233"/>
        <v/>
      </c>
    </row>
    <row r="2192" spans="1:10" x14ac:dyDescent="0.25">
      <c r="A2192" t="s">
        <v>314</v>
      </c>
      <c r="B2192" t="str">
        <f>ADDRESS(ROW('Bond 1'!$B$37),COLUMN('Bond 1'!$B$37),4)</f>
        <v>B37</v>
      </c>
      <c r="C2192" t="str">
        <f>ADDRESS(ROW('Bond 1'!$D$37),COLUMN('Bond 1'!$D$37),4)</f>
        <v>D37</v>
      </c>
      <c r="D2192" t="b" cm="1">
        <f t="array" aca="1" ref="D2192" ca="1">IF(INDIRECT("'"&amp;A2192&amp;"'!"&amp;B2192)="",FALSE,IF(INDIRECT("'"&amp;A2192&amp;"'!"&amp;B2192)&lt;0,TRUE,FALSE))</f>
        <v>0</v>
      </c>
      <c r="E2192" t="s">
        <v>434</v>
      </c>
      <c r="F2192" t="str">
        <f>INDEX(Lists!I:I,MATCH(Validation!E2192,Lists!G:G,0))</f>
        <v>Error</v>
      </c>
      <c r="G2192" t="str">
        <f>INDEX(Lists!H:H,MATCH(Validation!E2192,Lists!G:G,0))</f>
        <v>Amount may not be negative. Enter an amount greater than or equal to zero.</v>
      </c>
      <c r="H2192" s="25" t="str">
        <f t="shared" ca="1" si="231"/>
        <v/>
      </c>
      <c r="I2192" s="25" t="str">
        <f t="shared" ca="1" si="232"/>
        <v/>
      </c>
      <c r="J2192" s="26" t="str">
        <f t="shared" ca="1" si="233"/>
        <v/>
      </c>
    </row>
    <row r="2193" spans="1:10" x14ac:dyDescent="0.25">
      <c r="A2193" t="s">
        <v>315</v>
      </c>
      <c r="B2193" t="str">
        <f>ADDRESS(ROW('Bond 1'!$B$37),COLUMN('Bond 1'!$B$37),4)</f>
        <v>B37</v>
      </c>
      <c r="C2193" t="str">
        <f>ADDRESS(ROW('Bond 1'!$D$37),COLUMN('Bond 1'!$D$37),4)</f>
        <v>D37</v>
      </c>
      <c r="D2193" t="b" cm="1">
        <f t="array" aca="1" ref="D2193" ca="1">IF(INDIRECT("'"&amp;A2193&amp;"'!"&amp;B2193)="",FALSE,IF(INDIRECT("'"&amp;A2193&amp;"'!"&amp;B2193)&lt;0,TRUE,FALSE))</f>
        <v>0</v>
      </c>
      <c r="E2193" t="s">
        <v>434</v>
      </c>
      <c r="F2193" t="str">
        <f>INDEX(Lists!I:I,MATCH(Validation!E2193,Lists!G:G,0))</f>
        <v>Error</v>
      </c>
      <c r="G2193" t="str">
        <f>INDEX(Lists!H:H,MATCH(Validation!E2193,Lists!G:G,0))</f>
        <v>Amount may not be negative. Enter an amount greater than or equal to zero.</v>
      </c>
      <c r="H2193" s="25" t="str">
        <f t="shared" ca="1" si="231"/>
        <v/>
      </c>
      <c r="I2193" s="25" t="str">
        <f t="shared" ca="1" si="232"/>
        <v/>
      </c>
      <c r="J2193" s="26" t="str">
        <f t="shared" ca="1" si="233"/>
        <v/>
      </c>
    </row>
    <row r="2194" spans="1:10" x14ac:dyDescent="0.25">
      <c r="A2194" t="s">
        <v>198</v>
      </c>
      <c r="B2194" t="str">
        <f>ADDRESS(ROW('Bond 1'!$B$37),COLUMN('Bond 1'!$B$37),4)</f>
        <v>B37</v>
      </c>
      <c r="C2194" t="str">
        <f>ADDRESS(ROW('Bond 1'!$D$37),COLUMN('Bond 1'!$D$37),4)</f>
        <v>D37</v>
      </c>
      <c r="D2194" t="b" cm="1">
        <f t="array" aca="1" ref="D2194" ca="1">IF(INDIRECT("'"&amp;A2194&amp;"'!"&amp;B2194)="",FALSE,IF(TRUNC(INDIRECT("'"&amp;A2194&amp;"'!"&amp;B2194))=INDIRECT("'"&amp;A2194&amp;"'!"&amp;B2194),FALSE,TRUE))</f>
        <v>0</v>
      </c>
      <c r="E2194" t="s">
        <v>436</v>
      </c>
      <c r="F2194" t="str">
        <f>INDEX(Lists!I:I,MATCH(Validation!E2194,Lists!G:G,0))</f>
        <v>Error</v>
      </c>
      <c r="G2194" t="str">
        <f>INDEX(Lists!H:H,MATCH(Validation!E2194,Lists!G:G,0))</f>
        <v>Amount must be rounded to the nearest dollar.</v>
      </c>
      <c r="H2194" s="25" t="str">
        <f t="shared" ca="1" si="231"/>
        <v/>
      </c>
      <c r="I2194" s="25" t="str">
        <f t="shared" ca="1" si="232"/>
        <v/>
      </c>
      <c r="J2194" s="26" t="str">
        <f t="shared" ca="1" si="233"/>
        <v/>
      </c>
    </row>
    <row r="2195" spans="1:10" x14ac:dyDescent="0.25">
      <c r="A2195" t="s">
        <v>302</v>
      </c>
      <c r="B2195" t="str">
        <f>ADDRESS(ROW('Bond 1'!$B$37),COLUMN('Bond 1'!$B$37),4)</f>
        <v>B37</v>
      </c>
      <c r="C2195" t="str">
        <f>ADDRESS(ROW('Bond 1'!$D$37),COLUMN('Bond 1'!$D$37),4)</f>
        <v>D37</v>
      </c>
      <c r="D2195" t="b" cm="1">
        <f t="array" aca="1" ref="D2195" ca="1">IF(INDIRECT("'"&amp;A2195&amp;"'!"&amp;B2195)="",FALSE,IF(TRUNC(INDIRECT("'"&amp;A2195&amp;"'!"&amp;B2195))=INDIRECT("'"&amp;A2195&amp;"'!"&amp;B2195),FALSE,TRUE))</f>
        <v>0</v>
      </c>
      <c r="E2195" t="s">
        <v>436</v>
      </c>
      <c r="F2195" t="str">
        <f>INDEX(Lists!I:I,MATCH(Validation!E2195,Lists!G:G,0))</f>
        <v>Error</v>
      </c>
      <c r="G2195" t="str">
        <f>INDEX(Lists!H:H,MATCH(Validation!E2195,Lists!G:G,0))</f>
        <v>Amount must be rounded to the nearest dollar.</v>
      </c>
      <c r="H2195" s="25" t="str">
        <f t="shared" ca="1" si="231"/>
        <v/>
      </c>
      <c r="I2195" s="25" t="str">
        <f t="shared" ca="1" si="232"/>
        <v/>
      </c>
      <c r="J2195" s="26" t="str">
        <f t="shared" ca="1" si="233"/>
        <v/>
      </c>
    </row>
    <row r="2196" spans="1:10" x14ac:dyDescent="0.25">
      <c r="A2196" t="s">
        <v>303</v>
      </c>
      <c r="B2196" t="str">
        <f>ADDRESS(ROW('Bond 1'!$B$37),COLUMN('Bond 1'!$B$37),4)</f>
        <v>B37</v>
      </c>
      <c r="C2196" t="str">
        <f>ADDRESS(ROW('Bond 1'!$D$37),COLUMN('Bond 1'!$D$37),4)</f>
        <v>D37</v>
      </c>
      <c r="D2196" t="b" cm="1">
        <f t="array" aca="1" ref="D2196" ca="1">IF(INDIRECT("'"&amp;A2196&amp;"'!"&amp;B2196)="",FALSE,IF(TRUNC(INDIRECT("'"&amp;A2196&amp;"'!"&amp;B2196))=INDIRECT("'"&amp;A2196&amp;"'!"&amp;B2196),FALSE,TRUE))</f>
        <v>0</v>
      </c>
      <c r="E2196" t="s">
        <v>436</v>
      </c>
      <c r="F2196" t="str">
        <f>INDEX(Lists!I:I,MATCH(Validation!E2196,Lists!G:G,0))</f>
        <v>Error</v>
      </c>
      <c r="G2196" t="str">
        <f>INDEX(Lists!H:H,MATCH(Validation!E2196,Lists!G:G,0))</f>
        <v>Amount must be rounded to the nearest dollar.</v>
      </c>
      <c r="H2196" s="25" t="str">
        <f t="shared" ca="1" si="231"/>
        <v/>
      </c>
      <c r="I2196" s="25" t="str">
        <f t="shared" ca="1" si="232"/>
        <v/>
      </c>
      <c r="J2196" s="26" t="str">
        <f t="shared" ca="1" si="233"/>
        <v/>
      </c>
    </row>
    <row r="2197" spans="1:10" x14ac:dyDescent="0.25">
      <c r="A2197" t="s">
        <v>304</v>
      </c>
      <c r="B2197" t="str">
        <f>ADDRESS(ROW('Bond 1'!$B$37),COLUMN('Bond 1'!$B$37),4)</f>
        <v>B37</v>
      </c>
      <c r="C2197" t="str">
        <f>ADDRESS(ROW('Bond 1'!$D$37),COLUMN('Bond 1'!$D$37),4)</f>
        <v>D37</v>
      </c>
      <c r="D2197" t="b" cm="1">
        <f t="array" aca="1" ref="D2197" ca="1">IF(INDIRECT("'"&amp;A2197&amp;"'!"&amp;B2197)="",FALSE,IF(TRUNC(INDIRECT("'"&amp;A2197&amp;"'!"&amp;B2197))=INDIRECT("'"&amp;A2197&amp;"'!"&amp;B2197),FALSE,TRUE))</f>
        <v>0</v>
      </c>
      <c r="E2197" t="s">
        <v>436</v>
      </c>
      <c r="F2197" t="str">
        <f>INDEX(Lists!I:I,MATCH(Validation!E2197,Lists!G:G,0))</f>
        <v>Error</v>
      </c>
      <c r="G2197" t="str">
        <f>INDEX(Lists!H:H,MATCH(Validation!E2197,Lists!G:G,0))</f>
        <v>Amount must be rounded to the nearest dollar.</v>
      </c>
      <c r="H2197" s="25" t="str">
        <f t="shared" ca="1" si="231"/>
        <v/>
      </c>
      <c r="I2197" s="25" t="str">
        <f t="shared" ca="1" si="232"/>
        <v/>
      </c>
      <c r="J2197" s="26" t="str">
        <f t="shared" ca="1" si="233"/>
        <v/>
      </c>
    </row>
    <row r="2198" spans="1:10" x14ac:dyDescent="0.25">
      <c r="A2198" t="s">
        <v>305</v>
      </c>
      <c r="B2198" t="str">
        <f>ADDRESS(ROW('Bond 1'!$B$37),COLUMN('Bond 1'!$B$37),4)</f>
        <v>B37</v>
      </c>
      <c r="C2198" t="str">
        <f>ADDRESS(ROW('Bond 1'!$D$37),COLUMN('Bond 1'!$D$37),4)</f>
        <v>D37</v>
      </c>
      <c r="D2198" t="b" cm="1">
        <f t="array" aca="1" ref="D2198" ca="1">IF(INDIRECT("'"&amp;A2198&amp;"'!"&amp;B2198)="",FALSE,IF(TRUNC(INDIRECT("'"&amp;A2198&amp;"'!"&amp;B2198))=INDIRECT("'"&amp;A2198&amp;"'!"&amp;B2198),FALSE,TRUE))</f>
        <v>0</v>
      </c>
      <c r="E2198" t="s">
        <v>436</v>
      </c>
      <c r="F2198" t="str">
        <f>INDEX(Lists!I:I,MATCH(Validation!E2198,Lists!G:G,0))</f>
        <v>Error</v>
      </c>
      <c r="G2198" t="str">
        <f>INDEX(Lists!H:H,MATCH(Validation!E2198,Lists!G:G,0))</f>
        <v>Amount must be rounded to the nearest dollar.</v>
      </c>
      <c r="H2198" s="25" t="str">
        <f t="shared" ref="H2198:H2208" ca="1" si="243">IFERROR(IF(OR(NOT(D2198),F2198&lt;&gt;"Error"),"",A2198&amp;CELL("address",INDIRECT(B2198))),"")</f>
        <v/>
      </c>
      <c r="I2198" s="25" t="str">
        <f t="shared" ref="I2198:I2208" ca="1" si="244">IFERROR(IF(NOT(D2198),"",A2198&amp;CELL("address",INDIRECT(C2198))),"")</f>
        <v/>
      </c>
      <c r="J2198" s="26" t="str">
        <f t="shared" ref="J2198:J2208" ca="1" si="245">IFERROR(IF(NOT(D2198),"",A2198),"")</f>
        <v/>
      </c>
    </row>
    <row r="2199" spans="1:10" x14ac:dyDescent="0.25">
      <c r="A2199" t="s">
        <v>306</v>
      </c>
      <c r="B2199" t="str">
        <f>ADDRESS(ROW('Bond 1'!$B$37),COLUMN('Bond 1'!$B$37),4)</f>
        <v>B37</v>
      </c>
      <c r="C2199" t="str">
        <f>ADDRESS(ROW('Bond 1'!$D$37),COLUMN('Bond 1'!$D$37),4)</f>
        <v>D37</v>
      </c>
      <c r="D2199" t="b" cm="1">
        <f t="array" aca="1" ref="D2199" ca="1">IF(INDIRECT("'"&amp;A2199&amp;"'!"&amp;B2199)="",FALSE,IF(TRUNC(INDIRECT("'"&amp;A2199&amp;"'!"&amp;B2199))=INDIRECT("'"&amp;A2199&amp;"'!"&amp;B2199),FALSE,TRUE))</f>
        <v>0</v>
      </c>
      <c r="E2199" t="s">
        <v>436</v>
      </c>
      <c r="F2199" t="str">
        <f>INDEX(Lists!I:I,MATCH(Validation!E2199,Lists!G:G,0))</f>
        <v>Error</v>
      </c>
      <c r="G2199" t="str">
        <f>INDEX(Lists!H:H,MATCH(Validation!E2199,Lists!G:G,0))</f>
        <v>Amount must be rounded to the nearest dollar.</v>
      </c>
      <c r="H2199" s="25" t="str">
        <f t="shared" ca="1" si="243"/>
        <v/>
      </c>
      <c r="I2199" s="25" t="str">
        <f t="shared" ca="1" si="244"/>
        <v/>
      </c>
      <c r="J2199" s="26" t="str">
        <f t="shared" ca="1" si="245"/>
        <v/>
      </c>
    </row>
    <row r="2200" spans="1:10" x14ac:dyDescent="0.25">
      <c r="A2200" t="s">
        <v>307</v>
      </c>
      <c r="B2200" t="str">
        <f>ADDRESS(ROW('Bond 1'!$B$37),COLUMN('Bond 1'!$B$37),4)</f>
        <v>B37</v>
      </c>
      <c r="C2200" t="str">
        <f>ADDRESS(ROW('Bond 1'!$D$37),COLUMN('Bond 1'!$D$37),4)</f>
        <v>D37</v>
      </c>
      <c r="D2200" t="b" cm="1">
        <f t="array" aca="1" ref="D2200" ca="1">IF(INDIRECT("'"&amp;A2200&amp;"'!"&amp;B2200)="",FALSE,IF(TRUNC(INDIRECT("'"&amp;A2200&amp;"'!"&amp;B2200))=INDIRECT("'"&amp;A2200&amp;"'!"&amp;B2200),FALSE,TRUE))</f>
        <v>0</v>
      </c>
      <c r="E2200" t="s">
        <v>436</v>
      </c>
      <c r="F2200" t="str">
        <f>INDEX(Lists!I:I,MATCH(Validation!E2200,Lists!G:G,0))</f>
        <v>Error</v>
      </c>
      <c r="G2200" t="str">
        <f>INDEX(Lists!H:H,MATCH(Validation!E2200,Lists!G:G,0))</f>
        <v>Amount must be rounded to the nearest dollar.</v>
      </c>
      <c r="H2200" s="25" t="str">
        <f t="shared" ca="1" si="243"/>
        <v/>
      </c>
      <c r="I2200" s="25" t="str">
        <f t="shared" ca="1" si="244"/>
        <v/>
      </c>
      <c r="J2200" s="26" t="str">
        <f t="shared" ca="1" si="245"/>
        <v/>
      </c>
    </row>
    <row r="2201" spans="1:10" x14ac:dyDescent="0.25">
      <c r="A2201" t="s">
        <v>308</v>
      </c>
      <c r="B2201" t="str">
        <f>ADDRESS(ROW('Bond 1'!$B$37),COLUMN('Bond 1'!$B$37),4)</f>
        <v>B37</v>
      </c>
      <c r="C2201" t="str">
        <f>ADDRESS(ROW('Bond 1'!$D$37),COLUMN('Bond 1'!$D$37),4)</f>
        <v>D37</v>
      </c>
      <c r="D2201" t="b" cm="1">
        <f t="array" aca="1" ref="D2201" ca="1">IF(INDIRECT("'"&amp;A2201&amp;"'!"&amp;B2201)="",FALSE,IF(TRUNC(INDIRECT("'"&amp;A2201&amp;"'!"&amp;B2201))=INDIRECT("'"&amp;A2201&amp;"'!"&amp;B2201),FALSE,TRUE))</f>
        <v>0</v>
      </c>
      <c r="E2201" t="s">
        <v>436</v>
      </c>
      <c r="F2201" t="str">
        <f>INDEX(Lists!I:I,MATCH(Validation!E2201,Lists!G:G,0))</f>
        <v>Error</v>
      </c>
      <c r="G2201" t="str">
        <f>INDEX(Lists!H:H,MATCH(Validation!E2201,Lists!G:G,0))</f>
        <v>Amount must be rounded to the nearest dollar.</v>
      </c>
      <c r="H2201" s="25" t="str">
        <f t="shared" ca="1" si="243"/>
        <v/>
      </c>
      <c r="I2201" s="25" t="str">
        <f t="shared" ca="1" si="244"/>
        <v/>
      </c>
      <c r="J2201" s="26" t="str">
        <f t="shared" ca="1" si="245"/>
        <v/>
      </c>
    </row>
    <row r="2202" spans="1:10" x14ac:dyDescent="0.25">
      <c r="A2202" t="s">
        <v>309</v>
      </c>
      <c r="B2202" t="str">
        <f>ADDRESS(ROW('Bond 1'!$B$37),COLUMN('Bond 1'!$B$37),4)</f>
        <v>B37</v>
      </c>
      <c r="C2202" t="str">
        <f>ADDRESS(ROW('Bond 1'!$D$37),COLUMN('Bond 1'!$D$37),4)</f>
        <v>D37</v>
      </c>
      <c r="D2202" t="b" cm="1">
        <f t="array" aca="1" ref="D2202" ca="1">IF(INDIRECT("'"&amp;A2202&amp;"'!"&amp;B2202)="",FALSE,IF(TRUNC(INDIRECT("'"&amp;A2202&amp;"'!"&amp;B2202))=INDIRECT("'"&amp;A2202&amp;"'!"&amp;B2202),FALSE,TRUE))</f>
        <v>0</v>
      </c>
      <c r="E2202" t="s">
        <v>436</v>
      </c>
      <c r="F2202" t="str">
        <f>INDEX(Lists!I:I,MATCH(Validation!E2202,Lists!G:G,0))</f>
        <v>Error</v>
      </c>
      <c r="G2202" t="str">
        <f>INDEX(Lists!H:H,MATCH(Validation!E2202,Lists!G:G,0))</f>
        <v>Amount must be rounded to the nearest dollar.</v>
      </c>
      <c r="H2202" s="25" t="str">
        <f t="shared" ca="1" si="243"/>
        <v/>
      </c>
      <c r="I2202" s="25" t="str">
        <f t="shared" ca="1" si="244"/>
        <v/>
      </c>
      <c r="J2202" s="26" t="str">
        <f t="shared" ca="1" si="245"/>
        <v/>
      </c>
    </row>
    <row r="2203" spans="1:10" x14ac:dyDescent="0.25">
      <c r="A2203" t="s">
        <v>310</v>
      </c>
      <c r="B2203" t="str">
        <f>ADDRESS(ROW('Bond 1'!$B$37),COLUMN('Bond 1'!$B$37),4)</f>
        <v>B37</v>
      </c>
      <c r="C2203" t="str">
        <f>ADDRESS(ROW('Bond 1'!$D$37),COLUMN('Bond 1'!$D$37),4)</f>
        <v>D37</v>
      </c>
      <c r="D2203" t="b" cm="1">
        <f t="array" aca="1" ref="D2203" ca="1">IF(INDIRECT("'"&amp;A2203&amp;"'!"&amp;B2203)="",FALSE,IF(TRUNC(INDIRECT("'"&amp;A2203&amp;"'!"&amp;B2203))=INDIRECT("'"&amp;A2203&amp;"'!"&amp;B2203),FALSE,TRUE))</f>
        <v>0</v>
      </c>
      <c r="E2203" t="s">
        <v>436</v>
      </c>
      <c r="F2203" t="str">
        <f>INDEX(Lists!I:I,MATCH(Validation!E2203,Lists!G:G,0))</f>
        <v>Error</v>
      </c>
      <c r="G2203" t="str">
        <f>INDEX(Lists!H:H,MATCH(Validation!E2203,Lists!G:G,0))</f>
        <v>Amount must be rounded to the nearest dollar.</v>
      </c>
      <c r="H2203" s="25" t="str">
        <f t="shared" ca="1" si="243"/>
        <v/>
      </c>
      <c r="I2203" s="25" t="str">
        <f t="shared" ca="1" si="244"/>
        <v/>
      </c>
      <c r="J2203" s="26" t="str">
        <f t="shared" ca="1" si="245"/>
        <v/>
      </c>
    </row>
    <row r="2204" spans="1:10" x14ac:dyDescent="0.25">
      <c r="A2204" t="s">
        <v>311</v>
      </c>
      <c r="B2204" t="str">
        <f>ADDRESS(ROW('Bond 1'!$B$37),COLUMN('Bond 1'!$B$37),4)</f>
        <v>B37</v>
      </c>
      <c r="C2204" t="str">
        <f>ADDRESS(ROW('Bond 1'!$D$37),COLUMN('Bond 1'!$D$37),4)</f>
        <v>D37</v>
      </c>
      <c r="D2204" t="b" cm="1">
        <f t="array" aca="1" ref="D2204" ca="1">IF(INDIRECT("'"&amp;A2204&amp;"'!"&amp;B2204)="",FALSE,IF(TRUNC(INDIRECT("'"&amp;A2204&amp;"'!"&amp;B2204))=INDIRECT("'"&amp;A2204&amp;"'!"&amp;B2204),FALSE,TRUE))</f>
        <v>0</v>
      </c>
      <c r="E2204" t="s">
        <v>436</v>
      </c>
      <c r="F2204" t="str">
        <f>INDEX(Lists!I:I,MATCH(Validation!E2204,Lists!G:G,0))</f>
        <v>Error</v>
      </c>
      <c r="G2204" t="str">
        <f>INDEX(Lists!H:H,MATCH(Validation!E2204,Lists!G:G,0))</f>
        <v>Amount must be rounded to the nearest dollar.</v>
      </c>
      <c r="H2204" s="25" t="str">
        <f t="shared" ca="1" si="243"/>
        <v/>
      </c>
      <c r="I2204" s="25" t="str">
        <f t="shared" ca="1" si="244"/>
        <v/>
      </c>
      <c r="J2204" s="26" t="str">
        <f t="shared" ca="1" si="245"/>
        <v/>
      </c>
    </row>
    <row r="2205" spans="1:10" x14ac:dyDescent="0.25">
      <c r="A2205" t="s">
        <v>312</v>
      </c>
      <c r="B2205" t="str">
        <f>ADDRESS(ROW('Bond 1'!$B$37),COLUMN('Bond 1'!$B$37),4)</f>
        <v>B37</v>
      </c>
      <c r="C2205" t="str">
        <f>ADDRESS(ROW('Bond 1'!$D$37),COLUMN('Bond 1'!$D$37),4)</f>
        <v>D37</v>
      </c>
      <c r="D2205" t="b" cm="1">
        <f t="array" aca="1" ref="D2205" ca="1">IF(INDIRECT("'"&amp;A2205&amp;"'!"&amp;B2205)="",FALSE,IF(TRUNC(INDIRECT("'"&amp;A2205&amp;"'!"&amp;B2205))=INDIRECT("'"&amp;A2205&amp;"'!"&amp;B2205),FALSE,TRUE))</f>
        <v>0</v>
      </c>
      <c r="E2205" t="s">
        <v>436</v>
      </c>
      <c r="F2205" t="str">
        <f>INDEX(Lists!I:I,MATCH(Validation!E2205,Lists!G:G,0))</f>
        <v>Error</v>
      </c>
      <c r="G2205" t="str">
        <f>INDEX(Lists!H:H,MATCH(Validation!E2205,Lists!G:G,0))</f>
        <v>Amount must be rounded to the nearest dollar.</v>
      </c>
      <c r="H2205" s="25" t="str">
        <f t="shared" ca="1" si="243"/>
        <v/>
      </c>
      <c r="I2205" s="25" t="str">
        <f t="shared" ca="1" si="244"/>
        <v/>
      </c>
      <c r="J2205" s="26" t="str">
        <f t="shared" ca="1" si="245"/>
        <v/>
      </c>
    </row>
    <row r="2206" spans="1:10" x14ac:dyDescent="0.25">
      <c r="A2206" t="s">
        <v>313</v>
      </c>
      <c r="B2206" t="str">
        <f>ADDRESS(ROW('Bond 1'!$B$37),COLUMN('Bond 1'!$B$37),4)</f>
        <v>B37</v>
      </c>
      <c r="C2206" t="str">
        <f>ADDRESS(ROW('Bond 1'!$D$37),COLUMN('Bond 1'!$D$37),4)</f>
        <v>D37</v>
      </c>
      <c r="D2206" t="b" cm="1">
        <f t="array" aca="1" ref="D2206" ca="1">IF(INDIRECT("'"&amp;A2206&amp;"'!"&amp;B2206)="",FALSE,IF(TRUNC(INDIRECT("'"&amp;A2206&amp;"'!"&amp;B2206))=INDIRECT("'"&amp;A2206&amp;"'!"&amp;B2206),FALSE,TRUE))</f>
        <v>0</v>
      </c>
      <c r="E2206" t="s">
        <v>436</v>
      </c>
      <c r="F2206" t="str">
        <f>INDEX(Lists!I:I,MATCH(Validation!E2206,Lists!G:G,0))</f>
        <v>Error</v>
      </c>
      <c r="G2206" t="str">
        <f>INDEX(Lists!H:H,MATCH(Validation!E2206,Lists!G:G,0))</f>
        <v>Amount must be rounded to the nearest dollar.</v>
      </c>
      <c r="H2206" s="25" t="str">
        <f t="shared" ca="1" si="243"/>
        <v/>
      </c>
      <c r="I2206" s="25" t="str">
        <f t="shared" ca="1" si="244"/>
        <v/>
      </c>
      <c r="J2206" s="26" t="str">
        <f t="shared" ca="1" si="245"/>
        <v/>
      </c>
    </row>
    <row r="2207" spans="1:10" x14ac:dyDescent="0.25">
      <c r="A2207" t="s">
        <v>314</v>
      </c>
      <c r="B2207" t="str">
        <f>ADDRESS(ROW('Bond 1'!$B$37),COLUMN('Bond 1'!$B$37),4)</f>
        <v>B37</v>
      </c>
      <c r="C2207" t="str">
        <f>ADDRESS(ROW('Bond 1'!$D$37),COLUMN('Bond 1'!$D$37),4)</f>
        <v>D37</v>
      </c>
      <c r="D2207" t="b" cm="1">
        <f t="array" aca="1" ref="D2207" ca="1">IF(INDIRECT("'"&amp;A2207&amp;"'!"&amp;B2207)="",FALSE,IF(TRUNC(INDIRECT("'"&amp;A2207&amp;"'!"&amp;B2207))=INDIRECT("'"&amp;A2207&amp;"'!"&amp;B2207),FALSE,TRUE))</f>
        <v>0</v>
      </c>
      <c r="E2207" t="s">
        <v>436</v>
      </c>
      <c r="F2207" t="str">
        <f>INDEX(Lists!I:I,MATCH(Validation!E2207,Lists!G:G,0))</f>
        <v>Error</v>
      </c>
      <c r="G2207" t="str">
        <f>INDEX(Lists!H:H,MATCH(Validation!E2207,Lists!G:G,0))</f>
        <v>Amount must be rounded to the nearest dollar.</v>
      </c>
      <c r="H2207" s="25" t="str">
        <f t="shared" ca="1" si="243"/>
        <v/>
      </c>
      <c r="I2207" s="25" t="str">
        <f t="shared" ca="1" si="244"/>
        <v/>
      </c>
      <c r="J2207" s="26" t="str">
        <f t="shared" ca="1" si="245"/>
        <v/>
      </c>
    </row>
    <row r="2208" spans="1:10" x14ac:dyDescent="0.25">
      <c r="A2208" t="s">
        <v>315</v>
      </c>
      <c r="B2208" t="str">
        <f>ADDRESS(ROW('Bond 1'!$B$37),COLUMN('Bond 1'!$B$37),4)</f>
        <v>B37</v>
      </c>
      <c r="C2208" t="str">
        <f>ADDRESS(ROW('Bond 1'!$D$37),COLUMN('Bond 1'!$D$37),4)</f>
        <v>D37</v>
      </c>
      <c r="D2208" t="b" cm="1">
        <f t="array" aca="1" ref="D2208" ca="1">IF(INDIRECT("'"&amp;A2208&amp;"'!"&amp;B2208)="",FALSE,IF(TRUNC(INDIRECT("'"&amp;A2208&amp;"'!"&amp;B2208))=INDIRECT("'"&amp;A2208&amp;"'!"&amp;B2208),FALSE,TRUE))</f>
        <v>0</v>
      </c>
      <c r="E2208" t="s">
        <v>436</v>
      </c>
      <c r="F2208" t="str">
        <f>INDEX(Lists!I:I,MATCH(Validation!E2208,Lists!G:G,0))</f>
        <v>Error</v>
      </c>
      <c r="G2208" t="str">
        <f>INDEX(Lists!H:H,MATCH(Validation!E2208,Lists!G:G,0))</f>
        <v>Amount must be rounded to the nearest dollar.</v>
      </c>
      <c r="H2208" s="25" t="str">
        <f t="shared" ca="1" si="243"/>
        <v/>
      </c>
      <c r="I2208" s="25" t="str">
        <f t="shared" ca="1" si="244"/>
        <v/>
      </c>
      <c r="J2208" s="26" t="str">
        <f t="shared" ca="1" si="245"/>
        <v/>
      </c>
    </row>
    <row r="2209" spans="1:10" x14ac:dyDescent="0.25">
      <c r="A2209" t="s">
        <v>198</v>
      </c>
      <c r="B2209" t="str">
        <f>ADDRESS(ROW('Bond 1'!$B$37),COLUMN('Bond 1'!$B$37),4)</f>
        <v>B37</v>
      </c>
      <c r="C2209" t="str">
        <f>ADDRESS(ROW('Bond 1'!$D$37),COLUMN('Bond 1'!$D$37),4)</f>
        <v>D37</v>
      </c>
      <c r="D2209" t="b" cm="1">
        <f t="array" aca="1" ref="D2209" ca="1">IF(AND(NOT(ISBLANK('Bond Input'!C$47)),INDIRECT("'"&amp;A2209&amp;"'!"&amp;B2209)&lt;&gt;'Bond Input'!C$47),TRUE,FALSE)</f>
        <v>0</v>
      </c>
      <c r="E2209" t="s">
        <v>634</v>
      </c>
      <c r="F2209" t="str">
        <f>INDEX(Lists!I:I,MATCH(Validation!E2209,Lists!G:G,0))</f>
        <v>Alert</v>
      </c>
      <c r="G2209" t="str">
        <f>INDEX(Lists!H:H,MATCH(Validation!E2209,Lists!G:G,0))</f>
        <v>You have changed previously reported data. Explain in the comments box.</v>
      </c>
      <c r="H2209" s="25" t="str">
        <f t="shared" ref="H2209:H2222" ca="1" si="246">IFERROR(IF(OR(NOT(D2209),F2209&lt;&gt;"Error"),"",A2209&amp;CELL("address",INDIRECT(B2209))),"")</f>
        <v/>
      </c>
      <c r="I2209" s="25" t="str">
        <f t="shared" ref="I2209:I2222" ca="1" si="247">IFERROR(IF(NOT(D2209),"",A2209&amp;CELL("address",INDIRECT(C2209))),"")</f>
        <v/>
      </c>
      <c r="J2209" s="26" t="str">
        <f t="shared" ref="J2209:J2222" ca="1" si="248">IFERROR(IF(NOT(D2209),"",A2209),"")</f>
        <v/>
      </c>
    </row>
    <row r="2210" spans="1:10" x14ac:dyDescent="0.25">
      <c r="A2210" t="s">
        <v>302</v>
      </c>
      <c r="B2210" t="str">
        <f>ADDRESS(ROW('Bond 1'!$B$37),COLUMN('Bond 1'!$B$37),4)</f>
        <v>B37</v>
      </c>
      <c r="C2210" t="str">
        <f>ADDRESS(ROW('Bond 1'!$D$37),COLUMN('Bond 1'!$D$37),4)</f>
        <v>D37</v>
      </c>
      <c r="D2210" t="b" cm="1">
        <f t="array" aca="1" ref="D2210" ca="1">IF(AND(NOT(ISBLANK('Bond Input'!D$47)),INDIRECT("'"&amp;A2210&amp;"'!"&amp;B2210)&lt;&gt;'Bond Input'!D$47),TRUE,FALSE)</f>
        <v>0</v>
      </c>
      <c r="E2210" t="s">
        <v>634</v>
      </c>
      <c r="F2210" t="str">
        <f>INDEX(Lists!I:I,MATCH(Validation!E2210,Lists!G:G,0))</f>
        <v>Alert</v>
      </c>
      <c r="G2210" t="str">
        <f>INDEX(Lists!H:H,MATCH(Validation!E2210,Lists!G:G,0))</f>
        <v>You have changed previously reported data. Explain in the comments box.</v>
      </c>
      <c r="H2210" s="25" t="str">
        <f t="shared" ca="1" si="246"/>
        <v/>
      </c>
      <c r="I2210" s="25" t="str">
        <f t="shared" ca="1" si="247"/>
        <v/>
      </c>
      <c r="J2210" s="26" t="str">
        <f t="shared" ca="1" si="248"/>
        <v/>
      </c>
    </row>
    <row r="2211" spans="1:10" x14ac:dyDescent="0.25">
      <c r="A2211" t="s">
        <v>303</v>
      </c>
      <c r="B2211" t="str">
        <f>ADDRESS(ROW('Bond 1'!$B$37),COLUMN('Bond 1'!$B$37),4)</f>
        <v>B37</v>
      </c>
      <c r="C2211" t="str">
        <f>ADDRESS(ROW('Bond 1'!$D$37),COLUMN('Bond 1'!$D$37),4)</f>
        <v>D37</v>
      </c>
      <c r="D2211" t="b" cm="1">
        <f t="array" aca="1" ref="D2211" ca="1">IF(AND(NOT(ISBLANK('Bond Input'!E$47)),INDIRECT("'"&amp;A2211&amp;"'!"&amp;B2211)&lt;&gt;'Bond Input'!E$47),TRUE,FALSE)</f>
        <v>0</v>
      </c>
      <c r="E2211" t="s">
        <v>634</v>
      </c>
      <c r="F2211" t="str">
        <f>INDEX(Lists!I:I,MATCH(Validation!E2211,Lists!G:G,0))</f>
        <v>Alert</v>
      </c>
      <c r="G2211" t="str">
        <f>INDEX(Lists!H:H,MATCH(Validation!E2211,Lists!G:G,0))</f>
        <v>You have changed previously reported data. Explain in the comments box.</v>
      </c>
      <c r="H2211" s="25" t="str">
        <f t="shared" ca="1" si="246"/>
        <v/>
      </c>
      <c r="I2211" s="25" t="str">
        <f t="shared" ca="1" si="247"/>
        <v/>
      </c>
      <c r="J2211" s="26" t="str">
        <f t="shared" ca="1" si="248"/>
        <v/>
      </c>
    </row>
    <row r="2212" spans="1:10" x14ac:dyDescent="0.25">
      <c r="A2212" t="s">
        <v>304</v>
      </c>
      <c r="B2212" t="str">
        <f>ADDRESS(ROW('Bond 1'!$B$37),COLUMN('Bond 1'!$B$37),4)</f>
        <v>B37</v>
      </c>
      <c r="C2212" t="str">
        <f>ADDRESS(ROW('Bond 1'!$D$37),COLUMN('Bond 1'!$D$37),4)</f>
        <v>D37</v>
      </c>
      <c r="D2212" t="b" cm="1">
        <f t="array" aca="1" ref="D2212" ca="1">IF(AND(NOT(ISBLANK('Bond Input'!F$47)),INDIRECT("'"&amp;A2212&amp;"'!"&amp;B2212)&lt;&gt;'Bond Input'!F$47),TRUE,FALSE)</f>
        <v>0</v>
      </c>
      <c r="E2212" t="s">
        <v>634</v>
      </c>
      <c r="F2212" t="str">
        <f>INDEX(Lists!I:I,MATCH(Validation!E2212,Lists!G:G,0))</f>
        <v>Alert</v>
      </c>
      <c r="G2212" t="str">
        <f>INDEX(Lists!H:H,MATCH(Validation!E2212,Lists!G:G,0))</f>
        <v>You have changed previously reported data. Explain in the comments box.</v>
      </c>
      <c r="H2212" s="25" t="str">
        <f t="shared" ca="1" si="246"/>
        <v/>
      </c>
      <c r="I2212" s="25" t="str">
        <f t="shared" ca="1" si="247"/>
        <v/>
      </c>
      <c r="J2212" s="26" t="str">
        <f t="shared" ca="1" si="248"/>
        <v/>
      </c>
    </row>
    <row r="2213" spans="1:10" x14ac:dyDescent="0.25">
      <c r="A2213" t="s">
        <v>305</v>
      </c>
      <c r="B2213" t="str">
        <f>ADDRESS(ROW('Bond 1'!$B$37),COLUMN('Bond 1'!$B$37),4)</f>
        <v>B37</v>
      </c>
      <c r="C2213" t="str">
        <f>ADDRESS(ROW('Bond 1'!$D$37),COLUMN('Bond 1'!$D$37),4)</f>
        <v>D37</v>
      </c>
      <c r="D2213" t="b" cm="1">
        <f t="array" aca="1" ref="D2213" ca="1">IF(AND(NOT(ISBLANK('Bond Input'!G$47)),INDIRECT("'"&amp;A2213&amp;"'!"&amp;B2213)&lt;&gt;'Bond Input'!G$47),TRUE,FALSE)</f>
        <v>0</v>
      </c>
      <c r="E2213" t="s">
        <v>634</v>
      </c>
      <c r="F2213" t="str">
        <f>INDEX(Lists!I:I,MATCH(Validation!E2213,Lists!G:G,0))</f>
        <v>Alert</v>
      </c>
      <c r="G2213" t="str">
        <f>INDEX(Lists!H:H,MATCH(Validation!E2213,Lists!G:G,0))</f>
        <v>You have changed previously reported data. Explain in the comments box.</v>
      </c>
      <c r="H2213" s="25" t="str">
        <f t="shared" ca="1" si="246"/>
        <v/>
      </c>
      <c r="I2213" s="25" t="str">
        <f t="shared" ca="1" si="247"/>
        <v/>
      </c>
      <c r="J2213" s="26" t="str">
        <f t="shared" ca="1" si="248"/>
        <v/>
      </c>
    </row>
    <row r="2214" spans="1:10" x14ac:dyDescent="0.25">
      <c r="A2214" t="s">
        <v>306</v>
      </c>
      <c r="B2214" t="str">
        <f>ADDRESS(ROW('Bond 1'!$B$37),COLUMN('Bond 1'!$B$37),4)</f>
        <v>B37</v>
      </c>
      <c r="C2214" t="str">
        <f>ADDRESS(ROW('Bond 1'!$D$37),COLUMN('Bond 1'!$D$37),4)</f>
        <v>D37</v>
      </c>
      <c r="D2214" t="b" cm="1">
        <f t="array" aca="1" ref="D2214" ca="1">IF(AND(NOT(ISBLANK('Bond Input'!H$47)),INDIRECT("'"&amp;A2214&amp;"'!"&amp;B2214)&lt;&gt;'Bond Input'!H$47),TRUE,FALSE)</f>
        <v>0</v>
      </c>
      <c r="E2214" t="s">
        <v>634</v>
      </c>
      <c r="F2214" t="str">
        <f>INDEX(Lists!I:I,MATCH(Validation!E2214,Lists!G:G,0))</f>
        <v>Alert</v>
      </c>
      <c r="G2214" t="str">
        <f>INDEX(Lists!H:H,MATCH(Validation!E2214,Lists!G:G,0))</f>
        <v>You have changed previously reported data. Explain in the comments box.</v>
      </c>
      <c r="H2214" s="25" t="str">
        <f t="shared" ca="1" si="246"/>
        <v/>
      </c>
      <c r="I2214" s="25" t="str">
        <f t="shared" ca="1" si="247"/>
        <v/>
      </c>
      <c r="J2214" s="26" t="str">
        <f t="shared" ca="1" si="248"/>
        <v/>
      </c>
    </row>
    <row r="2215" spans="1:10" x14ac:dyDescent="0.25">
      <c r="A2215" t="s">
        <v>307</v>
      </c>
      <c r="B2215" t="str">
        <f>ADDRESS(ROW('Bond 1'!$B$37),COLUMN('Bond 1'!$B$37),4)</f>
        <v>B37</v>
      </c>
      <c r="C2215" t="str">
        <f>ADDRESS(ROW('Bond 1'!$D$37),COLUMN('Bond 1'!$D$37),4)</f>
        <v>D37</v>
      </c>
      <c r="D2215" t="b" cm="1">
        <f t="array" aca="1" ref="D2215" ca="1">IF(AND(NOT(ISBLANK('Bond Input'!I$47)),INDIRECT("'"&amp;A2215&amp;"'!"&amp;B2215)&lt;&gt;'Bond Input'!I$47),TRUE,FALSE)</f>
        <v>0</v>
      </c>
      <c r="E2215" t="s">
        <v>634</v>
      </c>
      <c r="F2215" t="str">
        <f>INDEX(Lists!I:I,MATCH(Validation!E2215,Lists!G:G,0))</f>
        <v>Alert</v>
      </c>
      <c r="G2215" t="str">
        <f>INDEX(Lists!H:H,MATCH(Validation!E2215,Lists!G:G,0))</f>
        <v>You have changed previously reported data. Explain in the comments box.</v>
      </c>
      <c r="H2215" s="25" t="str">
        <f t="shared" ca="1" si="246"/>
        <v/>
      </c>
      <c r="I2215" s="25" t="str">
        <f t="shared" ca="1" si="247"/>
        <v/>
      </c>
      <c r="J2215" s="26" t="str">
        <f t="shared" ca="1" si="248"/>
        <v/>
      </c>
    </row>
    <row r="2216" spans="1:10" x14ac:dyDescent="0.25">
      <c r="A2216" t="s">
        <v>308</v>
      </c>
      <c r="B2216" t="str">
        <f>ADDRESS(ROW('Bond 1'!$B$37),COLUMN('Bond 1'!$B$37),4)</f>
        <v>B37</v>
      </c>
      <c r="C2216" t="str">
        <f>ADDRESS(ROW('Bond 1'!$D$37),COLUMN('Bond 1'!$D$37),4)</f>
        <v>D37</v>
      </c>
      <c r="D2216" t="b" cm="1">
        <f t="array" aca="1" ref="D2216" ca="1">IF(AND(NOT(ISBLANK('Bond Input'!J$47)),INDIRECT("'"&amp;A2216&amp;"'!"&amp;B2216)&lt;&gt;'Bond Input'!J$47),TRUE,FALSE)</f>
        <v>0</v>
      </c>
      <c r="E2216" t="s">
        <v>634</v>
      </c>
      <c r="F2216" t="str">
        <f>INDEX(Lists!I:I,MATCH(Validation!E2216,Lists!G:G,0))</f>
        <v>Alert</v>
      </c>
      <c r="G2216" t="str">
        <f>INDEX(Lists!H:H,MATCH(Validation!E2216,Lists!G:G,0))</f>
        <v>You have changed previously reported data. Explain in the comments box.</v>
      </c>
      <c r="H2216" s="25" t="str">
        <f t="shared" ca="1" si="246"/>
        <v/>
      </c>
      <c r="I2216" s="25" t="str">
        <f t="shared" ca="1" si="247"/>
        <v/>
      </c>
      <c r="J2216" s="26" t="str">
        <f t="shared" ca="1" si="248"/>
        <v/>
      </c>
    </row>
    <row r="2217" spans="1:10" x14ac:dyDescent="0.25">
      <c r="A2217" t="s">
        <v>309</v>
      </c>
      <c r="B2217" t="str">
        <f>ADDRESS(ROW('Bond 1'!$B$37),COLUMN('Bond 1'!$B$37),4)</f>
        <v>B37</v>
      </c>
      <c r="C2217" t="str">
        <f>ADDRESS(ROW('Bond 1'!$D$37),COLUMN('Bond 1'!$D$37),4)</f>
        <v>D37</v>
      </c>
      <c r="D2217" t="b" cm="1">
        <f t="array" aca="1" ref="D2217" ca="1">IF(AND(NOT(ISBLANK('Bond Input'!K$47)),INDIRECT("'"&amp;A2217&amp;"'!"&amp;B2217)&lt;&gt;'Bond Input'!K$47),TRUE,FALSE)</f>
        <v>0</v>
      </c>
      <c r="E2217" t="s">
        <v>634</v>
      </c>
      <c r="F2217" t="str">
        <f>INDEX(Lists!I:I,MATCH(Validation!E2217,Lists!G:G,0))</f>
        <v>Alert</v>
      </c>
      <c r="G2217" t="str">
        <f>INDEX(Lists!H:H,MATCH(Validation!E2217,Lists!G:G,0))</f>
        <v>You have changed previously reported data. Explain in the comments box.</v>
      </c>
      <c r="H2217" s="25" t="str">
        <f t="shared" ca="1" si="246"/>
        <v/>
      </c>
      <c r="I2217" s="25" t="str">
        <f t="shared" ca="1" si="247"/>
        <v/>
      </c>
      <c r="J2217" s="26" t="str">
        <f t="shared" ca="1" si="248"/>
        <v/>
      </c>
    </row>
    <row r="2218" spans="1:10" x14ac:dyDescent="0.25">
      <c r="A2218" t="s">
        <v>310</v>
      </c>
      <c r="B2218" t="str">
        <f>ADDRESS(ROW('Bond 1'!$B$37),COLUMN('Bond 1'!$B$37),4)</f>
        <v>B37</v>
      </c>
      <c r="C2218" t="str">
        <f>ADDRESS(ROW('Bond 1'!$D$37),COLUMN('Bond 1'!$D$37),4)</f>
        <v>D37</v>
      </c>
      <c r="D2218" t="b" cm="1">
        <f t="array" aca="1" ref="D2218" ca="1">IF(AND(NOT(ISBLANK('Bond Input'!L$47)),INDIRECT("'"&amp;A2218&amp;"'!"&amp;B2218)&lt;&gt;'Bond Input'!L$47),TRUE,FALSE)</f>
        <v>0</v>
      </c>
      <c r="E2218" t="s">
        <v>634</v>
      </c>
      <c r="F2218" t="str">
        <f>INDEX(Lists!I:I,MATCH(Validation!E2218,Lists!G:G,0))</f>
        <v>Alert</v>
      </c>
      <c r="G2218" t="str">
        <f>INDEX(Lists!H:H,MATCH(Validation!E2218,Lists!G:G,0))</f>
        <v>You have changed previously reported data. Explain in the comments box.</v>
      </c>
      <c r="H2218" s="25" t="str">
        <f t="shared" ca="1" si="246"/>
        <v/>
      </c>
      <c r="I2218" s="25" t="str">
        <f t="shared" ca="1" si="247"/>
        <v/>
      </c>
      <c r="J2218" s="26" t="str">
        <f t="shared" ca="1" si="248"/>
        <v/>
      </c>
    </row>
    <row r="2219" spans="1:10" x14ac:dyDescent="0.25">
      <c r="A2219" t="s">
        <v>311</v>
      </c>
      <c r="B2219" t="str">
        <f>ADDRESS(ROW('Bond 1'!$B$37),COLUMN('Bond 1'!$B$37),4)</f>
        <v>B37</v>
      </c>
      <c r="C2219" t="str">
        <f>ADDRESS(ROW('Bond 1'!$D$37),COLUMN('Bond 1'!$D$37),4)</f>
        <v>D37</v>
      </c>
      <c r="D2219" t="b" cm="1">
        <f t="array" aca="1" ref="D2219" ca="1">IF(AND(NOT(ISBLANK('Bond Input'!M$47)),INDIRECT("'"&amp;A2219&amp;"'!"&amp;B2219)&lt;&gt;'Bond Input'!M$47),TRUE,FALSE)</f>
        <v>0</v>
      </c>
      <c r="E2219" t="s">
        <v>634</v>
      </c>
      <c r="F2219" t="str">
        <f>INDEX(Lists!I:I,MATCH(Validation!E2219,Lists!G:G,0))</f>
        <v>Alert</v>
      </c>
      <c r="G2219" t="str">
        <f>INDEX(Lists!H:H,MATCH(Validation!E2219,Lists!G:G,0))</f>
        <v>You have changed previously reported data. Explain in the comments box.</v>
      </c>
      <c r="H2219" s="25" t="str">
        <f t="shared" ca="1" si="246"/>
        <v/>
      </c>
      <c r="I2219" s="25" t="str">
        <f t="shared" ca="1" si="247"/>
        <v/>
      </c>
      <c r="J2219" s="26" t="str">
        <f t="shared" ca="1" si="248"/>
        <v/>
      </c>
    </row>
    <row r="2220" spans="1:10" x14ac:dyDescent="0.25">
      <c r="A2220" t="s">
        <v>312</v>
      </c>
      <c r="B2220" t="str">
        <f>ADDRESS(ROW('Bond 1'!$B$37),COLUMN('Bond 1'!$B$37),4)</f>
        <v>B37</v>
      </c>
      <c r="C2220" t="str">
        <f>ADDRESS(ROW('Bond 1'!$D$37),COLUMN('Bond 1'!$D$37),4)</f>
        <v>D37</v>
      </c>
      <c r="D2220" t="b" cm="1">
        <f t="array" aca="1" ref="D2220" ca="1">IF(AND(NOT(ISBLANK('Bond Input'!N$47)),INDIRECT("'"&amp;A2220&amp;"'!"&amp;B2220)&lt;&gt;'Bond Input'!N$47),TRUE,FALSE)</f>
        <v>0</v>
      </c>
      <c r="E2220" t="s">
        <v>634</v>
      </c>
      <c r="F2220" t="str">
        <f>INDEX(Lists!I:I,MATCH(Validation!E2220,Lists!G:G,0))</f>
        <v>Alert</v>
      </c>
      <c r="G2220" t="str">
        <f>INDEX(Lists!H:H,MATCH(Validation!E2220,Lists!G:G,0))</f>
        <v>You have changed previously reported data. Explain in the comments box.</v>
      </c>
      <c r="H2220" s="25" t="str">
        <f t="shared" ca="1" si="246"/>
        <v/>
      </c>
      <c r="I2220" s="25" t="str">
        <f t="shared" ca="1" si="247"/>
        <v/>
      </c>
      <c r="J2220" s="26" t="str">
        <f t="shared" ca="1" si="248"/>
        <v/>
      </c>
    </row>
    <row r="2221" spans="1:10" x14ac:dyDescent="0.25">
      <c r="A2221" t="s">
        <v>313</v>
      </c>
      <c r="B2221" t="str">
        <f>ADDRESS(ROW('Bond 1'!$B$37),COLUMN('Bond 1'!$B$37),4)</f>
        <v>B37</v>
      </c>
      <c r="C2221" t="str">
        <f>ADDRESS(ROW('Bond 1'!$D$37),COLUMN('Bond 1'!$D$37),4)</f>
        <v>D37</v>
      </c>
      <c r="D2221" t="b" cm="1">
        <f t="array" aca="1" ref="D2221" ca="1">IF(AND(NOT(ISBLANK('Bond Input'!O$47)),INDIRECT("'"&amp;A2221&amp;"'!"&amp;B2221)&lt;&gt;'Bond Input'!O$47),TRUE,FALSE)</f>
        <v>0</v>
      </c>
      <c r="E2221" t="s">
        <v>634</v>
      </c>
      <c r="F2221" t="str">
        <f>INDEX(Lists!I:I,MATCH(Validation!E2221,Lists!G:G,0))</f>
        <v>Alert</v>
      </c>
      <c r="G2221" t="str">
        <f>INDEX(Lists!H:H,MATCH(Validation!E2221,Lists!G:G,0))</f>
        <v>You have changed previously reported data. Explain in the comments box.</v>
      </c>
      <c r="H2221" s="25" t="str">
        <f t="shared" ca="1" si="246"/>
        <v/>
      </c>
      <c r="I2221" s="25" t="str">
        <f t="shared" ca="1" si="247"/>
        <v/>
      </c>
      <c r="J2221" s="26" t="str">
        <f t="shared" ca="1" si="248"/>
        <v/>
      </c>
    </row>
    <row r="2222" spans="1:10" x14ac:dyDescent="0.25">
      <c r="A2222" t="s">
        <v>314</v>
      </c>
      <c r="B2222" t="str">
        <f>ADDRESS(ROW('Bond 1'!$B$37),COLUMN('Bond 1'!$B$37),4)</f>
        <v>B37</v>
      </c>
      <c r="C2222" t="str">
        <f>ADDRESS(ROW('Bond 1'!$D$37),COLUMN('Bond 1'!$D$37),4)</f>
        <v>D37</v>
      </c>
      <c r="D2222" t="b" cm="1">
        <f t="array" aca="1" ref="D2222" ca="1">IF(AND(NOT(ISBLANK('Bond Input'!P$47)),INDIRECT("'"&amp;A2222&amp;"'!"&amp;B2222)&lt;&gt;'Bond Input'!P$47),TRUE,FALSE)</f>
        <v>0</v>
      </c>
      <c r="E2222" t="s">
        <v>634</v>
      </c>
      <c r="F2222" t="str">
        <f>INDEX(Lists!I:I,MATCH(Validation!E2222,Lists!G:G,0))</f>
        <v>Alert</v>
      </c>
      <c r="G2222" t="str">
        <f>INDEX(Lists!H:H,MATCH(Validation!E2222,Lists!G:G,0))</f>
        <v>You have changed previously reported data. Explain in the comments box.</v>
      </c>
      <c r="H2222" s="25" t="str">
        <f t="shared" ca="1" si="246"/>
        <v/>
      </c>
      <c r="I2222" s="25" t="str">
        <f t="shared" ca="1" si="247"/>
        <v/>
      </c>
      <c r="J2222" s="26" t="str">
        <f t="shared" ca="1" si="248"/>
        <v/>
      </c>
    </row>
    <row r="2223" spans="1:10" x14ac:dyDescent="0.25">
      <c r="A2223" t="s">
        <v>315</v>
      </c>
      <c r="B2223" t="str">
        <f>ADDRESS(ROW('Bond 1'!$B$37),COLUMN('Bond 1'!$B$37),4)</f>
        <v>B37</v>
      </c>
      <c r="C2223" t="str">
        <f>ADDRESS(ROW('Bond 1'!$D$37),COLUMN('Bond 1'!$D$37),4)</f>
        <v>D37</v>
      </c>
      <c r="D2223" t="b" cm="1">
        <f t="array" aca="1" ref="D2223" ca="1">IF(AND(NOT(ISBLANK('Bond Input'!Q$47)),INDIRECT("'"&amp;A2223&amp;"'!"&amp;B2223)&lt;&gt;'Bond Input'!Q$47),TRUE,FALSE)</f>
        <v>0</v>
      </c>
      <c r="E2223" t="s">
        <v>634</v>
      </c>
      <c r="F2223" t="str">
        <f>INDEX(Lists!I:I,MATCH(Validation!E2223,Lists!G:G,0))</f>
        <v>Alert</v>
      </c>
      <c r="G2223" t="str">
        <f>INDEX(Lists!H:H,MATCH(Validation!E2223,Lists!G:G,0))</f>
        <v>You have changed previously reported data. Explain in the comments box.</v>
      </c>
      <c r="H2223" s="25" t="str">
        <f ca="1">IFERROR(IF(OR(NOT(D2223),F2223&lt;&gt;"Error"),"",A2223&amp;CELL("address",INDIRECT(B2223))),"")</f>
        <v/>
      </c>
      <c r="I2223" s="25" t="str">
        <f ca="1">IFERROR(IF(NOT(D2223),"",A2223&amp;CELL("address",INDIRECT(C2223))),"")</f>
        <v/>
      </c>
      <c r="J2223" s="26" t="str">
        <f ca="1">IFERROR(IF(NOT(D2223),"",A2223),"")</f>
        <v/>
      </c>
    </row>
    <row r="2224" spans="1:10" x14ac:dyDescent="0.25">
      <c r="A2224" t="s">
        <v>198</v>
      </c>
      <c r="B2224" t="str">
        <f>ADDRESS(ROW('Bond 1'!$C$37),COLUMN('Bond 1'!$C$37),4)</f>
        <v>C37</v>
      </c>
      <c r="C2224" t="str">
        <f>ADDRESS(ROW('Bond 1'!$D$37),COLUMN('Bond 1'!$D$37),4)</f>
        <v>D37</v>
      </c>
      <c r="D2224" t="b" cm="1">
        <f t="array" aca="1" ref="D2224" ca="1">IF(AND('Bond 1'!B$8="Non-TIF Bond",OR(ISBLANK(INDIRECT("'"&amp;A2224&amp;"'!"&amp;B2224)),INDIRECT("'"&amp;A2224&amp;"'!"&amp;B2224)&lt;&gt;0)),TRUE,FALSE)</f>
        <v>0</v>
      </c>
      <c r="E2224" t="s">
        <v>630</v>
      </c>
      <c r="F2224" t="str">
        <f>INDEX(Lists!I:I,MATCH(Validation!E2224,Lists!G:G,0))</f>
        <v>Error</v>
      </c>
      <c r="G2224" t="str">
        <f>INDEX(Lists!H:H,MATCH(Validation!E2224,Lists!G:G,0))</f>
        <v>Enter $0 if debt type is Non-TIF Bond.</v>
      </c>
      <c r="H2224" s="25" t="str">
        <f t="shared" ref="H2224:H2238" ca="1" si="249">IFERROR(IF(OR(NOT(D2224),F2224&lt;&gt;"Error"),"",A2224&amp;CELL("address",INDIRECT(B2224))),"")</f>
        <v/>
      </c>
      <c r="I2224" s="25" t="str">
        <f t="shared" ref="I2224:I2238" ca="1" si="250">IFERROR(IF(NOT(D2224),"",A2224&amp;CELL("address",INDIRECT(C2224))),"")</f>
        <v/>
      </c>
      <c r="J2224" s="26" t="str">
        <f t="shared" ref="J2224:J2238" ca="1" si="251">IFERROR(IF(NOT(D2224),"",A2224),"")</f>
        <v/>
      </c>
    </row>
    <row r="2225" spans="1:10" x14ac:dyDescent="0.25">
      <c r="A2225" t="s">
        <v>302</v>
      </c>
      <c r="B2225" t="str">
        <f>ADDRESS(ROW('Bond 1'!$C$37),COLUMN('Bond 1'!$C$37),4)</f>
        <v>C37</v>
      </c>
      <c r="C2225" t="str">
        <f>ADDRESS(ROW('Bond 1'!$D$37),COLUMN('Bond 1'!$D$37),4)</f>
        <v>D37</v>
      </c>
      <c r="D2225" t="b" cm="1">
        <f t="array" aca="1" ref="D2225" ca="1">IF(AND('Bond 2'!B$8="Non-TIF Bond",OR(ISBLANK(INDIRECT("'"&amp;A2225&amp;"'!"&amp;B2225)),INDIRECT("'"&amp;A2225&amp;"'!"&amp;B2225)&lt;&gt;0)),TRUE,FALSE)</f>
        <v>0</v>
      </c>
      <c r="E2225" t="s">
        <v>630</v>
      </c>
      <c r="F2225" t="str">
        <f>INDEX(Lists!I:I,MATCH(Validation!E2225,Lists!G:G,0))</f>
        <v>Error</v>
      </c>
      <c r="G2225" t="str">
        <f>INDEX(Lists!H:H,MATCH(Validation!E2225,Lists!G:G,0))</f>
        <v>Enter $0 if debt type is Non-TIF Bond.</v>
      </c>
      <c r="H2225" s="25" t="str">
        <f t="shared" ca="1" si="249"/>
        <v/>
      </c>
      <c r="I2225" s="25" t="str">
        <f t="shared" ca="1" si="250"/>
        <v/>
      </c>
      <c r="J2225" s="26" t="str">
        <f t="shared" ca="1" si="251"/>
        <v/>
      </c>
    </row>
    <row r="2226" spans="1:10" x14ac:dyDescent="0.25">
      <c r="A2226" t="s">
        <v>303</v>
      </c>
      <c r="B2226" t="str">
        <f>ADDRESS(ROW('Bond 1'!$C$37),COLUMN('Bond 1'!$C$37),4)</f>
        <v>C37</v>
      </c>
      <c r="C2226" t="str">
        <f>ADDRESS(ROW('Bond 1'!$D$37),COLUMN('Bond 1'!$D$37),4)</f>
        <v>D37</v>
      </c>
      <c r="D2226" t="b" cm="1">
        <f t="array" aca="1" ref="D2226" ca="1">IF(AND('Bond 3'!B$8="Non-TIF Bond",OR(ISBLANK(INDIRECT("'"&amp;A2226&amp;"'!"&amp;B2226)),INDIRECT("'"&amp;A2226&amp;"'!"&amp;B2226)&lt;&gt;0)),TRUE,FALSE)</f>
        <v>0</v>
      </c>
      <c r="E2226" t="s">
        <v>630</v>
      </c>
      <c r="F2226" t="str">
        <f>INDEX(Lists!I:I,MATCH(Validation!E2226,Lists!G:G,0))</f>
        <v>Error</v>
      </c>
      <c r="G2226" t="str">
        <f>INDEX(Lists!H:H,MATCH(Validation!E2226,Lists!G:G,0))</f>
        <v>Enter $0 if debt type is Non-TIF Bond.</v>
      </c>
      <c r="H2226" s="25" t="str">
        <f t="shared" ca="1" si="249"/>
        <v/>
      </c>
      <c r="I2226" s="25" t="str">
        <f t="shared" ca="1" si="250"/>
        <v/>
      </c>
      <c r="J2226" s="26" t="str">
        <f t="shared" ca="1" si="251"/>
        <v/>
      </c>
    </row>
    <row r="2227" spans="1:10" x14ac:dyDescent="0.25">
      <c r="A2227" t="s">
        <v>304</v>
      </c>
      <c r="B2227" t="str">
        <f>ADDRESS(ROW('Bond 1'!$C$37),COLUMN('Bond 1'!$C$37),4)</f>
        <v>C37</v>
      </c>
      <c r="C2227" t="str">
        <f>ADDRESS(ROW('Bond 1'!$D$37),COLUMN('Bond 1'!$D$37),4)</f>
        <v>D37</v>
      </c>
      <c r="D2227" t="b" cm="1">
        <f t="array" aca="1" ref="D2227" ca="1">IF(AND('Bond 4'!B$8="Non-TIF Bond",OR(ISBLANK(INDIRECT("'"&amp;A2227&amp;"'!"&amp;B2227)),INDIRECT("'"&amp;A2227&amp;"'!"&amp;B2227)&lt;&gt;0)),TRUE,FALSE)</f>
        <v>0</v>
      </c>
      <c r="E2227" t="s">
        <v>630</v>
      </c>
      <c r="F2227" t="str">
        <f>INDEX(Lists!I:I,MATCH(Validation!E2227,Lists!G:G,0))</f>
        <v>Error</v>
      </c>
      <c r="G2227" t="str">
        <f>INDEX(Lists!H:H,MATCH(Validation!E2227,Lists!G:G,0))</f>
        <v>Enter $0 if debt type is Non-TIF Bond.</v>
      </c>
      <c r="H2227" s="25" t="str">
        <f t="shared" ca="1" si="249"/>
        <v/>
      </c>
      <c r="I2227" s="25" t="str">
        <f t="shared" ca="1" si="250"/>
        <v/>
      </c>
      <c r="J2227" s="26" t="str">
        <f t="shared" ca="1" si="251"/>
        <v/>
      </c>
    </row>
    <row r="2228" spans="1:10" x14ac:dyDescent="0.25">
      <c r="A2228" t="s">
        <v>305</v>
      </c>
      <c r="B2228" t="str">
        <f>ADDRESS(ROW('Bond 1'!$C$37),COLUMN('Bond 1'!$C$37),4)</f>
        <v>C37</v>
      </c>
      <c r="C2228" t="str">
        <f>ADDRESS(ROW('Bond 1'!$D$37),COLUMN('Bond 1'!$D$37),4)</f>
        <v>D37</v>
      </c>
      <c r="D2228" t="b" cm="1">
        <f t="array" aca="1" ref="D2228" ca="1">IF(AND('Bond 5'!B$8="Non-TIF Bond",OR(ISBLANK(INDIRECT("'"&amp;A2228&amp;"'!"&amp;B2228)),INDIRECT("'"&amp;A2228&amp;"'!"&amp;B2228)&lt;&gt;0)),TRUE,FALSE)</f>
        <v>0</v>
      </c>
      <c r="E2228" t="s">
        <v>630</v>
      </c>
      <c r="F2228" t="str">
        <f>INDEX(Lists!I:I,MATCH(Validation!E2228,Lists!G:G,0))</f>
        <v>Error</v>
      </c>
      <c r="G2228" t="str">
        <f>INDEX(Lists!H:H,MATCH(Validation!E2228,Lists!G:G,0))</f>
        <v>Enter $0 if debt type is Non-TIF Bond.</v>
      </c>
      <c r="H2228" s="25" t="str">
        <f t="shared" ca="1" si="249"/>
        <v/>
      </c>
      <c r="I2228" s="25" t="str">
        <f t="shared" ca="1" si="250"/>
        <v/>
      </c>
      <c r="J2228" s="26" t="str">
        <f t="shared" ca="1" si="251"/>
        <v/>
      </c>
    </row>
    <row r="2229" spans="1:10" x14ac:dyDescent="0.25">
      <c r="A2229" t="s">
        <v>306</v>
      </c>
      <c r="B2229" t="str">
        <f>ADDRESS(ROW('Bond 1'!$C$37),COLUMN('Bond 1'!$C$37),4)</f>
        <v>C37</v>
      </c>
      <c r="C2229" t="str">
        <f>ADDRESS(ROW('Bond 1'!$D$37),COLUMN('Bond 1'!$D$37),4)</f>
        <v>D37</v>
      </c>
      <c r="D2229" t="b" cm="1">
        <f t="array" aca="1" ref="D2229" ca="1">IF(AND('Bond 6'!B$8="Non-TIF Bond",OR(ISBLANK(INDIRECT("'"&amp;A2229&amp;"'!"&amp;B2229)),INDIRECT("'"&amp;A2229&amp;"'!"&amp;B2229)&lt;&gt;0)),TRUE,FALSE)</f>
        <v>0</v>
      </c>
      <c r="E2229" t="s">
        <v>630</v>
      </c>
      <c r="F2229" t="str">
        <f>INDEX(Lists!I:I,MATCH(Validation!E2229,Lists!G:G,0))</f>
        <v>Error</v>
      </c>
      <c r="G2229" t="str">
        <f>INDEX(Lists!H:H,MATCH(Validation!E2229,Lists!G:G,0))</f>
        <v>Enter $0 if debt type is Non-TIF Bond.</v>
      </c>
      <c r="H2229" s="25" t="str">
        <f t="shared" ca="1" si="249"/>
        <v/>
      </c>
      <c r="I2229" s="25" t="str">
        <f t="shared" ca="1" si="250"/>
        <v/>
      </c>
      <c r="J2229" s="26" t="str">
        <f t="shared" ca="1" si="251"/>
        <v/>
      </c>
    </row>
    <row r="2230" spans="1:10" x14ac:dyDescent="0.25">
      <c r="A2230" t="s">
        <v>307</v>
      </c>
      <c r="B2230" t="str">
        <f>ADDRESS(ROW('Bond 1'!$C$37),COLUMN('Bond 1'!$C$37),4)</f>
        <v>C37</v>
      </c>
      <c r="C2230" t="str">
        <f>ADDRESS(ROW('Bond 1'!$D$37),COLUMN('Bond 1'!$D$37),4)</f>
        <v>D37</v>
      </c>
      <c r="D2230" t="b" cm="1">
        <f t="array" aca="1" ref="D2230" ca="1">IF(AND('Bond 7'!B$8="Non-TIF Bond",OR(ISBLANK(INDIRECT("'"&amp;A2230&amp;"'!"&amp;B2230)),INDIRECT("'"&amp;A2230&amp;"'!"&amp;B2230)&lt;&gt;0)),TRUE,FALSE)</f>
        <v>0</v>
      </c>
      <c r="E2230" t="s">
        <v>630</v>
      </c>
      <c r="F2230" t="str">
        <f>INDEX(Lists!I:I,MATCH(Validation!E2230,Lists!G:G,0))</f>
        <v>Error</v>
      </c>
      <c r="G2230" t="str">
        <f>INDEX(Lists!H:H,MATCH(Validation!E2230,Lists!G:G,0))</f>
        <v>Enter $0 if debt type is Non-TIF Bond.</v>
      </c>
      <c r="H2230" s="25" t="str">
        <f t="shared" ca="1" si="249"/>
        <v/>
      </c>
      <c r="I2230" s="25" t="str">
        <f t="shared" ca="1" si="250"/>
        <v/>
      </c>
      <c r="J2230" s="26" t="str">
        <f t="shared" ca="1" si="251"/>
        <v/>
      </c>
    </row>
    <row r="2231" spans="1:10" x14ac:dyDescent="0.25">
      <c r="A2231" t="s">
        <v>308</v>
      </c>
      <c r="B2231" t="str">
        <f>ADDRESS(ROW('Bond 1'!$C$37),COLUMN('Bond 1'!$C$37),4)</f>
        <v>C37</v>
      </c>
      <c r="C2231" t="str">
        <f>ADDRESS(ROW('Bond 1'!$D$37),COLUMN('Bond 1'!$D$37),4)</f>
        <v>D37</v>
      </c>
      <c r="D2231" t="b" cm="1">
        <f t="array" aca="1" ref="D2231" ca="1">IF(AND('Bond 8'!B$8="Non-TIF Bond",OR(ISBLANK(INDIRECT("'"&amp;A2231&amp;"'!"&amp;B2231)),INDIRECT("'"&amp;A2231&amp;"'!"&amp;B2231)&lt;&gt;0)),TRUE,FALSE)</f>
        <v>0</v>
      </c>
      <c r="E2231" t="s">
        <v>630</v>
      </c>
      <c r="F2231" t="str">
        <f>INDEX(Lists!I:I,MATCH(Validation!E2231,Lists!G:G,0))</f>
        <v>Error</v>
      </c>
      <c r="G2231" t="str">
        <f>INDEX(Lists!H:H,MATCH(Validation!E2231,Lists!G:G,0))</f>
        <v>Enter $0 if debt type is Non-TIF Bond.</v>
      </c>
      <c r="H2231" s="25" t="str">
        <f t="shared" ca="1" si="249"/>
        <v/>
      </c>
      <c r="I2231" s="25" t="str">
        <f t="shared" ca="1" si="250"/>
        <v/>
      </c>
      <c r="J2231" s="26" t="str">
        <f t="shared" ca="1" si="251"/>
        <v/>
      </c>
    </row>
    <row r="2232" spans="1:10" x14ac:dyDescent="0.25">
      <c r="A2232" t="s">
        <v>309</v>
      </c>
      <c r="B2232" t="str">
        <f>ADDRESS(ROW('Bond 1'!$C$37),COLUMN('Bond 1'!$C$37),4)</f>
        <v>C37</v>
      </c>
      <c r="C2232" t="str">
        <f>ADDRESS(ROW('Bond 1'!$D$37),COLUMN('Bond 1'!$D$37),4)</f>
        <v>D37</v>
      </c>
      <c r="D2232" t="b" cm="1">
        <f t="array" aca="1" ref="D2232" ca="1">IF(AND('Bond 9'!B$8="Non-TIF Bond",OR(ISBLANK(INDIRECT("'"&amp;A2232&amp;"'!"&amp;B2232)),INDIRECT("'"&amp;A2232&amp;"'!"&amp;B2232)&lt;&gt;0)),TRUE,FALSE)</f>
        <v>0</v>
      </c>
      <c r="E2232" t="s">
        <v>630</v>
      </c>
      <c r="F2232" t="str">
        <f>INDEX(Lists!I:I,MATCH(Validation!E2232,Lists!G:G,0))</f>
        <v>Error</v>
      </c>
      <c r="G2232" t="str">
        <f>INDEX(Lists!H:H,MATCH(Validation!E2232,Lists!G:G,0))</f>
        <v>Enter $0 if debt type is Non-TIF Bond.</v>
      </c>
      <c r="H2232" s="25" t="str">
        <f t="shared" ca="1" si="249"/>
        <v/>
      </c>
      <c r="I2232" s="25" t="str">
        <f t="shared" ca="1" si="250"/>
        <v/>
      </c>
      <c r="J2232" s="26" t="str">
        <f t="shared" ca="1" si="251"/>
        <v/>
      </c>
    </row>
    <row r="2233" spans="1:10" x14ac:dyDescent="0.25">
      <c r="A2233" t="s">
        <v>310</v>
      </c>
      <c r="B2233" t="str">
        <f>ADDRESS(ROW('Bond 1'!$C$37),COLUMN('Bond 1'!$C$37),4)</f>
        <v>C37</v>
      </c>
      <c r="C2233" t="str">
        <f>ADDRESS(ROW('Bond 1'!$D$37),COLUMN('Bond 1'!$D$37),4)</f>
        <v>D37</v>
      </c>
      <c r="D2233" t="b" cm="1">
        <f t="array" aca="1" ref="D2233" ca="1">IF(AND('Bond 10'!B$8="Non-TIF Bond",OR(ISBLANK(INDIRECT("'"&amp;A2233&amp;"'!"&amp;B2233)),INDIRECT("'"&amp;A2233&amp;"'!"&amp;B2233)&lt;&gt;0)),TRUE,FALSE)</f>
        <v>0</v>
      </c>
      <c r="E2233" t="s">
        <v>630</v>
      </c>
      <c r="F2233" t="str">
        <f>INDEX(Lists!I:I,MATCH(Validation!E2233,Lists!G:G,0))</f>
        <v>Error</v>
      </c>
      <c r="G2233" t="str">
        <f>INDEX(Lists!H:H,MATCH(Validation!E2233,Lists!G:G,0))</f>
        <v>Enter $0 if debt type is Non-TIF Bond.</v>
      </c>
      <c r="H2233" s="25" t="str">
        <f t="shared" ca="1" si="249"/>
        <v/>
      </c>
      <c r="I2233" s="25" t="str">
        <f t="shared" ca="1" si="250"/>
        <v/>
      </c>
      <c r="J2233" s="26" t="str">
        <f t="shared" ca="1" si="251"/>
        <v/>
      </c>
    </row>
    <row r="2234" spans="1:10" x14ac:dyDescent="0.25">
      <c r="A2234" t="s">
        <v>311</v>
      </c>
      <c r="B2234" t="str">
        <f>ADDRESS(ROW('Bond 1'!$C$37),COLUMN('Bond 1'!$C$37),4)</f>
        <v>C37</v>
      </c>
      <c r="C2234" t="str">
        <f>ADDRESS(ROW('Bond 1'!$D$37),COLUMN('Bond 1'!$D$37),4)</f>
        <v>D37</v>
      </c>
      <c r="D2234" t="b" cm="1">
        <f t="array" aca="1" ref="D2234" ca="1">IF(AND('Bond 11'!B$8="Non-TIF Bond",OR(ISBLANK(INDIRECT("'"&amp;A2234&amp;"'!"&amp;B2234)),INDIRECT("'"&amp;A2234&amp;"'!"&amp;B2234)&lt;&gt;0)),TRUE,FALSE)</f>
        <v>0</v>
      </c>
      <c r="E2234" t="s">
        <v>630</v>
      </c>
      <c r="F2234" t="str">
        <f>INDEX(Lists!I:I,MATCH(Validation!E2234,Lists!G:G,0))</f>
        <v>Error</v>
      </c>
      <c r="G2234" t="str">
        <f>INDEX(Lists!H:H,MATCH(Validation!E2234,Lists!G:G,0))</f>
        <v>Enter $0 if debt type is Non-TIF Bond.</v>
      </c>
      <c r="H2234" s="25" t="str">
        <f t="shared" ca="1" si="249"/>
        <v/>
      </c>
      <c r="I2234" s="25" t="str">
        <f t="shared" ca="1" si="250"/>
        <v/>
      </c>
      <c r="J2234" s="26" t="str">
        <f t="shared" ca="1" si="251"/>
        <v/>
      </c>
    </row>
    <row r="2235" spans="1:10" x14ac:dyDescent="0.25">
      <c r="A2235" t="s">
        <v>312</v>
      </c>
      <c r="B2235" t="str">
        <f>ADDRESS(ROW('Bond 1'!$C$37),COLUMN('Bond 1'!$C$37),4)</f>
        <v>C37</v>
      </c>
      <c r="C2235" t="str">
        <f>ADDRESS(ROW('Bond 1'!$D$37),COLUMN('Bond 1'!$D$37),4)</f>
        <v>D37</v>
      </c>
      <c r="D2235" t="b" cm="1">
        <f t="array" aca="1" ref="D2235" ca="1">IF(AND('Bond 12'!B$8="Non-TIF Bond",OR(ISBLANK(INDIRECT("'"&amp;A2235&amp;"'!"&amp;B2235)),INDIRECT("'"&amp;A2235&amp;"'!"&amp;B2235)&lt;&gt;0)),TRUE,FALSE)</f>
        <v>0</v>
      </c>
      <c r="E2235" t="s">
        <v>630</v>
      </c>
      <c r="F2235" t="str">
        <f>INDEX(Lists!I:I,MATCH(Validation!E2235,Lists!G:G,0))</f>
        <v>Error</v>
      </c>
      <c r="G2235" t="str">
        <f>INDEX(Lists!H:H,MATCH(Validation!E2235,Lists!G:G,0))</f>
        <v>Enter $0 if debt type is Non-TIF Bond.</v>
      </c>
      <c r="H2235" s="25" t="str">
        <f t="shared" ca="1" si="249"/>
        <v/>
      </c>
      <c r="I2235" s="25" t="str">
        <f t="shared" ca="1" si="250"/>
        <v/>
      </c>
      <c r="J2235" s="26" t="str">
        <f t="shared" ca="1" si="251"/>
        <v/>
      </c>
    </row>
    <row r="2236" spans="1:10" x14ac:dyDescent="0.25">
      <c r="A2236" t="s">
        <v>313</v>
      </c>
      <c r="B2236" t="str">
        <f>ADDRESS(ROW('Bond 1'!$C$37),COLUMN('Bond 1'!$C$37),4)</f>
        <v>C37</v>
      </c>
      <c r="C2236" t="str">
        <f>ADDRESS(ROW('Bond 1'!$D$37),COLUMN('Bond 1'!$D$37),4)</f>
        <v>D37</v>
      </c>
      <c r="D2236" t="b" cm="1">
        <f t="array" aca="1" ref="D2236" ca="1">IF(AND('Bond 13'!B$8="Non-TIF Bond",OR(ISBLANK(INDIRECT("'"&amp;A2236&amp;"'!"&amp;B2236)),INDIRECT("'"&amp;A2236&amp;"'!"&amp;B2236)&lt;&gt;0)),TRUE,FALSE)</f>
        <v>0</v>
      </c>
      <c r="E2236" t="s">
        <v>630</v>
      </c>
      <c r="F2236" t="str">
        <f>INDEX(Lists!I:I,MATCH(Validation!E2236,Lists!G:G,0))</f>
        <v>Error</v>
      </c>
      <c r="G2236" t="str">
        <f>INDEX(Lists!H:H,MATCH(Validation!E2236,Lists!G:G,0))</f>
        <v>Enter $0 if debt type is Non-TIF Bond.</v>
      </c>
      <c r="H2236" s="25" t="str">
        <f t="shared" ca="1" si="249"/>
        <v/>
      </c>
      <c r="I2236" s="25" t="str">
        <f t="shared" ca="1" si="250"/>
        <v/>
      </c>
      <c r="J2236" s="26" t="str">
        <f t="shared" ca="1" si="251"/>
        <v/>
      </c>
    </row>
    <row r="2237" spans="1:10" x14ac:dyDescent="0.25">
      <c r="A2237" t="s">
        <v>314</v>
      </c>
      <c r="B2237" t="str">
        <f>ADDRESS(ROW('Bond 1'!$C$37),COLUMN('Bond 1'!$C$37),4)</f>
        <v>C37</v>
      </c>
      <c r="C2237" t="str">
        <f>ADDRESS(ROW('Bond 1'!$D$37),COLUMN('Bond 1'!$D$37),4)</f>
        <v>D37</v>
      </c>
      <c r="D2237" t="b" cm="1">
        <f t="array" aca="1" ref="D2237" ca="1">IF(AND('Bond 14'!B$8="Non-TIF Bond",OR(ISBLANK(INDIRECT("'"&amp;A2237&amp;"'!"&amp;B2237)),INDIRECT("'"&amp;A2237&amp;"'!"&amp;B2237)&lt;&gt;0)),TRUE,FALSE)</f>
        <v>0</v>
      </c>
      <c r="E2237" t="s">
        <v>630</v>
      </c>
      <c r="F2237" t="str">
        <f>INDEX(Lists!I:I,MATCH(Validation!E2237,Lists!G:G,0))</f>
        <v>Error</v>
      </c>
      <c r="G2237" t="str">
        <f>INDEX(Lists!H:H,MATCH(Validation!E2237,Lists!G:G,0))</f>
        <v>Enter $0 if debt type is Non-TIF Bond.</v>
      </c>
      <c r="H2237" s="25" t="str">
        <f t="shared" ca="1" si="249"/>
        <v/>
      </c>
      <c r="I2237" s="25" t="str">
        <f t="shared" ca="1" si="250"/>
        <v/>
      </c>
      <c r="J2237" s="26" t="str">
        <f t="shared" ca="1" si="251"/>
        <v/>
      </c>
    </row>
    <row r="2238" spans="1:10" x14ac:dyDescent="0.25">
      <c r="A2238" t="s">
        <v>315</v>
      </c>
      <c r="B2238" t="str">
        <f>ADDRESS(ROW('Bond 1'!$C$37),COLUMN('Bond 1'!$C$37),4)</f>
        <v>C37</v>
      </c>
      <c r="C2238" t="str">
        <f>ADDRESS(ROW('Bond 1'!$D$37),COLUMN('Bond 1'!$D$37),4)</f>
        <v>D37</v>
      </c>
      <c r="D2238" t="b" cm="1">
        <f t="array" aca="1" ref="D2238" ca="1">IF(AND('Bond 15'!B$8="Non-TIF Bond",OR(ISBLANK(INDIRECT("'"&amp;A2238&amp;"'!"&amp;B2238)),INDIRECT("'"&amp;A2238&amp;"'!"&amp;B2238)&lt;&gt;0)),TRUE,FALSE)</f>
        <v>0</v>
      </c>
      <c r="E2238" t="s">
        <v>630</v>
      </c>
      <c r="F2238" t="str">
        <f>INDEX(Lists!I:I,MATCH(Validation!E2238,Lists!G:G,0))</f>
        <v>Error</v>
      </c>
      <c r="G2238" t="str">
        <f>INDEX(Lists!H:H,MATCH(Validation!E2238,Lists!G:G,0))</f>
        <v>Enter $0 if debt type is Non-TIF Bond.</v>
      </c>
      <c r="H2238" s="25" t="str">
        <f t="shared" ca="1" si="249"/>
        <v/>
      </c>
      <c r="I2238" s="25" t="str">
        <f t="shared" ca="1" si="250"/>
        <v/>
      </c>
      <c r="J2238" s="26" t="str">
        <f t="shared" ca="1" si="251"/>
        <v/>
      </c>
    </row>
    <row r="2239" spans="1:10" x14ac:dyDescent="0.25">
      <c r="A2239" t="s">
        <v>198</v>
      </c>
      <c r="B2239" t="str">
        <f>ADDRESS(ROW('Bond 1'!$C$37),COLUMN('Bond 1'!$C$37),4)</f>
        <v>C37</v>
      </c>
      <c r="C2239" t="str">
        <f>ADDRESS(ROW('Bond 1'!$D$37),COLUMN('Bond 1'!$D$37),4)</f>
        <v>D37</v>
      </c>
      <c r="D2239" t="b" cm="1">
        <f t="array" aca="1" ref="D2239" ca="1">IF(INDIRECT("'"&amp;A2239&amp;"'!"&amp;B2239)="",FALSE,IF(NOT(ISNUMBER(INDIRECT("'"&amp;A2239&amp;"'!"&amp;B2239))),TRUE,FALSE))</f>
        <v>0</v>
      </c>
      <c r="E2239" t="s">
        <v>435</v>
      </c>
      <c r="F2239" t="str">
        <f>INDEX(Lists!I:I,MATCH(Validation!E2239,Lists!G:G,0))</f>
        <v>Error</v>
      </c>
      <c r="G2239" t="str">
        <f>INDEX(Lists!H:H,MATCH(Validation!E2239,Lists!G:G,0))</f>
        <v>Enter an amount only. Do not enter text or spaces.</v>
      </c>
      <c r="H2239" s="25" t="str">
        <f t="shared" ref="H2239:H2272" ca="1" si="252">IFERROR(IF(OR(NOT(D2239),F2239&lt;&gt;"Error"),"",A2239&amp;CELL("address",INDIRECT(B2239))),"")</f>
        <v/>
      </c>
      <c r="I2239" s="25" t="str">
        <f t="shared" ref="I2239:I2272" ca="1" si="253">IFERROR(IF(NOT(D2239),"",A2239&amp;CELL("address",INDIRECT(C2239))),"")</f>
        <v/>
      </c>
      <c r="J2239" s="26" t="str">
        <f t="shared" ref="J2239:J2272" ca="1" si="254">IFERROR(IF(NOT(D2239),"",A2239),"")</f>
        <v/>
      </c>
    </row>
    <row r="2240" spans="1:10" x14ac:dyDescent="0.25">
      <c r="A2240" t="s">
        <v>302</v>
      </c>
      <c r="B2240" t="str">
        <f>ADDRESS(ROW('Bond 1'!$C$37),COLUMN('Bond 1'!$C$37),4)</f>
        <v>C37</v>
      </c>
      <c r="C2240" t="str">
        <f>ADDRESS(ROW('Bond 1'!$D$37),COLUMN('Bond 1'!$D$37),4)</f>
        <v>D37</v>
      </c>
      <c r="D2240" t="b" cm="1">
        <f t="array" aca="1" ref="D2240" ca="1">IF(INDIRECT("'"&amp;A2240&amp;"'!"&amp;B2240)="",FALSE,IF(NOT(ISNUMBER(INDIRECT("'"&amp;A2240&amp;"'!"&amp;B2240))),TRUE,FALSE))</f>
        <v>0</v>
      </c>
      <c r="E2240" t="s">
        <v>435</v>
      </c>
      <c r="F2240" t="str">
        <f>INDEX(Lists!I:I,MATCH(Validation!E2240,Lists!G:G,0))</f>
        <v>Error</v>
      </c>
      <c r="G2240" t="str">
        <f>INDEX(Lists!H:H,MATCH(Validation!E2240,Lists!G:G,0))</f>
        <v>Enter an amount only. Do not enter text or spaces.</v>
      </c>
      <c r="H2240" s="25" t="str">
        <f t="shared" ca="1" si="252"/>
        <v/>
      </c>
      <c r="I2240" s="25" t="str">
        <f t="shared" ca="1" si="253"/>
        <v/>
      </c>
      <c r="J2240" s="26" t="str">
        <f t="shared" ca="1" si="254"/>
        <v/>
      </c>
    </row>
    <row r="2241" spans="1:10" x14ac:dyDescent="0.25">
      <c r="A2241" t="s">
        <v>303</v>
      </c>
      <c r="B2241" t="str">
        <f>ADDRESS(ROW('Bond 1'!$C$37),COLUMN('Bond 1'!$C$37),4)</f>
        <v>C37</v>
      </c>
      <c r="C2241" t="str">
        <f>ADDRESS(ROW('Bond 1'!$D$37),COLUMN('Bond 1'!$D$37),4)</f>
        <v>D37</v>
      </c>
      <c r="D2241" t="b" cm="1">
        <f t="array" aca="1" ref="D2241" ca="1">IF(INDIRECT("'"&amp;A2241&amp;"'!"&amp;B2241)="",FALSE,IF(NOT(ISNUMBER(INDIRECT("'"&amp;A2241&amp;"'!"&amp;B2241))),TRUE,FALSE))</f>
        <v>0</v>
      </c>
      <c r="E2241" t="s">
        <v>435</v>
      </c>
      <c r="F2241" t="str">
        <f>INDEX(Lists!I:I,MATCH(Validation!E2241,Lists!G:G,0))</f>
        <v>Error</v>
      </c>
      <c r="G2241" t="str">
        <f>INDEX(Lists!H:H,MATCH(Validation!E2241,Lists!G:G,0))</f>
        <v>Enter an amount only. Do not enter text or spaces.</v>
      </c>
      <c r="H2241" s="25" t="str">
        <f t="shared" ca="1" si="252"/>
        <v/>
      </c>
      <c r="I2241" s="25" t="str">
        <f t="shared" ca="1" si="253"/>
        <v/>
      </c>
      <c r="J2241" s="26" t="str">
        <f t="shared" ca="1" si="254"/>
        <v/>
      </c>
    </row>
    <row r="2242" spans="1:10" x14ac:dyDescent="0.25">
      <c r="A2242" t="s">
        <v>304</v>
      </c>
      <c r="B2242" t="str">
        <f>ADDRESS(ROW('Bond 1'!$C$37),COLUMN('Bond 1'!$C$37),4)</f>
        <v>C37</v>
      </c>
      <c r="C2242" t="str">
        <f>ADDRESS(ROW('Bond 1'!$D$37),COLUMN('Bond 1'!$D$37),4)</f>
        <v>D37</v>
      </c>
      <c r="D2242" t="b" cm="1">
        <f t="array" aca="1" ref="D2242" ca="1">IF(INDIRECT("'"&amp;A2242&amp;"'!"&amp;B2242)="",FALSE,IF(NOT(ISNUMBER(INDIRECT("'"&amp;A2242&amp;"'!"&amp;B2242))),TRUE,FALSE))</f>
        <v>0</v>
      </c>
      <c r="E2242" t="s">
        <v>435</v>
      </c>
      <c r="F2242" t="str">
        <f>INDEX(Lists!I:I,MATCH(Validation!E2242,Lists!G:G,0))</f>
        <v>Error</v>
      </c>
      <c r="G2242" t="str">
        <f>INDEX(Lists!H:H,MATCH(Validation!E2242,Lists!G:G,0))</f>
        <v>Enter an amount only. Do not enter text or spaces.</v>
      </c>
      <c r="H2242" s="25" t="str">
        <f t="shared" ca="1" si="252"/>
        <v/>
      </c>
      <c r="I2242" s="25" t="str">
        <f t="shared" ca="1" si="253"/>
        <v/>
      </c>
      <c r="J2242" s="26" t="str">
        <f t="shared" ca="1" si="254"/>
        <v/>
      </c>
    </row>
    <row r="2243" spans="1:10" x14ac:dyDescent="0.25">
      <c r="A2243" t="s">
        <v>305</v>
      </c>
      <c r="B2243" t="str">
        <f>ADDRESS(ROW('Bond 1'!$C$37),COLUMN('Bond 1'!$C$37),4)</f>
        <v>C37</v>
      </c>
      <c r="C2243" t="str">
        <f>ADDRESS(ROW('Bond 1'!$D$37),COLUMN('Bond 1'!$D$37),4)</f>
        <v>D37</v>
      </c>
      <c r="D2243" t="b" cm="1">
        <f t="array" aca="1" ref="D2243" ca="1">IF(INDIRECT("'"&amp;A2243&amp;"'!"&amp;B2243)="",FALSE,IF(NOT(ISNUMBER(INDIRECT("'"&amp;A2243&amp;"'!"&amp;B2243))),TRUE,FALSE))</f>
        <v>0</v>
      </c>
      <c r="E2243" t="s">
        <v>435</v>
      </c>
      <c r="F2243" t="str">
        <f>INDEX(Lists!I:I,MATCH(Validation!E2243,Lists!G:G,0))</f>
        <v>Error</v>
      </c>
      <c r="G2243" t="str">
        <f>INDEX(Lists!H:H,MATCH(Validation!E2243,Lists!G:G,0))</f>
        <v>Enter an amount only. Do not enter text or spaces.</v>
      </c>
      <c r="H2243" s="25" t="str">
        <f t="shared" ca="1" si="252"/>
        <v/>
      </c>
      <c r="I2243" s="25" t="str">
        <f t="shared" ca="1" si="253"/>
        <v/>
      </c>
      <c r="J2243" s="26" t="str">
        <f t="shared" ca="1" si="254"/>
        <v/>
      </c>
    </row>
    <row r="2244" spans="1:10" x14ac:dyDescent="0.25">
      <c r="A2244" t="s">
        <v>306</v>
      </c>
      <c r="B2244" t="str">
        <f>ADDRESS(ROW('Bond 1'!$C$37),COLUMN('Bond 1'!$C$37),4)</f>
        <v>C37</v>
      </c>
      <c r="C2244" t="str">
        <f>ADDRESS(ROW('Bond 1'!$D$37),COLUMN('Bond 1'!$D$37),4)</f>
        <v>D37</v>
      </c>
      <c r="D2244" t="b" cm="1">
        <f t="array" aca="1" ref="D2244" ca="1">IF(INDIRECT("'"&amp;A2244&amp;"'!"&amp;B2244)="",FALSE,IF(NOT(ISNUMBER(INDIRECT("'"&amp;A2244&amp;"'!"&amp;B2244))),TRUE,FALSE))</f>
        <v>0</v>
      </c>
      <c r="E2244" t="s">
        <v>435</v>
      </c>
      <c r="F2244" t="str">
        <f>INDEX(Lists!I:I,MATCH(Validation!E2244,Lists!G:G,0))</f>
        <v>Error</v>
      </c>
      <c r="G2244" t="str">
        <f>INDEX(Lists!H:H,MATCH(Validation!E2244,Lists!G:G,0))</f>
        <v>Enter an amount only. Do not enter text or spaces.</v>
      </c>
      <c r="H2244" s="25" t="str">
        <f t="shared" ca="1" si="252"/>
        <v/>
      </c>
      <c r="I2244" s="25" t="str">
        <f t="shared" ca="1" si="253"/>
        <v/>
      </c>
      <c r="J2244" s="26" t="str">
        <f t="shared" ca="1" si="254"/>
        <v/>
      </c>
    </row>
    <row r="2245" spans="1:10" x14ac:dyDescent="0.25">
      <c r="A2245" t="s">
        <v>307</v>
      </c>
      <c r="B2245" t="str">
        <f>ADDRESS(ROW('Bond 1'!$C$37),COLUMN('Bond 1'!$C$37),4)</f>
        <v>C37</v>
      </c>
      <c r="C2245" t="str">
        <f>ADDRESS(ROW('Bond 1'!$D$37),COLUMN('Bond 1'!$D$37),4)</f>
        <v>D37</v>
      </c>
      <c r="D2245" t="b" cm="1">
        <f t="array" aca="1" ref="D2245" ca="1">IF(INDIRECT("'"&amp;A2245&amp;"'!"&amp;B2245)="",FALSE,IF(NOT(ISNUMBER(INDIRECT("'"&amp;A2245&amp;"'!"&amp;B2245))),TRUE,FALSE))</f>
        <v>0</v>
      </c>
      <c r="E2245" t="s">
        <v>435</v>
      </c>
      <c r="F2245" t="str">
        <f>INDEX(Lists!I:I,MATCH(Validation!E2245,Lists!G:G,0))</f>
        <v>Error</v>
      </c>
      <c r="G2245" t="str">
        <f>INDEX(Lists!H:H,MATCH(Validation!E2245,Lists!G:G,0))</f>
        <v>Enter an amount only. Do not enter text or spaces.</v>
      </c>
      <c r="H2245" s="25" t="str">
        <f t="shared" ca="1" si="252"/>
        <v/>
      </c>
      <c r="I2245" s="25" t="str">
        <f t="shared" ca="1" si="253"/>
        <v/>
      </c>
      <c r="J2245" s="26" t="str">
        <f t="shared" ca="1" si="254"/>
        <v/>
      </c>
    </row>
    <row r="2246" spans="1:10" x14ac:dyDescent="0.25">
      <c r="A2246" t="s">
        <v>308</v>
      </c>
      <c r="B2246" t="str">
        <f>ADDRESS(ROW('Bond 1'!$C$37),COLUMN('Bond 1'!$C$37),4)</f>
        <v>C37</v>
      </c>
      <c r="C2246" t="str">
        <f>ADDRESS(ROW('Bond 1'!$D$37),COLUMN('Bond 1'!$D$37),4)</f>
        <v>D37</v>
      </c>
      <c r="D2246" t="b" cm="1">
        <f t="array" aca="1" ref="D2246" ca="1">IF(INDIRECT("'"&amp;A2246&amp;"'!"&amp;B2246)="",FALSE,IF(NOT(ISNUMBER(INDIRECT("'"&amp;A2246&amp;"'!"&amp;B2246))),TRUE,FALSE))</f>
        <v>0</v>
      </c>
      <c r="E2246" t="s">
        <v>435</v>
      </c>
      <c r="F2246" t="str">
        <f>INDEX(Lists!I:I,MATCH(Validation!E2246,Lists!G:G,0))</f>
        <v>Error</v>
      </c>
      <c r="G2246" t="str">
        <f>INDEX(Lists!H:H,MATCH(Validation!E2246,Lists!G:G,0))</f>
        <v>Enter an amount only. Do not enter text or spaces.</v>
      </c>
      <c r="H2246" s="25" t="str">
        <f t="shared" ca="1" si="252"/>
        <v/>
      </c>
      <c r="I2246" s="25" t="str">
        <f t="shared" ca="1" si="253"/>
        <v/>
      </c>
      <c r="J2246" s="26" t="str">
        <f t="shared" ca="1" si="254"/>
        <v/>
      </c>
    </row>
    <row r="2247" spans="1:10" x14ac:dyDescent="0.25">
      <c r="A2247" t="s">
        <v>309</v>
      </c>
      <c r="B2247" t="str">
        <f>ADDRESS(ROW('Bond 1'!$C$37),COLUMN('Bond 1'!$C$37),4)</f>
        <v>C37</v>
      </c>
      <c r="C2247" t="str">
        <f>ADDRESS(ROW('Bond 1'!$D$37),COLUMN('Bond 1'!$D$37),4)</f>
        <v>D37</v>
      </c>
      <c r="D2247" t="b" cm="1">
        <f t="array" aca="1" ref="D2247" ca="1">IF(INDIRECT("'"&amp;A2247&amp;"'!"&amp;B2247)="",FALSE,IF(NOT(ISNUMBER(INDIRECT("'"&amp;A2247&amp;"'!"&amp;B2247))),TRUE,FALSE))</f>
        <v>0</v>
      </c>
      <c r="E2247" t="s">
        <v>435</v>
      </c>
      <c r="F2247" t="str">
        <f>INDEX(Lists!I:I,MATCH(Validation!E2247,Lists!G:G,0))</f>
        <v>Error</v>
      </c>
      <c r="G2247" t="str">
        <f>INDEX(Lists!H:H,MATCH(Validation!E2247,Lists!G:G,0))</f>
        <v>Enter an amount only. Do not enter text or spaces.</v>
      </c>
      <c r="H2247" s="25" t="str">
        <f t="shared" ca="1" si="252"/>
        <v/>
      </c>
      <c r="I2247" s="25" t="str">
        <f t="shared" ca="1" si="253"/>
        <v/>
      </c>
      <c r="J2247" s="26" t="str">
        <f t="shared" ca="1" si="254"/>
        <v/>
      </c>
    </row>
    <row r="2248" spans="1:10" x14ac:dyDescent="0.25">
      <c r="A2248" t="s">
        <v>310</v>
      </c>
      <c r="B2248" t="str">
        <f>ADDRESS(ROW('Bond 1'!$C$37),COLUMN('Bond 1'!$C$37),4)</f>
        <v>C37</v>
      </c>
      <c r="C2248" t="str">
        <f>ADDRESS(ROW('Bond 1'!$D$37),COLUMN('Bond 1'!$D$37),4)</f>
        <v>D37</v>
      </c>
      <c r="D2248" t="b" cm="1">
        <f t="array" aca="1" ref="D2248" ca="1">IF(INDIRECT("'"&amp;A2248&amp;"'!"&amp;B2248)="",FALSE,IF(NOT(ISNUMBER(INDIRECT("'"&amp;A2248&amp;"'!"&amp;B2248))),TRUE,FALSE))</f>
        <v>0</v>
      </c>
      <c r="E2248" t="s">
        <v>435</v>
      </c>
      <c r="F2248" t="str">
        <f>INDEX(Lists!I:I,MATCH(Validation!E2248,Lists!G:G,0))</f>
        <v>Error</v>
      </c>
      <c r="G2248" t="str">
        <f>INDEX(Lists!H:H,MATCH(Validation!E2248,Lists!G:G,0))</f>
        <v>Enter an amount only. Do not enter text or spaces.</v>
      </c>
      <c r="H2248" s="25" t="str">
        <f t="shared" ca="1" si="252"/>
        <v/>
      </c>
      <c r="I2248" s="25" t="str">
        <f t="shared" ca="1" si="253"/>
        <v/>
      </c>
      <c r="J2248" s="26" t="str">
        <f t="shared" ca="1" si="254"/>
        <v/>
      </c>
    </row>
    <row r="2249" spans="1:10" x14ac:dyDescent="0.25">
      <c r="A2249" t="s">
        <v>311</v>
      </c>
      <c r="B2249" t="str">
        <f>ADDRESS(ROW('Bond 1'!$C$37),COLUMN('Bond 1'!$C$37),4)</f>
        <v>C37</v>
      </c>
      <c r="C2249" t="str">
        <f>ADDRESS(ROW('Bond 1'!$D$37),COLUMN('Bond 1'!$D$37),4)</f>
        <v>D37</v>
      </c>
      <c r="D2249" t="b" cm="1">
        <f t="array" aca="1" ref="D2249" ca="1">IF(INDIRECT("'"&amp;A2249&amp;"'!"&amp;B2249)="",FALSE,IF(NOT(ISNUMBER(INDIRECT("'"&amp;A2249&amp;"'!"&amp;B2249))),TRUE,FALSE))</f>
        <v>0</v>
      </c>
      <c r="E2249" t="s">
        <v>435</v>
      </c>
      <c r="F2249" t="str">
        <f>INDEX(Lists!I:I,MATCH(Validation!E2249,Lists!G:G,0))</f>
        <v>Error</v>
      </c>
      <c r="G2249" t="str">
        <f>INDEX(Lists!H:H,MATCH(Validation!E2249,Lists!G:G,0))</f>
        <v>Enter an amount only. Do not enter text or spaces.</v>
      </c>
      <c r="H2249" s="25" t="str">
        <f t="shared" ca="1" si="252"/>
        <v/>
      </c>
      <c r="I2249" s="25" t="str">
        <f t="shared" ca="1" si="253"/>
        <v/>
      </c>
      <c r="J2249" s="26" t="str">
        <f t="shared" ca="1" si="254"/>
        <v/>
      </c>
    </row>
    <row r="2250" spans="1:10" x14ac:dyDescent="0.25">
      <c r="A2250" t="s">
        <v>312</v>
      </c>
      <c r="B2250" t="str">
        <f>ADDRESS(ROW('Bond 1'!$C$37),COLUMN('Bond 1'!$C$37),4)</f>
        <v>C37</v>
      </c>
      <c r="C2250" t="str">
        <f>ADDRESS(ROW('Bond 1'!$D$37),COLUMN('Bond 1'!$D$37),4)</f>
        <v>D37</v>
      </c>
      <c r="D2250" t="b" cm="1">
        <f t="array" aca="1" ref="D2250" ca="1">IF(INDIRECT("'"&amp;A2250&amp;"'!"&amp;B2250)="",FALSE,IF(NOT(ISNUMBER(INDIRECT("'"&amp;A2250&amp;"'!"&amp;B2250))),TRUE,FALSE))</f>
        <v>0</v>
      </c>
      <c r="E2250" t="s">
        <v>435</v>
      </c>
      <c r="F2250" t="str">
        <f>INDEX(Lists!I:I,MATCH(Validation!E2250,Lists!G:G,0))</f>
        <v>Error</v>
      </c>
      <c r="G2250" t="str">
        <f>INDEX(Lists!H:H,MATCH(Validation!E2250,Lists!G:G,0))</f>
        <v>Enter an amount only. Do not enter text or spaces.</v>
      </c>
      <c r="H2250" s="25" t="str">
        <f t="shared" ca="1" si="252"/>
        <v/>
      </c>
      <c r="I2250" s="25" t="str">
        <f t="shared" ca="1" si="253"/>
        <v/>
      </c>
      <c r="J2250" s="26" t="str">
        <f t="shared" ca="1" si="254"/>
        <v/>
      </c>
    </row>
    <row r="2251" spans="1:10" x14ac:dyDescent="0.25">
      <c r="A2251" t="s">
        <v>313</v>
      </c>
      <c r="B2251" t="str">
        <f>ADDRESS(ROW('Bond 1'!$C$37),COLUMN('Bond 1'!$C$37),4)</f>
        <v>C37</v>
      </c>
      <c r="C2251" t="str">
        <f>ADDRESS(ROW('Bond 1'!$D$37),COLUMN('Bond 1'!$D$37),4)</f>
        <v>D37</v>
      </c>
      <c r="D2251" t="b" cm="1">
        <f t="array" aca="1" ref="D2251" ca="1">IF(INDIRECT("'"&amp;A2251&amp;"'!"&amp;B2251)="",FALSE,IF(NOT(ISNUMBER(INDIRECT("'"&amp;A2251&amp;"'!"&amp;B2251))),TRUE,FALSE))</f>
        <v>0</v>
      </c>
      <c r="E2251" t="s">
        <v>435</v>
      </c>
      <c r="F2251" t="str">
        <f>INDEX(Lists!I:I,MATCH(Validation!E2251,Lists!G:G,0))</f>
        <v>Error</v>
      </c>
      <c r="G2251" t="str">
        <f>INDEX(Lists!H:H,MATCH(Validation!E2251,Lists!G:G,0))</f>
        <v>Enter an amount only. Do not enter text or spaces.</v>
      </c>
      <c r="H2251" s="25" t="str">
        <f t="shared" ca="1" si="252"/>
        <v/>
      </c>
      <c r="I2251" s="25" t="str">
        <f t="shared" ca="1" si="253"/>
        <v/>
      </c>
      <c r="J2251" s="26" t="str">
        <f t="shared" ca="1" si="254"/>
        <v/>
      </c>
    </row>
    <row r="2252" spans="1:10" x14ac:dyDescent="0.25">
      <c r="A2252" t="s">
        <v>314</v>
      </c>
      <c r="B2252" t="str">
        <f>ADDRESS(ROW('Bond 1'!$C$37),COLUMN('Bond 1'!$C$37),4)</f>
        <v>C37</v>
      </c>
      <c r="C2252" t="str">
        <f>ADDRESS(ROW('Bond 1'!$D$37),COLUMN('Bond 1'!$D$37),4)</f>
        <v>D37</v>
      </c>
      <c r="D2252" t="b" cm="1">
        <f t="array" aca="1" ref="D2252" ca="1">IF(INDIRECT("'"&amp;A2252&amp;"'!"&amp;B2252)="",FALSE,IF(NOT(ISNUMBER(INDIRECT("'"&amp;A2252&amp;"'!"&amp;B2252))),TRUE,FALSE))</f>
        <v>0</v>
      </c>
      <c r="E2252" t="s">
        <v>435</v>
      </c>
      <c r="F2252" t="str">
        <f>INDEX(Lists!I:I,MATCH(Validation!E2252,Lists!G:G,0))</f>
        <v>Error</v>
      </c>
      <c r="G2252" t="str">
        <f>INDEX(Lists!H:H,MATCH(Validation!E2252,Lists!G:G,0))</f>
        <v>Enter an amount only. Do not enter text or spaces.</v>
      </c>
      <c r="H2252" s="25" t="str">
        <f t="shared" ca="1" si="252"/>
        <v/>
      </c>
      <c r="I2252" s="25" t="str">
        <f t="shared" ca="1" si="253"/>
        <v/>
      </c>
      <c r="J2252" s="26" t="str">
        <f t="shared" ca="1" si="254"/>
        <v/>
      </c>
    </row>
    <row r="2253" spans="1:10" x14ac:dyDescent="0.25">
      <c r="A2253" t="s">
        <v>315</v>
      </c>
      <c r="B2253" t="str">
        <f>ADDRESS(ROW('Bond 1'!$C$37),COLUMN('Bond 1'!$C$37),4)</f>
        <v>C37</v>
      </c>
      <c r="C2253" t="str">
        <f>ADDRESS(ROW('Bond 1'!$D$37),COLUMN('Bond 1'!$D$37),4)</f>
        <v>D37</v>
      </c>
      <c r="D2253" t="b" cm="1">
        <f t="array" aca="1" ref="D2253" ca="1">IF(INDIRECT("'"&amp;A2253&amp;"'!"&amp;B2253)="",FALSE,IF(NOT(ISNUMBER(INDIRECT("'"&amp;A2253&amp;"'!"&amp;B2253))),TRUE,FALSE))</f>
        <v>0</v>
      </c>
      <c r="E2253" t="s">
        <v>435</v>
      </c>
      <c r="F2253" t="str">
        <f>INDEX(Lists!I:I,MATCH(Validation!E2253,Lists!G:G,0))</f>
        <v>Error</v>
      </c>
      <c r="G2253" t="str">
        <f>INDEX(Lists!H:H,MATCH(Validation!E2253,Lists!G:G,0))</f>
        <v>Enter an amount only. Do not enter text or spaces.</v>
      </c>
      <c r="H2253" s="25" t="str">
        <f t="shared" ca="1" si="252"/>
        <v/>
      </c>
      <c r="I2253" s="25" t="str">
        <f t="shared" ca="1" si="253"/>
        <v/>
      </c>
      <c r="J2253" s="26" t="str">
        <f t="shared" ca="1" si="254"/>
        <v/>
      </c>
    </row>
    <row r="2254" spans="1:10" x14ac:dyDescent="0.25">
      <c r="A2254" t="s">
        <v>198</v>
      </c>
      <c r="B2254" t="str">
        <f>ADDRESS(ROW('Bond 1'!$C$37),COLUMN('Bond 1'!$C$37),4)</f>
        <v>C37</v>
      </c>
      <c r="C2254" t="str">
        <f>ADDRESS(ROW('Bond 1'!$D$37),COLUMN('Bond 1'!$D$37),4)</f>
        <v>D37</v>
      </c>
      <c r="D2254" t="b" cm="1">
        <f t="array" aca="1" ref="D2254" ca="1">IF(INDIRECT("'"&amp;A2254&amp;"'!"&amp;B2254)="",FALSE,IF(INDIRECT("'"&amp;A2254&amp;"'!"&amp;B2254)&lt;0,TRUE,FALSE))</f>
        <v>0</v>
      </c>
      <c r="E2254" t="s">
        <v>434</v>
      </c>
      <c r="F2254" t="str">
        <f>INDEX(Lists!I:I,MATCH(Validation!E2254,Lists!G:G,0))</f>
        <v>Error</v>
      </c>
      <c r="G2254" t="str">
        <f>INDEX(Lists!H:H,MATCH(Validation!E2254,Lists!G:G,0))</f>
        <v>Amount may not be negative. Enter an amount greater than or equal to zero.</v>
      </c>
      <c r="H2254" s="25" t="str">
        <f t="shared" ca="1" si="252"/>
        <v/>
      </c>
      <c r="I2254" s="25" t="str">
        <f t="shared" ca="1" si="253"/>
        <v/>
      </c>
      <c r="J2254" s="26" t="str">
        <f t="shared" ca="1" si="254"/>
        <v/>
      </c>
    </row>
    <row r="2255" spans="1:10" x14ac:dyDescent="0.25">
      <c r="A2255" t="s">
        <v>302</v>
      </c>
      <c r="B2255" t="str">
        <f>ADDRESS(ROW('Bond 1'!$C$37),COLUMN('Bond 1'!$C$37),4)</f>
        <v>C37</v>
      </c>
      <c r="C2255" t="str">
        <f>ADDRESS(ROW('Bond 1'!$D$37),COLUMN('Bond 1'!$D$37),4)</f>
        <v>D37</v>
      </c>
      <c r="D2255" t="b" cm="1">
        <f t="array" aca="1" ref="D2255" ca="1">IF(INDIRECT("'"&amp;A2255&amp;"'!"&amp;B2255)="",FALSE,IF(INDIRECT("'"&amp;A2255&amp;"'!"&amp;B2255)&lt;0,TRUE,FALSE))</f>
        <v>0</v>
      </c>
      <c r="E2255" t="s">
        <v>434</v>
      </c>
      <c r="F2255" t="str">
        <f>INDEX(Lists!I:I,MATCH(Validation!E2255,Lists!G:G,0))</f>
        <v>Error</v>
      </c>
      <c r="G2255" t="str">
        <f>INDEX(Lists!H:H,MATCH(Validation!E2255,Lists!G:G,0))</f>
        <v>Amount may not be negative. Enter an amount greater than or equal to zero.</v>
      </c>
      <c r="H2255" s="25" t="str">
        <f t="shared" ca="1" si="252"/>
        <v/>
      </c>
      <c r="I2255" s="25" t="str">
        <f t="shared" ca="1" si="253"/>
        <v/>
      </c>
      <c r="J2255" s="26" t="str">
        <f t="shared" ca="1" si="254"/>
        <v/>
      </c>
    </row>
    <row r="2256" spans="1:10" x14ac:dyDescent="0.25">
      <c r="A2256" t="s">
        <v>303</v>
      </c>
      <c r="B2256" t="str">
        <f>ADDRESS(ROW('Bond 1'!$C$37),COLUMN('Bond 1'!$C$37),4)</f>
        <v>C37</v>
      </c>
      <c r="C2256" t="str">
        <f>ADDRESS(ROW('Bond 1'!$D$37),COLUMN('Bond 1'!$D$37),4)</f>
        <v>D37</v>
      </c>
      <c r="D2256" t="b" cm="1">
        <f t="array" aca="1" ref="D2256" ca="1">IF(INDIRECT("'"&amp;A2256&amp;"'!"&amp;B2256)="",FALSE,IF(INDIRECT("'"&amp;A2256&amp;"'!"&amp;B2256)&lt;0,TRUE,FALSE))</f>
        <v>0</v>
      </c>
      <c r="E2256" t="s">
        <v>434</v>
      </c>
      <c r="F2256" t="str">
        <f>INDEX(Lists!I:I,MATCH(Validation!E2256,Lists!G:G,0))</f>
        <v>Error</v>
      </c>
      <c r="G2256" t="str">
        <f>INDEX(Lists!H:H,MATCH(Validation!E2256,Lists!G:G,0))</f>
        <v>Amount may not be negative. Enter an amount greater than or equal to zero.</v>
      </c>
      <c r="H2256" s="25" t="str">
        <f t="shared" ca="1" si="252"/>
        <v/>
      </c>
      <c r="I2256" s="25" t="str">
        <f t="shared" ca="1" si="253"/>
        <v/>
      </c>
      <c r="J2256" s="26" t="str">
        <f t="shared" ca="1" si="254"/>
        <v/>
      </c>
    </row>
    <row r="2257" spans="1:10" x14ac:dyDescent="0.25">
      <c r="A2257" t="s">
        <v>304</v>
      </c>
      <c r="B2257" t="str">
        <f>ADDRESS(ROW('Bond 1'!$C$37),COLUMN('Bond 1'!$C$37),4)</f>
        <v>C37</v>
      </c>
      <c r="C2257" t="str">
        <f>ADDRESS(ROW('Bond 1'!$D$37),COLUMN('Bond 1'!$D$37),4)</f>
        <v>D37</v>
      </c>
      <c r="D2257" t="b" cm="1">
        <f t="array" aca="1" ref="D2257" ca="1">IF(INDIRECT("'"&amp;A2257&amp;"'!"&amp;B2257)="",FALSE,IF(INDIRECT("'"&amp;A2257&amp;"'!"&amp;B2257)&lt;0,TRUE,FALSE))</f>
        <v>0</v>
      </c>
      <c r="E2257" t="s">
        <v>434</v>
      </c>
      <c r="F2257" t="str">
        <f>INDEX(Lists!I:I,MATCH(Validation!E2257,Lists!G:G,0))</f>
        <v>Error</v>
      </c>
      <c r="G2257" t="str">
        <f>INDEX(Lists!H:H,MATCH(Validation!E2257,Lists!G:G,0))</f>
        <v>Amount may not be negative. Enter an amount greater than or equal to zero.</v>
      </c>
      <c r="H2257" s="25" t="str">
        <f t="shared" ca="1" si="252"/>
        <v/>
      </c>
      <c r="I2257" s="25" t="str">
        <f t="shared" ca="1" si="253"/>
        <v/>
      </c>
      <c r="J2257" s="26" t="str">
        <f t="shared" ca="1" si="254"/>
        <v/>
      </c>
    </row>
    <row r="2258" spans="1:10" x14ac:dyDescent="0.25">
      <c r="A2258" t="s">
        <v>305</v>
      </c>
      <c r="B2258" t="str">
        <f>ADDRESS(ROW('Bond 1'!$C$37),COLUMN('Bond 1'!$C$37),4)</f>
        <v>C37</v>
      </c>
      <c r="C2258" t="str">
        <f>ADDRESS(ROW('Bond 1'!$D$37),COLUMN('Bond 1'!$D$37),4)</f>
        <v>D37</v>
      </c>
      <c r="D2258" t="b" cm="1">
        <f t="array" aca="1" ref="D2258" ca="1">IF(INDIRECT("'"&amp;A2258&amp;"'!"&amp;B2258)="",FALSE,IF(INDIRECT("'"&amp;A2258&amp;"'!"&amp;B2258)&lt;0,TRUE,FALSE))</f>
        <v>0</v>
      </c>
      <c r="E2258" t="s">
        <v>434</v>
      </c>
      <c r="F2258" t="str">
        <f>INDEX(Lists!I:I,MATCH(Validation!E2258,Lists!G:G,0))</f>
        <v>Error</v>
      </c>
      <c r="G2258" t="str">
        <f>INDEX(Lists!H:H,MATCH(Validation!E2258,Lists!G:G,0))</f>
        <v>Amount may not be negative. Enter an amount greater than or equal to zero.</v>
      </c>
      <c r="H2258" s="25" t="str">
        <f t="shared" ca="1" si="252"/>
        <v/>
      </c>
      <c r="I2258" s="25" t="str">
        <f t="shared" ca="1" si="253"/>
        <v/>
      </c>
      <c r="J2258" s="26" t="str">
        <f t="shared" ca="1" si="254"/>
        <v/>
      </c>
    </row>
    <row r="2259" spans="1:10" x14ac:dyDescent="0.25">
      <c r="A2259" t="s">
        <v>306</v>
      </c>
      <c r="B2259" t="str">
        <f>ADDRESS(ROW('Bond 1'!$C$37),COLUMN('Bond 1'!$C$37),4)</f>
        <v>C37</v>
      </c>
      <c r="C2259" t="str">
        <f>ADDRESS(ROW('Bond 1'!$D$37),COLUMN('Bond 1'!$D$37),4)</f>
        <v>D37</v>
      </c>
      <c r="D2259" t="b" cm="1">
        <f t="array" aca="1" ref="D2259" ca="1">IF(INDIRECT("'"&amp;A2259&amp;"'!"&amp;B2259)="",FALSE,IF(INDIRECT("'"&amp;A2259&amp;"'!"&amp;B2259)&lt;0,TRUE,FALSE))</f>
        <v>0</v>
      </c>
      <c r="E2259" t="s">
        <v>434</v>
      </c>
      <c r="F2259" t="str">
        <f>INDEX(Lists!I:I,MATCH(Validation!E2259,Lists!G:G,0))</f>
        <v>Error</v>
      </c>
      <c r="G2259" t="str">
        <f>INDEX(Lists!H:H,MATCH(Validation!E2259,Lists!G:G,0))</f>
        <v>Amount may not be negative. Enter an amount greater than or equal to zero.</v>
      </c>
      <c r="H2259" s="25" t="str">
        <f t="shared" ca="1" si="252"/>
        <v/>
      </c>
      <c r="I2259" s="25" t="str">
        <f t="shared" ca="1" si="253"/>
        <v/>
      </c>
      <c r="J2259" s="26" t="str">
        <f t="shared" ca="1" si="254"/>
        <v/>
      </c>
    </row>
    <row r="2260" spans="1:10" x14ac:dyDescent="0.25">
      <c r="A2260" t="s">
        <v>307</v>
      </c>
      <c r="B2260" t="str">
        <f>ADDRESS(ROW('Bond 1'!$C$37),COLUMN('Bond 1'!$C$37),4)</f>
        <v>C37</v>
      </c>
      <c r="C2260" t="str">
        <f>ADDRESS(ROW('Bond 1'!$D$37),COLUMN('Bond 1'!$D$37),4)</f>
        <v>D37</v>
      </c>
      <c r="D2260" t="b" cm="1">
        <f t="array" aca="1" ref="D2260" ca="1">IF(INDIRECT("'"&amp;A2260&amp;"'!"&amp;B2260)="",FALSE,IF(INDIRECT("'"&amp;A2260&amp;"'!"&amp;B2260)&lt;0,TRUE,FALSE))</f>
        <v>0</v>
      </c>
      <c r="E2260" t="s">
        <v>434</v>
      </c>
      <c r="F2260" t="str">
        <f>INDEX(Lists!I:I,MATCH(Validation!E2260,Lists!G:G,0))</f>
        <v>Error</v>
      </c>
      <c r="G2260" t="str">
        <f>INDEX(Lists!H:H,MATCH(Validation!E2260,Lists!G:G,0))</f>
        <v>Amount may not be negative. Enter an amount greater than or equal to zero.</v>
      </c>
      <c r="H2260" s="25" t="str">
        <f t="shared" ca="1" si="252"/>
        <v/>
      </c>
      <c r="I2260" s="25" t="str">
        <f t="shared" ca="1" si="253"/>
        <v/>
      </c>
      <c r="J2260" s="26" t="str">
        <f t="shared" ca="1" si="254"/>
        <v/>
      </c>
    </row>
    <row r="2261" spans="1:10" x14ac:dyDescent="0.25">
      <c r="A2261" t="s">
        <v>308</v>
      </c>
      <c r="B2261" t="str">
        <f>ADDRESS(ROW('Bond 1'!$C$37),COLUMN('Bond 1'!$C$37),4)</f>
        <v>C37</v>
      </c>
      <c r="C2261" t="str">
        <f>ADDRESS(ROW('Bond 1'!$D$37),COLUMN('Bond 1'!$D$37),4)</f>
        <v>D37</v>
      </c>
      <c r="D2261" t="b" cm="1">
        <f t="array" aca="1" ref="D2261" ca="1">IF(INDIRECT("'"&amp;A2261&amp;"'!"&amp;B2261)="",FALSE,IF(INDIRECT("'"&amp;A2261&amp;"'!"&amp;B2261)&lt;0,TRUE,FALSE))</f>
        <v>0</v>
      </c>
      <c r="E2261" t="s">
        <v>434</v>
      </c>
      <c r="F2261" t="str">
        <f>INDEX(Lists!I:I,MATCH(Validation!E2261,Lists!G:G,0))</f>
        <v>Error</v>
      </c>
      <c r="G2261" t="str">
        <f>INDEX(Lists!H:H,MATCH(Validation!E2261,Lists!G:G,0))</f>
        <v>Amount may not be negative. Enter an amount greater than or equal to zero.</v>
      </c>
      <c r="H2261" s="25" t="str">
        <f t="shared" ca="1" si="252"/>
        <v/>
      </c>
      <c r="I2261" s="25" t="str">
        <f t="shared" ca="1" si="253"/>
        <v/>
      </c>
      <c r="J2261" s="26" t="str">
        <f t="shared" ca="1" si="254"/>
        <v/>
      </c>
    </row>
    <row r="2262" spans="1:10" x14ac:dyDescent="0.25">
      <c r="A2262" t="s">
        <v>309</v>
      </c>
      <c r="B2262" t="str">
        <f>ADDRESS(ROW('Bond 1'!$C$37),COLUMN('Bond 1'!$C$37),4)</f>
        <v>C37</v>
      </c>
      <c r="C2262" t="str">
        <f>ADDRESS(ROW('Bond 1'!$D$37),COLUMN('Bond 1'!$D$37),4)</f>
        <v>D37</v>
      </c>
      <c r="D2262" t="b" cm="1">
        <f t="array" aca="1" ref="D2262" ca="1">IF(INDIRECT("'"&amp;A2262&amp;"'!"&amp;B2262)="",FALSE,IF(INDIRECT("'"&amp;A2262&amp;"'!"&amp;B2262)&lt;0,TRUE,FALSE))</f>
        <v>0</v>
      </c>
      <c r="E2262" t="s">
        <v>434</v>
      </c>
      <c r="F2262" t="str">
        <f>INDEX(Lists!I:I,MATCH(Validation!E2262,Lists!G:G,0))</f>
        <v>Error</v>
      </c>
      <c r="G2262" t="str">
        <f>INDEX(Lists!H:H,MATCH(Validation!E2262,Lists!G:G,0))</f>
        <v>Amount may not be negative. Enter an amount greater than or equal to zero.</v>
      </c>
      <c r="H2262" s="25" t="str">
        <f t="shared" ca="1" si="252"/>
        <v/>
      </c>
      <c r="I2262" s="25" t="str">
        <f t="shared" ca="1" si="253"/>
        <v/>
      </c>
      <c r="J2262" s="26" t="str">
        <f t="shared" ca="1" si="254"/>
        <v/>
      </c>
    </row>
    <row r="2263" spans="1:10" x14ac:dyDescent="0.25">
      <c r="A2263" t="s">
        <v>310</v>
      </c>
      <c r="B2263" t="str">
        <f>ADDRESS(ROW('Bond 1'!$C$37),COLUMN('Bond 1'!$C$37),4)</f>
        <v>C37</v>
      </c>
      <c r="C2263" t="str">
        <f>ADDRESS(ROW('Bond 1'!$D$37),COLUMN('Bond 1'!$D$37),4)</f>
        <v>D37</v>
      </c>
      <c r="D2263" t="b" cm="1">
        <f t="array" aca="1" ref="D2263" ca="1">IF(INDIRECT("'"&amp;A2263&amp;"'!"&amp;B2263)="",FALSE,IF(INDIRECT("'"&amp;A2263&amp;"'!"&amp;B2263)&lt;0,TRUE,FALSE))</f>
        <v>0</v>
      </c>
      <c r="E2263" t="s">
        <v>434</v>
      </c>
      <c r="F2263" t="str">
        <f>INDEX(Lists!I:I,MATCH(Validation!E2263,Lists!G:G,0))</f>
        <v>Error</v>
      </c>
      <c r="G2263" t="str">
        <f>INDEX(Lists!H:H,MATCH(Validation!E2263,Lists!G:G,0))</f>
        <v>Amount may not be negative. Enter an amount greater than or equal to zero.</v>
      </c>
      <c r="H2263" s="25" t="str">
        <f t="shared" ca="1" si="252"/>
        <v/>
      </c>
      <c r="I2263" s="25" t="str">
        <f t="shared" ca="1" si="253"/>
        <v/>
      </c>
      <c r="J2263" s="26" t="str">
        <f t="shared" ca="1" si="254"/>
        <v/>
      </c>
    </row>
    <row r="2264" spans="1:10" x14ac:dyDescent="0.25">
      <c r="A2264" t="s">
        <v>311</v>
      </c>
      <c r="B2264" t="str">
        <f>ADDRESS(ROW('Bond 1'!$C$37),COLUMN('Bond 1'!$C$37),4)</f>
        <v>C37</v>
      </c>
      <c r="C2264" t="str">
        <f>ADDRESS(ROW('Bond 1'!$D$37),COLUMN('Bond 1'!$D$37),4)</f>
        <v>D37</v>
      </c>
      <c r="D2264" t="b" cm="1">
        <f t="array" aca="1" ref="D2264" ca="1">IF(INDIRECT("'"&amp;A2264&amp;"'!"&amp;B2264)="",FALSE,IF(INDIRECT("'"&amp;A2264&amp;"'!"&amp;B2264)&lt;0,TRUE,FALSE))</f>
        <v>0</v>
      </c>
      <c r="E2264" t="s">
        <v>434</v>
      </c>
      <c r="F2264" t="str">
        <f>INDEX(Lists!I:I,MATCH(Validation!E2264,Lists!G:G,0))</f>
        <v>Error</v>
      </c>
      <c r="G2264" t="str">
        <f>INDEX(Lists!H:H,MATCH(Validation!E2264,Lists!G:G,0))</f>
        <v>Amount may not be negative. Enter an amount greater than or equal to zero.</v>
      </c>
      <c r="H2264" s="25" t="str">
        <f t="shared" ca="1" si="252"/>
        <v/>
      </c>
      <c r="I2264" s="25" t="str">
        <f t="shared" ca="1" si="253"/>
        <v/>
      </c>
      <c r="J2264" s="26" t="str">
        <f t="shared" ca="1" si="254"/>
        <v/>
      </c>
    </row>
    <row r="2265" spans="1:10" x14ac:dyDescent="0.25">
      <c r="A2265" t="s">
        <v>312</v>
      </c>
      <c r="B2265" t="str">
        <f>ADDRESS(ROW('Bond 1'!$C$37),COLUMN('Bond 1'!$C$37),4)</f>
        <v>C37</v>
      </c>
      <c r="C2265" t="str">
        <f>ADDRESS(ROW('Bond 1'!$D$37),COLUMN('Bond 1'!$D$37),4)</f>
        <v>D37</v>
      </c>
      <c r="D2265" t="b" cm="1">
        <f t="array" aca="1" ref="D2265" ca="1">IF(INDIRECT("'"&amp;A2265&amp;"'!"&amp;B2265)="",FALSE,IF(INDIRECT("'"&amp;A2265&amp;"'!"&amp;B2265)&lt;0,TRUE,FALSE))</f>
        <v>0</v>
      </c>
      <c r="E2265" t="s">
        <v>434</v>
      </c>
      <c r="F2265" t="str">
        <f>INDEX(Lists!I:I,MATCH(Validation!E2265,Lists!G:G,0))</f>
        <v>Error</v>
      </c>
      <c r="G2265" t="str">
        <f>INDEX(Lists!H:H,MATCH(Validation!E2265,Lists!G:G,0))</f>
        <v>Amount may not be negative. Enter an amount greater than or equal to zero.</v>
      </c>
      <c r="H2265" s="25" t="str">
        <f t="shared" ca="1" si="252"/>
        <v/>
      </c>
      <c r="I2265" s="25" t="str">
        <f t="shared" ca="1" si="253"/>
        <v/>
      </c>
      <c r="J2265" s="26" t="str">
        <f t="shared" ca="1" si="254"/>
        <v/>
      </c>
    </row>
    <row r="2266" spans="1:10" x14ac:dyDescent="0.25">
      <c r="A2266" t="s">
        <v>313</v>
      </c>
      <c r="B2266" t="str">
        <f>ADDRESS(ROW('Bond 1'!$C$37),COLUMN('Bond 1'!$C$37),4)</f>
        <v>C37</v>
      </c>
      <c r="C2266" t="str">
        <f>ADDRESS(ROW('Bond 1'!$D$37),COLUMN('Bond 1'!$D$37),4)</f>
        <v>D37</v>
      </c>
      <c r="D2266" t="b" cm="1">
        <f t="array" aca="1" ref="D2266" ca="1">IF(INDIRECT("'"&amp;A2266&amp;"'!"&amp;B2266)="",FALSE,IF(INDIRECT("'"&amp;A2266&amp;"'!"&amp;B2266)&lt;0,TRUE,FALSE))</f>
        <v>0</v>
      </c>
      <c r="E2266" t="s">
        <v>434</v>
      </c>
      <c r="F2266" t="str">
        <f>INDEX(Lists!I:I,MATCH(Validation!E2266,Lists!G:G,0))</f>
        <v>Error</v>
      </c>
      <c r="G2266" t="str">
        <f>INDEX(Lists!H:H,MATCH(Validation!E2266,Lists!G:G,0))</f>
        <v>Amount may not be negative. Enter an amount greater than or equal to zero.</v>
      </c>
      <c r="H2266" s="25" t="str">
        <f t="shared" ca="1" si="252"/>
        <v/>
      </c>
      <c r="I2266" s="25" t="str">
        <f t="shared" ca="1" si="253"/>
        <v/>
      </c>
      <c r="J2266" s="26" t="str">
        <f t="shared" ca="1" si="254"/>
        <v/>
      </c>
    </row>
    <row r="2267" spans="1:10" x14ac:dyDescent="0.25">
      <c r="A2267" t="s">
        <v>314</v>
      </c>
      <c r="B2267" t="str">
        <f>ADDRESS(ROW('Bond 1'!$C$37),COLUMN('Bond 1'!$C$37),4)</f>
        <v>C37</v>
      </c>
      <c r="C2267" t="str">
        <f>ADDRESS(ROW('Bond 1'!$D$37),COLUMN('Bond 1'!$D$37),4)</f>
        <v>D37</v>
      </c>
      <c r="D2267" t="b" cm="1">
        <f t="array" aca="1" ref="D2267" ca="1">IF(INDIRECT("'"&amp;A2267&amp;"'!"&amp;B2267)="",FALSE,IF(INDIRECT("'"&amp;A2267&amp;"'!"&amp;B2267)&lt;0,TRUE,FALSE))</f>
        <v>0</v>
      </c>
      <c r="E2267" t="s">
        <v>434</v>
      </c>
      <c r="F2267" t="str">
        <f>INDEX(Lists!I:I,MATCH(Validation!E2267,Lists!G:G,0))</f>
        <v>Error</v>
      </c>
      <c r="G2267" t="str">
        <f>INDEX(Lists!H:H,MATCH(Validation!E2267,Lists!G:G,0))</f>
        <v>Amount may not be negative. Enter an amount greater than or equal to zero.</v>
      </c>
      <c r="H2267" s="25" t="str">
        <f t="shared" ca="1" si="252"/>
        <v/>
      </c>
      <c r="I2267" s="25" t="str">
        <f t="shared" ca="1" si="253"/>
        <v/>
      </c>
      <c r="J2267" s="26" t="str">
        <f t="shared" ca="1" si="254"/>
        <v/>
      </c>
    </row>
    <row r="2268" spans="1:10" x14ac:dyDescent="0.25">
      <c r="A2268" t="s">
        <v>315</v>
      </c>
      <c r="B2268" t="str">
        <f>ADDRESS(ROW('Bond 1'!$C$37),COLUMN('Bond 1'!$C$37),4)</f>
        <v>C37</v>
      </c>
      <c r="C2268" t="str">
        <f>ADDRESS(ROW('Bond 1'!$D$37),COLUMN('Bond 1'!$D$37),4)</f>
        <v>D37</v>
      </c>
      <c r="D2268" t="b" cm="1">
        <f t="array" aca="1" ref="D2268" ca="1">IF(INDIRECT("'"&amp;A2268&amp;"'!"&amp;B2268)="",FALSE,IF(INDIRECT("'"&amp;A2268&amp;"'!"&amp;B2268)&lt;0,TRUE,FALSE))</f>
        <v>0</v>
      </c>
      <c r="E2268" t="s">
        <v>434</v>
      </c>
      <c r="F2268" t="str">
        <f>INDEX(Lists!I:I,MATCH(Validation!E2268,Lists!G:G,0))</f>
        <v>Error</v>
      </c>
      <c r="G2268" t="str">
        <f>INDEX(Lists!H:H,MATCH(Validation!E2268,Lists!G:G,0))</f>
        <v>Amount may not be negative. Enter an amount greater than or equal to zero.</v>
      </c>
      <c r="H2268" s="25" t="str">
        <f t="shared" ca="1" si="252"/>
        <v/>
      </c>
      <c r="I2268" s="25" t="str">
        <f t="shared" ca="1" si="253"/>
        <v/>
      </c>
      <c r="J2268" s="26" t="str">
        <f t="shared" ca="1" si="254"/>
        <v/>
      </c>
    </row>
    <row r="2269" spans="1:10" x14ac:dyDescent="0.25">
      <c r="A2269" t="s">
        <v>198</v>
      </c>
      <c r="B2269" t="str">
        <f>ADDRESS(ROW('Bond 1'!$C$37),COLUMN('Bond 1'!$C$37),4)</f>
        <v>C37</v>
      </c>
      <c r="C2269" t="str">
        <f>ADDRESS(ROW('Bond 1'!$D$37),COLUMN('Bond 1'!$D$37),4)</f>
        <v>D37</v>
      </c>
      <c r="D2269" t="b" cm="1">
        <f t="array" aca="1" ref="D2269" ca="1">IF(INDIRECT("'"&amp;A2269&amp;"'!"&amp;B2269)="",FALSE,IF(TRUNC(INDIRECT("'"&amp;A2269&amp;"'!"&amp;B2269))=INDIRECT("'"&amp;A2269&amp;"'!"&amp;B2269),FALSE,TRUE))</f>
        <v>0</v>
      </c>
      <c r="E2269" t="s">
        <v>436</v>
      </c>
      <c r="F2269" t="str">
        <f>INDEX(Lists!I:I,MATCH(Validation!E2269,Lists!G:G,0))</f>
        <v>Error</v>
      </c>
      <c r="G2269" t="str">
        <f>INDEX(Lists!H:H,MATCH(Validation!E2269,Lists!G:G,0))</f>
        <v>Amount must be rounded to the nearest dollar.</v>
      </c>
      <c r="H2269" s="25" t="str">
        <f t="shared" ca="1" si="252"/>
        <v/>
      </c>
      <c r="I2269" s="25" t="str">
        <f t="shared" ca="1" si="253"/>
        <v/>
      </c>
      <c r="J2269" s="26" t="str">
        <f t="shared" ca="1" si="254"/>
        <v/>
      </c>
    </row>
    <row r="2270" spans="1:10" x14ac:dyDescent="0.25">
      <c r="A2270" t="s">
        <v>302</v>
      </c>
      <c r="B2270" t="str">
        <f>ADDRESS(ROW('Bond 1'!$C$37),COLUMN('Bond 1'!$C$37),4)</f>
        <v>C37</v>
      </c>
      <c r="C2270" t="str">
        <f>ADDRESS(ROW('Bond 1'!$D$37),COLUMN('Bond 1'!$D$37),4)</f>
        <v>D37</v>
      </c>
      <c r="D2270" t="b" cm="1">
        <f t="array" aca="1" ref="D2270" ca="1">IF(INDIRECT("'"&amp;A2270&amp;"'!"&amp;B2270)="",FALSE,IF(TRUNC(INDIRECT("'"&amp;A2270&amp;"'!"&amp;B2270))=INDIRECT("'"&amp;A2270&amp;"'!"&amp;B2270),FALSE,TRUE))</f>
        <v>0</v>
      </c>
      <c r="E2270" t="s">
        <v>436</v>
      </c>
      <c r="F2270" t="str">
        <f>INDEX(Lists!I:I,MATCH(Validation!E2270,Lists!G:G,0))</f>
        <v>Error</v>
      </c>
      <c r="G2270" t="str">
        <f>INDEX(Lists!H:H,MATCH(Validation!E2270,Lists!G:G,0))</f>
        <v>Amount must be rounded to the nearest dollar.</v>
      </c>
      <c r="H2270" s="25" t="str">
        <f t="shared" ca="1" si="252"/>
        <v/>
      </c>
      <c r="I2270" s="25" t="str">
        <f t="shared" ca="1" si="253"/>
        <v/>
      </c>
      <c r="J2270" s="26" t="str">
        <f t="shared" ca="1" si="254"/>
        <v/>
      </c>
    </row>
    <row r="2271" spans="1:10" x14ac:dyDescent="0.25">
      <c r="A2271" t="s">
        <v>303</v>
      </c>
      <c r="B2271" t="str">
        <f>ADDRESS(ROW('Bond 1'!$C$37),COLUMN('Bond 1'!$C$37),4)</f>
        <v>C37</v>
      </c>
      <c r="C2271" t="str">
        <f>ADDRESS(ROW('Bond 1'!$D$37),COLUMN('Bond 1'!$D$37),4)</f>
        <v>D37</v>
      </c>
      <c r="D2271" t="b" cm="1">
        <f t="array" aca="1" ref="D2271" ca="1">IF(INDIRECT("'"&amp;A2271&amp;"'!"&amp;B2271)="",FALSE,IF(TRUNC(INDIRECT("'"&amp;A2271&amp;"'!"&amp;B2271))=INDIRECT("'"&amp;A2271&amp;"'!"&amp;B2271),FALSE,TRUE))</f>
        <v>0</v>
      </c>
      <c r="E2271" t="s">
        <v>436</v>
      </c>
      <c r="F2271" t="str">
        <f>INDEX(Lists!I:I,MATCH(Validation!E2271,Lists!G:G,0))</f>
        <v>Error</v>
      </c>
      <c r="G2271" t="str">
        <f>INDEX(Lists!H:H,MATCH(Validation!E2271,Lists!G:G,0))</f>
        <v>Amount must be rounded to the nearest dollar.</v>
      </c>
      <c r="H2271" s="25" t="str">
        <f t="shared" ca="1" si="252"/>
        <v/>
      </c>
      <c r="I2271" s="25" t="str">
        <f t="shared" ca="1" si="253"/>
        <v/>
      </c>
      <c r="J2271" s="26" t="str">
        <f t="shared" ca="1" si="254"/>
        <v/>
      </c>
    </row>
    <row r="2272" spans="1:10" x14ac:dyDescent="0.25">
      <c r="A2272" t="s">
        <v>304</v>
      </c>
      <c r="B2272" t="str">
        <f>ADDRESS(ROW('Bond 1'!$C$37),COLUMN('Bond 1'!$C$37),4)</f>
        <v>C37</v>
      </c>
      <c r="C2272" t="str">
        <f>ADDRESS(ROW('Bond 1'!$D$37),COLUMN('Bond 1'!$D$37),4)</f>
        <v>D37</v>
      </c>
      <c r="D2272" t="b" cm="1">
        <f t="array" aca="1" ref="D2272" ca="1">IF(INDIRECT("'"&amp;A2272&amp;"'!"&amp;B2272)="",FALSE,IF(TRUNC(INDIRECT("'"&amp;A2272&amp;"'!"&amp;B2272))=INDIRECT("'"&amp;A2272&amp;"'!"&amp;B2272),FALSE,TRUE))</f>
        <v>0</v>
      </c>
      <c r="E2272" t="s">
        <v>436</v>
      </c>
      <c r="F2272" t="str">
        <f>INDEX(Lists!I:I,MATCH(Validation!E2272,Lists!G:G,0))</f>
        <v>Error</v>
      </c>
      <c r="G2272" t="str">
        <f>INDEX(Lists!H:H,MATCH(Validation!E2272,Lists!G:G,0))</f>
        <v>Amount must be rounded to the nearest dollar.</v>
      </c>
      <c r="H2272" s="25" t="str">
        <f t="shared" ca="1" si="252"/>
        <v/>
      </c>
      <c r="I2272" s="25" t="str">
        <f t="shared" ca="1" si="253"/>
        <v/>
      </c>
      <c r="J2272" s="26" t="str">
        <f t="shared" ca="1" si="254"/>
        <v/>
      </c>
    </row>
    <row r="2273" spans="1:10" x14ac:dyDescent="0.25">
      <c r="A2273" t="s">
        <v>305</v>
      </c>
      <c r="B2273" t="str">
        <f>ADDRESS(ROW('Bond 1'!$C$37),COLUMN('Bond 1'!$C$37),4)</f>
        <v>C37</v>
      </c>
      <c r="C2273" t="str">
        <f>ADDRESS(ROW('Bond 1'!$D$37),COLUMN('Bond 1'!$D$37),4)</f>
        <v>D37</v>
      </c>
      <c r="D2273" t="b" cm="1">
        <f t="array" aca="1" ref="D2273" ca="1">IF(INDIRECT("'"&amp;A2273&amp;"'!"&amp;B2273)="",FALSE,IF(TRUNC(INDIRECT("'"&amp;A2273&amp;"'!"&amp;B2273))=INDIRECT("'"&amp;A2273&amp;"'!"&amp;B2273),FALSE,TRUE))</f>
        <v>0</v>
      </c>
      <c r="E2273" t="s">
        <v>436</v>
      </c>
      <c r="F2273" t="str">
        <f>INDEX(Lists!I:I,MATCH(Validation!E2273,Lists!G:G,0))</f>
        <v>Error</v>
      </c>
      <c r="G2273" t="str">
        <f>INDEX(Lists!H:H,MATCH(Validation!E2273,Lists!G:G,0))</f>
        <v>Amount must be rounded to the nearest dollar.</v>
      </c>
      <c r="H2273" s="25" t="str">
        <f t="shared" ref="H2273:H2317" ca="1" si="255">IFERROR(IF(OR(NOT(D2273),F2273&lt;&gt;"Error"),"",A2273&amp;CELL("address",INDIRECT(B2273))),"")</f>
        <v/>
      </c>
      <c r="I2273" s="25" t="str">
        <f t="shared" ref="I2273:I2317" ca="1" si="256">IFERROR(IF(NOT(D2273),"",A2273&amp;CELL("address",INDIRECT(C2273))),"")</f>
        <v/>
      </c>
      <c r="J2273" s="26" t="str">
        <f t="shared" ref="J2273:J2317" ca="1" si="257">IFERROR(IF(NOT(D2273),"",A2273),"")</f>
        <v/>
      </c>
    </row>
    <row r="2274" spans="1:10" x14ac:dyDescent="0.25">
      <c r="A2274" t="s">
        <v>306</v>
      </c>
      <c r="B2274" t="str">
        <f>ADDRESS(ROW('Bond 1'!$C$37),COLUMN('Bond 1'!$C$37),4)</f>
        <v>C37</v>
      </c>
      <c r="C2274" t="str">
        <f>ADDRESS(ROW('Bond 1'!$D$37),COLUMN('Bond 1'!$D$37),4)</f>
        <v>D37</v>
      </c>
      <c r="D2274" t="b" cm="1">
        <f t="array" aca="1" ref="D2274" ca="1">IF(INDIRECT("'"&amp;A2274&amp;"'!"&amp;B2274)="",FALSE,IF(TRUNC(INDIRECT("'"&amp;A2274&amp;"'!"&amp;B2274))=INDIRECT("'"&amp;A2274&amp;"'!"&amp;B2274),FALSE,TRUE))</f>
        <v>0</v>
      </c>
      <c r="E2274" t="s">
        <v>436</v>
      </c>
      <c r="F2274" t="str">
        <f>INDEX(Lists!I:I,MATCH(Validation!E2274,Lists!G:G,0))</f>
        <v>Error</v>
      </c>
      <c r="G2274" t="str">
        <f>INDEX(Lists!H:H,MATCH(Validation!E2274,Lists!G:G,0))</f>
        <v>Amount must be rounded to the nearest dollar.</v>
      </c>
      <c r="H2274" s="25" t="str">
        <f t="shared" ca="1" si="255"/>
        <v/>
      </c>
      <c r="I2274" s="25" t="str">
        <f t="shared" ca="1" si="256"/>
        <v/>
      </c>
      <c r="J2274" s="26" t="str">
        <f t="shared" ca="1" si="257"/>
        <v/>
      </c>
    </row>
    <row r="2275" spans="1:10" x14ac:dyDescent="0.25">
      <c r="A2275" t="s">
        <v>307</v>
      </c>
      <c r="B2275" t="str">
        <f>ADDRESS(ROW('Bond 1'!$C$37),COLUMN('Bond 1'!$C$37),4)</f>
        <v>C37</v>
      </c>
      <c r="C2275" t="str">
        <f>ADDRESS(ROW('Bond 1'!$D$37),COLUMN('Bond 1'!$D$37),4)</f>
        <v>D37</v>
      </c>
      <c r="D2275" t="b" cm="1">
        <f t="array" aca="1" ref="D2275" ca="1">IF(INDIRECT("'"&amp;A2275&amp;"'!"&amp;B2275)="",FALSE,IF(TRUNC(INDIRECT("'"&amp;A2275&amp;"'!"&amp;B2275))=INDIRECT("'"&amp;A2275&amp;"'!"&amp;B2275),FALSE,TRUE))</f>
        <v>0</v>
      </c>
      <c r="E2275" t="s">
        <v>436</v>
      </c>
      <c r="F2275" t="str">
        <f>INDEX(Lists!I:I,MATCH(Validation!E2275,Lists!G:G,0))</f>
        <v>Error</v>
      </c>
      <c r="G2275" t="str">
        <f>INDEX(Lists!H:H,MATCH(Validation!E2275,Lists!G:G,0))</f>
        <v>Amount must be rounded to the nearest dollar.</v>
      </c>
      <c r="H2275" s="25" t="str">
        <f t="shared" ca="1" si="255"/>
        <v/>
      </c>
      <c r="I2275" s="25" t="str">
        <f t="shared" ca="1" si="256"/>
        <v/>
      </c>
      <c r="J2275" s="26" t="str">
        <f t="shared" ca="1" si="257"/>
        <v/>
      </c>
    </row>
    <row r="2276" spans="1:10" x14ac:dyDescent="0.25">
      <c r="A2276" t="s">
        <v>308</v>
      </c>
      <c r="B2276" t="str">
        <f>ADDRESS(ROW('Bond 1'!$C$37),COLUMN('Bond 1'!$C$37),4)</f>
        <v>C37</v>
      </c>
      <c r="C2276" t="str">
        <f>ADDRESS(ROW('Bond 1'!$D$37),COLUMN('Bond 1'!$D$37),4)</f>
        <v>D37</v>
      </c>
      <c r="D2276" t="b" cm="1">
        <f t="array" aca="1" ref="D2276" ca="1">IF(INDIRECT("'"&amp;A2276&amp;"'!"&amp;B2276)="",FALSE,IF(TRUNC(INDIRECT("'"&amp;A2276&amp;"'!"&amp;B2276))=INDIRECT("'"&amp;A2276&amp;"'!"&amp;B2276),FALSE,TRUE))</f>
        <v>0</v>
      </c>
      <c r="E2276" t="s">
        <v>436</v>
      </c>
      <c r="F2276" t="str">
        <f>INDEX(Lists!I:I,MATCH(Validation!E2276,Lists!G:G,0))</f>
        <v>Error</v>
      </c>
      <c r="G2276" t="str">
        <f>INDEX(Lists!H:H,MATCH(Validation!E2276,Lists!G:G,0))</f>
        <v>Amount must be rounded to the nearest dollar.</v>
      </c>
      <c r="H2276" s="25" t="str">
        <f t="shared" ca="1" si="255"/>
        <v/>
      </c>
      <c r="I2276" s="25" t="str">
        <f t="shared" ca="1" si="256"/>
        <v/>
      </c>
      <c r="J2276" s="26" t="str">
        <f t="shared" ca="1" si="257"/>
        <v/>
      </c>
    </row>
    <row r="2277" spans="1:10" x14ac:dyDescent="0.25">
      <c r="A2277" t="s">
        <v>309</v>
      </c>
      <c r="B2277" t="str">
        <f>ADDRESS(ROW('Bond 1'!$C$37),COLUMN('Bond 1'!$C$37),4)</f>
        <v>C37</v>
      </c>
      <c r="C2277" t="str">
        <f>ADDRESS(ROW('Bond 1'!$D$37),COLUMN('Bond 1'!$D$37),4)</f>
        <v>D37</v>
      </c>
      <c r="D2277" t="b" cm="1">
        <f t="array" aca="1" ref="D2277" ca="1">IF(INDIRECT("'"&amp;A2277&amp;"'!"&amp;B2277)="",FALSE,IF(TRUNC(INDIRECT("'"&amp;A2277&amp;"'!"&amp;B2277))=INDIRECT("'"&amp;A2277&amp;"'!"&amp;B2277),FALSE,TRUE))</f>
        <v>0</v>
      </c>
      <c r="E2277" t="s">
        <v>436</v>
      </c>
      <c r="F2277" t="str">
        <f>INDEX(Lists!I:I,MATCH(Validation!E2277,Lists!G:G,0))</f>
        <v>Error</v>
      </c>
      <c r="G2277" t="str">
        <f>INDEX(Lists!H:H,MATCH(Validation!E2277,Lists!G:G,0))</f>
        <v>Amount must be rounded to the nearest dollar.</v>
      </c>
      <c r="H2277" s="25" t="str">
        <f t="shared" ca="1" si="255"/>
        <v/>
      </c>
      <c r="I2277" s="25" t="str">
        <f t="shared" ca="1" si="256"/>
        <v/>
      </c>
      <c r="J2277" s="26" t="str">
        <f t="shared" ca="1" si="257"/>
        <v/>
      </c>
    </row>
    <row r="2278" spans="1:10" x14ac:dyDescent="0.25">
      <c r="A2278" t="s">
        <v>310</v>
      </c>
      <c r="B2278" t="str">
        <f>ADDRESS(ROW('Bond 1'!$C$37),COLUMN('Bond 1'!$C$37),4)</f>
        <v>C37</v>
      </c>
      <c r="C2278" t="str">
        <f>ADDRESS(ROW('Bond 1'!$D$37),COLUMN('Bond 1'!$D$37),4)</f>
        <v>D37</v>
      </c>
      <c r="D2278" t="b" cm="1">
        <f t="array" aca="1" ref="D2278" ca="1">IF(INDIRECT("'"&amp;A2278&amp;"'!"&amp;B2278)="",FALSE,IF(TRUNC(INDIRECT("'"&amp;A2278&amp;"'!"&amp;B2278))=INDIRECT("'"&amp;A2278&amp;"'!"&amp;B2278),FALSE,TRUE))</f>
        <v>0</v>
      </c>
      <c r="E2278" t="s">
        <v>436</v>
      </c>
      <c r="F2278" t="str">
        <f>INDEX(Lists!I:I,MATCH(Validation!E2278,Lists!G:G,0))</f>
        <v>Error</v>
      </c>
      <c r="G2278" t="str">
        <f>INDEX(Lists!H:H,MATCH(Validation!E2278,Lists!G:G,0))</f>
        <v>Amount must be rounded to the nearest dollar.</v>
      </c>
      <c r="H2278" s="25" t="str">
        <f t="shared" ca="1" si="255"/>
        <v/>
      </c>
      <c r="I2278" s="25" t="str">
        <f t="shared" ca="1" si="256"/>
        <v/>
      </c>
      <c r="J2278" s="26" t="str">
        <f t="shared" ca="1" si="257"/>
        <v/>
      </c>
    </row>
    <row r="2279" spans="1:10" x14ac:dyDescent="0.25">
      <c r="A2279" t="s">
        <v>311</v>
      </c>
      <c r="B2279" t="str">
        <f>ADDRESS(ROW('Bond 1'!$C$37),COLUMN('Bond 1'!$C$37),4)</f>
        <v>C37</v>
      </c>
      <c r="C2279" t="str">
        <f>ADDRESS(ROW('Bond 1'!$D$37),COLUMN('Bond 1'!$D$37),4)</f>
        <v>D37</v>
      </c>
      <c r="D2279" t="b" cm="1">
        <f t="array" aca="1" ref="D2279" ca="1">IF(INDIRECT("'"&amp;A2279&amp;"'!"&amp;B2279)="",FALSE,IF(TRUNC(INDIRECT("'"&amp;A2279&amp;"'!"&amp;B2279))=INDIRECT("'"&amp;A2279&amp;"'!"&amp;B2279),FALSE,TRUE))</f>
        <v>0</v>
      </c>
      <c r="E2279" t="s">
        <v>436</v>
      </c>
      <c r="F2279" t="str">
        <f>INDEX(Lists!I:I,MATCH(Validation!E2279,Lists!G:G,0))</f>
        <v>Error</v>
      </c>
      <c r="G2279" t="str">
        <f>INDEX(Lists!H:H,MATCH(Validation!E2279,Lists!G:G,0))</f>
        <v>Amount must be rounded to the nearest dollar.</v>
      </c>
      <c r="H2279" s="25" t="str">
        <f t="shared" ca="1" si="255"/>
        <v/>
      </c>
      <c r="I2279" s="25" t="str">
        <f t="shared" ca="1" si="256"/>
        <v/>
      </c>
      <c r="J2279" s="26" t="str">
        <f t="shared" ca="1" si="257"/>
        <v/>
      </c>
    </row>
    <row r="2280" spans="1:10" x14ac:dyDescent="0.25">
      <c r="A2280" t="s">
        <v>312</v>
      </c>
      <c r="B2280" t="str">
        <f>ADDRESS(ROW('Bond 1'!$C$37),COLUMN('Bond 1'!$C$37),4)</f>
        <v>C37</v>
      </c>
      <c r="C2280" t="str">
        <f>ADDRESS(ROW('Bond 1'!$D$37),COLUMN('Bond 1'!$D$37),4)</f>
        <v>D37</v>
      </c>
      <c r="D2280" t="b" cm="1">
        <f t="array" aca="1" ref="D2280" ca="1">IF(INDIRECT("'"&amp;A2280&amp;"'!"&amp;B2280)="",FALSE,IF(TRUNC(INDIRECT("'"&amp;A2280&amp;"'!"&amp;B2280))=INDIRECT("'"&amp;A2280&amp;"'!"&amp;B2280),FALSE,TRUE))</f>
        <v>0</v>
      </c>
      <c r="E2280" t="s">
        <v>436</v>
      </c>
      <c r="F2280" t="str">
        <f>INDEX(Lists!I:I,MATCH(Validation!E2280,Lists!G:G,0))</f>
        <v>Error</v>
      </c>
      <c r="G2280" t="str">
        <f>INDEX(Lists!H:H,MATCH(Validation!E2280,Lists!G:G,0))</f>
        <v>Amount must be rounded to the nearest dollar.</v>
      </c>
      <c r="H2280" s="25" t="str">
        <f t="shared" ca="1" si="255"/>
        <v/>
      </c>
      <c r="I2280" s="25" t="str">
        <f t="shared" ca="1" si="256"/>
        <v/>
      </c>
      <c r="J2280" s="26" t="str">
        <f t="shared" ca="1" si="257"/>
        <v/>
      </c>
    </row>
    <row r="2281" spans="1:10" x14ac:dyDescent="0.25">
      <c r="A2281" t="s">
        <v>313</v>
      </c>
      <c r="B2281" t="str">
        <f>ADDRESS(ROW('Bond 1'!$C$37),COLUMN('Bond 1'!$C$37),4)</f>
        <v>C37</v>
      </c>
      <c r="C2281" t="str">
        <f>ADDRESS(ROW('Bond 1'!$D$37),COLUMN('Bond 1'!$D$37),4)</f>
        <v>D37</v>
      </c>
      <c r="D2281" t="b" cm="1">
        <f t="array" aca="1" ref="D2281" ca="1">IF(INDIRECT("'"&amp;A2281&amp;"'!"&amp;B2281)="",FALSE,IF(TRUNC(INDIRECT("'"&amp;A2281&amp;"'!"&amp;B2281))=INDIRECT("'"&amp;A2281&amp;"'!"&amp;B2281),FALSE,TRUE))</f>
        <v>0</v>
      </c>
      <c r="E2281" t="s">
        <v>436</v>
      </c>
      <c r="F2281" t="str">
        <f>INDEX(Lists!I:I,MATCH(Validation!E2281,Lists!G:G,0))</f>
        <v>Error</v>
      </c>
      <c r="G2281" t="str">
        <f>INDEX(Lists!H:H,MATCH(Validation!E2281,Lists!G:G,0))</f>
        <v>Amount must be rounded to the nearest dollar.</v>
      </c>
      <c r="H2281" s="25" t="str">
        <f t="shared" ca="1" si="255"/>
        <v/>
      </c>
      <c r="I2281" s="25" t="str">
        <f t="shared" ca="1" si="256"/>
        <v/>
      </c>
      <c r="J2281" s="26" t="str">
        <f t="shared" ca="1" si="257"/>
        <v/>
      </c>
    </row>
    <row r="2282" spans="1:10" x14ac:dyDescent="0.25">
      <c r="A2282" t="s">
        <v>314</v>
      </c>
      <c r="B2282" t="str">
        <f>ADDRESS(ROW('Bond 1'!$C$37),COLUMN('Bond 1'!$C$37),4)</f>
        <v>C37</v>
      </c>
      <c r="C2282" t="str">
        <f>ADDRESS(ROW('Bond 1'!$D$37),COLUMN('Bond 1'!$D$37),4)</f>
        <v>D37</v>
      </c>
      <c r="D2282" t="b" cm="1">
        <f t="array" aca="1" ref="D2282" ca="1">IF(INDIRECT("'"&amp;A2282&amp;"'!"&amp;B2282)="",FALSE,IF(TRUNC(INDIRECT("'"&amp;A2282&amp;"'!"&amp;B2282))=INDIRECT("'"&amp;A2282&amp;"'!"&amp;B2282),FALSE,TRUE))</f>
        <v>0</v>
      </c>
      <c r="E2282" t="s">
        <v>436</v>
      </c>
      <c r="F2282" t="str">
        <f>INDEX(Lists!I:I,MATCH(Validation!E2282,Lists!G:G,0))</f>
        <v>Error</v>
      </c>
      <c r="G2282" t="str">
        <f>INDEX(Lists!H:H,MATCH(Validation!E2282,Lists!G:G,0))</f>
        <v>Amount must be rounded to the nearest dollar.</v>
      </c>
      <c r="H2282" s="25" t="str">
        <f t="shared" ca="1" si="255"/>
        <v/>
      </c>
      <c r="I2282" s="25" t="str">
        <f t="shared" ca="1" si="256"/>
        <v/>
      </c>
      <c r="J2282" s="26" t="str">
        <f t="shared" ca="1" si="257"/>
        <v/>
      </c>
    </row>
    <row r="2283" spans="1:10" x14ac:dyDescent="0.25">
      <c r="A2283" t="s">
        <v>315</v>
      </c>
      <c r="B2283" t="str">
        <f>ADDRESS(ROW('Bond 1'!$C$37),COLUMN('Bond 1'!$C$37),4)</f>
        <v>C37</v>
      </c>
      <c r="C2283" t="str">
        <f>ADDRESS(ROW('Bond 1'!$D$37),COLUMN('Bond 1'!$D$37),4)</f>
        <v>D37</v>
      </c>
      <c r="D2283" t="b" cm="1">
        <f t="array" aca="1" ref="D2283" ca="1">IF(INDIRECT("'"&amp;A2283&amp;"'!"&amp;B2283)="",FALSE,IF(TRUNC(INDIRECT("'"&amp;A2283&amp;"'!"&amp;B2283))=INDIRECT("'"&amp;A2283&amp;"'!"&amp;B2283),FALSE,TRUE))</f>
        <v>0</v>
      </c>
      <c r="E2283" t="s">
        <v>436</v>
      </c>
      <c r="F2283" t="str">
        <f>INDEX(Lists!I:I,MATCH(Validation!E2283,Lists!G:G,0))</f>
        <v>Error</v>
      </c>
      <c r="G2283" t="str">
        <f>INDEX(Lists!H:H,MATCH(Validation!E2283,Lists!G:G,0))</f>
        <v>Amount must be rounded to the nearest dollar.</v>
      </c>
      <c r="H2283" s="25" t="str">
        <f t="shared" ca="1" si="255"/>
        <v/>
      </c>
      <c r="I2283" s="25" t="str">
        <f t="shared" ca="1" si="256"/>
        <v/>
      </c>
      <c r="J2283" s="26" t="str">
        <f t="shared" ca="1" si="257"/>
        <v/>
      </c>
    </row>
    <row r="2284" spans="1:10" x14ac:dyDescent="0.25">
      <c r="A2284" t="s">
        <v>198</v>
      </c>
      <c r="B2284" t="str">
        <f>ADDRESS(ROW('Bond 1'!$B$38),COLUMN('Bond 1'!$B$38),4)</f>
        <v>B38</v>
      </c>
      <c r="C2284" t="str">
        <f>ADDRESS(ROW('Bond 1'!$D$38),COLUMN('Bond 1'!$D$38),4)</f>
        <v>D38</v>
      </c>
      <c r="D2284" t="b" cm="1">
        <f t="array" aca="1" ref="D2284" ca="1">IF(AND('Bond 1'!B$8="Non-TIF Bond",OR(ISBLANK(INDIRECT("'"&amp;A2284&amp;"'!"&amp;B2284)),INDIRECT("'"&amp;A2284&amp;"'!"&amp;B2284)&lt;&gt;0)),TRUE,FALSE)</f>
        <v>0</v>
      </c>
      <c r="E2284" t="s">
        <v>630</v>
      </c>
      <c r="F2284" t="str">
        <f>INDEX(Lists!I:I,MATCH(Validation!E2284,Lists!G:G,0))</f>
        <v>Error</v>
      </c>
      <c r="G2284" t="str">
        <f>INDEX(Lists!H:H,MATCH(Validation!E2284,Lists!G:G,0))</f>
        <v>Enter $0 if debt type is Non-TIF Bond.</v>
      </c>
      <c r="H2284" s="25" t="str">
        <f t="shared" ref="H2284:H2298" ca="1" si="258">IFERROR(IF(OR(NOT(D2284),F2284&lt;&gt;"Error"),"",A2284&amp;CELL("address",INDIRECT(B2284))),"")</f>
        <v/>
      </c>
      <c r="I2284" s="25" t="str">
        <f t="shared" ref="I2284:I2298" ca="1" si="259">IFERROR(IF(NOT(D2284),"",A2284&amp;CELL("address",INDIRECT(C2284))),"")</f>
        <v/>
      </c>
      <c r="J2284" s="26" t="str">
        <f t="shared" ref="J2284:J2298" ca="1" si="260">IFERROR(IF(NOT(D2284),"",A2284),"")</f>
        <v/>
      </c>
    </row>
    <row r="2285" spans="1:10" x14ac:dyDescent="0.25">
      <c r="A2285" t="s">
        <v>302</v>
      </c>
      <c r="B2285" t="str">
        <f>ADDRESS(ROW('Bond 1'!$B$38),COLUMN('Bond 1'!$B$38),4)</f>
        <v>B38</v>
      </c>
      <c r="C2285" t="str">
        <f>ADDRESS(ROW('Bond 1'!$D$38),COLUMN('Bond 1'!$D$38),4)</f>
        <v>D38</v>
      </c>
      <c r="D2285" t="b" cm="1">
        <f t="array" aca="1" ref="D2285" ca="1">IF(AND('Bond 2'!B$8="Non-TIF Bond",OR(ISBLANK(INDIRECT("'"&amp;A2285&amp;"'!"&amp;B2285)),INDIRECT("'"&amp;A2285&amp;"'!"&amp;B2285)&lt;&gt;0)),TRUE,FALSE)</f>
        <v>0</v>
      </c>
      <c r="E2285" t="s">
        <v>630</v>
      </c>
      <c r="F2285" t="str">
        <f>INDEX(Lists!I:I,MATCH(Validation!E2285,Lists!G:G,0))</f>
        <v>Error</v>
      </c>
      <c r="G2285" t="str">
        <f>INDEX(Lists!H:H,MATCH(Validation!E2285,Lists!G:G,0))</f>
        <v>Enter $0 if debt type is Non-TIF Bond.</v>
      </c>
      <c r="H2285" s="25" t="str">
        <f t="shared" ca="1" si="258"/>
        <v/>
      </c>
      <c r="I2285" s="25" t="str">
        <f t="shared" ca="1" si="259"/>
        <v/>
      </c>
      <c r="J2285" s="26" t="str">
        <f t="shared" ca="1" si="260"/>
        <v/>
      </c>
    </row>
    <row r="2286" spans="1:10" x14ac:dyDescent="0.25">
      <c r="A2286" t="s">
        <v>303</v>
      </c>
      <c r="B2286" t="str">
        <f>ADDRESS(ROW('Bond 1'!$B$38),COLUMN('Bond 1'!$B$38),4)</f>
        <v>B38</v>
      </c>
      <c r="C2286" t="str">
        <f>ADDRESS(ROW('Bond 1'!$D$38),COLUMN('Bond 1'!$D$38),4)</f>
        <v>D38</v>
      </c>
      <c r="D2286" t="b" cm="1">
        <f t="array" aca="1" ref="D2286" ca="1">IF(AND('Bond 3'!B$8="Non-TIF Bond",OR(ISBLANK(INDIRECT("'"&amp;A2286&amp;"'!"&amp;B2286)),INDIRECT("'"&amp;A2286&amp;"'!"&amp;B2286)&lt;&gt;0)),TRUE,FALSE)</f>
        <v>0</v>
      </c>
      <c r="E2286" t="s">
        <v>630</v>
      </c>
      <c r="F2286" t="str">
        <f>INDEX(Lists!I:I,MATCH(Validation!E2286,Lists!G:G,0))</f>
        <v>Error</v>
      </c>
      <c r="G2286" t="str">
        <f>INDEX(Lists!H:H,MATCH(Validation!E2286,Lists!G:G,0))</f>
        <v>Enter $0 if debt type is Non-TIF Bond.</v>
      </c>
      <c r="H2286" s="25" t="str">
        <f t="shared" ca="1" si="258"/>
        <v/>
      </c>
      <c r="I2286" s="25" t="str">
        <f t="shared" ca="1" si="259"/>
        <v/>
      </c>
      <c r="J2286" s="26" t="str">
        <f t="shared" ca="1" si="260"/>
        <v/>
      </c>
    </row>
    <row r="2287" spans="1:10" x14ac:dyDescent="0.25">
      <c r="A2287" t="s">
        <v>304</v>
      </c>
      <c r="B2287" t="str">
        <f>ADDRESS(ROW('Bond 1'!$B$38),COLUMN('Bond 1'!$B$38),4)</f>
        <v>B38</v>
      </c>
      <c r="C2287" t="str">
        <f>ADDRESS(ROW('Bond 1'!$D$38),COLUMN('Bond 1'!$D$38),4)</f>
        <v>D38</v>
      </c>
      <c r="D2287" t="b" cm="1">
        <f t="array" aca="1" ref="D2287" ca="1">IF(AND('Bond 4'!B$8="Non-TIF Bond",OR(ISBLANK(INDIRECT("'"&amp;A2287&amp;"'!"&amp;B2287)),INDIRECT("'"&amp;A2287&amp;"'!"&amp;B2287)&lt;&gt;0)),TRUE,FALSE)</f>
        <v>0</v>
      </c>
      <c r="E2287" t="s">
        <v>630</v>
      </c>
      <c r="F2287" t="str">
        <f>INDEX(Lists!I:I,MATCH(Validation!E2287,Lists!G:G,0))</f>
        <v>Error</v>
      </c>
      <c r="G2287" t="str">
        <f>INDEX(Lists!H:H,MATCH(Validation!E2287,Lists!G:G,0))</f>
        <v>Enter $0 if debt type is Non-TIF Bond.</v>
      </c>
      <c r="H2287" s="25" t="str">
        <f t="shared" ca="1" si="258"/>
        <v/>
      </c>
      <c r="I2287" s="25" t="str">
        <f t="shared" ca="1" si="259"/>
        <v/>
      </c>
      <c r="J2287" s="26" t="str">
        <f t="shared" ca="1" si="260"/>
        <v/>
      </c>
    </row>
    <row r="2288" spans="1:10" x14ac:dyDescent="0.25">
      <c r="A2288" t="s">
        <v>305</v>
      </c>
      <c r="B2288" t="str">
        <f>ADDRESS(ROW('Bond 1'!$B$38),COLUMN('Bond 1'!$B$38),4)</f>
        <v>B38</v>
      </c>
      <c r="C2288" t="str">
        <f>ADDRESS(ROW('Bond 1'!$D$38),COLUMN('Bond 1'!$D$38),4)</f>
        <v>D38</v>
      </c>
      <c r="D2288" t="b" cm="1">
        <f t="array" aca="1" ref="D2288" ca="1">IF(AND('Bond 5'!B$8="Non-TIF Bond",OR(ISBLANK(INDIRECT("'"&amp;A2288&amp;"'!"&amp;B2288)),INDIRECT("'"&amp;A2288&amp;"'!"&amp;B2288)&lt;&gt;0)),TRUE,FALSE)</f>
        <v>0</v>
      </c>
      <c r="E2288" t="s">
        <v>630</v>
      </c>
      <c r="F2288" t="str">
        <f>INDEX(Lists!I:I,MATCH(Validation!E2288,Lists!G:G,0))</f>
        <v>Error</v>
      </c>
      <c r="G2288" t="str">
        <f>INDEX(Lists!H:H,MATCH(Validation!E2288,Lists!G:G,0))</f>
        <v>Enter $0 if debt type is Non-TIF Bond.</v>
      </c>
      <c r="H2288" s="25" t="str">
        <f t="shared" ca="1" si="258"/>
        <v/>
      </c>
      <c r="I2288" s="25" t="str">
        <f t="shared" ca="1" si="259"/>
        <v/>
      </c>
      <c r="J2288" s="26" t="str">
        <f t="shared" ca="1" si="260"/>
        <v/>
      </c>
    </row>
    <row r="2289" spans="1:10" x14ac:dyDescent="0.25">
      <c r="A2289" t="s">
        <v>306</v>
      </c>
      <c r="B2289" t="str">
        <f>ADDRESS(ROW('Bond 1'!$B$38),COLUMN('Bond 1'!$B$38),4)</f>
        <v>B38</v>
      </c>
      <c r="C2289" t="str">
        <f>ADDRESS(ROW('Bond 1'!$D$38),COLUMN('Bond 1'!$D$38),4)</f>
        <v>D38</v>
      </c>
      <c r="D2289" t="b" cm="1">
        <f t="array" aca="1" ref="D2289" ca="1">IF(AND('Bond 6'!B$8="Non-TIF Bond",OR(ISBLANK(INDIRECT("'"&amp;A2289&amp;"'!"&amp;B2289)),INDIRECT("'"&amp;A2289&amp;"'!"&amp;B2289)&lt;&gt;0)),TRUE,FALSE)</f>
        <v>0</v>
      </c>
      <c r="E2289" t="s">
        <v>630</v>
      </c>
      <c r="F2289" t="str">
        <f>INDEX(Lists!I:I,MATCH(Validation!E2289,Lists!G:G,0))</f>
        <v>Error</v>
      </c>
      <c r="G2289" t="str">
        <f>INDEX(Lists!H:H,MATCH(Validation!E2289,Lists!G:G,0))</f>
        <v>Enter $0 if debt type is Non-TIF Bond.</v>
      </c>
      <c r="H2289" s="25" t="str">
        <f t="shared" ca="1" si="258"/>
        <v/>
      </c>
      <c r="I2289" s="25" t="str">
        <f t="shared" ca="1" si="259"/>
        <v/>
      </c>
      <c r="J2289" s="26" t="str">
        <f t="shared" ca="1" si="260"/>
        <v/>
      </c>
    </row>
    <row r="2290" spans="1:10" x14ac:dyDescent="0.25">
      <c r="A2290" t="s">
        <v>307</v>
      </c>
      <c r="B2290" t="str">
        <f>ADDRESS(ROW('Bond 1'!$B$38),COLUMN('Bond 1'!$B$38),4)</f>
        <v>B38</v>
      </c>
      <c r="C2290" t="str">
        <f>ADDRESS(ROW('Bond 1'!$D$38),COLUMN('Bond 1'!$D$38),4)</f>
        <v>D38</v>
      </c>
      <c r="D2290" t="b" cm="1">
        <f t="array" aca="1" ref="D2290" ca="1">IF(AND('Bond 7'!B$8="Non-TIF Bond",OR(ISBLANK(INDIRECT("'"&amp;A2290&amp;"'!"&amp;B2290)),INDIRECT("'"&amp;A2290&amp;"'!"&amp;B2290)&lt;&gt;0)),TRUE,FALSE)</f>
        <v>0</v>
      </c>
      <c r="E2290" t="s">
        <v>630</v>
      </c>
      <c r="F2290" t="str">
        <f>INDEX(Lists!I:I,MATCH(Validation!E2290,Lists!G:G,0))</f>
        <v>Error</v>
      </c>
      <c r="G2290" t="str">
        <f>INDEX(Lists!H:H,MATCH(Validation!E2290,Lists!G:G,0))</f>
        <v>Enter $0 if debt type is Non-TIF Bond.</v>
      </c>
      <c r="H2290" s="25" t="str">
        <f t="shared" ca="1" si="258"/>
        <v/>
      </c>
      <c r="I2290" s="25" t="str">
        <f t="shared" ca="1" si="259"/>
        <v/>
      </c>
      <c r="J2290" s="26" t="str">
        <f t="shared" ca="1" si="260"/>
        <v/>
      </c>
    </row>
    <row r="2291" spans="1:10" x14ac:dyDescent="0.25">
      <c r="A2291" t="s">
        <v>308</v>
      </c>
      <c r="B2291" t="str">
        <f>ADDRESS(ROW('Bond 1'!$B$38),COLUMN('Bond 1'!$B$38),4)</f>
        <v>B38</v>
      </c>
      <c r="C2291" t="str">
        <f>ADDRESS(ROW('Bond 1'!$D$38),COLUMN('Bond 1'!$D$38),4)</f>
        <v>D38</v>
      </c>
      <c r="D2291" t="b" cm="1">
        <f t="array" aca="1" ref="D2291" ca="1">IF(AND('Bond 8'!B$8="Non-TIF Bond",OR(ISBLANK(INDIRECT("'"&amp;A2291&amp;"'!"&amp;B2291)),INDIRECT("'"&amp;A2291&amp;"'!"&amp;B2291)&lt;&gt;0)),TRUE,FALSE)</f>
        <v>0</v>
      </c>
      <c r="E2291" t="s">
        <v>630</v>
      </c>
      <c r="F2291" t="str">
        <f>INDEX(Lists!I:I,MATCH(Validation!E2291,Lists!G:G,0))</f>
        <v>Error</v>
      </c>
      <c r="G2291" t="str">
        <f>INDEX(Lists!H:H,MATCH(Validation!E2291,Lists!G:G,0))</f>
        <v>Enter $0 if debt type is Non-TIF Bond.</v>
      </c>
      <c r="H2291" s="25" t="str">
        <f t="shared" ca="1" si="258"/>
        <v/>
      </c>
      <c r="I2291" s="25" t="str">
        <f t="shared" ca="1" si="259"/>
        <v/>
      </c>
      <c r="J2291" s="26" t="str">
        <f t="shared" ca="1" si="260"/>
        <v/>
      </c>
    </row>
    <row r="2292" spans="1:10" x14ac:dyDescent="0.25">
      <c r="A2292" t="s">
        <v>309</v>
      </c>
      <c r="B2292" t="str">
        <f>ADDRESS(ROW('Bond 1'!$B$38),COLUMN('Bond 1'!$B$38),4)</f>
        <v>B38</v>
      </c>
      <c r="C2292" t="str">
        <f>ADDRESS(ROW('Bond 1'!$D$38),COLUMN('Bond 1'!$D$38),4)</f>
        <v>D38</v>
      </c>
      <c r="D2292" t="b" cm="1">
        <f t="array" aca="1" ref="D2292" ca="1">IF(AND('Bond 9'!B$8="Non-TIF Bond",OR(ISBLANK(INDIRECT("'"&amp;A2292&amp;"'!"&amp;B2292)),INDIRECT("'"&amp;A2292&amp;"'!"&amp;B2292)&lt;&gt;0)),TRUE,FALSE)</f>
        <v>0</v>
      </c>
      <c r="E2292" t="s">
        <v>630</v>
      </c>
      <c r="F2292" t="str">
        <f>INDEX(Lists!I:I,MATCH(Validation!E2292,Lists!G:G,0))</f>
        <v>Error</v>
      </c>
      <c r="G2292" t="str">
        <f>INDEX(Lists!H:H,MATCH(Validation!E2292,Lists!G:G,0))</f>
        <v>Enter $0 if debt type is Non-TIF Bond.</v>
      </c>
      <c r="H2292" s="25" t="str">
        <f t="shared" ca="1" si="258"/>
        <v/>
      </c>
      <c r="I2292" s="25" t="str">
        <f t="shared" ca="1" si="259"/>
        <v/>
      </c>
      <c r="J2292" s="26" t="str">
        <f t="shared" ca="1" si="260"/>
        <v/>
      </c>
    </row>
    <row r="2293" spans="1:10" x14ac:dyDescent="0.25">
      <c r="A2293" t="s">
        <v>310</v>
      </c>
      <c r="B2293" t="str">
        <f>ADDRESS(ROW('Bond 1'!$B$38),COLUMN('Bond 1'!$B$38),4)</f>
        <v>B38</v>
      </c>
      <c r="C2293" t="str">
        <f>ADDRESS(ROW('Bond 1'!$D$38),COLUMN('Bond 1'!$D$38),4)</f>
        <v>D38</v>
      </c>
      <c r="D2293" t="b" cm="1">
        <f t="array" aca="1" ref="D2293" ca="1">IF(AND('Bond 10'!B$8="Non-TIF Bond",OR(ISBLANK(INDIRECT("'"&amp;A2293&amp;"'!"&amp;B2293)),INDIRECT("'"&amp;A2293&amp;"'!"&amp;B2293)&lt;&gt;0)),TRUE,FALSE)</f>
        <v>0</v>
      </c>
      <c r="E2293" t="s">
        <v>630</v>
      </c>
      <c r="F2293" t="str">
        <f>INDEX(Lists!I:I,MATCH(Validation!E2293,Lists!G:G,0))</f>
        <v>Error</v>
      </c>
      <c r="G2293" t="str">
        <f>INDEX(Lists!H:H,MATCH(Validation!E2293,Lists!G:G,0))</f>
        <v>Enter $0 if debt type is Non-TIF Bond.</v>
      </c>
      <c r="H2293" s="25" t="str">
        <f t="shared" ca="1" si="258"/>
        <v/>
      </c>
      <c r="I2293" s="25" t="str">
        <f t="shared" ca="1" si="259"/>
        <v/>
      </c>
      <c r="J2293" s="26" t="str">
        <f t="shared" ca="1" si="260"/>
        <v/>
      </c>
    </row>
    <row r="2294" spans="1:10" x14ac:dyDescent="0.25">
      <c r="A2294" t="s">
        <v>311</v>
      </c>
      <c r="B2294" t="str">
        <f>ADDRESS(ROW('Bond 1'!$B$38),COLUMN('Bond 1'!$B$38),4)</f>
        <v>B38</v>
      </c>
      <c r="C2294" t="str">
        <f>ADDRESS(ROW('Bond 1'!$D$38),COLUMN('Bond 1'!$D$38),4)</f>
        <v>D38</v>
      </c>
      <c r="D2294" t="b" cm="1">
        <f t="array" aca="1" ref="D2294" ca="1">IF(AND('Bond 11'!B$8="Non-TIF Bond",OR(ISBLANK(INDIRECT("'"&amp;A2294&amp;"'!"&amp;B2294)),INDIRECT("'"&amp;A2294&amp;"'!"&amp;B2294)&lt;&gt;0)),TRUE,FALSE)</f>
        <v>0</v>
      </c>
      <c r="E2294" t="s">
        <v>630</v>
      </c>
      <c r="F2294" t="str">
        <f>INDEX(Lists!I:I,MATCH(Validation!E2294,Lists!G:G,0))</f>
        <v>Error</v>
      </c>
      <c r="G2294" t="str">
        <f>INDEX(Lists!H:H,MATCH(Validation!E2294,Lists!G:G,0))</f>
        <v>Enter $0 if debt type is Non-TIF Bond.</v>
      </c>
      <c r="H2294" s="25" t="str">
        <f t="shared" ca="1" si="258"/>
        <v/>
      </c>
      <c r="I2294" s="25" t="str">
        <f t="shared" ca="1" si="259"/>
        <v/>
      </c>
      <c r="J2294" s="26" t="str">
        <f t="shared" ca="1" si="260"/>
        <v/>
      </c>
    </row>
    <row r="2295" spans="1:10" x14ac:dyDescent="0.25">
      <c r="A2295" t="s">
        <v>312</v>
      </c>
      <c r="B2295" t="str">
        <f>ADDRESS(ROW('Bond 1'!$B$38),COLUMN('Bond 1'!$B$38),4)</f>
        <v>B38</v>
      </c>
      <c r="C2295" t="str">
        <f>ADDRESS(ROW('Bond 1'!$D$38),COLUMN('Bond 1'!$D$38),4)</f>
        <v>D38</v>
      </c>
      <c r="D2295" t="b" cm="1">
        <f t="array" aca="1" ref="D2295" ca="1">IF(AND('Bond 12'!B$8="Non-TIF Bond",OR(ISBLANK(INDIRECT("'"&amp;A2295&amp;"'!"&amp;B2295)),INDIRECT("'"&amp;A2295&amp;"'!"&amp;B2295)&lt;&gt;0)),TRUE,FALSE)</f>
        <v>0</v>
      </c>
      <c r="E2295" t="s">
        <v>630</v>
      </c>
      <c r="F2295" t="str">
        <f>INDEX(Lists!I:I,MATCH(Validation!E2295,Lists!G:G,0))</f>
        <v>Error</v>
      </c>
      <c r="G2295" t="str">
        <f>INDEX(Lists!H:H,MATCH(Validation!E2295,Lists!G:G,0))</f>
        <v>Enter $0 if debt type is Non-TIF Bond.</v>
      </c>
      <c r="H2295" s="25" t="str">
        <f t="shared" ca="1" si="258"/>
        <v/>
      </c>
      <c r="I2295" s="25" t="str">
        <f t="shared" ca="1" si="259"/>
        <v/>
      </c>
      <c r="J2295" s="26" t="str">
        <f t="shared" ca="1" si="260"/>
        <v/>
      </c>
    </row>
    <row r="2296" spans="1:10" x14ac:dyDescent="0.25">
      <c r="A2296" t="s">
        <v>313</v>
      </c>
      <c r="B2296" t="str">
        <f>ADDRESS(ROW('Bond 1'!$B$38),COLUMN('Bond 1'!$B$38),4)</f>
        <v>B38</v>
      </c>
      <c r="C2296" t="str">
        <f>ADDRESS(ROW('Bond 1'!$D$38),COLUMN('Bond 1'!$D$38),4)</f>
        <v>D38</v>
      </c>
      <c r="D2296" t="b" cm="1">
        <f t="array" aca="1" ref="D2296" ca="1">IF(AND('Bond 13'!B$8="Non-TIF Bond",OR(ISBLANK(INDIRECT("'"&amp;A2296&amp;"'!"&amp;B2296)),INDIRECT("'"&amp;A2296&amp;"'!"&amp;B2296)&lt;&gt;0)),TRUE,FALSE)</f>
        <v>0</v>
      </c>
      <c r="E2296" t="s">
        <v>630</v>
      </c>
      <c r="F2296" t="str">
        <f>INDEX(Lists!I:I,MATCH(Validation!E2296,Lists!G:G,0))</f>
        <v>Error</v>
      </c>
      <c r="G2296" t="str">
        <f>INDEX(Lists!H:H,MATCH(Validation!E2296,Lists!G:G,0))</f>
        <v>Enter $0 if debt type is Non-TIF Bond.</v>
      </c>
      <c r="H2296" s="25" t="str">
        <f t="shared" ca="1" si="258"/>
        <v/>
      </c>
      <c r="I2296" s="25" t="str">
        <f t="shared" ca="1" si="259"/>
        <v/>
      </c>
      <c r="J2296" s="26" t="str">
        <f t="shared" ca="1" si="260"/>
        <v/>
      </c>
    </row>
    <row r="2297" spans="1:10" x14ac:dyDescent="0.25">
      <c r="A2297" t="s">
        <v>314</v>
      </c>
      <c r="B2297" t="str">
        <f>ADDRESS(ROW('Bond 1'!$B$38),COLUMN('Bond 1'!$B$38),4)</f>
        <v>B38</v>
      </c>
      <c r="C2297" t="str">
        <f>ADDRESS(ROW('Bond 1'!$D$38),COLUMN('Bond 1'!$D$38),4)</f>
        <v>D38</v>
      </c>
      <c r="D2297" t="b" cm="1">
        <f t="array" aca="1" ref="D2297" ca="1">IF(AND('Bond 14'!B$8="Non-TIF Bond",OR(ISBLANK(INDIRECT("'"&amp;A2297&amp;"'!"&amp;B2297)),INDIRECT("'"&amp;A2297&amp;"'!"&amp;B2297)&lt;&gt;0)),TRUE,FALSE)</f>
        <v>0</v>
      </c>
      <c r="E2297" t="s">
        <v>630</v>
      </c>
      <c r="F2297" t="str">
        <f>INDEX(Lists!I:I,MATCH(Validation!E2297,Lists!G:G,0))</f>
        <v>Error</v>
      </c>
      <c r="G2297" t="str">
        <f>INDEX(Lists!H:H,MATCH(Validation!E2297,Lists!G:G,0))</f>
        <v>Enter $0 if debt type is Non-TIF Bond.</v>
      </c>
      <c r="H2297" s="25" t="str">
        <f t="shared" ca="1" si="258"/>
        <v/>
      </c>
      <c r="I2297" s="25" t="str">
        <f t="shared" ca="1" si="259"/>
        <v/>
      </c>
      <c r="J2297" s="26" t="str">
        <f t="shared" ca="1" si="260"/>
        <v/>
      </c>
    </row>
    <row r="2298" spans="1:10" x14ac:dyDescent="0.25">
      <c r="A2298" t="s">
        <v>315</v>
      </c>
      <c r="B2298" t="str">
        <f>ADDRESS(ROW('Bond 1'!$B$38),COLUMN('Bond 1'!$B$38),4)</f>
        <v>B38</v>
      </c>
      <c r="C2298" t="str">
        <f>ADDRESS(ROW('Bond 1'!$D$38),COLUMN('Bond 1'!$D$38),4)</f>
        <v>D38</v>
      </c>
      <c r="D2298" t="b" cm="1">
        <f t="array" aca="1" ref="D2298" ca="1">IF(AND('Bond 15'!B$8="Non-TIF Bond",OR(ISBLANK(INDIRECT("'"&amp;A2298&amp;"'!"&amp;B2298)),INDIRECT("'"&amp;A2298&amp;"'!"&amp;B2298)&lt;&gt;0)),TRUE,FALSE)</f>
        <v>0</v>
      </c>
      <c r="E2298" t="s">
        <v>630</v>
      </c>
      <c r="F2298" t="str">
        <f>INDEX(Lists!I:I,MATCH(Validation!E2298,Lists!G:G,0))</f>
        <v>Error</v>
      </c>
      <c r="G2298" t="str">
        <f>INDEX(Lists!H:H,MATCH(Validation!E2298,Lists!G:G,0))</f>
        <v>Enter $0 if debt type is Non-TIF Bond.</v>
      </c>
      <c r="H2298" s="25" t="str">
        <f t="shared" ca="1" si="258"/>
        <v/>
      </c>
      <c r="I2298" s="25" t="str">
        <f t="shared" ca="1" si="259"/>
        <v/>
      </c>
      <c r="J2298" s="26" t="str">
        <f t="shared" ca="1" si="260"/>
        <v/>
      </c>
    </row>
    <row r="2299" spans="1:10" x14ac:dyDescent="0.25">
      <c r="A2299" t="s">
        <v>198</v>
      </c>
      <c r="B2299" t="str">
        <f>ADDRESS(ROW('Bond 1'!$B$38),COLUMN('Bond 1'!$B$38),4)</f>
        <v>B38</v>
      </c>
      <c r="C2299" t="str">
        <f>ADDRESS(ROW('Bond 1'!$D$38),COLUMN('Bond 1'!$D$38),4)</f>
        <v>D38</v>
      </c>
      <c r="D2299" t="b" cm="1">
        <f t="array" aca="1" ref="D2299" ca="1">IF(INDIRECT("'"&amp;A2299&amp;"'!"&amp;B2299)="",FALSE,IF(NOT(ISNUMBER(INDIRECT("'"&amp;A2299&amp;"'!"&amp;B2299))),TRUE,FALSE))</f>
        <v>0</v>
      </c>
      <c r="E2299" t="s">
        <v>435</v>
      </c>
      <c r="F2299" t="str">
        <f>INDEX(Lists!I:I,MATCH(Validation!E2299,Lists!G:G,0))</f>
        <v>Error</v>
      </c>
      <c r="G2299" t="str">
        <f>INDEX(Lists!H:H,MATCH(Validation!E2299,Lists!G:G,0))</f>
        <v>Enter an amount only. Do not enter text or spaces.</v>
      </c>
      <c r="H2299" s="25" t="str">
        <f t="shared" ca="1" si="255"/>
        <v/>
      </c>
      <c r="I2299" s="25" t="str">
        <f t="shared" ca="1" si="256"/>
        <v/>
      </c>
      <c r="J2299" s="26" t="str">
        <f t="shared" ca="1" si="257"/>
        <v/>
      </c>
    </row>
    <row r="2300" spans="1:10" x14ac:dyDescent="0.25">
      <c r="A2300" t="s">
        <v>302</v>
      </c>
      <c r="B2300" t="str">
        <f>ADDRESS(ROW('Bond 1'!$B$38),COLUMN('Bond 1'!$B$38),4)</f>
        <v>B38</v>
      </c>
      <c r="C2300" t="str">
        <f>ADDRESS(ROW('Bond 1'!$D$38),COLUMN('Bond 1'!$D$38),4)</f>
        <v>D38</v>
      </c>
      <c r="D2300" t="b" cm="1">
        <f t="array" aca="1" ref="D2300" ca="1">IF(INDIRECT("'"&amp;A2300&amp;"'!"&amp;B2300)="",FALSE,IF(NOT(ISNUMBER(INDIRECT("'"&amp;A2300&amp;"'!"&amp;B2300))),TRUE,FALSE))</f>
        <v>0</v>
      </c>
      <c r="E2300" t="s">
        <v>435</v>
      </c>
      <c r="F2300" t="str">
        <f>INDEX(Lists!I:I,MATCH(Validation!E2300,Lists!G:G,0))</f>
        <v>Error</v>
      </c>
      <c r="G2300" t="str">
        <f>INDEX(Lists!H:H,MATCH(Validation!E2300,Lists!G:G,0))</f>
        <v>Enter an amount only. Do not enter text or spaces.</v>
      </c>
      <c r="H2300" s="25" t="str">
        <f t="shared" ca="1" si="255"/>
        <v/>
      </c>
      <c r="I2300" s="25" t="str">
        <f t="shared" ca="1" si="256"/>
        <v/>
      </c>
      <c r="J2300" s="26" t="str">
        <f t="shared" ca="1" si="257"/>
        <v/>
      </c>
    </row>
    <row r="2301" spans="1:10" x14ac:dyDescent="0.25">
      <c r="A2301" t="s">
        <v>303</v>
      </c>
      <c r="B2301" t="str">
        <f>ADDRESS(ROW('Bond 1'!$B$38),COLUMN('Bond 1'!$B$38),4)</f>
        <v>B38</v>
      </c>
      <c r="C2301" t="str">
        <f>ADDRESS(ROW('Bond 1'!$D$38),COLUMN('Bond 1'!$D$38),4)</f>
        <v>D38</v>
      </c>
      <c r="D2301" t="b" cm="1">
        <f t="array" aca="1" ref="D2301" ca="1">IF(INDIRECT("'"&amp;A2301&amp;"'!"&amp;B2301)="",FALSE,IF(NOT(ISNUMBER(INDIRECT("'"&amp;A2301&amp;"'!"&amp;B2301))),TRUE,FALSE))</f>
        <v>0</v>
      </c>
      <c r="E2301" t="s">
        <v>435</v>
      </c>
      <c r="F2301" t="str">
        <f>INDEX(Lists!I:I,MATCH(Validation!E2301,Lists!G:G,0))</f>
        <v>Error</v>
      </c>
      <c r="G2301" t="str">
        <f>INDEX(Lists!H:H,MATCH(Validation!E2301,Lists!G:G,0))</f>
        <v>Enter an amount only. Do not enter text or spaces.</v>
      </c>
      <c r="H2301" s="25" t="str">
        <f t="shared" ca="1" si="255"/>
        <v/>
      </c>
      <c r="I2301" s="25" t="str">
        <f t="shared" ca="1" si="256"/>
        <v/>
      </c>
      <c r="J2301" s="26" t="str">
        <f t="shared" ca="1" si="257"/>
        <v/>
      </c>
    </row>
    <row r="2302" spans="1:10" x14ac:dyDescent="0.25">
      <c r="A2302" t="s">
        <v>304</v>
      </c>
      <c r="B2302" t="str">
        <f>ADDRESS(ROW('Bond 1'!$B$38),COLUMN('Bond 1'!$B$38),4)</f>
        <v>B38</v>
      </c>
      <c r="C2302" t="str">
        <f>ADDRESS(ROW('Bond 1'!$D$38),COLUMN('Bond 1'!$D$38),4)</f>
        <v>D38</v>
      </c>
      <c r="D2302" t="b" cm="1">
        <f t="array" aca="1" ref="D2302" ca="1">IF(INDIRECT("'"&amp;A2302&amp;"'!"&amp;B2302)="",FALSE,IF(NOT(ISNUMBER(INDIRECT("'"&amp;A2302&amp;"'!"&amp;B2302))),TRUE,FALSE))</f>
        <v>0</v>
      </c>
      <c r="E2302" t="s">
        <v>435</v>
      </c>
      <c r="F2302" t="str">
        <f>INDEX(Lists!I:I,MATCH(Validation!E2302,Lists!G:G,0))</f>
        <v>Error</v>
      </c>
      <c r="G2302" t="str">
        <f>INDEX(Lists!H:H,MATCH(Validation!E2302,Lists!G:G,0))</f>
        <v>Enter an amount only. Do not enter text or spaces.</v>
      </c>
      <c r="H2302" s="25" t="str">
        <f t="shared" ca="1" si="255"/>
        <v/>
      </c>
      <c r="I2302" s="25" t="str">
        <f t="shared" ca="1" si="256"/>
        <v/>
      </c>
      <c r="J2302" s="26" t="str">
        <f t="shared" ca="1" si="257"/>
        <v/>
      </c>
    </row>
    <row r="2303" spans="1:10" x14ac:dyDescent="0.25">
      <c r="A2303" t="s">
        <v>305</v>
      </c>
      <c r="B2303" t="str">
        <f>ADDRESS(ROW('Bond 1'!$B$38),COLUMN('Bond 1'!$B$38),4)</f>
        <v>B38</v>
      </c>
      <c r="C2303" t="str">
        <f>ADDRESS(ROW('Bond 1'!$D$38),COLUMN('Bond 1'!$D$38),4)</f>
        <v>D38</v>
      </c>
      <c r="D2303" t="b" cm="1">
        <f t="array" aca="1" ref="D2303" ca="1">IF(INDIRECT("'"&amp;A2303&amp;"'!"&amp;B2303)="",FALSE,IF(NOT(ISNUMBER(INDIRECT("'"&amp;A2303&amp;"'!"&amp;B2303))),TRUE,FALSE))</f>
        <v>0</v>
      </c>
      <c r="E2303" t="s">
        <v>435</v>
      </c>
      <c r="F2303" t="str">
        <f>INDEX(Lists!I:I,MATCH(Validation!E2303,Lists!G:G,0))</f>
        <v>Error</v>
      </c>
      <c r="G2303" t="str">
        <f>INDEX(Lists!H:H,MATCH(Validation!E2303,Lists!G:G,0))</f>
        <v>Enter an amount only. Do not enter text or spaces.</v>
      </c>
      <c r="H2303" s="25" t="str">
        <f t="shared" ca="1" si="255"/>
        <v/>
      </c>
      <c r="I2303" s="25" t="str">
        <f t="shared" ca="1" si="256"/>
        <v/>
      </c>
      <c r="J2303" s="26" t="str">
        <f t="shared" ca="1" si="257"/>
        <v/>
      </c>
    </row>
    <row r="2304" spans="1:10" x14ac:dyDescent="0.25">
      <c r="A2304" t="s">
        <v>306</v>
      </c>
      <c r="B2304" t="str">
        <f>ADDRESS(ROW('Bond 1'!$B$38),COLUMN('Bond 1'!$B$38),4)</f>
        <v>B38</v>
      </c>
      <c r="C2304" t="str">
        <f>ADDRESS(ROW('Bond 1'!$D$38),COLUMN('Bond 1'!$D$38),4)</f>
        <v>D38</v>
      </c>
      <c r="D2304" t="b" cm="1">
        <f t="array" aca="1" ref="D2304" ca="1">IF(INDIRECT("'"&amp;A2304&amp;"'!"&amp;B2304)="",FALSE,IF(NOT(ISNUMBER(INDIRECT("'"&amp;A2304&amp;"'!"&amp;B2304))),TRUE,FALSE))</f>
        <v>0</v>
      </c>
      <c r="E2304" t="s">
        <v>435</v>
      </c>
      <c r="F2304" t="str">
        <f>INDEX(Lists!I:I,MATCH(Validation!E2304,Lists!G:G,0))</f>
        <v>Error</v>
      </c>
      <c r="G2304" t="str">
        <f>INDEX(Lists!H:H,MATCH(Validation!E2304,Lists!G:G,0))</f>
        <v>Enter an amount only. Do not enter text or spaces.</v>
      </c>
      <c r="H2304" s="25" t="str">
        <f t="shared" ca="1" si="255"/>
        <v/>
      </c>
      <c r="I2304" s="25" t="str">
        <f t="shared" ca="1" si="256"/>
        <v/>
      </c>
      <c r="J2304" s="26" t="str">
        <f t="shared" ca="1" si="257"/>
        <v/>
      </c>
    </row>
    <row r="2305" spans="1:10" x14ac:dyDescent="0.25">
      <c r="A2305" t="s">
        <v>307</v>
      </c>
      <c r="B2305" t="str">
        <f>ADDRESS(ROW('Bond 1'!$B$38),COLUMN('Bond 1'!$B$38),4)</f>
        <v>B38</v>
      </c>
      <c r="C2305" t="str">
        <f>ADDRESS(ROW('Bond 1'!$D$38),COLUMN('Bond 1'!$D$38),4)</f>
        <v>D38</v>
      </c>
      <c r="D2305" t="b" cm="1">
        <f t="array" aca="1" ref="D2305" ca="1">IF(INDIRECT("'"&amp;A2305&amp;"'!"&amp;B2305)="",FALSE,IF(NOT(ISNUMBER(INDIRECT("'"&amp;A2305&amp;"'!"&amp;B2305))),TRUE,FALSE))</f>
        <v>0</v>
      </c>
      <c r="E2305" t="s">
        <v>435</v>
      </c>
      <c r="F2305" t="str">
        <f>INDEX(Lists!I:I,MATCH(Validation!E2305,Lists!G:G,0))</f>
        <v>Error</v>
      </c>
      <c r="G2305" t="str">
        <f>INDEX(Lists!H:H,MATCH(Validation!E2305,Lists!G:G,0))</f>
        <v>Enter an amount only. Do not enter text or spaces.</v>
      </c>
      <c r="H2305" s="25" t="str">
        <f t="shared" ca="1" si="255"/>
        <v/>
      </c>
      <c r="I2305" s="25" t="str">
        <f t="shared" ca="1" si="256"/>
        <v/>
      </c>
      <c r="J2305" s="26" t="str">
        <f t="shared" ca="1" si="257"/>
        <v/>
      </c>
    </row>
    <row r="2306" spans="1:10" x14ac:dyDescent="0.25">
      <c r="A2306" t="s">
        <v>308</v>
      </c>
      <c r="B2306" t="str">
        <f>ADDRESS(ROW('Bond 1'!$B$38),COLUMN('Bond 1'!$B$38),4)</f>
        <v>B38</v>
      </c>
      <c r="C2306" t="str">
        <f>ADDRESS(ROW('Bond 1'!$D$38),COLUMN('Bond 1'!$D$38),4)</f>
        <v>D38</v>
      </c>
      <c r="D2306" t="b" cm="1">
        <f t="array" aca="1" ref="D2306" ca="1">IF(INDIRECT("'"&amp;A2306&amp;"'!"&amp;B2306)="",FALSE,IF(NOT(ISNUMBER(INDIRECT("'"&amp;A2306&amp;"'!"&amp;B2306))),TRUE,FALSE))</f>
        <v>0</v>
      </c>
      <c r="E2306" t="s">
        <v>435</v>
      </c>
      <c r="F2306" t="str">
        <f>INDEX(Lists!I:I,MATCH(Validation!E2306,Lists!G:G,0))</f>
        <v>Error</v>
      </c>
      <c r="G2306" t="str">
        <f>INDEX(Lists!H:H,MATCH(Validation!E2306,Lists!G:G,0))</f>
        <v>Enter an amount only. Do not enter text or spaces.</v>
      </c>
      <c r="H2306" s="25" t="str">
        <f t="shared" ca="1" si="255"/>
        <v/>
      </c>
      <c r="I2306" s="25" t="str">
        <f t="shared" ca="1" si="256"/>
        <v/>
      </c>
      <c r="J2306" s="26" t="str">
        <f t="shared" ca="1" si="257"/>
        <v/>
      </c>
    </row>
    <row r="2307" spans="1:10" x14ac:dyDescent="0.25">
      <c r="A2307" t="s">
        <v>309</v>
      </c>
      <c r="B2307" t="str">
        <f>ADDRESS(ROW('Bond 1'!$B$38),COLUMN('Bond 1'!$B$38),4)</f>
        <v>B38</v>
      </c>
      <c r="C2307" t="str">
        <f>ADDRESS(ROW('Bond 1'!$D$38),COLUMN('Bond 1'!$D$38),4)</f>
        <v>D38</v>
      </c>
      <c r="D2307" t="b" cm="1">
        <f t="array" aca="1" ref="D2307" ca="1">IF(INDIRECT("'"&amp;A2307&amp;"'!"&amp;B2307)="",FALSE,IF(NOT(ISNUMBER(INDIRECT("'"&amp;A2307&amp;"'!"&amp;B2307))),TRUE,FALSE))</f>
        <v>0</v>
      </c>
      <c r="E2307" t="s">
        <v>435</v>
      </c>
      <c r="F2307" t="str">
        <f>INDEX(Lists!I:I,MATCH(Validation!E2307,Lists!G:G,0))</f>
        <v>Error</v>
      </c>
      <c r="G2307" t="str">
        <f>INDEX(Lists!H:H,MATCH(Validation!E2307,Lists!G:G,0))</f>
        <v>Enter an amount only. Do not enter text or spaces.</v>
      </c>
      <c r="H2307" s="25" t="str">
        <f t="shared" ca="1" si="255"/>
        <v/>
      </c>
      <c r="I2307" s="25" t="str">
        <f t="shared" ca="1" si="256"/>
        <v/>
      </c>
      <c r="J2307" s="26" t="str">
        <f t="shared" ca="1" si="257"/>
        <v/>
      </c>
    </row>
    <row r="2308" spans="1:10" x14ac:dyDescent="0.25">
      <c r="A2308" t="s">
        <v>310</v>
      </c>
      <c r="B2308" t="str">
        <f>ADDRESS(ROW('Bond 1'!$B$38),COLUMN('Bond 1'!$B$38),4)</f>
        <v>B38</v>
      </c>
      <c r="C2308" t="str">
        <f>ADDRESS(ROW('Bond 1'!$D$38),COLUMN('Bond 1'!$D$38),4)</f>
        <v>D38</v>
      </c>
      <c r="D2308" t="b" cm="1">
        <f t="array" aca="1" ref="D2308" ca="1">IF(INDIRECT("'"&amp;A2308&amp;"'!"&amp;B2308)="",FALSE,IF(NOT(ISNUMBER(INDIRECT("'"&amp;A2308&amp;"'!"&amp;B2308))),TRUE,FALSE))</f>
        <v>0</v>
      </c>
      <c r="E2308" t="s">
        <v>435</v>
      </c>
      <c r="F2308" t="str">
        <f>INDEX(Lists!I:I,MATCH(Validation!E2308,Lists!G:G,0))</f>
        <v>Error</v>
      </c>
      <c r="G2308" t="str">
        <f>INDEX(Lists!H:H,MATCH(Validation!E2308,Lists!G:G,0))</f>
        <v>Enter an amount only. Do not enter text or spaces.</v>
      </c>
      <c r="H2308" s="25" t="str">
        <f t="shared" ca="1" si="255"/>
        <v/>
      </c>
      <c r="I2308" s="25" t="str">
        <f t="shared" ca="1" si="256"/>
        <v/>
      </c>
      <c r="J2308" s="26" t="str">
        <f t="shared" ca="1" si="257"/>
        <v/>
      </c>
    </row>
    <row r="2309" spans="1:10" x14ac:dyDescent="0.25">
      <c r="A2309" t="s">
        <v>311</v>
      </c>
      <c r="B2309" t="str">
        <f>ADDRESS(ROW('Bond 1'!$B$38),COLUMN('Bond 1'!$B$38),4)</f>
        <v>B38</v>
      </c>
      <c r="C2309" t="str">
        <f>ADDRESS(ROW('Bond 1'!$D$38),COLUMN('Bond 1'!$D$38),4)</f>
        <v>D38</v>
      </c>
      <c r="D2309" t="b" cm="1">
        <f t="array" aca="1" ref="D2309" ca="1">IF(INDIRECT("'"&amp;A2309&amp;"'!"&amp;B2309)="",FALSE,IF(NOT(ISNUMBER(INDIRECT("'"&amp;A2309&amp;"'!"&amp;B2309))),TRUE,FALSE))</f>
        <v>0</v>
      </c>
      <c r="E2309" t="s">
        <v>435</v>
      </c>
      <c r="F2309" t="str">
        <f>INDEX(Lists!I:I,MATCH(Validation!E2309,Lists!G:G,0))</f>
        <v>Error</v>
      </c>
      <c r="G2309" t="str">
        <f>INDEX(Lists!H:H,MATCH(Validation!E2309,Lists!G:G,0))</f>
        <v>Enter an amount only. Do not enter text or spaces.</v>
      </c>
      <c r="H2309" s="25" t="str">
        <f t="shared" ca="1" si="255"/>
        <v/>
      </c>
      <c r="I2309" s="25" t="str">
        <f t="shared" ca="1" si="256"/>
        <v/>
      </c>
      <c r="J2309" s="26" t="str">
        <f t="shared" ca="1" si="257"/>
        <v/>
      </c>
    </row>
    <row r="2310" spans="1:10" x14ac:dyDescent="0.25">
      <c r="A2310" t="s">
        <v>312</v>
      </c>
      <c r="B2310" t="str">
        <f>ADDRESS(ROW('Bond 1'!$B$38),COLUMN('Bond 1'!$B$38),4)</f>
        <v>B38</v>
      </c>
      <c r="C2310" t="str">
        <f>ADDRESS(ROW('Bond 1'!$D$38),COLUMN('Bond 1'!$D$38),4)</f>
        <v>D38</v>
      </c>
      <c r="D2310" t="b" cm="1">
        <f t="array" aca="1" ref="D2310" ca="1">IF(INDIRECT("'"&amp;A2310&amp;"'!"&amp;B2310)="",FALSE,IF(NOT(ISNUMBER(INDIRECT("'"&amp;A2310&amp;"'!"&amp;B2310))),TRUE,FALSE))</f>
        <v>0</v>
      </c>
      <c r="E2310" t="s">
        <v>435</v>
      </c>
      <c r="F2310" t="str">
        <f>INDEX(Lists!I:I,MATCH(Validation!E2310,Lists!G:G,0))</f>
        <v>Error</v>
      </c>
      <c r="G2310" t="str">
        <f>INDEX(Lists!H:H,MATCH(Validation!E2310,Lists!G:G,0))</f>
        <v>Enter an amount only. Do not enter text or spaces.</v>
      </c>
      <c r="H2310" s="25" t="str">
        <f t="shared" ca="1" si="255"/>
        <v/>
      </c>
      <c r="I2310" s="25" t="str">
        <f t="shared" ca="1" si="256"/>
        <v/>
      </c>
      <c r="J2310" s="26" t="str">
        <f t="shared" ca="1" si="257"/>
        <v/>
      </c>
    </row>
    <row r="2311" spans="1:10" x14ac:dyDescent="0.25">
      <c r="A2311" t="s">
        <v>313</v>
      </c>
      <c r="B2311" t="str">
        <f>ADDRESS(ROW('Bond 1'!$B$38),COLUMN('Bond 1'!$B$38),4)</f>
        <v>B38</v>
      </c>
      <c r="C2311" t="str">
        <f>ADDRESS(ROW('Bond 1'!$D$38),COLUMN('Bond 1'!$D$38),4)</f>
        <v>D38</v>
      </c>
      <c r="D2311" t="b" cm="1">
        <f t="array" aca="1" ref="D2311" ca="1">IF(INDIRECT("'"&amp;A2311&amp;"'!"&amp;B2311)="",FALSE,IF(NOT(ISNUMBER(INDIRECT("'"&amp;A2311&amp;"'!"&amp;B2311))),TRUE,FALSE))</f>
        <v>0</v>
      </c>
      <c r="E2311" t="s">
        <v>435</v>
      </c>
      <c r="F2311" t="str">
        <f>INDEX(Lists!I:I,MATCH(Validation!E2311,Lists!G:G,0))</f>
        <v>Error</v>
      </c>
      <c r="G2311" t="str">
        <f>INDEX(Lists!H:H,MATCH(Validation!E2311,Lists!G:G,0))</f>
        <v>Enter an amount only. Do not enter text or spaces.</v>
      </c>
      <c r="H2311" s="25" t="str">
        <f t="shared" ca="1" si="255"/>
        <v/>
      </c>
      <c r="I2311" s="25" t="str">
        <f t="shared" ca="1" si="256"/>
        <v/>
      </c>
      <c r="J2311" s="26" t="str">
        <f t="shared" ca="1" si="257"/>
        <v/>
      </c>
    </row>
    <row r="2312" spans="1:10" x14ac:dyDescent="0.25">
      <c r="A2312" t="s">
        <v>314</v>
      </c>
      <c r="B2312" t="str">
        <f>ADDRESS(ROW('Bond 1'!$B$38),COLUMN('Bond 1'!$B$38),4)</f>
        <v>B38</v>
      </c>
      <c r="C2312" t="str">
        <f>ADDRESS(ROW('Bond 1'!$D$38),COLUMN('Bond 1'!$D$38),4)</f>
        <v>D38</v>
      </c>
      <c r="D2312" t="b" cm="1">
        <f t="array" aca="1" ref="D2312" ca="1">IF(INDIRECT("'"&amp;A2312&amp;"'!"&amp;B2312)="",FALSE,IF(NOT(ISNUMBER(INDIRECT("'"&amp;A2312&amp;"'!"&amp;B2312))),TRUE,FALSE))</f>
        <v>0</v>
      </c>
      <c r="E2312" t="s">
        <v>435</v>
      </c>
      <c r="F2312" t="str">
        <f>INDEX(Lists!I:I,MATCH(Validation!E2312,Lists!G:G,0))</f>
        <v>Error</v>
      </c>
      <c r="G2312" t="str">
        <f>INDEX(Lists!H:H,MATCH(Validation!E2312,Lists!G:G,0))</f>
        <v>Enter an amount only. Do not enter text or spaces.</v>
      </c>
      <c r="H2312" s="25" t="str">
        <f t="shared" ca="1" si="255"/>
        <v/>
      </c>
      <c r="I2312" s="25" t="str">
        <f t="shared" ca="1" si="256"/>
        <v/>
      </c>
      <c r="J2312" s="26" t="str">
        <f t="shared" ca="1" si="257"/>
        <v/>
      </c>
    </row>
    <row r="2313" spans="1:10" x14ac:dyDescent="0.25">
      <c r="A2313" t="s">
        <v>315</v>
      </c>
      <c r="B2313" t="str">
        <f>ADDRESS(ROW('Bond 1'!$B$38),COLUMN('Bond 1'!$B$38),4)</f>
        <v>B38</v>
      </c>
      <c r="C2313" t="str">
        <f>ADDRESS(ROW('Bond 1'!$D$38),COLUMN('Bond 1'!$D$38),4)</f>
        <v>D38</v>
      </c>
      <c r="D2313" t="b" cm="1">
        <f t="array" aca="1" ref="D2313" ca="1">IF(INDIRECT("'"&amp;A2313&amp;"'!"&amp;B2313)="",FALSE,IF(NOT(ISNUMBER(INDIRECT("'"&amp;A2313&amp;"'!"&amp;B2313))),TRUE,FALSE))</f>
        <v>0</v>
      </c>
      <c r="E2313" t="s">
        <v>435</v>
      </c>
      <c r="F2313" t="str">
        <f>INDEX(Lists!I:I,MATCH(Validation!E2313,Lists!G:G,0))</f>
        <v>Error</v>
      </c>
      <c r="G2313" t="str">
        <f>INDEX(Lists!H:H,MATCH(Validation!E2313,Lists!G:G,0))</f>
        <v>Enter an amount only. Do not enter text or spaces.</v>
      </c>
      <c r="H2313" s="25" t="str">
        <f t="shared" ca="1" si="255"/>
        <v/>
      </c>
      <c r="I2313" s="25" t="str">
        <f t="shared" ca="1" si="256"/>
        <v/>
      </c>
      <c r="J2313" s="26" t="str">
        <f t="shared" ca="1" si="257"/>
        <v/>
      </c>
    </row>
    <row r="2314" spans="1:10" x14ac:dyDescent="0.25">
      <c r="A2314" t="s">
        <v>198</v>
      </c>
      <c r="B2314" t="str">
        <f>ADDRESS(ROW('Bond 1'!$B$38),COLUMN('Bond 1'!$B$38),4)</f>
        <v>B38</v>
      </c>
      <c r="C2314" t="str">
        <f>ADDRESS(ROW('Bond 1'!$D$38),COLUMN('Bond 1'!$D$38),4)</f>
        <v>D38</v>
      </c>
      <c r="D2314" t="b" cm="1">
        <f t="array" aca="1" ref="D2314" ca="1">IF(INDIRECT("'"&amp;A2314&amp;"'!"&amp;B2314)="",FALSE,IF(TRUNC(INDIRECT("'"&amp;A2314&amp;"'!"&amp;B2314))=INDIRECT("'"&amp;A2314&amp;"'!"&amp;B2314),FALSE,TRUE))</f>
        <v>0</v>
      </c>
      <c r="E2314" t="s">
        <v>436</v>
      </c>
      <c r="F2314" t="str">
        <f>INDEX(Lists!I:I,MATCH(Validation!E2314,Lists!G:G,0))</f>
        <v>Error</v>
      </c>
      <c r="G2314" t="str">
        <f>INDEX(Lists!H:H,MATCH(Validation!E2314,Lists!G:G,0))</f>
        <v>Amount must be rounded to the nearest dollar.</v>
      </c>
      <c r="H2314" s="25" t="str">
        <f t="shared" ca="1" si="255"/>
        <v/>
      </c>
      <c r="I2314" s="25" t="str">
        <f t="shared" ca="1" si="256"/>
        <v/>
      </c>
      <c r="J2314" s="26" t="str">
        <f t="shared" ca="1" si="257"/>
        <v/>
      </c>
    </row>
    <row r="2315" spans="1:10" x14ac:dyDescent="0.25">
      <c r="A2315" t="s">
        <v>302</v>
      </c>
      <c r="B2315" t="str">
        <f>ADDRESS(ROW('Bond 1'!$B$38),COLUMN('Bond 1'!$B$38),4)</f>
        <v>B38</v>
      </c>
      <c r="C2315" t="str">
        <f>ADDRESS(ROW('Bond 1'!$D$38),COLUMN('Bond 1'!$D$38),4)</f>
        <v>D38</v>
      </c>
      <c r="D2315" t="b" cm="1">
        <f t="array" aca="1" ref="D2315" ca="1">IF(INDIRECT("'"&amp;A2315&amp;"'!"&amp;B2315)="",FALSE,IF(TRUNC(INDIRECT("'"&amp;A2315&amp;"'!"&amp;B2315))=INDIRECT("'"&amp;A2315&amp;"'!"&amp;B2315),FALSE,TRUE))</f>
        <v>0</v>
      </c>
      <c r="E2315" t="s">
        <v>436</v>
      </c>
      <c r="F2315" t="str">
        <f>INDEX(Lists!I:I,MATCH(Validation!E2315,Lists!G:G,0))</f>
        <v>Error</v>
      </c>
      <c r="G2315" t="str">
        <f>INDEX(Lists!H:H,MATCH(Validation!E2315,Lists!G:G,0))</f>
        <v>Amount must be rounded to the nearest dollar.</v>
      </c>
      <c r="H2315" s="25" t="str">
        <f t="shared" ca="1" si="255"/>
        <v/>
      </c>
      <c r="I2315" s="25" t="str">
        <f t="shared" ca="1" si="256"/>
        <v/>
      </c>
      <c r="J2315" s="26" t="str">
        <f t="shared" ca="1" si="257"/>
        <v/>
      </c>
    </row>
    <row r="2316" spans="1:10" x14ac:dyDescent="0.25">
      <c r="A2316" t="s">
        <v>303</v>
      </c>
      <c r="B2316" t="str">
        <f>ADDRESS(ROW('Bond 1'!$B$38),COLUMN('Bond 1'!$B$38),4)</f>
        <v>B38</v>
      </c>
      <c r="C2316" t="str">
        <f>ADDRESS(ROW('Bond 1'!$D$38),COLUMN('Bond 1'!$D$38),4)</f>
        <v>D38</v>
      </c>
      <c r="D2316" t="b" cm="1">
        <f t="array" aca="1" ref="D2316" ca="1">IF(INDIRECT("'"&amp;A2316&amp;"'!"&amp;B2316)="",FALSE,IF(TRUNC(INDIRECT("'"&amp;A2316&amp;"'!"&amp;B2316))=INDIRECT("'"&amp;A2316&amp;"'!"&amp;B2316),FALSE,TRUE))</f>
        <v>0</v>
      </c>
      <c r="E2316" t="s">
        <v>436</v>
      </c>
      <c r="F2316" t="str">
        <f>INDEX(Lists!I:I,MATCH(Validation!E2316,Lists!G:G,0))</f>
        <v>Error</v>
      </c>
      <c r="G2316" t="str">
        <f>INDEX(Lists!H:H,MATCH(Validation!E2316,Lists!G:G,0))</f>
        <v>Amount must be rounded to the nearest dollar.</v>
      </c>
      <c r="H2316" s="25" t="str">
        <f t="shared" ca="1" si="255"/>
        <v/>
      </c>
      <c r="I2316" s="25" t="str">
        <f t="shared" ca="1" si="256"/>
        <v/>
      </c>
      <c r="J2316" s="26" t="str">
        <f t="shared" ca="1" si="257"/>
        <v/>
      </c>
    </row>
    <row r="2317" spans="1:10" x14ac:dyDescent="0.25">
      <c r="A2317" t="s">
        <v>304</v>
      </c>
      <c r="B2317" t="str">
        <f>ADDRESS(ROW('Bond 1'!$B$38),COLUMN('Bond 1'!$B$38),4)</f>
        <v>B38</v>
      </c>
      <c r="C2317" t="str">
        <f>ADDRESS(ROW('Bond 1'!$D$38),COLUMN('Bond 1'!$D$38),4)</f>
        <v>D38</v>
      </c>
      <c r="D2317" t="b" cm="1">
        <f t="array" aca="1" ref="D2317" ca="1">IF(INDIRECT("'"&amp;A2317&amp;"'!"&amp;B2317)="",FALSE,IF(TRUNC(INDIRECT("'"&amp;A2317&amp;"'!"&amp;B2317))=INDIRECT("'"&amp;A2317&amp;"'!"&amp;B2317),FALSE,TRUE))</f>
        <v>0</v>
      </c>
      <c r="E2317" t="s">
        <v>436</v>
      </c>
      <c r="F2317" t="str">
        <f>INDEX(Lists!I:I,MATCH(Validation!E2317,Lists!G:G,0))</f>
        <v>Error</v>
      </c>
      <c r="G2317" t="str">
        <f>INDEX(Lists!H:H,MATCH(Validation!E2317,Lists!G:G,0))</f>
        <v>Amount must be rounded to the nearest dollar.</v>
      </c>
      <c r="H2317" s="25" t="str">
        <f t="shared" ca="1" si="255"/>
        <v/>
      </c>
      <c r="I2317" s="25" t="str">
        <f t="shared" ca="1" si="256"/>
        <v/>
      </c>
      <c r="J2317" s="26" t="str">
        <f t="shared" ca="1" si="257"/>
        <v/>
      </c>
    </row>
    <row r="2318" spans="1:10" x14ac:dyDescent="0.25">
      <c r="A2318" t="s">
        <v>305</v>
      </c>
      <c r="B2318" t="str">
        <f>ADDRESS(ROW('Bond 1'!$B$38),COLUMN('Bond 1'!$B$38),4)</f>
        <v>B38</v>
      </c>
      <c r="C2318" t="str">
        <f>ADDRESS(ROW('Bond 1'!$D$38),COLUMN('Bond 1'!$D$38),4)</f>
        <v>D38</v>
      </c>
      <c r="D2318" t="b" cm="1">
        <f t="array" aca="1" ref="D2318" ca="1">IF(INDIRECT("'"&amp;A2318&amp;"'!"&amp;B2318)="",FALSE,IF(TRUNC(INDIRECT("'"&amp;A2318&amp;"'!"&amp;B2318))=INDIRECT("'"&amp;A2318&amp;"'!"&amp;B2318),FALSE,TRUE))</f>
        <v>0</v>
      </c>
      <c r="E2318" t="s">
        <v>436</v>
      </c>
      <c r="F2318" t="str">
        <f>INDEX(Lists!I:I,MATCH(Validation!E2318,Lists!G:G,0))</f>
        <v>Error</v>
      </c>
      <c r="G2318" t="str">
        <f>INDEX(Lists!H:H,MATCH(Validation!E2318,Lists!G:G,0))</f>
        <v>Amount must be rounded to the nearest dollar.</v>
      </c>
      <c r="H2318" s="25" t="str">
        <f t="shared" ref="H2318:H2377" ca="1" si="261">IFERROR(IF(OR(NOT(D2318),F2318&lt;&gt;"Error"),"",A2318&amp;CELL("address",INDIRECT(B2318))),"")</f>
        <v/>
      </c>
      <c r="I2318" s="25" t="str">
        <f t="shared" ref="I2318:I2377" ca="1" si="262">IFERROR(IF(NOT(D2318),"",A2318&amp;CELL("address",INDIRECT(C2318))),"")</f>
        <v/>
      </c>
      <c r="J2318" s="26" t="str">
        <f t="shared" ref="J2318:J2377" ca="1" si="263">IFERROR(IF(NOT(D2318),"",A2318),"")</f>
        <v/>
      </c>
    </row>
    <row r="2319" spans="1:10" x14ac:dyDescent="0.25">
      <c r="A2319" t="s">
        <v>306</v>
      </c>
      <c r="B2319" t="str">
        <f>ADDRESS(ROW('Bond 1'!$B$38),COLUMN('Bond 1'!$B$38),4)</f>
        <v>B38</v>
      </c>
      <c r="C2319" t="str">
        <f>ADDRESS(ROW('Bond 1'!$D$38),COLUMN('Bond 1'!$D$38),4)</f>
        <v>D38</v>
      </c>
      <c r="D2319" t="b" cm="1">
        <f t="array" aca="1" ref="D2319" ca="1">IF(INDIRECT("'"&amp;A2319&amp;"'!"&amp;B2319)="",FALSE,IF(TRUNC(INDIRECT("'"&amp;A2319&amp;"'!"&amp;B2319))=INDIRECT("'"&amp;A2319&amp;"'!"&amp;B2319),FALSE,TRUE))</f>
        <v>0</v>
      </c>
      <c r="E2319" t="s">
        <v>436</v>
      </c>
      <c r="F2319" t="str">
        <f>INDEX(Lists!I:I,MATCH(Validation!E2319,Lists!G:G,0))</f>
        <v>Error</v>
      </c>
      <c r="G2319" t="str">
        <f>INDEX(Lists!H:H,MATCH(Validation!E2319,Lists!G:G,0))</f>
        <v>Amount must be rounded to the nearest dollar.</v>
      </c>
      <c r="H2319" s="25" t="str">
        <f t="shared" ca="1" si="261"/>
        <v/>
      </c>
      <c r="I2319" s="25" t="str">
        <f t="shared" ca="1" si="262"/>
        <v/>
      </c>
      <c r="J2319" s="26" t="str">
        <f t="shared" ca="1" si="263"/>
        <v/>
      </c>
    </row>
    <row r="2320" spans="1:10" x14ac:dyDescent="0.25">
      <c r="A2320" t="s">
        <v>307</v>
      </c>
      <c r="B2320" t="str">
        <f>ADDRESS(ROW('Bond 1'!$B$38),COLUMN('Bond 1'!$B$38),4)</f>
        <v>B38</v>
      </c>
      <c r="C2320" t="str">
        <f>ADDRESS(ROW('Bond 1'!$D$38),COLUMN('Bond 1'!$D$38),4)</f>
        <v>D38</v>
      </c>
      <c r="D2320" t="b" cm="1">
        <f t="array" aca="1" ref="D2320" ca="1">IF(INDIRECT("'"&amp;A2320&amp;"'!"&amp;B2320)="",FALSE,IF(TRUNC(INDIRECT("'"&amp;A2320&amp;"'!"&amp;B2320))=INDIRECT("'"&amp;A2320&amp;"'!"&amp;B2320),FALSE,TRUE))</f>
        <v>0</v>
      </c>
      <c r="E2320" t="s">
        <v>436</v>
      </c>
      <c r="F2320" t="str">
        <f>INDEX(Lists!I:I,MATCH(Validation!E2320,Lists!G:G,0))</f>
        <v>Error</v>
      </c>
      <c r="G2320" t="str">
        <f>INDEX(Lists!H:H,MATCH(Validation!E2320,Lists!G:G,0))</f>
        <v>Amount must be rounded to the nearest dollar.</v>
      </c>
      <c r="H2320" s="25" t="str">
        <f t="shared" ca="1" si="261"/>
        <v/>
      </c>
      <c r="I2320" s="25" t="str">
        <f t="shared" ca="1" si="262"/>
        <v/>
      </c>
      <c r="J2320" s="26" t="str">
        <f t="shared" ca="1" si="263"/>
        <v/>
      </c>
    </row>
    <row r="2321" spans="1:10" x14ac:dyDescent="0.25">
      <c r="A2321" t="s">
        <v>308</v>
      </c>
      <c r="B2321" t="str">
        <f>ADDRESS(ROW('Bond 1'!$B$38),COLUMN('Bond 1'!$B$38),4)</f>
        <v>B38</v>
      </c>
      <c r="C2321" t="str">
        <f>ADDRESS(ROW('Bond 1'!$D$38),COLUMN('Bond 1'!$D$38),4)</f>
        <v>D38</v>
      </c>
      <c r="D2321" t="b" cm="1">
        <f t="array" aca="1" ref="D2321" ca="1">IF(INDIRECT("'"&amp;A2321&amp;"'!"&amp;B2321)="",FALSE,IF(TRUNC(INDIRECT("'"&amp;A2321&amp;"'!"&amp;B2321))=INDIRECT("'"&amp;A2321&amp;"'!"&amp;B2321),FALSE,TRUE))</f>
        <v>0</v>
      </c>
      <c r="E2321" t="s">
        <v>436</v>
      </c>
      <c r="F2321" t="str">
        <f>INDEX(Lists!I:I,MATCH(Validation!E2321,Lists!G:G,0))</f>
        <v>Error</v>
      </c>
      <c r="G2321" t="str">
        <f>INDEX(Lists!H:H,MATCH(Validation!E2321,Lists!G:G,0))</f>
        <v>Amount must be rounded to the nearest dollar.</v>
      </c>
      <c r="H2321" s="25" t="str">
        <f t="shared" ca="1" si="261"/>
        <v/>
      </c>
      <c r="I2321" s="25" t="str">
        <f t="shared" ca="1" si="262"/>
        <v/>
      </c>
      <c r="J2321" s="26" t="str">
        <f t="shared" ca="1" si="263"/>
        <v/>
      </c>
    </row>
    <row r="2322" spans="1:10" x14ac:dyDescent="0.25">
      <c r="A2322" t="s">
        <v>309</v>
      </c>
      <c r="B2322" t="str">
        <f>ADDRESS(ROW('Bond 1'!$B$38),COLUMN('Bond 1'!$B$38),4)</f>
        <v>B38</v>
      </c>
      <c r="C2322" t="str">
        <f>ADDRESS(ROW('Bond 1'!$D$38),COLUMN('Bond 1'!$D$38),4)</f>
        <v>D38</v>
      </c>
      <c r="D2322" t="b" cm="1">
        <f t="array" aca="1" ref="D2322" ca="1">IF(INDIRECT("'"&amp;A2322&amp;"'!"&amp;B2322)="",FALSE,IF(TRUNC(INDIRECT("'"&amp;A2322&amp;"'!"&amp;B2322))=INDIRECT("'"&amp;A2322&amp;"'!"&amp;B2322),FALSE,TRUE))</f>
        <v>0</v>
      </c>
      <c r="E2322" t="s">
        <v>436</v>
      </c>
      <c r="F2322" t="str">
        <f>INDEX(Lists!I:I,MATCH(Validation!E2322,Lists!G:G,0))</f>
        <v>Error</v>
      </c>
      <c r="G2322" t="str">
        <f>INDEX(Lists!H:H,MATCH(Validation!E2322,Lists!G:G,0))</f>
        <v>Amount must be rounded to the nearest dollar.</v>
      </c>
      <c r="H2322" s="25" t="str">
        <f t="shared" ca="1" si="261"/>
        <v/>
      </c>
      <c r="I2322" s="25" t="str">
        <f t="shared" ca="1" si="262"/>
        <v/>
      </c>
      <c r="J2322" s="26" t="str">
        <f t="shared" ca="1" si="263"/>
        <v/>
      </c>
    </row>
    <row r="2323" spans="1:10" x14ac:dyDescent="0.25">
      <c r="A2323" t="s">
        <v>310</v>
      </c>
      <c r="B2323" t="str">
        <f>ADDRESS(ROW('Bond 1'!$B$38),COLUMN('Bond 1'!$B$38),4)</f>
        <v>B38</v>
      </c>
      <c r="C2323" t="str">
        <f>ADDRESS(ROW('Bond 1'!$D$38),COLUMN('Bond 1'!$D$38),4)</f>
        <v>D38</v>
      </c>
      <c r="D2323" t="b" cm="1">
        <f t="array" aca="1" ref="D2323" ca="1">IF(INDIRECT("'"&amp;A2323&amp;"'!"&amp;B2323)="",FALSE,IF(TRUNC(INDIRECT("'"&amp;A2323&amp;"'!"&amp;B2323))=INDIRECT("'"&amp;A2323&amp;"'!"&amp;B2323),FALSE,TRUE))</f>
        <v>0</v>
      </c>
      <c r="E2323" t="s">
        <v>436</v>
      </c>
      <c r="F2323" t="str">
        <f>INDEX(Lists!I:I,MATCH(Validation!E2323,Lists!G:G,0))</f>
        <v>Error</v>
      </c>
      <c r="G2323" t="str">
        <f>INDEX(Lists!H:H,MATCH(Validation!E2323,Lists!G:G,0))</f>
        <v>Amount must be rounded to the nearest dollar.</v>
      </c>
      <c r="H2323" s="25" t="str">
        <f t="shared" ca="1" si="261"/>
        <v/>
      </c>
      <c r="I2323" s="25" t="str">
        <f t="shared" ca="1" si="262"/>
        <v/>
      </c>
      <c r="J2323" s="26" t="str">
        <f t="shared" ca="1" si="263"/>
        <v/>
      </c>
    </row>
    <row r="2324" spans="1:10" x14ac:dyDescent="0.25">
      <c r="A2324" t="s">
        <v>311</v>
      </c>
      <c r="B2324" t="str">
        <f>ADDRESS(ROW('Bond 1'!$B$38),COLUMN('Bond 1'!$B$38),4)</f>
        <v>B38</v>
      </c>
      <c r="C2324" t="str">
        <f>ADDRESS(ROW('Bond 1'!$D$38),COLUMN('Bond 1'!$D$38),4)</f>
        <v>D38</v>
      </c>
      <c r="D2324" t="b" cm="1">
        <f t="array" aca="1" ref="D2324" ca="1">IF(INDIRECT("'"&amp;A2324&amp;"'!"&amp;B2324)="",FALSE,IF(TRUNC(INDIRECT("'"&amp;A2324&amp;"'!"&amp;B2324))=INDIRECT("'"&amp;A2324&amp;"'!"&amp;B2324),FALSE,TRUE))</f>
        <v>0</v>
      </c>
      <c r="E2324" t="s">
        <v>436</v>
      </c>
      <c r="F2324" t="str">
        <f>INDEX(Lists!I:I,MATCH(Validation!E2324,Lists!G:G,0))</f>
        <v>Error</v>
      </c>
      <c r="G2324" t="str">
        <f>INDEX(Lists!H:H,MATCH(Validation!E2324,Lists!G:G,0))</f>
        <v>Amount must be rounded to the nearest dollar.</v>
      </c>
      <c r="H2324" s="25" t="str">
        <f t="shared" ca="1" si="261"/>
        <v/>
      </c>
      <c r="I2324" s="25" t="str">
        <f t="shared" ca="1" si="262"/>
        <v/>
      </c>
      <c r="J2324" s="26" t="str">
        <f t="shared" ca="1" si="263"/>
        <v/>
      </c>
    </row>
    <row r="2325" spans="1:10" x14ac:dyDescent="0.25">
      <c r="A2325" t="s">
        <v>312</v>
      </c>
      <c r="B2325" t="str">
        <f>ADDRESS(ROW('Bond 1'!$B$38),COLUMN('Bond 1'!$B$38),4)</f>
        <v>B38</v>
      </c>
      <c r="C2325" t="str">
        <f>ADDRESS(ROW('Bond 1'!$D$38),COLUMN('Bond 1'!$D$38),4)</f>
        <v>D38</v>
      </c>
      <c r="D2325" t="b" cm="1">
        <f t="array" aca="1" ref="D2325" ca="1">IF(INDIRECT("'"&amp;A2325&amp;"'!"&amp;B2325)="",FALSE,IF(TRUNC(INDIRECT("'"&amp;A2325&amp;"'!"&amp;B2325))=INDIRECT("'"&amp;A2325&amp;"'!"&amp;B2325),FALSE,TRUE))</f>
        <v>0</v>
      </c>
      <c r="E2325" t="s">
        <v>436</v>
      </c>
      <c r="F2325" t="str">
        <f>INDEX(Lists!I:I,MATCH(Validation!E2325,Lists!G:G,0))</f>
        <v>Error</v>
      </c>
      <c r="G2325" t="str">
        <f>INDEX(Lists!H:H,MATCH(Validation!E2325,Lists!G:G,0))</f>
        <v>Amount must be rounded to the nearest dollar.</v>
      </c>
      <c r="H2325" s="25" t="str">
        <f t="shared" ca="1" si="261"/>
        <v/>
      </c>
      <c r="I2325" s="25" t="str">
        <f t="shared" ca="1" si="262"/>
        <v/>
      </c>
      <c r="J2325" s="26" t="str">
        <f t="shared" ca="1" si="263"/>
        <v/>
      </c>
    </row>
    <row r="2326" spans="1:10" x14ac:dyDescent="0.25">
      <c r="A2326" t="s">
        <v>313</v>
      </c>
      <c r="B2326" t="str">
        <f>ADDRESS(ROW('Bond 1'!$B$38),COLUMN('Bond 1'!$B$38),4)</f>
        <v>B38</v>
      </c>
      <c r="C2326" t="str">
        <f>ADDRESS(ROW('Bond 1'!$D$38),COLUMN('Bond 1'!$D$38),4)</f>
        <v>D38</v>
      </c>
      <c r="D2326" t="b" cm="1">
        <f t="array" aca="1" ref="D2326" ca="1">IF(INDIRECT("'"&amp;A2326&amp;"'!"&amp;B2326)="",FALSE,IF(TRUNC(INDIRECT("'"&amp;A2326&amp;"'!"&amp;B2326))=INDIRECT("'"&amp;A2326&amp;"'!"&amp;B2326),FALSE,TRUE))</f>
        <v>0</v>
      </c>
      <c r="E2326" t="s">
        <v>436</v>
      </c>
      <c r="F2326" t="str">
        <f>INDEX(Lists!I:I,MATCH(Validation!E2326,Lists!G:G,0))</f>
        <v>Error</v>
      </c>
      <c r="G2326" t="str">
        <f>INDEX(Lists!H:H,MATCH(Validation!E2326,Lists!G:G,0))</f>
        <v>Amount must be rounded to the nearest dollar.</v>
      </c>
      <c r="H2326" s="25" t="str">
        <f t="shared" ca="1" si="261"/>
        <v/>
      </c>
      <c r="I2326" s="25" t="str">
        <f t="shared" ca="1" si="262"/>
        <v/>
      </c>
      <c r="J2326" s="26" t="str">
        <f t="shared" ca="1" si="263"/>
        <v/>
      </c>
    </row>
    <row r="2327" spans="1:10" x14ac:dyDescent="0.25">
      <c r="A2327" t="s">
        <v>314</v>
      </c>
      <c r="B2327" t="str">
        <f>ADDRESS(ROW('Bond 1'!$B$38),COLUMN('Bond 1'!$B$38),4)</f>
        <v>B38</v>
      </c>
      <c r="C2327" t="str">
        <f>ADDRESS(ROW('Bond 1'!$D$38),COLUMN('Bond 1'!$D$38),4)</f>
        <v>D38</v>
      </c>
      <c r="D2327" t="b" cm="1">
        <f t="array" aca="1" ref="D2327" ca="1">IF(INDIRECT("'"&amp;A2327&amp;"'!"&amp;B2327)="",FALSE,IF(TRUNC(INDIRECT("'"&amp;A2327&amp;"'!"&amp;B2327))=INDIRECT("'"&amp;A2327&amp;"'!"&amp;B2327),FALSE,TRUE))</f>
        <v>0</v>
      </c>
      <c r="E2327" t="s">
        <v>436</v>
      </c>
      <c r="F2327" t="str">
        <f>INDEX(Lists!I:I,MATCH(Validation!E2327,Lists!G:G,0))</f>
        <v>Error</v>
      </c>
      <c r="G2327" t="str">
        <f>INDEX(Lists!H:H,MATCH(Validation!E2327,Lists!G:G,0))</f>
        <v>Amount must be rounded to the nearest dollar.</v>
      </c>
      <c r="H2327" s="25" t="str">
        <f t="shared" ca="1" si="261"/>
        <v/>
      </c>
      <c r="I2327" s="25" t="str">
        <f t="shared" ca="1" si="262"/>
        <v/>
      </c>
      <c r="J2327" s="26" t="str">
        <f t="shared" ca="1" si="263"/>
        <v/>
      </c>
    </row>
    <row r="2328" spans="1:10" x14ac:dyDescent="0.25">
      <c r="A2328" t="s">
        <v>315</v>
      </c>
      <c r="B2328" t="str">
        <f>ADDRESS(ROW('Bond 1'!$B$38),COLUMN('Bond 1'!$B$38),4)</f>
        <v>B38</v>
      </c>
      <c r="C2328" t="str">
        <f>ADDRESS(ROW('Bond 1'!$D$38),COLUMN('Bond 1'!$D$38),4)</f>
        <v>D38</v>
      </c>
      <c r="D2328" t="b" cm="1">
        <f t="array" aca="1" ref="D2328" ca="1">IF(INDIRECT("'"&amp;A2328&amp;"'!"&amp;B2328)="",FALSE,IF(TRUNC(INDIRECT("'"&amp;A2328&amp;"'!"&amp;B2328))=INDIRECT("'"&amp;A2328&amp;"'!"&amp;B2328),FALSE,TRUE))</f>
        <v>0</v>
      </c>
      <c r="E2328" t="s">
        <v>436</v>
      </c>
      <c r="F2328" t="str">
        <f>INDEX(Lists!I:I,MATCH(Validation!E2328,Lists!G:G,0))</f>
        <v>Error</v>
      </c>
      <c r="G2328" t="str">
        <f>INDEX(Lists!H:H,MATCH(Validation!E2328,Lists!G:G,0))</f>
        <v>Amount must be rounded to the nearest dollar.</v>
      </c>
      <c r="H2328" s="25" t="str">
        <f t="shared" ca="1" si="261"/>
        <v/>
      </c>
      <c r="I2328" s="25" t="str">
        <f t="shared" ca="1" si="262"/>
        <v/>
      </c>
      <c r="J2328" s="26" t="str">
        <f t="shared" ca="1" si="263"/>
        <v/>
      </c>
    </row>
    <row r="2329" spans="1:10" x14ac:dyDescent="0.25">
      <c r="A2329" t="s">
        <v>198</v>
      </c>
      <c r="B2329" t="str">
        <f>ADDRESS(ROW('Bond 1'!$B$38),COLUMN('Bond 1'!$B$38),4)</f>
        <v>B38</v>
      </c>
      <c r="C2329" t="str">
        <f>ADDRESS(ROW('Bond 1'!$D$38),COLUMN('Bond 1'!$D$38),4)</f>
        <v>D38</v>
      </c>
      <c r="D2329" t="b" cm="1">
        <f t="array" aca="1" ref="D2329" ca="1">IF(AND(NOT(ISBLANK('Bond Input'!C$49)),INDIRECT("'"&amp;A2329&amp;"'!"&amp;B2329)&lt;&gt;'Bond Input'!C$49),TRUE,FALSE)</f>
        <v>0</v>
      </c>
      <c r="E2329" t="s">
        <v>634</v>
      </c>
      <c r="F2329" t="str">
        <f>INDEX(Lists!I:I,MATCH(Validation!E2329,Lists!G:G,0))</f>
        <v>Alert</v>
      </c>
      <c r="G2329" t="str">
        <f>INDEX(Lists!H:H,MATCH(Validation!E2329,Lists!G:G,0))</f>
        <v>You have changed previously reported data. Explain in the comments box.</v>
      </c>
      <c r="H2329" s="25" t="str">
        <f t="shared" ref="H2329:H2342" ca="1" si="264">IFERROR(IF(OR(NOT(D2329),F2329&lt;&gt;"Error"),"",A2329&amp;CELL("address",INDIRECT(B2329))),"")</f>
        <v/>
      </c>
      <c r="I2329" s="25" t="str">
        <f t="shared" ref="I2329:I2342" ca="1" si="265">IFERROR(IF(NOT(D2329),"",A2329&amp;CELL("address",INDIRECT(C2329))),"")</f>
        <v/>
      </c>
      <c r="J2329" s="26" t="str">
        <f t="shared" ref="J2329:J2342" ca="1" si="266">IFERROR(IF(NOT(D2329),"",A2329),"")</f>
        <v/>
      </c>
    </row>
    <row r="2330" spans="1:10" x14ac:dyDescent="0.25">
      <c r="A2330" t="s">
        <v>302</v>
      </c>
      <c r="B2330" t="str">
        <f>ADDRESS(ROW('Bond 1'!$B$38),COLUMN('Bond 1'!$B$38),4)</f>
        <v>B38</v>
      </c>
      <c r="C2330" t="str">
        <f>ADDRESS(ROW('Bond 1'!$D$38),COLUMN('Bond 1'!$D$38),4)</f>
        <v>D38</v>
      </c>
      <c r="D2330" t="b" cm="1">
        <f t="array" aca="1" ref="D2330" ca="1">IF(AND(NOT(ISBLANK('Bond Input'!D$49)),INDIRECT("'"&amp;A2330&amp;"'!"&amp;B2330)&lt;&gt;'Bond Input'!D$49),TRUE,FALSE)</f>
        <v>0</v>
      </c>
      <c r="E2330" t="s">
        <v>634</v>
      </c>
      <c r="F2330" t="str">
        <f>INDEX(Lists!I:I,MATCH(Validation!E2330,Lists!G:G,0))</f>
        <v>Alert</v>
      </c>
      <c r="G2330" t="str">
        <f>INDEX(Lists!H:H,MATCH(Validation!E2330,Lists!G:G,0))</f>
        <v>You have changed previously reported data. Explain in the comments box.</v>
      </c>
      <c r="H2330" s="25" t="str">
        <f t="shared" ca="1" si="264"/>
        <v/>
      </c>
      <c r="I2330" s="25" t="str">
        <f t="shared" ca="1" si="265"/>
        <v/>
      </c>
      <c r="J2330" s="26" t="str">
        <f t="shared" ca="1" si="266"/>
        <v/>
      </c>
    </row>
    <row r="2331" spans="1:10" x14ac:dyDescent="0.25">
      <c r="A2331" t="s">
        <v>303</v>
      </c>
      <c r="B2331" t="str">
        <f>ADDRESS(ROW('Bond 1'!$B$38),COLUMN('Bond 1'!$B$38),4)</f>
        <v>B38</v>
      </c>
      <c r="C2331" t="str">
        <f>ADDRESS(ROW('Bond 1'!$D$38),COLUMN('Bond 1'!$D$38),4)</f>
        <v>D38</v>
      </c>
      <c r="D2331" t="b" cm="1">
        <f t="array" aca="1" ref="D2331" ca="1">IF(AND(NOT(ISBLANK('Bond Input'!E$49)),INDIRECT("'"&amp;A2331&amp;"'!"&amp;B2331)&lt;&gt;'Bond Input'!E$49),TRUE,FALSE)</f>
        <v>0</v>
      </c>
      <c r="E2331" t="s">
        <v>634</v>
      </c>
      <c r="F2331" t="str">
        <f>INDEX(Lists!I:I,MATCH(Validation!E2331,Lists!G:G,0))</f>
        <v>Alert</v>
      </c>
      <c r="G2331" t="str">
        <f>INDEX(Lists!H:H,MATCH(Validation!E2331,Lists!G:G,0))</f>
        <v>You have changed previously reported data. Explain in the comments box.</v>
      </c>
      <c r="H2331" s="25" t="str">
        <f t="shared" ca="1" si="264"/>
        <v/>
      </c>
      <c r="I2331" s="25" t="str">
        <f t="shared" ca="1" si="265"/>
        <v/>
      </c>
      <c r="J2331" s="26" t="str">
        <f t="shared" ca="1" si="266"/>
        <v/>
      </c>
    </row>
    <row r="2332" spans="1:10" x14ac:dyDescent="0.25">
      <c r="A2332" t="s">
        <v>304</v>
      </c>
      <c r="B2332" t="str">
        <f>ADDRESS(ROW('Bond 1'!$B$38),COLUMN('Bond 1'!$B$38),4)</f>
        <v>B38</v>
      </c>
      <c r="C2332" t="str">
        <f>ADDRESS(ROW('Bond 1'!$D$38),COLUMN('Bond 1'!$D$38),4)</f>
        <v>D38</v>
      </c>
      <c r="D2332" t="b" cm="1">
        <f t="array" aca="1" ref="D2332" ca="1">IF(AND(NOT(ISBLANK('Bond Input'!F$49)),INDIRECT("'"&amp;A2332&amp;"'!"&amp;B2332)&lt;&gt;'Bond Input'!F$49),TRUE,FALSE)</f>
        <v>0</v>
      </c>
      <c r="E2332" t="s">
        <v>634</v>
      </c>
      <c r="F2332" t="str">
        <f>INDEX(Lists!I:I,MATCH(Validation!E2332,Lists!G:G,0))</f>
        <v>Alert</v>
      </c>
      <c r="G2332" t="str">
        <f>INDEX(Lists!H:H,MATCH(Validation!E2332,Lists!G:G,0))</f>
        <v>You have changed previously reported data. Explain in the comments box.</v>
      </c>
      <c r="H2332" s="25" t="str">
        <f t="shared" ca="1" si="264"/>
        <v/>
      </c>
      <c r="I2332" s="25" t="str">
        <f t="shared" ca="1" si="265"/>
        <v/>
      </c>
      <c r="J2332" s="26" t="str">
        <f t="shared" ca="1" si="266"/>
        <v/>
      </c>
    </row>
    <row r="2333" spans="1:10" x14ac:dyDescent="0.25">
      <c r="A2333" t="s">
        <v>305</v>
      </c>
      <c r="B2333" t="str">
        <f>ADDRESS(ROW('Bond 1'!$B$38),COLUMN('Bond 1'!$B$38),4)</f>
        <v>B38</v>
      </c>
      <c r="C2333" t="str">
        <f>ADDRESS(ROW('Bond 1'!$D$38),COLUMN('Bond 1'!$D$38),4)</f>
        <v>D38</v>
      </c>
      <c r="D2333" t="b" cm="1">
        <f t="array" aca="1" ref="D2333" ca="1">IF(AND(NOT(ISBLANK('Bond Input'!G$49)),INDIRECT("'"&amp;A2333&amp;"'!"&amp;B2333)&lt;&gt;'Bond Input'!G$49),TRUE,FALSE)</f>
        <v>0</v>
      </c>
      <c r="E2333" t="s">
        <v>634</v>
      </c>
      <c r="F2333" t="str">
        <f>INDEX(Lists!I:I,MATCH(Validation!E2333,Lists!G:G,0))</f>
        <v>Alert</v>
      </c>
      <c r="G2333" t="str">
        <f>INDEX(Lists!H:H,MATCH(Validation!E2333,Lists!G:G,0))</f>
        <v>You have changed previously reported data. Explain in the comments box.</v>
      </c>
      <c r="H2333" s="25" t="str">
        <f t="shared" ca="1" si="264"/>
        <v/>
      </c>
      <c r="I2333" s="25" t="str">
        <f t="shared" ca="1" si="265"/>
        <v/>
      </c>
      <c r="J2333" s="26" t="str">
        <f t="shared" ca="1" si="266"/>
        <v/>
      </c>
    </row>
    <row r="2334" spans="1:10" x14ac:dyDescent="0.25">
      <c r="A2334" t="s">
        <v>306</v>
      </c>
      <c r="B2334" t="str">
        <f>ADDRESS(ROW('Bond 1'!$B$38),COLUMN('Bond 1'!$B$38),4)</f>
        <v>B38</v>
      </c>
      <c r="C2334" t="str">
        <f>ADDRESS(ROW('Bond 1'!$D$38),COLUMN('Bond 1'!$D$38),4)</f>
        <v>D38</v>
      </c>
      <c r="D2334" t="b" cm="1">
        <f t="array" aca="1" ref="D2334" ca="1">IF(AND(NOT(ISBLANK('Bond Input'!H$49)),INDIRECT("'"&amp;A2334&amp;"'!"&amp;B2334)&lt;&gt;'Bond Input'!H$49),TRUE,FALSE)</f>
        <v>0</v>
      </c>
      <c r="E2334" t="s">
        <v>634</v>
      </c>
      <c r="F2334" t="str">
        <f>INDEX(Lists!I:I,MATCH(Validation!E2334,Lists!G:G,0))</f>
        <v>Alert</v>
      </c>
      <c r="G2334" t="str">
        <f>INDEX(Lists!H:H,MATCH(Validation!E2334,Lists!G:G,0))</f>
        <v>You have changed previously reported data. Explain in the comments box.</v>
      </c>
      <c r="H2334" s="25" t="str">
        <f t="shared" ca="1" si="264"/>
        <v/>
      </c>
      <c r="I2334" s="25" t="str">
        <f t="shared" ca="1" si="265"/>
        <v/>
      </c>
      <c r="J2334" s="26" t="str">
        <f t="shared" ca="1" si="266"/>
        <v/>
      </c>
    </row>
    <row r="2335" spans="1:10" x14ac:dyDescent="0.25">
      <c r="A2335" t="s">
        <v>307</v>
      </c>
      <c r="B2335" t="str">
        <f>ADDRESS(ROW('Bond 1'!$B$38),COLUMN('Bond 1'!$B$38),4)</f>
        <v>B38</v>
      </c>
      <c r="C2335" t="str">
        <f>ADDRESS(ROW('Bond 1'!$D$38),COLUMN('Bond 1'!$D$38),4)</f>
        <v>D38</v>
      </c>
      <c r="D2335" t="b" cm="1">
        <f t="array" aca="1" ref="D2335" ca="1">IF(AND(NOT(ISBLANK('Bond Input'!I$49)),INDIRECT("'"&amp;A2335&amp;"'!"&amp;B2335)&lt;&gt;'Bond Input'!I$49),TRUE,FALSE)</f>
        <v>0</v>
      </c>
      <c r="E2335" t="s">
        <v>634</v>
      </c>
      <c r="F2335" t="str">
        <f>INDEX(Lists!I:I,MATCH(Validation!E2335,Lists!G:G,0))</f>
        <v>Alert</v>
      </c>
      <c r="G2335" t="str">
        <f>INDEX(Lists!H:H,MATCH(Validation!E2335,Lists!G:G,0))</f>
        <v>You have changed previously reported data. Explain in the comments box.</v>
      </c>
      <c r="H2335" s="25" t="str">
        <f t="shared" ca="1" si="264"/>
        <v/>
      </c>
      <c r="I2335" s="25" t="str">
        <f t="shared" ca="1" si="265"/>
        <v/>
      </c>
      <c r="J2335" s="26" t="str">
        <f t="shared" ca="1" si="266"/>
        <v/>
      </c>
    </row>
    <row r="2336" spans="1:10" x14ac:dyDescent="0.25">
      <c r="A2336" t="s">
        <v>308</v>
      </c>
      <c r="B2336" t="str">
        <f>ADDRESS(ROW('Bond 1'!$B$38),COLUMN('Bond 1'!$B$38),4)</f>
        <v>B38</v>
      </c>
      <c r="C2336" t="str">
        <f>ADDRESS(ROW('Bond 1'!$D$38),COLUMN('Bond 1'!$D$38),4)</f>
        <v>D38</v>
      </c>
      <c r="D2336" t="b" cm="1">
        <f t="array" aca="1" ref="D2336" ca="1">IF(AND(NOT(ISBLANK('Bond Input'!J$49)),INDIRECT("'"&amp;A2336&amp;"'!"&amp;B2336)&lt;&gt;'Bond Input'!J$49),TRUE,FALSE)</f>
        <v>0</v>
      </c>
      <c r="E2336" t="s">
        <v>634</v>
      </c>
      <c r="F2336" t="str">
        <f>INDEX(Lists!I:I,MATCH(Validation!E2336,Lists!G:G,0))</f>
        <v>Alert</v>
      </c>
      <c r="G2336" t="str">
        <f>INDEX(Lists!H:H,MATCH(Validation!E2336,Lists!G:G,0))</f>
        <v>You have changed previously reported data. Explain in the comments box.</v>
      </c>
      <c r="H2336" s="25" t="str">
        <f t="shared" ca="1" si="264"/>
        <v/>
      </c>
      <c r="I2336" s="25" t="str">
        <f t="shared" ca="1" si="265"/>
        <v/>
      </c>
      <c r="J2336" s="26" t="str">
        <f t="shared" ca="1" si="266"/>
        <v/>
      </c>
    </row>
    <row r="2337" spans="1:10" x14ac:dyDescent="0.25">
      <c r="A2337" t="s">
        <v>309</v>
      </c>
      <c r="B2337" t="str">
        <f>ADDRESS(ROW('Bond 1'!$B$38),COLUMN('Bond 1'!$B$38),4)</f>
        <v>B38</v>
      </c>
      <c r="C2337" t="str">
        <f>ADDRESS(ROW('Bond 1'!$D$38),COLUMN('Bond 1'!$D$38),4)</f>
        <v>D38</v>
      </c>
      <c r="D2337" t="b" cm="1">
        <f t="array" aca="1" ref="D2337" ca="1">IF(AND(NOT(ISBLANK('Bond Input'!K$49)),INDIRECT("'"&amp;A2337&amp;"'!"&amp;B2337)&lt;&gt;'Bond Input'!K$49),TRUE,FALSE)</f>
        <v>0</v>
      </c>
      <c r="E2337" t="s">
        <v>634</v>
      </c>
      <c r="F2337" t="str">
        <f>INDEX(Lists!I:I,MATCH(Validation!E2337,Lists!G:G,0))</f>
        <v>Alert</v>
      </c>
      <c r="G2337" t="str">
        <f>INDEX(Lists!H:H,MATCH(Validation!E2337,Lists!G:G,0))</f>
        <v>You have changed previously reported data. Explain in the comments box.</v>
      </c>
      <c r="H2337" s="25" t="str">
        <f t="shared" ca="1" si="264"/>
        <v/>
      </c>
      <c r="I2337" s="25" t="str">
        <f t="shared" ca="1" si="265"/>
        <v/>
      </c>
      <c r="J2337" s="26" t="str">
        <f t="shared" ca="1" si="266"/>
        <v/>
      </c>
    </row>
    <row r="2338" spans="1:10" x14ac:dyDescent="0.25">
      <c r="A2338" t="s">
        <v>310</v>
      </c>
      <c r="B2338" t="str">
        <f>ADDRESS(ROW('Bond 1'!$B$38),COLUMN('Bond 1'!$B$38),4)</f>
        <v>B38</v>
      </c>
      <c r="C2338" t="str">
        <f>ADDRESS(ROW('Bond 1'!$D$38),COLUMN('Bond 1'!$D$38),4)</f>
        <v>D38</v>
      </c>
      <c r="D2338" t="b" cm="1">
        <f t="array" aca="1" ref="D2338" ca="1">IF(AND(NOT(ISBLANK('Bond Input'!L$49)),INDIRECT("'"&amp;A2338&amp;"'!"&amp;B2338)&lt;&gt;'Bond Input'!L$49),TRUE,FALSE)</f>
        <v>0</v>
      </c>
      <c r="E2338" t="s">
        <v>634</v>
      </c>
      <c r="F2338" t="str">
        <f>INDEX(Lists!I:I,MATCH(Validation!E2338,Lists!G:G,0))</f>
        <v>Alert</v>
      </c>
      <c r="G2338" t="str">
        <f>INDEX(Lists!H:H,MATCH(Validation!E2338,Lists!G:G,0))</f>
        <v>You have changed previously reported data. Explain in the comments box.</v>
      </c>
      <c r="H2338" s="25" t="str">
        <f t="shared" ca="1" si="264"/>
        <v/>
      </c>
      <c r="I2338" s="25" t="str">
        <f t="shared" ca="1" si="265"/>
        <v/>
      </c>
      <c r="J2338" s="26" t="str">
        <f t="shared" ca="1" si="266"/>
        <v/>
      </c>
    </row>
    <row r="2339" spans="1:10" x14ac:dyDescent="0.25">
      <c r="A2339" t="s">
        <v>311</v>
      </c>
      <c r="B2339" t="str">
        <f>ADDRESS(ROW('Bond 1'!$B$38),COLUMN('Bond 1'!$B$38),4)</f>
        <v>B38</v>
      </c>
      <c r="C2339" t="str">
        <f>ADDRESS(ROW('Bond 1'!$D$38),COLUMN('Bond 1'!$D$38),4)</f>
        <v>D38</v>
      </c>
      <c r="D2339" t="b" cm="1">
        <f t="array" aca="1" ref="D2339" ca="1">IF(AND(NOT(ISBLANK('Bond Input'!M$49)),INDIRECT("'"&amp;A2339&amp;"'!"&amp;B2339)&lt;&gt;'Bond Input'!M$49),TRUE,FALSE)</f>
        <v>0</v>
      </c>
      <c r="E2339" t="s">
        <v>634</v>
      </c>
      <c r="F2339" t="str">
        <f>INDEX(Lists!I:I,MATCH(Validation!E2339,Lists!G:G,0))</f>
        <v>Alert</v>
      </c>
      <c r="G2339" t="str">
        <f>INDEX(Lists!H:H,MATCH(Validation!E2339,Lists!G:G,0))</f>
        <v>You have changed previously reported data. Explain in the comments box.</v>
      </c>
      <c r="H2339" s="25" t="str">
        <f t="shared" ca="1" si="264"/>
        <v/>
      </c>
      <c r="I2339" s="25" t="str">
        <f t="shared" ca="1" si="265"/>
        <v/>
      </c>
      <c r="J2339" s="26" t="str">
        <f t="shared" ca="1" si="266"/>
        <v/>
      </c>
    </row>
    <row r="2340" spans="1:10" x14ac:dyDescent="0.25">
      <c r="A2340" t="s">
        <v>312</v>
      </c>
      <c r="B2340" t="str">
        <f>ADDRESS(ROW('Bond 1'!$B$38),COLUMN('Bond 1'!$B$38),4)</f>
        <v>B38</v>
      </c>
      <c r="C2340" t="str">
        <f>ADDRESS(ROW('Bond 1'!$D$38),COLUMN('Bond 1'!$D$38),4)</f>
        <v>D38</v>
      </c>
      <c r="D2340" t="b" cm="1">
        <f t="array" aca="1" ref="D2340" ca="1">IF(AND(NOT(ISBLANK('Bond Input'!N$49)),INDIRECT("'"&amp;A2340&amp;"'!"&amp;B2340)&lt;&gt;'Bond Input'!N$49),TRUE,FALSE)</f>
        <v>0</v>
      </c>
      <c r="E2340" t="s">
        <v>634</v>
      </c>
      <c r="F2340" t="str">
        <f>INDEX(Lists!I:I,MATCH(Validation!E2340,Lists!G:G,0))</f>
        <v>Alert</v>
      </c>
      <c r="G2340" t="str">
        <f>INDEX(Lists!H:H,MATCH(Validation!E2340,Lists!G:G,0))</f>
        <v>You have changed previously reported data. Explain in the comments box.</v>
      </c>
      <c r="H2340" s="25" t="str">
        <f t="shared" ca="1" si="264"/>
        <v/>
      </c>
      <c r="I2340" s="25" t="str">
        <f t="shared" ca="1" si="265"/>
        <v/>
      </c>
      <c r="J2340" s="26" t="str">
        <f t="shared" ca="1" si="266"/>
        <v/>
      </c>
    </row>
    <row r="2341" spans="1:10" x14ac:dyDescent="0.25">
      <c r="A2341" t="s">
        <v>313</v>
      </c>
      <c r="B2341" t="str">
        <f>ADDRESS(ROW('Bond 1'!$B$38),COLUMN('Bond 1'!$B$38),4)</f>
        <v>B38</v>
      </c>
      <c r="C2341" t="str">
        <f>ADDRESS(ROW('Bond 1'!$D$38),COLUMN('Bond 1'!$D$38),4)</f>
        <v>D38</v>
      </c>
      <c r="D2341" t="b" cm="1">
        <f t="array" aca="1" ref="D2341" ca="1">IF(AND(NOT(ISBLANK('Bond Input'!O$49)),INDIRECT("'"&amp;A2341&amp;"'!"&amp;B2341)&lt;&gt;'Bond Input'!O$49),TRUE,FALSE)</f>
        <v>0</v>
      </c>
      <c r="E2341" t="s">
        <v>634</v>
      </c>
      <c r="F2341" t="str">
        <f>INDEX(Lists!I:I,MATCH(Validation!E2341,Lists!G:G,0))</f>
        <v>Alert</v>
      </c>
      <c r="G2341" t="str">
        <f>INDEX(Lists!H:H,MATCH(Validation!E2341,Lists!G:G,0))</f>
        <v>You have changed previously reported data. Explain in the comments box.</v>
      </c>
      <c r="H2341" s="25" t="str">
        <f t="shared" ca="1" si="264"/>
        <v/>
      </c>
      <c r="I2341" s="25" t="str">
        <f t="shared" ca="1" si="265"/>
        <v/>
      </c>
      <c r="J2341" s="26" t="str">
        <f t="shared" ca="1" si="266"/>
        <v/>
      </c>
    </row>
    <row r="2342" spans="1:10" x14ac:dyDescent="0.25">
      <c r="A2342" t="s">
        <v>314</v>
      </c>
      <c r="B2342" t="str">
        <f>ADDRESS(ROW('Bond 1'!$B$38),COLUMN('Bond 1'!$B$38),4)</f>
        <v>B38</v>
      </c>
      <c r="C2342" t="str">
        <f>ADDRESS(ROW('Bond 1'!$D$38),COLUMN('Bond 1'!$D$38),4)</f>
        <v>D38</v>
      </c>
      <c r="D2342" t="b" cm="1">
        <f t="array" aca="1" ref="D2342" ca="1">IF(AND(NOT(ISBLANK('Bond Input'!P$49)),INDIRECT("'"&amp;A2342&amp;"'!"&amp;B2342)&lt;&gt;'Bond Input'!P$49),TRUE,FALSE)</f>
        <v>0</v>
      </c>
      <c r="E2342" t="s">
        <v>634</v>
      </c>
      <c r="F2342" t="str">
        <f>INDEX(Lists!I:I,MATCH(Validation!E2342,Lists!G:G,0))</f>
        <v>Alert</v>
      </c>
      <c r="G2342" t="str">
        <f>INDEX(Lists!H:H,MATCH(Validation!E2342,Lists!G:G,0))</f>
        <v>You have changed previously reported data. Explain in the comments box.</v>
      </c>
      <c r="H2342" s="25" t="str">
        <f t="shared" ca="1" si="264"/>
        <v/>
      </c>
      <c r="I2342" s="25" t="str">
        <f t="shared" ca="1" si="265"/>
        <v/>
      </c>
      <c r="J2342" s="26" t="str">
        <f t="shared" ca="1" si="266"/>
        <v/>
      </c>
    </row>
    <row r="2343" spans="1:10" x14ac:dyDescent="0.25">
      <c r="A2343" t="s">
        <v>315</v>
      </c>
      <c r="B2343" t="str">
        <f>ADDRESS(ROW('Bond 1'!$B$38),COLUMN('Bond 1'!$B$38),4)</f>
        <v>B38</v>
      </c>
      <c r="C2343" t="str">
        <f>ADDRESS(ROW('Bond 1'!$D$38),COLUMN('Bond 1'!$D$38),4)</f>
        <v>D38</v>
      </c>
      <c r="D2343" t="b" cm="1">
        <f t="array" aca="1" ref="D2343" ca="1">IF(AND(NOT(ISBLANK('Bond Input'!Q$49)),INDIRECT("'"&amp;A2343&amp;"'!"&amp;B2343)&lt;&gt;'Bond Input'!Q$49),TRUE,FALSE)</f>
        <v>0</v>
      </c>
      <c r="E2343" t="s">
        <v>634</v>
      </c>
      <c r="F2343" t="str">
        <f>INDEX(Lists!I:I,MATCH(Validation!E2343,Lists!G:G,0))</f>
        <v>Alert</v>
      </c>
      <c r="G2343" t="str">
        <f>INDEX(Lists!H:H,MATCH(Validation!E2343,Lists!G:G,0))</f>
        <v>You have changed previously reported data. Explain in the comments box.</v>
      </c>
      <c r="H2343" s="25" t="str">
        <f ca="1">IFERROR(IF(OR(NOT(D2343),F2343&lt;&gt;"Error"),"",A2343&amp;CELL("address",INDIRECT(B2343))),"")</f>
        <v/>
      </c>
      <c r="I2343" s="25" t="str">
        <f ca="1">IFERROR(IF(NOT(D2343),"",A2343&amp;CELL("address",INDIRECT(C2343))),"")</f>
        <v/>
      </c>
      <c r="J2343" s="26" t="str">
        <f ca="1">IFERROR(IF(NOT(D2343),"",A2343),"")</f>
        <v/>
      </c>
    </row>
    <row r="2344" spans="1:10" x14ac:dyDescent="0.25">
      <c r="A2344" t="s">
        <v>198</v>
      </c>
      <c r="B2344" t="str">
        <f>ADDRESS(ROW('Bond 1'!$C$38),COLUMN('Bond 1'!$C$38),4)</f>
        <v>C38</v>
      </c>
      <c r="C2344" t="str">
        <f>ADDRESS(ROW('Bond 1'!$D$38),COLUMN('Bond 1'!$D$38),4)</f>
        <v>D38</v>
      </c>
      <c r="D2344" t="b" cm="1">
        <f t="array" aca="1" ref="D2344" ca="1">IF(AND('Bond 1'!B$8="Non-TIF Bond",OR(ISBLANK(INDIRECT("'"&amp;A2344&amp;"'!"&amp;B2344)),INDIRECT("'"&amp;A2344&amp;"'!"&amp;B2344)&lt;&gt;0)),TRUE,FALSE)</f>
        <v>0</v>
      </c>
      <c r="E2344" t="s">
        <v>630</v>
      </c>
      <c r="F2344" t="str">
        <f>INDEX(Lists!I:I,MATCH(Validation!E2344,Lists!G:G,0))</f>
        <v>Error</v>
      </c>
      <c r="G2344" t="str">
        <f>INDEX(Lists!H:H,MATCH(Validation!E2344,Lists!G:G,0))</f>
        <v>Enter $0 if debt type is Non-TIF Bond.</v>
      </c>
      <c r="H2344" s="25" t="str">
        <f t="shared" ref="H2344:H2347" ca="1" si="267">IFERROR(IF(OR(NOT(D2344),F2344&lt;&gt;"Error"),"",A2344&amp;CELL("address",INDIRECT(B2344))),"")</f>
        <v/>
      </c>
      <c r="I2344" s="25" t="str">
        <f t="shared" ref="I2344:I2347" ca="1" si="268">IFERROR(IF(NOT(D2344),"",A2344&amp;CELL("address",INDIRECT(C2344))),"")</f>
        <v/>
      </c>
      <c r="J2344" s="26" t="str">
        <f t="shared" ref="J2344:J2347" ca="1" si="269">IFERROR(IF(NOT(D2344),"",A2344),"")</f>
        <v/>
      </c>
    </row>
    <row r="2345" spans="1:10" x14ac:dyDescent="0.25">
      <c r="A2345" t="s">
        <v>302</v>
      </c>
      <c r="B2345" t="str">
        <f>ADDRESS(ROW('Bond 1'!$C$38),COLUMN('Bond 1'!$C$38),4)</f>
        <v>C38</v>
      </c>
      <c r="C2345" t="str">
        <f>ADDRESS(ROW('Bond 1'!$D$38),COLUMN('Bond 1'!$D$38),4)</f>
        <v>D38</v>
      </c>
      <c r="D2345" t="b" cm="1">
        <f t="array" aca="1" ref="D2345" ca="1">IF(AND('Bond 2'!B$8="Non-TIF Bond",OR(ISBLANK(INDIRECT("'"&amp;A2345&amp;"'!"&amp;B2345)),INDIRECT("'"&amp;A2345&amp;"'!"&amp;B2345)&lt;&gt;0)),TRUE,FALSE)</f>
        <v>0</v>
      </c>
      <c r="E2345" t="s">
        <v>630</v>
      </c>
      <c r="F2345" t="str">
        <f>INDEX(Lists!I:I,MATCH(Validation!E2345,Lists!G:G,0))</f>
        <v>Error</v>
      </c>
      <c r="G2345" t="str">
        <f>INDEX(Lists!H:H,MATCH(Validation!E2345,Lists!G:G,0))</f>
        <v>Enter $0 if debt type is Non-TIF Bond.</v>
      </c>
      <c r="H2345" s="25" t="str">
        <f t="shared" ca="1" si="267"/>
        <v/>
      </c>
      <c r="I2345" s="25" t="str">
        <f t="shared" ca="1" si="268"/>
        <v/>
      </c>
      <c r="J2345" s="26" t="str">
        <f t="shared" ca="1" si="269"/>
        <v/>
      </c>
    </row>
    <row r="2346" spans="1:10" x14ac:dyDescent="0.25">
      <c r="A2346" t="s">
        <v>303</v>
      </c>
      <c r="B2346" t="str">
        <f>ADDRESS(ROW('Bond 1'!$C$38),COLUMN('Bond 1'!$C$38),4)</f>
        <v>C38</v>
      </c>
      <c r="C2346" t="str">
        <f>ADDRESS(ROW('Bond 1'!$D$38),COLUMN('Bond 1'!$D$38),4)</f>
        <v>D38</v>
      </c>
      <c r="D2346" t="b" cm="1">
        <f t="array" aca="1" ref="D2346" ca="1">IF(AND('Bond 3'!B$8="Non-TIF Bond",OR(ISBLANK(INDIRECT("'"&amp;A2346&amp;"'!"&amp;B2346)),INDIRECT("'"&amp;A2346&amp;"'!"&amp;B2346)&lt;&gt;0)),TRUE,FALSE)</f>
        <v>0</v>
      </c>
      <c r="E2346" t="s">
        <v>630</v>
      </c>
      <c r="F2346" t="str">
        <f>INDEX(Lists!I:I,MATCH(Validation!E2346,Lists!G:G,0))</f>
        <v>Error</v>
      </c>
      <c r="G2346" t="str">
        <f>INDEX(Lists!H:H,MATCH(Validation!E2346,Lists!G:G,0))</f>
        <v>Enter $0 if debt type is Non-TIF Bond.</v>
      </c>
      <c r="H2346" s="25" t="str">
        <f t="shared" ca="1" si="267"/>
        <v/>
      </c>
      <c r="I2346" s="25" t="str">
        <f t="shared" ca="1" si="268"/>
        <v/>
      </c>
      <c r="J2346" s="26" t="str">
        <f t="shared" ca="1" si="269"/>
        <v/>
      </c>
    </row>
    <row r="2347" spans="1:10" x14ac:dyDescent="0.25">
      <c r="A2347" t="s">
        <v>304</v>
      </c>
      <c r="B2347" t="str">
        <f>ADDRESS(ROW('Bond 1'!$C$38),COLUMN('Bond 1'!$C$38),4)</f>
        <v>C38</v>
      </c>
      <c r="C2347" t="str">
        <f>ADDRESS(ROW('Bond 1'!$D$38),COLUMN('Bond 1'!$D$38),4)</f>
        <v>D38</v>
      </c>
      <c r="D2347" t="b" cm="1">
        <f t="array" aca="1" ref="D2347" ca="1">IF(AND('Bond 4'!B$8="Non-TIF Bond",OR(ISBLANK(INDIRECT("'"&amp;A2347&amp;"'!"&amp;B2347)),INDIRECT("'"&amp;A2347&amp;"'!"&amp;B2347)&lt;&gt;0)),TRUE,FALSE)</f>
        <v>0</v>
      </c>
      <c r="E2347" t="s">
        <v>630</v>
      </c>
      <c r="F2347" t="str">
        <f>INDEX(Lists!I:I,MATCH(Validation!E2347,Lists!G:G,0))</f>
        <v>Error</v>
      </c>
      <c r="G2347" t="str">
        <f>INDEX(Lists!H:H,MATCH(Validation!E2347,Lists!G:G,0))</f>
        <v>Enter $0 if debt type is Non-TIF Bond.</v>
      </c>
      <c r="H2347" s="25" t="str">
        <f t="shared" ca="1" si="267"/>
        <v/>
      </c>
      <c r="I2347" s="25" t="str">
        <f t="shared" ca="1" si="268"/>
        <v/>
      </c>
      <c r="J2347" s="26" t="str">
        <f t="shared" ca="1" si="269"/>
        <v/>
      </c>
    </row>
    <row r="2348" spans="1:10" x14ac:dyDescent="0.25">
      <c r="A2348" t="s">
        <v>305</v>
      </c>
      <c r="B2348" t="str">
        <f>ADDRESS(ROW('Bond 1'!$C$38),COLUMN('Bond 1'!$C$38),4)</f>
        <v>C38</v>
      </c>
      <c r="C2348" t="str">
        <f>ADDRESS(ROW('Bond 1'!$D$38),COLUMN('Bond 1'!$D$38),4)</f>
        <v>D38</v>
      </c>
      <c r="D2348" t="b" cm="1">
        <f t="array" aca="1" ref="D2348" ca="1">IF(AND('Bond 5'!B$8="Non-TIF Bond",OR(ISBLANK(INDIRECT("'"&amp;A2348&amp;"'!"&amp;B2348)),INDIRECT("'"&amp;A2348&amp;"'!"&amp;B2348)&lt;&gt;0)),TRUE,FALSE)</f>
        <v>0</v>
      </c>
      <c r="E2348" t="s">
        <v>630</v>
      </c>
      <c r="F2348" t="str">
        <f>INDEX(Lists!I:I,MATCH(Validation!E2348,Lists!G:G,0))</f>
        <v>Error</v>
      </c>
      <c r="G2348" t="str">
        <f>INDEX(Lists!H:H,MATCH(Validation!E2348,Lists!G:G,0))</f>
        <v>Enter $0 if debt type is Non-TIF Bond.</v>
      </c>
      <c r="H2348" s="25" t="str">
        <f t="shared" ref="H2348:H2358" ca="1" si="270">IFERROR(IF(OR(NOT(D2348),F2348&lt;&gt;"Error"),"",A2348&amp;CELL("address",INDIRECT(B2348))),"")</f>
        <v/>
      </c>
      <c r="I2348" s="25" t="str">
        <f t="shared" ref="I2348:I2358" ca="1" si="271">IFERROR(IF(NOT(D2348),"",A2348&amp;CELL("address",INDIRECT(C2348))),"")</f>
        <v/>
      </c>
      <c r="J2348" s="26" t="str">
        <f t="shared" ref="J2348:J2358" ca="1" si="272">IFERROR(IF(NOT(D2348),"",A2348),"")</f>
        <v/>
      </c>
    </row>
    <row r="2349" spans="1:10" x14ac:dyDescent="0.25">
      <c r="A2349" t="s">
        <v>306</v>
      </c>
      <c r="B2349" t="str">
        <f>ADDRESS(ROW('Bond 1'!$C$38),COLUMN('Bond 1'!$C$38),4)</f>
        <v>C38</v>
      </c>
      <c r="C2349" t="str">
        <f>ADDRESS(ROW('Bond 1'!$D$38),COLUMN('Bond 1'!$D$38),4)</f>
        <v>D38</v>
      </c>
      <c r="D2349" t="b" cm="1">
        <f t="array" aca="1" ref="D2349" ca="1">IF(AND('Bond 6'!B$8="Non-TIF Bond",OR(ISBLANK(INDIRECT("'"&amp;A2349&amp;"'!"&amp;B2349)),INDIRECT("'"&amp;A2349&amp;"'!"&amp;B2349)&lt;&gt;0)),TRUE,FALSE)</f>
        <v>0</v>
      </c>
      <c r="E2349" t="s">
        <v>630</v>
      </c>
      <c r="F2349" t="str">
        <f>INDEX(Lists!I:I,MATCH(Validation!E2349,Lists!G:G,0))</f>
        <v>Error</v>
      </c>
      <c r="G2349" t="str">
        <f>INDEX(Lists!H:H,MATCH(Validation!E2349,Lists!G:G,0))</f>
        <v>Enter $0 if debt type is Non-TIF Bond.</v>
      </c>
      <c r="H2349" s="25" t="str">
        <f t="shared" ca="1" si="270"/>
        <v/>
      </c>
      <c r="I2349" s="25" t="str">
        <f t="shared" ca="1" si="271"/>
        <v/>
      </c>
      <c r="J2349" s="26" t="str">
        <f t="shared" ca="1" si="272"/>
        <v/>
      </c>
    </row>
    <row r="2350" spans="1:10" x14ac:dyDescent="0.25">
      <c r="A2350" t="s">
        <v>307</v>
      </c>
      <c r="B2350" t="str">
        <f>ADDRESS(ROW('Bond 1'!$C$38),COLUMN('Bond 1'!$C$38),4)</f>
        <v>C38</v>
      </c>
      <c r="C2350" t="str">
        <f>ADDRESS(ROW('Bond 1'!$D$38),COLUMN('Bond 1'!$D$38),4)</f>
        <v>D38</v>
      </c>
      <c r="D2350" t="b" cm="1">
        <f t="array" aca="1" ref="D2350" ca="1">IF(AND('Bond 7'!B$8="Non-TIF Bond",OR(ISBLANK(INDIRECT("'"&amp;A2350&amp;"'!"&amp;B2350)),INDIRECT("'"&amp;A2350&amp;"'!"&amp;B2350)&lt;&gt;0)),TRUE,FALSE)</f>
        <v>0</v>
      </c>
      <c r="E2350" t="s">
        <v>630</v>
      </c>
      <c r="F2350" t="str">
        <f>INDEX(Lists!I:I,MATCH(Validation!E2350,Lists!G:G,0))</f>
        <v>Error</v>
      </c>
      <c r="G2350" t="str">
        <f>INDEX(Lists!H:H,MATCH(Validation!E2350,Lists!G:G,0))</f>
        <v>Enter $0 if debt type is Non-TIF Bond.</v>
      </c>
      <c r="H2350" s="25" t="str">
        <f t="shared" ca="1" si="270"/>
        <v/>
      </c>
      <c r="I2350" s="25" t="str">
        <f t="shared" ca="1" si="271"/>
        <v/>
      </c>
      <c r="J2350" s="26" t="str">
        <f t="shared" ca="1" si="272"/>
        <v/>
      </c>
    </row>
    <row r="2351" spans="1:10" x14ac:dyDescent="0.25">
      <c r="A2351" t="s">
        <v>308</v>
      </c>
      <c r="B2351" t="str">
        <f>ADDRESS(ROW('Bond 1'!$C$38),COLUMN('Bond 1'!$C$38),4)</f>
        <v>C38</v>
      </c>
      <c r="C2351" t="str">
        <f>ADDRESS(ROW('Bond 1'!$D$38),COLUMN('Bond 1'!$D$38),4)</f>
        <v>D38</v>
      </c>
      <c r="D2351" t="b" cm="1">
        <f t="array" aca="1" ref="D2351" ca="1">IF(AND('Bond 8'!B$8="Non-TIF Bond",OR(ISBLANK(INDIRECT("'"&amp;A2351&amp;"'!"&amp;B2351)),INDIRECT("'"&amp;A2351&amp;"'!"&amp;B2351)&lt;&gt;0)),TRUE,FALSE)</f>
        <v>0</v>
      </c>
      <c r="E2351" t="s">
        <v>630</v>
      </c>
      <c r="F2351" t="str">
        <f>INDEX(Lists!I:I,MATCH(Validation!E2351,Lists!G:G,0))</f>
        <v>Error</v>
      </c>
      <c r="G2351" t="str">
        <f>INDEX(Lists!H:H,MATCH(Validation!E2351,Lists!G:G,0))</f>
        <v>Enter $0 if debt type is Non-TIF Bond.</v>
      </c>
      <c r="H2351" s="25" t="str">
        <f t="shared" ca="1" si="270"/>
        <v/>
      </c>
      <c r="I2351" s="25" t="str">
        <f t="shared" ca="1" si="271"/>
        <v/>
      </c>
      <c r="J2351" s="26" t="str">
        <f t="shared" ca="1" si="272"/>
        <v/>
      </c>
    </row>
    <row r="2352" spans="1:10" x14ac:dyDescent="0.25">
      <c r="A2352" t="s">
        <v>309</v>
      </c>
      <c r="B2352" t="str">
        <f>ADDRESS(ROW('Bond 1'!$C$38),COLUMN('Bond 1'!$C$38),4)</f>
        <v>C38</v>
      </c>
      <c r="C2352" t="str">
        <f>ADDRESS(ROW('Bond 1'!$D$38),COLUMN('Bond 1'!$D$38),4)</f>
        <v>D38</v>
      </c>
      <c r="D2352" t="b" cm="1">
        <f t="array" aca="1" ref="D2352" ca="1">IF(AND('Bond 9'!B$8="Non-TIF Bond",OR(ISBLANK(INDIRECT("'"&amp;A2352&amp;"'!"&amp;B2352)),INDIRECT("'"&amp;A2352&amp;"'!"&amp;B2352)&lt;&gt;0)),TRUE,FALSE)</f>
        <v>0</v>
      </c>
      <c r="E2352" t="s">
        <v>630</v>
      </c>
      <c r="F2352" t="str">
        <f>INDEX(Lists!I:I,MATCH(Validation!E2352,Lists!G:G,0))</f>
        <v>Error</v>
      </c>
      <c r="G2352" t="str">
        <f>INDEX(Lists!H:H,MATCH(Validation!E2352,Lists!G:G,0))</f>
        <v>Enter $0 if debt type is Non-TIF Bond.</v>
      </c>
      <c r="H2352" s="25" t="str">
        <f t="shared" ca="1" si="270"/>
        <v/>
      </c>
      <c r="I2352" s="25" t="str">
        <f t="shared" ca="1" si="271"/>
        <v/>
      </c>
      <c r="J2352" s="26" t="str">
        <f t="shared" ca="1" si="272"/>
        <v/>
      </c>
    </row>
    <row r="2353" spans="1:10" x14ac:dyDescent="0.25">
      <c r="A2353" t="s">
        <v>310</v>
      </c>
      <c r="B2353" t="str">
        <f>ADDRESS(ROW('Bond 1'!$C$38),COLUMN('Bond 1'!$C$38),4)</f>
        <v>C38</v>
      </c>
      <c r="C2353" t="str">
        <f>ADDRESS(ROW('Bond 1'!$D$38),COLUMN('Bond 1'!$D$38),4)</f>
        <v>D38</v>
      </c>
      <c r="D2353" t="b" cm="1">
        <f t="array" aca="1" ref="D2353" ca="1">IF(AND('Bond 10'!B$8="Non-TIF Bond",OR(ISBLANK(INDIRECT("'"&amp;A2353&amp;"'!"&amp;B2353)),INDIRECT("'"&amp;A2353&amp;"'!"&amp;B2353)&lt;&gt;0)),TRUE,FALSE)</f>
        <v>0</v>
      </c>
      <c r="E2353" t="s">
        <v>630</v>
      </c>
      <c r="F2353" t="str">
        <f>INDEX(Lists!I:I,MATCH(Validation!E2353,Lists!G:G,0))</f>
        <v>Error</v>
      </c>
      <c r="G2353" t="str">
        <f>INDEX(Lists!H:H,MATCH(Validation!E2353,Lists!G:G,0))</f>
        <v>Enter $0 if debt type is Non-TIF Bond.</v>
      </c>
      <c r="H2353" s="25" t="str">
        <f t="shared" ca="1" si="270"/>
        <v/>
      </c>
      <c r="I2353" s="25" t="str">
        <f t="shared" ca="1" si="271"/>
        <v/>
      </c>
      <c r="J2353" s="26" t="str">
        <f t="shared" ca="1" si="272"/>
        <v/>
      </c>
    </row>
    <row r="2354" spans="1:10" x14ac:dyDescent="0.25">
      <c r="A2354" t="s">
        <v>311</v>
      </c>
      <c r="B2354" t="str">
        <f>ADDRESS(ROW('Bond 1'!$C$38),COLUMN('Bond 1'!$C$38),4)</f>
        <v>C38</v>
      </c>
      <c r="C2354" t="str">
        <f>ADDRESS(ROW('Bond 1'!$D$38),COLUMN('Bond 1'!$D$38),4)</f>
        <v>D38</v>
      </c>
      <c r="D2354" t="b" cm="1">
        <f t="array" aca="1" ref="D2354" ca="1">IF(AND('Bond 11'!B$8="Non-TIF Bond",OR(ISBLANK(INDIRECT("'"&amp;A2354&amp;"'!"&amp;B2354)),INDIRECT("'"&amp;A2354&amp;"'!"&amp;B2354)&lt;&gt;0)),TRUE,FALSE)</f>
        <v>0</v>
      </c>
      <c r="E2354" t="s">
        <v>630</v>
      </c>
      <c r="F2354" t="str">
        <f>INDEX(Lists!I:I,MATCH(Validation!E2354,Lists!G:G,0))</f>
        <v>Error</v>
      </c>
      <c r="G2354" t="str">
        <f>INDEX(Lists!H:H,MATCH(Validation!E2354,Lists!G:G,0))</f>
        <v>Enter $0 if debt type is Non-TIF Bond.</v>
      </c>
      <c r="H2354" s="25" t="str">
        <f t="shared" ca="1" si="270"/>
        <v/>
      </c>
      <c r="I2354" s="25" t="str">
        <f t="shared" ca="1" si="271"/>
        <v/>
      </c>
      <c r="J2354" s="26" t="str">
        <f t="shared" ca="1" si="272"/>
        <v/>
      </c>
    </row>
    <row r="2355" spans="1:10" x14ac:dyDescent="0.25">
      <c r="A2355" t="s">
        <v>312</v>
      </c>
      <c r="B2355" t="str">
        <f>ADDRESS(ROW('Bond 1'!$C$38),COLUMN('Bond 1'!$C$38),4)</f>
        <v>C38</v>
      </c>
      <c r="C2355" t="str">
        <f>ADDRESS(ROW('Bond 1'!$D$38),COLUMN('Bond 1'!$D$38),4)</f>
        <v>D38</v>
      </c>
      <c r="D2355" t="b" cm="1">
        <f t="array" aca="1" ref="D2355" ca="1">IF(AND('Bond 12'!B$8="Non-TIF Bond",OR(ISBLANK(INDIRECT("'"&amp;A2355&amp;"'!"&amp;B2355)),INDIRECT("'"&amp;A2355&amp;"'!"&amp;B2355)&lt;&gt;0)),TRUE,FALSE)</f>
        <v>0</v>
      </c>
      <c r="E2355" t="s">
        <v>630</v>
      </c>
      <c r="F2355" t="str">
        <f>INDEX(Lists!I:I,MATCH(Validation!E2355,Lists!G:G,0))</f>
        <v>Error</v>
      </c>
      <c r="G2355" t="str">
        <f>INDEX(Lists!H:H,MATCH(Validation!E2355,Lists!G:G,0))</f>
        <v>Enter $0 if debt type is Non-TIF Bond.</v>
      </c>
      <c r="H2355" s="25" t="str">
        <f t="shared" ca="1" si="270"/>
        <v/>
      </c>
      <c r="I2355" s="25" t="str">
        <f t="shared" ca="1" si="271"/>
        <v/>
      </c>
      <c r="J2355" s="26" t="str">
        <f t="shared" ca="1" si="272"/>
        <v/>
      </c>
    </row>
    <row r="2356" spans="1:10" x14ac:dyDescent="0.25">
      <c r="A2356" t="s">
        <v>313</v>
      </c>
      <c r="B2356" t="str">
        <f>ADDRESS(ROW('Bond 1'!$C$38),COLUMN('Bond 1'!$C$38),4)</f>
        <v>C38</v>
      </c>
      <c r="C2356" t="str">
        <f>ADDRESS(ROW('Bond 1'!$D$38),COLUMN('Bond 1'!$D$38),4)</f>
        <v>D38</v>
      </c>
      <c r="D2356" t="b" cm="1">
        <f t="array" aca="1" ref="D2356" ca="1">IF(AND('Bond 13'!B$8="Non-TIF Bond",OR(ISBLANK(INDIRECT("'"&amp;A2356&amp;"'!"&amp;B2356)),INDIRECT("'"&amp;A2356&amp;"'!"&amp;B2356)&lt;&gt;0)),TRUE,FALSE)</f>
        <v>0</v>
      </c>
      <c r="E2356" t="s">
        <v>630</v>
      </c>
      <c r="F2356" t="str">
        <f>INDEX(Lists!I:I,MATCH(Validation!E2356,Lists!G:G,0))</f>
        <v>Error</v>
      </c>
      <c r="G2356" t="str">
        <f>INDEX(Lists!H:H,MATCH(Validation!E2356,Lists!G:G,0))</f>
        <v>Enter $0 if debt type is Non-TIF Bond.</v>
      </c>
      <c r="H2356" s="25" t="str">
        <f t="shared" ca="1" si="270"/>
        <v/>
      </c>
      <c r="I2356" s="25" t="str">
        <f t="shared" ca="1" si="271"/>
        <v/>
      </c>
      <c r="J2356" s="26" t="str">
        <f t="shared" ca="1" si="272"/>
        <v/>
      </c>
    </row>
    <row r="2357" spans="1:10" x14ac:dyDescent="0.25">
      <c r="A2357" t="s">
        <v>314</v>
      </c>
      <c r="B2357" t="str">
        <f>ADDRESS(ROW('Bond 1'!$C$38),COLUMN('Bond 1'!$C$38),4)</f>
        <v>C38</v>
      </c>
      <c r="C2357" t="str">
        <f>ADDRESS(ROW('Bond 1'!$D$38),COLUMN('Bond 1'!$D$38),4)</f>
        <v>D38</v>
      </c>
      <c r="D2357" t="b" cm="1">
        <f t="array" aca="1" ref="D2357" ca="1">IF(AND('Bond 14'!B$8="Non-TIF Bond",OR(ISBLANK(INDIRECT("'"&amp;A2357&amp;"'!"&amp;B2357)),INDIRECT("'"&amp;A2357&amp;"'!"&amp;B2357)&lt;&gt;0)),TRUE,FALSE)</f>
        <v>0</v>
      </c>
      <c r="E2357" t="s">
        <v>630</v>
      </c>
      <c r="F2357" t="str">
        <f>INDEX(Lists!I:I,MATCH(Validation!E2357,Lists!G:G,0))</f>
        <v>Error</v>
      </c>
      <c r="G2357" t="str">
        <f>INDEX(Lists!H:H,MATCH(Validation!E2357,Lists!G:G,0))</f>
        <v>Enter $0 if debt type is Non-TIF Bond.</v>
      </c>
      <c r="H2357" s="25" t="str">
        <f t="shared" ca="1" si="270"/>
        <v/>
      </c>
      <c r="I2357" s="25" t="str">
        <f t="shared" ca="1" si="271"/>
        <v/>
      </c>
      <c r="J2357" s="26" t="str">
        <f t="shared" ca="1" si="272"/>
        <v/>
      </c>
    </row>
    <row r="2358" spans="1:10" x14ac:dyDescent="0.25">
      <c r="A2358" t="s">
        <v>315</v>
      </c>
      <c r="B2358" t="str">
        <f>ADDRESS(ROW('Bond 1'!$C$38),COLUMN('Bond 1'!$C$38),4)</f>
        <v>C38</v>
      </c>
      <c r="C2358" t="str">
        <f>ADDRESS(ROW('Bond 1'!$D$38),COLUMN('Bond 1'!$D$38),4)</f>
        <v>D38</v>
      </c>
      <c r="D2358" t="b" cm="1">
        <f t="array" aca="1" ref="D2358" ca="1">IF(AND('Bond 15'!B$8="Non-TIF Bond",OR(ISBLANK(INDIRECT("'"&amp;A2358&amp;"'!"&amp;B2358)),INDIRECT("'"&amp;A2358&amp;"'!"&amp;B2358)&lt;&gt;0)),TRUE,FALSE)</f>
        <v>0</v>
      </c>
      <c r="E2358" t="s">
        <v>630</v>
      </c>
      <c r="F2358" t="str">
        <f>INDEX(Lists!I:I,MATCH(Validation!E2358,Lists!G:G,0))</f>
        <v>Error</v>
      </c>
      <c r="G2358" t="str">
        <f>INDEX(Lists!H:H,MATCH(Validation!E2358,Lists!G:G,0))</f>
        <v>Enter $0 if debt type is Non-TIF Bond.</v>
      </c>
      <c r="H2358" s="25" t="str">
        <f t="shared" ca="1" si="270"/>
        <v/>
      </c>
      <c r="I2358" s="25" t="str">
        <f t="shared" ca="1" si="271"/>
        <v/>
      </c>
      <c r="J2358" s="26" t="str">
        <f t="shared" ca="1" si="272"/>
        <v/>
      </c>
    </row>
    <row r="2359" spans="1:10" x14ac:dyDescent="0.25">
      <c r="A2359" t="s">
        <v>198</v>
      </c>
      <c r="B2359" t="str">
        <f>ADDRESS(ROW('Bond 1'!$C$38),COLUMN('Bond 1'!$C$38),4)</f>
        <v>C38</v>
      </c>
      <c r="C2359" t="str">
        <f>ADDRESS(ROW('Bond 1'!$D$38),COLUMN('Bond 1'!$D$38),4)</f>
        <v>D38</v>
      </c>
      <c r="D2359" t="b" cm="1">
        <f t="array" aca="1" ref="D2359" ca="1">IF(INDIRECT("'"&amp;A2359&amp;"'!"&amp;B2359)="",FALSE,IF(NOT(ISNUMBER(INDIRECT("'"&amp;A2359&amp;"'!"&amp;B2359))),TRUE,FALSE))</f>
        <v>0</v>
      </c>
      <c r="E2359" t="s">
        <v>435</v>
      </c>
      <c r="F2359" t="str">
        <f>INDEX(Lists!I:I,MATCH(Validation!E2359,Lists!G:G,0))</f>
        <v>Error</v>
      </c>
      <c r="G2359" t="str">
        <f>INDEX(Lists!H:H,MATCH(Validation!E2359,Lists!G:G,0))</f>
        <v>Enter an amount only. Do not enter text or spaces.</v>
      </c>
      <c r="H2359" s="25" t="str">
        <f t="shared" ca="1" si="261"/>
        <v/>
      </c>
      <c r="I2359" s="25" t="str">
        <f t="shared" ca="1" si="262"/>
        <v/>
      </c>
      <c r="J2359" s="26" t="str">
        <f t="shared" ca="1" si="263"/>
        <v/>
      </c>
    </row>
    <row r="2360" spans="1:10" x14ac:dyDescent="0.25">
      <c r="A2360" t="s">
        <v>302</v>
      </c>
      <c r="B2360" t="str">
        <f>ADDRESS(ROW('Bond 1'!$C$38),COLUMN('Bond 1'!$C$38),4)</f>
        <v>C38</v>
      </c>
      <c r="C2360" t="str">
        <f>ADDRESS(ROW('Bond 1'!$D$38),COLUMN('Bond 1'!$D$38),4)</f>
        <v>D38</v>
      </c>
      <c r="D2360" t="b" cm="1">
        <f t="array" aca="1" ref="D2360" ca="1">IF(INDIRECT("'"&amp;A2360&amp;"'!"&amp;B2360)="",FALSE,IF(NOT(ISNUMBER(INDIRECT("'"&amp;A2360&amp;"'!"&amp;B2360))),TRUE,FALSE))</f>
        <v>0</v>
      </c>
      <c r="E2360" t="s">
        <v>435</v>
      </c>
      <c r="F2360" t="str">
        <f>INDEX(Lists!I:I,MATCH(Validation!E2360,Lists!G:G,0))</f>
        <v>Error</v>
      </c>
      <c r="G2360" t="str">
        <f>INDEX(Lists!H:H,MATCH(Validation!E2360,Lists!G:G,0))</f>
        <v>Enter an amount only. Do not enter text or spaces.</v>
      </c>
      <c r="H2360" s="25" t="str">
        <f t="shared" ca="1" si="261"/>
        <v/>
      </c>
      <c r="I2360" s="25" t="str">
        <f t="shared" ca="1" si="262"/>
        <v/>
      </c>
      <c r="J2360" s="26" t="str">
        <f t="shared" ca="1" si="263"/>
        <v/>
      </c>
    </row>
    <row r="2361" spans="1:10" x14ac:dyDescent="0.25">
      <c r="A2361" t="s">
        <v>303</v>
      </c>
      <c r="B2361" t="str">
        <f>ADDRESS(ROW('Bond 1'!$C$38),COLUMN('Bond 1'!$C$38),4)</f>
        <v>C38</v>
      </c>
      <c r="C2361" t="str">
        <f>ADDRESS(ROW('Bond 1'!$D$38),COLUMN('Bond 1'!$D$38),4)</f>
        <v>D38</v>
      </c>
      <c r="D2361" t="b" cm="1">
        <f t="array" aca="1" ref="D2361" ca="1">IF(INDIRECT("'"&amp;A2361&amp;"'!"&amp;B2361)="",FALSE,IF(NOT(ISNUMBER(INDIRECT("'"&amp;A2361&amp;"'!"&amp;B2361))),TRUE,FALSE))</f>
        <v>0</v>
      </c>
      <c r="E2361" t="s">
        <v>435</v>
      </c>
      <c r="F2361" t="str">
        <f>INDEX(Lists!I:I,MATCH(Validation!E2361,Lists!G:G,0))</f>
        <v>Error</v>
      </c>
      <c r="G2361" t="str">
        <f>INDEX(Lists!H:H,MATCH(Validation!E2361,Lists!G:G,0))</f>
        <v>Enter an amount only. Do not enter text or spaces.</v>
      </c>
      <c r="H2361" s="25" t="str">
        <f t="shared" ca="1" si="261"/>
        <v/>
      </c>
      <c r="I2361" s="25" t="str">
        <f t="shared" ca="1" si="262"/>
        <v/>
      </c>
      <c r="J2361" s="26" t="str">
        <f t="shared" ca="1" si="263"/>
        <v/>
      </c>
    </row>
    <row r="2362" spans="1:10" x14ac:dyDescent="0.25">
      <c r="A2362" t="s">
        <v>304</v>
      </c>
      <c r="B2362" t="str">
        <f>ADDRESS(ROW('Bond 1'!$C$38),COLUMN('Bond 1'!$C$38),4)</f>
        <v>C38</v>
      </c>
      <c r="C2362" t="str">
        <f>ADDRESS(ROW('Bond 1'!$D$38),COLUMN('Bond 1'!$D$38),4)</f>
        <v>D38</v>
      </c>
      <c r="D2362" t="b" cm="1">
        <f t="array" aca="1" ref="D2362" ca="1">IF(INDIRECT("'"&amp;A2362&amp;"'!"&amp;B2362)="",FALSE,IF(NOT(ISNUMBER(INDIRECT("'"&amp;A2362&amp;"'!"&amp;B2362))),TRUE,FALSE))</f>
        <v>0</v>
      </c>
      <c r="E2362" t="s">
        <v>435</v>
      </c>
      <c r="F2362" t="str">
        <f>INDEX(Lists!I:I,MATCH(Validation!E2362,Lists!G:G,0))</f>
        <v>Error</v>
      </c>
      <c r="G2362" t="str">
        <f>INDEX(Lists!H:H,MATCH(Validation!E2362,Lists!G:G,0))</f>
        <v>Enter an amount only. Do not enter text or spaces.</v>
      </c>
      <c r="H2362" s="25" t="str">
        <f t="shared" ca="1" si="261"/>
        <v/>
      </c>
      <c r="I2362" s="25" t="str">
        <f t="shared" ca="1" si="262"/>
        <v/>
      </c>
      <c r="J2362" s="26" t="str">
        <f t="shared" ca="1" si="263"/>
        <v/>
      </c>
    </row>
    <row r="2363" spans="1:10" x14ac:dyDescent="0.25">
      <c r="A2363" t="s">
        <v>305</v>
      </c>
      <c r="B2363" t="str">
        <f>ADDRESS(ROW('Bond 1'!$C$38),COLUMN('Bond 1'!$C$38),4)</f>
        <v>C38</v>
      </c>
      <c r="C2363" t="str">
        <f>ADDRESS(ROW('Bond 1'!$D$38),COLUMN('Bond 1'!$D$38),4)</f>
        <v>D38</v>
      </c>
      <c r="D2363" t="b" cm="1">
        <f t="array" aca="1" ref="D2363" ca="1">IF(INDIRECT("'"&amp;A2363&amp;"'!"&amp;B2363)="",FALSE,IF(NOT(ISNUMBER(INDIRECT("'"&amp;A2363&amp;"'!"&amp;B2363))),TRUE,FALSE))</f>
        <v>0</v>
      </c>
      <c r="E2363" t="s">
        <v>435</v>
      </c>
      <c r="F2363" t="str">
        <f>INDEX(Lists!I:I,MATCH(Validation!E2363,Lists!G:G,0))</f>
        <v>Error</v>
      </c>
      <c r="G2363" t="str">
        <f>INDEX(Lists!H:H,MATCH(Validation!E2363,Lists!G:G,0))</f>
        <v>Enter an amount only. Do not enter text or spaces.</v>
      </c>
      <c r="H2363" s="25" t="str">
        <f t="shared" ca="1" si="261"/>
        <v/>
      </c>
      <c r="I2363" s="25" t="str">
        <f t="shared" ca="1" si="262"/>
        <v/>
      </c>
      <c r="J2363" s="26" t="str">
        <f t="shared" ca="1" si="263"/>
        <v/>
      </c>
    </row>
    <row r="2364" spans="1:10" x14ac:dyDescent="0.25">
      <c r="A2364" t="s">
        <v>306</v>
      </c>
      <c r="B2364" t="str">
        <f>ADDRESS(ROW('Bond 1'!$C$38),COLUMN('Bond 1'!$C$38),4)</f>
        <v>C38</v>
      </c>
      <c r="C2364" t="str">
        <f>ADDRESS(ROW('Bond 1'!$D$38),COLUMN('Bond 1'!$D$38),4)</f>
        <v>D38</v>
      </c>
      <c r="D2364" t="b" cm="1">
        <f t="array" aca="1" ref="D2364" ca="1">IF(INDIRECT("'"&amp;A2364&amp;"'!"&amp;B2364)="",FALSE,IF(NOT(ISNUMBER(INDIRECT("'"&amp;A2364&amp;"'!"&amp;B2364))),TRUE,FALSE))</f>
        <v>0</v>
      </c>
      <c r="E2364" t="s">
        <v>435</v>
      </c>
      <c r="F2364" t="str">
        <f>INDEX(Lists!I:I,MATCH(Validation!E2364,Lists!G:G,0))</f>
        <v>Error</v>
      </c>
      <c r="G2364" t="str">
        <f>INDEX(Lists!H:H,MATCH(Validation!E2364,Lists!G:G,0))</f>
        <v>Enter an amount only. Do not enter text or spaces.</v>
      </c>
      <c r="H2364" s="25" t="str">
        <f t="shared" ca="1" si="261"/>
        <v/>
      </c>
      <c r="I2364" s="25" t="str">
        <f t="shared" ca="1" si="262"/>
        <v/>
      </c>
      <c r="J2364" s="26" t="str">
        <f t="shared" ca="1" si="263"/>
        <v/>
      </c>
    </row>
    <row r="2365" spans="1:10" x14ac:dyDescent="0.25">
      <c r="A2365" t="s">
        <v>307</v>
      </c>
      <c r="B2365" t="str">
        <f>ADDRESS(ROW('Bond 1'!$C$38),COLUMN('Bond 1'!$C$38),4)</f>
        <v>C38</v>
      </c>
      <c r="C2365" t="str">
        <f>ADDRESS(ROW('Bond 1'!$D$38),COLUMN('Bond 1'!$D$38),4)</f>
        <v>D38</v>
      </c>
      <c r="D2365" t="b" cm="1">
        <f t="array" aca="1" ref="D2365" ca="1">IF(INDIRECT("'"&amp;A2365&amp;"'!"&amp;B2365)="",FALSE,IF(NOT(ISNUMBER(INDIRECT("'"&amp;A2365&amp;"'!"&amp;B2365))),TRUE,FALSE))</f>
        <v>0</v>
      </c>
      <c r="E2365" t="s">
        <v>435</v>
      </c>
      <c r="F2365" t="str">
        <f>INDEX(Lists!I:I,MATCH(Validation!E2365,Lists!G:G,0))</f>
        <v>Error</v>
      </c>
      <c r="G2365" t="str">
        <f>INDEX(Lists!H:H,MATCH(Validation!E2365,Lists!G:G,0))</f>
        <v>Enter an amount only. Do not enter text or spaces.</v>
      </c>
      <c r="H2365" s="25" t="str">
        <f t="shared" ca="1" si="261"/>
        <v/>
      </c>
      <c r="I2365" s="25" t="str">
        <f t="shared" ca="1" si="262"/>
        <v/>
      </c>
      <c r="J2365" s="26" t="str">
        <f t="shared" ca="1" si="263"/>
        <v/>
      </c>
    </row>
    <row r="2366" spans="1:10" x14ac:dyDescent="0.25">
      <c r="A2366" t="s">
        <v>308</v>
      </c>
      <c r="B2366" t="str">
        <f>ADDRESS(ROW('Bond 1'!$C$38),COLUMN('Bond 1'!$C$38),4)</f>
        <v>C38</v>
      </c>
      <c r="C2366" t="str">
        <f>ADDRESS(ROW('Bond 1'!$D$38),COLUMN('Bond 1'!$D$38),4)</f>
        <v>D38</v>
      </c>
      <c r="D2366" t="b" cm="1">
        <f t="array" aca="1" ref="D2366" ca="1">IF(INDIRECT("'"&amp;A2366&amp;"'!"&amp;B2366)="",FALSE,IF(NOT(ISNUMBER(INDIRECT("'"&amp;A2366&amp;"'!"&amp;B2366))),TRUE,FALSE))</f>
        <v>0</v>
      </c>
      <c r="E2366" t="s">
        <v>435</v>
      </c>
      <c r="F2366" t="str">
        <f>INDEX(Lists!I:I,MATCH(Validation!E2366,Lists!G:G,0))</f>
        <v>Error</v>
      </c>
      <c r="G2366" t="str">
        <f>INDEX(Lists!H:H,MATCH(Validation!E2366,Lists!G:G,0))</f>
        <v>Enter an amount only. Do not enter text or spaces.</v>
      </c>
      <c r="H2366" s="25" t="str">
        <f t="shared" ca="1" si="261"/>
        <v/>
      </c>
      <c r="I2366" s="25" t="str">
        <f t="shared" ca="1" si="262"/>
        <v/>
      </c>
      <c r="J2366" s="26" t="str">
        <f t="shared" ca="1" si="263"/>
        <v/>
      </c>
    </row>
    <row r="2367" spans="1:10" x14ac:dyDescent="0.25">
      <c r="A2367" t="s">
        <v>309</v>
      </c>
      <c r="B2367" t="str">
        <f>ADDRESS(ROW('Bond 1'!$C$38),COLUMN('Bond 1'!$C$38),4)</f>
        <v>C38</v>
      </c>
      <c r="C2367" t="str">
        <f>ADDRESS(ROW('Bond 1'!$D$38),COLUMN('Bond 1'!$D$38),4)</f>
        <v>D38</v>
      </c>
      <c r="D2367" t="b" cm="1">
        <f t="array" aca="1" ref="D2367" ca="1">IF(INDIRECT("'"&amp;A2367&amp;"'!"&amp;B2367)="",FALSE,IF(NOT(ISNUMBER(INDIRECT("'"&amp;A2367&amp;"'!"&amp;B2367))),TRUE,FALSE))</f>
        <v>0</v>
      </c>
      <c r="E2367" t="s">
        <v>435</v>
      </c>
      <c r="F2367" t="str">
        <f>INDEX(Lists!I:I,MATCH(Validation!E2367,Lists!G:G,0))</f>
        <v>Error</v>
      </c>
      <c r="G2367" t="str">
        <f>INDEX(Lists!H:H,MATCH(Validation!E2367,Lists!G:G,0))</f>
        <v>Enter an amount only. Do not enter text or spaces.</v>
      </c>
      <c r="H2367" s="25" t="str">
        <f t="shared" ca="1" si="261"/>
        <v/>
      </c>
      <c r="I2367" s="25" t="str">
        <f t="shared" ca="1" si="262"/>
        <v/>
      </c>
      <c r="J2367" s="26" t="str">
        <f t="shared" ca="1" si="263"/>
        <v/>
      </c>
    </row>
    <row r="2368" spans="1:10" x14ac:dyDescent="0.25">
      <c r="A2368" t="s">
        <v>310</v>
      </c>
      <c r="B2368" t="str">
        <f>ADDRESS(ROW('Bond 1'!$C$38),COLUMN('Bond 1'!$C$38),4)</f>
        <v>C38</v>
      </c>
      <c r="C2368" t="str">
        <f>ADDRESS(ROW('Bond 1'!$D$38),COLUMN('Bond 1'!$D$38),4)</f>
        <v>D38</v>
      </c>
      <c r="D2368" t="b" cm="1">
        <f t="array" aca="1" ref="D2368" ca="1">IF(INDIRECT("'"&amp;A2368&amp;"'!"&amp;B2368)="",FALSE,IF(NOT(ISNUMBER(INDIRECT("'"&amp;A2368&amp;"'!"&amp;B2368))),TRUE,FALSE))</f>
        <v>0</v>
      </c>
      <c r="E2368" t="s">
        <v>435</v>
      </c>
      <c r="F2368" t="str">
        <f>INDEX(Lists!I:I,MATCH(Validation!E2368,Lists!G:G,0))</f>
        <v>Error</v>
      </c>
      <c r="G2368" t="str">
        <f>INDEX(Lists!H:H,MATCH(Validation!E2368,Lists!G:G,0))</f>
        <v>Enter an amount only. Do not enter text or spaces.</v>
      </c>
      <c r="H2368" s="25" t="str">
        <f t="shared" ca="1" si="261"/>
        <v/>
      </c>
      <c r="I2368" s="25" t="str">
        <f t="shared" ca="1" si="262"/>
        <v/>
      </c>
      <c r="J2368" s="26" t="str">
        <f t="shared" ca="1" si="263"/>
        <v/>
      </c>
    </row>
    <row r="2369" spans="1:10" x14ac:dyDescent="0.25">
      <c r="A2369" t="s">
        <v>311</v>
      </c>
      <c r="B2369" t="str">
        <f>ADDRESS(ROW('Bond 1'!$C$38),COLUMN('Bond 1'!$C$38),4)</f>
        <v>C38</v>
      </c>
      <c r="C2369" t="str">
        <f>ADDRESS(ROW('Bond 1'!$D$38),COLUMN('Bond 1'!$D$38),4)</f>
        <v>D38</v>
      </c>
      <c r="D2369" t="b" cm="1">
        <f t="array" aca="1" ref="D2369" ca="1">IF(INDIRECT("'"&amp;A2369&amp;"'!"&amp;B2369)="",FALSE,IF(NOT(ISNUMBER(INDIRECT("'"&amp;A2369&amp;"'!"&amp;B2369))),TRUE,FALSE))</f>
        <v>0</v>
      </c>
      <c r="E2369" t="s">
        <v>435</v>
      </c>
      <c r="F2369" t="str">
        <f>INDEX(Lists!I:I,MATCH(Validation!E2369,Lists!G:G,0))</f>
        <v>Error</v>
      </c>
      <c r="G2369" t="str">
        <f>INDEX(Lists!H:H,MATCH(Validation!E2369,Lists!G:G,0))</f>
        <v>Enter an amount only. Do not enter text or spaces.</v>
      </c>
      <c r="H2369" s="25" t="str">
        <f t="shared" ca="1" si="261"/>
        <v/>
      </c>
      <c r="I2369" s="25" t="str">
        <f t="shared" ca="1" si="262"/>
        <v/>
      </c>
      <c r="J2369" s="26" t="str">
        <f t="shared" ca="1" si="263"/>
        <v/>
      </c>
    </row>
    <row r="2370" spans="1:10" x14ac:dyDescent="0.25">
      <c r="A2370" t="s">
        <v>312</v>
      </c>
      <c r="B2370" t="str">
        <f>ADDRESS(ROW('Bond 1'!$C$38),COLUMN('Bond 1'!$C$38),4)</f>
        <v>C38</v>
      </c>
      <c r="C2370" t="str">
        <f>ADDRESS(ROW('Bond 1'!$D$38),COLUMN('Bond 1'!$D$38),4)</f>
        <v>D38</v>
      </c>
      <c r="D2370" t="b" cm="1">
        <f t="array" aca="1" ref="D2370" ca="1">IF(INDIRECT("'"&amp;A2370&amp;"'!"&amp;B2370)="",FALSE,IF(NOT(ISNUMBER(INDIRECT("'"&amp;A2370&amp;"'!"&amp;B2370))),TRUE,FALSE))</f>
        <v>0</v>
      </c>
      <c r="E2370" t="s">
        <v>435</v>
      </c>
      <c r="F2370" t="str">
        <f>INDEX(Lists!I:I,MATCH(Validation!E2370,Lists!G:G,0))</f>
        <v>Error</v>
      </c>
      <c r="G2370" t="str">
        <f>INDEX(Lists!H:H,MATCH(Validation!E2370,Lists!G:G,0))</f>
        <v>Enter an amount only. Do not enter text or spaces.</v>
      </c>
      <c r="H2370" s="25" t="str">
        <f t="shared" ca="1" si="261"/>
        <v/>
      </c>
      <c r="I2370" s="25" t="str">
        <f t="shared" ca="1" si="262"/>
        <v/>
      </c>
      <c r="J2370" s="26" t="str">
        <f t="shared" ca="1" si="263"/>
        <v/>
      </c>
    </row>
    <row r="2371" spans="1:10" x14ac:dyDescent="0.25">
      <c r="A2371" t="s">
        <v>313</v>
      </c>
      <c r="B2371" t="str">
        <f>ADDRESS(ROW('Bond 1'!$C$38),COLUMN('Bond 1'!$C$38),4)</f>
        <v>C38</v>
      </c>
      <c r="C2371" t="str">
        <f>ADDRESS(ROW('Bond 1'!$D$38),COLUMN('Bond 1'!$D$38),4)</f>
        <v>D38</v>
      </c>
      <c r="D2371" t="b" cm="1">
        <f t="array" aca="1" ref="D2371" ca="1">IF(INDIRECT("'"&amp;A2371&amp;"'!"&amp;B2371)="",FALSE,IF(NOT(ISNUMBER(INDIRECT("'"&amp;A2371&amp;"'!"&amp;B2371))),TRUE,FALSE))</f>
        <v>0</v>
      </c>
      <c r="E2371" t="s">
        <v>435</v>
      </c>
      <c r="F2371" t="str">
        <f>INDEX(Lists!I:I,MATCH(Validation!E2371,Lists!G:G,0))</f>
        <v>Error</v>
      </c>
      <c r="G2371" t="str">
        <f>INDEX(Lists!H:H,MATCH(Validation!E2371,Lists!G:G,0))</f>
        <v>Enter an amount only. Do not enter text or spaces.</v>
      </c>
      <c r="H2371" s="25" t="str">
        <f t="shared" ca="1" si="261"/>
        <v/>
      </c>
      <c r="I2371" s="25" t="str">
        <f t="shared" ca="1" si="262"/>
        <v/>
      </c>
      <c r="J2371" s="26" t="str">
        <f t="shared" ca="1" si="263"/>
        <v/>
      </c>
    </row>
    <row r="2372" spans="1:10" x14ac:dyDescent="0.25">
      <c r="A2372" t="s">
        <v>314</v>
      </c>
      <c r="B2372" t="str">
        <f>ADDRESS(ROW('Bond 1'!$C$38),COLUMN('Bond 1'!$C$38),4)</f>
        <v>C38</v>
      </c>
      <c r="C2372" t="str">
        <f>ADDRESS(ROW('Bond 1'!$D$38),COLUMN('Bond 1'!$D$38),4)</f>
        <v>D38</v>
      </c>
      <c r="D2372" t="b" cm="1">
        <f t="array" aca="1" ref="D2372" ca="1">IF(INDIRECT("'"&amp;A2372&amp;"'!"&amp;B2372)="",FALSE,IF(NOT(ISNUMBER(INDIRECT("'"&amp;A2372&amp;"'!"&amp;B2372))),TRUE,FALSE))</f>
        <v>0</v>
      </c>
      <c r="E2372" t="s">
        <v>435</v>
      </c>
      <c r="F2372" t="str">
        <f>INDEX(Lists!I:I,MATCH(Validation!E2372,Lists!G:G,0))</f>
        <v>Error</v>
      </c>
      <c r="G2372" t="str">
        <f>INDEX(Lists!H:H,MATCH(Validation!E2372,Lists!G:G,0))</f>
        <v>Enter an amount only. Do not enter text or spaces.</v>
      </c>
      <c r="H2372" s="25" t="str">
        <f t="shared" ca="1" si="261"/>
        <v/>
      </c>
      <c r="I2372" s="25" t="str">
        <f t="shared" ca="1" si="262"/>
        <v/>
      </c>
      <c r="J2372" s="26" t="str">
        <f t="shared" ca="1" si="263"/>
        <v/>
      </c>
    </row>
    <row r="2373" spans="1:10" x14ac:dyDescent="0.25">
      <c r="A2373" t="s">
        <v>315</v>
      </c>
      <c r="B2373" t="str">
        <f>ADDRESS(ROW('Bond 1'!$C$38),COLUMN('Bond 1'!$C$38),4)</f>
        <v>C38</v>
      </c>
      <c r="C2373" t="str">
        <f>ADDRESS(ROW('Bond 1'!$D$38),COLUMN('Bond 1'!$D$38),4)</f>
        <v>D38</v>
      </c>
      <c r="D2373" t="b" cm="1">
        <f t="array" aca="1" ref="D2373" ca="1">IF(INDIRECT("'"&amp;A2373&amp;"'!"&amp;B2373)="",FALSE,IF(NOT(ISNUMBER(INDIRECT("'"&amp;A2373&amp;"'!"&amp;B2373))),TRUE,FALSE))</f>
        <v>0</v>
      </c>
      <c r="E2373" t="s">
        <v>435</v>
      </c>
      <c r="F2373" t="str">
        <f>INDEX(Lists!I:I,MATCH(Validation!E2373,Lists!G:G,0))</f>
        <v>Error</v>
      </c>
      <c r="G2373" t="str">
        <f>INDEX(Lists!H:H,MATCH(Validation!E2373,Lists!G:G,0))</f>
        <v>Enter an amount only. Do not enter text or spaces.</v>
      </c>
      <c r="H2373" s="25" t="str">
        <f t="shared" ca="1" si="261"/>
        <v/>
      </c>
      <c r="I2373" s="25" t="str">
        <f t="shared" ca="1" si="262"/>
        <v/>
      </c>
      <c r="J2373" s="26" t="str">
        <f t="shared" ca="1" si="263"/>
        <v/>
      </c>
    </row>
    <row r="2374" spans="1:10" x14ac:dyDescent="0.25">
      <c r="A2374" t="s">
        <v>198</v>
      </c>
      <c r="B2374" t="str">
        <f>ADDRESS(ROW('Bond 1'!$C$38),COLUMN('Bond 1'!$C$38),4)</f>
        <v>C38</v>
      </c>
      <c r="C2374" t="str">
        <f>ADDRESS(ROW('Bond 1'!$D$38),COLUMN('Bond 1'!$D$38),4)</f>
        <v>D38</v>
      </c>
      <c r="D2374" t="b" cm="1">
        <f t="array" aca="1" ref="D2374" ca="1">IF(INDIRECT("'"&amp;A2374&amp;"'!"&amp;B2374)="",FALSE,IF(TRUNC(INDIRECT("'"&amp;A2374&amp;"'!"&amp;B2374))=INDIRECT("'"&amp;A2374&amp;"'!"&amp;B2374),FALSE,TRUE))</f>
        <v>0</v>
      </c>
      <c r="E2374" t="s">
        <v>436</v>
      </c>
      <c r="F2374" t="str">
        <f>INDEX(Lists!I:I,MATCH(Validation!E2374,Lists!G:G,0))</f>
        <v>Error</v>
      </c>
      <c r="G2374" t="str">
        <f>INDEX(Lists!H:H,MATCH(Validation!E2374,Lists!G:G,0))</f>
        <v>Amount must be rounded to the nearest dollar.</v>
      </c>
      <c r="H2374" s="25" t="str">
        <f t="shared" ca="1" si="261"/>
        <v/>
      </c>
      <c r="I2374" s="25" t="str">
        <f t="shared" ca="1" si="262"/>
        <v/>
      </c>
      <c r="J2374" s="26" t="str">
        <f t="shared" ca="1" si="263"/>
        <v/>
      </c>
    </row>
    <row r="2375" spans="1:10" x14ac:dyDescent="0.25">
      <c r="A2375" t="s">
        <v>302</v>
      </c>
      <c r="B2375" t="str">
        <f>ADDRESS(ROW('Bond 1'!$C$38),COLUMN('Bond 1'!$C$38),4)</f>
        <v>C38</v>
      </c>
      <c r="C2375" t="str">
        <f>ADDRESS(ROW('Bond 1'!$D$38),COLUMN('Bond 1'!$D$38),4)</f>
        <v>D38</v>
      </c>
      <c r="D2375" t="b" cm="1">
        <f t="array" aca="1" ref="D2375" ca="1">IF(INDIRECT("'"&amp;A2375&amp;"'!"&amp;B2375)="",FALSE,IF(TRUNC(INDIRECT("'"&amp;A2375&amp;"'!"&amp;B2375))=INDIRECT("'"&amp;A2375&amp;"'!"&amp;B2375),FALSE,TRUE))</f>
        <v>0</v>
      </c>
      <c r="E2375" t="s">
        <v>436</v>
      </c>
      <c r="F2375" t="str">
        <f>INDEX(Lists!I:I,MATCH(Validation!E2375,Lists!G:G,0))</f>
        <v>Error</v>
      </c>
      <c r="G2375" t="str">
        <f>INDEX(Lists!H:H,MATCH(Validation!E2375,Lists!G:G,0))</f>
        <v>Amount must be rounded to the nearest dollar.</v>
      </c>
      <c r="H2375" s="25" t="str">
        <f t="shared" ca="1" si="261"/>
        <v/>
      </c>
      <c r="I2375" s="25" t="str">
        <f t="shared" ca="1" si="262"/>
        <v/>
      </c>
      <c r="J2375" s="26" t="str">
        <f t="shared" ca="1" si="263"/>
        <v/>
      </c>
    </row>
    <row r="2376" spans="1:10" x14ac:dyDescent="0.25">
      <c r="A2376" t="s">
        <v>303</v>
      </c>
      <c r="B2376" t="str">
        <f>ADDRESS(ROW('Bond 1'!$C$38),COLUMN('Bond 1'!$C$38),4)</f>
        <v>C38</v>
      </c>
      <c r="C2376" t="str">
        <f>ADDRESS(ROW('Bond 1'!$D$38),COLUMN('Bond 1'!$D$38),4)</f>
        <v>D38</v>
      </c>
      <c r="D2376" t="b" cm="1">
        <f t="array" aca="1" ref="D2376" ca="1">IF(INDIRECT("'"&amp;A2376&amp;"'!"&amp;B2376)="",FALSE,IF(TRUNC(INDIRECT("'"&amp;A2376&amp;"'!"&amp;B2376))=INDIRECT("'"&amp;A2376&amp;"'!"&amp;B2376),FALSE,TRUE))</f>
        <v>0</v>
      </c>
      <c r="E2376" t="s">
        <v>436</v>
      </c>
      <c r="F2376" t="str">
        <f>INDEX(Lists!I:I,MATCH(Validation!E2376,Lists!G:G,0))</f>
        <v>Error</v>
      </c>
      <c r="G2376" t="str">
        <f>INDEX(Lists!H:H,MATCH(Validation!E2376,Lists!G:G,0))</f>
        <v>Amount must be rounded to the nearest dollar.</v>
      </c>
      <c r="H2376" s="25" t="str">
        <f t="shared" ca="1" si="261"/>
        <v/>
      </c>
      <c r="I2376" s="25" t="str">
        <f t="shared" ca="1" si="262"/>
        <v/>
      </c>
      <c r="J2376" s="26" t="str">
        <f t="shared" ca="1" si="263"/>
        <v/>
      </c>
    </row>
    <row r="2377" spans="1:10" x14ac:dyDescent="0.25">
      <c r="A2377" t="s">
        <v>304</v>
      </c>
      <c r="B2377" t="str">
        <f>ADDRESS(ROW('Bond 1'!$C$38),COLUMN('Bond 1'!$C$38),4)</f>
        <v>C38</v>
      </c>
      <c r="C2377" t="str">
        <f>ADDRESS(ROW('Bond 1'!$D$38),COLUMN('Bond 1'!$D$38),4)</f>
        <v>D38</v>
      </c>
      <c r="D2377" t="b" cm="1">
        <f t="array" aca="1" ref="D2377" ca="1">IF(INDIRECT("'"&amp;A2377&amp;"'!"&amp;B2377)="",FALSE,IF(TRUNC(INDIRECT("'"&amp;A2377&amp;"'!"&amp;B2377))=INDIRECT("'"&amp;A2377&amp;"'!"&amp;B2377),FALSE,TRUE))</f>
        <v>0</v>
      </c>
      <c r="E2377" t="s">
        <v>436</v>
      </c>
      <c r="F2377" t="str">
        <f>INDEX(Lists!I:I,MATCH(Validation!E2377,Lists!G:G,0))</f>
        <v>Error</v>
      </c>
      <c r="G2377" t="str">
        <f>INDEX(Lists!H:H,MATCH(Validation!E2377,Lists!G:G,0))</f>
        <v>Amount must be rounded to the nearest dollar.</v>
      </c>
      <c r="H2377" s="25" t="str">
        <f t="shared" ca="1" si="261"/>
        <v/>
      </c>
      <c r="I2377" s="25" t="str">
        <f t="shared" ca="1" si="262"/>
        <v/>
      </c>
      <c r="J2377" s="26" t="str">
        <f t="shared" ca="1" si="263"/>
        <v/>
      </c>
    </row>
    <row r="2378" spans="1:10" x14ac:dyDescent="0.25">
      <c r="A2378" t="s">
        <v>305</v>
      </c>
      <c r="B2378" t="str">
        <f>ADDRESS(ROW('Bond 1'!$C$38),COLUMN('Bond 1'!$C$38),4)</f>
        <v>C38</v>
      </c>
      <c r="C2378" t="str">
        <f>ADDRESS(ROW('Bond 1'!$D$38),COLUMN('Bond 1'!$D$38),4)</f>
        <v>D38</v>
      </c>
      <c r="D2378" t="b" cm="1">
        <f t="array" aca="1" ref="D2378" ca="1">IF(INDIRECT("'"&amp;A2378&amp;"'!"&amp;B2378)="",FALSE,IF(TRUNC(INDIRECT("'"&amp;A2378&amp;"'!"&amp;B2378))=INDIRECT("'"&amp;A2378&amp;"'!"&amp;B2378),FALSE,TRUE))</f>
        <v>0</v>
      </c>
      <c r="E2378" t="s">
        <v>436</v>
      </c>
      <c r="F2378" t="str">
        <f>INDEX(Lists!I:I,MATCH(Validation!E2378,Lists!G:G,0))</f>
        <v>Error</v>
      </c>
      <c r="G2378" t="str">
        <f>INDEX(Lists!H:H,MATCH(Validation!E2378,Lists!G:G,0))</f>
        <v>Amount must be rounded to the nearest dollar.</v>
      </c>
      <c r="H2378" s="25" t="str">
        <f t="shared" ref="H2378:H2403" ca="1" si="273">IFERROR(IF(OR(NOT(D2378),F2378&lt;&gt;"Error"),"",A2378&amp;CELL("address",INDIRECT(B2378))),"")</f>
        <v/>
      </c>
      <c r="I2378" s="25" t="str">
        <f t="shared" ref="I2378:I2403" ca="1" si="274">IFERROR(IF(NOT(D2378),"",A2378&amp;CELL("address",INDIRECT(C2378))),"")</f>
        <v/>
      </c>
      <c r="J2378" s="26" t="str">
        <f t="shared" ref="J2378:J2403" ca="1" si="275">IFERROR(IF(NOT(D2378),"",A2378),"")</f>
        <v/>
      </c>
    </row>
    <row r="2379" spans="1:10" x14ac:dyDescent="0.25">
      <c r="A2379" t="s">
        <v>306</v>
      </c>
      <c r="B2379" t="str">
        <f>ADDRESS(ROW('Bond 1'!$C$38),COLUMN('Bond 1'!$C$38),4)</f>
        <v>C38</v>
      </c>
      <c r="C2379" t="str">
        <f>ADDRESS(ROW('Bond 1'!$D$38),COLUMN('Bond 1'!$D$38),4)</f>
        <v>D38</v>
      </c>
      <c r="D2379" t="b" cm="1">
        <f t="array" aca="1" ref="D2379" ca="1">IF(INDIRECT("'"&amp;A2379&amp;"'!"&amp;B2379)="",FALSE,IF(TRUNC(INDIRECT("'"&amp;A2379&amp;"'!"&amp;B2379))=INDIRECT("'"&amp;A2379&amp;"'!"&amp;B2379),FALSE,TRUE))</f>
        <v>0</v>
      </c>
      <c r="E2379" t="s">
        <v>436</v>
      </c>
      <c r="F2379" t="str">
        <f>INDEX(Lists!I:I,MATCH(Validation!E2379,Lists!G:G,0))</f>
        <v>Error</v>
      </c>
      <c r="G2379" t="str">
        <f>INDEX(Lists!H:H,MATCH(Validation!E2379,Lists!G:G,0))</f>
        <v>Amount must be rounded to the nearest dollar.</v>
      </c>
      <c r="H2379" s="25" t="str">
        <f t="shared" ca="1" si="273"/>
        <v/>
      </c>
      <c r="I2379" s="25" t="str">
        <f t="shared" ca="1" si="274"/>
        <v/>
      </c>
      <c r="J2379" s="26" t="str">
        <f t="shared" ca="1" si="275"/>
        <v/>
      </c>
    </row>
    <row r="2380" spans="1:10" x14ac:dyDescent="0.25">
      <c r="A2380" t="s">
        <v>307</v>
      </c>
      <c r="B2380" t="str">
        <f>ADDRESS(ROW('Bond 1'!$C$38),COLUMN('Bond 1'!$C$38),4)</f>
        <v>C38</v>
      </c>
      <c r="C2380" t="str">
        <f>ADDRESS(ROW('Bond 1'!$D$38),COLUMN('Bond 1'!$D$38),4)</f>
        <v>D38</v>
      </c>
      <c r="D2380" t="b" cm="1">
        <f t="array" aca="1" ref="D2380" ca="1">IF(INDIRECT("'"&amp;A2380&amp;"'!"&amp;B2380)="",FALSE,IF(TRUNC(INDIRECT("'"&amp;A2380&amp;"'!"&amp;B2380))=INDIRECT("'"&amp;A2380&amp;"'!"&amp;B2380),FALSE,TRUE))</f>
        <v>0</v>
      </c>
      <c r="E2380" t="s">
        <v>436</v>
      </c>
      <c r="F2380" t="str">
        <f>INDEX(Lists!I:I,MATCH(Validation!E2380,Lists!G:G,0))</f>
        <v>Error</v>
      </c>
      <c r="G2380" t="str">
        <f>INDEX(Lists!H:H,MATCH(Validation!E2380,Lists!G:G,0))</f>
        <v>Amount must be rounded to the nearest dollar.</v>
      </c>
      <c r="H2380" s="25" t="str">
        <f t="shared" ca="1" si="273"/>
        <v/>
      </c>
      <c r="I2380" s="25" t="str">
        <f t="shared" ca="1" si="274"/>
        <v/>
      </c>
      <c r="J2380" s="26" t="str">
        <f t="shared" ca="1" si="275"/>
        <v/>
      </c>
    </row>
    <row r="2381" spans="1:10" x14ac:dyDescent="0.25">
      <c r="A2381" t="s">
        <v>308</v>
      </c>
      <c r="B2381" t="str">
        <f>ADDRESS(ROW('Bond 1'!$C$38),COLUMN('Bond 1'!$C$38),4)</f>
        <v>C38</v>
      </c>
      <c r="C2381" t="str">
        <f>ADDRESS(ROW('Bond 1'!$D$38),COLUMN('Bond 1'!$D$38),4)</f>
        <v>D38</v>
      </c>
      <c r="D2381" t="b" cm="1">
        <f t="array" aca="1" ref="D2381" ca="1">IF(INDIRECT("'"&amp;A2381&amp;"'!"&amp;B2381)="",FALSE,IF(TRUNC(INDIRECT("'"&amp;A2381&amp;"'!"&amp;B2381))=INDIRECT("'"&amp;A2381&amp;"'!"&amp;B2381),FALSE,TRUE))</f>
        <v>0</v>
      </c>
      <c r="E2381" t="s">
        <v>436</v>
      </c>
      <c r="F2381" t="str">
        <f>INDEX(Lists!I:I,MATCH(Validation!E2381,Lists!G:G,0))</f>
        <v>Error</v>
      </c>
      <c r="G2381" t="str">
        <f>INDEX(Lists!H:H,MATCH(Validation!E2381,Lists!G:G,0))</f>
        <v>Amount must be rounded to the nearest dollar.</v>
      </c>
      <c r="H2381" s="25" t="str">
        <f t="shared" ca="1" si="273"/>
        <v/>
      </c>
      <c r="I2381" s="25" t="str">
        <f t="shared" ca="1" si="274"/>
        <v/>
      </c>
      <c r="J2381" s="26" t="str">
        <f t="shared" ca="1" si="275"/>
        <v/>
      </c>
    </row>
    <row r="2382" spans="1:10" x14ac:dyDescent="0.25">
      <c r="A2382" t="s">
        <v>309</v>
      </c>
      <c r="B2382" t="str">
        <f>ADDRESS(ROW('Bond 1'!$C$38),COLUMN('Bond 1'!$C$38),4)</f>
        <v>C38</v>
      </c>
      <c r="C2382" t="str">
        <f>ADDRESS(ROW('Bond 1'!$D$38),COLUMN('Bond 1'!$D$38),4)</f>
        <v>D38</v>
      </c>
      <c r="D2382" t="b" cm="1">
        <f t="array" aca="1" ref="D2382" ca="1">IF(INDIRECT("'"&amp;A2382&amp;"'!"&amp;B2382)="",FALSE,IF(TRUNC(INDIRECT("'"&amp;A2382&amp;"'!"&amp;B2382))=INDIRECT("'"&amp;A2382&amp;"'!"&amp;B2382),FALSE,TRUE))</f>
        <v>0</v>
      </c>
      <c r="E2382" t="s">
        <v>436</v>
      </c>
      <c r="F2382" t="str">
        <f>INDEX(Lists!I:I,MATCH(Validation!E2382,Lists!G:G,0))</f>
        <v>Error</v>
      </c>
      <c r="G2382" t="str">
        <f>INDEX(Lists!H:H,MATCH(Validation!E2382,Lists!G:G,0))</f>
        <v>Amount must be rounded to the nearest dollar.</v>
      </c>
      <c r="H2382" s="25" t="str">
        <f t="shared" ca="1" si="273"/>
        <v/>
      </c>
      <c r="I2382" s="25" t="str">
        <f t="shared" ca="1" si="274"/>
        <v/>
      </c>
      <c r="J2382" s="26" t="str">
        <f t="shared" ca="1" si="275"/>
        <v/>
      </c>
    </row>
    <row r="2383" spans="1:10" x14ac:dyDescent="0.25">
      <c r="A2383" t="s">
        <v>310</v>
      </c>
      <c r="B2383" t="str">
        <f>ADDRESS(ROW('Bond 1'!$C$38),COLUMN('Bond 1'!$C$38),4)</f>
        <v>C38</v>
      </c>
      <c r="C2383" t="str">
        <f>ADDRESS(ROW('Bond 1'!$D$38),COLUMN('Bond 1'!$D$38),4)</f>
        <v>D38</v>
      </c>
      <c r="D2383" t="b" cm="1">
        <f t="array" aca="1" ref="D2383" ca="1">IF(INDIRECT("'"&amp;A2383&amp;"'!"&amp;B2383)="",FALSE,IF(TRUNC(INDIRECT("'"&amp;A2383&amp;"'!"&amp;B2383))=INDIRECT("'"&amp;A2383&amp;"'!"&amp;B2383),FALSE,TRUE))</f>
        <v>0</v>
      </c>
      <c r="E2383" t="s">
        <v>436</v>
      </c>
      <c r="F2383" t="str">
        <f>INDEX(Lists!I:I,MATCH(Validation!E2383,Lists!G:G,0))</f>
        <v>Error</v>
      </c>
      <c r="G2383" t="str">
        <f>INDEX(Lists!H:H,MATCH(Validation!E2383,Lists!G:G,0))</f>
        <v>Amount must be rounded to the nearest dollar.</v>
      </c>
      <c r="H2383" s="25" t="str">
        <f t="shared" ca="1" si="273"/>
        <v/>
      </c>
      <c r="I2383" s="25" t="str">
        <f t="shared" ca="1" si="274"/>
        <v/>
      </c>
      <c r="J2383" s="26" t="str">
        <f t="shared" ca="1" si="275"/>
        <v/>
      </c>
    </row>
    <row r="2384" spans="1:10" x14ac:dyDescent="0.25">
      <c r="A2384" t="s">
        <v>311</v>
      </c>
      <c r="B2384" t="str">
        <f>ADDRESS(ROW('Bond 1'!$C$38),COLUMN('Bond 1'!$C$38),4)</f>
        <v>C38</v>
      </c>
      <c r="C2384" t="str">
        <f>ADDRESS(ROW('Bond 1'!$D$38),COLUMN('Bond 1'!$D$38),4)</f>
        <v>D38</v>
      </c>
      <c r="D2384" t="b" cm="1">
        <f t="array" aca="1" ref="D2384" ca="1">IF(INDIRECT("'"&amp;A2384&amp;"'!"&amp;B2384)="",FALSE,IF(TRUNC(INDIRECT("'"&amp;A2384&amp;"'!"&amp;B2384))=INDIRECT("'"&amp;A2384&amp;"'!"&amp;B2384),FALSE,TRUE))</f>
        <v>0</v>
      </c>
      <c r="E2384" t="s">
        <v>436</v>
      </c>
      <c r="F2384" t="str">
        <f>INDEX(Lists!I:I,MATCH(Validation!E2384,Lists!G:G,0))</f>
        <v>Error</v>
      </c>
      <c r="G2384" t="str">
        <f>INDEX(Lists!H:H,MATCH(Validation!E2384,Lists!G:G,0))</f>
        <v>Amount must be rounded to the nearest dollar.</v>
      </c>
      <c r="H2384" s="25" t="str">
        <f t="shared" ca="1" si="273"/>
        <v/>
      </c>
      <c r="I2384" s="25" t="str">
        <f t="shared" ca="1" si="274"/>
        <v/>
      </c>
      <c r="J2384" s="26" t="str">
        <f t="shared" ca="1" si="275"/>
        <v/>
      </c>
    </row>
    <row r="2385" spans="1:10" x14ac:dyDescent="0.25">
      <c r="A2385" t="s">
        <v>312</v>
      </c>
      <c r="B2385" t="str">
        <f>ADDRESS(ROW('Bond 1'!$C$38),COLUMN('Bond 1'!$C$38),4)</f>
        <v>C38</v>
      </c>
      <c r="C2385" t="str">
        <f>ADDRESS(ROW('Bond 1'!$D$38),COLUMN('Bond 1'!$D$38),4)</f>
        <v>D38</v>
      </c>
      <c r="D2385" t="b" cm="1">
        <f t="array" aca="1" ref="D2385" ca="1">IF(INDIRECT("'"&amp;A2385&amp;"'!"&amp;B2385)="",FALSE,IF(TRUNC(INDIRECT("'"&amp;A2385&amp;"'!"&amp;B2385))=INDIRECT("'"&amp;A2385&amp;"'!"&amp;B2385),FALSE,TRUE))</f>
        <v>0</v>
      </c>
      <c r="E2385" t="s">
        <v>436</v>
      </c>
      <c r="F2385" t="str">
        <f>INDEX(Lists!I:I,MATCH(Validation!E2385,Lists!G:G,0))</f>
        <v>Error</v>
      </c>
      <c r="G2385" t="str">
        <f>INDEX(Lists!H:H,MATCH(Validation!E2385,Lists!G:G,0))</f>
        <v>Amount must be rounded to the nearest dollar.</v>
      </c>
      <c r="H2385" s="25" t="str">
        <f t="shared" ca="1" si="273"/>
        <v/>
      </c>
      <c r="I2385" s="25" t="str">
        <f t="shared" ca="1" si="274"/>
        <v/>
      </c>
      <c r="J2385" s="26" t="str">
        <f t="shared" ca="1" si="275"/>
        <v/>
      </c>
    </row>
    <row r="2386" spans="1:10" x14ac:dyDescent="0.25">
      <c r="A2386" t="s">
        <v>313</v>
      </c>
      <c r="B2386" t="str">
        <f>ADDRESS(ROW('Bond 1'!$C$38),COLUMN('Bond 1'!$C$38),4)</f>
        <v>C38</v>
      </c>
      <c r="C2386" t="str">
        <f>ADDRESS(ROW('Bond 1'!$D$38),COLUMN('Bond 1'!$D$38),4)</f>
        <v>D38</v>
      </c>
      <c r="D2386" t="b" cm="1">
        <f t="array" aca="1" ref="D2386" ca="1">IF(INDIRECT("'"&amp;A2386&amp;"'!"&amp;B2386)="",FALSE,IF(TRUNC(INDIRECT("'"&amp;A2386&amp;"'!"&amp;B2386))=INDIRECT("'"&amp;A2386&amp;"'!"&amp;B2386),FALSE,TRUE))</f>
        <v>0</v>
      </c>
      <c r="E2386" t="s">
        <v>436</v>
      </c>
      <c r="F2386" t="str">
        <f>INDEX(Lists!I:I,MATCH(Validation!E2386,Lists!G:G,0))</f>
        <v>Error</v>
      </c>
      <c r="G2386" t="str">
        <f>INDEX(Lists!H:H,MATCH(Validation!E2386,Lists!G:G,0))</f>
        <v>Amount must be rounded to the nearest dollar.</v>
      </c>
      <c r="H2386" s="25" t="str">
        <f t="shared" ca="1" si="273"/>
        <v/>
      </c>
      <c r="I2386" s="25" t="str">
        <f t="shared" ca="1" si="274"/>
        <v/>
      </c>
      <c r="J2386" s="26" t="str">
        <f t="shared" ca="1" si="275"/>
        <v/>
      </c>
    </row>
    <row r="2387" spans="1:10" x14ac:dyDescent="0.25">
      <c r="A2387" t="s">
        <v>314</v>
      </c>
      <c r="B2387" t="str">
        <f>ADDRESS(ROW('Bond 1'!$C$38),COLUMN('Bond 1'!$C$38),4)</f>
        <v>C38</v>
      </c>
      <c r="C2387" t="str">
        <f>ADDRESS(ROW('Bond 1'!$D$38),COLUMN('Bond 1'!$D$38),4)</f>
        <v>D38</v>
      </c>
      <c r="D2387" t="b" cm="1">
        <f t="array" aca="1" ref="D2387" ca="1">IF(INDIRECT("'"&amp;A2387&amp;"'!"&amp;B2387)="",FALSE,IF(TRUNC(INDIRECT("'"&amp;A2387&amp;"'!"&amp;B2387))=INDIRECT("'"&amp;A2387&amp;"'!"&amp;B2387),FALSE,TRUE))</f>
        <v>0</v>
      </c>
      <c r="E2387" t="s">
        <v>436</v>
      </c>
      <c r="F2387" t="str">
        <f>INDEX(Lists!I:I,MATCH(Validation!E2387,Lists!G:G,0))</f>
        <v>Error</v>
      </c>
      <c r="G2387" t="str">
        <f>INDEX(Lists!H:H,MATCH(Validation!E2387,Lists!G:G,0))</f>
        <v>Amount must be rounded to the nearest dollar.</v>
      </c>
      <c r="H2387" s="25" t="str">
        <f t="shared" ca="1" si="273"/>
        <v/>
      </c>
      <c r="I2387" s="25" t="str">
        <f t="shared" ca="1" si="274"/>
        <v/>
      </c>
      <c r="J2387" s="26" t="str">
        <f t="shared" ca="1" si="275"/>
        <v/>
      </c>
    </row>
    <row r="2388" spans="1:10" x14ac:dyDescent="0.25">
      <c r="A2388" t="s">
        <v>315</v>
      </c>
      <c r="B2388" t="str">
        <f>ADDRESS(ROW('Bond 1'!$C$38),COLUMN('Bond 1'!$C$38),4)</f>
        <v>C38</v>
      </c>
      <c r="C2388" t="str">
        <f>ADDRESS(ROW('Bond 1'!$D$38),COLUMN('Bond 1'!$D$38),4)</f>
        <v>D38</v>
      </c>
      <c r="D2388" t="b" cm="1">
        <f t="array" aca="1" ref="D2388" ca="1">IF(INDIRECT("'"&amp;A2388&amp;"'!"&amp;B2388)="",FALSE,IF(TRUNC(INDIRECT("'"&amp;A2388&amp;"'!"&amp;B2388))=INDIRECT("'"&amp;A2388&amp;"'!"&amp;B2388),FALSE,TRUE))</f>
        <v>0</v>
      </c>
      <c r="E2388" t="s">
        <v>436</v>
      </c>
      <c r="F2388" t="str">
        <f>INDEX(Lists!I:I,MATCH(Validation!E2388,Lists!G:G,0))</f>
        <v>Error</v>
      </c>
      <c r="G2388" t="str">
        <f>INDEX(Lists!H:H,MATCH(Validation!E2388,Lists!G:G,0))</f>
        <v>Amount must be rounded to the nearest dollar.</v>
      </c>
      <c r="H2388" s="25" t="str">
        <f t="shared" ca="1" si="273"/>
        <v/>
      </c>
      <c r="I2388" s="25" t="str">
        <f t="shared" ca="1" si="274"/>
        <v/>
      </c>
      <c r="J2388" s="26" t="str">
        <f t="shared" ca="1" si="275"/>
        <v/>
      </c>
    </row>
    <row r="2389" spans="1:10" x14ac:dyDescent="0.25">
      <c r="A2389" t="s">
        <v>198</v>
      </c>
      <c r="B2389" t="str">
        <f>ADDRESS(ROW('Bond 1'!$B$39),COLUMN('Bond 1'!$B$39),4)</f>
        <v>B39</v>
      </c>
      <c r="C2389" t="str">
        <f>ADDRESS(ROW('Bond 1'!$D$39),COLUMN('Bond 1'!$D$39),4)</f>
        <v>D39</v>
      </c>
      <c r="D2389" t="b" cm="1">
        <f t="array" aca="1" ref="D2389" ca="1">IF(INDIRECT("'"&amp;A2389&amp;"'!"&amp;B2389)&lt;0,TRUE,FALSE)</f>
        <v>0</v>
      </c>
      <c r="E2389" t="s">
        <v>626</v>
      </c>
      <c r="F2389" t="str">
        <f>INDEX(Lists!I:I,MATCH(Validation!E2389,Lists!G:G,0))</f>
        <v>Error</v>
      </c>
      <c r="G2389" t="str">
        <f>INDEX(Lists!H:H,MATCH(Validation!E2389,Lists!G:G,0))</f>
        <v>Principal outstanding cannot be negative.</v>
      </c>
      <c r="H2389" s="25" t="str">
        <f t="shared" ca="1" si="273"/>
        <v/>
      </c>
      <c r="I2389" s="25" t="str">
        <f t="shared" ca="1" si="274"/>
        <v/>
      </c>
      <c r="J2389" s="26" t="str">
        <f t="shared" ca="1" si="275"/>
        <v/>
      </c>
    </row>
    <row r="2390" spans="1:10" x14ac:dyDescent="0.25">
      <c r="A2390" t="s">
        <v>302</v>
      </c>
      <c r="B2390" t="str">
        <f>ADDRESS(ROW('Bond 1'!$B$39),COLUMN('Bond 1'!$B$39),4)</f>
        <v>B39</v>
      </c>
      <c r="C2390" t="str">
        <f>ADDRESS(ROW('Bond 1'!$D$39),COLUMN('Bond 1'!$D$39),4)</f>
        <v>D39</v>
      </c>
      <c r="D2390" t="b" cm="1">
        <f t="array" aca="1" ref="D2390" ca="1">IF(INDIRECT("'"&amp;A2390&amp;"'!"&amp;B2390)&lt;0,TRUE,FALSE)</f>
        <v>0</v>
      </c>
      <c r="E2390" t="s">
        <v>626</v>
      </c>
      <c r="F2390" t="str">
        <f>INDEX(Lists!I:I,MATCH(Validation!E2390,Lists!G:G,0))</f>
        <v>Error</v>
      </c>
      <c r="G2390" t="str">
        <f>INDEX(Lists!H:H,MATCH(Validation!E2390,Lists!G:G,0))</f>
        <v>Principal outstanding cannot be negative.</v>
      </c>
      <c r="H2390" s="25" t="str">
        <f t="shared" ca="1" si="273"/>
        <v/>
      </c>
      <c r="I2390" s="25" t="str">
        <f t="shared" ca="1" si="274"/>
        <v/>
      </c>
      <c r="J2390" s="26" t="str">
        <f t="shared" ca="1" si="275"/>
        <v/>
      </c>
    </row>
    <row r="2391" spans="1:10" x14ac:dyDescent="0.25">
      <c r="A2391" t="s">
        <v>303</v>
      </c>
      <c r="B2391" t="str">
        <f>ADDRESS(ROW('Bond 1'!$B$39),COLUMN('Bond 1'!$B$39),4)</f>
        <v>B39</v>
      </c>
      <c r="C2391" t="str">
        <f>ADDRESS(ROW('Bond 1'!$D$39),COLUMN('Bond 1'!$D$39),4)</f>
        <v>D39</v>
      </c>
      <c r="D2391" t="b" cm="1">
        <f t="array" aca="1" ref="D2391" ca="1">IF(INDIRECT("'"&amp;A2391&amp;"'!"&amp;B2391)&lt;0,TRUE,FALSE)</f>
        <v>0</v>
      </c>
      <c r="E2391" t="s">
        <v>626</v>
      </c>
      <c r="F2391" t="str">
        <f>INDEX(Lists!I:I,MATCH(Validation!E2391,Lists!G:G,0))</f>
        <v>Error</v>
      </c>
      <c r="G2391" t="str">
        <f>INDEX(Lists!H:H,MATCH(Validation!E2391,Lists!G:G,0))</f>
        <v>Principal outstanding cannot be negative.</v>
      </c>
      <c r="H2391" s="25" t="str">
        <f t="shared" ca="1" si="273"/>
        <v/>
      </c>
      <c r="I2391" s="25" t="str">
        <f t="shared" ca="1" si="274"/>
        <v/>
      </c>
      <c r="J2391" s="26" t="str">
        <f t="shared" ca="1" si="275"/>
        <v/>
      </c>
    </row>
    <row r="2392" spans="1:10" x14ac:dyDescent="0.25">
      <c r="A2392" t="s">
        <v>304</v>
      </c>
      <c r="B2392" t="str">
        <f>ADDRESS(ROW('Bond 1'!$B$39),COLUMN('Bond 1'!$B$39),4)</f>
        <v>B39</v>
      </c>
      <c r="C2392" t="str">
        <f>ADDRESS(ROW('Bond 1'!$D$39),COLUMN('Bond 1'!$D$39),4)</f>
        <v>D39</v>
      </c>
      <c r="D2392" t="b" cm="1">
        <f t="array" aca="1" ref="D2392" ca="1">IF(INDIRECT("'"&amp;A2392&amp;"'!"&amp;B2392)&lt;0,TRUE,FALSE)</f>
        <v>0</v>
      </c>
      <c r="E2392" t="s">
        <v>626</v>
      </c>
      <c r="F2392" t="str">
        <f>INDEX(Lists!I:I,MATCH(Validation!E2392,Lists!G:G,0))</f>
        <v>Error</v>
      </c>
      <c r="G2392" t="str">
        <f>INDEX(Lists!H:H,MATCH(Validation!E2392,Lists!G:G,0))</f>
        <v>Principal outstanding cannot be negative.</v>
      </c>
      <c r="H2392" s="25" t="str">
        <f t="shared" ca="1" si="273"/>
        <v/>
      </c>
      <c r="I2392" s="25" t="str">
        <f t="shared" ca="1" si="274"/>
        <v/>
      </c>
      <c r="J2392" s="26" t="str">
        <f t="shared" ca="1" si="275"/>
        <v/>
      </c>
    </row>
    <row r="2393" spans="1:10" x14ac:dyDescent="0.25">
      <c r="A2393" t="s">
        <v>305</v>
      </c>
      <c r="B2393" t="str">
        <f>ADDRESS(ROW('Bond 1'!$B$39),COLUMN('Bond 1'!$B$39),4)</f>
        <v>B39</v>
      </c>
      <c r="C2393" t="str">
        <f>ADDRESS(ROW('Bond 1'!$D$39),COLUMN('Bond 1'!$D$39),4)</f>
        <v>D39</v>
      </c>
      <c r="D2393" t="b" cm="1">
        <f t="array" aca="1" ref="D2393" ca="1">IF(INDIRECT("'"&amp;A2393&amp;"'!"&amp;B2393)&lt;0,TRUE,FALSE)</f>
        <v>0</v>
      </c>
      <c r="E2393" t="s">
        <v>626</v>
      </c>
      <c r="F2393" t="str">
        <f>INDEX(Lists!I:I,MATCH(Validation!E2393,Lists!G:G,0))</f>
        <v>Error</v>
      </c>
      <c r="G2393" t="str">
        <f>INDEX(Lists!H:H,MATCH(Validation!E2393,Lists!G:G,0))</f>
        <v>Principal outstanding cannot be negative.</v>
      </c>
      <c r="H2393" s="25" t="str">
        <f t="shared" ca="1" si="273"/>
        <v/>
      </c>
      <c r="I2393" s="25" t="str">
        <f t="shared" ca="1" si="274"/>
        <v/>
      </c>
      <c r="J2393" s="26" t="str">
        <f t="shared" ca="1" si="275"/>
        <v/>
      </c>
    </row>
    <row r="2394" spans="1:10" x14ac:dyDescent="0.25">
      <c r="A2394" t="s">
        <v>306</v>
      </c>
      <c r="B2394" t="str">
        <f>ADDRESS(ROW('Bond 1'!$B$39),COLUMN('Bond 1'!$B$39),4)</f>
        <v>B39</v>
      </c>
      <c r="C2394" t="str">
        <f>ADDRESS(ROW('Bond 1'!$D$39),COLUMN('Bond 1'!$D$39),4)</f>
        <v>D39</v>
      </c>
      <c r="D2394" t="b" cm="1">
        <f t="array" aca="1" ref="D2394" ca="1">IF(INDIRECT("'"&amp;A2394&amp;"'!"&amp;B2394)&lt;0,TRUE,FALSE)</f>
        <v>0</v>
      </c>
      <c r="E2394" t="s">
        <v>626</v>
      </c>
      <c r="F2394" t="str">
        <f>INDEX(Lists!I:I,MATCH(Validation!E2394,Lists!G:G,0))</f>
        <v>Error</v>
      </c>
      <c r="G2394" t="str">
        <f>INDEX(Lists!H:H,MATCH(Validation!E2394,Lists!G:G,0))</f>
        <v>Principal outstanding cannot be negative.</v>
      </c>
      <c r="H2394" s="25" t="str">
        <f t="shared" ca="1" si="273"/>
        <v/>
      </c>
      <c r="I2394" s="25" t="str">
        <f t="shared" ca="1" si="274"/>
        <v/>
      </c>
      <c r="J2394" s="26" t="str">
        <f t="shared" ca="1" si="275"/>
        <v/>
      </c>
    </row>
    <row r="2395" spans="1:10" x14ac:dyDescent="0.25">
      <c r="A2395" t="s">
        <v>307</v>
      </c>
      <c r="B2395" t="str">
        <f>ADDRESS(ROW('Bond 1'!$B$39),COLUMN('Bond 1'!$B$39),4)</f>
        <v>B39</v>
      </c>
      <c r="C2395" t="str">
        <f>ADDRESS(ROW('Bond 1'!$D$39),COLUMN('Bond 1'!$D$39),4)</f>
        <v>D39</v>
      </c>
      <c r="D2395" t="b" cm="1">
        <f t="array" aca="1" ref="D2395" ca="1">IF(INDIRECT("'"&amp;A2395&amp;"'!"&amp;B2395)&lt;0,TRUE,FALSE)</f>
        <v>0</v>
      </c>
      <c r="E2395" t="s">
        <v>626</v>
      </c>
      <c r="F2395" t="str">
        <f>INDEX(Lists!I:I,MATCH(Validation!E2395,Lists!G:G,0))</f>
        <v>Error</v>
      </c>
      <c r="G2395" t="str">
        <f>INDEX(Lists!H:H,MATCH(Validation!E2395,Lists!G:G,0))</f>
        <v>Principal outstanding cannot be negative.</v>
      </c>
      <c r="H2395" s="25" t="str">
        <f t="shared" ca="1" si="273"/>
        <v/>
      </c>
      <c r="I2395" s="25" t="str">
        <f t="shared" ca="1" si="274"/>
        <v/>
      </c>
      <c r="J2395" s="26" t="str">
        <f t="shared" ca="1" si="275"/>
        <v/>
      </c>
    </row>
    <row r="2396" spans="1:10" x14ac:dyDescent="0.25">
      <c r="A2396" t="s">
        <v>308</v>
      </c>
      <c r="B2396" t="str">
        <f>ADDRESS(ROW('Bond 1'!$B$39),COLUMN('Bond 1'!$B$39),4)</f>
        <v>B39</v>
      </c>
      <c r="C2396" t="str">
        <f>ADDRESS(ROW('Bond 1'!$D$39),COLUMN('Bond 1'!$D$39),4)</f>
        <v>D39</v>
      </c>
      <c r="D2396" t="b" cm="1">
        <f t="array" aca="1" ref="D2396" ca="1">IF(INDIRECT("'"&amp;A2396&amp;"'!"&amp;B2396)&lt;0,TRUE,FALSE)</f>
        <v>0</v>
      </c>
      <c r="E2396" t="s">
        <v>626</v>
      </c>
      <c r="F2396" t="str">
        <f>INDEX(Lists!I:I,MATCH(Validation!E2396,Lists!G:G,0))</f>
        <v>Error</v>
      </c>
      <c r="G2396" t="str">
        <f>INDEX(Lists!H:H,MATCH(Validation!E2396,Lists!G:G,0))</f>
        <v>Principal outstanding cannot be negative.</v>
      </c>
      <c r="H2396" s="25" t="str">
        <f t="shared" ca="1" si="273"/>
        <v/>
      </c>
      <c r="I2396" s="25" t="str">
        <f t="shared" ca="1" si="274"/>
        <v/>
      </c>
      <c r="J2396" s="26" t="str">
        <f t="shared" ca="1" si="275"/>
        <v/>
      </c>
    </row>
    <row r="2397" spans="1:10" x14ac:dyDescent="0.25">
      <c r="A2397" t="s">
        <v>309</v>
      </c>
      <c r="B2397" t="str">
        <f>ADDRESS(ROW('Bond 1'!$B$39),COLUMN('Bond 1'!$B$39),4)</f>
        <v>B39</v>
      </c>
      <c r="C2397" t="str">
        <f>ADDRESS(ROW('Bond 1'!$D$39),COLUMN('Bond 1'!$D$39),4)</f>
        <v>D39</v>
      </c>
      <c r="D2397" t="b" cm="1">
        <f t="array" aca="1" ref="D2397" ca="1">IF(INDIRECT("'"&amp;A2397&amp;"'!"&amp;B2397)&lt;0,TRUE,FALSE)</f>
        <v>0</v>
      </c>
      <c r="E2397" t="s">
        <v>626</v>
      </c>
      <c r="F2397" t="str">
        <f>INDEX(Lists!I:I,MATCH(Validation!E2397,Lists!G:G,0))</f>
        <v>Error</v>
      </c>
      <c r="G2397" t="str">
        <f>INDEX(Lists!H:H,MATCH(Validation!E2397,Lists!G:G,0))</f>
        <v>Principal outstanding cannot be negative.</v>
      </c>
      <c r="H2397" s="25" t="str">
        <f t="shared" ca="1" si="273"/>
        <v/>
      </c>
      <c r="I2397" s="25" t="str">
        <f t="shared" ca="1" si="274"/>
        <v/>
      </c>
      <c r="J2397" s="26" t="str">
        <f t="shared" ca="1" si="275"/>
        <v/>
      </c>
    </row>
    <row r="2398" spans="1:10" x14ac:dyDescent="0.25">
      <c r="A2398" t="s">
        <v>310</v>
      </c>
      <c r="B2398" t="str">
        <f>ADDRESS(ROW('Bond 1'!$B$39),COLUMN('Bond 1'!$B$39),4)</f>
        <v>B39</v>
      </c>
      <c r="C2398" t="str">
        <f>ADDRESS(ROW('Bond 1'!$D$39),COLUMN('Bond 1'!$D$39),4)</f>
        <v>D39</v>
      </c>
      <c r="D2398" t="b" cm="1">
        <f t="array" aca="1" ref="D2398" ca="1">IF(INDIRECT("'"&amp;A2398&amp;"'!"&amp;B2398)&lt;0,TRUE,FALSE)</f>
        <v>0</v>
      </c>
      <c r="E2398" t="s">
        <v>626</v>
      </c>
      <c r="F2398" t="str">
        <f>INDEX(Lists!I:I,MATCH(Validation!E2398,Lists!G:G,0))</f>
        <v>Error</v>
      </c>
      <c r="G2398" t="str">
        <f>INDEX(Lists!H:H,MATCH(Validation!E2398,Lists!G:G,0))</f>
        <v>Principal outstanding cannot be negative.</v>
      </c>
      <c r="H2398" s="25" t="str">
        <f t="shared" ca="1" si="273"/>
        <v/>
      </c>
      <c r="I2398" s="25" t="str">
        <f t="shared" ca="1" si="274"/>
        <v/>
      </c>
      <c r="J2398" s="26" t="str">
        <f t="shared" ca="1" si="275"/>
        <v/>
      </c>
    </row>
    <row r="2399" spans="1:10" x14ac:dyDescent="0.25">
      <c r="A2399" t="s">
        <v>311</v>
      </c>
      <c r="B2399" t="str">
        <f>ADDRESS(ROW('Bond 1'!$B$39),COLUMN('Bond 1'!$B$39),4)</f>
        <v>B39</v>
      </c>
      <c r="C2399" t="str">
        <f>ADDRESS(ROW('Bond 1'!$D$39),COLUMN('Bond 1'!$D$39),4)</f>
        <v>D39</v>
      </c>
      <c r="D2399" t="b" cm="1">
        <f t="array" aca="1" ref="D2399" ca="1">IF(INDIRECT("'"&amp;A2399&amp;"'!"&amp;B2399)&lt;0,TRUE,FALSE)</f>
        <v>0</v>
      </c>
      <c r="E2399" t="s">
        <v>626</v>
      </c>
      <c r="F2399" t="str">
        <f>INDEX(Lists!I:I,MATCH(Validation!E2399,Lists!G:G,0))</f>
        <v>Error</v>
      </c>
      <c r="G2399" t="str">
        <f>INDEX(Lists!H:H,MATCH(Validation!E2399,Lists!G:G,0))</f>
        <v>Principal outstanding cannot be negative.</v>
      </c>
      <c r="H2399" s="25" t="str">
        <f t="shared" ca="1" si="273"/>
        <v/>
      </c>
      <c r="I2399" s="25" t="str">
        <f t="shared" ca="1" si="274"/>
        <v/>
      </c>
      <c r="J2399" s="26" t="str">
        <f t="shared" ca="1" si="275"/>
        <v/>
      </c>
    </row>
    <row r="2400" spans="1:10" x14ac:dyDescent="0.25">
      <c r="A2400" t="s">
        <v>312</v>
      </c>
      <c r="B2400" t="str">
        <f>ADDRESS(ROW('Bond 1'!$B$39),COLUMN('Bond 1'!$B$39),4)</f>
        <v>B39</v>
      </c>
      <c r="C2400" t="str">
        <f>ADDRESS(ROW('Bond 1'!$D$39),COLUMN('Bond 1'!$D$39),4)</f>
        <v>D39</v>
      </c>
      <c r="D2400" t="b" cm="1">
        <f t="array" aca="1" ref="D2400" ca="1">IF(INDIRECT("'"&amp;A2400&amp;"'!"&amp;B2400)&lt;0,TRUE,FALSE)</f>
        <v>0</v>
      </c>
      <c r="E2400" t="s">
        <v>626</v>
      </c>
      <c r="F2400" t="str">
        <f>INDEX(Lists!I:I,MATCH(Validation!E2400,Lists!G:G,0))</f>
        <v>Error</v>
      </c>
      <c r="G2400" t="str">
        <f>INDEX(Lists!H:H,MATCH(Validation!E2400,Lists!G:G,0))</f>
        <v>Principal outstanding cannot be negative.</v>
      </c>
      <c r="H2400" s="25" t="str">
        <f t="shared" ca="1" si="273"/>
        <v/>
      </c>
      <c r="I2400" s="25" t="str">
        <f t="shared" ca="1" si="274"/>
        <v/>
      </c>
      <c r="J2400" s="26" t="str">
        <f t="shared" ca="1" si="275"/>
        <v/>
      </c>
    </row>
    <row r="2401" spans="1:10" x14ac:dyDescent="0.25">
      <c r="A2401" t="s">
        <v>313</v>
      </c>
      <c r="B2401" t="str">
        <f>ADDRESS(ROW('Bond 1'!$B$39),COLUMN('Bond 1'!$B$39),4)</f>
        <v>B39</v>
      </c>
      <c r="C2401" t="str">
        <f>ADDRESS(ROW('Bond 1'!$D$39),COLUMN('Bond 1'!$D$39),4)</f>
        <v>D39</v>
      </c>
      <c r="D2401" t="b" cm="1">
        <f t="array" aca="1" ref="D2401" ca="1">IF(INDIRECT("'"&amp;A2401&amp;"'!"&amp;B2401)&lt;0,TRUE,FALSE)</f>
        <v>0</v>
      </c>
      <c r="E2401" t="s">
        <v>626</v>
      </c>
      <c r="F2401" t="str">
        <f>INDEX(Lists!I:I,MATCH(Validation!E2401,Lists!G:G,0))</f>
        <v>Error</v>
      </c>
      <c r="G2401" t="str">
        <f>INDEX(Lists!H:H,MATCH(Validation!E2401,Lists!G:G,0))</f>
        <v>Principal outstanding cannot be negative.</v>
      </c>
      <c r="H2401" s="25" t="str">
        <f t="shared" ca="1" si="273"/>
        <v/>
      </c>
      <c r="I2401" s="25" t="str">
        <f t="shared" ca="1" si="274"/>
        <v/>
      </c>
      <c r="J2401" s="26" t="str">
        <f t="shared" ca="1" si="275"/>
        <v/>
      </c>
    </row>
    <row r="2402" spans="1:10" x14ac:dyDescent="0.25">
      <c r="A2402" t="s">
        <v>314</v>
      </c>
      <c r="B2402" t="str">
        <f>ADDRESS(ROW('Bond 1'!$B$39),COLUMN('Bond 1'!$B$39),4)</f>
        <v>B39</v>
      </c>
      <c r="C2402" t="str">
        <f>ADDRESS(ROW('Bond 1'!$D$39),COLUMN('Bond 1'!$D$39),4)</f>
        <v>D39</v>
      </c>
      <c r="D2402" t="b" cm="1">
        <f t="array" aca="1" ref="D2402" ca="1">IF(INDIRECT("'"&amp;A2402&amp;"'!"&amp;B2402)&lt;0,TRUE,FALSE)</f>
        <v>0</v>
      </c>
      <c r="E2402" t="s">
        <v>626</v>
      </c>
      <c r="F2402" t="str">
        <f>INDEX(Lists!I:I,MATCH(Validation!E2402,Lists!G:G,0))</f>
        <v>Error</v>
      </c>
      <c r="G2402" t="str">
        <f>INDEX(Lists!H:H,MATCH(Validation!E2402,Lists!G:G,0))</f>
        <v>Principal outstanding cannot be negative.</v>
      </c>
      <c r="H2402" s="25" t="str">
        <f t="shared" ca="1" si="273"/>
        <v/>
      </c>
      <c r="I2402" s="25" t="str">
        <f t="shared" ca="1" si="274"/>
        <v/>
      </c>
      <c r="J2402" s="26" t="str">
        <f t="shared" ca="1" si="275"/>
        <v/>
      </c>
    </row>
    <row r="2403" spans="1:10" x14ac:dyDescent="0.25">
      <c r="A2403" t="s">
        <v>315</v>
      </c>
      <c r="B2403" t="str">
        <f>ADDRESS(ROW('Bond 1'!$B$39),COLUMN('Bond 1'!$B$39),4)</f>
        <v>B39</v>
      </c>
      <c r="C2403" t="str">
        <f>ADDRESS(ROW('Bond 1'!$D$39),COLUMN('Bond 1'!$D$39),4)</f>
        <v>D39</v>
      </c>
      <c r="D2403" t="b" cm="1">
        <f t="array" aca="1" ref="D2403" ca="1">IF(INDIRECT("'"&amp;A2403&amp;"'!"&amp;B2403)&lt;0,TRUE,FALSE)</f>
        <v>0</v>
      </c>
      <c r="E2403" t="s">
        <v>626</v>
      </c>
      <c r="F2403" t="str">
        <f>INDEX(Lists!I:I,MATCH(Validation!E2403,Lists!G:G,0))</f>
        <v>Error</v>
      </c>
      <c r="G2403" t="str">
        <f>INDEX(Lists!H:H,MATCH(Validation!E2403,Lists!G:G,0))</f>
        <v>Principal outstanding cannot be negative.</v>
      </c>
      <c r="H2403" s="25" t="str">
        <f t="shared" ca="1" si="273"/>
        <v/>
      </c>
      <c r="I2403" s="25" t="str">
        <f t="shared" ca="1" si="274"/>
        <v/>
      </c>
      <c r="J2403" s="26" t="str">
        <f t="shared" ca="1" si="275"/>
        <v/>
      </c>
    </row>
    <row r="2404" spans="1:10" x14ac:dyDescent="0.25">
      <c r="A2404" t="s">
        <v>198</v>
      </c>
      <c r="B2404" t="str">
        <f>ADDRESS(ROW('Bond 1'!$C$39),COLUMN('Bond 1'!$C$39),4)</f>
        <v>C39</v>
      </c>
      <c r="C2404" t="str">
        <f>ADDRESS(ROW('Bond 1'!$D$39),COLUMN('Bond 1'!$D$39),4)</f>
        <v>D39</v>
      </c>
      <c r="D2404" t="b" cm="1">
        <f t="array" aca="1" ref="D2404" ca="1">IF(INDIRECT("'"&amp;A2404&amp;"'!"&amp;B2404)&lt;0,TRUE,FALSE)</f>
        <v>0</v>
      </c>
      <c r="E2404" t="s">
        <v>626</v>
      </c>
      <c r="F2404" t="str">
        <f>INDEX(Lists!I:I,MATCH(Validation!E2404,Lists!G:G,0))</f>
        <v>Error</v>
      </c>
      <c r="G2404" t="str">
        <f>INDEX(Lists!H:H,MATCH(Validation!E2404,Lists!G:G,0))</f>
        <v>Principal outstanding cannot be negative.</v>
      </c>
      <c r="H2404" s="25" t="str">
        <f t="shared" ref="H2404:H2418" ca="1" si="276">IFERROR(IF(OR(NOT(D2404),F2404&lt;&gt;"Error"),"",A2404&amp;CELL("address",INDIRECT(B2404))),"")</f>
        <v/>
      </c>
      <c r="I2404" s="25" t="str">
        <f t="shared" ref="I2404:I2418" ca="1" si="277">IFERROR(IF(NOT(D2404),"",A2404&amp;CELL("address",INDIRECT(C2404))),"")</f>
        <v/>
      </c>
      <c r="J2404" s="26" t="str">
        <f t="shared" ref="J2404:J2418" ca="1" si="278">IFERROR(IF(NOT(D2404),"",A2404),"")</f>
        <v/>
      </c>
    </row>
    <row r="2405" spans="1:10" x14ac:dyDescent="0.25">
      <c r="A2405" t="s">
        <v>302</v>
      </c>
      <c r="B2405" t="str">
        <f>ADDRESS(ROW('Bond 1'!$C$39),COLUMN('Bond 1'!$C$39),4)</f>
        <v>C39</v>
      </c>
      <c r="C2405" t="str">
        <f>ADDRESS(ROW('Bond 1'!$D$39),COLUMN('Bond 1'!$D$39),4)</f>
        <v>D39</v>
      </c>
      <c r="D2405" t="b" cm="1">
        <f t="array" aca="1" ref="D2405" ca="1">IF(INDIRECT("'"&amp;A2405&amp;"'!"&amp;B2405)&lt;0,TRUE,FALSE)</f>
        <v>0</v>
      </c>
      <c r="E2405" t="s">
        <v>626</v>
      </c>
      <c r="F2405" t="str">
        <f>INDEX(Lists!I:I,MATCH(Validation!E2405,Lists!G:G,0))</f>
        <v>Error</v>
      </c>
      <c r="G2405" t="str">
        <f>INDEX(Lists!H:H,MATCH(Validation!E2405,Lists!G:G,0))</f>
        <v>Principal outstanding cannot be negative.</v>
      </c>
      <c r="H2405" s="25" t="str">
        <f t="shared" ca="1" si="276"/>
        <v/>
      </c>
      <c r="I2405" s="25" t="str">
        <f t="shared" ca="1" si="277"/>
        <v/>
      </c>
      <c r="J2405" s="26" t="str">
        <f t="shared" ca="1" si="278"/>
        <v/>
      </c>
    </row>
    <row r="2406" spans="1:10" x14ac:dyDescent="0.25">
      <c r="A2406" t="s">
        <v>303</v>
      </c>
      <c r="B2406" t="str">
        <f>ADDRESS(ROW('Bond 1'!$C$39),COLUMN('Bond 1'!$C$39),4)</f>
        <v>C39</v>
      </c>
      <c r="C2406" t="str">
        <f>ADDRESS(ROW('Bond 1'!$D$39),COLUMN('Bond 1'!$D$39),4)</f>
        <v>D39</v>
      </c>
      <c r="D2406" t="b" cm="1">
        <f t="array" aca="1" ref="D2406" ca="1">IF(INDIRECT("'"&amp;A2406&amp;"'!"&amp;B2406)&lt;0,TRUE,FALSE)</f>
        <v>0</v>
      </c>
      <c r="E2406" t="s">
        <v>626</v>
      </c>
      <c r="F2406" t="str">
        <f>INDEX(Lists!I:I,MATCH(Validation!E2406,Lists!G:G,0))</f>
        <v>Error</v>
      </c>
      <c r="G2406" t="str">
        <f>INDEX(Lists!H:H,MATCH(Validation!E2406,Lists!G:G,0))</f>
        <v>Principal outstanding cannot be negative.</v>
      </c>
      <c r="H2406" s="25" t="str">
        <f t="shared" ca="1" si="276"/>
        <v/>
      </c>
      <c r="I2406" s="25" t="str">
        <f t="shared" ca="1" si="277"/>
        <v/>
      </c>
      <c r="J2406" s="26" t="str">
        <f t="shared" ca="1" si="278"/>
        <v/>
      </c>
    </row>
    <row r="2407" spans="1:10" x14ac:dyDescent="0.25">
      <c r="A2407" t="s">
        <v>304</v>
      </c>
      <c r="B2407" t="str">
        <f>ADDRESS(ROW('Bond 1'!$C$39),COLUMN('Bond 1'!$C$39),4)</f>
        <v>C39</v>
      </c>
      <c r="C2407" t="str">
        <f>ADDRESS(ROW('Bond 1'!$D$39),COLUMN('Bond 1'!$D$39),4)</f>
        <v>D39</v>
      </c>
      <c r="D2407" t="b" cm="1">
        <f t="array" aca="1" ref="D2407" ca="1">IF(INDIRECT("'"&amp;A2407&amp;"'!"&amp;B2407)&lt;0,TRUE,FALSE)</f>
        <v>0</v>
      </c>
      <c r="E2407" t="s">
        <v>626</v>
      </c>
      <c r="F2407" t="str">
        <f>INDEX(Lists!I:I,MATCH(Validation!E2407,Lists!G:G,0))</f>
        <v>Error</v>
      </c>
      <c r="G2407" t="str">
        <f>INDEX(Lists!H:H,MATCH(Validation!E2407,Lists!G:G,0))</f>
        <v>Principal outstanding cannot be negative.</v>
      </c>
      <c r="H2407" s="25" t="str">
        <f t="shared" ca="1" si="276"/>
        <v/>
      </c>
      <c r="I2407" s="25" t="str">
        <f t="shared" ca="1" si="277"/>
        <v/>
      </c>
      <c r="J2407" s="26" t="str">
        <f t="shared" ca="1" si="278"/>
        <v/>
      </c>
    </row>
    <row r="2408" spans="1:10" x14ac:dyDescent="0.25">
      <c r="A2408" t="s">
        <v>305</v>
      </c>
      <c r="B2408" t="str">
        <f>ADDRESS(ROW('Bond 1'!$C$39),COLUMN('Bond 1'!$C$39),4)</f>
        <v>C39</v>
      </c>
      <c r="C2408" t="str">
        <f>ADDRESS(ROW('Bond 1'!$D$39),COLUMN('Bond 1'!$D$39),4)</f>
        <v>D39</v>
      </c>
      <c r="D2408" t="b" cm="1">
        <f t="array" aca="1" ref="D2408" ca="1">IF(INDIRECT("'"&amp;A2408&amp;"'!"&amp;B2408)&lt;0,TRUE,FALSE)</f>
        <v>0</v>
      </c>
      <c r="E2408" t="s">
        <v>626</v>
      </c>
      <c r="F2408" t="str">
        <f>INDEX(Lists!I:I,MATCH(Validation!E2408,Lists!G:G,0))</f>
        <v>Error</v>
      </c>
      <c r="G2408" t="str">
        <f>INDEX(Lists!H:H,MATCH(Validation!E2408,Lists!G:G,0))</f>
        <v>Principal outstanding cannot be negative.</v>
      </c>
      <c r="H2408" s="25" t="str">
        <f t="shared" ca="1" si="276"/>
        <v/>
      </c>
      <c r="I2408" s="25" t="str">
        <f t="shared" ca="1" si="277"/>
        <v/>
      </c>
      <c r="J2408" s="26" t="str">
        <f t="shared" ca="1" si="278"/>
        <v/>
      </c>
    </row>
    <row r="2409" spans="1:10" x14ac:dyDescent="0.25">
      <c r="A2409" t="s">
        <v>306</v>
      </c>
      <c r="B2409" t="str">
        <f>ADDRESS(ROW('Bond 1'!$C$39),COLUMN('Bond 1'!$C$39),4)</f>
        <v>C39</v>
      </c>
      <c r="C2409" t="str">
        <f>ADDRESS(ROW('Bond 1'!$D$39),COLUMN('Bond 1'!$D$39),4)</f>
        <v>D39</v>
      </c>
      <c r="D2409" t="b" cm="1">
        <f t="array" aca="1" ref="D2409" ca="1">IF(INDIRECT("'"&amp;A2409&amp;"'!"&amp;B2409)&lt;0,TRUE,FALSE)</f>
        <v>0</v>
      </c>
      <c r="E2409" t="s">
        <v>626</v>
      </c>
      <c r="F2409" t="str">
        <f>INDEX(Lists!I:I,MATCH(Validation!E2409,Lists!G:G,0))</f>
        <v>Error</v>
      </c>
      <c r="G2409" t="str">
        <f>INDEX(Lists!H:H,MATCH(Validation!E2409,Lists!G:G,0))</f>
        <v>Principal outstanding cannot be negative.</v>
      </c>
      <c r="H2409" s="25" t="str">
        <f t="shared" ca="1" si="276"/>
        <v/>
      </c>
      <c r="I2409" s="25" t="str">
        <f t="shared" ca="1" si="277"/>
        <v/>
      </c>
      <c r="J2409" s="26" t="str">
        <f t="shared" ca="1" si="278"/>
        <v/>
      </c>
    </row>
    <row r="2410" spans="1:10" x14ac:dyDescent="0.25">
      <c r="A2410" t="s">
        <v>307</v>
      </c>
      <c r="B2410" t="str">
        <f>ADDRESS(ROW('Bond 1'!$C$39),COLUMN('Bond 1'!$C$39),4)</f>
        <v>C39</v>
      </c>
      <c r="C2410" t="str">
        <f>ADDRESS(ROW('Bond 1'!$D$39),COLUMN('Bond 1'!$D$39),4)</f>
        <v>D39</v>
      </c>
      <c r="D2410" t="b" cm="1">
        <f t="array" aca="1" ref="D2410" ca="1">IF(INDIRECT("'"&amp;A2410&amp;"'!"&amp;B2410)&lt;0,TRUE,FALSE)</f>
        <v>0</v>
      </c>
      <c r="E2410" t="s">
        <v>626</v>
      </c>
      <c r="F2410" t="str">
        <f>INDEX(Lists!I:I,MATCH(Validation!E2410,Lists!G:G,0))</f>
        <v>Error</v>
      </c>
      <c r="G2410" t="str">
        <f>INDEX(Lists!H:H,MATCH(Validation!E2410,Lists!G:G,0))</f>
        <v>Principal outstanding cannot be negative.</v>
      </c>
      <c r="H2410" s="25" t="str">
        <f t="shared" ca="1" si="276"/>
        <v/>
      </c>
      <c r="I2410" s="25" t="str">
        <f t="shared" ca="1" si="277"/>
        <v/>
      </c>
      <c r="J2410" s="26" t="str">
        <f t="shared" ca="1" si="278"/>
        <v/>
      </c>
    </row>
    <row r="2411" spans="1:10" x14ac:dyDescent="0.25">
      <c r="A2411" t="s">
        <v>308</v>
      </c>
      <c r="B2411" t="str">
        <f>ADDRESS(ROW('Bond 1'!$C$39),COLUMN('Bond 1'!$C$39),4)</f>
        <v>C39</v>
      </c>
      <c r="C2411" t="str">
        <f>ADDRESS(ROW('Bond 1'!$D$39),COLUMN('Bond 1'!$D$39),4)</f>
        <v>D39</v>
      </c>
      <c r="D2411" t="b" cm="1">
        <f t="array" aca="1" ref="D2411" ca="1">IF(INDIRECT("'"&amp;A2411&amp;"'!"&amp;B2411)&lt;0,TRUE,FALSE)</f>
        <v>0</v>
      </c>
      <c r="E2411" t="s">
        <v>626</v>
      </c>
      <c r="F2411" t="str">
        <f>INDEX(Lists!I:I,MATCH(Validation!E2411,Lists!G:G,0))</f>
        <v>Error</v>
      </c>
      <c r="G2411" t="str">
        <f>INDEX(Lists!H:H,MATCH(Validation!E2411,Lists!G:G,0))</f>
        <v>Principal outstanding cannot be negative.</v>
      </c>
      <c r="H2411" s="25" t="str">
        <f t="shared" ca="1" si="276"/>
        <v/>
      </c>
      <c r="I2411" s="25" t="str">
        <f t="shared" ca="1" si="277"/>
        <v/>
      </c>
      <c r="J2411" s="26" t="str">
        <f t="shared" ca="1" si="278"/>
        <v/>
      </c>
    </row>
    <row r="2412" spans="1:10" x14ac:dyDescent="0.25">
      <c r="A2412" t="s">
        <v>309</v>
      </c>
      <c r="B2412" t="str">
        <f>ADDRESS(ROW('Bond 1'!$C$39),COLUMN('Bond 1'!$C$39),4)</f>
        <v>C39</v>
      </c>
      <c r="C2412" t="str">
        <f>ADDRESS(ROW('Bond 1'!$D$39),COLUMN('Bond 1'!$D$39),4)</f>
        <v>D39</v>
      </c>
      <c r="D2412" t="b" cm="1">
        <f t="array" aca="1" ref="D2412" ca="1">IF(INDIRECT("'"&amp;A2412&amp;"'!"&amp;B2412)&lt;0,TRUE,FALSE)</f>
        <v>0</v>
      </c>
      <c r="E2412" t="s">
        <v>626</v>
      </c>
      <c r="F2412" t="str">
        <f>INDEX(Lists!I:I,MATCH(Validation!E2412,Lists!G:G,0))</f>
        <v>Error</v>
      </c>
      <c r="G2412" t="str">
        <f>INDEX(Lists!H:H,MATCH(Validation!E2412,Lists!G:G,0))</f>
        <v>Principal outstanding cannot be negative.</v>
      </c>
      <c r="H2412" s="25" t="str">
        <f t="shared" ca="1" si="276"/>
        <v/>
      </c>
      <c r="I2412" s="25" t="str">
        <f t="shared" ca="1" si="277"/>
        <v/>
      </c>
      <c r="J2412" s="26" t="str">
        <f t="shared" ca="1" si="278"/>
        <v/>
      </c>
    </row>
    <row r="2413" spans="1:10" x14ac:dyDescent="0.25">
      <c r="A2413" t="s">
        <v>310</v>
      </c>
      <c r="B2413" t="str">
        <f>ADDRESS(ROW('Bond 1'!$C$39),COLUMN('Bond 1'!$C$39),4)</f>
        <v>C39</v>
      </c>
      <c r="C2413" t="str">
        <f>ADDRESS(ROW('Bond 1'!$D$39),COLUMN('Bond 1'!$D$39),4)</f>
        <v>D39</v>
      </c>
      <c r="D2413" t="b" cm="1">
        <f t="array" aca="1" ref="D2413" ca="1">IF(INDIRECT("'"&amp;A2413&amp;"'!"&amp;B2413)&lt;0,TRUE,FALSE)</f>
        <v>0</v>
      </c>
      <c r="E2413" t="s">
        <v>626</v>
      </c>
      <c r="F2413" t="str">
        <f>INDEX(Lists!I:I,MATCH(Validation!E2413,Lists!G:G,0))</f>
        <v>Error</v>
      </c>
      <c r="G2413" t="str">
        <f>INDEX(Lists!H:H,MATCH(Validation!E2413,Lists!G:G,0))</f>
        <v>Principal outstanding cannot be negative.</v>
      </c>
      <c r="H2413" s="25" t="str">
        <f t="shared" ca="1" si="276"/>
        <v/>
      </c>
      <c r="I2413" s="25" t="str">
        <f t="shared" ca="1" si="277"/>
        <v/>
      </c>
      <c r="J2413" s="26" t="str">
        <f t="shared" ca="1" si="278"/>
        <v/>
      </c>
    </row>
    <row r="2414" spans="1:10" x14ac:dyDescent="0.25">
      <c r="A2414" t="s">
        <v>311</v>
      </c>
      <c r="B2414" t="str">
        <f>ADDRESS(ROW('Bond 1'!$C$39),COLUMN('Bond 1'!$C$39),4)</f>
        <v>C39</v>
      </c>
      <c r="C2414" t="str">
        <f>ADDRESS(ROW('Bond 1'!$D$39),COLUMN('Bond 1'!$D$39),4)</f>
        <v>D39</v>
      </c>
      <c r="D2414" t="b" cm="1">
        <f t="array" aca="1" ref="D2414" ca="1">IF(INDIRECT("'"&amp;A2414&amp;"'!"&amp;B2414)&lt;0,TRUE,FALSE)</f>
        <v>0</v>
      </c>
      <c r="E2414" t="s">
        <v>626</v>
      </c>
      <c r="F2414" t="str">
        <f>INDEX(Lists!I:I,MATCH(Validation!E2414,Lists!G:G,0))</f>
        <v>Error</v>
      </c>
      <c r="G2414" t="str">
        <f>INDEX(Lists!H:H,MATCH(Validation!E2414,Lists!G:G,0))</f>
        <v>Principal outstanding cannot be negative.</v>
      </c>
      <c r="H2414" s="25" t="str">
        <f t="shared" ca="1" si="276"/>
        <v/>
      </c>
      <c r="I2414" s="25" t="str">
        <f t="shared" ca="1" si="277"/>
        <v/>
      </c>
      <c r="J2414" s="26" t="str">
        <f t="shared" ca="1" si="278"/>
        <v/>
      </c>
    </row>
    <row r="2415" spans="1:10" x14ac:dyDescent="0.25">
      <c r="A2415" t="s">
        <v>312</v>
      </c>
      <c r="B2415" t="str">
        <f>ADDRESS(ROW('Bond 1'!$C$39),COLUMN('Bond 1'!$C$39),4)</f>
        <v>C39</v>
      </c>
      <c r="C2415" t="str">
        <f>ADDRESS(ROW('Bond 1'!$D$39),COLUMN('Bond 1'!$D$39),4)</f>
        <v>D39</v>
      </c>
      <c r="D2415" t="b" cm="1">
        <f t="array" aca="1" ref="D2415" ca="1">IF(INDIRECT("'"&amp;A2415&amp;"'!"&amp;B2415)&lt;0,TRUE,FALSE)</f>
        <v>0</v>
      </c>
      <c r="E2415" t="s">
        <v>626</v>
      </c>
      <c r="F2415" t="str">
        <f>INDEX(Lists!I:I,MATCH(Validation!E2415,Lists!G:G,0))</f>
        <v>Error</v>
      </c>
      <c r="G2415" t="str">
        <f>INDEX(Lists!H:H,MATCH(Validation!E2415,Lists!G:G,0))</f>
        <v>Principal outstanding cannot be negative.</v>
      </c>
      <c r="H2415" s="25" t="str">
        <f t="shared" ca="1" si="276"/>
        <v/>
      </c>
      <c r="I2415" s="25" t="str">
        <f t="shared" ca="1" si="277"/>
        <v/>
      </c>
      <c r="J2415" s="26" t="str">
        <f t="shared" ca="1" si="278"/>
        <v/>
      </c>
    </row>
    <row r="2416" spans="1:10" x14ac:dyDescent="0.25">
      <c r="A2416" t="s">
        <v>313</v>
      </c>
      <c r="B2416" t="str">
        <f>ADDRESS(ROW('Bond 1'!$C$39),COLUMN('Bond 1'!$C$39),4)</f>
        <v>C39</v>
      </c>
      <c r="C2416" t="str">
        <f>ADDRESS(ROW('Bond 1'!$D$39),COLUMN('Bond 1'!$D$39),4)</f>
        <v>D39</v>
      </c>
      <c r="D2416" t="b" cm="1">
        <f t="array" aca="1" ref="D2416" ca="1">IF(INDIRECT("'"&amp;A2416&amp;"'!"&amp;B2416)&lt;0,TRUE,FALSE)</f>
        <v>0</v>
      </c>
      <c r="E2416" t="s">
        <v>626</v>
      </c>
      <c r="F2416" t="str">
        <f>INDEX(Lists!I:I,MATCH(Validation!E2416,Lists!G:G,0))</f>
        <v>Error</v>
      </c>
      <c r="G2416" t="str">
        <f>INDEX(Lists!H:H,MATCH(Validation!E2416,Lists!G:G,0))</f>
        <v>Principal outstanding cannot be negative.</v>
      </c>
      <c r="H2416" s="25" t="str">
        <f t="shared" ca="1" si="276"/>
        <v/>
      </c>
      <c r="I2416" s="25" t="str">
        <f t="shared" ca="1" si="277"/>
        <v/>
      </c>
      <c r="J2416" s="26" t="str">
        <f t="shared" ca="1" si="278"/>
        <v/>
      </c>
    </row>
    <row r="2417" spans="1:10" x14ac:dyDescent="0.25">
      <c r="A2417" t="s">
        <v>314</v>
      </c>
      <c r="B2417" t="str">
        <f>ADDRESS(ROW('Bond 1'!$C$39),COLUMN('Bond 1'!$C$39),4)</f>
        <v>C39</v>
      </c>
      <c r="C2417" t="str">
        <f>ADDRESS(ROW('Bond 1'!$D$39),COLUMN('Bond 1'!$D$39),4)</f>
        <v>D39</v>
      </c>
      <c r="D2417" t="b" cm="1">
        <f t="array" aca="1" ref="D2417" ca="1">IF(INDIRECT("'"&amp;A2417&amp;"'!"&amp;B2417)&lt;0,TRUE,FALSE)</f>
        <v>0</v>
      </c>
      <c r="E2417" t="s">
        <v>626</v>
      </c>
      <c r="F2417" t="str">
        <f>INDEX(Lists!I:I,MATCH(Validation!E2417,Lists!G:G,0))</f>
        <v>Error</v>
      </c>
      <c r="G2417" t="str">
        <f>INDEX(Lists!H:H,MATCH(Validation!E2417,Lists!G:G,0))</f>
        <v>Principal outstanding cannot be negative.</v>
      </c>
      <c r="H2417" s="25" t="str">
        <f t="shared" ca="1" si="276"/>
        <v/>
      </c>
      <c r="I2417" s="25" t="str">
        <f t="shared" ca="1" si="277"/>
        <v/>
      </c>
      <c r="J2417" s="26" t="str">
        <f t="shared" ca="1" si="278"/>
        <v/>
      </c>
    </row>
    <row r="2418" spans="1:10" x14ac:dyDescent="0.25">
      <c r="A2418" t="s">
        <v>315</v>
      </c>
      <c r="B2418" t="str">
        <f>ADDRESS(ROW('Bond 1'!$C$39),COLUMN('Bond 1'!$C$39),4)</f>
        <v>C39</v>
      </c>
      <c r="C2418" t="str">
        <f>ADDRESS(ROW('Bond 1'!$D$39),COLUMN('Bond 1'!$D$39),4)</f>
        <v>D39</v>
      </c>
      <c r="D2418" t="b" cm="1">
        <f t="array" aca="1" ref="D2418" ca="1">IF(INDIRECT("'"&amp;A2418&amp;"'!"&amp;B2418)&lt;0,TRUE,FALSE)</f>
        <v>0</v>
      </c>
      <c r="E2418" t="s">
        <v>626</v>
      </c>
      <c r="F2418" t="str">
        <f>INDEX(Lists!I:I,MATCH(Validation!E2418,Lists!G:G,0))</f>
        <v>Error</v>
      </c>
      <c r="G2418" t="str">
        <f>INDEX(Lists!H:H,MATCH(Validation!E2418,Lists!G:G,0))</f>
        <v>Principal outstanding cannot be negative.</v>
      </c>
      <c r="H2418" s="25" t="str">
        <f t="shared" ca="1" si="276"/>
        <v/>
      </c>
      <c r="I2418" s="25" t="str">
        <f t="shared" ca="1" si="277"/>
        <v/>
      </c>
      <c r="J2418" s="26" t="str">
        <f t="shared" ca="1" si="278"/>
        <v/>
      </c>
    </row>
    <row r="2419" spans="1:10" x14ac:dyDescent="0.25">
      <c r="A2419" t="s">
        <v>198</v>
      </c>
      <c r="B2419" t="str">
        <f>ADDRESS(ROW('Bond 1'!$B$40),COLUMN('Bond 1'!$B$40),4)</f>
        <v>B40</v>
      </c>
      <c r="C2419" t="str">
        <f>ADDRESS(ROW('Bond 1'!$D$40),COLUMN('Bond 1'!$D$40),4)</f>
        <v>D40</v>
      </c>
      <c r="D2419" t="b" cm="1">
        <f t="array" aca="1" ref="D2419" ca="1">IF(INDIRECT("'"&amp;A2419&amp;"'!"&amp;B2419)="",FALSE,IF(NOT(ISNUMBER(INDIRECT("'"&amp;A2419&amp;"'!"&amp;B2419))),TRUE,FALSE))</f>
        <v>0</v>
      </c>
      <c r="E2419" t="s">
        <v>435</v>
      </c>
      <c r="F2419" t="str">
        <f>INDEX(Lists!I:I,MATCH(Validation!E2419,Lists!G:G,0))</f>
        <v>Error</v>
      </c>
      <c r="G2419" t="str">
        <f>INDEX(Lists!H:H,MATCH(Validation!E2419,Lists!G:G,0))</f>
        <v>Enter an amount only. Do not enter text or spaces.</v>
      </c>
      <c r="H2419" s="25" t="str">
        <f t="shared" ref="H2419:H2478" ca="1" si="279">IFERROR(IF(OR(NOT(D2419),F2419&lt;&gt;"Error"),"",A2419&amp;CELL("address",INDIRECT(B2419))),"")</f>
        <v/>
      </c>
      <c r="I2419" s="25" t="str">
        <f t="shared" ref="I2419:I2478" ca="1" si="280">IFERROR(IF(NOT(D2419),"",A2419&amp;CELL("address",INDIRECT(C2419))),"")</f>
        <v/>
      </c>
      <c r="J2419" s="26" t="str">
        <f t="shared" ref="J2419:J2478" ca="1" si="281">IFERROR(IF(NOT(D2419),"",A2419),"")</f>
        <v/>
      </c>
    </row>
    <row r="2420" spans="1:10" x14ac:dyDescent="0.25">
      <c r="A2420" t="s">
        <v>302</v>
      </c>
      <c r="B2420" t="str">
        <f>ADDRESS(ROW('Bond 1'!$B$40),COLUMN('Bond 1'!$B$40),4)</f>
        <v>B40</v>
      </c>
      <c r="C2420" t="str">
        <f>ADDRESS(ROW('Bond 1'!$D$40),COLUMN('Bond 1'!$D$40),4)</f>
        <v>D40</v>
      </c>
      <c r="D2420" t="b" cm="1">
        <f t="array" aca="1" ref="D2420" ca="1">IF(INDIRECT("'"&amp;A2420&amp;"'!"&amp;B2420)="",FALSE,IF(NOT(ISNUMBER(INDIRECT("'"&amp;A2420&amp;"'!"&amp;B2420))),TRUE,FALSE))</f>
        <v>0</v>
      </c>
      <c r="E2420" t="s">
        <v>435</v>
      </c>
      <c r="F2420" t="str">
        <f>INDEX(Lists!I:I,MATCH(Validation!E2420,Lists!G:G,0))</f>
        <v>Error</v>
      </c>
      <c r="G2420" t="str">
        <f>INDEX(Lists!H:H,MATCH(Validation!E2420,Lists!G:G,0))</f>
        <v>Enter an amount only. Do not enter text or spaces.</v>
      </c>
      <c r="H2420" s="25" t="str">
        <f t="shared" ca="1" si="279"/>
        <v/>
      </c>
      <c r="I2420" s="25" t="str">
        <f t="shared" ca="1" si="280"/>
        <v/>
      </c>
      <c r="J2420" s="26" t="str">
        <f t="shared" ca="1" si="281"/>
        <v/>
      </c>
    </row>
    <row r="2421" spans="1:10" x14ac:dyDescent="0.25">
      <c r="A2421" t="s">
        <v>303</v>
      </c>
      <c r="B2421" t="str">
        <f>ADDRESS(ROW('Bond 1'!$B$40),COLUMN('Bond 1'!$B$40),4)</f>
        <v>B40</v>
      </c>
      <c r="C2421" t="str">
        <f>ADDRESS(ROW('Bond 1'!$D$40),COLUMN('Bond 1'!$D$40),4)</f>
        <v>D40</v>
      </c>
      <c r="D2421" t="b" cm="1">
        <f t="array" aca="1" ref="D2421" ca="1">IF(INDIRECT("'"&amp;A2421&amp;"'!"&amp;B2421)="",FALSE,IF(NOT(ISNUMBER(INDIRECT("'"&amp;A2421&amp;"'!"&amp;B2421))),TRUE,FALSE))</f>
        <v>0</v>
      </c>
      <c r="E2421" t="s">
        <v>435</v>
      </c>
      <c r="F2421" t="str">
        <f>INDEX(Lists!I:I,MATCH(Validation!E2421,Lists!G:G,0))</f>
        <v>Error</v>
      </c>
      <c r="G2421" t="str">
        <f>INDEX(Lists!H:H,MATCH(Validation!E2421,Lists!G:G,0))</f>
        <v>Enter an amount only. Do not enter text or spaces.</v>
      </c>
      <c r="H2421" s="25" t="str">
        <f t="shared" ca="1" si="279"/>
        <v/>
      </c>
      <c r="I2421" s="25" t="str">
        <f t="shared" ca="1" si="280"/>
        <v/>
      </c>
      <c r="J2421" s="26" t="str">
        <f t="shared" ca="1" si="281"/>
        <v/>
      </c>
    </row>
    <row r="2422" spans="1:10" x14ac:dyDescent="0.25">
      <c r="A2422" t="s">
        <v>304</v>
      </c>
      <c r="B2422" t="str">
        <f>ADDRESS(ROW('Bond 1'!$B$40),COLUMN('Bond 1'!$B$40),4)</f>
        <v>B40</v>
      </c>
      <c r="C2422" t="str">
        <f>ADDRESS(ROW('Bond 1'!$D$40),COLUMN('Bond 1'!$D$40),4)</f>
        <v>D40</v>
      </c>
      <c r="D2422" t="b" cm="1">
        <f t="array" aca="1" ref="D2422" ca="1">IF(INDIRECT("'"&amp;A2422&amp;"'!"&amp;B2422)="",FALSE,IF(NOT(ISNUMBER(INDIRECT("'"&amp;A2422&amp;"'!"&amp;B2422))),TRUE,FALSE))</f>
        <v>0</v>
      </c>
      <c r="E2422" t="s">
        <v>435</v>
      </c>
      <c r="F2422" t="str">
        <f>INDEX(Lists!I:I,MATCH(Validation!E2422,Lists!G:G,0))</f>
        <v>Error</v>
      </c>
      <c r="G2422" t="str">
        <f>INDEX(Lists!H:H,MATCH(Validation!E2422,Lists!G:G,0))</f>
        <v>Enter an amount only. Do not enter text or spaces.</v>
      </c>
      <c r="H2422" s="25" t="str">
        <f t="shared" ca="1" si="279"/>
        <v/>
      </c>
      <c r="I2422" s="25" t="str">
        <f t="shared" ca="1" si="280"/>
        <v/>
      </c>
      <c r="J2422" s="26" t="str">
        <f t="shared" ca="1" si="281"/>
        <v/>
      </c>
    </row>
    <row r="2423" spans="1:10" x14ac:dyDescent="0.25">
      <c r="A2423" t="s">
        <v>305</v>
      </c>
      <c r="B2423" t="str">
        <f>ADDRESS(ROW('Bond 1'!$B$40),COLUMN('Bond 1'!$B$40),4)</f>
        <v>B40</v>
      </c>
      <c r="C2423" t="str">
        <f>ADDRESS(ROW('Bond 1'!$D$40),COLUMN('Bond 1'!$D$40),4)</f>
        <v>D40</v>
      </c>
      <c r="D2423" t="b" cm="1">
        <f t="array" aca="1" ref="D2423" ca="1">IF(INDIRECT("'"&amp;A2423&amp;"'!"&amp;B2423)="",FALSE,IF(NOT(ISNUMBER(INDIRECT("'"&amp;A2423&amp;"'!"&amp;B2423))),TRUE,FALSE))</f>
        <v>0</v>
      </c>
      <c r="E2423" t="s">
        <v>435</v>
      </c>
      <c r="F2423" t="str">
        <f>INDEX(Lists!I:I,MATCH(Validation!E2423,Lists!G:G,0))</f>
        <v>Error</v>
      </c>
      <c r="G2423" t="str">
        <f>INDEX(Lists!H:H,MATCH(Validation!E2423,Lists!G:G,0))</f>
        <v>Enter an amount only. Do not enter text or spaces.</v>
      </c>
      <c r="H2423" s="25" t="str">
        <f t="shared" ca="1" si="279"/>
        <v/>
      </c>
      <c r="I2423" s="25" t="str">
        <f t="shared" ca="1" si="280"/>
        <v/>
      </c>
      <c r="J2423" s="26" t="str">
        <f t="shared" ca="1" si="281"/>
        <v/>
      </c>
    </row>
    <row r="2424" spans="1:10" x14ac:dyDescent="0.25">
      <c r="A2424" t="s">
        <v>306</v>
      </c>
      <c r="B2424" t="str">
        <f>ADDRESS(ROW('Bond 1'!$B$40),COLUMN('Bond 1'!$B$40),4)</f>
        <v>B40</v>
      </c>
      <c r="C2424" t="str">
        <f>ADDRESS(ROW('Bond 1'!$D$40),COLUMN('Bond 1'!$D$40),4)</f>
        <v>D40</v>
      </c>
      <c r="D2424" t="b" cm="1">
        <f t="array" aca="1" ref="D2424" ca="1">IF(INDIRECT("'"&amp;A2424&amp;"'!"&amp;B2424)="",FALSE,IF(NOT(ISNUMBER(INDIRECT("'"&amp;A2424&amp;"'!"&amp;B2424))),TRUE,FALSE))</f>
        <v>0</v>
      </c>
      <c r="E2424" t="s">
        <v>435</v>
      </c>
      <c r="F2424" t="str">
        <f>INDEX(Lists!I:I,MATCH(Validation!E2424,Lists!G:G,0))</f>
        <v>Error</v>
      </c>
      <c r="G2424" t="str">
        <f>INDEX(Lists!H:H,MATCH(Validation!E2424,Lists!G:G,0))</f>
        <v>Enter an amount only. Do not enter text or spaces.</v>
      </c>
      <c r="H2424" s="25" t="str">
        <f t="shared" ca="1" si="279"/>
        <v/>
      </c>
      <c r="I2424" s="25" t="str">
        <f t="shared" ca="1" si="280"/>
        <v/>
      </c>
      <c r="J2424" s="26" t="str">
        <f t="shared" ca="1" si="281"/>
        <v/>
      </c>
    </row>
    <row r="2425" spans="1:10" x14ac:dyDescent="0.25">
      <c r="A2425" t="s">
        <v>307</v>
      </c>
      <c r="B2425" t="str">
        <f>ADDRESS(ROW('Bond 1'!$B$40),COLUMN('Bond 1'!$B$40),4)</f>
        <v>B40</v>
      </c>
      <c r="C2425" t="str">
        <f>ADDRESS(ROW('Bond 1'!$D$40),COLUMN('Bond 1'!$D$40),4)</f>
        <v>D40</v>
      </c>
      <c r="D2425" t="b" cm="1">
        <f t="array" aca="1" ref="D2425" ca="1">IF(INDIRECT("'"&amp;A2425&amp;"'!"&amp;B2425)="",FALSE,IF(NOT(ISNUMBER(INDIRECT("'"&amp;A2425&amp;"'!"&amp;B2425))),TRUE,FALSE))</f>
        <v>0</v>
      </c>
      <c r="E2425" t="s">
        <v>435</v>
      </c>
      <c r="F2425" t="str">
        <f>INDEX(Lists!I:I,MATCH(Validation!E2425,Lists!G:G,0))</f>
        <v>Error</v>
      </c>
      <c r="G2425" t="str">
        <f>INDEX(Lists!H:H,MATCH(Validation!E2425,Lists!G:G,0))</f>
        <v>Enter an amount only. Do not enter text or spaces.</v>
      </c>
      <c r="H2425" s="25" t="str">
        <f t="shared" ca="1" si="279"/>
        <v/>
      </c>
      <c r="I2425" s="25" t="str">
        <f t="shared" ca="1" si="280"/>
        <v/>
      </c>
      <c r="J2425" s="26" t="str">
        <f t="shared" ca="1" si="281"/>
        <v/>
      </c>
    </row>
    <row r="2426" spans="1:10" x14ac:dyDescent="0.25">
      <c r="A2426" t="s">
        <v>308</v>
      </c>
      <c r="B2426" t="str">
        <f>ADDRESS(ROW('Bond 1'!$B$40),COLUMN('Bond 1'!$B$40),4)</f>
        <v>B40</v>
      </c>
      <c r="C2426" t="str">
        <f>ADDRESS(ROW('Bond 1'!$D$40),COLUMN('Bond 1'!$D$40),4)</f>
        <v>D40</v>
      </c>
      <c r="D2426" t="b" cm="1">
        <f t="array" aca="1" ref="D2426" ca="1">IF(INDIRECT("'"&amp;A2426&amp;"'!"&amp;B2426)="",FALSE,IF(NOT(ISNUMBER(INDIRECT("'"&amp;A2426&amp;"'!"&amp;B2426))),TRUE,FALSE))</f>
        <v>0</v>
      </c>
      <c r="E2426" t="s">
        <v>435</v>
      </c>
      <c r="F2426" t="str">
        <f>INDEX(Lists!I:I,MATCH(Validation!E2426,Lists!G:G,0))</f>
        <v>Error</v>
      </c>
      <c r="G2426" t="str">
        <f>INDEX(Lists!H:H,MATCH(Validation!E2426,Lists!G:G,0))</f>
        <v>Enter an amount only. Do not enter text or spaces.</v>
      </c>
      <c r="H2426" s="25" t="str">
        <f t="shared" ca="1" si="279"/>
        <v/>
      </c>
      <c r="I2426" s="25" t="str">
        <f t="shared" ca="1" si="280"/>
        <v/>
      </c>
      <c r="J2426" s="26" t="str">
        <f t="shared" ca="1" si="281"/>
        <v/>
      </c>
    </row>
    <row r="2427" spans="1:10" x14ac:dyDescent="0.25">
      <c r="A2427" t="s">
        <v>309</v>
      </c>
      <c r="B2427" t="str">
        <f>ADDRESS(ROW('Bond 1'!$B$40),COLUMN('Bond 1'!$B$40),4)</f>
        <v>B40</v>
      </c>
      <c r="C2427" t="str">
        <f>ADDRESS(ROW('Bond 1'!$D$40),COLUMN('Bond 1'!$D$40),4)</f>
        <v>D40</v>
      </c>
      <c r="D2427" t="b" cm="1">
        <f t="array" aca="1" ref="D2427" ca="1">IF(INDIRECT("'"&amp;A2427&amp;"'!"&amp;B2427)="",FALSE,IF(NOT(ISNUMBER(INDIRECT("'"&amp;A2427&amp;"'!"&amp;B2427))),TRUE,FALSE))</f>
        <v>0</v>
      </c>
      <c r="E2427" t="s">
        <v>435</v>
      </c>
      <c r="F2427" t="str">
        <f>INDEX(Lists!I:I,MATCH(Validation!E2427,Lists!G:G,0))</f>
        <v>Error</v>
      </c>
      <c r="G2427" t="str">
        <f>INDEX(Lists!H:H,MATCH(Validation!E2427,Lists!G:G,0))</f>
        <v>Enter an amount only. Do not enter text or spaces.</v>
      </c>
      <c r="H2427" s="25" t="str">
        <f t="shared" ca="1" si="279"/>
        <v/>
      </c>
      <c r="I2427" s="25" t="str">
        <f t="shared" ca="1" si="280"/>
        <v/>
      </c>
      <c r="J2427" s="26" t="str">
        <f t="shared" ca="1" si="281"/>
        <v/>
      </c>
    </row>
    <row r="2428" spans="1:10" x14ac:dyDescent="0.25">
      <c r="A2428" t="s">
        <v>310</v>
      </c>
      <c r="B2428" t="str">
        <f>ADDRESS(ROW('Bond 1'!$B$40),COLUMN('Bond 1'!$B$40),4)</f>
        <v>B40</v>
      </c>
      <c r="C2428" t="str">
        <f>ADDRESS(ROW('Bond 1'!$D$40),COLUMN('Bond 1'!$D$40),4)</f>
        <v>D40</v>
      </c>
      <c r="D2428" t="b" cm="1">
        <f t="array" aca="1" ref="D2428" ca="1">IF(INDIRECT("'"&amp;A2428&amp;"'!"&amp;B2428)="",FALSE,IF(NOT(ISNUMBER(INDIRECT("'"&amp;A2428&amp;"'!"&amp;B2428))),TRUE,FALSE))</f>
        <v>0</v>
      </c>
      <c r="E2428" t="s">
        <v>435</v>
      </c>
      <c r="F2428" t="str">
        <f>INDEX(Lists!I:I,MATCH(Validation!E2428,Lists!G:G,0))</f>
        <v>Error</v>
      </c>
      <c r="G2428" t="str">
        <f>INDEX(Lists!H:H,MATCH(Validation!E2428,Lists!G:G,0))</f>
        <v>Enter an amount only. Do not enter text or spaces.</v>
      </c>
      <c r="H2428" s="25" t="str">
        <f t="shared" ca="1" si="279"/>
        <v/>
      </c>
      <c r="I2428" s="25" t="str">
        <f t="shared" ca="1" si="280"/>
        <v/>
      </c>
      <c r="J2428" s="26" t="str">
        <f t="shared" ca="1" si="281"/>
        <v/>
      </c>
    </row>
    <row r="2429" spans="1:10" x14ac:dyDescent="0.25">
      <c r="A2429" t="s">
        <v>311</v>
      </c>
      <c r="B2429" t="str">
        <f>ADDRESS(ROW('Bond 1'!$B$40),COLUMN('Bond 1'!$B$40),4)</f>
        <v>B40</v>
      </c>
      <c r="C2429" t="str">
        <f>ADDRESS(ROW('Bond 1'!$D$40),COLUMN('Bond 1'!$D$40),4)</f>
        <v>D40</v>
      </c>
      <c r="D2429" t="b" cm="1">
        <f t="array" aca="1" ref="D2429" ca="1">IF(INDIRECT("'"&amp;A2429&amp;"'!"&amp;B2429)="",FALSE,IF(NOT(ISNUMBER(INDIRECT("'"&amp;A2429&amp;"'!"&amp;B2429))),TRUE,FALSE))</f>
        <v>0</v>
      </c>
      <c r="E2429" t="s">
        <v>435</v>
      </c>
      <c r="F2429" t="str">
        <f>INDEX(Lists!I:I,MATCH(Validation!E2429,Lists!G:G,0))</f>
        <v>Error</v>
      </c>
      <c r="G2429" t="str">
        <f>INDEX(Lists!H:H,MATCH(Validation!E2429,Lists!G:G,0))</f>
        <v>Enter an amount only. Do not enter text or spaces.</v>
      </c>
      <c r="H2429" s="25" t="str">
        <f t="shared" ca="1" si="279"/>
        <v/>
      </c>
      <c r="I2429" s="25" t="str">
        <f t="shared" ca="1" si="280"/>
        <v/>
      </c>
      <c r="J2429" s="26" t="str">
        <f t="shared" ca="1" si="281"/>
        <v/>
      </c>
    </row>
    <row r="2430" spans="1:10" x14ac:dyDescent="0.25">
      <c r="A2430" t="s">
        <v>312</v>
      </c>
      <c r="B2430" t="str">
        <f>ADDRESS(ROW('Bond 1'!$B$40),COLUMN('Bond 1'!$B$40),4)</f>
        <v>B40</v>
      </c>
      <c r="C2430" t="str">
        <f>ADDRESS(ROW('Bond 1'!$D$40),COLUMN('Bond 1'!$D$40),4)</f>
        <v>D40</v>
      </c>
      <c r="D2430" t="b" cm="1">
        <f t="array" aca="1" ref="D2430" ca="1">IF(INDIRECT("'"&amp;A2430&amp;"'!"&amp;B2430)="",FALSE,IF(NOT(ISNUMBER(INDIRECT("'"&amp;A2430&amp;"'!"&amp;B2430))),TRUE,FALSE))</f>
        <v>0</v>
      </c>
      <c r="E2430" t="s">
        <v>435</v>
      </c>
      <c r="F2430" t="str">
        <f>INDEX(Lists!I:I,MATCH(Validation!E2430,Lists!G:G,0))</f>
        <v>Error</v>
      </c>
      <c r="G2430" t="str">
        <f>INDEX(Lists!H:H,MATCH(Validation!E2430,Lists!G:G,0))</f>
        <v>Enter an amount only. Do not enter text or spaces.</v>
      </c>
      <c r="H2430" s="25" t="str">
        <f t="shared" ca="1" si="279"/>
        <v/>
      </c>
      <c r="I2430" s="25" t="str">
        <f t="shared" ca="1" si="280"/>
        <v/>
      </c>
      <c r="J2430" s="26" t="str">
        <f t="shared" ca="1" si="281"/>
        <v/>
      </c>
    </row>
    <row r="2431" spans="1:10" x14ac:dyDescent="0.25">
      <c r="A2431" t="s">
        <v>313</v>
      </c>
      <c r="B2431" t="str">
        <f>ADDRESS(ROW('Bond 1'!$B$40),COLUMN('Bond 1'!$B$40),4)</f>
        <v>B40</v>
      </c>
      <c r="C2431" t="str">
        <f>ADDRESS(ROW('Bond 1'!$D$40),COLUMN('Bond 1'!$D$40),4)</f>
        <v>D40</v>
      </c>
      <c r="D2431" t="b" cm="1">
        <f t="array" aca="1" ref="D2431" ca="1">IF(INDIRECT("'"&amp;A2431&amp;"'!"&amp;B2431)="",FALSE,IF(NOT(ISNUMBER(INDIRECT("'"&amp;A2431&amp;"'!"&amp;B2431))),TRUE,FALSE))</f>
        <v>0</v>
      </c>
      <c r="E2431" t="s">
        <v>435</v>
      </c>
      <c r="F2431" t="str">
        <f>INDEX(Lists!I:I,MATCH(Validation!E2431,Lists!G:G,0))</f>
        <v>Error</v>
      </c>
      <c r="G2431" t="str">
        <f>INDEX(Lists!H:H,MATCH(Validation!E2431,Lists!G:G,0))</f>
        <v>Enter an amount only. Do not enter text or spaces.</v>
      </c>
      <c r="H2431" s="25" t="str">
        <f t="shared" ca="1" si="279"/>
        <v/>
      </c>
      <c r="I2431" s="25" t="str">
        <f t="shared" ca="1" si="280"/>
        <v/>
      </c>
      <c r="J2431" s="26" t="str">
        <f t="shared" ca="1" si="281"/>
        <v/>
      </c>
    </row>
    <row r="2432" spans="1:10" x14ac:dyDescent="0.25">
      <c r="A2432" t="s">
        <v>314</v>
      </c>
      <c r="B2432" t="str">
        <f>ADDRESS(ROW('Bond 1'!$B$40),COLUMN('Bond 1'!$B$40),4)</f>
        <v>B40</v>
      </c>
      <c r="C2432" t="str">
        <f>ADDRESS(ROW('Bond 1'!$D$40),COLUMN('Bond 1'!$D$40),4)</f>
        <v>D40</v>
      </c>
      <c r="D2432" t="b" cm="1">
        <f t="array" aca="1" ref="D2432" ca="1">IF(INDIRECT("'"&amp;A2432&amp;"'!"&amp;B2432)="",FALSE,IF(NOT(ISNUMBER(INDIRECT("'"&amp;A2432&amp;"'!"&amp;B2432))),TRUE,FALSE))</f>
        <v>0</v>
      </c>
      <c r="E2432" t="s">
        <v>435</v>
      </c>
      <c r="F2432" t="str">
        <f>INDEX(Lists!I:I,MATCH(Validation!E2432,Lists!G:G,0))</f>
        <v>Error</v>
      </c>
      <c r="G2432" t="str">
        <f>INDEX(Lists!H:H,MATCH(Validation!E2432,Lists!G:G,0))</f>
        <v>Enter an amount only. Do not enter text or spaces.</v>
      </c>
      <c r="H2432" s="25" t="str">
        <f t="shared" ca="1" si="279"/>
        <v/>
      </c>
      <c r="I2432" s="25" t="str">
        <f t="shared" ca="1" si="280"/>
        <v/>
      </c>
      <c r="J2432" s="26" t="str">
        <f t="shared" ca="1" si="281"/>
        <v/>
      </c>
    </row>
    <row r="2433" spans="1:10" x14ac:dyDescent="0.25">
      <c r="A2433" t="s">
        <v>315</v>
      </c>
      <c r="B2433" t="str">
        <f>ADDRESS(ROW('Bond 1'!$B$40),COLUMN('Bond 1'!$B$40),4)</f>
        <v>B40</v>
      </c>
      <c r="C2433" t="str">
        <f>ADDRESS(ROW('Bond 1'!$D$40),COLUMN('Bond 1'!$D$40),4)</f>
        <v>D40</v>
      </c>
      <c r="D2433" t="b" cm="1">
        <f t="array" aca="1" ref="D2433" ca="1">IF(INDIRECT("'"&amp;A2433&amp;"'!"&amp;B2433)="",FALSE,IF(NOT(ISNUMBER(INDIRECT("'"&amp;A2433&amp;"'!"&amp;B2433))),TRUE,FALSE))</f>
        <v>0</v>
      </c>
      <c r="E2433" t="s">
        <v>435</v>
      </c>
      <c r="F2433" t="str">
        <f>INDEX(Lists!I:I,MATCH(Validation!E2433,Lists!G:G,0))</f>
        <v>Error</v>
      </c>
      <c r="G2433" t="str">
        <f>INDEX(Lists!H:H,MATCH(Validation!E2433,Lists!G:G,0))</f>
        <v>Enter an amount only. Do not enter text or spaces.</v>
      </c>
      <c r="H2433" s="25" t="str">
        <f t="shared" ca="1" si="279"/>
        <v/>
      </c>
      <c r="I2433" s="25" t="str">
        <f t="shared" ca="1" si="280"/>
        <v/>
      </c>
      <c r="J2433" s="26" t="str">
        <f t="shared" ca="1" si="281"/>
        <v/>
      </c>
    </row>
    <row r="2434" spans="1:10" x14ac:dyDescent="0.25">
      <c r="A2434" t="s">
        <v>198</v>
      </c>
      <c r="B2434" t="str">
        <f>ADDRESS(ROW('Bond 1'!$B$40),COLUMN('Bond 1'!$B$40),4)</f>
        <v>B40</v>
      </c>
      <c r="C2434" t="str">
        <f>ADDRESS(ROW('Bond 1'!$D$40),COLUMN('Bond 1'!$D$40),4)</f>
        <v>D40</v>
      </c>
      <c r="D2434" t="b" cm="1">
        <f t="array" aca="1" ref="D2434" ca="1">IF(INDIRECT("'"&amp;A2434&amp;"'!"&amp;B2434)="",FALSE,IF(INDIRECT("'"&amp;A2434&amp;"'!"&amp;B2434)&lt;0,TRUE,FALSE))</f>
        <v>0</v>
      </c>
      <c r="E2434" t="s">
        <v>434</v>
      </c>
      <c r="F2434" t="str">
        <f>INDEX(Lists!I:I,MATCH(Validation!E2434,Lists!G:G,0))</f>
        <v>Error</v>
      </c>
      <c r="G2434" t="str">
        <f>INDEX(Lists!H:H,MATCH(Validation!E2434,Lists!G:G,0))</f>
        <v>Amount may not be negative. Enter an amount greater than or equal to zero.</v>
      </c>
      <c r="H2434" s="25" t="str">
        <f t="shared" ca="1" si="279"/>
        <v/>
      </c>
      <c r="I2434" s="25" t="str">
        <f t="shared" ca="1" si="280"/>
        <v/>
      </c>
      <c r="J2434" s="26" t="str">
        <f t="shared" ca="1" si="281"/>
        <v/>
      </c>
    </row>
    <row r="2435" spans="1:10" x14ac:dyDescent="0.25">
      <c r="A2435" t="s">
        <v>302</v>
      </c>
      <c r="B2435" t="str">
        <f>ADDRESS(ROW('Bond 1'!$B$40),COLUMN('Bond 1'!$B$40),4)</f>
        <v>B40</v>
      </c>
      <c r="C2435" t="str">
        <f>ADDRESS(ROW('Bond 1'!$D$40),COLUMN('Bond 1'!$D$40),4)</f>
        <v>D40</v>
      </c>
      <c r="D2435" t="b" cm="1">
        <f t="array" aca="1" ref="D2435" ca="1">IF(INDIRECT("'"&amp;A2435&amp;"'!"&amp;B2435)="",FALSE,IF(INDIRECT("'"&amp;A2435&amp;"'!"&amp;B2435)&lt;0,TRUE,FALSE))</f>
        <v>0</v>
      </c>
      <c r="E2435" t="s">
        <v>434</v>
      </c>
      <c r="F2435" t="str">
        <f>INDEX(Lists!I:I,MATCH(Validation!E2435,Lists!G:G,0))</f>
        <v>Error</v>
      </c>
      <c r="G2435" t="str">
        <f>INDEX(Lists!H:H,MATCH(Validation!E2435,Lists!G:G,0))</f>
        <v>Amount may not be negative. Enter an amount greater than or equal to zero.</v>
      </c>
      <c r="H2435" s="25" t="str">
        <f t="shared" ca="1" si="279"/>
        <v/>
      </c>
      <c r="I2435" s="25" t="str">
        <f t="shared" ca="1" si="280"/>
        <v/>
      </c>
      <c r="J2435" s="26" t="str">
        <f t="shared" ca="1" si="281"/>
        <v/>
      </c>
    </row>
    <row r="2436" spans="1:10" x14ac:dyDescent="0.25">
      <c r="A2436" t="s">
        <v>303</v>
      </c>
      <c r="B2436" t="str">
        <f>ADDRESS(ROW('Bond 1'!$B$40),COLUMN('Bond 1'!$B$40),4)</f>
        <v>B40</v>
      </c>
      <c r="C2436" t="str">
        <f>ADDRESS(ROW('Bond 1'!$D$40),COLUMN('Bond 1'!$D$40),4)</f>
        <v>D40</v>
      </c>
      <c r="D2436" t="b" cm="1">
        <f t="array" aca="1" ref="D2436" ca="1">IF(INDIRECT("'"&amp;A2436&amp;"'!"&amp;B2436)="",FALSE,IF(INDIRECT("'"&amp;A2436&amp;"'!"&amp;B2436)&lt;0,TRUE,FALSE))</f>
        <v>0</v>
      </c>
      <c r="E2436" t="s">
        <v>434</v>
      </c>
      <c r="F2436" t="str">
        <f>INDEX(Lists!I:I,MATCH(Validation!E2436,Lists!G:G,0))</f>
        <v>Error</v>
      </c>
      <c r="G2436" t="str">
        <f>INDEX(Lists!H:H,MATCH(Validation!E2436,Lists!G:G,0))</f>
        <v>Amount may not be negative. Enter an amount greater than or equal to zero.</v>
      </c>
      <c r="H2436" s="25" t="str">
        <f t="shared" ca="1" si="279"/>
        <v/>
      </c>
      <c r="I2436" s="25" t="str">
        <f t="shared" ca="1" si="280"/>
        <v/>
      </c>
      <c r="J2436" s="26" t="str">
        <f t="shared" ca="1" si="281"/>
        <v/>
      </c>
    </row>
    <row r="2437" spans="1:10" x14ac:dyDescent="0.25">
      <c r="A2437" t="s">
        <v>304</v>
      </c>
      <c r="B2437" t="str">
        <f>ADDRESS(ROW('Bond 1'!$B$40),COLUMN('Bond 1'!$B$40),4)</f>
        <v>B40</v>
      </c>
      <c r="C2437" t="str">
        <f>ADDRESS(ROW('Bond 1'!$D$40),COLUMN('Bond 1'!$D$40),4)</f>
        <v>D40</v>
      </c>
      <c r="D2437" t="b" cm="1">
        <f t="array" aca="1" ref="D2437" ca="1">IF(INDIRECT("'"&amp;A2437&amp;"'!"&amp;B2437)="",FALSE,IF(INDIRECT("'"&amp;A2437&amp;"'!"&amp;B2437)&lt;0,TRUE,FALSE))</f>
        <v>0</v>
      </c>
      <c r="E2437" t="s">
        <v>434</v>
      </c>
      <c r="F2437" t="str">
        <f>INDEX(Lists!I:I,MATCH(Validation!E2437,Lists!G:G,0))</f>
        <v>Error</v>
      </c>
      <c r="G2437" t="str">
        <f>INDEX(Lists!H:H,MATCH(Validation!E2437,Lists!G:G,0))</f>
        <v>Amount may not be negative. Enter an amount greater than or equal to zero.</v>
      </c>
      <c r="H2437" s="25" t="str">
        <f t="shared" ca="1" si="279"/>
        <v/>
      </c>
      <c r="I2437" s="25" t="str">
        <f t="shared" ca="1" si="280"/>
        <v/>
      </c>
      <c r="J2437" s="26" t="str">
        <f t="shared" ca="1" si="281"/>
        <v/>
      </c>
    </row>
    <row r="2438" spans="1:10" x14ac:dyDescent="0.25">
      <c r="A2438" t="s">
        <v>305</v>
      </c>
      <c r="B2438" t="str">
        <f>ADDRESS(ROW('Bond 1'!$B$40),COLUMN('Bond 1'!$B$40),4)</f>
        <v>B40</v>
      </c>
      <c r="C2438" t="str">
        <f>ADDRESS(ROW('Bond 1'!$D$40),COLUMN('Bond 1'!$D$40),4)</f>
        <v>D40</v>
      </c>
      <c r="D2438" t="b" cm="1">
        <f t="array" aca="1" ref="D2438" ca="1">IF(INDIRECT("'"&amp;A2438&amp;"'!"&amp;B2438)="",FALSE,IF(INDIRECT("'"&amp;A2438&amp;"'!"&amp;B2438)&lt;0,TRUE,FALSE))</f>
        <v>0</v>
      </c>
      <c r="E2438" t="s">
        <v>434</v>
      </c>
      <c r="F2438" t="str">
        <f>INDEX(Lists!I:I,MATCH(Validation!E2438,Lists!G:G,0))</f>
        <v>Error</v>
      </c>
      <c r="G2438" t="str">
        <f>INDEX(Lists!H:H,MATCH(Validation!E2438,Lists!G:G,0))</f>
        <v>Amount may not be negative. Enter an amount greater than or equal to zero.</v>
      </c>
      <c r="H2438" s="25" t="str">
        <f t="shared" ca="1" si="279"/>
        <v/>
      </c>
      <c r="I2438" s="25" t="str">
        <f t="shared" ca="1" si="280"/>
        <v/>
      </c>
      <c r="J2438" s="26" t="str">
        <f t="shared" ca="1" si="281"/>
        <v/>
      </c>
    </row>
    <row r="2439" spans="1:10" x14ac:dyDescent="0.25">
      <c r="A2439" t="s">
        <v>306</v>
      </c>
      <c r="B2439" t="str">
        <f>ADDRESS(ROW('Bond 1'!$B$40),COLUMN('Bond 1'!$B$40),4)</f>
        <v>B40</v>
      </c>
      <c r="C2439" t="str">
        <f>ADDRESS(ROW('Bond 1'!$D$40),COLUMN('Bond 1'!$D$40),4)</f>
        <v>D40</v>
      </c>
      <c r="D2439" t="b" cm="1">
        <f t="array" aca="1" ref="D2439" ca="1">IF(INDIRECT("'"&amp;A2439&amp;"'!"&amp;B2439)="",FALSE,IF(INDIRECT("'"&amp;A2439&amp;"'!"&amp;B2439)&lt;0,TRUE,FALSE))</f>
        <v>0</v>
      </c>
      <c r="E2439" t="s">
        <v>434</v>
      </c>
      <c r="F2439" t="str">
        <f>INDEX(Lists!I:I,MATCH(Validation!E2439,Lists!G:G,0))</f>
        <v>Error</v>
      </c>
      <c r="G2439" t="str">
        <f>INDEX(Lists!H:H,MATCH(Validation!E2439,Lists!G:G,0))</f>
        <v>Amount may not be negative. Enter an amount greater than or equal to zero.</v>
      </c>
      <c r="H2439" s="25" t="str">
        <f t="shared" ca="1" si="279"/>
        <v/>
      </c>
      <c r="I2439" s="25" t="str">
        <f t="shared" ca="1" si="280"/>
        <v/>
      </c>
      <c r="J2439" s="26" t="str">
        <f t="shared" ca="1" si="281"/>
        <v/>
      </c>
    </row>
    <row r="2440" spans="1:10" x14ac:dyDescent="0.25">
      <c r="A2440" t="s">
        <v>307</v>
      </c>
      <c r="B2440" t="str">
        <f>ADDRESS(ROW('Bond 1'!$B$40),COLUMN('Bond 1'!$B$40),4)</f>
        <v>B40</v>
      </c>
      <c r="C2440" t="str">
        <f>ADDRESS(ROW('Bond 1'!$D$40),COLUMN('Bond 1'!$D$40),4)</f>
        <v>D40</v>
      </c>
      <c r="D2440" t="b" cm="1">
        <f t="array" aca="1" ref="D2440" ca="1">IF(INDIRECT("'"&amp;A2440&amp;"'!"&amp;B2440)="",FALSE,IF(INDIRECT("'"&amp;A2440&amp;"'!"&amp;B2440)&lt;0,TRUE,FALSE))</f>
        <v>0</v>
      </c>
      <c r="E2440" t="s">
        <v>434</v>
      </c>
      <c r="F2440" t="str">
        <f>INDEX(Lists!I:I,MATCH(Validation!E2440,Lists!G:G,0))</f>
        <v>Error</v>
      </c>
      <c r="G2440" t="str">
        <f>INDEX(Lists!H:H,MATCH(Validation!E2440,Lists!G:G,0))</f>
        <v>Amount may not be negative. Enter an amount greater than or equal to zero.</v>
      </c>
      <c r="H2440" s="25" t="str">
        <f t="shared" ca="1" si="279"/>
        <v/>
      </c>
      <c r="I2440" s="25" t="str">
        <f t="shared" ca="1" si="280"/>
        <v/>
      </c>
      <c r="J2440" s="26" t="str">
        <f t="shared" ca="1" si="281"/>
        <v/>
      </c>
    </row>
    <row r="2441" spans="1:10" x14ac:dyDescent="0.25">
      <c r="A2441" t="s">
        <v>308</v>
      </c>
      <c r="B2441" t="str">
        <f>ADDRESS(ROW('Bond 1'!$B$40),COLUMN('Bond 1'!$B$40),4)</f>
        <v>B40</v>
      </c>
      <c r="C2441" t="str">
        <f>ADDRESS(ROW('Bond 1'!$D$40),COLUMN('Bond 1'!$D$40),4)</f>
        <v>D40</v>
      </c>
      <c r="D2441" t="b" cm="1">
        <f t="array" aca="1" ref="D2441" ca="1">IF(INDIRECT("'"&amp;A2441&amp;"'!"&amp;B2441)="",FALSE,IF(INDIRECT("'"&amp;A2441&amp;"'!"&amp;B2441)&lt;0,TRUE,FALSE))</f>
        <v>0</v>
      </c>
      <c r="E2441" t="s">
        <v>434</v>
      </c>
      <c r="F2441" t="str">
        <f>INDEX(Lists!I:I,MATCH(Validation!E2441,Lists!G:G,0))</f>
        <v>Error</v>
      </c>
      <c r="G2441" t="str">
        <f>INDEX(Lists!H:H,MATCH(Validation!E2441,Lists!G:G,0))</f>
        <v>Amount may not be negative. Enter an amount greater than or equal to zero.</v>
      </c>
      <c r="H2441" s="25" t="str">
        <f t="shared" ca="1" si="279"/>
        <v/>
      </c>
      <c r="I2441" s="25" t="str">
        <f t="shared" ca="1" si="280"/>
        <v/>
      </c>
      <c r="J2441" s="26" t="str">
        <f t="shared" ca="1" si="281"/>
        <v/>
      </c>
    </row>
    <row r="2442" spans="1:10" x14ac:dyDescent="0.25">
      <c r="A2442" t="s">
        <v>309</v>
      </c>
      <c r="B2442" t="str">
        <f>ADDRESS(ROW('Bond 1'!$B$40),COLUMN('Bond 1'!$B$40),4)</f>
        <v>B40</v>
      </c>
      <c r="C2442" t="str">
        <f>ADDRESS(ROW('Bond 1'!$D$40),COLUMN('Bond 1'!$D$40),4)</f>
        <v>D40</v>
      </c>
      <c r="D2442" t="b" cm="1">
        <f t="array" aca="1" ref="D2442" ca="1">IF(INDIRECT("'"&amp;A2442&amp;"'!"&amp;B2442)="",FALSE,IF(INDIRECT("'"&amp;A2442&amp;"'!"&amp;B2442)&lt;0,TRUE,FALSE))</f>
        <v>0</v>
      </c>
      <c r="E2442" t="s">
        <v>434</v>
      </c>
      <c r="F2442" t="str">
        <f>INDEX(Lists!I:I,MATCH(Validation!E2442,Lists!G:G,0))</f>
        <v>Error</v>
      </c>
      <c r="G2442" t="str">
        <f>INDEX(Lists!H:H,MATCH(Validation!E2442,Lists!G:G,0))</f>
        <v>Amount may not be negative. Enter an amount greater than or equal to zero.</v>
      </c>
      <c r="H2442" s="25" t="str">
        <f t="shared" ca="1" si="279"/>
        <v/>
      </c>
      <c r="I2442" s="25" t="str">
        <f t="shared" ca="1" si="280"/>
        <v/>
      </c>
      <c r="J2442" s="26" t="str">
        <f t="shared" ca="1" si="281"/>
        <v/>
      </c>
    </row>
    <row r="2443" spans="1:10" x14ac:dyDescent="0.25">
      <c r="A2443" t="s">
        <v>310</v>
      </c>
      <c r="B2443" t="str">
        <f>ADDRESS(ROW('Bond 1'!$B$40),COLUMN('Bond 1'!$B$40),4)</f>
        <v>B40</v>
      </c>
      <c r="C2443" t="str">
        <f>ADDRESS(ROW('Bond 1'!$D$40),COLUMN('Bond 1'!$D$40),4)</f>
        <v>D40</v>
      </c>
      <c r="D2443" t="b" cm="1">
        <f t="array" aca="1" ref="D2443" ca="1">IF(INDIRECT("'"&amp;A2443&amp;"'!"&amp;B2443)="",FALSE,IF(INDIRECT("'"&amp;A2443&amp;"'!"&amp;B2443)&lt;0,TRUE,FALSE))</f>
        <v>0</v>
      </c>
      <c r="E2443" t="s">
        <v>434</v>
      </c>
      <c r="F2443" t="str">
        <f>INDEX(Lists!I:I,MATCH(Validation!E2443,Lists!G:G,0))</f>
        <v>Error</v>
      </c>
      <c r="G2443" t="str">
        <f>INDEX(Lists!H:H,MATCH(Validation!E2443,Lists!G:G,0))</f>
        <v>Amount may not be negative. Enter an amount greater than or equal to zero.</v>
      </c>
      <c r="H2443" s="25" t="str">
        <f t="shared" ca="1" si="279"/>
        <v/>
      </c>
      <c r="I2443" s="25" t="str">
        <f t="shared" ca="1" si="280"/>
        <v/>
      </c>
      <c r="J2443" s="26" t="str">
        <f t="shared" ca="1" si="281"/>
        <v/>
      </c>
    </row>
    <row r="2444" spans="1:10" x14ac:dyDescent="0.25">
      <c r="A2444" t="s">
        <v>311</v>
      </c>
      <c r="B2444" t="str">
        <f>ADDRESS(ROW('Bond 1'!$B$40),COLUMN('Bond 1'!$B$40),4)</f>
        <v>B40</v>
      </c>
      <c r="C2444" t="str">
        <f>ADDRESS(ROW('Bond 1'!$D$40),COLUMN('Bond 1'!$D$40),4)</f>
        <v>D40</v>
      </c>
      <c r="D2444" t="b" cm="1">
        <f t="array" aca="1" ref="D2444" ca="1">IF(INDIRECT("'"&amp;A2444&amp;"'!"&amp;B2444)="",FALSE,IF(INDIRECT("'"&amp;A2444&amp;"'!"&amp;B2444)&lt;0,TRUE,FALSE))</f>
        <v>0</v>
      </c>
      <c r="E2444" t="s">
        <v>434</v>
      </c>
      <c r="F2444" t="str">
        <f>INDEX(Lists!I:I,MATCH(Validation!E2444,Lists!G:G,0))</f>
        <v>Error</v>
      </c>
      <c r="G2444" t="str">
        <f>INDEX(Lists!H:H,MATCH(Validation!E2444,Lists!G:G,0))</f>
        <v>Amount may not be negative. Enter an amount greater than or equal to zero.</v>
      </c>
      <c r="H2444" s="25" t="str">
        <f t="shared" ca="1" si="279"/>
        <v/>
      </c>
      <c r="I2444" s="25" t="str">
        <f t="shared" ca="1" si="280"/>
        <v/>
      </c>
      <c r="J2444" s="26" t="str">
        <f t="shared" ca="1" si="281"/>
        <v/>
      </c>
    </row>
    <row r="2445" spans="1:10" x14ac:dyDescent="0.25">
      <c r="A2445" t="s">
        <v>312</v>
      </c>
      <c r="B2445" t="str">
        <f>ADDRESS(ROW('Bond 1'!$B$40),COLUMN('Bond 1'!$B$40),4)</f>
        <v>B40</v>
      </c>
      <c r="C2445" t="str">
        <f>ADDRESS(ROW('Bond 1'!$D$40),COLUMN('Bond 1'!$D$40),4)</f>
        <v>D40</v>
      </c>
      <c r="D2445" t="b" cm="1">
        <f t="array" aca="1" ref="D2445" ca="1">IF(INDIRECT("'"&amp;A2445&amp;"'!"&amp;B2445)="",FALSE,IF(INDIRECT("'"&amp;A2445&amp;"'!"&amp;B2445)&lt;0,TRUE,FALSE))</f>
        <v>0</v>
      </c>
      <c r="E2445" t="s">
        <v>434</v>
      </c>
      <c r="F2445" t="str">
        <f>INDEX(Lists!I:I,MATCH(Validation!E2445,Lists!G:G,0))</f>
        <v>Error</v>
      </c>
      <c r="G2445" t="str">
        <f>INDEX(Lists!H:H,MATCH(Validation!E2445,Lists!G:G,0))</f>
        <v>Amount may not be negative. Enter an amount greater than or equal to zero.</v>
      </c>
      <c r="H2445" s="25" t="str">
        <f t="shared" ca="1" si="279"/>
        <v/>
      </c>
      <c r="I2445" s="25" t="str">
        <f t="shared" ca="1" si="280"/>
        <v/>
      </c>
      <c r="J2445" s="26" t="str">
        <f t="shared" ca="1" si="281"/>
        <v/>
      </c>
    </row>
    <row r="2446" spans="1:10" x14ac:dyDescent="0.25">
      <c r="A2446" t="s">
        <v>313</v>
      </c>
      <c r="B2446" t="str">
        <f>ADDRESS(ROW('Bond 1'!$B$40),COLUMN('Bond 1'!$B$40),4)</f>
        <v>B40</v>
      </c>
      <c r="C2446" t="str">
        <f>ADDRESS(ROW('Bond 1'!$D$40),COLUMN('Bond 1'!$D$40),4)</f>
        <v>D40</v>
      </c>
      <c r="D2446" t="b" cm="1">
        <f t="array" aca="1" ref="D2446" ca="1">IF(INDIRECT("'"&amp;A2446&amp;"'!"&amp;B2446)="",FALSE,IF(INDIRECT("'"&amp;A2446&amp;"'!"&amp;B2446)&lt;0,TRUE,FALSE))</f>
        <v>0</v>
      </c>
      <c r="E2446" t="s">
        <v>434</v>
      </c>
      <c r="F2446" t="str">
        <f>INDEX(Lists!I:I,MATCH(Validation!E2446,Lists!G:G,0))</f>
        <v>Error</v>
      </c>
      <c r="G2446" t="str">
        <f>INDEX(Lists!H:H,MATCH(Validation!E2446,Lists!G:G,0))</f>
        <v>Amount may not be negative. Enter an amount greater than or equal to zero.</v>
      </c>
      <c r="H2446" s="25" t="str">
        <f t="shared" ca="1" si="279"/>
        <v/>
      </c>
      <c r="I2446" s="25" t="str">
        <f t="shared" ca="1" si="280"/>
        <v/>
      </c>
      <c r="J2446" s="26" t="str">
        <f t="shared" ca="1" si="281"/>
        <v/>
      </c>
    </row>
    <row r="2447" spans="1:10" x14ac:dyDescent="0.25">
      <c r="A2447" t="s">
        <v>314</v>
      </c>
      <c r="B2447" t="str">
        <f>ADDRESS(ROW('Bond 1'!$B$40),COLUMN('Bond 1'!$B$40),4)</f>
        <v>B40</v>
      </c>
      <c r="C2447" t="str">
        <f>ADDRESS(ROW('Bond 1'!$D$40),COLUMN('Bond 1'!$D$40),4)</f>
        <v>D40</v>
      </c>
      <c r="D2447" t="b" cm="1">
        <f t="array" aca="1" ref="D2447" ca="1">IF(INDIRECT("'"&amp;A2447&amp;"'!"&amp;B2447)="",FALSE,IF(INDIRECT("'"&amp;A2447&amp;"'!"&amp;B2447)&lt;0,TRUE,FALSE))</f>
        <v>0</v>
      </c>
      <c r="E2447" t="s">
        <v>434</v>
      </c>
      <c r="F2447" t="str">
        <f>INDEX(Lists!I:I,MATCH(Validation!E2447,Lists!G:G,0))</f>
        <v>Error</v>
      </c>
      <c r="G2447" t="str">
        <f>INDEX(Lists!H:H,MATCH(Validation!E2447,Lists!G:G,0))</f>
        <v>Amount may not be negative. Enter an amount greater than or equal to zero.</v>
      </c>
      <c r="H2447" s="25" t="str">
        <f t="shared" ca="1" si="279"/>
        <v/>
      </c>
      <c r="I2447" s="25" t="str">
        <f t="shared" ca="1" si="280"/>
        <v/>
      </c>
      <c r="J2447" s="26" t="str">
        <f t="shared" ca="1" si="281"/>
        <v/>
      </c>
    </row>
    <row r="2448" spans="1:10" x14ac:dyDescent="0.25">
      <c r="A2448" t="s">
        <v>315</v>
      </c>
      <c r="B2448" t="str">
        <f>ADDRESS(ROW('Bond 1'!$B$40),COLUMN('Bond 1'!$B$40),4)</f>
        <v>B40</v>
      </c>
      <c r="C2448" t="str">
        <f>ADDRESS(ROW('Bond 1'!$D$40),COLUMN('Bond 1'!$D$40),4)</f>
        <v>D40</v>
      </c>
      <c r="D2448" t="b" cm="1">
        <f t="array" aca="1" ref="D2448" ca="1">IF(INDIRECT("'"&amp;A2448&amp;"'!"&amp;B2448)="",FALSE,IF(INDIRECT("'"&amp;A2448&amp;"'!"&amp;B2448)&lt;0,TRUE,FALSE))</f>
        <v>0</v>
      </c>
      <c r="E2448" t="s">
        <v>434</v>
      </c>
      <c r="F2448" t="str">
        <f>INDEX(Lists!I:I,MATCH(Validation!E2448,Lists!G:G,0))</f>
        <v>Error</v>
      </c>
      <c r="G2448" t="str">
        <f>INDEX(Lists!H:H,MATCH(Validation!E2448,Lists!G:G,0))</f>
        <v>Amount may not be negative. Enter an amount greater than or equal to zero.</v>
      </c>
      <c r="H2448" s="25" t="str">
        <f t="shared" ca="1" si="279"/>
        <v/>
      </c>
      <c r="I2448" s="25" t="str">
        <f t="shared" ca="1" si="280"/>
        <v/>
      </c>
      <c r="J2448" s="26" t="str">
        <f t="shared" ca="1" si="281"/>
        <v/>
      </c>
    </row>
    <row r="2449" spans="1:10" x14ac:dyDescent="0.25">
      <c r="A2449" t="s">
        <v>198</v>
      </c>
      <c r="B2449" t="str">
        <f>ADDRESS(ROW('Bond 1'!$B$40),COLUMN('Bond 1'!$B$40),4)</f>
        <v>B40</v>
      </c>
      <c r="C2449" t="str">
        <f>ADDRESS(ROW('Bond 1'!$D$40),COLUMN('Bond 1'!$D$40),4)</f>
        <v>D40</v>
      </c>
      <c r="D2449" t="b" cm="1">
        <f t="array" aca="1" ref="D2449" ca="1">IF(INDIRECT("'"&amp;A2449&amp;"'!"&amp;B2449)="",FALSE,IF(TRUNC(INDIRECT("'"&amp;A2449&amp;"'!"&amp;B2449))=INDIRECT("'"&amp;A2449&amp;"'!"&amp;B2449),FALSE,TRUE))</f>
        <v>0</v>
      </c>
      <c r="E2449" t="s">
        <v>436</v>
      </c>
      <c r="F2449" t="str">
        <f>INDEX(Lists!I:I,MATCH(Validation!E2449,Lists!G:G,0))</f>
        <v>Error</v>
      </c>
      <c r="G2449" t="str">
        <f>INDEX(Lists!H:H,MATCH(Validation!E2449,Lists!G:G,0))</f>
        <v>Amount must be rounded to the nearest dollar.</v>
      </c>
      <c r="H2449" s="25" t="str">
        <f t="shared" ca="1" si="279"/>
        <v/>
      </c>
      <c r="I2449" s="25" t="str">
        <f t="shared" ca="1" si="280"/>
        <v/>
      </c>
      <c r="J2449" s="26" t="str">
        <f t="shared" ca="1" si="281"/>
        <v/>
      </c>
    </row>
    <row r="2450" spans="1:10" x14ac:dyDescent="0.25">
      <c r="A2450" t="s">
        <v>302</v>
      </c>
      <c r="B2450" t="str">
        <f>ADDRESS(ROW('Bond 1'!$B$40),COLUMN('Bond 1'!$B$40),4)</f>
        <v>B40</v>
      </c>
      <c r="C2450" t="str">
        <f>ADDRESS(ROW('Bond 1'!$D$40),COLUMN('Bond 1'!$D$40),4)</f>
        <v>D40</v>
      </c>
      <c r="D2450" t="b" cm="1">
        <f t="array" aca="1" ref="D2450" ca="1">IF(INDIRECT("'"&amp;A2450&amp;"'!"&amp;B2450)="",FALSE,IF(TRUNC(INDIRECT("'"&amp;A2450&amp;"'!"&amp;B2450))=INDIRECT("'"&amp;A2450&amp;"'!"&amp;B2450),FALSE,TRUE))</f>
        <v>0</v>
      </c>
      <c r="E2450" t="s">
        <v>436</v>
      </c>
      <c r="F2450" t="str">
        <f>INDEX(Lists!I:I,MATCH(Validation!E2450,Lists!G:G,0))</f>
        <v>Error</v>
      </c>
      <c r="G2450" t="str">
        <f>INDEX(Lists!H:H,MATCH(Validation!E2450,Lists!G:G,0))</f>
        <v>Amount must be rounded to the nearest dollar.</v>
      </c>
      <c r="H2450" s="25" t="str">
        <f t="shared" ca="1" si="279"/>
        <v/>
      </c>
      <c r="I2450" s="25" t="str">
        <f t="shared" ca="1" si="280"/>
        <v/>
      </c>
      <c r="J2450" s="26" t="str">
        <f t="shared" ca="1" si="281"/>
        <v/>
      </c>
    </row>
    <row r="2451" spans="1:10" x14ac:dyDescent="0.25">
      <c r="A2451" t="s">
        <v>303</v>
      </c>
      <c r="B2451" t="str">
        <f>ADDRESS(ROW('Bond 1'!$B$40),COLUMN('Bond 1'!$B$40),4)</f>
        <v>B40</v>
      </c>
      <c r="C2451" t="str">
        <f>ADDRESS(ROW('Bond 1'!$D$40),COLUMN('Bond 1'!$D$40),4)</f>
        <v>D40</v>
      </c>
      <c r="D2451" t="b" cm="1">
        <f t="array" aca="1" ref="D2451" ca="1">IF(INDIRECT("'"&amp;A2451&amp;"'!"&amp;B2451)="",FALSE,IF(TRUNC(INDIRECT("'"&amp;A2451&amp;"'!"&amp;B2451))=INDIRECT("'"&amp;A2451&amp;"'!"&amp;B2451),FALSE,TRUE))</f>
        <v>0</v>
      </c>
      <c r="E2451" t="s">
        <v>436</v>
      </c>
      <c r="F2451" t="str">
        <f>INDEX(Lists!I:I,MATCH(Validation!E2451,Lists!G:G,0))</f>
        <v>Error</v>
      </c>
      <c r="G2451" t="str">
        <f>INDEX(Lists!H:H,MATCH(Validation!E2451,Lists!G:G,0))</f>
        <v>Amount must be rounded to the nearest dollar.</v>
      </c>
      <c r="H2451" s="25" t="str">
        <f t="shared" ca="1" si="279"/>
        <v/>
      </c>
      <c r="I2451" s="25" t="str">
        <f t="shared" ca="1" si="280"/>
        <v/>
      </c>
      <c r="J2451" s="26" t="str">
        <f t="shared" ca="1" si="281"/>
        <v/>
      </c>
    </row>
    <row r="2452" spans="1:10" x14ac:dyDescent="0.25">
      <c r="A2452" t="s">
        <v>304</v>
      </c>
      <c r="B2452" t="str">
        <f>ADDRESS(ROW('Bond 1'!$B$40),COLUMN('Bond 1'!$B$40),4)</f>
        <v>B40</v>
      </c>
      <c r="C2452" t="str">
        <f>ADDRESS(ROW('Bond 1'!$D$40),COLUMN('Bond 1'!$D$40),4)</f>
        <v>D40</v>
      </c>
      <c r="D2452" t="b" cm="1">
        <f t="array" aca="1" ref="D2452" ca="1">IF(INDIRECT("'"&amp;A2452&amp;"'!"&amp;B2452)="",FALSE,IF(TRUNC(INDIRECT("'"&amp;A2452&amp;"'!"&amp;B2452))=INDIRECT("'"&amp;A2452&amp;"'!"&amp;B2452),FALSE,TRUE))</f>
        <v>0</v>
      </c>
      <c r="E2452" t="s">
        <v>436</v>
      </c>
      <c r="F2452" t="str">
        <f>INDEX(Lists!I:I,MATCH(Validation!E2452,Lists!G:G,0))</f>
        <v>Error</v>
      </c>
      <c r="G2452" t="str">
        <f>INDEX(Lists!H:H,MATCH(Validation!E2452,Lists!G:G,0))</f>
        <v>Amount must be rounded to the nearest dollar.</v>
      </c>
      <c r="H2452" s="25" t="str">
        <f t="shared" ca="1" si="279"/>
        <v/>
      </c>
      <c r="I2452" s="25" t="str">
        <f t="shared" ca="1" si="280"/>
        <v/>
      </c>
      <c r="J2452" s="26" t="str">
        <f t="shared" ca="1" si="281"/>
        <v/>
      </c>
    </row>
    <row r="2453" spans="1:10" x14ac:dyDescent="0.25">
      <c r="A2453" t="s">
        <v>305</v>
      </c>
      <c r="B2453" t="str">
        <f>ADDRESS(ROW('Bond 1'!$B$40),COLUMN('Bond 1'!$B$40),4)</f>
        <v>B40</v>
      </c>
      <c r="C2453" t="str">
        <f>ADDRESS(ROW('Bond 1'!$D$40),COLUMN('Bond 1'!$D$40),4)</f>
        <v>D40</v>
      </c>
      <c r="D2453" t="b" cm="1">
        <f t="array" aca="1" ref="D2453" ca="1">IF(INDIRECT("'"&amp;A2453&amp;"'!"&amp;B2453)="",FALSE,IF(TRUNC(INDIRECT("'"&amp;A2453&amp;"'!"&amp;B2453))=INDIRECT("'"&amp;A2453&amp;"'!"&amp;B2453),FALSE,TRUE))</f>
        <v>0</v>
      </c>
      <c r="E2453" t="s">
        <v>436</v>
      </c>
      <c r="F2453" t="str">
        <f>INDEX(Lists!I:I,MATCH(Validation!E2453,Lists!G:G,0))</f>
        <v>Error</v>
      </c>
      <c r="G2453" t="str">
        <f>INDEX(Lists!H:H,MATCH(Validation!E2453,Lists!G:G,0))</f>
        <v>Amount must be rounded to the nearest dollar.</v>
      </c>
      <c r="H2453" s="25" t="str">
        <f t="shared" ca="1" si="279"/>
        <v/>
      </c>
      <c r="I2453" s="25" t="str">
        <f t="shared" ca="1" si="280"/>
        <v/>
      </c>
      <c r="J2453" s="26" t="str">
        <f t="shared" ca="1" si="281"/>
        <v/>
      </c>
    </row>
    <row r="2454" spans="1:10" x14ac:dyDescent="0.25">
      <c r="A2454" t="s">
        <v>306</v>
      </c>
      <c r="B2454" t="str">
        <f>ADDRESS(ROW('Bond 1'!$B$40),COLUMN('Bond 1'!$B$40),4)</f>
        <v>B40</v>
      </c>
      <c r="C2454" t="str">
        <f>ADDRESS(ROW('Bond 1'!$D$40),COLUMN('Bond 1'!$D$40),4)</f>
        <v>D40</v>
      </c>
      <c r="D2454" t="b" cm="1">
        <f t="array" aca="1" ref="D2454" ca="1">IF(INDIRECT("'"&amp;A2454&amp;"'!"&amp;B2454)="",FALSE,IF(TRUNC(INDIRECT("'"&amp;A2454&amp;"'!"&amp;B2454))=INDIRECT("'"&amp;A2454&amp;"'!"&amp;B2454),FALSE,TRUE))</f>
        <v>0</v>
      </c>
      <c r="E2454" t="s">
        <v>436</v>
      </c>
      <c r="F2454" t="str">
        <f>INDEX(Lists!I:I,MATCH(Validation!E2454,Lists!G:G,0))</f>
        <v>Error</v>
      </c>
      <c r="G2454" t="str">
        <f>INDEX(Lists!H:H,MATCH(Validation!E2454,Lists!G:G,0))</f>
        <v>Amount must be rounded to the nearest dollar.</v>
      </c>
      <c r="H2454" s="25" t="str">
        <f t="shared" ca="1" si="279"/>
        <v/>
      </c>
      <c r="I2454" s="25" t="str">
        <f t="shared" ca="1" si="280"/>
        <v/>
      </c>
      <c r="J2454" s="26" t="str">
        <f t="shared" ca="1" si="281"/>
        <v/>
      </c>
    </row>
    <row r="2455" spans="1:10" x14ac:dyDescent="0.25">
      <c r="A2455" t="s">
        <v>307</v>
      </c>
      <c r="B2455" t="str">
        <f>ADDRESS(ROW('Bond 1'!$B$40),COLUMN('Bond 1'!$B$40),4)</f>
        <v>B40</v>
      </c>
      <c r="C2455" t="str">
        <f>ADDRESS(ROW('Bond 1'!$D$40),COLUMN('Bond 1'!$D$40),4)</f>
        <v>D40</v>
      </c>
      <c r="D2455" t="b" cm="1">
        <f t="array" aca="1" ref="D2455" ca="1">IF(INDIRECT("'"&amp;A2455&amp;"'!"&amp;B2455)="",FALSE,IF(TRUNC(INDIRECT("'"&amp;A2455&amp;"'!"&amp;B2455))=INDIRECT("'"&amp;A2455&amp;"'!"&amp;B2455),FALSE,TRUE))</f>
        <v>0</v>
      </c>
      <c r="E2455" t="s">
        <v>436</v>
      </c>
      <c r="F2455" t="str">
        <f>INDEX(Lists!I:I,MATCH(Validation!E2455,Lists!G:G,0))</f>
        <v>Error</v>
      </c>
      <c r="G2455" t="str">
        <f>INDEX(Lists!H:H,MATCH(Validation!E2455,Lists!G:G,0))</f>
        <v>Amount must be rounded to the nearest dollar.</v>
      </c>
      <c r="H2455" s="25" t="str">
        <f t="shared" ca="1" si="279"/>
        <v/>
      </c>
      <c r="I2455" s="25" t="str">
        <f t="shared" ca="1" si="280"/>
        <v/>
      </c>
      <c r="J2455" s="26" t="str">
        <f t="shared" ca="1" si="281"/>
        <v/>
      </c>
    </row>
    <row r="2456" spans="1:10" x14ac:dyDescent="0.25">
      <c r="A2456" t="s">
        <v>308</v>
      </c>
      <c r="B2456" t="str">
        <f>ADDRESS(ROW('Bond 1'!$B$40),COLUMN('Bond 1'!$B$40),4)</f>
        <v>B40</v>
      </c>
      <c r="C2456" t="str">
        <f>ADDRESS(ROW('Bond 1'!$D$40),COLUMN('Bond 1'!$D$40),4)</f>
        <v>D40</v>
      </c>
      <c r="D2456" t="b" cm="1">
        <f t="array" aca="1" ref="D2456" ca="1">IF(INDIRECT("'"&amp;A2456&amp;"'!"&amp;B2456)="",FALSE,IF(TRUNC(INDIRECT("'"&amp;A2456&amp;"'!"&amp;B2456))=INDIRECT("'"&amp;A2456&amp;"'!"&amp;B2456),FALSE,TRUE))</f>
        <v>0</v>
      </c>
      <c r="E2456" t="s">
        <v>436</v>
      </c>
      <c r="F2456" t="str">
        <f>INDEX(Lists!I:I,MATCH(Validation!E2456,Lists!G:G,0))</f>
        <v>Error</v>
      </c>
      <c r="G2456" t="str">
        <f>INDEX(Lists!H:H,MATCH(Validation!E2456,Lists!G:G,0))</f>
        <v>Amount must be rounded to the nearest dollar.</v>
      </c>
      <c r="H2456" s="25" t="str">
        <f t="shared" ca="1" si="279"/>
        <v/>
      </c>
      <c r="I2456" s="25" t="str">
        <f t="shared" ca="1" si="280"/>
        <v/>
      </c>
      <c r="J2456" s="26" t="str">
        <f t="shared" ca="1" si="281"/>
        <v/>
      </c>
    </row>
    <row r="2457" spans="1:10" x14ac:dyDescent="0.25">
      <c r="A2457" t="s">
        <v>309</v>
      </c>
      <c r="B2457" t="str">
        <f>ADDRESS(ROW('Bond 1'!$B$40),COLUMN('Bond 1'!$B$40),4)</f>
        <v>B40</v>
      </c>
      <c r="C2457" t="str">
        <f>ADDRESS(ROW('Bond 1'!$D$40),COLUMN('Bond 1'!$D$40),4)</f>
        <v>D40</v>
      </c>
      <c r="D2457" t="b" cm="1">
        <f t="array" aca="1" ref="D2457" ca="1">IF(INDIRECT("'"&amp;A2457&amp;"'!"&amp;B2457)="",FALSE,IF(TRUNC(INDIRECT("'"&amp;A2457&amp;"'!"&amp;B2457))=INDIRECT("'"&amp;A2457&amp;"'!"&amp;B2457),FALSE,TRUE))</f>
        <v>0</v>
      </c>
      <c r="E2457" t="s">
        <v>436</v>
      </c>
      <c r="F2457" t="str">
        <f>INDEX(Lists!I:I,MATCH(Validation!E2457,Lists!G:G,0))</f>
        <v>Error</v>
      </c>
      <c r="G2457" t="str">
        <f>INDEX(Lists!H:H,MATCH(Validation!E2457,Lists!G:G,0))</f>
        <v>Amount must be rounded to the nearest dollar.</v>
      </c>
      <c r="H2457" s="25" t="str">
        <f t="shared" ca="1" si="279"/>
        <v/>
      </c>
      <c r="I2457" s="25" t="str">
        <f t="shared" ca="1" si="280"/>
        <v/>
      </c>
      <c r="J2457" s="26" t="str">
        <f t="shared" ca="1" si="281"/>
        <v/>
      </c>
    </row>
    <row r="2458" spans="1:10" x14ac:dyDescent="0.25">
      <c r="A2458" t="s">
        <v>310</v>
      </c>
      <c r="B2458" t="str">
        <f>ADDRESS(ROW('Bond 1'!$B$40),COLUMN('Bond 1'!$B$40),4)</f>
        <v>B40</v>
      </c>
      <c r="C2458" t="str">
        <f>ADDRESS(ROW('Bond 1'!$D$40),COLUMN('Bond 1'!$D$40),4)</f>
        <v>D40</v>
      </c>
      <c r="D2458" t="b" cm="1">
        <f t="array" aca="1" ref="D2458" ca="1">IF(INDIRECT("'"&amp;A2458&amp;"'!"&amp;B2458)="",FALSE,IF(TRUNC(INDIRECT("'"&amp;A2458&amp;"'!"&amp;B2458))=INDIRECT("'"&amp;A2458&amp;"'!"&amp;B2458),FALSE,TRUE))</f>
        <v>0</v>
      </c>
      <c r="E2458" t="s">
        <v>436</v>
      </c>
      <c r="F2458" t="str">
        <f>INDEX(Lists!I:I,MATCH(Validation!E2458,Lists!G:G,0))</f>
        <v>Error</v>
      </c>
      <c r="G2458" t="str">
        <f>INDEX(Lists!H:H,MATCH(Validation!E2458,Lists!G:G,0))</f>
        <v>Amount must be rounded to the nearest dollar.</v>
      </c>
      <c r="H2458" s="25" t="str">
        <f t="shared" ca="1" si="279"/>
        <v/>
      </c>
      <c r="I2458" s="25" t="str">
        <f t="shared" ca="1" si="280"/>
        <v/>
      </c>
      <c r="J2458" s="26" t="str">
        <f t="shared" ca="1" si="281"/>
        <v/>
      </c>
    </row>
    <row r="2459" spans="1:10" x14ac:dyDescent="0.25">
      <c r="A2459" t="s">
        <v>311</v>
      </c>
      <c r="B2459" t="str">
        <f>ADDRESS(ROW('Bond 1'!$B$40),COLUMN('Bond 1'!$B$40),4)</f>
        <v>B40</v>
      </c>
      <c r="C2459" t="str">
        <f>ADDRESS(ROW('Bond 1'!$D$40),COLUMN('Bond 1'!$D$40),4)</f>
        <v>D40</v>
      </c>
      <c r="D2459" t="b" cm="1">
        <f t="array" aca="1" ref="D2459" ca="1">IF(INDIRECT("'"&amp;A2459&amp;"'!"&amp;B2459)="",FALSE,IF(TRUNC(INDIRECT("'"&amp;A2459&amp;"'!"&amp;B2459))=INDIRECT("'"&amp;A2459&amp;"'!"&amp;B2459),FALSE,TRUE))</f>
        <v>0</v>
      </c>
      <c r="E2459" t="s">
        <v>436</v>
      </c>
      <c r="F2459" t="str">
        <f>INDEX(Lists!I:I,MATCH(Validation!E2459,Lists!G:G,0))</f>
        <v>Error</v>
      </c>
      <c r="G2459" t="str">
        <f>INDEX(Lists!H:H,MATCH(Validation!E2459,Lists!G:G,0))</f>
        <v>Amount must be rounded to the nearest dollar.</v>
      </c>
      <c r="H2459" s="25" t="str">
        <f t="shared" ca="1" si="279"/>
        <v/>
      </c>
      <c r="I2459" s="25" t="str">
        <f t="shared" ca="1" si="280"/>
        <v/>
      </c>
      <c r="J2459" s="26" t="str">
        <f t="shared" ca="1" si="281"/>
        <v/>
      </c>
    </row>
    <row r="2460" spans="1:10" x14ac:dyDescent="0.25">
      <c r="A2460" t="s">
        <v>312</v>
      </c>
      <c r="B2460" t="str">
        <f>ADDRESS(ROW('Bond 1'!$B$40),COLUMN('Bond 1'!$B$40),4)</f>
        <v>B40</v>
      </c>
      <c r="C2460" t="str">
        <f>ADDRESS(ROW('Bond 1'!$D$40),COLUMN('Bond 1'!$D$40),4)</f>
        <v>D40</v>
      </c>
      <c r="D2460" t="b" cm="1">
        <f t="array" aca="1" ref="D2460" ca="1">IF(INDIRECT("'"&amp;A2460&amp;"'!"&amp;B2460)="",FALSE,IF(TRUNC(INDIRECT("'"&amp;A2460&amp;"'!"&amp;B2460))=INDIRECT("'"&amp;A2460&amp;"'!"&amp;B2460),FALSE,TRUE))</f>
        <v>0</v>
      </c>
      <c r="E2460" t="s">
        <v>436</v>
      </c>
      <c r="F2460" t="str">
        <f>INDEX(Lists!I:I,MATCH(Validation!E2460,Lists!G:G,0))</f>
        <v>Error</v>
      </c>
      <c r="G2460" t="str">
        <f>INDEX(Lists!H:H,MATCH(Validation!E2460,Lists!G:G,0))</f>
        <v>Amount must be rounded to the nearest dollar.</v>
      </c>
      <c r="H2460" s="25" t="str">
        <f t="shared" ca="1" si="279"/>
        <v/>
      </c>
      <c r="I2460" s="25" t="str">
        <f t="shared" ca="1" si="280"/>
        <v/>
      </c>
      <c r="J2460" s="26" t="str">
        <f t="shared" ca="1" si="281"/>
        <v/>
      </c>
    </row>
    <row r="2461" spans="1:10" x14ac:dyDescent="0.25">
      <c r="A2461" t="s">
        <v>313</v>
      </c>
      <c r="B2461" t="str">
        <f>ADDRESS(ROW('Bond 1'!$B$40),COLUMN('Bond 1'!$B$40),4)</f>
        <v>B40</v>
      </c>
      <c r="C2461" t="str">
        <f>ADDRESS(ROW('Bond 1'!$D$40),COLUMN('Bond 1'!$D$40),4)</f>
        <v>D40</v>
      </c>
      <c r="D2461" t="b" cm="1">
        <f t="array" aca="1" ref="D2461" ca="1">IF(INDIRECT("'"&amp;A2461&amp;"'!"&amp;B2461)="",FALSE,IF(TRUNC(INDIRECT("'"&amp;A2461&amp;"'!"&amp;B2461))=INDIRECT("'"&amp;A2461&amp;"'!"&amp;B2461),FALSE,TRUE))</f>
        <v>0</v>
      </c>
      <c r="E2461" t="s">
        <v>436</v>
      </c>
      <c r="F2461" t="str">
        <f>INDEX(Lists!I:I,MATCH(Validation!E2461,Lists!G:G,0))</f>
        <v>Error</v>
      </c>
      <c r="G2461" t="str">
        <f>INDEX(Lists!H:H,MATCH(Validation!E2461,Lists!G:G,0))</f>
        <v>Amount must be rounded to the nearest dollar.</v>
      </c>
      <c r="H2461" s="25" t="str">
        <f t="shared" ca="1" si="279"/>
        <v/>
      </c>
      <c r="I2461" s="25" t="str">
        <f t="shared" ca="1" si="280"/>
        <v/>
      </c>
      <c r="J2461" s="26" t="str">
        <f t="shared" ca="1" si="281"/>
        <v/>
      </c>
    </row>
    <row r="2462" spans="1:10" x14ac:dyDescent="0.25">
      <c r="A2462" t="s">
        <v>314</v>
      </c>
      <c r="B2462" t="str">
        <f>ADDRESS(ROW('Bond 1'!$B$40),COLUMN('Bond 1'!$B$40),4)</f>
        <v>B40</v>
      </c>
      <c r="C2462" t="str">
        <f>ADDRESS(ROW('Bond 1'!$D$40),COLUMN('Bond 1'!$D$40),4)</f>
        <v>D40</v>
      </c>
      <c r="D2462" t="b" cm="1">
        <f t="array" aca="1" ref="D2462" ca="1">IF(INDIRECT("'"&amp;A2462&amp;"'!"&amp;B2462)="",FALSE,IF(TRUNC(INDIRECT("'"&amp;A2462&amp;"'!"&amp;B2462))=INDIRECT("'"&amp;A2462&amp;"'!"&amp;B2462),FALSE,TRUE))</f>
        <v>0</v>
      </c>
      <c r="E2462" t="s">
        <v>436</v>
      </c>
      <c r="F2462" t="str">
        <f>INDEX(Lists!I:I,MATCH(Validation!E2462,Lists!G:G,0))</f>
        <v>Error</v>
      </c>
      <c r="G2462" t="str">
        <f>INDEX(Lists!H:H,MATCH(Validation!E2462,Lists!G:G,0))</f>
        <v>Amount must be rounded to the nearest dollar.</v>
      </c>
      <c r="H2462" s="25" t="str">
        <f t="shared" ca="1" si="279"/>
        <v/>
      </c>
      <c r="I2462" s="25" t="str">
        <f t="shared" ca="1" si="280"/>
        <v/>
      </c>
      <c r="J2462" s="26" t="str">
        <f t="shared" ca="1" si="281"/>
        <v/>
      </c>
    </row>
    <row r="2463" spans="1:10" x14ac:dyDescent="0.25">
      <c r="A2463" t="s">
        <v>315</v>
      </c>
      <c r="B2463" t="str">
        <f>ADDRESS(ROW('Bond 1'!$B$40),COLUMN('Bond 1'!$B$40),4)</f>
        <v>B40</v>
      </c>
      <c r="C2463" t="str">
        <f>ADDRESS(ROW('Bond 1'!$D$40),COLUMN('Bond 1'!$D$40),4)</f>
        <v>D40</v>
      </c>
      <c r="D2463" t="b" cm="1">
        <f t="array" aca="1" ref="D2463" ca="1">IF(INDIRECT("'"&amp;A2463&amp;"'!"&amp;B2463)="",FALSE,IF(TRUNC(INDIRECT("'"&amp;A2463&amp;"'!"&amp;B2463))=INDIRECT("'"&amp;A2463&amp;"'!"&amp;B2463),FALSE,TRUE))</f>
        <v>0</v>
      </c>
      <c r="E2463" t="s">
        <v>436</v>
      </c>
      <c r="F2463" t="str">
        <f>INDEX(Lists!I:I,MATCH(Validation!E2463,Lists!G:G,0))</f>
        <v>Error</v>
      </c>
      <c r="G2463" t="str">
        <f>INDEX(Lists!H:H,MATCH(Validation!E2463,Lists!G:G,0))</f>
        <v>Amount must be rounded to the nearest dollar.</v>
      </c>
      <c r="H2463" s="25" t="str">
        <f t="shared" ca="1" si="279"/>
        <v/>
      </c>
      <c r="I2463" s="25" t="str">
        <f t="shared" ca="1" si="280"/>
        <v/>
      </c>
      <c r="J2463" s="26" t="str">
        <f t="shared" ca="1" si="281"/>
        <v/>
      </c>
    </row>
    <row r="2464" spans="1:10" x14ac:dyDescent="0.25">
      <c r="A2464" t="s">
        <v>198</v>
      </c>
      <c r="B2464" t="str">
        <f>ADDRESS(ROW('Bond 1'!$B$40),COLUMN('Bond 1'!$B$40),4)</f>
        <v>B40</v>
      </c>
      <c r="C2464" t="str">
        <f>ADDRESS(ROW('Bond 1'!$D$40),COLUMN('Bond 1'!$D$40),4)</f>
        <v>D40</v>
      </c>
      <c r="D2464" t="b" cm="1">
        <f t="array" aca="1" ref="D2464" ca="1">IF(AND(NOT(ISBLANK('Bond Input'!C$53)),INDIRECT("'"&amp;A2464&amp;"'!"&amp;B2464)&lt;&gt;'Bond Input'!C$53),TRUE,FALSE)</f>
        <v>0</v>
      </c>
      <c r="E2464" t="s">
        <v>634</v>
      </c>
      <c r="F2464" t="str">
        <f>INDEX(Lists!I:I,MATCH(Validation!E2464,Lists!G:G,0))</f>
        <v>Alert</v>
      </c>
      <c r="G2464" t="str">
        <f>INDEX(Lists!H:H,MATCH(Validation!E2464,Lists!G:G,0))</f>
        <v>You have changed previously reported data. Explain in the comments box.</v>
      </c>
      <c r="H2464" s="25" t="str">
        <f t="shared" ca="1" si="279"/>
        <v/>
      </c>
      <c r="I2464" s="25" t="str">
        <f t="shared" ca="1" si="280"/>
        <v/>
      </c>
      <c r="J2464" s="26" t="str">
        <f t="shared" ca="1" si="281"/>
        <v/>
      </c>
    </row>
    <row r="2465" spans="1:10" x14ac:dyDescent="0.25">
      <c r="A2465" t="s">
        <v>302</v>
      </c>
      <c r="B2465" t="str">
        <f>ADDRESS(ROW('Bond 1'!$B$40),COLUMN('Bond 1'!$B$40),4)</f>
        <v>B40</v>
      </c>
      <c r="C2465" t="str">
        <f>ADDRESS(ROW('Bond 1'!$D$40),COLUMN('Bond 1'!$D$40),4)</f>
        <v>D40</v>
      </c>
      <c r="D2465" t="b" cm="1">
        <f t="array" aca="1" ref="D2465" ca="1">IF(AND(NOT(ISBLANK('Bond Input'!D$53)),INDIRECT("'"&amp;A2465&amp;"'!"&amp;B2465)&lt;&gt;'Bond Input'!D$53),TRUE,FALSE)</f>
        <v>0</v>
      </c>
      <c r="E2465" t="s">
        <v>634</v>
      </c>
      <c r="F2465" t="str">
        <f>INDEX(Lists!I:I,MATCH(Validation!E2465,Lists!G:G,0))</f>
        <v>Alert</v>
      </c>
      <c r="G2465" t="str">
        <f>INDEX(Lists!H:H,MATCH(Validation!E2465,Lists!G:G,0))</f>
        <v>You have changed previously reported data. Explain in the comments box.</v>
      </c>
      <c r="H2465" s="25" t="str">
        <f t="shared" ca="1" si="279"/>
        <v/>
      </c>
      <c r="I2465" s="25" t="str">
        <f t="shared" ca="1" si="280"/>
        <v/>
      </c>
      <c r="J2465" s="26" t="str">
        <f t="shared" ca="1" si="281"/>
        <v/>
      </c>
    </row>
    <row r="2466" spans="1:10" x14ac:dyDescent="0.25">
      <c r="A2466" t="s">
        <v>303</v>
      </c>
      <c r="B2466" t="str">
        <f>ADDRESS(ROW('Bond 1'!$B$40),COLUMN('Bond 1'!$B$40),4)</f>
        <v>B40</v>
      </c>
      <c r="C2466" t="str">
        <f>ADDRESS(ROW('Bond 1'!$D$40),COLUMN('Bond 1'!$D$40),4)</f>
        <v>D40</v>
      </c>
      <c r="D2466" t="b" cm="1">
        <f t="array" aca="1" ref="D2466" ca="1">IF(AND(NOT(ISBLANK('Bond Input'!E$53)),INDIRECT("'"&amp;A2466&amp;"'!"&amp;B2466)&lt;&gt;'Bond Input'!E$53),TRUE,FALSE)</f>
        <v>0</v>
      </c>
      <c r="E2466" t="s">
        <v>634</v>
      </c>
      <c r="F2466" t="str">
        <f>INDEX(Lists!I:I,MATCH(Validation!E2466,Lists!G:G,0))</f>
        <v>Alert</v>
      </c>
      <c r="G2466" t="str">
        <f>INDEX(Lists!H:H,MATCH(Validation!E2466,Lists!G:G,0))</f>
        <v>You have changed previously reported data. Explain in the comments box.</v>
      </c>
      <c r="H2466" s="25" t="str">
        <f t="shared" ca="1" si="279"/>
        <v/>
      </c>
      <c r="I2466" s="25" t="str">
        <f t="shared" ca="1" si="280"/>
        <v/>
      </c>
      <c r="J2466" s="26" t="str">
        <f t="shared" ca="1" si="281"/>
        <v/>
      </c>
    </row>
    <row r="2467" spans="1:10" x14ac:dyDescent="0.25">
      <c r="A2467" t="s">
        <v>304</v>
      </c>
      <c r="B2467" t="str">
        <f>ADDRESS(ROW('Bond 1'!$B$40),COLUMN('Bond 1'!$B$40),4)</f>
        <v>B40</v>
      </c>
      <c r="C2467" t="str">
        <f>ADDRESS(ROW('Bond 1'!$D$40),COLUMN('Bond 1'!$D$40),4)</f>
        <v>D40</v>
      </c>
      <c r="D2467" t="b" cm="1">
        <f t="array" aca="1" ref="D2467" ca="1">IF(AND(NOT(ISBLANK('Bond Input'!F$53)),INDIRECT("'"&amp;A2467&amp;"'!"&amp;B2467)&lt;&gt;'Bond Input'!F$53),TRUE,FALSE)</f>
        <v>0</v>
      </c>
      <c r="E2467" t="s">
        <v>634</v>
      </c>
      <c r="F2467" t="str">
        <f>INDEX(Lists!I:I,MATCH(Validation!E2467,Lists!G:G,0))</f>
        <v>Alert</v>
      </c>
      <c r="G2467" t="str">
        <f>INDEX(Lists!H:H,MATCH(Validation!E2467,Lists!G:G,0))</f>
        <v>You have changed previously reported data. Explain in the comments box.</v>
      </c>
      <c r="H2467" s="25" t="str">
        <f t="shared" ca="1" si="279"/>
        <v/>
      </c>
      <c r="I2467" s="25" t="str">
        <f t="shared" ca="1" si="280"/>
        <v/>
      </c>
      <c r="J2467" s="26" t="str">
        <f t="shared" ca="1" si="281"/>
        <v/>
      </c>
    </row>
    <row r="2468" spans="1:10" x14ac:dyDescent="0.25">
      <c r="A2468" t="s">
        <v>305</v>
      </c>
      <c r="B2468" t="str">
        <f>ADDRESS(ROW('Bond 1'!$B$40),COLUMN('Bond 1'!$B$40),4)</f>
        <v>B40</v>
      </c>
      <c r="C2468" t="str">
        <f>ADDRESS(ROW('Bond 1'!$D$40),COLUMN('Bond 1'!$D$40),4)</f>
        <v>D40</v>
      </c>
      <c r="D2468" t="b" cm="1">
        <f t="array" aca="1" ref="D2468" ca="1">IF(AND(NOT(ISBLANK('Bond Input'!G$53)),INDIRECT("'"&amp;A2468&amp;"'!"&amp;B2468)&lt;&gt;'Bond Input'!G$53),TRUE,FALSE)</f>
        <v>0</v>
      </c>
      <c r="E2468" t="s">
        <v>634</v>
      </c>
      <c r="F2468" t="str">
        <f>INDEX(Lists!I:I,MATCH(Validation!E2468,Lists!G:G,0))</f>
        <v>Alert</v>
      </c>
      <c r="G2468" t="str">
        <f>INDEX(Lists!H:H,MATCH(Validation!E2468,Lists!G:G,0))</f>
        <v>You have changed previously reported data. Explain in the comments box.</v>
      </c>
      <c r="H2468" s="25" t="str">
        <f t="shared" ca="1" si="279"/>
        <v/>
      </c>
      <c r="I2468" s="25" t="str">
        <f t="shared" ca="1" si="280"/>
        <v/>
      </c>
      <c r="J2468" s="26" t="str">
        <f t="shared" ca="1" si="281"/>
        <v/>
      </c>
    </row>
    <row r="2469" spans="1:10" x14ac:dyDescent="0.25">
      <c r="A2469" t="s">
        <v>306</v>
      </c>
      <c r="B2469" t="str">
        <f>ADDRESS(ROW('Bond 1'!$B$40),COLUMN('Bond 1'!$B$40),4)</f>
        <v>B40</v>
      </c>
      <c r="C2469" t="str">
        <f>ADDRESS(ROW('Bond 1'!$D$40),COLUMN('Bond 1'!$D$40),4)</f>
        <v>D40</v>
      </c>
      <c r="D2469" t="b" cm="1">
        <f t="array" aca="1" ref="D2469" ca="1">IF(AND(NOT(ISBLANK('Bond Input'!H$53)),INDIRECT("'"&amp;A2469&amp;"'!"&amp;B2469)&lt;&gt;'Bond Input'!H$53),TRUE,FALSE)</f>
        <v>0</v>
      </c>
      <c r="E2469" t="s">
        <v>634</v>
      </c>
      <c r="F2469" t="str">
        <f>INDEX(Lists!I:I,MATCH(Validation!E2469,Lists!G:G,0))</f>
        <v>Alert</v>
      </c>
      <c r="G2469" t="str">
        <f>INDEX(Lists!H:H,MATCH(Validation!E2469,Lists!G:G,0))</f>
        <v>You have changed previously reported data. Explain in the comments box.</v>
      </c>
      <c r="H2469" s="25" t="str">
        <f t="shared" ca="1" si="279"/>
        <v/>
      </c>
      <c r="I2469" s="25" t="str">
        <f t="shared" ca="1" si="280"/>
        <v/>
      </c>
      <c r="J2469" s="26" t="str">
        <f t="shared" ca="1" si="281"/>
        <v/>
      </c>
    </row>
    <row r="2470" spans="1:10" x14ac:dyDescent="0.25">
      <c r="A2470" t="s">
        <v>307</v>
      </c>
      <c r="B2470" t="str">
        <f>ADDRESS(ROW('Bond 1'!$B$40),COLUMN('Bond 1'!$B$40),4)</f>
        <v>B40</v>
      </c>
      <c r="C2470" t="str">
        <f>ADDRESS(ROW('Bond 1'!$D$40),COLUMN('Bond 1'!$D$40),4)</f>
        <v>D40</v>
      </c>
      <c r="D2470" t="b" cm="1">
        <f t="array" aca="1" ref="D2470" ca="1">IF(AND(NOT(ISBLANK('Bond Input'!I$53)),INDIRECT("'"&amp;A2470&amp;"'!"&amp;B2470)&lt;&gt;'Bond Input'!I$53),TRUE,FALSE)</f>
        <v>0</v>
      </c>
      <c r="E2470" t="s">
        <v>634</v>
      </c>
      <c r="F2470" t="str">
        <f>INDEX(Lists!I:I,MATCH(Validation!E2470,Lists!G:G,0))</f>
        <v>Alert</v>
      </c>
      <c r="G2470" t="str">
        <f>INDEX(Lists!H:H,MATCH(Validation!E2470,Lists!G:G,0))</f>
        <v>You have changed previously reported data. Explain in the comments box.</v>
      </c>
      <c r="H2470" s="25" t="str">
        <f t="shared" ca="1" si="279"/>
        <v/>
      </c>
      <c r="I2470" s="25" t="str">
        <f t="shared" ca="1" si="280"/>
        <v/>
      </c>
      <c r="J2470" s="26" t="str">
        <f t="shared" ca="1" si="281"/>
        <v/>
      </c>
    </row>
    <row r="2471" spans="1:10" x14ac:dyDescent="0.25">
      <c r="A2471" t="s">
        <v>308</v>
      </c>
      <c r="B2471" t="str">
        <f>ADDRESS(ROW('Bond 1'!$B$40),COLUMN('Bond 1'!$B$40),4)</f>
        <v>B40</v>
      </c>
      <c r="C2471" t="str">
        <f>ADDRESS(ROW('Bond 1'!$D$40),COLUMN('Bond 1'!$D$40),4)</f>
        <v>D40</v>
      </c>
      <c r="D2471" t="b" cm="1">
        <f t="array" aca="1" ref="D2471" ca="1">IF(AND(NOT(ISBLANK('Bond Input'!J$53)),INDIRECT("'"&amp;A2471&amp;"'!"&amp;B2471)&lt;&gt;'Bond Input'!J$53),TRUE,FALSE)</f>
        <v>0</v>
      </c>
      <c r="E2471" t="s">
        <v>634</v>
      </c>
      <c r="F2471" t="str">
        <f>INDEX(Lists!I:I,MATCH(Validation!E2471,Lists!G:G,0))</f>
        <v>Alert</v>
      </c>
      <c r="G2471" t="str">
        <f>INDEX(Lists!H:H,MATCH(Validation!E2471,Lists!G:G,0))</f>
        <v>You have changed previously reported data. Explain in the comments box.</v>
      </c>
      <c r="H2471" s="25" t="str">
        <f t="shared" ca="1" si="279"/>
        <v/>
      </c>
      <c r="I2471" s="25" t="str">
        <f t="shared" ca="1" si="280"/>
        <v/>
      </c>
      <c r="J2471" s="26" t="str">
        <f t="shared" ca="1" si="281"/>
        <v/>
      </c>
    </row>
    <row r="2472" spans="1:10" x14ac:dyDescent="0.25">
      <c r="A2472" t="s">
        <v>309</v>
      </c>
      <c r="B2472" t="str">
        <f>ADDRESS(ROW('Bond 1'!$B$40),COLUMN('Bond 1'!$B$40),4)</f>
        <v>B40</v>
      </c>
      <c r="C2472" t="str">
        <f>ADDRESS(ROW('Bond 1'!$D$40),COLUMN('Bond 1'!$D$40),4)</f>
        <v>D40</v>
      </c>
      <c r="D2472" t="b" cm="1">
        <f t="array" aca="1" ref="D2472" ca="1">IF(AND(NOT(ISBLANK('Bond Input'!K$53)),INDIRECT("'"&amp;A2472&amp;"'!"&amp;B2472)&lt;&gt;'Bond Input'!K$53),TRUE,FALSE)</f>
        <v>0</v>
      </c>
      <c r="E2472" t="s">
        <v>634</v>
      </c>
      <c r="F2472" t="str">
        <f>INDEX(Lists!I:I,MATCH(Validation!E2472,Lists!G:G,0))</f>
        <v>Alert</v>
      </c>
      <c r="G2472" t="str">
        <f>INDEX(Lists!H:H,MATCH(Validation!E2472,Lists!G:G,0))</f>
        <v>You have changed previously reported data. Explain in the comments box.</v>
      </c>
      <c r="H2472" s="25" t="str">
        <f t="shared" ca="1" si="279"/>
        <v/>
      </c>
      <c r="I2472" s="25" t="str">
        <f t="shared" ca="1" si="280"/>
        <v/>
      </c>
      <c r="J2472" s="26" t="str">
        <f t="shared" ca="1" si="281"/>
        <v/>
      </c>
    </row>
    <row r="2473" spans="1:10" x14ac:dyDescent="0.25">
      <c r="A2473" t="s">
        <v>310</v>
      </c>
      <c r="B2473" t="str">
        <f>ADDRESS(ROW('Bond 1'!$B$40),COLUMN('Bond 1'!$B$40),4)</f>
        <v>B40</v>
      </c>
      <c r="C2473" t="str">
        <f>ADDRESS(ROW('Bond 1'!$D$40),COLUMN('Bond 1'!$D$40),4)</f>
        <v>D40</v>
      </c>
      <c r="D2473" t="b" cm="1">
        <f t="array" aca="1" ref="D2473" ca="1">IF(AND(NOT(ISBLANK('Bond Input'!L$53)),INDIRECT("'"&amp;A2473&amp;"'!"&amp;B2473)&lt;&gt;'Bond Input'!L$53),TRUE,FALSE)</f>
        <v>0</v>
      </c>
      <c r="E2473" t="s">
        <v>634</v>
      </c>
      <c r="F2473" t="str">
        <f>INDEX(Lists!I:I,MATCH(Validation!E2473,Lists!G:G,0))</f>
        <v>Alert</v>
      </c>
      <c r="G2473" t="str">
        <f>INDEX(Lists!H:H,MATCH(Validation!E2473,Lists!G:G,0))</f>
        <v>You have changed previously reported data. Explain in the comments box.</v>
      </c>
      <c r="H2473" s="25" t="str">
        <f t="shared" ca="1" si="279"/>
        <v/>
      </c>
      <c r="I2473" s="25" t="str">
        <f t="shared" ca="1" si="280"/>
        <v/>
      </c>
      <c r="J2473" s="26" t="str">
        <f t="shared" ca="1" si="281"/>
        <v/>
      </c>
    </row>
    <row r="2474" spans="1:10" x14ac:dyDescent="0.25">
      <c r="A2474" t="s">
        <v>311</v>
      </c>
      <c r="B2474" t="str">
        <f>ADDRESS(ROW('Bond 1'!$B$40),COLUMN('Bond 1'!$B$40),4)</f>
        <v>B40</v>
      </c>
      <c r="C2474" t="str">
        <f>ADDRESS(ROW('Bond 1'!$D$40),COLUMN('Bond 1'!$D$40),4)</f>
        <v>D40</v>
      </c>
      <c r="D2474" t="b" cm="1">
        <f t="array" aca="1" ref="D2474" ca="1">IF(AND(NOT(ISBLANK('Bond Input'!M$53)),INDIRECT("'"&amp;A2474&amp;"'!"&amp;B2474)&lt;&gt;'Bond Input'!M$53),TRUE,FALSE)</f>
        <v>0</v>
      </c>
      <c r="E2474" t="s">
        <v>634</v>
      </c>
      <c r="F2474" t="str">
        <f>INDEX(Lists!I:I,MATCH(Validation!E2474,Lists!G:G,0))</f>
        <v>Alert</v>
      </c>
      <c r="G2474" t="str">
        <f>INDEX(Lists!H:H,MATCH(Validation!E2474,Lists!G:G,0))</f>
        <v>You have changed previously reported data. Explain in the comments box.</v>
      </c>
      <c r="H2474" s="25" t="str">
        <f t="shared" ca="1" si="279"/>
        <v/>
      </c>
      <c r="I2474" s="25" t="str">
        <f t="shared" ca="1" si="280"/>
        <v/>
      </c>
      <c r="J2474" s="26" t="str">
        <f t="shared" ca="1" si="281"/>
        <v/>
      </c>
    </row>
    <row r="2475" spans="1:10" x14ac:dyDescent="0.25">
      <c r="A2475" t="s">
        <v>312</v>
      </c>
      <c r="B2475" t="str">
        <f>ADDRESS(ROW('Bond 1'!$B$40),COLUMN('Bond 1'!$B$40),4)</f>
        <v>B40</v>
      </c>
      <c r="C2475" t="str">
        <f>ADDRESS(ROW('Bond 1'!$D$40),COLUMN('Bond 1'!$D$40),4)</f>
        <v>D40</v>
      </c>
      <c r="D2475" t="b" cm="1">
        <f t="array" aca="1" ref="D2475" ca="1">IF(AND(NOT(ISBLANK('Bond Input'!N$53)),INDIRECT("'"&amp;A2475&amp;"'!"&amp;B2475)&lt;&gt;'Bond Input'!N$53),TRUE,FALSE)</f>
        <v>0</v>
      </c>
      <c r="E2475" t="s">
        <v>634</v>
      </c>
      <c r="F2475" t="str">
        <f>INDEX(Lists!I:I,MATCH(Validation!E2475,Lists!G:G,0))</f>
        <v>Alert</v>
      </c>
      <c r="G2475" t="str">
        <f>INDEX(Lists!H:H,MATCH(Validation!E2475,Lists!G:G,0))</f>
        <v>You have changed previously reported data. Explain in the comments box.</v>
      </c>
      <c r="H2475" s="25" t="str">
        <f t="shared" ca="1" si="279"/>
        <v/>
      </c>
      <c r="I2475" s="25" t="str">
        <f t="shared" ca="1" si="280"/>
        <v/>
      </c>
      <c r="J2475" s="26" t="str">
        <f t="shared" ca="1" si="281"/>
        <v/>
      </c>
    </row>
    <row r="2476" spans="1:10" x14ac:dyDescent="0.25">
      <c r="A2476" t="s">
        <v>313</v>
      </c>
      <c r="B2476" t="str">
        <f>ADDRESS(ROW('Bond 1'!$B$40),COLUMN('Bond 1'!$B$40),4)</f>
        <v>B40</v>
      </c>
      <c r="C2476" t="str">
        <f>ADDRESS(ROW('Bond 1'!$D$40),COLUMN('Bond 1'!$D$40),4)</f>
        <v>D40</v>
      </c>
      <c r="D2476" t="b" cm="1">
        <f t="array" aca="1" ref="D2476" ca="1">IF(AND(NOT(ISBLANK('Bond Input'!O$53)),INDIRECT("'"&amp;A2476&amp;"'!"&amp;B2476)&lt;&gt;'Bond Input'!O$53),TRUE,FALSE)</f>
        <v>0</v>
      </c>
      <c r="E2476" t="s">
        <v>634</v>
      </c>
      <c r="F2476" t="str">
        <f>INDEX(Lists!I:I,MATCH(Validation!E2476,Lists!G:G,0))</f>
        <v>Alert</v>
      </c>
      <c r="G2476" t="str">
        <f>INDEX(Lists!H:H,MATCH(Validation!E2476,Lists!G:G,0))</f>
        <v>You have changed previously reported data. Explain in the comments box.</v>
      </c>
      <c r="H2476" s="25" t="str">
        <f t="shared" ca="1" si="279"/>
        <v/>
      </c>
      <c r="I2476" s="25" t="str">
        <f t="shared" ca="1" si="280"/>
        <v/>
      </c>
      <c r="J2476" s="26" t="str">
        <f t="shared" ca="1" si="281"/>
        <v/>
      </c>
    </row>
    <row r="2477" spans="1:10" x14ac:dyDescent="0.25">
      <c r="A2477" t="s">
        <v>314</v>
      </c>
      <c r="B2477" t="str">
        <f>ADDRESS(ROW('Bond 1'!$B$40),COLUMN('Bond 1'!$B$40),4)</f>
        <v>B40</v>
      </c>
      <c r="C2477" t="str">
        <f>ADDRESS(ROW('Bond 1'!$D$40),COLUMN('Bond 1'!$D$40),4)</f>
        <v>D40</v>
      </c>
      <c r="D2477" t="b" cm="1">
        <f t="array" aca="1" ref="D2477" ca="1">IF(AND(NOT(ISBLANK('Bond Input'!P$53)),INDIRECT("'"&amp;A2477&amp;"'!"&amp;B2477)&lt;&gt;'Bond Input'!P$53),TRUE,FALSE)</f>
        <v>0</v>
      </c>
      <c r="E2477" t="s">
        <v>634</v>
      </c>
      <c r="F2477" t="str">
        <f>INDEX(Lists!I:I,MATCH(Validation!E2477,Lists!G:G,0))</f>
        <v>Alert</v>
      </c>
      <c r="G2477" t="str">
        <f>INDEX(Lists!H:H,MATCH(Validation!E2477,Lists!G:G,0))</f>
        <v>You have changed previously reported data. Explain in the comments box.</v>
      </c>
      <c r="H2477" s="25" t="str">
        <f t="shared" ca="1" si="279"/>
        <v/>
      </c>
      <c r="I2477" s="25" t="str">
        <f t="shared" ca="1" si="280"/>
        <v/>
      </c>
      <c r="J2477" s="26" t="str">
        <f t="shared" ca="1" si="281"/>
        <v/>
      </c>
    </row>
    <row r="2478" spans="1:10" x14ac:dyDescent="0.25">
      <c r="A2478" t="s">
        <v>315</v>
      </c>
      <c r="B2478" t="str">
        <f>ADDRESS(ROW('Bond 1'!$B$40),COLUMN('Bond 1'!$B$40),4)</f>
        <v>B40</v>
      </c>
      <c r="C2478" t="str">
        <f>ADDRESS(ROW('Bond 1'!$D$40),COLUMN('Bond 1'!$D$40),4)</f>
        <v>D40</v>
      </c>
      <c r="D2478" t="b" cm="1">
        <f t="array" aca="1" ref="D2478" ca="1">IF(AND(NOT(ISBLANK('Bond Input'!Q$53)),INDIRECT("'"&amp;A2478&amp;"'!"&amp;B2478)&lt;&gt;'Bond Input'!Q$53),TRUE,FALSE)</f>
        <v>0</v>
      </c>
      <c r="E2478" t="s">
        <v>634</v>
      </c>
      <c r="F2478" t="str">
        <f>INDEX(Lists!I:I,MATCH(Validation!E2478,Lists!G:G,0))</f>
        <v>Alert</v>
      </c>
      <c r="G2478" t="str">
        <f>INDEX(Lists!H:H,MATCH(Validation!E2478,Lists!G:G,0))</f>
        <v>You have changed previously reported data. Explain in the comments box.</v>
      </c>
      <c r="H2478" s="25" t="str">
        <f t="shared" ca="1" si="279"/>
        <v/>
      </c>
      <c r="I2478" s="25" t="str">
        <f t="shared" ca="1" si="280"/>
        <v/>
      </c>
      <c r="J2478" s="26" t="str">
        <f t="shared" ca="1" si="281"/>
        <v/>
      </c>
    </row>
    <row r="2479" spans="1:10" x14ac:dyDescent="0.25">
      <c r="A2479" t="s">
        <v>198</v>
      </c>
      <c r="B2479" t="str">
        <f>ADDRESS(ROW('Bond 1'!$C$40),COLUMN('Bond 1'!$C$40),4)</f>
        <v>C40</v>
      </c>
      <c r="C2479" t="str">
        <f>ADDRESS(ROW('Bond 1'!$D$40),COLUMN('Bond 1'!$D$40),4)</f>
        <v>D40</v>
      </c>
      <c r="D2479" t="b" cm="1">
        <f t="array" aca="1" ref="D2479" ca="1">IF(INDIRECT("'"&amp;A2479&amp;"'!"&amp;B2479)="",FALSE,IF(NOT(ISNUMBER(INDIRECT("'"&amp;A2479&amp;"'!"&amp;B2479))),TRUE,FALSE))</f>
        <v>0</v>
      </c>
      <c r="E2479" t="s">
        <v>435</v>
      </c>
      <c r="F2479" t="str">
        <f>INDEX(Lists!I:I,MATCH(Validation!E2479,Lists!G:G,0))</f>
        <v>Error</v>
      </c>
      <c r="G2479" t="str">
        <f>INDEX(Lists!H:H,MATCH(Validation!E2479,Lists!G:G,0))</f>
        <v>Enter an amount only. Do not enter text or spaces.</v>
      </c>
      <c r="H2479" s="25" t="str">
        <f t="shared" ref="H2479:H2523" ca="1" si="282">IFERROR(IF(OR(NOT(D2479),F2479&lt;&gt;"Error"),"",A2479&amp;CELL("address",INDIRECT(B2479))),"")</f>
        <v/>
      </c>
      <c r="I2479" s="25" t="str">
        <f t="shared" ref="I2479:I2523" ca="1" si="283">IFERROR(IF(NOT(D2479),"",A2479&amp;CELL("address",INDIRECT(C2479))),"")</f>
        <v/>
      </c>
      <c r="J2479" s="26" t="str">
        <f t="shared" ref="J2479:J2523" ca="1" si="284">IFERROR(IF(NOT(D2479),"",A2479),"")</f>
        <v/>
      </c>
    </row>
    <row r="2480" spans="1:10" x14ac:dyDescent="0.25">
      <c r="A2480" t="s">
        <v>302</v>
      </c>
      <c r="B2480" t="str">
        <f>ADDRESS(ROW('Bond 1'!$C$40),COLUMN('Bond 1'!$C$40),4)</f>
        <v>C40</v>
      </c>
      <c r="C2480" t="str">
        <f>ADDRESS(ROW('Bond 1'!$D$40),COLUMN('Bond 1'!$D$40),4)</f>
        <v>D40</v>
      </c>
      <c r="D2480" t="b" cm="1">
        <f t="array" aca="1" ref="D2480" ca="1">IF(INDIRECT("'"&amp;A2480&amp;"'!"&amp;B2480)="",FALSE,IF(NOT(ISNUMBER(INDIRECT("'"&amp;A2480&amp;"'!"&amp;B2480))),TRUE,FALSE))</f>
        <v>0</v>
      </c>
      <c r="E2480" t="s">
        <v>435</v>
      </c>
      <c r="F2480" t="str">
        <f>INDEX(Lists!I:I,MATCH(Validation!E2480,Lists!G:G,0))</f>
        <v>Error</v>
      </c>
      <c r="G2480" t="str">
        <f>INDEX(Lists!H:H,MATCH(Validation!E2480,Lists!G:G,0))</f>
        <v>Enter an amount only. Do not enter text or spaces.</v>
      </c>
      <c r="H2480" s="25" t="str">
        <f t="shared" ca="1" si="282"/>
        <v/>
      </c>
      <c r="I2480" s="25" t="str">
        <f t="shared" ca="1" si="283"/>
        <v/>
      </c>
      <c r="J2480" s="26" t="str">
        <f t="shared" ca="1" si="284"/>
        <v/>
      </c>
    </row>
    <row r="2481" spans="1:10" x14ac:dyDescent="0.25">
      <c r="A2481" t="s">
        <v>303</v>
      </c>
      <c r="B2481" t="str">
        <f>ADDRESS(ROW('Bond 1'!$C$40),COLUMN('Bond 1'!$C$40),4)</f>
        <v>C40</v>
      </c>
      <c r="C2481" t="str">
        <f>ADDRESS(ROW('Bond 1'!$D$40),COLUMN('Bond 1'!$D$40),4)</f>
        <v>D40</v>
      </c>
      <c r="D2481" t="b" cm="1">
        <f t="array" aca="1" ref="D2481" ca="1">IF(INDIRECT("'"&amp;A2481&amp;"'!"&amp;B2481)="",FALSE,IF(NOT(ISNUMBER(INDIRECT("'"&amp;A2481&amp;"'!"&amp;B2481))),TRUE,FALSE))</f>
        <v>0</v>
      </c>
      <c r="E2481" t="s">
        <v>435</v>
      </c>
      <c r="F2481" t="str">
        <f>INDEX(Lists!I:I,MATCH(Validation!E2481,Lists!G:G,0))</f>
        <v>Error</v>
      </c>
      <c r="G2481" t="str">
        <f>INDEX(Lists!H:H,MATCH(Validation!E2481,Lists!G:G,0))</f>
        <v>Enter an amount only. Do not enter text or spaces.</v>
      </c>
      <c r="H2481" s="25" t="str">
        <f t="shared" ca="1" si="282"/>
        <v/>
      </c>
      <c r="I2481" s="25" t="str">
        <f t="shared" ca="1" si="283"/>
        <v/>
      </c>
      <c r="J2481" s="26" t="str">
        <f t="shared" ca="1" si="284"/>
        <v/>
      </c>
    </row>
    <row r="2482" spans="1:10" x14ac:dyDescent="0.25">
      <c r="A2482" t="s">
        <v>304</v>
      </c>
      <c r="B2482" t="str">
        <f>ADDRESS(ROW('Bond 1'!$C$40),COLUMN('Bond 1'!$C$40),4)</f>
        <v>C40</v>
      </c>
      <c r="C2482" t="str">
        <f>ADDRESS(ROW('Bond 1'!$D$40),COLUMN('Bond 1'!$D$40),4)</f>
        <v>D40</v>
      </c>
      <c r="D2482" t="b" cm="1">
        <f t="array" aca="1" ref="D2482" ca="1">IF(INDIRECT("'"&amp;A2482&amp;"'!"&amp;B2482)="",FALSE,IF(NOT(ISNUMBER(INDIRECT("'"&amp;A2482&amp;"'!"&amp;B2482))),TRUE,FALSE))</f>
        <v>0</v>
      </c>
      <c r="E2482" t="s">
        <v>435</v>
      </c>
      <c r="F2482" t="str">
        <f>INDEX(Lists!I:I,MATCH(Validation!E2482,Lists!G:G,0))</f>
        <v>Error</v>
      </c>
      <c r="G2482" t="str">
        <f>INDEX(Lists!H:H,MATCH(Validation!E2482,Lists!G:G,0))</f>
        <v>Enter an amount only. Do not enter text or spaces.</v>
      </c>
      <c r="H2482" s="25" t="str">
        <f t="shared" ca="1" si="282"/>
        <v/>
      </c>
      <c r="I2482" s="25" t="str">
        <f t="shared" ca="1" si="283"/>
        <v/>
      </c>
      <c r="J2482" s="26" t="str">
        <f t="shared" ca="1" si="284"/>
        <v/>
      </c>
    </row>
    <row r="2483" spans="1:10" x14ac:dyDescent="0.25">
      <c r="A2483" t="s">
        <v>305</v>
      </c>
      <c r="B2483" t="str">
        <f>ADDRESS(ROW('Bond 1'!$C$40),COLUMN('Bond 1'!$C$40),4)</f>
        <v>C40</v>
      </c>
      <c r="C2483" t="str">
        <f>ADDRESS(ROW('Bond 1'!$D$40),COLUMN('Bond 1'!$D$40),4)</f>
        <v>D40</v>
      </c>
      <c r="D2483" t="b" cm="1">
        <f t="array" aca="1" ref="D2483" ca="1">IF(INDIRECT("'"&amp;A2483&amp;"'!"&amp;B2483)="",FALSE,IF(NOT(ISNUMBER(INDIRECT("'"&amp;A2483&amp;"'!"&amp;B2483))),TRUE,FALSE))</f>
        <v>0</v>
      </c>
      <c r="E2483" t="s">
        <v>435</v>
      </c>
      <c r="F2483" t="str">
        <f>INDEX(Lists!I:I,MATCH(Validation!E2483,Lists!G:G,0))</f>
        <v>Error</v>
      </c>
      <c r="G2483" t="str">
        <f>INDEX(Lists!H:H,MATCH(Validation!E2483,Lists!G:G,0))</f>
        <v>Enter an amount only. Do not enter text or spaces.</v>
      </c>
      <c r="H2483" s="25" t="str">
        <f t="shared" ca="1" si="282"/>
        <v/>
      </c>
      <c r="I2483" s="25" t="str">
        <f t="shared" ca="1" si="283"/>
        <v/>
      </c>
      <c r="J2483" s="26" t="str">
        <f t="shared" ca="1" si="284"/>
        <v/>
      </c>
    </row>
    <row r="2484" spans="1:10" x14ac:dyDescent="0.25">
      <c r="A2484" t="s">
        <v>306</v>
      </c>
      <c r="B2484" t="str">
        <f>ADDRESS(ROW('Bond 1'!$C$40),COLUMN('Bond 1'!$C$40),4)</f>
        <v>C40</v>
      </c>
      <c r="C2484" t="str">
        <f>ADDRESS(ROW('Bond 1'!$D$40),COLUMN('Bond 1'!$D$40),4)</f>
        <v>D40</v>
      </c>
      <c r="D2484" t="b" cm="1">
        <f t="array" aca="1" ref="D2484" ca="1">IF(INDIRECT("'"&amp;A2484&amp;"'!"&amp;B2484)="",FALSE,IF(NOT(ISNUMBER(INDIRECT("'"&amp;A2484&amp;"'!"&amp;B2484))),TRUE,FALSE))</f>
        <v>0</v>
      </c>
      <c r="E2484" t="s">
        <v>435</v>
      </c>
      <c r="F2484" t="str">
        <f>INDEX(Lists!I:I,MATCH(Validation!E2484,Lists!G:G,0))</f>
        <v>Error</v>
      </c>
      <c r="G2484" t="str">
        <f>INDEX(Lists!H:H,MATCH(Validation!E2484,Lists!G:G,0))</f>
        <v>Enter an amount only. Do not enter text or spaces.</v>
      </c>
      <c r="H2484" s="25" t="str">
        <f t="shared" ca="1" si="282"/>
        <v/>
      </c>
      <c r="I2484" s="25" t="str">
        <f t="shared" ca="1" si="283"/>
        <v/>
      </c>
      <c r="J2484" s="26" t="str">
        <f t="shared" ca="1" si="284"/>
        <v/>
      </c>
    </row>
    <row r="2485" spans="1:10" x14ac:dyDescent="0.25">
      <c r="A2485" t="s">
        <v>307</v>
      </c>
      <c r="B2485" t="str">
        <f>ADDRESS(ROW('Bond 1'!$C$40),COLUMN('Bond 1'!$C$40),4)</f>
        <v>C40</v>
      </c>
      <c r="C2485" t="str">
        <f>ADDRESS(ROW('Bond 1'!$D$40),COLUMN('Bond 1'!$D$40),4)</f>
        <v>D40</v>
      </c>
      <c r="D2485" t="b" cm="1">
        <f t="array" aca="1" ref="D2485" ca="1">IF(INDIRECT("'"&amp;A2485&amp;"'!"&amp;B2485)="",FALSE,IF(NOT(ISNUMBER(INDIRECT("'"&amp;A2485&amp;"'!"&amp;B2485))),TRUE,FALSE))</f>
        <v>0</v>
      </c>
      <c r="E2485" t="s">
        <v>435</v>
      </c>
      <c r="F2485" t="str">
        <f>INDEX(Lists!I:I,MATCH(Validation!E2485,Lists!G:G,0))</f>
        <v>Error</v>
      </c>
      <c r="G2485" t="str">
        <f>INDEX(Lists!H:H,MATCH(Validation!E2485,Lists!G:G,0))</f>
        <v>Enter an amount only. Do not enter text or spaces.</v>
      </c>
      <c r="H2485" s="25" t="str">
        <f t="shared" ca="1" si="282"/>
        <v/>
      </c>
      <c r="I2485" s="25" t="str">
        <f t="shared" ca="1" si="283"/>
        <v/>
      </c>
      <c r="J2485" s="26" t="str">
        <f t="shared" ca="1" si="284"/>
        <v/>
      </c>
    </row>
    <row r="2486" spans="1:10" x14ac:dyDescent="0.25">
      <c r="A2486" t="s">
        <v>308</v>
      </c>
      <c r="B2486" t="str">
        <f>ADDRESS(ROW('Bond 1'!$C$40),COLUMN('Bond 1'!$C$40),4)</f>
        <v>C40</v>
      </c>
      <c r="C2486" t="str">
        <f>ADDRESS(ROW('Bond 1'!$D$40),COLUMN('Bond 1'!$D$40),4)</f>
        <v>D40</v>
      </c>
      <c r="D2486" t="b" cm="1">
        <f t="array" aca="1" ref="D2486" ca="1">IF(INDIRECT("'"&amp;A2486&amp;"'!"&amp;B2486)="",FALSE,IF(NOT(ISNUMBER(INDIRECT("'"&amp;A2486&amp;"'!"&amp;B2486))),TRUE,FALSE))</f>
        <v>0</v>
      </c>
      <c r="E2486" t="s">
        <v>435</v>
      </c>
      <c r="F2486" t="str">
        <f>INDEX(Lists!I:I,MATCH(Validation!E2486,Lists!G:G,0))</f>
        <v>Error</v>
      </c>
      <c r="G2486" t="str">
        <f>INDEX(Lists!H:H,MATCH(Validation!E2486,Lists!G:G,0))</f>
        <v>Enter an amount only. Do not enter text or spaces.</v>
      </c>
      <c r="H2486" s="25" t="str">
        <f t="shared" ca="1" si="282"/>
        <v/>
      </c>
      <c r="I2486" s="25" t="str">
        <f t="shared" ca="1" si="283"/>
        <v/>
      </c>
      <c r="J2486" s="26" t="str">
        <f t="shared" ca="1" si="284"/>
        <v/>
      </c>
    </row>
    <row r="2487" spans="1:10" x14ac:dyDescent="0.25">
      <c r="A2487" t="s">
        <v>309</v>
      </c>
      <c r="B2487" t="str">
        <f>ADDRESS(ROW('Bond 1'!$C$40),COLUMN('Bond 1'!$C$40),4)</f>
        <v>C40</v>
      </c>
      <c r="C2487" t="str">
        <f>ADDRESS(ROW('Bond 1'!$D$40),COLUMN('Bond 1'!$D$40),4)</f>
        <v>D40</v>
      </c>
      <c r="D2487" t="b" cm="1">
        <f t="array" aca="1" ref="D2487" ca="1">IF(INDIRECT("'"&amp;A2487&amp;"'!"&amp;B2487)="",FALSE,IF(NOT(ISNUMBER(INDIRECT("'"&amp;A2487&amp;"'!"&amp;B2487))),TRUE,FALSE))</f>
        <v>0</v>
      </c>
      <c r="E2487" t="s">
        <v>435</v>
      </c>
      <c r="F2487" t="str">
        <f>INDEX(Lists!I:I,MATCH(Validation!E2487,Lists!G:G,0))</f>
        <v>Error</v>
      </c>
      <c r="G2487" t="str">
        <f>INDEX(Lists!H:H,MATCH(Validation!E2487,Lists!G:G,0))</f>
        <v>Enter an amount only. Do not enter text or spaces.</v>
      </c>
      <c r="H2487" s="25" t="str">
        <f t="shared" ca="1" si="282"/>
        <v/>
      </c>
      <c r="I2487" s="25" t="str">
        <f t="shared" ca="1" si="283"/>
        <v/>
      </c>
      <c r="J2487" s="26" t="str">
        <f t="shared" ca="1" si="284"/>
        <v/>
      </c>
    </row>
    <row r="2488" spans="1:10" x14ac:dyDescent="0.25">
      <c r="A2488" t="s">
        <v>310</v>
      </c>
      <c r="B2488" t="str">
        <f>ADDRESS(ROW('Bond 1'!$C$40),COLUMN('Bond 1'!$C$40),4)</f>
        <v>C40</v>
      </c>
      <c r="C2488" t="str">
        <f>ADDRESS(ROW('Bond 1'!$D$40),COLUMN('Bond 1'!$D$40),4)</f>
        <v>D40</v>
      </c>
      <c r="D2488" t="b" cm="1">
        <f t="array" aca="1" ref="D2488" ca="1">IF(INDIRECT("'"&amp;A2488&amp;"'!"&amp;B2488)="",FALSE,IF(NOT(ISNUMBER(INDIRECT("'"&amp;A2488&amp;"'!"&amp;B2488))),TRUE,FALSE))</f>
        <v>0</v>
      </c>
      <c r="E2488" t="s">
        <v>435</v>
      </c>
      <c r="F2488" t="str">
        <f>INDEX(Lists!I:I,MATCH(Validation!E2488,Lists!G:G,0))</f>
        <v>Error</v>
      </c>
      <c r="G2488" t="str">
        <f>INDEX(Lists!H:H,MATCH(Validation!E2488,Lists!G:G,0))</f>
        <v>Enter an amount only. Do not enter text or spaces.</v>
      </c>
      <c r="H2488" s="25" t="str">
        <f t="shared" ca="1" si="282"/>
        <v/>
      </c>
      <c r="I2488" s="25" t="str">
        <f t="shared" ca="1" si="283"/>
        <v/>
      </c>
      <c r="J2488" s="26" t="str">
        <f t="shared" ca="1" si="284"/>
        <v/>
      </c>
    </row>
    <row r="2489" spans="1:10" x14ac:dyDescent="0.25">
      <c r="A2489" t="s">
        <v>311</v>
      </c>
      <c r="B2489" t="str">
        <f>ADDRESS(ROW('Bond 1'!$C$40),COLUMN('Bond 1'!$C$40),4)</f>
        <v>C40</v>
      </c>
      <c r="C2489" t="str">
        <f>ADDRESS(ROW('Bond 1'!$D$40),COLUMN('Bond 1'!$D$40),4)</f>
        <v>D40</v>
      </c>
      <c r="D2489" t="b" cm="1">
        <f t="array" aca="1" ref="D2489" ca="1">IF(INDIRECT("'"&amp;A2489&amp;"'!"&amp;B2489)="",FALSE,IF(NOT(ISNUMBER(INDIRECT("'"&amp;A2489&amp;"'!"&amp;B2489))),TRUE,FALSE))</f>
        <v>0</v>
      </c>
      <c r="E2489" t="s">
        <v>435</v>
      </c>
      <c r="F2489" t="str">
        <f>INDEX(Lists!I:I,MATCH(Validation!E2489,Lists!G:G,0))</f>
        <v>Error</v>
      </c>
      <c r="G2489" t="str">
        <f>INDEX(Lists!H:H,MATCH(Validation!E2489,Lists!G:G,0))</f>
        <v>Enter an amount only. Do not enter text or spaces.</v>
      </c>
      <c r="H2489" s="25" t="str">
        <f t="shared" ca="1" si="282"/>
        <v/>
      </c>
      <c r="I2489" s="25" t="str">
        <f t="shared" ca="1" si="283"/>
        <v/>
      </c>
      <c r="J2489" s="26" t="str">
        <f t="shared" ca="1" si="284"/>
        <v/>
      </c>
    </row>
    <row r="2490" spans="1:10" x14ac:dyDescent="0.25">
      <c r="A2490" t="s">
        <v>312</v>
      </c>
      <c r="B2490" t="str">
        <f>ADDRESS(ROW('Bond 1'!$C$40),COLUMN('Bond 1'!$C$40),4)</f>
        <v>C40</v>
      </c>
      <c r="C2490" t="str">
        <f>ADDRESS(ROW('Bond 1'!$D$40),COLUMN('Bond 1'!$D$40),4)</f>
        <v>D40</v>
      </c>
      <c r="D2490" t="b" cm="1">
        <f t="array" aca="1" ref="D2490" ca="1">IF(INDIRECT("'"&amp;A2490&amp;"'!"&amp;B2490)="",FALSE,IF(NOT(ISNUMBER(INDIRECT("'"&amp;A2490&amp;"'!"&amp;B2490))),TRUE,FALSE))</f>
        <v>0</v>
      </c>
      <c r="E2490" t="s">
        <v>435</v>
      </c>
      <c r="F2490" t="str">
        <f>INDEX(Lists!I:I,MATCH(Validation!E2490,Lists!G:G,0))</f>
        <v>Error</v>
      </c>
      <c r="G2490" t="str">
        <f>INDEX(Lists!H:H,MATCH(Validation!E2490,Lists!G:G,0))</f>
        <v>Enter an amount only. Do not enter text or spaces.</v>
      </c>
      <c r="H2490" s="25" t="str">
        <f t="shared" ca="1" si="282"/>
        <v/>
      </c>
      <c r="I2490" s="25" t="str">
        <f t="shared" ca="1" si="283"/>
        <v/>
      </c>
      <c r="J2490" s="26" t="str">
        <f t="shared" ca="1" si="284"/>
        <v/>
      </c>
    </row>
    <row r="2491" spans="1:10" x14ac:dyDescent="0.25">
      <c r="A2491" t="s">
        <v>313</v>
      </c>
      <c r="B2491" t="str">
        <f>ADDRESS(ROW('Bond 1'!$C$40),COLUMN('Bond 1'!$C$40),4)</f>
        <v>C40</v>
      </c>
      <c r="C2491" t="str">
        <f>ADDRESS(ROW('Bond 1'!$D$40),COLUMN('Bond 1'!$D$40),4)</f>
        <v>D40</v>
      </c>
      <c r="D2491" t="b" cm="1">
        <f t="array" aca="1" ref="D2491" ca="1">IF(INDIRECT("'"&amp;A2491&amp;"'!"&amp;B2491)="",FALSE,IF(NOT(ISNUMBER(INDIRECT("'"&amp;A2491&amp;"'!"&amp;B2491))),TRUE,FALSE))</f>
        <v>0</v>
      </c>
      <c r="E2491" t="s">
        <v>435</v>
      </c>
      <c r="F2491" t="str">
        <f>INDEX(Lists!I:I,MATCH(Validation!E2491,Lists!G:G,0))</f>
        <v>Error</v>
      </c>
      <c r="G2491" t="str">
        <f>INDEX(Lists!H:H,MATCH(Validation!E2491,Lists!G:G,0))</f>
        <v>Enter an amount only. Do not enter text or spaces.</v>
      </c>
      <c r="H2491" s="25" t="str">
        <f t="shared" ca="1" si="282"/>
        <v/>
      </c>
      <c r="I2491" s="25" t="str">
        <f t="shared" ca="1" si="283"/>
        <v/>
      </c>
      <c r="J2491" s="26" t="str">
        <f t="shared" ca="1" si="284"/>
        <v/>
      </c>
    </row>
    <row r="2492" spans="1:10" x14ac:dyDescent="0.25">
      <c r="A2492" t="s">
        <v>314</v>
      </c>
      <c r="B2492" t="str">
        <f>ADDRESS(ROW('Bond 1'!$C$40),COLUMN('Bond 1'!$C$40),4)</f>
        <v>C40</v>
      </c>
      <c r="C2492" t="str">
        <f>ADDRESS(ROW('Bond 1'!$D$40),COLUMN('Bond 1'!$D$40),4)</f>
        <v>D40</v>
      </c>
      <c r="D2492" t="b" cm="1">
        <f t="array" aca="1" ref="D2492" ca="1">IF(INDIRECT("'"&amp;A2492&amp;"'!"&amp;B2492)="",FALSE,IF(NOT(ISNUMBER(INDIRECT("'"&amp;A2492&amp;"'!"&amp;B2492))),TRUE,FALSE))</f>
        <v>0</v>
      </c>
      <c r="E2492" t="s">
        <v>435</v>
      </c>
      <c r="F2492" t="str">
        <f>INDEX(Lists!I:I,MATCH(Validation!E2492,Lists!G:G,0))</f>
        <v>Error</v>
      </c>
      <c r="G2492" t="str">
        <f>INDEX(Lists!H:H,MATCH(Validation!E2492,Lists!G:G,0))</f>
        <v>Enter an amount only. Do not enter text or spaces.</v>
      </c>
      <c r="H2492" s="25" t="str">
        <f t="shared" ca="1" si="282"/>
        <v/>
      </c>
      <c r="I2492" s="25" t="str">
        <f t="shared" ca="1" si="283"/>
        <v/>
      </c>
      <c r="J2492" s="26" t="str">
        <f t="shared" ca="1" si="284"/>
        <v/>
      </c>
    </row>
    <row r="2493" spans="1:10" x14ac:dyDescent="0.25">
      <c r="A2493" t="s">
        <v>315</v>
      </c>
      <c r="B2493" t="str">
        <f>ADDRESS(ROW('Bond 1'!$C$40),COLUMN('Bond 1'!$C$40),4)</f>
        <v>C40</v>
      </c>
      <c r="C2493" t="str">
        <f>ADDRESS(ROW('Bond 1'!$D$40),COLUMN('Bond 1'!$D$40),4)</f>
        <v>D40</v>
      </c>
      <c r="D2493" t="b" cm="1">
        <f t="array" aca="1" ref="D2493" ca="1">IF(INDIRECT("'"&amp;A2493&amp;"'!"&amp;B2493)="",FALSE,IF(NOT(ISNUMBER(INDIRECT("'"&amp;A2493&amp;"'!"&amp;B2493))),TRUE,FALSE))</f>
        <v>0</v>
      </c>
      <c r="E2493" t="s">
        <v>435</v>
      </c>
      <c r="F2493" t="str">
        <f>INDEX(Lists!I:I,MATCH(Validation!E2493,Lists!G:G,0))</f>
        <v>Error</v>
      </c>
      <c r="G2493" t="str">
        <f>INDEX(Lists!H:H,MATCH(Validation!E2493,Lists!G:G,0))</f>
        <v>Enter an amount only. Do not enter text or spaces.</v>
      </c>
      <c r="H2493" s="25" t="str">
        <f t="shared" ca="1" si="282"/>
        <v/>
      </c>
      <c r="I2493" s="25" t="str">
        <f t="shared" ca="1" si="283"/>
        <v/>
      </c>
      <c r="J2493" s="26" t="str">
        <f t="shared" ca="1" si="284"/>
        <v/>
      </c>
    </row>
    <row r="2494" spans="1:10" x14ac:dyDescent="0.25">
      <c r="A2494" t="s">
        <v>198</v>
      </c>
      <c r="B2494" t="str">
        <f>ADDRESS(ROW('Bond 1'!$C$40),COLUMN('Bond 1'!$C$40),4)</f>
        <v>C40</v>
      </c>
      <c r="C2494" t="str">
        <f>ADDRESS(ROW('Bond 1'!$D$40),COLUMN('Bond 1'!$D$40),4)</f>
        <v>D40</v>
      </c>
      <c r="D2494" t="b" cm="1">
        <f t="array" aca="1" ref="D2494" ca="1">IF(INDIRECT("'"&amp;A2494&amp;"'!"&amp;B2494)="",FALSE,IF(INDIRECT("'"&amp;A2494&amp;"'!"&amp;B2494)&lt;0,TRUE,FALSE))</f>
        <v>0</v>
      </c>
      <c r="E2494" t="s">
        <v>434</v>
      </c>
      <c r="F2494" t="str">
        <f>INDEX(Lists!I:I,MATCH(Validation!E2494,Lists!G:G,0))</f>
        <v>Error</v>
      </c>
      <c r="G2494" t="str">
        <f>INDEX(Lists!H:H,MATCH(Validation!E2494,Lists!G:G,0))</f>
        <v>Amount may not be negative. Enter an amount greater than or equal to zero.</v>
      </c>
      <c r="H2494" s="25" t="str">
        <f t="shared" ca="1" si="282"/>
        <v/>
      </c>
      <c r="I2494" s="25" t="str">
        <f t="shared" ca="1" si="283"/>
        <v/>
      </c>
      <c r="J2494" s="26" t="str">
        <f t="shared" ca="1" si="284"/>
        <v/>
      </c>
    </row>
    <row r="2495" spans="1:10" x14ac:dyDescent="0.25">
      <c r="A2495" t="s">
        <v>302</v>
      </c>
      <c r="B2495" t="str">
        <f>ADDRESS(ROW('Bond 1'!$C$40),COLUMN('Bond 1'!$C$40),4)</f>
        <v>C40</v>
      </c>
      <c r="C2495" t="str">
        <f>ADDRESS(ROW('Bond 1'!$D$40),COLUMN('Bond 1'!$D$40),4)</f>
        <v>D40</v>
      </c>
      <c r="D2495" t="b" cm="1">
        <f t="array" aca="1" ref="D2495" ca="1">IF(INDIRECT("'"&amp;A2495&amp;"'!"&amp;B2495)="",FALSE,IF(INDIRECT("'"&amp;A2495&amp;"'!"&amp;B2495)&lt;0,TRUE,FALSE))</f>
        <v>0</v>
      </c>
      <c r="E2495" t="s">
        <v>434</v>
      </c>
      <c r="F2495" t="str">
        <f>INDEX(Lists!I:I,MATCH(Validation!E2495,Lists!G:G,0))</f>
        <v>Error</v>
      </c>
      <c r="G2495" t="str">
        <f>INDEX(Lists!H:H,MATCH(Validation!E2495,Lists!G:G,0))</f>
        <v>Amount may not be negative. Enter an amount greater than or equal to zero.</v>
      </c>
      <c r="H2495" s="25" t="str">
        <f t="shared" ca="1" si="282"/>
        <v/>
      </c>
      <c r="I2495" s="25" t="str">
        <f t="shared" ca="1" si="283"/>
        <v/>
      </c>
      <c r="J2495" s="26" t="str">
        <f t="shared" ca="1" si="284"/>
        <v/>
      </c>
    </row>
    <row r="2496" spans="1:10" x14ac:dyDescent="0.25">
      <c r="A2496" t="s">
        <v>303</v>
      </c>
      <c r="B2496" t="str">
        <f>ADDRESS(ROW('Bond 1'!$C$40),COLUMN('Bond 1'!$C$40),4)</f>
        <v>C40</v>
      </c>
      <c r="C2496" t="str">
        <f>ADDRESS(ROW('Bond 1'!$D$40),COLUMN('Bond 1'!$D$40),4)</f>
        <v>D40</v>
      </c>
      <c r="D2496" t="b" cm="1">
        <f t="array" aca="1" ref="D2496" ca="1">IF(INDIRECT("'"&amp;A2496&amp;"'!"&amp;B2496)="",FALSE,IF(INDIRECT("'"&amp;A2496&amp;"'!"&amp;B2496)&lt;0,TRUE,FALSE))</f>
        <v>0</v>
      </c>
      <c r="E2496" t="s">
        <v>434</v>
      </c>
      <c r="F2496" t="str">
        <f>INDEX(Lists!I:I,MATCH(Validation!E2496,Lists!G:G,0))</f>
        <v>Error</v>
      </c>
      <c r="G2496" t="str">
        <f>INDEX(Lists!H:H,MATCH(Validation!E2496,Lists!G:G,0))</f>
        <v>Amount may not be negative. Enter an amount greater than or equal to zero.</v>
      </c>
      <c r="H2496" s="25" t="str">
        <f t="shared" ca="1" si="282"/>
        <v/>
      </c>
      <c r="I2496" s="25" t="str">
        <f t="shared" ca="1" si="283"/>
        <v/>
      </c>
      <c r="J2496" s="26" t="str">
        <f t="shared" ca="1" si="284"/>
        <v/>
      </c>
    </row>
    <row r="2497" spans="1:10" x14ac:dyDescent="0.25">
      <c r="A2497" t="s">
        <v>304</v>
      </c>
      <c r="B2497" t="str">
        <f>ADDRESS(ROW('Bond 1'!$C$40),COLUMN('Bond 1'!$C$40),4)</f>
        <v>C40</v>
      </c>
      <c r="C2497" t="str">
        <f>ADDRESS(ROW('Bond 1'!$D$40),COLUMN('Bond 1'!$D$40),4)</f>
        <v>D40</v>
      </c>
      <c r="D2497" t="b" cm="1">
        <f t="array" aca="1" ref="D2497" ca="1">IF(INDIRECT("'"&amp;A2497&amp;"'!"&amp;B2497)="",FALSE,IF(INDIRECT("'"&amp;A2497&amp;"'!"&amp;B2497)&lt;0,TRUE,FALSE))</f>
        <v>0</v>
      </c>
      <c r="E2497" t="s">
        <v>434</v>
      </c>
      <c r="F2497" t="str">
        <f>INDEX(Lists!I:I,MATCH(Validation!E2497,Lists!G:G,0))</f>
        <v>Error</v>
      </c>
      <c r="G2497" t="str">
        <f>INDEX(Lists!H:H,MATCH(Validation!E2497,Lists!G:G,0))</f>
        <v>Amount may not be negative. Enter an amount greater than or equal to zero.</v>
      </c>
      <c r="H2497" s="25" t="str">
        <f t="shared" ca="1" si="282"/>
        <v/>
      </c>
      <c r="I2497" s="25" t="str">
        <f t="shared" ca="1" si="283"/>
        <v/>
      </c>
      <c r="J2497" s="26" t="str">
        <f t="shared" ca="1" si="284"/>
        <v/>
      </c>
    </row>
    <row r="2498" spans="1:10" x14ac:dyDescent="0.25">
      <c r="A2498" t="s">
        <v>305</v>
      </c>
      <c r="B2498" t="str">
        <f>ADDRESS(ROW('Bond 1'!$C$40),COLUMN('Bond 1'!$C$40),4)</f>
        <v>C40</v>
      </c>
      <c r="C2498" t="str">
        <f>ADDRESS(ROW('Bond 1'!$D$40),COLUMN('Bond 1'!$D$40),4)</f>
        <v>D40</v>
      </c>
      <c r="D2498" t="b" cm="1">
        <f t="array" aca="1" ref="D2498" ca="1">IF(INDIRECT("'"&amp;A2498&amp;"'!"&amp;B2498)="",FALSE,IF(INDIRECT("'"&amp;A2498&amp;"'!"&amp;B2498)&lt;0,TRUE,FALSE))</f>
        <v>0</v>
      </c>
      <c r="E2498" t="s">
        <v>434</v>
      </c>
      <c r="F2498" t="str">
        <f>INDEX(Lists!I:I,MATCH(Validation!E2498,Lists!G:G,0))</f>
        <v>Error</v>
      </c>
      <c r="G2498" t="str">
        <f>INDEX(Lists!H:H,MATCH(Validation!E2498,Lists!G:G,0))</f>
        <v>Amount may not be negative. Enter an amount greater than or equal to zero.</v>
      </c>
      <c r="H2498" s="25" t="str">
        <f t="shared" ca="1" si="282"/>
        <v/>
      </c>
      <c r="I2498" s="25" t="str">
        <f t="shared" ca="1" si="283"/>
        <v/>
      </c>
      <c r="J2498" s="26" t="str">
        <f t="shared" ca="1" si="284"/>
        <v/>
      </c>
    </row>
    <row r="2499" spans="1:10" x14ac:dyDescent="0.25">
      <c r="A2499" t="s">
        <v>306</v>
      </c>
      <c r="B2499" t="str">
        <f>ADDRESS(ROW('Bond 1'!$C$40),COLUMN('Bond 1'!$C$40),4)</f>
        <v>C40</v>
      </c>
      <c r="C2499" t="str">
        <f>ADDRESS(ROW('Bond 1'!$D$40),COLUMN('Bond 1'!$D$40),4)</f>
        <v>D40</v>
      </c>
      <c r="D2499" t="b" cm="1">
        <f t="array" aca="1" ref="D2499" ca="1">IF(INDIRECT("'"&amp;A2499&amp;"'!"&amp;B2499)="",FALSE,IF(INDIRECT("'"&amp;A2499&amp;"'!"&amp;B2499)&lt;0,TRUE,FALSE))</f>
        <v>0</v>
      </c>
      <c r="E2499" t="s">
        <v>434</v>
      </c>
      <c r="F2499" t="str">
        <f>INDEX(Lists!I:I,MATCH(Validation!E2499,Lists!G:G,0))</f>
        <v>Error</v>
      </c>
      <c r="G2499" t="str">
        <f>INDEX(Lists!H:H,MATCH(Validation!E2499,Lists!G:G,0))</f>
        <v>Amount may not be negative. Enter an amount greater than or equal to zero.</v>
      </c>
      <c r="H2499" s="25" t="str">
        <f t="shared" ca="1" si="282"/>
        <v/>
      </c>
      <c r="I2499" s="25" t="str">
        <f t="shared" ca="1" si="283"/>
        <v/>
      </c>
      <c r="J2499" s="26" t="str">
        <f t="shared" ca="1" si="284"/>
        <v/>
      </c>
    </row>
    <row r="2500" spans="1:10" x14ac:dyDescent="0.25">
      <c r="A2500" t="s">
        <v>307</v>
      </c>
      <c r="B2500" t="str">
        <f>ADDRESS(ROW('Bond 1'!$C$40),COLUMN('Bond 1'!$C$40),4)</f>
        <v>C40</v>
      </c>
      <c r="C2500" t="str">
        <f>ADDRESS(ROW('Bond 1'!$D$40),COLUMN('Bond 1'!$D$40),4)</f>
        <v>D40</v>
      </c>
      <c r="D2500" t="b" cm="1">
        <f t="array" aca="1" ref="D2500" ca="1">IF(INDIRECT("'"&amp;A2500&amp;"'!"&amp;B2500)="",FALSE,IF(INDIRECT("'"&amp;A2500&amp;"'!"&amp;B2500)&lt;0,TRUE,FALSE))</f>
        <v>0</v>
      </c>
      <c r="E2500" t="s">
        <v>434</v>
      </c>
      <c r="F2500" t="str">
        <f>INDEX(Lists!I:I,MATCH(Validation!E2500,Lists!G:G,0))</f>
        <v>Error</v>
      </c>
      <c r="G2500" t="str">
        <f>INDEX(Lists!H:H,MATCH(Validation!E2500,Lists!G:G,0))</f>
        <v>Amount may not be negative. Enter an amount greater than or equal to zero.</v>
      </c>
      <c r="H2500" s="25" t="str">
        <f t="shared" ca="1" si="282"/>
        <v/>
      </c>
      <c r="I2500" s="25" t="str">
        <f t="shared" ca="1" si="283"/>
        <v/>
      </c>
      <c r="J2500" s="26" t="str">
        <f t="shared" ca="1" si="284"/>
        <v/>
      </c>
    </row>
    <row r="2501" spans="1:10" x14ac:dyDescent="0.25">
      <c r="A2501" t="s">
        <v>308</v>
      </c>
      <c r="B2501" t="str">
        <f>ADDRESS(ROW('Bond 1'!$C$40),COLUMN('Bond 1'!$C$40),4)</f>
        <v>C40</v>
      </c>
      <c r="C2501" t="str">
        <f>ADDRESS(ROW('Bond 1'!$D$40),COLUMN('Bond 1'!$D$40),4)</f>
        <v>D40</v>
      </c>
      <c r="D2501" t="b" cm="1">
        <f t="array" aca="1" ref="D2501" ca="1">IF(INDIRECT("'"&amp;A2501&amp;"'!"&amp;B2501)="",FALSE,IF(INDIRECT("'"&amp;A2501&amp;"'!"&amp;B2501)&lt;0,TRUE,FALSE))</f>
        <v>0</v>
      </c>
      <c r="E2501" t="s">
        <v>434</v>
      </c>
      <c r="F2501" t="str">
        <f>INDEX(Lists!I:I,MATCH(Validation!E2501,Lists!G:G,0))</f>
        <v>Error</v>
      </c>
      <c r="G2501" t="str">
        <f>INDEX(Lists!H:H,MATCH(Validation!E2501,Lists!G:G,0))</f>
        <v>Amount may not be negative. Enter an amount greater than or equal to zero.</v>
      </c>
      <c r="H2501" s="25" t="str">
        <f t="shared" ca="1" si="282"/>
        <v/>
      </c>
      <c r="I2501" s="25" t="str">
        <f t="shared" ca="1" si="283"/>
        <v/>
      </c>
      <c r="J2501" s="26" t="str">
        <f t="shared" ca="1" si="284"/>
        <v/>
      </c>
    </row>
    <row r="2502" spans="1:10" x14ac:dyDescent="0.25">
      <c r="A2502" t="s">
        <v>309</v>
      </c>
      <c r="B2502" t="str">
        <f>ADDRESS(ROW('Bond 1'!$C$40),COLUMN('Bond 1'!$C$40),4)</f>
        <v>C40</v>
      </c>
      <c r="C2502" t="str">
        <f>ADDRESS(ROW('Bond 1'!$D$40),COLUMN('Bond 1'!$D$40),4)</f>
        <v>D40</v>
      </c>
      <c r="D2502" t="b" cm="1">
        <f t="array" aca="1" ref="D2502" ca="1">IF(INDIRECT("'"&amp;A2502&amp;"'!"&amp;B2502)="",FALSE,IF(INDIRECT("'"&amp;A2502&amp;"'!"&amp;B2502)&lt;0,TRUE,FALSE))</f>
        <v>0</v>
      </c>
      <c r="E2502" t="s">
        <v>434</v>
      </c>
      <c r="F2502" t="str">
        <f>INDEX(Lists!I:I,MATCH(Validation!E2502,Lists!G:G,0))</f>
        <v>Error</v>
      </c>
      <c r="G2502" t="str">
        <f>INDEX(Lists!H:H,MATCH(Validation!E2502,Lists!G:G,0))</f>
        <v>Amount may not be negative. Enter an amount greater than or equal to zero.</v>
      </c>
      <c r="H2502" s="25" t="str">
        <f t="shared" ca="1" si="282"/>
        <v/>
      </c>
      <c r="I2502" s="25" t="str">
        <f t="shared" ca="1" si="283"/>
        <v/>
      </c>
      <c r="J2502" s="26" t="str">
        <f t="shared" ca="1" si="284"/>
        <v/>
      </c>
    </row>
    <row r="2503" spans="1:10" x14ac:dyDescent="0.25">
      <c r="A2503" t="s">
        <v>310</v>
      </c>
      <c r="B2503" t="str">
        <f>ADDRESS(ROW('Bond 1'!$C$40),COLUMN('Bond 1'!$C$40),4)</f>
        <v>C40</v>
      </c>
      <c r="C2503" t="str">
        <f>ADDRESS(ROW('Bond 1'!$D$40),COLUMN('Bond 1'!$D$40),4)</f>
        <v>D40</v>
      </c>
      <c r="D2503" t="b" cm="1">
        <f t="array" aca="1" ref="D2503" ca="1">IF(INDIRECT("'"&amp;A2503&amp;"'!"&amp;B2503)="",FALSE,IF(INDIRECT("'"&amp;A2503&amp;"'!"&amp;B2503)&lt;0,TRUE,FALSE))</f>
        <v>0</v>
      </c>
      <c r="E2503" t="s">
        <v>434</v>
      </c>
      <c r="F2503" t="str">
        <f>INDEX(Lists!I:I,MATCH(Validation!E2503,Lists!G:G,0))</f>
        <v>Error</v>
      </c>
      <c r="G2503" t="str">
        <f>INDEX(Lists!H:H,MATCH(Validation!E2503,Lists!G:G,0))</f>
        <v>Amount may not be negative. Enter an amount greater than or equal to zero.</v>
      </c>
      <c r="H2503" s="25" t="str">
        <f t="shared" ca="1" si="282"/>
        <v/>
      </c>
      <c r="I2503" s="25" t="str">
        <f t="shared" ca="1" si="283"/>
        <v/>
      </c>
      <c r="J2503" s="26" t="str">
        <f t="shared" ca="1" si="284"/>
        <v/>
      </c>
    </row>
    <row r="2504" spans="1:10" x14ac:dyDescent="0.25">
      <c r="A2504" t="s">
        <v>311</v>
      </c>
      <c r="B2504" t="str">
        <f>ADDRESS(ROW('Bond 1'!$C$40),COLUMN('Bond 1'!$C$40),4)</f>
        <v>C40</v>
      </c>
      <c r="C2504" t="str">
        <f>ADDRESS(ROW('Bond 1'!$D$40),COLUMN('Bond 1'!$D$40),4)</f>
        <v>D40</v>
      </c>
      <c r="D2504" t="b" cm="1">
        <f t="array" aca="1" ref="D2504" ca="1">IF(INDIRECT("'"&amp;A2504&amp;"'!"&amp;B2504)="",FALSE,IF(INDIRECT("'"&amp;A2504&amp;"'!"&amp;B2504)&lt;0,TRUE,FALSE))</f>
        <v>0</v>
      </c>
      <c r="E2504" t="s">
        <v>434</v>
      </c>
      <c r="F2504" t="str">
        <f>INDEX(Lists!I:I,MATCH(Validation!E2504,Lists!G:G,0))</f>
        <v>Error</v>
      </c>
      <c r="G2504" t="str">
        <f>INDEX(Lists!H:H,MATCH(Validation!E2504,Lists!G:G,0))</f>
        <v>Amount may not be negative. Enter an amount greater than or equal to zero.</v>
      </c>
      <c r="H2504" s="25" t="str">
        <f t="shared" ca="1" si="282"/>
        <v/>
      </c>
      <c r="I2504" s="25" t="str">
        <f t="shared" ca="1" si="283"/>
        <v/>
      </c>
      <c r="J2504" s="26" t="str">
        <f t="shared" ca="1" si="284"/>
        <v/>
      </c>
    </row>
    <row r="2505" spans="1:10" x14ac:dyDescent="0.25">
      <c r="A2505" t="s">
        <v>312</v>
      </c>
      <c r="B2505" t="str">
        <f>ADDRESS(ROW('Bond 1'!$C$40),COLUMN('Bond 1'!$C$40),4)</f>
        <v>C40</v>
      </c>
      <c r="C2505" t="str">
        <f>ADDRESS(ROW('Bond 1'!$D$40),COLUMN('Bond 1'!$D$40),4)</f>
        <v>D40</v>
      </c>
      <c r="D2505" t="b" cm="1">
        <f t="array" aca="1" ref="D2505" ca="1">IF(INDIRECT("'"&amp;A2505&amp;"'!"&amp;B2505)="",FALSE,IF(INDIRECT("'"&amp;A2505&amp;"'!"&amp;B2505)&lt;0,TRUE,FALSE))</f>
        <v>0</v>
      </c>
      <c r="E2505" t="s">
        <v>434</v>
      </c>
      <c r="F2505" t="str">
        <f>INDEX(Lists!I:I,MATCH(Validation!E2505,Lists!G:G,0))</f>
        <v>Error</v>
      </c>
      <c r="G2505" t="str">
        <f>INDEX(Lists!H:H,MATCH(Validation!E2505,Lists!G:G,0))</f>
        <v>Amount may not be negative. Enter an amount greater than or equal to zero.</v>
      </c>
      <c r="H2505" s="25" t="str">
        <f t="shared" ca="1" si="282"/>
        <v/>
      </c>
      <c r="I2505" s="25" t="str">
        <f t="shared" ca="1" si="283"/>
        <v/>
      </c>
      <c r="J2505" s="26" t="str">
        <f t="shared" ca="1" si="284"/>
        <v/>
      </c>
    </row>
    <row r="2506" spans="1:10" x14ac:dyDescent="0.25">
      <c r="A2506" t="s">
        <v>313</v>
      </c>
      <c r="B2506" t="str">
        <f>ADDRESS(ROW('Bond 1'!$C$40),COLUMN('Bond 1'!$C$40),4)</f>
        <v>C40</v>
      </c>
      <c r="C2506" t="str">
        <f>ADDRESS(ROW('Bond 1'!$D$40),COLUMN('Bond 1'!$D$40),4)</f>
        <v>D40</v>
      </c>
      <c r="D2506" t="b" cm="1">
        <f t="array" aca="1" ref="D2506" ca="1">IF(INDIRECT("'"&amp;A2506&amp;"'!"&amp;B2506)="",FALSE,IF(INDIRECT("'"&amp;A2506&amp;"'!"&amp;B2506)&lt;0,TRUE,FALSE))</f>
        <v>0</v>
      </c>
      <c r="E2506" t="s">
        <v>434</v>
      </c>
      <c r="F2506" t="str">
        <f>INDEX(Lists!I:I,MATCH(Validation!E2506,Lists!G:G,0))</f>
        <v>Error</v>
      </c>
      <c r="G2506" t="str">
        <f>INDEX(Lists!H:H,MATCH(Validation!E2506,Lists!G:G,0))</f>
        <v>Amount may not be negative. Enter an amount greater than or equal to zero.</v>
      </c>
      <c r="H2506" s="25" t="str">
        <f t="shared" ca="1" si="282"/>
        <v/>
      </c>
      <c r="I2506" s="25" t="str">
        <f t="shared" ca="1" si="283"/>
        <v/>
      </c>
      <c r="J2506" s="26" t="str">
        <f t="shared" ca="1" si="284"/>
        <v/>
      </c>
    </row>
    <row r="2507" spans="1:10" x14ac:dyDescent="0.25">
      <c r="A2507" t="s">
        <v>314</v>
      </c>
      <c r="B2507" t="str">
        <f>ADDRESS(ROW('Bond 1'!$C$40),COLUMN('Bond 1'!$C$40),4)</f>
        <v>C40</v>
      </c>
      <c r="C2507" t="str">
        <f>ADDRESS(ROW('Bond 1'!$D$40),COLUMN('Bond 1'!$D$40),4)</f>
        <v>D40</v>
      </c>
      <c r="D2507" t="b" cm="1">
        <f t="array" aca="1" ref="D2507" ca="1">IF(INDIRECT("'"&amp;A2507&amp;"'!"&amp;B2507)="",FALSE,IF(INDIRECT("'"&amp;A2507&amp;"'!"&amp;B2507)&lt;0,TRUE,FALSE))</f>
        <v>0</v>
      </c>
      <c r="E2507" t="s">
        <v>434</v>
      </c>
      <c r="F2507" t="str">
        <f>INDEX(Lists!I:I,MATCH(Validation!E2507,Lists!G:G,0))</f>
        <v>Error</v>
      </c>
      <c r="G2507" t="str">
        <f>INDEX(Lists!H:H,MATCH(Validation!E2507,Lists!G:G,0))</f>
        <v>Amount may not be negative. Enter an amount greater than or equal to zero.</v>
      </c>
      <c r="H2507" s="25" t="str">
        <f t="shared" ca="1" si="282"/>
        <v/>
      </c>
      <c r="I2507" s="25" t="str">
        <f t="shared" ca="1" si="283"/>
        <v/>
      </c>
      <c r="J2507" s="26" t="str">
        <f t="shared" ca="1" si="284"/>
        <v/>
      </c>
    </row>
    <row r="2508" spans="1:10" x14ac:dyDescent="0.25">
      <c r="A2508" t="s">
        <v>315</v>
      </c>
      <c r="B2508" t="str">
        <f>ADDRESS(ROW('Bond 1'!$C$40),COLUMN('Bond 1'!$C$40),4)</f>
        <v>C40</v>
      </c>
      <c r="C2508" t="str">
        <f>ADDRESS(ROW('Bond 1'!$D$40),COLUMN('Bond 1'!$D$40),4)</f>
        <v>D40</v>
      </c>
      <c r="D2508" t="b" cm="1">
        <f t="array" aca="1" ref="D2508" ca="1">IF(INDIRECT("'"&amp;A2508&amp;"'!"&amp;B2508)="",FALSE,IF(INDIRECT("'"&amp;A2508&amp;"'!"&amp;B2508)&lt;0,TRUE,FALSE))</f>
        <v>0</v>
      </c>
      <c r="E2508" t="s">
        <v>434</v>
      </c>
      <c r="F2508" t="str">
        <f>INDEX(Lists!I:I,MATCH(Validation!E2508,Lists!G:G,0))</f>
        <v>Error</v>
      </c>
      <c r="G2508" t="str">
        <f>INDEX(Lists!H:H,MATCH(Validation!E2508,Lists!G:G,0))</f>
        <v>Amount may not be negative. Enter an amount greater than or equal to zero.</v>
      </c>
      <c r="H2508" s="25" t="str">
        <f t="shared" ca="1" si="282"/>
        <v/>
      </c>
      <c r="I2508" s="25" t="str">
        <f t="shared" ca="1" si="283"/>
        <v/>
      </c>
      <c r="J2508" s="26" t="str">
        <f t="shared" ca="1" si="284"/>
        <v/>
      </c>
    </row>
    <row r="2509" spans="1:10" x14ac:dyDescent="0.25">
      <c r="A2509" t="s">
        <v>198</v>
      </c>
      <c r="B2509" t="str">
        <f>ADDRESS(ROW('Bond 1'!$C$40),COLUMN('Bond 1'!$C$40),4)</f>
        <v>C40</v>
      </c>
      <c r="C2509" t="str">
        <f>ADDRESS(ROW('Bond 1'!$D$40),COLUMN('Bond 1'!$D$40),4)</f>
        <v>D40</v>
      </c>
      <c r="D2509" t="b" cm="1">
        <f t="array" aca="1" ref="D2509" ca="1">IF(INDIRECT("'"&amp;A2509&amp;"'!"&amp;B2509)="",FALSE,IF(TRUNC(INDIRECT("'"&amp;A2509&amp;"'!"&amp;B2509))=INDIRECT("'"&amp;A2509&amp;"'!"&amp;B2509),FALSE,TRUE))</f>
        <v>0</v>
      </c>
      <c r="E2509" t="s">
        <v>436</v>
      </c>
      <c r="F2509" t="str">
        <f>INDEX(Lists!I:I,MATCH(Validation!E2509,Lists!G:G,0))</f>
        <v>Error</v>
      </c>
      <c r="G2509" t="str">
        <f>INDEX(Lists!H:H,MATCH(Validation!E2509,Lists!G:G,0))</f>
        <v>Amount must be rounded to the nearest dollar.</v>
      </c>
      <c r="H2509" s="25" t="str">
        <f t="shared" ca="1" si="282"/>
        <v/>
      </c>
      <c r="I2509" s="25" t="str">
        <f t="shared" ca="1" si="283"/>
        <v/>
      </c>
      <c r="J2509" s="26" t="str">
        <f t="shared" ca="1" si="284"/>
        <v/>
      </c>
    </row>
    <row r="2510" spans="1:10" x14ac:dyDescent="0.25">
      <c r="A2510" t="s">
        <v>302</v>
      </c>
      <c r="B2510" t="str">
        <f>ADDRESS(ROW('Bond 1'!$C$40),COLUMN('Bond 1'!$C$40),4)</f>
        <v>C40</v>
      </c>
      <c r="C2510" t="str">
        <f>ADDRESS(ROW('Bond 1'!$D$40),COLUMN('Bond 1'!$D$40),4)</f>
        <v>D40</v>
      </c>
      <c r="D2510" t="b" cm="1">
        <f t="array" aca="1" ref="D2510" ca="1">IF(INDIRECT("'"&amp;A2510&amp;"'!"&amp;B2510)="",FALSE,IF(TRUNC(INDIRECT("'"&amp;A2510&amp;"'!"&amp;B2510))=INDIRECT("'"&amp;A2510&amp;"'!"&amp;B2510),FALSE,TRUE))</f>
        <v>0</v>
      </c>
      <c r="E2510" t="s">
        <v>436</v>
      </c>
      <c r="F2510" t="str">
        <f>INDEX(Lists!I:I,MATCH(Validation!E2510,Lists!G:G,0))</f>
        <v>Error</v>
      </c>
      <c r="G2510" t="str">
        <f>INDEX(Lists!H:H,MATCH(Validation!E2510,Lists!G:G,0))</f>
        <v>Amount must be rounded to the nearest dollar.</v>
      </c>
      <c r="H2510" s="25" t="str">
        <f t="shared" ca="1" si="282"/>
        <v/>
      </c>
      <c r="I2510" s="25" t="str">
        <f t="shared" ca="1" si="283"/>
        <v/>
      </c>
      <c r="J2510" s="26" t="str">
        <f t="shared" ca="1" si="284"/>
        <v/>
      </c>
    </row>
    <row r="2511" spans="1:10" x14ac:dyDescent="0.25">
      <c r="A2511" t="s">
        <v>303</v>
      </c>
      <c r="B2511" t="str">
        <f>ADDRESS(ROW('Bond 1'!$C$40),COLUMN('Bond 1'!$C$40),4)</f>
        <v>C40</v>
      </c>
      <c r="C2511" t="str">
        <f>ADDRESS(ROW('Bond 1'!$D$40),COLUMN('Bond 1'!$D$40),4)</f>
        <v>D40</v>
      </c>
      <c r="D2511" t="b" cm="1">
        <f t="array" aca="1" ref="D2511" ca="1">IF(INDIRECT("'"&amp;A2511&amp;"'!"&amp;B2511)="",FALSE,IF(TRUNC(INDIRECT("'"&amp;A2511&amp;"'!"&amp;B2511))=INDIRECT("'"&amp;A2511&amp;"'!"&amp;B2511),FALSE,TRUE))</f>
        <v>0</v>
      </c>
      <c r="E2511" t="s">
        <v>436</v>
      </c>
      <c r="F2511" t="str">
        <f>INDEX(Lists!I:I,MATCH(Validation!E2511,Lists!G:G,0))</f>
        <v>Error</v>
      </c>
      <c r="G2511" t="str">
        <f>INDEX(Lists!H:H,MATCH(Validation!E2511,Lists!G:G,0))</f>
        <v>Amount must be rounded to the nearest dollar.</v>
      </c>
      <c r="H2511" s="25" t="str">
        <f t="shared" ca="1" si="282"/>
        <v/>
      </c>
      <c r="I2511" s="25" t="str">
        <f t="shared" ca="1" si="283"/>
        <v/>
      </c>
      <c r="J2511" s="26" t="str">
        <f t="shared" ca="1" si="284"/>
        <v/>
      </c>
    </row>
    <row r="2512" spans="1:10" x14ac:dyDescent="0.25">
      <c r="A2512" t="s">
        <v>304</v>
      </c>
      <c r="B2512" t="str">
        <f>ADDRESS(ROW('Bond 1'!$C$40),COLUMN('Bond 1'!$C$40),4)</f>
        <v>C40</v>
      </c>
      <c r="C2512" t="str">
        <f>ADDRESS(ROW('Bond 1'!$D$40),COLUMN('Bond 1'!$D$40),4)</f>
        <v>D40</v>
      </c>
      <c r="D2512" t="b" cm="1">
        <f t="array" aca="1" ref="D2512" ca="1">IF(INDIRECT("'"&amp;A2512&amp;"'!"&amp;B2512)="",FALSE,IF(TRUNC(INDIRECT("'"&amp;A2512&amp;"'!"&amp;B2512))=INDIRECT("'"&amp;A2512&amp;"'!"&amp;B2512),FALSE,TRUE))</f>
        <v>0</v>
      </c>
      <c r="E2512" t="s">
        <v>436</v>
      </c>
      <c r="F2512" t="str">
        <f>INDEX(Lists!I:I,MATCH(Validation!E2512,Lists!G:G,0))</f>
        <v>Error</v>
      </c>
      <c r="G2512" t="str">
        <f>INDEX(Lists!H:H,MATCH(Validation!E2512,Lists!G:G,0))</f>
        <v>Amount must be rounded to the nearest dollar.</v>
      </c>
      <c r="H2512" s="25" t="str">
        <f t="shared" ca="1" si="282"/>
        <v/>
      </c>
      <c r="I2512" s="25" t="str">
        <f t="shared" ca="1" si="283"/>
        <v/>
      </c>
      <c r="J2512" s="26" t="str">
        <f t="shared" ca="1" si="284"/>
        <v/>
      </c>
    </row>
    <row r="2513" spans="1:10" x14ac:dyDescent="0.25">
      <c r="A2513" t="s">
        <v>305</v>
      </c>
      <c r="B2513" t="str">
        <f>ADDRESS(ROW('Bond 1'!$C$40),COLUMN('Bond 1'!$C$40),4)</f>
        <v>C40</v>
      </c>
      <c r="C2513" t="str">
        <f>ADDRESS(ROW('Bond 1'!$D$40),COLUMN('Bond 1'!$D$40),4)</f>
        <v>D40</v>
      </c>
      <c r="D2513" t="b" cm="1">
        <f t="array" aca="1" ref="D2513" ca="1">IF(INDIRECT("'"&amp;A2513&amp;"'!"&amp;B2513)="",FALSE,IF(TRUNC(INDIRECT("'"&amp;A2513&amp;"'!"&amp;B2513))=INDIRECT("'"&amp;A2513&amp;"'!"&amp;B2513),FALSE,TRUE))</f>
        <v>0</v>
      </c>
      <c r="E2513" t="s">
        <v>436</v>
      </c>
      <c r="F2513" t="str">
        <f>INDEX(Lists!I:I,MATCH(Validation!E2513,Lists!G:G,0))</f>
        <v>Error</v>
      </c>
      <c r="G2513" t="str">
        <f>INDEX(Lists!H:H,MATCH(Validation!E2513,Lists!G:G,0))</f>
        <v>Amount must be rounded to the nearest dollar.</v>
      </c>
      <c r="H2513" s="25" t="str">
        <f t="shared" ca="1" si="282"/>
        <v/>
      </c>
      <c r="I2513" s="25" t="str">
        <f t="shared" ca="1" si="283"/>
        <v/>
      </c>
      <c r="J2513" s="26" t="str">
        <f t="shared" ca="1" si="284"/>
        <v/>
      </c>
    </row>
    <row r="2514" spans="1:10" x14ac:dyDescent="0.25">
      <c r="A2514" t="s">
        <v>306</v>
      </c>
      <c r="B2514" t="str">
        <f>ADDRESS(ROW('Bond 1'!$C$40),COLUMN('Bond 1'!$C$40),4)</f>
        <v>C40</v>
      </c>
      <c r="C2514" t="str">
        <f>ADDRESS(ROW('Bond 1'!$D$40),COLUMN('Bond 1'!$D$40),4)</f>
        <v>D40</v>
      </c>
      <c r="D2514" t="b" cm="1">
        <f t="array" aca="1" ref="D2514" ca="1">IF(INDIRECT("'"&amp;A2514&amp;"'!"&amp;B2514)="",FALSE,IF(TRUNC(INDIRECT("'"&amp;A2514&amp;"'!"&amp;B2514))=INDIRECT("'"&amp;A2514&amp;"'!"&amp;B2514),FALSE,TRUE))</f>
        <v>0</v>
      </c>
      <c r="E2514" t="s">
        <v>436</v>
      </c>
      <c r="F2514" t="str">
        <f>INDEX(Lists!I:I,MATCH(Validation!E2514,Lists!G:G,0))</f>
        <v>Error</v>
      </c>
      <c r="G2514" t="str">
        <f>INDEX(Lists!H:H,MATCH(Validation!E2514,Lists!G:G,0))</f>
        <v>Amount must be rounded to the nearest dollar.</v>
      </c>
      <c r="H2514" s="25" t="str">
        <f t="shared" ca="1" si="282"/>
        <v/>
      </c>
      <c r="I2514" s="25" t="str">
        <f t="shared" ca="1" si="283"/>
        <v/>
      </c>
      <c r="J2514" s="26" t="str">
        <f t="shared" ca="1" si="284"/>
        <v/>
      </c>
    </row>
    <row r="2515" spans="1:10" x14ac:dyDescent="0.25">
      <c r="A2515" t="s">
        <v>307</v>
      </c>
      <c r="B2515" t="str">
        <f>ADDRESS(ROW('Bond 1'!$C$40),COLUMN('Bond 1'!$C$40),4)</f>
        <v>C40</v>
      </c>
      <c r="C2515" t="str">
        <f>ADDRESS(ROW('Bond 1'!$D$40),COLUMN('Bond 1'!$D$40),4)</f>
        <v>D40</v>
      </c>
      <c r="D2515" t="b" cm="1">
        <f t="array" aca="1" ref="D2515" ca="1">IF(INDIRECT("'"&amp;A2515&amp;"'!"&amp;B2515)="",FALSE,IF(TRUNC(INDIRECT("'"&amp;A2515&amp;"'!"&amp;B2515))=INDIRECT("'"&amp;A2515&amp;"'!"&amp;B2515),FALSE,TRUE))</f>
        <v>0</v>
      </c>
      <c r="E2515" t="s">
        <v>436</v>
      </c>
      <c r="F2515" t="str">
        <f>INDEX(Lists!I:I,MATCH(Validation!E2515,Lists!G:G,0))</f>
        <v>Error</v>
      </c>
      <c r="G2515" t="str">
        <f>INDEX(Lists!H:H,MATCH(Validation!E2515,Lists!G:G,0))</f>
        <v>Amount must be rounded to the nearest dollar.</v>
      </c>
      <c r="H2515" s="25" t="str">
        <f t="shared" ca="1" si="282"/>
        <v/>
      </c>
      <c r="I2515" s="25" t="str">
        <f t="shared" ca="1" si="283"/>
        <v/>
      </c>
      <c r="J2515" s="26" t="str">
        <f t="shared" ca="1" si="284"/>
        <v/>
      </c>
    </row>
    <row r="2516" spans="1:10" x14ac:dyDescent="0.25">
      <c r="A2516" t="s">
        <v>308</v>
      </c>
      <c r="B2516" t="str">
        <f>ADDRESS(ROW('Bond 1'!$C$40),COLUMN('Bond 1'!$C$40),4)</f>
        <v>C40</v>
      </c>
      <c r="C2516" t="str">
        <f>ADDRESS(ROW('Bond 1'!$D$40),COLUMN('Bond 1'!$D$40),4)</f>
        <v>D40</v>
      </c>
      <c r="D2516" t="b" cm="1">
        <f t="array" aca="1" ref="D2516" ca="1">IF(INDIRECT("'"&amp;A2516&amp;"'!"&amp;B2516)="",FALSE,IF(TRUNC(INDIRECT("'"&amp;A2516&amp;"'!"&amp;B2516))=INDIRECT("'"&amp;A2516&amp;"'!"&amp;B2516),FALSE,TRUE))</f>
        <v>0</v>
      </c>
      <c r="E2516" t="s">
        <v>436</v>
      </c>
      <c r="F2516" t="str">
        <f>INDEX(Lists!I:I,MATCH(Validation!E2516,Lists!G:G,0))</f>
        <v>Error</v>
      </c>
      <c r="G2516" t="str">
        <f>INDEX(Lists!H:H,MATCH(Validation!E2516,Lists!G:G,0))</f>
        <v>Amount must be rounded to the nearest dollar.</v>
      </c>
      <c r="H2516" s="25" t="str">
        <f t="shared" ca="1" si="282"/>
        <v/>
      </c>
      <c r="I2516" s="25" t="str">
        <f t="shared" ca="1" si="283"/>
        <v/>
      </c>
      <c r="J2516" s="26" t="str">
        <f t="shared" ca="1" si="284"/>
        <v/>
      </c>
    </row>
    <row r="2517" spans="1:10" x14ac:dyDescent="0.25">
      <c r="A2517" t="s">
        <v>309</v>
      </c>
      <c r="B2517" t="str">
        <f>ADDRESS(ROW('Bond 1'!$C$40),COLUMN('Bond 1'!$C$40),4)</f>
        <v>C40</v>
      </c>
      <c r="C2517" t="str">
        <f>ADDRESS(ROW('Bond 1'!$D$40),COLUMN('Bond 1'!$D$40),4)</f>
        <v>D40</v>
      </c>
      <c r="D2517" t="b" cm="1">
        <f t="array" aca="1" ref="D2517" ca="1">IF(INDIRECT("'"&amp;A2517&amp;"'!"&amp;B2517)="",FALSE,IF(TRUNC(INDIRECT("'"&amp;A2517&amp;"'!"&amp;B2517))=INDIRECT("'"&amp;A2517&amp;"'!"&amp;B2517),FALSE,TRUE))</f>
        <v>0</v>
      </c>
      <c r="E2517" t="s">
        <v>436</v>
      </c>
      <c r="F2517" t="str">
        <f>INDEX(Lists!I:I,MATCH(Validation!E2517,Lists!G:G,0))</f>
        <v>Error</v>
      </c>
      <c r="G2517" t="str">
        <f>INDEX(Lists!H:H,MATCH(Validation!E2517,Lists!G:G,0))</f>
        <v>Amount must be rounded to the nearest dollar.</v>
      </c>
      <c r="H2517" s="25" t="str">
        <f t="shared" ca="1" si="282"/>
        <v/>
      </c>
      <c r="I2517" s="25" t="str">
        <f t="shared" ca="1" si="283"/>
        <v/>
      </c>
      <c r="J2517" s="26" t="str">
        <f t="shared" ca="1" si="284"/>
        <v/>
      </c>
    </row>
    <row r="2518" spans="1:10" x14ac:dyDescent="0.25">
      <c r="A2518" t="s">
        <v>310</v>
      </c>
      <c r="B2518" t="str">
        <f>ADDRESS(ROW('Bond 1'!$C$40),COLUMN('Bond 1'!$C$40),4)</f>
        <v>C40</v>
      </c>
      <c r="C2518" t="str">
        <f>ADDRESS(ROW('Bond 1'!$D$40),COLUMN('Bond 1'!$D$40),4)</f>
        <v>D40</v>
      </c>
      <c r="D2518" t="b" cm="1">
        <f t="array" aca="1" ref="D2518" ca="1">IF(INDIRECT("'"&amp;A2518&amp;"'!"&amp;B2518)="",FALSE,IF(TRUNC(INDIRECT("'"&amp;A2518&amp;"'!"&amp;B2518))=INDIRECT("'"&amp;A2518&amp;"'!"&amp;B2518),FALSE,TRUE))</f>
        <v>0</v>
      </c>
      <c r="E2518" t="s">
        <v>436</v>
      </c>
      <c r="F2518" t="str">
        <f>INDEX(Lists!I:I,MATCH(Validation!E2518,Lists!G:G,0))</f>
        <v>Error</v>
      </c>
      <c r="G2518" t="str">
        <f>INDEX(Lists!H:H,MATCH(Validation!E2518,Lists!G:G,0))</f>
        <v>Amount must be rounded to the nearest dollar.</v>
      </c>
      <c r="H2518" s="25" t="str">
        <f t="shared" ca="1" si="282"/>
        <v/>
      </c>
      <c r="I2518" s="25" t="str">
        <f t="shared" ca="1" si="283"/>
        <v/>
      </c>
      <c r="J2518" s="26" t="str">
        <f t="shared" ca="1" si="284"/>
        <v/>
      </c>
    </row>
    <row r="2519" spans="1:10" x14ac:dyDescent="0.25">
      <c r="A2519" t="s">
        <v>311</v>
      </c>
      <c r="B2519" t="str">
        <f>ADDRESS(ROW('Bond 1'!$C$40),COLUMN('Bond 1'!$C$40),4)</f>
        <v>C40</v>
      </c>
      <c r="C2519" t="str">
        <f>ADDRESS(ROW('Bond 1'!$D$40),COLUMN('Bond 1'!$D$40),4)</f>
        <v>D40</v>
      </c>
      <c r="D2519" t="b" cm="1">
        <f t="array" aca="1" ref="D2519" ca="1">IF(INDIRECT("'"&amp;A2519&amp;"'!"&amp;B2519)="",FALSE,IF(TRUNC(INDIRECT("'"&amp;A2519&amp;"'!"&amp;B2519))=INDIRECT("'"&amp;A2519&amp;"'!"&amp;B2519),FALSE,TRUE))</f>
        <v>0</v>
      </c>
      <c r="E2519" t="s">
        <v>436</v>
      </c>
      <c r="F2519" t="str">
        <f>INDEX(Lists!I:I,MATCH(Validation!E2519,Lists!G:G,0))</f>
        <v>Error</v>
      </c>
      <c r="G2519" t="str">
        <f>INDEX(Lists!H:H,MATCH(Validation!E2519,Lists!G:G,0))</f>
        <v>Amount must be rounded to the nearest dollar.</v>
      </c>
      <c r="H2519" s="25" t="str">
        <f t="shared" ca="1" si="282"/>
        <v/>
      </c>
      <c r="I2519" s="25" t="str">
        <f t="shared" ca="1" si="283"/>
        <v/>
      </c>
      <c r="J2519" s="26" t="str">
        <f t="shared" ca="1" si="284"/>
        <v/>
      </c>
    </row>
    <row r="2520" spans="1:10" x14ac:dyDescent="0.25">
      <c r="A2520" t="s">
        <v>312</v>
      </c>
      <c r="B2520" t="str">
        <f>ADDRESS(ROW('Bond 1'!$C$40),COLUMN('Bond 1'!$C$40),4)</f>
        <v>C40</v>
      </c>
      <c r="C2520" t="str">
        <f>ADDRESS(ROW('Bond 1'!$D$40),COLUMN('Bond 1'!$D$40),4)</f>
        <v>D40</v>
      </c>
      <c r="D2520" t="b" cm="1">
        <f t="array" aca="1" ref="D2520" ca="1">IF(INDIRECT("'"&amp;A2520&amp;"'!"&amp;B2520)="",FALSE,IF(TRUNC(INDIRECT("'"&amp;A2520&amp;"'!"&amp;B2520))=INDIRECT("'"&amp;A2520&amp;"'!"&amp;B2520),FALSE,TRUE))</f>
        <v>0</v>
      </c>
      <c r="E2520" t="s">
        <v>436</v>
      </c>
      <c r="F2520" t="str">
        <f>INDEX(Lists!I:I,MATCH(Validation!E2520,Lists!G:G,0))</f>
        <v>Error</v>
      </c>
      <c r="G2520" t="str">
        <f>INDEX(Lists!H:H,MATCH(Validation!E2520,Lists!G:G,0))</f>
        <v>Amount must be rounded to the nearest dollar.</v>
      </c>
      <c r="H2520" s="25" t="str">
        <f t="shared" ca="1" si="282"/>
        <v/>
      </c>
      <c r="I2520" s="25" t="str">
        <f t="shared" ca="1" si="283"/>
        <v/>
      </c>
      <c r="J2520" s="26" t="str">
        <f t="shared" ca="1" si="284"/>
        <v/>
      </c>
    </row>
    <row r="2521" spans="1:10" x14ac:dyDescent="0.25">
      <c r="A2521" t="s">
        <v>313</v>
      </c>
      <c r="B2521" t="str">
        <f>ADDRESS(ROW('Bond 1'!$C$40),COLUMN('Bond 1'!$C$40),4)</f>
        <v>C40</v>
      </c>
      <c r="C2521" t="str">
        <f>ADDRESS(ROW('Bond 1'!$D$40),COLUMN('Bond 1'!$D$40),4)</f>
        <v>D40</v>
      </c>
      <c r="D2521" t="b" cm="1">
        <f t="array" aca="1" ref="D2521" ca="1">IF(INDIRECT("'"&amp;A2521&amp;"'!"&amp;B2521)="",FALSE,IF(TRUNC(INDIRECT("'"&amp;A2521&amp;"'!"&amp;B2521))=INDIRECT("'"&amp;A2521&amp;"'!"&amp;B2521),FALSE,TRUE))</f>
        <v>0</v>
      </c>
      <c r="E2521" t="s">
        <v>436</v>
      </c>
      <c r="F2521" t="str">
        <f>INDEX(Lists!I:I,MATCH(Validation!E2521,Lists!G:G,0))</f>
        <v>Error</v>
      </c>
      <c r="G2521" t="str">
        <f>INDEX(Lists!H:H,MATCH(Validation!E2521,Lists!G:G,0))</f>
        <v>Amount must be rounded to the nearest dollar.</v>
      </c>
      <c r="H2521" s="25" t="str">
        <f t="shared" ca="1" si="282"/>
        <v/>
      </c>
      <c r="I2521" s="25" t="str">
        <f t="shared" ca="1" si="283"/>
        <v/>
      </c>
      <c r="J2521" s="26" t="str">
        <f t="shared" ca="1" si="284"/>
        <v/>
      </c>
    </row>
    <row r="2522" spans="1:10" x14ac:dyDescent="0.25">
      <c r="A2522" t="s">
        <v>314</v>
      </c>
      <c r="B2522" t="str">
        <f>ADDRESS(ROW('Bond 1'!$C$40),COLUMN('Bond 1'!$C$40),4)</f>
        <v>C40</v>
      </c>
      <c r="C2522" t="str">
        <f>ADDRESS(ROW('Bond 1'!$D$40),COLUMN('Bond 1'!$D$40),4)</f>
        <v>D40</v>
      </c>
      <c r="D2522" t="b" cm="1">
        <f t="array" aca="1" ref="D2522" ca="1">IF(INDIRECT("'"&amp;A2522&amp;"'!"&amp;B2522)="",FALSE,IF(TRUNC(INDIRECT("'"&amp;A2522&amp;"'!"&amp;B2522))=INDIRECT("'"&amp;A2522&amp;"'!"&amp;B2522),FALSE,TRUE))</f>
        <v>0</v>
      </c>
      <c r="E2522" t="s">
        <v>436</v>
      </c>
      <c r="F2522" t="str">
        <f>INDEX(Lists!I:I,MATCH(Validation!E2522,Lists!G:G,0))</f>
        <v>Error</v>
      </c>
      <c r="G2522" t="str">
        <f>INDEX(Lists!H:H,MATCH(Validation!E2522,Lists!G:G,0))</f>
        <v>Amount must be rounded to the nearest dollar.</v>
      </c>
      <c r="H2522" s="25" t="str">
        <f t="shared" ca="1" si="282"/>
        <v/>
      </c>
      <c r="I2522" s="25" t="str">
        <f t="shared" ca="1" si="283"/>
        <v/>
      </c>
      <c r="J2522" s="26" t="str">
        <f t="shared" ca="1" si="284"/>
        <v/>
      </c>
    </row>
    <row r="2523" spans="1:10" x14ac:dyDescent="0.25">
      <c r="A2523" t="s">
        <v>315</v>
      </c>
      <c r="B2523" t="str">
        <f>ADDRESS(ROW('Bond 1'!$C$40),COLUMN('Bond 1'!$C$40),4)</f>
        <v>C40</v>
      </c>
      <c r="C2523" t="str">
        <f>ADDRESS(ROW('Bond 1'!$D$40),COLUMN('Bond 1'!$D$40),4)</f>
        <v>D40</v>
      </c>
      <c r="D2523" t="b" cm="1">
        <f t="array" aca="1" ref="D2523" ca="1">IF(INDIRECT("'"&amp;A2523&amp;"'!"&amp;B2523)="",FALSE,IF(TRUNC(INDIRECT("'"&amp;A2523&amp;"'!"&amp;B2523))=INDIRECT("'"&amp;A2523&amp;"'!"&amp;B2523),FALSE,TRUE))</f>
        <v>0</v>
      </c>
      <c r="E2523" t="s">
        <v>436</v>
      </c>
      <c r="F2523" t="str">
        <f>INDEX(Lists!I:I,MATCH(Validation!E2523,Lists!G:G,0))</f>
        <v>Error</v>
      </c>
      <c r="G2523" t="str">
        <f>INDEX(Lists!H:H,MATCH(Validation!E2523,Lists!G:G,0))</f>
        <v>Amount must be rounded to the nearest dollar.</v>
      </c>
      <c r="H2523" s="25" t="str">
        <f t="shared" ca="1" si="282"/>
        <v/>
      </c>
      <c r="I2523" s="25" t="str">
        <f t="shared" ca="1" si="283"/>
        <v/>
      </c>
      <c r="J2523" s="26" t="str">
        <f t="shared" ca="1" si="284"/>
        <v/>
      </c>
    </row>
    <row r="2524" spans="1:10" x14ac:dyDescent="0.25">
      <c r="A2524" t="s">
        <v>198</v>
      </c>
      <c r="B2524" t="str">
        <f>ADDRESS(ROW('Bond 1'!$B$41),COLUMN('Bond 1'!$B$41),4)</f>
        <v>B41</v>
      </c>
      <c r="C2524" t="str">
        <f>ADDRESS(ROW('Bond 1'!$D$41),COLUMN('Bond 1'!$D$41),4)</f>
        <v>D41</v>
      </c>
      <c r="D2524" t="b" cm="1">
        <f t="array" aca="1" ref="D2524" ca="1">IF(INDIRECT("'"&amp;A2524&amp;"'!"&amp;B2524)="",FALSE,IF(NOT(ISNUMBER(INDIRECT("'"&amp;A2524&amp;"'!"&amp;B2524))),TRUE,FALSE))</f>
        <v>0</v>
      </c>
      <c r="E2524" t="s">
        <v>435</v>
      </c>
      <c r="F2524" t="str">
        <f>INDEX(Lists!I:I,MATCH(Validation!E2524,Lists!G:G,0))</f>
        <v>Error</v>
      </c>
      <c r="G2524" t="str">
        <f>INDEX(Lists!H:H,MATCH(Validation!E2524,Lists!G:G,0))</f>
        <v>Enter an amount only. Do not enter text or spaces.</v>
      </c>
      <c r="H2524" s="25" t="str">
        <f t="shared" ref="H2524:H2568" ca="1" si="285">IFERROR(IF(OR(NOT(D2524),F2524&lt;&gt;"Error"),"",A2524&amp;CELL("address",INDIRECT(B2524))),"")</f>
        <v/>
      </c>
      <c r="I2524" s="25" t="str">
        <f t="shared" ref="I2524:I2568" ca="1" si="286">IFERROR(IF(NOT(D2524),"",A2524&amp;CELL("address",INDIRECT(C2524))),"")</f>
        <v/>
      </c>
      <c r="J2524" s="26" t="str">
        <f t="shared" ref="J2524:J2568" ca="1" si="287">IFERROR(IF(NOT(D2524),"",A2524),"")</f>
        <v/>
      </c>
    </row>
    <row r="2525" spans="1:10" x14ac:dyDescent="0.25">
      <c r="A2525" t="s">
        <v>302</v>
      </c>
      <c r="B2525" t="str">
        <f>ADDRESS(ROW('Bond 1'!$B$41),COLUMN('Bond 1'!$B$41),4)</f>
        <v>B41</v>
      </c>
      <c r="C2525" t="str">
        <f>ADDRESS(ROW('Bond 1'!$D$41),COLUMN('Bond 1'!$D$41),4)</f>
        <v>D41</v>
      </c>
      <c r="D2525" t="b" cm="1">
        <f t="array" aca="1" ref="D2525" ca="1">IF(INDIRECT("'"&amp;A2525&amp;"'!"&amp;B2525)="",FALSE,IF(NOT(ISNUMBER(INDIRECT("'"&amp;A2525&amp;"'!"&amp;B2525))),TRUE,FALSE))</f>
        <v>0</v>
      </c>
      <c r="E2525" t="s">
        <v>435</v>
      </c>
      <c r="F2525" t="str">
        <f>INDEX(Lists!I:I,MATCH(Validation!E2525,Lists!G:G,0))</f>
        <v>Error</v>
      </c>
      <c r="G2525" t="str">
        <f>INDEX(Lists!H:H,MATCH(Validation!E2525,Lists!G:G,0))</f>
        <v>Enter an amount only. Do not enter text or spaces.</v>
      </c>
      <c r="H2525" s="25" t="str">
        <f t="shared" ca="1" si="285"/>
        <v/>
      </c>
      <c r="I2525" s="25" t="str">
        <f t="shared" ca="1" si="286"/>
        <v/>
      </c>
      <c r="J2525" s="26" t="str">
        <f t="shared" ca="1" si="287"/>
        <v/>
      </c>
    </row>
    <row r="2526" spans="1:10" x14ac:dyDescent="0.25">
      <c r="A2526" t="s">
        <v>303</v>
      </c>
      <c r="B2526" t="str">
        <f>ADDRESS(ROW('Bond 1'!$B$41),COLUMN('Bond 1'!$B$41),4)</f>
        <v>B41</v>
      </c>
      <c r="C2526" t="str">
        <f>ADDRESS(ROW('Bond 1'!$D$41),COLUMN('Bond 1'!$D$41),4)</f>
        <v>D41</v>
      </c>
      <c r="D2526" t="b" cm="1">
        <f t="array" aca="1" ref="D2526" ca="1">IF(INDIRECT("'"&amp;A2526&amp;"'!"&amp;B2526)="",FALSE,IF(NOT(ISNUMBER(INDIRECT("'"&amp;A2526&amp;"'!"&amp;B2526))),TRUE,FALSE))</f>
        <v>0</v>
      </c>
      <c r="E2526" t="s">
        <v>435</v>
      </c>
      <c r="F2526" t="str">
        <f>INDEX(Lists!I:I,MATCH(Validation!E2526,Lists!G:G,0))</f>
        <v>Error</v>
      </c>
      <c r="G2526" t="str">
        <f>INDEX(Lists!H:H,MATCH(Validation!E2526,Lists!G:G,0))</f>
        <v>Enter an amount only. Do not enter text or spaces.</v>
      </c>
      <c r="H2526" s="25" t="str">
        <f t="shared" ca="1" si="285"/>
        <v/>
      </c>
      <c r="I2526" s="25" t="str">
        <f t="shared" ca="1" si="286"/>
        <v/>
      </c>
      <c r="J2526" s="26" t="str">
        <f t="shared" ca="1" si="287"/>
        <v/>
      </c>
    </row>
    <row r="2527" spans="1:10" x14ac:dyDescent="0.25">
      <c r="A2527" t="s">
        <v>304</v>
      </c>
      <c r="B2527" t="str">
        <f>ADDRESS(ROW('Bond 1'!$B$41),COLUMN('Bond 1'!$B$41),4)</f>
        <v>B41</v>
      </c>
      <c r="C2527" t="str">
        <f>ADDRESS(ROW('Bond 1'!$D$41),COLUMN('Bond 1'!$D$41),4)</f>
        <v>D41</v>
      </c>
      <c r="D2527" t="b" cm="1">
        <f t="array" aca="1" ref="D2527" ca="1">IF(INDIRECT("'"&amp;A2527&amp;"'!"&amp;B2527)="",FALSE,IF(NOT(ISNUMBER(INDIRECT("'"&amp;A2527&amp;"'!"&amp;B2527))),TRUE,FALSE))</f>
        <v>0</v>
      </c>
      <c r="E2527" t="s">
        <v>435</v>
      </c>
      <c r="F2527" t="str">
        <f>INDEX(Lists!I:I,MATCH(Validation!E2527,Lists!G:G,0))</f>
        <v>Error</v>
      </c>
      <c r="G2527" t="str">
        <f>INDEX(Lists!H:H,MATCH(Validation!E2527,Lists!G:G,0))</f>
        <v>Enter an amount only. Do not enter text or spaces.</v>
      </c>
      <c r="H2527" s="25" t="str">
        <f t="shared" ca="1" si="285"/>
        <v/>
      </c>
      <c r="I2527" s="25" t="str">
        <f t="shared" ca="1" si="286"/>
        <v/>
      </c>
      <c r="J2527" s="26" t="str">
        <f t="shared" ca="1" si="287"/>
        <v/>
      </c>
    </row>
    <row r="2528" spans="1:10" x14ac:dyDescent="0.25">
      <c r="A2528" t="s">
        <v>305</v>
      </c>
      <c r="B2528" t="str">
        <f>ADDRESS(ROW('Bond 1'!$B$41),COLUMN('Bond 1'!$B$41),4)</f>
        <v>B41</v>
      </c>
      <c r="C2528" t="str">
        <f>ADDRESS(ROW('Bond 1'!$D$41),COLUMN('Bond 1'!$D$41),4)</f>
        <v>D41</v>
      </c>
      <c r="D2528" t="b" cm="1">
        <f t="array" aca="1" ref="D2528" ca="1">IF(INDIRECT("'"&amp;A2528&amp;"'!"&amp;B2528)="",FALSE,IF(NOT(ISNUMBER(INDIRECT("'"&amp;A2528&amp;"'!"&amp;B2528))),TRUE,FALSE))</f>
        <v>0</v>
      </c>
      <c r="E2528" t="s">
        <v>435</v>
      </c>
      <c r="F2528" t="str">
        <f>INDEX(Lists!I:I,MATCH(Validation!E2528,Lists!G:G,0))</f>
        <v>Error</v>
      </c>
      <c r="G2528" t="str">
        <f>INDEX(Lists!H:H,MATCH(Validation!E2528,Lists!G:G,0))</f>
        <v>Enter an amount only. Do not enter text or spaces.</v>
      </c>
      <c r="H2528" s="25" t="str">
        <f t="shared" ca="1" si="285"/>
        <v/>
      </c>
      <c r="I2528" s="25" t="str">
        <f t="shared" ca="1" si="286"/>
        <v/>
      </c>
      <c r="J2528" s="26" t="str">
        <f t="shared" ca="1" si="287"/>
        <v/>
      </c>
    </row>
    <row r="2529" spans="1:10" x14ac:dyDescent="0.25">
      <c r="A2529" t="s">
        <v>306</v>
      </c>
      <c r="B2529" t="str">
        <f>ADDRESS(ROW('Bond 1'!$B$41),COLUMN('Bond 1'!$B$41),4)</f>
        <v>B41</v>
      </c>
      <c r="C2529" t="str">
        <f>ADDRESS(ROW('Bond 1'!$D$41),COLUMN('Bond 1'!$D$41),4)</f>
        <v>D41</v>
      </c>
      <c r="D2529" t="b" cm="1">
        <f t="array" aca="1" ref="D2529" ca="1">IF(INDIRECT("'"&amp;A2529&amp;"'!"&amp;B2529)="",FALSE,IF(NOT(ISNUMBER(INDIRECT("'"&amp;A2529&amp;"'!"&amp;B2529))),TRUE,FALSE))</f>
        <v>0</v>
      </c>
      <c r="E2529" t="s">
        <v>435</v>
      </c>
      <c r="F2529" t="str">
        <f>INDEX(Lists!I:I,MATCH(Validation!E2529,Lists!G:G,0))</f>
        <v>Error</v>
      </c>
      <c r="G2529" t="str">
        <f>INDEX(Lists!H:H,MATCH(Validation!E2529,Lists!G:G,0))</f>
        <v>Enter an amount only. Do not enter text or spaces.</v>
      </c>
      <c r="H2529" s="25" t="str">
        <f t="shared" ca="1" si="285"/>
        <v/>
      </c>
      <c r="I2529" s="25" t="str">
        <f t="shared" ca="1" si="286"/>
        <v/>
      </c>
      <c r="J2529" s="26" t="str">
        <f t="shared" ca="1" si="287"/>
        <v/>
      </c>
    </row>
    <row r="2530" spans="1:10" x14ac:dyDescent="0.25">
      <c r="A2530" t="s">
        <v>307</v>
      </c>
      <c r="B2530" t="str">
        <f>ADDRESS(ROW('Bond 1'!$B$41),COLUMN('Bond 1'!$B$41),4)</f>
        <v>B41</v>
      </c>
      <c r="C2530" t="str">
        <f>ADDRESS(ROW('Bond 1'!$D$41),COLUMN('Bond 1'!$D$41),4)</f>
        <v>D41</v>
      </c>
      <c r="D2530" t="b" cm="1">
        <f t="array" aca="1" ref="D2530" ca="1">IF(INDIRECT("'"&amp;A2530&amp;"'!"&amp;B2530)="",FALSE,IF(NOT(ISNUMBER(INDIRECT("'"&amp;A2530&amp;"'!"&amp;B2530))),TRUE,FALSE))</f>
        <v>0</v>
      </c>
      <c r="E2530" t="s">
        <v>435</v>
      </c>
      <c r="F2530" t="str">
        <f>INDEX(Lists!I:I,MATCH(Validation!E2530,Lists!G:G,0))</f>
        <v>Error</v>
      </c>
      <c r="G2530" t="str">
        <f>INDEX(Lists!H:H,MATCH(Validation!E2530,Lists!G:G,0))</f>
        <v>Enter an amount only. Do not enter text or spaces.</v>
      </c>
      <c r="H2530" s="25" t="str">
        <f t="shared" ca="1" si="285"/>
        <v/>
      </c>
      <c r="I2530" s="25" t="str">
        <f t="shared" ca="1" si="286"/>
        <v/>
      </c>
      <c r="J2530" s="26" t="str">
        <f t="shared" ca="1" si="287"/>
        <v/>
      </c>
    </row>
    <row r="2531" spans="1:10" x14ac:dyDescent="0.25">
      <c r="A2531" t="s">
        <v>308</v>
      </c>
      <c r="B2531" t="str">
        <f>ADDRESS(ROW('Bond 1'!$B$41),COLUMN('Bond 1'!$B$41),4)</f>
        <v>B41</v>
      </c>
      <c r="C2531" t="str">
        <f>ADDRESS(ROW('Bond 1'!$D$41),COLUMN('Bond 1'!$D$41),4)</f>
        <v>D41</v>
      </c>
      <c r="D2531" t="b" cm="1">
        <f t="array" aca="1" ref="D2531" ca="1">IF(INDIRECT("'"&amp;A2531&amp;"'!"&amp;B2531)="",FALSE,IF(NOT(ISNUMBER(INDIRECT("'"&amp;A2531&amp;"'!"&amp;B2531))),TRUE,FALSE))</f>
        <v>0</v>
      </c>
      <c r="E2531" t="s">
        <v>435</v>
      </c>
      <c r="F2531" t="str">
        <f>INDEX(Lists!I:I,MATCH(Validation!E2531,Lists!G:G,0))</f>
        <v>Error</v>
      </c>
      <c r="G2531" t="str">
        <f>INDEX(Lists!H:H,MATCH(Validation!E2531,Lists!G:G,0))</f>
        <v>Enter an amount only. Do not enter text or spaces.</v>
      </c>
      <c r="H2531" s="25" t="str">
        <f t="shared" ca="1" si="285"/>
        <v/>
      </c>
      <c r="I2531" s="25" t="str">
        <f t="shared" ca="1" si="286"/>
        <v/>
      </c>
      <c r="J2531" s="26" t="str">
        <f t="shared" ca="1" si="287"/>
        <v/>
      </c>
    </row>
    <row r="2532" spans="1:10" x14ac:dyDescent="0.25">
      <c r="A2532" t="s">
        <v>309</v>
      </c>
      <c r="B2532" t="str">
        <f>ADDRESS(ROW('Bond 1'!$B$41),COLUMN('Bond 1'!$B$41),4)</f>
        <v>B41</v>
      </c>
      <c r="C2532" t="str">
        <f>ADDRESS(ROW('Bond 1'!$D$41),COLUMN('Bond 1'!$D$41),4)</f>
        <v>D41</v>
      </c>
      <c r="D2532" t="b" cm="1">
        <f t="array" aca="1" ref="D2532" ca="1">IF(INDIRECT("'"&amp;A2532&amp;"'!"&amp;B2532)="",FALSE,IF(NOT(ISNUMBER(INDIRECT("'"&amp;A2532&amp;"'!"&amp;B2532))),TRUE,FALSE))</f>
        <v>0</v>
      </c>
      <c r="E2532" t="s">
        <v>435</v>
      </c>
      <c r="F2532" t="str">
        <f>INDEX(Lists!I:I,MATCH(Validation!E2532,Lists!G:G,0))</f>
        <v>Error</v>
      </c>
      <c r="G2532" t="str">
        <f>INDEX(Lists!H:H,MATCH(Validation!E2532,Lists!G:G,0))</f>
        <v>Enter an amount only. Do not enter text or spaces.</v>
      </c>
      <c r="H2532" s="25" t="str">
        <f t="shared" ca="1" si="285"/>
        <v/>
      </c>
      <c r="I2532" s="25" t="str">
        <f t="shared" ca="1" si="286"/>
        <v/>
      </c>
      <c r="J2532" s="26" t="str">
        <f t="shared" ca="1" si="287"/>
        <v/>
      </c>
    </row>
    <row r="2533" spans="1:10" x14ac:dyDescent="0.25">
      <c r="A2533" t="s">
        <v>310</v>
      </c>
      <c r="B2533" t="str">
        <f>ADDRESS(ROW('Bond 1'!$B$41),COLUMN('Bond 1'!$B$41),4)</f>
        <v>B41</v>
      </c>
      <c r="C2533" t="str">
        <f>ADDRESS(ROW('Bond 1'!$D$41),COLUMN('Bond 1'!$D$41),4)</f>
        <v>D41</v>
      </c>
      <c r="D2533" t="b" cm="1">
        <f t="array" aca="1" ref="D2533" ca="1">IF(INDIRECT("'"&amp;A2533&amp;"'!"&amp;B2533)="",FALSE,IF(NOT(ISNUMBER(INDIRECT("'"&amp;A2533&amp;"'!"&amp;B2533))),TRUE,FALSE))</f>
        <v>0</v>
      </c>
      <c r="E2533" t="s">
        <v>435</v>
      </c>
      <c r="F2533" t="str">
        <f>INDEX(Lists!I:I,MATCH(Validation!E2533,Lists!G:G,0))</f>
        <v>Error</v>
      </c>
      <c r="G2533" t="str">
        <f>INDEX(Lists!H:H,MATCH(Validation!E2533,Lists!G:G,0))</f>
        <v>Enter an amount only. Do not enter text or spaces.</v>
      </c>
      <c r="H2533" s="25" t="str">
        <f t="shared" ca="1" si="285"/>
        <v/>
      </c>
      <c r="I2533" s="25" t="str">
        <f t="shared" ca="1" si="286"/>
        <v/>
      </c>
      <c r="J2533" s="26" t="str">
        <f t="shared" ca="1" si="287"/>
        <v/>
      </c>
    </row>
    <row r="2534" spans="1:10" x14ac:dyDescent="0.25">
      <c r="A2534" t="s">
        <v>311</v>
      </c>
      <c r="B2534" t="str">
        <f>ADDRESS(ROW('Bond 1'!$B$41),COLUMN('Bond 1'!$B$41),4)</f>
        <v>B41</v>
      </c>
      <c r="C2534" t="str">
        <f>ADDRESS(ROW('Bond 1'!$D$41),COLUMN('Bond 1'!$D$41),4)</f>
        <v>D41</v>
      </c>
      <c r="D2534" t="b" cm="1">
        <f t="array" aca="1" ref="D2534" ca="1">IF(INDIRECT("'"&amp;A2534&amp;"'!"&amp;B2534)="",FALSE,IF(NOT(ISNUMBER(INDIRECT("'"&amp;A2534&amp;"'!"&amp;B2534))),TRUE,FALSE))</f>
        <v>0</v>
      </c>
      <c r="E2534" t="s">
        <v>435</v>
      </c>
      <c r="F2534" t="str">
        <f>INDEX(Lists!I:I,MATCH(Validation!E2534,Lists!G:G,0))</f>
        <v>Error</v>
      </c>
      <c r="G2534" t="str">
        <f>INDEX(Lists!H:H,MATCH(Validation!E2534,Lists!G:G,0))</f>
        <v>Enter an amount only. Do not enter text or spaces.</v>
      </c>
      <c r="H2534" s="25" t="str">
        <f t="shared" ca="1" si="285"/>
        <v/>
      </c>
      <c r="I2534" s="25" t="str">
        <f t="shared" ca="1" si="286"/>
        <v/>
      </c>
      <c r="J2534" s="26" t="str">
        <f t="shared" ca="1" si="287"/>
        <v/>
      </c>
    </row>
    <row r="2535" spans="1:10" x14ac:dyDescent="0.25">
      <c r="A2535" t="s">
        <v>312</v>
      </c>
      <c r="B2535" t="str">
        <f>ADDRESS(ROW('Bond 1'!$B$41),COLUMN('Bond 1'!$B$41),4)</f>
        <v>B41</v>
      </c>
      <c r="C2535" t="str">
        <f>ADDRESS(ROW('Bond 1'!$D$41),COLUMN('Bond 1'!$D$41),4)</f>
        <v>D41</v>
      </c>
      <c r="D2535" t="b" cm="1">
        <f t="array" aca="1" ref="D2535" ca="1">IF(INDIRECT("'"&amp;A2535&amp;"'!"&amp;B2535)="",FALSE,IF(NOT(ISNUMBER(INDIRECT("'"&amp;A2535&amp;"'!"&amp;B2535))),TRUE,FALSE))</f>
        <v>0</v>
      </c>
      <c r="E2535" t="s">
        <v>435</v>
      </c>
      <c r="F2535" t="str">
        <f>INDEX(Lists!I:I,MATCH(Validation!E2535,Lists!G:G,0))</f>
        <v>Error</v>
      </c>
      <c r="G2535" t="str">
        <f>INDEX(Lists!H:H,MATCH(Validation!E2535,Lists!G:G,0))</f>
        <v>Enter an amount only. Do not enter text or spaces.</v>
      </c>
      <c r="H2535" s="25" t="str">
        <f t="shared" ca="1" si="285"/>
        <v/>
      </c>
      <c r="I2535" s="25" t="str">
        <f t="shared" ca="1" si="286"/>
        <v/>
      </c>
      <c r="J2535" s="26" t="str">
        <f t="shared" ca="1" si="287"/>
        <v/>
      </c>
    </row>
    <row r="2536" spans="1:10" x14ac:dyDescent="0.25">
      <c r="A2536" t="s">
        <v>313</v>
      </c>
      <c r="B2536" t="str">
        <f>ADDRESS(ROW('Bond 1'!$B$41),COLUMN('Bond 1'!$B$41),4)</f>
        <v>B41</v>
      </c>
      <c r="C2536" t="str">
        <f>ADDRESS(ROW('Bond 1'!$D$41),COLUMN('Bond 1'!$D$41),4)</f>
        <v>D41</v>
      </c>
      <c r="D2536" t="b" cm="1">
        <f t="array" aca="1" ref="D2536" ca="1">IF(INDIRECT("'"&amp;A2536&amp;"'!"&amp;B2536)="",FALSE,IF(NOT(ISNUMBER(INDIRECT("'"&amp;A2536&amp;"'!"&amp;B2536))),TRUE,FALSE))</f>
        <v>0</v>
      </c>
      <c r="E2536" t="s">
        <v>435</v>
      </c>
      <c r="F2536" t="str">
        <f>INDEX(Lists!I:I,MATCH(Validation!E2536,Lists!G:G,0))</f>
        <v>Error</v>
      </c>
      <c r="G2536" t="str">
        <f>INDEX(Lists!H:H,MATCH(Validation!E2536,Lists!G:G,0))</f>
        <v>Enter an amount only. Do not enter text or spaces.</v>
      </c>
      <c r="H2536" s="25" t="str">
        <f t="shared" ca="1" si="285"/>
        <v/>
      </c>
      <c r="I2536" s="25" t="str">
        <f t="shared" ca="1" si="286"/>
        <v/>
      </c>
      <c r="J2536" s="26" t="str">
        <f t="shared" ca="1" si="287"/>
        <v/>
      </c>
    </row>
    <row r="2537" spans="1:10" x14ac:dyDescent="0.25">
      <c r="A2537" t="s">
        <v>314</v>
      </c>
      <c r="B2537" t="str">
        <f>ADDRESS(ROW('Bond 1'!$B$41),COLUMN('Bond 1'!$B$41),4)</f>
        <v>B41</v>
      </c>
      <c r="C2537" t="str">
        <f>ADDRESS(ROW('Bond 1'!$D$41),COLUMN('Bond 1'!$D$41),4)</f>
        <v>D41</v>
      </c>
      <c r="D2537" t="b" cm="1">
        <f t="array" aca="1" ref="D2537" ca="1">IF(INDIRECT("'"&amp;A2537&amp;"'!"&amp;B2537)="",FALSE,IF(NOT(ISNUMBER(INDIRECT("'"&amp;A2537&amp;"'!"&amp;B2537))),TRUE,FALSE))</f>
        <v>0</v>
      </c>
      <c r="E2537" t="s">
        <v>435</v>
      </c>
      <c r="F2537" t="str">
        <f>INDEX(Lists!I:I,MATCH(Validation!E2537,Lists!G:G,0))</f>
        <v>Error</v>
      </c>
      <c r="G2537" t="str">
        <f>INDEX(Lists!H:H,MATCH(Validation!E2537,Lists!G:G,0))</f>
        <v>Enter an amount only. Do not enter text or spaces.</v>
      </c>
      <c r="H2537" s="25" t="str">
        <f t="shared" ca="1" si="285"/>
        <v/>
      </c>
      <c r="I2537" s="25" t="str">
        <f t="shared" ca="1" si="286"/>
        <v/>
      </c>
      <c r="J2537" s="26" t="str">
        <f t="shared" ca="1" si="287"/>
        <v/>
      </c>
    </row>
    <row r="2538" spans="1:10" x14ac:dyDescent="0.25">
      <c r="A2538" t="s">
        <v>315</v>
      </c>
      <c r="B2538" t="str">
        <f>ADDRESS(ROW('Bond 1'!$B$41),COLUMN('Bond 1'!$B$41),4)</f>
        <v>B41</v>
      </c>
      <c r="C2538" t="str">
        <f>ADDRESS(ROW('Bond 1'!$D$41),COLUMN('Bond 1'!$D$41),4)</f>
        <v>D41</v>
      </c>
      <c r="D2538" t="b" cm="1">
        <f t="array" aca="1" ref="D2538" ca="1">IF(INDIRECT("'"&amp;A2538&amp;"'!"&amp;B2538)="",FALSE,IF(NOT(ISNUMBER(INDIRECT("'"&amp;A2538&amp;"'!"&amp;B2538))),TRUE,FALSE))</f>
        <v>0</v>
      </c>
      <c r="E2538" t="s">
        <v>435</v>
      </c>
      <c r="F2538" t="str">
        <f>INDEX(Lists!I:I,MATCH(Validation!E2538,Lists!G:G,0))</f>
        <v>Error</v>
      </c>
      <c r="G2538" t="str">
        <f>INDEX(Lists!H:H,MATCH(Validation!E2538,Lists!G:G,0))</f>
        <v>Enter an amount only. Do not enter text or spaces.</v>
      </c>
      <c r="H2538" s="25" t="str">
        <f t="shared" ca="1" si="285"/>
        <v/>
      </c>
      <c r="I2538" s="25" t="str">
        <f t="shared" ca="1" si="286"/>
        <v/>
      </c>
      <c r="J2538" s="26" t="str">
        <f t="shared" ca="1" si="287"/>
        <v/>
      </c>
    </row>
    <row r="2539" spans="1:10" x14ac:dyDescent="0.25">
      <c r="A2539" t="s">
        <v>198</v>
      </c>
      <c r="B2539" t="str">
        <f>ADDRESS(ROW('Bond 1'!$B$41),COLUMN('Bond 1'!$B$41),4)</f>
        <v>B41</v>
      </c>
      <c r="C2539" t="str">
        <f>ADDRESS(ROW('Bond 1'!$D$41),COLUMN('Bond 1'!$D$41),4)</f>
        <v>D41</v>
      </c>
      <c r="D2539" t="b" cm="1">
        <f t="array" aca="1" ref="D2539" ca="1">IF(INDIRECT("'"&amp;A2539&amp;"'!"&amp;B2539)="",FALSE,IF(INDIRECT("'"&amp;A2539&amp;"'!"&amp;B2539)&lt;0,TRUE,FALSE))</f>
        <v>0</v>
      </c>
      <c r="E2539" t="s">
        <v>434</v>
      </c>
      <c r="F2539" t="str">
        <f>INDEX(Lists!I:I,MATCH(Validation!E2539,Lists!G:G,0))</f>
        <v>Error</v>
      </c>
      <c r="G2539" t="str">
        <f>INDEX(Lists!H:H,MATCH(Validation!E2539,Lists!G:G,0))</f>
        <v>Amount may not be negative. Enter an amount greater than or equal to zero.</v>
      </c>
      <c r="H2539" s="25" t="str">
        <f t="shared" ca="1" si="285"/>
        <v/>
      </c>
      <c r="I2539" s="25" t="str">
        <f t="shared" ca="1" si="286"/>
        <v/>
      </c>
      <c r="J2539" s="26" t="str">
        <f t="shared" ca="1" si="287"/>
        <v/>
      </c>
    </row>
    <row r="2540" spans="1:10" x14ac:dyDescent="0.25">
      <c r="A2540" t="s">
        <v>302</v>
      </c>
      <c r="B2540" t="str">
        <f>ADDRESS(ROW('Bond 1'!$B$41),COLUMN('Bond 1'!$B$41),4)</f>
        <v>B41</v>
      </c>
      <c r="C2540" t="str">
        <f>ADDRESS(ROW('Bond 1'!$D$41),COLUMN('Bond 1'!$D$41),4)</f>
        <v>D41</v>
      </c>
      <c r="D2540" t="b" cm="1">
        <f t="array" aca="1" ref="D2540" ca="1">IF(INDIRECT("'"&amp;A2540&amp;"'!"&amp;B2540)="",FALSE,IF(INDIRECT("'"&amp;A2540&amp;"'!"&amp;B2540)&lt;0,TRUE,FALSE))</f>
        <v>0</v>
      </c>
      <c r="E2540" t="s">
        <v>434</v>
      </c>
      <c r="F2540" t="str">
        <f>INDEX(Lists!I:I,MATCH(Validation!E2540,Lists!G:G,0))</f>
        <v>Error</v>
      </c>
      <c r="G2540" t="str">
        <f>INDEX(Lists!H:H,MATCH(Validation!E2540,Lists!G:G,0))</f>
        <v>Amount may not be negative. Enter an amount greater than or equal to zero.</v>
      </c>
      <c r="H2540" s="25" t="str">
        <f t="shared" ca="1" si="285"/>
        <v/>
      </c>
      <c r="I2540" s="25" t="str">
        <f t="shared" ca="1" si="286"/>
        <v/>
      </c>
      <c r="J2540" s="26" t="str">
        <f t="shared" ca="1" si="287"/>
        <v/>
      </c>
    </row>
    <row r="2541" spans="1:10" x14ac:dyDescent="0.25">
      <c r="A2541" t="s">
        <v>303</v>
      </c>
      <c r="B2541" t="str">
        <f>ADDRESS(ROW('Bond 1'!$B$41),COLUMN('Bond 1'!$B$41),4)</f>
        <v>B41</v>
      </c>
      <c r="C2541" t="str">
        <f>ADDRESS(ROW('Bond 1'!$D$41),COLUMN('Bond 1'!$D$41),4)</f>
        <v>D41</v>
      </c>
      <c r="D2541" t="b" cm="1">
        <f t="array" aca="1" ref="D2541" ca="1">IF(INDIRECT("'"&amp;A2541&amp;"'!"&amp;B2541)="",FALSE,IF(INDIRECT("'"&amp;A2541&amp;"'!"&amp;B2541)&lt;0,TRUE,FALSE))</f>
        <v>0</v>
      </c>
      <c r="E2541" t="s">
        <v>434</v>
      </c>
      <c r="F2541" t="str">
        <f>INDEX(Lists!I:I,MATCH(Validation!E2541,Lists!G:G,0))</f>
        <v>Error</v>
      </c>
      <c r="G2541" t="str">
        <f>INDEX(Lists!H:H,MATCH(Validation!E2541,Lists!G:G,0))</f>
        <v>Amount may not be negative. Enter an amount greater than or equal to zero.</v>
      </c>
      <c r="H2541" s="25" t="str">
        <f t="shared" ca="1" si="285"/>
        <v/>
      </c>
      <c r="I2541" s="25" t="str">
        <f t="shared" ca="1" si="286"/>
        <v/>
      </c>
      <c r="J2541" s="26" t="str">
        <f t="shared" ca="1" si="287"/>
        <v/>
      </c>
    </row>
    <row r="2542" spans="1:10" x14ac:dyDescent="0.25">
      <c r="A2542" t="s">
        <v>304</v>
      </c>
      <c r="B2542" t="str">
        <f>ADDRESS(ROW('Bond 1'!$B$41),COLUMN('Bond 1'!$B$41),4)</f>
        <v>B41</v>
      </c>
      <c r="C2542" t="str">
        <f>ADDRESS(ROW('Bond 1'!$D$41),COLUMN('Bond 1'!$D$41),4)</f>
        <v>D41</v>
      </c>
      <c r="D2542" t="b" cm="1">
        <f t="array" aca="1" ref="D2542" ca="1">IF(INDIRECT("'"&amp;A2542&amp;"'!"&amp;B2542)="",FALSE,IF(INDIRECT("'"&amp;A2542&amp;"'!"&amp;B2542)&lt;0,TRUE,FALSE))</f>
        <v>0</v>
      </c>
      <c r="E2542" t="s">
        <v>434</v>
      </c>
      <c r="F2542" t="str">
        <f>INDEX(Lists!I:I,MATCH(Validation!E2542,Lists!G:G,0))</f>
        <v>Error</v>
      </c>
      <c r="G2542" t="str">
        <f>INDEX(Lists!H:H,MATCH(Validation!E2542,Lists!G:G,0))</f>
        <v>Amount may not be negative. Enter an amount greater than or equal to zero.</v>
      </c>
      <c r="H2542" s="25" t="str">
        <f t="shared" ca="1" si="285"/>
        <v/>
      </c>
      <c r="I2542" s="25" t="str">
        <f t="shared" ca="1" si="286"/>
        <v/>
      </c>
      <c r="J2542" s="26" t="str">
        <f t="shared" ca="1" si="287"/>
        <v/>
      </c>
    </row>
    <row r="2543" spans="1:10" x14ac:dyDescent="0.25">
      <c r="A2543" t="s">
        <v>305</v>
      </c>
      <c r="B2543" t="str">
        <f>ADDRESS(ROW('Bond 1'!$B$41),COLUMN('Bond 1'!$B$41),4)</f>
        <v>B41</v>
      </c>
      <c r="C2543" t="str">
        <f>ADDRESS(ROW('Bond 1'!$D$41),COLUMN('Bond 1'!$D$41),4)</f>
        <v>D41</v>
      </c>
      <c r="D2543" t="b" cm="1">
        <f t="array" aca="1" ref="D2543" ca="1">IF(INDIRECT("'"&amp;A2543&amp;"'!"&amp;B2543)="",FALSE,IF(INDIRECT("'"&amp;A2543&amp;"'!"&amp;B2543)&lt;0,TRUE,FALSE))</f>
        <v>0</v>
      </c>
      <c r="E2543" t="s">
        <v>434</v>
      </c>
      <c r="F2543" t="str">
        <f>INDEX(Lists!I:I,MATCH(Validation!E2543,Lists!G:G,0))</f>
        <v>Error</v>
      </c>
      <c r="G2543" t="str">
        <f>INDEX(Lists!H:H,MATCH(Validation!E2543,Lists!G:G,0))</f>
        <v>Amount may not be negative. Enter an amount greater than or equal to zero.</v>
      </c>
      <c r="H2543" s="25" t="str">
        <f t="shared" ca="1" si="285"/>
        <v/>
      </c>
      <c r="I2543" s="25" t="str">
        <f t="shared" ca="1" si="286"/>
        <v/>
      </c>
      <c r="J2543" s="26" t="str">
        <f t="shared" ca="1" si="287"/>
        <v/>
      </c>
    </row>
    <row r="2544" spans="1:10" x14ac:dyDescent="0.25">
      <c r="A2544" t="s">
        <v>306</v>
      </c>
      <c r="B2544" t="str">
        <f>ADDRESS(ROW('Bond 1'!$B$41),COLUMN('Bond 1'!$B$41),4)</f>
        <v>B41</v>
      </c>
      <c r="C2544" t="str">
        <f>ADDRESS(ROW('Bond 1'!$D$41),COLUMN('Bond 1'!$D$41),4)</f>
        <v>D41</v>
      </c>
      <c r="D2544" t="b" cm="1">
        <f t="array" aca="1" ref="D2544" ca="1">IF(INDIRECT("'"&amp;A2544&amp;"'!"&amp;B2544)="",FALSE,IF(INDIRECT("'"&amp;A2544&amp;"'!"&amp;B2544)&lt;0,TRUE,FALSE))</f>
        <v>0</v>
      </c>
      <c r="E2544" t="s">
        <v>434</v>
      </c>
      <c r="F2544" t="str">
        <f>INDEX(Lists!I:I,MATCH(Validation!E2544,Lists!G:G,0))</f>
        <v>Error</v>
      </c>
      <c r="G2544" t="str">
        <f>INDEX(Lists!H:H,MATCH(Validation!E2544,Lists!G:G,0))</f>
        <v>Amount may not be negative. Enter an amount greater than or equal to zero.</v>
      </c>
      <c r="H2544" s="25" t="str">
        <f t="shared" ca="1" si="285"/>
        <v/>
      </c>
      <c r="I2544" s="25" t="str">
        <f t="shared" ca="1" si="286"/>
        <v/>
      </c>
      <c r="J2544" s="26" t="str">
        <f t="shared" ca="1" si="287"/>
        <v/>
      </c>
    </row>
    <row r="2545" spans="1:10" x14ac:dyDescent="0.25">
      <c r="A2545" t="s">
        <v>307</v>
      </c>
      <c r="B2545" t="str">
        <f>ADDRESS(ROW('Bond 1'!$B$41),COLUMN('Bond 1'!$B$41),4)</f>
        <v>B41</v>
      </c>
      <c r="C2545" t="str">
        <f>ADDRESS(ROW('Bond 1'!$D$41),COLUMN('Bond 1'!$D$41),4)</f>
        <v>D41</v>
      </c>
      <c r="D2545" t="b" cm="1">
        <f t="array" aca="1" ref="D2545" ca="1">IF(INDIRECT("'"&amp;A2545&amp;"'!"&amp;B2545)="",FALSE,IF(INDIRECT("'"&amp;A2545&amp;"'!"&amp;B2545)&lt;0,TRUE,FALSE))</f>
        <v>0</v>
      </c>
      <c r="E2545" t="s">
        <v>434</v>
      </c>
      <c r="F2545" t="str">
        <f>INDEX(Lists!I:I,MATCH(Validation!E2545,Lists!G:G,0))</f>
        <v>Error</v>
      </c>
      <c r="G2545" t="str">
        <f>INDEX(Lists!H:H,MATCH(Validation!E2545,Lists!G:G,0))</f>
        <v>Amount may not be negative. Enter an amount greater than or equal to zero.</v>
      </c>
      <c r="H2545" s="25" t="str">
        <f t="shared" ca="1" si="285"/>
        <v/>
      </c>
      <c r="I2545" s="25" t="str">
        <f t="shared" ca="1" si="286"/>
        <v/>
      </c>
      <c r="J2545" s="26" t="str">
        <f t="shared" ca="1" si="287"/>
        <v/>
      </c>
    </row>
    <row r="2546" spans="1:10" x14ac:dyDescent="0.25">
      <c r="A2546" t="s">
        <v>308</v>
      </c>
      <c r="B2546" t="str">
        <f>ADDRESS(ROW('Bond 1'!$B$41),COLUMN('Bond 1'!$B$41),4)</f>
        <v>B41</v>
      </c>
      <c r="C2546" t="str">
        <f>ADDRESS(ROW('Bond 1'!$D$41),COLUMN('Bond 1'!$D$41),4)</f>
        <v>D41</v>
      </c>
      <c r="D2546" t="b" cm="1">
        <f t="array" aca="1" ref="D2546" ca="1">IF(INDIRECT("'"&amp;A2546&amp;"'!"&amp;B2546)="",FALSE,IF(INDIRECT("'"&amp;A2546&amp;"'!"&amp;B2546)&lt;0,TRUE,FALSE))</f>
        <v>0</v>
      </c>
      <c r="E2546" t="s">
        <v>434</v>
      </c>
      <c r="F2546" t="str">
        <f>INDEX(Lists!I:I,MATCH(Validation!E2546,Lists!G:G,0))</f>
        <v>Error</v>
      </c>
      <c r="G2546" t="str">
        <f>INDEX(Lists!H:H,MATCH(Validation!E2546,Lists!G:G,0))</f>
        <v>Amount may not be negative. Enter an amount greater than or equal to zero.</v>
      </c>
      <c r="H2546" s="25" t="str">
        <f t="shared" ca="1" si="285"/>
        <v/>
      </c>
      <c r="I2546" s="25" t="str">
        <f t="shared" ca="1" si="286"/>
        <v/>
      </c>
      <c r="J2546" s="26" t="str">
        <f t="shared" ca="1" si="287"/>
        <v/>
      </c>
    </row>
    <row r="2547" spans="1:10" x14ac:dyDescent="0.25">
      <c r="A2547" t="s">
        <v>309</v>
      </c>
      <c r="B2547" t="str">
        <f>ADDRESS(ROW('Bond 1'!$B$41),COLUMN('Bond 1'!$B$41),4)</f>
        <v>B41</v>
      </c>
      <c r="C2547" t="str">
        <f>ADDRESS(ROW('Bond 1'!$D$41),COLUMN('Bond 1'!$D$41),4)</f>
        <v>D41</v>
      </c>
      <c r="D2547" t="b" cm="1">
        <f t="array" aca="1" ref="D2547" ca="1">IF(INDIRECT("'"&amp;A2547&amp;"'!"&amp;B2547)="",FALSE,IF(INDIRECT("'"&amp;A2547&amp;"'!"&amp;B2547)&lt;0,TRUE,FALSE))</f>
        <v>0</v>
      </c>
      <c r="E2547" t="s">
        <v>434</v>
      </c>
      <c r="F2547" t="str">
        <f>INDEX(Lists!I:I,MATCH(Validation!E2547,Lists!G:G,0))</f>
        <v>Error</v>
      </c>
      <c r="G2547" t="str">
        <f>INDEX(Lists!H:H,MATCH(Validation!E2547,Lists!G:G,0))</f>
        <v>Amount may not be negative. Enter an amount greater than or equal to zero.</v>
      </c>
      <c r="H2547" s="25" t="str">
        <f t="shared" ca="1" si="285"/>
        <v/>
      </c>
      <c r="I2547" s="25" t="str">
        <f t="shared" ca="1" si="286"/>
        <v/>
      </c>
      <c r="J2547" s="26" t="str">
        <f t="shared" ca="1" si="287"/>
        <v/>
      </c>
    </row>
    <row r="2548" spans="1:10" x14ac:dyDescent="0.25">
      <c r="A2548" t="s">
        <v>310</v>
      </c>
      <c r="B2548" t="str">
        <f>ADDRESS(ROW('Bond 1'!$B$41),COLUMN('Bond 1'!$B$41),4)</f>
        <v>B41</v>
      </c>
      <c r="C2548" t="str">
        <f>ADDRESS(ROW('Bond 1'!$D$41),COLUMN('Bond 1'!$D$41),4)</f>
        <v>D41</v>
      </c>
      <c r="D2548" t="b" cm="1">
        <f t="array" aca="1" ref="D2548" ca="1">IF(INDIRECT("'"&amp;A2548&amp;"'!"&amp;B2548)="",FALSE,IF(INDIRECT("'"&amp;A2548&amp;"'!"&amp;B2548)&lt;0,TRUE,FALSE))</f>
        <v>0</v>
      </c>
      <c r="E2548" t="s">
        <v>434</v>
      </c>
      <c r="F2548" t="str">
        <f>INDEX(Lists!I:I,MATCH(Validation!E2548,Lists!G:G,0))</f>
        <v>Error</v>
      </c>
      <c r="G2548" t="str">
        <f>INDEX(Lists!H:H,MATCH(Validation!E2548,Lists!G:G,0))</f>
        <v>Amount may not be negative. Enter an amount greater than or equal to zero.</v>
      </c>
      <c r="H2548" s="25" t="str">
        <f t="shared" ca="1" si="285"/>
        <v/>
      </c>
      <c r="I2548" s="25" t="str">
        <f t="shared" ca="1" si="286"/>
        <v/>
      </c>
      <c r="J2548" s="26" t="str">
        <f t="shared" ca="1" si="287"/>
        <v/>
      </c>
    </row>
    <row r="2549" spans="1:10" x14ac:dyDescent="0.25">
      <c r="A2549" t="s">
        <v>311</v>
      </c>
      <c r="B2549" t="str">
        <f>ADDRESS(ROW('Bond 1'!$B$41),COLUMN('Bond 1'!$B$41),4)</f>
        <v>B41</v>
      </c>
      <c r="C2549" t="str">
        <f>ADDRESS(ROW('Bond 1'!$D$41),COLUMN('Bond 1'!$D$41),4)</f>
        <v>D41</v>
      </c>
      <c r="D2549" t="b" cm="1">
        <f t="array" aca="1" ref="D2549" ca="1">IF(INDIRECT("'"&amp;A2549&amp;"'!"&amp;B2549)="",FALSE,IF(INDIRECT("'"&amp;A2549&amp;"'!"&amp;B2549)&lt;0,TRUE,FALSE))</f>
        <v>0</v>
      </c>
      <c r="E2549" t="s">
        <v>434</v>
      </c>
      <c r="F2549" t="str">
        <f>INDEX(Lists!I:I,MATCH(Validation!E2549,Lists!G:G,0))</f>
        <v>Error</v>
      </c>
      <c r="G2549" t="str">
        <f>INDEX(Lists!H:H,MATCH(Validation!E2549,Lists!G:G,0))</f>
        <v>Amount may not be negative. Enter an amount greater than or equal to zero.</v>
      </c>
      <c r="H2549" s="25" t="str">
        <f t="shared" ca="1" si="285"/>
        <v/>
      </c>
      <c r="I2549" s="25" t="str">
        <f t="shared" ca="1" si="286"/>
        <v/>
      </c>
      <c r="J2549" s="26" t="str">
        <f t="shared" ca="1" si="287"/>
        <v/>
      </c>
    </row>
    <row r="2550" spans="1:10" x14ac:dyDescent="0.25">
      <c r="A2550" t="s">
        <v>312</v>
      </c>
      <c r="B2550" t="str">
        <f>ADDRESS(ROW('Bond 1'!$B$41),COLUMN('Bond 1'!$B$41),4)</f>
        <v>B41</v>
      </c>
      <c r="C2550" t="str">
        <f>ADDRESS(ROW('Bond 1'!$D$41),COLUMN('Bond 1'!$D$41),4)</f>
        <v>D41</v>
      </c>
      <c r="D2550" t="b" cm="1">
        <f t="array" aca="1" ref="D2550" ca="1">IF(INDIRECT("'"&amp;A2550&amp;"'!"&amp;B2550)="",FALSE,IF(INDIRECT("'"&amp;A2550&amp;"'!"&amp;B2550)&lt;0,TRUE,FALSE))</f>
        <v>0</v>
      </c>
      <c r="E2550" t="s">
        <v>434</v>
      </c>
      <c r="F2550" t="str">
        <f>INDEX(Lists!I:I,MATCH(Validation!E2550,Lists!G:G,0))</f>
        <v>Error</v>
      </c>
      <c r="G2550" t="str">
        <f>INDEX(Lists!H:H,MATCH(Validation!E2550,Lists!G:G,0))</f>
        <v>Amount may not be negative. Enter an amount greater than or equal to zero.</v>
      </c>
      <c r="H2550" s="25" t="str">
        <f t="shared" ca="1" si="285"/>
        <v/>
      </c>
      <c r="I2550" s="25" t="str">
        <f t="shared" ca="1" si="286"/>
        <v/>
      </c>
      <c r="J2550" s="26" t="str">
        <f t="shared" ca="1" si="287"/>
        <v/>
      </c>
    </row>
    <row r="2551" spans="1:10" x14ac:dyDescent="0.25">
      <c r="A2551" t="s">
        <v>313</v>
      </c>
      <c r="B2551" t="str">
        <f>ADDRESS(ROW('Bond 1'!$B$41),COLUMN('Bond 1'!$B$41),4)</f>
        <v>B41</v>
      </c>
      <c r="C2551" t="str">
        <f>ADDRESS(ROW('Bond 1'!$D$41),COLUMN('Bond 1'!$D$41),4)</f>
        <v>D41</v>
      </c>
      <c r="D2551" t="b" cm="1">
        <f t="array" aca="1" ref="D2551" ca="1">IF(INDIRECT("'"&amp;A2551&amp;"'!"&amp;B2551)="",FALSE,IF(INDIRECT("'"&amp;A2551&amp;"'!"&amp;B2551)&lt;0,TRUE,FALSE))</f>
        <v>0</v>
      </c>
      <c r="E2551" t="s">
        <v>434</v>
      </c>
      <c r="F2551" t="str">
        <f>INDEX(Lists!I:I,MATCH(Validation!E2551,Lists!G:G,0))</f>
        <v>Error</v>
      </c>
      <c r="G2551" t="str">
        <f>INDEX(Lists!H:H,MATCH(Validation!E2551,Lists!G:G,0))</f>
        <v>Amount may not be negative. Enter an amount greater than or equal to zero.</v>
      </c>
      <c r="H2551" s="25" t="str">
        <f t="shared" ca="1" si="285"/>
        <v/>
      </c>
      <c r="I2551" s="25" t="str">
        <f t="shared" ca="1" si="286"/>
        <v/>
      </c>
      <c r="J2551" s="26" t="str">
        <f t="shared" ca="1" si="287"/>
        <v/>
      </c>
    </row>
    <row r="2552" spans="1:10" x14ac:dyDescent="0.25">
      <c r="A2552" t="s">
        <v>314</v>
      </c>
      <c r="B2552" t="str">
        <f>ADDRESS(ROW('Bond 1'!$B$41),COLUMN('Bond 1'!$B$41),4)</f>
        <v>B41</v>
      </c>
      <c r="C2552" t="str">
        <f>ADDRESS(ROW('Bond 1'!$D$41),COLUMN('Bond 1'!$D$41),4)</f>
        <v>D41</v>
      </c>
      <c r="D2552" t="b" cm="1">
        <f t="array" aca="1" ref="D2552" ca="1">IF(INDIRECT("'"&amp;A2552&amp;"'!"&amp;B2552)="",FALSE,IF(INDIRECT("'"&amp;A2552&amp;"'!"&amp;B2552)&lt;0,TRUE,FALSE))</f>
        <v>0</v>
      </c>
      <c r="E2552" t="s">
        <v>434</v>
      </c>
      <c r="F2552" t="str">
        <f>INDEX(Lists!I:I,MATCH(Validation!E2552,Lists!G:G,0))</f>
        <v>Error</v>
      </c>
      <c r="G2552" t="str">
        <f>INDEX(Lists!H:H,MATCH(Validation!E2552,Lists!G:G,0))</f>
        <v>Amount may not be negative. Enter an amount greater than or equal to zero.</v>
      </c>
      <c r="H2552" s="25" t="str">
        <f t="shared" ca="1" si="285"/>
        <v/>
      </c>
      <c r="I2552" s="25" t="str">
        <f t="shared" ca="1" si="286"/>
        <v/>
      </c>
      <c r="J2552" s="26" t="str">
        <f t="shared" ca="1" si="287"/>
        <v/>
      </c>
    </row>
    <row r="2553" spans="1:10" x14ac:dyDescent="0.25">
      <c r="A2553" t="s">
        <v>315</v>
      </c>
      <c r="B2553" t="str">
        <f>ADDRESS(ROW('Bond 1'!$B$41),COLUMN('Bond 1'!$B$41),4)</f>
        <v>B41</v>
      </c>
      <c r="C2553" t="str">
        <f>ADDRESS(ROW('Bond 1'!$D$41),COLUMN('Bond 1'!$D$41),4)</f>
        <v>D41</v>
      </c>
      <c r="D2553" t="b" cm="1">
        <f t="array" aca="1" ref="D2553" ca="1">IF(INDIRECT("'"&amp;A2553&amp;"'!"&amp;B2553)="",FALSE,IF(INDIRECT("'"&amp;A2553&amp;"'!"&amp;B2553)&lt;0,TRUE,FALSE))</f>
        <v>0</v>
      </c>
      <c r="E2553" t="s">
        <v>434</v>
      </c>
      <c r="F2553" t="str">
        <f>INDEX(Lists!I:I,MATCH(Validation!E2553,Lists!G:G,0))</f>
        <v>Error</v>
      </c>
      <c r="G2553" t="str">
        <f>INDEX(Lists!H:H,MATCH(Validation!E2553,Lists!G:G,0))</f>
        <v>Amount may not be negative. Enter an amount greater than or equal to zero.</v>
      </c>
      <c r="H2553" s="25" t="str">
        <f t="shared" ca="1" si="285"/>
        <v/>
      </c>
      <c r="I2553" s="25" t="str">
        <f t="shared" ca="1" si="286"/>
        <v/>
      </c>
      <c r="J2553" s="26" t="str">
        <f t="shared" ca="1" si="287"/>
        <v/>
      </c>
    </row>
    <row r="2554" spans="1:10" x14ac:dyDescent="0.25">
      <c r="A2554" t="s">
        <v>198</v>
      </c>
      <c r="B2554" t="str">
        <f>ADDRESS(ROW('Bond 1'!$B$41),COLUMN('Bond 1'!$B$41),4)</f>
        <v>B41</v>
      </c>
      <c r="C2554" t="str">
        <f>ADDRESS(ROW('Bond 1'!$D$41),COLUMN('Bond 1'!$D$41),4)</f>
        <v>D41</v>
      </c>
      <c r="D2554" t="b" cm="1">
        <f t="array" aca="1" ref="D2554" ca="1">IF(INDIRECT("'"&amp;A2554&amp;"'!"&amp;B2554)="",FALSE,IF(TRUNC(INDIRECT("'"&amp;A2554&amp;"'!"&amp;B2554))=INDIRECT("'"&amp;A2554&amp;"'!"&amp;B2554),FALSE,TRUE))</f>
        <v>0</v>
      </c>
      <c r="E2554" t="s">
        <v>436</v>
      </c>
      <c r="F2554" t="str">
        <f>INDEX(Lists!I:I,MATCH(Validation!E2554,Lists!G:G,0))</f>
        <v>Error</v>
      </c>
      <c r="G2554" t="str">
        <f>INDEX(Lists!H:H,MATCH(Validation!E2554,Lists!G:G,0))</f>
        <v>Amount must be rounded to the nearest dollar.</v>
      </c>
      <c r="H2554" s="25" t="str">
        <f t="shared" ca="1" si="285"/>
        <v/>
      </c>
      <c r="I2554" s="25" t="str">
        <f t="shared" ca="1" si="286"/>
        <v/>
      </c>
      <c r="J2554" s="26" t="str">
        <f t="shared" ca="1" si="287"/>
        <v/>
      </c>
    </row>
    <row r="2555" spans="1:10" x14ac:dyDescent="0.25">
      <c r="A2555" t="s">
        <v>302</v>
      </c>
      <c r="B2555" t="str">
        <f>ADDRESS(ROW('Bond 1'!$B$41),COLUMN('Bond 1'!$B$41),4)</f>
        <v>B41</v>
      </c>
      <c r="C2555" t="str">
        <f>ADDRESS(ROW('Bond 1'!$D$41),COLUMN('Bond 1'!$D$41),4)</f>
        <v>D41</v>
      </c>
      <c r="D2555" t="b" cm="1">
        <f t="array" aca="1" ref="D2555" ca="1">IF(INDIRECT("'"&amp;A2555&amp;"'!"&amp;B2555)="",FALSE,IF(TRUNC(INDIRECT("'"&amp;A2555&amp;"'!"&amp;B2555))=INDIRECT("'"&amp;A2555&amp;"'!"&amp;B2555),FALSE,TRUE))</f>
        <v>0</v>
      </c>
      <c r="E2555" t="s">
        <v>436</v>
      </c>
      <c r="F2555" t="str">
        <f>INDEX(Lists!I:I,MATCH(Validation!E2555,Lists!G:G,0))</f>
        <v>Error</v>
      </c>
      <c r="G2555" t="str">
        <f>INDEX(Lists!H:H,MATCH(Validation!E2555,Lists!G:G,0))</f>
        <v>Amount must be rounded to the nearest dollar.</v>
      </c>
      <c r="H2555" s="25" t="str">
        <f t="shared" ca="1" si="285"/>
        <v/>
      </c>
      <c r="I2555" s="25" t="str">
        <f t="shared" ca="1" si="286"/>
        <v/>
      </c>
      <c r="J2555" s="26" t="str">
        <f t="shared" ca="1" si="287"/>
        <v/>
      </c>
    </row>
    <row r="2556" spans="1:10" x14ac:dyDescent="0.25">
      <c r="A2556" t="s">
        <v>303</v>
      </c>
      <c r="B2556" t="str">
        <f>ADDRESS(ROW('Bond 1'!$B$41),COLUMN('Bond 1'!$B$41),4)</f>
        <v>B41</v>
      </c>
      <c r="C2556" t="str">
        <f>ADDRESS(ROW('Bond 1'!$D$41),COLUMN('Bond 1'!$D$41),4)</f>
        <v>D41</v>
      </c>
      <c r="D2556" t="b" cm="1">
        <f t="array" aca="1" ref="D2556" ca="1">IF(INDIRECT("'"&amp;A2556&amp;"'!"&amp;B2556)="",FALSE,IF(TRUNC(INDIRECT("'"&amp;A2556&amp;"'!"&amp;B2556))=INDIRECT("'"&amp;A2556&amp;"'!"&amp;B2556),FALSE,TRUE))</f>
        <v>0</v>
      </c>
      <c r="E2556" t="s">
        <v>436</v>
      </c>
      <c r="F2556" t="str">
        <f>INDEX(Lists!I:I,MATCH(Validation!E2556,Lists!G:G,0))</f>
        <v>Error</v>
      </c>
      <c r="G2556" t="str">
        <f>INDEX(Lists!H:H,MATCH(Validation!E2556,Lists!G:G,0))</f>
        <v>Amount must be rounded to the nearest dollar.</v>
      </c>
      <c r="H2556" s="25" t="str">
        <f t="shared" ca="1" si="285"/>
        <v/>
      </c>
      <c r="I2556" s="25" t="str">
        <f t="shared" ca="1" si="286"/>
        <v/>
      </c>
      <c r="J2556" s="26" t="str">
        <f t="shared" ca="1" si="287"/>
        <v/>
      </c>
    </row>
    <row r="2557" spans="1:10" x14ac:dyDescent="0.25">
      <c r="A2557" t="s">
        <v>304</v>
      </c>
      <c r="B2557" t="str">
        <f>ADDRESS(ROW('Bond 1'!$B$41),COLUMN('Bond 1'!$B$41),4)</f>
        <v>B41</v>
      </c>
      <c r="C2557" t="str">
        <f>ADDRESS(ROW('Bond 1'!$D$41),COLUMN('Bond 1'!$D$41),4)</f>
        <v>D41</v>
      </c>
      <c r="D2557" t="b" cm="1">
        <f t="array" aca="1" ref="D2557" ca="1">IF(INDIRECT("'"&amp;A2557&amp;"'!"&amp;B2557)="",FALSE,IF(TRUNC(INDIRECT("'"&amp;A2557&amp;"'!"&amp;B2557))=INDIRECT("'"&amp;A2557&amp;"'!"&amp;B2557),FALSE,TRUE))</f>
        <v>0</v>
      </c>
      <c r="E2557" t="s">
        <v>436</v>
      </c>
      <c r="F2557" t="str">
        <f>INDEX(Lists!I:I,MATCH(Validation!E2557,Lists!G:G,0))</f>
        <v>Error</v>
      </c>
      <c r="G2557" t="str">
        <f>INDEX(Lists!H:H,MATCH(Validation!E2557,Lists!G:G,0))</f>
        <v>Amount must be rounded to the nearest dollar.</v>
      </c>
      <c r="H2557" s="25" t="str">
        <f t="shared" ca="1" si="285"/>
        <v/>
      </c>
      <c r="I2557" s="25" t="str">
        <f t="shared" ca="1" si="286"/>
        <v/>
      </c>
      <c r="J2557" s="26" t="str">
        <f t="shared" ca="1" si="287"/>
        <v/>
      </c>
    </row>
    <row r="2558" spans="1:10" x14ac:dyDescent="0.25">
      <c r="A2558" t="s">
        <v>305</v>
      </c>
      <c r="B2558" t="str">
        <f>ADDRESS(ROW('Bond 1'!$B$41),COLUMN('Bond 1'!$B$41),4)</f>
        <v>B41</v>
      </c>
      <c r="C2558" t="str">
        <f>ADDRESS(ROW('Bond 1'!$D$41),COLUMN('Bond 1'!$D$41),4)</f>
        <v>D41</v>
      </c>
      <c r="D2558" t="b" cm="1">
        <f t="array" aca="1" ref="D2558" ca="1">IF(INDIRECT("'"&amp;A2558&amp;"'!"&amp;B2558)="",FALSE,IF(TRUNC(INDIRECT("'"&amp;A2558&amp;"'!"&amp;B2558))=INDIRECT("'"&amp;A2558&amp;"'!"&amp;B2558),FALSE,TRUE))</f>
        <v>0</v>
      </c>
      <c r="E2558" t="s">
        <v>436</v>
      </c>
      <c r="F2558" t="str">
        <f>INDEX(Lists!I:I,MATCH(Validation!E2558,Lists!G:G,0))</f>
        <v>Error</v>
      </c>
      <c r="G2558" t="str">
        <f>INDEX(Lists!H:H,MATCH(Validation!E2558,Lists!G:G,0))</f>
        <v>Amount must be rounded to the nearest dollar.</v>
      </c>
      <c r="H2558" s="25" t="str">
        <f t="shared" ca="1" si="285"/>
        <v/>
      </c>
      <c r="I2558" s="25" t="str">
        <f t="shared" ca="1" si="286"/>
        <v/>
      </c>
      <c r="J2558" s="26" t="str">
        <f t="shared" ca="1" si="287"/>
        <v/>
      </c>
    </row>
    <row r="2559" spans="1:10" x14ac:dyDescent="0.25">
      <c r="A2559" t="s">
        <v>306</v>
      </c>
      <c r="B2559" t="str">
        <f>ADDRESS(ROW('Bond 1'!$B$41),COLUMN('Bond 1'!$B$41),4)</f>
        <v>B41</v>
      </c>
      <c r="C2559" t="str">
        <f>ADDRESS(ROW('Bond 1'!$D$41),COLUMN('Bond 1'!$D$41),4)</f>
        <v>D41</v>
      </c>
      <c r="D2559" t="b" cm="1">
        <f t="array" aca="1" ref="D2559" ca="1">IF(INDIRECT("'"&amp;A2559&amp;"'!"&amp;B2559)="",FALSE,IF(TRUNC(INDIRECT("'"&amp;A2559&amp;"'!"&amp;B2559))=INDIRECT("'"&amp;A2559&amp;"'!"&amp;B2559),FALSE,TRUE))</f>
        <v>0</v>
      </c>
      <c r="E2559" t="s">
        <v>436</v>
      </c>
      <c r="F2559" t="str">
        <f>INDEX(Lists!I:I,MATCH(Validation!E2559,Lists!G:G,0))</f>
        <v>Error</v>
      </c>
      <c r="G2559" t="str">
        <f>INDEX(Lists!H:H,MATCH(Validation!E2559,Lists!G:G,0))</f>
        <v>Amount must be rounded to the nearest dollar.</v>
      </c>
      <c r="H2559" s="25" t="str">
        <f t="shared" ca="1" si="285"/>
        <v/>
      </c>
      <c r="I2559" s="25" t="str">
        <f t="shared" ca="1" si="286"/>
        <v/>
      </c>
      <c r="J2559" s="26" t="str">
        <f t="shared" ca="1" si="287"/>
        <v/>
      </c>
    </row>
    <row r="2560" spans="1:10" x14ac:dyDescent="0.25">
      <c r="A2560" t="s">
        <v>307</v>
      </c>
      <c r="B2560" t="str">
        <f>ADDRESS(ROW('Bond 1'!$B$41),COLUMN('Bond 1'!$B$41),4)</f>
        <v>B41</v>
      </c>
      <c r="C2560" t="str">
        <f>ADDRESS(ROW('Bond 1'!$D$41),COLUMN('Bond 1'!$D$41),4)</f>
        <v>D41</v>
      </c>
      <c r="D2560" t="b" cm="1">
        <f t="array" aca="1" ref="D2560" ca="1">IF(INDIRECT("'"&amp;A2560&amp;"'!"&amp;B2560)="",FALSE,IF(TRUNC(INDIRECT("'"&amp;A2560&amp;"'!"&amp;B2560))=INDIRECT("'"&amp;A2560&amp;"'!"&amp;B2560),FALSE,TRUE))</f>
        <v>0</v>
      </c>
      <c r="E2560" t="s">
        <v>436</v>
      </c>
      <c r="F2560" t="str">
        <f>INDEX(Lists!I:I,MATCH(Validation!E2560,Lists!G:G,0))</f>
        <v>Error</v>
      </c>
      <c r="G2560" t="str">
        <f>INDEX(Lists!H:H,MATCH(Validation!E2560,Lists!G:G,0))</f>
        <v>Amount must be rounded to the nearest dollar.</v>
      </c>
      <c r="H2560" s="25" t="str">
        <f t="shared" ca="1" si="285"/>
        <v/>
      </c>
      <c r="I2560" s="25" t="str">
        <f t="shared" ca="1" si="286"/>
        <v/>
      </c>
      <c r="J2560" s="26" t="str">
        <f t="shared" ca="1" si="287"/>
        <v/>
      </c>
    </row>
    <row r="2561" spans="1:10" x14ac:dyDescent="0.25">
      <c r="A2561" t="s">
        <v>308</v>
      </c>
      <c r="B2561" t="str">
        <f>ADDRESS(ROW('Bond 1'!$B$41),COLUMN('Bond 1'!$B$41),4)</f>
        <v>B41</v>
      </c>
      <c r="C2561" t="str">
        <f>ADDRESS(ROW('Bond 1'!$D$41),COLUMN('Bond 1'!$D$41),4)</f>
        <v>D41</v>
      </c>
      <c r="D2561" t="b" cm="1">
        <f t="array" aca="1" ref="D2561" ca="1">IF(INDIRECT("'"&amp;A2561&amp;"'!"&amp;B2561)="",FALSE,IF(TRUNC(INDIRECT("'"&amp;A2561&amp;"'!"&amp;B2561))=INDIRECT("'"&amp;A2561&amp;"'!"&amp;B2561),FALSE,TRUE))</f>
        <v>0</v>
      </c>
      <c r="E2561" t="s">
        <v>436</v>
      </c>
      <c r="F2561" t="str">
        <f>INDEX(Lists!I:I,MATCH(Validation!E2561,Lists!G:G,0))</f>
        <v>Error</v>
      </c>
      <c r="G2561" t="str">
        <f>INDEX(Lists!H:H,MATCH(Validation!E2561,Lists!G:G,0))</f>
        <v>Amount must be rounded to the nearest dollar.</v>
      </c>
      <c r="H2561" s="25" t="str">
        <f t="shared" ca="1" si="285"/>
        <v/>
      </c>
      <c r="I2561" s="25" t="str">
        <f t="shared" ca="1" si="286"/>
        <v/>
      </c>
      <c r="J2561" s="26" t="str">
        <f t="shared" ca="1" si="287"/>
        <v/>
      </c>
    </row>
    <row r="2562" spans="1:10" x14ac:dyDescent="0.25">
      <c r="A2562" t="s">
        <v>309</v>
      </c>
      <c r="B2562" t="str">
        <f>ADDRESS(ROW('Bond 1'!$B$41),COLUMN('Bond 1'!$B$41),4)</f>
        <v>B41</v>
      </c>
      <c r="C2562" t="str">
        <f>ADDRESS(ROW('Bond 1'!$D$41),COLUMN('Bond 1'!$D$41),4)</f>
        <v>D41</v>
      </c>
      <c r="D2562" t="b" cm="1">
        <f t="array" aca="1" ref="D2562" ca="1">IF(INDIRECT("'"&amp;A2562&amp;"'!"&amp;B2562)="",FALSE,IF(TRUNC(INDIRECT("'"&amp;A2562&amp;"'!"&amp;B2562))=INDIRECT("'"&amp;A2562&amp;"'!"&amp;B2562),FALSE,TRUE))</f>
        <v>0</v>
      </c>
      <c r="E2562" t="s">
        <v>436</v>
      </c>
      <c r="F2562" t="str">
        <f>INDEX(Lists!I:I,MATCH(Validation!E2562,Lists!G:G,0))</f>
        <v>Error</v>
      </c>
      <c r="G2562" t="str">
        <f>INDEX(Lists!H:H,MATCH(Validation!E2562,Lists!G:G,0))</f>
        <v>Amount must be rounded to the nearest dollar.</v>
      </c>
      <c r="H2562" s="25" t="str">
        <f t="shared" ca="1" si="285"/>
        <v/>
      </c>
      <c r="I2562" s="25" t="str">
        <f t="shared" ca="1" si="286"/>
        <v/>
      </c>
      <c r="J2562" s="26" t="str">
        <f t="shared" ca="1" si="287"/>
        <v/>
      </c>
    </row>
    <row r="2563" spans="1:10" x14ac:dyDescent="0.25">
      <c r="A2563" t="s">
        <v>310</v>
      </c>
      <c r="B2563" t="str">
        <f>ADDRESS(ROW('Bond 1'!$B$41),COLUMN('Bond 1'!$B$41),4)</f>
        <v>B41</v>
      </c>
      <c r="C2563" t="str">
        <f>ADDRESS(ROW('Bond 1'!$D$41),COLUMN('Bond 1'!$D$41),4)</f>
        <v>D41</v>
      </c>
      <c r="D2563" t="b" cm="1">
        <f t="array" aca="1" ref="D2563" ca="1">IF(INDIRECT("'"&amp;A2563&amp;"'!"&amp;B2563)="",FALSE,IF(TRUNC(INDIRECT("'"&amp;A2563&amp;"'!"&amp;B2563))=INDIRECT("'"&amp;A2563&amp;"'!"&amp;B2563),FALSE,TRUE))</f>
        <v>0</v>
      </c>
      <c r="E2563" t="s">
        <v>436</v>
      </c>
      <c r="F2563" t="str">
        <f>INDEX(Lists!I:I,MATCH(Validation!E2563,Lists!G:G,0))</f>
        <v>Error</v>
      </c>
      <c r="G2563" t="str">
        <f>INDEX(Lists!H:H,MATCH(Validation!E2563,Lists!G:G,0))</f>
        <v>Amount must be rounded to the nearest dollar.</v>
      </c>
      <c r="H2563" s="25" t="str">
        <f t="shared" ca="1" si="285"/>
        <v/>
      </c>
      <c r="I2563" s="25" t="str">
        <f t="shared" ca="1" si="286"/>
        <v/>
      </c>
      <c r="J2563" s="26" t="str">
        <f t="shared" ca="1" si="287"/>
        <v/>
      </c>
    </row>
    <row r="2564" spans="1:10" x14ac:dyDescent="0.25">
      <c r="A2564" t="s">
        <v>311</v>
      </c>
      <c r="B2564" t="str">
        <f>ADDRESS(ROW('Bond 1'!$B$41),COLUMN('Bond 1'!$B$41),4)</f>
        <v>B41</v>
      </c>
      <c r="C2564" t="str">
        <f>ADDRESS(ROW('Bond 1'!$D$41),COLUMN('Bond 1'!$D$41),4)</f>
        <v>D41</v>
      </c>
      <c r="D2564" t="b" cm="1">
        <f t="array" aca="1" ref="D2564" ca="1">IF(INDIRECT("'"&amp;A2564&amp;"'!"&amp;B2564)="",FALSE,IF(TRUNC(INDIRECT("'"&amp;A2564&amp;"'!"&amp;B2564))=INDIRECT("'"&amp;A2564&amp;"'!"&amp;B2564),FALSE,TRUE))</f>
        <v>0</v>
      </c>
      <c r="E2564" t="s">
        <v>436</v>
      </c>
      <c r="F2564" t="str">
        <f>INDEX(Lists!I:I,MATCH(Validation!E2564,Lists!G:G,0))</f>
        <v>Error</v>
      </c>
      <c r="G2564" t="str">
        <f>INDEX(Lists!H:H,MATCH(Validation!E2564,Lists!G:G,0))</f>
        <v>Amount must be rounded to the nearest dollar.</v>
      </c>
      <c r="H2564" s="25" t="str">
        <f t="shared" ca="1" si="285"/>
        <v/>
      </c>
      <c r="I2564" s="25" t="str">
        <f t="shared" ca="1" si="286"/>
        <v/>
      </c>
      <c r="J2564" s="26" t="str">
        <f t="shared" ca="1" si="287"/>
        <v/>
      </c>
    </row>
    <row r="2565" spans="1:10" x14ac:dyDescent="0.25">
      <c r="A2565" t="s">
        <v>312</v>
      </c>
      <c r="B2565" t="str">
        <f>ADDRESS(ROW('Bond 1'!$B$41),COLUMN('Bond 1'!$B$41),4)</f>
        <v>B41</v>
      </c>
      <c r="C2565" t="str">
        <f>ADDRESS(ROW('Bond 1'!$D$41),COLUMN('Bond 1'!$D$41),4)</f>
        <v>D41</v>
      </c>
      <c r="D2565" t="b" cm="1">
        <f t="array" aca="1" ref="D2565" ca="1">IF(INDIRECT("'"&amp;A2565&amp;"'!"&amp;B2565)="",FALSE,IF(TRUNC(INDIRECT("'"&amp;A2565&amp;"'!"&amp;B2565))=INDIRECT("'"&amp;A2565&amp;"'!"&amp;B2565),FALSE,TRUE))</f>
        <v>0</v>
      </c>
      <c r="E2565" t="s">
        <v>436</v>
      </c>
      <c r="F2565" t="str">
        <f>INDEX(Lists!I:I,MATCH(Validation!E2565,Lists!G:G,0))</f>
        <v>Error</v>
      </c>
      <c r="G2565" t="str">
        <f>INDEX(Lists!H:H,MATCH(Validation!E2565,Lists!G:G,0))</f>
        <v>Amount must be rounded to the nearest dollar.</v>
      </c>
      <c r="H2565" s="25" t="str">
        <f t="shared" ca="1" si="285"/>
        <v/>
      </c>
      <c r="I2565" s="25" t="str">
        <f t="shared" ca="1" si="286"/>
        <v/>
      </c>
      <c r="J2565" s="26" t="str">
        <f t="shared" ca="1" si="287"/>
        <v/>
      </c>
    </row>
    <row r="2566" spans="1:10" x14ac:dyDescent="0.25">
      <c r="A2566" t="s">
        <v>313</v>
      </c>
      <c r="B2566" t="str">
        <f>ADDRESS(ROW('Bond 1'!$B$41),COLUMN('Bond 1'!$B$41),4)</f>
        <v>B41</v>
      </c>
      <c r="C2566" t="str">
        <f>ADDRESS(ROW('Bond 1'!$D$41),COLUMN('Bond 1'!$D$41),4)</f>
        <v>D41</v>
      </c>
      <c r="D2566" t="b" cm="1">
        <f t="array" aca="1" ref="D2566" ca="1">IF(INDIRECT("'"&amp;A2566&amp;"'!"&amp;B2566)="",FALSE,IF(TRUNC(INDIRECT("'"&amp;A2566&amp;"'!"&amp;B2566))=INDIRECT("'"&amp;A2566&amp;"'!"&amp;B2566),FALSE,TRUE))</f>
        <v>0</v>
      </c>
      <c r="E2566" t="s">
        <v>436</v>
      </c>
      <c r="F2566" t="str">
        <f>INDEX(Lists!I:I,MATCH(Validation!E2566,Lists!G:G,0))</f>
        <v>Error</v>
      </c>
      <c r="G2566" t="str">
        <f>INDEX(Lists!H:H,MATCH(Validation!E2566,Lists!G:G,0))</f>
        <v>Amount must be rounded to the nearest dollar.</v>
      </c>
      <c r="H2566" s="25" t="str">
        <f t="shared" ca="1" si="285"/>
        <v/>
      </c>
      <c r="I2566" s="25" t="str">
        <f t="shared" ca="1" si="286"/>
        <v/>
      </c>
      <c r="J2566" s="26" t="str">
        <f t="shared" ca="1" si="287"/>
        <v/>
      </c>
    </row>
    <row r="2567" spans="1:10" x14ac:dyDescent="0.25">
      <c r="A2567" t="s">
        <v>314</v>
      </c>
      <c r="B2567" t="str">
        <f>ADDRESS(ROW('Bond 1'!$B$41),COLUMN('Bond 1'!$B$41),4)</f>
        <v>B41</v>
      </c>
      <c r="C2567" t="str">
        <f>ADDRESS(ROW('Bond 1'!$D$41),COLUMN('Bond 1'!$D$41),4)</f>
        <v>D41</v>
      </c>
      <c r="D2567" t="b" cm="1">
        <f t="array" aca="1" ref="D2567" ca="1">IF(INDIRECT("'"&amp;A2567&amp;"'!"&amp;B2567)="",FALSE,IF(TRUNC(INDIRECT("'"&amp;A2567&amp;"'!"&amp;B2567))=INDIRECT("'"&amp;A2567&amp;"'!"&amp;B2567),FALSE,TRUE))</f>
        <v>0</v>
      </c>
      <c r="E2567" t="s">
        <v>436</v>
      </c>
      <c r="F2567" t="str">
        <f>INDEX(Lists!I:I,MATCH(Validation!E2567,Lists!G:G,0))</f>
        <v>Error</v>
      </c>
      <c r="G2567" t="str">
        <f>INDEX(Lists!H:H,MATCH(Validation!E2567,Lists!G:G,0))</f>
        <v>Amount must be rounded to the nearest dollar.</v>
      </c>
      <c r="H2567" s="25" t="str">
        <f t="shared" ca="1" si="285"/>
        <v/>
      </c>
      <c r="I2567" s="25" t="str">
        <f t="shared" ca="1" si="286"/>
        <v/>
      </c>
      <c r="J2567" s="26" t="str">
        <f t="shared" ca="1" si="287"/>
        <v/>
      </c>
    </row>
    <row r="2568" spans="1:10" x14ac:dyDescent="0.25">
      <c r="A2568" t="s">
        <v>315</v>
      </c>
      <c r="B2568" t="str">
        <f>ADDRESS(ROW('Bond 1'!$B$41),COLUMN('Bond 1'!$B$41),4)</f>
        <v>B41</v>
      </c>
      <c r="C2568" t="str">
        <f>ADDRESS(ROW('Bond 1'!$D$41),COLUMN('Bond 1'!$D$41),4)</f>
        <v>D41</v>
      </c>
      <c r="D2568" t="b" cm="1">
        <f t="array" aca="1" ref="D2568" ca="1">IF(INDIRECT("'"&amp;A2568&amp;"'!"&amp;B2568)="",FALSE,IF(TRUNC(INDIRECT("'"&amp;A2568&amp;"'!"&amp;B2568))=INDIRECT("'"&amp;A2568&amp;"'!"&amp;B2568),FALSE,TRUE))</f>
        <v>0</v>
      </c>
      <c r="E2568" t="s">
        <v>436</v>
      </c>
      <c r="F2568" t="str">
        <f>INDEX(Lists!I:I,MATCH(Validation!E2568,Lists!G:G,0))</f>
        <v>Error</v>
      </c>
      <c r="G2568" t="str">
        <f>INDEX(Lists!H:H,MATCH(Validation!E2568,Lists!G:G,0))</f>
        <v>Amount must be rounded to the nearest dollar.</v>
      </c>
      <c r="H2568" s="25" t="str">
        <f t="shared" ca="1" si="285"/>
        <v/>
      </c>
      <c r="I2568" s="25" t="str">
        <f t="shared" ca="1" si="286"/>
        <v/>
      </c>
      <c r="J2568" s="26" t="str">
        <f t="shared" ca="1" si="287"/>
        <v/>
      </c>
    </row>
    <row r="2569" spans="1:10" x14ac:dyDescent="0.25">
      <c r="A2569" t="s">
        <v>198</v>
      </c>
      <c r="B2569" t="str">
        <f>ADDRESS(ROW('Bond 1'!$B$41),COLUMN('Bond 1'!$B$41),4)</f>
        <v>B41</v>
      </c>
      <c r="C2569" t="str">
        <f>ADDRESS(ROW('Bond 1'!$D$41),COLUMN('Bond 1'!$D$41),4)</f>
        <v>D41</v>
      </c>
      <c r="D2569" t="b" cm="1">
        <f t="array" aca="1" ref="D2569" ca="1">IF(AND(NOT(ISBLANK('Bond Input'!C$55)),INDIRECT("'"&amp;A2569&amp;"'!"&amp;B2569)&lt;&gt;'Bond Input'!C$55),TRUE,FALSE)</f>
        <v>0</v>
      </c>
      <c r="E2569" t="s">
        <v>634</v>
      </c>
      <c r="F2569" t="str">
        <f>INDEX(Lists!I:I,MATCH(Validation!E2569,Lists!G:G,0))</f>
        <v>Alert</v>
      </c>
      <c r="G2569" t="str">
        <f>INDEX(Lists!H:H,MATCH(Validation!E2569,Lists!G:G,0))</f>
        <v>You have changed previously reported data. Explain in the comments box.</v>
      </c>
      <c r="H2569" s="25" t="str">
        <f t="shared" ref="H2569:H2582" ca="1" si="288">IFERROR(IF(OR(NOT(D2569),F2569&lt;&gt;"Error"),"",A2569&amp;CELL("address",INDIRECT(B2569))),"")</f>
        <v/>
      </c>
      <c r="I2569" s="25" t="str">
        <f t="shared" ref="I2569:I2582" ca="1" si="289">IFERROR(IF(NOT(D2569),"",A2569&amp;CELL("address",INDIRECT(C2569))),"")</f>
        <v/>
      </c>
      <c r="J2569" s="26" t="str">
        <f t="shared" ref="J2569:J2582" ca="1" si="290">IFERROR(IF(NOT(D2569),"",A2569),"")</f>
        <v/>
      </c>
    </row>
    <row r="2570" spans="1:10" x14ac:dyDescent="0.25">
      <c r="A2570" t="s">
        <v>302</v>
      </c>
      <c r="B2570" t="str">
        <f>ADDRESS(ROW('Bond 1'!$B$41),COLUMN('Bond 1'!$B$41),4)</f>
        <v>B41</v>
      </c>
      <c r="C2570" t="str">
        <f>ADDRESS(ROW('Bond 1'!$D$41),COLUMN('Bond 1'!$D$41),4)</f>
        <v>D41</v>
      </c>
      <c r="D2570" t="b" cm="1">
        <f t="array" aca="1" ref="D2570" ca="1">IF(AND(NOT(ISBLANK('Bond Input'!D$55)),INDIRECT("'"&amp;A2570&amp;"'!"&amp;B2570)&lt;&gt;'Bond Input'!D$55),TRUE,FALSE)</f>
        <v>0</v>
      </c>
      <c r="E2570" t="s">
        <v>634</v>
      </c>
      <c r="F2570" t="str">
        <f>INDEX(Lists!I:I,MATCH(Validation!E2570,Lists!G:G,0))</f>
        <v>Alert</v>
      </c>
      <c r="G2570" t="str">
        <f>INDEX(Lists!H:H,MATCH(Validation!E2570,Lists!G:G,0))</f>
        <v>You have changed previously reported data. Explain in the comments box.</v>
      </c>
      <c r="H2570" s="25" t="str">
        <f t="shared" ca="1" si="288"/>
        <v/>
      </c>
      <c r="I2570" s="25" t="str">
        <f t="shared" ca="1" si="289"/>
        <v/>
      </c>
      <c r="J2570" s="26" t="str">
        <f t="shared" ca="1" si="290"/>
        <v/>
      </c>
    </row>
    <row r="2571" spans="1:10" x14ac:dyDescent="0.25">
      <c r="A2571" t="s">
        <v>303</v>
      </c>
      <c r="B2571" t="str">
        <f>ADDRESS(ROW('Bond 1'!$B$41),COLUMN('Bond 1'!$B$41),4)</f>
        <v>B41</v>
      </c>
      <c r="C2571" t="str">
        <f>ADDRESS(ROW('Bond 1'!$D$41),COLUMN('Bond 1'!$D$41),4)</f>
        <v>D41</v>
      </c>
      <c r="D2571" t="b" cm="1">
        <f t="array" aca="1" ref="D2571" ca="1">IF(AND(NOT(ISBLANK('Bond Input'!E$55)),INDIRECT("'"&amp;A2571&amp;"'!"&amp;B2571)&lt;&gt;'Bond Input'!E$55),TRUE,FALSE)</f>
        <v>0</v>
      </c>
      <c r="E2571" t="s">
        <v>634</v>
      </c>
      <c r="F2571" t="str">
        <f>INDEX(Lists!I:I,MATCH(Validation!E2571,Lists!G:G,0))</f>
        <v>Alert</v>
      </c>
      <c r="G2571" t="str">
        <f>INDEX(Lists!H:H,MATCH(Validation!E2571,Lists!G:G,0))</f>
        <v>You have changed previously reported data. Explain in the comments box.</v>
      </c>
      <c r="H2571" s="25" t="str">
        <f t="shared" ca="1" si="288"/>
        <v/>
      </c>
      <c r="I2571" s="25" t="str">
        <f t="shared" ca="1" si="289"/>
        <v/>
      </c>
      <c r="J2571" s="26" t="str">
        <f t="shared" ca="1" si="290"/>
        <v/>
      </c>
    </row>
    <row r="2572" spans="1:10" x14ac:dyDescent="0.25">
      <c r="A2572" t="s">
        <v>304</v>
      </c>
      <c r="B2572" t="str">
        <f>ADDRESS(ROW('Bond 1'!$B$41),COLUMN('Bond 1'!$B$41),4)</f>
        <v>B41</v>
      </c>
      <c r="C2572" t="str">
        <f>ADDRESS(ROW('Bond 1'!$D$41),COLUMN('Bond 1'!$D$41),4)</f>
        <v>D41</v>
      </c>
      <c r="D2572" t="b" cm="1">
        <f t="array" aca="1" ref="D2572" ca="1">IF(AND(NOT(ISBLANK('Bond Input'!F$55)),INDIRECT("'"&amp;A2572&amp;"'!"&amp;B2572)&lt;&gt;'Bond Input'!F$55),TRUE,FALSE)</f>
        <v>0</v>
      </c>
      <c r="E2572" t="s">
        <v>634</v>
      </c>
      <c r="F2572" t="str">
        <f>INDEX(Lists!I:I,MATCH(Validation!E2572,Lists!G:G,0))</f>
        <v>Alert</v>
      </c>
      <c r="G2572" t="str">
        <f>INDEX(Lists!H:H,MATCH(Validation!E2572,Lists!G:G,0))</f>
        <v>You have changed previously reported data. Explain in the comments box.</v>
      </c>
      <c r="H2572" s="25" t="str">
        <f t="shared" ca="1" si="288"/>
        <v/>
      </c>
      <c r="I2572" s="25" t="str">
        <f t="shared" ca="1" si="289"/>
        <v/>
      </c>
      <c r="J2572" s="26" t="str">
        <f t="shared" ca="1" si="290"/>
        <v/>
      </c>
    </row>
    <row r="2573" spans="1:10" x14ac:dyDescent="0.25">
      <c r="A2573" t="s">
        <v>305</v>
      </c>
      <c r="B2573" t="str">
        <f>ADDRESS(ROW('Bond 1'!$B$41),COLUMN('Bond 1'!$B$41),4)</f>
        <v>B41</v>
      </c>
      <c r="C2573" t="str">
        <f>ADDRESS(ROW('Bond 1'!$D$41),COLUMN('Bond 1'!$D$41),4)</f>
        <v>D41</v>
      </c>
      <c r="D2573" t="b" cm="1">
        <f t="array" aca="1" ref="D2573" ca="1">IF(AND(NOT(ISBLANK('Bond Input'!G$55)),INDIRECT("'"&amp;A2573&amp;"'!"&amp;B2573)&lt;&gt;'Bond Input'!G$55),TRUE,FALSE)</f>
        <v>0</v>
      </c>
      <c r="E2573" t="s">
        <v>634</v>
      </c>
      <c r="F2573" t="str">
        <f>INDEX(Lists!I:I,MATCH(Validation!E2573,Lists!G:G,0))</f>
        <v>Alert</v>
      </c>
      <c r="G2573" t="str">
        <f>INDEX(Lists!H:H,MATCH(Validation!E2573,Lists!G:G,0))</f>
        <v>You have changed previously reported data. Explain in the comments box.</v>
      </c>
      <c r="H2573" s="25" t="str">
        <f t="shared" ca="1" si="288"/>
        <v/>
      </c>
      <c r="I2573" s="25" t="str">
        <f t="shared" ca="1" si="289"/>
        <v/>
      </c>
      <c r="J2573" s="26" t="str">
        <f t="shared" ca="1" si="290"/>
        <v/>
      </c>
    </row>
    <row r="2574" spans="1:10" x14ac:dyDescent="0.25">
      <c r="A2574" t="s">
        <v>306</v>
      </c>
      <c r="B2574" t="str">
        <f>ADDRESS(ROW('Bond 1'!$B$41),COLUMN('Bond 1'!$B$41),4)</f>
        <v>B41</v>
      </c>
      <c r="C2574" t="str">
        <f>ADDRESS(ROW('Bond 1'!$D$41),COLUMN('Bond 1'!$D$41),4)</f>
        <v>D41</v>
      </c>
      <c r="D2574" t="b" cm="1">
        <f t="array" aca="1" ref="D2574" ca="1">IF(AND(NOT(ISBLANK('Bond Input'!H$55)),INDIRECT("'"&amp;A2574&amp;"'!"&amp;B2574)&lt;&gt;'Bond Input'!H$55),TRUE,FALSE)</f>
        <v>0</v>
      </c>
      <c r="E2574" t="s">
        <v>634</v>
      </c>
      <c r="F2574" t="str">
        <f>INDEX(Lists!I:I,MATCH(Validation!E2574,Lists!G:G,0))</f>
        <v>Alert</v>
      </c>
      <c r="G2574" t="str">
        <f>INDEX(Lists!H:H,MATCH(Validation!E2574,Lists!G:G,0))</f>
        <v>You have changed previously reported data. Explain in the comments box.</v>
      </c>
      <c r="H2574" s="25" t="str">
        <f t="shared" ca="1" si="288"/>
        <v/>
      </c>
      <c r="I2574" s="25" t="str">
        <f t="shared" ca="1" si="289"/>
        <v/>
      </c>
      <c r="J2574" s="26" t="str">
        <f t="shared" ca="1" si="290"/>
        <v/>
      </c>
    </row>
    <row r="2575" spans="1:10" x14ac:dyDescent="0.25">
      <c r="A2575" t="s">
        <v>307</v>
      </c>
      <c r="B2575" t="str">
        <f>ADDRESS(ROW('Bond 1'!$B$41),COLUMN('Bond 1'!$B$41),4)</f>
        <v>B41</v>
      </c>
      <c r="C2575" t="str">
        <f>ADDRESS(ROW('Bond 1'!$D$41),COLUMN('Bond 1'!$D$41),4)</f>
        <v>D41</v>
      </c>
      <c r="D2575" t="b" cm="1">
        <f t="array" aca="1" ref="D2575" ca="1">IF(AND(NOT(ISBLANK('Bond Input'!I$55)),INDIRECT("'"&amp;A2575&amp;"'!"&amp;B2575)&lt;&gt;'Bond Input'!I$55),TRUE,FALSE)</f>
        <v>0</v>
      </c>
      <c r="E2575" t="s">
        <v>634</v>
      </c>
      <c r="F2575" t="str">
        <f>INDEX(Lists!I:I,MATCH(Validation!E2575,Lists!G:G,0))</f>
        <v>Alert</v>
      </c>
      <c r="G2575" t="str">
        <f>INDEX(Lists!H:H,MATCH(Validation!E2575,Lists!G:G,0))</f>
        <v>You have changed previously reported data. Explain in the comments box.</v>
      </c>
      <c r="H2575" s="25" t="str">
        <f t="shared" ca="1" si="288"/>
        <v/>
      </c>
      <c r="I2575" s="25" t="str">
        <f t="shared" ca="1" si="289"/>
        <v/>
      </c>
      <c r="J2575" s="26" t="str">
        <f t="shared" ca="1" si="290"/>
        <v/>
      </c>
    </row>
    <row r="2576" spans="1:10" x14ac:dyDescent="0.25">
      <c r="A2576" t="s">
        <v>308</v>
      </c>
      <c r="B2576" t="str">
        <f>ADDRESS(ROW('Bond 1'!$B$41),COLUMN('Bond 1'!$B$41),4)</f>
        <v>B41</v>
      </c>
      <c r="C2576" t="str">
        <f>ADDRESS(ROW('Bond 1'!$D$41),COLUMN('Bond 1'!$D$41),4)</f>
        <v>D41</v>
      </c>
      <c r="D2576" t="b" cm="1">
        <f t="array" aca="1" ref="D2576" ca="1">IF(AND(NOT(ISBLANK('Bond Input'!J$55)),INDIRECT("'"&amp;A2576&amp;"'!"&amp;B2576)&lt;&gt;'Bond Input'!J$55),TRUE,FALSE)</f>
        <v>0</v>
      </c>
      <c r="E2576" t="s">
        <v>634</v>
      </c>
      <c r="F2576" t="str">
        <f>INDEX(Lists!I:I,MATCH(Validation!E2576,Lists!G:G,0))</f>
        <v>Alert</v>
      </c>
      <c r="G2576" t="str">
        <f>INDEX(Lists!H:H,MATCH(Validation!E2576,Lists!G:G,0))</f>
        <v>You have changed previously reported data. Explain in the comments box.</v>
      </c>
      <c r="H2576" s="25" t="str">
        <f t="shared" ca="1" si="288"/>
        <v/>
      </c>
      <c r="I2576" s="25" t="str">
        <f t="shared" ca="1" si="289"/>
        <v/>
      </c>
      <c r="J2576" s="26" t="str">
        <f t="shared" ca="1" si="290"/>
        <v/>
      </c>
    </row>
    <row r="2577" spans="1:10" x14ac:dyDescent="0.25">
      <c r="A2577" t="s">
        <v>309</v>
      </c>
      <c r="B2577" t="str">
        <f>ADDRESS(ROW('Bond 1'!$B$41),COLUMN('Bond 1'!$B$41),4)</f>
        <v>B41</v>
      </c>
      <c r="C2577" t="str">
        <f>ADDRESS(ROW('Bond 1'!$D$41),COLUMN('Bond 1'!$D$41),4)</f>
        <v>D41</v>
      </c>
      <c r="D2577" t="b" cm="1">
        <f t="array" aca="1" ref="D2577" ca="1">IF(AND(NOT(ISBLANK('Bond Input'!K$55)),INDIRECT("'"&amp;A2577&amp;"'!"&amp;B2577)&lt;&gt;'Bond Input'!K$55),TRUE,FALSE)</f>
        <v>0</v>
      </c>
      <c r="E2577" t="s">
        <v>634</v>
      </c>
      <c r="F2577" t="str">
        <f>INDEX(Lists!I:I,MATCH(Validation!E2577,Lists!G:G,0))</f>
        <v>Alert</v>
      </c>
      <c r="G2577" t="str">
        <f>INDEX(Lists!H:H,MATCH(Validation!E2577,Lists!G:G,0))</f>
        <v>You have changed previously reported data. Explain in the comments box.</v>
      </c>
      <c r="H2577" s="25" t="str">
        <f t="shared" ca="1" si="288"/>
        <v/>
      </c>
      <c r="I2577" s="25" t="str">
        <f t="shared" ca="1" si="289"/>
        <v/>
      </c>
      <c r="J2577" s="26" t="str">
        <f t="shared" ca="1" si="290"/>
        <v/>
      </c>
    </row>
    <row r="2578" spans="1:10" x14ac:dyDescent="0.25">
      <c r="A2578" t="s">
        <v>310</v>
      </c>
      <c r="B2578" t="str">
        <f>ADDRESS(ROW('Bond 1'!$B$41),COLUMN('Bond 1'!$B$41),4)</f>
        <v>B41</v>
      </c>
      <c r="C2578" t="str">
        <f>ADDRESS(ROW('Bond 1'!$D$41),COLUMN('Bond 1'!$D$41),4)</f>
        <v>D41</v>
      </c>
      <c r="D2578" t="b" cm="1">
        <f t="array" aca="1" ref="D2578" ca="1">IF(AND(NOT(ISBLANK('Bond Input'!L$55)),INDIRECT("'"&amp;A2578&amp;"'!"&amp;B2578)&lt;&gt;'Bond Input'!L$55),TRUE,FALSE)</f>
        <v>0</v>
      </c>
      <c r="E2578" t="s">
        <v>634</v>
      </c>
      <c r="F2578" t="str">
        <f>INDEX(Lists!I:I,MATCH(Validation!E2578,Lists!G:G,0))</f>
        <v>Alert</v>
      </c>
      <c r="G2578" t="str">
        <f>INDEX(Lists!H:H,MATCH(Validation!E2578,Lists!G:G,0))</f>
        <v>You have changed previously reported data. Explain in the comments box.</v>
      </c>
      <c r="H2578" s="25" t="str">
        <f t="shared" ca="1" si="288"/>
        <v/>
      </c>
      <c r="I2578" s="25" t="str">
        <f t="shared" ca="1" si="289"/>
        <v/>
      </c>
      <c r="J2578" s="26" t="str">
        <f t="shared" ca="1" si="290"/>
        <v/>
      </c>
    </row>
    <row r="2579" spans="1:10" x14ac:dyDescent="0.25">
      <c r="A2579" t="s">
        <v>311</v>
      </c>
      <c r="B2579" t="str">
        <f>ADDRESS(ROW('Bond 1'!$B$41),COLUMN('Bond 1'!$B$41),4)</f>
        <v>B41</v>
      </c>
      <c r="C2579" t="str">
        <f>ADDRESS(ROW('Bond 1'!$D$41),COLUMN('Bond 1'!$D$41),4)</f>
        <v>D41</v>
      </c>
      <c r="D2579" t="b" cm="1">
        <f t="array" aca="1" ref="D2579" ca="1">IF(AND(NOT(ISBLANK('Bond Input'!M$55)),INDIRECT("'"&amp;A2579&amp;"'!"&amp;B2579)&lt;&gt;'Bond Input'!M$55),TRUE,FALSE)</f>
        <v>0</v>
      </c>
      <c r="E2579" t="s">
        <v>634</v>
      </c>
      <c r="F2579" t="str">
        <f>INDEX(Lists!I:I,MATCH(Validation!E2579,Lists!G:G,0))</f>
        <v>Alert</v>
      </c>
      <c r="G2579" t="str">
        <f>INDEX(Lists!H:H,MATCH(Validation!E2579,Lists!G:G,0))</f>
        <v>You have changed previously reported data. Explain in the comments box.</v>
      </c>
      <c r="H2579" s="25" t="str">
        <f t="shared" ca="1" si="288"/>
        <v/>
      </c>
      <c r="I2579" s="25" t="str">
        <f t="shared" ca="1" si="289"/>
        <v/>
      </c>
      <c r="J2579" s="26" t="str">
        <f t="shared" ca="1" si="290"/>
        <v/>
      </c>
    </row>
    <row r="2580" spans="1:10" x14ac:dyDescent="0.25">
      <c r="A2580" t="s">
        <v>312</v>
      </c>
      <c r="B2580" t="str">
        <f>ADDRESS(ROW('Bond 1'!$B$41),COLUMN('Bond 1'!$B$41),4)</f>
        <v>B41</v>
      </c>
      <c r="C2580" t="str">
        <f>ADDRESS(ROW('Bond 1'!$D$41),COLUMN('Bond 1'!$D$41),4)</f>
        <v>D41</v>
      </c>
      <c r="D2580" t="b" cm="1">
        <f t="array" aca="1" ref="D2580" ca="1">IF(AND(NOT(ISBLANK('Bond Input'!N$55)),INDIRECT("'"&amp;A2580&amp;"'!"&amp;B2580)&lt;&gt;'Bond Input'!N$55),TRUE,FALSE)</f>
        <v>0</v>
      </c>
      <c r="E2580" t="s">
        <v>634</v>
      </c>
      <c r="F2580" t="str">
        <f>INDEX(Lists!I:I,MATCH(Validation!E2580,Lists!G:G,0))</f>
        <v>Alert</v>
      </c>
      <c r="G2580" t="str">
        <f>INDEX(Lists!H:H,MATCH(Validation!E2580,Lists!G:G,0))</f>
        <v>You have changed previously reported data. Explain in the comments box.</v>
      </c>
      <c r="H2580" s="25" t="str">
        <f t="shared" ca="1" si="288"/>
        <v/>
      </c>
      <c r="I2580" s="25" t="str">
        <f t="shared" ca="1" si="289"/>
        <v/>
      </c>
      <c r="J2580" s="26" t="str">
        <f t="shared" ca="1" si="290"/>
        <v/>
      </c>
    </row>
    <row r="2581" spans="1:10" x14ac:dyDescent="0.25">
      <c r="A2581" t="s">
        <v>313</v>
      </c>
      <c r="B2581" t="str">
        <f>ADDRESS(ROW('Bond 1'!$B$41),COLUMN('Bond 1'!$B$41),4)</f>
        <v>B41</v>
      </c>
      <c r="C2581" t="str">
        <f>ADDRESS(ROW('Bond 1'!$D$41),COLUMN('Bond 1'!$D$41),4)</f>
        <v>D41</v>
      </c>
      <c r="D2581" t="b" cm="1">
        <f t="array" aca="1" ref="D2581" ca="1">IF(AND(NOT(ISBLANK('Bond Input'!O$55)),INDIRECT("'"&amp;A2581&amp;"'!"&amp;B2581)&lt;&gt;'Bond Input'!O$55),TRUE,FALSE)</f>
        <v>0</v>
      </c>
      <c r="E2581" t="s">
        <v>634</v>
      </c>
      <c r="F2581" t="str">
        <f>INDEX(Lists!I:I,MATCH(Validation!E2581,Lists!G:G,0))</f>
        <v>Alert</v>
      </c>
      <c r="G2581" t="str">
        <f>INDEX(Lists!H:H,MATCH(Validation!E2581,Lists!G:G,0))</f>
        <v>You have changed previously reported data. Explain in the comments box.</v>
      </c>
      <c r="H2581" s="25" t="str">
        <f t="shared" ca="1" si="288"/>
        <v/>
      </c>
      <c r="I2581" s="25" t="str">
        <f t="shared" ca="1" si="289"/>
        <v/>
      </c>
      <c r="J2581" s="26" t="str">
        <f t="shared" ca="1" si="290"/>
        <v/>
      </c>
    </row>
    <row r="2582" spans="1:10" x14ac:dyDescent="0.25">
      <c r="A2582" t="s">
        <v>314</v>
      </c>
      <c r="B2582" t="str">
        <f>ADDRESS(ROW('Bond 1'!$B$41),COLUMN('Bond 1'!$B$41),4)</f>
        <v>B41</v>
      </c>
      <c r="C2582" t="str">
        <f>ADDRESS(ROW('Bond 1'!$D$41),COLUMN('Bond 1'!$D$41),4)</f>
        <v>D41</v>
      </c>
      <c r="D2582" t="b" cm="1">
        <f t="array" aca="1" ref="D2582" ca="1">IF(AND(NOT(ISBLANK('Bond Input'!P$55)),INDIRECT("'"&amp;A2582&amp;"'!"&amp;B2582)&lt;&gt;'Bond Input'!P$55),TRUE,FALSE)</f>
        <v>0</v>
      </c>
      <c r="E2582" t="s">
        <v>634</v>
      </c>
      <c r="F2582" t="str">
        <f>INDEX(Lists!I:I,MATCH(Validation!E2582,Lists!G:G,0))</f>
        <v>Alert</v>
      </c>
      <c r="G2582" t="str">
        <f>INDEX(Lists!H:H,MATCH(Validation!E2582,Lists!G:G,0))</f>
        <v>You have changed previously reported data. Explain in the comments box.</v>
      </c>
      <c r="H2582" s="25" t="str">
        <f t="shared" ca="1" si="288"/>
        <v/>
      </c>
      <c r="I2582" s="25" t="str">
        <f t="shared" ca="1" si="289"/>
        <v/>
      </c>
      <c r="J2582" s="26" t="str">
        <f t="shared" ca="1" si="290"/>
        <v/>
      </c>
    </row>
    <row r="2583" spans="1:10" x14ac:dyDescent="0.25">
      <c r="A2583" t="s">
        <v>315</v>
      </c>
      <c r="B2583" t="str">
        <f>ADDRESS(ROW('Bond 1'!$B$41),COLUMN('Bond 1'!$B$41),4)</f>
        <v>B41</v>
      </c>
      <c r="C2583" t="str">
        <f>ADDRESS(ROW('Bond 1'!$D$41),COLUMN('Bond 1'!$D$41),4)</f>
        <v>D41</v>
      </c>
      <c r="D2583" t="b" cm="1">
        <f t="array" aca="1" ref="D2583" ca="1">IF(AND(NOT(ISBLANK('Bond Input'!Q$55)),INDIRECT("'"&amp;A2583&amp;"'!"&amp;B2583)&lt;&gt;'Bond Input'!Q$55),TRUE,FALSE)</f>
        <v>0</v>
      </c>
      <c r="E2583" t="s">
        <v>634</v>
      </c>
      <c r="F2583" t="str">
        <f>INDEX(Lists!I:I,MATCH(Validation!E2583,Lists!G:G,0))</f>
        <v>Alert</v>
      </c>
      <c r="G2583" t="str">
        <f>INDEX(Lists!H:H,MATCH(Validation!E2583,Lists!G:G,0))</f>
        <v>You have changed previously reported data. Explain in the comments box.</v>
      </c>
      <c r="H2583" s="25" t="str">
        <f t="shared" ref="H2583" ca="1" si="291">IFERROR(IF(OR(NOT(D2583),F2583&lt;&gt;"Error"),"",A2583&amp;CELL("address",INDIRECT(B2583))),"")</f>
        <v/>
      </c>
      <c r="I2583" s="25" t="str">
        <f t="shared" ref="I2583" ca="1" si="292">IFERROR(IF(NOT(D2583),"",A2583&amp;CELL("address",INDIRECT(C2583))),"")</f>
        <v/>
      </c>
      <c r="J2583" s="26" t="str">
        <f t="shared" ref="J2583" ca="1" si="293">IFERROR(IF(NOT(D2583),"",A2583),"")</f>
        <v/>
      </c>
    </row>
    <row r="2584" spans="1:10" x14ac:dyDescent="0.25">
      <c r="A2584" t="s">
        <v>198</v>
      </c>
      <c r="B2584" t="str">
        <f>ADDRESS(ROW('Bond 1'!$C$41),COLUMN('Bond 1'!$C$41),4)</f>
        <v>C41</v>
      </c>
      <c r="C2584" t="str">
        <f>ADDRESS(ROW('Bond 1'!$D$41),COLUMN('Bond 1'!$D$41),4)</f>
        <v>D41</v>
      </c>
      <c r="D2584" t="b" cm="1">
        <f t="array" aca="1" ref="D2584" ca="1">IF(INDIRECT("'"&amp;A2584&amp;"'!"&amp;B2584)="",FALSE,IF(NOT(ISNUMBER(INDIRECT("'"&amp;A2584&amp;"'!"&amp;B2584))),TRUE,FALSE))</f>
        <v>0</v>
      </c>
      <c r="E2584" t="s">
        <v>435</v>
      </c>
      <c r="F2584" t="str">
        <f>INDEX(Lists!I:I,MATCH(Validation!E2584,Lists!G:G,0))</f>
        <v>Error</v>
      </c>
      <c r="G2584" t="str">
        <f>INDEX(Lists!H:H,MATCH(Validation!E2584,Lists!G:G,0))</f>
        <v>Enter an amount only. Do not enter text or spaces.</v>
      </c>
      <c r="H2584" s="25" t="str">
        <f t="shared" ref="H2584:H2628" ca="1" si="294">IFERROR(IF(OR(NOT(D2584),F2584&lt;&gt;"Error"),"",A2584&amp;CELL("address",INDIRECT(B2584))),"")</f>
        <v/>
      </c>
      <c r="I2584" s="25" t="str">
        <f t="shared" ref="I2584:I2628" ca="1" si="295">IFERROR(IF(NOT(D2584),"",A2584&amp;CELL("address",INDIRECT(C2584))),"")</f>
        <v/>
      </c>
      <c r="J2584" s="26" t="str">
        <f t="shared" ref="J2584:J2628" ca="1" si="296">IFERROR(IF(NOT(D2584),"",A2584),"")</f>
        <v/>
      </c>
    </row>
    <row r="2585" spans="1:10" x14ac:dyDescent="0.25">
      <c r="A2585" t="s">
        <v>302</v>
      </c>
      <c r="B2585" t="str">
        <f>ADDRESS(ROW('Bond 1'!$C$41),COLUMN('Bond 1'!$C$41),4)</f>
        <v>C41</v>
      </c>
      <c r="C2585" t="str">
        <f>ADDRESS(ROW('Bond 1'!$D$41),COLUMN('Bond 1'!$D$41),4)</f>
        <v>D41</v>
      </c>
      <c r="D2585" t="b" cm="1">
        <f t="array" aca="1" ref="D2585" ca="1">IF(INDIRECT("'"&amp;A2585&amp;"'!"&amp;B2585)="",FALSE,IF(NOT(ISNUMBER(INDIRECT("'"&amp;A2585&amp;"'!"&amp;B2585))),TRUE,FALSE))</f>
        <v>0</v>
      </c>
      <c r="E2585" t="s">
        <v>435</v>
      </c>
      <c r="F2585" t="str">
        <f>INDEX(Lists!I:I,MATCH(Validation!E2585,Lists!G:G,0))</f>
        <v>Error</v>
      </c>
      <c r="G2585" t="str">
        <f>INDEX(Lists!H:H,MATCH(Validation!E2585,Lists!G:G,0))</f>
        <v>Enter an amount only. Do not enter text or spaces.</v>
      </c>
      <c r="H2585" s="25" t="str">
        <f t="shared" ca="1" si="294"/>
        <v/>
      </c>
      <c r="I2585" s="25" t="str">
        <f t="shared" ca="1" si="295"/>
        <v/>
      </c>
      <c r="J2585" s="26" t="str">
        <f t="shared" ca="1" si="296"/>
        <v/>
      </c>
    </row>
    <row r="2586" spans="1:10" x14ac:dyDescent="0.25">
      <c r="A2586" t="s">
        <v>303</v>
      </c>
      <c r="B2586" t="str">
        <f>ADDRESS(ROW('Bond 1'!$C$41),COLUMN('Bond 1'!$C$41),4)</f>
        <v>C41</v>
      </c>
      <c r="C2586" t="str">
        <f>ADDRESS(ROW('Bond 1'!$D$41),COLUMN('Bond 1'!$D$41),4)</f>
        <v>D41</v>
      </c>
      <c r="D2586" t="b" cm="1">
        <f t="array" aca="1" ref="D2586" ca="1">IF(INDIRECT("'"&amp;A2586&amp;"'!"&amp;B2586)="",FALSE,IF(NOT(ISNUMBER(INDIRECT("'"&amp;A2586&amp;"'!"&amp;B2586))),TRUE,FALSE))</f>
        <v>0</v>
      </c>
      <c r="E2586" t="s">
        <v>435</v>
      </c>
      <c r="F2586" t="str">
        <f>INDEX(Lists!I:I,MATCH(Validation!E2586,Lists!G:G,0))</f>
        <v>Error</v>
      </c>
      <c r="G2586" t="str">
        <f>INDEX(Lists!H:H,MATCH(Validation!E2586,Lists!G:G,0))</f>
        <v>Enter an amount only. Do not enter text or spaces.</v>
      </c>
      <c r="H2586" s="25" t="str">
        <f t="shared" ca="1" si="294"/>
        <v/>
      </c>
      <c r="I2586" s="25" t="str">
        <f t="shared" ca="1" si="295"/>
        <v/>
      </c>
      <c r="J2586" s="26" t="str">
        <f t="shared" ca="1" si="296"/>
        <v/>
      </c>
    </row>
    <row r="2587" spans="1:10" x14ac:dyDescent="0.25">
      <c r="A2587" t="s">
        <v>304</v>
      </c>
      <c r="B2587" t="str">
        <f>ADDRESS(ROW('Bond 1'!$C$41),COLUMN('Bond 1'!$C$41),4)</f>
        <v>C41</v>
      </c>
      <c r="C2587" t="str">
        <f>ADDRESS(ROW('Bond 1'!$D$41),COLUMN('Bond 1'!$D$41),4)</f>
        <v>D41</v>
      </c>
      <c r="D2587" t="b" cm="1">
        <f t="array" aca="1" ref="D2587" ca="1">IF(INDIRECT("'"&amp;A2587&amp;"'!"&amp;B2587)="",FALSE,IF(NOT(ISNUMBER(INDIRECT("'"&amp;A2587&amp;"'!"&amp;B2587))),TRUE,FALSE))</f>
        <v>0</v>
      </c>
      <c r="E2587" t="s">
        <v>435</v>
      </c>
      <c r="F2587" t="str">
        <f>INDEX(Lists!I:I,MATCH(Validation!E2587,Lists!G:G,0))</f>
        <v>Error</v>
      </c>
      <c r="G2587" t="str">
        <f>INDEX(Lists!H:H,MATCH(Validation!E2587,Lists!G:G,0))</f>
        <v>Enter an amount only. Do not enter text or spaces.</v>
      </c>
      <c r="H2587" s="25" t="str">
        <f t="shared" ca="1" si="294"/>
        <v/>
      </c>
      <c r="I2587" s="25" t="str">
        <f t="shared" ca="1" si="295"/>
        <v/>
      </c>
      <c r="J2587" s="26" t="str">
        <f t="shared" ca="1" si="296"/>
        <v/>
      </c>
    </row>
    <row r="2588" spans="1:10" x14ac:dyDescent="0.25">
      <c r="A2588" t="s">
        <v>305</v>
      </c>
      <c r="B2588" t="str">
        <f>ADDRESS(ROW('Bond 1'!$C$41),COLUMN('Bond 1'!$C$41),4)</f>
        <v>C41</v>
      </c>
      <c r="C2588" t="str">
        <f>ADDRESS(ROW('Bond 1'!$D$41),COLUMN('Bond 1'!$D$41),4)</f>
        <v>D41</v>
      </c>
      <c r="D2588" t="b" cm="1">
        <f t="array" aca="1" ref="D2588" ca="1">IF(INDIRECT("'"&amp;A2588&amp;"'!"&amp;B2588)="",FALSE,IF(NOT(ISNUMBER(INDIRECT("'"&amp;A2588&amp;"'!"&amp;B2588))),TRUE,FALSE))</f>
        <v>0</v>
      </c>
      <c r="E2588" t="s">
        <v>435</v>
      </c>
      <c r="F2588" t="str">
        <f>INDEX(Lists!I:I,MATCH(Validation!E2588,Lists!G:G,0))</f>
        <v>Error</v>
      </c>
      <c r="G2588" t="str">
        <f>INDEX(Lists!H:H,MATCH(Validation!E2588,Lists!G:G,0))</f>
        <v>Enter an amount only. Do not enter text or spaces.</v>
      </c>
      <c r="H2588" s="25" t="str">
        <f t="shared" ca="1" si="294"/>
        <v/>
      </c>
      <c r="I2588" s="25" t="str">
        <f t="shared" ca="1" si="295"/>
        <v/>
      </c>
      <c r="J2588" s="26" t="str">
        <f t="shared" ca="1" si="296"/>
        <v/>
      </c>
    </row>
    <row r="2589" spans="1:10" x14ac:dyDescent="0.25">
      <c r="A2589" t="s">
        <v>306</v>
      </c>
      <c r="B2589" t="str">
        <f>ADDRESS(ROW('Bond 1'!$C$41),COLUMN('Bond 1'!$C$41),4)</f>
        <v>C41</v>
      </c>
      <c r="C2589" t="str">
        <f>ADDRESS(ROW('Bond 1'!$D$41),COLUMN('Bond 1'!$D$41),4)</f>
        <v>D41</v>
      </c>
      <c r="D2589" t="b" cm="1">
        <f t="array" aca="1" ref="D2589" ca="1">IF(INDIRECT("'"&amp;A2589&amp;"'!"&amp;B2589)="",FALSE,IF(NOT(ISNUMBER(INDIRECT("'"&amp;A2589&amp;"'!"&amp;B2589))),TRUE,FALSE))</f>
        <v>0</v>
      </c>
      <c r="E2589" t="s">
        <v>435</v>
      </c>
      <c r="F2589" t="str">
        <f>INDEX(Lists!I:I,MATCH(Validation!E2589,Lists!G:G,0))</f>
        <v>Error</v>
      </c>
      <c r="G2589" t="str">
        <f>INDEX(Lists!H:H,MATCH(Validation!E2589,Lists!G:G,0))</f>
        <v>Enter an amount only. Do not enter text or spaces.</v>
      </c>
      <c r="H2589" s="25" t="str">
        <f t="shared" ca="1" si="294"/>
        <v/>
      </c>
      <c r="I2589" s="25" t="str">
        <f t="shared" ca="1" si="295"/>
        <v/>
      </c>
      <c r="J2589" s="26" t="str">
        <f t="shared" ca="1" si="296"/>
        <v/>
      </c>
    </row>
    <row r="2590" spans="1:10" x14ac:dyDescent="0.25">
      <c r="A2590" t="s">
        <v>307</v>
      </c>
      <c r="B2590" t="str">
        <f>ADDRESS(ROW('Bond 1'!$C$41),COLUMN('Bond 1'!$C$41),4)</f>
        <v>C41</v>
      </c>
      <c r="C2590" t="str">
        <f>ADDRESS(ROW('Bond 1'!$D$41),COLUMN('Bond 1'!$D$41),4)</f>
        <v>D41</v>
      </c>
      <c r="D2590" t="b" cm="1">
        <f t="array" aca="1" ref="D2590" ca="1">IF(INDIRECT("'"&amp;A2590&amp;"'!"&amp;B2590)="",FALSE,IF(NOT(ISNUMBER(INDIRECT("'"&amp;A2590&amp;"'!"&amp;B2590))),TRUE,FALSE))</f>
        <v>0</v>
      </c>
      <c r="E2590" t="s">
        <v>435</v>
      </c>
      <c r="F2590" t="str">
        <f>INDEX(Lists!I:I,MATCH(Validation!E2590,Lists!G:G,0))</f>
        <v>Error</v>
      </c>
      <c r="G2590" t="str">
        <f>INDEX(Lists!H:H,MATCH(Validation!E2590,Lists!G:G,0))</f>
        <v>Enter an amount only. Do not enter text or spaces.</v>
      </c>
      <c r="H2590" s="25" t="str">
        <f t="shared" ca="1" si="294"/>
        <v/>
      </c>
      <c r="I2590" s="25" t="str">
        <f t="shared" ca="1" si="295"/>
        <v/>
      </c>
      <c r="J2590" s="26" t="str">
        <f t="shared" ca="1" si="296"/>
        <v/>
      </c>
    </row>
    <row r="2591" spans="1:10" x14ac:dyDescent="0.25">
      <c r="A2591" t="s">
        <v>308</v>
      </c>
      <c r="B2591" t="str">
        <f>ADDRESS(ROW('Bond 1'!$C$41),COLUMN('Bond 1'!$C$41),4)</f>
        <v>C41</v>
      </c>
      <c r="C2591" t="str">
        <f>ADDRESS(ROW('Bond 1'!$D$41),COLUMN('Bond 1'!$D$41),4)</f>
        <v>D41</v>
      </c>
      <c r="D2591" t="b" cm="1">
        <f t="array" aca="1" ref="D2591" ca="1">IF(INDIRECT("'"&amp;A2591&amp;"'!"&amp;B2591)="",FALSE,IF(NOT(ISNUMBER(INDIRECT("'"&amp;A2591&amp;"'!"&amp;B2591))),TRUE,FALSE))</f>
        <v>0</v>
      </c>
      <c r="E2591" t="s">
        <v>435</v>
      </c>
      <c r="F2591" t="str">
        <f>INDEX(Lists!I:I,MATCH(Validation!E2591,Lists!G:G,0))</f>
        <v>Error</v>
      </c>
      <c r="G2591" t="str">
        <f>INDEX(Lists!H:H,MATCH(Validation!E2591,Lists!G:G,0))</f>
        <v>Enter an amount only. Do not enter text or spaces.</v>
      </c>
      <c r="H2591" s="25" t="str">
        <f t="shared" ca="1" si="294"/>
        <v/>
      </c>
      <c r="I2591" s="25" t="str">
        <f t="shared" ca="1" si="295"/>
        <v/>
      </c>
      <c r="J2591" s="26" t="str">
        <f t="shared" ca="1" si="296"/>
        <v/>
      </c>
    </row>
    <row r="2592" spans="1:10" x14ac:dyDescent="0.25">
      <c r="A2592" t="s">
        <v>309</v>
      </c>
      <c r="B2592" t="str">
        <f>ADDRESS(ROW('Bond 1'!$C$41),COLUMN('Bond 1'!$C$41),4)</f>
        <v>C41</v>
      </c>
      <c r="C2592" t="str">
        <f>ADDRESS(ROW('Bond 1'!$D$41),COLUMN('Bond 1'!$D$41),4)</f>
        <v>D41</v>
      </c>
      <c r="D2592" t="b" cm="1">
        <f t="array" aca="1" ref="D2592" ca="1">IF(INDIRECT("'"&amp;A2592&amp;"'!"&amp;B2592)="",FALSE,IF(NOT(ISNUMBER(INDIRECT("'"&amp;A2592&amp;"'!"&amp;B2592))),TRUE,FALSE))</f>
        <v>0</v>
      </c>
      <c r="E2592" t="s">
        <v>435</v>
      </c>
      <c r="F2592" t="str">
        <f>INDEX(Lists!I:I,MATCH(Validation!E2592,Lists!G:G,0))</f>
        <v>Error</v>
      </c>
      <c r="G2592" t="str">
        <f>INDEX(Lists!H:H,MATCH(Validation!E2592,Lists!G:G,0))</f>
        <v>Enter an amount only. Do not enter text or spaces.</v>
      </c>
      <c r="H2592" s="25" t="str">
        <f t="shared" ca="1" si="294"/>
        <v/>
      </c>
      <c r="I2592" s="25" t="str">
        <f t="shared" ca="1" si="295"/>
        <v/>
      </c>
      <c r="J2592" s="26" t="str">
        <f t="shared" ca="1" si="296"/>
        <v/>
      </c>
    </row>
    <row r="2593" spans="1:10" x14ac:dyDescent="0.25">
      <c r="A2593" t="s">
        <v>310</v>
      </c>
      <c r="B2593" t="str">
        <f>ADDRESS(ROW('Bond 1'!$C$41),COLUMN('Bond 1'!$C$41),4)</f>
        <v>C41</v>
      </c>
      <c r="C2593" t="str">
        <f>ADDRESS(ROW('Bond 1'!$D$41),COLUMN('Bond 1'!$D$41),4)</f>
        <v>D41</v>
      </c>
      <c r="D2593" t="b" cm="1">
        <f t="array" aca="1" ref="D2593" ca="1">IF(INDIRECT("'"&amp;A2593&amp;"'!"&amp;B2593)="",FALSE,IF(NOT(ISNUMBER(INDIRECT("'"&amp;A2593&amp;"'!"&amp;B2593))),TRUE,FALSE))</f>
        <v>0</v>
      </c>
      <c r="E2593" t="s">
        <v>435</v>
      </c>
      <c r="F2593" t="str">
        <f>INDEX(Lists!I:I,MATCH(Validation!E2593,Lists!G:G,0))</f>
        <v>Error</v>
      </c>
      <c r="G2593" t="str">
        <f>INDEX(Lists!H:H,MATCH(Validation!E2593,Lists!G:G,0))</f>
        <v>Enter an amount only. Do not enter text or spaces.</v>
      </c>
      <c r="H2593" s="25" t="str">
        <f t="shared" ca="1" si="294"/>
        <v/>
      </c>
      <c r="I2593" s="25" t="str">
        <f t="shared" ca="1" si="295"/>
        <v/>
      </c>
      <c r="J2593" s="26" t="str">
        <f t="shared" ca="1" si="296"/>
        <v/>
      </c>
    </row>
    <row r="2594" spans="1:10" x14ac:dyDescent="0.25">
      <c r="A2594" t="s">
        <v>311</v>
      </c>
      <c r="B2594" t="str">
        <f>ADDRESS(ROW('Bond 1'!$C$41),COLUMN('Bond 1'!$C$41),4)</f>
        <v>C41</v>
      </c>
      <c r="C2594" t="str">
        <f>ADDRESS(ROW('Bond 1'!$D$41),COLUMN('Bond 1'!$D$41),4)</f>
        <v>D41</v>
      </c>
      <c r="D2594" t="b" cm="1">
        <f t="array" aca="1" ref="D2594" ca="1">IF(INDIRECT("'"&amp;A2594&amp;"'!"&amp;B2594)="",FALSE,IF(NOT(ISNUMBER(INDIRECT("'"&amp;A2594&amp;"'!"&amp;B2594))),TRUE,FALSE))</f>
        <v>0</v>
      </c>
      <c r="E2594" t="s">
        <v>435</v>
      </c>
      <c r="F2594" t="str">
        <f>INDEX(Lists!I:I,MATCH(Validation!E2594,Lists!G:G,0))</f>
        <v>Error</v>
      </c>
      <c r="G2594" t="str">
        <f>INDEX(Lists!H:H,MATCH(Validation!E2594,Lists!G:G,0))</f>
        <v>Enter an amount only. Do not enter text or spaces.</v>
      </c>
      <c r="H2594" s="25" t="str">
        <f t="shared" ca="1" si="294"/>
        <v/>
      </c>
      <c r="I2594" s="25" t="str">
        <f t="shared" ca="1" si="295"/>
        <v/>
      </c>
      <c r="J2594" s="26" t="str">
        <f t="shared" ca="1" si="296"/>
        <v/>
      </c>
    </row>
    <row r="2595" spans="1:10" x14ac:dyDescent="0.25">
      <c r="A2595" t="s">
        <v>312</v>
      </c>
      <c r="B2595" t="str">
        <f>ADDRESS(ROW('Bond 1'!$C$41),COLUMN('Bond 1'!$C$41),4)</f>
        <v>C41</v>
      </c>
      <c r="C2595" t="str">
        <f>ADDRESS(ROW('Bond 1'!$D$41),COLUMN('Bond 1'!$D$41),4)</f>
        <v>D41</v>
      </c>
      <c r="D2595" t="b" cm="1">
        <f t="array" aca="1" ref="D2595" ca="1">IF(INDIRECT("'"&amp;A2595&amp;"'!"&amp;B2595)="",FALSE,IF(NOT(ISNUMBER(INDIRECT("'"&amp;A2595&amp;"'!"&amp;B2595))),TRUE,FALSE))</f>
        <v>0</v>
      </c>
      <c r="E2595" t="s">
        <v>435</v>
      </c>
      <c r="F2595" t="str">
        <f>INDEX(Lists!I:I,MATCH(Validation!E2595,Lists!G:G,0))</f>
        <v>Error</v>
      </c>
      <c r="G2595" t="str">
        <f>INDEX(Lists!H:H,MATCH(Validation!E2595,Lists!G:G,0))</f>
        <v>Enter an amount only. Do not enter text or spaces.</v>
      </c>
      <c r="H2595" s="25" t="str">
        <f t="shared" ca="1" si="294"/>
        <v/>
      </c>
      <c r="I2595" s="25" t="str">
        <f t="shared" ca="1" si="295"/>
        <v/>
      </c>
      <c r="J2595" s="26" t="str">
        <f t="shared" ca="1" si="296"/>
        <v/>
      </c>
    </row>
    <row r="2596" spans="1:10" x14ac:dyDescent="0.25">
      <c r="A2596" t="s">
        <v>313</v>
      </c>
      <c r="B2596" t="str">
        <f>ADDRESS(ROW('Bond 1'!$C$41),COLUMN('Bond 1'!$C$41),4)</f>
        <v>C41</v>
      </c>
      <c r="C2596" t="str">
        <f>ADDRESS(ROW('Bond 1'!$D$41),COLUMN('Bond 1'!$D$41),4)</f>
        <v>D41</v>
      </c>
      <c r="D2596" t="b" cm="1">
        <f t="array" aca="1" ref="D2596" ca="1">IF(INDIRECT("'"&amp;A2596&amp;"'!"&amp;B2596)="",FALSE,IF(NOT(ISNUMBER(INDIRECT("'"&amp;A2596&amp;"'!"&amp;B2596))),TRUE,FALSE))</f>
        <v>0</v>
      </c>
      <c r="E2596" t="s">
        <v>435</v>
      </c>
      <c r="F2596" t="str">
        <f>INDEX(Lists!I:I,MATCH(Validation!E2596,Lists!G:G,0))</f>
        <v>Error</v>
      </c>
      <c r="G2596" t="str">
        <f>INDEX(Lists!H:H,MATCH(Validation!E2596,Lists!G:G,0))</f>
        <v>Enter an amount only. Do not enter text or spaces.</v>
      </c>
      <c r="H2596" s="25" t="str">
        <f t="shared" ca="1" si="294"/>
        <v/>
      </c>
      <c r="I2596" s="25" t="str">
        <f t="shared" ca="1" si="295"/>
        <v/>
      </c>
      <c r="J2596" s="26" t="str">
        <f t="shared" ca="1" si="296"/>
        <v/>
      </c>
    </row>
    <row r="2597" spans="1:10" x14ac:dyDescent="0.25">
      <c r="A2597" t="s">
        <v>314</v>
      </c>
      <c r="B2597" t="str">
        <f>ADDRESS(ROW('Bond 1'!$C$41),COLUMN('Bond 1'!$C$41),4)</f>
        <v>C41</v>
      </c>
      <c r="C2597" t="str">
        <f>ADDRESS(ROW('Bond 1'!$D$41),COLUMN('Bond 1'!$D$41),4)</f>
        <v>D41</v>
      </c>
      <c r="D2597" t="b" cm="1">
        <f t="array" aca="1" ref="D2597" ca="1">IF(INDIRECT("'"&amp;A2597&amp;"'!"&amp;B2597)="",FALSE,IF(NOT(ISNUMBER(INDIRECT("'"&amp;A2597&amp;"'!"&amp;B2597))),TRUE,FALSE))</f>
        <v>0</v>
      </c>
      <c r="E2597" t="s">
        <v>435</v>
      </c>
      <c r="F2597" t="str">
        <f>INDEX(Lists!I:I,MATCH(Validation!E2597,Lists!G:G,0))</f>
        <v>Error</v>
      </c>
      <c r="G2597" t="str">
        <f>INDEX(Lists!H:H,MATCH(Validation!E2597,Lists!G:G,0))</f>
        <v>Enter an amount only. Do not enter text or spaces.</v>
      </c>
      <c r="H2597" s="25" t="str">
        <f t="shared" ca="1" si="294"/>
        <v/>
      </c>
      <c r="I2597" s="25" t="str">
        <f t="shared" ca="1" si="295"/>
        <v/>
      </c>
      <c r="J2597" s="26" t="str">
        <f t="shared" ca="1" si="296"/>
        <v/>
      </c>
    </row>
    <row r="2598" spans="1:10" x14ac:dyDescent="0.25">
      <c r="A2598" t="s">
        <v>315</v>
      </c>
      <c r="B2598" t="str">
        <f>ADDRESS(ROW('Bond 1'!$C$41),COLUMN('Bond 1'!$C$41),4)</f>
        <v>C41</v>
      </c>
      <c r="C2598" t="str">
        <f>ADDRESS(ROW('Bond 1'!$D$41),COLUMN('Bond 1'!$D$41),4)</f>
        <v>D41</v>
      </c>
      <c r="D2598" t="b" cm="1">
        <f t="array" aca="1" ref="D2598" ca="1">IF(INDIRECT("'"&amp;A2598&amp;"'!"&amp;B2598)="",FALSE,IF(NOT(ISNUMBER(INDIRECT("'"&amp;A2598&amp;"'!"&amp;B2598))),TRUE,FALSE))</f>
        <v>0</v>
      </c>
      <c r="E2598" t="s">
        <v>435</v>
      </c>
      <c r="F2598" t="str">
        <f>INDEX(Lists!I:I,MATCH(Validation!E2598,Lists!G:G,0))</f>
        <v>Error</v>
      </c>
      <c r="G2598" t="str">
        <f>INDEX(Lists!H:H,MATCH(Validation!E2598,Lists!G:G,0))</f>
        <v>Enter an amount only. Do not enter text or spaces.</v>
      </c>
      <c r="H2598" s="25" t="str">
        <f t="shared" ca="1" si="294"/>
        <v/>
      </c>
      <c r="I2598" s="25" t="str">
        <f t="shared" ca="1" si="295"/>
        <v/>
      </c>
      <c r="J2598" s="26" t="str">
        <f t="shared" ca="1" si="296"/>
        <v/>
      </c>
    </row>
    <row r="2599" spans="1:10" x14ac:dyDescent="0.25">
      <c r="A2599" t="s">
        <v>198</v>
      </c>
      <c r="B2599" t="str">
        <f>ADDRESS(ROW('Bond 1'!$C$41),COLUMN('Bond 1'!$C$41),4)</f>
        <v>C41</v>
      </c>
      <c r="C2599" t="str">
        <f>ADDRESS(ROW('Bond 1'!$D$41),COLUMN('Bond 1'!$D$41),4)</f>
        <v>D41</v>
      </c>
      <c r="D2599" t="b" cm="1">
        <f t="array" aca="1" ref="D2599" ca="1">IF(INDIRECT("'"&amp;A2599&amp;"'!"&amp;B2599)="",FALSE,IF(INDIRECT("'"&amp;A2599&amp;"'!"&amp;B2599)&lt;0,TRUE,FALSE))</f>
        <v>0</v>
      </c>
      <c r="E2599" t="s">
        <v>434</v>
      </c>
      <c r="F2599" t="str">
        <f>INDEX(Lists!I:I,MATCH(Validation!E2599,Lists!G:G,0))</f>
        <v>Error</v>
      </c>
      <c r="G2599" t="str">
        <f>INDEX(Lists!H:H,MATCH(Validation!E2599,Lists!G:G,0))</f>
        <v>Amount may not be negative. Enter an amount greater than or equal to zero.</v>
      </c>
      <c r="H2599" s="25" t="str">
        <f t="shared" ca="1" si="294"/>
        <v/>
      </c>
      <c r="I2599" s="25" t="str">
        <f t="shared" ca="1" si="295"/>
        <v/>
      </c>
      <c r="J2599" s="26" t="str">
        <f t="shared" ca="1" si="296"/>
        <v/>
      </c>
    </row>
    <row r="2600" spans="1:10" x14ac:dyDescent="0.25">
      <c r="A2600" t="s">
        <v>302</v>
      </c>
      <c r="B2600" t="str">
        <f>ADDRESS(ROW('Bond 1'!$C$41),COLUMN('Bond 1'!$C$41),4)</f>
        <v>C41</v>
      </c>
      <c r="C2600" t="str">
        <f>ADDRESS(ROW('Bond 1'!$D$41),COLUMN('Bond 1'!$D$41),4)</f>
        <v>D41</v>
      </c>
      <c r="D2600" t="b" cm="1">
        <f t="array" aca="1" ref="D2600" ca="1">IF(INDIRECT("'"&amp;A2600&amp;"'!"&amp;B2600)="",FALSE,IF(INDIRECT("'"&amp;A2600&amp;"'!"&amp;B2600)&lt;0,TRUE,FALSE))</f>
        <v>0</v>
      </c>
      <c r="E2600" t="s">
        <v>434</v>
      </c>
      <c r="F2600" t="str">
        <f>INDEX(Lists!I:I,MATCH(Validation!E2600,Lists!G:G,0))</f>
        <v>Error</v>
      </c>
      <c r="G2600" t="str">
        <f>INDEX(Lists!H:H,MATCH(Validation!E2600,Lists!G:G,0))</f>
        <v>Amount may not be negative. Enter an amount greater than or equal to zero.</v>
      </c>
      <c r="H2600" s="25" t="str">
        <f t="shared" ca="1" si="294"/>
        <v/>
      </c>
      <c r="I2600" s="25" t="str">
        <f t="shared" ca="1" si="295"/>
        <v/>
      </c>
      <c r="J2600" s="26" t="str">
        <f t="shared" ca="1" si="296"/>
        <v/>
      </c>
    </row>
    <row r="2601" spans="1:10" x14ac:dyDescent="0.25">
      <c r="A2601" t="s">
        <v>303</v>
      </c>
      <c r="B2601" t="str">
        <f>ADDRESS(ROW('Bond 1'!$C$41),COLUMN('Bond 1'!$C$41),4)</f>
        <v>C41</v>
      </c>
      <c r="C2601" t="str">
        <f>ADDRESS(ROW('Bond 1'!$D$41),COLUMN('Bond 1'!$D$41),4)</f>
        <v>D41</v>
      </c>
      <c r="D2601" t="b" cm="1">
        <f t="array" aca="1" ref="D2601" ca="1">IF(INDIRECT("'"&amp;A2601&amp;"'!"&amp;B2601)="",FALSE,IF(INDIRECT("'"&amp;A2601&amp;"'!"&amp;B2601)&lt;0,TRUE,FALSE))</f>
        <v>0</v>
      </c>
      <c r="E2601" t="s">
        <v>434</v>
      </c>
      <c r="F2601" t="str">
        <f>INDEX(Lists!I:I,MATCH(Validation!E2601,Lists!G:G,0))</f>
        <v>Error</v>
      </c>
      <c r="G2601" t="str">
        <f>INDEX(Lists!H:H,MATCH(Validation!E2601,Lists!G:G,0))</f>
        <v>Amount may not be negative. Enter an amount greater than or equal to zero.</v>
      </c>
      <c r="H2601" s="25" t="str">
        <f t="shared" ca="1" si="294"/>
        <v/>
      </c>
      <c r="I2601" s="25" t="str">
        <f t="shared" ca="1" si="295"/>
        <v/>
      </c>
      <c r="J2601" s="26" t="str">
        <f t="shared" ca="1" si="296"/>
        <v/>
      </c>
    </row>
    <row r="2602" spans="1:10" x14ac:dyDescent="0.25">
      <c r="A2602" t="s">
        <v>304</v>
      </c>
      <c r="B2602" t="str">
        <f>ADDRESS(ROW('Bond 1'!$C$41),COLUMN('Bond 1'!$C$41),4)</f>
        <v>C41</v>
      </c>
      <c r="C2602" t="str">
        <f>ADDRESS(ROW('Bond 1'!$D$41),COLUMN('Bond 1'!$D$41),4)</f>
        <v>D41</v>
      </c>
      <c r="D2602" t="b" cm="1">
        <f t="array" aca="1" ref="D2602" ca="1">IF(INDIRECT("'"&amp;A2602&amp;"'!"&amp;B2602)="",FALSE,IF(INDIRECT("'"&amp;A2602&amp;"'!"&amp;B2602)&lt;0,TRUE,FALSE))</f>
        <v>0</v>
      </c>
      <c r="E2602" t="s">
        <v>434</v>
      </c>
      <c r="F2602" t="str">
        <f>INDEX(Lists!I:I,MATCH(Validation!E2602,Lists!G:G,0))</f>
        <v>Error</v>
      </c>
      <c r="G2602" t="str">
        <f>INDEX(Lists!H:H,MATCH(Validation!E2602,Lists!G:G,0))</f>
        <v>Amount may not be negative. Enter an amount greater than or equal to zero.</v>
      </c>
      <c r="H2602" s="25" t="str">
        <f t="shared" ca="1" si="294"/>
        <v/>
      </c>
      <c r="I2602" s="25" t="str">
        <f t="shared" ca="1" si="295"/>
        <v/>
      </c>
      <c r="J2602" s="26" t="str">
        <f t="shared" ca="1" si="296"/>
        <v/>
      </c>
    </row>
    <row r="2603" spans="1:10" x14ac:dyDescent="0.25">
      <c r="A2603" t="s">
        <v>305</v>
      </c>
      <c r="B2603" t="str">
        <f>ADDRESS(ROW('Bond 1'!$C$41),COLUMN('Bond 1'!$C$41),4)</f>
        <v>C41</v>
      </c>
      <c r="C2603" t="str">
        <f>ADDRESS(ROW('Bond 1'!$D$41),COLUMN('Bond 1'!$D$41),4)</f>
        <v>D41</v>
      </c>
      <c r="D2603" t="b" cm="1">
        <f t="array" aca="1" ref="D2603" ca="1">IF(INDIRECT("'"&amp;A2603&amp;"'!"&amp;B2603)="",FALSE,IF(INDIRECT("'"&amp;A2603&amp;"'!"&amp;B2603)&lt;0,TRUE,FALSE))</f>
        <v>0</v>
      </c>
      <c r="E2603" t="s">
        <v>434</v>
      </c>
      <c r="F2603" t="str">
        <f>INDEX(Lists!I:I,MATCH(Validation!E2603,Lists!G:G,0))</f>
        <v>Error</v>
      </c>
      <c r="G2603" t="str">
        <f>INDEX(Lists!H:H,MATCH(Validation!E2603,Lists!G:G,0))</f>
        <v>Amount may not be negative. Enter an amount greater than or equal to zero.</v>
      </c>
      <c r="H2603" s="25" t="str">
        <f t="shared" ca="1" si="294"/>
        <v/>
      </c>
      <c r="I2603" s="25" t="str">
        <f t="shared" ca="1" si="295"/>
        <v/>
      </c>
      <c r="J2603" s="26" t="str">
        <f t="shared" ca="1" si="296"/>
        <v/>
      </c>
    </row>
    <row r="2604" spans="1:10" x14ac:dyDescent="0.25">
      <c r="A2604" t="s">
        <v>306</v>
      </c>
      <c r="B2604" t="str">
        <f>ADDRESS(ROW('Bond 1'!$C$41),COLUMN('Bond 1'!$C$41),4)</f>
        <v>C41</v>
      </c>
      <c r="C2604" t="str">
        <f>ADDRESS(ROW('Bond 1'!$D$41),COLUMN('Bond 1'!$D$41),4)</f>
        <v>D41</v>
      </c>
      <c r="D2604" t="b" cm="1">
        <f t="array" aca="1" ref="D2604" ca="1">IF(INDIRECT("'"&amp;A2604&amp;"'!"&amp;B2604)="",FALSE,IF(INDIRECT("'"&amp;A2604&amp;"'!"&amp;B2604)&lt;0,TRUE,FALSE))</f>
        <v>0</v>
      </c>
      <c r="E2604" t="s">
        <v>434</v>
      </c>
      <c r="F2604" t="str">
        <f>INDEX(Lists!I:I,MATCH(Validation!E2604,Lists!G:G,0))</f>
        <v>Error</v>
      </c>
      <c r="G2604" t="str">
        <f>INDEX(Lists!H:H,MATCH(Validation!E2604,Lists!G:G,0))</f>
        <v>Amount may not be negative. Enter an amount greater than or equal to zero.</v>
      </c>
      <c r="H2604" s="25" t="str">
        <f t="shared" ca="1" si="294"/>
        <v/>
      </c>
      <c r="I2604" s="25" t="str">
        <f t="shared" ca="1" si="295"/>
        <v/>
      </c>
      <c r="J2604" s="26" t="str">
        <f t="shared" ca="1" si="296"/>
        <v/>
      </c>
    </row>
    <row r="2605" spans="1:10" x14ac:dyDescent="0.25">
      <c r="A2605" t="s">
        <v>307</v>
      </c>
      <c r="B2605" t="str">
        <f>ADDRESS(ROW('Bond 1'!$C$41),COLUMN('Bond 1'!$C$41),4)</f>
        <v>C41</v>
      </c>
      <c r="C2605" t="str">
        <f>ADDRESS(ROW('Bond 1'!$D$41),COLUMN('Bond 1'!$D$41),4)</f>
        <v>D41</v>
      </c>
      <c r="D2605" t="b" cm="1">
        <f t="array" aca="1" ref="D2605" ca="1">IF(INDIRECT("'"&amp;A2605&amp;"'!"&amp;B2605)="",FALSE,IF(INDIRECT("'"&amp;A2605&amp;"'!"&amp;B2605)&lt;0,TRUE,FALSE))</f>
        <v>0</v>
      </c>
      <c r="E2605" t="s">
        <v>434</v>
      </c>
      <c r="F2605" t="str">
        <f>INDEX(Lists!I:I,MATCH(Validation!E2605,Lists!G:G,0))</f>
        <v>Error</v>
      </c>
      <c r="G2605" t="str">
        <f>INDEX(Lists!H:H,MATCH(Validation!E2605,Lists!G:G,0))</f>
        <v>Amount may not be negative. Enter an amount greater than or equal to zero.</v>
      </c>
      <c r="H2605" s="25" t="str">
        <f t="shared" ca="1" si="294"/>
        <v/>
      </c>
      <c r="I2605" s="25" t="str">
        <f t="shared" ca="1" si="295"/>
        <v/>
      </c>
      <c r="J2605" s="26" t="str">
        <f t="shared" ca="1" si="296"/>
        <v/>
      </c>
    </row>
    <row r="2606" spans="1:10" x14ac:dyDescent="0.25">
      <c r="A2606" t="s">
        <v>308</v>
      </c>
      <c r="B2606" t="str">
        <f>ADDRESS(ROW('Bond 1'!$C$41),COLUMN('Bond 1'!$C$41),4)</f>
        <v>C41</v>
      </c>
      <c r="C2606" t="str">
        <f>ADDRESS(ROW('Bond 1'!$D$41),COLUMN('Bond 1'!$D$41),4)</f>
        <v>D41</v>
      </c>
      <c r="D2606" t="b" cm="1">
        <f t="array" aca="1" ref="D2606" ca="1">IF(INDIRECT("'"&amp;A2606&amp;"'!"&amp;B2606)="",FALSE,IF(INDIRECT("'"&amp;A2606&amp;"'!"&amp;B2606)&lt;0,TRUE,FALSE))</f>
        <v>0</v>
      </c>
      <c r="E2606" t="s">
        <v>434</v>
      </c>
      <c r="F2606" t="str">
        <f>INDEX(Lists!I:I,MATCH(Validation!E2606,Lists!G:G,0))</f>
        <v>Error</v>
      </c>
      <c r="G2606" t="str">
        <f>INDEX(Lists!H:H,MATCH(Validation!E2606,Lists!G:G,0))</f>
        <v>Amount may not be negative. Enter an amount greater than or equal to zero.</v>
      </c>
      <c r="H2606" s="25" t="str">
        <f t="shared" ca="1" si="294"/>
        <v/>
      </c>
      <c r="I2606" s="25" t="str">
        <f t="shared" ca="1" si="295"/>
        <v/>
      </c>
      <c r="J2606" s="26" t="str">
        <f t="shared" ca="1" si="296"/>
        <v/>
      </c>
    </row>
    <row r="2607" spans="1:10" x14ac:dyDescent="0.25">
      <c r="A2607" t="s">
        <v>309</v>
      </c>
      <c r="B2607" t="str">
        <f>ADDRESS(ROW('Bond 1'!$C$41),COLUMN('Bond 1'!$C$41),4)</f>
        <v>C41</v>
      </c>
      <c r="C2607" t="str">
        <f>ADDRESS(ROW('Bond 1'!$D$41),COLUMN('Bond 1'!$D$41),4)</f>
        <v>D41</v>
      </c>
      <c r="D2607" t="b" cm="1">
        <f t="array" aca="1" ref="D2607" ca="1">IF(INDIRECT("'"&amp;A2607&amp;"'!"&amp;B2607)="",FALSE,IF(INDIRECT("'"&amp;A2607&amp;"'!"&amp;B2607)&lt;0,TRUE,FALSE))</f>
        <v>0</v>
      </c>
      <c r="E2607" t="s">
        <v>434</v>
      </c>
      <c r="F2607" t="str">
        <f>INDEX(Lists!I:I,MATCH(Validation!E2607,Lists!G:G,0))</f>
        <v>Error</v>
      </c>
      <c r="G2607" t="str">
        <f>INDEX(Lists!H:H,MATCH(Validation!E2607,Lists!G:G,0))</f>
        <v>Amount may not be negative. Enter an amount greater than or equal to zero.</v>
      </c>
      <c r="H2607" s="25" t="str">
        <f t="shared" ca="1" si="294"/>
        <v/>
      </c>
      <c r="I2607" s="25" t="str">
        <f t="shared" ca="1" si="295"/>
        <v/>
      </c>
      <c r="J2607" s="26" t="str">
        <f t="shared" ca="1" si="296"/>
        <v/>
      </c>
    </row>
    <row r="2608" spans="1:10" x14ac:dyDescent="0.25">
      <c r="A2608" t="s">
        <v>310</v>
      </c>
      <c r="B2608" t="str">
        <f>ADDRESS(ROW('Bond 1'!$C$41),COLUMN('Bond 1'!$C$41),4)</f>
        <v>C41</v>
      </c>
      <c r="C2608" t="str">
        <f>ADDRESS(ROW('Bond 1'!$D$41),COLUMN('Bond 1'!$D$41),4)</f>
        <v>D41</v>
      </c>
      <c r="D2608" t="b" cm="1">
        <f t="array" aca="1" ref="D2608" ca="1">IF(INDIRECT("'"&amp;A2608&amp;"'!"&amp;B2608)="",FALSE,IF(INDIRECT("'"&amp;A2608&amp;"'!"&amp;B2608)&lt;0,TRUE,FALSE))</f>
        <v>0</v>
      </c>
      <c r="E2608" t="s">
        <v>434</v>
      </c>
      <c r="F2608" t="str">
        <f>INDEX(Lists!I:I,MATCH(Validation!E2608,Lists!G:G,0))</f>
        <v>Error</v>
      </c>
      <c r="G2608" t="str">
        <f>INDEX(Lists!H:H,MATCH(Validation!E2608,Lists!G:G,0))</f>
        <v>Amount may not be negative. Enter an amount greater than or equal to zero.</v>
      </c>
      <c r="H2608" s="25" t="str">
        <f t="shared" ca="1" si="294"/>
        <v/>
      </c>
      <c r="I2608" s="25" t="str">
        <f t="shared" ca="1" si="295"/>
        <v/>
      </c>
      <c r="J2608" s="26" t="str">
        <f t="shared" ca="1" si="296"/>
        <v/>
      </c>
    </row>
    <row r="2609" spans="1:10" x14ac:dyDescent="0.25">
      <c r="A2609" t="s">
        <v>311</v>
      </c>
      <c r="B2609" t="str">
        <f>ADDRESS(ROW('Bond 1'!$C$41),COLUMN('Bond 1'!$C$41),4)</f>
        <v>C41</v>
      </c>
      <c r="C2609" t="str">
        <f>ADDRESS(ROW('Bond 1'!$D$41),COLUMN('Bond 1'!$D$41),4)</f>
        <v>D41</v>
      </c>
      <c r="D2609" t="b" cm="1">
        <f t="array" aca="1" ref="D2609" ca="1">IF(INDIRECT("'"&amp;A2609&amp;"'!"&amp;B2609)="",FALSE,IF(INDIRECT("'"&amp;A2609&amp;"'!"&amp;B2609)&lt;0,TRUE,FALSE))</f>
        <v>0</v>
      </c>
      <c r="E2609" t="s">
        <v>434</v>
      </c>
      <c r="F2609" t="str">
        <f>INDEX(Lists!I:I,MATCH(Validation!E2609,Lists!G:G,0))</f>
        <v>Error</v>
      </c>
      <c r="G2609" t="str">
        <f>INDEX(Lists!H:H,MATCH(Validation!E2609,Lists!G:G,0))</f>
        <v>Amount may not be negative. Enter an amount greater than or equal to zero.</v>
      </c>
      <c r="H2609" s="25" t="str">
        <f t="shared" ca="1" si="294"/>
        <v/>
      </c>
      <c r="I2609" s="25" t="str">
        <f t="shared" ca="1" si="295"/>
        <v/>
      </c>
      <c r="J2609" s="26" t="str">
        <f t="shared" ca="1" si="296"/>
        <v/>
      </c>
    </row>
    <row r="2610" spans="1:10" x14ac:dyDescent="0.25">
      <c r="A2610" t="s">
        <v>312</v>
      </c>
      <c r="B2610" t="str">
        <f>ADDRESS(ROW('Bond 1'!$C$41),COLUMN('Bond 1'!$C$41),4)</f>
        <v>C41</v>
      </c>
      <c r="C2610" t="str">
        <f>ADDRESS(ROW('Bond 1'!$D$41),COLUMN('Bond 1'!$D$41),4)</f>
        <v>D41</v>
      </c>
      <c r="D2610" t="b" cm="1">
        <f t="array" aca="1" ref="D2610" ca="1">IF(INDIRECT("'"&amp;A2610&amp;"'!"&amp;B2610)="",FALSE,IF(INDIRECT("'"&amp;A2610&amp;"'!"&amp;B2610)&lt;0,TRUE,FALSE))</f>
        <v>0</v>
      </c>
      <c r="E2610" t="s">
        <v>434</v>
      </c>
      <c r="F2610" t="str">
        <f>INDEX(Lists!I:I,MATCH(Validation!E2610,Lists!G:G,0))</f>
        <v>Error</v>
      </c>
      <c r="G2610" t="str">
        <f>INDEX(Lists!H:H,MATCH(Validation!E2610,Lists!G:G,0))</f>
        <v>Amount may not be negative. Enter an amount greater than or equal to zero.</v>
      </c>
      <c r="H2610" s="25" t="str">
        <f t="shared" ca="1" si="294"/>
        <v/>
      </c>
      <c r="I2610" s="25" t="str">
        <f t="shared" ca="1" si="295"/>
        <v/>
      </c>
      <c r="J2610" s="26" t="str">
        <f t="shared" ca="1" si="296"/>
        <v/>
      </c>
    </row>
    <row r="2611" spans="1:10" x14ac:dyDescent="0.25">
      <c r="A2611" t="s">
        <v>313</v>
      </c>
      <c r="B2611" t="str">
        <f>ADDRESS(ROW('Bond 1'!$C$41),COLUMN('Bond 1'!$C$41),4)</f>
        <v>C41</v>
      </c>
      <c r="C2611" t="str">
        <f>ADDRESS(ROW('Bond 1'!$D$41),COLUMN('Bond 1'!$D$41),4)</f>
        <v>D41</v>
      </c>
      <c r="D2611" t="b" cm="1">
        <f t="array" aca="1" ref="D2611" ca="1">IF(INDIRECT("'"&amp;A2611&amp;"'!"&amp;B2611)="",FALSE,IF(INDIRECT("'"&amp;A2611&amp;"'!"&amp;B2611)&lt;0,TRUE,FALSE))</f>
        <v>0</v>
      </c>
      <c r="E2611" t="s">
        <v>434</v>
      </c>
      <c r="F2611" t="str">
        <f>INDEX(Lists!I:I,MATCH(Validation!E2611,Lists!G:G,0))</f>
        <v>Error</v>
      </c>
      <c r="G2611" t="str">
        <f>INDEX(Lists!H:H,MATCH(Validation!E2611,Lists!G:G,0))</f>
        <v>Amount may not be negative. Enter an amount greater than or equal to zero.</v>
      </c>
      <c r="H2611" s="25" t="str">
        <f t="shared" ca="1" si="294"/>
        <v/>
      </c>
      <c r="I2611" s="25" t="str">
        <f t="shared" ca="1" si="295"/>
        <v/>
      </c>
      <c r="J2611" s="26" t="str">
        <f t="shared" ca="1" si="296"/>
        <v/>
      </c>
    </row>
    <row r="2612" spans="1:10" x14ac:dyDescent="0.25">
      <c r="A2612" t="s">
        <v>314</v>
      </c>
      <c r="B2612" t="str">
        <f>ADDRESS(ROW('Bond 1'!$C$41),COLUMN('Bond 1'!$C$41),4)</f>
        <v>C41</v>
      </c>
      <c r="C2612" t="str">
        <f>ADDRESS(ROW('Bond 1'!$D$41),COLUMN('Bond 1'!$D$41),4)</f>
        <v>D41</v>
      </c>
      <c r="D2612" t="b" cm="1">
        <f t="array" aca="1" ref="D2612" ca="1">IF(INDIRECT("'"&amp;A2612&amp;"'!"&amp;B2612)="",FALSE,IF(INDIRECT("'"&amp;A2612&amp;"'!"&amp;B2612)&lt;0,TRUE,FALSE))</f>
        <v>0</v>
      </c>
      <c r="E2612" t="s">
        <v>434</v>
      </c>
      <c r="F2612" t="str">
        <f>INDEX(Lists!I:I,MATCH(Validation!E2612,Lists!G:G,0))</f>
        <v>Error</v>
      </c>
      <c r="G2612" t="str">
        <f>INDEX(Lists!H:H,MATCH(Validation!E2612,Lists!G:G,0))</f>
        <v>Amount may not be negative. Enter an amount greater than or equal to zero.</v>
      </c>
      <c r="H2612" s="25" t="str">
        <f t="shared" ca="1" si="294"/>
        <v/>
      </c>
      <c r="I2612" s="25" t="str">
        <f t="shared" ca="1" si="295"/>
        <v/>
      </c>
      <c r="J2612" s="26" t="str">
        <f t="shared" ca="1" si="296"/>
        <v/>
      </c>
    </row>
    <row r="2613" spans="1:10" x14ac:dyDescent="0.25">
      <c r="A2613" t="s">
        <v>315</v>
      </c>
      <c r="B2613" t="str">
        <f>ADDRESS(ROW('Bond 1'!$C$41),COLUMN('Bond 1'!$C$41),4)</f>
        <v>C41</v>
      </c>
      <c r="C2613" t="str">
        <f>ADDRESS(ROW('Bond 1'!$D$41),COLUMN('Bond 1'!$D$41),4)</f>
        <v>D41</v>
      </c>
      <c r="D2613" t="b" cm="1">
        <f t="array" aca="1" ref="D2613" ca="1">IF(INDIRECT("'"&amp;A2613&amp;"'!"&amp;B2613)="",FALSE,IF(INDIRECT("'"&amp;A2613&amp;"'!"&amp;B2613)&lt;0,TRUE,FALSE))</f>
        <v>0</v>
      </c>
      <c r="E2613" t="s">
        <v>434</v>
      </c>
      <c r="F2613" t="str">
        <f>INDEX(Lists!I:I,MATCH(Validation!E2613,Lists!G:G,0))</f>
        <v>Error</v>
      </c>
      <c r="G2613" t="str">
        <f>INDEX(Lists!H:H,MATCH(Validation!E2613,Lists!G:G,0))</f>
        <v>Amount may not be negative. Enter an amount greater than or equal to zero.</v>
      </c>
      <c r="H2613" s="25" t="str">
        <f t="shared" ca="1" si="294"/>
        <v/>
      </c>
      <c r="I2613" s="25" t="str">
        <f t="shared" ca="1" si="295"/>
        <v/>
      </c>
      <c r="J2613" s="26" t="str">
        <f t="shared" ca="1" si="296"/>
        <v/>
      </c>
    </row>
    <row r="2614" spans="1:10" x14ac:dyDescent="0.25">
      <c r="A2614" t="s">
        <v>198</v>
      </c>
      <c r="B2614" t="str">
        <f>ADDRESS(ROW('Bond 1'!$C$41),COLUMN('Bond 1'!$C$41),4)</f>
        <v>C41</v>
      </c>
      <c r="C2614" t="str">
        <f>ADDRESS(ROW('Bond 1'!$D$41),COLUMN('Bond 1'!$D$41),4)</f>
        <v>D41</v>
      </c>
      <c r="D2614" t="b" cm="1">
        <f t="array" aca="1" ref="D2614" ca="1">IF(INDIRECT("'"&amp;A2614&amp;"'!"&amp;B2614)="",FALSE,IF(TRUNC(INDIRECT("'"&amp;A2614&amp;"'!"&amp;B2614))=INDIRECT("'"&amp;A2614&amp;"'!"&amp;B2614),FALSE,TRUE))</f>
        <v>0</v>
      </c>
      <c r="E2614" t="s">
        <v>436</v>
      </c>
      <c r="F2614" t="str">
        <f>INDEX(Lists!I:I,MATCH(Validation!E2614,Lists!G:G,0))</f>
        <v>Error</v>
      </c>
      <c r="G2614" t="str">
        <f>INDEX(Lists!H:H,MATCH(Validation!E2614,Lists!G:G,0))</f>
        <v>Amount must be rounded to the nearest dollar.</v>
      </c>
      <c r="H2614" s="25" t="str">
        <f t="shared" ca="1" si="294"/>
        <v/>
      </c>
      <c r="I2614" s="25" t="str">
        <f t="shared" ca="1" si="295"/>
        <v/>
      </c>
      <c r="J2614" s="26" t="str">
        <f t="shared" ca="1" si="296"/>
        <v/>
      </c>
    </row>
    <row r="2615" spans="1:10" x14ac:dyDescent="0.25">
      <c r="A2615" t="s">
        <v>302</v>
      </c>
      <c r="B2615" t="str">
        <f>ADDRESS(ROW('Bond 1'!$C$41),COLUMN('Bond 1'!$C$41),4)</f>
        <v>C41</v>
      </c>
      <c r="C2615" t="str">
        <f>ADDRESS(ROW('Bond 1'!$D$41),COLUMN('Bond 1'!$D$41),4)</f>
        <v>D41</v>
      </c>
      <c r="D2615" t="b" cm="1">
        <f t="array" aca="1" ref="D2615" ca="1">IF(INDIRECT("'"&amp;A2615&amp;"'!"&amp;B2615)="",FALSE,IF(TRUNC(INDIRECT("'"&amp;A2615&amp;"'!"&amp;B2615))=INDIRECT("'"&amp;A2615&amp;"'!"&amp;B2615),FALSE,TRUE))</f>
        <v>0</v>
      </c>
      <c r="E2615" t="s">
        <v>436</v>
      </c>
      <c r="F2615" t="str">
        <f>INDEX(Lists!I:I,MATCH(Validation!E2615,Lists!G:G,0))</f>
        <v>Error</v>
      </c>
      <c r="G2615" t="str">
        <f>INDEX(Lists!H:H,MATCH(Validation!E2615,Lists!G:G,0))</f>
        <v>Amount must be rounded to the nearest dollar.</v>
      </c>
      <c r="H2615" s="25" t="str">
        <f t="shared" ca="1" si="294"/>
        <v/>
      </c>
      <c r="I2615" s="25" t="str">
        <f t="shared" ca="1" si="295"/>
        <v/>
      </c>
      <c r="J2615" s="26" t="str">
        <f t="shared" ca="1" si="296"/>
        <v/>
      </c>
    </row>
    <row r="2616" spans="1:10" x14ac:dyDescent="0.25">
      <c r="A2616" t="s">
        <v>303</v>
      </c>
      <c r="B2616" t="str">
        <f>ADDRESS(ROW('Bond 1'!$C$41),COLUMN('Bond 1'!$C$41),4)</f>
        <v>C41</v>
      </c>
      <c r="C2616" t="str">
        <f>ADDRESS(ROW('Bond 1'!$D$41),COLUMN('Bond 1'!$D$41),4)</f>
        <v>D41</v>
      </c>
      <c r="D2616" t="b" cm="1">
        <f t="array" aca="1" ref="D2616" ca="1">IF(INDIRECT("'"&amp;A2616&amp;"'!"&amp;B2616)="",FALSE,IF(TRUNC(INDIRECT("'"&amp;A2616&amp;"'!"&amp;B2616))=INDIRECT("'"&amp;A2616&amp;"'!"&amp;B2616),FALSE,TRUE))</f>
        <v>0</v>
      </c>
      <c r="E2616" t="s">
        <v>436</v>
      </c>
      <c r="F2616" t="str">
        <f>INDEX(Lists!I:I,MATCH(Validation!E2616,Lists!G:G,0))</f>
        <v>Error</v>
      </c>
      <c r="G2616" t="str">
        <f>INDEX(Lists!H:H,MATCH(Validation!E2616,Lists!G:G,0))</f>
        <v>Amount must be rounded to the nearest dollar.</v>
      </c>
      <c r="H2616" s="25" t="str">
        <f t="shared" ca="1" si="294"/>
        <v/>
      </c>
      <c r="I2616" s="25" t="str">
        <f t="shared" ca="1" si="295"/>
        <v/>
      </c>
      <c r="J2616" s="26" t="str">
        <f t="shared" ca="1" si="296"/>
        <v/>
      </c>
    </row>
    <row r="2617" spans="1:10" x14ac:dyDescent="0.25">
      <c r="A2617" t="s">
        <v>304</v>
      </c>
      <c r="B2617" t="str">
        <f>ADDRESS(ROW('Bond 1'!$C$41),COLUMN('Bond 1'!$C$41),4)</f>
        <v>C41</v>
      </c>
      <c r="C2617" t="str">
        <f>ADDRESS(ROW('Bond 1'!$D$41),COLUMN('Bond 1'!$D$41),4)</f>
        <v>D41</v>
      </c>
      <c r="D2617" t="b" cm="1">
        <f t="array" aca="1" ref="D2617" ca="1">IF(INDIRECT("'"&amp;A2617&amp;"'!"&amp;B2617)="",FALSE,IF(TRUNC(INDIRECT("'"&amp;A2617&amp;"'!"&amp;B2617))=INDIRECT("'"&amp;A2617&amp;"'!"&amp;B2617),FALSE,TRUE))</f>
        <v>0</v>
      </c>
      <c r="E2617" t="s">
        <v>436</v>
      </c>
      <c r="F2617" t="str">
        <f>INDEX(Lists!I:I,MATCH(Validation!E2617,Lists!G:G,0))</f>
        <v>Error</v>
      </c>
      <c r="G2617" t="str">
        <f>INDEX(Lists!H:H,MATCH(Validation!E2617,Lists!G:G,0))</f>
        <v>Amount must be rounded to the nearest dollar.</v>
      </c>
      <c r="H2617" s="25" t="str">
        <f t="shared" ca="1" si="294"/>
        <v/>
      </c>
      <c r="I2617" s="25" t="str">
        <f t="shared" ca="1" si="295"/>
        <v/>
      </c>
      <c r="J2617" s="26" t="str">
        <f t="shared" ca="1" si="296"/>
        <v/>
      </c>
    </row>
    <row r="2618" spans="1:10" x14ac:dyDescent="0.25">
      <c r="A2618" t="s">
        <v>305</v>
      </c>
      <c r="B2618" t="str">
        <f>ADDRESS(ROW('Bond 1'!$C$41),COLUMN('Bond 1'!$C$41),4)</f>
        <v>C41</v>
      </c>
      <c r="C2618" t="str">
        <f>ADDRESS(ROW('Bond 1'!$D$41),COLUMN('Bond 1'!$D$41),4)</f>
        <v>D41</v>
      </c>
      <c r="D2618" t="b" cm="1">
        <f t="array" aca="1" ref="D2618" ca="1">IF(INDIRECT("'"&amp;A2618&amp;"'!"&amp;B2618)="",FALSE,IF(TRUNC(INDIRECT("'"&amp;A2618&amp;"'!"&amp;B2618))=INDIRECT("'"&amp;A2618&amp;"'!"&amp;B2618),FALSE,TRUE))</f>
        <v>0</v>
      </c>
      <c r="E2618" t="s">
        <v>436</v>
      </c>
      <c r="F2618" t="str">
        <f>INDEX(Lists!I:I,MATCH(Validation!E2618,Lists!G:G,0))</f>
        <v>Error</v>
      </c>
      <c r="G2618" t="str">
        <f>INDEX(Lists!H:H,MATCH(Validation!E2618,Lists!G:G,0))</f>
        <v>Amount must be rounded to the nearest dollar.</v>
      </c>
      <c r="H2618" s="25" t="str">
        <f t="shared" ca="1" si="294"/>
        <v/>
      </c>
      <c r="I2618" s="25" t="str">
        <f t="shared" ca="1" si="295"/>
        <v/>
      </c>
      <c r="J2618" s="26" t="str">
        <f t="shared" ca="1" si="296"/>
        <v/>
      </c>
    </row>
    <row r="2619" spans="1:10" x14ac:dyDescent="0.25">
      <c r="A2619" t="s">
        <v>306</v>
      </c>
      <c r="B2619" t="str">
        <f>ADDRESS(ROW('Bond 1'!$C$41),COLUMN('Bond 1'!$C$41),4)</f>
        <v>C41</v>
      </c>
      <c r="C2619" t="str">
        <f>ADDRESS(ROW('Bond 1'!$D$41),COLUMN('Bond 1'!$D$41),4)</f>
        <v>D41</v>
      </c>
      <c r="D2619" t="b" cm="1">
        <f t="array" aca="1" ref="D2619" ca="1">IF(INDIRECT("'"&amp;A2619&amp;"'!"&amp;B2619)="",FALSE,IF(TRUNC(INDIRECT("'"&amp;A2619&amp;"'!"&amp;B2619))=INDIRECT("'"&amp;A2619&amp;"'!"&amp;B2619),FALSE,TRUE))</f>
        <v>0</v>
      </c>
      <c r="E2619" t="s">
        <v>436</v>
      </c>
      <c r="F2619" t="str">
        <f>INDEX(Lists!I:I,MATCH(Validation!E2619,Lists!G:G,0))</f>
        <v>Error</v>
      </c>
      <c r="G2619" t="str">
        <f>INDEX(Lists!H:H,MATCH(Validation!E2619,Lists!G:G,0))</f>
        <v>Amount must be rounded to the nearest dollar.</v>
      </c>
      <c r="H2619" s="25" t="str">
        <f t="shared" ca="1" si="294"/>
        <v/>
      </c>
      <c r="I2619" s="25" t="str">
        <f t="shared" ca="1" si="295"/>
        <v/>
      </c>
      <c r="J2619" s="26" t="str">
        <f t="shared" ca="1" si="296"/>
        <v/>
      </c>
    </row>
    <row r="2620" spans="1:10" x14ac:dyDescent="0.25">
      <c r="A2620" t="s">
        <v>307</v>
      </c>
      <c r="B2620" t="str">
        <f>ADDRESS(ROW('Bond 1'!$C$41),COLUMN('Bond 1'!$C$41),4)</f>
        <v>C41</v>
      </c>
      <c r="C2620" t="str">
        <f>ADDRESS(ROW('Bond 1'!$D$41),COLUMN('Bond 1'!$D$41),4)</f>
        <v>D41</v>
      </c>
      <c r="D2620" t="b" cm="1">
        <f t="array" aca="1" ref="D2620" ca="1">IF(INDIRECT("'"&amp;A2620&amp;"'!"&amp;B2620)="",FALSE,IF(TRUNC(INDIRECT("'"&amp;A2620&amp;"'!"&amp;B2620))=INDIRECT("'"&amp;A2620&amp;"'!"&amp;B2620),FALSE,TRUE))</f>
        <v>0</v>
      </c>
      <c r="E2620" t="s">
        <v>436</v>
      </c>
      <c r="F2620" t="str">
        <f>INDEX(Lists!I:I,MATCH(Validation!E2620,Lists!G:G,0))</f>
        <v>Error</v>
      </c>
      <c r="G2620" t="str">
        <f>INDEX(Lists!H:H,MATCH(Validation!E2620,Lists!G:G,0))</f>
        <v>Amount must be rounded to the nearest dollar.</v>
      </c>
      <c r="H2620" s="25" t="str">
        <f t="shared" ca="1" si="294"/>
        <v/>
      </c>
      <c r="I2620" s="25" t="str">
        <f t="shared" ca="1" si="295"/>
        <v/>
      </c>
      <c r="J2620" s="26" t="str">
        <f t="shared" ca="1" si="296"/>
        <v/>
      </c>
    </row>
    <row r="2621" spans="1:10" x14ac:dyDescent="0.25">
      <c r="A2621" t="s">
        <v>308</v>
      </c>
      <c r="B2621" t="str">
        <f>ADDRESS(ROW('Bond 1'!$C$41),COLUMN('Bond 1'!$C$41),4)</f>
        <v>C41</v>
      </c>
      <c r="C2621" t="str">
        <f>ADDRESS(ROW('Bond 1'!$D$41),COLUMN('Bond 1'!$D$41),4)</f>
        <v>D41</v>
      </c>
      <c r="D2621" t="b" cm="1">
        <f t="array" aca="1" ref="D2621" ca="1">IF(INDIRECT("'"&amp;A2621&amp;"'!"&amp;B2621)="",FALSE,IF(TRUNC(INDIRECT("'"&amp;A2621&amp;"'!"&amp;B2621))=INDIRECT("'"&amp;A2621&amp;"'!"&amp;B2621),FALSE,TRUE))</f>
        <v>0</v>
      </c>
      <c r="E2621" t="s">
        <v>436</v>
      </c>
      <c r="F2621" t="str">
        <f>INDEX(Lists!I:I,MATCH(Validation!E2621,Lists!G:G,0))</f>
        <v>Error</v>
      </c>
      <c r="G2621" t="str">
        <f>INDEX(Lists!H:H,MATCH(Validation!E2621,Lists!G:G,0))</f>
        <v>Amount must be rounded to the nearest dollar.</v>
      </c>
      <c r="H2621" s="25" t="str">
        <f t="shared" ca="1" si="294"/>
        <v/>
      </c>
      <c r="I2621" s="25" t="str">
        <f t="shared" ca="1" si="295"/>
        <v/>
      </c>
      <c r="J2621" s="26" t="str">
        <f t="shared" ca="1" si="296"/>
        <v/>
      </c>
    </row>
    <row r="2622" spans="1:10" x14ac:dyDescent="0.25">
      <c r="A2622" t="s">
        <v>309</v>
      </c>
      <c r="B2622" t="str">
        <f>ADDRESS(ROW('Bond 1'!$C$41),COLUMN('Bond 1'!$C$41),4)</f>
        <v>C41</v>
      </c>
      <c r="C2622" t="str">
        <f>ADDRESS(ROW('Bond 1'!$D$41),COLUMN('Bond 1'!$D$41),4)</f>
        <v>D41</v>
      </c>
      <c r="D2622" t="b" cm="1">
        <f t="array" aca="1" ref="D2622" ca="1">IF(INDIRECT("'"&amp;A2622&amp;"'!"&amp;B2622)="",FALSE,IF(TRUNC(INDIRECT("'"&amp;A2622&amp;"'!"&amp;B2622))=INDIRECT("'"&amp;A2622&amp;"'!"&amp;B2622),FALSE,TRUE))</f>
        <v>0</v>
      </c>
      <c r="E2622" t="s">
        <v>436</v>
      </c>
      <c r="F2622" t="str">
        <f>INDEX(Lists!I:I,MATCH(Validation!E2622,Lists!G:G,0))</f>
        <v>Error</v>
      </c>
      <c r="G2622" t="str">
        <f>INDEX(Lists!H:H,MATCH(Validation!E2622,Lists!G:G,0))</f>
        <v>Amount must be rounded to the nearest dollar.</v>
      </c>
      <c r="H2622" s="25" t="str">
        <f t="shared" ca="1" si="294"/>
        <v/>
      </c>
      <c r="I2622" s="25" t="str">
        <f t="shared" ca="1" si="295"/>
        <v/>
      </c>
      <c r="J2622" s="26" t="str">
        <f t="shared" ca="1" si="296"/>
        <v/>
      </c>
    </row>
    <row r="2623" spans="1:10" x14ac:dyDescent="0.25">
      <c r="A2623" t="s">
        <v>310</v>
      </c>
      <c r="B2623" t="str">
        <f>ADDRESS(ROW('Bond 1'!$C$41),COLUMN('Bond 1'!$C$41),4)</f>
        <v>C41</v>
      </c>
      <c r="C2623" t="str">
        <f>ADDRESS(ROW('Bond 1'!$D$41),COLUMN('Bond 1'!$D$41),4)</f>
        <v>D41</v>
      </c>
      <c r="D2623" t="b" cm="1">
        <f t="array" aca="1" ref="D2623" ca="1">IF(INDIRECT("'"&amp;A2623&amp;"'!"&amp;B2623)="",FALSE,IF(TRUNC(INDIRECT("'"&amp;A2623&amp;"'!"&amp;B2623))=INDIRECT("'"&amp;A2623&amp;"'!"&amp;B2623),FALSE,TRUE))</f>
        <v>0</v>
      </c>
      <c r="E2623" t="s">
        <v>436</v>
      </c>
      <c r="F2623" t="str">
        <f>INDEX(Lists!I:I,MATCH(Validation!E2623,Lists!G:G,0))</f>
        <v>Error</v>
      </c>
      <c r="G2623" t="str">
        <f>INDEX(Lists!H:H,MATCH(Validation!E2623,Lists!G:G,0))</f>
        <v>Amount must be rounded to the nearest dollar.</v>
      </c>
      <c r="H2623" s="25" t="str">
        <f t="shared" ca="1" si="294"/>
        <v/>
      </c>
      <c r="I2623" s="25" t="str">
        <f t="shared" ca="1" si="295"/>
        <v/>
      </c>
      <c r="J2623" s="26" t="str">
        <f t="shared" ca="1" si="296"/>
        <v/>
      </c>
    </row>
    <row r="2624" spans="1:10" x14ac:dyDescent="0.25">
      <c r="A2624" t="s">
        <v>311</v>
      </c>
      <c r="B2624" t="str">
        <f>ADDRESS(ROW('Bond 1'!$C$41),COLUMN('Bond 1'!$C$41),4)</f>
        <v>C41</v>
      </c>
      <c r="C2624" t="str">
        <f>ADDRESS(ROW('Bond 1'!$D$41),COLUMN('Bond 1'!$D$41),4)</f>
        <v>D41</v>
      </c>
      <c r="D2624" t="b" cm="1">
        <f t="array" aca="1" ref="D2624" ca="1">IF(INDIRECT("'"&amp;A2624&amp;"'!"&amp;B2624)="",FALSE,IF(TRUNC(INDIRECT("'"&amp;A2624&amp;"'!"&amp;B2624))=INDIRECT("'"&amp;A2624&amp;"'!"&amp;B2624),FALSE,TRUE))</f>
        <v>0</v>
      </c>
      <c r="E2624" t="s">
        <v>436</v>
      </c>
      <c r="F2624" t="str">
        <f>INDEX(Lists!I:I,MATCH(Validation!E2624,Lists!G:G,0))</f>
        <v>Error</v>
      </c>
      <c r="G2624" t="str">
        <f>INDEX(Lists!H:H,MATCH(Validation!E2624,Lists!G:G,0))</f>
        <v>Amount must be rounded to the nearest dollar.</v>
      </c>
      <c r="H2624" s="25" t="str">
        <f t="shared" ca="1" si="294"/>
        <v/>
      </c>
      <c r="I2624" s="25" t="str">
        <f t="shared" ca="1" si="295"/>
        <v/>
      </c>
      <c r="J2624" s="26" t="str">
        <f t="shared" ca="1" si="296"/>
        <v/>
      </c>
    </row>
    <row r="2625" spans="1:10" x14ac:dyDescent="0.25">
      <c r="A2625" t="s">
        <v>312</v>
      </c>
      <c r="B2625" t="str">
        <f>ADDRESS(ROW('Bond 1'!$C$41),COLUMN('Bond 1'!$C$41),4)</f>
        <v>C41</v>
      </c>
      <c r="C2625" t="str">
        <f>ADDRESS(ROW('Bond 1'!$D$41),COLUMN('Bond 1'!$D$41),4)</f>
        <v>D41</v>
      </c>
      <c r="D2625" t="b" cm="1">
        <f t="array" aca="1" ref="D2625" ca="1">IF(INDIRECT("'"&amp;A2625&amp;"'!"&amp;B2625)="",FALSE,IF(TRUNC(INDIRECT("'"&amp;A2625&amp;"'!"&amp;B2625))=INDIRECT("'"&amp;A2625&amp;"'!"&amp;B2625),FALSE,TRUE))</f>
        <v>0</v>
      </c>
      <c r="E2625" t="s">
        <v>436</v>
      </c>
      <c r="F2625" t="str">
        <f>INDEX(Lists!I:I,MATCH(Validation!E2625,Lists!G:G,0))</f>
        <v>Error</v>
      </c>
      <c r="G2625" t="str">
        <f>INDEX(Lists!H:H,MATCH(Validation!E2625,Lists!G:G,0))</f>
        <v>Amount must be rounded to the nearest dollar.</v>
      </c>
      <c r="H2625" s="25" t="str">
        <f t="shared" ca="1" si="294"/>
        <v/>
      </c>
      <c r="I2625" s="25" t="str">
        <f t="shared" ca="1" si="295"/>
        <v/>
      </c>
      <c r="J2625" s="26" t="str">
        <f t="shared" ca="1" si="296"/>
        <v/>
      </c>
    </row>
    <row r="2626" spans="1:10" x14ac:dyDescent="0.25">
      <c r="A2626" t="s">
        <v>313</v>
      </c>
      <c r="B2626" t="str">
        <f>ADDRESS(ROW('Bond 1'!$C$41),COLUMN('Bond 1'!$C$41),4)</f>
        <v>C41</v>
      </c>
      <c r="C2626" t="str">
        <f>ADDRESS(ROW('Bond 1'!$D$41),COLUMN('Bond 1'!$D$41),4)</f>
        <v>D41</v>
      </c>
      <c r="D2626" t="b" cm="1">
        <f t="array" aca="1" ref="D2626" ca="1">IF(INDIRECT("'"&amp;A2626&amp;"'!"&amp;B2626)="",FALSE,IF(TRUNC(INDIRECT("'"&amp;A2626&amp;"'!"&amp;B2626))=INDIRECT("'"&amp;A2626&amp;"'!"&amp;B2626),FALSE,TRUE))</f>
        <v>0</v>
      </c>
      <c r="E2626" t="s">
        <v>436</v>
      </c>
      <c r="F2626" t="str">
        <f>INDEX(Lists!I:I,MATCH(Validation!E2626,Lists!G:G,0))</f>
        <v>Error</v>
      </c>
      <c r="G2626" t="str">
        <f>INDEX(Lists!H:H,MATCH(Validation!E2626,Lists!G:G,0))</f>
        <v>Amount must be rounded to the nearest dollar.</v>
      </c>
      <c r="H2626" s="25" t="str">
        <f t="shared" ca="1" si="294"/>
        <v/>
      </c>
      <c r="I2626" s="25" t="str">
        <f t="shared" ca="1" si="295"/>
        <v/>
      </c>
      <c r="J2626" s="26" t="str">
        <f t="shared" ca="1" si="296"/>
        <v/>
      </c>
    </row>
    <row r="2627" spans="1:10" x14ac:dyDescent="0.25">
      <c r="A2627" t="s">
        <v>314</v>
      </c>
      <c r="B2627" t="str">
        <f>ADDRESS(ROW('Bond 1'!$C$41),COLUMN('Bond 1'!$C$41),4)</f>
        <v>C41</v>
      </c>
      <c r="C2627" t="str">
        <f>ADDRESS(ROW('Bond 1'!$D$41),COLUMN('Bond 1'!$D$41),4)</f>
        <v>D41</v>
      </c>
      <c r="D2627" t="b" cm="1">
        <f t="array" aca="1" ref="D2627" ca="1">IF(INDIRECT("'"&amp;A2627&amp;"'!"&amp;B2627)="",FALSE,IF(TRUNC(INDIRECT("'"&amp;A2627&amp;"'!"&amp;B2627))=INDIRECT("'"&amp;A2627&amp;"'!"&amp;B2627),FALSE,TRUE))</f>
        <v>0</v>
      </c>
      <c r="E2627" t="s">
        <v>436</v>
      </c>
      <c r="F2627" t="str">
        <f>INDEX(Lists!I:I,MATCH(Validation!E2627,Lists!G:G,0))</f>
        <v>Error</v>
      </c>
      <c r="G2627" t="str">
        <f>INDEX(Lists!H:H,MATCH(Validation!E2627,Lists!G:G,0))</f>
        <v>Amount must be rounded to the nearest dollar.</v>
      </c>
      <c r="H2627" s="25" t="str">
        <f t="shared" ca="1" si="294"/>
        <v/>
      </c>
      <c r="I2627" s="25" t="str">
        <f t="shared" ca="1" si="295"/>
        <v/>
      </c>
      <c r="J2627" s="26" t="str">
        <f t="shared" ca="1" si="296"/>
        <v/>
      </c>
    </row>
    <row r="2628" spans="1:10" x14ac:dyDescent="0.25">
      <c r="A2628" t="s">
        <v>315</v>
      </c>
      <c r="B2628" t="str">
        <f>ADDRESS(ROW('Bond 1'!$C$41),COLUMN('Bond 1'!$C$41),4)</f>
        <v>C41</v>
      </c>
      <c r="C2628" t="str">
        <f>ADDRESS(ROW('Bond 1'!$D$41),COLUMN('Bond 1'!$D$41),4)</f>
        <v>D41</v>
      </c>
      <c r="D2628" t="b" cm="1">
        <f t="array" aca="1" ref="D2628" ca="1">IF(INDIRECT("'"&amp;A2628&amp;"'!"&amp;B2628)="",FALSE,IF(TRUNC(INDIRECT("'"&amp;A2628&amp;"'!"&amp;B2628))=INDIRECT("'"&amp;A2628&amp;"'!"&amp;B2628),FALSE,TRUE))</f>
        <v>0</v>
      </c>
      <c r="E2628" t="s">
        <v>436</v>
      </c>
      <c r="F2628" t="str">
        <f>INDEX(Lists!I:I,MATCH(Validation!E2628,Lists!G:G,0))</f>
        <v>Error</v>
      </c>
      <c r="G2628" t="str">
        <f>INDEX(Lists!H:H,MATCH(Validation!E2628,Lists!G:G,0))</f>
        <v>Amount must be rounded to the nearest dollar.</v>
      </c>
      <c r="H2628" s="25" t="str">
        <f t="shared" ca="1" si="294"/>
        <v/>
      </c>
      <c r="I2628" s="25" t="str">
        <f t="shared" ca="1" si="295"/>
        <v/>
      </c>
      <c r="J2628" s="26" t="str">
        <f t="shared" ca="1" si="296"/>
        <v/>
      </c>
    </row>
    <row r="2629" spans="1:10" x14ac:dyDescent="0.25">
      <c r="A2629" t="s">
        <v>198</v>
      </c>
      <c r="B2629" t="str">
        <f>ADDRESS(ROW('Bond 1'!$B$42),COLUMN('Bond 1'!$B$42),4)</f>
        <v>B42</v>
      </c>
      <c r="C2629" t="str">
        <f>ADDRESS(ROW('Bond 1'!$D$42),COLUMN('Bond 1'!$D$42),4)</f>
        <v>D42</v>
      </c>
      <c r="D2629" t="b" cm="1">
        <f t="array" aca="1" ref="D2629" ca="1">IF(AND('Bond 1'!B$8="Non-TIF Bond",OR(ISBLANK(INDIRECT("'"&amp;A2629&amp;"'!"&amp;B2629)),INDIRECT("'"&amp;A2629&amp;"'!"&amp;B2629)&lt;&gt;0)),TRUE,FALSE)</f>
        <v>0</v>
      </c>
      <c r="E2629" t="s">
        <v>630</v>
      </c>
      <c r="F2629" t="str">
        <f>INDEX(Lists!I:I,MATCH(Validation!E2629,Lists!G:G,0))</f>
        <v>Error</v>
      </c>
      <c r="G2629" t="str">
        <f>INDEX(Lists!H:H,MATCH(Validation!E2629,Lists!G:G,0))</f>
        <v>Enter $0 if debt type is Non-TIF Bond.</v>
      </c>
      <c r="H2629" s="25" t="str">
        <f t="shared" ref="H2629:H2643" ca="1" si="297">IFERROR(IF(OR(NOT(D2629),F2629&lt;&gt;"Error"),"",A2629&amp;CELL("address",INDIRECT(B2629))),"")</f>
        <v/>
      </c>
      <c r="I2629" s="25" t="str">
        <f t="shared" ref="I2629:I2643" ca="1" si="298">IFERROR(IF(NOT(D2629),"",A2629&amp;CELL("address",INDIRECT(C2629))),"")</f>
        <v/>
      </c>
      <c r="J2629" s="26" t="str">
        <f t="shared" ref="J2629:J2643" ca="1" si="299">IFERROR(IF(NOT(D2629),"",A2629),"")</f>
        <v/>
      </c>
    </row>
    <row r="2630" spans="1:10" x14ac:dyDescent="0.25">
      <c r="A2630" t="s">
        <v>302</v>
      </c>
      <c r="B2630" t="str">
        <f>ADDRESS(ROW('Bond 1'!$B$42),COLUMN('Bond 1'!$B$42),4)</f>
        <v>B42</v>
      </c>
      <c r="C2630" t="str">
        <f>ADDRESS(ROW('Bond 1'!$D$42),COLUMN('Bond 1'!$D$42),4)</f>
        <v>D42</v>
      </c>
      <c r="D2630" t="b" cm="1">
        <f t="array" aca="1" ref="D2630" ca="1">IF(AND('Bond 2'!B$8="Non-TIF Bond",OR(ISBLANK(INDIRECT("'"&amp;A2630&amp;"'!"&amp;B2630)),INDIRECT("'"&amp;A2630&amp;"'!"&amp;B2630)&lt;&gt;0)),TRUE,FALSE)</f>
        <v>0</v>
      </c>
      <c r="E2630" t="s">
        <v>630</v>
      </c>
      <c r="F2630" t="str">
        <f>INDEX(Lists!I:I,MATCH(Validation!E2630,Lists!G:G,0))</f>
        <v>Error</v>
      </c>
      <c r="G2630" t="str">
        <f>INDEX(Lists!H:H,MATCH(Validation!E2630,Lists!G:G,0))</f>
        <v>Enter $0 if debt type is Non-TIF Bond.</v>
      </c>
      <c r="H2630" s="25" t="str">
        <f t="shared" ca="1" si="297"/>
        <v/>
      </c>
      <c r="I2630" s="25" t="str">
        <f t="shared" ca="1" si="298"/>
        <v/>
      </c>
      <c r="J2630" s="26" t="str">
        <f t="shared" ca="1" si="299"/>
        <v/>
      </c>
    </row>
    <row r="2631" spans="1:10" x14ac:dyDescent="0.25">
      <c r="A2631" t="s">
        <v>303</v>
      </c>
      <c r="B2631" t="str">
        <f>ADDRESS(ROW('Bond 1'!$B$42),COLUMN('Bond 1'!$B$42),4)</f>
        <v>B42</v>
      </c>
      <c r="C2631" t="str">
        <f>ADDRESS(ROW('Bond 1'!$D$42),COLUMN('Bond 1'!$D$42),4)</f>
        <v>D42</v>
      </c>
      <c r="D2631" t="b" cm="1">
        <f t="array" aca="1" ref="D2631" ca="1">IF(AND('Bond 3'!B$8="Non-TIF Bond",OR(ISBLANK(INDIRECT("'"&amp;A2631&amp;"'!"&amp;B2631)),INDIRECT("'"&amp;A2631&amp;"'!"&amp;B2631)&lt;&gt;0)),TRUE,FALSE)</f>
        <v>0</v>
      </c>
      <c r="E2631" t="s">
        <v>630</v>
      </c>
      <c r="F2631" t="str">
        <f>INDEX(Lists!I:I,MATCH(Validation!E2631,Lists!G:G,0))</f>
        <v>Error</v>
      </c>
      <c r="G2631" t="str">
        <f>INDEX(Lists!H:H,MATCH(Validation!E2631,Lists!G:G,0))</f>
        <v>Enter $0 if debt type is Non-TIF Bond.</v>
      </c>
      <c r="H2631" s="25" t="str">
        <f t="shared" ca="1" si="297"/>
        <v/>
      </c>
      <c r="I2631" s="25" t="str">
        <f t="shared" ca="1" si="298"/>
        <v/>
      </c>
      <c r="J2631" s="26" t="str">
        <f t="shared" ca="1" si="299"/>
        <v/>
      </c>
    </row>
    <row r="2632" spans="1:10" x14ac:dyDescent="0.25">
      <c r="A2632" t="s">
        <v>304</v>
      </c>
      <c r="B2632" t="str">
        <f>ADDRESS(ROW('Bond 1'!$B$42),COLUMN('Bond 1'!$B$42),4)</f>
        <v>B42</v>
      </c>
      <c r="C2632" t="str">
        <f>ADDRESS(ROW('Bond 1'!$D$42),COLUMN('Bond 1'!$D$42),4)</f>
        <v>D42</v>
      </c>
      <c r="D2632" t="b" cm="1">
        <f t="array" aca="1" ref="D2632" ca="1">IF(AND('Bond 4'!B$8="Non-TIF Bond",OR(ISBLANK(INDIRECT("'"&amp;A2632&amp;"'!"&amp;B2632)),INDIRECT("'"&amp;A2632&amp;"'!"&amp;B2632)&lt;&gt;0)),TRUE,FALSE)</f>
        <v>0</v>
      </c>
      <c r="E2632" t="s">
        <v>630</v>
      </c>
      <c r="F2632" t="str">
        <f>INDEX(Lists!I:I,MATCH(Validation!E2632,Lists!G:G,0))</f>
        <v>Error</v>
      </c>
      <c r="G2632" t="str">
        <f>INDEX(Lists!H:H,MATCH(Validation!E2632,Lists!G:G,0))</f>
        <v>Enter $0 if debt type is Non-TIF Bond.</v>
      </c>
      <c r="H2632" s="25" t="str">
        <f t="shared" ca="1" si="297"/>
        <v/>
      </c>
      <c r="I2632" s="25" t="str">
        <f t="shared" ca="1" si="298"/>
        <v/>
      </c>
      <c r="J2632" s="26" t="str">
        <f t="shared" ca="1" si="299"/>
        <v/>
      </c>
    </row>
    <row r="2633" spans="1:10" x14ac:dyDescent="0.25">
      <c r="A2633" t="s">
        <v>305</v>
      </c>
      <c r="B2633" t="str">
        <f>ADDRESS(ROW('Bond 1'!$B$42),COLUMN('Bond 1'!$B$42),4)</f>
        <v>B42</v>
      </c>
      <c r="C2633" t="str">
        <f>ADDRESS(ROW('Bond 1'!$D$42),COLUMN('Bond 1'!$D$42),4)</f>
        <v>D42</v>
      </c>
      <c r="D2633" t="b" cm="1">
        <f t="array" aca="1" ref="D2633" ca="1">IF(AND('Bond 5'!B$8="Non-TIF Bond",OR(ISBLANK(INDIRECT("'"&amp;A2633&amp;"'!"&amp;B2633)),INDIRECT("'"&amp;A2633&amp;"'!"&amp;B2633)&lt;&gt;0)),TRUE,FALSE)</f>
        <v>0</v>
      </c>
      <c r="E2633" t="s">
        <v>630</v>
      </c>
      <c r="F2633" t="str">
        <f>INDEX(Lists!I:I,MATCH(Validation!E2633,Lists!G:G,0))</f>
        <v>Error</v>
      </c>
      <c r="G2633" t="str">
        <f>INDEX(Lists!H:H,MATCH(Validation!E2633,Lists!G:G,0))</f>
        <v>Enter $0 if debt type is Non-TIF Bond.</v>
      </c>
      <c r="H2633" s="25" t="str">
        <f t="shared" ca="1" si="297"/>
        <v/>
      </c>
      <c r="I2633" s="25" t="str">
        <f t="shared" ca="1" si="298"/>
        <v/>
      </c>
      <c r="J2633" s="26" t="str">
        <f t="shared" ca="1" si="299"/>
        <v/>
      </c>
    </row>
    <row r="2634" spans="1:10" x14ac:dyDescent="0.25">
      <c r="A2634" t="s">
        <v>306</v>
      </c>
      <c r="B2634" t="str">
        <f>ADDRESS(ROW('Bond 1'!$B$42),COLUMN('Bond 1'!$B$42),4)</f>
        <v>B42</v>
      </c>
      <c r="C2634" t="str">
        <f>ADDRESS(ROW('Bond 1'!$D$42),COLUMN('Bond 1'!$D$42),4)</f>
        <v>D42</v>
      </c>
      <c r="D2634" t="b" cm="1">
        <f t="array" aca="1" ref="D2634" ca="1">IF(AND('Bond 6'!B$8="Non-TIF Bond",OR(ISBLANK(INDIRECT("'"&amp;A2634&amp;"'!"&amp;B2634)),INDIRECT("'"&amp;A2634&amp;"'!"&amp;B2634)&lt;&gt;0)),TRUE,FALSE)</f>
        <v>0</v>
      </c>
      <c r="E2634" t="s">
        <v>630</v>
      </c>
      <c r="F2634" t="str">
        <f>INDEX(Lists!I:I,MATCH(Validation!E2634,Lists!G:G,0))</f>
        <v>Error</v>
      </c>
      <c r="G2634" t="str">
        <f>INDEX(Lists!H:H,MATCH(Validation!E2634,Lists!G:G,0))</f>
        <v>Enter $0 if debt type is Non-TIF Bond.</v>
      </c>
      <c r="H2634" s="25" t="str">
        <f t="shared" ca="1" si="297"/>
        <v/>
      </c>
      <c r="I2634" s="25" t="str">
        <f t="shared" ca="1" si="298"/>
        <v/>
      </c>
      <c r="J2634" s="26" t="str">
        <f t="shared" ca="1" si="299"/>
        <v/>
      </c>
    </row>
    <row r="2635" spans="1:10" x14ac:dyDescent="0.25">
      <c r="A2635" t="s">
        <v>307</v>
      </c>
      <c r="B2635" t="str">
        <f>ADDRESS(ROW('Bond 1'!$B$42),COLUMN('Bond 1'!$B$42),4)</f>
        <v>B42</v>
      </c>
      <c r="C2635" t="str">
        <f>ADDRESS(ROW('Bond 1'!$D$42),COLUMN('Bond 1'!$D$42),4)</f>
        <v>D42</v>
      </c>
      <c r="D2635" t="b" cm="1">
        <f t="array" aca="1" ref="D2635" ca="1">IF(AND('Bond 7'!B$8="Non-TIF Bond",OR(ISBLANK(INDIRECT("'"&amp;A2635&amp;"'!"&amp;B2635)),INDIRECT("'"&amp;A2635&amp;"'!"&amp;B2635)&lt;&gt;0)),TRUE,FALSE)</f>
        <v>0</v>
      </c>
      <c r="E2635" t="s">
        <v>630</v>
      </c>
      <c r="F2635" t="str">
        <f>INDEX(Lists!I:I,MATCH(Validation!E2635,Lists!G:G,0))</f>
        <v>Error</v>
      </c>
      <c r="G2635" t="str">
        <f>INDEX(Lists!H:H,MATCH(Validation!E2635,Lists!G:G,0))</f>
        <v>Enter $0 if debt type is Non-TIF Bond.</v>
      </c>
      <c r="H2635" s="25" t="str">
        <f t="shared" ca="1" si="297"/>
        <v/>
      </c>
      <c r="I2635" s="25" t="str">
        <f t="shared" ca="1" si="298"/>
        <v/>
      </c>
      <c r="J2635" s="26" t="str">
        <f t="shared" ca="1" si="299"/>
        <v/>
      </c>
    </row>
    <row r="2636" spans="1:10" x14ac:dyDescent="0.25">
      <c r="A2636" t="s">
        <v>308</v>
      </c>
      <c r="B2636" t="str">
        <f>ADDRESS(ROW('Bond 1'!$B$42),COLUMN('Bond 1'!$B$42),4)</f>
        <v>B42</v>
      </c>
      <c r="C2636" t="str">
        <f>ADDRESS(ROW('Bond 1'!$D$42),COLUMN('Bond 1'!$D$42),4)</f>
        <v>D42</v>
      </c>
      <c r="D2636" t="b" cm="1">
        <f t="array" aca="1" ref="D2636" ca="1">IF(AND('Bond 8'!B$8="Non-TIF Bond",OR(ISBLANK(INDIRECT("'"&amp;A2636&amp;"'!"&amp;B2636)),INDIRECT("'"&amp;A2636&amp;"'!"&amp;B2636)&lt;&gt;0)),TRUE,FALSE)</f>
        <v>0</v>
      </c>
      <c r="E2636" t="s">
        <v>630</v>
      </c>
      <c r="F2636" t="str">
        <f>INDEX(Lists!I:I,MATCH(Validation!E2636,Lists!G:G,0))</f>
        <v>Error</v>
      </c>
      <c r="G2636" t="str">
        <f>INDEX(Lists!H:H,MATCH(Validation!E2636,Lists!G:G,0))</f>
        <v>Enter $0 if debt type is Non-TIF Bond.</v>
      </c>
      <c r="H2636" s="25" t="str">
        <f t="shared" ca="1" si="297"/>
        <v/>
      </c>
      <c r="I2636" s="25" t="str">
        <f t="shared" ca="1" si="298"/>
        <v/>
      </c>
      <c r="J2636" s="26" t="str">
        <f t="shared" ca="1" si="299"/>
        <v/>
      </c>
    </row>
    <row r="2637" spans="1:10" x14ac:dyDescent="0.25">
      <c r="A2637" t="s">
        <v>309</v>
      </c>
      <c r="B2637" t="str">
        <f>ADDRESS(ROW('Bond 1'!$B$42),COLUMN('Bond 1'!$B$42),4)</f>
        <v>B42</v>
      </c>
      <c r="C2637" t="str">
        <f>ADDRESS(ROW('Bond 1'!$D$42),COLUMN('Bond 1'!$D$42),4)</f>
        <v>D42</v>
      </c>
      <c r="D2637" t="b" cm="1">
        <f t="array" aca="1" ref="D2637" ca="1">IF(AND('Bond 9'!B$8="Non-TIF Bond",OR(ISBLANK(INDIRECT("'"&amp;A2637&amp;"'!"&amp;B2637)),INDIRECT("'"&amp;A2637&amp;"'!"&amp;B2637)&lt;&gt;0)),TRUE,FALSE)</f>
        <v>0</v>
      </c>
      <c r="E2637" t="s">
        <v>630</v>
      </c>
      <c r="F2637" t="str">
        <f>INDEX(Lists!I:I,MATCH(Validation!E2637,Lists!G:G,0))</f>
        <v>Error</v>
      </c>
      <c r="G2637" t="str">
        <f>INDEX(Lists!H:H,MATCH(Validation!E2637,Lists!G:G,0))</f>
        <v>Enter $0 if debt type is Non-TIF Bond.</v>
      </c>
      <c r="H2637" s="25" t="str">
        <f t="shared" ca="1" si="297"/>
        <v/>
      </c>
      <c r="I2637" s="25" t="str">
        <f t="shared" ca="1" si="298"/>
        <v/>
      </c>
      <c r="J2637" s="26" t="str">
        <f t="shared" ca="1" si="299"/>
        <v/>
      </c>
    </row>
    <row r="2638" spans="1:10" x14ac:dyDescent="0.25">
      <c r="A2638" t="s">
        <v>310</v>
      </c>
      <c r="B2638" t="str">
        <f>ADDRESS(ROW('Bond 1'!$B$42),COLUMN('Bond 1'!$B$42),4)</f>
        <v>B42</v>
      </c>
      <c r="C2638" t="str">
        <f>ADDRESS(ROW('Bond 1'!$D$42),COLUMN('Bond 1'!$D$42),4)</f>
        <v>D42</v>
      </c>
      <c r="D2638" t="b" cm="1">
        <f t="array" aca="1" ref="D2638" ca="1">IF(AND('Bond 10'!B$8="Non-TIF Bond",OR(ISBLANK(INDIRECT("'"&amp;A2638&amp;"'!"&amp;B2638)),INDIRECT("'"&amp;A2638&amp;"'!"&amp;B2638)&lt;&gt;0)),TRUE,FALSE)</f>
        <v>0</v>
      </c>
      <c r="E2638" t="s">
        <v>630</v>
      </c>
      <c r="F2638" t="str">
        <f>INDEX(Lists!I:I,MATCH(Validation!E2638,Lists!G:G,0))</f>
        <v>Error</v>
      </c>
      <c r="G2638" t="str">
        <f>INDEX(Lists!H:H,MATCH(Validation!E2638,Lists!G:G,0))</f>
        <v>Enter $0 if debt type is Non-TIF Bond.</v>
      </c>
      <c r="H2638" s="25" t="str">
        <f t="shared" ca="1" si="297"/>
        <v/>
      </c>
      <c r="I2638" s="25" t="str">
        <f t="shared" ca="1" si="298"/>
        <v/>
      </c>
      <c r="J2638" s="26" t="str">
        <f t="shared" ca="1" si="299"/>
        <v/>
      </c>
    </row>
    <row r="2639" spans="1:10" x14ac:dyDescent="0.25">
      <c r="A2639" t="s">
        <v>311</v>
      </c>
      <c r="B2639" t="str">
        <f>ADDRESS(ROW('Bond 1'!$B$42),COLUMN('Bond 1'!$B$42),4)</f>
        <v>B42</v>
      </c>
      <c r="C2639" t="str">
        <f>ADDRESS(ROW('Bond 1'!$D$42),COLUMN('Bond 1'!$D$42),4)</f>
        <v>D42</v>
      </c>
      <c r="D2639" t="b" cm="1">
        <f t="array" aca="1" ref="D2639" ca="1">IF(AND('Bond 11'!B$8="Non-TIF Bond",OR(ISBLANK(INDIRECT("'"&amp;A2639&amp;"'!"&amp;B2639)),INDIRECT("'"&amp;A2639&amp;"'!"&amp;B2639)&lt;&gt;0)),TRUE,FALSE)</f>
        <v>0</v>
      </c>
      <c r="E2639" t="s">
        <v>630</v>
      </c>
      <c r="F2639" t="str">
        <f>INDEX(Lists!I:I,MATCH(Validation!E2639,Lists!G:G,0))</f>
        <v>Error</v>
      </c>
      <c r="G2639" t="str">
        <f>INDEX(Lists!H:H,MATCH(Validation!E2639,Lists!G:G,0))</f>
        <v>Enter $0 if debt type is Non-TIF Bond.</v>
      </c>
      <c r="H2639" s="25" t="str">
        <f t="shared" ca="1" si="297"/>
        <v/>
      </c>
      <c r="I2639" s="25" t="str">
        <f t="shared" ca="1" si="298"/>
        <v/>
      </c>
      <c r="J2639" s="26" t="str">
        <f t="shared" ca="1" si="299"/>
        <v/>
      </c>
    </row>
    <row r="2640" spans="1:10" x14ac:dyDescent="0.25">
      <c r="A2640" t="s">
        <v>312</v>
      </c>
      <c r="B2640" t="str">
        <f>ADDRESS(ROW('Bond 1'!$B$42),COLUMN('Bond 1'!$B$42),4)</f>
        <v>B42</v>
      </c>
      <c r="C2640" t="str">
        <f>ADDRESS(ROW('Bond 1'!$D$42),COLUMN('Bond 1'!$D$42),4)</f>
        <v>D42</v>
      </c>
      <c r="D2640" t="b" cm="1">
        <f t="array" aca="1" ref="D2640" ca="1">IF(AND('Bond 12'!B$8="Non-TIF Bond",OR(ISBLANK(INDIRECT("'"&amp;A2640&amp;"'!"&amp;B2640)),INDIRECT("'"&amp;A2640&amp;"'!"&amp;B2640)&lt;&gt;0)),TRUE,FALSE)</f>
        <v>0</v>
      </c>
      <c r="E2640" t="s">
        <v>630</v>
      </c>
      <c r="F2640" t="str">
        <f>INDEX(Lists!I:I,MATCH(Validation!E2640,Lists!G:G,0))</f>
        <v>Error</v>
      </c>
      <c r="G2640" t="str">
        <f>INDEX(Lists!H:H,MATCH(Validation!E2640,Lists!G:G,0))</f>
        <v>Enter $0 if debt type is Non-TIF Bond.</v>
      </c>
      <c r="H2640" s="25" t="str">
        <f t="shared" ca="1" si="297"/>
        <v/>
      </c>
      <c r="I2640" s="25" t="str">
        <f t="shared" ca="1" si="298"/>
        <v/>
      </c>
      <c r="J2640" s="26" t="str">
        <f t="shared" ca="1" si="299"/>
        <v/>
      </c>
    </row>
    <row r="2641" spans="1:10" x14ac:dyDescent="0.25">
      <c r="A2641" t="s">
        <v>313</v>
      </c>
      <c r="B2641" t="str">
        <f>ADDRESS(ROW('Bond 1'!$B$42),COLUMN('Bond 1'!$B$42),4)</f>
        <v>B42</v>
      </c>
      <c r="C2641" t="str">
        <f>ADDRESS(ROW('Bond 1'!$D$42),COLUMN('Bond 1'!$D$42),4)</f>
        <v>D42</v>
      </c>
      <c r="D2641" t="b" cm="1">
        <f t="array" aca="1" ref="D2641" ca="1">IF(AND('Bond 13'!B$8="Non-TIF Bond",OR(ISBLANK(INDIRECT("'"&amp;A2641&amp;"'!"&amp;B2641)),INDIRECT("'"&amp;A2641&amp;"'!"&amp;B2641)&lt;&gt;0)),TRUE,FALSE)</f>
        <v>0</v>
      </c>
      <c r="E2641" t="s">
        <v>630</v>
      </c>
      <c r="F2641" t="str">
        <f>INDEX(Lists!I:I,MATCH(Validation!E2641,Lists!G:G,0))</f>
        <v>Error</v>
      </c>
      <c r="G2641" t="str">
        <f>INDEX(Lists!H:H,MATCH(Validation!E2641,Lists!G:G,0))</f>
        <v>Enter $0 if debt type is Non-TIF Bond.</v>
      </c>
      <c r="H2641" s="25" t="str">
        <f t="shared" ca="1" si="297"/>
        <v/>
      </c>
      <c r="I2641" s="25" t="str">
        <f t="shared" ca="1" si="298"/>
        <v/>
      </c>
      <c r="J2641" s="26" t="str">
        <f t="shared" ca="1" si="299"/>
        <v/>
      </c>
    </row>
    <row r="2642" spans="1:10" x14ac:dyDescent="0.25">
      <c r="A2642" t="s">
        <v>314</v>
      </c>
      <c r="B2642" t="str">
        <f>ADDRESS(ROW('Bond 1'!$B$42),COLUMN('Bond 1'!$B$42),4)</f>
        <v>B42</v>
      </c>
      <c r="C2642" t="str">
        <f>ADDRESS(ROW('Bond 1'!$D$42),COLUMN('Bond 1'!$D$42),4)</f>
        <v>D42</v>
      </c>
      <c r="D2642" t="b" cm="1">
        <f t="array" aca="1" ref="D2642" ca="1">IF(AND('Bond 14'!B$8="Non-TIF Bond",OR(ISBLANK(INDIRECT("'"&amp;A2642&amp;"'!"&amp;B2642)),INDIRECT("'"&amp;A2642&amp;"'!"&amp;B2642)&lt;&gt;0)),TRUE,FALSE)</f>
        <v>0</v>
      </c>
      <c r="E2642" t="s">
        <v>630</v>
      </c>
      <c r="F2642" t="str">
        <f>INDEX(Lists!I:I,MATCH(Validation!E2642,Lists!G:G,0))</f>
        <v>Error</v>
      </c>
      <c r="G2642" t="str">
        <f>INDEX(Lists!H:H,MATCH(Validation!E2642,Lists!G:G,0))</f>
        <v>Enter $0 if debt type is Non-TIF Bond.</v>
      </c>
      <c r="H2642" s="25" t="str">
        <f t="shared" ca="1" si="297"/>
        <v/>
      </c>
      <c r="I2642" s="25" t="str">
        <f t="shared" ca="1" si="298"/>
        <v/>
      </c>
      <c r="J2642" s="26" t="str">
        <f t="shared" ca="1" si="299"/>
        <v/>
      </c>
    </row>
    <row r="2643" spans="1:10" x14ac:dyDescent="0.25">
      <c r="A2643" t="s">
        <v>315</v>
      </c>
      <c r="B2643" t="str">
        <f>ADDRESS(ROW('Bond 1'!$B$42),COLUMN('Bond 1'!$B$42),4)</f>
        <v>B42</v>
      </c>
      <c r="C2643" t="str">
        <f>ADDRESS(ROW('Bond 1'!$D$42),COLUMN('Bond 1'!$D$42),4)</f>
        <v>D42</v>
      </c>
      <c r="D2643" t="b" cm="1">
        <f t="array" aca="1" ref="D2643" ca="1">IF(AND('Bond 15'!B$8="Non-TIF Bond",OR(ISBLANK(INDIRECT("'"&amp;A2643&amp;"'!"&amp;B2643)),INDIRECT("'"&amp;A2643&amp;"'!"&amp;B2643)&lt;&gt;0)),TRUE,FALSE)</f>
        <v>0</v>
      </c>
      <c r="E2643" t="s">
        <v>630</v>
      </c>
      <c r="F2643" t="str">
        <f>INDEX(Lists!I:I,MATCH(Validation!E2643,Lists!G:G,0))</f>
        <v>Error</v>
      </c>
      <c r="G2643" t="str">
        <f>INDEX(Lists!H:H,MATCH(Validation!E2643,Lists!G:G,0))</f>
        <v>Enter $0 if debt type is Non-TIF Bond.</v>
      </c>
      <c r="H2643" s="25" t="str">
        <f t="shared" ca="1" si="297"/>
        <v/>
      </c>
      <c r="I2643" s="25" t="str">
        <f t="shared" ca="1" si="298"/>
        <v/>
      </c>
      <c r="J2643" s="26" t="str">
        <f t="shared" ca="1" si="299"/>
        <v/>
      </c>
    </row>
    <row r="2644" spans="1:10" x14ac:dyDescent="0.25">
      <c r="A2644" t="s">
        <v>198</v>
      </c>
      <c r="B2644" t="str">
        <f>ADDRESS(ROW('Bond 1'!$B$42),COLUMN('Bond 1'!$B$42),4)</f>
        <v>B42</v>
      </c>
      <c r="C2644" t="str">
        <f>ADDRESS(ROW('Bond 1'!$D$42),COLUMN('Bond 1'!$D$42),4)</f>
        <v>D42</v>
      </c>
      <c r="D2644" t="b" cm="1">
        <f t="array" aca="1" ref="D2644" ca="1">IF(INDIRECT("'"&amp;A2644&amp;"'!"&amp;B2644)="",FALSE,IF(NOT(ISNUMBER(INDIRECT("'"&amp;A2644&amp;"'!"&amp;B2644))),TRUE,FALSE))</f>
        <v>0</v>
      </c>
      <c r="E2644" t="s">
        <v>435</v>
      </c>
      <c r="F2644" t="str">
        <f>INDEX(Lists!I:I,MATCH(Validation!E2644,Lists!G:G,0))</f>
        <v>Error</v>
      </c>
      <c r="G2644" t="str">
        <f>INDEX(Lists!H:H,MATCH(Validation!E2644,Lists!G:G,0))</f>
        <v>Enter an amount only. Do not enter text or spaces.</v>
      </c>
      <c r="H2644" s="25" t="str">
        <f t="shared" ref="H2644:H2688" ca="1" si="300">IFERROR(IF(OR(NOT(D2644),F2644&lt;&gt;"Error"),"",A2644&amp;CELL("address",INDIRECT(B2644))),"")</f>
        <v/>
      </c>
      <c r="I2644" s="25" t="str">
        <f t="shared" ref="I2644:I2688" ca="1" si="301">IFERROR(IF(NOT(D2644),"",A2644&amp;CELL("address",INDIRECT(C2644))),"")</f>
        <v/>
      </c>
      <c r="J2644" s="26" t="str">
        <f t="shared" ref="J2644:J2688" ca="1" si="302">IFERROR(IF(NOT(D2644),"",A2644),"")</f>
        <v/>
      </c>
    </row>
    <row r="2645" spans="1:10" x14ac:dyDescent="0.25">
      <c r="A2645" t="s">
        <v>302</v>
      </c>
      <c r="B2645" t="str">
        <f>ADDRESS(ROW('Bond 1'!$B$42),COLUMN('Bond 1'!$B$42),4)</f>
        <v>B42</v>
      </c>
      <c r="C2645" t="str">
        <f>ADDRESS(ROW('Bond 1'!$D$42),COLUMN('Bond 1'!$D$42),4)</f>
        <v>D42</v>
      </c>
      <c r="D2645" t="b" cm="1">
        <f t="array" aca="1" ref="D2645" ca="1">IF(INDIRECT("'"&amp;A2645&amp;"'!"&amp;B2645)="",FALSE,IF(NOT(ISNUMBER(INDIRECT("'"&amp;A2645&amp;"'!"&amp;B2645))),TRUE,FALSE))</f>
        <v>0</v>
      </c>
      <c r="E2645" t="s">
        <v>435</v>
      </c>
      <c r="F2645" t="str">
        <f>INDEX(Lists!I:I,MATCH(Validation!E2645,Lists!G:G,0))</f>
        <v>Error</v>
      </c>
      <c r="G2645" t="str">
        <f>INDEX(Lists!H:H,MATCH(Validation!E2645,Lists!G:G,0))</f>
        <v>Enter an amount only. Do not enter text or spaces.</v>
      </c>
      <c r="H2645" s="25" t="str">
        <f t="shared" ca="1" si="300"/>
        <v/>
      </c>
      <c r="I2645" s="25" t="str">
        <f t="shared" ca="1" si="301"/>
        <v/>
      </c>
      <c r="J2645" s="26" t="str">
        <f t="shared" ca="1" si="302"/>
        <v/>
      </c>
    </row>
    <row r="2646" spans="1:10" x14ac:dyDescent="0.25">
      <c r="A2646" t="s">
        <v>303</v>
      </c>
      <c r="B2646" t="str">
        <f>ADDRESS(ROW('Bond 1'!$B$42),COLUMN('Bond 1'!$B$42),4)</f>
        <v>B42</v>
      </c>
      <c r="C2646" t="str">
        <f>ADDRESS(ROW('Bond 1'!$D$42),COLUMN('Bond 1'!$D$42),4)</f>
        <v>D42</v>
      </c>
      <c r="D2646" t="b" cm="1">
        <f t="array" aca="1" ref="D2646" ca="1">IF(INDIRECT("'"&amp;A2646&amp;"'!"&amp;B2646)="",FALSE,IF(NOT(ISNUMBER(INDIRECT("'"&amp;A2646&amp;"'!"&amp;B2646))),TRUE,FALSE))</f>
        <v>0</v>
      </c>
      <c r="E2646" t="s">
        <v>435</v>
      </c>
      <c r="F2646" t="str">
        <f>INDEX(Lists!I:I,MATCH(Validation!E2646,Lists!G:G,0))</f>
        <v>Error</v>
      </c>
      <c r="G2646" t="str">
        <f>INDEX(Lists!H:H,MATCH(Validation!E2646,Lists!G:G,0))</f>
        <v>Enter an amount only. Do not enter text or spaces.</v>
      </c>
      <c r="H2646" s="25" t="str">
        <f t="shared" ca="1" si="300"/>
        <v/>
      </c>
      <c r="I2646" s="25" t="str">
        <f t="shared" ca="1" si="301"/>
        <v/>
      </c>
      <c r="J2646" s="26" t="str">
        <f t="shared" ca="1" si="302"/>
        <v/>
      </c>
    </row>
    <row r="2647" spans="1:10" x14ac:dyDescent="0.25">
      <c r="A2647" t="s">
        <v>304</v>
      </c>
      <c r="B2647" t="str">
        <f>ADDRESS(ROW('Bond 1'!$B$42),COLUMN('Bond 1'!$B$42),4)</f>
        <v>B42</v>
      </c>
      <c r="C2647" t="str">
        <f>ADDRESS(ROW('Bond 1'!$D$42),COLUMN('Bond 1'!$D$42),4)</f>
        <v>D42</v>
      </c>
      <c r="D2647" t="b" cm="1">
        <f t="array" aca="1" ref="D2647" ca="1">IF(INDIRECT("'"&amp;A2647&amp;"'!"&amp;B2647)="",FALSE,IF(NOT(ISNUMBER(INDIRECT("'"&amp;A2647&amp;"'!"&amp;B2647))),TRUE,FALSE))</f>
        <v>0</v>
      </c>
      <c r="E2647" t="s">
        <v>435</v>
      </c>
      <c r="F2647" t="str">
        <f>INDEX(Lists!I:I,MATCH(Validation!E2647,Lists!G:G,0))</f>
        <v>Error</v>
      </c>
      <c r="G2647" t="str">
        <f>INDEX(Lists!H:H,MATCH(Validation!E2647,Lists!G:G,0))</f>
        <v>Enter an amount only. Do not enter text or spaces.</v>
      </c>
      <c r="H2647" s="25" t="str">
        <f t="shared" ca="1" si="300"/>
        <v/>
      </c>
      <c r="I2647" s="25" t="str">
        <f t="shared" ca="1" si="301"/>
        <v/>
      </c>
      <c r="J2647" s="26" t="str">
        <f t="shared" ca="1" si="302"/>
        <v/>
      </c>
    </row>
    <row r="2648" spans="1:10" x14ac:dyDescent="0.25">
      <c r="A2648" t="s">
        <v>305</v>
      </c>
      <c r="B2648" t="str">
        <f>ADDRESS(ROW('Bond 1'!$B$42),COLUMN('Bond 1'!$B$42),4)</f>
        <v>B42</v>
      </c>
      <c r="C2648" t="str">
        <f>ADDRESS(ROW('Bond 1'!$D$42),COLUMN('Bond 1'!$D$42),4)</f>
        <v>D42</v>
      </c>
      <c r="D2648" t="b" cm="1">
        <f t="array" aca="1" ref="D2648" ca="1">IF(INDIRECT("'"&amp;A2648&amp;"'!"&amp;B2648)="",FALSE,IF(NOT(ISNUMBER(INDIRECT("'"&amp;A2648&amp;"'!"&amp;B2648))),TRUE,FALSE))</f>
        <v>0</v>
      </c>
      <c r="E2648" t="s">
        <v>435</v>
      </c>
      <c r="F2648" t="str">
        <f>INDEX(Lists!I:I,MATCH(Validation!E2648,Lists!G:G,0))</f>
        <v>Error</v>
      </c>
      <c r="G2648" t="str">
        <f>INDEX(Lists!H:H,MATCH(Validation!E2648,Lists!G:G,0))</f>
        <v>Enter an amount only. Do not enter text or spaces.</v>
      </c>
      <c r="H2648" s="25" t="str">
        <f t="shared" ca="1" si="300"/>
        <v/>
      </c>
      <c r="I2648" s="25" t="str">
        <f t="shared" ca="1" si="301"/>
        <v/>
      </c>
      <c r="J2648" s="26" t="str">
        <f t="shared" ca="1" si="302"/>
        <v/>
      </c>
    </row>
    <row r="2649" spans="1:10" x14ac:dyDescent="0.25">
      <c r="A2649" t="s">
        <v>306</v>
      </c>
      <c r="B2649" t="str">
        <f>ADDRESS(ROW('Bond 1'!$B$42),COLUMN('Bond 1'!$B$42),4)</f>
        <v>B42</v>
      </c>
      <c r="C2649" t="str">
        <f>ADDRESS(ROW('Bond 1'!$D$42),COLUMN('Bond 1'!$D$42),4)</f>
        <v>D42</v>
      </c>
      <c r="D2649" t="b" cm="1">
        <f t="array" aca="1" ref="D2649" ca="1">IF(INDIRECT("'"&amp;A2649&amp;"'!"&amp;B2649)="",FALSE,IF(NOT(ISNUMBER(INDIRECT("'"&amp;A2649&amp;"'!"&amp;B2649))),TRUE,FALSE))</f>
        <v>0</v>
      </c>
      <c r="E2649" t="s">
        <v>435</v>
      </c>
      <c r="F2649" t="str">
        <f>INDEX(Lists!I:I,MATCH(Validation!E2649,Lists!G:G,0))</f>
        <v>Error</v>
      </c>
      <c r="G2649" t="str">
        <f>INDEX(Lists!H:H,MATCH(Validation!E2649,Lists!G:G,0))</f>
        <v>Enter an amount only. Do not enter text or spaces.</v>
      </c>
      <c r="H2649" s="25" t="str">
        <f t="shared" ca="1" si="300"/>
        <v/>
      </c>
      <c r="I2649" s="25" t="str">
        <f t="shared" ca="1" si="301"/>
        <v/>
      </c>
      <c r="J2649" s="26" t="str">
        <f t="shared" ca="1" si="302"/>
        <v/>
      </c>
    </row>
    <row r="2650" spans="1:10" x14ac:dyDescent="0.25">
      <c r="A2650" t="s">
        <v>307</v>
      </c>
      <c r="B2650" t="str">
        <f>ADDRESS(ROW('Bond 1'!$B$42),COLUMN('Bond 1'!$B$42),4)</f>
        <v>B42</v>
      </c>
      <c r="C2650" t="str">
        <f>ADDRESS(ROW('Bond 1'!$D$42),COLUMN('Bond 1'!$D$42),4)</f>
        <v>D42</v>
      </c>
      <c r="D2650" t="b" cm="1">
        <f t="array" aca="1" ref="D2650" ca="1">IF(INDIRECT("'"&amp;A2650&amp;"'!"&amp;B2650)="",FALSE,IF(NOT(ISNUMBER(INDIRECT("'"&amp;A2650&amp;"'!"&amp;B2650))),TRUE,FALSE))</f>
        <v>0</v>
      </c>
      <c r="E2650" t="s">
        <v>435</v>
      </c>
      <c r="F2650" t="str">
        <f>INDEX(Lists!I:I,MATCH(Validation!E2650,Lists!G:G,0))</f>
        <v>Error</v>
      </c>
      <c r="G2650" t="str">
        <f>INDEX(Lists!H:H,MATCH(Validation!E2650,Lists!G:G,0))</f>
        <v>Enter an amount only. Do not enter text or spaces.</v>
      </c>
      <c r="H2650" s="25" t="str">
        <f t="shared" ca="1" si="300"/>
        <v/>
      </c>
      <c r="I2650" s="25" t="str">
        <f t="shared" ca="1" si="301"/>
        <v/>
      </c>
      <c r="J2650" s="26" t="str">
        <f t="shared" ca="1" si="302"/>
        <v/>
      </c>
    </row>
    <row r="2651" spans="1:10" x14ac:dyDescent="0.25">
      <c r="A2651" t="s">
        <v>308</v>
      </c>
      <c r="B2651" t="str">
        <f>ADDRESS(ROW('Bond 1'!$B$42),COLUMN('Bond 1'!$B$42),4)</f>
        <v>B42</v>
      </c>
      <c r="C2651" t="str">
        <f>ADDRESS(ROW('Bond 1'!$D$42),COLUMN('Bond 1'!$D$42),4)</f>
        <v>D42</v>
      </c>
      <c r="D2651" t="b" cm="1">
        <f t="array" aca="1" ref="D2651" ca="1">IF(INDIRECT("'"&amp;A2651&amp;"'!"&amp;B2651)="",FALSE,IF(NOT(ISNUMBER(INDIRECT("'"&amp;A2651&amp;"'!"&amp;B2651))),TRUE,FALSE))</f>
        <v>0</v>
      </c>
      <c r="E2651" t="s">
        <v>435</v>
      </c>
      <c r="F2651" t="str">
        <f>INDEX(Lists!I:I,MATCH(Validation!E2651,Lists!G:G,0))</f>
        <v>Error</v>
      </c>
      <c r="G2651" t="str">
        <f>INDEX(Lists!H:H,MATCH(Validation!E2651,Lists!G:G,0))</f>
        <v>Enter an amount only. Do not enter text or spaces.</v>
      </c>
      <c r="H2651" s="25" t="str">
        <f t="shared" ca="1" si="300"/>
        <v/>
      </c>
      <c r="I2651" s="25" t="str">
        <f t="shared" ca="1" si="301"/>
        <v/>
      </c>
      <c r="J2651" s="26" t="str">
        <f t="shared" ca="1" si="302"/>
        <v/>
      </c>
    </row>
    <row r="2652" spans="1:10" x14ac:dyDescent="0.25">
      <c r="A2652" t="s">
        <v>309</v>
      </c>
      <c r="B2652" t="str">
        <f>ADDRESS(ROW('Bond 1'!$B$42),COLUMN('Bond 1'!$B$42),4)</f>
        <v>B42</v>
      </c>
      <c r="C2652" t="str">
        <f>ADDRESS(ROW('Bond 1'!$D$42),COLUMN('Bond 1'!$D$42),4)</f>
        <v>D42</v>
      </c>
      <c r="D2652" t="b" cm="1">
        <f t="array" aca="1" ref="D2652" ca="1">IF(INDIRECT("'"&amp;A2652&amp;"'!"&amp;B2652)="",FALSE,IF(NOT(ISNUMBER(INDIRECT("'"&amp;A2652&amp;"'!"&amp;B2652))),TRUE,FALSE))</f>
        <v>0</v>
      </c>
      <c r="E2652" t="s">
        <v>435</v>
      </c>
      <c r="F2652" t="str">
        <f>INDEX(Lists!I:I,MATCH(Validation!E2652,Lists!G:G,0))</f>
        <v>Error</v>
      </c>
      <c r="G2652" t="str">
        <f>INDEX(Lists!H:H,MATCH(Validation!E2652,Lists!G:G,0))</f>
        <v>Enter an amount only. Do not enter text or spaces.</v>
      </c>
      <c r="H2652" s="25" t="str">
        <f t="shared" ca="1" si="300"/>
        <v/>
      </c>
      <c r="I2652" s="25" t="str">
        <f t="shared" ca="1" si="301"/>
        <v/>
      </c>
      <c r="J2652" s="26" t="str">
        <f t="shared" ca="1" si="302"/>
        <v/>
      </c>
    </row>
    <row r="2653" spans="1:10" x14ac:dyDescent="0.25">
      <c r="A2653" t="s">
        <v>310</v>
      </c>
      <c r="B2653" t="str">
        <f>ADDRESS(ROW('Bond 1'!$B$42),COLUMN('Bond 1'!$B$42),4)</f>
        <v>B42</v>
      </c>
      <c r="C2653" t="str">
        <f>ADDRESS(ROW('Bond 1'!$D$42),COLUMN('Bond 1'!$D$42),4)</f>
        <v>D42</v>
      </c>
      <c r="D2653" t="b" cm="1">
        <f t="array" aca="1" ref="D2653" ca="1">IF(INDIRECT("'"&amp;A2653&amp;"'!"&amp;B2653)="",FALSE,IF(NOT(ISNUMBER(INDIRECT("'"&amp;A2653&amp;"'!"&amp;B2653))),TRUE,FALSE))</f>
        <v>0</v>
      </c>
      <c r="E2653" t="s">
        <v>435</v>
      </c>
      <c r="F2653" t="str">
        <f>INDEX(Lists!I:I,MATCH(Validation!E2653,Lists!G:G,0))</f>
        <v>Error</v>
      </c>
      <c r="G2653" t="str">
        <f>INDEX(Lists!H:H,MATCH(Validation!E2653,Lists!G:G,0))</f>
        <v>Enter an amount only. Do not enter text or spaces.</v>
      </c>
      <c r="H2653" s="25" t="str">
        <f t="shared" ca="1" si="300"/>
        <v/>
      </c>
      <c r="I2653" s="25" t="str">
        <f t="shared" ca="1" si="301"/>
        <v/>
      </c>
      <c r="J2653" s="26" t="str">
        <f t="shared" ca="1" si="302"/>
        <v/>
      </c>
    </row>
    <row r="2654" spans="1:10" x14ac:dyDescent="0.25">
      <c r="A2654" t="s">
        <v>311</v>
      </c>
      <c r="B2654" t="str">
        <f>ADDRESS(ROW('Bond 1'!$B$42),COLUMN('Bond 1'!$B$42),4)</f>
        <v>B42</v>
      </c>
      <c r="C2654" t="str">
        <f>ADDRESS(ROW('Bond 1'!$D$42),COLUMN('Bond 1'!$D$42),4)</f>
        <v>D42</v>
      </c>
      <c r="D2654" t="b" cm="1">
        <f t="array" aca="1" ref="D2654" ca="1">IF(INDIRECT("'"&amp;A2654&amp;"'!"&amp;B2654)="",FALSE,IF(NOT(ISNUMBER(INDIRECT("'"&amp;A2654&amp;"'!"&amp;B2654))),TRUE,FALSE))</f>
        <v>0</v>
      </c>
      <c r="E2654" t="s">
        <v>435</v>
      </c>
      <c r="F2654" t="str">
        <f>INDEX(Lists!I:I,MATCH(Validation!E2654,Lists!G:G,0))</f>
        <v>Error</v>
      </c>
      <c r="G2654" t="str">
        <f>INDEX(Lists!H:H,MATCH(Validation!E2654,Lists!G:G,0))</f>
        <v>Enter an amount only. Do not enter text or spaces.</v>
      </c>
      <c r="H2654" s="25" t="str">
        <f t="shared" ca="1" si="300"/>
        <v/>
      </c>
      <c r="I2654" s="25" t="str">
        <f t="shared" ca="1" si="301"/>
        <v/>
      </c>
      <c r="J2654" s="26" t="str">
        <f t="shared" ca="1" si="302"/>
        <v/>
      </c>
    </row>
    <row r="2655" spans="1:10" x14ac:dyDescent="0.25">
      <c r="A2655" t="s">
        <v>312</v>
      </c>
      <c r="B2655" t="str">
        <f>ADDRESS(ROW('Bond 1'!$B$42),COLUMN('Bond 1'!$B$42),4)</f>
        <v>B42</v>
      </c>
      <c r="C2655" t="str">
        <f>ADDRESS(ROW('Bond 1'!$D$42),COLUMN('Bond 1'!$D$42),4)</f>
        <v>D42</v>
      </c>
      <c r="D2655" t="b" cm="1">
        <f t="array" aca="1" ref="D2655" ca="1">IF(INDIRECT("'"&amp;A2655&amp;"'!"&amp;B2655)="",FALSE,IF(NOT(ISNUMBER(INDIRECT("'"&amp;A2655&amp;"'!"&amp;B2655))),TRUE,FALSE))</f>
        <v>0</v>
      </c>
      <c r="E2655" t="s">
        <v>435</v>
      </c>
      <c r="F2655" t="str">
        <f>INDEX(Lists!I:I,MATCH(Validation!E2655,Lists!G:G,0))</f>
        <v>Error</v>
      </c>
      <c r="G2655" t="str">
        <f>INDEX(Lists!H:H,MATCH(Validation!E2655,Lists!G:G,0))</f>
        <v>Enter an amount only. Do not enter text or spaces.</v>
      </c>
      <c r="H2655" s="25" t="str">
        <f t="shared" ca="1" si="300"/>
        <v/>
      </c>
      <c r="I2655" s="25" t="str">
        <f t="shared" ca="1" si="301"/>
        <v/>
      </c>
      <c r="J2655" s="26" t="str">
        <f t="shared" ca="1" si="302"/>
        <v/>
      </c>
    </row>
    <row r="2656" spans="1:10" x14ac:dyDescent="0.25">
      <c r="A2656" t="s">
        <v>313</v>
      </c>
      <c r="B2656" t="str">
        <f>ADDRESS(ROW('Bond 1'!$B$42),COLUMN('Bond 1'!$B$42),4)</f>
        <v>B42</v>
      </c>
      <c r="C2656" t="str">
        <f>ADDRESS(ROW('Bond 1'!$D$42),COLUMN('Bond 1'!$D$42),4)</f>
        <v>D42</v>
      </c>
      <c r="D2656" t="b" cm="1">
        <f t="array" aca="1" ref="D2656" ca="1">IF(INDIRECT("'"&amp;A2656&amp;"'!"&amp;B2656)="",FALSE,IF(NOT(ISNUMBER(INDIRECT("'"&amp;A2656&amp;"'!"&amp;B2656))),TRUE,FALSE))</f>
        <v>0</v>
      </c>
      <c r="E2656" t="s">
        <v>435</v>
      </c>
      <c r="F2656" t="str">
        <f>INDEX(Lists!I:I,MATCH(Validation!E2656,Lists!G:G,0))</f>
        <v>Error</v>
      </c>
      <c r="G2656" t="str">
        <f>INDEX(Lists!H:H,MATCH(Validation!E2656,Lists!G:G,0))</f>
        <v>Enter an amount only. Do not enter text or spaces.</v>
      </c>
      <c r="H2656" s="25" t="str">
        <f t="shared" ca="1" si="300"/>
        <v/>
      </c>
      <c r="I2656" s="25" t="str">
        <f t="shared" ca="1" si="301"/>
        <v/>
      </c>
      <c r="J2656" s="26" t="str">
        <f t="shared" ca="1" si="302"/>
        <v/>
      </c>
    </row>
    <row r="2657" spans="1:10" x14ac:dyDescent="0.25">
      <c r="A2657" t="s">
        <v>314</v>
      </c>
      <c r="B2657" t="str">
        <f>ADDRESS(ROW('Bond 1'!$B$42),COLUMN('Bond 1'!$B$42),4)</f>
        <v>B42</v>
      </c>
      <c r="C2657" t="str">
        <f>ADDRESS(ROW('Bond 1'!$D$42),COLUMN('Bond 1'!$D$42),4)</f>
        <v>D42</v>
      </c>
      <c r="D2657" t="b" cm="1">
        <f t="array" aca="1" ref="D2657" ca="1">IF(INDIRECT("'"&amp;A2657&amp;"'!"&amp;B2657)="",FALSE,IF(NOT(ISNUMBER(INDIRECT("'"&amp;A2657&amp;"'!"&amp;B2657))),TRUE,FALSE))</f>
        <v>0</v>
      </c>
      <c r="E2657" t="s">
        <v>435</v>
      </c>
      <c r="F2657" t="str">
        <f>INDEX(Lists!I:I,MATCH(Validation!E2657,Lists!G:G,0))</f>
        <v>Error</v>
      </c>
      <c r="G2657" t="str">
        <f>INDEX(Lists!H:H,MATCH(Validation!E2657,Lists!G:G,0))</f>
        <v>Enter an amount only. Do not enter text or spaces.</v>
      </c>
      <c r="H2657" s="25" t="str">
        <f t="shared" ca="1" si="300"/>
        <v/>
      </c>
      <c r="I2657" s="25" t="str">
        <f t="shared" ca="1" si="301"/>
        <v/>
      </c>
      <c r="J2657" s="26" t="str">
        <f t="shared" ca="1" si="302"/>
        <v/>
      </c>
    </row>
    <row r="2658" spans="1:10" x14ac:dyDescent="0.25">
      <c r="A2658" t="s">
        <v>315</v>
      </c>
      <c r="B2658" t="str">
        <f>ADDRESS(ROW('Bond 1'!$B$42),COLUMN('Bond 1'!$B$42),4)</f>
        <v>B42</v>
      </c>
      <c r="C2658" t="str">
        <f>ADDRESS(ROW('Bond 1'!$D$42),COLUMN('Bond 1'!$D$42),4)</f>
        <v>D42</v>
      </c>
      <c r="D2658" t="b" cm="1">
        <f t="array" aca="1" ref="D2658" ca="1">IF(INDIRECT("'"&amp;A2658&amp;"'!"&amp;B2658)="",FALSE,IF(NOT(ISNUMBER(INDIRECT("'"&amp;A2658&amp;"'!"&amp;B2658))),TRUE,FALSE))</f>
        <v>0</v>
      </c>
      <c r="E2658" t="s">
        <v>435</v>
      </c>
      <c r="F2658" t="str">
        <f>INDEX(Lists!I:I,MATCH(Validation!E2658,Lists!G:G,0))</f>
        <v>Error</v>
      </c>
      <c r="G2658" t="str">
        <f>INDEX(Lists!H:H,MATCH(Validation!E2658,Lists!G:G,0))</f>
        <v>Enter an amount only. Do not enter text or spaces.</v>
      </c>
      <c r="H2658" s="25" t="str">
        <f t="shared" ca="1" si="300"/>
        <v/>
      </c>
      <c r="I2658" s="25" t="str">
        <f t="shared" ca="1" si="301"/>
        <v/>
      </c>
      <c r="J2658" s="26" t="str">
        <f t="shared" ca="1" si="302"/>
        <v/>
      </c>
    </row>
    <row r="2659" spans="1:10" x14ac:dyDescent="0.25">
      <c r="A2659" t="s">
        <v>198</v>
      </c>
      <c r="B2659" t="str">
        <f>ADDRESS(ROW('Bond 1'!$B$42),COLUMN('Bond 1'!$B$42),4)</f>
        <v>B42</v>
      </c>
      <c r="C2659" t="str">
        <f>ADDRESS(ROW('Bond 1'!$D$42),COLUMN('Bond 1'!$D$42),4)</f>
        <v>D42</v>
      </c>
      <c r="D2659" t="b" cm="1">
        <f t="array" aca="1" ref="D2659" ca="1">IF(INDIRECT("'"&amp;A2659&amp;"'!"&amp;B2659)="",FALSE,IF(INDIRECT("'"&amp;A2659&amp;"'!"&amp;B2659)&lt;0,TRUE,FALSE))</f>
        <v>0</v>
      </c>
      <c r="E2659" t="s">
        <v>434</v>
      </c>
      <c r="F2659" t="str">
        <f>INDEX(Lists!I:I,MATCH(Validation!E2659,Lists!G:G,0))</f>
        <v>Error</v>
      </c>
      <c r="G2659" t="str">
        <f>INDEX(Lists!H:H,MATCH(Validation!E2659,Lists!G:G,0))</f>
        <v>Amount may not be negative. Enter an amount greater than or equal to zero.</v>
      </c>
      <c r="H2659" s="25" t="str">
        <f t="shared" ca="1" si="300"/>
        <v/>
      </c>
      <c r="I2659" s="25" t="str">
        <f t="shared" ca="1" si="301"/>
        <v/>
      </c>
      <c r="J2659" s="26" t="str">
        <f t="shared" ca="1" si="302"/>
        <v/>
      </c>
    </row>
    <row r="2660" spans="1:10" x14ac:dyDescent="0.25">
      <c r="A2660" t="s">
        <v>302</v>
      </c>
      <c r="B2660" t="str">
        <f>ADDRESS(ROW('Bond 1'!$B$42),COLUMN('Bond 1'!$B$42),4)</f>
        <v>B42</v>
      </c>
      <c r="C2660" t="str">
        <f>ADDRESS(ROW('Bond 1'!$D$42),COLUMN('Bond 1'!$D$42),4)</f>
        <v>D42</v>
      </c>
      <c r="D2660" t="b" cm="1">
        <f t="array" aca="1" ref="D2660" ca="1">IF(INDIRECT("'"&amp;A2660&amp;"'!"&amp;B2660)="",FALSE,IF(INDIRECT("'"&amp;A2660&amp;"'!"&amp;B2660)&lt;0,TRUE,FALSE))</f>
        <v>0</v>
      </c>
      <c r="E2660" t="s">
        <v>434</v>
      </c>
      <c r="F2660" t="str">
        <f>INDEX(Lists!I:I,MATCH(Validation!E2660,Lists!G:G,0))</f>
        <v>Error</v>
      </c>
      <c r="G2660" t="str">
        <f>INDEX(Lists!H:H,MATCH(Validation!E2660,Lists!G:G,0))</f>
        <v>Amount may not be negative. Enter an amount greater than or equal to zero.</v>
      </c>
      <c r="H2660" s="25" t="str">
        <f t="shared" ca="1" si="300"/>
        <v/>
      </c>
      <c r="I2660" s="25" t="str">
        <f t="shared" ca="1" si="301"/>
        <v/>
      </c>
      <c r="J2660" s="26" t="str">
        <f t="shared" ca="1" si="302"/>
        <v/>
      </c>
    </row>
    <row r="2661" spans="1:10" x14ac:dyDescent="0.25">
      <c r="A2661" t="s">
        <v>303</v>
      </c>
      <c r="B2661" t="str">
        <f>ADDRESS(ROW('Bond 1'!$B$42),COLUMN('Bond 1'!$B$42),4)</f>
        <v>B42</v>
      </c>
      <c r="C2661" t="str">
        <f>ADDRESS(ROW('Bond 1'!$D$42),COLUMN('Bond 1'!$D$42),4)</f>
        <v>D42</v>
      </c>
      <c r="D2661" t="b" cm="1">
        <f t="array" aca="1" ref="D2661" ca="1">IF(INDIRECT("'"&amp;A2661&amp;"'!"&amp;B2661)="",FALSE,IF(INDIRECT("'"&amp;A2661&amp;"'!"&amp;B2661)&lt;0,TRUE,FALSE))</f>
        <v>0</v>
      </c>
      <c r="E2661" t="s">
        <v>434</v>
      </c>
      <c r="F2661" t="str">
        <f>INDEX(Lists!I:I,MATCH(Validation!E2661,Lists!G:G,0))</f>
        <v>Error</v>
      </c>
      <c r="G2661" t="str">
        <f>INDEX(Lists!H:H,MATCH(Validation!E2661,Lists!G:G,0))</f>
        <v>Amount may not be negative. Enter an amount greater than or equal to zero.</v>
      </c>
      <c r="H2661" s="25" t="str">
        <f t="shared" ca="1" si="300"/>
        <v/>
      </c>
      <c r="I2661" s="25" t="str">
        <f t="shared" ca="1" si="301"/>
        <v/>
      </c>
      <c r="J2661" s="26" t="str">
        <f t="shared" ca="1" si="302"/>
        <v/>
      </c>
    </row>
    <row r="2662" spans="1:10" x14ac:dyDescent="0.25">
      <c r="A2662" t="s">
        <v>304</v>
      </c>
      <c r="B2662" t="str">
        <f>ADDRESS(ROW('Bond 1'!$B$42),COLUMN('Bond 1'!$B$42),4)</f>
        <v>B42</v>
      </c>
      <c r="C2662" t="str">
        <f>ADDRESS(ROW('Bond 1'!$D$42),COLUMN('Bond 1'!$D$42),4)</f>
        <v>D42</v>
      </c>
      <c r="D2662" t="b" cm="1">
        <f t="array" aca="1" ref="D2662" ca="1">IF(INDIRECT("'"&amp;A2662&amp;"'!"&amp;B2662)="",FALSE,IF(INDIRECT("'"&amp;A2662&amp;"'!"&amp;B2662)&lt;0,TRUE,FALSE))</f>
        <v>0</v>
      </c>
      <c r="E2662" t="s">
        <v>434</v>
      </c>
      <c r="F2662" t="str">
        <f>INDEX(Lists!I:I,MATCH(Validation!E2662,Lists!G:G,0))</f>
        <v>Error</v>
      </c>
      <c r="G2662" t="str">
        <f>INDEX(Lists!H:H,MATCH(Validation!E2662,Lists!G:G,0))</f>
        <v>Amount may not be negative. Enter an amount greater than or equal to zero.</v>
      </c>
      <c r="H2662" s="25" t="str">
        <f t="shared" ca="1" si="300"/>
        <v/>
      </c>
      <c r="I2662" s="25" t="str">
        <f t="shared" ca="1" si="301"/>
        <v/>
      </c>
      <c r="J2662" s="26" t="str">
        <f t="shared" ca="1" si="302"/>
        <v/>
      </c>
    </row>
    <row r="2663" spans="1:10" x14ac:dyDescent="0.25">
      <c r="A2663" t="s">
        <v>305</v>
      </c>
      <c r="B2663" t="str">
        <f>ADDRESS(ROW('Bond 1'!$B$42),COLUMN('Bond 1'!$B$42),4)</f>
        <v>B42</v>
      </c>
      <c r="C2663" t="str">
        <f>ADDRESS(ROW('Bond 1'!$D$42),COLUMN('Bond 1'!$D$42),4)</f>
        <v>D42</v>
      </c>
      <c r="D2663" t="b" cm="1">
        <f t="array" aca="1" ref="D2663" ca="1">IF(INDIRECT("'"&amp;A2663&amp;"'!"&amp;B2663)="",FALSE,IF(INDIRECT("'"&amp;A2663&amp;"'!"&amp;B2663)&lt;0,TRUE,FALSE))</f>
        <v>0</v>
      </c>
      <c r="E2663" t="s">
        <v>434</v>
      </c>
      <c r="F2663" t="str">
        <f>INDEX(Lists!I:I,MATCH(Validation!E2663,Lists!G:G,0))</f>
        <v>Error</v>
      </c>
      <c r="G2663" t="str">
        <f>INDEX(Lists!H:H,MATCH(Validation!E2663,Lists!G:G,0))</f>
        <v>Amount may not be negative. Enter an amount greater than or equal to zero.</v>
      </c>
      <c r="H2663" s="25" t="str">
        <f t="shared" ca="1" si="300"/>
        <v/>
      </c>
      <c r="I2663" s="25" t="str">
        <f t="shared" ca="1" si="301"/>
        <v/>
      </c>
      <c r="J2663" s="26" t="str">
        <f t="shared" ca="1" si="302"/>
        <v/>
      </c>
    </row>
    <row r="2664" spans="1:10" x14ac:dyDescent="0.25">
      <c r="A2664" t="s">
        <v>306</v>
      </c>
      <c r="B2664" t="str">
        <f>ADDRESS(ROW('Bond 1'!$B$42),COLUMN('Bond 1'!$B$42),4)</f>
        <v>B42</v>
      </c>
      <c r="C2664" t="str">
        <f>ADDRESS(ROW('Bond 1'!$D$42),COLUMN('Bond 1'!$D$42),4)</f>
        <v>D42</v>
      </c>
      <c r="D2664" t="b" cm="1">
        <f t="array" aca="1" ref="D2664" ca="1">IF(INDIRECT("'"&amp;A2664&amp;"'!"&amp;B2664)="",FALSE,IF(INDIRECT("'"&amp;A2664&amp;"'!"&amp;B2664)&lt;0,TRUE,FALSE))</f>
        <v>0</v>
      </c>
      <c r="E2664" t="s">
        <v>434</v>
      </c>
      <c r="F2664" t="str">
        <f>INDEX(Lists!I:I,MATCH(Validation!E2664,Lists!G:G,0))</f>
        <v>Error</v>
      </c>
      <c r="G2664" t="str">
        <f>INDEX(Lists!H:H,MATCH(Validation!E2664,Lists!G:G,0))</f>
        <v>Amount may not be negative. Enter an amount greater than or equal to zero.</v>
      </c>
      <c r="H2664" s="25" t="str">
        <f t="shared" ca="1" si="300"/>
        <v/>
      </c>
      <c r="I2664" s="25" t="str">
        <f t="shared" ca="1" si="301"/>
        <v/>
      </c>
      <c r="J2664" s="26" t="str">
        <f t="shared" ca="1" si="302"/>
        <v/>
      </c>
    </row>
    <row r="2665" spans="1:10" x14ac:dyDescent="0.25">
      <c r="A2665" t="s">
        <v>307</v>
      </c>
      <c r="B2665" t="str">
        <f>ADDRESS(ROW('Bond 1'!$B$42),COLUMN('Bond 1'!$B$42),4)</f>
        <v>B42</v>
      </c>
      <c r="C2665" t="str">
        <f>ADDRESS(ROW('Bond 1'!$D$42),COLUMN('Bond 1'!$D$42),4)</f>
        <v>D42</v>
      </c>
      <c r="D2665" t="b" cm="1">
        <f t="array" aca="1" ref="D2665" ca="1">IF(INDIRECT("'"&amp;A2665&amp;"'!"&amp;B2665)="",FALSE,IF(INDIRECT("'"&amp;A2665&amp;"'!"&amp;B2665)&lt;0,TRUE,FALSE))</f>
        <v>0</v>
      </c>
      <c r="E2665" t="s">
        <v>434</v>
      </c>
      <c r="F2665" t="str">
        <f>INDEX(Lists!I:I,MATCH(Validation!E2665,Lists!G:G,0))</f>
        <v>Error</v>
      </c>
      <c r="G2665" t="str">
        <f>INDEX(Lists!H:H,MATCH(Validation!E2665,Lists!G:G,0))</f>
        <v>Amount may not be negative. Enter an amount greater than or equal to zero.</v>
      </c>
      <c r="H2665" s="25" t="str">
        <f t="shared" ca="1" si="300"/>
        <v/>
      </c>
      <c r="I2665" s="25" t="str">
        <f t="shared" ca="1" si="301"/>
        <v/>
      </c>
      <c r="J2665" s="26" t="str">
        <f t="shared" ca="1" si="302"/>
        <v/>
      </c>
    </row>
    <row r="2666" spans="1:10" x14ac:dyDescent="0.25">
      <c r="A2666" t="s">
        <v>308</v>
      </c>
      <c r="B2666" t="str">
        <f>ADDRESS(ROW('Bond 1'!$B$42),COLUMN('Bond 1'!$B$42),4)</f>
        <v>B42</v>
      </c>
      <c r="C2666" t="str">
        <f>ADDRESS(ROW('Bond 1'!$D$42),COLUMN('Bond 1'!$D$42),4)</f>
        <v>D42</v>
      </c>
      <c r="D2666" t="b" cm="1">
        <f t="array" aca="1" ref="D2666" ca="1">IF(INDIRECT("'"&amp;A2666&amp;"'!"&amp;B2666)="",FALSE,IF(INDIRECT("'"&amp;A2666&amp;"'!"&amp;B2666)&lt;0,TRUE,FALSE))</f>
        <v>0</v>
      </c>
      <c r="E2666" t="s">
        <v>434</v>
      </c>
      <c r="F2666" t="str">
        <f>INDEX(Lists!I:I,MATCH(Validation!E2666,Lists!G:G,0))</f>
        <v>Error</v>
      </c>
      <c r="G2666" t="str">
        <f>INDEX(Lists!H:H,MATCH(Validation!E2666,Lists!G:G,0))</f>
        <v>Amount may not be negative. Enter an amount greater than or equal to zero.</v>
      </c>
      <c r="H2666" s="25" t="str">
        <f t="shared" ca="1" si="300"/>
        <v/>
      </c>
      <c r="I2666" s="25" t="str">
        <f t="shared" ca="1" si="301"/>
        <v/>
      </c>
      <c r="J2666" s="26" t="str">
        <f t="shared" ca="1" si="302"/>
        <v/>
      </c>
    </row>
    <row r="2667" spans="1:10" x14ac:dyDescent="0.25">
      <c r="A2667" t="s">
        <v>309</v>
      </c>
      <c r="B2667" t="str">
        <f>ADDRESS(ROW('Bond 1'!$B$42),COLUMN('Bond 1'!$B$42),4)</f>
        <v>B42</v>
      </c>
      <c r="C2667" t="str">
        <f>ADDRESS(ROW('Bond 1'!$D$42),COLUMN('Bond 1'!$D$42),4)</f>
        <v>D42</v>
      </c>
      <c r="D2667" t="b" cm="1">
        <f t="array" aca="1" ref="D2667" ca="1">IF(INDIRECT("'"&amp;A2667&amp;"'!"&amp;B2667)="",FALSE,IF(INDIRECT("'"&amp;A2667&amp;"'!"&amp;B2667)&lt;0,TRUE,FALSE))</f>
        <v>0</v>
      </c>
      <c r="E2667" t="s">
        <v>434</v>
      </c>
      <c r="F2667" t="str">
        <f>INDEX(Lists!I:I,MATCH(Validation!E2667,Lists!G:G,0))</f>
        <v>Error</v>
      </c>
      <c r="G2667" t="str">
        <f>INDEX(Lists!H:H,MATCH(Validation!E2667,Lists!G:G,0))</f>
        <v>Amount may not be negative. Enter an amount greater than or equal to zero.</v>
      </c>
      <c r="H2667" s="25" t="str">
        <f t="shared" ca="1" si="300"/>
        <v/>
      </c>
      <c r="I2667" s="25" t="str">
        <f t="shared" ca="1" si="301"/>
        <v/>
      </c>
      <c r="J2667" s="26" t="str">
        <f t="shared" ca="1" si="302"/>
        <v/>
      </c>
    </row>
    <row r="2668" spans="1:10" x14ac:dyDescent="0.25">
      <c r="A2668" t="s">
        <v>310</v>
      </c>
      <c r="B2668" t="str">
        <f>ADDRESS(ROW('Bond 1'!$B$42),COLUMN('Bond 1'!$B$42),4)</f>
        <v>B42</v>
      </c>
      <c r="C2668" t="str">
        <f>ADDRESS(ROW('Bond 1'!$D$42),COLUMN('Bond 1'!$D$42),4)</f>
        <v>D42</v>
      </c>
      <c r="D2668" t="b" cm="1">
        <f t="array" aca="1" ref="D2668" ca="1">IF(INDIRECT("'"&amp;A2668&amp;"'!"&amp;B2668)="",FALSE,IF(INDIRECT("'"&amp;A2668&amp;"'!"&amp;B2668)&lt;0,TRUE,FALSE))</f>
        <v>0</v>
      </c>
      <c r="E2668" t="s">
        <v>434</v>
      </c>
      <c r="F2668" t="str">
        <f>INDEX(Lists!I:I,MATCH(Validation!E2668,Lists!G:G,0))</f>
        <v>Error</v>
      </c>
      <c r="G2668" t="str">
        <f>INDEX(Lists!H:H,MATCH(Validation!E2668,Lists!G:G,0))</f>
        <v>Amount may not be negative. Enter an amount greater than or equal to zero.</v>
      </c>
      <c r="H2668" s="25" t="str">
        <f t="shared" ca="1" si="300"/>
        <v/>
      </c>
      <c r="I2668" s="25" t="str">
        <f t="shared" ca="1" si="301"/>
        <v/>
      </c>
      <c r="J2668" s="26" t="str">
        <f t="shared" ca="1" si="302"/>
        <v/>
      </c>
    </row>
    <row r="2669" spans="1:10" x14ac:dyDescent="0.25">
      <c r="A2669" t="s">
        <v>311</v>
      </c>
      <c r="B2669" t="str">
        <f>ADDRESS(ROW('Bond 1'!$B$42),COLUMN('Bond 1'!$B$42),4)</f>
        <v>B42</v>
      </c>
      <c r="C2669" t="str">
        <f>ADDRESS(ROW('Bond 1'!$D$42),COLUMN('Bond 1'!$D$42),4)</f>
        <v>D42</v>
      </c>
      <c r="D2669" t="b" cm="1">
        <f t="array" aca="1" ref="D2669" ca="1">IF(INDIRECT("'"&amp;A2669&amp;"'!"&amp;B2669)="",FALSE,IF(INDIRECT("'"&amp;A2669&amp;"'!"&amp;B2669)&lt;0,TRUE,FALSE))</f>
        <v>0</v>
      </c>
      <c r="E2669" t="s">
        <v>434</v>
      </c>
      <c r="F2669" t="str">
        <f>INDEX(Lists!I:I,MATCH(Validation!E2669,Lists!G:G,0))</f>
        <v>Error</v>
      </c>
      <c r="G2669" t="str">
        <f>INDEX(Lists!H:H,MATCH(Validation!E2669,Lists!G:G,0))</f>
        <v>Amount may not be negative. Enter an amount greater than or equal to zero.</v>
      </c>
      <c r="H2669" s="25" t="str">
        <f t="shared" ca="1" si="300"/>
        <v/>
      </c>
      <c r="I2669" s="25" t="str">
        <f t="shared" ca="1" si="301"/>
        <v/>
      </c>
      <c r="J2669" s="26" t="str">
        <f t="shared" ca="1" si="302"/>
        <v/>
      </c>
    </row>
    <row r="2670" spans="1:10" x14ac:dyDescent="0.25">
      <c r="A2670" t="s">
        <v>312</v>
      </c>
      <c r="B2670" t="str">
        <f>ADDRESS(ROW('Bond 1'!$B$42),COLUMN('Bond 1'!$B$42),4)</f>
        <v>B42</v>
      </c>
      <c r="C2670" t="str">
        <f>ADDRESS(ROW('Bond 1'!$D$42),COLUMN('Bond 1'!$D$42),4)</f>
        <v>D42</v>
      </c>
      <c r="D2670" t="b" cm="1">
        <f t="array" aca="1" ref="D2670" ca="1">IF(INDIRECT("'"&amp;A2670&amp;"'!"&amp;B2670)="",FALSE,IF(INDIRECT("'"&amp;A2670&amp;"'!"&amp;B2670)&lt;0,TRUE,FALSE))</f>
        <v>0</v>
      </c>
      <c r="E2670" t="s">
        <v>434</v>
      </c>
      <c r="F2670" t="str">
        <f>INDEX(Lists!I:I,MATCH(Validation!E2670,Lists!G:G,0))</f>
        <v>Error</v>
      </c>
      <c r="G2670" t="str">
        <f>INDEX(Lists!H:H,MATCH(Validation!E2670,Lists!G:G,0))</f>
        <v>Amount may not be negative. Enter an amount greater than or equal to zero.</v>
      </c>
      <c r="H2670" s="25" t="str">
        <f t="shared" ca="1" si="300"/>
        <v/>
      </c>
      <c r="I2670" s="25" t="str">
        <f t="shared" ca="1" si="301"/>
        <v/>
      </c>
      <c r="J2670" s="26" t="str">
        <f t="shared" ca="1" si="302"/>
        <v/>
      </c>
    </row>
    <row r="2671" spans="1:10" x14ac:dyDescent="0.25">
      <c r="A2671" t="s">
        <v>313</v>
      </c>
      <c r="B2671" t="str">
        <f>ADDRESS(ROW('Bond 1'!$B$42),COLUMN('Bond 1'!$B$42),4)</f>
        <v>B42</v>
      </c>
      <c r="C2671" t="str">
        <f>ADDRESS(ROW('Bond 1'!$D$42),COLUMN('Bond 1'!$D$42),4)</f>
        <v>D42</v>
      </c>
      <c r="D2671" t="b" cm="1">
        <f t="array" aca="1" ref="D2671" ca="1">IF(INDIRECT("'"&amp;A2671&amp;"'!"&amp;B2671)="",FALSE,IF(INDIRECT("'"&amp;A2671&amp;"'!"&amp;B2671)&lt;0,TRUE,FALSE))</f>
        <v>0</v>
      </c>
      <c r="E2671" t="s">
        <v>434</v>
      </c>
      <c r="F2671" t="str">
        <f>INDEX(Lists!I:I,MATCH(Validation!E2671,Lists!G:G,0))</f>
        <v>Error</v>
      </c>
      <c r="G2671" t="str">
        <f>INDEX(Lists!H:H,MATCH(Validation!E2671,Lists!G:G,0))</f>
        <v>Amount may not be negative. Enter an amount greater than or equal to zero.</v>
      </c>
      <c r="H2671" s="25" t="str">
        <f t="shared" ca="1" si="300"/>
        <v/>
      </c>
      <c r="I2671" s="25" t="str">
        <f t="shared" ca="1" si="301"/>
        <v/>
      </c>
      <c r="J2671" s="26" t="str">
        <f t="shared" ca="1" si="302"/>
        <v/>
      </c>
    </row>
    <row r="2672" spans="1:10" x14ac:dyDescent="0.25">
      <c r="A2672" t="s">
        <v>314</v>
      </c>
      <c r="B2672" t="str">
        <f>ADDRESS(ROW('Bond 1'!$B$42),COLUMN('Bond 1'!$B$42),4)</f>
        <v>B42</v>
      </c>
      <c r="C2672" t="str">
        <f>ADDRESS(ROW('Bond 1'!$D$42),COLUMN('Bond 1'!$D$42),4)</f>
        <v>D42</v>
      </c>
      <c r="D2672" t="b" cm="1">
        <f t="array" aca="1" ref="D2672" ca="1">IF(INDIRECT("'"&amp;A2672&amp;"'!"&amp;B2672)="",FALSE,IF(INDIRECT("'"&amp;A2672&amp;"'!"&amp;B2672)&lt;0,TRUE,FALSE))</f>
        <v>0</v>
      </c>
      <c r="E2672" t="s">
        <v>434</v>
      </c>
      <c r="F2672" t="str">
        <f>INDEX(Lists!I:I,MATCH(Validation!E2672,Lists!G:G,0))</f>
        <v>Error</v>
      </c>
      <c r="G2672" t="str">
        <f>INDEX(Lists!H:H,MATCH(Validation!E2672,Lists!G:G,0))</f>
        <v>Amount may not be negative. Enter an amount greater than or equal to zero.</v>
      </c>
      <c r="H2672" s="25" t="str">
        <f t="shared" ca="1" si="300"/>
        <v/>
      </c>
      <c r="I2672" s="25" t="str">
        <f t="shared" ca="1" si="301"/>
        <v/>
      </c>
      <c r="J2672" s="26" t="str">
        <f t="shared" ca="1" si="302"/>
        <v/>
      </c>
    </row>
    <row r="2673" spans="1:10" x14ac:dyDescent="0.25">
      <c r="A2673" t="s">
        <v>315</v>
      </c>
      <c r="B2673" t="str">
        <f>ADDRESS(ROW('Bond 1'!$B$42),COLUMN('Bond 1'!$B$42),4)</f>
        <v>B42</v>
      </c>
      <c r="C2673" t="str">
        <f>ADDRESS(ROW('Bond 1'!$D$42),COLUMN('Bond 1'!$D$42),4)</f>
        <v>D42</v>
      </c>
      <c r="D2673" t="b" cm="1">
        <f t="array" aca="1" ref="D2673" ca="1">IF(INDIRECT("'"&amp;A2673&amp;"'!"&amp;B2673)="",FALSE,IF(INDIRECT("'"&amp;A2673&amp;"'!"&amp;B2673)&lt;0,TRUE,FALSE))</f>
        <v>0</v>
      </c>
      <c r="E2673" t="s">
        <v>434</v>
      </c>
      <c r="F2673" t="str">
        <f>INDEX(Lists!I:I,MATCH(Validation!E2673,Lists!G:G,0))</f>
        <v>Error</v>
      </c>
      <c r="G2673" t="str">
        <f>INDEX(Lists!H:H,MATCH(Validation!E2673,Lists!G:G,0))</f>
        <v>Amount may not be negative. Enter an amount greater than or equal to zero.</v>
      </c>
      <c r="H2673" s="25" t="str">
        <f t="shared" ca="1" si="300"/>
        <v/>
      </c>
      <c r="I2673" s="25" t="str">
        <f t="shared" ca="1" si="301"/>
        <v/>
      </c>
      <c r="J2673" s="26" t="str">
        <f t="shared" ca="1" si="302"/>
        <v/>
      </c>
    </row>
    <row r="2674" spans="1:10" x14ac:dyDescent="0.25">
      <c r="A2674" t="s">
        <v>198</v>
      </c>
      <c r="B2674" t="str">
        <f>ADDRESS(ROW('Bond 1'!$B$42),COLUMN('Bond 1'!$B$42),4)</f>
        <v>B42</v>
      </c>
      <c r="C2674" t="str">
        <f>ADDRESS(ROW('Bond 1'!$D$42),COLUMN('Bond 1'!$D$42),4)</f>
        <v>D42</v>
      </c>
      <c r="D2674" t="b" cm="1">
        <f t="array" aca="1" ref="D2674" ca="1">IF(INDIRECT("'"&amp;A2674&amp;"'!"&amp;B2674)="",FALSE,IF(TRUNC(INDIRECT("'"&amp;A2674&amp;"'!"&amp;B2674))=INDIRECT("'"&amp;A2674&amp;"'!"&amp;B2674),FALSE,TRUE))</f>
        <v>0</v>
      </c>
      <c r="E2674" t="s">
        <v>436</v>
      </c>
      <c r="F2674" t="str">
        <f>INDEX(Lists!I:I,MATCH(Validation!E2674,Lists!G:G,0))</f>
        <v>Error</v>
      </c>
      <c r="G2674" t="str">
        <f>INDEX(Lists!H:H,MATCH(Validation!E2674,Lists!G:G,0))</f>
        <v>Amount must be rounded to the nearest dollar.</v>
      </c>
      <c r="H2674" s="25" t="str">
        <f t="shared" ca="1" si="300"/>
        <v/>
      </c>
      <c r="I2674" s="25" t="str">
        <f t="shared" ca="1" si="301"/>
        <v/>
      </c>
      <c r="J2674" s="26" t="str">
        <f t="shared" ca="1" si="302"/>
        <v/>
      </c>
    </row>
    <row r="2675" spans="1:10" x14ac:dyDescent="0.25">
      <c r="A2675" t="s">
        <v>302</v>
      </c>
      <c r="B2675" t="str">
        <f>ADDRESS(ROW('Bond 1'!$B$42),COLUMN('Bond 1'!$B$42),4)</f>
        <v>B42</v>
      </c>
      <c r="C2675" t="str">
        <f>ADDRESS(ROW('Bond 1'!$D$42),COLUMN('Bond 1'!$D$42),4)</f>
        <v>D42</v>
      </c>
      <c r="D2675" t="b" cm="1">
        <f t="array" aca="1" ref="D2675" ca="1">IF(INDIRECT("'"&amp;A2675&amp;"'!"&amp;B2675)="",FALSE,IF(TRUNC(INDIRECT("'"&amp;A2675&amp;"'!"&amp;B2675))=INDIRECT("'"&amp;A2675&amp;"'!"&amp;B2675),FALSE,TRUE))</f>
        <v>0</v>
      </c>
      <c r="E2675" t="s">
        <v>436</v>
      </c>
      <c r="F2675" t="str">
        <f>INDEX(Lists!I:I,MATCH(Validation!E2675,Lists!G:G,0))</f>
        <v>Error</v>
      </c>
      <c r="G2675" t="str">
        <f>INDEX(Lists!H:H,MATCH(Validation!E2675,Lists!G:G,0))</f>
        <v>Amount must be rounded to the nearest dollar.</v>
      </c>
      <c r="H2675" s="25" t="str">
        <f t="shared" ca="1" si="300"/>
        <v/>
      </c>
      <c r="I2675" s="25" t="str">
        <f t="shared" ca="1" si="301"/>
        <v/>
      </c>
      <c r="J2675" s="26" t="str">
        <f t="shared" ca="1" si="302"/>
        <v/>
      </c>
    </row>
    <row r="2676" spans="1:10" x14ac:dyDescent="0.25">
      <c r="A2676" t="s">
        <v>303</v>
      </c>
      <c r="B2676" t="str">
        <f>ADDRESS(ROW('Bond 1'!$B$42),COLUMN('Bond 1'!$B$42),4)</f>
        <v>B42</v>
      </c>
      <c r="C2676" t="str">
        <f>ADDRESS(ROW('Bond 1'!$D$42),COLUMN('Bond 1'!$D$42),4)</f>
        <v>D42</v>
      </c>
      <c r="D2676" t="b" cm="1">
        <f t="array" aca="1" ref="D2676" ca="1">IF(INDIRECT("'"&amp;A2676&amp;"'!"&amp;B2676)="",FALSE,IF(TRUNC(INDIRECT("'"&amp;A2676&amp;"'!"&amp;B2676))=INDIRECT("'"&amp;A2676&amp;"'!"&amp;B2676),FALSE,TRUE))</f>
        <v>0</v>
      </c>
      <c r="E2676" t="s">
        <v>436</v>
      </c>
      <c r="F2676" t="str">
        <f>INDEX(Lists!I:I,MATCH(Validation!E2676,Lists!G:G,0))</f>
        <v>Error</v>
      </c>
      <c r="G2676" t="str">
        <f>INDEX(Lists!H:H,MATCH(Validation!E2676,Lists!G:G,0))</f>
        <v>Amount must be rounded to the nearest dollar.</v>
      </c>
      <c r="H2676" s="25" t="str">
        <f t="shared" ca="1" si="300"/>
        <v/>
      </c>
      <c r="I2676" s="25" t="str">
        <f t="shared" ca="1" si="301"/>
        <v/>
      </c>
      <c r="J2676" s="26" t="str">
        <f t="shared" ca="1" si="302"/>
        <v/>
      </c>
    </row>
    <row r="2677" spans="1:10" x14ac:dyDescent="0.25">
      <c r="A2677" t="s">
        <v>304</v>
      </c>
      <c r="B2677" t="str">
        <f>ADDRESS(ROW('Bond 1'!$B$42),COLUMN('Bond 1'!$B$42),4)</f>
        <v>B42</v>
      </c>
      <c r="C2677" t="str">
        <f>ADDRESS(ROW('Bond 1'!$D$42),COLUMN('Bond 1'!$D$42),4)</f>
        <v>D42</v>
      </c>
      <c r="D2677" t="b" cm="1">
        <f t="array" aca="1" ref="D2677" ca="1">IF(INDIRECT("'"&amp;A2677&amp;"'!"&amp;B2677)="",FALSE,IF(TRUNC(INDIRECT("'"&amp;A2677&amp;"'!"&amp;B2677))=INDIRECT("'"&amp;A2677&amp;"'!"&amp;B2677),FALSE,TRUE))</f>
        <v>0</v>
      </c>
      <c r="E2677" t="s">
        <v>436</v>
      </c>
      <c r="F2677" t="str">
        <f>INDEX(Lists!I:I,MATCH(Validation!E2677,Lists!G:G,0))</f>
        <v>Error</v>
      </c>
      <c r="G2677" t="str">
        <f>INDEX(Lists!H:H,MATCH(Validation!E2677,Lists!G:G,0))</f>
        <v>Amount must be rounded to the nearest dollar.</v>
      </c>
      <c r="H2677" s="25" t="str">
        <f t="shared" ca="1" si="300"/>
        <v/>
      </c>
      <c r="I2677" s="25" t="str">
        <f t="shared" ca="1" si="301"/>
        <v/>
      </c>
      <c r="J2677" s="26" t="str">
        <f t="shared" ca="1" si="302"/>
        <v/>
      </c>
    </row>
    <row r="2678" spans="1:10" x14ac:dyDescent="0.25">
      <c r="A2678" t="s">
        <v>305</v>
      </c>
      <c r="B2678" t="str">
        <f>ADDRESS(ROW('Bond 1'!$B$42),COLUMN('Bond 1'!$B$42),4)</f>
        <v>B42</v>
      </c>
      <c r="C2678" t="str">
        <f>ADDRESS(ROW('Bond 1'!$D$42),COLUMN('Bond 1'!$D$42),4)</f>
        <v>D42</v>
      </c>
      <c r="D2678" t="b" cm="1">
        <f t="array" aca="1" ref="D2678" ca="1">IF(INDIRECT("'"&amp;A2678&amp;"'!"&amp;B2678)="",FALSE,IF(TRUNC(INDIRECT("'"&amp;A2678&amp;"'!"&amp;B2678))=INDIRECT("'"&amp;A2678&amp;"'!"&amp;B2678),FALSE,TRUE))</f>
        <v>0</v>
      </c>
      <c r="E2678" t="s">
        <v>436</v>
      </c>
      <c r="F2678" t="str">
        <f>INDEX(Lists!I:I,MATCH(Validation!E2678,Lists!G:G,0))</f>
        <v>Error</v>
      </c>
      <c r="G2678" t="str">
        <f>INDEX(Lists!H:H,MATCH(Validation!E2678,Lists!G:G,0))</f>
        <v>Amount must be rounded to the nearest dollar.</v>
      </c>
      <c r="H2678" s="25" t="str">
        <f t="shared" ca="1" si="300"/>
        <v/>
      </c>
      <c r="I2678" s="25" t="str">
        <f t="shared" ca="1" si="301"/>
        <v/>
      </c>
      <c r="J2678" s="26" t="str">
        <f t="shared" ca="1" si="302"/>
        <v/>
      </c>
    </row>
    <row r="2679" spans="1:10" x14ac:dyDescent="0.25">
      <c r="A2679" t="s">
        <v>306</v>
      </c>
      <c r="B2679" t="str">
        <f>ADDRESS(ROW('Bond 1'!$B$42),COLUMN('Bond 1'!$B$42),4)</f>
        <v>B42</v>
      </c>
      <c r="C2679" t="str">
        <f>ADDRESS(ROW('Bond 1'!$D$42),COLUMN('Bond 1'!$D$42),4)</f>
        <v>D42</v>
      </c>
      <c r="D2679" t="b" cm="1">
        <f t="array" aca="1" ref="D2679" ca="1">IF(INDIRECT("'"&amp;A2679&amp;"'!"&amp;B2679)="",FALSE,IF(TRUNC(INDIRECT("'"&amp;A2679&amp;"'!"&amp;B2679))=INDIRECT("'"&amp;A2679&amp;"'!"&amp;B2679),FALSE,TRUE))</f>
        <v>0</v>
      </c>
      <c r="E2679" t="s">
        <v>436</v>
      </c>
      <c r="F2679" t="str">
        <f>INDEX(Lists!I:I,MATCH(Validation!E2679,Lists!G:G,0))</f>
        <v>Error</v>
      </c>
      <c r="G2679" t="str">
        <f>INDEX(Lists!H:H,MATCH(Validation!E2679,Lists!G:G,0))</f>
        <v>Amount must be rounded to the nearest dollar.</v>
      </c>
      <c r="H2679" s="25" t="str">
        <f t="shared" ca="1" si="300"/>
        <v/>
      </c>
      <c r="I2679" s="25" t="str">
        <f t="shared" ca="1" si="301"/>
        <v/>
      </c>
      <c r="J2679" s="26" t="str">
        <f t="shared" ca="1" si="302"/>
        <v/>
      </c>
    </row>
    <row r="2680" spans="1:10" x14ac:dyDescent="0.25">
      <c r="A2680" t="s">
        <v>307</v>
      </c>
      <c r="B2680" t="str">
        <f>ADDRESS(ROW('Bond 1'!$B$42),COLUMN('Bond 1'!$B$42),4)</f>
        <v>B42</v>
      </c>
      <c r="C2680" t="str">
        <f>ADDRESS(ROW('Bond 1'!$D$42),COLUMN('Bond 1'!$D$42),4)</f>
        <v>D42</v>
      </c>
      <c r="D2680" t="b" cm="1">
        <f t="array" aca="1" ref="D2680" ca="1">IF(INDIRECT("'"&amp;A2680&amp;"'!"&amp;B2680)="",FALSE,IF(TRUNC(INDIRECT("'"&amp;A2680&amp;"'!"&amp;B2680))=INDIRECT("'"&amp;A2680&amp;"'!"&amp;B2680),FALSE,TRUE))</f>
        <v>0</v>
      </c>
      <c r="E2680" t="s">
        <v>436</v>
      </c>
      <c r="F2680" t="str">
        <f>INDEX(Lists!I:I,MATCH(Validation!E2680,Lists!G:G,0))</f>
        <v>Error</v>
      </c>
      <c r="G2680" t="str">
        <f>INDEX(Lists!H:H,MATCH(Validation!E2680,Lists!G:G,0))</f>
        <v>Amount must be rounded to the nearest dollar.</v>
      </c>
      <c r="H2680" s="25" t="str">
        <f t="shared" ca="1" si="300"/>
        <v/>
      </c>
      <c r="I2680" s="25" t="str">
        <f t="shared" ca="1" si="301"/>
        <v/>
      </c>
      <c r="J2680" s="26" t="str">
        <f t="shared" ca="1" si="302"/>
        <v/>
      </c>
    </row>
    <row r="2681" spans="1:10" x14ac:dyDescent="0.25">
      <c r="A2681" t="s">
        <v>308</v>
      </c>
      <c r="B2681" t="str">
        <f>ADDRESS(ROW('Bond 1'!$B$42),COLUMN('Bond 1'!$B$42),4)</f>
        <v>B42</v>
      </c>
      <c r="C2681" t="str">
        <f>ADDRESS(ROW('Bond 1'!$D$42),COLUMN('Bond 1'!$D$42),4)</f>
        <v>D42</v>
      </c>
      <c r="D2681" t="b" cm="1">
        <f t="array" aca="1" ref="D2681" ca="1">IF(INDIRECT("'"&amp;A2681&amp;"'!"&amp;B2681)="",FALSE,IF(TRUNC(INDIRECT("'"&amp;A2681&amp;"'!"&amp;B2681))=INDIRECT("'"&amp;A2681&amp;"'!"&amp;B2681),FALSE,TRUE))</f>
        <v>0</v>
      </c>
      <c r="E2681" t="s">
        <v>436</v>
      </c>
      <c r="F2681" t="str">
        <f>INDEX(Lists!I:I,MATCH(Validation!E2681,Lists!G:G,0))</f>
        <v>Error</v>
      </c>
      <c r="G2681" t="str">
        <f>INDEX(Lists!H:H,MATCH(Validation!E2681,Lists!G:G,0))</f>
        <v>Amount must be rounded to the nearest dollar.</v>
      </c>
      <c r="H2681" s="25" t="str">
        <f t="shared" ca="1" si="300"/>
        <v/>
      </c>
      <c r="I2681" s="25" t="str">
        <f t="shared" ca="1" si="301"/>
        <v/>
      </c>
      <c r="J2681" s="26" t="str">
        <f t="shared" ca="1" si="302"/>
        <v/>
      </c>
    </row>
    <row r="2682" spans="1:10" x14ac:dyDescent="0.25">
      <c r="A2682" t="s">
        <v>309</v>
      </c>
      <c r="B2682" t="str">
        <f>ADDRESS(ROW('Bond 1'!$B$42),COLUMN('Bond 1'!$B$42),4)</f>
        <v>B42</v>
      </c>
      <c r="C2682" t="str">
        <f>ADDRESS(ROW('Bond 1'!$D$42),COLUMN('Bond 1'!$D$42),4)</f>
        <v>D42</v>
      </c>
      <c r="D2682" t="b" cm="1">
        <f t="array" aca="1" ref="D2682" ca="1">IF(INDIRECT("'"&amp;A2682&amp;"'!"&amp;B2682)="",FALSE,IF(TRUNC(INDIRECT("'"&amp;A2682&amp;"'!"&amp;B2682))=INDIRECT("'"&amp;A2682&amp;"'!"&amp;B2682),FALSE,TRUE))</f>
        <v>0</v>
      </c>
      <c r="E2682" t="s">
        <v>436</v>
      </c>
      <c r="F2682" t="str">
        <f>INDEX(Lists!I:I,MATCH(Validation!E2682,Lists!G:G,0))</f>
        <v>Error</v>
      </c>
      <c r="G2682" t="str">
        <f>INDEX(Lists!H:H,MATCH(Validation!E2682,Lists!G:G,0))</f>
        <v>Amount must be rounded to the nearest dollar.</v>
      </c>
      <c r="H2682" s="25" t="str">
        <f t="shared" ca="1" si="300"/>
        <v/>
      </c>
      <c r="I2682" s="25" t="str">
        <f t="shared" ca="1" si="301"/>
        <v/>
      </c>
      <c r="J2682" s="26" t="str">
        <f t="shared" ca="1" si="302"/>
        <v/>
      </c>
    </row>
    <row r="2683" spans="1:10" x14ac:dyDescent="0.25">
      <c r="A2683" t="s">
        <v>310</v>
      </c>
      <c r="B2683" t="str">
        <f>ADDRESS(ROW('Bond 1'!$B$42),COLUMN('Bond 1'!$B$42),4)</f>
        <v>B42</v>
      </c>
      <c r="C2683" t="str">
        <f>ADDRESS(ROW('Bond 1'!$D$42),COLUMN('Bond 1'!$D$42),4)</f>
        <v>D42</v>
      </c>
      <c r="D2683" t="b" cm="1">
        <f t="array" aca="1" ref="D2683" ca="1">IF(INDIRECT("'"&amp;A2683&amp;"'!"&amp;B2683)="",FALSE,IF(TRUNC(INDIRECT("'"&amp;A2683&amp;"'!"&amp;B2683))=INDIRECT("'"&amp;A2683&amp;"'!"&amp;B2683),FALSE,TRUE))</f>
        <v>0</v>
      </c>
      <c r="E2683" t="s">
        <v>436</v>
      </c>
      <c r="F2683" t="str">
        <f>INDEX(Lists!I:I,MATCH(Validation!E2683,Lists!G:G,0))</f>
        <v>Error</v>
      </c>
      <c r="G2683" t="str">
        <f>INDEX(Lists!H:H,MATCH(Validation!E2683,Lists!G:G,0))</f>
        <v>Amount must be rounded to the nearest dollar.</v>
      </c>
      <c r="H2683" s="25" t="str">
        <f t="shared" ca="1" si="300"/>
        <v/>
      </c>
      <c r="I2683" s="25" t="str">
        <f t="shared" ca="1" si="301"/>
        <v/>
      </c>
      <c r="J2683" s="26" t="str">
        <f t="shared" ca="1" si="302"/>
        <v/>
      </c>
    </row>
    <row r="2684" spans="1:10" x14ac:dyDescent="0.25">
      <c r="A2684" t="s">
        <v>311</v>
      </c>
      <c r="B2684" t="str">
        <f>ADDRESS(ROW('Bond 1'!$B$42),COLUMN('Bond 1'!$B$42),4)</f>
        <v>B42</v>
      </c>
      <c r="C2684" t="str">
        <f>ADDRESS(ROW('Bond 1'!$D$42),COLUMN('Bond 1'!$D$42),4)</f>
        <v>D42</v>
      </c>
      <c r="D2684" t="b" cm="1">
        <f t="array" aca="1" ref="D2684" ca="1">IF(INDIRECT("'"&amp;A2684&amp;"'!"&amp;B2684)="",FALSE,IF(TRUNC(INDIRECT("'"&amp;A2684&amp;"'!"&amp;B2684))=INDIRECT("'"&amp;A2684&amp;"'!"&amp;B2684),FALSE,TRUE))</f>
        <v>0</v>
      </c>
      <c r="E2684" t="s">
        <v>436</v>
      </c>
      <c r="F2684" t="str">
        <f>INDEX(Lists!I:I,MATCH(Validation!E2684,Lists!G:G,0))</f>
        <v>Error</v>
      </c>
      <c r="G2684" t="str">
        <f>INDEX(Lists!H:H,MATCH(Validation!E2684,Lists!G:G,0))</f>
        <v>Amount must be rounded to the nearest dollar.</v>
      </c>
      <c r="H2684" s="25" t="str">
        <f t="shared" ca="1" si="300"/>
        <v/>
      </c>
      <c r="I2684" s="25" t="str">
        <f t="shared" ca="1" si="301"/>
        <v/>
      </c>
      <c r="J2684" s="26" t="str">
        <f t="shared" ca="1" si="302"/>
        <v/>
      </c>
    </row>
    <row r="2685" spans="1:10" x14ac:dyDescent="0.25">
      <c r="A2685" t="s">
        <v>312</v>
      </c>
      <c r="B2685" t="str">
        <f>ADDRESS(ROW('Bond 1'!$B$42),COLUMN('Bond 1'!$B$42),4)</f>
        <v>B42</v>
      </c>
      <c r="C2685" t="str">
        <f>ADDRESS(ROW('Bond 1'!$D$42),COLUMN('Bond 1'!$D$42),4)</f>
        <v>D42</v>
      </c>
      <c r="D2685" t="b" cm="1">
        <f t="array" aca="1" ref="D2685" ca="1">IF(INDIRECT("'"&amp;A2685&amp;"'!"&amp;B2685)="",FALSE,IF(TRUNC(INDIRECT("'"&amp;A2685&amp;"'!"&amp;B2685))=INDIRECT("'"&amp;A2685&amp;"'!"&amp;B2685),FALSE,TRUE))</f>
        <v>0</v>
      </c>
      <c r="E2685" t="s">
        <v>436</v>
      </c>
      <c r="F2685" t="str">
        <f>INDEX(Lists!I:I,MATCH(Validation!E2685,Lists!G:G,0))</f>
        <v>Error</v>
      </c>
      <c r="G2685" t="str">
        <f>INDEX(Lists!H:H,MATCH(Validation!E2685,Lists!G:G,0))</f>
        <v>Amount must be rounded to the nearest dollar.</v>
      </c>
      <c r="H2685" s="25" t="str">
        <f t="shared" ca="1" si="300"/>
        <v/>
      </c>
      <c r="I2685" s="25" t="str">
        <f t="shared" ca="1" si="301"/>
        <v/>
      </c>
      <c r="J2685" s="26" t="str">
        <f t="shared" ca="1" si="302"/>
        <v/>
      </c>
    </row>
    <row r="2686" spans="1:10" x14ac:dyDescent="0.25">
      <c r="A2686" t="s">
        <v>313</v>
      </c>
      <c r="B2686" t="str">
        <f>ADDRESS(ROW('Bond 1'!$B$42),COLUMN('Bond 1'!$B$42),4)</f>
        <v>B42</v>
      </c>
      <c r="C2686" t="str">
        <f>ADDRESS(ROW('Bond 1'!$D$42),COLUMN('Bond 1'!$D$42),4)</f>
        <v>D42</v>
      </c>
      <c r="D2686" t="b" cm="1">
        <f t="array" aca="1" ref="D2686" ca="1">IF(INDIRECT("'"&amp;A2686&amp;"'!"&amp;B2686)="",FALSE,IF(TRUNC(INDIRECT("'"&amp;A2686&amp;"'!"&amp;B2686))=INDIRECT("'"&amp;A2686&amp;"'!"&amp;B2686),FALSE,TRUE))</f>
        <v>0</v>
      </c>
      <c r="E2686" t="s">
        <v>436</v>
      </c>
      <c r="F2686" t="str">
        <f>INDEX(Lists!I:I,MATCH(Validation!E2686,Lists!G:G,0))</f>
        <v>Error</v>
      </c>
      <c r="G2686" t="str">
        <f>INDEX(Lists!H:H,MATCH(Validation!E2686,Lists!G:G,0))</f>
        <v>Amount must be rounded to the nearest dollar.</v>
      </c>
      <c r="H2686" s="25" t="str">
        <f t="shared" ca="1" si="300"/>
        <v/>
      </c>
      <c r="I2686" s="25" t="str">
        <f t="shared" ca="1" si="301"/>
        <v/>
      </c>
      <c r="J2686" s="26" t="str">
        <f t="shared" ca="1" si="302"/>
        <v/>
      </c>
    </row>
    <row r="2687" spans="1:10" x14ac:dyDescent="0.25">
      <c r="A2687" t="s">
        <v>314</v>
      </c>
      <c r="B2687" t="str">
        <f>ADDRESS(ROW('Bond 1'!$B$42),COLUMN('Bond 1'!$B$42),4)</f>
        <v>B42</v>
      </c>
      <c r="C2687" t="str">
        <f>ADDRESS(ROW('Bond 1'!$D$42),COLUMN('Bond 1'!$D$42),4)</f>
        <v>D42</v>
      </c>
      <c r="D2687" t="b" cm="1">
        <f t="array" aca="1" ref="D2687" ca="1">IF(INDIRECT("'"&amp;A2687&amp;"'!"&amp;B2687)="",FALSE,IF(TRUNC(INDIRECT("'"&amp;A2687&amp;"'!"&amp;B2687))=INDIRECT("'"&amp;A2687&amp;"'!"&amp;B2687),FALSE,TRUE))</f>
        <v>0</v>
      </c>
      <c r="E2687" t="s">
        <v>436</v>
      </c>
      <c r="F2687" t="str">
        <f>INDEX(Lists!I:I,MATCH(Validation!E2687,Lists!G:G,0))</f>
        <v>Error</v>
      </c>
      <c r="G2687" t="str">
        <f>INDEX(Lists!H:H,MATCH(Validation!E2687,Lists!G:G,0))</f>
        <v>Amount must be rounded to the nearest dollar.</v>
      </c>
      <c r="H2687" s="25" t="str">
        <f t="shared" ca="1" si="300"/>
        <v/>
      </c>
      <c r="I2687" s="25" t="str">
        <f t="shared" ca="1" si="301"/>
        <v/>
      </c>
      <c r="J2687" s="26" t="str">
        <f t="shared" ca="1" si="302"/>
        <v/>
      </c>
    </row>
    <row r="2688" spans="1:10" x14ac:dyDescent="0.25">
      <c r="A2688" t="s">
        <v>315</v>
      </c>
      <c r="B2688" t="str">
        <f>ADDRESS(ROW('Bond 1'!$B$42),COLUMN('Bond 1'!$B$42),4)</f>
        <v>B42</v>
      </c>
      <c r="C2688" t="str">
        <f>ADDRESS(ROW('Bond 1'!$D$42),COLUMN('Bond 1'!$D$42),4)</f>
        <v>D42</v>
      </c>
      <c r="D2688" t="b" cm="1">
        <f t="array" aca="1" ref="D2688" ca="1">IF(INDIRECT("'"&amp;A2688&amp;"'!"&amp;B2688)="",FALSE,IF(TRUNC(INDIRECT("'"&amp;A2688&amp;"'!"&amp;B2688))=INDIRECT("'"&amp;A2688&amp;"'!"&amp;B2688),FALSE,TRUE))</f>
        <v>0</v>
      </c>
      <c r="E2688" t="s">
        <v>436</v>
      </c>
      <c r="F2688" t="str">
        <f>INDEX(Lists!I:I,MATCH(Validation!E2688,Lists!G:G,0))</f>
        <v>Error</v>
      </c>
      <c r="G2688" t="str">
        <f>INDEX(Lists!H:H,MATCH(Validation!E2688,Lists!G:G,0))</f>
        <v>Amount must be rounded to the nearest dollar.</v>
      </c>
      <c r="H2688" s="25" t="str">
        <f t="shared" ca="1" si="300"/>
        <v/>
      </c>
      <c r="I2688" s="25" t="str">
        <f t="shared" ca="1" si="301"/>
        <v/>
      </c>
      <c r="J2688" s="26" t="str">
        <f t="shared" ca="1" si="302"/>
        <v/>
      </c>
    </row>
    <row r="2689" spans="1:10" x14ac:dyDescent="0.25">
      <c r="A2689" t="s">
        <v>198</v>
      </c>
      <c r="B2689" t="str">
        <f>ADDRESS(ROW('Bond 1'!$B$42),COLUMN('Bond 1'!$B$42),4)</f>
        <v>B42</v>
      </c>
      <c r="C2689" t="str">
        <f>ADDRESS(ROW('Bond 1'!$D$42),COLUMN('Bond 1'!$D$42),4)</f>
        <v>D42</v>
      </c>
      <c r="D2689" t="b" cm="1">
        <f t="array" aca="1" ref="D2689" ca="1">IF(AND(NOT(ISBLANK('Bond Input'!C$57)),INDIRECT("'"&amp;A2689&amp;"'!"&amp;B2689)&lt;&gt;'Bond Input'!C$57),TRUE,FALSE)</f>
        <v>0</v>
      </c>
      <c r="E2689" t="s">
        <v>634</v>
      </c>
      <c r="F2689" t="str">
        <f>INDEX(Lists!I:I,MATCH(Validation!E2689,Lists!G:G,0))</f>
        <v>Alert</v>
      </c>
      <c r="G2689" t="str">
        <f>INDEX(Lists!H:H,MATCH(Validation!E2689,Lists!G:G,0))</f>
        <v>You have changed previously reported data. Explain in the comments box.</v>
      </c>
      <c r="H2689" s="25" t="str">
        <f t="shared" ref="H2689:H2702" ca="1" si="303">IFERROR(IF(OR(NOT(D2689),F2689&lt;&gt;"Error"),"",A2689&amp;CELL("address",INDIRECT(B2689))),"")</f>
        <v/>
      </c>
      <c r="I2689" s="25" t="str">
        <f t="shared" ref="I2689:I2702" ca="1" si="304">IFERROR(IF(NOT(D2689),"",A2689&amp;CELL("address",INDIRECT(C2689))),"")</f>
        <v/>
      </c>
      <c r="J2689" s="26" t="str">
        <f t="shared" ref="J2689:J2702" ca="1" si="305">IFERROR(IF(NOT(D2689),"",A2689),"")</f>
        <v/>
      </c>
    </row>
    <row r="2690" spans="1:10" x14ac:dyDescent="0.25">
      <c r="A2690" t="s">
        <v>302</v>
      </c>
      <c r="B2690" t="str">
        <f>ADDRESS(ROW('Bond 1'!$B$42),COLUMN('Bond 1'!$B$42),4)</f>
        <v>B42</v>
      </c>
      <c r="C2690" t="str">
        <f>ADDRESS(ROW('Bond 1'!$D$42),COLUMN('Bond 1'!$D$42),4)</f>
        <v>D42</v>
      </c>
      <c r="D2690" t="b" cm="1">
        <f t="array" aca="1" ref="D2690" ca="1">IF(AND(NOT(ISBLANK('Bond Input'!D$57)),INDIRECT("'"&amp;A2690&amp;"'!"&amp;B2690)&lt;&gt;'Bond Input'!D$57),TRUE,FALSE)</f>
        <v>0</v>
      </c>
      <c r="E2690" t="s">
        <v>634</v>
      </c>
      <c r="F2690" t="str">
        <f>INDEX(Lists!I:I,MATCH(Validation!E2690,Lists!G:G,0))</f>
        <v>Alert</v>
      </c>
      <c r="G2690" t="str">
        <f>INDEX(Lists!H:H,MATCH(Validation!E2690,Lists!G:G,0))</f>
        <v>You have changed previously reported data. Explain in the comments box.</v>
      </c>
      <c r="H2690" s="25" t="str">
        <f t="shared" ca="1" si="303"/>
        <v/>
      </c>
      <c r="I2690" s="25" t="str">
        <f t="shared" ca="1" si="304"/>
        <v/>
      </c>
      <c r="J2690" s="26" t="str">
        <f t="shared" ca="1" si="305"/>
        <v/>
      </c>
    </row>
    <row r="2691" spans="1:10" x14ac:dyDescent="0.25">
      <c r="A2691" t="s">
        <v>303</v>
      </c>
      <c r="B2691" t="str">
        <f>ADDRESS(ROW('Bond 1'!$B$42),COLUMN('Bond 1'!$B$42),4)</f>
        <v>B42</v>
      </c>
      <c r="C2691" t="str">
        <f>ADDRESS(ROW('Bond 1'!$D$42),COLUMN('Bond 1'!$D$42),4)</f>
        <v>D42</v>
      </c>
      <c r="D2691" t="b" cm="1">
        <f t="array" aca="1" ref="D2691" ca="1">IF(AND(NOT(ISBLANK('Bond Input'!E$57)),INDIRECT("'"&amp;A2691&amp;"'!"&amp;B2691)&lt;&gt;'Bond Input'!E$57),TRUE,FALSE)</f>
        <v>0</v>
      </c>
      <c r="E2691" t="s">
        <v>634</v>
      </c>
      <c r="F2691" t="str">
        <f>INDEX(Lists!I:I,MATCH(Validation!E2691,Lists!G:G,0))</f>
        <v>Alert</v>
      </c>
      <c r="G2691" t="str">
        <f>INDEX(Lists!H:H,MATCH(Validation!E2691,Lists!G:G,0))</f>
        <v>You have changed previously reported data. Explain in the comments box.</v>
      </c>
      <c r="H2691" s="25" t="str">
        <f t="shared" ca="1" si="303"/>
        <v/>
      </c>
      <c r="I2691" s="25" t="str">
        <f t="shared" ca="1" si="304"/>
        <v/>
      </c>
      <c r="J2691" s="26" t="str">
        <f t="shared" ca="1" si="305"/>
        <v/>
      </c>
    </row>
    <row r="2692" spans="1:10" x14ac:dyDescent="0.25">
      <c r="A2692" t="s">
        <v>304</v>
      </c>
      <c r="B2692" t="str">
        <f>ADDRESS(ROW('Bond 1'!$B$42),COLUMN('Bond 1'!$B$42),4)</f>
        <v>B42</v>
      </c>
      <c r="C2692" t="str">
        <f>ADDRESS(ROW('Bond 1'!$D$42),COLUMN('Bond 1'!$D$42),4)</f>
        <v>D42</v>
      </c>
      <c r="D2692" t="b" cm="1">
        <f t="array" aca="1" ref="D2692" ca="1">IF(AND(NOT(ISBLANK('Bond Input'!F$57)),INDIRECT("'"&amp;A2692&amp;"'!"&amp;B2692)&lt;&gt;'Bond Input'!F$57),TRUE,FALSE)</f>
        <v>0</v>
      </c>
      <c r="E2692" t="s">
        <v>634</v>
      </c>
      <c r="F2692" t="str">
        <f>INDEX(Lists!I:I,MATCH(Validation!E2692,Lists!G:G,0))</f>
        <v>Alert</v>
      </c>
      <c r="G2692" t="str">
        <f>INDEX(Lists!H:H,MATCH(Validation!E2692,Lists!G:G,0))</f>
        <v>You have changed previously reported data. Explain in the comments box.</v>
      </c>
      <c r="H2692" s="25" t="str">
        <f t="shared" ca="1" si="303"/>
        <v/>
      </c>
      <c r="I2692" s="25" t="str">
        <f t="shared" ca="1" si="304"/>
        <v/>
      </c>
      <c r="J2692" s="26" t="str">
        <f t="shared" ca="1" si="305"/>
        <v/>
      </c>
    </row>
    <row r="2693" spans="1:10" x14ac:dyDescent="0.25">
      <c r="A2693" t="s">
        <v>305</v>
      </c>
      <c r="B2693" t="str">
        <f>ADDRESS(ROW('Bond 1'!$B$42),COLUMN('Bond 1'!$B$42),4)</f>
        <v>B42</v>
      </c>
      <c r="C2693" t="str">
        <f>ADDRESS(ROW('Bond 1'!$D$42),COLUMN('Bond 1'!$D$42),4)</f>
        <v>D42</v>
      </c>
      <c r="D2693" t="b" cm="1">
        <f t="array" aca="1" ref="D2693" ca="1">IF(AND(NOT(ISBLANK('Bond Input'!G$57)),INDIRECT("'"&amp;A2693&amp;"'!"&amp;B2693)&lt;&gt;'Bond Input'!G$57),TRUE,FALSE)</f>
        <v>0</v>
      </c>
      <c r="E2693" t="s">
        <v>634</v>
      </c>
      <c r="F2693" t="str">
        <f>INDEX(Lists!I:I,MATCH(Validation!E2693,Lists!G:G,0))</f>
        <v>Alert</v>
      </c>
      <c r="G2693" t="str">
        <f>INDEX(Lists!H:H,MATCH(Validation!E2693,Lists!G:G,0))</f>
        <v>You have changed previously reported data. Explain in the comments box.</v>
      </c>
      <c r="H2693" s="25" t="str">
        <f t="shared" ca="1" si="303"/>
        <v/>
      </c>
      <c r="I2693" s="25" t="str">
        <f t="shared" ca="1" si="304"/>
        <v/>
      </c>
      <c r="J2693" s="26" t="str">
        <f t="shared" ca="1" si="305"/>
        <v/>
      </c>
    </row>
    <row r="2694" spans="1:10" x14ac:dyDescent="0.25">
      <c r="A2694" t="s">
        <v>306</v>
      </c>
      <c r="B2694" t="str">
        <f>ADDRESS(ROW('Bond 1'!$B$42),COLUMN('Bond 1'!$B$42),4)</f>
        <v>B42</v>
      </c>
      <c r="C2694" t="str">
        <f>ADDRESS(ROW('Bond 1'!$D$42),COLUMN('Bond 1'!$D$42),4)</f>
        <v>D42</v>
      </c>
      <c r="D2694" t="b" cm="1">
        <f t="array" aca="1" ref="D2694" ca="1">IF(AND(NOT(ISBLANK('Bond Input'!H$57)),INDIRECT("'"&amp;A2694&amp;"'!"&amp;B2694)&lt;&gt;'Bond Input'!H$57),TRUE,FALSE)</f>
        <v>0</v>
      </c>
      <c r="E2694" t="s">
        <v>634</v>
      </c>
      <c r="F2694" t="str">
        <f>INDEX(Lists!I:I,MATCH(Validation!E2694,Lists!G:G,0))</f>
        <v>Alert</v>
      </c>
      <c r="G2694" t="str">
        <f>INDEX(Lists!H:H,MATCH(Validation!E2694,Lists!G:G,0))</f>
        <v>You have changed previously reported data. Explain in the comments box.</v>
      </c>
      <c r="H2694" s="25" t="str">
        <f t="shared" ca="1" si="303"/>
        <v/>
      </c>
      <c r="I2694" s="25" t="str">
        <f t="shared" ca="1" si="304"/>
        <v/>
      </c>
      <c r="J2694" s="26" t="str">
        <f t="shared" ca="1" si="305"/>
        <v/>
      </c>
    </row>
    <row r="2695" spans="1:10" x14ac:dyDescent="0.25">
      <c r="A2695" t="s">
        <v>307</v>
      </c>
      <c r="B2695" t="str">
        <f>ADDRESS(ROW('Bond 1'!$B$42),COLUMN('Bond 1'!$B$42),4)</f>
        <v>B42</v>
      </c>
      <c r="C2695" t="str">
        <f>ADDRESS(ROW('Bond 1'!$D$42),COLUMN('Bond 1'!$D$42),4)</f>
        <v>D42</v>
      </c>
      <c r="D2695" t="b" cm="1">
        <f t="array" aca="1" ref="D2695" ca="1">IF(AND(NOT(ISBLANK('Bond Input'!I$57)),INDIRECT("'"&amp;A2695&amp;"'!"&amp;B2695)&lt;&gt;'Bond Input'!I$57),TRUE,FALSE)</f>
        <v>0</v>
      </c>
      <c r="E2695" t="s">
        <v>634</v>
      </c>
      <c r="F2695" t="str">
        <f>INDEX(Lists!I:I,MATCH(Validation!E2695,Lists!G:G,0))</f>
        <v>Alert</v>
      </c>
      <c r="G2695" t="str">
        <f>INDEX(Lists!H:H,MATCH(Validation!E2695,Lists!G:G,0))</f>
        <v>You have changed previously reported data. Explain in the comments box.</v>
      </c>
      <c r="H2695" s="25" t="str">
        <f t="shared" ca="1" si="303"/>
        <v/>
      </c>
      <c r="I2695" s="25" t="str">
        <f t="shared" ca="1" si="304"/>
        <v/>
      </c>
      <c r="J2695" s="26" t="str">
        <f t="shared" ca="1" si="305"/>
        <v/>
      </c>
    </row>
    <row r="2696" spans="1:10" x14ac:dyDescent="0.25">
      <c r="A2696" t="s">
        <v>308</v>
      </c>
      <c r="B2696" t="str">
        <f>ADDRESS(ROW('Bond 1'!$B$42),COLUMN('Bond 1'!$B$42),4)</f>
        <v>B42</v>
      </c>
      <c r="C2696" t="str">
        <f>ADDRESS(ROW('Bond 1'!$D$42),COLUMN('Bond 1'!$D$42),4)</f>
        <v>D42</v>
      </c>
      <c r="D2696" t="b" cm="1">
        <f t="array" aca="1" ref="D2696" ca="1">IF(AND(NOT(ISBLANK('Bond Input'!J$57)),INDIRECT("'"&amp;A2696&amp;"'!"&amp;B2696)&lt;&gt;'Bond Input'!J$57),TRUE,FALSE)</f>
        <v>0</v>
      </c>
      <c r="E2696" t="s">
        <v>634</v>
      </c>
      <c r="F2696" t="str">
        <f>INDEX(Lists!I:I,MATCH(Validation!E2696,Lists!G:G,0))</f>
        <v>Alert</v>
      </c>
      <c r="G2696" t="str">
        <f>INDEX(Lists!H:H,MATCH(Validation!E2696,Lists!G:G,0))</f>
        <v>You have changed previously reported data. Explain in the comments box.</v>
      </c>
      <c r="H2696" s="25" t="str">
        <f t="shared" ca="1" si="303"/>
        <v/>
      </c>
      <c r="I2696" s="25" t="str">
        <f t="shared" ca="1" si="304"/>
        <v/>
      </c>
      <c r="J2696" s="26" t="str">
        <f t="shared" ca="1" si="305"/>
        <v/>
      </c>
    </row>
    <row r="2697" spans="1:10" x14ac:dyDescent="0.25">
      <c r="A2697" t="s">
        <v>309</v>
      </c>
      <c r="B2697" t="str">
        <f>ADDRESS(ROW('Bond 1'!$B$42),COLUMN('Bond 1'!$B$42),4)</f>
        <v>B42</v>
      </c>
      <c r="C2697" t="str">
        <f>ADDRESS(ROW('Bond 1'!$D$42),COLUMN('Bond 1'!$D$42),4)</f>
        <v>D42</v>
      </c>
      <c r="D2697" t="b" cm="1">
        <f t="array" aca="1" ref="D2697" ca="1">IF(AND(NOT(ISBLANK('Bond Input'!K$57)),INDIRECT("'"&amp;A2697&amp;"'!"&amp;B2697)&lt;&gt;'Bond Input'!K$57),TRUE,FALSE)</f>
        <v>0</v>
      </c>
      <c r="E2697" t="s">
        <v>634</v>
      </c>
      <c r="F2697" t="str">
        <f>INDEX(Lists!I:I,MATCH(Validation!E2697,Lists!G:G,0))</f>
        <v>Alert</v>
      </c>
      <c r="G2697" t="str">
        <f>INDEX(Lists!H:H,MATCH(Validation!E2697,Lists!G:G,0))</f>
        <v>You have changed previously reported data. Explain in the comments box.</v>
      </c>
      <c r="H2697" s="25" t="str">
        <f t="shared" ca="1" si="303"/>
        <v/>
      </c>
      <c r="I2697" s="25" t="str">
        <f t="shared" ca="1" si="304"/>
        <v/>
      </c>
      <c r="J2697" s="26" t="str">
        <f t="shared" ca="1" si="305"/>
        <v/>
      </c>
    </row>
    <row r="2698" spans="1:10" x14ac:dyDescent="0.25">
      <c r="A2698" t="s">
        <v>310</v>
      </c>
      <c r="B2698" t="str">
        <f>ADDRESS(ROW('Bond 1'!$B$42),COLUMN('Bond 1'!$B$42),4)</f>
        <v>B42</v>
      </c>
      <c r="C2698" t="str">
        <f>ADDRESS(ROW('Bond 1'!$D$42),COLUMN('Bond 1'!$D$42),4)</f>
        <v>D42</v>
      </c>
      <c r="D2698" t="b" cm="1">
        <f t="array" aca="1" ref="D2698" ca="1">IF(AND(NOT(ISBLANK('Bond Input'!L$57)),INDIRECT("'"&amp;A2698&amp;"'!"&amp;B2698)&lt;&gt;'Bond Input'!L$57),TRUE,FALSE)</f>
        <v>0</v>
      </c>
      <c r="E2698" t="s">
        <v>634</v>
      </c>
      <c r="F2698" t="str">
        <f>INDEX(Lists!I:I,MATCH(Validation!E2698,Lists!G:G,0))</f>
        <v>Alert</v>
      </c>
      <c r="G2698" t="str">
        <f>INDEX(Lists!H:H,MATCH(Validation!E2698,Lists!G:G,0))</f>
        <v>You have changed previously reported data. Explain in the comments box.</v>
      </c>
      <c r="H2698" s="25" t="str">
        <f t="shared" ca="1" si="303"/>
        <v/>
      </c>
      <c r="I2698" s="25" t="str">
        <f t="shared" ca="1" si="304"/>
        <v/>
      </c>
      <c r="J2698" s="26" t="str">
        <f t="shared" ca="1" si="305"/>
        <v/>
      </c>
    </row>
    <row r="2699" spans="1:10" x14ac:dyDescent="0.25">
      <c r="A2699" t="s">
        <v>311</v>
      </c>
      <c r="B2699" t="str">
        <f>ADDRESS(ROW('Bond 1'!$B$42),COLUMN('Bond 1'!$B$42),4)</f>
        <v>B42</v>
      </c>
      <c r="C2699" t="str">
        <f>ADDRESS(ROW('Bond 1'!$D$42),COLUMN('Bond 1'!$D$42),4)</f>
        <v>D42</v>
      </c>
      <c r="D2699" t="b" cm="1">
        <f t="array" aca="1" ref="D2699" ca="1">IF(AND(NOT(ISBLANK('Bond Input'!M$57)),INDIRECT("'"&amp;A2699&amp;"'!"&amp;B2699)&lt;&gt;'Bond Input'!M$57),TRUE,FALSE)</f>
        <v>0</v>
      </c>
      <c r="E2699" t="s">
        <v>634</v>
      </c>
      <c r="F2699" t="str">
        <f>INDEX(Lists!I:I,MATCH(Validation!E2699,Lists!G:G,0))</f>
        <v>Alert</v>
      </c>
      <c r="G2699" t="str">
        <f>INDEX(Lists!H:H,MATCH(Validation!E2699,Lists!G:G,0))</f>
        <v>You have changed previously reported data. Explain in the comments box.</v>
      </c>
      <c r="H2699" s="25" t="str">
        <f t="shared" ca="1" si="303"/>
        <v/>
      </c>
      <c r="I2699" s="25" t="str">
        <f t="shared" ca="1" si="304"/>
        <v/>
      </c>
      <c r="J2699" s="26" t="str">
        <f t="shared" ca="1" si="305"/>
        <v/>
      </c>
    </row>
    <row r="2700" spans="1:10" x14ac:dyDescent="0.25">
      <c r="A2700" t="s">
        <v>312</v>
      </c>
      <c r="B2700" t="str">
        <f>ADDRESS(ROW('Bond 1'!$B$42),COLUMN('Bond 1'!$B$42),4)</f>
        <v>B42</v>
      </c>
      <c r="C2700" t="str">
        <f>ADDRESS(ROW('Bond 1'!$D$42),COLUMN('Bond 1'!$D$42),4)</f>
        <v>D42</v>
      </c>
      <c r="D2700" t="b" cm="1">
        <f t="array" aca="1" ref="D2700" ca="1">IF(AND(NOT(ISBLANK('Bond Input'!N$57)),INDIRECT("'"&amp;A2700&amp;"'!"&amp;B2700)&lt;&gt;'Bond Input'!N$57),TRUE,FALSE)</f>
        <v>0</v>
      </c>
      <c r="E2700" t="s">
        <v>634</v>
      </c>
      <c r="F2700" t="str">
        <f>INDEX(Lists!I:I,MATCH(Validation!E2700,Lists!G:G,0))</f>
        <v>Alert</v>
      </c>
      <c r="G2700" t="str">
        <f>INDEX(Lists!H:H,MATCH(Validation!E2700,Lists!G:G,0))</f>
        <v>You have changed previously reported data. Explain in the comments box.</v>
      </c>
      <c r="H2700" s="25" t="str">
        <f t="shared" ca="1" si="303"/>
        <v/>
      </c>
      <c r="I2700" s="25" t="str">
        <f t="shared" ca="1" si="304"/>
        <v/>
      </c>
      <c r="J2700" s="26" t="str">
        <f t="shared" ca="1" si="305"/>
        <v/>
      </c>
    </row>
    <row r="2701" spans="1:10" x14ac:dyDescent="0.25">
      <c r="A2701" t="s">
        <v>313</v>
      </c>
      <c r="B2701" t="str">
        <f>ADDRESS(ROW('Bond 1'!$B$42),COLUMN('Bond 1'!$B$42),4)</f>
        <v>B42</v>
      </c>
      <c r="C2701" t="str">
        <f>ADDRESS(ROW('Bond 1'!$D$42),COLUMN('Bond 1'!$D$42),4)</f>
        <v>D42</v>
      </c>
      <c r="D2701" t="b" cm="1">
        <f t="array" aca="1" ref="D2701" ca="1">IF(AND(NOT(ISBLANK('Bond Input'!O$57)),INDIRECT("'"&amp;A2701&amp;"'!"&amp;B2701)&lt;&gt;'Bond Input'!O$57),TRUE,FALSE)</f>
        <v>0</v>
      </c>
      <c r="E2701" t="s">
        <v>634</v>
      </c>
      <c r="F2701" t="str">
        <f>INDEX(Lists!I:I,MATCH(Validation!E2701,Lists!G:G,0))</f>
        <v>Alert</v>
      </c>
      <c r="G2701" t="str">
        <f>INDEX(Lists!H:H,MATCH(Validation!E2701,Lists!G:G,0))</f>
        <v>You have changed previously reported data. Explain in the comments box.</v>
      </c>
      <c r="H2701" s="25" t="str">
        <f t="shared" ca="1" si="303"/>
        <v/>
      </c>
      <c r="I2701" s="25" t="str">
        <f t="shared" ca="1" si="304"/>
        <v/>
      </c>
      <c r="J2701" s="26" t="str">
        <f t="shared" ca="1" si="305"/>
        <v/>
      </c>
    </row>
    <row r="2702" spans="1:10" x14ac:dyDescent="0.25">
      <c r="A2702" t="s">
        <v>314</v>
      </c>
      <c r="B2702" t="str">
        <f>ADDRESS(ROW('Bond 1'!$B$42),COLUMN('Bond 1'!$B$42),4)</f>
        <v>B42</v>
      </c>
      <c r="C2702" t="str">
        <f>ADDRESS(ROW('Bond 1'!$D$42),COLUMN('Bond 1'!$D$42),4)</f>
        <v>D42</v>
      </c>
      <c r="D2702" t="b" cm="1">
        <f t="array" aca="1" ref="D2702" ca="1">IF(AND(NOT(ISBLANK('Bond Input'!P$57)),INDIRECT("'"&amp;A2702&amp;"'!"&amp;B2702)&lt;&gt;'Bond Input'!P$57),TRUE,FALSE)</f>
        <v>0</v>
      </c>
      <c r="E2702" t="s">
        <v>634</v>
      </c>
      <c r="F2702" t="str">
        <f>INDEX(Lists!I:I,MATCH(Validation!E2702,Lists!G:G,0))</f>
        <v>Alert</v>
      </c>
      <c r="G2702" t="str">
        <f>INDEX(Lists!H:H,MATCH(Validation!E2702,Lists!G:G,0))</f>
        <v>You have changed previously reported data. Explain in the comments box.</v>
      </c>
      <c r="H2702" s="25" t="str">
        <f t="shared" ca="1" si="303"/>
        <v/>
      </c>
      <c r="I2702" s="25" t="str">
        <f t="shared" ca="1" si="304"/>
        <v/>
      </c>
      <c r="J2702" s="26" t="str">
        <f t="shared" ca="1" si="305"/>
        <v/>
      </c>
    </row>
    <row r="2703" spans="1:10" x14ac:dyDescent="0.25">
      <c r="A2703" t="s">
        <v>315</v>
      </c>
      <c r="B2703" t="str">
        <f>ADDRESS(ROW('Bond 1'!$B$42),COLUMN('Bond 1'!$B$42),4)</f>
        <v>B42</v>
      </c>
      <c r="C2703" t="str">
        <f>ADDRESS(ROW('Bond 1'!$D$42),COLUMN('Bond 1'!$D$42),4)</f>
        <v>D42</v>
      </c>
      <c r="D2703" t="b" cm="1">
        <f t="array" aca="1" ref="D2703" ca="1">IF(AND(NOT(ISBLANK('Bond Input'!Q$57)),INDIRECT("'"&amp;A2703&amp;"'!"&amp;B2703)&lt;&gt;'Bond Input'!Q$57),TRUE,FALSE)</f>
        <v>0</v>
      </c>
      <c r="E2703" t="s">
        <v>634</v>
      </c>
      <c r="F2703" t="str">
        <f>INDEX(Lists!I:I,MATCH(Validation!E2703,Lists!G:G,0))</f>
        <v>Alert</v>
      </c>
      <c r="G2703" t="str">
        <f>INDEX(Lists!H:H,MATCH(Validation!E2703,Lists!G:G,0))</f>
        <v>You have changed previously reported data. Explain in the comments box.</v>
      </c>
      <c r="H2703" s="25" t="str">
        <f ca="1">IFERROR(IF(OR(NOT(D2703),F2703&lt;&gt;"Error"),"",A2703&amp;CELL("address",INDIRECT(B2703))),"")</f>
        <v/>
      </c>
      <c r="I2703" s="25" t="str">
        <f ca="1">IFERROR(IF(NOT(D2703),"",A2703&amp;CELL("address",INDIRECT(C2703))),"")</f>
        <v/>
      </c>
      <c r="J2703" s="26" t="str">
        <f ca="1">IFERROR(IF(NOT(D2703),"",A2703),"")</f>
        <v/>
      </c>
    </row>
    <row r="2704" spans="1:10" x14ac:dyDescent="0.25">
      <c r="A2704" t="s">
        <v>198</v>
      </c>
      <c r="B2704" t="str">
        <f>ADDRESS(ROW('Bond 1'!$C$42),COLUMN('Bond 1'!$C$42),4)</f>
        <v>C42</v>
      </c>
      <c r="C2704" t="str">
        <f>ADDRESS(ROW('Bond 1'!$D$42),COLUMN('Bond 1'!$D$42),4)</f>
        <v>D42</v>
      </c>
      <c r="D2704" t="b" cm="1">
        <f t="array" aca="1" ref="D2704" ca="1">IF(AND('Bond 1'!B$8="Non-TIF Bond",OR(ISBLANK(INDIRECT("'"&amp;A2704&amp;"'!"&amp;B2704)),INDIRECT("'"&amp;A2704&amp;"'!"&amp;B2704)&lt;&gt;0)),TRUE,FALSE)</f>
        <v>0</v>
      </c>
      <c r="E2704" t="s">
        <v>630</v>
      </c>
      <c r="F2704" t="str">
        <f>INDEX(Lists!I:I,MATCH(Validation!E2704,Lists!G:G,0))</f>
        <v>Error</v>
      </c>
      <c r="G2704" t="str">
        <f>INDEX(Lists!H:H,MATCH(Validation!E2704,Lists!G:G,0))</f>
        <v>Enter $0 if debt type is Non-TIF Bond.</v>
      </c>
      <c r="H2704" s="25" t="str">
        <f t="shared" ref="H2704:H2718" ca="1" si="306">IFERROR(IF(OR(NOT(D2704),F2704&lt;&gt;"Error"),"",A2704&amp;CELL("address",INDIRECT(B2704))),"")</f>
        <v/>
      </c>
      <c r="I2704" s="25" t="str">
        <f t="shared" ref="I2704:I2718" ca="1" si="307">IFERROR(IF(NOT(D2704),"",A2704&amp;CELL("address",INDIRECT(C2704))),"")</f>
        <v/>
      </c>
      <c r="J2704" s="26" t="str">
        <f t="shared" ref="J2704:J2718" ca="1" si="308">IFERROR(IF(NOT(D2704),"",A2704),"")</f>
        <v/>
      </c>
    </row>
    <row r="2705" spans="1:10" x14ac:dyDescent="0.25">
      <c r="A2705" t="s">
        <v>302</v>
      </c>
      <c r="B2705" t="str">
        <f>ADDRESS(ROW('Bond 1'!$C$42),COLUMN('Bond 1'!$C$42),4)</f>
        <v>C42</v>
      </c>
      <c r="C2705" t="str">
        <f>ADDRESS(ROW('Bond 1'!$D$42),COLUMN('Bond 1'!$D$42),4)</f>
        <v>D42</v>
      </c>
      <c r="D2705" t="b" cm="1">
        <f t="array" aca="1" ref="D2705" ca="1">IF(AND('Bond 2'!B$8="Non-TIF Bond",OR(ISBLANK(INDIRECT("'"&amp;A2705&amp;"'!"&amp;B2705)),INDIRECT("'"&amp;A2705&amp;"'!"&amp;B2705)&lt;&gt;0)),TRUE,FALSE)</f>
        <v>0</v>
      </c>
      <c r="E2705" t="s">
        <v>630</v>
      </c>
      <c r="F2705" t="str">
        <f>INDEX(Lists!I:I,MATCH(Validation!E2705,Lists!G:G,0))</f>
        <v>Error</v>
      </c>
      <c r="G2705" t="str">
        <f>INDEX(Lists!H:H,MATCH(Validation!E2705,Lists!G:G,0))</f>
        <v>Enter $0 if debt type is Non-TIF Bond.</v>
      </c>
      <c r="H2705" s="25" t="str">
        <f t="shared" ca="1" si="306"/>
        <v/>
      </c>
      <c r="I2705" s="25" t="str">
        <f t="shared" ca="1" si="307"/>
        <v/>
      </c>
      <c r="J2705" s="26" t="str">
        <f t="shared" ca="1" si="308"/>
        <v/>
      </c>
    </row>
    <row r="2706" spans="1:10" x14ac:dyDescent="0.25">
      <c r="A2706" t="s">
        <v>303</v>
      </c>
      <c r="B2706" t="str">
        <f>ADDRESS(ROW('Bond 1'!$C$42),COLUMN('Bond 1'!$C$42),4)</f>
        <v>C42</v>
      </c>
      <c r="C2706" t="str">
        <f>ADDRESS(ROW('Bond 1'!$D$42),COLUMN('Bond 1'!$D$42),4)</f>
        <v>D42</v>
      </c>
      <c r="D2706" t="b" cm="1">
        <f t="array" aca="1" ref="D2706" ca="1">IF(AND('Bond 3'!B$8="Non-TIF Bond",OR(ISBLANK(INDIRECT("'"&amp;A2706&amp;"'!"&amp;B2706)),INDIRECT("'"&amp;A2706&amp;"'!"&amp;B2706)&lt;&gt;0)),TRUE,FALSE)</f>
        <v>0</v>
      </c>
      <c r="E2706" t="s">
        <v>630</v>
      </c>
      <c r="F2706" t="str">
        <f>INDEX(Lists!I:I,MATCH(Validation!E2706,Lists!G:G,0))</f>
        <v>Error</v>
      </c>
      <c r="G2706" t="str">
        <f>INDEX(Lists!H:H,MATCH(Validation!E2706,Lists!G:G,0))</f>
        <v>Enter $0 if debt type is Non-TIF Bond.</v>
      </c>
      <c r="H2706" s="25" t="str">
        <f t="shared" ca="1" si="306"/>
        <v/>
      </c>
      <c r="I2706" s="25" t="str">
        <f t="shared" ca="1" si="307"/>
        <v/>
      </c>
      <c r="J2706" s="26" t="str">
        <f t="shared" ca="1" si="308"/>
        <v/>
      </c>
    </row>
    <row r="2707" spans="1:10" x14ac:dyDescent="0.25">
      <c r="A2707" t="s">
        <v>304</v>
      </c>
      <c r="B2707" t="str">
        <f>ADDRESS(ROW('Bond 1'!$C$42),COLUMN('Bond 1'!$C$42),4)</f>
        <v>C42</v>
      </c>
      <c r="C2707" t="str">
        <f>ADDRESS(ROW('Bond 1'!$D$42),COLUMN('Bond 1'!$D$42),4)</f>
        <v>D42</v>
      </c>
      <c r="D2707" t="b" cm="1">
        <f t="array" aca="1" ref="D2707" ca="1">IF(AND('Bond 4'!B$8="Non-TIF Bond",OR(ISBLANK(INDIRECT("'"&amp;A2707&amp;"'!"&amp;B2707)),INDIRECT("'"&amp;A2707&amp;"'!"&amp;B2707)&lt;&gt;0)),TRUE,FALSE)</f>
        <v>0</v>
      </c>
      <c r="E2707" t="s">
        <v>630</v>
      </c>
      <c r="F2707" t="str">
        <f>INDEX(Lists!I:I,MATCH(Validation!E2707,Lists!G:G,0))</f>
        <v>Error</v>
      </c>
      <c r="G2707" t="str">
        <f>INDEX(Lists!H:H,MATCH(Validation!E2707,Lists!G:G,0))</f>
        <v>Enter $0 if debt type is Non-TIF Bond.</v>
      </c>
      <c r="H2707" s="25" t="str">
        <f t="shared" ca="1" si="306"/>
        <v/>
      </c>
      <c r="I2707" s="25" t="str">
        <f t="shared" ca="1" si="307"/>
        <v/>
      </c>
      <c r="J2707" s="26" t="str">
        <f t="shared" ca="1" si="308"/>
        <v/>
      </c>
    </row>
    <row r="2708" spans="1:10" x14ac:dyDescent="0.25">
      <c r="A2708" t="s">
        <v>305</v>
      </c>
      <c r="B2708" t="str">
        <f>ADDRESS(ROW('Bond 1'!$C$42),COLUMN('Bond 1'!$C$42),4)</f>
        <v>C42</v>
      </c>
      <c r="C2708" t="str">
        <f>ADDRESS(ROW('Bond 1'!$D$42),COLUMN('Bond 1'!$D$42),4)</f>
        <v>D42</v>
      </c>
      <c r="D2708" t="b" cm="1">
        <f t="array" aca="1" ref="D2708" ca="1">IF(AND('Bond 5'!B$8="Non-TIF Bond",OR(ISBLANK(INDIRECT("'"&amp;A2708&amp;"'!"&amp;B2708)),INDIRECT("'"&amp;A2708&amp;"'!"&amp;B2708)&lt;&gt;0)),TRUE,FALSE)</f>
        <v>0</v>
      </c>
      <c r="E2708" t="s">
        <v>630</v>
      </c>
      <c r="F2708" t="str">
        <f>INDEX(Lists!I:I,MATCH(Validation!E2708,Lists!G:G,0))</f>
        <v>Error</v>
      </c>
      <c r="G2708" t="str">
        <f>INDEX(Lists!H:H,MATCH(Validation!E2708,Lists!G:G,0))</f>
        <v>Enter $0 if debt type is Non-TIF Bond.</v>
      </c>
      <c r="H2708" s="25" t="str">
        <f t="shared" ca="1" si="306"/>
        <v/>
      </c>
      <c r="I2708" s="25" t="str">
        <f t="shared" ca="1" si="307"/>
        <v/>
      </c>
      <c r="J2708" s="26" t="str">
        <f t="shared" ca="1" si="308"/>
        <v/>
      </c>
    </row>
    <row r="2709" spans="1:10" x14ac:dyDescent="0.25">
      <c r="A2709" t="s">
        <v>306</v>
      </c>
      <c r="B2709" t="str">
        <f>ADDRESS(ROW('Bond 1'!$C$42),COLUMN('Bond 1'!$C$42),4)</f>
        <v>C42</v>
      </c>
      <c r="C2709" t="str">
        <f>ADDRESS(ROW('Bond 1'!$D$42),COLUMN('Bond 1'!$D$42),4)</f>
        <v>D42</v>
      </c>
      <c r="D2709" t="b" cm="1">
        <f t="array" aca="1" ref="D2709" ca="1">IF(AND('Bond 6'!B$8="Non-TIF Bond",OR(ISBLANK(INDIRECT("'"&amp;A2709&amp;"'!"&amp;B2709)),INDIRECT("'"&amp;A2709&amp;"'!"&amp;B2709)&lt;&gt;0)),TRUE,FALSE)</f>
        <v>0</v>
      </c>
      <c r="E2709" t="s">
        <v>630</v>
      </c>
      <c r="F2709" t="str">
        <f>INDEX(Lists!I:I,MATCH(Validation!E2709,Lists!G:G,0))</f>
        <v>Error</v>
      </c>
      <c r="G2709" t="str">
        <f>INDEX(Lists!H:H,MATCH(Validation!E2709,Lists!G:G,0))</f>
        <v>Enter $0 if debt type is Non-TIF Bond.</v>
      </c>
      <c r="H2709" s="25" t="str">
        <f t="shared" ca="1" si="306"/>
        <v/>
      </c>
      <c r="I2709" s="25" t="str">
        <f t="shared" ca="1" si="307"/>
        <v/>
      </c>
      <c r="J2709" s="26" t="str">
        <f t="shared" ca="1" si="308"/>
        <v/>
      </c>
    </row>
    <row r="2710" spans="1:10" x14ac:dyDescent="0.25">
      <c r="A2710" t="s">
        <v>307</v>
      </c>
      <c r="B2710" t="str">
        <f>ADDRESS(ROW('Bond 1'!$C$42),COLUMN('Bond 1'!$C$42),4)</f>
        <v>C42</v>
      </c>
      <c r="C2710" t="str">
        <f>ADDRESS(ROW('Bond 1'!$D$42),COLUMN('Bond 1'!$D$42),4)</f>
        <v>D42</v>
      </c>
      <c r="D2710" t="b" cm="1">
        <f t="array" aca="1" ref="D2710" ca="1">IF(AND('Bond 7'!B$8="Non-TIF Bond",OR(ISBLANK(INDIRECT("'"&amp;A2710&amp;"'!"&amp;B2710)),INDIRECT("'"&amp;A2710&amp;"'!"&amp;B2710)&lt;&gt;0)),TRUE,FALSE)</f>
        <v>0</v>
      </c>
      <c r="E2710" t="s">
        <v>630</v>
      </c>
      <c r="F2710" t="str">
        <f>INDEX(Lists!I:I,MATCH(Validation!E2710,Lists!G:G,0))</f>
        <v>Error</v>
      </c>
      <c r="G2710" t="str">
        <f>INDEX(Lists!H:H,MATCH(Validation!E2710,Lists!G:G,0))</f>
        <v>Enter $0 if debt type is Non-TIF Bond.</v>
      </c>
      <c r="H2710" s="25" t="str">
        <f t="shared" ca="1" si="306"/>
        <v/>
      </c>
      <c r="I2710" s="25" t="str">
        <f t="shared" ca="1" si="307"/>
        <v/>
      </c>
      <c r="J2710" s="26" t="str">
        <f t="shared" ca="1" si="308"/>
        <v/>
      </c>
    </row>
    <row r="2711" spans="1:10" x14ac:dyDescent="0.25">
      <c r="A2711" t="s">
        <v>308</v>
      </c>
      <c r="B2711" t="str">
        <f>ADDRESS(ROW('Bond 1'!$C$42),COLUMN('Bond 1'!$C$42),4)</f>
        <v>C42</v>
      </c>
      <c r="C2711" t="str">
        <f>ADDRESS(ROW('Bond 1'!$D$42),COLUMN('Bond 1'!$D$42),4)</f>
        <v>D42</v>
      </c>
      <c r="D2711" t="b" cm="1">
        <f t="array" aca="1" ref="D2711" ca="1">IF(AND('Bond 8'!B$8="Non-TIF Bond",OR(ISBLANK(INDIRECT("'"&amp;A2711&amp;"'!"&amp;B2711)),INDIRECT("'"&amp;A2711&amp;"'!"&amp;B2711)&lt;&gt;0)),TRUE,FALSE)</f>
        <v>0</v>
      </c>
      <c r="E2711" t="s">
        <v>630</v>
      </c>
      <c r="F2711" t="str">
        <f>INDEX(Lists!I:I,MATCH(Validation!E2711,Lists!G:G,0))</f>
        <v>Error</v>
      </c>
      <c r="G2711" t="str">
        <f>INDEX(Lists!H:H,MATCH(Validation!E2711,Lists!G:G,0))</f>
        <v>Enter $0 if debt type is Non-TIF Bond.</v>
      </c>
      <c r="H2711" s="25" t="str">
        <f t="shared" ca="1" si="306"/>
        <v/>
      </c>
      <c r="I2711" s="25" t="str">
        <f t="shared" ca="1" si="307"/>
        <v/>
      </c>
      <c r="J2711" s="26" t="str">
        <f t="shared" ca="1" si="308"/>
        <v/>
      </c>
    </row>
    <row r="2712" spans="1:10" x14ac:dyDescent="0.25">
      <c r="A2712" t="s">
        <v>309</v>
      </c>
      <c r="B2712" t="str">
        <f>ADDRESS(ROW('Bond 1'!$C$42),COLUMN('Bond 1'!$C$42),4)</f>
        <v>C42</v>
      </c>
      <c r="C2712" t="str">
        <f>ADDRESS(ROW('Bond 1'!$D$42),COLUMN('Bond 1'!$D$42),4)</f>
        <v>D42</v>
      </c>
      <c r="D2712" t="b" cm="1">
        <f t="array" aca="1" ref="D2712" ca="1">IF(AND('Bond 9'!B$8="Non-TIF Bond",OR(ISBLANK(INDIRECT("'"&amp;A2712&amp;"'!"&amp;B2712)),INDIRECT("'"&amp;A2712&amp;"'!"&amp;B2712)&lt;&gt;0)),TRUE,FALSE)</f>
        <v>0</v>
      </c>
      <c r="E2712" t="s">
        <v>630</v>
      </c>
      <c r="F2712" t="str">
        <f>INDEX(Lists!I:I,MATCH(Validation!E2712,Lists!G:G,0))</f>
        <v>Error</v>
      </c>
      <c r="G2712" t="str">
        <f>INDEX(Lists!H:H,MATCH(Validation!E2712,Lists!G:G,0))</f>
        <v>Enter $0 if debt type is Non-TIF Bond.</v>
      </c>
      <c r="H2712" s="25" t="str">
        <f t="shared" ca="1" si="306"/>
        <v/>
      </c>
      <c r="I2712" s="25" t="str">
        <f t="shared" ca="1" si="307"/>
        <v/>
      </c>
      <c r="J2712" s="26" t="str">
        <f t="shared" ca="1" si="308"/>
        <v/>
      </c>
    </row>
    <row r="2713" spans="1:10" x14ac:dyDescent="0.25">
      <c r="A2713" t="s">
        <v>310</v>
      </c>
      <c r="B2713" t="str">
        <f>ADDRESS(ROW('Bond 1'!$C$42),COLUMN('Bond 1'!$C$42),4)</f>
        <v>C42</v>
      </c>
      <c r="C2713" t="str">
        <f>ADDRESS(ROW('Bond 1'!$D$42),COLUMN('Bond 1'!$D$42),4)</f>
        <v>D42</v>
      </c>
      <c r="D2713" t="b" cm="1">
        <f t="array" aca="1" ref="D2713" ca="1">IF(AND('Bond 10'!B$8="Non-TIF Bond",OR(ISBLANK(INDIRECT("'"&amp;A2713&amp;"'!"&amp;B2713)),INDIRECT("'"&amp;A2713&amp;"'!"&amp;B2713)&lt;&gt;0)),TRUE,FALSE)</f>
        <v>0</v>
      </c>
      <c r="E2713" t="s">
        <v>630</v>
      </c>
      <c r="F2713" t="str">
        <f>INDEX(Lists!I:I,MATCH(Validation!E2713,Lists!G:G,0))</f>
        <v>Error</v>
      </c>
      <c r="G2713" t="str">
        <f>INDEX(Lists!H:H,MATCH(Validation!E2713,Lists!G:G,0))</f>
        <v>Enter $0 if debt type is Non-TIF Bond.</v>
      </c>
      <c r="H2713" s="25" t="str">
        <f t="shared" ca="1" si="306"/>
        <v/>
      </c>
      <c r="I2713" s="25" t="str">
        <f t="shared" ca="1" si="307"/>
        <v/>
      </c>
      <c r="J2713" s="26" t="str">
        <f t="shared" ca="1" si="308"/>
        <v/>
      </c>
    </row>
    <row r="2714" spans="1:10" x14ac:dyDescent="0.25">
      <c r="A2714" t="s">
        <v>311</v>
      </c>
      <c r="B2714" t="str">
        <f>ADDRESS(ROW('Bond 1'!$C$42),COLUMN('Bond 1'!$C$42),4)</f>
        <v>C42</v>
      </c>
      <c r="C2714" t="str">
        <f>ADDRESS(ROW('Bond 1'!$D$42),COLUMN('Bond 1'!$D$42),4)</f>
        <v>D42</v>
      </c>
      <c r="D2714" t="b" cm="1">
        <f t="array" aca="1" ref="D2714" ca="1">IF(AND('Bond 11'!B$8="Non-TIF Bond",OR(ISBLANK(INDIRECT("'"&amp;A2714&amp;"'!"&amp;B2714)),INDIRECT("'"&amp;A2714&amp;"'!"&amp;B2714)&lt;&gt;0)),TRUE,FALSE)</f>
        <v>0</v>
      </c>
      <c r="E2714" t="s">
        <v>630</v>
      </c>
      <c r="F2714" t="str">
        <f>INDEX(Lists!I:I,MATCH(Validation!E2714,Lists!G:G,0))</f>
        <v>Error</v>
      </c>
      <c r="G2714" t="str">
        <f>INDEX(Lists!H:H,MATCH(Validation!E2714,Lists!G:G,0))</f>
        <v>Enter $0 if debt type is Non-TIF Bond.</v>
      </c>
      <c r="H2714" s="25" t="str">
        <f t="shared" ca="1" si="306"/>
        <v/>
      </c>
      <c r="I2714" s="25" t="str">
        <f t="shared" ca="1" si="307"/>
        <v/>
      </c>
      <c r="J2714" s="26" t="str">
        <f t="shared" ca="1" si="308"/>
        <v/>
      </c>
    </row>
    <row r="2715" spans="1:10" x14ac:dyDescent="0.25">
      <c r="A2715" t="s">
        <v>312</v>
      </c>
      <c r="B2715" t="str">
        <f>ADDRESS(ROW('Bond 1'!$C$42),COLUMN('Bond 1'!$C$42),4)</f>
        <v>C42</v>
      </c>
      <c r="C2715" t="str">
        <f>ADDRESS(ROW('Bond 1'!$D$42),COLUMN('Bond 1'!$D$42),4)</f>
        <v>D42</v>
      </c>
      <c r="D2715" t="b" cm="1">
        <f t="array" aca="1" ref="D2715" ca="1">IF(AND('Bond 12'!B$8="Non-TIF Bond",OR(ISBLANK(INDIRECT("'"&amp;A2715&amp;"'!"&amp;B2715)),INDIRECT("'"&amp;A2715&amp;"'!"&amp;B2715)&lt;&gt;0)),TRUE,FALSE)</f>
        <v>0</v>
      </c>
      <c r="E2715" t="s">
        <v>630</v>
      </c>
      <c r="F2715" t="str">
        <f>INDEX(Lists!I:I,MATCH(Validation!E2715,Lists!G:G,0))</f>
        <v>Error</v>
      </c>
      <c r="G2715" t="str">
        <f>INDEX(Lists!H:H,MATCH(Validation!E2715,Lists!G:G,0))</f>
        <v>Enter $0 if debt type is Non-TIF Bond.</v>
      </c>
      <c r="H2715" s="25" t="str">
        <f t="shared" ca="1" si="306"/>
        <v/>
      </c>
      <c r="I2715" s="25" t="str">
        <f t="shared" ca="1" si="307"/>
        <v/>
      </c>
      <c r="J2715" s="26" t="str">
        <f t="shared" ca="1" si="308"/>
        <v/>
      </c>
    </row>
    <row r="2716" spans="1:10" x14ac:dyDescent="0.25">
      <c r="A2716" t="s">
        <v>313</v>
      </c>
      <c r="B2716" t="str">
        <f>ADDRESS(ROW('Bond 1'!$C$42),COLUMN('Bond 1'!$C$42),4)</f>
        <v>C42</v>
      </c>
      <c r="C2716" t="str">
        <f>ADDRESS(ROW('Bond 1'!$D$42),COLUMN('Bond 1'!$D$42),4)</f>
        <v>D42</v>
      </c>
      <c r="D2716" t="b" cm="1">
        <f t="array" aca="1" ref="D2716" ca="1">IF(AND('Bond 13'!B$8="Non-TIF Bond",OR(ISBLANK(INDIRECT("'"&amp;A2716&amp;"'!"&amp;B2716)),INDIRECT("'"&amp;A2716&amp;"'!"&amp;B2716)&lt;&gt;0)),TRUE,FALSE)</f>
        <v>0</v>
      </c>
      <c r="E2716" t="s">
        <v>630</v>
      </c>
      <c r="F2716" t="str">
        <f>INDEX(Lists!I:I,MATCH(Validation!E2716,Lists!G:G,0))</f>
        <v>Error</v>
      </c>
      <c r="G2716" t="str">
        <f>INDEX(Lists!H:H,MATCH(Validation!E2716,Lists!G:G,0))</f>
        <v>Enter $0 if debt type is Non-TIF Bond.</v>
      </c>
      <c r="H2716" s="25" t="str">
        <f t="shared" ca="1" si="306"/>
        <v/>
      </c>
      <c r="I2716" s="25" t="str">
        <f t="shared" ca="1" si="307"/>
        <v/>
      </c>
      <c r="J2716" s="26" t="str">
        <f t="shared" ca="1" si="308"/>
        <v/>
      </c>
    </row>
    <row r="2717" spans="1:10" x14ac:dyDescent="0.25">
      <c r="A2717" t="s">
        <v>314</v>
      </c>
      <c r="B2717" t="str">
        <f>ADDRESS(ROW('Bond 1'!$C$42),COLUMN('Bond 1'!$C$42),4)</f>
        <v>C42</v>
      </c>
      <c r="C2717" t="str">
        <f>ADDRESS(ROW('Bond 1'!$D$42),COLUMN('Bond 1'!$D$42),4)</f>
        <v>D42</v>
      </c>
      <c r="D2717" t="b" cm="1">
        <f t="array" aca="1" ref="D2717" ca="1">IF(AND('Bond 14'!B$8="Non-TIF Bond",OR(ISBLANK(INDIRECT("'"&amp;A2717&amp;"'!"&amp;B2717)),INDIRECT("'"&amp;A2717&amp;"'!"&amp;B2717)&lt;&gt;0)),TRUE,FALSE)</f>
        <v>0</v>
      </c>
      <c r="E2717" t="s">
        <v>630</v>
      </c>
      <c r="F2717" t="str">
        <f>INDEX(Lists!I:I,MATCH(Validation!E2717,Lists!G:G,0))</f>
        <v>Error</v>
      </c>
      <c r="G2717" t="str">
        <f>INDEX(Lists!H:H,MATCH(Validation!E2717,Lists!G:G,0))</f>
        <v>Enter $0 if debt type is Non-TIF Bond.</v>
      </c>
      <c r="H2717" s="25" t="str">
        <f t="shared" ca="1" si="306"/>
        <v/>
      </c>
      <c r="I2717" s="25" t="str">
        <f t="shared" ca="1" si="307"/>
        <v/>
      </c>
      <c r="J2717" s="26" t="str">
        <f t="shared" ca="1" si="308"/>
        <v/>
      </c>
    </row>
    <row r="2718" spans="1:10" x14ac:dyDescent="0.25">
      <c r="A2718" t="s">
        <v>315</v>
      </c>
      <c r="B2718" t="str">
        <f>ADDRESS(ROW('Bond 1'!$C$42),COLUMN('Bond 1'!$C$42),4)</f>
        <v>C42</v>
      </c>
      <c r="C2718" t="str">
        <f>ADDRESS(ROW('Bond 1'!$D$42),COLUMN('Bond 1'!$D$42),4)</f>
        <v>D42</v>
      </c>
      <c r="D2718" t="b" cm="1">
        <f t="array" aca="1" ref="D2718" ca="1">IF(AND('Bond 15'!B$8="Non-TIF Bond",OR(ISBLANK(INDIRECT("'"&amp;A2718&amp;"'!"&amp;B2718)),INDIRECT("'"&amp;A2718&amp;"'!"&amp;B2718)&lt;&gt;0)),TRUE,FALSE)</f>
        <v>0</v>
      </c>
      <c r="E2718" t="s">
        <v>630</v>
      </c>
      <c r="F2718" t="str">
        <f>INDEX(Lists!I:I,MATCH(Validation!E2718,Lists!G:G,0))</f>
        <v>Error</v>
      </c>
      <c r="G2718" t="str">
        <f>INDEX(Lists!H:H,MATCH(Validation!E2718,Lists!G:G,0))</f>
        <v>Enter $0 if debt type is Non-TIF Bond.</v>
      </c>
      <c r="H2718" s="25" t="str">
        <f t="shared" ca="1" si="306"/>
        <v/>
      </c>
      <c r="I2718" s="25" t="str">
        <f t="shared" ca="1" si="307"/>
        <v/>
      </c>
      <c r="J2718" s="26" t="str">
        <f t="shared" ca="1" si="308"/>
        <v/>
      </c>
    </row>
    <row r="2719" spans="1:10" x14ac:dyDescent="0.25">
      <c r="A2719" t="s">
        <v>198</v>
      </c>
      <c r="B2719" t="str">
        <f>ADDRESS(ROW('Bond 1'!$C$42),COLUMN('Bond 1'!$C$42),4)</f>
        <v>C42</v>
      </c>
      <c r="C2719" t="str">
        <f>ADDRESS(ROW('Bond 1'!$D$42),COLUMN('Bond 1'!$D$42),4)</f>
        <v>D42</v>
      </c>
      <c r="D2719" t="b" cm="1">
        <f t="array" aca="1" ref="D2719" ca="1">IF(INDIRECT("'"&amp;A2719&amp;"'!"&amp;B2719)="",FALSE,IF(NOT(ISNUMBER(INDIRECT("'"&amp;A2719&amp;"'!"&amp;B2719))),TRUE,FALSE))</f>
        <v>0</v>
      </c>
      <c r="E2719" t="s">
        <v>435</v>
      </c>
      <c r="F2719" t="str">
        <f>INDEX(Lists!I:I,MATCH(Validation!E2719,Lists!G:G,0))</f>
        <v>Error</v>
      </c>
      <c r="G2719" t="str">
        <f>INDEX(Lists!H:H,MATCH(Validation!E2719,Lists!G:G,0))</f>
        <v>Enter an amount only. Do not enter text or spaces.</v>
      </c>
      <c r="H2719" s="25" t="str">
        <f t="shared" ref="H2719:H2763" ca="1" si="309">IFERROR(IF(OR(NOT(D2719),F2719&lt;&gt;"Error"),"",A2719&amp;CELL("address",INDIRECT(B2719))),"")</f>
        <v/>
      </c>
      <c r="I2719" s="25" t="str">
        <f t="shared" ref="I2719:I2763" ca="1" si="310">IFERROR(IF(NOT(D2719),"",A2719&amp;CELL("address",INDIRECT(C2719))),"")</f>
        <v/>
      </c>
      <c r="J2719" s="26" t="str">
        <f t="shared" ref="J2719:J2763" ca="1" si="311">IFERROR(IF(NOT(D2719),"",A2719),"")</f>
        <v/>
      </c>
    </row>
    <row r="2720" spans="1:10" x14ac:dyDescent="0.25">
      <c r="A2720" t="s">
        <v>302</v>
      </c>
      <c r="B2720" t="str">
        <f>ADDRESS(ROW('Bond 1'!$C$42),COLUMN('Bond 1'!$C$42),4)</f>
        <v>C42</v>
      </c>
      <c r="C2720" t="str">
        <f>ADDRESS(ROW('Bond 1'!$D$42),COLUMN('Bond 1'!$D$42),4)</f>
        <v>D42</v>
      </c>
      <c r="D2720" t="b" cm="1">
        <f t="array" aca="1" ref="D2720" ca="1">IF(INDIRECT("'"&amp;A2720&amp;"'!"&amp;B2720)="",FALSE,IF(NOT(ISNUMBER(INDIRECT("'"&amp;A2720&amp;"'!"&amp;B2720))),TRUE,FALSE))</f>
        <v>0</v>
      </c>
      <c r="E2720" t="s">
        <v>435</v>
      </c>
      <c r="F2720" t="str">
        <f>INDEX(Lists!I:I,MATCH(Validation!E2720,Lists!G:G,0))</f>
        <v>Error</v>
      </c>
      <c r="G2720" t="str">
        <f>INDEX(Lists!H:H,MATCH(Validation!E2720,Lists!G:G,0))</f>
        <v>Enter an amount only. Do not enter text or spaces.</v>
      </c>
      <c r="H2720" s="25" t="str">
        <f t="shared" ca="1" si="309"/>
        <v/>
      </c>
      <c r="I2720" s="25" t="str">
        <f t="shared" ca="1" si="310"/>
        <v/>
      </c>
      <c r="J2720" s="26" t="str">
        <f t="shared" ca="1" si="311"/>
        <v/>
      </c>
    </row>
    <row r="2721" spans="1:10" x14ac:dyDescent="0.25">
      <c r="A2721" t="s">
        <v>303</v>
      </c>
      <c r="B2721" t="str">
        <f>ADDRESS(ROW('Bond 1'!$C$42),COLUMN('Bond 1'!$C$42),4)</f>
        <v>C42</v>
      </c>
      <c r="C2721" t="str">
        <f>ADDRESS(ROW('Bond 1'!$D$42),COLUMN('Bond 1'!$D$42),4)</f>
        <v>D42</v>
      </c>
      <c r="D2721" t="b" cm="1">
        <f t="array" aca="1" ref="D2721" ca="1">IF(INDIRECT("'"&amp;A2721&amp;"'!"&amp;B2721)="",FALSE,IF(NOT(ISNUMBER(INDIRECT("'"&amp;A2721&amp;"'!"&amp;B2721))),TRUE,FALSE))</f>
        <v>0</v>
      </c>
      <c r="E2721" t="s">
        <v>435</v>
      </c>
      <c r="F2721" t="str">
        <f>INDEX(Lists!I:I,MATCH(Validation!E2721,Lists!G:G,0))</f>
        <v>Error</v>
      </c>
      <c r="G2721" t="str">
        <f>INDEX(Lists!H:H,MATCH(Validation!E2721,Lists!G:G,0))</f>
        <v>Enter an amount only. Do not enter text or spaces.</v>
      </c>
      <c r="H2721" s="25" t="str">
        <f t="shared" ca="1" si="309"/>
        <v/>
      </c>
      <c r="I2721" s="25" t="str">
        <f t="shared" ca="1" si="310"/>
        <v/>
      </c>
      <c r="J2721" s="26" t="str">
        <f t="shared" ca="1" si="311"/>
        <v/>
      </c>
    </row>
    <row r="2722" spans="1:10" x14ac:dyDescent="0.25">
      <c r="A2722" t="s">
        <v>304</v>
      </c>
      <c r="B2722" t="str">
        <f>ADDRESS(ROW('Bond 1'!$C$42),COLUMN('Bond 1'!$C$42),4)</f>
        <v>C42</v>
      </c>
      <c r="C2722" t="str">
        <f>ADDRESS(ROW('Bond 1'!$D$42),COLUMN('Bond 1'!$D$42),4)</f>
        <v>D42</v>
      </c>
      <c r="D2722" t="b" cm="1">
        <f t="array" aca="1" ref="D2722" ca="1">IF(INDIRECT("'"&amp;A2722&amp;"'!"&amp;B2722)="",FALSE,IF(NOT(ISNUMBER(INDIRECT("'"&amp;A2722&amp;"'!"&amp;B2722))),TRUE,FALSE))</f>
        <v>0</v>
      </c>
      <c r="E2722" t="s">
        <v>435</v>
      </c>
      <c r="F2722" t="str">
        <f>INDEX(Lists!I:I,MATCH(Validation!E2722,Lists!G:G,0))</f>
        <v>Error</v>
      </c>
      <c r="G2722" t="str">
        <f>INDEX(Lists!H:H,MATCH(Validation!E2722,Lists!G:G,0))</f>
        <v>Enter an amount only. Do not enter text or spaces.</v>
      </c>
      <c r="H2722" s="25" t="str">
        <f t="shared" ca="1" si="309"/>
        <v/>
      </c>
      <c r="I2722" s="25" t="str">
        <f t="shared" ca="1" si="310"/>
        <v/>
      </c>
      <c r="J2722" s="26" t="str">
        <f t="shared" ca="1" si="311"/>
        <v/>
      </c>
    </row>
    <row r="2723" spans="1:10" x14ac:dyDescent="0.25">
      <c r="A2723" t="s">
        <v>305</v>
      </c>
      <c r="B2723" t="str">
        <f>ADDRESS(ROW('Bond 1'!$C$42),COLUMN('Bond 1'!$C$42),4)</f>
        <v>C42</v>
      </c>
      <c r="C2723" t="str">
        <f>ADDRESS(ROW('Bond 1'!$D$42),COLUMN('Bond 1'!$D$42),4)</f>
        <v>D42</v>
      </c>
      <c r="D2723" t="b" cm="1">
        <f t="array" aca="1" ref="D2723" ca="1">IF(INDIRECT("'"&amp;A2723&amp;"'!"&amp;B2723)="",FALSE,IF(NOT(ISNUMBER(INDIRECT("'"&amp;A2723&amp;"'!"&amp;B2723))),TRUE,FALSE))</f>
        <v>0</v>
      </c>
      <c r="E2723" t="s">
        <v>435</v>
      </c>
      <c r="F2723" t="str">
        <f>INDEX(Lists!I:I,MATCH(Validation!E2723,Lists!G:G,0))</f>
        <v>Error</v>
      </c>
      <c r="G2723" t="str">
        <f>INDEX(Lists!H:H,MATCH(Validation!E2723,Lists!G:G,0))</f>
        <v>Enter an amount only. Do not enter text or spaces.</v>
      </c>
      <c r="H2723" s="25" t="str">
        <f t="shared" ca="1" si="309"/>
        <v/>
      </c>
      <c r="I2723" s="25" t="str">
        <f t="shared" ca="1" si="310"/>
        <v/>
      </c>
      <c r="J2723" s="26" t="str">
        <f t="shared" ca="1" si="311"/>
        <v/>
      </c>
    </row>
    <row r="2724" spans="1:10" x14ac:dyDescent="0.25">
      <c r="A2724" t="s">
        <v>306</v>
      </c>
      <c r="B2724" t="str">
        <f>ADDRESS(ROW('Bond 1'!$C$42),COLUMN('Bond 1'!$C$42),4)</f>
        <v>C42</v>
      </c>
      <c r="C2724" t="str">
        <f>ADDRESS(ROW('Bond 1'!$D$42),COLUMN('Bond 1'!$D$42),4)</f>
        <v>D42</v>
      </c>
      <c r="D2724" t="b" cm="1">
        <f t="array" aca="1" ref="D2724" ca="1">IF(INDIRECT("'"&amp;A2724&amp;"'!"&amp;B2724)="",FALSE,IF(NOT(ISNUMBER(INDIRECT("'"&amp;A2724&amp;"'!"&amp;B2724))),TRUE,FALSE))</f>
        <v>0</v>
      </c>
      <c r="E2724" t="s">
        <v>435</v>
      </c>
      <c r="F2724" t="str">
        <f>INDEX(Lists!I:I,MATCH(Validation!E2724,Lists!G:G,0))</f>
        <v>Error</v>
      </c>
      <c r="G2724" t="str">
        <f>INDEX(Lists!H:H,MATCH(Validation!E2724,Lists!G:G,0))</f>
        <v>Enter an amount only. Do not enter text or spaces.</v>
      </c>
      <c r="H2724" s="25" t="str">
        <f t="shared" ca="1" si="309"/>
        <v/>
      </c>
      <c r="I2724" s="25" t="str">
        <f t="shared" ca="1" si="310"/>
        <v/>
      </c>
      <c r="J2724" s="26" t="str">
        <f t="shared" ca="1" si="311"/>
        <v/>
      </c>
    </row>
    <row r="2725" spans="1:10" x14ac:dyDescent="0.25">
      <c r="A2725" t="s">
        <v>307</v>
      </c>
      <c r="B2725" t="str">
        <f>ADDRESS(ROW('Bond 1'!$C$42),COLUMN('Bond 1'!$C$42),4)</f>
        <v>C42</v>
      </c>
      <c r="C2725" t="str">
        <f>ADDRESS(ROW('Bond 1'!$D$42),COLUMN('Bond 1'!$D$42),4)</f>
        <v>D42</v>
      </c>
      <c r="D2725" t="b" cm="1">
        <f t="array" aca="1" ref="D2725" ca="1">IF(INDIRECT("'"&amp;A2725&amp;"'!"&amp;B2725)="",FALSE,IF(NOT(ISNUMBER(INDIRECT("'"&amp;A2725&amp;"'!"&amp;B2725))),TRUE,FALSE))</f>
        <v>0</v>
      </c>
      <c r="E2725" t="s">
        <v>435</v>
      </c>
      <c r="F2725" t="str">
        <f>INDEX(Lists!I:I,MATCH(Validation!E2725,Lists!G:G,0))</f>
        <v>Error</v>
      </c>
      <c r="G2725" t="str">
        <f>INDEX(Lists!H:H,MATCH(Validation!E2725,Lists!G:G,0))</f>
        <v>Enter an amount only. Do not enter text or spaces.</v>
      </c>
      <c r="H2725" s="25" t="str">
        <f t="shared" ca="1" si="309"/>
        <v/>
      </c>
      <c r="I2725" s="25" t="str">
        <f t="shared" ca="1" si="310"/>
        <v/>
      </c>
      <c r="J2725" s="26" t="str">
        <f t="shared" ca="1" si="311"/>
        <v/>
      </c>
    </row>
    <row r="2726" spans="1:10" x14ac:dyDescent="0.25">
      <c r="A2726" t="s">
        <v>308</v>
      </c>
      <c r="B2726" t="str">
        <f>ADDRESS(ROW('Bond 1'!$C$42),COLUMN('Bond 1'!$C$42),4)</f>
        <v>C42</v>
      </c>
      <c r="C2726" t="str">
        <f>ADDRESS(ROW('Bond 1'!$D$42),COLUMN('Bond 1'!$D$42),4)</f>
        <v>D42</v>
      </c>
      <c r="D2726" t="b" cm="1">
        <f t="array" aca="1" ref="D2726" ca="1">IF(INDIRECT("'"&amp;A2726&amp;"'!"&amp;B2726)="",FALSE,IF(NOT(ISNUMBER(INDIRECT("'"&amp;A2726&amp;"'!"&amp;B2726))),TRUE,FALSE))</f>
        <v>0</v>
      </c>
      <c r="E2726" t="s">
        <v>435</v>
      </c>
      <c r="F2726" t="str">
        <f>INDEX(Lists!I:I,MATCH(Validation!E2726,Lists!G:G,0))</f>
        <v>Error</v>
      </c>
      <c r="G2726" t="str">
        <f>INDEX(Lists!H:H,MATCH(Validation!E2726,Lists!G:G,0))</f>
        <v>Enter an amount only. Do not enter text or spaces.</v>
      </c>
      <c r="H2726" s="25" t="str">
        <f t="shared" ca="1" si="309"/>
        <v/>
      </c>
      <c r="I2726" s="25" t="str">
        <f t="shared" ca="1" si="310"/>
        <v/>
      </c>
      <c r="J2726" s="26" t="str">
        <f t="shared" ca="1" si="311"/>
        <v/>
      </c>
    </row>
    <row r="2727" spans="1:10" x14ac:dyDescent="0.25">
      <c r="A2727" t="s">
        <v>309</v>
      </c>
      <c r="B2727" t="str">
        <f>ADDRESS(ROW('Bond 1'!$C$42),COLUMN('Bond 1'!$C$42),4)</f>
        <v>C42</v>
      </c>
      <c r="C2727" t="str">
        <f>ADDRESS(ROW('Bond 1'!$D$42),COLUMN('Bond 1'!$D$42),4)</f>
        <v>D42</v>
      </c>
      <c r="D2727" t="b" cm="1">
        <f t="array" aca="1" ref="D2727" ca="1">IF(INDIRECT("'"&amp;A2727&amp;"'!"&amp;B2727)="",FALSE,IF(NOT(ISNUMBER(INDIRECT("'"&amp;A2727&amp;"'!"&amp;B2727))),TRUE,FALSE))</f>
        <v>0</v>
      </c>
      <c r="E2727" t="s">
        <v>435</v>
      </c>
      <c r="F2727" t="str">
        <f>INDEX(Lists!I:I,MATCH(Validation!E2727,Lists!G:G,0))</f>
        <v>Error</v>
      </c>
      <c r="G2727" t="str">
        <f>INDEX(Lists!H:H,MATCH(Validation!E2727,Lists!G:G,0))</f>
        <v>Enter an amount only. Do not enter text or spaces.</v>
      </c>
      <c r="H2727" s="25" t="str">
        <f t="shared" ca="1" si="309"/>
        <v/>
      </c>
      <c r="I2727" s="25" t="str">
        <f t="shared" ca="1" si="310"/>
        <v/>
      </c>
      <c r="J2727" s="26" t="str">
        <f t="shared" ca="1" si="311"/>
        <v/>
      </c>
    </row>
    <row r="2728" spans="1:10" x14ac:dyDescent="0.25">
      <c r="A2728" t="s">
        <v>310</v>
      </c>
      <c r="B2728" t="str">
        <f>ADDRESS(ROW('Bond 1'!$C$42),COLUMN('Bond 1'!$C$42),4)</f>
        <v>C42</v>
      </c>
      <c r="C2728" t="str">
        <f>ADDRESS(ROW('Bond 1'!$D$42),COLUMN('Bond 1'!$D$42),4)</f>
        <v>D42</v>
      </c>
      <c r="D2728" t="b" cm="1">
        <f t="array" aca="1" ref="D2728" ca="1">IF(INDIRECT("'"&amp;A2728&amp;"'!"&amp;B2728)="",FALSE,IF(NOT(ISNUMBER(INDIRECT("'"&amp;A2728&amp;"'!"&amp;B2728))),TRUE,FALSE))</f>
        <v>0</v>
      </c>
      <c r="E2728" t="s">
        <v>435</v>
      </c>
      <c r="F2728" t="str">
        <f>INDEX(Lists!I:I,MATCH(Validation!E2728,Lists!G:G,0))</f>
        <v>Error</v>
      </c>
      <c r="G2728" t="str">
        <f>INDEX(Lists!H:H,MATCH(Validation!E2728,Lists!G:G,0))</f>
        <v>Enter an amount only. Do not enter text or spaces.</v>
      </c>
      <c r="H2728" s="25" t="str">
        <f t="shared" ca="1" si="309"/>
        <v/>
      </c>
      <c r="I2728" s="25" t="str">
        <f t="shared" ca="1" si="310"/>
        <v/>
      </c>
      <c r="J2728" s="26" t="str">
        <f t="shared" ca="1" si="311"/>
        <v/>
      </c>
    </row>
    <row r="2729" spans="1:10" x14ac:dyDescent="0.25">
      <c r="A2729" t="s">
        <v>311</v>
      </c>
      <c r="B2729" t="str">
        <f>ADDRESS(ROW('Bond 1'!$C$42),COLUMN('Bond 1'!$C$42),4)</f>
        <v>C42</v>
      </c>
      <c r="C2729" t="str">
        <f>ADDRESS(ROW('Bond 1'!$D$42),COLUMN('Bond 1'!$D$42),4)</f>
        <v>D42</v>
      </c>
      <c r="D2729" t="b" cm="1">
        <f t="array" aca="1" ref="D2729" ca="1">IF(INDIRECT("'"&amp;A2729&amp;"'!"&amp;B2729)="",FALSE,IF(NOT(ISNUMBER(INDIRECT("'"&amp;A2729&amp;"'!"&amp;B2729))),TRUE,FALSE))</f>
        <v>0</v>
      </c>
      <c r="E2729" t="s">
        <v>435</v>
      </c>
      <c r="F2729" t="str">
        <f>INDEX(Lists!I:I,MATCH(Validation!E2729,Lists!G:G,0))</f>
        <v>Error</v>
      </c>
      <c r="G2729" t="str">
        <f>INDEX(Lists!H:H,MATCH(Validation!E2729,Lists!G:G,0))</f>
        <v>Enter an amount only. Do not enter text or spaces.</v>
      </c>
      <c r="H2729" s="25" t="str">
        <f t="shared" ca="1" si="309"/>
        <v/>
      </c>
      <c r="I2729" s="25" t="str">
        <f t="shared" ca="1" si="310"/>
        <v/>
      </c>
      <c r="J2729" s="26" t="str">
        <f t="shared" ca="1" si="311"/>
        <v/>
      </c>
    </row>
    <row r="2730" spans="1:10" x14ac:dyDescent="0.25">
      <c r="A2730" t="s">
        <v>312</v>
      </c>
      <c r="B2730" t="str">
        <f>ADDRESS(ROW('Bond 1'!$C$42),COLUMN('Bond 1'!$C$42),4)</f>
        <v>C42</v>
      </c>
      <c r="C2730" t="str">
        <f>ADDRESS(ROW('Bond 1'!$D$42),COLUMN('Bond 1'!$D$42),4)</f>
        <v>D42</v>
      </c>
      <c r="D2730" t="b" cm="1">
        <f t="array" aca="1" ref="D2730" ca="1">IF(INDIRECT("'"&amp;A2730&amp;"'!"&amp;B2730)="",FALSE,IF(NOT(ISNUMBER(INDIRECT("'"&amp;A2730&amp;"'!"&amp;B2730))),TRUE,FALSE))</f>
        <v>0</v>
      </c>
      <c r="E2730" t="s">
        <v>435</v>
      </c>
      <c r="F2730" t="str">
        <f>INDEX(Lists!I:I,MATCH(Validation!E2730,Lists!G:G,0))</f>
        <v>Error</v>
      </c>
      <c r="G2730" t="str">
        <f>INDEX(Lists!H:H,MATCH(Validation!E2730,Lists!G:G,0))</f>
        <v>Enter an amount only. Do not enter text or spaces.</v>
      </c>
      <c r="H2730" s="25" t="str">
        <f t="shared" ca="1" si="309"/>
        <v/>
      </c>
      <c r="I2730" s="25" t="str">
        <f t="shared" ca="1" si="310"/>
        <v/>
      </c>
      <c r="J2730" s="26" t="str">
        <f t="shared" ca="1" si="311"/>
        <v/>
      </c>
    </row>
    <row r="2731" spans="1:10" x14ac:dyDescent="0.25">
      <c r="A2731" t="s">
        <v>313</v>
      </c>
      <c r="B2731" t="str">
        <f>ADDRESS(ROW('Bond 1'!$C$42),COLUMN('Bond 1'!$C$42),4)</f>
        <v>C42</v>
      </c>
      <c r="C2731" t="str">
        <f>ADDRESS(ROW('Bond 1'!$D$42),COLUMN('Bond 1'!$D$42),4)</f>
        <v>D42</v>
      </c>
      <c r="D2731" t="b" cm="1">
        <f t="array" aca="1" ref="D2731" ca="1">IF(INDIRECT("'"&amp;A2731&amp;"'!"&amp;B2731)="",FALSE,IF(NOT(ISNUMBER(INDIRECT("'"&amp;A2731&amp;"'!"&amp;B2731))),TRUE,FALSE))</f>
        <v>0</v>
      </c>
      <c r="E2731" t="s">
        <v>435</v>
      </c>
      <c r="F2731" t="str">
        <f>INDEX(Lists!I:I,MATCH(Validation!E2731,Lists!G:G,0))</f>
        <v>Error</v>
      </c>
      <c r="G2731" t="str">
        <f>INDEX(Lists!H:H,MATCH(Validation!E2731,Lists!G:G,0))</f>
        <v>Enter an amount only. Do not enter text or spaces.</v>
      </c>
      <c r="H2731" s="25" t="str">
        <f t="shared" ca="1" si="309"/>
        <v/>
      </c>
      <c r="I2731" s="25" t="str">
        <f t="shared" ca="1" si="310"/>
        <v/>
      </c>
      <c r="J2731" s="26" t="str">
        <f t="shared" ca="1" si="311"/>
        <v/>
      </c>
    </row>
    <row r="2732" spans="1:10" x14ac:dyDescent="0.25">
      <c r="A2732" t="s">
        <v>314</v>
      </c>
      <c r="B2732" t="str">
        <f>ADDRESS(ROW('Bond 1'!$C$42),COLUMN('Bond 1'!$C$42),4)</f>
        <v>C42</v>
      </c>
      <c r="C2732" t="str">
        <f>ADDRESS(ROW('Bond 1'!$D$42),COLUMN('Bond 1'!$D$42),4)</f>
        <v>D42</v>
      </c>
      <c r="D2732" t="b" cm="1">
        <f t="array" aca="1" ref="D2732" ca="1">IF(INDIRECT("'"&amp;A2732&amp;"'!"&amp;B2732)="",FALSE,IF(NOT(ISNUMBER(INDIRECT("'"&amp;A2732&amp;"'!"&amp;B2732))),TRUE,FALSE))</f>
        <v>0</v>
      </c>
      <c r="E2732" t="s">
        <v>435</v>
      </c>
      <c r="F2732" t="str">
        <f>INDEX(Lists!I:I,MATCH(Validation!E2732,Lists!G:G,0))</f>
        <v>Error</v>
      </c>
      <c r="G2732" t="str">
        <f>INDEX(Lists!H:H,MATCH(Validation!E2732,Lists!G:G,0))</f>
        <v>Enter an amount only. Do not enter text or spaces.</v>
      </c>
      <c r="H2732" s="25" t="str">
        <f t="shared" ca="1" si="309"/>
        <v/>
      </c>
      <c r="I2732" s="25" t="str">
        <f t="shared" ca="1" si="310"/>
        <v/>
      </c>
      <c r="J2732" s="26" t="str">
        <f t="shared" ca="1" si="311"/>
        <v/>
      </c>
    </row>
    <row r="2733" spans="1:10" x14ac:dyDescent="0.25">
      <c r="A2733" t="s">
        <v>315</v>
      </c>
      <c r="B2733" t="str">
        <f>ADDRESS(ROW('Bond 1'!$C$42),COLUMN('Bond 1'!$C$42),4)</f>
        <v>C42</v>
      </c>
      <c r="C2733" t="str">
        <f>ADDRESS(ROW('Bond 1'!$D$42),COLUMN('Bond 1'!$D$42),4)</f>
        <v>D42</v>
      </c>
      <c r="D2733" t="b" cm="1">
        <f t="array" aca="1" ref="D2733" ca="1">IF(INDIRECT("'"&amp;A2733&amp;"'!"&amp;B2733)="",FALSE,IF(NOT(ISNUMBER(INDIRECT("'"&amp;A2733&amp;"'!"&amp;B2733))),TRUE,FALSE))</f>
        <v>0</v>
      </c>
      <c r="E2733" t="s">
        <v>435</v>
      </c>
      <c r="F2733" t="str">
        <f>INDEX(Lists!I:I,MATCH(Validation!E2733,Lists!G:G,0))</f>
        <v>Error</v>
      </c>
      <c r="G2733" t="str">
        <f>INDEX(Lists!H:H,MATCH(Validation!E2733,Lists!G:G,0))</f>
        <v>Enter an amount only. Do not enter text or spaces.</v>
      </c>
      <c r="H2733" s="25" t="str">
        <f t="shared" ca="1" si="309"/>
        <v/>
      </c>
      <c r="I2733" s="25" t="str">
        <f t="shared" ca="1" si="310"/>
        <v/>
      </c>
      <c r="J2733" s="26" t="str">
        <f t="shared" ca="1" si="311"/>
        <v/>
      </c>
    </row>
    <row r="2734" spans="1:10" x14ac:dyDescent="0.25">
      <c r="A2734" t="s">
        <v>198</v>
      </c>
      <c r="B2734" t="str">
        <f>ADDRESS(ROW('Bond 1'!$C$42),COLUMN('Bond 1'!$C$42),4)</f>
        <v>C42</v>
      </c>
      <c r="C2734" t="str">
        <f>ADDRESS(ROW('Bond 1'!$D$42),COLUMN('Bond 1'!$D$42),4)</f>
        <v>D42</v>
      </c>
      <c r="D2734" t="b" cm="1">
        <f t="array" aca="1" ref="D2734" ca="1">IF(INDIRECT("'"&amp;A2734&amp;"'!"&amp;B2734)="",FALSE,IF(INDIRECT("'"&amp;A2734&amp;"'!"&amp;B2734)&lt;0,TRUE,FALSE))</f>
        <v>0</v>
      </c>
      <c r="E2734" t="s">
        <v>434</v>
      </c>
      <c r="F2734" t="str">
        <f>INDEX(Lists!I:I,MATCH(Validation!E2734,Lists!G:G,0))</f>
        <v>Error</v>
      </c>
      <c r="G2734" t="str">
        <f>INDEX(Lists!H:H,MATCH(Validation!E2734,Lists!G:G,0))</f>
        <v>Amount may not be negative. Enter an amount greater than or equal to zero.</v>
      </c>
      <c r="H2734" s="25" t="str">
        <f t="shared" ca="1" si="309"/>
        <v/>
      </c>
      <c r="I2734" s="25" t="str">
        <f t="shared" ca="1" si="310"/>
        <v/>
      </c>
      <c r="J2734" s="26" t="str">
        <f t="shared" ca="1" si="311"/>
        <v/>
      </c>
    </row>
    <row r="2735" spans="1:10" x14ac:dyDescent="0.25">
      <c r="A2735" t="s">
        <v>302</v>
      </c>
      <c r="B2735" t="str">
        <f>ADDRESS(ROW('Bond 1'!$C$42),COLUMN('Bond 1'!$C$42),4)</f>
        <v>C42</v>
      </c>
      <c r="C2735" t="str">
        <f>ADDRESS(ROW('Bond 1'!$D$42),COLUMN('Bond 1'!$D$42),4)</f>
        <v>D42</v>
      </c>
      <c r="D2735" t="b" cm="1">
        <f t="array" aca="1" ref="D2735" ca="1">IF(INDIRECT("'"&amp;A2735&amp;"'!"&amp;B2735)="",FALSE,IF(INDIRECT("'"&amp;A2735&amp;"'!"&amp;B2735)&lt;0,TRUE,FALSE))</f>
        <v>0</v>
      </c>
      <c r="E2735" t="s">
        <v>434</v>
      </c>
      <c r="F2735" t="str">
        <f>INDEX(Lists!I:I,MATCH(Validation!E2735,Lists!G:G,0))</f>
        <v>Error</v>
      </c>
      <c r="G2735" t="str">
        <f>INDEX(Lists!H:H,MATCH(Validation!E2735,Lists!G:G,0))</f>
        <v>Amount may not be negative. Enter an amount greater than or equal to zero.</v>
      </c>
      <c r="H2735" s="25" t="str">
        <f t="shared" ca="1" si="309"/>
        <v/>
      </c>
      <c r="I2735" s="25" t="str">
        <f t="shared" ca="1" si="310"/>
        <v/>
      </c>
      <c r="J2735" s="26" t="str">
        <f t="shared" ca="1" si="311"/>
        <v/>
      </c>
    </row>
    <row r="2736" spans="1:10" x14ac:dyDescent="0.25">
      <c r="A2736" t="s">
        <v>303</v>
      </c>
      <c r="B2736" t="str">
        <f>ADDRESS(ROW('Bond 1'!$C$42),COLUMN('Bond 1'!$C$42),4)</f>
        <v>C42</v>
      </c>
      <c r="C2736" t="str">
        <f>ADDRESS(ROW('Bond 1'!$D$42),COLUMN('Bond 1'!$D$42),4)</f>
        <v>D42</v>
      </c>
      <c r="D2736" t="b" cm="1">
        <f t="array" aca="1" ref="D2736" ca="1">IF(INDIRECT("'"&amp;A2736&amp;"'!"&amp;B2736)="",FALSE,IF(INDIRECT("'"&amp;A2736&amp;"'!"&amp;B2736)&lt;0,TRUE,FALSE))</f>
        <v>0</v>
      </c>
      <c r="E2736" t="s">
        <v>434</v>
      </c>
      <c r="F2736" t="str">
        <f>INDEX(Lists!I:I,MATCH(Validation!E2736,Lists!G:G,0))</f>
        <v>Error</v>
      </c>
      <c r="G2736" t="str">
        <f>INDEX(Lists!H:H,MATCH(Validation!E2736,Lists!G:G,0))</f>
        <v>Amount may not be negative. Enter an amount greater than or equal to zero.</v>
      </c>
      <c r="H2736" s="25" t="str">
        <f t="shared" ca="1" si="309"/>
        <v/>
      </c>
      <c r="I2736" s="25" t="str">
        <f t="shared" ca="1" si="310"/>
        <v/>
      </c>
      <c r="J2736" s="26" t="str">
        <f t="shared" ca="1" si="311"/>
        <v/>
      </c>
    </row>
    <row r="2737" spans="1:10" x14ac:dyDescent="0.25">
      <c r="A2737" t="s">
        <v>304</v>
      </c>
      <c r="B2737" t="str">
        <f>ADDRESS(ROW('Bond 1'!$C$42),COLUMN('Bond 1'!$C$42),4)</f>
        <v>C42</v>
      </c>
      <c r="C2737" t="str">
        <f>ADDRESS(ROW('Bond 1'!$D$42),COLUMN('Bond 1'!$D$42),4)</f>
        <v>D42</v>
      </c>
      <c r="D2737" t="b" cm="1">
        <f t="array" aca="1" ref="D2737" ca="1">IF(INDIRECT("'"&amp;A2737&amp;"'!"&amp;B2737)="",FALSE,IF(INDIRECT("'"&amp;A2737&amp;"'!"&amp;B2737)&lt;0,TRUE,FALSE))</f>
        <v>0</v>
      </c>
      <c r="E2737" t="s">
        <v>434</v>
      </c>
      <c r="F2737" t="str">
        <f>INDEX(Lists!I:I,MATCH(Validation!E2737,Lists!G:G,0))</f>
        <v>Error</v>
      </c>
      <c r="G2737" t="str">
        <f>INDEX(Lists!H:H,MATCH(Validation!E2737,Lists!G:G,0))</f>
        <v>Amount may not be negative. Enter an amount greater than or equal to zero.</v>
      </c>
      <c r="H2737" s="25" t="str">
        <f t="shared" ca="1" si="309"/>
        <v/>
      </c>
      <c r="I2737" s="25" t="str">
        <f t="shared" ca="1" si="310"/>
        <v/>
      </c>
      <c r="J2737" s="26" t="str">
        <f t="shared" ca="1" si="311"/>
        <v/>
      </c>
    </row>
    <row r="2738" spans="1:10" x14ac:dyDescent="0.25">
      <c r="A2738" t="s">
        <v>305</v>
      </c>
      <c r="B2738" t="str">
        <f>ADDRESS(ROW('Bond 1'!$C$42),COLUMN('Bond 1'!$C$42),4)</f>
        <v>C42</v>
      </c>
      <c r="C2738" t="str">
        <f>ADDRESS(ROW('Bond 1'!$D$42),COLUMN('Bond 1'!$D$42),4)</f>
        <v>D42</v>
      </c>
      <c r="D2738" t="b" cm="1">
        <f t="array" aca="1" ref="D2738" ca="1">IF(INDIRECT("'"&amp;A2738&amp;"'!"&amp;B2738)="",FALSE,IF(INDIRECT("'"&amp;A2738&amp;"'!"&amp;B2738)&lt;0,TRUE,FALSE))</f>
        <v>0</v>
      </c>
      <c r="E2738" t="s">
        <v>434</v>
      </c>
      <c r="F2738" t="str">
        <f>INDEX(Lists!I:I,MATCH(Validation!E2738,Lists!G:G,0))</f>
        <v>Error</v>
      </c>
      <c r="G2738" t="str">
        <f>INDEX(Lists!H:H,MATCH(Validation!E2738,Lists!G:G,0))</f>
        <v>Amount may not be negative. Enter an amount greater than or equal to zero.</v>
      </c>
      <c r="H2738" s="25" t="str">
        <f t="shared" ca="1" si="309"/>
        <v/>
      </c>
      <c r="I2738" s="25" t="str">
        <f t="shared" ca="1" si="310"/>
        <v/>
      </c>
      <c r="J2738" s="26" t="str">
        <f t="shared" ca="1" si="311"/>
        <v/>
      </c>
    </row>
    <row r="2739" spans="1:10" x14ac:dyDescent="0.25">
      <c r="A2739" t="s">
        <v>306</v>
      </c>
      <c r="B2739" t="str">
        <f>ADDRESS(ROW('Bond 1'!$C$42),COLUMN('Bond 1'!$C$42),4)</f>
        <v>C42</v>
      </c>
      <c r="C2739" t="str">
        <f>ADDRESS(ROW('Bond 1'!$D$42),COLUMN('Bond 1'!$D$42),4)</f>
        <v>D42</v>
      </c>
      <c r="D2739" t="b" cm="1">
        <f t="array" aca="1" ref="D2739" ca="1">IF(INDIRECT("'"&amp;A2739&amp;"'!"&amp;B2739)="",FALSE,IF(INDIRECT("'"&amp;A2739&amp;"'!"&amp;B2739)&lt;0,TRUE,FALSE))</f>
        <v>0</v>
      </c>
      <c r="E2739" t="s">
        <v>434</v>
      </c>
      <c r="F2739" t="str">
        <f>INDEX(Lists!I:I,MATCH(Validation!E2739,Lists!G:G,0))</f>
        <v>Error</v>
      </c>
      <c r="G2739" t="str">
        <f>INDEX(Lists!H:H,MATCH(Validation!E2739,Lists!G:G,0))</f>
        <v>Amount may not be negative. Enter an amount greater than or equal to zero.</v>
      </c>
      <c r="H2739" s="25" t="str">
        <f t="shared" ca="1" si="309"/>
        <v/>
      </c>
      <c r="I2739" s="25" t="str">
        <f t="shared" ca="1" si="310"/>
        <v/>
      </c>
      <c r="J2739" s="26" t="str">
        <f t="shared" ca="1" si="311"/>
        <v/>
      </c>
    </row>
    <row r="2740" spans="1:10" x14ac:dyDescent="0.25">
      <c r="A2740" t="s">
        <v>307</v>
      </c>
      <c r="B2740" t="str">
        <f>ADDRESS(ROW('Bond 1'!$C$42),COLUMN('Bond 1'!$C$42),4)</f>
        <v>C42</v>
      </c>
      <c r="C2740" t="str">
        <f>ADDRESS(ROW('Bond 1'!$D$42),COLUMN('Bond 1'!$D$42),4)</f>
        <v>D42</v>
      </c>
      <c r="D2740" t="b" cm="1">
        <f t="array" aca="1" ref="D2740" ca="1">IF(INDIRECT("'"&amp;A2740&amp;"'!"&amp;B2740)="",FALSE,IF(INDIRECT("'"&amp;A2740&amp;"'!"&amp;B2740)&lt;0,TRUE,FALSE))</f>
        <v>0</v>
      </c>
      <c r="E2740" t="s">
        <v>434</v>
      </c>
      <c r="F2740" t="str">
        <f>INDEX(Lists!I:I,MATCH(Validation!E2740,Lists!G:G,0))</f>
        <v>Error</v>
      </c>
      <c r="G2740" t="str">
        <f>INDEX(Lists!H:H,MATCH(Validation!E2740,Lists!G:G,0))</f>
        <v>Amount may not be negative. Enter an amount greater than or equal to zero.</v>
      </c>
      <c r="H2740" s="25" t="str">
        <f t="shared" ca="1" si="309"/>
        <v/>
      </c>
      <c r="I2740" s="25" t="str">
        <f t="shared" ca="1" si="310"/>
        <v/>
      </c>
      <c r="J2740" s="26" t="str">
        <f t="shared" ca="1" si="311"/>
        <v/>
      </c>
    </row>
    <row r="2741" spans="1:10" x14ac:dyDescent="0.25">
      <c r="A2741" t="s">
        <v>308</v>
      </c>
      <c r="B2741" t="str">
        <f>ADDRESS(ROW('Bond 1'!$C$42),COLUMN('Bond 1'!$C$42),4)</f>
        <v>C42</v>
      </c>
      <c r="C2741" t="str">
        <f>ADDRESS(ROW('Bond 1'!$D$42),COLUMN('Bond 1'!$D$42),4)</f>
        <v>D42</v>
      </c>
      <c r="D2741" t="b" cm="1">
        <f t="array" aca="1" ref="D2741" ca="1">IF(INDIRECT("'"&amp;A2741&amp;"'!"&amp;B2741)="",FALSE,IF(INDIRECT("'"&amp;A2741&amp;"'!"&amp;B2741)&lt;0,TRUE,FALSE))</f>
        <v>0</v>
      </c>
      <c r="E2741" t="s">
        <v>434</v>
      </c>
      <c r="F2741" t="str">
        <f>INDEX(Lists!I:I,MATCH(Validation!E2741,Lists!G:G,0))</f>
        <v>Error</v>
      </c>
      <c r="G2741" t="str">
        <f>INDEX(Lists!H:H,MATCH(Validation!E2741,Lists!G:G,0))</f>
        <v>Amount may not be negative. Enter an amount greater than or equal to zero.</v>
      </c>
      <c r="H2741" s="25" t="str">
        <f t="shared" ca="1" si="309"/>
        <v/>
      </c>
      <c r="I2741" s="25" t="str">
        <f t="shared" ca="1" si="310"/>
        <v/>
      </c>
      <c r="J2741" s="26" t="str">
        <f t="shared" ca="1" si="311"/>
        <v/>
      </c>
    </row>
    <row r="2742" spans="1:10" x14ac:dyDescent="0.25">
      <c r="A2742" t="s">
        <v>309</v>
      </c>
      <c r="B2742" t="str">
        <f>ADDRESS(ROW('Bond 1'!$C$42),COLUMN('Bond 1'!$C$42),4)</f>
        <v>C42</v>
      </c>
      <c r="C2742" t="str">
        <f>ADDRESS(ROW('Bond 1'!$D$42),COLUMN('Bond 1'!$D$42),4)</f>
        <v>D42</v>
      </c>
      <c r="D2742" t="b" cm="1">
        <f t="array" aca="1" ref="D2742" ca="1">IF(INDIRECT("'"&amp;A2742&amp;"'!"&amp;B2742)="",FALSE,IF(INDIRECT("'"&amp;A2742&amp;"'!"&amp;B2742)&lt;0,TRUE,FALSE))</f>
        <v>0</v>
      </c>
      <c r="E2742" t="s">
        <v>434</v>
      </c>
      <c r="F2742" t="str">
        <f>INDEX(Lists!I:I,MATCH(Validation!E2742,Lists!G:G,0))</f>
        <v>Error</v>
      </c>
      <c r="G2742" t="str">
        <f>INDEX(Lists!H:H,MATCH(Validation!E2742,Lists!G:G,0))</f>
        <v>Amount may not be negative. Enter an amount greater than or equal to zero.</v>
      </c>
      <c r="H2742" s="25" t="str">
        <f t="shared" ca="1" si="309"/>
        <v/>
      </c>
      <c r="I2742" s="25" t="str">
        <f t="shared" ca="1" si="310"/>
        <v/>
      </c>
      <c r="J2742" s="26" t="str">
        <f t="shared" ca="1" si="311"/>
        <v/>
      </c>
    </row>
    <row r="2743" spans="1:10" x14ac:dyDescent="0.25">
      <c r="A2743" t="s">
        <v>310</v>
      </c>
      <c r="B2743" t="str">
        <f>ADDRESS(ROW('Bond 1'!$C$42),COLUMN('Bond 1'!$C$42),4)</f>
        <v>C42</v>
      </c>
      <c r="C2743" t="str">
        <f>ADDRESS(ROW('Bond 1'!$D$42),COLUMN('Bond 1'!$D$42),4)</f>
        <v>D42</v>
      </c>
      <c r="D2743" t="b" cm="1">
        <f t="array" aca="1" ref="D2743" ca="1">IF(INDIRECT("'"&amp;A2743&amp;"'!"&amp;B2743)="",FALSE,IF(INDIRECT("'"&amp;A2743&amp;"'!"&amp;B2743)&lt;0,TRUE,FALSE))</f>
        <v>0</v>
      </c>
      <c r="E2743" t="s">
        <v>434</v>
      </c>
      <c r="F2743" t="str">
        <f>INDEX(Lists!I:I,MATCH(Validation!E2743,Lists!G:G,0))</f>
        <v>Error</v>
      </c>
      <c r="G2743" t="str">
        <f>INDEX(Lists!H:H,MATCH(Validation!E2743,Lists!G:G,0))</f>
        <v>Amount may not be negative. Enter an amount greater than or equal to zero.</v>
      </c>
      <c r="H2743" s="25" t="str">
        <f t="shared" ca="1" si="309"/>
        <v/>
      </c>
      <c r="I2743" s="25" t="str">
        <f t="shared" ca="1" si="310"/>
        <v/>
      </c>
      <c r="J2743" s="26" t="str">
        <f t="shared" ca="1" si="311"/>
        <v/>
      </c>
    </row>
    <row r="2744" spans="1:10" x14ac:dyDescent="0.25">
      <c r="A2744" t="s">
        <v>311</v>
      </c>
      <c r="B2744" t="str">
        <f>ADDRESS(ROW('Bond 1'!$C$42),COLUMN('Bond 1'!$C$42),4)</f>
        <v>C42</v>
      </c>
      <c r="C2744" t="str">
        <f>ADDRESS(ROW('Bond 1'!$D$42),COLUMN('Bond 1'!$D$42),4)</f>
        <v>D42</v>
      </c>
      <c r="D2744" t="b" cm="1">
        <f t="array" aca="1" ref="D2744" ca="1">IF(INDIRECT("'"&amp;A2744&amp;"'!"&amp;B2744)="",FALSE,IF(INDIRECT("'"&amp;A2744&amp;"'!"&amp;B2744)&lt;0,TRUE,FALSE))</f>
        <v>0</v>
      </c>
      <c r="E2744" t="s">
        <v>434</v>
      </c>
      <c r="F2744" t="str">
        <f>INDEX(Lists!I:I,MATCH(Validation!E2744,Lists!G:G,0))</f>
        <v>Error</v>
      </c>
      <c r="G2744" t="str">
        <f>INDEX(Lists!H:H,MATCH(Validation!E2744,Lists!G:G,0))</f>
        <v>Amount may not be negative. Enter an amount greater than or equal to zero.</v>
      </c>
      <c r="H2744" s="25" t="str">
        <f t="shared" ca="1" si="309"/>
        <v/>
      </c>
      <c r="I2744" s="25" t="str">
        <f t="shared" ca="1" si="310"/>
        <v/>
      </c>
      <c r="J2744" s="26" t="str">
        <f t="shared" ca="1" si="311"/>
        <v/>
      </c>
    </row>
    <row r="2745" spans="1:10" x14ac:dyDescent="0.25">
      <c r="A2745" t="s">
        <v>312</v>
      </c>
      <c r="B2745" t="str">
        <f>ADDRESS(ROW('Bond 1'!$C$42),COLUMN('Bond 1'!$C$42),4)</f>
        <v>C42</v>
      </c>
      <c r="C2745" t="str">
        <f>ADDRESS(ROW('Bond 1'!$D$42),COLUMN('Bond 1'!$D$42),4)</f>
        <v>D42</v>
      </c>
      <c r="D2745" t="b" cm="1">
        <f t="array" aca="1" ref="D2745" ca="1">IF(INDIRECT("'"&amp;A2745&amp;"'!"&amp;B2745)="",FALSE,IF(INDIRECT("'"&amp;A2745&amp;"'!"&amp;B2745)&lt;0,TRUE,FALSE))</f>
        <v>0</v>
      </c>
      <c r="E2745" t="s">
        <v>434</v>
      </c>
      <c r="F2745" t="str">
        <f>INDEX(Lists!I:I,MATCH(Validation!E2745,Lists!G:G,0))</f>
        <v>Error</v>
      </c>
      <c r="G2745" t="str">
        <f>INDEX(Lists!H:H,MATCH(Validation!E2745,Lists!G:G,0))</f>
        <v>Amount may not be negative. Enter an amount greater than or equal to zero.</v>
      </c>
      <c r="H2745" s="25" t="str">
        <f t="shared" ca="1" si="309"/>
        <v/>
      </c>
      <c r="I2745" s="25" t="str">
        <f t="shared" ca="1" si="310"/>
        <v/>
      </c>
      <c r="J2745" s="26" t="str">
        <f t="shared" ca="1" si="311"/>
        <v/>
      </c>
    </row>
    <row r="2746" spans="1:10" x14ac:dyDescent="0.25">
      <c r="A2746" t="s">
        <v>313</v>
      </c>
      <c r="B2746" t="str">
        <f>ADDRESS(ROW('Bond 1'!$C$42),COLUMN('Bond 1'!$C$42),4)</f>
        <v>C42</v>
      </c>
      <c r="C2746" t="str">
        <f>ADDRESS(ROW('Bond 1'!$D$42),COLUMN('Bond 1'!$D$42),4)</f>
        <v>D42</v>
      </c>
      <c r="D2746" t="b" cm="1">
        <f t="array" aca="1" ref="D2746" ca="1">IF(INDIRECT("'"&amp;A2746&amp;"'!"&amp;B2746)="",FALSE,IF(INDIRECT("'"&amp;A2746&amp;"'!"&amp;B2746)&lt;0,TRUE,FALSE))</f>
        <v>0</v>
      </c>
      <c r="E2746" t="s">
        <v>434</v>
      </c>
      <c r="F2746" t="str">
        <f>INDEX(Lists!I:I,MATCH(Validation!E2746,Lists!G:G,0))</f>
        <v>Error</v>
      </c>
      <c r="G2746" t="str">
        <f>INDEX(Lists!H:H,MATCH(Validation!E2746,Lists!G:G,0))</f>
        <v>Amount may not be negative. Enter an amount greater than or equal to zero.</v>
      </c>
      <c r="H2746" s="25" t="str">
        <f t="shared" ca="1" si="309"/>
        <v/>
      </c>
      <c r="I2746" s="25" t="str">
        <f t="shared" ca="1" si="310"/>
        <v/>
      </c>
      <c r="J2746" s="26" t="str">
        <f t="shared" ca="1" si="311"/>
        <v/>
      </c>
    </row>
    <row r="2747" spans="1:10" x14ac:dyDescent="0.25">
      <c r="A2747" t="s">
        <v>314</v>
      </c>
      <c r="B2747" t="str">
        <f>ADDRESS(ROW('Bond 1'!$C$42),COLUMN('Bond 1'!$C$42),4)</f>
        <v>C42</v>
      </c>
      <c r="C2747" t="str">
        <f>ADDRESS(ROW('Bond 1'!$D$42),COLUMN('Bond 1'!$D$42),4)</f>
        <v>D42</v>
      </c>
      <c r="D2747" t="b" cm="1">
        <f t="array" aca="1" ref="D2747" ca="1">IF(INDIRECT("'"&amp;A2747&amp;"'!"&amp;B2747)="",FALSE,IF(INDIRECT("'"&amp;A2747&amp;"'!"&amp;B2747)&lt;0,TRUE,FALSE))</f>
        <v>0</v>
      </c>
      <c r="E2747" t="s">
        <v>434</v>
      </c>
      <c r="F2747" t="str">
        <f>INDEX(Lists!I:I,MATCH(Validation!E2747,Lists!G:G,0))</f>
        <v>Error</v>
      </c>
      <c r="G2747" t="str">
        <f>INDEX(Lists!H:H,MATCH(Validation!E2747,Lists!G:G,0))</f>
        <v>Amount may not be negative. Enter an amount greater than or equal to zero.</v>
      </c>
      <c r="H2747" s="25" t="str">
        <f t="shared" ca="1" si="309"/>
        <v/>
      </c>
      <c r="I2747" s="25" t="str">
        <f t="shared" ca="1" si="310"/>
        <v/>
      </c>
      <c r="J2747" s="26" t="str">
        <f t="shared" ca="1" si="311"/>
        <v/>
      </c>
    </row>
    <row r="2748" spans="1:10" x14ac:dyDescent="0.25">
      <c r="A2748" t="s">
        <v>315</v>
      </c>
      <c r="B2748" t="str">
        <f>ADDRESS(ROW('Bond 1'!$C$42),COLUMN('Bond 1'!$C$42),4)</f>
        <v>C42</v>
      </c>
      <c r="C2748" t="str">
        <f>ADDRESS(ROW('Bond 1'!$D$42),COLUMN('Bond 1'!$D$42),4)</f>
        <v>D42</v>
      </c>
      <c r="D2748" t="b" cm="1">
        <f t="array" aca="1" ref="D2748" ca="1">IF(INDIRECT("'"&amp;A2748&amp;"'!"&amp;B2748)="",FALSE,IF(INDIRECT("'"&amp;A2748&amp;"'!"&amp;B2748)&lt;0,TRUE,FALSE))</f>
        <v>0</v>
      </c>
      <c r="E2748" t="s">
        <v>434</v>
      </c>
      <c r="F2748" t="str">
        <f>INDEX(Lists!I:I,MATCH(Validation!E2748,Lists!G:G,0))</f>
        <v>Error</v>
      </c>
      <c r="G2748" t="str">
        <f>INDEX(Lists!H:H,MATCH(Validation!E2748,Lists!G:G,0))</f>
        <v>Amount may not be negative. Enter an amount greater than or equal to zero.</v>
      </c>
      <c r="H2748" s="25" t="str">
        <f t="shared" ca="1" si="309"/>
        <v/>
      </c>
      <c r="I2748" s="25" t="str">
        <f t="shared" ca="1" si="310"/>
        <v/>
      </c>
      <c r="J2748" s="26" t="str">
        <f t="shared" ca="1" si="311"/>
        <v/>
      </c>
    </row>
    <row r="2749" spans="1:10" x14ac:dyDescent="0.25">
      <c r="A2749" t="s">
        <v>198</v>
      </c>
      <c r="B2749" t="str">
        <f>ADDRESS(ROW('Bond 1'!$C$42),COLUMN('Bond 1'!$C$42),4)</f>
        <v>C42</v>
      </c>
      <c r="C2749" t="str">
        <f>ADDRESS(ROW('Bond 1'!$D$42),COLUMN('Bond 1'!$D$42),4)</f>
        <v>D42</v>
      </c>
      <c r="D2749" t="b" cm="1">
        <f t="array" aca="1" ref="D2749" ca="1">IF(INDIRECT("'"&amp;A2749&amp;"'!"&amp;B2749)="",FALSE,IF(TRUNC(INDIRECT("'"&amp;A2749&amp;"'!"&amp;B2749))=INDIRECT("'"&amp;A2749&amp;"'!"&amp;B2749),FALSE,TRUE))</f>
        <v>0</v>
      </c>
      <c r="E2749" t="s">
        <v>436</v>
      </c>
      <c r="F2749" t="str">
        <f>INDEX(Lists!I:I,MATCH(Validation!E2749,Lists!G:G,0))</f>
        <v>Error</v>
      </c>
      <c r="G2749" t="str">
        <f>INDEX(Lists!H:H,MATCH(Validation!E2749,Lists!G:G,0))</f>
        <v>Amount must be rounded to the nearest dollar.</v>
      </c>
      <c r="H2749" s="25" t="str">
        <f t="shared" ca="1" si="309"/>
        <v/>
      </c>
      <c r="I2749" s="25" t="str">
        <f t="shared" ca="1" si="310"/>
        <v/>
      </c>
      <c r="J2749" s="26" t="str">
        <f t="shared" ca="1" si="311"/>
        <v/>
      </c>
    </row>
    <row r="2750" spans="1:10" x14ac:dyDescent="0.25">
      <c r="A2750" t="s">
        <v>302</v>
      </c>
      <c r="B2750" t="str">
        <f>ADDRESS(ROW('Bond 1'!$C$42),COLUMN('Bond 1'!$C$42),4)</f>
        <v>C42</v>
      </c>
      <c r="C2750" t="str">
        <f>ADDRESS(ROW('Bond 1'!$D$42),COLUMN('Bond 1'!$D$42),4)</f>
        <v>D42</v>
      </c>
      <c r="D2750" t="b" cm="1">
        <f t="array" aca="1" ref="D2750" ca="1">IF(INDIRECT("'"&amp;A2750&amp;"'!"&amp;B2750)="",FALSE,IF(TRUNC(INDIRECT("'"&amp;A2750&amp;"'!"&amp;B2750))=INDIRECT("'"&amp;A2750&amp;"'!"&amp;B2750),FALSE,TRUE))</f>
        <v>0</v>
      </c>
      <c r="E2750" t="s">
        <v>436</v>
      </c>
      <c r="F2750" t="str">
        <f>INDEX(Lists!I:I,MATCH(Validation!E2750,Lists!G:G,0))</f>
        <v>Error</v>
      </c>
      <c r="G2750" t="str">
        <f>INDEX(Lists!H:H,MATCH(Validation!E2750,Lists!G:G,0))</f>
        <v>Amount must be rounded to the nearest dollar.</v>
      </c>
      <c r="H2750" s="25" t="str">
        <f t="shared" ca="1" si="309"/>
        <v/>
      </c>
      <c r="I2750" s="25" t="str">
        <f t="shared" ca="1" si="310"/>
        <v/>
      </c>
      <c r="J2750" s="26" t="str">
        <f t="shared" ca="1" si="311"/>
        <v/>
      </c>
    </row>
    <row r="2751" spans="1:10" x14ac:dyDescent="0.25">
      <c r="A2751" t="s">
        <v>303</v>
      </c>
      <c r="B2751" t="str">
        <f>ADDRESS(ROW('Bond 1'!$C$42),COLUMN('Bond 1'!$C$42),4)</f>
        <v>C42</v>
      </c>
      <c r="C2751" t="str">
        <f>ADDRESS(ROW('Bond 1'!$D$42),COLUMN('Bond 1'!$D$42),4)</f>
        <v>D42</v>
      </c>
      <c r="D2751" t="b" cm="1">
        <f t="array" aca="1" ref="D2751" ca="1">IF(INDIRECT("'"&amp;A2751&amp;"'!"&amp;B2751)="",FALSE,IF(TRUNC(INDIRECT("'"&amp;A2751&amp;"'!"&amp;B2751))=INDIRECT("'"&amp;A2751&amp;"'!"&amp;B2751),FALSE,TRUE))</f>
        <v>0</v>
      </c>
      <c r="E2751" t="s">
        <v>436</v>
      </c>
      <c r="F2751" t="str">
        <f>INDEX(Lists!I:I,MATCH(Validation!E2751,Lists!G:G,0))</f>
        <v>Error</v>
      </c>
      <c r="G2751" t="str">
        <f>INDEX(Lists!H:H,MATCH(Validation!E2751,Lists!G:G,0))</f>
        <v>Amount must be rounded to the nearest dollar.</v>
      </c>
      <c r="H2751" s="25" t="str">
        <f t="shared" ca="1" si="309"/>
        <v/>
      </c>
      <c r="I2751" s="25" t="str">
        <f t="shared" ca="1" si="310"/>
        <v/>
      </c>
      <c r="J2751" s="26" t="str">
        <f t="shared" ca="1" si="311"/>
        <v/>
      </c>
    </row>
    <row r="2752" spans="1:10" x14ac:dyDescent="0.25">
      <c r="A2752" t="s">
        <v>304</v>
      </c>
      <c r="B2752" t="str">
        <f>ADDRESS(ROW('Bond 1'!$C$42),COLUMN('Bond 1'!$C$42),4)</f>
        <v>C42</v>
      </c>
      <c r="C2752" t="str">
        <f>ADDRESS(ROW('Bond 1'!$D$42),COLUMN('Bond 1'!$D$42),4)</f>
        <v>D42</v>
      </c>
      <c r="D2752" t="b" cm="1">
        <f t="array" aca="1" ref="D2752" ca="1">IF(INDIRECT("'"&amp;A2752&amp;"'!"&amp;B2752)="",FALSE,IF(TRUNC(INDIRECT("'"&amp;A2752&amp;"'!"&amp;B2752))=INDIRECT("'"&amp;A2752&amp;"'!"&amp;B2752),FALSE,TRUE))</f>
        <v>0</v>
      </c>
      <c r="E2752" t="s">
        <v>436</v>
      </c>
      <c r="F2752" t="str">
        <f>INDEX(Lists!I:I,MATCH(Validation!E2752,Lists!G:G,0))</f>
        <v>Error</v>
      </c>
      <c r="G2752" t="str">
        <f>INDEX(Lists!H:H,MATCH(Validation!E2752,Lists!G:G,0))</f>
        <v>Amount must be rounded to the nearest dollar.</v>
      </c>
      <c r="H2752" s="25" t="str">
        <f t="shared" ca="1" si="309"/>
        <v/>
      </c>
      <c r="I2752" s="25" t="str">
        <f t="shared" ca="1" si="310"/>
        <v/>
      </c>
      <c r="J2752" s="26" t="str">
        <f t="shared" ca="1" si="311"/>
        <v/>
      </c>
    </row>
    <row r="2753" spans="1:10" x14ac:dyDescent="0.25">
      <c r="A2753" t="s">
        <v>305</v>
      </c>
      <c r="B2753" t="str">
        <f>ADDRESS(ROW('Bond 1'!$C$42),COLUMN('Bond 1'!$C$42),4)</f>
        <v>C42</v>
      </c>
      <c r="C2753" t="str">
        <f>ADDRESS(ROW('Bond 1'!$D$42),COLUMN('Bond 1'!$D$42),4)</f>
        <v>D42</v>
      </c>
      <c r="D2753" t="b" cm="1">
        <f t="array" aca="1" ref="D2753" ca="1">IF(INDIRECT("'"&amp;A2753&amp;"'!"&amp;B2753)="",FALSE,IF(TRUNC(INDIRECT("'"&amp;A2753&amp;"'!"&amp;B2753))=INDIRECT("'"&amp;A2753&amp;"'!"&amp;B2753),FALSE,TRUE))</f>
        <v>0</v>
      </c>
      <c r="E2753" t="s">
        <v>436</v>
      </c>
      <c r="F2753" t="str">
        <f>INDEX(Lists!I:I,MATCH(Validation!E2753,Lists!G:G,0))</f>
        <v>Error</v>
      </c>
      <c r="G2753" t="str">
        <f>INDEX(Lists!H:H,MATCH(Validation!E2753,Lists!G:G,0))</f>
        <v>Amount must be rounded to the nearest dollar.</v>
      </c>
      <c r="H2753" s="25" t="str">
        <f t="shared" ca="1" si="309"/>
        <v/>
      </c>
      <c r="I2753" s="25" t="str">
        <f t="shared" ca="1" si="310"/>
        <v/>
      </c>
      <c r="J2753" s="26" t="str">
        <f t="shared" ca="1" si="311"/>
        <v/>
      </c>
    </row>
    <row r="2754" spans="1:10" x14ac:dyDescent="0.25">
      <c r="A2754" t="s">
        <v>306</v>
      </c>
      <c r="B2754" t="str">
        <f>ADDRESS(ROW('Bond 1'!$C$42),COLUMN('Bond 1'!$C$42),4)</f>
        <v>C42</v>
      </c>
      <c r="C2754" t="str">
        <f>ADDRESS(ROW('Bond 1'!$D$42),COLUMN('Bond 1'!$D$42),4)</f>
        <v>D42</v>
      </c>
      <c r="D2754" t="b" cm="1">
        <f t="array" aca="1" ref="D2754" ca="1">IF(INDIRECT("'"&amp;A2754&amp;"'!"&amp;B2754)="",FALSE,IF(TRUNC(INDIRECT("'"&amp;A2754&amp;"'!"&amp;B2754))=INDIRECT("'"&amp;A2754&amp;"'!"&amp;B2754),FALSE,TRUE))</f>
        <v>0</v>
      </c>
      <c r="E2754" t="s">
        <v>436</v>
      </c>
      <c r="F2754" t="str">
        <f>INDEX(Lists!I:I,MATCH(Validation!E2754,Lists!G:G,0))</f>
        <v>Error</v>
      </c>
      <c r="G2754" t="str">
        <f>INDEX(Lists!H:H,MATCH(Validation!E2754,Lists!G:G,0))</f>
        <v>Amount must be rounded to the nearest dollar.</v>
      </c>
      <c r="H2754" s="25" t="str">
        <f t="shared" ca="1" si="309"/>
        <v/>
      </c>
      <c r="I2754" s="25" t="str">
        <f t="shared" ca="1" si="310"/>
        <v/>
      </c>
      <c r="J2754" s="26" t="str">
        <f t="shared" ca="1" si="311"/>
        <v/>
      </c>
    </row>
    <row r="2755" spans="1:10" x14ac:dyDescent="0.25">
      <c r="A2755" t="s">
        <v>307</v>
      </c>
      <c r="B2755" t="str">
        <f>ADDRESS(ROW('Bond 1'!$C$42),COLUMN('Bond 1'!$C$42),4)</f>
        <v>C42</v>
      </c>
      <c r="C2755" t="str">
        <f>ADDRESS(ROW('Bond 1'!$D$42),COLUMN('Bond 1'!$D$42),4)</f>
        <v>D42</v>
      </c>
      <c r="D2755" t="b" cm="1">
        <f t="array" aca="1" ref="D2755" ca="1">IF(INDIRECT("'"&amp;A2755&amp;"'!"&amp;B2755)="",FALSE,IF(TRUNC(INDIRECT("'"&amp;A2755&amp;"'!"&amp;B2755))=INDIRECT("'"&amp;A2755&amp;"'!"&amp;B2755),FALSE,TRUE))</f>
        <v>0</v>
      </c>
      <c r="E2755" t="s">
        <v>436</v>
      </c>
      <c r="F2755" t="str">
        <f>INDEX(Lists!I:I,MATCH(Validation!E2755,Lists!G:G,0))</f>
        <v>Error</v>
      </c>
      <c r="G2755" t="str">
        <f>INDEX(Lists!H:H,MATCH(Validation!E2755,Lists!G:G,0))</f>
        <v>Amount must be rounded to the nearest dollar.</v>
      </c>
      <c r="H2755" s="25" t="str">
        <f t="shared" ca="1" si="309"/>
        <v/>
      </c>
      <c r="I2755" s="25" t="str">
        <f t="shared" ca="1" si="310"/>
        <v/>
      </c>
      <c r="J2755" s="26" t="str">
        <f t="shared" ca="1" si="311"/>
        <v/>
      </c>
    </row>
    <row r="2756" spans="1:10" x14ac:dyDescent="0.25">
      <c r="A2756" t="s">
        <v>308</v>
      </c>
      <c r="B2756" t="str">
        <f>ADDRESS(ROW('Bond 1'!$C$42),COLUMN('Bond 1'!$C$42),4)</f>
        <v>C42</v>
      </c>
      <c r="C2756" t="str">
        <f>ADDRESS(ROW('Bond 1'!$D$42),COLUMN('Bond 1'!$D$42),4)</f>
        <v>D42</v>
      </c>
      <c r="D2756" t="b" cm="1">
        <f t="array" aca="1" ref="D2756" ca="1">IF(INDIRECT("'"&amp;A2756&amp;"'!"&amp;B2756)="",FALSE,IF(TRUNC(INDIRECT("'"&amp;A2756&amp;"'!"&amp;B2756))=INDIRECT("'"&amp;A2756&amp;"'!"&amp;B2756),FALSE,TRUE))</f>
        <v>0</v>
      </c>
      <c r="E2756" t="s">
        <v>436</v>
      </c>
      <c r="F2756" t="str">
        <f>INDEX(Lists!I:I,MATCH(Validation!E2756,Lists!G:G,0))</f>
        <v>Error</v>
      </c>
      <c r="G2756" t="str">
        <f>INDEX(Lists!H:H,MATCH(Validation!E2756,Lists!G:G,0))</f>
        <v>Amount must be rounded to the nearest dollar.</v>
      </c>
      <c r="H2756" s="25" t="str">
        <f t="shared" ca="1" si="309"/>
        <v/>
      </c>
      <c r="I2756" s="25" t="str">
        <f t="shared" ca="1" si="310"/>
        <v/>
      </c>
      <c r="J2756" s="26" t="str">
        <f t="shared" ca="1" si="311"/>
        <v/>
      </c>
    </row>
    <row r="2757" spans="1:10" x14ac:dyDescent="0.25">
      <c r="A2757" t="s">
        <v>309</v>
      </c>
      <c r="B2757" t="str">
        <f>ADDRESS(ROW('Bond 1'!$C$42),COLUMN('Bond 1'!$C$42),4)</f>
        <v>C42</v>
      </c>
      <c r="C2757" t="str">
        <f>ADDRESS(ROW('Bond 1'!$D$42),COLUMN('Bond 1'!$D$42),4)</f>
        <v>D42</v>
      </c>
      <c r="D2757" t="b" cm="1">
        <f t="array" aca="1" ref="D2757" ca="1">IF(INDIRECT("'"&amp;A2757&amp;"'!"&amp;B2757)="",FALSE,IF(TRUNC(INDIRECT("'"&amp;A2757&amp;"'!"&amp;B2757))=INDIRECT("'"&amp;A2757&amp;"'!"&amp;B2757),FALSE,TRUE))</f>
        <v>0</v>
      </c>
      <c r="E2757" t="s">
        <v>436</v>
      </c>
      <c r="F2757" t="str">
        <f>INDEX(Lists!I:I,MATCH(Validation!E2757,Lists!G:G,0))</f>
        <v>Error</v>
      </c>
      <c r="G2757" t="str">
        <f>INDEX(Lists!H:H,MATCH(Validation!E2757,Lists!G:G,0))</f>
        <v>Amount must be rounded to the nearest dollar.</v>
      </c>
      <c r="H2757" s="25" t="str">
        <f t="shared" ca="1" si="309"/>
        <v/>
      </c>
      <c r="I2757" s="25" t="str">
        <f t="shared" ca="1" si="310"/>
        <v/>
      </c>
      <c r="J2757" s="26" t="str">
        <f t="shared" ca="1" si="311"/>
        <v/>
      </c>
    </row>
    <row r="2758" spans="1:10" x14ac:dyDescent="0.25">
      <c r="A2758" t="s">
        <v>310</v>
      </c>
      <c r="B2758" t="str">
        <f>ADDRESS(ROW('Bond 1'!$C$42),COLUMN('Bond 1'!$C$42),4)</f>
        <v>C42</v>
      </c>
      <c r="C2758" t="str">
        <f>ADDRESS(ROW('Bond 1'!$D$42),COLUMN('Bond 1'!$D$42),4)</f>
        <v>D42</v>
      </c>
      <c r="D2758" t="b" cm="1">
        <f t="array" aca="1" ref="D2758" ca="1">IF(INDIRECT("'"&amp;A2758&amp;"'!"&amp;B2758)="",FALSE,IF(TRUNC(INDIRECT("'"&amp;A2758&amp;"'!"&amp;B2758))=INDIRECT("'"&amp;A2758&amp;"'!"&amp;B2758),FALSE,TRUE))</f>
        <v>0</v>
      </c>
      <c r="E2758" t="s">
        <v>436</v>
      </c>
      <c r="F2758" t="str">
        <f>INDEX(Lists!I:I,MATCH(Validation!E2758,Lists!G:G,0))</f>
        <v>Error</v>
      </c>
      <c r="G2758" t="str">
        <f>INDEX(Lists!H:H,MATCH(Validation!E2758,Lists!G:G,0))</f>
        <v>Amount must be rounded to the nearest dollar.</v>
      </c>
      <c r="H2758" s="25" t="str">
        <f t="shared" ca="1" si="309"/>
        <v/>
      </c>
      <c r="I2758" s="25" t="str">
        <f t="shared" ca="1" si="310"/>
        <v/>
      </c>
      <c r="J2758" s="26" t="str">
        <f t="shared" ca="1" si="311"/>
        <v/>
      </c>
    </row>
    <row r="2759" spans="1:10" x14ac:dyDescent="0.25">
      <c r="A2759" t="s">
        <v>311</v>
      </c>
      <c r="B2759" t="str">
        <f>ADDRESS(ROW('Bond 1'!$C$42),COLUMN('Bond 1'!$C$42),4)</f>
        <v>C42</v>
      </c>
      <c r="C2759" t="str">
        <f>ADDRESS(ROW('Bond 1'!$D$42),COLUMN('Bond 1'!$D$42),4)</f>
        <v>D42</v>
      </c>
      <c r="D2759" t="b" cm="1">
        <f t="array" aca="1" ref="D2759" ca="1">IF(INDIRECT("'"&amp;A2759&amp;"'!"&amp;B2759)="",FALSE,IF(TRUNC(INDIRECT("'"&amp;A2759&amp;"'!"&amp;B2759))=INDIRECT("'"&amp;A2759&amp;"'!"&amp;B2759),FALSE,TRUE))</f>
        <v>0</v>
      </c>
      <c r="E2759" t="s">
        <v>436</v>
      </c>
      <c r="F2759" t="str">
        <f>INDEX(Lists!I:I,MATCH(Validation!E2759,Lists!G:G,0))</f>
        <v>Error</v>
      </c>
      <c r="G2759" t="str">
        <f>INDEX(Lists!H:H,MATCH(Validation!E2759,Lists!G:G,0))</f>
        <v>Amount must be rounded to the nearest dollar.</v>
      </c>
      <c r="H2759" s="25" t="str">
        <f t="shared" ca="1" si="309"/>
        <v/>
      </c>
      <c r="I2759" s="25" t="str">
        <f t="shared" ca="1" si="310"/>
        <v/>
      </c>
      <c r="J2759" s="26" t="str">
        <f t="shared" ca="1" si="311"/>
        <v/>
      </c>
    </row>
    <row r="2760" spans="1:10" x14ac:dyDescent="0.25">
      <c r="A2760" t="s">
        <v>312</v>
      </c>
      <c r="B2760" t="str">
        <f>ADDRESS(ROW('Bond 1'!$C$42),COLUMN('Bond 1'!$C$42),4)</f>
        <v>C42</v>
      </c>
      <c r="C2760" t="str">
        <f>ADDRESS(ROW('Bond 1'!$D$42),COLUMN('Bond 1'!$D$42),4)</f>
        <v>D42</v>
      </c>
      <c r="D2760" t="b" cm="1">
        <f t="array" aca="1" ref="D2760" ca="1">IF(INDIRECT("'"&amp;A2760&amp;"'!"&amp;B2760)="",FALSE,IF(TRUNC(INDIRECT("'"&amp;A2760&amp;"'!"&amp;B2760))=INDIRECT("'"&amp;A2760&amp;"'!"&amp;B2760),FALSE,TRUE))</f>
        <v>0</v>
      </c>
      <c r="E2760" t="s">
        <v>436</v>
      </c>
      <c r="F2760" t="str">
        <f>INDEX(Lists!I:I,MATCH(Validation!E2760,Lists!G:G,0))</f>
        <v>Error</v>
      </c>
      <c r="G2760" t="str">
        <f>INDEX(Lists!H:H,MATCH(Validation!E2760,Lists!G:G,0))</f>
        <v>Amount must be rounded to the nearest dollar.</v>
      </c>
      <c r="H2760" s="25" t="str">
        <f t="shared" ca="1" si="309"/>
        <v/>
      </c>
      <c r="I2760" s="25" t="str">
        <f t="shared" ca="1" si="310"/>
        <v/>
      </c>
      <c r="J2760" s="26" t="str">
        <f t="shared" ca="1" si="311"/>
        <v/>
      </c>
    </row>
    <row r="2761" spans="1:10" x14ac:dyDescent="0.25">
      <c r="A2761" t="s">
        <v>313</v>
      </c>
      <c r="B2761" t="str">
        <f>ADDRESS(ROW('Bond 1'!$C$42),COLUMN('Bond 1'!$C$42),4)</f>
        <v>C42</v>
      </c>
      <c r="C2761" t="str">
        <f>ADDRESS(ROW('Bond 1'!$D$42),COLUMN('Bond 1'!$D$42),4)</f>
        <v>D42</v>
      </c>
      <c r="D2761" t="b" cm="1">
        <f t="array" aca="1" ref="D2761" ca="1">IF(INDIRECT("'"&amp;A2761&amp;"'!"&amp;B2761)="",FALSE,IF(TRUNC(INDIRECT("'"&amp;A2761&amp;"'!"&amp;B2761))=INDIRECT("'"&amp;A2761&amp;"'!"&amp;B2761),FALSE,TRUE))</f>
        <v>0</v>
      </c>
      <c r="E2761" t="s">
        <v>436</v>
      </c>
      <c r="F2761" t="str">
        <f>INDEX(Lists!I:I,MATCH(Validation!E2761,Lists!G:G,0))</f>
        <v>Error</v>
      </c>
      <c r="G2761" t="str">
        <f>INDEX(Lists!H:H,MATCH(Validation!E2761,Lists!G:G,0))</f>
        <v>Amount must be rounded to the nearest dollar.</v>
      </c>
      <c r="H2761" s="25" t="str">
        <f t="shared" ca="1" si="309"/>
        <v/>
      </c>
      <c r="I2761" s="25" t="str">
        <f t="shared" ca="1" si="310"/>
        <v/>
      </c>
      <c r="J2761" s="26" t="str">
        <f t="shared" ca="1" si="311"/>
        <v/>
      </c>
    </row>
    <row r="2762" spans="1:10" x14ac:dyDescent="0.25">
      <c r="A2762" t="s">
        <v>314</v>
      </c>
      <c r="B2762" t="str">
        <f>ADDRESS(ROW('Bond 1'!$C$42),COLUMN('Bond 1'!$C$42),4)</f>
        <v>C42</v>
      </c>
      <c r="C2762" t="str">
        <f>ADDRESS(ROW('Bond 1'!$D$42),COLUMN('Bond 1'!$D$42),4)</f>
        <v>D42</v>
      </c>
      <c r="D2762" t="b" cm="1">
        <f t="array" aca="1" ref="D2762" ca="1">IF(INDIRECT("'"&amp;A2762&amp;"'!"&amp;B2762)="",FALSE,IF(TRUNC(INDIRECT("'"&amp;A2762&amp;"'!"&amp;B2762))=INDIRECT("'"&amp;A2762&amp;"'!"&amp;B2762),FALSE,TRUE))</f>
        <v>0</v>
      </c>
      <c r="E2762" t="s">
        <v>436</v>
      </c>
      <c r="F2762" t="str">
        <f>INDEX(Lists!I:I,MATCH(Validation!E2762,Lists!G:G,0))</f>
        <v>Error</v>
      </c>
      <c r="G2762" t="str">
        <f>INDEX(Lists!H:H,MATCH(Validation!E2762,Lists!G:G,0))</f>
        <v>Amount must be rounded to the nearest dollar.</v>
      </c>
      <c r="H2762" s="25" t="str">
        <f t="shared" ca="1" si="309"/>
        <v/>
      </c>
      <c r="I2762" s="25" t="str">
        <f t="shared" ca="1" si="310"/>
        <v/>
      </c>
      <c r="J2762" s="26" t="str">
        <f t="shared" ca="1" si="311"/>
        <v/>
      </c>
    </row>
    <row r="2763" spans="1:10" x14ac:dyDescent="0.25">
      <c r="A2763" t="s">
        <v>315</v>
      </c>
      <c r="B2763" t="str">
        <f>ADDRESS(ROW('Bond 1'!$C$42),COLUMN('Bond 1'!$C$42),4)</f>
        <v>C42</v>
      </c>
      <c r="C2763" t="str">
        <f>ADDRESS(ROW('Bond 1'!$D$42),COLUMN('Bond 1'!$D$42),4)</f>
        <v>D42</v>
      </c>
      <c r="D2763" t="b" cm="1">
        <f t="array" aca="1" ref="D2763" ca="1">IF(INDIRECT("'"&amp;A2763&amp;"'!"&amp;B2763)="",FALSE,IF(TRUNC(INDIRECT("'"&amp;A2763&amp;"'!"&amp;B2763))=INDIRECT("'"&amp;A2763&amp;"'!"&amp;B2763),FALSE,TRUE))</f>
        <v>0</v>
      </c>
      <c r="E2763" t="s">
        <v>436</v>
      </c>
      <c r="F2763" t="str">
        <f>INDEX(Lists!I:I,MATCH(Validation!E2763,Lists!G:G,0))</f>
        <v>Error</v>
      </c>
      <c r="G2763" t="str">
        <f>INDEX(Lists!H:H,MATCH(Validation!E2763,Lists!G:G,0))</f>
        <v>Amount must be rounded to the nearest dollar.</v>
      </c>
      <c r="H2763" s="25" t="str">
        <f t="shared" ca="1" si="309"/>
        <v/>
      </c>
      <c r="I2763" s="25" t="str">
        <f t="shared" ca="1" si="310"/>
        <v/>
      </c>
      <c r="J2763" s="26" t="str">
        <f t="shared" ca="1" si="311"/>
        <v/>
      </c>
    </row>
    <row r="2764" spans="1:10" x14ac:dyDescent="0.25">
      <c r="A2764" t="s">
        <v>198</v>
      </c>
      <c r="B2764" t="str">
        <f>ADDRESS(ROW('Bond 1'!$B$44),COLUMN('Bond 1'!$B$44),4)</f>
        <v>B44</v>
      </c>
      <c r="C2764" t="str">
        <f>ADDRESS(ROW('Bond 1'!$D$44),COLUMN('Bond 1'!$D$44),4)</f>
        <v>D44</v>
      </c>
      <c r="D2764" t="b" cm="1">
        <f t="array" aca="1" ref="D2764" ca="1">IF(AND('Bond 1'!B$8="Non-TIF Bond",OR(ISBLANK(INDIRECT("'"&amp;A2764&amp;"'!"&amp;B2764)),INDIRECT("'"&amp;A2764&amp;"'!"&amp;B2764)&lt;&gt;0)),TRUE,FALSE)</f>
        <v>0</v>
      </c>
      <c r="E2764" t="s">
        <v>630</v>
      </c>
      <c r="F2764" t="str">
        <f>INDEX(Lists!I:I,MATCH(Validation!E2764,Lists!G:G,0))</f>
        <v>Error</v>
      </c>
      <c r="G2764" t="str">
        <f>INDEX(Lists!H:H,MATCH(Validation!E2764,Lists!G:G,0))</f>
        <v>Enter $0 if debt type is Non-TIF Bond.</v>
      </c>
      <c r="H2764" s="25" t="str">
        <f t="shared" ref="H2764:H2778" ca="1" si="312">IFERROR(IF(OR(NOT(D2764),F2764&lt;&gt;"Error"),"",A2764&amp;CELL("address",INDIRECT(B2764))),"")</f>
        <v/>
      </c>
      <c r="I2764" s="25" t="str">
        <f t="shared" ref="I2764:I2778" ca="1" si="313">IFERROR(IF(NOT(D2764),"",A2764&amp;CELL("address",INDIRECT(C2764))),"")</f>
        <v/>
      </c>
      <c r="J2764" s="26" t="str">
        <f t="shared" ref="J2764:J2778" ca="1" si="314">IFERROR(IF(NOT(D2764),"",A2764),"")</f>
        <v/>
      </c>
    </row>
    <row r="2765" spans="1:10" x14ac:dyDescent="0.25">
      <c r="A2765" t="s">
        <v>302</v>
      </c>
      <c r="B2765" t="str">
        <f>ADDRESS(ROW('Bond 1'!$B$44),COLUMN('Bond 1'!$B$44),4)</f>
        <v>B44</v>
      </c>
      <c r="C2765" t="str">
        <f>ADDRESS(ROW('Bond 1'!$D$44),COLUMN('Bond 1'!$D$44),4)</f>
        <v>D44</v>
      </c>
      <c r="D2765" t="b" cm="1">
        <f t="array" aca="1" ref="D2765" ca="1">IF(AND('Bond 2'!B$8="Non-TIF Bond",OR(ISBLANK(INDIRECT("'"&amp;A2765&amp;"'!"&amp;B2765)),INDIRECT("'"&amp;A2765&amp;"'!"&amp;B2765)&lt;&gt;0)),TRUE,FALSE)</f>
        <v>0</v>
      </c>
      <c r="E2765" t="s">
        <v>630</v>
      </c>
      <c r="F2765" t="str">
        <f>INDEX(Lists!I:I,MATCH(Validation!E2765,Lists!G:G,0))</f>
        <v>Error</v>
      </c>
      <c r="G2765" t="str">
        <f>INDEX(Lists!H:H,MATCH(Validation!E2765,Lists!G:G,0))</f>
        <v>Enter $0 if debt type is Non-TIF Bond.</v>
      </c>
      <c r="H2765" s="25" t="str">
        <f t="shared" ca="1" si="312"/>
        <v/>
      </c>
      <c r="I2765" s="25" t="str">
        <f t="shared" ca="1" si="313"/>
        <v/>
      </c>
      <c r="J2765" s="26" t="str">
        <f t="shared" ca="1" si="314"/>
        <v/>
      </c>
    </row>
    <row r="2766" spans="1:10" x14ac:dyDescent="0.25">
      <c r="A2766" t="s">
        <v>303</v>
      </c>
      <c r="B2766" t="str">
        <f>ADDRESS(ROW('Bond 1'!$B$44),COLUMN('Bond 1'!$B$44),4)</f>
        <v>B44</v>
      </c>
      <c r="C2766" t="str">
        <f>ADDRESS(ROW('Bond 1'!$D$44),COLUMN('Bond 1'!$D$44),4)</f>
        <v>D44</v>
      </c>
      <c r="D2766" t="b" cm="1">
        <f t="array" aca="1" ref="D2766" ca="1">IF(AND('Bond 3'!B$8="Non-TIF Bond",OR(ISBLANK(INDIRECT("'"&amp;A2766&amp;"'!"&amp;B2766)),INDIRECT("'"&amp;A2766&amp;"'!"&amp;B2766)&lt;&gt;0)),TRUE,FALSE)</f>
        <v>0</v>
      </c>
      <c r="E2766" t="s">
        <v>630</v>
      </c>
      <c r="F2766" t="str">
        <f>INDEX(Lists!I:I,MATCH(Validation!E2766,Lists!G:G,0))</f>
        <v>Error</v>
      </c>
      <c r="G2766" t="str">
        <f>INDEX(Lists!H:H,MATCH(Validation!E2766,Lists!G:G,0))</f>
        <v>Enter $0 if debt type is Non-TIF Bond.</v>
      </c>
      <c r="H2766" s="25" t="str">
        <f t="shared" ca="1" si="312"/>
        <v/>
      </c>
      <c r="I2766" s="25" t="str">
        <f t="shared" ca="1" si="313"/>
        <v/>
      </c>
      <c r="J2766" s="26" t="str">
        <f t="shared" ca="1" si="314"/>
        <v/>
      </c>
    </row>
    <row r="2767" spans="1:10" x14ac:dyDescent="0.25">
      <c r="A2767" t="s">
        <v>304</v>
      </c>
      <c r="B2767" t="str">
        <f>ADDRESS(ROW('Bond 1'!$B$44),COLUMN('Bond 1'!$B$44),4)</f>
        <v>B44</v>
      </c>
      <c r="C2767" t="str">
        <f>ADDRESS(ROW('Bond 1'!$D$44),COLUMN('Bond 1'!$D$44),4)</f>
        <v>D44</v>
      </c>
      <c r="D2767" t="b" cm="1">
        <f t="array" aca="1" ref="D2767" ca="1">IF(AND('Bond 4'!B$8="Non-TIF Bond",OR(ISBLANK(INDIRECT("'"&amp;A2767&amp;"'!"&amp;B2767)),INDIRECT("'"&amp;A2767&amp;"'!"&amp;B2767)&lt;&gt;0)),TRUE,FALSE)</f>
        <v>0</v>
      </c>
      <c r="E2767" t="s">
        <v>630</v>
      </c>
      <c r="F2767" t="str">
        <f>INDEX(Lists!I:I,MATCH(Validation!E2767,Lists!G:G,0))</f>
        <v>Error</v>
      </c>
      <c r="G2767" t="str">
        <f>INDEX(Lists!H:H,MATCH(Validation!E2767,Lists!G:G,0))</f>
        <v>Enter $0 if debt type is Non-TIF Bond.</v>
      </c>
      <c r="H2767" s="25" t="str">
        <f t="shared" ca="1" si="312"/>
        <v/>
      </c>
      <c r="I2767" s="25" t="str">
        <f t="shared" ca="1" si="313"/>
        <v/>
      </c>
      <c r="J2767" s="26" t="str">
        <f t="shared" ca="1" si="314"/>
        <v/>
      </c>
    </row>
    <row r="2768" spans="1:10" x14ac:dyDescent="0.25">
      <c r="A2768" t="s">
        <v>305</v>
      </c>
      <c r="B2768" t="str">
        <f>ADDRESS(ROW('Bond 1'!$B$44),COLUMN('Bond 1'!$B$44),4)</f>
        <v>B44</v>
      </c>
      <c r="C2768" t="str">
        <f>ADDRESS(ROW('Bond 1'!$D$44),COLUMN('Bond 1'!$D$44),4)</f>
        <v>D44</v>
      </c>
      <c r="D2768" t="b" cm="1">
        <f t="array" aca="1" ref="D2768" ca="1">IF(AND('Bond 5'!B$8="Non-TIF Bond",OR(ISBLANK(INDIRECT("'"&amp;A2768&amp;"'!"&amp;B2768)),INDIRECT("'"&amp;A2768&amp;"'!"&amp;B2768)&lt;&gt;0)),TRUE,FALSE)</f>
        <v>0</v>
      </c>
      <c r="E2768" t="s">
        <v>630</v>
      </c>
      <c r="F2768" t="str">
        <f>INDEX(Lists!I:I,MATCH(Validation!E2768,Lists!G:G,0))</f>
        <v>Error</v>
      </c>
      <c r="G2768" t="str">
        <f>INDEX(Lists!H:H,MATCH(Validation!E2768,Lists!G:G,0))</f>
        <v>Enter $0 if debt type is Non-TIF Bond.</v>
      </c>
      <c r="H2768" s="25" t="str">
        <f t="shared" ca="1" si="312"/>
        <v/>
      </c>
      <c r="I2768" s="25" t="str">
        <f t="shared" ca="1" si="313"/>
        <v/>
      </c>
      <c r="J2768" s="26" t="str">
        <f t="shared" ca="1" si="314"/>
        <v/>
      </c>
    </row>
    <row r="2769" spans="1:10" x14ac:dyDescent="0.25">
      <c r="A2769" t="s">
        <v>306</v>
      </c>
      <c r="B2769" t="str">
        <f>ADDRESS(ROW('Bond 1'!$B$44),COLUMN('Bond 1'!$B$44),4)</f>
        <v>B44</v>
      </c>
      <c r="C2769" t="str">
        <f>ADDRESS(ROW('Bond 1'!$D$44),COLUMN('Bond 1'!$D$44),4)</f>
        <v>D44</v>
      </c>
      <c r="D2769" t="b" cm="1">
        <f t="array" aca="1" ref="D2769" ca="1">IF(AND('Bond 6'!B$8="Non-TIF Bond",OR(ISBLANK(INDIRECT("'"&amp;A2769&amp;"'!"&amp;B2769)),INDIRECT("'"&amp;A2769&amp;"'!"&amp;B2769)&lt;&gt;0)),TRUE,FALSE)</f>
        <v>0</v>
      </c>
      <c r="E2769" t="s">
        <v>630</v>
      </c>
      <c r="F2769" t="str">
        <f>INDEX(Lists!I:I,MATCH(Validation!E2769,Lists!G:G,0))</f>
        <v>Error</v>
      </c>
      <c r="G2769" t="str">
        <f>INDEX(Lists!H:H,MATCH(Validation!E2769,Lists!G:G,0))</f>
        <v>Enter $0 if debt type is Non-TIF Bond.</v>
      </c>
      <c r="H2769" s="25" t="str">
        <f t="shared" ca="1" si="312"/>
        <v/>
      </c>
      <c r="I2769" s="25" t="str">
        <f t="shared" ca="1" si="313"/>
        <v/>
      </c>
      <c r="J2769" s="26" t="str">
        <f t="shared" ca="1" si="314"/>
        <v/>
      </c>
    </row>
    <row r="2770" spans="1:10" x14ac:dyDescent="0.25">
      <c r="A2770" t="s">
        <v>307</v>
      </c>
      <c r="B2770" t="str">
        <f>ADDRESS(ROW('Bond 1'!$B$44),COLUMN('Bond 1'!$B$44),4)</f>
        <v>B44</v>
      </c>
      <c r="C2770" t="str">
        <f>ADDRESS(ROW('Bond 1'!$D$44),COLUMN('Bond 1'!$D$44),4)</f>
        <v>D44</v>
      </c>
      <c r="D2770" t="b" cm="1">
        <f t="array" aca="1" ref="D2770" ca="1">IF(AND('Bond 7'!B$8="Non-TIF Bond",OR(ISBLANK(INDIRECT("'"&amp;A2770&amp;"'!"&amp;B2770)),INDIRECT("'"&amp;A2770&amp;"'!"&amp;B2770)&lt;&gt;0)),TRUE,FALSE)</f>
        <v>0</v>
      </c>
      <c r="E2770" t="s">
        <v>630</v>
      </c>
      <c r="F2770" t="str">
        <f>INDEX(Lists!I:I,MATCH(Validation!E2770,Lists!G:G,0))</f>
        <v>Error</v>
      </c>
      <c r="G2770" t="str">
        <f>INDEX(Lists!H:H,MATCH(Validation!E2770,Lists!G:G,0))</f>
        <v>Enter $0 if debt type is Non-TIF Bond.</v>
      </c>
      <c r="H2770" s="25" t="str">
        <f t="shared" ca="1" si="312"/>
        <v/>
      </c>
      <c r="I2770" s="25" t="str">
        <f t="shared" ca="1" si="313"/>
        <v/>
      </c>
      <c r="J2770" s="26" t="str">
        <f t="shared" ca="1" si="314"/>
        <v/>
      </c>
    </row>
    <row r="2771" spans="1:10" x14ac:dyDescent="0.25">
      <c r="A2771" t="s">
        <v>308</v>
      </c>
      <c r="B2771" t="str">
        <f>ADDRESS(ROW('Bond 1'!$B$44),COLUMN('Bond 1'!$B$44),4)</f>
        <v>B44</v>
      </c>
      <c r="C2771" t="str">
        <f>ADDRESS(ROW('Bond 1'!$D$44),COLUMN('Bond 1'!$D$44),4)</f>
        <v>D44</v>
      </c>
      <c r="D2771" t="b" cm="1">
        <f t="array" aca="1" ref="D2771" ca="1">IF(AND('Bond 8'!B$8="Non-TIF Bond",OR(ISBLANK(INDIRECT("'"&amp;A2771&amp;"'!"&amp;B2771)),INDIRECT("'"&amp;A2771&amp;"'!"&amp;B2771)&lt;&gt;0)),TRUE,FALSE)</f>
        <v>0</v>
      </c>
      <c r="E2771" t="s">
        <v>630</v>
      </c>
      <c r="F2771" t="str">
        <f>INDEX(Lists!I:I,MATCH(Validation!E2771,Lists!G:G,0))</f>
        <v>Error</v>
      </c>
      <c r="G2771" t="str">
        <f>INDEX(Lists!H:H,MATCH(Validation!E2771,Lists!G:G,0))</f>
        <v>Enter $0 if debt type is Non-TIF Bond.</v>
      </c>
      <c r="H2771" s="25" t="str">
        <f t="shared" ca="1" si="312"/>
        <v/>
      </c>
      <c r="I2771" s="25" t="str">
        <f t="shared" ca="1" si="313"/>
        <v/>
      </c>
      <c r="J2771" s="26" t="str">
        <f t="shared" ca="1" si="314"/>
        <v/>
      </c>
    </row>
    <row r="2772" spans="1:10" x14ac:dyDescent="0.25">
      <c r="A2772" t="s">
        <v>309</v>
      </c>
      <c r="B2772" t="str">
        <f>ADDRESS(ROW('Bond 1'!$B$44),COLUMN('Bond 1'!$B$44),4)</f>
        <v>B44</v>
      </c>
      <c r="C2772" t="str">
        <f>ADDRESS(ROW('Bond 1'!$D$44),COLUMN('Bond 1'!$D$44),4)</f>
        <v>D44</v>
      </c>
      <c r="D2772" t="b" cm="1">
        <f t="array" aca="1" ref="D2772" ca="1">IF(AND('Bond 9'!B$8="Non-TIF Bond",OR(ISBLANK(INDIRECT("'"&amp;A2772&amp;"'!"&amp;B2772)),INDIRECT("'"&amp;A2772&amp;"'!"&amp;B2772)&lt;&gt;0)),TRUE,FALSE)</f>
        <v>0</v>
      </c>
      <c r="E2772" t="s">
        <v>630</v>
      </c>
      <c r="F2772" t="str">
        <f>INDEX(Lists!I:I,MATCH(Validation!E2772,Lists!G:G,0))</f>
        <v>Error</v>
      </c>
      <c r="G2772" t="str">
        <f>INDEX(Lists!H:H,MATCH(Validation!E2772,Lists!G:G,0))</f>
        <v>Enter $0 if debt type is Non-TIF Bond.</v>
      </c>
      <c r="H2772" s="25" t="str">
        <f t="shared" ca="1" si="312"/>
        <v/>
      </c>
      <c r="I2772" s="25" t="str">
        <f t="shared" ca="1" si="313"/>
        <v/>
      </c>
      <c r="J2772" s="26" t="str">
        <f t="shared" ca="1" si="314"/>
        <v/>
      </c>
    </row>
    <row r="2773" spans="1:10" x14ac:dyDescent="0.25">
      <c r="A2773" t="s">
        <v>310</v>
      </c>
      <c r="B2773" t="str">
        <f>ADDRESS(ROW('Bond 1'!$B$44),COLUMN('Bond 1'!$B$44),4)</f>
        <v>B44</v>
      </c>
      <c r="C2773" t="str">
        <f>ADDRESS(ROW('Bond 1'!$D$44),COLUMN('Bond 1'!$D$44),4)</f>
        <v>D44</v>
      </c>
      <c r="D2773" t="b" cm="1">
        <f t="array" aca="1" ref="D2773" ca="1">IF(AND('Bond 10'!B$8="Non-TIF Bond",OR(ISBLANK(INDIRECT("'"&amp;A2773&amp;"'!"&amp;B2773)),INDIRECT("'"&amp;A2773&amp;"'!"&amp;B2773)&lt;&gt;0)),TRUE,FALSE)</f>
        <v>0</v>
      </c>
      <c r="E2773" t="s">
        <v>630</v>
      </c>
      <c r="F2773" t="str">
        <f>INDEX(Lists!I:I,MATCH(Validation!E2773,Lists!G:G,0))</f>
        <v>Error</v>
      </c>
      <c r="G2773" t="str">
        <f>INDEX(Lists!H:H,MATCH(Validation!E2773,Lists!G:G,0))</f>
        <v>Enter $0 if debt type is Non-TIF Bond.</v>
      </c>
      <c r="H2773" s="25" t="str">
        <f t="shared" ca="1" si="312"/>
        <v/>
      </c>
      <c r="I2773" s="25" t="str">
        <f t="shared" ca="1" si="313"/>
        <v/>
      </c>
      <c r="J2773" s="26" t="str">
        <f t="shared" ca="1" si="314"/>
        <v/>
      </c>
    </row>
    <row r="2774" spans="1:10" x14ac:dyDescent="0.25">
      <c r="A2774" t="s">
        <v>311</v>
      </c>
      <c r="B2774" t="str">
        <f>ADDRESS(ROW('Bond 1'!$B$44),COLUMN('Bond 1'!$B$44),4)</f>
        <v>B44</v>
      </c>
      <c r="C2774" t="str">
        <f>ADDRESS(ROW('Bond 1'!$D$44),COLUMN('Bond 1'!$D$44),4)</f>
        <v>D44</v>
      </c>
      <c r="D2774" t="b" cm="1">
        <f t="array" aca="1" ref="D2774" ca="1">IF(AND('Bond 11'!B$8="Non-TIF Bond",OR(ISBLANK(INDIRECT("'"&amp;A2774&amp;"'!"&amp;B2774)),INDIRECT("'"&amp;A2774&amp;"'!"&amp;B2774)&lt;&gt;0)),TRUE,FALSE)</f>
        <v>0</v>
      </c>
      <c r="E2774" t="s">
        <v>630</v>
      </c>
      <c r="F2774" t="str">
        <f>INDEX(Lists!I:I,MATCH(Validation!E2774,Lists!G:G,0))</f>
        <v>Error</v>
      </c>
      <c r="G2774" t="str">
        <f>INDEX(Lists!H:H,MATCH(Validation!E2774,Lists!G:G,0))</f>
        <v>Enter $0 if debt type is Non-TIF Bond.</v>
      </c>
      <c r="H2774" s="25" t="str">
        <f t="shared" ca="1" si="312"/>
        <v/>
      </c>
      <c r="I2774" s="25" t="str">
        <f t="shared" ca="1" si="313"/>
        <v/>
      </c>
      <c r="J2774" s="26" t="str">
        <f t="shared" ca="1" si="314"/>
        <v/>
      </c>
    </row>
    <row r="2775" spans="1:10" x14ac:dyDescent="0.25">
      <c r="A2775" t="s">
        <v>312</v>
      </c>
      <c r="B2775" t="str">
        <f>ADDRESS(ROW('Bond 1'!$B$44),COLUMN('Bond 1'!$B$44),4)</f>
        <v>B44</v>
      </c>
      <c r="C2775" t="str">
        <f>ADDRESS(ROW('Bond 1'!$D$44),COLUMN('Bond 1'!$D$44),4)</f>
        <v>D44</v>
      </c>
      <c r="D2775" t="b" cm="1">
        <f t="array" aca="1" ref="D2775" ca="1">IF(AND('Bond 12'!B$8="Non-TIF Bond",OR(ISBLANK(INDIRECT("'"&amp;A2775&amp;"'!"&amp;B2775)),INDIRECT("'"&amp;A2775&amp;"'!"&amp;B2775)&lt;&gt;0)),TRUE,FALSE)</f>
        <v>0</v>
      </c>
      <c r="E2775" t="s">
        <v>630</v>
      </c>
      <c r="F2775" t="str">
        <f>INDEX(Lists!I:I,MATCH(Validation!E2775,Lists!G:G,0))</f>
        <v>Error</v>
      </c>
      <c r="G2775" t="str">
        <f>INDEX(Lists!H:H,MATCH(Validation!E2775,Lists!G:G,0))</f>
        <v>Enter $0 if debt type is Non-TIF Bond.</v>
      </c>
      <c r="H2775" s="25" t="str">
        <f t="shared" ca="1" si="312"/>
        <v/>
      </c>
      <c r="I2775" s="25" t="str">
        <f t="shared" ca="1" si="313"/>
        <v/>
      </c>
      <c r="J2775" s="26" t="str">
        <f t="shared" ca="1" si="314"/>
        <v/>
      </c>
    </row>
    <row r="2776" spans="1:10" x14ac:dyDescent="0.25">
      <c r="A2776" t="s">
        <v>313</v>
      </c>
      <c r="B2776" t="str">
        <f>ADDRESS(ROW('Bond 1'!$B$44),COLUMN('Bond 1'!$B$44),4)</f>
        <v>B44</v>
      </c>
      <c r="C2776" t="str">
        <f>ADDRESS(ROW('Bond 1'!$D$44),COLUMN('Bond 1'!$D$44),4)</f>
        <v>D44</v>
      </c>
      <c r="D2776" t="b" cm="1">
        <f t="array" aca="1" ref="D2776" ca="1">IF(AND('Bond 13'!B$8="Non-TIF Bond",OR(ISBLANK(INDIRECT("'"&amp;A2776&amp;"'!"&amp;B2776)),INDIRECT("'"&amp;A2776&amp;"'!"&amp;B2776)&lt;&gt;0)),TRUE,FALSE)</f>
        <v>0</v>
      </c>
      <c r="E2776" t="s">
        <v>630</v>
      </c>
      <c r="F2776" t="str">
        <f>INDEX(Lists!I:I,MATCH(Validation!E2776,Lists!G:G,0))</f>
        <v>Error</v>
      </c>
      <c r="G2776" t="str">
        <f>INDEX(Lists!H:H,MATCH(Validation!E2776,Lists!G:G,0))</f>
        <v>Enter $0 if debt type is Non-TIF Bond.</v>
      </c>
      <c r="H2776" s="25" t="str">
        <f t="shared" ca="1" si="312"/>
        <v/>
      </c>
      <c r="I2776" s="25" t="str">
        <f t="shared" ca="1" si="313"/>
        <v/>
      </c>
      <c r="J2776" s="26" t="str">
        <f t="shared" ca="1" si="314"/>
        <v/>
      </c>
    </row>
    <row r="2777" spans="1:10" x14ac:dyDescent="0.25">
      <c r="A2777" t="s">
        <v>314</v>
      </c>
      <c r="B2777" t="str">
        <f>ADDRESS(ROW('Bond 1'!$B$44),COLUMN('Bond 1'!$B$44),4)</f>
        <v>B44</v>
      </c>
      <c r="C2777" t="str">
        <f>ADDRESS(ROW('Bond 1'!$D$44),COLUMN('Bond 1'!$D$44),4)</f>
        <v>D44</v>
      </c>
      <c r="D2777" t="b" cm="1">
        <f t="array" aca="1" ref="D2777" ca="1">IF(AND('Bond 14'!B$8="Non-TIF Bond",OR(ISBLANK(INDIRECT("'"&amp;A2777&amp;"'!"&amp;B2777)),INDIRECT("'"&amp;A2777&amp;"'!"&amp;B2777)&lt;&gt;0)),TRUE,FALSE)</f>
        <v>0</v>
      </c>
      <c r="E2777" t="s">
        <v>630</v>
      </c>
      <c r="F2777" t="str">
        <f>INDEX(Lists!I:I,MATCH(Validation!E2777,Lists!G:G,0))</f>
        <v>Error</v>
      </c>
      <c r="G2777" t="str">
        <f>INDEX(Lists!H:H,MATCH(Validation!E2777,Lists!G:G,0))</f>
        <v>Enter $0 if debt type is Non-TIF Bond.</v>
      </c>
      <c r="H2777" s="25" t="str">
        <f t="shared" ca="1" si="312"/>
        <v/>
      </c>
      <c r="I2777" s="25" t="str">
        <f t="shared" ca="1" si="313"/>
        <v/>
      </c>
      <c r="J2777" s="26" t="str">
        <f t="shared" ca="1" si="314"/>
        <v/>
      </c>
    </row>
    <row r="2778" spans="1:10" x14ac:dyDescent="0.25">
      <c r="A2778" t="s">
        <v>315</v>
      </c>
      <c r="B2778" t="str">
        <f>ADDRESS(ROW('Bond 1'!$B$44),COLUMN('Bond 1'!$B$44),4)</f>
        <v>B44</v>
      </c>
      <c r="C2778" t="str">
        <f>ADDRESS(ROW('Bond 1'!$D$44),COLUMN('Bond 1'!$D$44),4)</f>
        <v>D44</v>
      </c>
      <c r="D2778" t="b" cm="1">
        <f t="array" aca="1" ref="D2778" ca="1">IF(AND('Bond 15'!B$8="Non-TIF Bond",OR(ISBLANK(INDIRECT("'"&amp;A2778&amp;"'!"&amp;B2778)),INDIRECT("'"&amp;A2778&amp;"'!"&amp;B2778)&lt;&gt;0)),TRUE,FALSE)</f>
        <v>0</v>
      </c>
      <c r="E2778" t="s">
        <v>630</v>
      </c>
      <c r="F2778" t="str">
        <f>INDEX(Lists!I:I,MATCH(Validation!E2778,Lists!G:G,0))</f>
        <v>Error</v>
      </c>
      <c r="G2778" t="str">
        <f>INDEX(Lists!H:H,MATCH(Validation!E2778,Lists!G:G,0))</f>
        <v>Enter $0 if debt type is Non-TIF Bond.</v>
      </c>
      <c r="H2778" s="25" t="str">
        <f t="shared" ca="1" si="312"/>
        <v/>
      </c>
      <c r="I2778" s="25" t="str">
        <f t="shared" ca="1" si="313"/>
        <v/>
      </c>
      <c r="J2778" s="26" t="str">
        <f t="shared" ca="1" si="314"/>
        <v/>
      </c>
    </row>
    <row r="2779" spans="1:10" x14ac:dyDescent="0.25">
      <c r="A2779" t="s">
        <v>198</v>
      </c>
      <c r="B2779" t="str">
        <f>ADDRESS(ROW('Bond 1'!$B$44),COLUMN('Bond 1'!$B$44),4)</f>
        <v>B44</v>
      </c>
      <c r="C2779" t="str">
        <f>ADDRESS(ROW('Bond 1'!$D$44),COLUMN('Bond 1'!$D$44),4)</f>
        <v>D44</v>
      </c>
      <c r="D2779" t="b" cm="1">
        <f t="array" aca="1" ref="D2779" ca="1">IF(INDIRECT("'"&amp;A2779&amp;"'!"&amp;B2779)="",FALSE,IF(NOT(ISNUMBER(INDIRECT("'"&amp;A2779&amp;"'!"&amp;B2779))),TRUE,FALSE))</f>
        <v>0</v>
      </c>
      <c r="E2779" t="s">
        <v>435</v>
      </c>
      <c r="F2779" t="str">
        <f>INDEX(Lists!I:I,MATCH(Validation!E2779,Lists!G:G,0))</f>
        <v>Error</v>
      </c>
      <c r="G2779" t="str">
        <f>INDEX(Lists!H:H,MATCH(Validation!E2779,Lists!G:G,0))</f>
        <v>Enter an amount only. Do not enter text or spaces.</v>
      </c>
      <c r="H2779" s="25" t="str">
        <f t="shared" ref="H2779:H2810" ca="1" si="315">IFERROR(IF(OR(NOT(D2779),F2779&lt;&gt;"Error"),"",A2779&amp;CELL("address",INDIRECT(B2779))),"")</f>
        <v/>
      </c>
      <c r="I2779" s="25" t="str">
        <f t="shared" ref="I2779:I2810" ca="1" si="316">IFERROR(IF(NOT(D2779),"",A2779&amp;CELL("address",INDIRECT(C2779))),"")</f>
        <v/>
      </c>
      <c r="J2779" s="26" t="str">
        <f t="shared" ref="J2779:J2810" ca="1" si="317">IFERROR(IF(NOT(D2779),"",A2779),"")</f>
        <v/>
      </c>
    </row>
    <row r="2780" spans="1:10" x14ac:dyDescent="0.25">
      <c r="A2780" t="s">
        <v>302</v>
      </c>
      <c r="B2780" t="str">
        <f>ADDRESS(ROW('Bond 1'!$B$44),COLUMN('Bond 1'!$B$44),4)</f>
        <v>B44</v>
      </c>
      <c r="C2780" t="str">
        <f>ADDRESS(ROW('Bond 1'!$D$44),COLUMN('Bond 1'!$D$44),4)</f>
        <v>D44</v>
      </c>
      <c r="D2780" t="b" cm="1">
        <f t="array" aca="1" ref="D2780" ca="1">IF(INDIRECT("'"&amp;A2780&amp;"'!"&amp;B2780)="",FALSE,IF(NOT(ISNUMBER(INDIRECT("'"&amp;A2780&amp;"'!"&amp;B2780))),TRUE,FALSE))</f>
        <v>0</v>
      </c>
      <c r="E2780" t="s">
        <v>435</v>
      </c>
      <c r="F2780" t="str">
        <f>INDEX(Lists!I:I,MATCH(Validation!E2780,Lists!G:G,0))</f>
        <v>Error</v>
      </c>
      <c r="G2780" t="str">
        <f>INDEX(Lists!H:H,MATCH(Validation!E2780,Lists!G:G,0))</f>
        <v>Enter an amount only. Do not enter text or spaces.</v>
      </c>
      <c r="H2780" s="25" t="str">
        <f t="shared" ca="1" si="315"/>
        <v/>
      </c>
      <c r="I2780" s="25" t="str">
        <f t="shared" ca="1" si="316"/>
        <v/>
      </c>
      <c r="J2780" s="26" t="str">
        <f t="shared" ca="1" si="317"/>
        <v/>
      </c>
    </row>
    <row r="2781" spans="1:10" x14ac:dyDescent="0.25">
      <c r="A2781" t="s">
        <v>303</v>
      </c>
      <c r="B2781" t="str">
        <f>ADDRESS(ROW('Bond 1'!$B$44),COLUMN('Bond 1'!$B$44),4)</f>
        <v>B44</v>
      </c>
      <c r="C2781" t="str">
        <f>ADDRESS(ROW('Bond 1'!$D$44),COLUMN('Bond 1'!$D$44),4)</f>
        <v>D44</v>
      </c>
      <c r="D2781" t="b" cm="1">
        <f t="array" aca="1" ref="D2781" ca="1">IF(INDIRECT("'"&amp;A2781&amp;"'!"&amp;B2781)="",FALSE,IF(NOT(ISNUMBER(INDIRECT("'"&amp;A2781&amp;"'!"&amp;B2781))),TRUE,FALSE))</f>
        <v>0</v>
      </c>
      <c r="E2781" t="s">
        <v>435</v>
      </c>
      <c r="F2781" t="str">
        <f>INDEX(Lists!I:I,MATCH(Validation!E2781,Lists!G:G,0))</f>
        <v>Error</v>
      </c>
      <c r="G2781" t="str">
        <f>INDEX(Lists!H:H,MATCH(Validation!E2781,Lists!G:G,0))</f>
        <v>Enter an amount only. Do not enter text or spaces.</v>
      </c>
      <c r="H2781" s="25" t="str">
        <f t="shared" ca="1" si="315"/>
        <v/>
      </c>
      <c r="I2781" s="25" t="str">
        <f t="shared" ca="1" si="316"/>
        <v/>
      </c>
      <c r="J2781" s="26" t="str">
        <f t="shared" ca="1" si="317"/>
        <v/>
      </c>
    </row>
    <row r="2782" spans="1:10" x14ac:dyDescent="0.25">
      <c r="A2782" t="s">
        <v>304</v>
      </c>
      <c r="B2782" t="str">
        <f>ADDRESS(ROW('Bond 1'!$B$44),COLUMN('Bond 1'!$B$44),4)</f>
        <v>B44</v>
      </c>
      <c r="C2782" t="str">
        <f>ADDRESS(ROW('Bond 1'!$D$44),COLUMN('Bond 1'!$D$44),4)</f>
        <v>D44</v>
      </c>
      <c r="D2782" t="b" cm="1">
        <f t="array" aca="1" ref="D2782" ca="1">IF(INDIRECT("'"&amp;A2782&amp;"'!"&amp;B2782)="",FALSE,IF(NOT(ISNUMBER(INDIRECT("'"&amp;A2782&amp;"'!"&amp;B2782))),TRUE,FALSE))</f>
        <v>0</v>
      </c>
      <c r="E2782" t="s">
        <v>435</v>
      </c>
      <c r="F2782" t="str">
        <f>INDEX(Lists!I:I,MATCH(Validation!E2782,Lists!G:G,0))</f>
        <v>Error</v>
      </c>
      <c r="G2782" t="str">
        <f>INDEX(Lists!H:H,MATCH(Validation!E2782,Lists!G:G,0))</f>
        <v>Enter an amount only. Do not enter text or spaces.</v>
      </c>
      <c r="H2782" s="25" t="str">
        <f t="shared" ca="1" si="315"/>
        <v/>
      </c>
      <c r="I2782" s="25" t="str">
        <f t="shared" ca="1" si="316"/>
        <v/>
      </c>
      <c r="J2782" s="26" t="str">
        <f t="shared" ca="1" si="317"/>
        <v/>
      </c>
    </row>
    <row r="2783" spans="1:10" x14ac:dyDescent="0.25">
      <c r="A2783" t="s">
        <v>305</v>
      </c>
      <c r="B2783" t="str">
        <f>ADDRESS(ROW('Bond 1'!$B$44),COLUMN('Bond 1'!$B$44),4)</f>
        <v>B44</v>
      </c>
      <c r="C2783" t="str">
        <f>ADDRESS(ROW('Bond 1'!$D$44),COLUMN('Bond 1'!$D$44),4)</f>
        <v>D44</v>
      </c>
      <c r="D2783" t="b" cm="1">
        <f t="array" aca="1" ref="D2783" ca="1">IF(INDIRECT("'"&amp;A2783&amp;"'!"&amp;B2783)="",FALSE,IF(NOT(ISNUMBER(INDIRECT("'"&amp;A2783&amp;"'!"&amp;B2783))),TRUE,FALSE))</f>
        <v>0</v>
      </c>
      <c r="E2783" t="s">
        <v>435</v>
      </c>
      <c r="F2783" t="str">
        <f>INDEX(Lists!I:I,MATCH(Validation!E2783,Lists!G:G,0))</f>
        <v>Error</v>
      </c>
      <c r="G2783" t="str">
        <f>INDEX(Lists!H:H,MATCH(Validation!E2783,Lists!G:G,0))</f>
        <v>Enter an amount only. Do not enter text or spaces.</v>
      </c>
      <c r="H2783" s="25" t="str">
        <f t="shared" ca="1" si="315"/>
        <v/>
      </c>
      <c r="I2783" s="25" t="str">
        <f t="shared" ca="1" si="316"/>
        <v/>
      </c>
      <c r="J2783" s="26" t="str">
        <f t="shared" ca="1" si="317"/>
        <v/>
      </c>
    </row>
    <row r="2784" spans="1:10" x14ac:dyDescent="0.25">
      <c r="A2784" t="s">
        <v>306</v>
      </c>
      <c r="B2784" t="str">
        <f>ADDRESS(ROW('Bond 1'!$B$44),COLUMN('Bond 1'!$B$44),4)</f>
        <v>B44</v>
      </c>
      <c r="C2784" t="str">
        <f>ADDRESS(ROW('Bond 1'!$D$44),COLUMN('Bond 1'!$D$44),4)</f>
        <v>D44</v>
      </c>
      <c r="D2784" t="b" cm="1">
        <f t="array" aca="1" ref="D2784" ca="1">IF(INDIRECT("'"&amp;A2784&amp;"'!"&amp;B2784)="",FALSE,IF(NOT(ISNUMBER(INDIRECT("'"&amp;A2784&amp;"'!"&amp;B2784))),TRUE,FALSE))</f>
        <v>0</v>
      </c>
      <c r="E2784" t="s">
        <v>435</v>
      </c>
      <c r="F2784" t="str">
        <f>INDEX(Lists!I:I,MATCH(Validation!E2784,Lists!G:G,0))</f>
        <v>Error</v>
      </c>
      <c r="G2784" t="str">
        <f>INDEX(Lists!H:H,MATCH(Validation!E2784,Lists!G:G,0))</f>
        <v>Enter an amount only. Do not enter text or spaces.</v>
      </c>
      <c r="H2784" s="25" t="str">
        <f t="shared" ca="1" si="315"/>
        <v/>
      </c>
      <c r="I2784" s="25" t="str">
        <f t="shared" ca="1" si="316"/>
        <v/>
      </c>
      <c r="J2784" s="26" t="str">
        <f t="shared" ca="1" si="317"/>
        <v/>
      </c>
    </row>
    <row r="2785" spans="1:10" x14ac:dyDescent="0.25">
      <c r="A2785" t="s">
        <v>307</v>
      </c>
      <c r="B2785" t="str">
        <f>ADDRESS(ROW('Bond 1'!$B$44),COLUMN('Bond 1'!$B$44),4)</f>
        <v>B44</v>
      </c>
      <c r="C2785" t="str">
        <f>ADDRESS(ROW('Bond 1'!$D$44),COLUMN('Bond 1'!$D$44),4)</f>
        <v>D44</v>
      </c>
      <c r="D2785" t="b" cm="1">
        <f t="array" aca="1" ref="D2785" ca="1">IF(INDIRECT("'"&amp;A2785&amp;"'!"&amp;B2785)="",FALSE,IF(NOT(ISNUMBER(INDIRECT("'"&amp;A2785&amp;"'!"&amp;B2785))),TRUE,FALSE))</f>
        <v>0</v>
      </c>
      <c r="E2785" t="s">
        <v>435</v>
      </c>
      <c r="F2785" t="str">
        <f>INDEX(Lists!I:I,MATCH(Validation!E2785,Lists!G:G,0))</f>
        <v>Error</v>
      </c>
      <c r="G2785" t="str">
        <f>INDEX(Lists!H:H,MATCH(Validation!E2785,Lists!G:G,0))</f>
        <v>Enter an amount only. Do not enter text or spaces.</v>
      </c>
      <c r="H2785" s="25" t="str">
        <f t="shared" ca="1" si="315"/>
        <v/>
      </c>
      <c r="I2785" s="25" t="str">
        <f t="shared" ca="1" si="316"/>
        <v/>
      </c>
      <c r="J2785" s="26" t="str">
        <f t="shared" ca="1" si="317"/>
        <v/>
      </c>
    </row>
    <row r="2786" spans="1:10" x14ac:dyDescent="0.25">
      <c r="A2786" t="s">
        <v>308</v>
      </c>
      <c r="B2786" t="str">
        <f>ADDRESS(ROW('Bond 1'!$B$44),COLUMN('Bond 1'!$B$44),4)</f>
        <v>B44</v>
      </c>
      <c r="C2786" t="str">
        <f>ADDRESS(ROW('Bond 1'!$D$44),COLUMN('Bond 1'!$D$44),4)</f>
        <v>D44</v>
      </c>
      <c r="D2786" t="b" cm="1">
        <f t="array" aca="1" ref="D2786" ca="1">IF(INDIRECT("'"&amp;A2786&amp;"'!"&amp;B2786)="",FALSE,IF(NOT(ISNUMBER(INDIRECT("'"&amp;A2786&amp;"'!"&amp;B2786))),TRUE,FALSE))</f>
        <v>0</v>
      </c>
      <c r="E2786" t="s">
        <v>435</v>
      </c>
      <c r="F2786" t="str">
        <f>INDEX(Lists!I:I,MATCH(Validation!E2786,Lists!G:G,0))</f>
        <v>Error</v>
      </c>
      <c r="G2786" t="str">
        <f>INDEX(Lists!H:H,MATCH(Validation!E2786,Lists!G:G,0))</f>
        <v>Enter an amount only. Do not enter text or spaces.</v>
      </c>
      <c r="H2786" s="25" t="str">
        <f t="shared" ca="1" si="315"/>
        <v/>
      </c>
      <c r="I2786" s="25" t="str">
        <f t="shared" ca="1" si="316"/>
        <v/>
      </c>
      <c r="J2786" s="26" t="str">
        <f t="shared" ca="1" si="317"/>
        <v/>
      </c>
    </row>
    <row r="2787" spans="1:10" x14ac:dyDescent="0.25">
      <c r="A2787" t="s">
        <v>309</v>
      </c>
      <c r="B2787" t="str">
        <f>ADDRESS(ROW('Bond 1'!$B$44),COLUMN('Bond 1'!$B$44),4)</f>
        <v>B44</v>
      </c>
      <c r="C2787" t="str">
        <f>ADDRESS(ROW('Bond 1'!$D$44),COLUMN('Bond 1'!$D$44),4)</f>
        <v>D44</v>
      </c>
      <c r="D2787" t="b" cm="1">
        <f t="array" aca="1" ref="D2787" ca="1">IF(INDIRECT("'"&amp;A2787&amp;"'!"&amp;B2787)="",FALSE,IF(NOT(ISNUMBER(INDIRECT("'"&amp;A2787&amp;"'!"&amp;B2787))),TRUE,FALSE))</f>
        <v>0</v>
      </c>
      <c r="E2787" t="s">
        <v>435</v>
      </c>
      <c r="F2787" t="str">
        <f>INDEX(Lists!I:I,MATCH(Validation!E2787,Lists!G:G,0))</f>
        <v>Error</v>
      </c>
      <c r="G2787" t="str">
        <f>INDEX(Lists!H:H,MATCH(Validation!E2787,Lists!G:G,0))</f>
        <v>Enter an amount only. Do not enter text or spaces.</v>
      </c>
      <c r="H2787" s="25" t="str">
        <f t="shared" ca="1" si="315"/>
        <v/>
      </c>
      <c r="I2787" s="25" t="str">
        <f t="shared" ca="1" si="316"/>
        <v/>
      </c>
      <c r="J2787" s="26" t="str">
        <f t="shared" ca="1" si="317"/>
        <v/>
      </c>
    </row>
    <row r="2788" spans="1:10" x14ac:dyDescent="0.25">
      <c r="A2788" t="s">
        <v>310</v>
      </c>
      <c r="B2788" t="str">
        <f>ADDRESS(ROW('Bond 1'!$B$44),COLUMN('Bond 1'!$B$44),4)</f>
        <v>B44</v>
      </c>
      <c r="C2788" t="str">
        <f>ADDRESS(ROW('Bond 1'!$D$44),COLUMN('Bond 1'!$D$44),4)</f>
        <v>D44</v>
      </c>
      <c r="D2788" t="b" cm="1">
        <f t="array" aca="1" ref="D2788" ca="1">IF(INDIRECT("'"&amp;A2788&amp;"'!"&amp;B2788)="",FALSE,IF(NOT(ISNUMBER(INDIRECT("'"&amp;A2788&amp;"'!"&amp;B2788))),TRUE,FALSE))</f>
        <v>0</v>
      </c>
      <c r="E2788" t="s">
        <v>435</v>
      </c>
      <c r="F2788" t="str">
        <f>INDEX(Lists!I:I,MATCH(Validation!E2788,Lists!G:G,0))</f>
        <v>Error</v>
      </c>
      <c r="G2788" t="str">
        <f>INDEX(Lists!H:H,MATCH(Validation!E2788,Lists!G:G,0))</f>
        <v>Enter an amount only. Do not enter text or spaces.</v>
      </c>
      <c r="H2788" s="25" t="str">
        <f t="shared" ca="1" si="315"/>
        <v/>
      </c>
      <c r="I2788" s="25" t="str">
        <f t="shared" ca="1" si="316"/>
        <v/>
      </c>
      <c r="J2788" s="26" t="str">
        <f t="shared" ca="1" si="317"/>
        <v/>
      </c>
    </row>
    <row r="2789" spans="1:10" x14ac:dyDescent="0.25">
      <c r="A2789" t="s">
        <v>311</v>
      </c>
      <c r="B2789" t="str">
        <f>ADDRESS(ROW('Bond 1'!$B$44),COLUMN('Bond 1'!$B$44),4)</f>
        <v>B44</v>
      </c>
      <c r="C2789" t="str">
        <f>ADDRESS(ROW('Bond 1'!$D$44),COLUMN('Bond 1'!$D$44),4)</f>
        <v>D44</v>
      </c>
      <c r="D2789" t="b" cm="1">
        <f t="array" aca="1" ref="D2789" ca="1">IF(INDIRECT("'"&amp;A2789&amp;"'!"&amp;B2789)="",FALSE,IF(NOT(ISNUMBER(INDIRECT("'"&amp;A2789&amp;"'!"&amp;B2789))),TRUE,FALSE))</f>
        <v>0</v>
      </c>
      <c r="E2789" t="s">
        <v>435</v>
      </c>
      <c r="F2789" t="str">
        <f>INDEX(Lists!I:I,MATCH(Validation!E2789,Lists!G:G,0))</f>
        <v>Error</v>
      </c>
      <c r="G2789" t="str">
        <f>INDEX(Lists!H:H,MATCH(Validation!E2789,Lists!G:G,0))</f>
        <v>Enter an amount only. Do not enter text or spaces.</v>
      </c>
      <c r="H2789" s="25" t="str">
        <f t="shared" ca="1" si="315"/>
        <v/>
      </c>
      <c r="I2789" s="25" t="str">
        <f t="shared" ca="1" si="316"/>
        <v/>
      </c>
      <c r="J2789" s="26" t="str">
        <f t="shared" ca="1" si="317"/>
        <v/>
      </c>
    </row>
    <row r="2790" spans="1:10" x14ac:dyDescent="0.25">
      <c r="A2790" t="s">
        <v>312</v>
      </c>
      <c r="B2790" t="str">
        <f>ADDRESS(ROW('Bond 1'!$B$44),COLUMN('Bond 1'!$B$44),4)</f>
        <v>B44</v>
      </c>
      <c r="C2790" t="str">
        <f>ADDRESS(ROW('Bond 1'!$D$44),COLUMN('Bond 1'!$D$44),4)</f>
        <v>D44</v>
      </c>
      <c r="D2790" t="b" cm="1">
        <f t="array" aca="1" ref="D2790" ca="1">IF(INDIRECT("'"&amp;A2790&amp;"'!"&amp;B2790)="",FALSE,IF(NOT(ISNUMBER(INDIRECT("'"&amp;A2790&amp;"'!"&amp;B2790))),TRUE,FALSE))</f>
        <v>0</v>
      </c>
      <c r="E2790" t="s">
        <v>435</v>
      </c>
      <c r="F2790" t="str">
        <f>INDEX(Lists!I:I,MATCH(Validation!E2790,Lists!G:G,0))</f>
        <v>Error</v>
      </c>
      <c r="G2790" t="str">
        <f>INDEX(Lists!H:H,MATCH(Validation!E2790,Lists!G:G,0))</f>
        <v>Enter an amount only. Do not enter text or spaces.</v>
      </c>
      <c r="H2790" s="25" t="str">
        <f t="shared" ca="1" si="315"/>
        <v/>
      </c>
      <c r="I2790" s="25" t="str">
        <f t="shared" ca="1" si="316"/>
        <v/>
      </c>
      <c r="J2790" s="26" t="str">
        <f t="shared" ca="1" si="317"/>
        <v/>
      </c>
    </row>
    <row r="2791" spans="1:10" x14ac:dyDescent="0.25">
      <c r="A2791" t="s">
        <v>313</v>
      </c>
      <c r="B2791" t="str">
        <f>ADDRESS(ROW('Bond 1'!$B$44),COLUMN('Bond 1'!$B$44),4)</f>
        <v>B44</v>
      </c>
      <c r="C2791" t="str">
        <f>ADDRESS(ROW('Bond 1'!$D$44),COLUMN('Bond 1'!$D$44),4)</f>
        <v>D44</v>
      </c>
      <c r="D2791" t="b" cm="1">
        <f t="array" aca="1" ref="D2791" ca="1">IF(INDIRECT("'"&amp;A2791&amp;"'!"&amp;B2791)="",FALSE,IF(NOT(ISNUMBER(INDIRECT("'"&amp;A2791&amp;"'!"&amp;B2791))),TRUE,FALSE))</f>
        <v>0</v>
      </c>
      <c r="E2791" t="s">
        <v>435</v>
      </c>
      <c r="F2791" t="str">
        <f>INDEX(Lists!I:I,MATCH(Validation!E2791,Lists!G:G,0))</f>
        <v>Error</v>
      </c>
      <c r="G2791" t="str">
        <f>INDEX(Lists!H:H,MATCH(Validation!E2791,Lists!G:G,0))</f>
        <v>Enter an amount only. Do not enter text or spaces.</v>
      </c>
      <c r="H2791" s="25" t="str">
        <f t="shared" ca="1" si="315"/>
        <v/>
      </c>
      <c r="I2791" s="25" t="str">
        <f t="shared" ca="1" si="316"/>
        <v/>
      </c>
      <c r="J2791" s="26" t="str">
        <f t="shared" ca="1" si="317"/>
        <v/>
      </c>
    </row>
    <row r="2792" spans="1:10" x14ac:dyDescent="0.25">
      <c r="A2792" t="s">
        <v>314</v>
      </c>
      <c r="B2792" t="str">
        <f>ADDRESS(ROW('Bond 1'!$B$44),COLUMN('Bond 1'!$B$44),4)</f>
        <v>B44</v>
      </c>
      <c r="C2792" t="str">
        <f>ADDRESS(ROW('Bond 1'!$D$44),COLUMN('Bond 1'!$D$44),4)</f>
        <v>D44</v>
      </c>
      <c r="D2792" t="b" cm="1">
        <f t="array" aca="1" ref="D2792" ca="1">IF(INDIRECT("'"&amp;A2792&amp;"'!"&amp;B2792)="",FALSE,IF(NOT(ISNUMBER(INDIRECT("'"&amp;A2792&amp;"'!"&amp;B2792))),TRUE,FALSE))</f>
        <v>0</v>
      </c>
      <c r="E2792" t="s">
        <v>435</v>
      </c>
      <c r="F2792" t="str">
        <f>INDEX(Lists!I:I,MATCH(Validation!E2792,Lists!G:G,0))</f>
        <v>Error</v>
      </c>
      <c r="G2792" t="str">
        <f>INDEX(Lists!H:H,MATCH(Validation!E2792,Lists!G:G,0))</f>
        <v>Enter an amount only. Do not enter text or spaces.</v>
      </c>
      <c r="H2792" s="25" t="str">
        <f t="shared" ca="1" si="315"/>
        <v/>
      </c>
      <c r="I2792" s="25" t="str">
        <f t="shared" ca="1" si="316"/>
        <v/>
      </c>
      <c r="J2792" s="26" t="str">
        <f t="shared" ca="1" si="317"/>
        <v/>
      </c>
    </row>
    <row r="2793" spans="1:10" x14ac:dyDescent="0.25">
      <c r="A2793" t="s">
        <v>315</v>
      </c>
      <c r="B2793" t="str">
        <f>ADDRESS(ROW('Bond 1'!$B$44),COLUMN('Bond 1'!$B$44),4)</f>
        <v>B44</v>
      </c>
      <c r="C2793" t="str">
        <f>ADDRESS(ROW('Bond 1'!$D$44),COLUMN('Bond 1'!$D$44),4)</f>
        <v>D44</v>
      </c>
      <c r="D2793" t="b" cm="1">
        <f t="array" aca="1" ref="D2793" ca="1">IF(INDIRECT("'"&amp;A2793&amp;"'!"&amp;B2793)="",FALSE,IF(NOT(ISNUMBER(INDIRECT("'"&amp;A2793&amp;"'!"&amp;B2793))),TRUE,FALSE))</f>
        <v>0</v>
      </c>
      <c r="E2793" t="s">
        <v>435</v>
      </c>
      <c r="F2793" t="str">
        <f>INDEX(Lists!I:I,MATCH(Validation!E2793,Lists!G:G,0))</f>
        <v>Error</v>
      </c>
      <c r="G2793" t="str">
        <f>INDEX(Lists!H:H,MATCH(Validation!E2793,Lists!G:G,0))</f>
        <v>Enter an amount only. Do not enter text or spaces.</v>
      </c>
      <c r="H2793" s="25" t="str">
        <f t="shared" ca="1" si="315"/>
        <v/>
      </c>
      <c r="I2793" s="25" t="str">
        <f t="shared" ca="1" si="316"/>
        <v/>
      </c>
      <c r="J2793" s="26" t="str">
        <f t="shared" ca="1" si="317"/>
        <v/>
      </c>
    </row>
    <row r="2794" spans="1:10" x14ac:dyDescent="0.25">
      <c r="A2794" t="s">
        <v>198</v>
      </c>
      <c r="B2794" t="str">
        <f>ADDRESS(ROW('Bond 1'!$B$44),COLUMN('Bond 1'!$B$44),4)</f>
        <v>B44</v>
      </c>
      <c r="C2794" t="str">
        <f>ADDRESS(ROW('Bond 1'!$D$44),COLUMN('Bond 1'!$D$44),4)</f>
        <v>D44</v>
      </c>
      <c r="D2794" t="b" cm="1">
        <f t="array" aca="1" ref="D2794" ca="1">IF(INDIRECT("'"&amp;A2794&amp;"'!"&amp;B2794)="",FALSE,IF(INDIRECT("'"&amp;A2794&amp;"'!"&amp;B2794)&lt;0,TRUE,FALSE))</f>
        <v>0</v>
      </c>
      <c r="E2794" t="s">
        <v>434</v>
      </c>
      <c r="F2794" t="str">
        <f>INDEX(Lists!I:I,MATCH(Validation!E2794,Lists!G:G,0))</f>
        <v>Error</v>
      </c>
      <c r="G2794" t="str">
        <f>INDEX(Lists!H:H,MATCH(Validation!E2794,Lists!G:G,0))</f>
        <v>Amount may not be negative. Enter an amount greater than or equal to zero.</v>
      </c>
      <c r="H2794" s="25" t="str">
        <f t="shared" ca="1" si="315"/>
        <v/>
      </c>
      <c r="I2794" s="25" t="str">
        <f t="shared" ca="1" si="316"/>
        <v/>
      </c>
      <c r="J2794" s="26" t="str">
        <f t="shared" ca="1" si="317"/>
        <v/>
      </c>
    </row>
    <row r="2795" spans="1:10" x14ac:dyDescent="0.25">
      <c r="A2795" t="s">
        <v>302</v>
      </c>
      <c r="B2795" t="str">
        <f>ADDRESS(ROW('Bond 1'!$B$44),COLUMN('Bond 1'!$B$44),4)</f>
        <v>B44</v>
      </c>
      <c r="C2795" t="str">
        <f>ADDRESS(ROW('Bond 1'!$D$44),COLUMN('Bond 1'!$D$44),4)</f>
        <v>D44</v>
      </c>
      <c r="D2795" t="b" cm="1">
        <f t="array" aca="1" ref="D2795" ca="1">IF(INDIRECT("'"&amp;A2795&amp;"'!"&amp;B2795)="",FALSE,IF(INDIRECT("'"&amp;A2795&amp;"'!"&amp;B2795)&lt;0,TRUE,FALSE))</f>
        <v>0</v>
      </c>
      <c r="E2795" t="s">
        <v>434</v>
      </c>
      <c r="F2795" t="str">
        <f>INDEX(Lists!I:I,MATCH(Validation!E2795,Lists!G:G,0))</f>
        <v>Error</v>
      </c>
      <c r="G2795" t="str">
        <f>INDEX(Lists!H:H,MATCH(Validation!E2795,Lists!G:G,0))</f>
        <v>Amount may not be negative. Enter an amount greater than or equal to zero.</v>
      </c>
      <c r="H2795" s="25" t="str">
        <f t="shared" ca="1" si="315"/>
        <v/>
      </c>
      <c r="I2795" s="25" t="str">
        <f t="shared" ca="1" si="316"/>
        <v/>
      </c>
      <c r="J2795" s="26" t="str">
        <f t="shared" ca="1" si="317"/>
        <v/>
      </c>
    </row>
    <row r="2796" spans="1:10" x14ac:dyDescent="0.25">
      <c r="A2796" t="s">
        <v>303</v>
      </c>
      <c r="B2796" t="str">
        <f>ADDRESS(ROW('Bond 1'!$B$44),COLUMN('Bond 1'!$B$44),4)</f>
        <v>B44</v>
      </c>
      <c r="C2796" t="str">
        <f>ADDRESS(ROW('Bond 1'!$D$44),COLUMN('Bond 1'!$D$44),4)</f>
        <v>D44</v>
      </c>
      <c r="D2796" t="b" cm="1">
        <f t="array" aca="1" ref="D2796" ca="1">IF(INDIRECT("'"&amp;A2796&amp;"'!"&amp;B2796)="",FALSE,IF(INDIRECT("'"&amp;A2796&amp;"'!"&amp;B2796)&lt;0,TRUE,FALSE))</f>
        <v>0</v>
      </c>
      <c r="E2796" t="s">
        <v>434</v>
      </c>
      <c r="F2796" t="str">
        <f>INDEX(Lists!I:I,MATCH(Validation!E2796,Lists!G:G,0))</f>
        <v>Error</v>
      </c>
      <c r="G2796" t="str">
        <f>INDEX(Lists!H:H,MATCH(Validation!E2796,Lists!G:G,0))</f>
        <v>Amount may not be negative. Enter an amount greater than or equal to zero.</v>
      </c>
      <c r="H2796" s="25" t="str">
        <f t="shared" ca="1" si="315"/>
        <v/>
      </c>
      <c r="I2796" s="25" t="str">
        <f t="shared" ca="1" si="316"/>
        <v/>
      </c>
      <c r="J2796" s="26" t="str">
        <f t="shared" ca="1" si="317"/>
        <v/>
      </c>
    </row>
    <row r="2797" spans="1:10" x14ac:dyDescent="0.25">
      <c r="A2797" t="s">
        <v>304</v>
      </c>
      <c r="B2797" t="str">
        <f>ADDRESS(ROW('Bond 1'!$B$44),COLUMN('Bond 1'!$B$44),4)</f>
        <v>B44</v>
      </c>
      <c r="C2797" t="str">
        <f>ADDRESS(ROW('Bond 1'!$D$44),COLUMN('Bond 1'!$D$44),4)</f>
        <v>D44</v>
      </c>
      <c r="D2797" t="b" cm="1">
        <f t="array" aca="1" ref="D2797" ca="1">IF(INDIRECT("'"&amp;A2797&amp;"'!"&amp;B2797)="",FALSE,IF(INDIRECT("'"&amp;A2797&amp;"'!"&amp;B2797)&lt;0,TRUE,FALSE))</f>
        <v>0</v>
      </c>
      <c r="E2797" t="s">
        <v>434</v>
      </c>
      <c r="F2797" t="str">
        <f>INDEX(Lists!I:I,MATCH(Validation!E2797,Lists!G:G,0))</f>
        <v>Error</v>
      </c>
      <c r="G2797" t="str">
        <f>INDEX(Lists!H:H,MATCH(Validation!E2797,Lists!G:G,0))</f>
        <v>Amount may not be negative. Enter an amount greater than or equal to zero.</v>
      </c>
      <c r="H2797" s="25" t="str">
        <f t="shared" ca="1" si="315"/>
        <v/>
      </c>
      <c r="I2797" s="25" t="str">
        <f t="shared" ca="1" si="316"/>
        <v/>
      </c>
      <c r="J2797" s="26" t="str">
        <f t="shared" ca="1" si="317"/>
        <v/>
      </c>
    </row>
    <row r="2798" spans="1:10" x14ac:dyDescent="0.25">
      <c r="A2798" t="s">
        <v>305</v>
      </c>
      <c r="B2798" t="str">
        <f>ADDRESS(ROW('Bond 1'!$B$44),COLUMN('Bond 1'!$B$44),4)</f>
        <v>B44</v>
      </c>
      <c r="C2798" t="str">
        <f>ADDRESS(ROW('Bond 1'!$D$44),COLUMN('Bond 1'!$D$44),4)</f>
        <v>D44</v>
      </c>
      <c r="D2798" t="b" cm="1">
        <f t="array" aca="1" ref="D2798" ca="1">IF(INDIRECT("'"&amp;A2798&amp;"'!"&amp;B2798)="",FALSE,IF(INDIRECT("'"&amp;A2798&amp;"'!"&amp;B2798)&lt;0,TRUE,FALSE))</f>
        <v>0</v>
      </c>
      <c r="E2798" t="s">
        <v>434</v>
      </c>
      <c r="F2798" t="str">
        <f>INDEX(Lists!I:I,MATCH(Validation!E2798,Lists!G:G,0))</f>
        <v>Error</v>
      </c>
      <c r="G2798" t="str">
        <f>INDEX(Lists!H:H,MATCH(Validation!E2798,Lists!G:G,0))</f>
        <v>Amount may not be negative. Enter an amount greater than or equal to zero.</v>
      </c>
      <c r="H2798" s="25" t="str">
        <f t="shared" ca="1" si="315"/>
        <v/>
      </c>
      <c r="I2798" s="25" t="str">
        <f t="shared" ca="1" si="316"/>
        <v/>
      </c>
      <c r="J2798" s="26" t="str">
        <f t="shared" ca="1" si="317"/>
        <v/>
      </c>
    </row>
    <row r="2799" spans="1:10" x14ac:dyDescent="0.25">
      <c r="A2799" t="s">
        <v>306</v>
      </c>
      <c r="B2799" t="str">
        <f>ADDRESS(ROW('Bond 1'!$B$44),COLUMN('Bond 1'!$B$44),4)</f>
        <v>B44</v>
      </c>
      <c r="C2799" t="str">
        <f>ADDRESS(ROW('Bond 1'!$D$44),COLUMN('Bond 1'!$D$44),4)</f>
        <v>D44</v>
      </c>
      <c r="D2799" t="b" cm="1">
        <f t="array" aca="1" ref="D2799" ca="1">IF(INDIRECT("'"&amp;A2799&amp;"'!"&amp;B2799)="",FALSE,IF(INDIRECT("'"&amp;A2799&amp;"'!"&amp;B2799)&lt;0,TRUE,FALSE))</f>
        <v>0</v>
      </c>
      <c r="E2799" t="s">
        <v>434</v>
      </c>
      <c r="F2799" t="str">
        <f>INDEX(Lists!I:I,MATCH(Validation!E2799,Lists!G:G,0))</f>
        <v>Error</v>
      </c>
      <c r="G2799" t="str">
        <f>INDEX(Lists!H:H,MATCH(Validation!E2799,Lists!G:G,0))</f>
        <v>Amount may not be negative. Enter an amount greater than or equal to zero.</v>
      </c>
      <c r="H2799" s="25" t="str">
        <f t="shared" ca="1" si="315"/>
        <v/>
      </c>
      <c r="I2799" s="25" t="str">
        <f t="shared" ca="1" si="316"/>
        <v/>
      </c>
      <c r="J2799" s="26" t="str">
        <f t="shared" ca="1" si="317"/>
        <v/>
      </c>
    </row>
    <row r="2800" spans="1:10" x14ac:dyDescent="0.25">
      <c r="A2800" t="s">
        <v>307</v>
      </c>
      <c r="B2800" t="str">
        <f>ADDRESS(ROW('Bond 1'!$B$44),COLUMN('Bond 1'!$B$44),4)</f>
        <v>B44</v>
      </c>
      <c r="C2800" t="str">
        <f>ADDRESS(ROW('Bond 1'!$D$44),COLUMN('Bond 1'!$D$44),4)</f>
        <v>D44</v>
      </c>
      <c r="D2800" t="b" cm="1">
        <f t="array" aca="1" ref="D2800" ca="1">IF(INDIRECT("'"&amp;A2800&amp;"'!"&amp;B2800)="",FALSE,IF(INDIRECT("'"&amp;A2800&amp;"'!"&amp;B2800)&lt;0,TRUE,FALSE))</f>
        <v>0</v>
      </c>
      <c r="E2800" t="s">
        <v>434</v>
      </c>
      <c r="F2800" t="str">
        <f>INDEX(Lists!I:I,MATCH(Validation!E2800,Lists!G:G,0))</f>
        <v>Error</v>
      </c>
      <c r="G2800" t="str">
        <f>INDEX(Lists!H:H,MATCH(Validation!E2800,Lists!G:G,0))</f>
        <v>Amount may not be negative. Enter an amount greater than or equal to zero.</v>
      </c>
      <c r="H2800" s="25" t="str">
        <f t="shared" ca="1" si="315"/>
        <v/>
      </c>
      <c r="I2800" s="25" t="str">
        <f t="shared" ca="1" si="316"/>
        <v/>
      </c>
      <c r="J2800" s="26" t="str">
        <f t="shared" ca="1" si="317"/>
        <v/>
      </c>
    </row>
    <row r="2801" spans="1:10" x14ac:dyDescent="0.25">
      <c r="A2801" t="s">
        <v>308</v>
      </c>
      <c r="B2801" t="str">
        <f>ADDRESS(ROW('Bond 1'!$B$44),COLUMN('Bond 1'!$B$44),4)</f>
        <v>B44</v>
      </c>
      <c r="C2801" t="str">
        <f>ADDRESS(ROW('Bond 1'!$D$44),COLUMN('Bond 1'!$D$44),4)</f>
        <v>D44</v>
      </c>
      <c r="D2801" t="b" cm="1">
        <f t="array" aca="1" ref="D2801" ca="1">IF(INDIRECT("'"&amp;A2801&amp;"'!"&amp;B2801)="",FALSE,IF(INDIRECT("'"&amp;A2801&amp;"'!"&amp;B2801)&lt;0,TRUE,FALSE))</f>
        <v>0</v>
      </c>
      <c r="E2801" t="s">
        <v>434</v>
      </c>
      <c r="F2801" t="str">
        <f>INDEX(Lists!I:I,MATCH(Validation!E2801,Lists!G:G,0))</f>
        <v>Error</v>
      </c>
      <c r="G2801" t="str">
        <f>INDEX(Lists!H:H,MATCH(Validation!E2801,Lists!G:G,0))</f>
        <v>Amount may not be negative. Enter an amount greater than or equal to zero.</v>
      </c>
      <c r="H2801" s="25" t="str">
        <f t="shared" ca="1" si="315"/>
        <v/>
      </c>
      <c r="I2801" s="25" t="str">
        <f t="shared" ca="1" si="316"/>
        <v/>
      </c>
      <c r="J2801" s="26" t="str">
        <f t="shared" ca="1" si="317"/>
        <v/>
      </c>
    </row>
    <row r="2802" spans="1:10" x14ac:dyDescent="0.25">
      <c r="A2802" t="s">
        <v>309</v>
      </c>
      <c r="B2802" t="str">
        <f>ADDRESS(ROW('Bond 1'!$B$44),COLUMN('Bond 1'!$B$44),4)</f>
        <v>B44</v>
      </c>
      <c r="C2802" t="str">
        <f>ADDRESS(ROW('Bond 1'!$D$44),COLUMN('Bond 1'!$D$44),4)</f>
        <v>D44</v>
      </c>
      <c r="D2802" t="b" cm="1">
        <f t="array" aca="1" ref="D2802" ca="1">IF(INDIRECT("'"&amp;A2802&amp;"'!"&amp;B2802)="",FALSE,IF(INDIRECT("'"&amp;A2802&amp;"'!"&amp;B2802)&lt;0,TRUE,FALSE))</f>
        <v>0</v>
      </c>
      <c r="E2802" t="s">
        <v>434</v>
      </c>
      <c r="F2802" t="str">
        <f>INDEX(Lists!I:I,MATCH(Validation!E2802,Lists!G:G,0))</f>
        <v>Error</v>
      </c>
      <c r="G2802" t="str">
        <f>INDEX(Lists!H:H,MATCH(Validation!E2802,Lists!G:G,0))</f>
        <v>Amount may not be negative. Enter an amount greater than or equal to zero.</v>
      </c>
      <c r="H2802" s="25" t="str">
        <f t="shared" ca="1" si="315"/>
        <v/>
      </c>
      <c r="I2802" s="25" t="str">
        <f t="shared" ca="1" si="316"/>
        <v/>
      </c>
      <c r="J2802" s="26" t="str">
        <f t="shared" ca="1" si="317"/>
        <v/>
      </c>
    </row>
    <row r="2803" spans="1:10" x14ac:dyDescent="0.25">
      <c r="A2803" t="s">
        <v>310</v>
      </c>
      <c r="B2803" t="str">
        <f>ADDRESS(ROW('Bond 1'!$B$44),COLUMN('Bond 1'!$B$44),4)</f>
        <v>B44</v>
      </c>
      <c r="C2803" t="str">
        <f>ADDRESS(ROW('Bond 1'!$D$44),COLUMN('Bond 1'!$D$44),4)</f>
        <v>D44</v>
      </c>
      <c r="D2803" t="b" cm="1">
        <f t="array" aca="1" ref="D2803" ca="1">IF(INDIRECT("'"&amp;A2803&amp;"'!"&amp;B2803)="",FALSE,IF(INDIRECT("'"&amp;A2803&amp;"'!"&amp;B2803)&lt;0,TRUE,FALSE))</f>
        <v>0</v>
      </c>
      <c r="E2803" t="s">
        <v>434</v>
      </c>
      <c r="F2803" t="str">
        <f>INDEX(Lists!I:I,MATCH(Validation!E2803,Lists!G:G,0))</f>
        <v>Error</v>
      </c>
      <c r="G2803" t="str">
        <f>INDEX(Lists!H:H,MATCH(Validation!E2803,Lists!G:G,0))</f>
        <v>Amount may not be negative. Enter an amount greater than or equal to zero.</v>
      </c>
      <c r="H2803" s="25" t="str">
        <f t="shared" ca="1" si="315"/>
        <v/>
      </c>
      <c r="I2803" s="25" t="str">
        <f t="shared" ca="1" si="316"/>
        <v/>
      </c>
      <c r="J2803" s="26" t="str">
        <f t="shared" ca="1" si="317"/>
        <v/>
      </c>
    </row>
    <row r="2804" spans="1:10" x14ac:dyDescent="0.25">
      <c r="A2804" t="s">
        <v>311</v>
      </c>
      <c r="B2804" t="str">
        <f>ADDRESS(ROW('Bond 1'!$B$44),COLUMN('Bond 1'!$B$44),4)</f>
        <v>B44</v>
      </c>
      <c r="C2804" t="str">
        <f>ADDRESS(ROW('Bond 1'!$D$44),COLUMN('Bond 1'!$D$44),4)</f>
        <v>D44</v>
      </c>
      <c r="D2804" t="b" cm="1">
        <f t="array" aca="1" ref="D2804" ca="1">IF(INDIRECT("'"&amp;A2804&amp;"'!"&amp;B2804)="",FALSE,IF(INDIRECT("'"&amp;A2804&amp;"'!"&amp;B2804)&lt;0,TRUE,FALSE))</f>
        <v>0</v>
      </c>
      <c r="E2804" t="s">
        <v>434</v>
      </c>
      <c r="F2804" t="str">
        <f>INDEX(Lists!I:I,MATCH(Validation!E2804,Lists!G:G,0))</f>
        <v>Error</v>
      </c>
      <c r="G2804" t="str">
        <f>INDEX(Lists!H:H,MATCH(Validation!E2804,Lists!G:G,0))</f>
        <v>Amount may not be negative. Enter an amount greater than or equal to zero.</v>
      </c>
      <c r="H2804" s="25" t="str">
        <f t="shared" ca="1" si="315"/>
        <v/>
      </c>
      <c r="I2804" s="25" t="str">
        <f t="shared" ca="1" si="316"/>
        <v/>
      </c>
      <c r="J2804" s="26" t="str">
        <f t="shared" ca="1" si="317"/>
        <v/>
      </c>
    </row>
    <row r="2805" spans="1:10" x14ac:dyDescent="0.25">
      <c r="A2805" t="s">
        <v>312</v>
      </c>
      <c r="B2805" t="str">
        <f>ADDRESS(ROW('Bond 1'!$B$44),COLUMN('Bond 1'!$B$44),4)</f>
        <v>B44</v>
      </c>
      <c r="C2805" t="str">
        <f>ADDRESS(ROW('Bond 1'!$D$44),COLUMN('Bond 1'!$D$44),4)</f>
        <v>D44</v>
      </c>
      <c r="D2805" t="b" cm="1">
        <f t="array" aca="1" ref="D2805" ca="1">IF(INDIRECT("'"&amp;A2805&amp;"'!"&amp;B2805)="",FALSE,IF(INDIRECT("'"&amp;A2805&amp;"'!"&amp;B2805)&lt;0,TRUE,FALSE))</f>
        <v>0</v>
      </c>
      <c r="E2805" t="s">
        <v>434</v>
      </c>
      <c r="F2805" t="str">
        <f>INDEX(Lists!I:I,MATCH(Validation!E2805,Lists!G:G,0))</f>
        <v>Error</v>
      </c>
      <c r="G2805" t="str">
        <f>INDEX(Lists!H:H,MATCH(Validation!E2805,Lists!G:G,0))</f>
        <v>Amount may not be negative. Enter an amount greater than or equal to zero.</v>
      </c>
      <c r="H2805" s="25" t="str">
        <f t="shared" ca="1" si="315"/>
        <v/>
      </c>
      <c r="I2805" s="25" t="str">
        <f t="shared" ca="1" si="316"/>
        <v/>
      </c>
      <c r="J2805" s="26" t="str">
        <f t="shared" ca="1" si="317"/>
        <v/>
      </c>
    </row>
    <row r="2806" spans="1:10" x14ac:dyDescent="0.25">
      <c r="A2806" t="s">
        <v>313</v>
      </c>
      <c r="B2806" t="str">
        <f>ADDRESS(ROW('Bond 1'!$B$44),COLUMN('Bond 1'!$B$44),4)</f>
        <v>B44</v>
      </c>
      <c r="C2806" t="str">
        <f>ADDRESS(ROW('Bond 1'!$D$44),COLUMN('Bond 1'!$D$44),4)</f>
        <v>D44</v>
      </c>
      <c r="D2806" t="b" cm="1">
        <f t="array" aca="1" ref="D2806" ca="1">IF(INDIRECT("'"&amp;A2806&amp;"'!"&amp;B2806)="",FALSE,IF(INDIRECT("'"&amp;A2806&amp;"'!"&amp;B2806)&lt;0,TRUE,FALSE))</f>
        <v>0</v>
      </c>
      <c r="E2806" t="s">
        <v>434</v>
      </c>
      <c r="F2806" t="str">
        <f>INDEX(Lists!I:I,MATCH(Validation!E2806,Lists!G:G,0))</f>
        <v>Error</v>
      </c>
      <c r="G2806" t="str">
        <f>INDEX(Lists!H:H,MATCH(Validation!E2806,Lists!G:G,0))</f>
        <v>Amount may not be negative. Enter an amount greater than or equal to zero.</v>
      </c>
      <c r="H2806" s="25" t="str">
        <f t="shared" ca="1" si="315"/>
        <v/>
      </c>
      <c r="I2806" s="25" t="str">
        <f t="shared" ca="1" si="316"/>
        <v/>
      </c>
      <c r="J2806" s="26" t="str">
        <f t="shared" ca="1" si="317"/>
        <v/>
      </c>
    </row>
    <row r="2807" spans="1:10" x14ac:dyDescent="0.25">
      <c r="A2807" t="s">
        <v>314</v>
      </c>
      <c r="B2807" t="str">
        <f>ADDRESS(ROW('Bond 1'!$B$44),COLUMN('Bond 1'!$B$44),4)</f>
        <v>B44</v>
      </c>
      <c r="C2807" t="str">
        <f>ADDRESS(ROW('Bond 1'!$D$44),COLUMN('Bond 1'!$D$44),4)</f>
        <v>D44</v>
      </c>
      <c r="D2807" t="b" cm="1">
        <f t="array" aca="1" ref="D2807" ca="1">IF(INDIRECT("'"&amp;A2807&amp;"'!"&amp;B2807)="",FALSE,IF(INDIRECT("'"&amp;A2807&amp;"'!"&amp;B2807)&lt;0,TRUE,FALSE))</f>
        <v>0</v>
      </c>
      <c r="E2807" t="s">
        <v>434</v>
      </c>
      <c r="F2807" t="str">
        <f>INDEX(Lists!I:I,MATCH(Validation!E2807,Lists!G:G,0))</f>
        <v>Error</v>
      </c>
      <c r="G2807" t="str">
        <f>INDEX(Lists!H:H,MATCH(Validation!E2807,Lists!G:G,0))</f>
        <v>Amount may not be negative. Enter an amount greater than or equal to zero.</v>
      </c>
      <c r="H2807" s="25" t="str">
        <f t="shared" ca="1" si="315"/>
        <v/>
      </c>
      <c r="I2807" s="25" t="str">
        <f t="shared" ca="1" si="316"/>
        <v/>
      </c>
      <c r="J2807" s="26" t="str">
        <f t="shared" ca="1" si="317"/>
        <v/>
      </c>
    </row>
    <row r="2808" spans="1:10" x14ac:dyDescent="0.25">
      <c r="A2808" t="s">
        <v>315</v>
      </c>
      <c r="B2808" t="str">
        <f>ADDRESS(ROW('Bond 1'!$B$44),COLUMN('Bond 1'!$B$44),4)</f>
        <v>B44</v>
      </c>
      <c r="C2808" t="str">
        <f>ADDRESS(ROW('Bond 1'!$D$44),COLUMN('Bond 1'!$D$44),4)</f>
        <v>D44</v>
      </c>
      <c r="D2808" t="b" cm="1">
        <f t="array" aca="1" ref="D2808" ca="1">IF(INDIRECT("'"&amp;A2808&amp;"'!"&amp;B2808)="",FALSE,IF(INDIRECT("'"&amp;A2808&amp;"'!"&amp;B2808)&lt;0,TRUE,FALSE))</f>
        <v>0</v>
      </c>
      <c r="E2808" t="s">
        <v>434</v>
      </c>
      <c r="F2808" t="str">
        <f>INDEX(Lists!I:I,MATCH(Validation!E2808,Lists!G:G,0))</f>
        <v>Error</v>
      </c>
      <c r="G2808" t="str">
        <f>INDEX(Lists!H:H,MATCH(Validation!E2808,Lists!G:G,0))</f>
        <v>Amount may not be negative. Enter an amount greater than or equal to zero.</v>
      </c>
      <c r="H2808" s="25" t="str">
        <f t="shared" ca="1" si="315"/>
        <v/>
      </c>
      <c r="I2808" s="25" t="str">
        <f t="shared" ca="1" si="316"/>
        <v/>
      </c>
      <c r="J2808" s="26" t="str">
        <f t="shared" ca="1" si="317"/>
        <v/>
      </c>
    </row>
    <row r="2809" spans="1:10" x14ac:dyDescent="0.25">
      <c r="A2809" t="s">
        <v>198</v>
      </c>
      <c r="B2809" t="str">
        <f>ADDRESS(ROW('Bond 1'!$B$44),COLUMN('Bond 1'!$B$44),4)</f>
        <v>B44</v>
      </c>
      <c r="C2809" t="str">
        <f>ADDRESS(ROW('Bond 1'!$D$44),COLUMN('Bond 1'!$D$44),4)</f>
        <v>D44</v>
      </c>
      <c r="D2809" t="b" cm="1">
        <f t="array" aca="1" ref="D2809" ca="1">IF(INDIRECT("'"&amp;A2809&amp;"'!"&amp;B2809)="",FALSE,IF(TRUNC(INDIRECT("'"&amp;A2809&amp;"'!"&amp;B2809))=INDIRECT("'"&amp;A2809&amp;"'!"&amp;B2809),FALSE,TRUE))</f>
        <v>0</v>
      </c>
      <c r="E2809" t="s">
        <v>436</v>
      </c>
      <c r="F2809" t="str">
        <f>INDEX(Lists!I:I,MATCH(Validation!E2809,Lists!G:G,0))</f>
        <v>Error</v>
      </c>
      <c r="G2809" t="str">
        <f>INDEX(Lists!H:H,MATCH(Validation!E2809,Lists!G:G,0))</f>
        <v>Amount must be rounded to the nearest dollar.</v>
      </c>
      <c r="H2809" s="25" t="str">
        <f t="shared" ca="1" si="315"/>
        <v/>
      </c>
      <c r="I2809" s="25" t="str">
        <f t="shared" ca="1" si="316"/>
        <v/>
      </c>
      <c r="J2809" s="26" t="str">
        <f t="shared" ca="1" si="317"/>
        <v/>
      </c>
    </row>
    <row r="2810" spans="1:10" x14ac:dyDescent="0.25">
      <c r="A2810" t="s">
        <v>302</v>
      </c>
      <c r="B2810" t="str">
        <f>ADDRESS(ROW('Bond 1'!$B$44),COLUMN('Bond 1'!$B$44),4)</f>
        <v>B44</v>
      </c>
      <c r="C2810" t="str">
        <f>ADDRESS(ROW('Bond 1'!$D$44),COLUMN('Bond 1'!$D$44),4)</f>
        <v>D44</v>
      </c>
      <c r="D2810" t="b" cm="1">
        <f t="array" aca="1" ref="D2810" ca="1">IF(INDIRECT("'"&amp;A2810&amp;"'!"&amp;B2810)="",FALSE,IF(TRUNC(INDIRECT("'"&amp;A2810&amp;"'!"&amp;B2810))=INDIRECT("'"&amp;A2810&amp;"'!"&amp;B2810),FALSE,TRUE))</f>
        <v>0</v>
      </c>
      <c r="E2810" t="s">
        <v>436</v>
      </c>
      <c r="F2810" t="str">
        <f>INDEX(Lists!I:I,MATCH(Validation!E2810,Lists!G:G,0))</f>
        <v>Error</v>
      </c>
      <c r="G2810" t="str">
        <f>INDEX(Lists!H:H,MATCH(Validation!E2810,Lists!G:G,0))</f>
        <v>Amount must be rounded to the nearest dollar.</v>
      </c>
      <c r="H2810" s="25" t="str">
        <f t="shared" ca="1" si="315"/>
        <v/>
      </c>
      <c r="I2810" s="25" t="str">
        <f t="shared" ca="1" si="316"/>
        <v/>
      </c>
      <c r="J2810" s="26" t="str">
        <f t="shared" ca="1" si="317"/>
        <v/>
      </c>
    </row>
    <row r="2811" spans="1:10" x14ac:dyDescent="0.25">
      <c r="A2811" t="s">
        <v>303</v>
      </c>
      <c r="B2811" t="str">
        <f>ADDRESS(ROW('Bond 1'!$B$44),COLUMN('Bond 1'!$B$44),4)</f>
        <v>B44</v>
      </c>
      <c r="C2811" t="str">
        <f>ADDRESS(ROW('Bond 1'!$D$44),COLUMN('Bond 1'!$D$44),4)</f>
        <v>D44</v>
      </c>
      <c r="D2811" t="b" cm="1">
        <f t="array" aca="1" ref="D2811" ca="1">IF(INDIRECT("'"&amp;A2811&amp;"'!"&amp;B2811)="",FALSE,IF(TRUNC(INDIRECT("'"&amp;A2811&amp;"'!"&amp;B2811))=INDIRECT("'"&amp;A2811&amp;"'!"&amp;B2811),FALSE,TRUE))</f>
        <v>0</v>
      </c>
      <c r="E2811" t="s">
        <v>436</v>
      </c>
      <c r="F2811" t="str">
        <f>INDEX(Lists!I:I,MATCH(Validation!E2811,Lists!G:G,0))</f>
        <v>Error</v>
      </c>
      <c r="G2811" t="str">
        <f>INDEX(Lists!H:H,MATCH(Validation!E2811,Lists!G:G,0))</f>
        <v>Amount must be rounded to the nearest dollar.</v>
      </c>
      <c r="H2811" s="25" t="str">
        <f t="shared" ref="H2811:H2838" ca="1" si="318">IFERROR(IF(OR(NOT(D2811),F2811&lt;&gt;"Error"),"",A2811&amp;CELL("address",INDIRECT(B2811))),"")</f>
        <v/>
      </c>
      <c r="I2811" s="25" t="str">
        <f t="shared" ref="I2811:I2838" ca="1" si="319">IFERROR(IF(NOT(D2811),"",A2811&amp;CELL("address",INDIRECT(C2811))),"")</f>
        <v/>
      </c>
      <c r="J2811" s="26" t="str">
        <f t="shared" ref="J2811:J2838" ca="1" si="320">IFERROR(IF(NOT(D2811),"",A2811),"")</f>
        <v/>
      </c>
    </row>
    <row r="2812" spans="1:10" x14ac:dyDescent="0.25">
      <c r="A2812" t="s">
        <v>304</v>
      </c>
      <c r="B2812" t="str">
        <f>ADDRESS(ROW('Bond 1'!$B$44),COLUMN('Bond 1'!$B$44),4)</f>
        <v>B44</v>
      </c>
      <c r="C2812" t="str">
        <f>ADDRESS(ROW('Bond 1'!$D$44),COLUMN('Bond 1'!$D$44),4)</f>
        <v>D44</v>
      </c>
      <c r="D2812" t="b" cm="1">
        <f t="array" aca="1" ref="D2812" ca="1">IF(INDIRECT("'"&amp;A2812&amp;"'!"&amp;B2812)="",FALSE,IF(TRUNC(INDIRECT("'"&amp;A2812&amp;"'!"&amp;B2812))=INDIRECT("'"&amp;A2812&amp;"'!"&amp;B2812),FALSE,TRUE))</f>
        <v>0</v>
      </c>
      <c r="E2812" t="s">
        <v>436</v>
      </c>
      <c r="F2812" t="str">
        <f>INDEX(Lists!I:I,MATCH(Validation!E2812,Lists!G:G,0))</f>
        <v>Error</v>
      </c>
      <c r="G2812" t="str">
        <f>INDEX(Lists!H:H,MATCH(Validation!E2812,Lists!G:G,0))</f>
        <v>Amount must be rounded to the nearest dollar.</v>
      </c>
      <c r="H2812" s="25" t="str">
        <f t="shared" ca="1" si="318"/>
        <v/>
      </c>
      <c r="I2812" s="25" t="str">
        <f t="shared" ca="1" si="319"/>
        <v/>
      </c>
      <c r="J2812" s="26" t="str">
        <f t="shared" ca="1" si="320"/>
        <v/>
      </c>
    </row>
    <row r="2813" spans="1:10" x14ac:dyDescent="0.25">
      <c r="A2813" t="s">
        <v>305</v>
      </c>
      <c r="B2813" t="str">
        <f>ADDRESS(ROW('Bond 1'!$B$44),COLUMN('Bond 1'!$B$44),4)</f>
        <v>B44</v>
      </c>
      <c r="C2813" t="str">
        <f>ADDRESS(ROW('Bond 1'!$D$44),COLUMN('Bond 1'!$D$44),4)</f>
        <v>D44</v>
      </c>
      <c r="D2813" t="b" cm="1">
        <f t="array" aca="1" ref="D2813" ca="1">IF(INDIRECT("'"&amp;A2813&amp;"'!"&amp;B2813)="",FALSE,IF(TRUNC(INDIRECT("'"&amp;A2813&amp;"'!"&amp;B2813))=INDIRECT("'"&amp;A2813&amp;"'!"&amp;B2813),FALSE,TRUE))</f>
        <v>0</v>
      </c>
      <c r="E2813" t="s">
        <v>436</v>
      </c>
      <c r="F2813" t="str">
        <f>INDEX(Lists!I:I,MATCH(Validation!E2813,Lists!G:G,0))</f>
        <v>Error</v>
      </c>
      <c r="G2813" t="str">
        <f>INDEX(Lists!H:H,MATCH(Validation!E2813,Lists!G:G,0))</f>
        <v>Amount must be rounded to the nearest dollar.</v>
      </c>
      <c r="H2813" s="25" t="str">
        <f t="shared" ca="1" si="318"/>
        <v/>
      </c>
      <c r="I2813" s="25" t="str">
        <f t="shared" ca="1" si="319"/>
        <v/>
      </c>
      <c r="J2813" s="26" t="str">
        <f t="shared" ca="1" si="320"/>
        <v/>
      </c>
    </row>
    <row r="2814" spans="1:10" x14ac:dyDescent="0.25">
      <c r="A2814" t="s">
        <v>306</v>
      </c>
      <c r="B2814" t="str">
        <f>ADDRESS(ROW('Bond 1'!$B$44),COLUMN('Bond 1'!$B$44),4)</f>
        <v>B44</v>
      </c>
      <c r="C2814" t="str">
        <f>ADDRESS(ROW('Bond 1'!$D$44),COLUMN('Bond 1'!$D$44),4)</f>
        <v>D44</v>
      </c>
      <c r="D2814" t="b" cm="1">
        <f t="array" aca="1" ref="D2814" ca="1">IF(INDIRECT("'"&amp;A2814&amp;"'!"&amp;B2814)="",FALSE,IF(TRUNC(INDIRECT("'"&amp;A2814&amp;"'!"&amp;B2814))=INDIRECT("'"&amp;A2814&amp;"'!"&amp;B2814),FALSE,TRUE))</f>
        <v>0</v>
      </c>
      <c r="E2814" t="s">
        <v>436</v>
      </c>
      <c r="F2814" t="str">
        <f>INDEX(Lists!I:I,MATCH(Validation!E2814,Lists!G:G,0))</f>
        <v>Error</v>
      </c>
      <c r="G2814" t="str">
        <f>INDEX(Lists!H:H,MATCH(Validation!E2814,Lists!G:G,0))</f>
        <v>Amount must be rounded to the nearest dollar.</v>
      </c>
      <c r="H2814" s="25" t="str">
        <f t="shared" ca="1" si="318"/>
        <v/>
      </c>
      <c r="I2814" s="25" t="str">
        <f t="shared" ca="1" si="319"/>
        <v/>
      </c>
      <c r="J2814" s="26" t="str">
        <f t="shared" ca="1" si="320"/>
        <v/>
      </c>
    </row>
    <row r="2815" spans="1:10" x14ac:dyDescent="0.25">
      <c r="A2815" t="s">
        <v>307</v>
      </c>
      <c r="B2815" t="str">
        <f>ADDRESS(ROW('Bond 1'!$B$44),COLUMN('Bond 1'!$B$44),4)</f>
        <v>B44</v>
      </c>
      <c r="C2815" t="str">
        <f>ADDRESS(ROW('Bond 1'!$D$44),COLUMN('Bond 1'!$D$44),4)</f>
        <v>D44</v>
      </c>
      <c r="D2815" t="b" cm="1">
        <f t="array" aca="1" ref="D2815" ca="1">IF(INDIRECT("'"&amp;A2815&amp;"'!"&amp;B2815)="",FALSE,IF(TRUNC(INDIRECT("'"&amp;A2815&amp;"'!"&amp;B2815))=INDIRECT("'"&amp;A2815&amp;"'!"&amp;B2815),FALSE,TRUE))</f>
        <v>0</v>
      </c>
      <c r="E2815" t="s">
        <v>436</v>
      </c>
      <c r="F2815" t="str">
        <f>INDEX(Lists!I:I,MATCH(Validation!E2815,Lists!G:G,0))</f>
        <v>Error</v>
      </c>
      <c r="G2815" t="str">
        <f>INDEX(Lists!H:H,MATCH(Validation!E2815,Lists!G:G,0))</f>
        <v>Amount must be rounded to the nearest dollar.</v>
      </c>
      <c r="H2815" s="25" t="str">
        <f t="shared" ca="1" si="318"/>
        <v/>
      </c>
      <c r="I2815" s="25" t="str">
        <f t="shared" ca="1" si="319"/>
        <v/>
      </c>
      <c r="J2815" s="26" t="str">
        <f t="shared" ca="1" si="320"/>
        <v/>
      </c>
    </row>
    <row r="2816" spans="1:10" x14ac:dyDescent="0.25">
      <c r="A2816" t="s">
        <v>308</v>
      </c>
      <c r="B2816" t="str">
        <f>ADDRESS(ROW('Bond 1'!$B$44),COLUMN('Bond 1'!$B$44),4)</f>
        <v>B44</v>
      </c>
      <c r="C2816" t="str">
        <f>ADDRESS(ROW('Bond 1'!$D$44),COLUMN('Bond 1'!$D$44),4)</f>
        <v>D44</v>
      </c>
      <c r="D2816" t="b" cm="1">
        <f t="array" aca="1" ref="D2816" ca="1">IF(INDIRECT("'"&amp;A2816&amp;"'!"&amp;B2816)="",FALSE,IF(TRUNC(INDIRECT("'"&amp;A2816&amp;"'!"&amp;B2816))=INDIRECT("'"&amp;A2816&amp;"'!"&amp;B2816),FALSE,TRUE))</f>
        <v>0</v>
      </c>
      <c r="E2816" t="s">
        <v>436</v>
      </c>
      <c r="F2816" t="str">
        <f>INDEX(Lists!I:I,MATCH(Validation!E2816,Lists!G:G,0))</f>
        <v>Error</v>
      </c>
      <c r="G2816" t="str">
        <f>INDEX(Lists!H:H,MATCH(Validation!E2816,Lists!G:G,0))</f>
        <v>Amount must be rounded to the nearest dollar.</v>
      </c>
      <c r="H2816" s="25" t="str">
        <f t="shared" ca="1" si="318"/>
        <v/>
      </c>
      <c r="I2816" s="25" t="str">
        <f t="shared" ca="1" si="319"/>
        <v/>
      </c>
      <c r="J2816" s="26" t="str">
        <f t="shared" ca="1" si="320"/>
        <v/>
      </c>
    </row>
    <row r="2817" spans="1:10" x14ac:dyDescent="0.25">
      <c r="A2817" t="s">
        <v>309</v>
      </c>
      <c r="B2817" t="str">
        <f>ADDRESS(ROW('Bond 1'!$B$44),COLUMN('Bond 1'!$B$44),4)</f>
        <v>B44</v>
      </c>
      <c r="C2817" t="str">
        <f>ADDRESS(ROW('Bond 1'!$D$44),COLUMN('Bond 1'!$D$44),4)</f>
        <v>D44</v>
      </c>
      <c r="D2817" t="b" cm="1">
        <f t="array" aca="1" ref="D2817" ca="1">IF(INDIRECT("'"&amp;A2817&amp;"'!"&amp;B2817)="",FALSE,IF(TRUNC(INDIRECT("'"&amp;A2817&amp;"'!"&amp;B2817))=INDIRECT("'"&amp;A2817&amp;"'!"&amp;B2817),FALSE,TRUE))</f>
        <v>0</v>
      </c>
      <c r="E2817" t="s">
        <v>436</v>
      </c>
      <c r="F2817" t="str">
        <f>INDEX(Lists!I:I,MATCH(Validation!E2817,Lists!G:G,0))</f>
        <v>Error</v>
      </c>
      <c r="G2817" t="str">
        <f>INDEX(Lists!H:H,MATCH(Validation!E2817,Lists!G:G,0))</f>
        <v>Amount must be rounded to the nearest dollar.</v>
      </c>
      <c r="H2817" s="25" t="str">
        <f t="shared" ca="1" si="318"/>
        <v/>
      </c>
      <c r="I2817" s="25" t="str">
        <f t="shared" ca="1" si="319"/>
        <v/>
      </c>
      <c r="J2817" s="26" t="str">
        <f t="shared" ca="1" si="320"/>
        <v/>
      </c>
    </row>
    <row r="2818" spans="1:10" x14ac:dyDescent="0.25">
      <c r="A2818" t="s">
        <v>310</v>
      </c>
      <c r="B2818" t="str">
        <f>ADDRESS(ROW('Bond 1'!$B$44),COLUMN('Bond 1'!$B$44),4)</f>
        <v>B44</v>
      </c>
      <c r="C2818" t="str">
        <f>ADDRESS(ROW('Bond 1'!$D$44),COLUMN('Bond 1'!$D$44),4)</f>
        <v>D44</v>
      </c>
      <c r="D2818" t="b" cm="1">
        <f t="array" aca="1" ref="D2818" ca="1">IF(INDIRECT("'"&amp;A2818&amp;"'!"&amp;B2818)="",FALSE,IF(TRUNC(INDIRECT("'"&amp;A2818&amp;"'!"&amp;B2818))=INDIRECT("'"&amp;A2818&amp;"'!"&amp;B2818),FALSE,TRUE))</f>
        <v>0</v>
      </c>
      <c r="E2818" t="s">
        <v>436</v>
      </c>
      <c r="F2818" t="str">
        <f>INDEX(Lists!I:I,MATCH(Validation!E2818,Lists!G:G,0))</f>
        <v>Error</v>
      </c>
      <c r="G2818" t="str">
        <f>INDEX(Lists!H:H,MATCH(Validation!E2818,Lists!G:G,0))</f>
        <v>Amount must be rounded to the nearest dollar.</v>
      </c>
      <c r="H2818" s="25" t="str">
        <f t="shared" ca="1" si="318"/>
        <v/>
      </c>
      <c r="I2818" s="25" t="str">
        <f t="shared" ca="1" si="319"/>
        <v/>
      </c>
      <c r="J2818" s="26" t="str">
        <f t="shared" ca="1" si="320"/>
        <v/>
      </c>
    </row>
    <row r="2819" spans="1:10" x14ac:dyDescent="0.25">
      <c r="A2819" t="s">
        <v>311</v>
      </c>
      <c r="B2819" t="str">
        <f>ADDRESS(ROW('Bond 1'!$B$44),COLUMN('Bond 1'!$B$44),4)</f>
        <v>B44</v>
      </c>
      <c r="C2819" t="str">
        <f>ADDRESS(ROW('Bond 1'!$D$44),COLUMN('Bond 1'!$D$44),4)</f>
        <v>D44</v>
      </c>
      <c r="D2819" t="b" cm="1">
        <f t="array" aca="1" ref="D2819" ca="1">IF(INDIRECT("'"&amp;A2819&amp;"'!"&amp;B2819)="",FALSE,IF(TRUNC(INDIRECT("'"&amp;A2819&amp;"'!"&amp;B2819))=INDIRECT("'"&amp;A2819&amp;"'!"&amp;B2819),FALSE,TRUE))</f>
        <v>0</v>
      </c>
      <c r="E2819" t="s">
        <v>436</v>
      </c>
      <c r="F2819" t="str">
        <f>INDEX(Lists!I:I,MATCH(Validation!E2819,Lists!G:G,0))</f>
        <v>Error</v>
      </c>
      <c r="G2819" t="str">
        <f>INDEX(Lists!H:H,MATCH(Validation!E2819,Lists!G:G,0))</f>
        <v>Amount must be rounded to the nearest dollar.</v>
      </c>
      <c r="H2819" s="25" t="str">
        <f t="shared" ca="1" si="318"/>
        <v/>
      </c>
      <c r="I2819" s="25" t="str">
        <f t="shared" ca="1" si="319"/>
        <v/>
      </c>
      <c r="J2819" s="26" t="str">
        <f t="shared" ca="1" si="320"/>
        <v/>
      </c>
    </row>
    <row r="2820" spans="1:10" x14ac:dyDescent="0.25">
      <c r="A2820" t="s">
        <v>312</v>
      </c>
      <c r="B2820" t="str">
        <f>ADDRESS(ROW('Bond 1'!$B$44),COLUMN('Bond 1'!$B$44),4)</f>
        <v>B44</v>
      </c>
      <c r="C2820" t="str">
        <f>ADDRESS(ROW('Bond 1'!$D$44),COLUMN('Bond 1'!$D$44),4)</f>
        <v>D44</v>
      </c>
      <c r="D2820" t="b" cm="1">
        <f t="array" aca="1" ref="D2820" ca="1">IF(INDIRECT("'"&amp;A2820&amp;"'!"&amp;B2820)="",FALSE,IF(TRUNC(INDIRECT("'"&amp;A2820&amp;"'!"&amp;B2820))=INDIRECT("'"&amp;A2820&amp;"'!"&amp;B2820),FALSE,TRUE))</f>
        <v>0</v>
      </c>
      <c r="E2820" t="s">
        <v>436</v>
      </c>
      <c r="F2820" t="str">
        <f>INDEX(Lists!I:I,MATCH(Validation!E2820,Lists!G:G,0))</f>
        <v>Error</v>
      </c>
      <c r="G2820" t="str">
        <f>INDEX(Lists!H:H,MATCH(Validation!E2820,Lists!G:G,0))</f>
        <v>Amount must be rounded to the nearest dollar.</v>
      </c>
      <c r="H2820" s="25" t="str">
        <f t="shared" ca="1" si="318"/>
        <v/>
      </c>
      <c r="I2820" s="25" t="str">
        <f t="shared" ca="1" si="319"/>
        <v/>
      </c>
      <c r="J2820" s="26" t="str">
        <f t="shared" ca="1" si="320"/>
        <v/>
      </c>
    </row>
    <row r="2821" spans="1:10" x14ac:dyDescent="0.25">
      <c r="A2821" t="s">
        <v>313</v>
      </c>
      <c r="B2821" t="str">
        <f>ADDRESS(ROW('Bond 1'!$B$44),COLUMN('Bond 1'!$B$44),4)</f>
        <v>B44</v>
      </c>
      <c r="C2821" t="str">
        <f>ADDRESS(ROW('Bond 1'!$D$44),COLUMN('Bond 1'!$D$44),4)</f>
        <v>D44</v>
      </c>
      <c r="D2821" t="b" cm="1">
        <f t="array" aca="1" ref="D2821" ca="1">IF(INDIRECT("'"&amp;A2821&amp;"'!"&amp;B2821)="",FALSE,IF(TRUNC(INDIRECT("'"&amp;A2821&amp;"'!"&amp;B2821))=INDIRECT("'"&amp;A2821&amp;"'!"&amp;B2821),FALSE,TRUE))</f>
        <v>0</v>
      </c>
      <c r="E2821" t="s">
        <v>436</v>
      </c>
      <c r="F2821" t="str">
        <f>INDEX(Lists!I:I,MATCH(Validation!E2821,Lists!G:G,0))</f>
        <v>Error</v>
      </c>
      <c r="G2821" t="str">
        <f>INDEX(Lists!H:H,MATCH(Validation!E2821,Lists!G:G,0))</f>
        <v>Amount must be rounded to the nearest dollar.</v>
      </c>
      <c r="H2821" s="25" t="str">
        <f t="shared" ca="1" si="318"/>
        <v/>
      </c>
      <c r="I2821" s="25" t="str">
        <f t="shared" ca="1" si="319"/>
        <v/>
      </c>
      <c r="J2821" s="26" t="str">
        <f t="shared" ca="1" si="320"/>
        <v/>
      </c>
    </row>
    <row r="2822" spans="1:10" x14ac:dyDescent="0.25">
      <c r="A2822" t="s">
        <v>314</v>
      </c>
      <c r="B2822" t="str">
        <f>ADDRESS(ROW('Bond 1'!$B$44),COLUMN('Bond 1'!$B$44),4)</f>
        <v>B44</v>
      </c>
      <c r="C2822" t="str">
        <f>ADDRESS(ROW('Bond 1'!$D$44),COLUMN('Bond 1'!$D$44),4)</f>
        <v>D44</v>
      </c>
      <c r="D2822" t="b" cm="1">
        <f t="array" aca="1" ref="D2822" ca="1">IF(INDIRECT("'"&amp;A2822&amp;"'!"&amp;B2822)="",FALSE,IF(TRUNC(INDIRECT("'"&amp;A2822&amp;"'!"&amp;B2822))=INDIRECT("'"&amp;A2822&amp;"'!"&amp;B2822),FALSE,TRUE))</f>
        <v>0</v>
      </c>
      <c r="E2822" t="s">
        <v>436</v>
      </c>
      <c r="F2822" t="str">
        <f>INDEX(Lists!I:I,MATCH(Validation!E2822,Lists!G:G,0))</f>
        <v>Error</v>
      </c>
      <c r="G2822" t="str">
        <f>INDEX(Lists!H:H,MATCH(Validation!E2822,Lists!G:G,0))</f>
        <v>Amount must be rounded to the nearest dollar.</v>
      </c>
      <c r="H2822" s="25" t="str">
        <f t="shared" ca="1" si="318"/>
        <v/>
      </c>
      <c r="I2822" s="25" t="str">
        <f t="shared" ca="1" si="319"/>
        <v/>
      </c>
      <c r="J2822" s="26" t="str">
        <f t="shared" ca="1" si="320"/>
        <v/>
      </c>
    </row>
    <row r="2823" spans="1:10" x14ac:dyDescent="0.25">
      <c r="A2823" t="s">
        <v>315</v>
      </c>
      <c r="B2823" t="str">
        <f>ADDRESS(ROW('Bond 1'!$B$44),COLUMN('Bond 1'!$B$44),4)</f>
        <v>B44</v>
      </c>
      <c r="C2823" t="str">
        <f>ADDRESS(ROW('Bond 1'!$D$44),COLUMN('Bond 1'!$D$44),4)</f>
        <v>D44</v>
      </c>
      <c r="D2823" t="b" cm="1">
        <f t="array" aca="1" ref="D2823" ca="1">IF(INDIRECT("'"&amp;A2823&amp;"'!"&amp;B2823)="",FALSE,IF(TRUNC(INDIRECT("'"&amp;A2823&amp;"'!"&amp;B2823))=INDIRECT("'"&amp;A2823&amp;"'!"&amp;B2823),FALSE,TRUE))</f>
        <v>0</v>
      </c>
      <c r="E2823" t="s">
        <v>436</v>
      </c>
      <c r="F2823" t="str">
        <f>INDEX(Lists!I:I,MATCH(Validation!E2823,Lists!G:G,0))</f>
        <v>Error</v>
      </c>
      <c r="G2823" t="str">
        <f>INDEX(Lists!H:H,MATCH(Validation!E2823,Lists!G:G,0))</f>
        <v>Amount must be rounded to the nearest dollar.</v>
      </c>
      <c r="H2823" s="25" t="str">
        <f t="shared" ca="1" si="318"/>
        <v/>
      </c>
      <c r="I2823" s="25" t="str">
        <f t="shared" ca="1" si="319"/>
        <v/>
      </c>
      <c r="J2823" s="26" t="str">
        <f t="shared" ca="1" si="320"/>
        <v/>
      </c>
    </row>
    <row r="2824" spans="1:10" x14ac:dyDescent="0.25">
      <c r="A2824" t="s">
        <v>198</v>
      </c>
      <c r="B2824" t="str">
        <f>ADDRESS(ROW('Bond 1'!$B$44),COLUMN('Bond 1'!$B$44),4)</f>
        <v>B44</v>
      </c>
      <c r="C2824" t="str">
        <f>ADDRESS(ROW('Bond 1'!$D$44),COLUMN('Bond 1'!$D$44),4)</f>
        <v>D44</v>
      </c>
      <c r="D2824" t="b" cm="1">
        <f t="array" aca="1" ref="D2824" ca="1">IF(INDIRECT("'"&amp;A2824&amp;"'!"&amp;B2824)="",FALSE,IF(INDIRECT("'"&amp;A2824&amp;"'!"&amp;B2824)&gt;INDIRECT("'"&amp;A2824&amp;"'!B$39"),TRUE,FALSE))</f>
        <v>0</v>
      </c>
      <c r="E2824" t="s">
        <v>628</v>
      </c>
      <c r="F2824" t="str">
        <f>INDEX(Lists!I:I,MATCH(Validation!E2824,Lists!G:G,0))</f>
        <v>Error</v>
      </c>
      <c r="G2824" t="str">
        <f>INDEX(Lists!H:H,MATCH(Validation!E2824,Lists!G:G,0))</f>
        <v>Principal due cannot exceed principal outstanding.</v>
      </c>
      <c r="H2824" s="25" t="str">
        <f t="shared" ca="1" si="318"/>
        <v/>
      </c>
      <c r="I2824" s="25" t="str">
        <f t="shared" ca="1" si="319"/>
        <v/>
      </c>
      <c r="J2824" s="26" t="str">
        <f t="shared" ca="1" si="320"/>
        <v/>
      </c>
    </row>
    <row r="2825" spans="1:10" x14ac:dyDescent="0.25">
      <c r="A2825" t="s">
        <v>302</v>
      </c>
      <c r="B2825" t="str">
        <f>ADDRESS(ROW('Bond 1'!$B$44),COLUMN('Bond 1'!$B$44),4)</f>
        <v>B44</v>
      </c>
      <c r="C2825" t="str">
        <f>ADDRESS(ROW('Bond 1'!$D$44),COLUMN('Bond 1'!$D$44),4)</f>
        <v>D44</v>
      </c>
      <c r="D2825" t="b" cm="1">
        <f t="array" aca="1" ref="D2825" ca="1">IF(INDIRECT("'"&amp;A2825&amp;"'!"&amp;B2825)="",FALSE,IF(INDIRECT("'"&amp;A2825&amp;"'!"&amp;B2825)&gt;INDIRECT("'"&amp;A2825&amp;"'!B$39"),TRUE,FALSE))</f>
        <v>0</v>
      </c>
      <c r="E2825" t="s">
        <v>628</v>
      </c>
      <c r="F2825" t="str">
        <f>INDEX(Lists!I:I,MATCH(Validation!E2825,Lists!G:G,0))</f>
        <v>Error</v>
      </c>
      <c r="G2825" t="str">
        <f>INDEX(Lists!H:H,MATCH(Validation!E2825,Lists!G:G,0))</f>
        <v>Principal due cannot exceed principal outstanding.</v>
      </c>
      <c r="H2825" s="25" t="str">
        <f t="shared" ca="1" si="318"/>
        <v/>
      </c>
      <c r="I2825" s="25" t="str">
        <f t="shared" ca="1" si="319"/>
        <v/>
      </c>
      <c r="J2825" s="26" t="str">
        <f t="shared" ca="1" si="320"/>
        <v/>
      </c>
    </row>
    <row r="2826" spans="1:10" x14ac:dyDescent="0.25">
      <c r="A2826" t="s">
        <v>303</v>
      </c>
      <c r="B2826" t="str">
        <f>ADDRESS(ROW('Bond 1'!$B$44),COLUMN('Bond 1'!$B$44),4)</f>
        <v>B44</v>
      </c>
      <c r="C2826" t="str">
        <f>ADDRESS(ROW('Bond 1'!$D$44),COLUMN('Bond 1'!$D$44),4)</f>
        <v>D44</v>
      </c>
      <c r="D2826" t="b" cm="1">
        <f t="array" aca="1" ref="D2826" ca="1">IF(INDIRECT("'"&amp;A2826&amp;"'!"&amp;B2826)="",FALSE,IF(INDIRECT("'"&amp;A2826&amp;"'!"&amp;B2826)&gt;INDIRECT("'"&amp;A2826&amp;"'!B$39"),TRUE,FALSE))</f>
        <v>0</v>
      </c>
      <c r="E2826" t="s">
        <v>628</v>
      </c>
      <c r="F2826" t="str">
        <f>INDEX(Lists!I:I,MATCH(Validation!E2826,Lists!G:G,0))</f>
        <v>Error</v>
      </c>
      <c r="G2826" t="str">
        <f>INDEX(Lists!H:H,MATCH(Validation!E2826,Lists!G:G,0))</f>
        <v>Principal due cannot exceed principal outstanding.</v>
      </c>
      <c r="H2826" s="25" t="str">
        <f t="shared" ca="1" si="318"/>
        <v/>
      </c>
      <c r="I2826" s="25" t="str">
        <f t="shared" ca="1" si="319"/>
        <v/>
      </c>
      <c r="J2826" s="26" t="str">
        <f t="shared" ca="1" si="320"/>
        <v/>
      </c>
    </row>
    <row r="2827" spans="1:10" x14ac:dyDescent="0.25">
      <c r="A2827" t="s">
        <v>304</v>
      </c>
      <c r="B2827" t="str">
        <f>ADDRESS(ROW('Bond 1'!$B$44),COLUMN('Bond 1'!$B$44),4)</f>
        <v>B44</v>
      </c>
      <c r="C2827" t="str">
        <f>ADDRESS(ROW('Bond 1'!$D$44),COLUMN('Bond 1'!$D$44),4)</f>
        <v>D44</v>
      </c>
      <c r="D2827" t="b" cm="1">
        <f t="array" aca="1" ref="D2827" ca="1">IF(INDIRECT("'"&amp;A2827&amp;"'!"&amp;B2827)="",FALSE,IF(INDIRECT("'"&amp;A2827&amp;"'!"&amp;B2827)&gt;INDIRECT("'"&amp;A2827&amp;"'!B$39"),TRUE,FALSE))</f>
        <v>0</v>
      </c>
      <c r="E2827" t="s">
        <v>628</v>
      </c>
      <c r="F2827" t="str">
        <f>INDEX(Lists!I:I,MATCH(Validation!E2827,Lists!G:G,0))</f>
        <v>Error</v>
      </c>
      <c r="G2827" t="str">
        <f>INDEX(Lists!H:H,MATCH(Validation!E2827,Lists!G:G,0))</f>
        <v>Principal due cannot exceed principal outstanding.</v>
      </c>
      <c r="H2827" s="25" t="str">
        <f t="shared" ca="1" si="318"/>
        <v/>
      </c>
      <c r="I2827" s="25" t="str">
        <f t="shared" ca="1" si="319"/>
        <v/>
      </c>
      <c r="J2827" s="26" t="str">
        <f t="shared" ca="1" si="320"/>
        <v/>
      </c>
    </row>
    <row r="2828" spans="1:10" x14ac:dyDescent="0.25">
      <c r="A2828" t="s">
        <v>305</v>
      </c>
      <c r="B2828" t="str">
        <f>ADDRESS(ROW('Bond 1'!$B$44),COLUMN('Bond 1'!$B$44),4)</f>
        <v>B44</v>
      </c>
      <c r="C2828" t="str">
        <f>ADDRESS(ROW('Bond 1'!$D$44),COLUMN('Bond 1'!$D$44),4)</f>
        <v>D44</v>
      </c>
      <c r="D2828" t="b" cm="1">
        <f t="array" aca="1" ref="D2828" ca="1">IF(INDIRECT("'"&amp;A2828&amp;"'!"&amp;B2828)="",FALSE,IF(INDIRECT("'"&amp;A2828&amp;"'!"&amp;B2828)&gt;INDIRECT("'"&amp;A2828&amp;"'!B$39"),TRUE,FALSE))</f>
        <v>0</v>
      </c>
      <c r="E2828" t="s">
        <v>628</v>
      </c>
      <c r="F2828" t="str">
        <f>INDEX(Lists!I:I,MATCH(Validation!E2828,Lists!G:G,0))</f>
        <v>Error</v>
      </c>
      <c r="G2828" t="str">
        <f>INDEX(Lists!H:H,MATCH(Validation!E2828,Lists!G:G,0))</f>
        <v>Principal due cannot exceed principal outstanding.</v>
      </c>
      <c r="H2828" s="25" t="str">
        <f t="shared" ca="1" si="318"/>
        <v/>
      </c>
      <c r="I2828" s="25" t="str">
        <f t="shared" ca="1" si="319"/>
        <v/>
      </c>
      <c r="J2828" s="26" t="str">
        <f t="shared" ca="1" si="320"/>
        <v/>
      </c>
    </row>
    <row r="2829" spans="1:10" x14ac:dyDescent="0.25">
      <c r="A2829" t="s">
        <v>306</v>
      </c>
      <c r="B2829" t="str">
        <f>ADDRESS(ROW('Bond 1'!$B$44),COLUMN('Bond 1'!$B$44),4)</f>
        <v>B44</v>
      </c>
      <c r="C2829" t="str">
        <f>ADDRESS(ROW('Bond 1'!$D$44),COLUMN('Bond 1'!$D$44),4)</f>
        <v>D44</v>
      </c>
      <c r="D2829" t="b" cm="1">
        <f t="array" aca="1" ref="D2829" ca="1">IF(INDIRECT("'"&amp;A2829&amp;"'!"&amp;B2829)="",FALSE,IF(INDIRECT("'"&amp;A2829&amp;"'!"&amp;B2829)&gt;INDIRECT("'"&amp;A2829&amp;"'!B$39"),TRUE,FALSE))</f>
        <v>0</v>
      </c>
      <c r="E2829" t="s">
        <v>628</v>
      </c>
      <c r="F2829" t="str">
        <f>INDEX(Lists!I:I,MATCH(Validation!E2829,Lists!G:G,0))</f>
        <v>Error</v>
      </c>
      <c r="G2829" t="str">
        <f>INDEX(Lists!H:H,MATCH(Validation!E2829,Lists!G:G,0))</f>
        <v>Principal due cannot exceed principal outstanding.</v>
      </c>
      <c r="H2829" s="25" t="str">
        <f t="shared" ca="1" si="318"/>
        <v/>
      </c>
      <c r="I2829" s="25" t="str">
        <f t="shared" ca="1" si="319"/>
        <v/>
      </c>
      <c r="J2829" s="26" t="str">
        <f t="shared" ca="1" si="320"/>
        <v/>
      </c>
    </row>
    <row r="2830" spans="1:10" x14ac:dyDescent="0.25">
      <c r="A2830" t="s">
        <v>307</v>
      </c>
      <c r="B2830" t="str">
        <f>ADDRESS(ROW('Bond 1'!$B$44),COLUMN('Bond 1'!$B$44),4)</f>
        <v>B44</v>
      </c>
      <c r="C2830" t="str">
        <f>ADDRESS(ROW('Bond 1'!$D$44),COLUMN('Bond 1'!$D$44),4)</f>
        <v>D44</v>
      </c>
      <c r="D2830" t="b" cm="1">
        <f t="array" aca="1" ref="D2830" ca="1">IF(INDIRECT("'"&amp;A2830&amp;"'!"&amp;B2830)="",FALSE,IF(INDIRECT("'"&amp;A2830&amp;"'!"&amp;B2830)&gt;INDIRECT("'"&amp;A2830&amp;"'!B$39"),TRUE,FALSE))</f>
        <v>0</v>
      </c>
      <c r="E2830" t="s">
        <v>628</v>
      </c>
      <c r="F2830" t="str">
        <f>INDEX(Lists!I:I,MATCH(Validation!E2830,Lists!G:G,0))</f>
        <v>Error</v>
      </c>
      <c r="G2830" t="str">
        <f>INDEX(Lists!H:H,MATCH(Validation!E2830,Lists!G:G,0))</f>
        <v>Principal due cannot exceed principal outstanding.</v>
      </c>
      <c r="H2830" s="25" t="str">
        <f t="shared" ca="1" si="318"/>
        <v/>
      </c>
      <c r="I2830" s="25" t="str">
        <f t="shared" ca="1" si="319"/>
        <v/>
      </c>
      <c r="J2830" s="26" t="str">
        <f t="shared" ca="1" si="320"/>
        <v/>
      </c>
    </row>
    <row r="2831" spans="1:10" x14ac:dyDescent="0.25">
      <c r="A2831" t="s">
        <v>308</v>
      </c>
      <c r="B2831" t="str">
        <f>ADDRESS(ROW('Bond 1'!$B$44),COLUMN('Bond 1'!$B$44),4)</f>
        <v>B44</v>
      </c>
      <c r="C2831" t="str">
        <f>ADDRESS(ROW('Bond 1'!$D$44),COLUMN('Bond 1'!$D$44),4)</f>
        <v>D44</v>
      </c>
      <c r="D2831" t="b" cm="1">
        <f t="array" aca="1" ref="D2831" ca="1">IF(INDIRECT("'"&amp;A2831&amp;"'!"&amp;B2831)="",FALSE,IF(INDIRECT("'"&amp;A2831&amp;"'!"&amp;B2831)&gt;INDIRECT("'"&amp;A2831&amp;"'!B$39"),TRUE,FALSE))</f>
        <v>0</v>
      </c>
      <c r="E2831" t="s">
        <v>628</v>
      </c>
      <c r="F2831" t="str">
        <f>INDEX(Lists!I:I,MATCH(Validation!E2831,Lists!G:G,0))</f>
        <v>Error</v>
      </c>
      <c r="G2831" t="str">
        <f>INDEX(Lists!H:H,MATCH(Validation!E2831,Lists!G:G,0))</f>
        <v>Principal due cannot exceed principal outstanding.</v>
      </c>
      <c r="H2831" s="25" t="str">
        <f t="shared" ca="1" si="318"/>
        <v/>
      </c>
      <c r="I2831" s="25" t="str">
        <f t="shared" ca="1" si="319"/>
        <v/>
      </c>
      <c r="J2831" s="26" t="str">
        <f t="shared" ca="1" si="320"/>
        <v/>
      </c>
    </row>
    <row r="2832" spans="1:10" x14ac:dyDescent="0.25">
      <c r="A2832" t="s">
        <v>309</v>
      </c>
      <c r="B2832" t="str">
        <f>ADDRESS(ROW('Bond 1'!$B$44),COLUMN('Bond 1'!$B$44),4)</f>
        <v>B44</v>
      </c>
      <c r="C2832" t="str">
        <f>ADDRESS(ROW('Bond 1'!$D$44),COLUMN('Bond 1'!$D$44),4)</f>
        <v>D44</v>
      </c>
      <c r="D2832" t="b" cm="1">
        <f t="array" aca="1" ref="D2832" ca="1">IF(INDIRECT("'"&amp;A2832&amp;"'!"&amp;B2832)="",FALSE,IF(INDIRECT("'"&amp;A2832&amp;"'!"&amp;B2832)&gt;INDIRECT("'"&amp;A2832&amp;"'!B$39"),TRUE,FALSE))</f>
        <v>0</v>
      </c>
      <c r="E2832" t="s">
        <v>628</v>
      </c>
      <c r="F2832" t="str">
        <f>INDEX(Lists!I:I,MATCH(Validation!E2832,Lists!G:G,0))</f>
        <v>Error</v>
      </c>
      <c r="G2832" t="str">
        <f>INDEX(Lists!H:H,MATCH(Validation!E2832,Lists!G:G,0))</f>
        <v>Principal due cannot exceed principal outstanding.</v>
      </c>
      <c r="H2832" s="25" t="str">
        <f t="shared" ca="1" si="318"/>
        <v/>
      </c>
      <c r="I2832" s="25" t="str">
        <f t="shared" ca="1" si="319"/>
        <v/>
      </c>
      <c r="J2832" s="26" t="str">
        <f t="shared" ca="1" si="320"/>
        <v/>
      </c>
    </row>
    <row r="2833" spans="1:10" x14ac:dyDescent="0.25">
      <c r="A2833" t="s">
        <v>310</v>
      </c>
      <c r="B2833" t="str">
        <f>ADDRESS(ROW('Bond 1'!$B$44),COLUMN('Bond 1'!$B$44),4)</f>
        <v>B44</v>
      </c>
      <c r="C2833" t="str">
        <f>ADDRESS(ROW('Bond 1'!$D$44),COLUMN('Bond 1'!$D$44),4)</f>
        <v>D44</v>
      </c>
      <c r="D2833" t="b" cm="1">
        <f t="array" aca="1" ref="D2833" ca="1">IF(INDIRECT("'"&amp;A2833&amp;"'!"&amp;B2833)="",FALSE,IF(INDIRECT("'"&amp;A2833&amp;"'!"&amp;B2833)&gt;INDIRECT("'"&amp;A2833&amp;"'!B$39"),TRUE,FALSE))</f>
        <v>0</v>
      </c>
      <c r="E2833" t="s">
        <v>628</v>
      </c>
      <c r="F2833" t="str">
        <f>INDEX(Lists!I:I,MATCH(Validation!E2833,Lists!G:G,0))</f>
        <v>Error</v>
      </c>
      <c r="G2833" t="str">
        <f>INDEX(Lists!H:H,MATCH(Validation!E2833,Lists!G:G,0))</f>
        <v>Principal due cannot exceed principal outstanding.</v>
      </c>
      <c r="H2833" s="25" t="str">
        <f t="shared" ca="1" si="318"/>
        <v/>
      </c>
      <c r="I2833" s="25" t="str">
        <f t="shared" ca="1" si="319"/>
        <v/>
      </c>
      <c r="J2833" s="26" t="str">
        <f t="shared" ca="1" si="320"/>
        <v/>
      </c>
    </row>
    <row r="2834" spans="1:10" x14ac:dyDescent="0.25">
      <c r="A2834" t="s">
        <v>311</v>
      </c>
      <c r="B2834" t="str">
        <f>ADDRESS(ROW('Bond 1'!$B$44),COLUMN('Bond 1'!$B$44),4)</f>
        <v>B44</v>
      </c>
      <c r="C2834" t="str">
        <f>ADDRESS(ROW('Bond 1'!$D$44),COLUMN('Bond 1'!$D$44),4)</f>
        <v>D44</v>
      </c>
      <c r="D2834" t="b" cm="1">
        <f t="array" aca="1" ref="D2834" ca="1">IF(INDIRECT("'"&amp;A2834&amp;"'!"&amp;B2834)="",FALSE,IF(INDIRECT("'"&amp;A2834&amp;"'!"&amp;B2834)&gt;INDIRECT("'"&amp;A2834&amp;"'!B$39"),TRUE,FALSE))</f>
        <v>0</v>
      </c>
      <c r="E2834" t="s">
        <v>628</v>
      </c>
      <c r="F2834" t="str">
        <f>INDEX(Lists!I:I,MATCH(Validation!E2834,Lists!G:G,0))</f>
        <v>Error</v>
      </c>
      <c r="G2834" t="str">
        <f>INDEX(Lists!H:H,MATCH(Validation!E2834,Lists!G:G,0))</f>
        <v>Principal due cannot exceed principal outstanding.</v>
      </c>
      <c r="H2834" s="25" t="str">
        <f t="shared" ca="1" si="318"/>
        <v/>
      </c>
      <c r="I2834" s="25" t="str">
        <f t="shared" ca="1" si="319"/>
        <v/>
      </c>
      <c r="J2834" s="26" t="str">
        <f t="shared" ca="1" si="320"/>
        <v/>
      </c>
    </row>
    <row r="2835" spans="1:10" x14ac:dyDescent="0.25">
      <c r="A2835" t="s">
        <v>312</v>
      </c>
      <c r="B2835" t="str">
        <f>ADDRESS(ROW('Bond 1'!$B$44),COLUMN('Bond 1'!$B$44),4)</f>
        <v>B44</v>
      </c>
      <c r="C2835" t="str">
        <f>ADDRESS(ROW('Bond 1'!$D$44),COLUMN('Bond 1'!$D$44),4)</f>
        <v>D44</v>
      </c>
      <c r="D2835" t="b" cm="1">
        <f t="array" aca="1" ref="D2835" ca="1">IF(INDIRECT("'"&amp;A2835&amp;"'!"&amp;B2835)="",FALSE,IF(INDIRECT("'"&amp;A2835&amp;"'!"&amp;B2835)&gt;INDIRECT("'"&amp;A2835&amp;"'!B$39"),TRUE,FALSE))</f>
        <v>0</v>
      </c>
      <c r="E2835" t="s">
        <v>628</v>
      </c>
      <c r="F2835" t="str">
        <f>INDEX(Lists!I:I,MATCH(Validation!E2835,Lists!G:G,0))</f>
        <v>Error</v>
      </c>
      <c r="G2835" t="str">
        <f>INDEX(Lists!H:H,MATCH(Validation!E2835,Lists!G:G,0))</f>
        <v>Principal due cannot exceed principal outstanding.</v>
      </c>
      <c r="H2835" s="25" t="str">
        <f t="shared" ca="1" si="318"/>
        <v/>
      </c>
      <c r="I2835" s="25" t="str">
        <f t="shared" ca="1" si="319"/>
        <v/>
      </c>
      <c r="J2835" s="26" t="str">
        <f t="shared" ca="1" si="320"/>
        <v/>
      </c>
    </row>
    <row r="2836" spans="1:10" x14ac:dyDescent="0.25">
      <c r="A2836" t="s">
        <v>313</v>
      </c>
      <c r="B2836" t="str">
        <f>ADDRESS(ROW('Bond 1'!$B$44),COLUMN('Bond 1'!$B$44),4)</f>
        <v>B44</v>
      </c>
      <c r="C2836" t="str">
        <f>ADDRESS(ROW('Bond 1'!$D$44),COLUMN('Bond 1'!$D$44),4)</f>
        <v>D44</v>
      </c>
      <c r="D2836" t="b" cm="1">
        <f t="array" aca="1" ref="D2836" ca="1">IF(INDIRECT("'"&amp;A2836&amp;"'!"&amp;B2836)="",FALSE,IF(INDIRECT("'"&amp;A2836&amp;"'!"&amp;B2836)&gt;INDIRECT("'"&amp;A2836&amp;"'!B$39"),TRUE,FALSE))</f>
        <v>0</v>
      </c>
      <c r="E2836" t="s">
        <v>628</v>
      </c>
      <c r="F2836" t="str">
        <f>INDEX(Lists!I:I,MATCH(Validation!E2836,Lists!G:G,0))</f>
        <v>Error</v>
      </c>
      <c r="G2836" t="str">
        <f>INDEX(Lists!H:H,MATCH(Validation!E2836,Lists!G:G,0))</f>
        <v>Principal due cannot exceed principal outstanding.</v>
      </c>
      <c r="H2836" s="25" t="str">
        <f t="shared" ca="1" si="318"/>
        <v/>
      </c>
      <c r="I2836" s="25" t="str">
        <f t="shared" ca="1" si="319"/>
        <v/>
      </c>
      <c r="J2836" s="26" t="str">
        <f t="shared" ca="1" si="320"/>
        <v/>
      </c>
    </row>
    <row r="2837" spans="1:10" x14ac:dyDescent="0.25">
      <c r="A2837" t="s">
        <v>314</v>
      </c>
      <c r="B2837" t="str">
        <f>ADDRESS(ROW('Bond 1'!$B$44),COLUMN('Bond 1'!$B$44),4)</f>
        <v>B44</v>
      </c>
      <c r="C2837" t="str">
        <f>ADDRESS(ROW('Bond 1'!$D$44),COLUMN('Bond 1'!$D$44),4)</f>
        <v>D44</v>
      </c>
      <c r="D2837" t="b" cm="1">
        <f t="array" aca="1" ref="D2837" ca="1">IF(INDIRECT("'"&amp;A2837&amp;"'!"&amp;B2837)="",FALSE,IF(INDIRECT("'"&amp;A2837&amp;"'!"&amp;B2837)&gt;INDIRECT("'"&amp;A2837&amp;"'!B$39"),TRUE,FALSE))</f>
        <v>0</v>
      </c>
      <c r="E2837" t="s">
        <v>628</v>
      </c>
      <c r="F2837" t="str">
        <f>INDEX(Lists!I:I,MATCH(Validation!E2837,Lists!G:G,0))</f>
        <v>Error</v>
      </c>
      <c r="G2837" t="str">
        <f>INDEX(Lists!H:H,MATCH(Validation!E2837,Lists!G:G,0))</f>
        <v>Principal due cannot exceed principal outstanding.</v>
      </c>
      <c r="H2837" s="25" t="str">
        <f t="shared" ca="1" si="318"/>
        <v/>
      </c>
      <c r="I2837" s="25" t="str">
        <f t="shared" ca="1" si="319"/>
        <v/>
      </c>
      <c r="J2837" s="26" t="str">
        <f t="shared" ca="1" si="320"/>
        <v/>
      </c>
    </row>
    <row r="2838" spans="1:10" x14ac:dyDescent="0.25">
      <c r="A2838" t="s">
        <v>315</v>
      </c>
      <c r="B2838" t="str">
        <f>ADDRESS(ROW('Bond 1'!$B$44),COLUMN('Bond 1'!$B$44),4)</f>
        <v>B44</v>
      </c>
      <c r="C2838" t="str">
        <f>ADDRESS(ROW('Bond 1'!$D$44),COLUMN('Bond 1'!$D$44),4)</f>
        <v>D44</v>
      </c>
      <c r="D2838" t="b" cm="1">
        <f t="array" aca="1" ref="D2838" ca="1">IF(INDIRECT("'"&amp;A2838&amp;"'!"&amp;B2838)="",FALSE,IF(INDIRECT("'"&amp;A2838&amp;"'!"&amp;B2838)&gt;INDIRECT("'"&amp;A2838&amp;"'!B$39"),TRUE,FALSE))</f>
        <v>0</v>
      </c>
      <c r="E2838" t="s">
        <v>628</v>
      </c>
      <c r="F2838" t="str">
        <f>INDEX(Lists!I:I,MATCH(Validation!E2838,Lists!G:G,0))</f>
        <v>Error</v>
      </c>
      <c r="G2838" t="str">
        <f>INDEX(Lists!H:H,MATCH(Validation!E2838,Lists!G:G,0))</f>
        <v>Principal due cannot exceed principal outstanding.</v>
      </c>
      <c r="H2838" s="25" t="str">
        <f t="shared" ca="1" si="318"/>
        <v/>
      </c>
      <c r="I2838" s="25" t="str">
        <f t="shared" ca="1" si="319"/>
        <v/>
      </c>
      <c r="J2838" s="26" t="str">
        <f t="shared" ca="1" si="320"/>
        <v/>
      </c>
    </row>
    <row r="2839" spans="1:10" x14ac:dyDescent="0.25">
      <c r="A2839" t="s">
        <v>198</v>
      </c>
      <c r="B2839" t="str">
        <f>ADDRESS(ROW('Bond 1'!$B$45),COLUMN('Bond 1'!$B$45),4)</f>
        <v>B45</v>
      </c>
      <c r="C2839" t="str">
        <f>ADDRESS(ROW('Bond 1'!$D$45),COLUMN('Bond 1'!$D$45),4)</f>
        <v>D45</v>
      </c>
      <c r="D2839" t="b" cm="1">
        <f t="array" aca="1" ref="D2839" ca="1">IF(AND('Bond 1'!B$8="Non-TIF Bond",OR(ISBLANK(INDIRECT("'"&amp;A2839&amp;"'!"&amp;B2839)),INDIRECT("'"&amp;A2839&amp;"'!"&amp;B2839)&lt;&gt;0)),TRUE,FALSE)</f>
        <v>0</v>
      </c>
      <c r="E2839" t="s">
        <v>630</v>
      </c>
      <c r="F2839" t="str">
        <f>INDEX(Lists!I:I,MATCH(Validation!E2839,Lists!G:G,0))</f>
        <v>Error</v>
      </c>
      <c r="G2839" t="str">
        <f>INDEX(Lists!H:H,MATCH(Validation!E2839,Lists!G:G,0))</f>
        <v>Enter $0 if debt type is Non-TIF Bond.</v>
      </c>
      <c r="H2839" s="25" t="str">
        <f t="shared" ref="H2839:H2846" ca="1" si="321">IFERROR(IF(OR(NOT(D2839),F2839&lt;&gt;"Error"),"",A2839&amp;CELL("address",INDIRECT(B2839))),"")</f>
        <v/>
      </c>
      <c r="I2839" s="25" t="str">
        <f t="shared" ref="I2839:I2846" ca="1" si="322">IFERROR(IF(NOT(D2839),"",A2839&amp;CELL("address",INDIRECT(C2839))),"")</f>
        <v/>
      </c>
      <c r="J2839" s="26" t="str">
        <f t="shared" ref="J2839:J2846" ca="1" si="323">IFERROR(IF(NOT(D2839),"",A2839),"")</f>
        <v/>
      </c>
    </row>
    <row r="2840" spans="1:10" x14ac:dyDescent="0.25">
      <c r="A2840" t="s">
        <v>302</v>
      </c>
      <c r="B2840" t="str">
        <f>ADDRESS(ROW('Bond 1'!$B$45),COLUMN('Bond 1'!$B$45),4)</f>
        <v>B45</v>
      </c>
      <c r="C2840" t="str">
        <f>ADDRESS(ROW('Bond 1'!$D$45),COLUMN('Bond 1'!$D$45),4)</f>
        <v>D45</v>
      </c>
      <c r="D2840" t="b" cm="1">
        <f t="array" aca="1" ref="D2840" ca="1">IF(AND('Bond 2'!B$8="Non-TIF Bond",OR(ISBLANK(INDIRECT("'"&amp;A2840&amp;"'!"&amp;B2840)),INDIRECT("'"&amp;A2840&amp;"'!"&amp;B2840)&lt;&gt;0)),TRUE,FALSE)</f>
        <v>0</v>
      </c>
      <c r="E2840" t="s">
        <v>630</v>
      </c>
      <c r="F2840" t="str">
        <f>INDEX(Lists!I:I,MATCH(Validation!E2840,Lists!G:G,0))</f>
        <v>Error</v>
      </c>
      <c r="G2840" t="str">
        <f>INDEX(Lists!H:H,MATCH(Validation!E2840,Lists!G:G,0))</f>
        <v>Enter $0 if debt type is Non-TIF Bond.</v>
      </c>
      <c r="H2840" s="25" t="str">
        <f t="shared" ca="1" si="321"/>
        <v/>
      </c>
      <c r="I2840" s="25" t="str">
        <f t="shared" ca="1" si="322"/>
        <v/>
      </c>
      <c r="J2840" s="26" t="str">
        <f t="shared" ca="1" si="323"/>
        <v/>
      </c>
    </row>
    <row r="2841" spans="1:10" x14ac:dyDescent="0.25">
      <c r="A2841" t="s">
        <v>303</v>
      </c>
      <c r="B2841" t="str">
        <f>ADDRESS(ROW('Bond 1'!$B$45),COLUMN('Bond 1'!$B$45),4)</f>
        <v>B45</v>
      </c>
      <c r="C2841" t="str">
        <f>ADDRESS(ROW('Bond 1'!$D$45),COLUMN('Bond 1'!$D$45),4)</f>
        <v>D45</v>
      </c>
      <c r="D2841" t="b" cm="1">
        <f t="array" aca="1" ref="D2841" ca="1">IF(AND('Bond 3'!B$8="Non-TIF Bond",OR(ISBLANK(INDIRECT("'"&amp;A2841&amp;"'!"&amp;B2841)),INDIRECT("'"&amp;A2841&amp;"'!"&amp;B2841)&lt;&gt;0)),TRUE,FALSE)</f>
        <v>0</v>
      </c>
      <c r="E2841" t="s">
        <v>630</v>
      </c>
      <c r="F2841" t="str">
        <f>INDEX(Lists!I:I,MATCH(Validation!E2841,Lists!G:G,0))</f>
        <v>Error</v>
      </c>
      <c r="G2841" t="str">
        <f>INDEX(Lists!H:H,MATCH(Validation!E2841,Lists!G:G,0))</f>
        <v>Enter $0 if debt type is Non-TIF Bond.</v>
      </c>
      <c r="H2841" s="25" t="str">
        <f t="shared" ca="1" si="321"/>
        <v/>
      </c>
      <c r="I2841" s="25" t="str">
        <f t="shared" ca="1" si="322"/>
        <v/>
      </c>
      <c r="J2841" s="26" t="str">
        <f t="shared" ca="1" si="323"/>
        <v/>
      </c>
    </row>
    <row r="2842" spans="1:10" x14ac:dyDescent="0.25">
      <c r="A2842" t="s">
        <v>304</v>
      </c>
      <c r="B2842" t="str">
        <f>ADDRESS(ROW('Bond 1'!$B$45),COLUMN('Bond 1'!$B$45),4)</f>
        <v>B45</v>
      </c>
      <c r="C2842" t="str">
        <f>ADDRESS(ROW('Bond 1'!$D$45),COLUMN('Bond 1'!$D$45),4)</f>
        <v>D45</v>
      </c>
      <c r="D2842" t="b" cm="1">
        <f t="array" aca="1" ref="D2842" ca="1">IF(AND('Bond 4'!B$8="Non-TIF Bond",OR(ISBLANK(INDIRECT("'"&amp;A2842&amp;"'!"&amp;B2842)),INDIRECT("'"&amp;A2842&amp;"'!"&amp;B2842)&lt;&gt;0)),TRUE,FALSE)</f>
        <v>0</v>
      </c>
      <c r="E2842" t="s">
        <v>630</v>
      </c>
      <c r="F2842" t="str">
        <f>INDEX(Lists!I:I,MATCH(Validation!E2842,Lists!G:G,0))</f>
        <v>Error</v>
      </c>
      <c r="G2842" t="str">
        <f>INDEX(Lists!H:H,MATCH(Validation!E2842,Lists!G:G,0))</f>
        <v>Enter $0 if debt type is Non-TIF Bond.</v>
      </c>
      <c r="H2842" s="25" t="str">
        <f t="shared" ca="1" si="321"/>
        <v/>
      </c>
      <c r="I2842" s="25" t="str">
        <f t="shared" ca="1" si="322"/>
        <v/>
      </c>
      <c r="J2842" s="26" t="str">
        <f t="shared" ca="1" si="323"/>
        <v/>
      </c>
    </row>
    <row r="2843" spans="1:10" x14ac:dyDescent="0.25">
      <c r="A2843" t="s">
        <v>305</v>
      </c>
      <c r="B2843" t="str">
        <f>ADDRESS(ROW('Bond 1'!$B$45),COLUMN('Bond 1'!$B$45),4)</f>
        <v>B45</v>
      </c>
      <c r="C2843" t="str">
        <f>ADDRESS(ROW('Bond 1'!$D$45),COLUMN('Bond 1'!$D$45),4)</f>
        <v>D45</v>
      </c>
      <c r="D2843" t="b" cm="1">
        <f t="array" aca="1" ref="D2843" ca="1">IF(AND('Bond 5'!B$8="Non-TIF Bond",OR(ISBLANK(INDIRECT("'"&amp;A2843&amp;"'!"&amp;B2843)),INDIRECT("'"&amp;A2843&amp;"'!"&amp;B2843)&lt;&gt;0)),TRUE,FALSE)</f>
        <v>0</v>
      </c>
      <c r="E2843" t="s">
        <v>630</v>
      </c>
      <c r="F2843" t="str">
        <f>INDEX(Lists!I:I,MATCH(Validation!E2843,Lists!G:G,0))</f>
        <v>Error</v>
      </c>
      <c r="G2843" t="str">
        <f>INDEX(Lists!H:H,MATCH(Validation!E2843,Lists!G:G,0))</f>
        <v>Enter $0 if debt type is Non-TIF Bond.</v>
      </c>
      <c r="H2843" s="25" t="str">
        <f t="shared" ca="1" si="321"/>
        <v/>
      </c>
      <c r="I2843" s="25" t="str">
        <f t="shared" ca="1" si="322"/>
        <v/>
      </c>
      <c r="J2843" s="26" t="str">
        <f t="shared" ca="1" si="323"/>
        <v/>
      </c>
    </row>
    <row r="2844" spans="1:10" x14ac:dyDescent="0.25">
      <c r="A2844" t="s">
        <v>306</v>
      </c>
      <c r="B2844" t="str">
        <f>ADDRESS(ROW('Bond 1'!$B$45),COLUMN('Bond 1'!$B$45),4)</f>
        <v>B45</v>
      </c>
      <c r="C2844" t="str">
        <f>ADDRESS(ROW('Bond 1'!$D$45),COLUMN('Bond 1'!$D$45),4)</f>
        <v>D45</v>
      </c>
      <c r="D2844" t="b" cm="1">
        <f t="array" aca="1" ref="D2844" ca="1">IF(AND('Bond 6'!B$8="Non-TIF Bond",OR(ISBLANK(INDIRECT("'"&amp;A2844&amp;"'!"&amp;B2844)),INDIRECT("'"&amp;A2844&amp;"'!"&amp;B2844)&lt;&gt;0)),TRUE,FALSE)</f>
        <v>0</v>
      </c>
      <c r="E2844" t="s">
        <v>630</v>
      </c>
      <c r="F2844" t="str">
        <f>INDEX(Lists!I:I,MATCH(Validation!E2844,Lists!G:G,0))</f>
        <v>Error</v>
      </c>
      <c r="G2844" t="str">
        <f>INDEX(Lists!H:H,MATCH(Validation!E2844,Lists!G:G,0))</f>
        <v>Enter $0 if debt type is Non-TIF Bond.</v>
      </c>
      <c r="H2844" s="25" t="str">
        <f t="shared" ca="1" si="321"/>
        <v/>
      </c>
      <c r="I2844" s="25" t="str">
        <f t="shared" ca="1" si="322"/>
        <v/>
      </c>
      <c r="J2844" s="26" t="str">
        <f t="shared" ca="1" si="323"/>
        <v/>
      </c>
    </row>
    <row r="2845" spans="1:10" x14ac:dyDescent="0.25">
      <c r="A2845" t="s">
        <v>307</v>
      </c>
      <c r="B2845" t="str">
        <f>ADDRESS(ROW('Bond 1'!$B$45),COLUMN('Bond 1'!$B$45),4)</f>
        <v>B45</v>
      </c>
      <c r="C2845" t="str">
        <f>ADDRESS(ROW('Bond 1'!$D$45),COLUMN('Bond 1'!$D$45),4)</f>
        <v>D45</v>
      </c>
      <c r="D2845" t="b" cm="1">
        <f t="array" aca="1" ref="D2845" ca="1">IF(AND('Bond 7'!B$8="Non-TIF Bond",OR(ISBLANK(INDIRECT("'"&amp;A2845&amp;"'!"&amp;B2845)),INDIRECT("'"&amp;A2845&amp;"'!"&amp;B2845)&lt;&gt;0)),TRUE,FALSE)</f>
        <v>0</v>
      </c>
      <c r="E2845" t="s">
        <v>630</v>
      </c>
      <c r="F2845" t="str">
        <f>INDEX(Lists!I:I,MATCH(Validation!E2845,Lists!G:G,0))</f>
        <v>Error</v>
      </c>
      <c r="G2845" t="str">
        <f>INDEX(Lists!H:H,MATCH(Validation!E2845,Lists!G:G,0))</f>
        <v>Enter $0 if debt type is Non-TIF Bond.</v>
      </c>
      <c r="H2845" s="25" t="str">
        <f t="shared" ca="1" si="321"/>
        <v/>
      </c>
      <c r="I2845" s="25" t="str">
        <f t="shared" ca="1" si="322"/>
        <v/>
      </c>
      <c r="J2845" s="26" t="str">
        <f t="shared" ca="1" si="323"/>
        <v/>
      </c>
    </row>
    <row r="2846" spans="1:10" x14ac:dyDescent="0.25">
      <c r="A2846" t="s">
        <v>308</v>
      </c>
      <c r="B2846" t="str">
        <f>ADDRESS(ROW('Bond 1'!$B$45),COLUMN('Bond 1'!$B$45),4)</f>
        <v>B45</v>
      </c>
      <c r="C2846" t="str">
        <f>ADDRESS(ROW('Bond 1'!$D$45),COLUMN('Bond 1'!$D$45),4)</f>
        <v>D45</v>
      </c>
      <c r="D2846" t="b" cm="1">
        <f t="array" aca="1" ref="D2846" ca="1">IF(AND('Bond 8'!B$8="Non-TIF Bond",OR(ISBLANK(INDIRECT("'"&amp;A2846&amp;"'!"&amp;B2846)),INDIRECT("'"&amp;A2846&amp;"'!"&amp;B2846)&lt;&gt;0)),TRUE,FALSE)</f>
        <v>0</v>
      </c>
      <c r="E2846" t="s">
        <v>630</v>
      </c>
      <c r="F2846" t="str">
        <f>INDEX(Lists!I:I,MATCH(Validation!E2846,Lists!G:G,0))</f>
        <v>Error</v>
      </c>
      <c r="G2846" t="str">
        <f>INDEX(Lists!H:H,MATCH(Validation!E2846,Lists!G:G,0))</f>
        <v>Enter $0 if debt type is Non-TIF Bond.</v>
      </c>
      <c r="H2846" s="25" t="str">
        <f t="shared" ca="1" si="321"/>
        <v/>
      </c>
      <c r="I2846" s="25" t="str">
        <f t="shared" ca="1" si="322"/>
        <v/>
      </c>
      <c r="J2846" s="26" t="str">
        <f t="shared" ca="1" si="323"/>
        <v/>
      </c>
    </row>
    <row r="2847" spans="1:10" x14ac:dyDescent="0.25">
      <c r="A2847" t="s">
        <v>309</v>
      </c>
      <c r="B2847" t="str">
        <f>ADDRESS(ROW('Bond 1'!$B$45),COLUMN('Bond 1'!$B$45),4)</f>
        <v>B45</v>
      </c>
      <c r="C2847" t="str">
        <f>ADDRESS(ROW('Bond 1'!$D$45),COLUMN('Bond 1'!$D$45),4)</f>
        <v>D45</v>
      </c>
      <c r="D2847" t="b" cm="1">
        <f t="array" aca="1" ref="D2847" ca="1">IF(AND('Bond 9'!B$8="Non-TIF Bond",OR(ISBLANK(INDIRECT("'"&amp;A2847&amp;"'!"&amp;B2847)),INDIRECT("'"&amp;A2847&amp;"'!"&amp;B2847)&lt;&gt;0)),TRUE,FALSE)</f>
        <v>0</v>
      </c>
      <c r="E2847" t="s">
        <v>630</v>
      </c>
      <c r="F2847" t="str">
        <f>INDEX(Lists!I:I,MATCH(Validation!E2847,Lists!G:G,0))</f>
        <v>Error</v>
      </c>
      <c r="G2847" t="str">
        <f>INDEX(Lists!H:H,MATCH(Validation!E2847,Lists!G:G,0))</f>
        <v>Enter $0 if debt type is Non-TIF Bond.</v>
      </c>
      <c r="H2847" s="25" t="str">
        <f t="shared" ref="H2847:H2853" ca="1" si="324">IFERROR(IF(OR(NOT(D2847),F2847&lt;&gt;"Error"),"",A2847&amp;CELL("address",INDIRECT(B2847))),"")</f>
        <v/>
      </c>
      <c r="I2847" s="25" t="str">
        <f t="shared" ref="I2847:I2853" ca="1" si="325">IFERROR(IF(NOT(D2847),"",A2847&amp;CELL("address",INDIRECT(C2847))),"")</f>
        <v/>
      </c>
      <c r="J2847" s="26" t="str">
        <f t="shared" ref="J2847:J2853" ca="1" si="326">IFERROR(IF(NOT(D2847),"",A2847),"")</f>
        <v/>
      </c>
    </row>
    <row r="2848" spans="1:10" x14ac:dyDescent="0.25">
      <c r="A2848" t="s">
        <v>310</v>
      </c>
      <c r="B2848" t="str">
        <f>ADDRESS(ROW('Bond 1'!$B$45),COLUMN('Bond 1'!$B$45),4)</f>
        <v>B45</v>
      </c>
      <c r="C2848" t="str">
        <f>ADDRESS(ROW('Bond 1'!$D$45),COLUMN('Bond 1'!$D$45),4)</f>
        <v>D45</v>
      </c>
      <c r="D2848" t="b" cm="1">
        <f t="array" aca="1" ref="D2848" ca="1">IF(AND('Bond 10'!B$8="Non-TIF Bond",OR(ISBLANK(INDIRECT("'"&amp;A2848&amp;"'!"&amp;B2848)),INDIRECT("'"&amp;A2848&amp;"'!"&amp;B2848)&lt;&gt;0)),TRUE,FALSE)</f>
        <v>0</v>
      </c>
      <c r="E2848" t="s">
        <v>630</v>
      </c>
      <c r="F2848" t="str">
        <f>INDEX(Lists!I:I,MATCH(Validation!E2848,Lists!G:G,0))</f>
        <v>Error</v>
      </c>
      <c r="G2848" t="str">
        <f>INDEX(Lists!H:H,MATCH(Validation!E2848,Lists!G:G,0))</f>
        <v>Enter $0 if debt type is Non-TIF Bond.</v>
      </c>
      <c r="H2848" s="25" t="str">
        <f t="shared" ca="1" si="324"/>
        <v/>
      </c>
      <c r="I2848" s="25" t="str">
        <f t="shared" ca="1" si="325"/>
        <v/>
      </c>
      <c r="J2848" s="26" t="str">
        <f t="shared" ca="1" si="326"/>
        <v/>
      </c>
    </row>
    <row r="2849" spans="1:10" x14ac:dyDescent="0.25">
      <c r="A2849" t="s">
        <v>311</v>
      </c>
      <c r="B2849" t="str">
        <f>ADDRESS(ROW('Bond 1'!$B$45),COLUMN('Bond 1'!$B$45),4)</f>
        <v>B45</v>
      </c>
      <c r="C2849" t="str">
        <f>ADDRESS(ROW('Bond 1'!$D$45),COLUMN('Bond 1'!$D$45),4)</f>
        <v>D45</v>
      </c>
      <c r="D2849" t="b" cm="1">
        <f t="array" aca="1" ref="D2849" ca="1">IF(AND('Bond 11'!B$8="Non-TIF Bond",OR(ISBLANK(INDIRECT("'"&amp;A2849&amp;"'!"&amp;B2849)),INDIRECT("'"&amp;A2849&amp;"'!"&amp;B2849)&lt;&gt;0)),TRUE,FALSE)</f>
        <v>0</v>
      </c>
      <c r="E2849" t="s">
        <v>630</v>
      </c>
      <c r="F2849" t="str">
        <f>INDEX(Lists!I:I,MATCH(Validation!E2849,Lists!G:G,0))</f>
        <v>Error</v>
      </c>
      <c r="G2849" t="str">
        <f>INDEX(Lists!H:H,MATCH(Validation!E2849,Lists!G:G,0))</f>
        <v>Enter $0 if debt type is Non-TIF Bond.</v>
      </c>
      <c r="H2849" s="25" t="str">
        <f t="shared" ca="1" si="324"/>
        <v/>
      </c>
      <c r="I2849" s="25" t="str">
        <f t="shared" ca="1" si="325"/>
        <v/>
      </c>
      <c r="J2849" s="26" t="str">
        <f t="shared" ca="1" si="326"/>
        <v/>
      </c>
    </row>
    <row r="2850" spans="1:10" x14ac:dyDescent="0.25">
      <c r="A2850" t="s">
        <v>312</v>
      </c>
      <c r="B2850" t="str">
        <f>ADDRESS(ROW('Bond 1'!$B$45),COLUMN('Bond 1'!$B$45),4)</f>
        <v>B45</v>
      </c>
      <c r="C2850" t="str">
        <f>ADDRESS(ROW('Bond 1'!$D$45),COLUMN('Bond 1'!$D$45),4)</f>
        <v>D45</v>
      </c>
      <c r="D2850" t="b" cm="1">
        <f t="array" aca="1" ref="D2850" ca="1">IF(AND('Bond 12'!B$8="Non-TIF Bond",OR(ISBLANK(INDIRECT("'"&amp;A2850&amp;"'!"&amp;B2850)),INDIRECT("'"&amp;A2850&amp;"'!"&amp;B2850)&lt;&gt;0)),TRUE,FALSE)</f>
        <v>0</v>
      </c>
      <c r="E2850" t="s">
        <v>630</v>
      </c>
      <c r="F2850" t="str">
        <f>INDEX(Lists!I:I,MATCH(Validation!E2850,Lists!G:G,0))</f>
        <v>Error</v>
      </c>
      <c r="G2850" t="str">
        <f>INDEX(Lists!H:H,MATCH(Validation!E2850,Lists!G:G,0))</f>
        <v>Enter $0 if debt type is Non-TIF Bond.</v>
      </c>
      <c r="H2850" s="25" t="str">
        <f t="shared" ca="1" si="324"/>
        <v/>
      </c>
      <c r="I2850" s="25" t="str">
        <f t="shared" ca="1" si="325"/>
        <v/>
      </c>
      <c r="J2850" s="26" t="str">
        <f t="shared" ca="1" si="326"/>
        <v/>
      </c>
    </row>
    <row r="2851" spans="1:10" x14ac:dyDescent="0.25">
      <c r="A2851" t="s">
        <v>313</v>
      </c>
      <c r="B2851" t="str">
        <f>ADDRESS(ROW('Bond 1'!$B$45),COLUMN('Bond 1'!$B$45),4)</f>
        <v>B45</v>
      </c>
      <c r="C2851" t="str">
        <f>ADDRESS(ROW('Bond 1'!$D$45),COLUMN('Bond 1'!$D$45),4)</f>
        <v>D45</v>
      </c>
      <c r="D2851" t="b" cm="1">
        <f t="array" aca="1" ref="D2851" ca="1">IF(AND('Bond 13'!B$8="Non-TIF Bond",OR(ISBLANK(INDIRECT("'"&amp;A2851&amp;"'!"&amp;B2851)),INDIRECT("'"&amp;A2851&amp;"'!"&amp;B2851)&lt;&gt;0)),TRUE,FALSE)</f>
        <v>0</v>
      </c>
      <c r="E2851" t="s">
        <v>630</v>
      </c>
      <c r="F2851" t="str">
        <f>INDEX(Lists!I:I,MATCH(Validation!E2851,Lists!G:G,0))</f>
        <v>Error</v>
      </c>
      <c r="G2851" t="str">
        <f>INDEX(Lists!H:H,MATCH(Validation!E2851,Lists!G:G,0))</f>
        <v>Enter $0 if debt type is Non-TIF Bond.</v>
      </c>
      <c r="H2851" s="25" t="str">
        <f t="shared" ca="1" si="324"/>
        <v/>
      </c>
      <c r="I2851" s="25" t="str">
        <f t="shared" ca="1" si="325"/>
        <v/>
      </c>
      <c r="J2851" s="26" t="str">
        <f t="shared" ca="1" si="326"/>
        <v/>
      </c>
    </row>
    <row r="2852" spans="1:10" x14ac:dyDescent="0.25">
      <c r="A2852" t="s">
        <v>314</v>
      </c>
      <c r="B2852" t="str">
        <f>ADDRESS(ROW('Bond 1'!$B$45),COLUMN('Bond 1'!$B$45),4)</f>
        <v>B45</v>
      </c>
      <c r="C2852" t="str">
        <f>ADDRESS(ROW('Bond 1'!$D$45),COLUMN('Bond 1'!$D$45),4)</f>
        <v>D45</v>
      </c>
      <c r="D2852" t="b" cm="1">
        <f t="array" aca="1" ref="D2852" ca="1">IF(AND('Bond 14'!B$8="Non-TIF Bond",OR(ISBLANK(INDIRECT("'"&amp;A2852&amp;"'!"&amp;B2852)),INDIRECT("'"&amp;A2852&amp;"'!"&amp;B2852)&lt;&gt;0)),TRUE,FALSE)</f>
        <v>0</v>
      </c>
      <c r="E2852" t="s">
        <v>630</v>
      </c>
      <c r="F2852" t="str">
        <f>INDEX(Lists!I:I,MATCH(Validation!E2852,Lists!G:G,0))</f>
        <v>Error</v>
      </c>
      <c r="G2852" t="str">
        <f>INDEX(Lists!H:H,MATCH(Validation!E2852,Lists!G:G,0))</f>
        <v>Enter $0 if debt type is Non-TIF Bond.</v>
      </c>
      <c r="H2852" s="25" t="str">
        <f t="shared" ca="1" si="324"/>
        <v/>
      </c>
      <c r="I2852" s="25" t="str">
        <f t="shared" ca="1" si="325"/>
        <v/>
      </c>
      <c r="J2852" s="26" t="str">
        <f t="shared" ca="1" si="326"/>
        <v/>
      </c>
    </row>
    <row r="2853" spans="1:10" x14ac:dyDescent="0.25">
      <c r="A2853" t="s">
        <v>315</v>
      </c>
      <c r="B2853" t="str">
        <f>ADDRESS(ROW('Bond 1'!$B$45),COLUMN('Bond 1'!$B$45),4)</f>
        <v>B45</v>
      </c>
      <c r="C2853" t="str">
        <f>ADDRESS(ROW('Bond 1'!$D$45),COLUMN('Bond 1'!$D$45),4)</f>
        <v>D45</v>
      </c>
      <c r="D2853" t="b" cm="1">
        <f t="array" aca="1" ref="D2853" ca="1">IF(AND('Bond 15'!B$8="Non-TIF Bond",OR(ISBLANK(INDIRECT("'"&amp;A2853&amp;"'!"&amp;B2853)),INDIRECT("'"&amp;A2853&amp;"'!"&amp;B2853)&lt;&gt;0)),TRUE,FALSE)</f>
        <v>0</v>
      </c>
      <c r="E2853" t="s">
        <v>630</v>
      </c>
      <c r="F2853" t="str">
        <f>INDEX(Lists!I:I,MATCH(Validation!E2853,Lists!G:G,0))</f>
        <v>Error</v>
      </c>
      <c r="G2853" t="str">
        <f>INDEX(Lists!H:H,MATCH(Validation!E2853,Lists!G:G,0))</f>
        <v>Enter $0 if debt type is Non-TIF Bond.</v>
      </c>
      <c r="H2853" s="25" t="str">
        <f t="shared" ca="1" si="324"/>
        <v/>
      </c>
      <c r="I2853" s="25" t="str">
        <f t="shared" ca="1" si="325"/>
        <v/>
      </c>
      <c r="J2853" s="26" t="str">
        <f t="shared" ca="1" si="326"/>
        <v/>
      </c>
    </row>
    <row r="2854" spans="1:10" x14ac:dyDescent="0.25">
      <c r="A2854" t="s">
        <v>198</v>
      </c>
      <c r="B2854" t="str">
        <f>ADDRESS(ROW('Bond 1'!$B$45),COLUMN('Bond 1'!$B$45),4)</f>
        <v>B45</v>
      </c>
      <c r="C2854" t="str">
        <f>ADDRESS(ROW('Bond 1'!$D$45),COLUMN('Bond 1'!$D$45),4)</f>
        <v>D45</v>
      </c>
      <c r="D2854" t="b" cm="1">
        <f t="array" aca="1" ref="D2854" ca="1">IF(INDIRECT("'"&amp;A2854&amp;"'!"&amp;B2854)="",FALSE,IF(NOT(ISNUMBER(INDIRECT("'"&amp;A2854&amp;"'!"&amp;B2854))),TRUE,FALSE))</f>
        <v>0</v>
      </c>
      <c r="E2854" t="s">
        <v>435</v>
      </c>
      <c r="F2854" t="str">
        <f>INDEX(Lists!I:I,MATCH(Validation!E2854,Lists!G:G,0))</f>
        <v>Error</v>
      </c>
      <c r="G2854" t="str">
        <f>INDEX(Lists!H:H,MATCH(Validation!E2854,Lists!G:G,0))</f>
        <v>Enter an amount only. Do not enter text or spaces.</v>
      </c>
      <c r="H2854" s="25" t="str">
        <f t="shared" ref="H2854:H2898" ca="1" si="327">IFERROR(IF(OR(NOT(D2854),F2854&lt;&gt;"Error"),"",A2854&amp;CELL("address",INDIRECT(B2854))),"")</f>
        <v/>
      </c>
      <c r="I2854" s="25" t="str">
        <f t="shared" ref="I2854:I2898" ca="1" si="328">IFERROR(IF(NOT(D2854),"",A2854&amp;CELL("address",INDIRECT(C2854))),"")</f>
        <v/>
      </c>
      <c r="J2854" s="26" t="str">
        <f t="shared" ref="J2854:J2898" ca="1" si="329">IFERROR(IF(NOT(D2854),"",A2854),"")</f>
        <v/>
      </c>
    </row>
    <row r="2855" spans="1:10" x14ac:dyDescent="0.25">
      <c r="A2855" t="s">
        <v>302</v>
      </c>
      <c r="B2855" t="str">
        <f>ADDRESS(ROW('Bond 1'!$B$45),COLUMN('Bond 1'!$B$45),4)</f>
        <v>B45</v>
      </c>
      <c r="C2855" t="str">
        <f>ADDRESS(ROW('Bond 1'!$D$45),COLUMN('Bond 1'!$D$45),4)</f>
        <v>D45</v>
      </c>
      <c r="D2855" t="b" cm="1">
        <f t="array" aca="1" ref="D2855" ca="1">IF(INDIRECT("'"&amp;A2855&amp;"'!"&amp;B2855)="",FALSE,IF(NOT(ISNUMBER(INDIRECT("'"&amp;A2855&amp;"'!"&amp;B2855))),TRUE,FALSE))</f>
        <v>0</v>
      </c>
      <c r="E2855" t="s">
        <v>435</v>
      </c>
      <c r="F2855" t="str">
        <f>INDEX(Lists!I:I,MATCH(Validation!E2855,Lists!G:G,0))</f>
        <v>Error</v>
      </c>
      <c r="G2855" t="str">
        <f>INDEX(Lists!H:H,MATCH(Validation!E2855,Lists!G:G,0))</f>
        <v>Enter an amount only. Do not enter text or spaces.</v>
      </c>
      <c r="H2855" s="25" t="str">
        <f t="shared" ca="1" si="327"/>
        <v/>
      </c>
      <c r="I2855" s="25" t="str">
        <f t="shared" ca="1" si="328"/>
        <v/>
      </c>
      <c r="J2855" s="26" t="str">
        <f t="shared" ca="1" si="329"/>
        <v/>
      </c>
    </row>
    <row r="2856" spans="1:10" x14ac:dyDescent="0.25">
      <c r="A2856" t="s">
        <v>303</v>
      </c>
      <c r="B2856" t="str">
        <f>ADDRESS(ROW('Bond 1'!$B$45),COLUMN('Bond 1'!$B$45),4)</f>
        <v>B45</v>
      </c>
      <c r="C2856" t="str">
        <f>ADDRESS(ROW('Bond 1'!$D$45),COLUMN('Bond 1'!$D$45),4)</f>
        <v>D45</v>
      </c>
      <c r="D2856" t="b" cm="1">
        <f t="array" aca="1" ref="D2856" ca="1">IF(INDIRECT("'"&amp;A2856&amp;"'!"&amp;B2856)="",FALSE,IF(NOT(ISNUMBER(INDIRECT("'"&amp;A2856&amp;"'!"&amp;B2856))),TRUE,FALSE))</f>
        <v>0</v>
      </c>
      <c r="E2856" t="s">
        <v>435</v>
      </c>
      <c r="F2856" t="str">
        <f>INDEX(Lists!I:I,MATCH(Validation!E2856,Lists!G:G,0))</f>
        <v>Error</v>
      </c>
      <c r="G2856" t="str">
        <f>INDEX(Lists!H:H,MATCH(Validation!E2856,Lists!G:G,0))</f>
        <v>Enter an amount only. Do not enter text or spaces.</v>
      </c>
      <c r="H2856" s="25" t="str">
        <f t="shared" ca="1" si="327"/>
        <v/>
      </c>
      <c r="I2856" s="25" t="str">
        <f t="shared" ca="1" si="328"/>
        <v/>
      </c>
      <c r="J2856" s="26" t="str">
        <f t="shared" ca="1" si="329"/>
        <v/>
      </c>
    </row>
    <row r="2857" spans="1:10" x14ac:dyDescent="0.25">
      <c r="A2857" t="s">
        <v>304</v>
      </c>
      <c r="B2857" t="str">
        <f>ADDRESS(ROW('Bond 1'!$B$45),COLUMN('Bond 1'!$B$45),4)</f>
        <v>B45</v>
      </c>
      <c r="C2857" t="str">
        <f>ADDRESS(ROW('Bond 1'!$D$45),COLUMN('Bond 1'!$D$45),4)</f>
        <v>D45</v>
      </c>
      <c r="D2857" t="b" cm="1">
        <f t="array" aca="1" ref="D2857" ca="1">IF(INDIRECT("'"&amp;A2857&amp;"'!"&amp;B2857)="",FALSE,IF(NOT(ISNUMBER(INDIRECT("'"&amp;A2857&amp;"'!"&amp;B2857))),TRUE,FALSE))</f>
        <v>0</v>
      </c>
      <c r="E2857" t="s">
        <v>435</v>
      </c>
      <c r="F2857" t="str">
        <f>INDEX(Lists!I:I,MATCH(Validation!E2857,Lists!G:G,0))</f>
        <v>Error</v>
      </c>
      <c r="G2857" t="str">
        <f>INDEX(Lists!H:H,MATCH(Validation!E2857,Lists!G:G,0))</f>
        <v>Enter an amount only. Do not enter text or spaces.</v>
      </c>
      <c r="H2857" s="25" t="str">
        <f t="shared" ca="1" si="327"/>
        <v/>
      </c>
      <c r="I2857" s="25" t="str">
        <f t="shared" ca="1" si="328"/>
        <v/>
      </c>
      <c r="J2857" s="26" t="str">
        <f t="shared" ca="1" si="329"/>
        <v/>
      </c>
    </row>
    <row r="2858" spans="1:10" x14ac:dyDescent="0.25">
      <c r="A2858" t="s">
        <v>305</v>
      </c>
      <c r="B2858" t="str">
        <f>ADDRESS(ROW('Bond 1'!$B$45),COLUMN('Bond 1'!$B$45),4)</f>
        <v>B45</v>
      </c>
      <c r="C2858" t="str">
        <f>ADDRESS(ROW('Bond 1'!$D$45),COLUMN('Bond 1'!$D$45),4)</f>
        <v>D45</v>
      </c>
      <c r="D2858" t="b" cm="1">
        <f t="array" aca="1" ref="D2858" ca="1">IF(INDIRECT("'"&amp;A2858&amp;"'!"&amp;B2858)="",FALSE,IF(NOT(ISNUMBER(INDIRECT("'"&amp;A2858&amp;"'!"&amp;B2858))),TRUE,FALSE))</f>
        <v>0</v>
      </c>
      <c r="E2858" t="s">
        <v>435</v>
      </c>
      <c r="F2858" t="str">
        <f>INDEX(Lists!I:I,MATCH(Validation!E2858,Lists!G:G,0))</f>
        <v>Error</v>
      </c>
      <c r="G2858" t="str">
        <f>INDEX(Lists!H:H,MATCH(Validation!E2858,Lists!G:G,0))</f>
        <v>Enter an amount only. Do not enter text or spaces.</v>
      </c>
      <c r="H2858" s="25" t="str">
        <f t="shared" ca="1" si="327"/>
        <v/>
      </c>
      <c r="I2858" s="25" t="str">
        <f t="shared" ca="1" si="328"/>
        <v/>
      </c>
      <c r="J2858" s="26" t="str">
        <f t="shared" ca="1" si="329"/>
        <v/>
      </c>
    </row>
    <row r="2859" spans="1:10" x14ac:dyDescent="0.25">
      <c r="A2859" t="s">
        <v>306</v>
      </c>
      <c r="B2859" t="str">
        <f>ADDRESS(ROW('Bond 1'!$B$45),COLUMN('Bond 1'!$B$45),4)</f>
        <v>B45</v>
      </c>
      <c r="C2859" t="str">
        <f>ADDRESS(ROW('Bond 1'!$D$45),COLUMN('Bond 1'!$D$45),4)</f>
        <v>D45</v>
      </c>
      <c r="D2859" t="b" cm="1">
        <f t="array" aca="1" ref="D2859" ca="1">IF(INDIRECT("'"&amp;A2859&amp;"'!"&amp;B2859)="",FALSE,IF(NOT(ISNUMBER(INDIRECT("'"&amp;A2859&amp;"'!"&amp;B2859))),TRUE,FALSE))</f>
        <v>0</v>
      </c>
      <c r="E2859" t="s">
        <v>435</v>
      </c>
      <c r="F2859" t="str">
        <f>INDEX(Lists!I:I,MATCH(Validation!E2859,Lists!G:G,0))</f>
        <v>Error</v>
      </c>
      <c r="G2859" t="str">
        <f>INDEX(Lists!H:H,MATCH(Validation!E2859,Lists!G:G,0))</f>
        <v>Enter an amount only. Do not enter text or spaces.</v>
      </c>
      <c r="H2859" s="25" t="str">
        <f t="shared" ca="1" si="327"/>
        <v/>
      </c>
      <c r="I2859" s="25" t="str">
        <f t="shared" ca="1" si="328"/>
        <v/>
      </c>
      <c r="J2859" s="26" t="str">
        <f t="shared" ca="1" si="329"/>
        <v/>
      </c>
    </row>
    <row r="2860" spans="1:10" x14ac:dyDescent="0.25">
      <c r="A2860" t="s">
        <v>307</v>
      </c>
      <c r="B2860" t="str">
        <f>ADDRESS(ROW('Bond 1'!$B$45),COLUMN('Bond 1'!$B$45),4)</f>
        <v>B45</v>
      </c>
      <c r="C2860" t="str">
        <f>ADDRESS(ROW('Bond 1'!$D$45),COLUMN('Bond 1'!$D$45),4)</f>
        <v>D45</v>
      </c>
      <c r="D2860" t="b" cm="1">
        <f t="array" aca="1" ref="D2860" ca="1">IF(INDIRECT("'"&amp;A2860&amp;"'!"&amp;B2860)="",FALSE,IF(NOT(ISNUMBER(INDIRECT("'"&amp;A2860&amp;"'!"&amp;B2860))),TRUE,FALSE))</f>
        <v>0</v>
      </c>
      <c r="E2860" t="s">
        <v>435</v>
      </c>
      <c r="F2860" t="str">
        <f>INDEX(Lists!I:I,MATCH(Validation!E2860,Lists!G:G,0))</f>
        <v>Error</v>
      </c>
      <c r="G2860" t="str">
        <f>INDEX(Lists!H:H,MATCH(Validation!E2860,Lists!G:G,0))</f>
        <v>Enter an amount only. Do not enter text or spaces.</v>
      </c>
      <c r="H2860" s="25" t="str">
        <f t="shared" ca="1" si="327"/>
        <v/>
      </c>
      <c r="I2860" s="25" t="str">
        <f t="shared" ca="1" si="328"/>
        <v/>
      </c>
      <c r="J2860" s="26" t="str">
        <f t="shared" ca="1" si="329"/>
        <v/>
      </c>
    </row>
    <row r="2861" spans="1:10" x14ac:dyDescent="0.25">
      <c r="A2861" t="s">
        <v>308</v>
      </c>
      <c r="B2861" t="str">
        <f>ADDRESS(ROW('Bond 1'!$B$45),COLUMN('Bond 1'!$B$45),4)</f>
        <v>B45</v>
      </c>
      <c r="C2861" t="str">
        <f>ADDRESS(ROW('Bond 1'!$D$45),COLUMN('Bond 1'!$D$45),4)</f>
        <v>D45</v>
      </c>
      <c r="D2861" t="b" cm="1">
        <f t="array" aca="1" ref="D2861" ca="1">IF(INDIRECT("'"&amp;A2861&amp;"'!"&amp;B2861)="",FALSE,IF(NOT(ISNUMBER(INDIRECT("'"&amp;A2861&amp;"'!"&amp;B2861))),TRUE,FALSE))</f>
        <v>0</v>
      </c>
      <c r="E2861" t="s">
        <v>435</v>
      </c>
      <c r="F2861" t="str">
        <f>INDEX(Lists!I:I,MATCH(Validation!E2861,Lists!G:G,0))</f>
        <v>Error</v>
      </c>
      <c r="G2861" t="str">
        <f>INDEX(Lists!H:H,MATCH(Validation!E2861,Lists!G:G,0))</f>
        <v>Enter an amount only. Do not enter text or spaces.</v>
      </c>
      <c r="H2861" s="25" t="str">
        <f t="shared" ca="1" si="327"/>
        <v/>
      </c>
      <c r="I2861" s="25" t="str">
        <f t="shared" ca="1" si="328"/>
        <v/>
      </c>
      <c r="J2861" s="26" t="str">
        <f t="shared" ca="1" si="329"/>
        <v/>
      </c>
    </row>
    <row r="2862" spans="1:10" x14ac:dyDescent="0.25">
      <c r="A2862" t="s">
        <v>309</v>
      </c>
      <c r="B2862" t="str">
        <f>ADDRESS(ROW('Bond 1'!$B$45),COLUMN('Bond 1'!$B$45),4)</f>
        <v>B45</v>
      </c>
      <c r="C2862" t="str">
        <f>ADDRESS(ROW('Bond 1'!$D$45),COLUMN('Bond 1'!$D$45),4)</f>
        <v>D45</v>
      </c>
      <c r="D2862" t="b" cm="1">
        <f t="array" aca="1" ref="D2862" ca="1">IF(INDIRECT("'"&amp;A2862&amp;"'!"&amp;B2862)="",FALSE,IF(NOT(ISNUMBER(INDIRECT("'"&amp;A2862&amp;"'!"&amp;B2862))),TRUE,FALSE))</f>
        <v>0</v>
      </c>
      <c r="E2862" t="s">
        <v>435</v>
      </c>
      <c r="F2862" t="str">
        <f>INDEX(Lists!I:I,MATCH(Validation!E2862,Lists!G:G,0))</f>
        <v>Error</v>
      </c>
      <c r="G2862" t="str">
        <f>INDEX(Lists!H:H,MATCH(Validation!E2862,Lists!G:G,0))</f>
        <v>Enter an amount only. Do not enter text or spaces.</v>
      </c>
      <c r="H2862" s="25" t="str">
        <f t="shared" ca="1" si="327"/>
        <v/>
      </c>
      <c r="I2862" s="25" t="str">
        <f t="shared" ca="1" si="328"/>
        <v/>
      </c>
      <c r="J2862" s="26" t="str">
        <f t="shared" ca="1" si="329"/>
        <v/>
      </c>
    </row>
    <row r="2863" spans="1:10" x14ac:dyDescent="0.25">
      <c r="A2863" t="s">
        <v>310</v>
      </c>
      <c r="B2863" t="str">
        <f>ADDRESS(ROW('Bond 1'!$B$45),COLUMN('Bond 1'!$B$45),4)</f>
        <v>B45</v>
      </c>
      <c r="C2863" t="str">
        <f>ADDRESS(ROW('Bond 1'!$D$45),COLUMN('Bond 1'!$D$45),4)</f>
        <v>D45</v>
      </c>
      <c r="D2863" t="b" cm="1">
        <f t="array" aca="1" ref="D2863" ca="1">IF(INDIRECT("'"&amp;A2863&amp;"'!"&amp;B2863)="",FALSE,IF(NOT(ISNUMBER(INDIRECT("'"&amp;A2863&amp;"'!"&amp;B2863))),TRUE,FALSE))</f>
        <v>0</v>
      </c>
      <c r="E2863" t="s">
        <v>435</v>
      </c>
      <c r="F2863" t="str">
        <f>INDEX(Lists!I:I,MATCH(Validation!E2863,Lists!G:G,0))</f>
        <v>Error</v>
      </c>
      <c r="G2863" t="str">
        <f>INDEX(Lists!H:H,MATCH(Validation!E2863,Lists!G:G,0))</f>
        <v>Enter an amount only. Do not enter text or spaces.</v>
      </c>
      <c r="H2863" s="25" t="str">
        <f t="shared" ca="1" si="327"/>
        <v/>
      </c>
      <c r="I2863" s="25" t="str">
        <f t="shared" ca="1" si="328"/>
        <v/>
      </c>
      <c r="J2863" s="26" t="str">
        <f t="shared" ca="1" si="329"/>
        <v/>
      </c>
    </row>
    <row r="2864" spans="1:10" x14ac:dyDescent="0.25">
      <c r="A2864" t="s">
        <v>311</v>
      </c>
      <c r="B2864" t="str">
        <f>ADDRESS(ROW('Bond 1'!$B$45),COLUMN('Bond 1'!$B$45),4)</f>
        <v>B45</v>
      </c>
      <c r="C2864" t="str">
        <f>ADDRESS(ROW('Bond 1'!$D$45),COLUMN('Bond 1'!$D$45),4)</f>
        <v>D45</v>
      </c>
      <c r="D2864" t="b" cm="1">
        <f t="array" aca="1" ref="D2864" ca="1">IF(INDIRECT("'"&amp;A2864&amp;"'!"&amp;B2864)="",FALSE,IF(NOT(ISNUMBER(INDIRECT("'"&amp;A2864&amp;"'!"&amp;B2864))),TRUE,FALSE))</f>
        <v>0</v>
      </c>
      <c r="E2864" t="s">
        <v>435</v>
      </c>
      <c r="F2864" t="str">
        <f>INDEX(Lists!I:I,MATCH(Validation!E2864,Lists!G:G,0))</f>
        <v>Error</v>
      </c>
      <c r="G2864" t="str">
        <f>INDEX(Lists!H:H,MATCH(Validation!E2864,Lists!G:G,0))</f>
        <v>Enter an amount only. Do not enter text or spaces.</v>
      </c>
      <c r="H2864" s="25" t="str">
        <f t="shared" ca="1" si="327"/>
        <v/>
      </c>
      <c r="I2864" s="25" t="str">
        <f t="shared" ca="1" si="328"/>
        <v/>
      </c>
      <c r="J2864" s="26" t="str">
        <f t="shared" ca="1" si="329"/>
        <v/>
      </c>
    </row>
    <row r="2865" spans="1:10" x14ac:dyDescent="0.25">
      <c r="A2865" t="s">
        <v>312</v>
      </c>
      <c r="B2865" t="str">
        <f>ADDRESS(ROW('Bond 1'!$B$45),COLUMN('Bond 1'!$B$45),4)</f>
        <v>B45</v>
      </c>
      <c r="C2865" t="str">
        <f>ADDRESS(ROW('Bond 1'!$D$45),COLUMN('Bond 1'!$D$45),4)</f>
        <v>D45</v>
      </c>
      <c r="D2865" t="b" cm="1">
        <f t="array" aca="1" ref="D2865" ca="1">IF(INDIRECT("'"&amp;A2865&amp;"'!"&amp;B2865)="",FALSE,IF(NOT(ISNUMBER(INDIRECT("'"&amp;A2865&amp;"'!"&amp;B2865))),TRUE,FALSE))</f>
        <v>0</v>
      </c>
      <c r="E2865" t="s">
        <v>435</v>
      </c>
      <c r="F2865" t="str">
        <f>INDEX(Lists!I:I,MATCH(Validation!E2865,Lists!G:G,0))</f>
        <v>Error</v>
      </c>
      <c r="G2865" t="str">
        <f>INDEX(Lists!H:H,MATCH(Validation!E2865,Lists!G:G,0))</f>
        <v>Enter an amount only. Do not enter text or spaces.</v>
      </c>
      <c r="H2865" s="25" t="str">
        <f t="shared" ca="1" si="327"/>
        <v/>
      </c>
      <c r="I2865" s="25" t="str">
        <f t="shared" ca="1" si="328"/>
        <v/>
      </c>
      <c r="J2865" s="26" t="str">
        <f t="shared" ca="1" si="329"/>
        <v/>
      </c>
    </row>
    <row r="2866" spans="1:10" x14ac:dyDescent="0.25">
      <c r="A2866" t="s">
        <v>313</v>
      </c>
      <c r="B2866" t="str">
        <f>ADDRESS(ROW('Bond 1'!$B$45),COLUMN('Bond 1'!$B$45),4)</f>
        <v>B45</v>
      </c>
      <c r="C2866" t="str">
        <f>ADDRESS(ROW('Bond 1'!$D$45),COLUMN('Bond 1'!$D$45),4)</f>
        <v>D45</v>
      </c>
      <c r="D2866" t="b" cm="1">
        <f t="array" aca="1" ref="D2866" ca="1">IF(INDIRECT("'"&amp;A2866&amp;"'!"&amp;B2866)="",FALSE,IF(NOT(ISNUMBER(INDIRECT("'"&amp;A2866&amp;"'!"&amp;B2866))),TRUE,FALSE))</f>
        <v>0</v>
      </c>
      <c r="E2866" t="s">
        <v>435</v>
      </c>
      <c r="F2866" t="str">
        <f>INDEX(Lists!I:I,MATCH(Validation!E2866,Lists!G:G,0))</f>
        <v>Error</v>
      </c>
      <c r="G2866" t="str">
        <f>INDEX(Lists!H:H,MATCH(Validation!E2866,Lists!G:G,0))</f>
        <v>Enter an amount only. Do not enter text or spaces.</v>
      </c>
      <c r="H2866" s="25" t="str">
        <f t="shared" ca="1" si="327"/>
        <v/>
      </c>
      <c r="I2866" s="25" t="str">
        <f t="shared" ca="1" si="328"/>
        <v/>
      </c>
      <c r="J2866" s="26" t="str">
        <f t="shared" ca="1" si="329"/>
        <v/>
      </c>
    </row>
    <row r="2867" spans="1:10" x14ac:dyDescent="0.25">
      <c r="A2867" t="s">
        <v>314</v>
      </c>
      <c r="B2867" t="str">
        <f>ADDRESS(ROW('Bond 1'!$B$45),COLUMN('Bond 1'!$B$45),4)</f>
        <v>B45</v>
      </c>
      <c r="C2867" t="str">
        <f>ADDRESS(ROW('Bond 1'!$D$45),COLUMN('Bond 1'!$D$45),4)</f>
        <v>D45</v>
      </c>
      <c r="D2867" t="b" cm="1">
        <f t="array" aca="1" ref="D2867" ca="1">IF(INDIRECT("'"&amp;A2867&amp;"'!"&amp;B2867)="",FALSE,IF(NOT(ISNUMBER(INDIRECT("'"&amp;A2867&amp;"'!"&amp;B2867))),TRUE,FALSE))</f>
        <v>0</v>
      </c>
      <c r="E2867" t="s">
        <v>435</v>
      </c>
      <c r="F2867" t="str">
        <f>INDEX(Lists!I:I,MATCH(Validation!E2867,Lists!G:G,0))</f>
        <v>Error</v>
      </c>
      <c r="G2867" t="str">
        <f>INDEX(Lists!H:H,MATCH(Validation!E2867,Lists!G:G,0))</f>
        <v>Enter an amount only. Do not enter text or spaces.</v>
      </c>
      <c r="H2867" s="25" t="str">
        <f t="shared" ca="1" si="327"/>
        <v/>
      </c>
      <c r="I2867" s="25" t="str">
        <f t="shared" ca="1" si="328"/>
        <v/>
      </c>
      <c r="J2867" s="26" t="str">
        <f t="shared" ca="1" si="329"/>
        <v/>
      </c>
    </row>
    <row r="2868" spans="1:10" x14ac:dyDescent="0.25">
      <c r="A2868" t="s">
        <v>315</v>
      </c>
      <c r="B2868" t="str">
        <f>ADDRESS(ROW('Bond 1'!$B$45),COLUMN('Bond 1'!$B$45),4)</f>
        <v>B45</v>
      </c>
      <c r="C2868" t="str">
        <f>ADDRESS(ROW('Bond 1'!$D$45),COLUMN('Bond 1'!$D$45),4)</f>
        <v>D45</v>
      </c>
      <c r="D2868" t="b" cm="1">
        <f t="array" aca="1" ref="D2868" ca="1">IF(INDIRECT("'"&amp;A2868&amp;"'!"&amp;B2868)="",FALSE,IF(NOT(ISNUMBER(INDIRECT("'"&amp;A2868&amp;"'!"&amp;B2868))),TRUE,FALSE))</f>
        <v>0</v>
      </c>
      <c r="E2868" t="s">
        <v>435</v>
      </c>
      <c r="F2868" t="str">
        <f>INDEX(Lists!I:I,MATCH(Validation!E2868,Lists!G:G,0))</f>
        <v>Error</v>
      </c>
      <c r="G2868" t="str">
        <f>INDEX(Lists!H:H,MATCH(Validation!E2868,Lists!G:G,0))</f>
        <v>Enter an amount only. Do not enter text or spaces.</v>
      </c>
      <c r="H2868" s="25" t="str">
        <f t="shared" ca="1" si="327"/>
        <v/>
      </c>
      <c r="I2868" s="25" t="str">
        <f t="shared" ca="1" si="328"/>
        <v/>
      </c>
      <c r="J2868" s="26" t="str">
        <f t="shared" ca="1" si="329"/>
        <v/>
      </c>
    </row>
    <row r="2869" spans="1:10" x14ac:dyDescent="0.25">
      <c r="A2869" t="s">
        <v>198</v>
      </c>
      <c r="B2869" t="str">
        <f>ADDRESS(ROW('Bond 1'!$B$45),COLUMN('Bond 1'!$B$45),4)</f>
        <v>B45</v>
      </c>
      <c r="C2869" t="str">
        <f>ADDRESS(ROW('Bond 1'!$D$45),COLUMN('Bond 1'!$D$45),4)</f>
        <v>D45</v>
      </c>
      <c r="D2869" t="b" cm="1">
        <f t="array" aca="1" ref="D2869" ca="1">IF(INDIRECT("'"&amp;A2869&amp;"'!"&amp;B2869)="",FALSE,IF(INDIRECT("'"&amp;A2869&amp;"'!"&amp;B2869)&lt;0,TRUE,FALSE))</f>
        <v>0</v>
      </c>
      <c r="E2869" t="s">
        <v>434</v>
      </c>
      <c r="F2869" t="str">
        <f>INDEX(Lists!I:I,MATCH(Validation!E2869,Lists!G:G,0))</f>
        <v>Error</v>
      </c>
      <c r="G2869" t="str">
        <f>INDEX(Lists!H:H,MATCH(Validation!E2869,Lists!G:G,0))</f>
        <v>Amount may not be negative. Enter an amount greater than or equal to zero.</v>
      </c>
      <c r="H2869" s="25" t="str">
        <f t="shared" ca="1" si="327"/>
        <v/>
      </c>
      <c r="I2869" s="25" t="str">
        <f t="shared" ca="1" si="328"/>
        <v/>
      </c>
      <c r="J2869" s="26" t="str">
        <f t="shared" ca="1" si="329"/>
        <v/>
      </c>
    </row>
    <row r="2870" spans="1:10" x14ac:dyDescent="0.25">
      <c r="A2870" t="s">
        <v>302</v>
      </c>
      <c r="B2870" t="str">
        <f>ADDRESS(ROW('Bond 1'!$B$45),COLUMN('Bond 1'!$B$45),4)</f>
        <v>B45</v>
      </c>
      <c r="C2870" t="str">
        <f>ADDRESS(ROW('Bond 1'!$D$45),COLUMN('Bond 1'!$D$45),4)</f>
        <v>D45</v>
      </c>
      <c r="D2870" t="b" cm="1">
        <f t="array" aca="1" ref="D2870" ca="1">IF(INDIRECT("'"&amp;A2870&amp;"'!"&amp;B2870)="",FALSE,IF(INDIRECT("'"&amp;A2870&amp;"'!"&amp;B2870)&lt;0,TRUE,FALSE))</f>
        <v>0</v>
      </c>
      <c r="E2870" t="s">
        <v>434</v>
      </c>
      <c r="F2870" t="str">
        <f>INDEX(Lists!I:I,MATCH(Validation!E2870,Lists!G:G,0))</f>
        <v>Error</v>
      </c>
      <c r="G2870" t="str">
        <f>INDEX(Lists!H:H,MATCH(Validation!E2870,Lists!G:G,0))</f>
        <v>Amount may not be negative. Enter an amount greater than or equal to zero.</v>
      </c>
      <c r="H2870" s="25" t="str">
        <f t="shared" ca="1" si="327"/>
        <v/>
      </c>
      <c r="I2870" s="25" t="str">
        <f t="shared" ca="1" si="328"/>
        <v/>
      </c>
      <c r="J2870" s="26" t="str">
        <f t="shared" ca="1" si="329"/>
        <v/>
      </c>
    </row>
    <row r="2871" spans="1:10" x14ac:dyDescent="0.25">
      <c r="A2871" t="s">
        <v>303</v>
      </c>
      <c r="B2871" t="str">
        <f>ADDRESS(ROW('Bond 1'!$B$45),COLUMN('Bond 1'!$B$45),4)</f>
        <v>B45</v>
      </c>
      <c r="C2871" t="str">
        <f>ADDRESS(ROW('Bond 1'!$D$45),COLUMN('Bond 1'!$D$45),4)</f>
        <v>D45</v>
      </c>
      <c r="D2871" t="b" cm="1">
        <f t="array" aca="1" ref="D2871" ca="1">IF(INDIRECT("'"&amp;A2871&amp;"'!"&amp;B2871)="",FALSE,IF(INDIRECT("'"&amp;A2871&amp;"'!"&amp;B2871)&lt;0,TRUE,FALSE))</f>
        <v>0</v>
      </c>
      <c r="E2871" t="s">
        <v>434</v>
      </c>
      <c r="F2871" t="str">
        <f>INDEX(Lists!I:I,MATCH(Validation!E2871,Lists!G:G,0))</f>
        <v>Error</v>
      </c>
      <c r="G2871" t="str">
        <f>INDEX(Lists!H:H,MATCH(Validation!E2871,Lists!G:G,0))</f>
        <v>Amount may not be negative. Enter an amount greater than or equal to zero.</v>
      </c>
      <c r="H2871" s="25" t="str">
        <f t="shared" ca="1" si="327"/>
        <v/>
      </c>
      <c r="I2871" s="25" t="str">
        <f t="shared" ca="1" si="328"/>
        <v/>
      </c>
      <c r="J2871" s="26" t="str">
        <f t="shared" ca="1" si="329"/>
        <v/>
      </c>
    </row>
    <row r="2872" spans="1:10" x14ac:dyDescent="0.25">
      <c r="A2872" t="s">
        <v>304</v>
      </c>
      <c r="B2872" t="str">
        <f>ADDRESS(ROW('Bond 1'!$B$45),COLUMN('Bond 1'!$B$45),4)</f>
        <v>B45</v>
      </c>
      <c r="C2872" t="str">
        <f>ADDRESS(ROW('Bond 1'!$D$45),COLUMN('Bond 1'!$D$45),4)</f>
        <v>D45</v>
      </c>
      <c r="D2872" t="b" cm="1">
        <f t="array" aca="1" ref="D2872" ca="1">IF(INDIRECT("'"&amp;A2872&amp;"'!"&amp;B2872)="",FALSE,IF(INDIRECT("'"&amp;A2872&amp;"'!"&amp;B2872)&lt;0,TRUE,FALSE))</f>
        <v>0</v>
      </c>
      <c r="E2872" t="s">
        <v>434</v>
      </c>
      <c r="F2872" t="str">
        <f>INDEX(Lists!I:I,MATCH(Validation!E2872,Lists!G:G,0))</f>
        <v>Error</v>
      </c>
      <c r="G2872" t="str">
        <f>INDEX(Lists!H:H,MATCH(Validation!E2872,Lists!G:G,0))</f>
        <v>Amount may not be negative. Enter an amount greater than or equal to zero.</v>
      </c>
      <c r="H2872" s="25" t="str">
        <f t="shared" ca="1" si="327"/>
        <v/>
      </c>
      <c r="I2872" s="25" t="str">
        <f t="shared" ca="1" si="328"/>
        <v/>
      </c>
      <c r="J2872" s="26" t="str">
        <f t="shared" ca="1" si="329"/>
        <v/>
      </c>
    </row>
    <row r="2873" spans="1:10" x14ac:dyDescent="0.25">
      <c r="A2873" t="s">
        <v>305</v>
      </c>
      <c r="B2873" t="str">
        <f>ADDRESS(ROW('Bond 1'!$B$45),COLUMN('Bond 1'!$B$45),4)</f>
        <v>B45</v>
      </c>
      <c r="C2873" t="str">
        <f>ADDRESS(ROW('Bond 1'!$D$45),COLUMN('Bond 1'!$D$45),4)</f>
        <v>D45</v>
      </c>
      <c r="D2873" t="b" cm="1">
        <f t="array" aca="1" ref="D2873" ca="1">IF(INDIRECT("'"&amp;A2873&amp;"'!"&amp;B2873)="",FALSE,IF(INDIRECT("'"&amp;A2873&amp;"'!"&amp;B2873)&lt;0,TRUE,FALSE))</f>
        <v>0</v>
      </c>
      <c r="E2873" t="s">
        <v>434</v>
      </c>
      <c r="F2873" t="str">
        <f>INDEX(Lists!I:I,MATCH(Validation!E2873,Lists!G:G,0))</f>
        <v>Error</v>
      </c>
      <c r="G2873" t="str">
        <f>INDEX(Lists!H:H,MATCH(Validation!E2873,Lists!G:G,0))</f>
        <v>Amount may not be negative. Enter an amount greater than or equal to zero.</v>
      </c>
      <c r="H2873" s="25" t="str">
        <f t="shared" ca="1" si="327"/>
        <v/>
      </c>
      <c r="I2873" s="25" t="str">
        <f t="shared" ca="1" si="328"/>
        <v/>
      </c>
      <c r="J2873" s="26" t="str">
        <f t="shared" ca="1" si="329"/>
        <v/>
      </c>
    </row>
    <row r="2874" spans="1:10" x14ac:dyDescent="0.25">
      <c r="A2874" t="s">
        <v>306</v>
      </c>
      <c r="B2874" t="str">
        <f>ADDRESS(ROW('Bond 1'!$B$45),COLUMN('Bond 1'!$B$45),4)</f>
        <v>B45</v>
      </c>
      <c r="C2874" t="str">
        <f>ADDRESS(ROW('Bond 1'!$D$45),COLUMN('Bond 1'!$D$45),4)</f>
        <v>D45</v>
      </c>
      <c r="D2874" t="b" cm="1">
        <f t="array" aca="1" ref="D2874" ca="1">IF(INDIRECT("'"&amp;A2874&amp;"'!"&amp;B2874)="",FALSE,IF(INDIRECT("'"&amp;A2874&amp;"'!"&amp;B2874)&lt;0,TRUE,FALSE))</f>
        <v>0</v>
      </c>
      <c r="E2874" t="s">
        <v>434</v>
      </c>
      <c r="F2874" t="str">
        <f>INDEX(Lists!I:I,MATCH(Validation!E2874,Lists!G:G,0))</f>
        <v>Error</v>
      </c>
      <c r="G2874" t="str">
        <f>INDEX(Lists!H:H,MATCH(Validation!E2874,Lists!G:G,0))</f>
        <v>Amount may not be negative. Enter an amount greater than or equal to zero.</v>
      </c>
      <c r="H2874" s="25" t="str">
        <f t="shared" ca="1" si="327"/>
        <v/>
      </c>
      <c r="I2874" s="25" t="str">
        <f t="shared" ca="1" si="328"/>
        <v/>
      </c>
      <c r="J2874" s="26" t="str">
        <f t="shared" ca="1" si="329"/>
        <v/>
      </c>
    </row>
    <row r="2875" spans="1:10" x14ac:dyDescent="0.25">
      <c r="A2875" t="s">
        <v>307</v>
      </c>
      <c r="B2875" t="str">
        <f>ADDRESS(ROW('Bond 1'!$B$45),COLUMN('Bond 1'!$B$45),4)</f>
        <v>B45</v>
      </c>
      <c r="C2875" t="str">
        <f>ADDRESS(ROW('Bond 1'!$D$45),COLUMN('Bond 1'!$D$45),4)</f>
        <v>D45</v>
      </c>
      <c r="D2875" t="b" cm="1">
        <f t="array" aca="1" ref="D2875" ca="1">IF(INDIRECT("'"&amp;A2875&amp;"'!"&amp;B2875)="",FALSE,IF(INDIRECT("'"&amp;A2875&amp;"'!"&amp;B2875)&lt;0,TRUE,FALSE))</f>
        <v>0</v>
      </c>
      <c r="E2875" t="s">
        <v>434</v>
      </c>
      <c r="F2875" t="str">
        <f>INDEX(Lists!I:I,MATCH(Validation!E2875,Lists!G:G,0))</f>
        <v>Error</v>
      </c>
      <c r="G2875" t="str">
        <f>INDEX(Lists!H:H,MATCH(Validation!E2875,Lists!G:G,0))</f>
        <v>Amount may not be negative. Enter an amount greater than or equal to zero.</v>
      </c>
      <c r="H2875" s="25" t="str">
        <f t="shared" ca="1" si="327"/>
        <v/>
      </c>
      <c r="I2875" s="25" t="str">
        <f t="shared" ca="1" si="328"/>
        <v/>
      </c>
      <c r="J2875" s="26" t="str">
        <f t="shared" ca="1" si="329"/>
        <v/>
      </c>
    </row>
    <row r="2876" spans="1:10" x14ac:dyDescent="0.25">
      <c r="A2876" t="s">
        <v>308</v>
      </c>
      <c r="B2876" t="str">
        <f>ADDRESS(ROW('Bond 1'!$B$45),COLUMN('Bond 1'!$B$45),4)</f>
        <v>B45</v>
      </c>
      <c r="C2876" t="str">
        <f>ADDRESS(ROW('Bond 1'!$D$45),COLUMN('Bond 1'!$D$45),4)</f>
        <v>D45</v>
      </c>
      <c r="D2876" t="b" cm="1">
        <f t="array" aca="1" ref="D2876" ca="1">IF(INDIRECT("'"&amp;A2876&amp;"'!"&amp;B2876)="",FALSE,IF(INDIRECT("'"&amp;A2876&amp;"'!"&amp;B2876)&lt;0,TRUE,FALSE))</f>
        <v>0</v>
      </c>
      <c r="E2876" t="s">
        <v>434</v>
      </c>
      <c r="F2876" t="str">
        <f>INDEX(Lists!I:I,MATCH(Validation!E2876,Lists!G:G,0))</f>
        <v>Error</v>
      </c>
      <c r="G2876" t="str">
        <f>INDEX(Lists!H:H,MATCH(Validation!E2876,Lists!G:G,0))</f>
        <v>Amount may not be negative. Enter an amount greater than or equal to zero.</v>
      </c>
      <c r="H2876" s="25" t="str">
        <f t="shared" ca="1" si="327"/>
        <v/>
      </c>
      <c r="I2876" s="25" t="str">
        <f t="shared" ca="1" si="328"/>
        <v/>
      </c>
      <c r="J2876" s="26" t="str">
        <f t="shared" ca="1" si="329"/>
        <v/>
      </c>
    </row>
    <row r="2877" spans="1:10" x14ac:dyDescent="0.25">
      <c r="A2877" t="s">
        <v>309</v>
      </c>
      <c r="B2877" t="str">
        <f>ADDRESS(ROW('Bond 1'!$B$45),COLUMN('Bond 1'!$B$45),4)</f>
        <v>B45</v>
      </c>
      <c r="C2877" t="str">
        <f>ADDRESS(ROW('Bond 1'!$D$45),COLUMN('Bond 1'!$D$45),4)</f>
        <v>D45</v>
      </c>
      <c r="D2877" t="b" cm="1">
        <f t="array" aca="1" ref="D2877" ca="1">IF(INDIRECT("'"&amp;A2877&amp;"'!"&amp;B2877)="",FALSE,IF(INDIRECT("'"&amp;A2877&amp;"'!"&amp;B2877)&lt;0,TRUE,FALSE))</f>
        <v>0</v>
      </c>
      <c r="E2877" t="s">
        <v>434</v>
      </c>
      <c r="F2877" t="str">
        <f>INDEX(Lists!I:I,MATCH(Validation!E2877,Lists!G:G,0))</f>
        <v>Error</v>
      </c>
      <c r="G2877" t="str">
        <f>INDEX(Lists!H:H,MATCH(Validation!E2877,Lists!G:G,0))</f>
        <v>Amount may not be negative. Enter an amount greater than or equal to zero.</v>
      </c>
      <c r="H2877" s="25" t="str">
        <f t="shared" ca="1" si="327"/>
        <v/>
      </c>
      <c r="I2877" s="25" t="str">
        <f t="shared" ca="1" si="328"/>
        <v/>
      </c>
      <c r="J2877" s="26" t="str">
        <f t="shared" ca="1" si="329"/>
        <v/>
      </c>
    </row>
    <row r="2878" spans="1:10" x14ac:dyDescent="0.25">
      <c r="A2878" t="s">
        <v>310</v>
      </c>
      <c r="B2878" t="str">
        <f>ADDRESS(ROW('Bond 1'!$B$45),COLUMN('Bond 1'!$B$45),4)</f>
        <v>B45</v>
      </c>
      <c r="C2878" t="str">
        <f>ADDRESS(ROW('Bond 1'!$D$45),COLUMN('Bond 1'!$D$45),4)</f>
        <v>D45</v>
      </c>
      <c r="D2878" t="b" cm="1">
        <f t="array" aca="1" ref="D2878" ca="1">IF(INDIRECT("'"&amp;A2878&amp;"'!"&amp;B2878)="",FALSE,IF(INDIRECT("'"&amp;A2878&amp;"'!"&amp;B2878)&lt;0,TRUE,FALSE))</f>
        <v>0</v>
      </c>
      <c r="E2878" t="s">
        <v>434</v>
      </c>
      <c r="F2878" t="str">
        <f>INDEX(Lists!I:I,MATCH(Validation!E2878,Lists!G:G,0))</f>
        <v>Error</v>
      </c>
      <c r="G2878" t="str">
        <f>INDEX(Lists!H:H,MATCH(Validation!E2878,Lists!G:G,0))</f>
        <v>Amount may not be negative. Enter an amount greater than or equal to zero.</v>
      </c>
      <c r="H2878" s="25" t="str">
        <f t="shared" ca="1" si="327"/>
        <v/>
      </c>
      <c r="I2878" s="25" t="str">
        <f t="shared" ca="1" si="328"/>
        <v/>
      </c>
      <c r="J2878" s="26" t="str">
        <f t="shared" ca="1" si="329"/>
        <v/>
      </c>
    </row>
    <row r="2879" spans="1:10" x14ac:dyDescent="0.25">
      <c r="A2879" t="s">
        <v>311</v>
      </c>
      <c r="B2879" t="str">
        <f>ADDRESS(ROW('Bond 1'!$B$45),COLUMN('Bond 1'!$B$45),4)</f>
        <v>B45</v>
      </c>
      <c r="C2879" t="str">
        <f>ADDRESS(ROW('Bond 1'!$D$45),COLUMN('Bond 1'!$D$45),4)</f>
        <v>D45</v>
      </c>
      <c r="D2879" t="b" cm="1">
        <f t="array" aca="1" ref="D2879" ca="1">IF(INDIRECT("'"&amp;A2879&amp;"'!"&amp;B2879)="",FALSE,IF(INDIRECT("'"&amp;A2879&amp;"'!"&amp;B2879)&lt;0,TRUE,FALSE))</f>
        <v>0</v>
      </c>
      <c r="E2879" t="s">
        <v>434</v>
      </c>
      <c r="F2879" t="str">
        <f>INDEX(Lists!I:I,MATCH(Validation!E2879,Lists!G:G,0))</f>
        <v>Error</v>
      </c>
      <c r="G2879" t="str">
        <f>INDEX(Lists!H:H,MATCH(Validation!E2879,Lists!G:G,0))</f>
        <v>Amount may not be negative. Enter an amount greater than or equal to zero.</v>
      </c>
      <c r="H2879" s="25" t="str">
        <f t="shared" ca="1" si="327"/>
        <v/>
      </c>
      <c r="I2879" s="25" t="str">
        <f t="shared" ca="1" si="328"/>
        <v/>
      </c>
      <c r="J2879" s="26" t="str">
        <f t="shared" ca="1" si="329"/>
        <v/>
      </c>
    </row>
    <row r="2880" spans="1:10" x14ac:dyDescent="0.25">
      <c r="A2880" t="s">
        <v>312</v>
      </c>
      <c r="B2880" t="str">
        <f>ADDRESS(ROW('Bond 1'!$B$45),COLUMN('Bond 1'!$B$45),4)</f>
        <v>B45</v>
      </c>
      <c r="C2880" t="str">
        <f>ADDRESS(ROW('Bond 1'!$D$45),COLUMN('Bond 1'!$D$45),4)</f>
        <v>D45</v>
      </c>
      <c r="D2880" t="b" cm="1">
        <f t="array" aca="1" ref="D2880" ca="1">IF(INDIRECT("'"&amp;A2880&amp;"'!"&amp;B2880)="",FALSE,IF(INDIRECT("'"&amp;A2880&amp;"'!"&amp;B2880)&lt;0,TRUE,FALSE))</f>
        <v>0</v>
      </c>
      <c r="E2880" t="s">
        <v>434</v>
      </c>
      <c r="F2880" t="str">
        <f>INDEX(Lists!I:I,MATCH(Validation!E2880,Lists!G:G,0))</f>
        <v>Error</v>
      </c>
      <c r="G2880" t="str">
        <f>INDEX(Lists!H:H,MATCH(Validation!E2880,Lists!G:G,0))</f>
        <v>Amount may not be negative. Enter an amount greater than or equal to zero.</v>
      </c>
      <c r="H2880" s="25" t="str">
        <f t="shared" ca="1" si="327"/>
        <v/>
      </c>
      <c r="I2880" s="25" t="str">
        <f t="shared" ca="1" si="328"/>
        <v/>
      </c>
      <c r="J2880" s="26" t="str">
        <f t="shared" ca="1" si="329"/>
        <v/>
      </c>
    </row>
    <row r="2881" spans="1:10" x14ac:dyDescent="0.25">
      <c r="A2881" t="s">
        <v>313</v>
      </c>
      <c r="B2881" t="str">
        <f>ADDRESS(ROW('Bond 1'!$B$45),COLUMN('Bond 1'!$B$45),4)</f>
        <v>B45</v>
      </c>
      <c r="C2881" t="str">
        <f>ADDRESS(ROW('Bond 1'!$D$45),COLUMN('Bond 1'!$D$45),4)</f>
        <v>D45</v>
      </c>
      <c r="D2881" t="b" cm="1">
        <f t="array" aca="1" ref="D2881" ca="1">IF(INDIRECT("'"&amp;A2881&amp;"'!"&amp;B2881)="",FALSE,IF(INDIRECT("'"&amp;A2881&amp;"'!"&amp;B2881)&lt;0,TRUE,FALSE))</f>
        <v>0</v>
      </c>
      <c r="E2881" t="s">
        <v>434</v>
      </c>
      <c r="F2881" t="str">
        <f>INDEX(Lists!I:I,MATCH(Validation!E2881,Lists!G:G,0))</f>
        <v>Error</v>
      </c>
      <c r="G2881" t="str">
        <f>INDEX(Lists!H:H,MATCH(Validation!E2881,Lists!G:G,0))</f>
        <v>Amount may not be negative. Enter an amount greater than or equal to zero.</v>
      </c>
      <c r="H2881" s="25" t="str">
        <f t="shared" ca="1" si="327"/>
        <v/>
      </c>
      <c r="I2881" s="25" t="str">
        <f t="shared" ca="1" si="328"/>
        <v/>
      </c>
      <c r="J2881" s="26" t="str">
        <f t="shared" ca="1" si="329"/>
        <v/>
      </c>
    </row>
    <row r="2882" spans="1:10" x14ac:dyDescent="0.25">
      <c r="A2882" t="s">
        <v>314</v>
      </c>
      <c r="B2882" t="str">
        <f>ADDRESS(ROW('Bond 1'!$B$45),COLUMN('Bond 1'!$B$45),4)</f>
        <v>B45</v>
      </c>
      <c r="C2882" t="str">
        <f>ADDRESS(ROW('Bond 1'!$D$45),COLUMN('Bond 1'!$D$45),4)</f>
        <v>D45</v>
      </c>
      <c r="D2882" t="b" cm="1">
        <f t="array" aca="1" ref="D2882" ca="1">IF(INDIRECT("'"&amp;A2882&amp;"'!"&amp;B2882)="",FALSE,IF(INDIRECT("'"&amp;A2882&amp;"'!"&amp;B2882)&lt;0,TRUE,FALSE))</f>
        <v>0</v>
      </c>
      <c r="E2882" t="s">
        <v>434</v>
      </c>
      <c r="F2882" t="str">
        <f>INDEX(Lists!I:I,MATCH(Validation!E2882,Lists!G:G,0))</f>
        <v>Error</v>
      </c>
      <c r="G2882" t="str">
        <f>INDEX(Lists!H:H,MATCH(Validation!E2882,Lists!G:G,0))</f>
        <v>Amount may not be negative. Enter an amount greater than or equal to zero.</v>
      </c>
      <c r="H2882" s="25" t="str">
        <f t="shared" ca="1" si="327"/>
        <v/>
      </c>
      <c r="I2882" s="25" t="str">
        <f t="shared" ca="1" si="328"/>
        <v/>
      </c>
      <c r="J2882" s="26" t="str">
        <f t="shared" ca="1" si="329"/>
        <v/>
      </c>
    </row>
    <row r="2883" spans="1:10" x14ac:dyDescent="0.25">
      <c r="A2883" t="s">
        <v>315</v>
      </c>
      <c r="B2883" t="str">
        <f>ADDRESS(ROW('Bond 1'!$B$45),COLUMN('Bond 1'!$B$45),4)</f>
        <v>B45</v>
      </c>
      <c r="C2883" t="str">
        <f>ADDRESS(ROW('Bond 1'!$D$45),COLUMN('Bond 1'!$D$45),4)</f>
        <v>D45</v>
      </c>
      <c r="D2883" t="b" cm="1">
        <f t="array" aca="1" ref="D2883" ca="1">IF(INDIRECT("'"&amp;A2883&amp;"'!"&amp;B2883)="",FALSE,IF(INDIRECT("'"&amp;A2883&amp;"'!"&amp;B2883)&lt;0,TRUE,FALSE))</f>
        <v>0</v>
      </c>
      <c r="E2883" t="s">
        <v>434</v>
      </c>
      <c r="F2883" t="str">
        <f>INDEX(Lists!I:I,MATCH(Validation!E2883,Lists!G:G,0))</f>
        <v>Error</v>
      </c>
      <c r="G2883" t="str">
        <f>INDEX(Lists!H:H,MATCH(Validation!E2883,Lists!G:G,0))</f>
        <v>Amount may not be negative. Enter an amount greater than or equal to zero.</v>
      </c>
      <c r="H2883" s="25" t="str">
        <f t="shared" ca="1" si="327"/>
        <v/>
      </c>
      <c r="I2883" s="25" t="str">
        <f t="shared" ca="1" si="328"/>
        <v/>
      </c>
      <c r="J2883" s="26" t="str">
        <f t="shared" ca="1" si="329"/>
        <v/>
      </c>
    </row>
    <row r="2884" spans="1:10" x14ac:dyDescent="0.25">
      <c r="A2884" t="s">
        <v>198</v>
      </c>
      <c r="B2884" t="str">
        <f>ADDRESS(ROW('Bond 1'!$B$45),COLUMN('Bond 1'!$B$45),4)</f>
        <v>B45</v>
      </c>
      <c r="C2884" t="str">
        <f>ADDRESS(ROW('Bond 1'!$D$45),COLUMN('Bond 1'!$D$45),4)</f>
        <v>D45</v>
      </c>
      <c r="D2884" t="b" cm="1">
        <f t="array" aca="1" ref="D2884" ca="1">IF(INDIRECT("'"&amp;A2884&amp;"'!"&amp;B2884)="",FALSE,IF(TRUNC(INDIRECT("'"&amp;A2884&amp;"'!"&amp;B2884))=INDIRECT("'"&amp;A2884&amp;"'!"&amp;B2884),FALSE,TRUE))</f>
        <v>0</v>
      </c>
      <c r="E2884" t="s">
        <v>436</v>
      </c>
      <c r="F2884" t="str">
        <f>INDEX(Lists!I:I,MATCH(Validation!E2884,Lists!G:G,0))</f>
        <v>Error</v>
      </c>
      <c r="G2884" t="str">
        <f>INDEX(Lists!H:H,MATCH(Validation!E2884,Lists!G:G,0))</f>
        <v>Amount must be rounded to the nearest dollar.</v>
      </c>
      <c r="H2884" s="25" t="str">
        <f t="shared" ca="1" si="327"/>
        <v/>
      </c>
      <c r="I2884" s="25" t="str">
        <f t="shared" ca="1" si="328"/>
        <v/>
      </c>
      <c r="J2884" s="26" t="str">
        <f t="shared" ca="1" si="329"/>
        <v/>
      </c>
    </row>
    <row r="2885" spans="1:10" x14ac:dyDescent="0.25">
      <c r="A2885" t="s">
        <v>302</v>
      </c>
      <c r="B2885" t="str">
        <f>ADDRESS(ROW('Bond 1'!$B$45),COLUMN('Bond 1'!$B$45),4)</f>
        <v>B45</v>
      </c>
      <c r="C2885" t="str">
        <f>ADDRESS(ROW('Bond 1'!$D$45),COLUMN('Bond 1'!$D$45),4)</f>
        <v>D45</v>
      </c>
      <c r="D2885" t="b" cm="1">
        <f t="array" aca="1" ref="D2885" ca="1">IF(INDIRECT("'"&amp;A2885&amp;"'!"&amp;B2885)="",FALSE,IF(TRUNC(INDIRECT("'"&amp;A2885&amp;"'!"&amp;B2885))=INDIRECT("'"&amp;A2885&amp;"'!"&amp;B2885),FALSE,TRUE))</f>
        <v>0</v>
      </c>
      <c r="E2885" t="s">
        <v>436</v>
      </c>
      <c r="F2885" t="str">
        <f>INDEX(Lists!I:I,MATCH(Validation!E2885,Lists!G:G,0))</f>
        <v>Error</v>
      </c>
      <c r="G2885" t="str">
        <f>INDEX(Lists!H:H,MATCH(Validation!E2885,Lists!G:G,0))</f>
        <v>Amount must be rounded to the nearest dollar.</v>
      </c>
      <c r="H2885" s="25" t="str">
        <f t="shared" ca="1" si="327"/>
        <v/>
      </c>
      <c r="I2885" s="25" t="str">
        <f t="shared" ca="1" si="328"/>
        <v/>
      </c>
      <c r="J2885" s="26" t="str">
        <f t="shared" ca="1" si="329"/>
        <v/>
      </c>
    </row>
    <row r="2886" spans="1:10" x14ac:dyDescent="0.25">
      <c r="A2886" t="s">
        <v>303</v>
      </c>
      <c r="B2886" t="str">
        <f>ADDRESS(ROW('Bond 1'!$B$45),COLUMN('Bond 1'!$B$45),4)</f>
        <v>B45</v>
      </c>
      <c r="C2886" t="str">
        <f>ADDRESS(ROW('Bond 1'!$D$45),COLUMN('Bond 1'!$D$45),4)</f>
        <v>D45</v>
      </c>
      <c r="D2886" t="b" cm="1">
        <f t="array" aca="1" ref="D2886" ca="1">IF(INDIRECT("'"&amp;A2886&amp;"'!"&amp;B2886)="",FALSE,IF(TRUNC(INDIRECT("'"&amp;A2886&amp;"'!"&amp;B2886))=INDIRECT("'"&amp;A2886&amp;"'!"&amp;B2886),FALSE,TRUE))</f>
        <v>0</v>
      </c>
      <c r="E2886" t="s">
        <v>436</v>
      </c>
      <c r="F2886" t="str">
        <f>INDEX(Lists!I:I,MATCH(Validation!E2886,Lists!G:G,0))</f>
        <v>Error</v>
      </c>
      <c r="G2886" t="str">
        <f>INDEX(Lists!H:H,MATCH(Validation!E2886,Lists!G:G,0))</f>
        <v>Amount must be rounded to the nearest dollar.</v>
      </c>
      <c r="H2886" s="25" t="str">
        <f t="shared" ca="1" si="327"/>
        <v/>
      </c>
      <c r="I2886" s="25" t="str">
        <f t="shared" ca="1" si="328"/>
        <v/>
      </c>
      <c r="J2886" s="26" t="str">
        <f t="shared" ca="1" si="329"/>
        <v/>
      </c>
    </row>
    <row r="2887" spans="1:10" x14ac:dyDescent="0.25">
      <c r="A2887" t="s">
        <v>304</v>
      </c>
      <c r="B2887" t="str">
        <f>ADDRESS(ROW('Bond 1'!$B$45),COLUMN('Bond 1'!$B$45),4)</f>
        <v>B45</v>
      </c>
      <c r="C2887" t="str">
        <f>ADDRESS(ROW('Bond 1'!$D$45),COLUMN('Bond 1'!$D$45),4)</f>
        <v>D45</v>
      </c>
      <c r="D2887" t="b" cm="1">
        <f t="array" aca="1" ref="D2887" ca="1">IF(INDIRECT("'"&amp;A2887&amp;"'!"&amp;B2887)="",FALSE,IF(TRUNC(INDIRECT("'"&amp;A2887&amp;"'!"&amp;B2887))=INDIRECT("'"&amp;A2887&amp;"'!"&amp;B2887),FALSE,TRUE))</f>
        <v>0</v>
      </c>
      <c r="E2887" t="s">
        <v>436</v>
      </c>
      <c r="F2887" t="str">
        <f>INDEX(Lists!I:I,MATCH(Validation!E2887,Lists!G:G,0))</f>
        <v>Error</v>
      </c>
      <c r="G2887" t="str">
        <f>INDEX(Lists!H:H,MATCH(Validation!E2887,Lists!G:G,0))</f>
        <v>Amount must be rounded to the nearest dollar.</v>
      </c>
      <c r="H2887" s="25" t="str">
        <f t="shared" ca="1" si="327"/>
        <v/>
      </c>
      <c r="I2887" s="25" t="str">
        <f t="shared" ca="1" si="328"/>
        <v/>
      </c>
      <c r="J2887" s="26" t="str">
        <f t="shared" ca="1" si="329"/>
        <v/>
      </c>
    </row>
    <row r="2888" spans="1:10" x14ac:dyDescent="0.25">
      <c r="A2888" t="s">
        <v>305</v>
      </c>
      <c r="B2888" t="str">
        <f>ADDRESS(ROW('Bond 1'!$B$45),COLUMN('Bond 1'!$B$45),4)</f>
        <v>B45</v>
      </c>
      <c r="C2888" t="str">
        <f>ADDRESS(ROW('Bond 1'!$D$45),COLUMN('Bond 1'!$D$45),4)</f>
        <v>D45</v>
      </c>
      <c r="D2888" t="b" cm="1">
        <f t="array" aca="1" ref="D2888" ca="1">IF(INDIRECT("'"&amp;A2888&amp;"'!"&amp;B2888)="",FALSE,IF(TRUNC(INDIRECT("'"&amp;A2888&amp;"'!"&amp;B2888))=INDIRECT("'"&amp;A2888&amp;"'!"&amp;B2888),FALSE,TRUE))</f>
        <v>0</v>
      </c>
      <c r="E2888" t="s">
        <v>436</v>
      </c>
      <c r="F2888" t="str">
        <f>INDEX(Lists!I:I,MATCH(Validation!E2888,Lists!G:G,0))</f>
        <v>Error</v>
      </c>
      <c r="G2888" t="str">
        <f>INDEX(Lists!H:H,MATCH(Validation!E2888,Lists!G:G,0))</f>
        <v>Amount must be rounded to the nearest dollar.</v>
      </c>
      <c r="H2888" s="25" t="str">
        <f t="shared" ca="1" si="327"/>
        <v/>
      </c>
      <c r="I2888" s="25" t="str">
        <f t="shared" ca="1" si="328"/>
        <v/>
      </c>
      <c r="J2888" s="26" t="str">
        <f t="shared" ca="1" si="329"/>
        <v/>
      </c>
    </row>
    <row r="2889" spans="1:10" x14ac:dyDescent="0.25">
      <c r="A2889" t="s">
        <v>306</v>
      </c>
      <c r="B2889" t="str">
        <f>ADDRESS(ROW('Bond 1'!$B$45),COLUMN('Bond 1'!$B$45),4)</f>
        <v>B45</v>
      </c>
      <c r="C2889" t="str">
        <f>ADDRESS(ROW('Bond 1'!$D$45),COLUMN('Bond 1'!$D$45),4)</f>
        <v>D45</v>
      </c>
      <c r="D2889" t="b" cm="1">
        <f t="array" aca="1" ref="D2889" ca="1">IF(INDIRECT("'"&amp;A2889&amp;"'!"&amp;B2889)="",FALSE,IF(TRUNC(INDIRECT("'"&amp;A2889&amp;"'!"&amp;B2889))=INDIRECT("'"&amp;A2889&amp;"'!"&amp;B2889),FALSE,TRUE))</f>
        <v>0</v>
      </c>
      <c r="E2889" t="s">
        <v>436</v>
      </c>
      <c r="F2889" t="str">
        <f>INDEX(Lists!I:I,MATCH(Validation!E2889,Lists!G:G,0))</f>
        <v>Error</v>
      </c>
      <c r="G2889" t="str">
        <f>INDEX(Lists!H:H,MATCH(Validation!E2889,Lists!G:G,0))</f>
        <v>Amount must be rounded to the nearest dollar.</v>
      </c>
      <c r="H2889" s="25" t="str">
        <f t="shared" ca="1" si="327"/>
        <v/>
      </c>
      <c r="I2889" s="25" t="str">
        <f t="shared" ca="1" si="328"/>
        <v/>
      </c>
      <c r="J2889" s="26" t="str">
        <f t="shared" ca="1" si="329"/>
        <v/>
      </c>
    </row>
    <row r="2890" spans="1:10" x14ac:dyDescent="0.25">
      <c r="A2890" t="s">
        <v>307</v>
      </c>
      <c r="B2890" t="str">
        <f>ADDRESS(ROW('Bond 1'!$B$45),COLUMN('Bond 1'!$B$45),4)</f>
        <v>B45</v>
      </c>
      <c r="C2890" t="str">
        <f>ADDRESS(ROW('Bond 1'!$D$45),COLUMN('Bond 1'!$D$45),4)</f>
        <v>D45</v>
      </c>
      <c r="D2890" t="b" cm="1">
        <f t="array" aca="1" ref="D2890" ca="1">IF(INDIRECT("'"&amp;A2890&amp;"'!"&amp;B2890)="",FALSE,IF(TRUNC(INDIRECT("'"&amp;A2890&amp;"'!"&amp;B2890))=INDIRECT("'"&amp;A2890&amp;"'!"&amp;B2890),FALSE,TRUE))</f>
        <v>0</v>
      </c>
      <c r="E2890" t="s">
        <v>436</v>
      </c>
      <c r="F2890" t="str">
        <f>INDEX(Lists!I:I,MATCH(Validation!E2890,Lists!G:G,0))</f>
        <v>Error</v>
      </c>
      <c r="G2890" t="str">
        <f>INDEX(Lists!H:H,MATCH(Validation!E2890,Lists!G:G,0))</f>
        <v>Amount must be rounded to the nearest dollar.</v>
      </c>
      <c r="H2890" s="25" t="str">
        <f t="shared" ca="1" si="327"/>
        <v/>
      </c>
      <c r="I2890" s="25" t="str">
        <f t="shared" ca="1" si="328"/>
        <v/>
      </c>
      <c r="J2890" s="26" t="str">
        <f t="shared" ca="1" si="329"/>
        <v/>
      </c>
    </row>
    <row r="2891" spans="1:10" x14ac:dyDescent="0.25">
      <c r="A2891" t="s">
        <v>308</v>
      </c>
      <c r="B2891" t="str">
        <f>ADDRESS(ROW('Bond 1'!$B$45),COLUMN('Bond 1'!$B$45),4)</f>
        <v>B45</v>
      </c>
      <c r="C2891" t="str">
        <f>ADDRESS(ROW('Bond 1'!$D$45),COLUMN('Bond 1'!$D$45),4)</f>
        <v>D45</v>
      </c>
      <c r="D2891" t="b" cm="1">
        <f t="array" aca="1" ref="D2891" ca="1">IF(INDIRECT("'"&amp;A2891&amp;"'!"&amp;B2891)="",FALSE,IF(TRUNC(INDIRECT("'"&amp;A2891&amp;"'!"&amp;B2891))=INDIRECT("'"&amp;A2891&amp;"'!"&amp;B2891),FALSE,TRUE))</f>
        <v>0</v>
      </c>
      <c r="E2891" t="s">
        <v>436</v>
      </c>
      <c r="F2891" t="str">
        <f>INDEX(Lists!I:I,MATCH(Validation!E2891,Lists!G:G,0))</f>
        <v>Error</v>
      </c>
      <c r="G2891" t="str">
        <f>INDEX(Lists!H:H,MATCH(Validation!E2891,Lists!G:G,0))</f>
        <v>Amount must be rounded to the nearest dollar.</v>
      </c>
      <c r="H2891" s="25" t="str">
        <f t="shared" ca="1" si="327"/>
        <v/>
      </c>
      <c r="I2891" s="25" t="str">
        <f t="shared" ca="1" si="328"/>
        <v/>
      </c>
      <c r="J2891" s="26" t="str">
        <f t="shared" ca="1" si="329"/>
        <v/>
      </c>
    </row>
    <row r="2892" spans="1:10" x14ac:dyDescent="0.25">
      <c r="A2892" t="s">
        <v>309</v>
      </c>
      <c r="B2892" t="str">
        <f>ADDRESS(ROW('Bond 1'!$B$45),COLUMN('Bond 1'!$B$45),4)</f>
        <v>B45</v>
      </c>
      <c r="C2892" t="str">
        <f>ADDRESS(ROW('Bond 1'!$D$45),COLUMN('Bond 1'!$D$45),4)</f>
        <v>D45</v>
      </c>
      <c r="D2892" t="b" cm="1">
        <f t="array" aca="1" ref="D2892" ca="1">IF(INDIRECT("'"&amp;A2892&amp;"'!"&amp;B2892)="",FALSE,IF(TRUNC(INDIRECT("'"&amp;A2892&amp;"'!"&amp;B2892))=INDIRECT("'"&amp;A2892&amp;"'!"&amp;B2892),FALSE,TRUE))</f>
        <v>0</v>
      </c>
      <c r="E2892" t="s">
        <v>436</v>
      </c>
      <c r="F2892" t="str">
        <f>INDEX(Lists!I:I,MATCH(Validation!E2892,Lists!G:G,0))</f>
        <v>Error</v>
      </c>
      <c r="G2892" t="str">
        <f>INDEX(Lists!H:H,MATCH(Validation!E2892,Lists!G:G,0))</f>
        <v>Amount must be rounded to the nearest dollar.</v>
      </c>
      <c r="H2892" s="25" t="str">
        <f t="shared" ca="1" si="327"/>
        <v/>
      </c>
      <c r="I2892" s="25" t="str">
        <f t="shared" ca="1" si="328"/>
        <v/>
      </c>
      <c r="J2892" s="26" t="str">
        <f t="shared" ca="1" si="329"/>
        <v/>
      </c>
    </row>
    <row r="2893" spans="1:10" x14ac:dyDescent="0.25">
      <c r="A2893" t="s">
        <v>310</v>
      </c>
      <c r="B2893" t="str">
        <f>ADDRESS(ROW('Bond 1'!$B$45),COLUMN('Bond 1'!$B$45),4)</f>
        <v>B45</v>
      </c>
      <c r="C2893" t="str">
        <f>ADDRESS(ROW('Bond 1'!$D$45),COLUMN('Bond 1'!$D$45),4)</f>
        <v>D45</v>
      </c>
      <c r="D2893" t="b" cm="1">
        <f t="array" aca="1" ref="D2893" ca="1">IF(INDIRECT("'"&amp;A2893&amp;"'!"&amp;B2893)="",FALSE,IF(TRUNC(INDIRECT("'"&amp;A2893&amp;"'!"&amp;B2893))=INDIRECT("'"&amp;A2893&amp;"'!"&amp;B2893),FALSE,TRUE))</f>
        <v>0</v>
      </c>
      <c r="E2893" t="s">
        <v>436</v>
      </c>
      <c r="F2893" t="str">
        <f>INDEX(Lists!I:I,MATCH(Validation!E2893,Lists!G:G,0))</f>
        <v>Error</v>
      </c>
      <c r="G2893" t="str">
        <f>INDEX(Lists!H:H,MATCH(Validation!E2893,Lists!G:G,0))</f>
        <v>Amount must be rounded to the nearest dollar.</v>
      </c>
      <c r="H2893" s="25" t="str">
        <f t="shared" ca="1" si="327"/>
        <v/>
      </c>
      <c r="I2893" s="25" t="str">
        <f t="shared" ca="1" si="328"/>
        <v/>
      </c>
      <c r="J2893" s="26" t="str">
        <f t="shared" ca="1" si="329"/>
        <v/>
      </c>
    </row>
    <row r="2894" spans="1:10" x14ac:dyDescent="0.25">
      <c r="A2894" t="s">
        <v>311</v>
      </c>
      <c r="B2894" t="str">
        <f>ADDRESS(ROW('Bond 1'!$B$45),COLUMN('Bond 1'!$B$45),4)</f>
        <v>B45</v>
      </c>
      <c r="C2894" t="str">
        <f>ADDRESS(ROW('Bond 1'!$D$45),COLUMN('Bond 1'!$D$45),4)</f>
        <v>D45</v>
      </c>
      <c r="D2894" t="b" cm="1">
        <f t="array" aca="1" ref="D2894" ca="1">IF(INDIRECT("'"&amp;A2894&amp;"'!"&amp;B2894)="",FALSE,IF(TRUNC(INDIRECT("'"&amp;A2894&amp;"'!"&amp;B2894))=INDIRECT("'"&amp;A2894&amp;"'!"&amp;B2894),FALSE,TRUE))</f>
        <v>0</v>
      </c>
      <c r="E2894" t="s">
        <v>436</v>
      </c>
      <c r="F2894" t="str">
        <f>INDEX(Lists!I:I,MATCH(Validation!E2894,Lists!G:G,0))</f>
        <v>Error</v>
      </c>
      <c r="G2894" t="str">
        <f>INDEX(Lists!H:H,MATCH(Validation!E2894,Lists!G:G,0))</f>
        <v>Amount must be rounded to the nearest dollar.</v>
      </c>
      <c r="H2894" s="25" t="str">
        <f t="shared" ca="1" si="327"/>
        <v/>
      </c>
      <c r="I2894" s="25" t="str">
        <f t="shared" ca="1" si="328"/>
        <v/>
      </c>
      <c r="J2894" s="26" t="str">
        <f t="shared" ca="1" si="329"/>
        <v/>
      </c>
    </row>
    <row r="2895" spans="1:10" x14ac:dyDescent="0.25">
      <c r="A2895" t="s">
        <v>312</v>
      </c>
      <c r="B2895" t="str">
        <f>ADDRESS(ROW('Bond 1'!$B$45),COLUMN('Bond 1'!$B$45),4)</f>
        <v>B45</v>
      </c>
      <c r="C2895" t="str">
        <f>ADDRESS(ROW('Bond 1'!$D$45),COLUMN('Bond 1'!$D$45),4)</f>
        <v>D45</v>
      </c>
      <c r="D2895" t="b" cm="1">
        <f t="array" aca="1" ref="D2895" ca="1">IF(INDIRECT("'"&amp;A2895&amp;"'!"&amp;B2895)="",FALSE,IF(TRUNC(INDIRECT("'"&amp;A2895&amp;"'!"&amp;B2895))=INDIRECT("'"&amp;A2895&amp;"'!"&amp;B2895),FALSE,TRUE))</f>
        <v>0</v>
      </c>
      <c r="E2895" t="s">
        <v>436</v>
      </c>
      <c r="F2895" t="str">
        <f>INDEX(Lists!I:I,MATCH(Validation!E2895,Lists!G:G,0))</f>
        <v>Error</v>
      </c>
      <c r="G2895" t="str">
        <f>INDEX(Lists!H:H,MATCH(Validation!E2895,Lists!G:G,0))</f>
        <v>Amount must be rounded to the nearest dollar.</v>
      </c>
      <c r="H2895" s="25" t="str">
        <f t="shared" ca="1" si="327"/>
        <v/>
      </c>
      <c r="I2895" s="25" t="str">
        <f t="shared" ca="1" si="328"/>
        <v/>
      </c>
      <c r="J2895" s="26" t="str">
        <f t="shared" ca="1" si="329"/>
        <v/>
      </c>
    </row>
    <row r="2896" spans="1:10" x14ac:dyDescent="0.25">
      <c r="A2896" t="s">
        <v>313</v>
      </c>
      <c r="B2896" t="str">
        <f>ADDRESS(ROW('Bond 1'!$B$45),COLUMN('Bond 1'!$B$45),4)</f>
        <v>B45</v>
      </c>
      <c r="C2896" t="str">
        <f>ADDRESS(ROW('Bond 1'!$D$45),COLUMN('Bond 1'!$D$45),4)</f>
        <v>D45</v>
      </c>
      <c r="D2896" t="b" cm="1">
        <f t="array" aca="1" ref="D2896" ca="1">IF(INDIRECT("'"&amp;A2896&amp;"'!"&amp;B2896)="",FALSE,IF(TRUNC(INDIRECT("'"&amp;A2896&amp;"'!"&amp;B2896))=INDIRECT("'"&amp;A2896&amp;"'!"&amp;B2896),FALSE,TRUE))</f>
        <v>0</v>
      </c>
      <c r="E2896" t="s">
        <v>436</v>
      </c>
      <c r="F2896" t="str">
        <f>INDEX(Lists!I:I,MATCH(Validation!E2896,Lists!G:G,0))</f>
        <v>Error</v>
      </c>
      <c r="G2896" t="str">
        <f>INDEX(Lists!H:H,MATCH(Validation!E2896,Lists!G:G,0))</f>
        <v>Amount must be rounded to the nearest dollar.</v>
      </c>
      <c r="H2896" s="25" t="str">
        <f t="shared" ca="1" si="327"/>
        <v/>
      </c>
      <c r="I2896" s="25" t="str">
        <f t="shared" ca="1" si="328"/>
        <v/>
      </c>
      <c r="J2896" s="26" t="str">
        <f t="shared" ca="1" si="329"/>
        <v/>
      </c>
    </row>
    <row r="2897" spans="1:10" x14ac:dyDescent="0.25">
      <c r="A2897" t="s">
        <v>314</v>
      </c>
      <c r="B2897" t="str">
        <f>ADDRESS(ROW('Bond 1'!$B$45),COLUMN('Bond 1'!$B$45),4)</f>
        <v>B45</v>
      </c>
      <c r="C2897" t="str">
        <f>ADDRESS(ROW('Bond 1'!$D$45),COLUMN('Bond 1'!$D$45),4)</f>
        <v>D45</v>
      </c>
      <c r="D2897" t="b" cm="1">
        <f t="array" aca="1" ref="D2897" ca="1">IF(INDIRECT("'"&amp;A2897&amp;"'!"&amp;B2897)="",FALSE,IF(TRUNC(INDIRECT("'"&amp;A2897&amp;"'!"&amp;B2897))=INDIRECT("'"&amp;A2897&amp;"'!"&amp;B2897),FALSE,TRUE))</f>
        <v>0</v>
      </c>
      <c r="E2897" t="s">
        <v>436</v>
      </c>
      <c r="F2897" t="str">
        <f>INDEX(Lists!I:I,MATCH(Validation!E2897,Lists!G:G,0))</f>
        <v>Error</v>
      </c>
      <c r="G2897" t="str">
        <f>INDEX(Lists!H:H,MATCH(Validation!E2897,Lists!G:G,0))</f>
        <v>Amount must be rounded to the nearest dollar.</v>
      </c>
      <c r="H2897" s="25" t="str">
        <f t="shared" ca="1" si="327"/>
        <v/>
      </c>
      <c r="I2897" s="25" t="str">
        <f t="shared" ca="1" si="328"/>
        <v/>
      </c>
      <c r="J2897" s="26" t="str">
        <f t="shared" ca="1" si="329"/>
        <v/>
      </c>
    </row>
    <row r="2898" spans="1:10" x14ac:dyDescent="0.25">
      <c r="A2898" t="s">
        <v>315</v>
      </c>
      <c r="B2898" t="str">
        <f>ADDRESS(ROW('Bond 1'!$B$45),COLUMN('Bond 1'!$B$45),4)</f>
        <v>B45</v>
      </c>
      <c r="C2898" t="str">
        <f>ADDRESS(ROW('Bond 1'!$D$45),COLUMN('Bond 1'!$D$45),4)</f>
        <v>D45</v>
      </c>
      <c r="D2898" t="b" cm="1">
        <f t="array" aca="1" ref="D2898" ca="1">IF(INDIRECT("'"&amp;A2898&amp;"'!"&amp;B2898)="",FALSE,IF(TRUNC(INDIRECT("'"&amp;A2898&amp;"'!"&amp;B2898))=INDIRECT("'"&amp;A2898&amp;"'!"&amp;B2898),FALSE,TRUE))</f>
        <v>0</v>
      </c>
      <c r="E2898" t="s">
        <v>436</v>
      </c>
      <c r="F2898" t="str">
        <f>INDEX(Lists!I:I,MATCH(Validation!E2898,Lists!G:G,0))</f>
        <v>Error</v>
      </c>
      <c r="G2898" t="str">
        <f>INDEX(Lists!H:H,MATCH(Validation!E2898,Lists!G:G,0))</f>
        <v>Amount must be rounded to the nearest dollar.</v>
      </c>
      <c r="H2898" s="25" t="str">
        <f t="shared" ca="1" si="327"/>
        <v/>
      </c>
      <c r="I2898" s="25" t="str">
        <f t="shared" ca="1" si="328"/>
        <v/>
      </c>
      <c r="J2898" s="26" t="str">
        <f t="shared" ca="1" si="329"/>
        <v/>
      </c>
    </row>
    <row r="2899" spans="1:10" x14ac:dyDescent="0.25">
      <c r="A2899" t="s">
        <v>198</v>
      </c>
      <c r="B2899" t="str">
        <f>ADDRESS(ROW('Bond 1'!$A$47),COLUMN('Bond 1'!$A$47),4)</f>
        <v>A47</v>
      </c>
      <c r="C2899" t="str">
        <f>ADDRESS(ROW('Bond 1'!$D$46),COLUMN('Bond 1'!$D$46),4)</f>
        <v>D46</v>
      </c>
      <c r="D2899" t="b" cm="1">
        <f t="array" aca="1" ref="D2899" ca="1">IF(ISBLANK(INDIRECT("'"&amp;A2899&amp;"'!"&amp;B2899)),FALSE,IF(LEN(TRIM(CLEAN(INDIRECT("'"&amp;A2899&amp;"'!"&amp;B2899))))&lt;15,TRUE,FALSE))</f>
        <v>0</v>
      </c>
      <c r="E2899" t="s">
        <v>635</v>
      </c>
      <c r="F2899" t="str">
        <f>INDEX(Lists!I:I,MATCH(Validation!E2899,Lists!G:G,0))</f>
        <v>Error</v>
      </c>
      <c r="G2899" t="str">
        <f>INDEX(Lists!H:H,MATCH(Validation!E2899,Lists!G:G,0))</f>
        <v>Insufficient information. Please provide a longer comment.</v>
      </c>
      <c r="H2899" s="25" t="str">
        <f t="shared" ref="H2899:H2935" ca="1" si="330">IFERROR(IF(OR(NOT(D2899),F2899&lt;&gt;"Error"),"",A2899&amp;CELL("address",INDIRECT(B2899))),"")</f>
        <v/>
      </c>
      <c r="I2899" s="25" t="str">
        <f t="shared" ref="I2899:I2935" ca="1" si="331">IFERROR(IF(NOT(D2899),"",A2899&amp;CELL("address",INDIRECT(C2899))),"")</f>
        <v/>
      </c>
      <c r="J2899" s="26" t="str">
        <f t="shared" ref="J2899:J2935" ca="1" si="332">IFERROR(IF(NOT(D2899),"",A2899),"")</f>
        <v/>
      </c>
    </row>
    <row r="2900" spans="1:10" x14ac:dyDescent="0.25">
      <c r="A2900" t="s">
        <v>302</v>
      </c>
      <c r="B2900" t="str">
        <f>ADDRESS(ROW('Bond 1'!$A$47),COLUMN('Bond 1'!$A$47),4)</f>
        <v>A47</v>
      </c>
      <c r="C2900" t="str">
        <f>ADDRESS(ROW('Bond 1'!$D$46),COLUMN('Bond 1'!$D$46),4)</f>
        <v>D46</v>
      </c>
      <c r="D2900" t="b" cm="1">
        <f t="array" aca="1" ref="D2900" ca="1">IF(ISBLANK(INDIRECT("'"&amp;A2900&amp;"'!"&amp;B2900)),FALSE,IF(LEN(TRIM(CLEAN(INDIRECT("'"&amp;A2900&amp;"'!"&amp;B2900))))&lt;15,TRUE,FALSE))</f>
        <v>0</v>
      </c>
      <c r="E2900" t="s">
        <v>635</v>
      </c>
      <c r="F2900" t="str">
        <f>INDEX(Lists!I:I,MATCH(Validation!E2900,Lists!G:G,0))</f>
        <v>Error</v>
      </c>
      <c r="G2900" t="str">
        <f>INDEX(Lists!H:H,MATCH(Validation!E2900,Lists!G:G,0))</f>
        <v>Insufficient information. Please provide a longer comment.</v>
      </c>
      <c r="H2900" s="25" t="str">
        <f t="shared" ca="1" si="330"/>
        <v/>
      </c>
      <c r="I2900" s="25" t="str">
        <f t="shared" ca="1" si="331"/>
        <v/>
      </c>
      <c r="J2900" s="26" t="str">
        <f t="shared" ca="1" si="332"/>
        <v/>
      </c>
    </row>
    <row r="2901" spans="1:10" x14ac:dyDescent="0.25">
      <c r="A2901" t="s">
        <v>303</v>
      </c>
      <c r="B2901" t="str">
        <f>ADDRESS(ROW('Bond 1'!$A$47),COLUMN('Bond 1'!$A$47),4)</f>
        <v>A47</v>
      </c>
      <c r="C2901" t="str">
        <f>ADDRESS(ROW('Bond 1'!$D$46),COLUMN('Bond 1'!$D$46),4)</f>
        <v>D46</v>
      </c>
      <c r="D2901" t="b" cm="1">
        <f t="array" aca="1" ref="D2901" ca="1">IF(ISBLANK(INDIRECT("'"&amp;A2901&amp;"'!"&amp;B2901)),FALSE,IF(LEN(TRIM(CLEAN(INDIRECT("'"&amp;A2901&amp;"'!"&amp;B2901))))&lt;15,TRUE,FALSE))</f>
        <v>0</v>
      </c>
      <c r="E2901" t="s">
        <v>635</v>
      </c>
      <c r="F2901" t="str">
        <f>INDEX(Lists!I:I,MATCH(Validation!E2901,Lists!G:G,0))</f>
        <v>Error</v>
      </c>
      <c r="G2901" t="str">
        <f>INDEX(Lists!H:H,MATCH(Validation!E2901,Lists!G:G,0))</f>
        <v>Insufficient information. Please provide a longer comment.</v>
      </c>
      <c r="H2901" s="25" t="str">
        <f t="shared" ca="1" si="330"/>
        <v/>
      </c>
      <c r="I2901" s="25" t="str">
        <f t="shared" ca="1" si="331"/>
        <v/>
      </c>
      <c r="J2901" s="26" t="str">
        <f t="shared" ca="1" si="332"/>
        <v/>
      </c>
    </row>
    <row r="2902" spans="1:10" x14ac:dyDescent="0.25">
      <c r="A2902" t="s">
        <v>304</v>
      </c>
      <c r="B2902" t="str">
        <f>ADDRESS(ROW('Bond 1'!$A$47),COLUMN('Bond 1'!$A$47),4)</f>
        <v>A47</v>
      </c>
      <c r="C2902" t="str">
        <f>ADDRESS(ROW('Bond 1'!$D$46),COLUMN('Bond 1'!$D$46),4)</f>
        <v>D46</v>
      </c>
      <c r="D2902" t="b" cm="1">
        <f t="array" aca="1" ref="D2902" ca="1">IF(ISBLANK(INDIRECT("'"&amp;A2902&amp;"'!"&amp;B2902)),FALSE,IF(LEN(TRIM(CLEAN(INDIRECT("'"&amp;A2902&amp;"'!"&amp;B2902))))&lt;15,TRUE,FALSE))</f>
        <v>0</v>
      </c>
      <c r="E2902" t="s">
        <v>635</v>
      </c>
      <c r="F2902" t="str">
        <f>INDEX(Lists!I:I,MATCH(Validation!E2902,Lists!G:G,0))</f>
        <v>Error</v>
      </c>
      <c r="G2902" t="str">
        <f>INDEX(Lists!H:H,MATCH(Validation!E2902,Lists!G:G,0))</f>
        <v>Insufficient information. Please provide a longer comment.</v>
      </c>
      <c r="H2902" s="25" t="str">
        <f t="shared" ca="1" si="330"/>
        <v/>
      </c>
      <c r="I2902" s="25" t="str">
        <f t="shared" ca="1" si="331"/>
        <v/>
      </c>
      <c r="J2902" s="26" t="str">
        <f t="shared" ca="1" si="332"/>
        <v/>
      </c>
    </row>
    <row r="2903" spans="1:10" x14ac:dyDescent="0.25">
      <c r="A2903" t="s">
        <v>305</v>
      </c>
      <c r="B2903" t="str">
        <f>ADDRESS(ROW('Bond 1'!$A$47),COLUMN('Bond 1'!$A$47),4)</f>
        <v>A47</v>
      </c>
      <c r="C2903" t="str">
        <f>ADDRESS(ROW('Bond 1'!$D$46),COLUMN('Bond 1'!$D$46),4)</f>
        <v>D46</v>
      </c>
      <c r="D2903" t="b" cm="1">
        <f t="array" aca="1" ref="D2903" ca="1">IF(ISBLANK(INDIRECT("'"&amp;A2903&amp;"'!"&amp;B2903)),FALSE,IF(LEN(TRIM(CLEAN(INDIRECT("'"&amp;A2903&amp;"'!"&amp;B2903))))&lt;15,TRUE,FALSE))</f>
        <v>0</v>
      </c>
      <c r="E2903" t="s">
        <v>635</v>
      </c>
      <c r="F2903" t="str">
        <f>INDEX(Lists!I:I,MATCH(Validation!E2903,Lists!G:G,0))</f>
        <v>Error</v>
      </c>
      <c r="G2903" t="str">
        <f>INDEX(Lists!H:H,MATCH(Validation!E2903,Lists!G:G,0))</f>
        <v>Insufficient information. Please provide a longer comment.</v>
      </c>
      <c r="H2903" s="25" t="str">
        <f t="shared" ca="1" si="330"/>
        <v/>
      </c>
      <c r="I2903" s="25" t="str">
        <f t="shared" ca="1" si="331"/>
        <v/>
      </c>
      <c r="J2903" s="26" t="str">
        <f t="shared" ca="1" si="332"/>
        <v/>
      </c>
    </row>
    <row r="2904" spans="1:10" x14ac:dyDescent="0.25">
      <c r="A2904" t="s">
        <v>306</v>
      </c>
      <c r="B2904" t="str">
        <f>ADDRESS(ROW('Bond 1'!$A$47),COLUMN('Bond 1'!$A$47),4)</f>
        <v>A47</v>
      </c>
      <c r="C2904" t="str">
        <f>ADDRESS(ROW('Bond 1'!$D$46),COLUMN('Bond 1'!$D$46),4)</f>
        <v>D46</v>
      </c>
      <c r="D2904" t="b" cm="1">
        <f t="array" aca="1" ref="D2904" ca="1">IF(ISBLANK(INDIRECT("'"&amp;A2904&amp;"'!"&amp;B2904)),FALSE,IF(LEN(TRIM(CLEAN(INDIRECT("'"&amp;A2904&amp;"'!"&amp;B2904))))&lt;15,TRUE,FALSE))</f>
        <v>0</v>
      </c>
      <c r="E2904" t="s">
        <v>635</v>
      </c>
      <c r="F2904" t="str">
        <f>INDEX(Lists!I:I,MATCH(Validation!E2904,Lists!G:G,0))</f>
        <v>Error</v>
      </c>
      <c r="G2904" t="str">
        <f>INDEX(Lists!H:H,MATCH(Validation!E2904,Lists!G:G,0))</f>
        <v>Insufficient information. Please provide a longer comment.</v>
      </c>
      <c r="H2904" s="25" t="str">
        <f t="shared" ca="1" si="330"/>
        <v/>
      </c>
      <c r="I2904" s="25" t="str">
        <f t="shared" ca="1" si="331"/>
        <v/>
      </c>
      <c r="J2904" s="26" t="str">
        <f t="shared" ca="1" si="332"/>
        <v/>
      </c>
    </row>
    <row r="2905" spans="1:10" x14ac:dyDescent="0.25">
      <c r="A2905" t="s">
        <v>307</v>
      </c>
      <c r="B2905" t="str">
        <f>ADDRESS(ROW('Bond 1'!$A$47),COLUMN('Bond 1'!$A$47),4)</f>
        <v>A47</v>
      </c>
      <c r="C2905" t="str">
        <f>ADDRESS(ROW('Bond 1'!$D$46),COLUMN('Bond 1'!$D$46),4)</f>
        <v>D46</v>
      </c>
      <c r="D2905" t="b" cm="1">
        <f t="array" aca="1" ref="D2905" ca="1">IF(ISBLANK(INDIRECT("'"&amp;A2905&amp;"'!"&amp;B2905)),FALSE,IF(LEN(TRIM(CLEAN(INDIRECT("'"&amp;A2905&amp;"'!"&amp;B2905))))&lt;15,TRUE,FALSE))</f>
        <v>0</v>
      </c>
      <c r="E2905" t="s">
        <v>635</v>
      </c>
      <c r="F2905" t="str">
        <f>INDEX(Lists!I:I,MATCH(Validation!E2905,Lists!G:G,0))</f>
        <v>Error</v>
      </c>
      <c r="G2905" t="str">
        <f>INDEX(Lists!H:H,MATCH(Validation!E2905,Lists!G:G,0))</f>
        <v>Insufficient information. Please provide a longer comment.</v>
      </c>
      <c r="H2905" s="25" t="str">
        <f t="shared" ca="1" si="330"/>
        <v/>
      </c>
      <c r="I2905" s="25" t="str">
        <f t="shared" ca="1" si="331"/>
        <v/>
      </c>
      <c r="J2905" s="26" t="str">
        <f t="shared" ca="1" si="332"/>
        <v/>
      </c>
    </row>
    <row r="2906" spans="1:10" x14ac:dyDescent="0.25">
      <c r="A2906" t="s">
        <v>308</v>
      </c>
      <c r="B2906" t="str">
        <f>ADDRESS(ROW('Bond 1'!$A$47),COLUMN('Bond 1'!$A$47),4)</f>
        <v>A47</v>
      </c>
      <c r="C2906" t="str">
        <f>ADDRESS(ROW('Bond 1'!$D$46),COLUMN('Bond 1'!$D$46),4)</f>
        <v>D46</v>
      </c>
      <c r="D2906" t="b" cm="1">
        <f t="array" aca="1" ref="D2906" ca="1">IF(ISBLANK(INDIRECT("'"&amp;A2906&amp;"'!"&amp;B2906)),FALSE,IF(LEN(TRIM(CLEAN(INDIRECT("'"&amp;A2906&amp;"'!"&amp;B2906))))&lt;15,TRUE,FALSE))</f>
        <v>0</v>
      </c>
      <c r="E2906" t="s">
        <v>635</v>
      </c>
      <c r="F2906" t="str">
        <f>INDEX(Lists!I:I,MATCH(Validation!E2906,Lists!G:G,0))</f>
        <v>Error</v>
      </c>
      <c r="G2906" t="str">
        <f>INDEX(Lists!H:H,MATCH(Validation!E2906,Lists!G:G,0))</f>
        <v>Insufficient information. Please provide a longer comment.</v>
      </c>
      <c r="H2906" s="25" t="str">
        <f t="shared" ca="1" si="330"/>
        <v/>
      </c>
      <c r="I2906" s="25" t="str">
        <f t="shared" ca="1" si="331"/>
        <v/>
      </c>
      <c r="J2906" s="26" t="str">
        <f t="shared" ca="1" si="332"/>
        <v/>
      </c>
    </row>
    <row r="2907" spans="1:10" x14ac:dyDescent="0.25">
      <c r="A2907" t="s">
        <v>309</v>
      </c>
      <c r="B2907" t="str">
        <f>ADDRESS(ROW('Bond 1'!$A$47),COLUMN('Bond 1'!$A$47),4)</f>
        <v>A47</v>
      </c>
      <c r="C2907" t="str">
        <f>ADDRESS(ROW('Bond 1'!$D$46),COLUMN('Bond 1'!$D$46),4)</f>
        <v>D46</v>
      </c>
      <c r="D2907" t="b" cm="1">
        <f t="array" aca="1" ref="D2907" ca="1">IF(ISBLANK(INDIRECT("'"&amp;A2907&amp;"'!"&amp;B2907)),FALSE,IF(LEN(TRIM(CLEAN(INDIRECT("'"&amp;A2907&amp;"'!"&amp;B2907))))&lt;15,TRUE,FALSE))</f>
        <v>0</v>
      </c>
      <c r="E2907" t="s">
        <v>635</v>
      </c>
      <c r="F2907" t="str">
        <f>INDEX(Lists!I:I,MATCH(Validation!E2907,Lists!G:G,0))</f>
        <v>Error</v>
      </c>
      <c r="G2907" t="str">
        <f>INDEX(Lists!H:H,MATCH(Validation!E2907,Lists!G:G,0))</f>
        <v>Insufficient information. Please provide a longer comment.</v>
      </c>
      <c r="H2907" s="25" t="str">
        <f t="shared" ca="1" si="330"/>
        <v/>
      </c>
      <c r="I2907" s="25" t="str">
        <f t="shared" ca="1" si="331"/>
        <v/>
      </c>
      <c r="J2907" s="26" t="str">
        <f t="shared" ca="1" si="332"/>
        <v/>
      </c>
    </row>
    <row r="2908" spans="1:10" x14ac:dyDescent="0.25">
      <c r="A2908" t="s">
        <v>310</v>
      </c>
      <c r="B2908" t="str">
        <f>ADDRESS(ROW('Bond 1'!$A$47),COLUMN('Bond 1'!$A$47),4)</f>
        <v>A47</v>
      </c>
      <c r="C2908" t="str">
        <f>ADDRESS(ROW('Bond 1'!$D$46),COLUMN('Bond 1'!$D$46),4)</f>
        <v>D46</v>
      </c>
      <c r="D2908" t="b" cm="1">
        <f t="array" aca="1" ref="D2908" ca="1">IF(ISBLANK(INDIRECT("'"&amp;A2908&amp;"'!"&amp;B2908)),FALSE,IF(LEN(TRIM(CLEAN(INDIRECT("'"&amp;A2908&amp;"'!"&amp;B2908))))&lt;15,TRUE,FALSE))</f>
        <v>0</v>
      </c>
      <c r="E2908" t="s">
        <v>635</v>
      </c>
      <c r="F2908" t="str">
        <f>INDEX(Lists!I:I,MATCH(Validation!E2908,Lists!G:G,0))</f>
        <v>Error</v>
      </c>
      <c r="G2908" t="str">
        <f>INDEX(Lists!H:H,MATCH(Validation!E2908,Lists!G:G,0))</f>
        <v>Insufficient information. Please provide a longer comment.</v>
      </c>
      <c r="H2908" s="25" t="str">
        <f t="shared" ca="1" si="330"/>
        <v/>
      </c>
      <c r="I2908" s="25" t="str">
        <f t="shared" ca="1" si="331"/>
        <v/>
      </c>
      <c r="J2908" s="26" t="str">
        <f t="shared" ca="1" si="332"/>
        <v/>
      </c>
    </row>
    <row r="2909" spans="1:10" x14ac:dyDescent="0.25">
      <c r="A2909" t="s">
        <v>311</v>
      </c>
      <c r="B2909" t="str">
        <f>ADDRESS(ROW('Bond 1'!$A$47),COLUMN('Bond 1'!$A$47),4)</f>
        <v>A47</v>
      </c>
      <c r="C2909" t="str">
        <f>ADDRESS(ROW('Bond 1'!$D$46),COLUMN('Bond 1'!$D$46),4)</f>
        <v>D46</v>
      </c>
      <c r="D2909" t="b" cm="1">
        <f t="array" aca="1" ref="D2909" ca="1">IF(ISBLANK(INDIRECT("'"&amp;A2909&amp;"'!"&amp;B2909)),FALSE,IF(LEN(TRIM(CLEAN(INDIRECT("'"&amp;A2909&amp;"'!"&amp;B2909))))&lt;15,TRUE,FALSE))</f>
        <v>0</v>
      </c>
      <c r="E2909" t="s">
        <v>635</v>
      </c>
      <c r="F2909" t="str">
        <f>INDEX(Lists!I:I,MATCH(Validation!E2909,Lists!G:G,0))</f>
        <v>Error</v>
      </c>
      <c r="G2909" t="str">
        <f>INDEX(Lists!H:H,MATCH(Validation!E2909,Lists!G:G,0))</f>
        <v>Insufficient information. Please provide a longer comment.</v>
      </c>
      <c r="H2909" s="25" t="str">
        <f t="shared" ca="1" si="330"/>
        <v/>
      </c>
      <c r="I2909" s="25" t="str">
        <f t="shared" ca="1" si="331"/>
        <v/>
      </c>
      <c r="J2909" s="26" t="str">
        <f t="shared" ca="1" si="332"/>
        <v/>
      </c>
    </row>
    <row r="2910" spans="1:10" x14ac:dyDescent="0.25">
      <c r="A2910" t="s">
        <v>312</v>
      </c>
      <c r="B2910" t="str">
        <f>ADDRESS(ROW('Bond 1'!$A$47),COLUMN('Bond 1'!$A$47),4)</f>
        <v>A47</v>
      </c>
      <c r="C2910" t="str">
        <f>ADDRESS(ROW('Bond 1'!$D$46),COLUMN('Bond 1'!$D$46),4)</f>
        <v>D46</v>
      </c>
      <c r="D2910" t="b" cm="1">
        <f t="array" aca="1" ref="D2910" ca="1">IF(ISBLANK(INDIRECT("'"&amp;A2910&amp;"'!"&amp;B2910)),FALSE,IF(LEN(TRIM(CLEAN(INDIRECT("'"&amp;A2910&amp;"'!"&amp;B2910))))&lt;15,TRUE,FALSE))</f>
        <v>0</v>
      </c>
      <c r="E2910" t="s">
        <v>635</v>
      </c>
      <c r="F2910" t="str">
        <f>INDEX(Lists!I:I,MATCH(Validation!E2910,Lists!G:G,0))</f>
        <v>Error</v>
      </c>
      <c r="G2910" t="str">
        <f>INDEX(Lists!H:H,MATCH(Validation!E2910,Lists!G:G,0))</f>
        <v>Insufficient information. Please provide a longer comment.</v>
      </c>
      <c r="H2910" s="25" t="str">
        <f t="shared" ca="1" si="330"/>
        <v/>
      </c>
      <c r="I2910" s="25" t="str">
        <f t="shared" ca="1" si="331"/>
        <v/>
      </c>
      <c r="J2910" s="26" t="str">
        <f t="shared" ca="1" si="332"/>
        <v/>
      </c>
    </row>
    <row r="2911" spans="1:10" x14ac:dyDescent="0.25">
      <c r="A2911" t="s">
        <v>313</v>
      </c>
      <c r="B2911" t="str">
        <f>ADDRESS(ROW('Bond 1'!$A$47),COLUMN('Bond 1'!$A$47),4)</f>
        <v>A47</v>
      </c>
      <c r="C2911" t="str">
        <f>ADDRESS(ROW('Bond 1'!$D$46),COLUMN('Bond 1'!$D$46),4)</f>
        <v>D46</v>
      </c>
      <c r="D2911" t="b" cm="1">
        <f t="array" aca="1" ref="D2911" ca="1">IF(ISBLANK(INDIRECT("'"&amp;A2911&amp;"'!"&amp;B2911)),FALSE,IF(LEN(TRIM(CLEAN(INDIRECT("'"&amp;A2911&amp;"'!"&amp;B2911))))&lt;15,TRUE,FALSE))</f>
        <v>0</v>
      </c>
      <c r="E2911" t="s">
        <v>635</v>
      </c>
      <c r="F2911" t="str">
        <f>INDEX(Lists!I:I,MATCH(Validation!E2911,Lists!G:G,0))</f>
        <v>Error</v>
      </c>
      <c r="G2911" t="str">
        <f>INDEX(Lists!H:H,MATCH(Validation!E2911,Lists!G:G,0))</f>
        <v>Insufficient information. Please provide a longer comment.</v>
      </c>
      <c r="H2911" s="25" t="str">
        <f t="shared" ca="1" si="330"/>
        <v/>
      </c>
      <c r="I2911" s="25" t="str">
        <f t="shared" ca="1" si="331"/>
        <v/>
      </c>
      <c r="J2911" s="26" t="str">
        <f t="shared" ca="1" si="332"/>
        <v/>
      </c>
    </row>
    <row r="2912" spans="1:10" x14ac:dyDescent="0.25">
      <c r="A2912" t="s">
        <v>314</v>
      </c>
      <c r="B2912" t="str">
        <f>ADDRESS(ROW('Bond 1'!$A$47),COLUMN('Bond 1'!$A$47),4)</f>
        <v>A47</v>
      </c>
      <c r="C2912" t="str">
        <f>ADDRESS(ROW('Bond 1'!$D$46),COLUMN('Bond 1'!$D$46),4)</f>
        <v>D46</v>
      </c>
      <c r="D2912" t="b" cm="1">
        <f t="array" aca="1" ref="D2912" ca="1">IF(ISBLANK(INDIRECT("'"&amp;A2912&amp;"'!"&amp;B2912)),FALSE,IF(LEN(TRIM(CLEAN(INDIRECT("'"&amp;A2912&amp;"'!"&amp;B2912))))&lt;15,TRUE,FALSE))</f>
        <v>0</v>
      </c>
      <c r="E2912" t="s">
        <v>635</v>
      </c>
      <c r="F2912" t="str">
        <f>INDEX(Lists!I:I,MATCH(Validation!E2912,Lists!G:G,0))</f>
        <v>Error</v>
      </c>
      <c r="G2912" t="str">
        <f>INDEX(Lists!H:H,MATCH(Validation!E2912,Lists!G:G,0))</f>
        <v>Insufficient information. Please provide a longer comment.</v>
      </c>
      <c r="H2912" s="25" t="str">
        <f t="shared" ca="1" si="330"/>
        <v/>
      </c>
      <c r="I2912" s="25" t="str">
        <f t="shared" ca="1" si="331"/>
        <v/>
      </c>
      <c r="J2912" s="26" t="str">
        <f t="shared" ca="1" si="332"/>
        <v/>
      </c>
    </row>
    <row r="2913" spans="1:10" x14ac:dyDescent="0.25">
      <c r="A2913" t="s">
        <v>315</v>
      </c>
      <c r="B2913" t="str">
        <f>ADDRESS(ROW('Bond 1'!$A$47),COLUMN('Bond 1'!$A$47),4)</f>
        <v>A47</v>
      </c>
      <c r="C2913" t="str">
        <f>ADDRESS(ROW('Bond 1'!$D$46),COLUMN('Bond 1'!$D$46),4)</f>
        <v>D46</v>
      </c>
      <c r="D2913" t="b" cm="1">
        <f t="array" aca="1" ref="D2913" ca="1">IF(ISBLANK(INDIRECT("'"&amp;A2913&amp;"'!"&amp;B2913)),FALSE,IF(LEN(TRIM(CLEAN(INDIRECT("'"&amp;A2913&amp;"'!"&amp;B2913))))&lt;15,TRUE,FALSE))</f>
        <v>0</v>
      </c>
      <c r="E2913" t="s">
        <v>635</v>
      </c>
      <c r="F2913" t="str">
        <f>INDEX(Lists!I:I,MATCH(Validation!E2913,Lists!G:G,0))</f>
        <v>Error</v>
      </c>
      <c r="G2913" t="str">
        <f>INDEX(Lists!H:H,MATCH(Validation!E2913,Lists!G:G,0))</f>
        <v>Insufficient information. Please provide a longer comment.</v>
      </c>
      <c r="H2913" s="25" t="str">
        <f t="shared" ca="1" si="330"/>
        <v/>
      </c>
      <c r="I2913" s="25" t="str">
        <f t="shared" ca="1" si="331"/>
        <v/>
      </c>
      <c r="J2913" s="26" t="str">
        <f t="shared" ca="1" si="332"/>
        <v/>
      </c>
    </row>
    <row r="2914" spans="1:10" x14ac:dyDescent="0.25">
      <c r="A2914" t="s">
        <v>198</v>
      </c>
      <c r="B2914" t="str">
        <f>ADDRESS(ROW('Bond 1'!$A$47),COLUMN('Bond 1'!$A$47),4)</f>
        <v>A47</v>
      </c>
      <c r="C2914" t="str">
        <f>ADDRESS(ROW('Bond 1'!$D$46),COLUMN('Bond 1'!$D$46),4)</f>
        <v>D46</v>
      </c>
      <c r="D2914" t="b" cm="1">
        <f t="array" aca="1" ref="D2914" ca="1">IF(LEN(INDIRECT("'"&amp;A2914&amp;"'!"&amp;B2914))&gt;500,TRUE,FALSE)</f>
        <v>0</v>
      </c>
      <c r="E2914" t="s">
        <v>636</v>
      </c>
      <c r="F2914" t="str">
        <f>INDEX(Lists!I:I,MATCH(Validation!E2914,Lists!G:G,0))</f>
        <v>Error</v>
      </c>
      <c r="G2914" t="str">
        <f>INDEX(Lists!H:H,MATCH(Validation!E2914,Lists!G:G,0))</f>
        <v>Comments cannot exceed 500 characters. (Limit length. Send email to further explain.)</v>
      </c>
      <c r="H2914" s="25" t="str">
        <f t="shared" ca="1" si="330"/>
        <v/>
      </c>
      <c r="I2914" s="25" t="str">
        <f t="shared" ca="1" si="331"/>
        <v/>
      </c>
      <c r="J2914" s="26" t="str">
        <f t="shared" ca="1" si="332"/>
        <v/>
      </c>
    </row>
    <row r="2915" spans="1:10" x14ac:dyDescent="0.25">
      <c r="A2915" t="s">
        <v>302</v>
      </c>
      <c r="B2915" t="str">
        <f>ADDRESS(ROW('Bond 1'!$A$47),COLUMN('Bond 1'!$A$47),4)</f>
        <v>A47</v>
      </c>
      <c r="C2915" t="str">
        <f>ADDRESS(ROW('Bond 1'!$D$46),COLUMN('Bond 1'!$D$46),4)</f>
        <v>D46</v>
      </c>
      <c r="D2915" t="b" cm="1">
        <f t="array" aca="1" ref="D2915" ca="1">IF(LEN(INDIRECT("'"&amp;A2915&amp;"'!"&amp;B2915))&gt;500,TRUE,FALSE)</f>
        <v>0</v>
      </c>
      <c r="E2915" t="s">
        <v>636</v>
      </c>
      <c r="F2915" t="str">
        <f>INDEX(Lists!I:I,MATCH(Validation!E2915,Lists!G:G,0))</f>
        <v>Error</v>
      </c>
      <c r="G2915" t="str">
        <f>INDEX(Lists!H:H,MATCH(Validation!E2915,Lists!G:G,0))</f>
        <v>Comments cannot exceed 500 characters. (Limit length. Send email to further explain.)</v>
      </c>
      <c r="H2915" s="25" t="str">
        <f t="shared" ca="1" si="330"/>
        <v/>
      </c>
      <c r="I2915" s="25" t="str">
        <f t="shared" ca="1" si="331"/>
        <v/>
      </c>
      <c r="J2915" s="26" t="str">
        <f t="shared" ca="1" si="332"/>
        <v/>
      </c>
    </row>
    <row r="2916" spans="1:10" x14ac:dyDescent="0.25">
      <c r="A2916" t="s">
        <v>303</v>
      </c>
      <c r="B2916" t="str">
        <f>ADDRESS(ROW('Bond 1'!$A$47),COLUMN('Bond 1'!$A$47),4)</f>
        <v>A47</v>
      </c>
      <c r="C2916" t="str">
        <f>ADDRESS(ROW('Bond 1'!$D$46),COLUMN('Bond 1'!$D$46),4)</f>
        <v>D46</v>
      </c>
      <c r="D2916" t="b" cm="1">
        <f t="array" aca="1" ref="D2916" ca="1">IF(LEN(INDIRECT("'"&amp;A2916&amp;"'!"&amp;B2916))&gt;500,TRUE,FALSE)</f>
        <v>0</v>
      </c>
      <c r="E2916" t="s">
        <v>636</v>
      </c>
      <c r="F2916" t="str">
        <f>INDEX(Lists!I:I,MATCH(Validation!E2916,Lists!G:G,0))</f>
        <v>Error</v>
      </c>
      <c r="G2916" t="str">
        <f>INDEX(Lists!H:H,MATCH(Validation!E2916,Lists!G:G,0))</f>
        <v>Comments cannot exceed 500 characters. (Limit length. Send email to further explain.)</v>
      </c>
      <c r="H2916" s="25" t="str">
        <f t="shared" ca="1" si="330"/>
        <v/>
      </c>
      <c r="I2916" s="25" t="str">
        <f t="shared" ca="1" si="331"/>
        <v/>
      </c>
      <c r="J2916" s="26" t="str">
        <f t="shared" ca="1" si="332"/>
        <v/>
      </c>
    </row>
    <row r="2917" spans="1:10" x14ac:dyDescent="0.25">
      <c r="A2917" t="s">
        <v>304</v>
      </c>
      <c r="B2917" t="str">
        <f>ADDRESS(ROW('Bond 1'!$A$47),COLUMN('Bond 1'!$A$47),4)</f>
        <v>A47</v>
      </c>
      <c r="C2917" t="str">
        <f>ADDRESS(ROW('Bond 1'!$D$46),COLUMN('Bond 1'!$D$46),4)</f>
        <v>D46</v>
      </c>
      <c r="D2917" t="b" cm="1">
        <f t="array" aca="1" ref="D2917" ca="1">IF(LEN(INDIRECT("'"&amp;A2917&amp;"'!"&amp;B2917))&gt;500,TRUE,FALSE)</f>
        <v>0</v>
      </c>
      <c r="E2917" t="s">
        <v>636</v>
      </c>
      <c r="F2917" t="str">
        <f>INDEX(Lists!I:I,MATCH(Validation!E2917,Lists!G:G,0))</f>
        <v>Error</v>
      </c>
      <c r="G2917" t="str">
        <f>INDEX(Lists!H:H,MATCH(Validation!E2917,Lists!G:G,0))</f>
        <v>Comments cannot exceed 500 characters. (Limit length. Send email to further explain.)</v>
      </c>
      <c r="H2917" s="25" t="str">
        <f t="shared" ca="1" si="330"/>
        <v/>
      </c>
      <c r="I2917" s="25" t="str">
        <f t="shared" ca="1" si="331"/>
        <v/>
      </c>
      <c r="J2917" s="26" t="str">
        <f t="shared" ca="1" si="332"/>
        <v/>
      </c>
    </row>
    <row r="2918" spans="1:10" x14ac:dyDescent="0.25">
      <c r="A2918" t="s">
        <v>305</v>
      </c>
      <c r="B2918" t="str">
        <f>ADDRESS(ROW('Bond 1'!$A$47),COLUMN('Bond 1'!$A$47),4)</f>
        <v>A47</v>
      </c>
      <c r="C2918" t="str">
        <f>ADDRESS(ROW('Bond 1'!$D$46),COLUMN('Bond 1'!$D$46),4)</f>
        <v>D46</v>
      </c>
      <c r="D2918" t="b" cm="1">
        <f t="array" aca="1" ref="D2918" ca="1">IF(LEN(INDIRECT("'"&amp;A2918&amp;"'!"&amp;B2918))&gt;500,TRUE,FALSE)</f>
        <v>0</v>
      </c>
      <c r="E2918" t="s">
        <v>636</v>
      </c>
      <c r="F2918" t="str">
        <f>INDEX(Lists!I:I,MATCH(Validation!E2918,Lists!G:G,0))</f>
        <v>Error</v>
      </c>
      <c r="G2918" t="str">
        <f>INDEX(Lists!H:H,MATCH(Validation!E2918,Lists!G:G,0))</f>
        <v>Comments cannot exceed 500 characters. (Limit length. Send email to further explain.)</v>
      </c>
      <c r="H2918" s="25" t="str">
        <f t="shared" ca="1" si="330"/>
        <v/>
      </c>
      <c r="I2918" s="25" t="str">
        <f t="shared" ca="1" si="331"/>
        <v/>
      </c>
      <c r="J2918" s="26" t="str">
        <f t="shared" ca="1" si="332"/>
        <v/>
      </c>
    </row>
    <row r="2919" spans="1:10" x14ac:dyDescent="0.25">
      <c r="A2919" t="s">
        <v>306</v>
      </c>
      <c r="B2919" t="str">
        <f>ADDRESS(ROW('Bond 1'!$A$47),COLUMN('Bond 1'!$A$47),4)</f>
        <v>A47</v>
      </c>
      <c r="C2919" t="str">
        <f>ADDRESS(ROW('Bond 1'!$D$46),COLUMN('Bond 1'!$D$46),4)</f>
        <v>D46</v>
      </c>
      <c r="D2919" t="b" cm="1">
        <f t="array" aca="1" ref="D2919" ca="1">IF(LEN(INDIRECT("'"&amp;A2919&amp;"'!"&amp;B2919))&gt;500,TRUE,FALSE)</f>
        <v>0</v>
      </c>
      <c r="E2919" t="s">
        <v>636</v>
      </c>
      <c r="F2919" t="str">
        <f>INDEX(Lists!I:I,MATCH(Validation!E2919,Lists!G:G,0))</f>
        <v>Error</v>
      </c>
      <c r="G2919" t="str">
        <f>INDEX(Lists!H:H,MATCH(Validation!E2919,Lists!G:G,0))</f>
        <v>Comments cannot exceed 500 characters. (Limit length. Send email to further explain.)</v>
      </c>
      <c r="H2919" s="25" t="str">
        <f t="shared" ca="1" si="330"/>
        <v/>
      </c>
      <c r="I2919" s="25" t="str">
        <f t="shared" ca="1" si="331"/>
        <v/>
      </c>
      <c r="J2919" s="26" t="str">
        <f t="shared" ca="1" si="332"/>
        <v/>
      </c>
    </row>
    <row r="2920" spans="1:10" x14ac:dyDescent="0.25">
      <c r="A2920" t="s">
        <v>307</v>
      </c>
      <c r="B2920" t="str">
        <f>ADDRESS(ROW('Bond 1'!$A$47),COLUMN('Bond 1'!$A$47),4)</f>
        <v>A47</v>
      </c>
      <c r="C2920" t="str">
        <f>ADDRESS(ROW('Bond 1'!$D$46),COLUMN('Bond 1'!$D$46),4)</f>
        <v>D46</v>
      </c>
      <c r="D2920" t="b" cm="1">
        <f t="array" aca="1" ref="D2920" ca="1">IF(LEN(INDIRECT("'"&amp;A2920&amp;"'!"&amp;B2920))&gt;500,TRUE,FALSE)</f>
        <v>0</v>
      </c>
      <c r="E2920" t="s">
        <v>636</v>
      </c>
      <c r="F2920" t="str">
        <f>INDEX(Lists!I:I,MATCH(Validation!E2920,Lists!G:G,0))</f>
        <v>Error</v>
      </c>
      <c r="G2920" t="str">
        <f>INDEX(Lists!H:H,MATCH(Validation!E2920,Lists!G:G,0))</f>
        <v>Comments cannot exceed 500 characters. (Limit length. Send email to further explain.)</v>
      </c>
      <c r="H2920" s="25" t="str">
        <f t="shared" ca="1" si="330"/>
        <v/>
      </c>
      <c r="I2920" s="25" t="str">
        <f t="shared" ca="1" si="331"/>
        <v/>
      </c>
      <c r="J2920" s="26" t="str">
        <f t="shared" ca="1" si="332"/>
        <v/>
      </c>
    </row>
    <row r="2921" spans="1:10" x14ac:dyDescent="0.25">
      <c r="A2921" t="s">
        <v>308</v>
      </c>
      <c r="B2921" t="str">
        <f>ADDRESS(ROW('Bond 1'!$A$47),COLUMN('Bond 1'!$A$47),4)</f>
        <v>A47</v>
      </c>
      <c r="C2921" t="str">
        <f>ADDRESS(ROW('Bond 1'!$D$46),COLUMN('Bond 1'!$D$46),4)</f>
        <v>D46</v>
      </c>
      <c r="D2921" t="b" cm="1">
        <f t="array" aca="1" ref="D2921" ca="1">IF(LEN(INDIRECT("'"&amp;A2921&amp;"'!"&amp;B2921))&gt;500,TRUE,FALSE)</f>
        <v>0</v>
      </c>
      <c r="E2921" t="s">
        <v>636</v>
      </c>
      <c r="F2921" t="str">
        <f>INDEX(Lists!I:I,MATCH(Validation!E2921,Lists!G:G,0))</f>
        <v>Error</v>
      </c>
      <c r="G2921" t="str">
        <f>INDEX(Lists!H:H,MATCH(Validation!E2921,Lists!G:G,0))</f>
        <v>Comments cannot exceed 500 characters. (Limit length. Send email to further explain.)</v>
      </c>
      <c r="H2921" s="25" t="str">
        <f t="shared" ca="1" si="330"/>
        <v/>
      </c>
      <c r="I2921" s="25" t="str">
        <f t="shared" ca="1" si="331"/>
        <v/>
      </c>
      <c r="J2921" s="26" t="str">
        <f t="shared" ca="1" si="332"/>
        <v/>
      </c>
    </row>
    <row r="2922" spans="1:10" x14ac:dyDescent="0.25">
      <c r="A2922" t="s">
        <v>309</v>
      </c>
      <c r="B2922" t="str">
        <f>ADDRESS(ROW('Bond 1'!$A$47),COLUMN('Bond 1'!$A$47),4)</f>
        <v>A47</v>
      </c>
      <c r="C2922" t="str">
        <f>ADDRESS(ROW('Bond 1'!$D$46),COLUMN('Bond 1'!$D$46),4)</f>
        <v>D46</v>
      </c>
      <c r="D2922" t="b" cm="1">
        <f t="array" aca="1" ref="D2922" ca="1">IF(LEN(INDIRECT("'"&amp;A2922&amp;"'!"&amp;B2922))&gt;500,TRUE,FALSE)</f>
        <v>0</v>
      </c>
      <c r="E2922" t="s">
        <v>636</v>
      </c>
      <c r="F2922" t="str">
        <f>INDEX(Lists!I:I,MATCH(Validation!E2922,Lists!G:G,0))</f>
        <v>Error</v>
      </c>
      <c r="G2922" t="str">
        <f>INDEX(Lists!H:H,MATCH(Validation!E2922,Lists!G:G,0))</f>
        <v>Comments cannot exceed 500 characters. (Limit length. Send email to further explain.)</v>
      </c>
      <c r="H2922" s="25" t="str">
        <f t="shared" ca="1" si="330"/>
        <v/>
      </c>
      <c r="I2922" s="25" t="str">
        <f t="shared" ca="1" si="331"/>
        <v/>
      </c>
      <c r="J2922" s="26" t="str">
        <f t="shared" ca="1" si="332"/>
        <v/>
      </c>
    </row>
    <row r="2923" spans="1:10" x14ac:dyDescent="0.25">
      <c r="A2923" t="s">
        <v>310</v>
      </c>
      <c r="B2923" t="str">
        <f>ADDRESS(ROW('Bond 1'!$A$47),COLUMN('Bond 1'!$A$47),4)</f>
        <v>A47</v>
      </c>
      <c r="C2923" t="str">
        <f>ADDRESS(ROW('Bond 1'!$D$46),COLUMN('Bond 1'!$D$46),4)</f>
        <v>D46</v>
      </c>
      <c r="D2923" t="b" cm="1">
        <f t="array" aca="1" ref="D2923" ca="1">IF(LEN(INDIRECT("'"&amp;A2923&amp;"'!"&amp;B2923))&gt;500,TRUE,FALSE)</f>
        <v>0</v>
      </c>
      <c r="E2923" t="s">
        <v>636</v>
      </c>
      <c r="F2923" t="str">
        <f>INDEX(Lists!I:I,MATCH(Validation!E2923,Lists!G:G,0))</f>
        <v>Error</v>
      </c>
      <c r="G2923" t="str">
        <f>INDEX(Lists!H:H,MATCH(Validation!E2923,Lists!G:G,0))</f>
        <v>Comments cannot exceed 500 characters. (Limit length. Send email to further explain.)</v>
      </c>
      <c r="H2923" s="25" t="str">
        <f t="shared" ca="1" si="330"/>
        <v/>
      </c>
      <c r="I2923" s="25" t="str">
        <f t="shared" ca="1" si="331"/>
        <v/>
      </c>
      <c r="J2923" s="26" t="str">
        <f t="shared" ca="1" si="332"/>
        <v/>
      </c>
    </row>
    <row r="2924" spans="1:10" x14ac:dyDescent="0.25">
      <c r="A2924" t="s">
        <v>311</v>
      </c>
      <c r="B2924" t="str">
        <f>ADDRESS(ROW('Bond 1'!$A$47),COLUMN('Bond 1'!$A$47),4)</f>
        <v>A47</v>
      </c>
      <c r="C2924" t="str">
        <f>ADDRESS(ROW('Bond 1'!$D$46),COLUMN('Bond 1'!$D$46),4)</f>
        <v>D46</v>
      </c>
      <c r="D2924" t="b" cm="1">
        <f t="array" aca="1" ref="D2924" ca="1">IF(LEN(INDIRECT("'"&amp;A2924&amp;"'!"&amp;B2924))&gt;500,TRUE,FALSE)</f>
        <v>0</v>
      </c>
      <c r="E2924" t="s">
        <v>636</v>
      </c>
      <c r="F2924" t="str">
        <f>INDEX(Lists!I:I,MATCH(Validation!E2924,Lists!G:G,0))</f>
        <v>Error</v>
      </c>
      <c r="G2924" t="str">
        <f>INDEX(Lists!H:H,MATCH(Validation!E2924,Lists!G:G,0))</f>
        <v>Comments cannot exceed 500 characters. (Limit length. Send email to further explain.)</v>
      </c>
      <c r="H2924" s="25" t="str">
        <f t="shared" ca="1" si="330"/>
        <v/>
      </c>
      <c r="I2924" s="25" t="str">
        <f t="shared" ca="1" si="331"/>
        <v/>
      </c>
      <c r="J2924" s="26" t="str">
        <f t="shared" ca="1" si="332"/>
        <v/>
      </c>
    </row>
    <row r="2925" spans="1:10" x14ac:dyDescent="0.25">
      <c r="A2925" t="s">
        <v>312</v>
      </c>
      <c r="B2925" t="str">
        <f>ADDRESS(ROW('Bond 1'!$A$47),COLUMN('Bond 1'!$A$47),4)</f>
        <v>A47</v>
      </c>
      <c r="C2925" t="str">
        <f>ADDRESS(ROW('Bond 1'!$D$46),COLUMN('Bond 1'!$D$46),4)</f>
        <v>D46</v>
      </c>
      <c r="D2925" t="b" cm="1">
        <f t="array" aca="1" ref="D2925" ca="1">IF(LEN(INDIRECT("'"&amp;A2925&amp;"'!"&amp;B2925))&gt;500,TRUE,FALSE)</f>
        <v>0</v>
      </c>
      <c r="E2925" t="s">
        <v>636</v>
      </c>
      <c r="F2925" t="str">
        <f>INDEX(Lists!I:I,MATCH(Validation!E2925,Lists!G:G,0))</f>
        <v>Error</v>
      </c>
      <c r="G2925" t="str">
        <f>INDEX(Lists!H:H,MATCH(Validation!E2925,Lists!G:G,0))</f>
        <v>Comments cannot exceed 500 characters. (Limit length. Send email to further explain.)</v>
      </c>
      <c r="H2925" s="25" t="str">
        <f t="shared" ca="1" si="330"/>
        <v/>
      </c>
      <c r="I2925" s="25" t="str">
        <f t="shared" ca="1" si="331"/>
        <v/>
      </c>
      <c r="J2925" s="26" t="str">
        <f t="shared" ca="1" si="332"/>
        <v/>
      </c>
    </row>
    <row r="2926" spans="1:10" x14ac:dyDescent="0.25">
      <c r="A2926" t="s">
        <v>313</v>
      </c>
      <c r="B2926" t="str">
        <f>ADDRESS(ROW('Bond 1'!$A$47),COLUMN('Bond 1'!$A$47),4)</f>
        <v>A47</v>
      </c>
      <c r="C2926" t="str">
        <f>ADDRESS(ROW('Bond 1'!$D$46),COLUMN('Bond 1'!$D$46),4)</f>
        <v>D46</v>
      </c>
      <c r="D2926" t="b" cm="1">
        <f t="array" aca="1" ref="D2926" ca="1">IF(LEN(INDIRECT("'"&amp;A2926&amp;"'!"&amp;B2926))&gt;500,TRUE,FALSE)</f>
        <v>0</v>
      </c>
      <c r="E2926" t="s">
        <v>636</v>
      </c>
      <c r="F2926" t="str">
        <f>INDEX(Lists!I:I,MATCH(Validation!E2926,Lists!G:G,0))</f>
        <v>Error</v>
      </c>
      <c r="G2926" t="str">
        <f>INDEX(Lists!H:H,MATCH(Validation!E2926,Lists!G:G,0))</f>
        <v>Comments cannot exceed 500 characters. (Limit length. Send email to further explain.)</v>
      </c>
      <c r="H2926" s="25" t="str">
        <f t="shared" ca="1" si="330"/>
        <v/>
      </c>
      <c r="I2926" s="25" t="str">
        <f t="shared" ca="1" si="331"/>
        <v/>
      </c>
      <c r="J2926" s="26" t="str">
        <f t="shared" ca="1" si="332"/>
        <v/>
      </c>
    </row>
    <row r="2927" spans="1:10" x14ac:dyDescent="0.25">
      <c r="A2927" t="s">
        <v>314</v>
      </c>
      <c r="B2927" t="str">
        <f>ADDRESS(ROW('Bond 1'!$A$47),COLUMN('Bond 1'!$A$47),4)</f>
        <v>A47</v>
      </c>
      <c r="C2927" t="str">
        <f>ADDRESS(ROW('Bond 1'!$D$46),COLUMN('Bond 1'!$D$46),4)</f>
        <v>D46</v>
      </c>
      <c r="D2927" t="b" cm="1">
        <f t="array" aca="1" ref="D2927" ca="1">IF(LEN(INDIRECT("'"&amp;A2927&amp;"'!"&amp;B2927))&gt;500,TRUE,FALSE)</f>
        <v>0</v>
      </c>
      <c r="E2927" t="s">
        <v>636</v>
      </c>
      <c r="F2927" t="str">
        <f>INDEX(Lists!I:I,MATCH(Validation!E2927,Lists!G:G,0))</f>
        <v>Error</v>
      </c>
      <c r="G2927" t="str">
        <f>INDEX(Lists!H:H,MATCH(Validation!E2927,Lists!G:G,0))</f>
        <v>Comments cannot exceed 500 characters. (Limit length. Send email to further explain.)</v>
      </c>
      <c r="H2927" s="25" t="str">
        <f t="shared" ca="1" si="330"/>
        <v/>
      </c>
      <c r="I2927" s="25" t="str">
        <f t="shared" ca="1" si="331"/>
        <v/>
      </c>
      <c r="J2927" s="26" t="str">
        <f t="shared" ca="1" si="332"/>
        <v/>
      </c>
    </row>
    <row r="2928" spans="1:10" x14ac:dyDescent="0.25">
      <c r="A2928" t="s">
        <v>315</v>
      </c>
      <c r="B2928" t="str">
        <f>ADDRESS(ROW('Bond 1'!$A$47),COLUMN('Bond 1'!$A$47),4)</f>
        <v>A47</v>
      </c>
      <c r="C2928" t="str">
        <f>ADDRESS(ROW('Bond 1'!$D$46),COLUMN('Bond 1'!$D$46),4)</f>
        <v>D46</v>
      </c>
      <c r="D2928" t="b" cm="1">
        <f t="array" aca="1" ref="D2928" ca="1">IF(LEN(INDIRECT("'"&amp;A2928&amp;"'!"&amp;B2928))&gt;500,TRUE,FALSE)</f>
        <v>0</v>
      </c>
      <c r="E2928" t="s">
        <v>636</v>
      </c>
      <c r="F2928" t="str">
        <f>INDEX(Lists!I:I,MATCH(Validation!E2928,Lists!G:G,0))</f>
        <v>Error</v>
      </c>
      <c r="G2928" t="str">
        <f>INDEX(Lists!H:H,MATCH(Validation!E2928,Lists!G:G,0))</f>
        <v>Comments cannot exceed 500 characters. (Limit length. Send email to further explain.)</v>
      </c>
      <c r="H2928" s="25" t="str">
        <f t="shared" ca="1" si="330"/>
        <v/>
      </c>
      <c r="I2928" s="25" t="str">
        <f t="shared" ca="1" si="331"/>
        <v/>
      </c>
      <c r="J2928" s="26" t="str">
        <f t="shared" ca="1" si="332"/>
        <v/>
      </c>
    </row>
    <row r="2929" spans="1:10" x14ac:dyDescent="0.25">
      <c r="A2929" t="s">
        <v>109</v>
      </c>
      <c r="B2929" t="str">
        <f>ADDRESS(ROW(TIF_PAYG_PAYGInd_Entry),COLUMN(TIF_PAYG_PAYGInd_Entry),4)</f>
        <v>B6</v>
      </c>
      <c r="C2929" t="str">
        <f>ADDRESS(ROW(PAYGs!$C$6),COLUMN(PAYGs!$C$6),4)</f>
        <v>C6</v>
      </c>
      <c r="D2929" s="18" t="b">
        <f>IF(TIF_PAYG_PAYGInd_Entry="Select One",TRUE,FALSE)</f>
        <v>0</v>
      </c>
      <c r="E2929" t="s">
        <v>73</v>
      </c>
      <c r="F2929" t="str">
        <f>INDEX(Lists!I:I,MATCH(Validation!E2929,Lists!G:G,0))</f>
        <v>Error</v>
      </c>
      <c r="G2929" t="str">
        <f>INDEX(Lists!H:H,MATCH(Validation!E2929,Lists!G:G,0))</f>
        <v>You must select Yes or No.</v>
      </c>
      <c r="H2929" s="16" t="str">
        <f t="shared" ca="1" si="330"/>
        <v/>
      </c>
      <c r="I2929" s="16" t="str">
        <f t="shared" ca="1" si="331"/>
        <v/>
      </c>
      <c r="J2929" s="17" t="str">
        <f t="shared" si="332"/>
        <v/>
      </c>
    </row>
    <row r="2930" spans="1:10" x14ac:dyDescent="0.25">
      <c r="A2930" t="s">
        <v>109</v>
      </c>
      <c r="B2930" t="str">
        <f>ADDRESS(ROW(TIF_PAYG_PAYGInd_Entry),COLUMN(TIF_PAYG_PAYGInd_Entry),4)</f>
        <v>B6</v>
      </c>
      <c r="C2930" t="str">
        <f>ADDRESS(ROW(PAYGs!$C$6),COLUMN(PAYGs!$C$6),4)</f>
        <v>C6</v>
      </c>
      <c r="D2930" s="18" t="b">
        <f>IF(AND(TIF_PAYG_PAYGInd_Input=TRUE,TIF_PAYG_PAYGInd_Entry="No"),TRUE,FALSE)</f>
        <v>0</v>
      </c>
      <c r="E2930" t="s">
        <v>491</v>
      </c>
      <c r="F2930" t="str">
        <f>INDEX(Lists!I:I,MATCH(Validation!E2930,Lists!G:G,0))</f>
        <v>Error</v>
      </c>
      <c r="G2930" t="str">
        <f>INDEX(Lists!H:H,MATCH(Validation!E2930,Lists!G:G,0))</f>
        <v>Yes was previously reported and must be selected. Contact TIF Division to change.</v>
      </c>
      <c r="H2930" s="16" t="str">
        <f t="shared" ca="1" si="330"/>
        <v/>
      </c>
      <c r="I2930" s="16" t="str">
        <f t="shared" ca="1" si="331"/>
        <v/>
      </c>
      <c r="J2930" s="17" t="str">
        <f t="shared" si="332"/>
        <v/>
      </c>
    </row>
    <row r="2931" spans="1:10" x14ac:dyDescent="0.25">
      <c r="A2931" t="s">
        <v>109</v>
      </c>
      <c r="B2931" t="str">
        <f>ADDRESS(ROW(TIF_PAYG_PAYGInd_Entry),COLUMN(TIF_PAYG_PAYGInd_Entry),4)</f>
        <v>B6</v>
      </c>
      <c r="C2931" t="str">
        <f>ADDRESS(ROW(PAYGs!$C$6),COLUMN(PAYGs!$C$6),4)</f>
        <v>C6</v>
      </c>
      <c r="D2931" s="18" t="b">
        <f>IF(AND(TIF_PAYG_PAYGInd_Entry="Yes",ISBLANK('PAYG Input'!C5)),TRUE,FALSE)</f>
        <v>0</v>
      </c>
      <c r="E2931" t="s">
        <v>699</v>
      </c>
      <c r="F2931" t="str">
        <f>INDEX(Lists!I:I,MATCH(Validation!E2931,Lists!G:G,0))</f>
        <v>Error</v>
      </c>
      <c r="G2931" t="str">
        <f>INDEX(Lists!H:H,MATCH(Validation!E2931,Lists!G:G,0))</f>
        <v>If Yes, you must report at least one PAYG note below.</v>
      </c>
      <c r="H2931" s="16" t="str">
        <f t="shared" ca="1" si="330"/>
        <v/>
      </c>
      <c r="I2931" s="16" t="str">
        <f t="shared" ca="1" si="331"/>
        <v/>
      </c>
      <c r="J2931" s="17" t="str">
        <f t="shared" si="332"/>
        <v/>
      </c>
    </row>
    <row r="2932" spans="1:10" x14ac:dyDescent="0.25">
      <c r="A2932" t="s">
        <v>109</v>
      </c>
      <c r="B2932" t="str">
        <f>ADDRESS(ROW(TIF_PAYG_PAYGInd_Entry),COLUMN(TIF_PAYG_PAYGInd_Entry),4)</f>
        <v>B6</v>
      </c>
      <c r="C2932" t="str">
        <f>ADDRESS(ROW(PAYGs!$C$6),COLUMN(PAYGs!$C$6),4)</f>
        <v>C6</v>
      </c>
      <c r="D2932" s="18" t="b">
        <f>IF(AND(TIF_PAYG_PAYGInd_Entry="No",NOT(ISBLANK('PAYG Input'!C5))),TRUE,FALSE)</f>
        <v>0</v>
      </c>
      <c r="E2932" t="s">
        <v>703</v>
      </c>
      <c r="F2932" t="str">
        <f>INDEX(Lists!I:I,MATCH(Validation!E2932,Lists!G:G,0))</f>
        <v>Error</v>
      </c>
      <c r="G2932" t="str">
        <f>INDEX(Lists!H:H,MATCH(Validation!E2932,Lists!G:G,0))</f>
        <v>You must answer Yes to report PAYG information below.</v>
      </c>
      <c r="H2932" s="16" t="str">
        <f t="shared" ca="1" si="330"/>
        <v/>
      </c>
      <c r="I2932" s="16" t="str">
        <f t="shared" ca="1" si="331"/>
        <v/>
      </c>
      <c r="J2932" s="17" t="str">
        <f t="shared" si="332"/>
        <v/>
      </c>
    </row>
    <row r="2933" spans="1:10" x14ac:dyDescent="0.25">
      <c r="A2933" t="s">
        <v>109</v>
      </c>
      <c r="B2933" t="str">
        <f>ADDRESS(ROW(TIF_PAYG_PAYGInd_Entry),COLUMN(TIF_PAYG_PAYGInd_Entry),4)</f>
        <v>B6</v>
      </c>
      <c r="C2933" t="str">
        <f>ADDRESS(ROW(PAYGs!$C$6),COLUMN(PAYGs!$C$6),4)</f>
        <v>C6</v>
      </c>
      <c r="D2933" s="18" t="b">
        <f>IF(TIF_PAYG_PAYGInd_Entry="No",TRUE,FALSE)</f>
        <v>0</v>
      </c>
      <c r="E2933" t="s">
        <v>577</v>
      </c>
      <c r="F2933" t="str">
        <f>INDEX(Lists!I:I,MATCH(Validation!E2933,Lists!G:G,0))</f>
        <v>Information</v>
      </c>
      <c r="G2933" t="str">
        <f>INDEX(Lists!H:H,MATCH(Validation!E2933,Lists!G:G,0))</f>
        <v>If No, skip the remainder of this tab and continue to the next tab.</v>
      </c>
      <c r="H2933" s="16" t="str">
        <f t="shared" ca="1" si="330"/>
        <v/>
      </c>
      <c r="I2933" s="16" t="str">
        <f t="shared" ca="1" si="331"/>
        <v/>
      </c>
      <c r="J2933" s="17" t="str">
        <f t="shared" si="332"/>
        <v/>
      </c>
    </row>
    <row r="2934" spans="1:10" x14ac:dyDescent="0.25">
      <c r="A2934" t="s">
        <v>109</v>
      </c>
      <c r="B2934" t="str">
        <f>ADDRESS(ROW(TIF_DistrictYear_UserCommentsPAYGs),COLUMN(TIF_DistrictYear_UserCommentsPAYGs),4)</f>
        <v>A24</v>
      </c>
      <c r="C2934" t="str">
        <f>ADDRESS(ROW(PAYGs!C$23),COLUMN(PAYGs!C$23),4)</f>
        <v>C23</v>
      </c>
      <c r="D2934" t="b" cm="1">
        <f t="array" aca="1" ref="D2934" ca="1">IF(ISBLANK(INDIRECT("'"&amp;A2934&amp;"'!"&amp;B2934)),FALSE,IF(LEN(TRIM(CLEAN(INDIRECT("'"&amp;A2934&amp;"'!"&amp;B2934))))&lt;15,TRUE,FALSE))</f>
        <v>0</v>
      </c>
      <c r="E2934" t="s">
        <v>635</v>
      </c>
      <c r="F2934" t="str">
        <f>INDEX(Lists!I:I,MATCH(Validation!E2934,Lists!G:G,0))</f>
        <v>Error</v>
      </c>
      <c r="G2934" t="str">
        <f>INDEX(Lists!H:H,MATCH(Validation!E2934,Lists!G:G,0))</f>
        <v>Insufficient information. Please provide a longer comment.</v>
      </c>
      <c r="H2934" s="25" t="str">
        <f t="shared" ca="1" si="330"/>
        <v/>
      </c>
      <c r="I2934" s="25" t="str">
        <f t="shared" ca="1" si="331"/>
        <v/>
      </c>
      <c r="J2934" s="26" t="str">
        <f t="shared" ca="1" si="332"/>
        <v/>
      </c>
    </row>
    <row r="2935" spans="1:10" x14ac:dyDescent="0.25">
      <c r="A2935" t="s">
        <v>109</v>
      </c>
      <c r="B2935" t="str">
        <f>ADDRESS(ROW(TIF_DistrictYear_UserCommentsPAYGs),COLUMN(TIF_DistrictYear_UserCommentsPAYGs),4)</f>
        <v>A24</v>
      </c>
      <c r="C2935" t="str">
        <f>ADDRESS(ROW(PAYGs!C$23),COLUMN(PAYGs!C$23),4)</f>
        <v>C23</v>
      </c>
      <c r="D2935" t="b" cm="1">
        <f t="array" aca="1" ref="D2935" ca="1">IF(LEN(INDIRECT("'"&amp;A2935&amp;"'!"&amp;B2935))&gt;500,TRUE,FALSE)</f>
        <v>0</v>
      </c>
      <c r="E2935" t="s">
        <v>636</v>
      </c>
      <c r="F2935" t="str">
        <f>INDEX(Lists!I:I,MATCH(Validation!E2935,Lists!G:G,0))</f>
        <v>Error</v>
      </c>
      <c r="G2935" t="str">
        <f>INDEX(Lists!H:H,MATCH(Validation!E2935,Lists!G:G,0))</f>
        <v>Comments cannot exceed 500 characters. (Limit length. Send email to further explain.)</v>
      </c>
      <c r="H2935" s="25" t="str">
        <f t="shared" ca="1" si="330"/>
        <v/>
      </c>
      <c r="I2935" s="25" t="str">
        <f t="shared" ca="1" si="331"/>
        <v/>
      </c>
      <c r="J2935" s="26" t="str">
        <f t="shared" ca="1" si="332"/>
        <v/>
      </c>
    </row>
    <row r="2936" spans="1:10" x14ac:dyDescent="0.25">
      <c r="A2936" t="s">
        <v>203</v>
      </c>
      <c r="B2936" t="str">
        <f>ADDRESS(ROW('PAYG 1'!$B$6),COLUMN('PAYG 1'!$B$6),4)</f>
        <v>B6</v>
      </c>
      <c r="C2936" t="str">
        <f>ADDRESS(ROW('PAYG 1'!$D$6),COLUMN('PAYG 1'!$D$6),4)</f>
        <v>D6</v>
      </c>
      <c r="D2936" s="41" t="b">
        <f>IF(NOT('PAYG 1'!B$7=""),IF((COUNTIF('PAYG 1'!B$8:B$12,"")+COUNTIF('PAYG 1'!B$15:B$20,"")+COUNTBLANK('PAYG 1'!C$15:C$20)+COUNTIF('PAYG 1'!B$22:B$23,"")+COUNTBLANK('PAYG 1'!C$22:C$23)+COUNTIF('PAYG 1'!B$25:B$26,"")+COUNTIF('PAYG 1'!C$25:C$26,"")+COUNTIF('PAYG 1'!B$28:B$29,"")+COUNTBLANK('PAYG 1'!C$28:C$29)+COUNTBLANK('PAYG 1'!B$31)+COUNTBLANK('PAYG 1'!B$32))&gt;0,TRUE,FALSE))</f>
        <v>1</v>
      </c>
      <c r="E2936" t="s">
        <v>632</v>
      </c>
      <c r="F2936" t="str">
        <f>INDEX(Lists!I:I,MATCH(Validation!E2936,Lists!G:G,0))</f>
        <v>Error</v>
      </c>
      <c r="G2936" t="str">
        <f>INDEX(Lists!H:H,MATCH(Validation!E2936,Lists!G:G,0))</f>
        <v xml:space="preserve">Complete entry of all rows on this tab. (Enter zero when appropriate.) </v>
      </c>
      <c r="H2936" s="25" t="str">
        <f t="shared" ref="H2936:H2954" ca="1" si="333">IFERROR(IF(OR(NOT(D2936),F2936&lt;&gt;"Error"),"",A2936&amp;CELL("address",INDIRECT(B2936))),"")</f>
        <v>PAYG 1$B$6</v>
      </c>
      <c r="I2936" s="25" t="str">
        <f t="shared" ref="I2936:I2954" ca="1" si="334">IFERROR(IF(NOT(D2936),"",A2936&amp;CELL("address",INDIRECT(C2936))),"")</f>
        <v>PAYG 1$D$6</v>
      </c>
      <c r="J2936" s="26" t="str">
        <f t="shared" ref="J2936:J2954" si="335">IFERROR(IF(NOT(D2936),"",A2936),"")</f>
        <v>PAYG 1</v>
      </c>
    </row>
    <row r="2937" spans="1:10" x14ac:dyDescent="0.25">
      <c r="A2937" t="s">
        <v>651</v>
      </c>
      <c r="B2937" t="str">
        <f>ADDRESS(ROW('PAYG 1'!$B$6),COLUMN('PAYG 1'!$B$6),4)</f>
        <v>B6</v>
      </c>
      <c r="C2937" t="str">
        <f>ADDRESS(ROW('PAYG 1'!$D$6),COLUMN('PAYG 1'!$D$6),4)</f>
        <v>D6</v>
      </c>
      <c r="D2937" s="41" t="b">
        <f>IF(NOT('PAYG 2'!B$7=""),IF((COUNTIF('PAYG 2'!B$8:B$12,"")+COUNTIF('PAYG 2'!B$15:B$20,"")+COUNTBLANK('PAYG 2'!C$15:C$20)+COUNTIF('PAYG 2'!B$22:B$23,"")+COUNTBLANK('PAYG 2'!C$22:C$23)+COUNTIF('PAYG 2'!B$25:B$26,"")+COUNTIF('PAYG 2'!C$25:C$26,"")+COUNTIF('PAYG 2'!B$28:B$29,"")+COUNTBLANK('PAYG 2'!C$28:C$29)+COUNTBLANK('PAYG 2'!B$31)+COUNTBLANK('PAYG 2'!B$32))&gt;0,TRUE,FALSE))</f>
        <v>1</v>
      </c>
      <c r="E2937" t="s">
        <v>632</v>
      </c>
      <c r="F2937" t="str">
        <f>INDEX(Lists!I:I,MATCH(Validation!E2937,Lists!G:G,0))</f>
        <v>Error</v>
      </c>
      <c r="G2937" t="str">
        <f>INDEX(Lists!H:H,MATCH(Validation!E2937,Lists!G:G,0))</f>
        <v xml:space="preserve">Complete entry of all rows on this tab. (Enter zero when appropriate.) </v>
      </c>
      <c r="H2937" s="25" t="str">
        <f t="shared" ca="1" si="333"/>
        <v>PAYG 2$B$6</v>
      </c>
      <c r="I2937" s="25" t="str">
        <f t="shared" ca="1" si="334"/>
        <v>PAYG 2$D$6</v>
      </c>
      <c r="J2937" s="26" t="str">
        <f t="shared" si="335"/>
        <v>PAYG 2</v>
      </c>
    </row>
    <row r="2938" spans="1:10" x14ac:dyDescent="0.25">
      <c r="A2938" t="s">
        <v>652</v>
      </c>
      <c r="B2938" t="str">
        <f>ADDRESS(ROW('PAYG 1'!$B$6),COLUMN('PAYG 1'!$B$6),4)</f>
        <v>B6</v>
      </c>
      <c r="C2938" t="str">
        <f>ADDRESS(ROW('PAYG 1'!$D$6),COLUMN('PAYG 1'!$D$6),4)</f>
        <v>D6</v>
      </c>
      <c r="D2938" s="41" t="b">
        <f>IF(NOT('PAYG 3'!B$7=""),IF((COUNTIF('PAYG 3'!B$8:B$12,"")+COUNTIF('PAYG 3'!B$15:B$20,"")+COUNTBLANK('PAYG 3'!C$15:C$20)+COUNTIF('PAYG 3'!B$22:B$23,"")+COUNTBLANK('PAYG 3'!C$22:C$23)+COUNTIF('PAYG 3'!B$25:B$26,"")+COUNTIF('PAYG 3'!C$25:C$26,"")+COUNTIF('PAYG 3'!B$28:B$29,"")+COUNTBLANK('PAYG 3'!C$28:C$29)+COUNTBLANK('PAYG 3'!B$31)+COUNTBLANK('PAYG 3'!B$32))&gt;0,TRUE,FALSE))</f>
        <v>0</v>
      </c>
      <c r="E2938" t="s">
        <v>632</v>
      </c>
      <c r="F2938" t="str">
        <f>INDEX(Lists!I:I,MATCH(Validation!E2938,Lists!G:G,0))</f>
        <v>Error</v>
      </c>
      <c r="G2938" t="str">
        <f>INDEX(Lists!H:H,MATCH(Validation!E2938,Lists!G:G,0))</f>
        <v xml:space="preserve">Complete entry of all rows on this tab. (Enter zero when appropriate.) </v>
      </c>
      <c r="H2938" s="25" t="str">
        <f t="shared" ca="1" si="333"/>
        <v/>
      </c>
      <c r="I2938" s="25" t="str">
        <f t="shared" ca="1" si="334"/>
        <v/>
      </c>
      <c r="J2938" s="26" t="str">
        <f t="shared" si="335"/>
        <v/>
      </c>
    </row>
    <row r="2939" spans="1:10" x14ac:dyDescent="0.25">
      <c r="A2939" t="s">
        <v>653</v>
      </c>
      <c r="B2939" t="str">
        <f>ADDRESS(ROW('PAYG 1'!$B$6),COLUMN('PAYG 1'!$B$6),4)</f>
        <v>B6</v>
      </c>
      <c r="C2939" t="str">
        <f>ADDRESS(ROW('PAYG 1'!$D$6),COLUMN('PAYG 1'!$D$6),4)</f>
        <v>D6</v>
      </c>
      <c r="D2939" s="41" t="b">
        <f>IF(NOT('PAYG 4'!B$7=""),IF((COUNTIF('PAYG 4'!B$8:B$12,"")+COUNTIF('PAYG 4'!B$15:B$20,"")+COUNTBLANK('PAYG 4'!C$15:C$20)+COUNTIF('PAYG 4'!B$22:B$23,"")+COUNTBLANK('PAYG 4'!C$22:C$23)+COUNTIF('PAYG 4'!B$25:B$26,"")+COUNTIF('PAYG 4'!C$25:C$26,"")+COUNTIF('PAYG 4'!B$28:B$29,"")+COUNTBLANK('PAYG 4'!C$28:C$29)+COUNTBLANK('PAYG 4'!B$31)+COUNTBLANK('PAYG 4'!B$32))&gt;0,TRUE,FALSE))</f>
        <v>0</v>
      </c>
      <c r="E2939" t="s">
        <v>632</v>
      </c>
      <c r="F2939" t="str">
        <f>INDEX(Lists!I:I,MATCH(Validation!E2939,Lists!G:G,0))</f>
        <v>Error</v>
      </c>
      <c r="G2939" t="str">
        <f>INDEX(Lists!H:H,MATCH(Validation!E2939,Lists!G:G,0))</f>
        <v xml:space="preserve">Complete entry of all rows on this tab. (Enter zero when appropriate.) </v>
      </c>
      <c r="H2939" s="25" t="str">
        <f t="shared" ca="1" si="333"/>
        <v/>
      </c>
      <c r="I2939" s="25" t="str">
        <f t="shared" ca="1" si="334"/>
        <v/>
      </c>
      <c r="J2939" s="26" t="str">
        <f t="shared" si="335"/>
        <v/>
      </c>
    </row>
    <row r="2940" spans="1:10" x14ac:dyDescent="0.25">
      <c r="A2940" t="s">
        <v>654</v>
      </c>
      <c r="B2940" t="str">
        <f>ADDRESS(ROW('PAYG 1'!$B$6),COLUMN('PAYG 1'!$B$6),4)</f>
        <v>B6</v>
      </c>
      <c r="C2940" t="str">
        <f>ADDRESS(ROW('PAYG 1'!$D$6),COLUMN('PAYG 1'!$D$6),4)</f>
        <v>D6</v>
      </c>
      <c r="D2940" s="41" t="b">
        <f>IF(NOT('PAYG 5'!B$7=""),IF((COUNTIF('PAYG 5'!B$8:B$12,"")+COUNTIF('PAYG 5'!B$15:B$20,"")+COUNTBLANK('PAYG 5'!C$15:C$20)+COUNTIF('PAYG 5'!B$22:B$23,"")+COUNTBLANK('PAYG 5'!C$22:C$23)+COUNTIF('PAYG 5'!B$25:B$26,"")+COUNTIF('PAYG 5'!C$25:C$26,"")+COUNTIF('PAYG 5'!B$28:B$29,"")+COUNTBLANK('PAYG 5'!C$28:C$29)+COUNTBLANK('PAYG 5'!B$31)+COUNTBLANK('PAYG 5'!B$32))&gt;0,TRUE,FALSE))</f>
        <v>0</v>
      </c>
      <c r="E2940" t="s">
        <v>632</v>
      </c>
      <c r="F2940" t="str">
        <f>INDEX(Lists!I:I,MATCH(Validation!E2940,Lists!G:G,0))</f>
        <v>Error</v>
      </c>
      <c r="G2940" t="str">
        <f>INDEX(Lists!H:H,MATCH(Validation!E2940,Lists!G:G,0))</f>
        <v xml:space="preserve">Complete entry of all rows on this tab. (Enter zero when appropriate.) </v>
      </c>
      <c r="H2940" s="25" t="str">
        <f t="shared" ca="1" si="333"/>
        <v/>
      </c>
      <c r="I2940" s="25" t="str">
        <f t="shared" ca="1" si="334"/>
        <v/>
      </c>
      <c r="J2940" s="26" t="str">
        <f t="shared" si="335"/>
        <v/>
      </c>
    </row>
    <row r="2941" spans="1:10" x14ac:dyDescent="0.25">
      <c r="A2941" t="s">
        <v>655</v>
      </c>
      <c r="B2941" t="str">
        <f>ADDRESS(ROW('PAYG 1'!$B$6),COLUMN('PAYG 1'!$B$6),4)</f>
        <v>B6</v>
      </c>
      <c r="C2941" t="str">
        <f>ADDRESS(ROW('PAYG 1'!$D$6),COLUMN('PAYG 1'!$D$6),4)</f>
        <v>D6</v>
      </c>
      <c r="D2941" s="41" t="b">
        <f>IF(NOT('PAYG 6'!B$7=""),IF((COUNTIF('PAYG 6'!B$8:B$12,"")+COUNTIF('PAYG 6'!B$15:B$20,"")+COUNTBLANK('PAYG 6'!C$15:C$20)+COUNTIF('PAYG 6'!B$22:B$23,"")+COUNTBLANK('PAYG 6'!C$22:C$23)+COUNTIF('PAYG 6'!B$25:B$26,"")+COUNTIF('PAYG 6'!C$25:C$26,"")+COUNTIF('PAYG 6'!B$28:B$29,"")+COUNTBLANK('PAYG 6'!C$28:C$29)+COUNTBLANK('PAYG 6'!B$31)+COUNTBLANK('PAYG 6'!B$32))&gt;0,TRUE,FALSE))</f>
        <v>0</v>
      </c>
      <c r="E2941" t="s">
        <v>632</v>
      </c>
      <c r="F2941" t="str">
        <f>INDEX(Lists!I:I,MATCH(Validation!E2941,Lists!G:G,0))</f>
        <v>Error</v>
      </c>
      <c r="G2941" t="str">
        <f>INDEX(Lists!H:H,MATCH(Validation!E2941,Lists!G:G,0))</f>
        <v xml:space="preserve">Complete entry of all rows on this tab. (Enter zero when appropriate.) </v>
      </c>
      <c r="H2941" s="25" t="str">
        <f t="shared" ca="1" si="333"/>
        <v/>
      </c>
      <c r="I2941" s="25" t="str">
        <f t="shared" ca="1" si="334"/>
        <v/>
      </c>
      <c r="J2941" s="26" t="str">
        <f t="shared" si="335"/>
        <v/>
      </c>
    </row>
    <row r="2942" spans="1:10" x14ac:dyDescent="0.25">
      <c r="A2942" t="s">
        <v>656</v>
      </c>
      <c r="B2942" t="str">
        <f>ADDRESS(ROW('PAYG 1'!$B$6),COLUMN('PAYG 1'!$B$6),4)</f>
        <v>B6</v>
      </c>
      <c r="C2942" t="str">
        <f>ADDRESS(ROW('PAYG 1'!$D$6),COLUMN('PAYG 1'!$D$6),4)</f>
        <v>D6</v>
      </c>
      <c r="D2942" s="41" t="b">
        <f>IF(NOT('PAYG 7'!B$7=""),IF((COUNTIF('PAYG 7'!B$8:B$12,"")+COUNTIF('PAYG 7'!B$15:B$20,"")+COUNTBLANK('PAYG 7'!C$15:C$20)+COUNTIF('PAYG 7'!B$22:B$23,"")+COUNTBLANK('PAYG 7'!C$22:C$23)+COUNTIF('PAYG 7'!B$25:B$26,"")+COUNTIF('PAYG 7'!C$25:C$26,"")+COUNTIF('PAYG 7'!B$28:B$29,"")+COUNTBLANK('PAYG 7'!C$28:C$29)+COUNTBLANK('PAYG 7'!B$31)+COUNTBLANK('PAYG 7'!B$32))&gt;0,TRUE,FALSE))</f>
        <v>0</v>
      </c>
      <c r="E2942" t="s">
        <v>632</v>
      </c>
      <c r="F2942" t="str">
        <f>INDEX(Lists!I:I,MATCH(Validation!E2942,Lists!G:G,0))</f>
        <v>Error</v>
      </c>
      <c r="G2942" t="str">
        <f>INDEX(Lists!H:H,MATCH(Validation!E2942,Lists!G:G,0))</f>
        <v xml:space="preserve">Complete entry of all rows on this tab. (Enter zero when appropriate.) </v>
      </c>
      <c r="H2942" s="25" t="str">
        <f t="shared" ca="1" si="333"/>
        <v/>
      </c>
      <c r="I2942" s="25" t="str">
        <f t="shared" ca="1" si="334"/>
        <v/>
      </c>
      <c r="J2942" s="26" t="str">
        <f t="shared" si="335"/>
        <v/>
      </c>
    </row>
    <row r="2943" spans="1:10" x14ac:dyDescent="0.25">
      <c r="A2943" t="s">
        <v>657</v>
      </c>
      <c r="B2943" t="str">
        <f>ADDRESS(ROW('PAYG 1'!$B$6),COLUMN('PAYG 1'!$B$6),4)</f>
        <v>B6</v>
      </c>
      <c r="C2943" t="str">
        <f>ADDRESS(ROW('PAYG 1'!$D$6),COLUMN('PAYG 1'!$D$6),4)</f>
        <v>D6</v>
      </c>
      <c r="D2943" s="41" t="b">
        <f>IF(NOT('PAYG 8'!B$7=""),IF((COUNTIF('PAYG 8'!B$8:B$12,"")+COUNTIF('PAYG 8'!B$15:B$20,"")+COUNTBLANK('PAYG 8'!C$15:C$20)+COUNTIF('PAYG 8'!B$22:B$23,"")+COUNTBLANK('PAYG 8'!C$22:C$23)+COUNTIF('PAYG 8'!B$25:B$26,"")+COUNTIF('PAYG 8'!C$25:C$26,"")+COUNTIF('PAYG 8'!B$28:B$29,"")+COUNTBLANK('PAYG 8'!C$28:C$29)+COUNTBLANK('PAYG 8'!B$31)+COUNTBLANK('PAYG 8'!B$32))&gt;0,TRUE,FALSE))</f>
        <v>0</v>
      </c>
      <c r="E2943" t="s">
        <v>632</v>
      </c>
      <c r="F2943" t="str">
        <f>INDEX(Lists!I:I,MATCH(Validation!E2943,Lists!G:G,0))</f>
        <v>Error</v>
      </c>
      <c r="G2943" t="str">
        <f>INDEX(Lists!H:H,MATCH(Validation!E2943,Lists!G:G,0))</f>
        <v xml:space="preserve">Complete entry of all rows on this tab. (Enter zero when appropriate.) </v>
      </c>
      <c r="H2943" s="25" t="str">
        <f t="shared" ca="1" si="333"/>
        <v/>
      </c>
      <c r="I2943" s="25" t="str">
        <f t="shared" ca="1" si="334"/>
        <v/>
      </c>
      <c r="J2943" s="26" t="str">
        <f t="shared" si="335"/>
        <v/>
      </c>
    </row>
    <row r="2944" spans="1:10" x14ac:dyDescent="0.25">
      <c r="A2944" t="s">
        <v>658</v>
      </c>
      <c r="B2944" t="str">
        <f>ADDRESS(ROW('PAYG 1'!$B$6),COLUMN('PAYG 1'!$B$6),4)</f>
        <v>B6</v>
      </c>
      <c r="C2944" t="str">
        <f>ADDRESS(ROW('PAYG 1'!$D$6),COLUMN('PAYG 1'!$D$6),4)</f>
        <v>D6</v>
      </c>
      <c r="D2944" s="41" t="b">
        <f>IF(NOT('PAYG 9'!B$7=""),IF((COUNTIF('PAYG 9'!B$8:B$12,"")+COUNTIF('PAYG 9'!B$15:B$20,"")+COUNTBLANK('PAYG 9'!C$15:C$20)+COUNTIF('PAYG 9'!B$22:B$23,"")+COUNTBLANK('PAYG 9'!C$22:C$23)+COUNTIF('PAYG 9'!B$25:B$26,"")+COUNTIF('PAYG 9'!C$25:C$26,"")+COUNTIF('PAYG 9'!B$28:B$29,"")+COUNTBLANK('PAYG 9'!C$28:C$29)+COUNTBLANK('PAYG 9'!B$31)+COUNTBLANK('PAYG 9'!B$32))&gt;0,TRUE,FALSE))</f>
        <v>0</v>
      </c>
      <c r="E2944" t="s">
        <v>632</v>
      </c>
      <c r="F2944" t="str">
        <f>INDEX(Lists!I:I,MATCH(Validation!E2944,Lists!G:G,0))</f>
        <v>Error</v>
      </c>
      <c r="G2944" t="str">
        <f>INDEX(Lists!H:H,MATCH(Validation!E2944,Lists!G:G,0))</f>
        <v xml:space="preserve">Complete entry of all rows on this tab. (Enter zero when appropriate.) </v>
      </c>
      <c r="H2944" s="25" t="str">
        <f t="shared" ca="1" si="333"/>
        <v/>
      </c>
      <c r="I2944" s="25" t="str">
        <f t="shared" ca="1" si="334"/>
        <v/>
      </c>
      <c r="J2944" s="26" t="str">
        <f t="shared" si="335"/>
        <v/>
      </c>
    </row>
    <row r="2945" spans="1:10" x14ac:dyDescent="0.25">
      <c r="A2945" t="s">
        <v>659</v>
      </c>
      <c r="B2945" t="str">
        <f>ADDRESS(ROW('PAYG 1'!$B$6),COLUMN('PAYG 1'!$B$6),4)</f>
        <v>B6</v>
      </c>
      <c r="C2945" t="str">
        <f>ADDRESS(ROW('PAYG 1'!$D$6),COLUMN('PAYG 1'!$D$6),4)</f>
        <v>D6</v>
      </c>
      <c r="D2945" s="41" t="b">
        <f>IF(NOT('PAYG 10'!B$7=""),IF((COUNTIF('PAYG 10'!B$8:B$12,"")+COUNTIF('PAYG 10'!B$15:B$20,"")+COUNTBLANK('PAYG 10'!C$15:C$20)+COUNTIF('PAYG 10'!B$22:B$23,"")+COUNTBLANK('PAYG 10'!C$22:C$23)+COUNTIF('PAYG 10'!B$25:B$26,"")+COUNTIF('PAYG 10'!C$25:C$26,"")+COUNTIF('PAYG 10'!B$28:B$29,"")+COUNTBLANK('PAYG 10'!C$28:C$29)+COUNTBLANK('PAYG 10'!B$31)+COUNTBLANK('PAYG 10'!B$32))&gt;0,TRUE,FALSE))</f>
        <v>0</v>
      </c>
      <c r="E2945" t="s">
        <v>632</v>
      </c>
      <c r="F2945" t="str">
        <f>INDEX(Lists!I:I,MATCH(Validation!E2945,Lists!G:G,0))</f>
        <v>Error</v>
      </c>
      <c r="G2945" t="str">
        <f>INDEX(Lists!H:H,MATCH(Validation!E2945,Lists!G:G,0))</f>
        <v xml:space="preserve">Complete entry of all rows on this tab. (Enter zero when appropriate.) </v>
      </c>
      <c r="H2945" s="25" t="str">
        <f t="shared" ca="1" si="333"/>
        <v/>
      </c>
      <c r="I2945" s="25" t="str">
        <f t="shared" ca="1" si="334"/>
        <v/>
      </c>
      <c r="J2945" s="26" t="str">
        <f t="shared" si="335"/>
        <v/>
      </c>
    </row>
    <row r="2946" spans="1:10" x14ac:dyDescent="0.25">
      <c r="A2946" t="s">
        <v>660</v>
      </c>
      <c r="B2946" t="str">
        <f>ADDRESS(ROW('PAYG 1'!$B$6),COLUMN('PAYG 1'!$B$6),4)</f>
        <v>B6</v>
      </c>
      <c r="C2946" t="str">
        <f>ADDRESS(ROW('PAYG 1'!$D$6),COLUMN('PAYG 1'!$D$6),4)</f>
        <v>D6</v>
      </c>
      <c r="D2946" s="41" t="b">
        <f>IF(NOT('PAYG 11'!B$7=""),IF((COUNTIF('PAYG 11'!B$8:B$12,"")+COUNTIF('PAYG 11'!B$15:B$20,"")+COUNTBLANK('PAYG 11'!C$15:C$20)+COUNTIF('PAYG 11'!B$22:B$23,"")+COUNTBLANK('PAYG 11'!C$22:C$23)+COUNTIF('PAYG 11'!B$25:B$26,"")+COUNTIF('PAYG 11'!C$25:C$26,"")+COUNTIF('PAYG 11'!B$28:B$29,"")+COUNTBLANK('PAYG 11'!C$28:C$29)+COUNTBLANK('PAYG 11'!B$31)+COUNTBLANK('PAYG 11'!B$32))&gt;0,TRUE,FALSE))</f>
        <v>0</v>
      </c>
      <c r="E2946" t="s">
        <v>632</v>
      </c>
      <c r="F2946" t="str">
        <f>INDEX(Lists!I:I,MATCH(Validation!E2946,Lists!G:G,0))</f>
        <v>Error</v>
      </c>
      <c r="G2946" t="str">
        <f>INDEX(Lists!H:H,MATCH(Validation!E2946,Lists!G:G,0))</f>
        <v xml:space="preserve">Complete entry of all rows on this tab. (Enter zero when appropriate.) </v>
      </c>
      <c r="H2946" s="25" t="str">
        <f t="shared" ca="1" si="333"/>
        <v/>
      </c>
      <c r="I2946" s="25" t="str">
        <f t="shared" ca="1" si="334"/>
        <v/>
      </c>
      <c r="J2946" s="26" t="str">
        <f t="shared" si="335"/>
        <v/>
      </c>
    </row>
    <row r="2947" spans="1:10" x14ac:dyDescent="0.25">
      <c r="A2947" t="s">
        <v>661</v>
      </c>
      <c r="B2947" t="str">
        <f>ADDRESS(ROW('PAYG 1'!$B$6),COLUMN('PAYG 1'!$B$6),4)</f>
        <v>B6</v>
      </c>
      <c r="C2947" t="str">
        <f>ADDRESS(ROW('PAYG 1'!$D$6),COLUMN('PAYG 1'!$D$6),4)</f>
        <v>D6</v>
      </c>
      <c r="D2947" s="41" t="b">
        <f>IF(NOT('PAYG 12'!B$7=""),IF((COUNTIF('PAYG 12'!B$8:B$12,"")+COUNTIF('PAYG 12'!B$15:B$20,"")+COUNTBLANK('PAYG 12'!C$15:C$20)+COUNTIF('PAYG 12'!B$22:B$23,"")+COUNTBLANK('PAYG 12'!C$22:C$23)+COUNTIF('PAYG 12'!B$25:B$26,"")+COUNTIF('PAYG 12'!C$25:C$26,"")+COUNTIF('PAYG 12'!B$28:B$29,"")+COUNTBLANK('PAYG 12'!C$28:C$29)+COUNTBLANK('PAYG 12'!B$31)+COUNTBLANK('PAYG 12'!B$32))&gt;0,TRUE,FALSE))</f>
        <v>0</v>
      </c>
      <c r="E2947" t="s">
        <v>632</v>
      </c>
      <c r="F2947" t="str">
        <f>INDEX(Lists!I:I,MATCH(Validation!E2947,Lists!G:G,0))</f>
        <v>Error</v>
      </c>
      <c r="G2947" t="str">
        <f>INDEX(Lists!H:H,MATCH(Validation!E2947,Lists!G:G,0))</f>
        <v xml:space="preserve">Complete entry of all rows on this tab. (Enter zero when appropriate.) </v>
      </c>
      <c r="H2947" s="25" t="str">
        <f t="shared" ca="1" si="333"/>
        <v/>
      </c>
      <c r="I2947" s="25" t="str">
        <f t="shared" ca="1" si="334"/>
        <v/>
      </c>
      <c r="J2947" s="26" t="str">
        <f t="shared" si="335"/>
        <v/>
      </c>
    </row>
    <row r="2948" spans="1:10" x14ac:dyDescent="0.25">
      <c r="A2948" t="s">
        <v>662</v>
      </c>
      <c r="B2948" t="str">
        <f>ADDRESS(ROW('PAYG 1'!$B$6),COLUMN('PAYG 1'!$B$6),4)</f>
        <v>B6</v>
      </c>
      <c r="C2948" t="str">
        <f>ADDRESS(ROW('PAYG 1'!$D$6),COLUMN('PAYG 1'!$D$6),4)</f>
        <v>D6</v>
      </c>
      <c r="D2948" s="41" t="b">
        <f>IF(NOT('PAYG 13'!B$7=""),IF((COUNTIF('PAYG 13'!B$8:B$12,"")+COUNTIF('PAYG 13'!B$15:B$20,"")+COUNTBLANK('PAYG 13'!C$15:C$20)+COUNTIF('PAYG 13'!B$22:B$23,"")+COUNTBLANK('PAYG 13'!C$22:C$23)+COUNTIF('PAYG 13'!B$25:B$26,"")+COUNTIF('PAYG 13'!C$25:C$26,"")+COUNTIF('PAYG 13'!B$28:B$29,"")+COUNTBLANK('PAYG 13'!C$28:C$29)+COUNTBLANK('PAYG 13'!B$31)+COUNTBLANK('PAYG 13'!B$32))&gt;0,TRUE,FALSE))</f>
        <v>0</v>
      </c>
      <c r="E2948" t="s">
        <v>632</v>
      </c>
      <c r="F2948" t="str">
        <f>INDEX(Lists!I:I,MATCH(Validation!E2948,Lists!G:G,0))</f>
        <v>Error</v>
      </c>
      <c r="G2948" t="str">
        <f>INDEX(Lists!H:H,MATCH(Validation!E2948,Lists!G:G,0))</f>
        <v xml:space="preserve">Complete entry of all rows on this tab. (Enter zero when appropriate.) </v>
      </c>
      <c r="H2948" s="25" t="str">
        <f t="shared" ca="1" si="333"/>
        <v/>
      </c>
      <c r="I2948" s="25" t="str">
        <f t="shared" ca="1" si="334"/>
        <v/>
      </c>
      <c r="J2948" s="26" t="str">
        <f t="shared" si="335"/>
        <v/>
      </c>
    </row>
    <row r="2949" spans="1:10" x14ac:dyDescent="0.25">
      <c r="A2949" t="s">
        <v>663</v>
      </c>
      <c r="B2949" t="str">
        <f>ADDRESS(ROW('PAYG 1'!$B$6),COLUMN('PAYG 1'!$B$6),4)</f>
        <v>B6</v>
      </c>
      <c r="C2949" t="str">
        <f>ADDRESS(ROW('PAYG 1'!$D$6),COLUMN('PAYG 1'!$D$6),4)</f>
        <v>D6</v>
      </c>
      <c r="D2949" s="41" t="b">
        <f>IF(NOT('PAYG 14'!B$7=""),IF((COUNTIF('PAYG 14'!B$8:B$12,"")+COUNTIF('PAYG 14'!B$15:B$20,"")+COUNTBLANK('PAYG 14'!C$15:C$20)+COUNTIF('PAYG 14'!B$22:B$23,"")+COUNTBLANK('PAYG 14'!C$22:C$23)+COUNTIF('PAYG 14'!B$25:B$26,"")+COUNTIF('PAYG 14'!C$25:C$26,"")+COUNTIF('PAYG 14'!B$28:B$29,"")+COUNTBLANK('PAYG 14'!C$28:C$29)+COUNTBLANK('PAYG 14'!B$31)+COUNTBLANK('PAYG 14'!B$32))&gt;0,TRUE,FALSE))</f>
        <v>0</v>
      </c>
      <c r="E2949" t="s">
        <v>632</v>
      </c>
      <c r="F2949" t="str">
        <f>INDEX(Lists!I:I,MATCH(Validation!E2949,Lists!G:G,0))</f>
        <v>Error</v>
      </c>
      <c r="G2949" t="str">
        <f>INDEX(Lists!H:H,MATCH(Validation!E2949,Lists!G:G,0))</f>
        <v xml:space="preserve">Complete entry of all rows on this tab. (Enter zero when appropriate.) </v>
      </c>
      <c r="H2949" s="25" t="str">
        <f t="shared" ca="1" si="333"/>
        <v/>
      </c>
      <c r="I2949" s="25" t="str">
        <f t="shared" ca="1" si="334"/>
        <v/>
      </c>
      <c r="J2949" s="26" t="str">
        <f t="shared" si="335"/>
        <v/>
      </c>
    </row>
    <row r="2950" spans="1:10" x14ac:dyDescent="0.25">
      <c r="A2950" t="s">
        <v>664</v>
      </c>
      <c r="B2950" t="str">
        <f>ADDRESS(ROW('PAYG 1'!$B$6),COLUMN('PAYG 1'!$B$6),4)</f>
        <v>B6</v>
      </c>
      <c r="C2950" t="str">
        <f>ADDRESS(ROW('PAYG 1'!$D$6),COLUMN('PAYG 1'!$D$6),4)</f>
        <v>D6</v>
      </c>
      <c r="D2950" s="41" t="b">
        <f>IF(NOT('PAYG 15'!B$7=""),IF((COUNTIF('PAYG 15'!B$8:B$12,"")+COUNTIF('PAYG 15'!B$15:B$20,"")+COUNTBLANK('PAYG 15'!C$15:C$20)+COUNTIF('PAYG 15'!B$22:B$23,"")+COUNTBLANK('PAYG 15'!C$22:C$23)+COUNTIF('PAYG 15'!B$25:B$26,"")+COUNTIF('PAYG 15'!C$25:C$26,"")+COUNTIF('PAYG 15'!B$28:B$29,"")+COUNTBLANK('PAYG 15'!C$28:C$29)+COUNTBLANK('PAYG 15'!B$31)+COUNTBLANK('PAYG 15'!B$32))&gt;0,TRUE,FALSE))</f>
        <v>0</v>
      </c>
      <c r="E2950" t="s">
        <v>632</v>
      </c>
      <c r="F2950" t="str">
        <f>INDEX(Lists!I:I,MATCH(Validation!E2950,Lists!G:G,0))</f>
        <v>Error</v>
      </c>
      <c r="G2950" t="str">
        <f>INDEX(Lists!H:H,MATCH(Validation!E2950,Lists!G:G,0))</f>
        <v xml:space="preserve">Complete entry of all rows on this tab. (Enter zero when appropriate.) </v>
      </c>
      <c r="H2950" s="25" t="str">
        <f t="shared" ca="1" si="333"/>
        <v/>
      </c>
      <c r="I2950" s="25" t="str">
        <f t="shared" ca="1" si="334"/>
        <v/>
      </c>
      <c r="J2950" s="26" t="str">
        <f t="shared" si="335"/>
        <v/>
      </c>
    </row>
    <row r="2951" spans="1:10" x14ac:dyDescent="0.25">
      <c r="A2951" t="s">
        <v>203</v>
      </c>
      <c r="B2951" t="str">
        <f>ADDRESS(ROW('PAYG 1'!$B$7),COLUMN('PAYG 1'!$B$7),4)</f>
        <v>B7</v>
      </c>
      <c r="C2951" t="str">
        <f>ADDRESS(ROW('PAYG 1'!$D$7),COLUMN('PAYG 1'!$D$7),4)</f>
        <v>D7</v>
      </c>
      <c r="D2951" t="b" cm="1">
        <f t="array" aca="1" ref="D2951" ca="1">IF(ISERROR(INDIRECT("'"&amp;A2951&amp;"'!"&amp;B2951)),TRUE,FALSE)</f>
        <v>0</v>
      </c>
      <c r="E2951" t="s">
        <v>583</v>
      </c>
      <c r="F2951" t="str">
        <f>INDEX(Lists!I:I,MATCH(Validation!E2951,Lists!G:G,0))</f>
        <v>Error</v>
      </c>
      <c r="G2951" t="str">
        <f>INDEX(Lists!H:H,MATCH(Validation!E2951,Lists!G:G,0))</f>
        <v>Error in description. Delete and re-enter.</v>
      </c>
      <c r="H2951" s="25" t="str">
        <f t="shared" ca="1" si="333"/>
        <v/>
      </c>
      <c r="I2951" s="16" t="str">
        <f t="shared" ca="1" si="334"/>
        <v/>
      </c>
      <c r="J2951" s="26" t="str">
        <f t="shared" ca="1" si="335"/>
        <v/>
      </c>
    </row>
    <row r="2952" spans="1:10" x14ac:dyDescent="0.25">
      <c r="A2952" t="s">
        <v>651</v>
      </c>
      <c r="B2952" t="str">
        <f>ADDRESS(ROW('PAYG 1'!$B$7),COLUMN('PAYG 1'!$B$7),4)</f>
        <v>B7</v>
      </c>
      <c r="C2952" t="str">
        <f>ADDRESS(ROW('PAYG 1'!$D$7),COLUMN('PAYG 1'!$D$7),4)</f>
        <v>D7</v>
      </c>
      <c r="D2952" t="b" cm="1">
        <f t="array" aca="1" ref="D2952" ca="1">IF(ISERROR(INDIRECT("'"&amp;A2952&amp;"'!"&amp;B2952)),TRUE,FALSE)</f>
        <v>0</v>
      </c>
      <c r="E2952" t="s">
        <v>583</v>
      </c>
      <c r="F2952" t="str">
        <f>INDEX(Lists!I:I,MATCH(Validation!E2952,Lists!G:G,0))</f>
        <v>Error</v>
      </c>
      <c r="G2952" t="str">
        <f>INDEX(Lists!H:H,MATCH(Validation!E2952,Lists!G:G,0))</f>
        <v>Error in description. Delete and re-enter.</v>
      </c>
      <c r="H2952" s="25" t="str">
        <f t="shared" ca="1" si="333"/>
        <v/>
      </c>
      <c r="I2952" s="16" t="str">
        <f t="shared" ca="1" si="334"/>
        <v/>
      </c>
      <c r="J2952" s="26" t="str">
        <f t="shared" ca="1" si="335"/>
        <v/>
      </c>
    </row>
    <row r="2953" spans="1:10" x14ac:dyDescent="0.25">
      <c r="A2953" t="s">
        <v>652</v>
      </c>
      <c r="B2953" t="str">
        <f>ADDRESS(ROW('PAYG 1'!$B$7),COLUMN('PAYG 1'!$B$7),4)</f>
        <v>B7</v>
      </c>
      <c r="C2953" t="str">
        <f>ADDRESS(ROW('PAYG 1'!$D$7),COLUMN('PAYG 1'!$D$7),4)</f>
        <v>D7</v>
      </c>
      <c r="D2953" t="b" cm="1">
        <f t="array" aca="1" ref="D2953" ca="1">IF(ISERROR(INDIRECT("'"&amp;A2953&amp;"'!"&amp;B2953)),TRUE,FALSE)</f>
        <v>0</v>
      </c>
      <c r="E2953" t="s">
        <v>583</v>
      </c>
      <c r="F2953" t="str">
        <f>INDEX(Lists!I:I,MATCH(Validation!E2953,Lists!G:G,0))</f>
        <v>Error</v>
      </c>
      <c r="G2953" t="str">
        <f>INDEX(Lists!H:H,MATCH(Validation!E2953,Lists!G:G,0))</f>
        <v>Error in description. Delete and re-enter.</v>
      </c>
      <c r="H2953" s="25" t="str">
        <f t="shared" ca="1" si="333"/>
        <v/>
      </c>
      <c r="I2953" s="16" t="str">
        <f t="shared" ca="1" si="334"/>
        <v/>
      </c>
      <c r="J2953" s="26" t="str">
        <f t="shared" ca="1" si="335"/>
        <v/>
      </c>
    </row>
    <row r="2954" spans="1:10" x14ac:dyDescent="0.25">
      <c r="A2954" t="s">
        <v>653</v>
      </c>
      <c r="B2954" t="str">
        <f>ADDRESS(ROW('PAYG 1'!$B$7),COLUMN('PAYG 1'!$B$7),4)</f>
        <v>B7</v>
      </c>
      <c r="C2954" t="str">
        <f>ADDRESS(ROW('PAYG 1'!$D$7),COLUMN('PAYG 1'!$D$7),4)</f>
        <v>D7</v>
      </c>
      <c r="D2954" t="b" cm="1">
        <f t="array" aca="1" ref="D2954" ca="1">IF(ISERROR(INDIRECT("'"&amp;A2954&amp;"'!"&amp;B2954)),TRUE,FALSE)</f>
        <v>0</v>
      </c>
      <c r="E2954" t="s">
        <v>583</v>
      </c>
      <c r="F2954" t="str">
        <f>INDEX(Lists!I:I,MATCH(Validation!E2954,Lists!G:G,0))</f>
        <v>Error</v>
      </c>
      <c r="G2954" t="str">
        <f>INDEX(Lists!H:H,MATCH(Validation!E2954,Lists!G:G,0))</f>
        <v>Error in description. Delete and re-enter.</v>
      </c>
      <c r="H2954" s="25" t="str">
        <f t="shared" ca="1" si="333"/>
        <v/>
      </c>
      <c r="I2954" s="16" t="str">
        <f t="shared" ca="1" si="334"/>
        <v/>
      </c>
      <c r="J2954" s="26" t="str">
        <f t="shared" ca="1" si="335"/>
        <v/>
      </c>
    </row>
    <row r="2955" spans="1:10" x14ac:dyDescent="0.25">
      <c r="A2955" t="s">
        <v>654</v>
      </c>
      <c r="B2955" t="str">
        <f>ADDRESS(ROW('PAYG 1'!$B$7),COLUMN('PAYG 1'!$B$7),4)</f>
        <v>B7</v>
      </c>
      <c r="C2955" t="str">
        <f>ADDRESS(ROW('PAYG 1'!$D$7),COLUMN('PAYG 1'!$D$7),4)</f>
        <v>D7</v>
      </c>
      <c r="D2955" t="b" cm="1">
        <f t="array" aca="1" ref="D2955" ca="1">IF(ISERROR(INDIRECT("'"&amp;A2955&amp;"'!"&amp;B2955)),TRUE,FALSE)</f>
        <v>0</v>
      </c>
      <c r="E2955" t="s">
        <v>583</v>
      </c>
      <c r="F2955" t="str">
        <f>INDEX(Lists!I:I,MATCH(Validation!E2955,Lists!G:G,0))</f>
        <v>Error</v>
      </c>
      <c r="G2955" t="str">
        <f>INDEX(Lists!H:H,MATCH(Validation!E2955,Lists!G:G,0))</f>
        <v>Error in description. Delete and re-enter.</v>
      </c>
      <c r="H2955" s="25" t="str">
        <f t="shared" ref="H2955:H2995" ca="1" si="336">IFERROR(IF(OR(NOT(D2955),F2955&lt;&gt;"Error"),"",A2955&amp;CELL("address",INDIRECT(B2955))),"")</f>
        <v/>
      </c>
      <c r="I2955" s="16" t="str">
        <f t="shared" ref="I2955:I2995" ca="1" si="337">IFERROR(IF(NOT(D2955),"",A2955&amp;CELL("address",INDIRECT(C2955))),"")</f>
        <v/>
      </c>
      <c r="J2955" s="26" t="str">
        <f t="shared" ref="J2955:J2995" ca="1" si="338">IFERROR(IF(NOT(D2955),"",A2955),"")</f>
        <v/>
      </c>
    </row>
    <row r="2956" spans="1:10" x14ac:dyDescent="0.25">
      <c r="A2956" t="s">
        <v>655</v>
      </c>
      <c r="B2956" t="str">
        <f>ADDRESS(ROW('PAYG 1'!$B$7),COLUMN('PAYG 1'!$B$7),4)</f>
        <v>B7</v>
      </c>
      <c r="C2956" t="str">
        <f>ADDRESS(ROW('PAYG 1'!$D$7),COLUMN('PAYG 1'!$D$7),4)</f>
        <v>D7</v>
      </c>
      <c r="D2956" t="b" cm="1">
        <f t="array" aca="1" ref="D2956" ca="1">IF(ISERROR(INDIRECT("'"&amp;A2956&amp;"'!"&amp;B2956)),TRUE,FALSE)</f>
        <v>0</v>
      </c>
      <c r="E2956" t="s">
        <v>583</v>
      </c>
      <c r="F2956" t="str">
        <f>INDEX(Lists!I:I,MATCH(Validation!E2956,Lists!G:G,0))</f>
        <v>Error</v>
      </c>
      <c r="G2956" t="str">
        <f>INDEX(Lists!H:H,MATCH(Validation!E2956,Lists!G:G,0))</f>
        <v>Error in description. Delete and re-enter.</v>
      </c>
      <c r="H2956" s="25" t="str">
        <f t="shared" ca="1" si="336"/>
        <v/>
      </c>
      <c r="I2956" s="16" t="str">
        <f t="shared" ca="1" si="337"/>
        <v/>
      </c>
      <c r="J2956" s="26" t="str">
        <f t="shared" ca="1" si="338"/>
        <v/>
      </c>
    </row>
    <row r="2957" spans="1:10" x14ac:dyDescent="0.25">
      <c r="A2957" t="s">
        <v>656</v>
      </c>
      <c r="B2957" t="str">
        <f>ADDRESS(ROW('PAYG 1'!$B$7),COLUMN('PAYG 1'!$B$7),4)</f>
        <v>B7</v>
      </c>
      <c r="C2957" t="str">
        <f>ADDRESS(ROW('PAYG 1'!$D$7),COLUMN('PAYG 1'!$D$7),4)</f>
        <v>D7</v>
      </c>
      <c r="D2957" t="b" cm="1">
        <f t="array" aca="1" ref="D2957" ca="1">IF(ISERROR(INDIRECT("'"&amp;A2957&amp;"'!"&amp;B2957)),TRUE,FALSE)</f>
        <v>0</v>
      </c>
      <c r="E2957" t="s">
        <v>583</v>
      </c>
      <c r="F2957" t="str">
        <f>INDEX(Lists!I:I,MATCH(Validation!E2957,Lists!G:G,0))</f>
        <v>Error</v>
      </c>
      <c r="G2957" t="str">
        <f>INDEX(Lists!H:H,MATCH(Validation!E2957,Lists!G:G,0))</f>
        <v>Error in description. Delete and re-enter.</v>
      </c>
      <c r="H2957" s="25" t="str">
        <f t="shared" ca="1" si="336"/>
        <v/>
      </c>
      <c r="I2957" s="16" t="str">
        <f t="shared" ca="1" si="337"/>
        <v/>
      </c>
      <c r="J2957" s="26" t="str">
        <f t="shared" ca="1" si="338"/>
        <v/>
      </c>
    </row>
    <row r="2958" spans="1:10" x14ac:dyDescent="0.25">
      <c r="A2958" t="s">
        <v>657</v>
      </c>
      <c r="B2958" t="str">
        <f>ADDRESS(ROW('PAYG 1'!$B$7),COLUMN('PAYG 1'!$B$7),4)</f>
        <v>B7</v>
      </c>
      <c r="C2958" t="str">
        <f>ADDRESS(ROW('PAYG 1'!$D$7),COLUMN('PAYG 1'!$D$7),4)</f>
        <v>D7</v>
      </c>
      <c r="D2958" t="b" cm="1">
        <f t="array" aca="1" ref="D2958" ca="1">IF(ISERROR(INDIRECT("'"&amp;A2958&amp;"'!"&amp;B2958)),TRUE,FALSE)</f>
        <v>0</v>
      </c>
      <c r="E2958" t="s">
        <v>583</v>
      </c>
      <c r="F2958" t="str">
        <f>INDEX(Lists!I:I,MATCH(Validation!E2958,Lists!G:G,0))</f>
        <v>Error</v>
      </c>
      <c r="G2958" t="str">
        <f>INDEX(Lists!H:H,MATCH(Validation!E2958,Lists!G:G,0))</f>
        <v>Error in description. Delete and re-enter.</v>
      </c>
      <c r="H2958" s="25" t="str">
        <f t="shared" ca="1" si="336"/>
        <v/>
      </c>
      <c r="I2958" s="16" t="str">
        <f t="shared" ca="1" si="337"/>
        <v/>
      </c>
      <c r="J2958" s="26" t="str">
        <f t="shared" ca="1" si="338"/>
        <v/>
      </c>
    </row>
    <row r="2959" spans="1:10" x14ac:dyDescent="0.25">
      <c r="A2959" t="s">
        <v>658</v>
      </c>
      <c r="B2959" t="str">
        <f>ADDRESS(ROW('PAYG 1'!$B$7),COLUMN('PAYG 1'!$B$7),4)</f>
        <v>B7</v>
      </c>
      <c r="C2959" t="str">
        <f>ADDRESS(ROW('PAYG 1'!$D$7),COLUMN('PAYG 1'!$D$7),4)</f>
        <v>D7</v>
      </c>
      <c r="D2959" t="b" cm="1">
        <f t="array" aca="1" ref="D2959" ca="1">IF(ISERROR(INDIRECT("'"&amp;A2959&amp;"'!"&amp;B2959)),TRUE,FALSE)</f>
        <v>0</v>
      </c>
      <c r="E2959" t="s">
        <v>583</v>
      </c>
      <c r="F2959" t="str">
        <f>INDEX(Lists!I:I,MATCH(Validation!E2959,Lists!G:G,0))</f>
        <v>Error</v>
      </c>
      <c r="G2959" t="str">
        <f>INDEX(Lists!H:H,MATCH(Validation!E2959,Lists!G:G,0))</f>
        <v>Error in description. Delete and re-enter.</v>
      </c>
      <c r="H2959" s="25" t="str">
        <f t="shared" ca="1" si="336"/>
        <v/>
      </c>
      <c r="I2959" s="16" t="str">
        <f t="shared" ca="1" si="337"/>
        <v/>
      </c>
      <c r="J2959" s="26" t="str">
        <f t="shared" ca="1" si="338"/>
        <v/>
      </c>
    </row>
    <row r="2960" spans="1:10" x14ac:dyDescent="0.25">
      <c r="A2960" t="s">
        <v>659</v>
      </c>
      <c r="B2960" t="str">
        <f>ADDRESS(ROW('PAYG 1'!$B$7),COLUMN('PAYG 1'!$B$7),4)</f>
        <v>B7</v>
      </c>
      <c r="C2960" t="str">
        <f>ADDRESS(ROW('PAYG 1'!$D$7),COLUMN('PAYG 1'!$D$7),4)</f>
        <v>D7</v>
      </c>
      <c r="D2960" t="b" cm="1">
        <f t="array" aca="1" ref="D2960" ca="1">IF(ISERROR(INDIRECT("'"&amp;A2960&amp;"'!"&amp;B2960)),TRUE,FALSE)</f>
        <v>0</v>
      </c>
      <c r="E2960" t="s">
        <v>583</v>
      </c>
      <c r="F2960" t="str">
        <f>INDEX(Lists!I:I,MATCH(Validation!E2960,Lists!G:G,0))</f>
        <v>Error</v>
      </c>
      <c r="G2960" t="str">
        <f>INDEX(Lists!H:H,MATCH(Validation!E2960,Lists!G:G,0))</f>
        <v>Error in description. Delete and re-enter.</v>
      </c>
      <c r="H2960" s="25" t="str">
        <f t="shared" ca="1" si="336"/>
        <v/>
      </c>
      <c r="I2960" s="16" t="str">
        <f t="shared" ca="1" si="337"/>
        <v/>
      </c>
      <c r="J2960" s="26" t="str">
        <f t="shared" ca="1" si="338"/>
        <v/>
      </c>
    </row>
    <row r="2961" spans="1:10" x14ac:dyDescent="0.25">
      <c r="A2961" t="s">
        <v>660</v>
      </c>
      <c r="B2961" t="str">
        <f>ADDRESS(ROW('PAYG 1'!$B$7),COLUMN('PAYG 1'!$B$7),4)</f>
        <v>B7</v>
      </c>
      <c r="C2961" t="str">
        <f>ADDRESS(ROW('PAYG 1'!$D$7),COLUMN('PAYG 1'!$D$7),4)</f>
        <v>D7</v>
      </c>
      <c r="D2961" t="b" cm="1">
        <f t="array" aca="1" ref="D2961" ca="1">IF(ISERROR(INDIRECT("'"&amp;A2961&amp;"'!"&amp;B2961)),TRUE,FALSE)</f>
        <v>0</v>
      </c>
      <c r="E2961" t="s">
        <v>583</v>
      </c>
      <c r="F2961" t="str">
        <f>INDEX(Lists!I:I,MATCH(Validation!E2961,Lists!G:G,0))</f>
        <v>Error</v>
      </c>
      <c r="G2961" t="str">
        <f>INDEX(Lists!H:H,MATCH(Validation!E2961,Lists!G:G,0))</f>
        <v>Error in description. Delete and re-enter.</v>
      </c>
      <c r="H2961" s="25" t="str">
        <f t="shared" ca="1" si="336"/>
        <v/>
      </c>
      <c r="I2961" s="16" t="str">
        <f t="shared" ca="1" si="337"/>
        <v/>
      </c>
      <c r="J2961" s="26" t="str">
        <f t="shared" ca="1" si="338"/>
        <v/>
      </c>
    </row>
    <row r="2962" spans="1:10" x14ac:dyDescent="0.25">
      <c r="A2962" t="s">
        <v>661</v>
      </c>
      <c r="B2962" t="str">
        <f>ADDRESS(ROW('PAYG 1'!$B$7),COLUMN('PAYG 1'!$B$7),4)</f>
        <v>B7</v>
      </c>
      <c r="C2962" t="str">
        <f>ADDRESS(ROW('PAYG 1'!$D$7),COLUMN('PAYG 1'!$D$7),4)</f>
        <v>D7</v>
      </c>
      <c r="D2962" t="b" cm="1">
        <f t="array" aca="1" ref="D2962" ca="1">IF(ISERROR(INDIRECT("'"&amp;A2962&amp;"'!"&amp;B2962)),TRUE,FALSE)</f>
        <v>0</v>
      </c>
      <c r="E2962" t="s">
        <v>583</v>
      </c>
      <c r="F2962" t="str">
        <f>INDEX(Lists!I:I,MATCH(Validation!E2962,Lists!G:G,0))</f>
        <v>Error</v>
      </c>
      <c r="G2962" t="str">
        <f>INDEX(Lists!H:H,MATCH(Validation!E2962,Lists!G:G,0))</f>
        <v>Error in description. Delete and re-enter.</v>
      </c>
      <c r="H2962" s="25" t="str">
        <f t="shared" ca="1" si="336"/>
        <v/>
      </c>
      <c r="I2962" s="16" t="str">
        <f t="shared" ca="1" si="337"/>
        <v/>
      </c>
      <c r="J2962" s="26" t="str">
        <f t="shared" ca="1" si="338"/>
        <v/>
      </c>
    </row>
    <row r="2963" spans="1:10" x14ac:dyDescent="0.25">
      <c r="A2963" t="s">
        <v>662</v>
      </c>
      <c r="B2963" t="str">
        <f>ADDRESS(ROW('PAYG 1'!$B$7),COLUMN('PAYG 1'!$B$7),4)</f>
        <v>B7</v>
      </c>
      <c r="C2963" t="str">
        <f>ADDRESS(ROW('PAYG 1'!$D$7),COLUMN('PAYG 1'!$D$7),4)</f>
        <v>D7</v>
      </c>
      <c r="D2963" t="b" cm="1">
        <f t="array" aca="1" ref="D2963" ca="1">IF(ISERROR(INDIRECT("'"&amp;A2963&amp;"'!"&amp;B2963)),TRUE,FALSE)</f>
        <v>0</v>
      </c>
      <c r="E2963" t="s">
        <v>583</v>
      </c>
      <c r="F2963" t="str">
        <f>INDEX(Lists!I:I,MATCH(Validation!E2963,Lists!G:G,0))</f>
        <v>Error</v>
      </c>
      <c r="G2963" t="str">
        <f>INDEX(Lists!H:H,MATCH(Validation!E2963,Lists!G:G,0))</f>
        <v>Error in description. Delete and re-enter.</v>
      </c>
      <c r="H2963" s="25" t="str">
        <f t="shared" ca="1" si="336"/>
        <v/>
      </c>
      <c r="I2963" s="16" t="str">
        <f t="shared" ca="1" si="337"/>
        <v/>
      </c>
      <c r="J2963" s="26" t="str">
        <f t="shared" ca="1" si="338"/>
        <v/>
      </c>
    </row>
    <row r="2964" spans="1:10" x14ac:dyDescent="0.25">
      <c r="A2964" t="s">
        <v>663</v>
      </c>
      <c r="B2964" t="str">
        <f>ADDRESS(ROW('PAYG 1'!$B$7),COLUMN('PAYG 1'!$B$7),4)</f>
        <v>B7</v>
      </c>
      <c r="C2964" t="str">
        <f>ADDRESS(ROW('PAYG 1'!$D$7),COLUMN('PAYG 1'!$D$7),4)</f>
        <v>D7</v>
      </c>
      <c r="D2964" t="b" cm="1">
        <f t="array" aca="1" ref="D2964" ca="1">IF(ISERROR(INDIRECT("'"&amp;A2964&amp;"'!"&amp;B2964)),TRUE,FALSE)</f>
        <v>0</v>
      </c>
      <c r="E2964" t="s">
        <v>583</v>
      </c>
      <c r="F2964" t="str">
        <f>INDEX(Lists!I:I,MATCH(Validation!E2964,Lists!G:G,0))</f>
        <v>Error</v>
      </c>
      <c r="G2964" t="str">
        <f>INDEX(Lists!H:H,MATCH(Validation!E2964,Lists!G:G,0))</f>
        <v>Error in description. Delete and re-enter.</v>
      </c>
      <c r="H2964" s="25" t="str">
        <f t="shared" ca="1" si="336"/>
        <v/>
      </c>
      <c r="I2964" s="16" t="str">
        <f t="shared" ca="1" si="337"/>
        <v/>
      </c>
      <c r="J2964" s="26" t="str">
        <f t="shared" ca="1" si="338"/>
        <v/>
      </c>
    </row>
    <row r="2965" spans="1:10" x14ac:dyDescent="0.25">
      <c r="A2965" t="s">
        <v>664</v>
      </c>
      <c r="B2965" t="str">
        <f>ADDRESS(ROW('PAYG 1'!$B$7),COLUMN('PAYG 1'!$B$7),4)</f>
        <v>B7</v>
      </c>
      <c r="C2965" t="str">
        <f>ADDRESS(ROW('PAYG 1'!$D$7),COLUMN('PAYG 1'!$D$7),4)</f>
        <v>D7</v>
      </c>
      <c r="D2965" t="b" cm="1">
        <f t="array" aca="1" ref="D2965" ca="1">IF(ISERROR(INDIRECT("'"&amp;A2965&amp;"'!"&amp;B2965)),TRUE,FALSE)</f>
        <v>0</v>
      </c>
      <c r="E2965" t="s">
        <v>583</v>
      </c>
      <c r="F2965" t="str">
        <f>INDEX(Lists!I:I,MATCH(Validation!E2965,Lists!G:G,0))</f>
        <v>Error</v>
      </c>
      <c r="G2965" t="str">
        <f>INDEX(Lists!H:H,MATCH(Validation!E2965,Lists!G:G,0))</f>
        <v>Error in description. Delete and re-enter.</v>
      </c>
      <c r="H2965" s="25" t="str">
        <f t="shared" ca="1" si="336"/>
        <v/>
      </c>
      <c r="I2965" s="16" t="str">
        <f t="shared" ca="1" si="337"/>
        <v/>
      </c>
      <c r="J2965" s="26" t="str">
        <f t="shared" ca="1" si="338"/>
        <v/>
      </c>
    </row>
    <row r="2966" spans="1:10" x14ac:dyDescent="0.25">
      <c r="A2966" t="s">
        <v>203</v>
      </c>
      <c r="B2966" t="str">
        <f>ADDRESS(ROW('PAYG 1'!$B$7),COLUMN('PAYG 1'!$B$7),4)</f>
        <v>B7</v>
      </c>
      <c r="C2966" t="str">
        <f>ADDRESS(ROW('PAYG 1'!$D$7),COLUMN('PAYG 1'!$D$7),4)</f>
        <v>D7</v>
      </c>
      <c r="D2966" t="b" cm="1">
        <f t="array" aca="1" ref="D2966" ca="1">IF(LEN(INDIRECT("'"&amp;A2966&amp;"'!"&amp;B2966))&gt;100,TRUE,FALSE)</f>
        <v>0</v>
      </c>
      <c r="E2966" t="s">
        <v>585</v>
      </c>
      <c r="F2966" t="str">
        <f>INDEX(Lists!I:I,MATCH(Validation!E2966,Lists!G:G,0))</f>
        <v>Error</v>
      </c>
      <c r="G2966" t="str">
        <f>INDEX(Lists!H:H,MATCH(Validation!E2966,Lists!G:G,0))</f>
        <v>Entry cannot exceed 100 characters. Please re-enter.</v>
      </c>
      <c r="H2966" s="25" t="str">
        <f t="shared" ca="1" si="336"/>
        <v/>
      </c>
      <c r="I2966" s="16" t="str">
        <f t="shared" ca="1" si="337"/>
        <v/>
      </c>
      <c r="J2966" s="26" t="str">
        <f t="shared" ca="1" si="338"/>
        <v/>
      </c>
    </row>
    <row r="2967" spans="1:10" x14ac:dyDescent="0.25">
      <c r="A2967" t="s">
        <v>651</v>
      </c>
      <c r="B2967" t="str">
        <f>ADDRESS(ROW('PAYG 1'!$B$7),COLUMN('PAYG 1'!$B$7),4)</f>
        <v>B7</v>
      </c>
      <c r="C2967" t="str">
        <f>ADDRESS(ROW('PAYG 1'!$D$7),COLUMN('PAYG 1'!$D$7),4)</f>
        <v>D7</v>
      </c>
      <c r="D2967" t="b" cm="1">
        <f t="array" aca="1" ref="D2967" ca="1">IF(LEN(INDIRECT("'"&amp;A2967&amp;"'!"&amp;B2967))&gt;100,TRUE,FALSE)</f>
        <v>0</v>
      </c>
      <c r="E2967" t="s">
        <v>585</v>
      </c>
      <c r="F2967" t="str">
        <f>INDEX(Lists!I:I,MATCH(Validation!E2967,Lists!G:G,0))</f>
        <v>Error</v>
      </c>
      <c r="G2967" t="str">
        <f>INDEX(Lists!H:H,MATCH(Validation!E2967,Lists!G:G,0))</f>
        <v>Entry cannot exceed 100 characters. Please re-enter.</v>
      </c>
      <c r="H2967" s="25" t="str">
        <f t="shared" ca="1" si="336"/>
        <v/>
      </c>
      <c r="I2967" s="16" t="str">
        <f t="shared" ca="1" si="337"/>
        <v/>
      </c>
      <c r="J2967" s="26" t="str">
        <f t="shared" ca="1" si="338"/>
        <v/>
      </c>
    </row>
    <row r="2968" spans="1:10" x14ac:dyDescent="0.25">
      <c r="A2968" t="s">
        <v>652</v>
      </c>
      <c r="B2968" t="str">
        <f>ADDRESS(ROW('PAYG 1'!$B$7),COLUMN('PAYG 1'!$B$7),4)</f>
        <v>B7</v>
      </c>
      <c r="C2968" t="str">
        <f>ADDRESS(ROW('PAYG 1'!$D$7),COLUMN('PAYG 1'!$D$7),4)</f>
        <v>D7</v>
      </c>
      <c r="D2968" t="b" cm="1">
        <f t="array" aca="1" ref="D2968" ca="1">IF(LEN(INDIRECT("'"&amp;A2968&amp;"'!"&amp;B2968))&gt;100,TRUE,FALSE)</f>
        <v>0</v>
      </c>
      <c r="E2968" t="s">
        <v>585</v>
      </c>
      <c r="F2968" t="str">
        <f>INDEX(Lists!I:I,MATCH(Validation!E2968,Lists!G:G,0))</f>
        <v>Error</v>
      </c>
      <c r="G2968" t="str">
        <f>INDEX(Lists!H:H,MATCH(Validation!E2968,Lists!G:G,0))</f>
        <v>Entry cannot exceed 100 characters. Please re-enter.</v>
      </c>
      <c r="H2968" s="25" t="str">
        <f t="shared" ca="1" si="336"/>
        <v/>
      </c>
      <c r="I2968" s="16" t="str">
        <f t="shared" ca="1" si="337"/>
        <v/>
      </c>
      <c r="J2968" s="26" t="str">
        <f t="shared" ca="1" si="338"/>
        <v/>
      </c>
    </row>
    <row r="2969" spans="1:10" x14ac:dyDescent="0.25">
      <c r="A2969" t="s">
        <v>653</v>
      </c>
      <c r="B2969" t="str">
        <f>ADDRESS(ROW('PAYG 1'!$B$7),COLUMN('PAYG 1'!$B$7),4)</f>
        <v>B7</v>
      </c>
      <c r="C2969" t="str">
        <f>ADDRESS(ROW('PAYG 1'!$D$7),COLUMN('PAYG 1'!$D$7),4)</f>
        <v>D7</v>
      </c>
      <c r="D2969" t="b" cm="1">
        <f t="array" aca="1" ref="D2969" ca="1">IF(LEN(INDIRECT("'"&amp;A2969&amp;"'!"&amp;B2969))&gt;100,TRUE,FALSE)</f>
        <v>0</v>
      </c>
      <c r="E2969" t="s">
        <v>585</v>
      </c>
      <c r="F2969" t="str">
        <f>INDEX(Lists!I:I,MATCH(Validation!E2969,Lists!G:G,0))</f>
        <v>Error</v>
      </c>
      <c r="G2969" t="str">
        <f>INDEX(Lists!H:H,MATCH(Validation!E2969,Lists!G:G,0))</f>
        <v>Entry cannot exceed 100 characters. Please re-enter.</v>
      </c>
      <c r="H2969" s="25" t="str">
        <f t="shared" ca="1" si="336"/>
        <v/>
      </c>
      <c r="I2969" s="16" t="str">
        <f t="shared" ca="1" si="337"/>
        <v/>
      </c>
      <c r="J2969" s="26" t="str">
        <f t="shared" ca="1" si="338"/>
        <v/>
      </c>
    </row>
    <row r="2970" spans="1:10" x14ac:dyDescent="0.25">
      <c r="A2970" t="s">
        <v>654</v>
      </c>
      <c r="B2970" t="str">
        <f>ADDRESS(ROW('PAYG 1'!$B$7),COLUMN('PAYG 1'!$B$7),4)</f>
        <v>B7</v>
      </c>
      <c r="C2970" t="str">
        <f>ADDRESS(ROW('PAYG 1'!$D$7),COLUMN('PAYG 1'!$D$7),4)</f>
        <v>D7</v>
      </c>
      <c r="D2970" t="b" cm="1">
        <f t="array" aca="1" ref="D2970" ca="1">IF(LEN(INDIRECT("'"&amp;A2970&amp;"'!"&amp;B2970))&gt;100,TRUE,FALSE)</f>
        <v>0</v>
      </c>
      <c r="E2970" t="s">
        <v>585</v>
      </c>
      <c r="F2970" t="str">
        <f>INDEX(Lists!I:I,MATCH(Validation!E2970,Lists!G:G,0))</f>
        <v>Error</v>
      </c>
      <c r="G2970" t="str">
        <f>INDEX(Lists!H:H,MATCH(Validation!E2970,Lists!G:G,0))</f>
        <v>Entry cannot exceed 100 characters. Please re-enter.</v>
      </c>
      <c r="H2970" s="25" t="str">
        <f t="shared" ca="1" si="336"/>
        <v/>
      </c>
      <c r="I2970" s="16" t="str">
        <f t="shared" ca="1" si="337"/>
        <v/>
      </c>
      <c r="J2970" s="26" t="str">
        <f t="shared" ca="1" si="338"/>
        <v/>
      </c>
    </row>
    <row r="2971" spans="1:10" x14ac:dyDescent="0.25">
      <c r="A2971" t="s">
        <v>655</v>
      </c>
      <c r="B2971" t="str">
        <f>ADDRESS(ROW('PAYG 1'!$B$7),COLUMN('PAYG 1'!$B$7),4)</f>
        <v>B7</v>
      </c>
      <c r="C2971" t="str">
        <f>ADDRESS(ROW('PAYG 1'!$D$7),COLUMN('PAYG 1'!$D$7),4)</f>
        <v>D7</v>
      </c>
      <c r="D2971" t="b" cm="1">
        <f t="array" aca="1" ref="D2971" ca="1">IF(LEN(INDIRECT("'"&amp;A2971&amp;"'!"&amp;B2971))&gt;100,TRUE,FALSE)</f>
        <v>0</v>
      </c>
      <c r="E2971" t="s">
        <v>585</v>
      </c>
      <c r="F2971" t="str">
        <f>INDEX(Lists!I:I,MATCH(Validation!E2971,Lists!G:G,0))</f>
        <v>Error</v>
      </c>
      <c r="G2971" t="str">
        <f>INDEX(Lists!H:H,MATCH(Validation!E2971,Lists!G:G,0))</f>
        <v>Entry cannot exceed 100 characters. Please re-enter.</v>
      </c>
      <c r="H2971" s="25" t="str">
        <f t="shared" ca="1" si="336"/>
        <v/>
      </c>
      <c r="I2971" s="16" t="str">
        <f t="shared" ca="1" si="337"/>
        <v/>
      </c>
      <c r="J2971" s="26" t="str">
        <f t="shared" ca="1" si="338"/>
        <v/>
      </c>
    </row>
    <row r="2972" spans="1:10" x14ac:dyDescent="0.25">
      <c r="A2972" t="s">
        <v>656</v>
      </c>
      <c r="B2972" t="str">
        <f>ADDRESS(ROW('PAYG 1'!$B$7),COLUMN('PAYG 1'!$B$7),4)</f>
        <v>B7</v>
      </c>
      <c r="C2972" t="str">
        <f>ADDRESS(ROW('PAYG 1'!$D$7),COLUMN('PAYG 1'!$D$7),4)</f>
        <v>D7</v>
      </c>
      <c r="D2972" t="b" cm="1">
        <f t="array" aca="1" ref="D2972" ca="1">IF(LEN(INDIRECT("'"&amp;A2972&amp;"'!"&amp;B2972))&gt;100,TRUE,FALSE)</f>
        <v>0</v>
      </c>
      <c r="E2972" t="s">
        <v>585</v>
      </c>
      <c r="F2972" t="str">
        <f>INDEX(Lists!I:I,MATCH(Validation!E2972,Lists!G:G,0))</f>
        <v>Error</v>
      </c>
      <c r="G2972" t="str">
        <f>INDEX(Lists!H:H,MATCH(Validation!E2972,Lists!G:G,0))</f>
        <v>Entry cannot exceed 100 characters. Please re-enter.</v>
      </c>
      <c r="H2972" s="25" t="str">
        <f t="shared" ca="1" si="336"/>
        <v/>
      </c>
      <c r="I2972" s="16" t="str">
        <f t="shared" ca="1" si="337"/>
        <v/>
      </c>
      <c r="J2972" s="26" t="str">
        <f t="shared" ca="1" si="338"/>
        <v/>
      </c>
    </row>
    <row r="2973" spans="1:10" x14ac:dyDescent="0.25">
      <c r="A2973" t="s">
        <v>657</v>
      </c>
      <c r="B2973" t="str">
        <f>ADDRESS(ROW('PAYG 1'!$B$7),COLUMN('PAYG 1'!$B$7),4)</f>
        <v>B7</v>
      </c>
      <c r="C2973" t="str">
        <f>ADDRESS(ROW('PAYG 1'!$D$7),COLUMN('PAYG 1'!$D$7),4)</f>
        <v>D7</v>
      </c>
      <c r="D2973" t="b" cm="1">
        <f t="array" aca="1" ref="D2973" ca="1">IF(LEN(INDIRECT("'"&amp;A2973&amp;"'!"&amp;B2973))&gt;100,TRUE,FALSE)</f>
        <v>0</v>
      </c>
      <c r="E2973" t="s">
        <v>585</v>
      </c>
      <c r="F2973" t="str">
        <f>INDEX(Lists!I:I,MATCH(Validation!E2973,Lists!G:G,0))</f>
        <v>Error</v>
      </c>
      <c r="G2973" t="str">
        <f>INDEX(Lists!H:H,MATCH(Validation!E2973,Lists!G:G,0))</f>
        <v>Entry cannot exceed 100 characters. Please re-enter.</v>
      </c>
      <c r="H2973" s="25" t="str">
        <f t="shared" ca="1" si="336"/>
        <v/>
      </c>
      <c r="I2973" s="16" t="str">
        <f t="shared" ca="1" si="337"/>
        <v/>
      </c>
      <c r="J2973" s="26" t="str">
        <f t="shared" ca="1" si="338"/>
        <v/>
      </c>
    </row>
    <row r="2974" spans="1:10" x14ac:dyDescent="0.25">
      <c r="A2974" t="s">
        <v>658</v>
      </c>
      <c r="B2974" t="str">
        <f>ADDRESS(ROW('PAYG 1'!$B$7),COLUMN('PAYG 1'!$B$7),4)</f>
        <v>B7</v>
      </c>
      <c r="C2974" t="str">
        <f>ADDRESS(ROW('PAYG 1'!$D$7),COLUMN('PAYG 1'!$D$7),4)</f>
        <v>D7</v>
      </c>
      <c r="D2974" t="b" cm="1">
        <f t="array" aca="1" ref="D2974" ca="1">IF(LEN(INDIRECT("'"&amp;A2974&amp;"'!"&amp;B2974))&gt;100,TRUE,FALSE)</f>
        <v>0</v>
      </c>
      <c r="E2974" t="s">
        <v>585</v>
      </c>
      <c r="F2974" t="str">
        <f>INDEX(Lists!I:I,MATCH(Validation!E2974,Lists!G:G,0))</f>
        <v>Error</v>
      </c>
      <c r="G2974" t="str">
        <f>INDEX(Lists!H:H,MATCH(Validation!E2974,Lists!G:G,0))</f>
        <v>Entry cannot exceed 100 characters. Please re-enter.</v>
      </c>
      <c r="H2974" s="25" t="str">
        <f t="shared" ca="1" si="336"/>
        <v/>
      </c>
      <c r="I2974" s="16" t="str">
        <f t="shared" ca="1" si="337"/>
        <v/>
      </c>
      <c r="J2974" s="26" t="str">
        <f t="shared" ca="1" si="338"/>
        <v/>
      </c>
    </row>
    <row r="2975" spans="1:10" x14ac:dyDescent="0.25">
      <c r="A2975" t="s">
        <v>659</v>
      </c>
      <c r="B2975" t="str">
        <f>ADDRESS(ROW('PAYG 1'!$B$7),COLUMN('PAYG 1'!$B$7),4)</f>
        <v>B7</v>
      </c>
      <c r="C2975" t="str">
        <f>ADDRESS(ROW('PAYG 1'!$D$7),COLUMN('PAYG 1'!$D$7),4)</f>
        <v>D7</v>
      </c>
      <c r="D2975" t="b" cm="1">
        <f t="array" aca="1" ref="D2975" ca="1">IF(LEN(INDIRECT("'"&amp;A2975&amp;"'!"&amp;B2975))&gt;100,TRUE,FALSE)</f>
        <v>0</v>
      </c>
      <c r="E2975" t="s">
        <v>585</v>
      </c>
      <c r="F2975" t="str">
        <f>INDEX(Lists!I:I,MATCH(Validation!E2975,Lists!G:G,0))</f>
        <v>Error</v>
      </c>
      <c r="G2975" t="str">
        <f>INDEX(Lists!H:H,MATCH(Validation!E2975,Lists!G:G,0))</f>
        <v>Entry cannot exceed 100 characters. Please re-enter.</v>
      </c>
      <c r="H2975" s="25" t="str">
        <f t="shared" ca="1" si="336"/>
        <v/>
      </c>
      <c r="I2975" s="16" t="str">
        <f t="shared" ca="1" si="337"/>
        <v/>
      </c>
      <c r="J2975" s="26" t="str">
        <f t="shared" ca="1" si="338"/>
        <v/>
      </c>
    </row>
    <row r="2976" spans="1:10" x14ac:dyDescent="0.25">
      <c r="A2976" t="s">
        <v>660</v>
      </c>
      <c r="B2976" t="str">
        <f>ADDRESS(ROW('PAYG 1'!$B$7),COLUMN('PAYG 1'!$B$7),4)</f>
        <v>B7</v>
      </c>
      <c r="C2976" t="str">
        <f>ADDRESS(ROW('PAYG 1'!$D$7),COLUMN('PAYG 1'!$D$7),4)</f>
        <v>D7</v>
      </c>
      <c r="D2976" t="b" cm="1">
        <f t="array" aca="1" ref="D2976" ca="1">IF(LEN(INDIRECT("'"&amp;A2976&amp;"'!"&amp;B2976))&gt;100,TRUE,FALSE)</f>
        <v>0</v>
      </c>
      <c r="E2976" t="s">
        <v>585</v>
      </c>
      <c r="F2976" t="str">
        <f>INDEX(Lists!I:I,MATCH(Validation!E2976,Lists!G:G,0))</f>
        <v>Error</v>
      </c>
      <c r="G2976" t="str">
        <f>INDEX(Lists!H:H,MATCH(Validation!E2976,Lists!G:G,0))</f>
        <v>Entry cannot exceed 100 characters. Please re-enter.</v>
      </c>
      <c r="H2976" s="25" t="str">
        <f t="shared" ca="1" si="336"/>
        <v/>
      </c>
      <c r="I2976" s="16" t="str">
        <f t="shared" ca="1" si="337"/>
        <v/>
      </c>
      <c r="J2976" s="26" t="str">
        <f t="shared" ca="1" si="338"/>
        <v/>
      </c>
    </row>
    <row r="2977" spans="1:10" x14ac:dyDescent="0.25">
      <c r="A2977" t="s">
        <v>661</v>
      </c>
      <c r="B2977" t="str">
        <f>ADDRESS(ROW('PAYG 1'!$B$7),COLUMN('PAYG 1'!$B$7),4)</f>
        <v>B7</v>
      </c>
      <c r="C2977" t="str">
        <f>ADDRESS(ROW('PAYG 1'!$D$7),COLUMN('PAYG 1'!$D$7),4)</f>
        <v>D7</v>
      </c>
      <c r="D2977" t="b" cm="1">
        <f t="array" aca="1" ref="D2977" ca="1">IF(LEN(INDIRECT("'"&amp;A2977&amp;"'!"&amp;B2977))&gt;100,TRUE,FALSE)</f>
        <v>0</v>
      </c>
      <c r="E2977" t="s">
        <v>585</v>
      </c>
      <c r="F2977" t="str">
        <f>INDEX(Lists!I:I,MATCH(Validation!E2977,Lists!G:G,0))</f>
        <v>Error</v>
      </c>
      <c r="G2977" t="str">
        <f>INDEX(Lists!H:H,MATCH(Validation!E2977,Lists!G:G,0))</f>
        <v>Entry cannot exceed 100 characters. Please re-enter.</v>
      </c>
      <c r="H2977" s="25" t="str">
        <f t="shared" ca="1" si="336"/>
        <v/>
      </c>
      <c r="I2977" s="16" t="str">
        <f t="shared" ca="1" si="337"/>
        <v/>
      </c>
      <c r="J2977" s="26" t="str">
        <f t="shared" ca="1" si="338"/>
        <v/>
      </c>
    </row>
    <row r="2978" spans="1:10" x14ac:dyDescent="0.25">
      <c r="A2978" t="s">
        <v>662</v>
      </c>
      <c r="B2978" t="str">
        <f>ADDRESS(ROW('PAYG 1'!$B$7),COLUMN('PAYG 1'!$B$7),4)</f>
        <v>B7</v>
      </c>
      <c r="C2978" t="str">
        <f>ADDRESS(ROW('PAYG 1'!$D$7),COLUMN('PAYG 1'!$D$7),4)</f>
        <v>D7</v>
      </c>
      <c r="D2978" t="b" cm="1">
        <f t="array" aca="1" ref="D2978" ca="1">IF(LEN(INDIRECT("'"&amp;A2978&amp;"'!"&amp;B2978))&gt;100,TRUE,FALSE)</f>
        <v>0</v>
      </c>
      <c r="E2978" t="s">
        <v>585</v>
      </c>
      <c r="F2978" t="str">
        <f>INDEX(Lists!I:I,MATCH(Validation!E2978,Lists!G:G,0))</f>
        <v>Error</v>
      </c>
      <c r="G2978" t="str">
        <f>INDEX(Lists!H:H,MATCH(Validation!E2978,Lists!G:G,0))</f>
        <v>Entry cannot exceed 100 characters. Please re-enter.</v>
      </c>
      <c r="H2978" s="25" t="str">
        <f t="shared" ca="1" si="336"/>
        <v/>
      </c>
      <c r="I2978" s="16" t="str">
        <f t="shared" ca="1" si="337"/>
        <v/>
      </c>
      <c r="J2978" s="26" t="str">
        <f t="shared" ca="1" si="338"/>
        <v/>
      </c>
    </row>
    <row r="2979" spans="1:10" x14ac:dyDescent="0.25">
      <c r="A2979" t="s">
        <v>663</v>
      </c>
      <c r="B2979" t="str">
        <f>ADDRESS(ROW('PAYG 1'!$B$7),COLUMN('PAYG 1'!$B$7),4)</f>
        <v>B7</v>
      </c>
      <c r="C2979" t="str">
        <f>ADDRESS(ROW('PAYG 1'!$D$7),COLUMN('PAYG 1'!$D$7),4)</f>
        <v>D7</v>
      </c>
      <c r="D2979" t="b" cm="1">
        <f t="array" aca="1" ref="D2979" ca="1">IF(LEN(INDIRECT("'"&amp;A2979&amp;"'!"&amp;B2979))&gt;100,TRUE,FALSE)</f>
        <v>0</v>
      </c>
      <c r="E2979" t="s">
        <v>585</v>
      </c>
      <c r="F2979" t="str">
        <f>INDEX(Lists!I:I,MATCH(Validation!E2979,Lists!G:G,0))</f>
        <v>Error</v>
      </c>
      <c r="G2979" t="str">
        <f>INDEX(Lists!H:H,MATCH(Validation!E2979,Lists!G:G,0))</f>
        <v>Entry cannot exceed 100 characters. Please re-enter.</v>
      </c>
      <c r="H2979" s="25" t="str">
        <f t="shared" ca="1" si="336"/>
        <v/>
      </c>
      <c r="I2979" s="16" t="str">
        <f t="shared" ca="1" si="337"/>
        <v/>
      </c>
      <c r="J2979" s="26" t="str">
        <f t="shared" ca="1" si="338"/>
        <v/>
      </c>
    </row>
    <row r="2980" spans="1:10" x14ac:dyDescent="0.25">
      <c r="A2980" t="s">
        <v>664</v>
      </c>
      <c r="B2980" t="str">
        <f>ADDRESS(ROW('PAYG 1'!$B$7),COLUMN('PAYG 1'!$B$7),4)</f>
        <v>B7</v>
      </c>
      <c r="C2980" t="str">
        <f>ADDRESS(ROW('PAYG 1'!$D$7),COLUMN('PAYG 1'!$D$7),4)</f>
        <v>D7</v>
      </c>
      <c r="D2980" t="b" cm="1">
        <f t="array" aca="1" ref="D2980" ca="1">IF(LEN(INDIRECT("'"&amp;A2980&amp;"'!"&amp;B2980))&gt;100,TRUE,FALSE)</f>
        <v>0</v>
      </c>
      <c r="E2980" t="s">
        <v>585</v>
      </c>
      <c r="F2980" t="str">
        <f>INDEX(Lists!I:I,MATCH(Validation!E2980,Lists!G:G,0))</f>
        <v>Error</v>
      </c>
      <c r="G2980" t="str">
        <f>INDEX(Lists!H:H,MATCH(Validation!E2980,Lists!G:G,0))</f>
        <v>Entry cannot exceed 100 characters. Please re-enter.</v>
      </c>
      <c r="H2980" s="25" t="str">
        <f t="shared" ca="1" si="336"/>
        <v/>
      </c>
      <c r="I2980" s="16" t="str">
        <f t="shared" ca="1" si="337"/>
        <v/>
      </c>
      <c r="J2980" s="26" t="str">
        <f t="shared" ca="1" si="338"/>
        <v/>
      </c>
    </row>
    <row r="2981" spans="1:10" x14ac:dyDescent="0.25">
      <c r="A2981" t="s">
        <v>203</v>
      </c>
      <c r="B2981" t="str">
        <f>ADDRESS(ROW('PAYG 1'!$B$7),COLUMN('PAYG 1'!$B$7),4)</f>
        <v>B7</v>
      </c>
      <c r="C2981" t="str">
        <f>ADDRESS(ROW('PAYG 1'!$D$7),COLUMN('PAYG 1'!$D$7),4)</f>
        <v>D7</v>
      </c>
      <c r="D2981" t="b" cm="1">
        <f t="array" aca="1" ref="D2981" ca="1">IF(INDIRECT("'"&amp;A2981&amp;"'!"&amp;B2981)="",FALSE,IF(COUNTIF(PAYGList,INDIRECT("'"&amp;A2981&amp;"'!"&amp;B2981))&gt;1,TRUE,FALSE))</f>
        <v>0</v>
      </c>
      <c r="E2981" t="s">
        <v>701</v>
      </c>
      <c r="F2981" t="str">
        <f>INDEX(Lists!I:I,MATCH(Validation!E2981,Lists!G:G,0))</f>
        <v>Error</v>
      </c>
      <c r="G2981" t="str">
        <f>INDEX(Lists!H:H,MATCH(Validation!E2981,Lists!G:G,0))</f>
        <v>Duplicate debt name. Do not enter the same obligation more than once.</v>
      </c>
      <c r="H2981" s="25" t="str">
        <f t="shared" ca="1" si="336"/>
        <v/>
      </c>
      <c r="I2981" s="25" t="str">
        <f t="shared" ca="1" si="337"/>
        <v/>
      </c>
      <c r="J2981" s="26" t="str">
        <f t="shared" ca="1" si="338"/>
        <v/>
      </c>
    </row>
    <row r="2982" spans="1:10" x14ac:dyDescent="0.25">
      <c r="A2982" t="s">
        <v>651</v>
      </c>
      <c r="B2982" t="str">
        <f>ADDRESS(ROW('PAYG 1'!$B$7),COLUMN('PAYG 1'!$B$7),4)</f>
        <v>B7</v>
      </c>
      <c r="C2982" t="str">
        <f>ADDRESS(ROW('PAYG 1'!$D$7),COLUMN('PAYG 1'!$D$7),4)</f>
        <v>D7</v>
      </c>
      <c r="D2982" t="b" cm="1">
        <f t="array" aca="1" ref="D2982" ca="1">IF(INDIRECT("'"&amp;A2982&amp;"'!"&amp;B2982)="",FALSE,IF(COUNTIF(PAYGList,INDIRECT("'"&amp;A2982&amp;"'!"&amp;B2982))&gt;1,TRUE,FALSE))</f>
        <v>0</v>
      </c>
      <c r="E2982" t="s">
        <v>701</v>
      </c>
      <c r="F2982" t="str">
        <f>INDEX(Lists!I:I,MATCH(Validation!E2982,Lists!G:G,0))</f>
        <v>Error</v>
      </c>
      <c r="G2982" t="str">
        <f>INDEX(Lists!H:H,MATCH(Validation!E2982,Lists!G:G,0))</f>
        <v>Duplicate debt name. Do not enter the same obligation more than once.</v>
      </c>
      <c r="H2982" s="25" t="str">
        <f t="shared" ca="1" si="336"/>
        <v/>
      </c>
      <c r="I2982" s="25" t="str">
        <f t="shared" ca="1" si="337"/>
        <v/>
      </c>
      <c r="J2982" s="26" t="str">
        <f t="shared" ca="1" si="338"/>
        <v/>
      </c>
    </row>
    <row r="2983" spans="1:10" x14ac:dyDescent="0.25">
      <c r="A2983" t="s">
        <v>652</v>
      </c>
      <c r="B2983" t="str">
        <f>ADDRESS(ROW('PAYG 1'!$B$7),COLUMN('PAYG 1'!$B$7),4)</f>
        <v>B7</v>
      </c>
      <c r="C2983" t="str">
        <f>ADDRESS(ROW('PAYG 1'!$D$7),COLUMN('PAYG 1'!$D$7),4)</f>
        <v>D7</v>
      </c>
      <c r="D2983" t="b" cm="1">
        <f t="array" aca="1" ref="D2983" ca="1">IF(INDIRECT("'"&amp;A2983&amp;"'!"&amp;B2983)="",FALSE,IF(COUNTIF(PAYGList,INDIRECT("'"&amp;A2983&amp;"'!"&amp;B2983))&gt;1,TRUE,FALSE))</f>
        <v>0</v>
      </c>
      <c r="E2983" t="s">
        <v>701</v>
      </c>
      <c r="F2983" t="str">
        <f>INDEX(Lists!I:I,MATCH(Validation!E2983,Lists!G:G,0))</f>
        <v>Error</v>
      </c>
      <c r="G2983" t="str">
        <f>INDEX(Lists!H:H,MATCH(Validation!E2983,Lists!G:G,0))</f>
        <v>Duplicate debt name. Do not enter the same obligation more than once.</v>
      </c>
      <c r="H2983" s="25" t="str">
        <f t="shared" ca="1" si="336"/>
        <v/>
      </c>
      <c r="I2983" s="25" t="str">
        <f t="shared" ca="1" si="337"/>
        <v/>
      </c>
      <c r="J2983" s="26" t="str">
        <f t="shared" ca="1" si="338"/>
        <v/>
      </c>
    </row>
    <row r="2984" spans="1:10" x14ac:dyDescent="0.25">
      <c r="A2984" t="s">
        <v>653</v>
      </c>
      <c r="B2984" t="str">
        <f>ADDRESS(ROW('PAYG 1'!$B$7),COLUMN('PAYG 1'!$B$7),4)</f>
        <v>B7</v>
      </c>
      <c r="C2984" t="str">
        <f>ADDRESS(ROW('PAYG 1'!$D$7),COLUMN('PAYG 1'!$D$7),4)</f>
        <v>D7</v>
      </c>
      <c r="D2984" t="b" cm="1">
        <f t="array" aca="1" ref="D2984" ca="1">IF(INDIRECT("'"&amp;A2984&amp;"'!"&amp;B2984)="",FALSE,IF(COUNTIF(PAYGList,INDIRECT("'"&amp;A2984&amp;"'!"&amp;B2984))&gt;1,TRUE,FALSE))</f>
        <v>0</v>
      </c>
      <c r="E2984" t="s">
        <v>701</v>
      </c>
      <c r="F2984" t="str">
        <f>INDEX(Lists!I:I,MATCH(Validation!E2984,Lists!G:G,0))</f>
        <v>Error</v>
      </c>
      <c r="G2984" t="str">
        <f>INDEX(Lists!H:H,MATCH(Validation!E2984,Lists!G:G,0))</f>
        <v>Duplicate debt name. Do not enter the same obligation more than once.</v>
      </c>
      <c r="H2984" s="25" t="str">
        <f t="shared" ca="1" si="336"/>
        <v/>
      </c>
      <c r="I2984" s="25" t="str">
        <f t="shared" ca="1" si="337"/>
        <v/>
      </c>
      <c r="J2984" s="26" t="str">
        <f t="shared" ca="1" si="338"/>
        <v/>
      </c>
    </row>
    <row r="2985" spans="1:10" x14ac:dyDescent="0.25">
      <c r="A2985" t="s">
        <v>654</v>
      </c>
      <c r="B2985" t="str">
        <f>ADDRESS(ROW('PAYG 1'!$B$7),COLUMN('PAYG 1'!$B$7),4)</f>
        <v>B7</v>
      </c>
      <c r="C2985" t="str">
        <f>ADDRESS(ROW('PAYG 1'!$D$7),COLUMN('PAYG 1'!$D$7),4)</f>
        <v>D7</v>
      </c>
      <c r="D2985" t="b" cm="1">
        <f t="array" aca="1" ref="D2985" ca="1">IF(INDIRECT("'"&amp;A2985&amp;"'!"&amp;B2985)="",FALSE,IF(COUNTIF(PAYGList,INDIRECT("'"&amp;A2985&amp;"'!"&amp;B2985))&gt;1,TRUE,FALSE))</f>
        <v>0</v>
      </c>
      <c r="E2985" t="s">
        <v>701</v>
      </c>
      <c r="F2985" t="str">
        <f>INDEX(Lists!I:I,MATCH(Validation!E2985,Lists!G:G,0))</f>
        <v>Error</v>
      </c>
      <c r="G2985" t="str">
        <f>INDEX(Lists!H:H,MATCH(Validation!E2985,Lists!G:G,0))</f>
        <v>Duplicate debt name. Do not enter the same obligation more than once.</v>
      </c>
      <c r="H2985" s="25" t="str">
        <f t="shared" ca="1" si="336"/>
        <v/>
      </c>
      <c r="I2985" s="25" t="str">
        <f t="shared" ca="1" si="337"/>
        <v/>
      </c>
      <c r="J2985" s="26" t="str">
        <f t="shared" ca="1" si="338"/>
        <v/>
      </c>
    </row>
    <row r="2986" spans="1:10" x14ac:dyDescent="0.25">
      <c r="A2986" t="s">
        <v>655</v>
      </c>
      <c r="B2986" t="str">
        <f>ADDRESS(ROW('PAYG 1'!$B$7),COLUMN('PAYG 1'!$B$7),4)</f>
        <v>B7</v>
      </c>
      <c r="C2986" t="str">
        <f>ADDRESS(ROW('PAYG 1'!$D$7),COLUMN('PAYG 1'!$D$7),4)</f>
        <v>D7</v>
      </c>
      <c r="D2986" t="b" cm="1">
        <f t="array" aca="1" ref="D2986" ca="1">IF(INDIRECT("'"&amp;A2986&amp;"'!"&amp;B2986)="",FALSE,IF(COUNTIF(PAYGList,INDIRECT("'"&amp;A2986&amp;"'!"&amp;B2986))&gt;1,TRUE,FALSE))</f>
        <v>0</v>
      </c>
      <c r="E2986" t="s">
        <v>701</v>
      </c>
      <c r="F2986" t="str">
        <f>INDEX(Lists!I:I,MATCH(Validation!E2986,Lists!G:G,0))</f>
        <v>Error</v>
      </c>
      <c r="G2986" t="str">
        <f>INDEX(Lists!H:H,MATCH(Validation!E2986,Lists!G:G,0))</f>
        <v>Duplicate debt name. Do not enter the same obligation more than once.</v>
      </c>
      <c r="H2986" s="25" t="str">
        <f t="shared" ca="1" si="336"/>
        <v/>
      </c>
      <c r="I2986" s="25" t="str">
        <f t="shared" ca="1" si="337"/>
        <v/>
      </c>
      <c r="J2986" s="26" t="str">
        <f t="shared" ca="1" si="338"/>
        <v/>
      </c>
    </row>
    <row r="2987" spans="1:10" x14ac:dyDescent="0.25">
      <c r="A2987" t="s">
        <v>656</v>
      </c>
      <c r="B2987" t="str">
        <f>ADDRESS(ROW('PAYG 1'!$B$7),COLUMN('PAYG 1'!$B$7),4)</f>
        <v>B7</v>
      </c>
      <c r="C2987" t="str">
        <f>ADDRESS(ROW('PAYG 1'!$D$7),COLUMN('PAYG 1'!$D$7),4)</f>
        <v>D7</v>
      </c>
      <c r="D2987" t="b" cm="1">
        <f t="array" aca="1" ref="D2987" ca="1">IF(INDIRECT("'"&amp;A2987&amp;"'!"&amp;B2987)="",FALSE,IF(COUNTIF(PAYGList,INDIRECT("'"&amp;A2987&amp;"'!"&amp;B2987))&gt;1,TRUE,FALSE))</f>
        <v>0</v>
      </c>
      <c r="E2987" t="s">
        <v>701</v>
      </c>
      <c r="F2987" t="str">
        <f>INDEX(Lists!I:I,MATCH(Validation!E2987,Lists!G:G,0))</f>
        <v>Error</v>
      </c>
      <c r="G2987" t="str">
        <f>INDEX(Lists!H:H,MATCH(Validation!E2987,Lists!G:G,0))</f>
        <v>Duplicate debt name. Do not enter the same obligation more than once.</v>
      </c>
      <c r="H2987" s="25" t="str">
        <f t="shared" ca="1" si="336"/>
        <v/>
      </c>
      <c r="I2987" s="25" t="str">
        <f t="shared" ca="1" si="337"/>
        <v/>
      </c>
      <c r="J2987" s="26" t="str">
        <f t="shared" ca="1" si="338"/>
        <v/>
      </c>
    </row>
    <row r="2988" spans="1:10" x14ac:dyDescent="0.25">
      <c r="A2988" t="s">
        <v>657</v>
      </c>
      <c r="B2988" t="str">
        <f>ADDRESS(ROW('PAYG 1'!$B$7),COLUMN('PAYG 1'!$B$7),4)</f>
        <v>B7</v>
      </c>
      <c r="C2988" t="str">
        <f>ADDRESS(ROW('PAYG 1'!$D$7),COLUMN('PAYG 1'!$D$7),4)</f>
        <v>D7</v>
      </c>
      <c r="D2988" t="b" cm="1">
        <f t="array" aca="1" ref="D2988" ca="1">IF(INDIRECT("'"&amp;A2988&amp;"'!"&amp;B2988)="",FALSE,IF(COUNTIF(PAYGList,INDIRECT("'"&amp;A2988&amp;"'!"&amp;B2988))&gt;1,TRUE,FALSE))</f>
        <v>0</v>
      </c>
      <c r="E2988" t="s">
        <v>701</v>
      </c>
      <c r="F2988" t="str">
        <f>INDEX(Lists!I:I,MATCH(Validation!E2988,Lists!G:G,0))</f>
        <v>Error</v>
      </c>
      <c r="G2988" t="str">
        <f>INDEX(Lists!H:H,MATCH(Validation!E2988,Lists!G:G,0))</f>
        <v>Duplicate debt name. Do not enter the same obligation more than once.</v>
      </c>
      <c r="H2988" s="25" t="str">
        <f t="shared" ca="1" si="336"/>
        <v/>
      </c>
      <c r="I2988" s="25" t="str">
        <f t="shared" ca="1" si="337"/>
        <v/>
      </c>
      <c r="J2988" s="26" t="str">
        <f t="shared" ca="1" si="338"/>
        <v/>
      </c>
    </row>
    <row r="2989" spans="1:10" x14ac:dyDescent="0.25">
      <c r="A2989" t="s">
        <v>658</v>
      </c>
      <c r="B2989" t="str">
        <f>ADDRESS(ROW('PAYG 1'!$B$7),COLUMN('PAYG 1'!$B$7),4)</f>
        <v>B7</v>
      </c>
      <c r="C2989" t="str">
        <f>ADDRESS(ROW('PAYG 1'!$D$7),COLUMN('PAYG 1'!$D$7),4)</f>
        <v>D7</v>
      </c>
      <c r="D2989" t="b" cm="1">
        <f t="array" aca="1" ref="D2989" ca="1">IF(INDIRECT("'"&amp;A2989&amp;"'!"&amp;B2989)="",FALSE,IF(COUNTIF(PAYGList,INDIRECT("'"&amp;A2989&amp;"'!"&amp;B2989))&gt;1,TRUE,FALSE))</f>
        <v>0</v>
      </c>
      <c r="E2989" t="s">
        <v>701</v>
      </c>
      <c r="F2989" t="str">
        <f>INDEX(Lists!I:I,MATCH(Validation!E2989,Lists!G:G,0))</f>
        <v>Error</v>
      </c>
      <c r="G2989" t="str">
        <f>INDEX(Lists!H:H,MATCH(Validation!E2989,Lists!G:G,0))</f>
        <v>Duplicate debt name. Do not enter the same obligation more than once.</v>
      </c>
      <c r="H2989" s="25" t="str">
        <f t="shared" ca="1" si="336"/>
        <v/>
      </c>
      <c r="I2989" s="25" t="str">
        <f t="shared" ca="1" si="337"/>
        <v/>
      </c>
      <c r="J2989" s="26" t="str">
        <f t="shared" ca="1" si="338"/>
        <v/>
      </c>
    </row>
    <row r="2990" spans="1:10" x14ac:dyDescent="0.25">
      <c r="A2990" t="s">
        <v>659</v>
      </c>
      <c r="B2990" t="str">
        <f>ADDRESS(ROW('PAYG 1'!$B$7),COLUMN('PAYG 1'!$B$7),4)</f>
        <v>B7</v>
      </c>
      <c r="C2990" t="str">
        <f>ADDRESS(ROW('PAYG 1'!$D$7),COLUMN('PAYG 1'!$D$7),4)</f>
        <v>D7</v>
      </c>
      <c r="D2990" t="b" cm="1">
        <f t="array" aca="1" ref="D2990" ca="1">IF(INDIRECT("'"&amp;A2990&amp;"'!"&amp;B2990)="",FALSE,IF(COUNTIF(PAYGList,INDIRECT("'"&amp;A2990&amp;"'!"&amp;B2990))&gt;1,TRUE,FALSE))</f>
        <v>0</v>
      </c>
      <c r="E2990" t="s">
        <v>701</v>
      </c>
      <c r="F2990" t="str">
        <f>INDEX(Lists!I:I,MATCH(Validation!E2990,Lists!G:G,0))</f>
        <v>Error</v>
      </c>
      <c r="G2990" t="str">
        <f>INDEX(Lists!H:H,MATCH(Validation!E2990,Lists!G:G,0))</f>
        <v>Duplicate debt name. Do not enter the same obligation more than once.</v>
      </c>
      <c r="H2990" s="25" t="str">
        <f t="shared" ca="1" si="336"/>
        <v/>
      </c>
      <c r="I2990" s="25" t="str">
        <f t="shared" ca="1" si="337"/>
        <v/>
      </c>
      <c r="J2990" s="26" t="str">
        <f t="shared" ca="1" si="338"/>
        <v/>
      </c>
    </row>
    <row r="2991" spans="1:10" x14ac:dyDescent="0.25">
      <c r="A2991" t="s">
        <v>660</v>
      </c>
      <c r="B2991" t="str">
        <f>ADDRESS(ROW('PAYG 1'!$B$7),COLUMN('PAYG 1'!$B$7),4)</f>
        <v>B7</v>
      </c>
      <c r="C2991" t="str">
        <f>ADDRESS(ROW('PAYG 1'!$D$7),COLUMN('PAYG 1'!$D$7),4)</f>
        <v>D7</v>
      </c>
      <c r="D2991" t="b" cm="1">
        <f t="array" aca="1" ref="D2991" ca="1">IF(INDIRECT("'"&amp;A2991&amp;"'!"&amp;B2991)="",FALSE,IF(COUNTIF(PAYGList,INDIRECT("'"&amp;A2991&amp;"'!"&amp;B2991))&gt;1,TRUE,FALSE))</f>
        <v>0</v>
      </c>
      <c r="E2991" t="s">
        <v>701</v>
      </c>
      <c r="F2991" t="str">
        <f>INDEX(Lists!I:I,MATCH(Validation!E2991,Lists!G:G,0))</f>
        <v>Error</v>
      </c>
      <c r="G2991" t="str">
        <f>INDEX(Lists!H:H,MATCH(Validation!E2991,Lists!G:G,0))</f>
        <v>Duplicate debt name. Do not enter the same obligation more than once.</v>
      </c>
      <c r="H2991" s="25" t="str">
        <f t="shared" ca="1" si="336"/>
        <v/>
      </c>
      <c r="I2991" s="25" t="str">
        <f t="shared" ca="1" si="337"/>
        <v/>
      </c>
      <c r="J2991" s="26" t="str">
        <f t="shared" ca="1" si="338"/>
        <v/>
      </c>
    </row>
    <row r="2992" spans="1:10" x14ac:dyDescent="0.25">
      <c r="A2992" t="s">
        <v>661</v>
      </c>
      <c r="B2992" t="str">
        <f>ADDRESS(ROW('PAYG 1'!$B$7),COLUMN('PAYG 1'!$B$7),4)</f>
        <v>B7</v>
      </c>
      <c r="C2992" t="str">
        <f>ADDRESS(ROW('PAYG 1'!$D$7),COLUMN('PAYG 1'!$D$7),4)</f>
        <v>D7</v>
      </c>
      <c r="D2992" t="b" cm="1">
        <f t="array" aca="1" ref="D2992" ca="1">IF(INDIRECT("'"&amp;A2992&amp;"'!"&amp;B2992)="",FALSE,IF(COUNTIF(PAYGList,INDIRECT("'"&amp;A2992&amp;"'!"&amp;B2992))&gt;1,TRUE,FALSE))</f>
        <v>0</v>
      </c>
      <c r="E2992" t="s">
        <v>701</v>
      </c>
      <c r="F2992" t="str">
        <f>INDEX(Lists!I:I,MATCH(Validation!E2992,Lists!G:G,0))</f>
        <v>Error</v>
      </c>
      <c r="G2992" t="str">
        <f>INDEX(Lists!H:H,MATCH(Validation!E2992,Lists!G:G,0))</f>
        <v>Duplicate debt name. Do not enter the same obligation more than once.</v>
      </c>
      <c r="H2992" s="25" t="str">
        <f t="shared" ca="1" si="336"/>
        <v/>
      </c>
      <c r="I2992" s="25" t="str">
        <f t="shared" ca="1" si="337"/>
        <v/>
      </c>
      <c r="J2992" s="26" t="str">
        <f t="shared" ca="1" si="338"/>
        <v/>
      </c>
    </row>
    <row r="2993" spans="1:10" x14ac:dyDescent="0.25">
      <c r="A2993" t="s">
        <v>662</v>
      </c>
      <c r="B2993" t="str">
        <f>ADDRESS(ROW('PAYG 1'!$B$7),COLUMN('PAYG 1'!$B$7),4)</f>
        <v>B7</v>
      </c>
      <c r="C2993" t="str">
        <f>ADDRESS(ROW('PAYG 1'!$D$7),COLUMN('PAYG 1'!$D$7),4)</f>
        <v>D7</v>
      </c>
      <c r="D2993" t="b" cm="1">
        <f t="array" aca="1" ref="D2993" ca="1">IF(INDIRECT("'"&amp;A2993&amp;"'!"&amp;B2993)="",FALSE,IF(COUNTIF(PAYGList,INDIRECT("'"&amp;A2993&amp;"'!"&amp;B2993))&gt;1,TRUE,FALSE))</f>
        <v>0</v>
      </c>
      <c r="E2993" t="s">
        <v>701</v>
      </c>
      <c r="F2993" t="str">
        <f>INDEX(Lists!I:I,MATCH(Validation!E2993,Lists!G:G,0))</f>
        <v>Error</v>
      </c>
      <c r="G2993" t="str">
        <f>INDEX(Lists!H:H,MATCH(Validation!E2993,Lists!G:G,0))</f>
        <v>Duplicate debt name. Do not enter the same obligation more than once.</v>
      </c>
      <c r="H2993" s="25" t="str">
        <f t="shared" ca="1" si="336"/>
        <v/>
      </c>
      <c r="I2993" s="25" t="str">
        <f t="shared" ca="1" si="337"/>
        <v/>
      </c>
      <c r="J2993" s="26" t="str">
        <f t="shared" ca="1" si="338"/>
        <v/>
      </c>
    </row>
    <row r="2994" spans="1:10" x14ac:dyDescent="0.25">
      <c r="A2994" t="s">
        <v>663</v>
      </c>
      <c r="B2994" t="str">
        <f>ADDRESS(ROW('PAYG 1'!$B$7),COLUMN('PAYG 1'!$B$7),4)</f>
        <v>B7</v>
      </c>
      <c r="C2994" t="str">
        <f>ADDRESS(ROW('PAYG 1'!$D$7),COLUMN('PAYG 1'!$D$7),4)</f>
        <v>D7</v>
      </c>
      <c r="D2994" t="b" cm="1">
        <f t="array" aca="1" ref="D2994" ca="1">IF(INDIRECT("'"&amp;A2994&amp;"'!"&amp;B2994)="",FALSE,IF(COUNTIF(PAYGList,INDIRECT("'"&amp;A2994&amp;"'!"&amp;B2994))&gt;1,TRUE,FALSE))</f>
        <v>0</v>
      </c>
      <c r="E2994" t="s">
        <v>701</v>
      </c>
      <c r="F2994" t="str">
        <f>INDEX(Lists!I:I,MATCH(Validation!E2994,Lists!G:G,0))</f>
        <v>Error</v>
      </c>
      <c r="G2994" t="str">
        <f>INDEX(Lists!H:H,MATCH(Validation!E2994,Lists!G:G,0))</f>
        <v>Duplicate debt name. Do not enter the same obligation more than once.</v>
      </c>
      <c r="H2994" s="25" t="str">
        <f t="shared" ca="1" si="336"/>
        <v/>
      </c>
      <c r="I2994" s="25" t="str">
        <f t="shared" ca="1" si="337"/>
        <v/>
      </c>
      <c r="J2994" s="26" t="str">
        <f t="shared" ca="1" si="338"/>
        <v/>
      </c>
    </row>
    <row r="2995" spans="1:10" x14ac:dyDescent="0.25">
      <c r="A2995" t="s">
        <v>664</v>
      </c>
      <c r="B2995" t="str">
        <f>ADDRESS(ROW('PAYG 1'!$B$7),COLUMN('PAYG 1'!$B$7),4)</f>
        <v>B7</v>
      </c>
      <c r="C2995" t="str">
        <f>ADDRESS(ROW('PAYG 1'!$D$7),COLUMN('PAYG 1'!$D$7),4)</f>
        <v>D7</v>
      </c>
      <c r="D2995" t="b" cm="1">
        <f t="array" aca="1" ref="D2995" ca="1">IF(INDIRECT("'"&amp;A2995&amp;"'!"&amp;B2995)="",FALSE,IF(COUNTIF(PAYGList,INDIRECT("'"&amp;A2995&amp;"'!"&amp;B2995))&gt;1,TRUE,FALSE))</f>
        <v>0</v>
      </c>
      <c r="E2995" t="s">
        <v>701</v>
      </c>
      <c r="F2995" t="str">
        <f>INDEX(Lists!I:I,MATCH(Validation!E2995,Lists!G:G,0))</f>
        <v>Error</v>
      </c>
      <c r="G2995" t="str">
        <f>INDEX(Lists!H:H,MATCH(Validation!E2995,Lists!G:G,0))</f>
        <v>Duplicate debt name. Do not enter the same obligation more than once.</v>
      </c>
      <c r="H2995" s="25" t="str">
        <f t="shared" ca="1" si="336"/>
        <v/>
      </c>
      <c r="I2995" s="25" t="str">
        <f t="shared" ca="1" si="337"/>
        <v/>
      </c>
      <c r="J2995" s="26" t="str">
        <f t="shared" ca="1" si="338"/>
        <v/>
      </c>
    </row>
    <row r="2996" spans="1:10" x14ac:dyDescent="0.25">
      <c r="A2996" t="s">
        <v>203</v>
      </c>
      <c r="B2996" t="str">
        <f>ADDRESS(ROW('PAYG 1'!$B$7),COLUMN('PAYG 1'!$B$7),4)</f>
        <v>B7</v>
      </c>
      <c r="C2996" t="str">
        <f>ADDRESS(ROW('PAYG 1'!$D$7),COLUMN('PAYG 1'!$D$7),4)</f>
        <v>D7</v>
      </c>
      <c r="D2996" t="b">
        <f>IF('PAYG 1'!B$7="",IF(AND('PAYG 1'!B$8="",'PAYG 1'!B$9="",'PAYG 1'!B$10="",'PAYG 1'!B$11="",'PAYG 1'!B$12="",'PAYG 1'!B$15=""),FALSE,TRUE))</f>
        <v>0</v>
      </c>
      <c r="E2996" t="s">
        <v>587</v>
      </c>
      <c r="F2996" t="str">
        <f>INDEX(Lists!I:I,MATCH(Validation!E2996,Lists!G:G,0))</f>
        <v>Error</v>
      </c>
      <c r="G2996" t="str">
        <f>INDEX(Lists!H:H,MATCH(Validation!E2996,Lists!G:G,0))</f>
        <v>Enter the debt name first.</v>
      </c>
      <c r="H2996" s="25" t="str">
        <f ca="1">IFERROR(IF(OR(NOT(D2996),F2996&lt;&gt;"Error"),"",A2996&amp;CELL("address",INDIRECT(B2996))),"")</f>
        <v/>
      </c>
      <c r="I2996" s="25" t="str">
        <f ca="1">IFERROR(IF(NOT(D2996),"",A2996&amp;CELL("address",INDIRECT(C2996))),"")</f>
        <v/>
      </c>
      <c r="J2996" s="26" t="str">
        <f>IFERROR(IF(NOT(D2996),"",A2996),"")</f>
        <v/>
      </c>
    </row>
    <row r="2997" spans="1:10" x14ac:dyDescent="0.25">
      <c r="A2997" t="s">
        <v>651</v>
      </c>
      <c r="B2997" t="str">
        <f>ADDRESS(ROW('PAYG 1'!$B$7),COLUMN('PAYG 1'!$B$7),4)</f>
        <v>B7</v>
      </c>
      <c r="C2997" t="str">
        <f>ADDRESS(ROW('PAYG 1'!$D$7),COLUMN('PAYG 1'!$D$7),4)</f>
        <v>D7</v>
      </c>
      <c r="D2997" t="b">
        <f>IF('PAYG 2'!B$7="",IF(AND('PAYG 2'!B$8="",'PAYG 2'!B$9="",'PAYG 2'!B$10="",'PAYG 2'!B$11="",'PAYG 2'!B$12="",'PAYG 2'!B$15=""),FALSE,TRUE))</f>
        <v>0</v>
      </c>
      <c r="E2997" t="s">
        <v>587</v>
      </c>
      <c r="F2997" t="str">
        <f>INDEX(Lists!I:I,MATCH(Validation!E2997,Lists!G:G,0))</f>
        <v>Error</v>
      </c>
      <c r="G2997" t="str">
        <f>INDEX(Lists!H:H,MATCH(Validation!E2997,Lists!G:G,0))</f>
        <v>Enter the debt name first.</v>
      </c>
      <c r="H2997" s="25" t="str">
        <f t="shared" ref="H2997:H3010" ca="1" si="339">IFERROR(IF(OR(NOT(D2997),F2997&lt;&gt;"Error"),"",A2997&amp;CELL("address",INDIRECT(B2997))),"")</f>
        <v/>
      </c>
      <c r="I2997" s="25" t="str">
        <f t="shared" ref="I2997:I3010" ca="1" si="340">IFERROR(IF(NOT(D2997),"",A2997&amp;CELL("address",INDIRECT(C2997))),"")</f>
        <v/>
      </c>
      <c r="J2997" s="26" t="str">
        <f t="shared" ref="J2997:J3010" si="341">IFERROR(IF(NOT(D2997),"",A2997),"")</f>
        <v/>
      </c>
    </row>
    <row r="2998" spans="1:10" x14ac:dyDescent="0.25">
      <c r="A2998" t="s">
        <v>652</v>
      </c>
      <c r="B2998" t="str">
        <f>ADDRESS(ROW('PAYG 1'!$B$7),COLUMN('PAYG 1'!$B$7),4)</f>
        <v>B7</v>
      </c>
      <c r="C2998" t="str">
        <f>ADDRESS(ROW('PAYG 1'!$D$7),COLUMN('PAYG 1'!$D$7),4)</f>
        <v>D7</v>
      </c>
      <c r="D2998" t="b">
        <f>IF('PAYG 3'!B$7="",IF(AND('PAYG 3'!B$8="",'PAYG 3'!B$9="",'PAYG 3'!B$10="",'PAYG 3'!B$11="",'PAYG 3'!B$12="",'PAYG 3'!B$15=""),FALSE,TRUE))</f>
        <v>0</v>
      </c>
      <c r="E2998" t="s">
        <v>587</v>
      </c>
      <c r="F2998" t="str">
        <f>INDEX(Lists!I:I,MATCH(Validation!E2998,Lists!G:G,0))</f>
        <v>Error</v>
      </c>
      <c r="G2998" t="str">
        <f>INDEX(Lists!H:H,MATCH(Validation!E2998,Lists!G:G,0))</f>
        <v>Enter the debt name first.</v>
      </c>
      <c r="H2998" s="25" t="str">
        <f t="shared" ca="1" si="339"/>
        <v/>
      </c>
      <c r="I2998" s="25" t="str">
        <f t="shared" ca="1" si="340"/>
        <v/>
      </c>
      <c r="J2998" s="26" t="str">
        <f t="shared" si="341"/>
        <v/>
      </c>
    </row>
    <row r="2999" spans="1:10" x14ac:dyDescent="0.25">
      <c r="A2999" t="s">
        <v>653</v>
      </c>
      <c r="B2999" t="str">
        <f>ADDRESS(ROW('PAYG 1'!$B$7),COLUMN('PAYG 1'!$B$7),4)</f>
        <v>B7</v>
      </c>
      <c r="C2999" t="str">
        <f>ADDRESS(ROW('PAYG 1'!$D$7),COLUMN('PAYG 1'!$D$7),4)</f>
        <v>D7</v>
      </c>
      <c r="D2999" t="b">
        <f>IF('PAYG 4'!B$7="",IF(AND('PAYG 4'!B$8="",'PAYG 4'!B$9="",'PAYG 4'!B$10="",'PAYG 4'!B$11="",'PAYG 4'!B$12="",'PAYG 4'!B$15=""),FALSE,TRUE))</f>
        <v>0</v>
      </c>
      <c r="E2999" t="s">
        <v>587</v>
      </c>
      <c r="F2999" t="str">
        <f>INDEX(Lists!I:I,MATCH(Validation!E2999,Lists!G:G,0))</f>
        <v>Error</v>
      </c>
      <c r="G2999" t="str">
        <f>INDEX(Lists!H:H,MATCH(Validation!E2999,Lists!G:G,0))</f>
        <v>Enter the debt name first.</v>
      </c>
      <c r="H2999" s="25" t="str">
        <f t="shared" ca="1" si="339"/>
        <v/>
      </c>
      <c r="I2999" s="25" t="str">
        <f t="shared" ca="1" si="340"/>
        <v/>
      </c>
      <c r="J2999" s="26" t="str">
        <f t="shared" si="341"/>
        <v/>
      </c>
    </row>
    <row r="3000" spans="1:10" x14ac:dyDescent="0.25">
      <c r="A3000" t="s">
        <v>654</v>
      </c>
      <c r="B3000" t="str">
        <f>ADDRESS(ROW('PAYG 1'!$B$7),COLUMN('PAYG 1'!$B$7),4)</f>
        <v>B7</v>
      </c>
      <c r="C3000" t="str">
        <f>ADDRESS(ROW('PAYG 1'!$D$7),COLUMN('PAYG 1'!$D$7),4)</f>
        <v>D7</v>
      </c>
      <c r="D3000" t="b">
        <f>IF('PAYG 5'!B$7="",IF(AND('PAYG 5'!B$8="",'PAYG 5'!B$9="",'PAYG 5'!B$10="",'PAYG 5'!B$11="",'PAYG 5'!B$12="",'PAYG 5'!B$15=""),FALSE,TRUE))</f>
        <v>0</v>
      </c>
      <c r="E3000" t="s">
        <v>587</v>
      </c>
      <c r="F3000" t="str">
        <f>INDEX(Lists!I:I,MATCH(Validation!E3000,Lists!G:G,0))</f>
        <v>Error</v>
      </c>
      <c r="G3000" t="str">
        <f>INDEX(Lists!H:H,MATCH(Validation!E3000,Lists!G:G,0))</f>
        <v>Enter the debt name first.</v>
      </c>
      <c r="H3000" s="25" t="str">
        <f t="shared" ca="1" si="339"/>
        <v/>
      </c>
      <c r="I3000" s="25" t="str">
        <f t="shared" ca="1" si="340"/>
        <v/>
      </c>
      <c r="J3000" s="26" t="str">
        <f t="shared" si="341"/>
        <v/>
      </c>
    </row>
    <row r="3001" spans="1:10" x14ac:dyDescent="0.25">
      <c r="A3001" t="s">
        <v>655</v>
      </c>
      <c r="B3001" t="str">
        <f>ADDRESS(ROW('PAYG 1'!$B$7),COLUMN('PAYG 1'!$B$7),4)</f>
        <v>B7</v>
      </c>
      <c r="C3001" t="str">
        <f>ADDRESS(ROW('PAYG 1'!$D$7),COLUMN('PAYG 1'!$D$7),4)</f>
        <v>D7</v>
      </c>
      <c r="D3001" t="b">
        <f>IF('PAYG 6'!B$7="",IF(AND('PAYG 6'!B$8="",'PAYG 6'!B$9="",'PAYG 6'!B$10="",'PAYG 6'!B$11="",'PAYG 6'!B$12="",'PAYG 6'!B$15=""),FALSE,TRUE))</f>
        <v>0</v>
      </c>
      <c r="E3001" t="s">
        <v>587</v>
      </c>
      <c r="F3001" t="str">
        <f>INDEX(Lists!I:I,MATCH(Validation!E3001,Lists!G:G,0))</f>
        <v>Error</v>
      </c>
      <c r="G3001" t="str">
        <f>INDEX(Lists!H:H,MATCH(Validation!E3001,Lists!G:G,0))</f>
        <v>Enter the debt name first.</v>
      </c>
      <c r="H3001" s="25" t="str">
        <f t="shared" ca="1" si="339"/>
        <v/>
      </c>
      <c r="I3001" s="25" t="str">
        <f t="shared" ca="1" si="340"/>
        <v/>
      </c>
      <c r="J3001" s="26" t="str">
        <f t="shared" si="341"/>
        <v/>
      </c>
    </row>
    <row r="3002" spans="1:10" x14ac:dyDescent="0.25">
      <c r="A3002" t="s">
        <v>656</v>
      </c>
      <c r="B3002" t="str">
        <f>ADDRESS(ROW('PAYG 1'!$B$7),COLUMN('PAYG 1'!$B$7),4)</f>
        <v>B7</v>
      </c>
      <c r="C3002" t="str">
        <f>ADDRESS(ROW('PAYG 1'!$D$7),COLUMN('PAYG 1'!$D$7),4)</f>
        <v>D7</v>
      </c>
      <c r="D3002" t="b">
        <f>IF('PAYG 7'!B$7="",IF(AND('PAYG 7'!B$8="",'PAYG 7'!B$9="",'PAYG 7'!B$10="",'PAYG 7'!B$11="",'PAYG 7'!B$12="",'PAYG 7'!B$15=""),FALSE,TRUE))</f>
        <v>0</v>
      </c>
      <c r="E3002" t="s">
        <v>587</v>
      </c>
      <c r="F3002" t="str">
        <f>INDEX(Lists!I:I,MATCH(Validation!E3002,Lists!G:G,0))</f>
        <v>Error</v>
      </c>
      <c r="G3002" t="str">
        <f>INDEX(Lists!H:H,MATCH(Validation!E3002,Lists!G:G,0))</f>
        <v>Enter the debt name first.</v>
      </c>
      <c r="H3002" s="25" t="str">
        <f t="shared" ca="1" si="339"/>
        <v/>
      </c>
      <c r="I3002" s="25" t="str">
        <f t="shared" ca="1" si="340"/>
        <v/>
      </c>
      <c r="J3002" s="26" t="str">
        <f t="shared" si="341"/>
        <v/>
      </c>
    </row>
    <row r="3003" spans="1:10" x14ac:dyDescent="0.25">
      <c r="A3003" t="s">
        <v>657</v>
      </c>
      <c r="B3003" t="str">
        <f>ADDRESS(ROW('PAYG 1'!$B$7),COLUMN('PAYG 1'!$B$7),4)</f>
        <v>B7</v>
      </c>
      <c r="C3003" t="str">
        <f>ADDRESS(ROW('PAYG 1'!$D$7),COLUMN('PAYG 1'!$D$7),4)</f>
        <v>D7</v>
      </c>
      <c r="D3003" t="b">
        <f>IF('PAYG 8'!B$7="",IF(AND('PAYG 8'!B$8="",'PAYG 8'!B$9="",'PAYG 8'!B$10="",'PAYG 8'!B$11="",'PAYG 8'!B$12="",'PAYG 8'!B$15=""),FALSE,TRUE))</f>
        <v>0</v>
      </c>
      <c r="E3003" t="s">
        <v>587</v>
      </c>
      <c r="F3003" t="str">
        <f>INDEX(Lists!I:I,MATCH(Validation!E3003,Lists!G:G,0))</f>
        <v>Error</v>
      </c>
      <c r="G3003" t="str">
        <f>INDEX(Lists!H:H,MATCH(Validation!E3003,Lists!G:G,0))</f>
        <v>Enter the debt name first.</v>
      </c>
      <c r="H3003" s="25" t="str">
        <f t="shared" ca="1" si="339"/>
        <v/>
      </c>
      <c r="I3003" s="25" t="str">
        <f t="shared" ca="1" si="340"/>
        <v/>
      </c>
      <c r="J3003" s="26" t="str">
        <f t="shared" si="341"/>
        <v/>
      </c>
    </row>
    <row r="3004" spans="1:10" x14ac:dyDescent="0.25">
      <c r="A3004" t="s">
        <v>658</v>
      </c>
      <c r="B3004" t="str">
        <f>ADDRESS(ROW('PAYG 1'!$B$7),COLUMN('PAYG 1'!$B$7),4)</f>
        <v>B7</v>
      </c>
      <c r="C3004" t="str">
        <f>ADDRESS(ROW('PAYG 1'!$D$7),COLUMN('PAYG 1'!$D$7),4)</f>
        <v>D7</v>
      </c>
      <c r="D3004" t="b">
        <f>IF('PAYG 9'!B$7="",IF(AND('PAYG 9'!B$8="",'PAYG 9'!B$9="",'PAYG 9'!B$10="",'PAYG 9'!B$11="",'PAYG 9'!B$12="",'PAYG 9'!B$15=""),FALSE,TRUE))</f>
        <v>0</v>
      </c>
      <c r="E3004" t="s">
        <v>587</v>
      </c>
      <c r="F3004" t="str">
        <f>INDEX(Lists!I:I,MATCH(Validation!E3004,Lists!G:G,0))</f>
        <v>Error</v>
      </c>
      <c r="G3004" t="str">
        <f>INDEX(Lists!H:H,MATCH(Validation!E3004,Lists!G:G,0))</f>
        <v>Enter the debt name first.</v>
      </c>
      <c r="H3004" s="25" t="str">
        <f t="shared" ca="1" si="339"/>
        <v/>
      </c>
      <c r="I3004" s="25" t="str">
        <f t="shared" ca="1" si="340"/>
        <v/>
      </c>
      <c r="J3004" s="26" t="str">
        <f t="shared" si="341"/>
        <v/>
      </c>
    </row>
    <row r="3005" spans="1:10" x14ac:dyDescent="0.25">
      <c r="A3005" t="s">
        <v>659</v>
      </c>
      <c r="B3005" t="str">
        <f>ADDRESS(ROW('PAYG 1'!$B$7),COLUMN('PAYG 1'!$B$7),4)</f>
        <v>B7</v>
      </c>
      <c r="C3005" t="str">
        <f>ADDRESS(ROW('PAYG 1'!$D$7),COLUMN('PAYG 1'!$D$7),4)</f>
        <v>D7</v>
      </c>
      <c r="D3005" t="b">
        <f>IF('PAYG 10'!B$7="",IF(AND('PAYG 10'!B$8="",'PAYG 10'!B$9="",'PAYG 10'!B$10="",'PAYG 10'!B$11="",'PAYG 10'!B$12="",'PAYG 10'!B$15=""),FALSE,TRUE))</f>
        <v>0</v>
      </c>
      <c r="E3005" t="s">
        <v>587</v>
      </c>
      <c r="F3005" t="str">
        <f>INDEX(Lists!I:I,MATCH(Validation!E3005,Lists!G:G,0))</f>
        <v>Error</v>
      </c>
      <c r="G3005" t="str">
        <f>INDEX(Lists!H:H,MATCH(Validation!E3005,Lists!G:G,0))</f>
        <v>Enter the debt name first.</v>
      </c>
      <c r="H3005" s="25" t="str">
        <f t="shared" ca="1" si="339"/>
        <v/>
      </c>
      <c r="I3005" s="25" t="str">
        <f t="shared" ca="1" si="340"/>
        <v/>
      </c>
      <c r="J3005" s="26" t="str">
        <f t="shared" si="341"/>
        <v/>
      </c>
    </row>
    <row r="3006" spans="1:10" x14ac:dyDescent="0.25">
      <c r="A3006" t="s">
        <v>660</v>
      </c>
      <c r="B3006" t="str">
        <f>ADDRESS(ROW('PAYG 1'!$B$7),COLUMN('PAYG 1'!$B$7),4)</f>
        <v>B7</v>
      </c>
      <c r="C3006" t="str">
        <f>ADDRESS(ROW('PAYG 1'!$D$7),COLUMN('PAYG 1'!$D$7),4)</f>
        <v>D7</v>
      </c>
      <c r="D3006" t="b">
        <f>IF('PAYG 11'!B$7="",IF(AND('PAYG 11'!B$8="",'PAYG 11'!B$9="",'PAYG 11'!B$10="",'PAYG 11'!B$11="",'PAYG 11'!B$12="",'PAYG 11'!B$15=""),FALSE,TRUE))</f>
        <v>0</v>
      </c>
      <c r="E3006" t="s">
        <v>587</v>
      </c>
      <c r="F3006" t="str">
        <f>INDEX(Lists!I:I,MATCH(Validation!E3006,Lists!G:G,0))</f>
        <v>Error</v>
      </c>
      <c r="G3006" t="str">
        <f>INDEX(Lists!H:H,MATCH(Validation!E3006,Lists!G:G,0))</f>
        <v>Enter the debt name first.</v>
      </c>
      <c r="H3006" s="25" t="str">
        <f t="shared" ca="1" si="339"/>
        <v/>
      </c>
      <c r="I3006" s="25" t="str">
        <f t="shared" ca="1" si="340"/>
        <v/>
      </c>
      <c r="J3006" s="26" t="str">
        <f t="shared" si="341"/>
        <v/>
      </c>
    </row>
    <row r="3007" spans="1:10" x14ac:dyDescent="0.25">
      <c r="A3007" t="s">
        <v>661</v>
      </c>
      <c r="B3007" t="str">
        <f>ADDRESS(ROW('PAYG 1'!$B$7),COLUMN('PAYG 1'!$B$7),4)</f>
        <v>B7</v>
      </c>
      <c r="C3007" t="str">
        <f>ADDRESS(ROW('PAYG 1'!$D$7),COLUMN('PAYG 1'!$D$7),4)</f>
        <v>D7</v>
      </c>
      <c r="D3007" t="b">
        <f>IF('PAYG 12'!B$7="",IF(AND('PAYG 12'!B$8="",'PAYG 12'!B$9="",'PAYG 12'!B$10="",'PAYG 12'!B$11="",'PAYG 12'!B$12="",'PAYG 12'!B$15=""),FALSE,TRUE))</f>
        <v>0</v>
      </c>
      <c r="E3007" t="s">
        <v>587</v>
      </c>
      <c r="F3007" t="str">
        <f>INDEX(Lists!I:I,MATCH(Validation!E3007,Lists!G:G,0))</f>
        <v>Error</v>
      </c>
      <c r="G3007" t="str">
        <f>INDEX(Lists!H:H,MATCH(Validation!E3007,Lists!G:G,0))</f>
        <v>Enter the debt name first.</v>
      </c>
      <c r="H3007" s="25" t="str">
        <f t="shared" ca="1" si="339"/>
        <v/>
      </c>
      <c r="I3007" s="25" t="str">
        <f t="shared" ca="1" si="340"/>
        <v/>
      </c>
      <c r="J3007" s="26" t="str">
        <f t="shared" si="341"/>
        <v/>
      </c>
    </row>
    <row r="3008" spans="1:10" x14ac:dyDescent="0.25">
      <c r="A3008" t="s">
        <v>662</v>
      </c>
      <c r="B3008" t="str">
        <f>ADDRESS(ROW('PAYG 1'!$B$7),COLUMN('PAYG 1'!$B$7),4)</f>
        <v>B7</v>
      </c>
      <c r="C3008" t="str">
        <f>ADDRESS(ROW('PAYG 1'!$D$7),COLUMN('PAYG 1'!$D$7),4)</f>
        <v>D7</v>
      </c>
      <c r="D3008" t="b">
        <f>IF('PAYG 13'!B$7="",IF(AND('PAYG 13'!B$8="",'PAYG 13'!B$9="",'PAYG 13'!B$10="",'PAYG 13'!B$11="",'PAYG 13'!B$12="",'PAYG 13'!B$15=""),FALSE,TRUE))</f>
        <v>0</v>
      </c>
      <c r="E3008" t="s">
        <v>587</v>
      </c>
      <c r="F3008" t="str">
        <f>INDEX(Lists!I:I,MATCH(Validation!E3008,Lists!G:G,0))</f>
        <v>Error</v>
      </c>
      <c r="G3008" t="str">
        <f>INDEX(Lists!H:H,MATCH(Validation!E3008,Lists!G:G,0))</f>
        <v>Enter the debt name first.</v>
      </c>
      <c r="H3008" s="25" t="str">
        <f t="shared" ca="1" si="339"/>
        <v/>
      </c>
      <c r="I3008" s="25" t="str">
        <f t="shared" ca="1" si="340"/>
        <v/>
      </c>
      <c r="J3008" s="26" t="str">
        <f t="shared" si="341"/>
        <v/>
      </c>
    </row>
    <row r="3009" spans="1:10" x14ac:dyDescent="0.25">
      <c r="A3009" t="s">
        <v>663</v>
      </c>
      <c r="B3009" t="str">
        <f>ADDRESS(ROW('PAYG 1'!$B$7),COLUMN('PAYG 1'!$B$7),4)</f>
        <v>B7</v>
      </c>
      <c r="C3009" t="str">
        <f>ADDRESS(ROW('PAYG 1'!$D$7),COLUMN('PAYG 1'!$D$7),4)</f>
        <v>D7</v>
      </c>
      <c r="D3009" t="b">
        <f>IF('PAYG 14'!B$7="",IF(AND('PAYG 14'!B$8="",'PAYG 14'!B$9="",'PAYG 14'!B$10="",'PAYG 14'!B$11="",'PAYG 14'!B$12="",'PAYG 14'!B$15=""),FALSE,TRUE))</f>
        <v>0</v>
      </c>
      <c r="E3009" t="s">
        <v>587</v>
      </c>
      <c r="F3009" t="str">
        <f>INDEX(Lists!I:I,MATCH(Validation!E3009,Lists!G:G,0))</f>
        <v>Error</v>
      </c>
      <c r="G3009" t="str">
        <f>INDEX(Lists!H:H,MATCH(Validation!E3009,Lists!G:G,0))</f>
        <v>Enter the debt name first.</v>
      </c>
      <c r="H3009" s="25" t="str">
        <f t="shared" ca="1" si="339"/>
        <v/>
      </c>
      <c r="I3009" s="25" t="str">
        <f t="shared" ca="1" si="340"/>
        <v/>
      </c>
      <c r="J3009" s="26" t="str">
        <f t="shared" si="341"/>
        <v/>
      </c>
    </row>
    <row r="3010" spans="1:10" x14ac:dyDescent="0.25">
      <c r="A3010" t="s">
        <v>664</v>
      </c>
      <c r="B3010" t="str">
        <f>ADDRESS(ROW('PAYG 1'!$B$7),COLUMN('PAYG 1'!$B$7),4)</f>
        <v>B7</v>
      </c>
      <c r="C3010" t="str">
        <f>ADDRESS(ROW('PAYG 1'!$D$7),COLUMN('PAYG 1'!$D$7),4)</f>
        <v>D7</v>
      </c>
      <c r="D3010" t="b">
        <f>IF('PAYG 15'!B$7="",IF(AND('PAYG 15'!B$8="",'PAYG 15'!B$9="",'PAYG 15'!B$10="",'PAYG 15'!B$11="",'PAYG 15'!B$12="",'PAYG 15'!B$15=""),FALSE,TRUE))</f>
        <v>0</v>
      </c>
      <c r="E3010" t="s">
        <v>587</v>
      </c>
      <c r="F3010" t="str">
        <f>INDEX(Lists!I:I,MATCH(Validation!E3010,Lists!G:G,0))</f>
        <v>Error</v>
      </c>
      <c r="G3010" t="str">
        <f>INDEX(Lists!H:H,MATCH(Validation!E3010,Lists!G:G,0))</f>
        <v>Enter the debt name first.</v>
      </c>
      <c r="H3010" s="25" t="str">
        <f t="shared" ca="1" si="339"/>
        <v/>
      </c>
      <c r="I3010" s="25" t="str">
        <f t="shared" ca="1" si="340"/>
        <v/>
      </c>
      <c r="J3010" s="26" t="str">
        <f t="shared" si="341"/>
        <v/>
      </c>
    </row>
    <row r="3011" spans="1:10" x14ac:dyDescent="0.25">
      <c r="A3011" t="s">
        <v>203</v>
      </c>
      <c r="B3011" t="str">
        <f>ADDRESS(ROW('PAYG 1'!$B$7),COLUMN('PAYG 1'!$B$7),4)</f>
        <v>B7</v>
      </c>
      <c r="C3011" t="str">
        <f>ADDRESS(ROW('PAYG 1'!$D$7),COLUMN('PAYG 1'!$D$7),4)</f>
        <v>D7</v>
      </c>
      <c r="D3011" t="b" cm="1">
        <f t="array" aca="1" ref="D3011" ca="1">IF(INDIRECT("'"&amp;A3011&amp;"'!"&amp;B3011)="",FALSE,IF(LEN(INDIRECT("'"&amp;A3011&amp;"'!"&amp;B3011))=LEN(TRIM(CLEAN(INDIRECT("'"&amp;A3011&amp;"'!"&amp;B3011)))),FALSE,TRUE))</f>
        <v>0</v>
      </c>
      <c r="E3011" t="s">
        <v>588</v>
      </c>
      <c r="F3011" t="str">
        <f>INDEX(Lists!I:I,MATCH(Validation!E3011,Lists!G:G,0))</f>
        <v>Error</v>
      </c>
      <c r="G3011" t="str">
        <f>INDEX(Lists!H:H,MATCH(Validation!E3011,Lists!G:G,0))</f>
        <v>Do not use leading, trailing, or double spaces. Delete and re-enter.</v>
      </c>
      <c r="H3011" s="25" t="str">
        <f ca="1">IFERROR(IF(OR(NOT(D3011),F3011&lt;&gt;"Error"),"",A3011&amp;CELL("address",INDIRECT(B3011))),"")</f>
        <v/>
      </c>
      <c r="I3011" s="25" t="str">
        <f ca="1">IFERROR(IF(NOT(D3011),"",A3011&amp;CELL("address",INDIRECT(C3011))),"")</f>
        <v/>
      </c>
      <c r="J3011" s="26" t="str">
        <f ca="1">IFERROR(IF(NOT(D3011),"",A3011),"")</f>
        <v/>
      </c>
    </row>
    <row r="3012" spans="1:10" x14ac:dyDescent="0.25">
      <c r="A3012" t="s">
        <v>651</v>
      </c>
      <c r="B3012" t="str">
        <f>ADDRESS(ROW('PAYG 1'!$B$7),COLUMN('PAYG 1'!$B$7),4)</f>
        <v>B7</v>
      </c>
      <c r="C3012" t="str">
        <f>ADDRESS(ROW('PAYG 1'!$D$7),COLUMN('PAYG 1'!$D$7),4)</f>
        <v>D7</v>
      </c>
      <c r="D3012" t="b" cm="1">
        <f t="array" aca="1" ref="D3012" ca="1">IF(INDIRECT("'"&amp;A3012&amp;"'!"&amp;B3012)="",FALSE,IF(LEN(INDIRECT("'"&amp;A3012&amp;"'!"&amp;B3012))=LEN(TRIM(CLEAN(INDIRECT("'"&amp;A3012&amp;"'!"&amp;B3012)))),FALSE,TRUE))</f>
        <v>0</v>
      </c>
      <c r="E3012" t="s">
        <v>588</v>
      </c>
      <c r="F3012" t="str">
        <f>INDEX(Lists!I:I,MATCH(Validation!E3012,Lists!G:G,0))</f>
        <v>Error</v>
      </c>
      <c r="G3012" t="str">
        <f>INDEX(Lists!H:H,MATCH(Validation!E3012,Lists!G:G,0))</f>
        <v>Do not use leading, trailing, or double spaces. Delete and re-enter.</v>
      </c>
      <c r="H3012" s="25" t="str">
        <f t="shared" ref="H3012:H3025" ca="1" si="342">IFERROR(IF(OR(NOT(D3012),F3012&lt;&gt;"Error"),"",A3012&amp;CELL("address",INDIRECT(B3012))),"")</f>
        <v/>
      </c>
      <c r="I3012" s="25" t="str">
        <f t="shared" ref="I3012:I3025" ca="1" si="343">IFERROR(IF(NOT(D3012),"",A3012&amp;CELL("address",INDIRECT(C3012))),"")</f>
        <v/>
      </c>
      <c r="J3012" s="26" t="str">
        <f t="shared" ref="J3012:J3025" ca="1" si="344">IFERROR(IF(NOT(D3012),"",A3012),"")</f>
        <v/>
      </c>
    </row>
    <row r="3013" spans="1:10" x14ac:dyDescent="0.25">
      <c r="A3013" t="s">
        <v>652</v>
      </c>
      <c r="B3013" t="str">
        <f>ADDRESS(ROW('PAYG 1'!$B$7),COLUMN('PAYG 1'!$B$7),4)</f>
        <v>B7</v>
      </c>
      <c r="C3013" t="str">
        <f>ADDRESS(ROW('PAYG 1'!$D$7),COLUMN('PAYG 1'!$D$7),4)</f>
        <v>D7</v>
      </c>
      <c r="D3013" t="b" cm="1">
        <f t="array" aca="1" ref="D3013" ca="1">IF(INDIRECT("'"&amp;A3013&amp;"'!"&amp;B3013)="",FALSE,IF(LEN(INDIRECT("'"&amp;A3013&amp;"'!"&amp;B3013))=LEN(TRIM(CLEAN(INDIRECT("'"&amp;A3013&amp;"'!"&amp;B3013)))),FALSE,TRUE))</f>
        <v>0</v>
      </c>
      <c r="E3013" t="s">
        <v>588</v>
      </c>
      <c r="F3013" t="str">
        <f>INDEX(Lists!I:I,MATCH(Validation!E3013,Lists!G:G,0))</f>
        <v>Error</v>
      </c>
      <c r="G3013" t="str">
        <f>INDEX(Lists!H:H,MATCH(Validation!E3013,Lists!G:G,0))</f>
        <v>Do not use leading, trailing, or double spaces. Delete and re-enter.</v>
      </c>
      <c r="H3013" s="25" t="str">
        <f t="shared" ca="1" si="342"/>
        <v/>
      </c>
      <c r="I3013" s="25" t="str">
        <f t="shared" ca="1" si="343"/>
        <v/>
      </c>
      <c r="J3013" s="26" t="str">
        <f t="shared" ca="1" si="344"/>
        <v/>
      </c>
    </row>
    <row r="3014" spans="1:10" x14ac:dyDescent="0.25">
      <c r="A3014" t="s">
        <v>653</v>
      </c>
      <c r="B3014" t="str">
        <f>ADDRESS(ROW('PAYG 1'!$B$7),COLUMN('PAYG 1'!$B$7),4)</f>
        <v>B7</v>
      </c>
      <c r="C3014" t="str">
        <f>ADDRESS(ROW('PAYG 1'!$D$7),COLUMN('PAYG 1'!$D$7),4)</f>
        <v>D7</v>
      </c>
      <c r="D3014" t="b" cm="1">
        <f t="array" aca="1" ref="D3014" ca="1">IF(INDIRECT("'"&amp;A3014&amp;"'!"&amp;B3014)="",FALSE,IF(LEN(INDIRECT("'"&amp;A3014&amp;"'!"&amp;B3014))=LEN(TRIM(CLEAN(INDIRECT("'"&amp;A3014&amp;"'!"&amp;B3014)))),FALSE,TRUE))</f>
        <v>0</v>
      </c>
      <c r="E3014" t="s">
        <v>588</v>
      </c>
      <c r="F3014" t="str">
        <f>INDEX(Lists!I:I,MATCH(Validation!E3014,Lists!G:G,0))</f>
        <v>Error</v>
      </c>
      <c r="G3014" t="str">
        <f>INDEX(Lists!H:H,MATCH(Validation!E3014,Lists!G:G,0))</f>
        <v>Do not use leading, trailing, or double spaces. Delete and re-enter.</v>
      </c>
      <c r="H3014" s="25" t="str">
        <f t="shared" ca="1" si="342"/>
        <v/>
      </c>
      <c r="I3014" s="25" t="str">
        <f t="shared" ca="1" si="343"/>
        <v/>
      </c>
      <c r="J3014" s="26" t="str">
        <f t="shared" ca="1" si="344"/>
        <v/>
      </c>
    </row>
    <row r="3015" spans="1:10" x14ac:dyDescent="0.25">
      <c r="A3015" t="s">
        <v>654</v>
      </c>
      <c r="B3015" t="str">
        <f>ADDRESS(ROW('PAYG 1'!$B$7),COLUMN('PAYG 1'!$B$7),4)</f>
        <v>B7</v>
      </c>
      <c r="C3015" t="str">
        <f>ADDRESS(ROW('PAYG 1'!$D$7),COLUMN('PAYG 1'!$D$7),4)</f>
        <v>D7</v>
      </c>
      <c r="D3015" t="b" cm="1">
        <f t="array" aca="1" ref="D3015" ca="1">IF(INDIRECT("'"&amp;A3015&amp;"'!"&amp;B3015)="",FALSE,IF(LEN(INDIRECT("'"&amp;A3015&amp;"'!"&amp;B3015))=LEN(TRIM(CLEAN(INDIRECT("'"&amp;A3015&amp;"'!"&amp;B3015)))),FALSE,TRUE))</f>
        <v>0</v>
      </c>
      <c r="E3015" t="s">
        <v>588</v>
      </c>
      <c r="F3015" t="str">
        <f>INDEX(Lists!I:I,MATCH(Validation!E3015,Lists!G:G,0))</f>
        <v>Error</v>
      </c>
      <c r="G3015" t="str">
        <f>INDEX(Lists!H:H,MATCH(Validation!E3015,Lists!G:G,0))</f>
        <v>Do not use leading, trailing, or double spaces. Delete and re-enter.</v>
      </c>
      <c r="H3015" s="25" t="str">
        <f t="shared" ca="1" si="342"/>
        <v/>
      </c>
      <c r="I3015" s="25" t="str">
        <f t="shared" ca="1" si="343"/>
        <v/>
      </c>
      <c r="J3015" s="26" t="str">
        <f t="shared" ca="1" si="344"/>
        <v/>
      </c>
    </row>
    <row r="3016" spans="1:10" x14ac:dyDescent="0.25">
      <c r="A3016" t="s">
        <v>655</v>
      </c>
      <c r="B3016" t="str">
        <f>ADDRESS(ROW('PAYG 1'!$B$7),COLUMN('PAYG 1'!$B$7),4)</f>
        <v>B7</v>
      </c>
      <c r="C3016" t="str">
        <f>ADDRESS(ROW('PAYG 1'!$D$7),COLUMN('PAYG 1'!$D$7),4)</f>
        <v>D7</v>
      </c>
      <c r="D3016" t="b" cm="1">
        <f t="array" aca="1" ref="D3016" ca="1">IF(INDIRECT("'"&amp;A3016&amp;"'!"&amp;B3016)="",FALSE,IF(LEN(INDIRECT("'"&amp;A3016&amp;"'!"&amp;B3016))=LEN(TRIM(CLEAN(INDIRECT("'"&amp;A3016&amp;"'!"&amp;B3016)))),FALSE,TRUE))</f>
        <v>0</v>
      </c>
      <c r="E3016" t="s">
        <v>588</v>
      </c>
      <c r="F3016" t="str">
        <f>INDEX(Lists!I:I,MATCH(Validation!E3016,Lists!G:G,0))</f>
        <v>Error</v>
      </c>
      <c r="G3016" t="str">
        <f>INDEX(Lists!H:H,MATCH(Validation!E3016,Lists!G:G,0))</f>
        <v>Do not use leading, trailing, or double spaces. Delete and re-enter.</v>
      </c>
      <c r="H3016" s="25" t="str">
        <f t="shared" ca="1" si="342"/>
        <v/>
      </c>
      <c r="I3016" s="25" t="str">
        <f t="shared" ca="1" si="343"/>
        <v/>
      </c>
      <c r="J3016" s="26" t="str">
        <f t="shared" ca="1" si="344"/>
        <v/>
      </c>
    </row>
    <row r="3017" spans="1:10" x14ac:dyDescent="0.25">
      <c r="A3017" t="s">
        <v>656</v>
      </c>
      <c r="B3017" t="str">
        <f>ADDRESS(ROW('PAYG 1'!$B$7),COLUMN('PAYG 1'!$B$7),4)</f>
        <v>B7</v>
      </c>
      <c r="C3017" t="str">
        <f>ADDRESS(ROW('PAYG 1'!$D$7),COLUMN('PAYG 1'!$D$7),4)</f>
        <v>D7</v>
      </c>
      <c r="D3017" t="b" cm="1">
        <f t="array" aca="1" ref="D3017" ca="1">IF(INDIRECT("'"&amp;A3017&amp;"'!"&amp;B3017)="",FALSE,IF(LEN(INDIRECT("'"&amp;A3017&amp;"'!"&amp;B3017))=LEN(TRIM(CLEAN(INDIRECT("'"&amp;A3017&amp;"'!"&amp;B3017)))),FALSE,TRUE))</f>
        <v>0</v>
      </c>
      <c r="E3017" t="s">
        <v>588</v>
      </c>
      <c r="F3017" t="str">
        <f>INDEX(Lists!I:I,MATCH(Validation!E3017,Lists!G:G,0))</f>
        <v>Error</v>
      </c>
      <c r="G3017" t="str">
        <f>INDEX(Lists!H:H,MATCH(Validation!E3017,Lists!G:G,0))</f>
        <v>Do not use leading, trailing, or double spaces. Delete and re-enter.</v>
      </c>
      <c r="H3017" s="25" t="str">
        <f t="shared" ca="1" si="342"/>
        <v/>
      </c>
      <c r="I3017" s="25" t="str">
        <f t="shared" ca="1" si="343"/>
        <v/>
      </c>
      <c r="J3017" s="26" t="str">
        <f t="shared" ca="1" si="344"/>
        <v/>
      </c>
    </row>
    <row r="3018" spans="1:10" x14ac:dyDescent="0.25">
      <c r="A3018" t="s">
        <v>657</v>
      </c>
      <c r="B3018" t="str">
        <f>ADDRESS(ROW('PAYG 1'!$B$7),COLUMN('PAYG 1'!$B$7),4)</f>
        <v>B7</v>
      </c>
      <c r="C3018" t="str">
        <f>ADDRESS(ROW('PAYG 1'!$D$7),COLUMN('PAYG 1'!$D$7),4)</f>
        <v>D7</v>
      </c>
      <c r="D3018" t="b" cm="1">
        <f t="array" aca="1" ref="D3018" ca="1">IF(INDIRECT("'"&amp;A3018&amp;"'!"&amp;B3018)="",FALSE,IF(LEN(INDIRECT("'"&amp;A3018&amp;"'!"&amp;B3018))=LEN(TRIM(CLEAN(INDIRECT("'"&amp;A3018&amp;"'!"&amp;B3018)))),FALSE,TRUE))</f>
        <v>0</v>
      </c>
      <c r="E3018" t="s">
        <v>588</v>
      </c>
      <c r="F3018" t="str">
        <f>INDEX(Lists!I:I,MATCH(Validation!E3018,Lists!G:G,0))</f>
        <v>Error</v>
      </c>
      <c r="G3018" t="str">
        <f>INDEX(Lists!H:H,MATCH(Validation!E3018,Lists!G:G,0))</f>
        <v>Do not use leading, trailing, or double spaces. Delete and re-enter.</v>
      </c>
      <c r="H3018" s="25" t="str">
        <f t="shared" ca="1" si="342"/>
        <v/>
      </c>
      <c r="I3018" s="25" t="str">
        <f t="shared" ca="1" si="343"/>
        <v/>
      </c>
      <c r="J3018" s="26" t="str">
        <f t="shared" ca="1" si="344"/>
        <v/>
      </c>
    </row>
    <row r="3019" spans="1:10" x14ac:dyDescent="0.25">
      <c r="A3019" t="s">
        <v>658</v>
      </c>
      <c r="B3019" t="str">
        <f>ADDRESS(ROW('PAYG 1'!$B$7),COLUMN('PAYG 1'!$B$7),4)</f>
        <v>B7</v>
      </c>
      <c r="C3019" t="str">
        <f>ADDRESS(ROW('PAYG 1'!$D$7),COLUMN('PAYG 1'!$D$7),4)</f>
        <v>D7</v>
      </c>
      <c r="D3019" t="b" cm="1">
        <f t="array" aca="1" ref="D3019" ca="1">IF(INDIRECT("'"&amp;A3019&amp;"'!"&amp;B3019)="",FALSE,IF(LEN(INDIRECT("'"&amp;A3019&amp;"'!"&amp;B3019))=LEN(TRIM(CLEAN(INDIRECT("'"&amp;A3019&amp;"'!"&amp;B3019)))),FALSE,TRUE))</f>
        <v>0</v>
      </c>
      <c r="E3019" t="s">
        <v>588</v>
      </c>
      <c r="F3019" t="str">
        <f>INDEX(Lists!I:I,MATCH(Validation!E3019,Lists!G:G,0))</f>
        <v>Error</v>
      </c>
      <c r="G3019" t="str">
        <f>INDEX(Lists!H:H,MATCH(Validation!E3019,Lists!G:G,0))</f>
        <v>Do not use leading, trailing, or double spaces. Delete and re-enter.</v>
      </c>
      <c r="H3019" s="25" t="str">
        <f t="shared" ca="1" si="342"/>
        <v/>
      </c>
      <c r="I3019" s="25" t="str">
        <f t="shared" ca="1" si="343"/>
        <v/>
      </c>
      <c r="J3019" s="26" t="str">
        <f t="shared" ca="1" si="344"/>
        <v/>
      </c>
    </row>
    <row r="3020" spans="1:10" x14ac:dyDescent="0.25">
      <c r="A3020" t="s">
        <v>659</v>
      </c>
      <c r="B3020" t="str">
        <f>ADDRESS(ROW('PAYG 1'!$B$7),COLUMN('PAYG 1'!$B$7),4)</f>
        <v>B7</v>
      </c>
      <c r="C3020" t="str">
        <f>ADDRESS(ROW('PAYG 1'!$D$7),COLUMN('PAYG 1'!$D$7),4)</f>
        <v>D7</v>
      </c>
      <c r="D3020" t="b" cm="1">
        <f t="array" aca="1" ref="D3020" ca="1">IF(INDIRECT("'"&amp;A3020&amp;"'!"&amp;B3020)="",FALSE,IF(LEN(INDIRECT("'"&amp;A3020&amp;"'!"&amp;B3020))=LEN(TRIM(CLEAN(INDIRECT("'"&amp;A3020&amp;"'!"&amp;B3020)))),FALSE,TRUE))</f>
        <v>0</v>
      </c>
      <c r="E3020" t="s">
        <v>588</v>
      </c>
      <c r="F3020" t="str">
        <f>INDEX(Lists!I:I,MATCH(Validation!E3020,Lists!G:G,0))</f>
        <v>Error</v>
      </c>
      <c r="G3020" t="str">
        <f>INDEX(Lists!H:H,MATCH(Validation!E3020,Lists!G:G,0))</f>
        <v>Do not use leading, trailing, or double spaces. Delete and re-enter.</v>
      </c>
      <c r="H3020" s="25" t="str">
        <f t="shared" ca="1" si="342"/>
        <v/>
      </c>
      <c r="I3020" s="25" t="str">
        <f t="shared" ca="1" si="343"/>
        <v/>
      </c>
      <c r="J3020" s="26" t="str">
        <f t="shared" ca="1" si="344"/>
        <v/>
      </c>
    </row>
    <row r="3021" spans="1:10" x14ac:dyDescent="0.25">
      <c r="A3021" t="s">
        <v>660</v>
      </c>
      <c r="B3021" t="str">
        <f>ADDRESS(ROW('PAYG 1'!$B$7),COLUMN('PAYG 1'!$B$7),4)</f>
        <v>B7</v>
      </c>
      <c r="C3021" t="str">
        <f>ADDRESS(ROW('PAYG 1'!$D$7),COLUMN('PAYG 1'!$D$7),4)</f>
        <v>D7</v>
      </c>
      <c r="D3021" t="b" cm="1">
        <f t="array" aca="1" ref="D3021" ca="1">IF(INDIRECT("'"&amp;A3021&amp;"'!"&amp;B3021)="",FALSE,IF(LEN(INDIRECT("'"&amp;A3021&amp;"'!"&amp;B3021))=LEN(TRIM(CLEAN(INDIRECT("'"&amp;A3021&amp;"'!"&amp;B3021)))),FALSE,TRUE))</f>
        <v>0</v>
      </c>
      <c r="E3021" t="s">
        <v>588</v>
      </c>
      <c r="F3021" t="str">
        <f>INDEX(Lists!I:I,MATCH(Validation!E3021,Lists!G:G,0))</f>
        <v>Error</v>
      </c>
      <c r="G3021" t="str">
        <f>INDEX(Lists!H:H,MATCH(Validation!E3021,Lists!G:G,0))</f>
        <v>Do not use leading, trailing, or double spaces. Delete and re-enter.</v>
      </c>
      <c r="H3021" s="25" t="str">
        <f t="shared" ca="1" si="342"/>
        <v/>
      </c>
      <c r="I3021" s="25" t="str">
        <f t="shared" ca="1" si="343"/>
        <v/>
      </c>
      <c r="J3021" s="26" t="str">
        <f t="shared" ca="1" si="344"/>
        <v/>
      </c>
    </row>
    <row r="3022" spans="1:10" x14ac:dyDescent="0.25">
      <c r="A3022" t="s">
        <v>661</v>
      </c>
      <c r="B3022" t="str">
        <f>ADDRESS(ROW('PAYG 1'!$B$7),COLUMN('PAYG 1'!$B$7),4)</f>
        <v>B7</v>
      </c>
      <c r="C3022" t="str">
        <f>ADDRESS(ROW('PAYG 1'!$D$7),COLUMN('PAYG 1'!$D$7),4)</f>
        <v>D7</v>
      </c>
      <c r="D3022" t="b" cm="1">
        <f t="array" aca="1" ref="D3022" ca="1">IF(INDIRECT("'"&amp;A3022&amp;"'!"&amp;B3022)="",FALSE,IF(LEN(INDIRECT("'"&amp;A3022&amp;"'!"&amp;B3022))=LEN(TRIM(CLEAN(INDIRECT("'"&amp;A3022&amp;"'!"&amp;B3022)))),FALSE,TRUE))</f>
        <v>0</v>
      </c>
      <c r="E3022" t="s">
        <v>588</v>
      </c>
      <c r="F3022" t="str">
        <f>INDEX(Lists!I:I,MATCH(Validation!E3022,Lists!G:G,0))</f>
        <v>Error</v>
      </c>
      <c r="G3022" t="str">
        <f>INDEX(Lists!H:H,MATCH(Validation!E3022,Lists!G:G,0))</f>
        <v>Do not use leading, trailing, or double spaces. Delete and re-enter.</v>
      </c>
      <c r="H3022" s="25" t="str">
        <f t="shared" ca="1" si="342"/>
        <v/>
      </c>
      <c r="I3022" s="25" t="str">
        <f t="shared" ca="1" si="343"/>
        <v/>
      </c>
      <c r="J3022" s="26" t="str">
        <f t="shared" ca="1" si="344"/>
        <v/>
      </c>
    </row>
    <row r="3023" spans="1:10" x14ac:dyDescent="0.25">
      <c r="A3023" t="s">
        <v>662</v>
      </c>
      <c r="B3023" t="str">
        <f>ADDRESS(ROW('PAYG 1'!$B$7),COLUMN('PAYG 1'!$B$7),4)</f>
        <v>B7</v>
      </c>
      <c r="C3023" t="str">
        <f>ADDRESS(ROW('PAYG 1'!$D$7),COLUMN('PAYG 1'!$D$7),4)</f>
        <v>D7</v>
      </c>
      <c r="D3023" t="b" cm="1">
        <f t="array" aca="1" ref="D3023" ca="1">IF(INDIRECT("'"&amp;A3023&amp;"'!"&amp;B3023)="",FALSE,IF(LEN(INDIRECT("'"&amp;A3023&amp;"'!"&amp;B3023))=LEN(TRIM(CLEAN(INDIRECT("'"&amp;A3023&amp;"'!"&amp;B3023)))),FALSE,TRUE))</f>
        <v>0</v>
      </c>
      <c r="E3023" t="s">
        <v>588</v>
      </c>
      <c r="F3023" t="str">
        <f>INDEX(Lists!I:I,MATCH(Validation!E3023,Lists!G:G,0))</f>
        <v>Error</v>
      </c>
      <c r="G3023" t="str">
        <f>INDEX(Lists!H:H,MATCH(Validation!E3023,Lists!G:G,0))</f>
        <v>Do not use leading, trailing, or double spaces. Delete and re-enter.</v>
      </c>
      <c r="H3023" s="25" t="str">
        <f t="shared" ca="1" si="342"/>
        <v/>
      </c>
      <c r="I3023" s="25" t="str">
        <f t="shared" ca="1" si="343"/>
        <v/>
      </c>
      <c r="J3023" s="26" t="str">
        <f t="shared" ca="1" si="344"/>
        <v/>
      </c>
    </row>
    <row r="3024" spans="1:10" x14ac:dyDescent="0.25">
      <c r="A3024" t="s">
        <v>663</v>
      </c>
      <c r="B3024" t="str">
        <f>ADDRESS(ROW('PAYG 1'!$B$7),COLUMN('PAYG 1'!$B$7),4)</f>
        <v>B7</v>
      </c>
      <c r="C3024" t="str">
        <f>ADDRESS(ROW('PAYG 1'!$D$7),COLUMN('PAYG 1'!$D$7),4)</f>
        <v>D7</v>
      </c>
      <c r="D3024" t="b" cm="1">
        <f t="array" aca="1" ref="D3024" ca="1">IF(INDIRECT("'"&amp;A3024&amp;"'!"&amp;B3024)="",FALSE,IF(LEN(INDIRECT("'"&amp;A3024&amp;"'!"&amp;B3024))=LEN(TRIM(CLEAN(INDIRECT("'"&amp;A3024&amp;"'!"&amp;B3024)))),FALSE,TRUE))</f>
        <v>0</v>
      </c>
      <c r="E3024" t="s">
        <v>588</v>
      </c>
      <c r="F3024" t="str">
        <f>INDEX(Lists!I:I,MATCH(Validation!E3024,Lists!G:G,0))</f>
        <v>Error</v>
      </c>
      <c r="G3024" t="str">
        <f>INDEX(Lists!H:H,MATCH(Validation!E3024,Lists!G:G,0))</f>
        <v>Do not use leading, trailing, or double spaces. Delete and re-enter.</v>
      </c>
      <c r="H3024" s="25" t="str">
        <f t="shared" ca="1" si="342"/>
        <v/>
      </c>
      <c r="I3024" s="25" t="str">
        <f t="shared" ca="1" si="343"/>
        <v/>
      </c>
      <c r="J3024" s="26" t="str">
        <f t="shared" ca="1" si="344"/>
        <v/>
      </c>
    </row>
    <row r="3025" spans="1:10" x14ac:dyDescent="0.25">
      <c r="A3025" t="s">
        <v>664</v>
      </c>
      <c r="B3025" t="str">
        <f>ADDRESS(ROW('PAYG 1'!$B$7),COLUMN('PAYG 1'!$B$7),4)</f>
        <v>B7</v>
      </c>
      <c r="C3025" t="str">
        <f>ADDRESS(ROW('PAYG 1'!$D$7),COLUMN('PAYG 1'!$D$7),4)</f>
        <v>D7</v>
      </c>
      <c r="D3025" t="b" cm="1">
        <f t="array" aca="1" ref="D3025" ca="1">IF(INDIRECT("'"&amp;A3025&amp;"'!"&amp;B3025)="",FALSE,IF(LEN(INDIRECT("'"&amp;A3025&amp;"'!"&amp;B3025))=LEN(TRIM(CLEAN(INDIRECT("'"&amp;A3025&amp;"'!"&amp;B3025)))),FALSE,TRUE))</f>
        <v>0</v>
      </c>
      <c r="E3025" t="s">
        <v>588</v>
      </c>
      <c r="F3025" t="str">
        <f>INDEX(Lists!I:I,MATCH(Validation!E3025,Lists!G:G,0))</f>
        <v>Error</v>
      </c>
      <c r="G3025" t="str">
        <f>INDEX(Lists!H:H,MATCH(Validation!E3025,Lists!G:G,0))</f>
        <v>Do not use leading, trailing, or double spaces. Delete and re-enter.</v>
      </c>
      <c r="H3025" s="25" t="str">
        <f t="shared" ca="1" si="342"/>
        <v/>
      </c>
      <c r="I3025" s="25" t="str">
        <f t="shared" ca="1" si="343"/>
        <v/>
      </c>
      <c r="J3025" s="26" t="str">
        <f t="shared" ca="1" si="344"/>
        <v/>
      </c>
    </row>
    <row r="3026" spans="1:10" x14ac:dyDescent="0.25">
      <c r="A3026" t="s">
        <v>203</v>
      </c>
      <c r="B3026" t="str">
        <f>ADDRESS(ROW('PAYG 1'!$B$8),COLUMN('PAYG 1'!$B$8),4)</f>
        <v>B8</v>
      </c>
      <c r="C3026" t="str">
        <f>ADDRESS(ROW('PAYG 1'!$D$8),COLUMN('PAYG 1'!$D$8),4)</f>
        <v>D8</v>
      </c>
      <c r="D3026" t="b" cm="1">
        <f t="array" aca="1" ref="D3026" ca="1">IF(INDIRECT("'"&amp;A3026&amp;"'!"&amp;B3026)="",FALSE,ISERROR(DATE(INDIRECT("'"&amp;A3026&amp;"'!"&amp;B3026),,)))</f>
        <v>0</v>
      </c>
      <c r="E3026" t="s">
        <v>498</v>
      </c>
      <c r="F3026" t="str">
        <f>INDEX(Lists!I:I,MATCH(Validation!E3026,Lists!G:G,0))</f>
        <v>Error</v>
      </c>
      <c r="G3026" t="str">
        <f>INDEX(Lists!H:H,MATCH(Validation!E3026,Lists!G:G,0))</f>
        <v>Enter a date only (MM/DD/YYYY). Do not enter text, spaces, or amounts.</v>
      </c>
      <c r="H3026" s="25" t="str">
        <f t="shared" ref="H3026:H3044" ca="1" si="345">IFERROR(IF(OR(NOT(D3026),F3026&lt;&gt;"Error"),"",A3026&amp;CELL("address",INDIRECT(B3026))),"")</f>
        <v/>
      </c>
      <c r="I3026" s="25" t="str">
        <f t="shared" ref="I3026:I3044" ca="1" si="346">IFERROR(IF(NOT(D3026),"",A3026&amp;CELL("address",INDIRECT(C3026))),"")</f>
        <v/>
      </c>
      <c r="J3026" s="26" t="str">
        <f t="shared" ref="J3026:J3044" ca="1" si="347">IFERROR(IF(NOT(D3026),"",A3026),"")</f>
        <v/>
      </c>
    </row>
    <row r="3027" spans="1:10" x14ac:dyDescent="0.25">
      <c r="A3027" t="s">
        <v>651</v>
      </c>
      <c r="B3027" t="str">
        <f>ADDRESS(ROW('PAYG 1'!$B$8),COLUMN('PAYG 1'!$B$8),4)</f>
        <v>B8</v>
      </c>
      <c r="C3027" t="str">
        <f>ADDRESS(ROW('PAYG 1'!$D$8),COLUMN('PAYG 1'!$D$8),4)</f>
        <v>D8</v>
      </c>
      <c r="D3027" t="b" cm="1">
        <f t="array" aca="1" ref="D3027" ca="1">IF(INDIRECT("'"&amp;A3027&amp;"'!"&amp;B3027)="",FALSE,ISERROR(DATE(INDIRECT("'"&amp;A3027&amp;"'!"&amp;B3027),,)))</f>
        <v>0</v>
      </c>
      <c r="E3027" t="s">
        <v>498</v>
      </c>
      <c r="F3027" t="str">
        <f>INDEX(Lists!I:I,MATCH(Validation!E3027,Lists!G:G,0))</f>
        <v>Error</v>
      </c>
      <c r="G3027" t="str">
        <f>INDEX(Lists!H:H,MATCH(Validation!E3027,Lists!G:G,0))</f>
        <v>Enter a date only (MM/DD/YYYY). Do not enter text, spaces, or amounts.</v>
      </c>
      <c r="H3027" s="25" t="str">
        <f t="shared" ca="1" si="345"/>
        <v/>
      </c>
      <c r="I3027" s="25" t="str">
        <f t="shared" ca="1" si="346"/>
        <v/>
      </c>
      <c r="J3027" s="26" t="str">
        <f t="shared" ca="1" si="347"/>
        <v/>
      </c>
    </row>
    <row r="3028" spans="1:10" x14ac:dyDescent="0.25">
      <c r="A3028" t="s">
        <v>652</v>
      </c>
      <c r="B3028" t="str">
        <f>ADDRESS(ROW('PAYG 1'!$B$8),COLUMN('PAYG 1'!$B$8),4)</f>
        <v>B8</v>
      </c>
      <c r="C3028" t="str">
        <f>ADDRESS(ROW('PAYG 1'!$D$8),COLUMN('PAYG 1'!$D$8),4)</f>
        <v>D8</v>
      </c>
      <c r="D3028" t="b" cm="1">
        <f t="array" aca="1" ref="D3028" ca="1">IF(INDIRECT("'"&amp;A3028&amp;"'!"&amp;B3028)="",FALSE,ISERROR(DATE(INDIRECT("'"&amp;A3028&amp;"'!"&amp;B3028),,)))</f>
        <v>0</v>
      </c>
      <c r="E3028" t="s">
        <v>498</v>
      </c>
      <c r="F3028" t="str">
        <f>INDEX(Lists!I:I,MATCH(Validation!E3028,Lists!G:G,0))</f>
        <v>Error</v>
      </c>
      <c r="G3028" t="str">
        <f>INDEX(Lists!H:H,MATCH(Validation!E3028,Lists!G:G,0))</f>
        <v>Enter a date only (MM/DD/YYYY). Do not enter text, spaces, or amounts.</v>
      </c>
      <c r="H3028" s="25" t="str">
        <f t="shared" ca="1" si="345"/>
        <v/>
      </c>
      <c r="I3028" s="25" t="str">
        <f t="shared" ca="1" si="346"/>
        <v/>
      </c>
      <c r="J3028" s="26" t="str">
        <f t="shared" ca="1" si="347"/>
        <v/>
      </c>
    </row>
    <row r="3029" spans="1:10" x14ac:dyDescent="0.25">
      <c r="A3029" t="s">
        <v>653</v>
      </c>
      <c r="B3029" t="str">
        <f>ADDRESS(ROW('PAYG 1'!$B$8),COLUMN('PAYG 1'!$B$8),4)</f>
        <v>B8</v>
      </c>
      <c r="C3029" t="str">
        <f>ADDRESS(ROW('PAYG 1'!$D$8),COLUMN('PAYG 1'!$D$8),4)</f>
        <v>D8</v>
      </c>
      <c r="D3029" t="b" cm="1">
        <f t="array" aca="1" ref="D3029" ca="1">IF(INDIRECT("'"&amp;A3029&amp;"'!"&amp;B3029)="",FALSE,ISERROR(DATE(INDIRECT("'"&amp;A3029&amp;"'!"&amp;B3029),,)))</f>
        <v>0</v>
      </c>
      <c r="E3029" t="s">
        <v>498</v>
      </c>
      <c r="F3029" t="str">
        <f>INDEX(Lists!I:I,MATCH(Validation!E3029,Lists!G:G,0))</f>
        <v>Error</v>
      </c>
      <c r="G3029" t="str">
        <f>INDEX(Lists!H:H,MATCH(Validation!E3029,Lists!G:G,0))</f>
        <v>Enter a date only (MM/DD/YYYY). Do not enter text, spaces, or amounts.</v>
      </c>
      <c r="H3029" s="25" t="str">
        <f t="shared" ca="1" si="345"/>
        <v/>
      </c>
      <c r="I3029" s="25" t="str">
        <f t="shared" ca="1" si="346"/>
        <v/>
      </c>
      <c r="J3029" s="26" t="str">
        <f t="shared" ca="1" si="347"/>
        <v/>
      </c>
    </row>
    <row r="3030" spans="1:10" x14ac:dyDescent="0.25">
      <c r="A3030" t="s">
        <v>654</v>
      </c>
      <c r="B3030" t="str">
        <f>ADDRESS(ROW('PAYG 1'!$B$8),COLUMN('PAYG 1'!$B$8),4)</f>
        <v>B8</v>
      </c>
      <c r="C3030" t="str">
        <f>ADDRESS(ROW('PAYG 1'!$D$8),COLUMN('PAYG 1'!$D$8),4)</f>
        <v>D8</v>
      </c>
      <c r="D3030" t="b" cm="1">
        <f t="array" aca="1" ref="D3030" ca="1">IF(INDIRECT("'"&amp;A3030&amp;"'!"&amp;B3030)="",FALSE,ISERROR(DATE(INDIRECT("'"&amp;A3030&amp;"'!"&amp;B3030),,)))</f>
        <v>0</v>
      </c>
      <c r="E3030" t="s">
        <v>498</v>
      </c>
      <c r="F3030" t="str">
        <f>INDEX(Lists!I:I,MATCH(Validation!E3030,Lists!G:G,0))</f>
        <v>Error</v>
      </c>
      <c r="G3030" t="str">
        <f>INDEX(Lists!H:H,MATCH(Validation!E3030,Lists!G:G,0))</f>
        <v>Enter a date only (MM/DD/YYYY). Do not enter text, spaces, or amounts.</v>
      </c>
      <c r="H3030" s="25" t="str">
        <f t="shared" ca="1" si="345"/>
        <v/>
      </c>
      <c r="I3030" s="25" t="str">
        <f t="shared" ca="1" si="346"/>
        <v/>
      </c>
      <c r="J3030" s="26" t="str">
        <f t="shared" ca="1" si="347"/>
        <v/>
      </c>
    </row>
    <row r="3031" spans="1:10" x14ac:dyDescent="0.25">
      <c r="A3031" t="s">
        <v>655</v>
      </c>
      <c r="B3031" t="str">
        <f>ADDRESS(ROW('PAYG 1'!$B$8),COLUMN('PAYG 1'!$B$8),4)</f>
        <v>B8</v>
      </c>
      <c r="C3031" t="str">
        <f>ADDRESS(ROW('PAYG 1'!$D$8),COLUMN('PAYG 1'!$D$8),4)</f>
        <v>D8</v>
      </c>
      <c r="D3031" t="b" cm="1">
        <f t="array" aca="1" ref="D3031" ca="1">IF(INDIRECT("'"&amp;A3031&amp;"'!"&amp;B3031)="",FALSE,ISERROR(DATE(INDIRECT("'"&amp;A3031&amp;"'!"&amp;B3031),,)))</f>
        <v>0</v>
      </c>
      <c r="E3031" t="s">
        <v>498</v>
      </c>
      <c r="F3031" t="str">
        <f>INDEX(Lists!I:I,MATCH(Validation!E3031,Lists!G:G,0))</f>
        <v>Error</v>
      </c>
      <c r="G3031" t="str">
        <f>INDEX(Lists!H:H,MATCH(Validation!E3031,Lists!G:G,0))</f>
        <v>Enter a date only (MM/DD/YYYY). Do not enter text, spaces, or amounts.</v>
      </c>
      <c r="H3031" s="25" t="str">
        <f t="shared" ca="1" si="345"/>
        <v/>
      </c>
      <c r="I3031" s="25" t="str">
        <f t="shared" ca="1" si="346"/>
        <v/>
      </c>
      <c r="J3031" s="26" t="str">
        <f t="shared" ca="1" si="347"/>
        <v/>
      </c>
    </row>
    <row r="3032" spans="1:10" x14ac:dyDescent="0.25">
      <c r="A3032" t="s">
        <v>656</v>
      </c>
      <c r="B3032" t="str">
        <f>ADDRESS(ROW('PAYG 1'!$B$8),COLUMN('PAYG 1'!$B$8),4)</f>
        <v>B8</v>
      </c>
      <c r="C3032" t="str">
        <f>ADDRESS(ROW('PAYG 1'!$D$8),COLUMN('PAYG 1'!$D$8),4)</f>
        <v>D8</v>
      </c>
      <c r="D3032" t="b" cm="1">
        <f t="array" aca="1" ref="D3032" ca="1">IF(INDIRECT("'"&amp;A3032&amp;"'!"&amp;B3032)="",FALSE,ISERROR(DATE(INDIRECT("'"&amp;A3032&amp;"'!"&amp;B3032),,)))</f>
        <v>0</v>
      </c>
      <c r="E3032" t="s">
        <v>498</v>
      </c>
      <c r="F3032" t="str">
        <f>INDEX(Lists!I:I,MATCH(Validation!E3032,Lists!G:G,0))</f>
        <v>Error</v>
      </c>
      <c r="G3032" t="str">
        <f>INDEX(Lists!H:H,MATCH(Validation!E3032,Lists!G:G,0))</f>
        <v>Enter a date only (MM/DD/YYYY). Do not enter text, spaces, or amounts.</v>
      </c>
      <c r="H3032" s="25" t="str">
        <f t="shared" ca="1" si="345"/>
        <v/>
      </c>
      <c r="I3032" s="25" t="str">
        <f t="shared" ca="1" si="346"/>
        <v/>
      </c>
      <c r="J3032" s="26" t="str">
        <f t="shared" ca="1" si="347"/>
        <v/>
      </c>
    </row>
    <row r="3033" spans="1:10" x14ac:dyDescent="0.25">
      <c r="A3033" t="s">
        <v>657</v>
      </c>
      <c r="B3033" t="str">
        <f>ADDRESS(ROW('PAYG 1'!$B$8),COLUMN('PAYG 1'!$B$8),4)</f>
        <v>B8</v>
      </c>
      <c r="C3033" t="str">
        <f>ADDRESS(ROW('PAYG 1'!$D$8),COLUMN('PAYG 1'!$D$8),4)</f>
        <v>D8</v>
      </c>
      <c r="D3033" t="b" cm="1">
        <f t="array" aca="1" ref="D3033" ca="1">IF(INDIRECT("'"&amp;A3033&amp;"'!"&amp;B3033)="",FALSE,ISERROR(DATE(INDIRECT("'"&amp;A3033&amp;"'!"&amp;B3033),,)))</f>
        <v>0</v>
      </c>
      <c r="E3033" t="s">
        <v>498</v>
      </c>
      <c r="F3033" t="str">
        <f>INDEX(Lists!I:I,MATCH(Validation!E3033,Lists!G:G,0))</f>
        <v>Error</v>
      </c>
      <c r="G3033" t="str">
        <f>INDEX(Lists!H:H,MATCH(Validation!E3033,Lists!G:G,0))</f>
        <v>Enter a date only (MM/DD/YYYY). Do not enter text, spaces, or amounts.</v>
      </c>
      <c r="H3033" s="25" t="str">
        <f t="shared" ca="1" si="345"/>
        <v/>
      </c>
      <c r="I3033" s="25" t="str">
        <f t="shared" ca="1" si="346"/>
        <v/>
      </c>
      <c r="J3033" s="26" t="str">
        <f t="shared" ca="1" si="347"/>
        <v/>
      </c>
    </row>
    <row r="3034" spans="1:10" x14ac:dyDescent="0.25">
      <c r="A3034" t="s">
        <v>658</v>
      </c>
      <c r="B3034" t="str">
        <f>ADDRESS(ROW('PAYG 1'!$B$8),COLUMN('PAYG 1'!$B$8),4)</f>
        <v>B8</v>
      </c>
      <c r="C3034" t="str">
        <f>ADDRESS(ROW('PAYG 1'!$D$8),COLUMN('PAYG 1'!$D$8),4)</f>
        <v>D8</v>
      </c>
      <c r="D3034" t="b" cm="1">
        <f t="array" aca="1" ref="D3034" ca="1">IF(INDIRECT("'"&amp;A3034&amp;"'!"&amp;B3034)="",FALSE,ISERROR(DATE(INDIRECT("'"&amp;A3034&amp;"'!"&amp;B3034),,)))</f>
        <v>0</v>
      </c>
      <c r="E3034" t="s">
        <v>498</v>
      </c>
      <c r="F3034" t="str">
        <f>INDEX(Lists!I:I,MATCH(Validation!E3034,Lists!G:G,0))</f>
        <v>Error</v>
      </c>
      <c r="G3034" t="str">
        <f>INDEX(Lists!H:H,MATCH(Validation!E3034,Lists!G:G,0))</f>
        <v>Enter a date only (MM/DD/YYYY). Do not enter text, spaces, or amounts.</v>
      </c>
      <c r="H3034" s="25" t="str">
        <f t="shared" ca="1" si="345"/>
        <v/>
      </c>
      <c r="I3034" s="25" t="str">
        <f t="shared" ca="1" si="346"/>
        <v/>
      </c>
      <c r="J3034" s="26" t="str">
        <f t="shared" ca="1" si="347"/>
        <v/>
      </c>
    </row>
    <row r="3035" spans="1:10" x14ac:dyDescent="0.25">
      <c r="A3035" t="s">
        <v>659</v>
      </c>
      <c r="B3035" t="str">
        <f>ADDRESS(ROW('PAYG 1'!$B$8),COLUMN('PAYG 1'!$B$8),4)</f>
        <v>B8</v>
      </c>
      <c r="C3035" t="str">
        <f>ADDRESS(ROW('PAYG 1'!$D$8),COLUMN('PAYG 1'!$D$8),4)</f>
        <v>D8</v>
      </c>
      <c r="D3035" t="b" cm="1">
        <f t="array" aca="1" ref="D3035" ca="1">IF(INDIRECT("'"&amp;A3035&amp;"'!"&amp;B3035)="",FALSE,ISERROR(DATE(INDIRECT("'"&amp;A3035&amp;"'!"&amp;B3035),,)))</f>
        <v>0</v>
      </c>
      <c r="E3035" t="s">
        <v>498</v>
      </c>
      <c r="F3035" t="str">
        <f>INDEX(Lists!I:I,MATCH(Validation!E3035,Lists!G:G,0))</f>
        <v>Error</v>
      </c>
      <c r="G3035" t="str">
        <f>INDEX(Lists!H:H,MATCH(Validation!E3035,Lists!G:G,0))</f>
        <v>Enter a date only (MM/DD/YYYY). Do not enter text, spaces, or amounts.</v>
      </c>
      <c r="H3035" s="25" t="str">
        <f t="shared" ca="1" si="345"/>
        <v/>
      </c>
      <c r="I3035" s="25" t="str">
        <f t="shared" ca="1" si="346"/>
        <v/>
      </c>
      <c r="J3035" s="26" t="str">
        <f t="shared" ca="1" si="347"/>
        <v/>
      </c>
    </row>
    <row r="3036" spans="1:10" x14ac:dyDescent="0.25">
      <c r="A3036" t="s">
        <v>660</v>
      </c>
      <c r="B3036" t="str">
        <f>ADDRESS(ROW('PAYG 1'!$B$8),COLUMN('PAYG 1'!$B$8),4)</f>
        <v>B8</v>
      </c>
      <c r="C3036" t="str">
        <f>ADDRESS(ROW('PAYG 1'!$D$8),COLUMN('PAYG 1'!$D$8),4)</f>
        <v>D8</v>
      </c>
      <c r="D3036" t="b" cm="1">
        <f t="array" aca="1" ref="D3036" ca="1">IF(INDIRECT("'"&amp;A3036&amp;"'!"&amp;B3036)="",FALSE,ISERROR(DATE(INDIRECT("'"&amp;A3036&amp;"'!"&amp;B3036),,)))</f>
        <v>0</v>
      </c>
      <c r="E3036" t="s">
        <v>498</v>
      </c>
      <c r="F3036" t="str">
        <f>INDEX(Lists!I:I,MATCH(Validation!E3036,Lists!G:G,0))</f>
        <v>Error</v>
      </c>
      <c r="G3036" t="str">
        <f>INDEX(Lists!H:H,MATCH(Validation!E3036,Lists!G:G,0))</f>
        <v>Enter a date only (MM/DD/YYYY). Do not enter text, spaces, or amounts.</v>
      </c>
      <c r="H3036" s="25" t="str">
        <f t="shared" ca="1" si="345"/>
        <v/>
      </c>
      <c r="I3036" s="25" t="str">
        <f t="shared" ca="1" si="346"/>
        <v/>
      </c>
      <c r="J3036" s="26" t="str">
        <f t="shared" ca="1" si="347"/>
        <v/>
      </c>
    </row>
    <row r="3037" spans="1:10" x14ac:dyDescent="0.25">
      <c r="A3037" t="s">
        <v>661</v>
      </c>
      <c r="B3037" t="str">
        <f>ADDRESS(ROW('PAYG 1'!$B$8),COLUMN('PAYG 1'!$B$8),4)</f>
        <v>B8</v>
      </c>
      <c r="C3037" t="str">
        <f>ADDRESS(ROW('PAYG 1'!$D$8),COLUMN('PAYG 1'!$D$8),4)</f>
        <v>D8</v>
      </c>
      <c r="D3037" t="b" cm="1">
        <f t="array" aca="1" ref="D3037" ca="1">IF(INDIRECT("'"&amp;A3037&amp;"'!"&amp;B3037)="",FALSE,ISERROR(DATE(INDIRECT("'"&amp;A3037&amp;"'!"&amp;B3037),,)))</f>
        <v>0</v>
      </c>
      <c r="E3037" t="s">
        <v>498</v>
      </c>
      <c r="F3037" t="str">
        <f>INDEX(Lists!I:I,MATCH(Validation!E3037,Lists!G:G,0))</f>
        <v>Error</v>
      </c>
      <c r="G3037" t="str">
        <f>INDEX(Lists!H:H,MATCH(Validation!E3037,Lists!G:G,0))</f>
        <v>Enter a date only (MM/DD/YYYY). Do not enter text, spaces, or amounts.</v>
      </c>
      <c r="H3037" s="25" t="str">
        <f t="shared" ca="1" si="345"/>
        <v/>
      </c>
      <c r="I3037" s="25" t="str">
        <f t="shared" ca="1" si="346"/>
        <v/>
      </c>
      <c r="J3037" s="26" t="str">
        <f t="shared" ca="1" si="347"/>
        <v/>
      </c>
    </row>
    <row r="3038" spans="1:10" x14ac:dyDescent="0.25">
      <c r="A3038" t="s">
        <v>662</v>
      </c>
      <c r="B3038" t="str">
        <f>ADDRESS(ROW('PAYG 1'!$B$8),COLUMN('PAYG 1'!$B$8),4)</f>
        <v>B8</v>
      </c>
      <c r="C3038" t="str">
        <f>ADDRESS(ROW('PAYG 1'!$D$8),COLUMN('PAYG 1'!$D$8),4)</f>
        <v>D8</v>
      </c>
      <c r="D3038" t="b" cm="1">
        <f t="array" aca="1" ref="D3038" ca="1">IF(INDIRECT("'"&amp;A3038&amp;"'!"&amp;B3038)="",FALSE,ISERROR(DATE(INDIRECT("'"&amp;A3038&amp;"'!"&amp;B3038),,)))</f>
        <v>0</v>
      </c>
      <c r="E3038" t="s">
        <v>498</v>
      </c>
      <c r="F3038" t="str">
        <f>INDEX(Lists!I:I,MATCH(Validation!E3038,Lists!G:G,0))</f>
        <v>Error</v>
      </c>
      <c r="G3038" t="str">
        <f>INDEX(Lists!H:H,MATCH(Validation!E3038,Lists!G:G,0))</f>
        <v>Enter a date only (MM/DD/YYYY). Do not enter text, spaces, or amounts.</v>
      </c>
      <c r="H3038" s="25" t="str">
        <f t="shared" ca="1" si="345"/>
        <v/>
      </c>
      <c r="I3038" s="25" t="str">
        <f t="shared" ca="1" si="346"/>
        <v/>
      </c>
      <c r="J3038" s="26" t="str">
        <f t="shared" ca="1" si="347"/>
        <v/>
      </c>
    </row>
    <row r="3039" spans="1:10" x14ac:dyDescent="0.25">
      <c r="A3039" t="s">
        <v>663</v>
      </c>
      <c r="B3039" t="str">
        <f>ADDRESS(ROW('PAYG 1'!$B$8),COLUMN('PAYG 1'!$B$8),4)</f>
        <v>B8</v>
      </c>
      <c r="C3039" t="str">
        <f>ADDRESS(ROW('PAYG 1'!$D$8),COLUMN('PAYG 1'!$D$8),4)</f>
        <v>D8</v>
      </c>
      <c r="D3039" t="b" cm="1">
        <f t="array" aca="1" ref="D3039" ca="1">IF(INDIRECT("'"&amp;A3039&amp;"'!"&amp;B3039)="",FALSE,ISERROR(DATE(INDIRECT("'"&amp;A3039&amp;"'!"&amp;B3039),,)))</f>
        <v>0</v>
      </c>
      <c r="E3039" t="s">
        <v>498</v>
      </c>
      <c r="F3039" t="str">
        <f>INDEX(Lists!I:I,MATCH(Validation!E3039,Lists!G:G,0))</f>
        <v>Error</v>
      </c>
      <c r="G3039" t="str">
        <f>INDEX(Lists!H:H,MATCH(Validation!E3039,Lists!G:G,0))</f>
        <v>Enter a date only (MM/DD/YYYY). Do not enter text, spaces, or amounts.</v>
      </c>
      <c r="H3039" s="25" t="str">
        <f t="shared" ca="1" si="345"/>
        <v/>
      </c>
      <c r="I3039" s="25" t="str">
        <f t="shared" ca="1" si="346"/>
        <v/>
      </c>
      <c r="J3039" s="26" t="str">
        <f t="shared" ca="1" si="347"/>
        <v/>
      </c>
    </row>
    <row r="3040" spans="1:10" x14ac:dyDescent="0.25">
      <c r="A3040" t="s">
        <v>664</v>
      </c>
      <c r="B3040" t="str">
        <f>ADDRESS(ROW('PAYG 1'!$B$8),COLUMN('PAYG 1'!$B$8),4)</f>
        <v>B8</v>
      </c>
      <c r="C3040" t="str">
        <f>ADDRESS(ROW('PAYG 1'!$D$8),COLUMN('PAYG 1'!$D$8),4)</f>
        <v>D8</v>
      </c>
      <c r="D3040" t="b" cm="1">
        <f t="array" aca="1" ref="D3040" ca="1">IF(INDIRECT("'"&amp;A3040&amp;"'!"&amp;B3040)="",FALSE,ISERROR(DATE(INDIRECT("'"&amp;A3040&amp;"'!"&amp;B3040),,)))</f>
        <v>0</v>
      </c>
      <c r="E3040" t="s">
        <v>498</v>
      </c>
      <c r="F3040" t="str">
        <f>INDEX(Lists!I:I,MATCH(Validation!E3040,Lists!G:G,0))</f>
        <v>Error</v>
      </c>
      <c r="G3040" t="str">
        <f>INDEX(Lists!H:H,MATCH(Validation!E3040,Lists!G:G,0))</f>
        <v>Enter a date only (MM/DD/YYYY). Do not enter text, spaces, or amounts.</v>
      </c>
      <c r="H3040" s="25" t="str">
        <f t="shared" ca="1" si="345"/>
        <v/>
      </c>
      <c r="I3040" s="25" t="str">
        <f t="shared" ca="1" si="346"/>
        <v/>
      </c>
      <c r="J3040" s="26" t="str">
        <f t="shared" ca="1" si="347"/>
        <v/>
      </c>
    </row>
    <row r="3041" spans="1:10" x14ac:dyDescent="0.25">
      <c r="A3041" t="s">
        <v>203</v>
      </c>
      <c r="B3041" t="str">
        <f>ADDRESS(ROW('PAYG 1'!$B$8),COLUMN('PAYG 1'!$B$8),4)</f>
        <v>B8</v>
      </c>
      <c r="C3041" t="str">
        <f>ADDRESS(ROW('PAYG 1'!$D$8),COLUMN('PAYG 1'!$D$8),4)</f>
        <v>D8</v>
      </c>
      <c r="D3041" t="b" cm="1">
        <f t="array" aca="1" ref="D3041" ca="1">IF(INDIRECT("'"&amp;A3041&amp;"'!"&amp;B3041)="",FALSE,IF(INDIRECT("'"&amp;A3041&amp;"'!"&amp;B3041)&gt;DATE(Year_DestinationYearID,12,31),TRUE,FALSE))</f>
        <v>0</v>
      </c>
      <c r="E3041" t="s">
        <v>608</v>
      </c>
      <c r="F3041" t="str">
        <f>INDEX(Lists!I:I,MATCH(Validation!E3041,Lists!G:G,0))</f>
        <v>Error</v>
      </c>
      <c r="G3041" t="str">
        <f>INDEX(Lists!H:H,MATCH(Validation!E3041,Lists!G:G,0))</f>
        <v>Issue date must be on or before December 31, 2024.</v>
      </c>
      <c r="H3041" s="25" t="str">
        <f t="shared" ca="1" si="345"/>
        <v/>
      </c>
      <c r="I3041" s="25" t="str">
        <f t="shared" ca="1" si="346"/>
        <v/>
      </c>
      <c r="J3041" s="26" t="str">
        <f t="shared" ca="1" si="347"/>
        <v/>
      </c>
    </row>
    <row r="3042" spans="1:10" x14ac:dyDescent="0.25">
      <c r="A3042" t="s">
        <v>651</v>
      </c>
      <c r="B3042" t="str">
        <f>ADDRESS(ROW('PAYG 1'!$B$8),COLUMN('PAYG 1'!$B$8),4)</f>
        <v>B8</v>
      </c>
      <c r="C3042" t="str">
        <f>ADDRESS(ROW('PAYG 1'!$D$8),COLUMN('PAYG 1'!$D$8),4)</f>
        <v>D8</v>
      </c>
      <c r="D3042" t="b" cm="1">
        <f t="array" aca="1" ref="D3042" ca="1">IF(INDIRECT("'"&amp;A3042&amp;"'!"&amp;B3042)="",FALSE,IF(INDIRECT("'"&amp;A3042&amp;"'!"&amp;B3042)&gt;DATE(Year_DestinationYearID,12,31),TRUE,FALSE))</f>
        <v>0</v>
      </c>
      <c r="E3042" t="s">
        <v>608</v>
      </c>
      <c r="F3042" t="str">
        <f>INDEX(Lists!I:I,MATCH(Validation!E3042,Lists!G:G,0))</f>
        <v>Error</v>
      </c>
      <c r="G3042" t="str">
        <f>INDEX(Lists!H:H,MATCH(Validation!E3042,Lists!G:G,0))</f>
        <v>Issue date must be on or before December 31, 2024.</v>
      </c>
      <c r="H3042" s="25" t="str">
        <f t="shared" ca="1" si="345"/>
        <v/>
      </c>
      <c r="I3042" s="25" t="str">
        <f t="shared" ca="1" si="346"/>
        <v/>
      </c>
      <c r="J3042" s="26" t="str">
        <f t="shared" ca="1" si="347"/>
        <v/>
      </c>
    </row>
    <row r="3043" spans="1:10" x14ac:dyDescent="0.25">
      <c r="A3043" t="s">
        <v>652</v>
      </c>
      <c r="B3043" t="str">
        <f>ADDRESS(ROW('PAYG 1'!$B$8),COLUMN('PAYG 1'!$B$8),4)</f>
        <v>B8</v>
      </c>
      <c r="C3043" t="str">
        <f>ADDRESS(ROW('PAYG 1'!$D$8),COLUMN('PAYG 1'!$D$8),4)</f>
        <v>D8</v>
      </c>
      <c r="D3043" t="b" cm="1">
        <f t="array" aca="1" ref="D3043" ca="1">IF(INDIRECT("'"&amp;A3043&amp;"'!"&amp;B3043)="",FALSE,IF(INDIRECT("'"&amp;A3043&amp;"'!"&amp;B3043)&gt;DATE(Year_DestinationYearID,12,31),TRUE,FALSE))</f>
        <v>0</v>
      </c>
      <c r="E3043" t="s">
        <v>608</v>
      </c>
      <c r="F3043" t="str">
        <f>INDEX(Lists!I:I,MATCH(Validation!E3043,Lists!G:G,0))</f>
        <v>Error</v>
      </c>
      <c r="G3043" t="str">
        <f>INDEX(Lists!H:H,MATCH(Validation!E3043,Lists!G:G,0))</f>
        <v>Issue date must be on or before December 31, 2024.</v>
      </c>
      <c r="H3043" s="25" t="str">
        <f t="shared" ca="1" si="345"/>
        <v/>
      </c>
      <c r="I3043" s="25" t="str">
        <f t="shared" ca="1" si="346"/>
        <v/>
      </c>
      <c r="J3043" s="26" t="str">
        <f t="shared" ca="1" si="347"/>
        <v/>
      </c>
    </row>
    <row r="3044" spans="1:10" x14ac:dyDescent="0.25">
      <c r="A3044" t="s">
        <v>653</v>
      </c>
      <c r="B3044" t="str">
        <f>ADDRESS(ROW('PAYG 1'!$B$8),COLUMN('PAYG 1'!$B$8),4)</f>
        <v>B8</v>
      </c>
      <c r="C3044" t="str">
        <f>ADDRESS(ROW('PAYG 1'!$D$8),COLUMN('PAYG 1'!$D$8),4)</f>
        <v>D8</v>
      </c>
      <c r="D3044" t="b" cm="1">
        <f t="array" aca="1" ref="D3044" ca="1">IF(INDIRECT("'"&amp;A3044&amp;"'!"&amp;B3044)="",FALSE,IF(INDIRECT("'"&amp;A3044&amp;"'!"&amp;B3044)&gt;DATE(Year_DestinationYearID,12,31),TRUE,FALSE))</f>
        <v>0</v>
      </c>
      <c r="E3044" t="s">
        <v>608</v>
      </c>
      <c r="F3044" t="str">
        <f>INDEX(Lists!I:I,MATCH(Validation!E3044,Lists!G:G,0))</f>
        <v>Error</v>
      </c>
      <c r="G3044" t="str">
        <f>INDEX(Lists!H:H,MATCH(Validation!E3044,Lists!G:G,0))</f>
        <v>Issue date must be on or before December 31, 2024.</v>
      </c>
      <c r="H3044" s="25" t="str">
        <f t="shared" ca="1" si="345"/>
        <v/>
      </c>
      <c r="I3044" s="25" t="str">
        <f t="shared" ca="1" si="346"/>
        <v/>
      </c>
      <c r="J3044" s="26" t="str">
        <f t="shared" ca="1" si="347"/>
        <v/>
      </c>
    </row>
    <row r="3045" spans="1:10" x14ac:dyDescent="0.25">
      <c r="A3045" t="s">
        <v>654</v>
      </c>
      <c r="B3045" t="str">
        <f>ADDRESS(ROW('PAYG 1'!$B$8),COLUMN('PAYG 1'!$B$8),4)</f>
        <v>B8</v>
      </c>
      <c r="C3045" t="str">
        <f>ADDRESS(ROW('PAYG 1'!$D$8),COLUMN('PAYG 1'!$D$8),4)</f>
        <v>D8</v>
      </c>
      <c r="D3045" t="b" cm="1">
        <f t="array" aca="1" ref="D3045" ca="1">IF(INDIRECT("'"&amp;A3045&amp;"'!"&amp;B3045)="",FALSE,IF(INDIRECT("'"&amp;A3045&amp;"'!"&amp;B3045)&gt;DATE(Year_DestinationYearID,12,31),TRUE,FALSE))</f>
        <v>0</v>
      </c>
      <c r="E3045" t="s">
        <v>608</v>
      </c>
      <c r="F3045" t="str">
        <f>INDEX(Lists!I:I,MATCH(Validation!E3045,Lists!G:G,0))</f>
        <v>Error</v>
      </c>
      <c r="G3045" t="str">
        <f>INDEX(Lists!H:H,MATCH(Validation!E3045,Lists!G:G,0))</f>
        <v>Issue date must be on or before December 31, 2024.</v>
      </c>
      <c r="H3045" s="25" t="str">
        <f t="shared" ref="H3045:H3108" ca="1" si="348">IFERROR(IF(OR(NOT(D3045),F3045&lt;&gt;"Error"),"",A3045&amp;CELL("address",INDIRECT(B3045))),"")</f>
        <v/>
      </c>
      <c r="I3045" s="25" t="str">
        <f t="shared" ref="I3045:I3108" ca="1" si="349">IFERROR(IF(NOT(D3045),"",A3045&amp;CELL("address",INDIRECT(C3045))),"")</f>
        <v/>
      </c>
      <c r="J3045" s="26" t="str">
        <f t="shared" ref="J3045:J3108" ca="1" si="350">IFERROR(IF(NOT(D3045),"",A3045),"")</f>
        <v/>
      </c>
    </row>
    <row r="3046" spans="1:10" x14ac:dyDescent="0.25">
      <c r="A3046" t="s">
        <v>655</v>
      </c>
      <c r="B3046" t="str">
        <f>ADDRESS(ROW('PAYG 1'!$B$8),COLUMN('PAYG 1'!$B$8),4)</f>
        <v>B8</v>
      </c>
      <c r="C3046" t="str">
        <f>ADDRESS(ROW('PAYG 1'!$D$8),COLUMN('PAYG 1'!$D$8),4)</f>
        <v>D8</v>
      </c>
      <c r="D3046" t="b" cm="1">
        <f t="array" aca="1" ref="D3046" ca="1">IF(INDIRECT("'"&amp;A3046&amp;"'!"&amp;B3046)="",FALSE,IF(INDIRECT("'"&amp;A3046&amp;"'!"&amp;B3046)&gt;DATE(Year_DestinationYearID,12,31),TRUE,FALSE))</f>
        <v>0</v>
      </c>
      <c r="E3046" t="s">
        <v>608</v>
      </c>
      <c r="F3046" t="str">
        <f>INDEX(Lists!I:I,MATCH(Validation!E3046,Lists!G:G,0))</f>
        <v>Error</v>
      </c>
      <c r="G3046" t="str">
        <f>INDEX(Lists!H:H,MATCH(Validation!E3046,Lists!G:G,0))</f>
        <v>Issue date must be on or before December 31, 2024.</v>
      </c>
      <c r="H3046" s="25" t="str">
        <f t="shared" ca="1" si="348"/>
        <v/>
      </c>
      <c r="I3046" s="25" t="str">
        <f t="shared" ca="1" si="349"/>
        <v/>
      </c>
      <c r="J3046" s="26" t="str">
        <f t="shared" ca="1" si="350"/>
        <v/>
      </c>
    </row>
    <row r="3047" spans="1:10" x14ac:dyDescent="0.25">
      <c r="A3047" t="s">
        <v>656</v>
      </c>
      <c r="B3047" t="str">
        <f>ADDRESS(ROW('PAYG 1'!$B$8),COLUMN('PAYG 1'!$B$8),4)</f>
        <v>B8</v>
      </c>
      <c r="C3047" t="str">
        <f>ADDRESS(ROW('PAYG 1'!$D$8),COLUMN('PAYG 1'!$D$8),4)</f>
        <v>D8</v>
      </c>
      <c r="D3047" t="b" cm="1">
        <f t="array" aca="1" ref="D3047" ca="1">IF(INDIRECT("'"&amp;A3047&amp;"'!"&amp;B3047)="",FALSE,IF(INDIRECT("'"&amp;A3047&amp;"'!"&amp;B3047)&gt;DATE(Year_DestinationYearID,12,31),TRUE,FALSE))</f>
        <v>0</v>
      </c>
      <c r="E3047" t="s">
        <v>608</v>
      </c>
      <c r="F3047" t="str">
        <f>INDEX(Lists!I:I,MATCH(Validation!E3047,Lists!G:G,0))</f>
        <v>Error</v>
      </c>
      <c r="G3047" t="str">
        <f>INDEX(Lists!H:H,MATCH(Validation!E3047,Lists!G:G,0))</f>
        <v>Issue date must be on or before December 31, 2024.</v>
      </c>
      <c r="H3047" s="25" t="str">
        <f t="shared" ca="1" si="348"/>
        <v/>
      </c>
      <c r="I3047" s="25" t="str">
        <f t="shared" ca="1" si="349"/>
        <v/>
      </c>
      <c r="J3047" s="26" t="str">
        <f t="shared" ca="1" si="350"/>
        <v/>
      </c>
    </row>
    <row r="3048" spans="1:10" x14ac:dyDescent="0.25">
      <c r="A3048" t="s">
        <v>657</v>
      </c>
      <c r="B3048" t="str">
        <f>ADDRESS(ROW('PAYG 1'!$B$8),COLUMN('PAYG 1'!$B$8),4)</f>
        <v>B8</v>
      </c>
      <c r="C3048" t="str">
        <f>ADDRESS(ROW('PAYG 1'!$D$8),COLUMN('PAYG 1'!$D$8),4)</f>
        <v>D8</v>
      </c>
      <c r="D3048" t="b" cm="1">
        <f t="array" aca="1" ref="D3048" ca="1">IF(INDIRECT("'"&amp;A3048&amp;"'!"&amp;B3048)="",FALSE,IF(INDIRECT("'"&amp;A3048&amp;"'!"&amp;B3048)&gt;DATE(Year_DestinationYearID,12,31),TRUE,FALSE))</f>
        <v>0</v>
      </c>
      <c r="E3048" t="s">
        <v>608</v>
      </c>
      <c r="F3048" t="str">
        <f>INDEX(Lists!I:I,MATCH(Validation!E3048,Lists!G:G,0))</f>
        <v>Error</v>
      </c>
      <c r="G3048" t="str">
        <f>INDEX(Lists!H:H,MATCH(Validation!E3048,Lists!G:G,0))</f>
        <v>Issue date must be on or before December 31, 2024.</v>
      </c>
      <c r="H3048" s="25" t="str">
        <f t="shared" ca="1" si="348"/>
        <v/>
      </c>
      <c r="I3048" s="25" t="str">
        <f t="shared" ca="1" si="349"/>
        <v/>
      </c>
      <c r="J3048" s="26" t="str">
        <f t="shared" ca="1" si="350"/>
        <v/>
      </c>
    </row>
    <row r="3049" spans="1:10" x14ac:dyDescent="0.25">
      <c r="A3049" t="s">
        <v>658</v>
      </c>
      <c r="B3049" t="str">
        <f>ADDRESS(ROW('PAYG 1'!$B$8),COLUMN('PAYG 1'!$B$8),4)</f>
        <v>B8</v>
      </c>
      <c r="C3049" t="str">
        <f>ADDRESS(ROW('PAYG 1'!$D$8),COLUMN('PAYG 1'!$D$8),4)</f>
        <v>D8</v>
      </c>
      <c r="D3049" t="b" cm="1">
        <f t="array" aca="1" ref="D3049" ca="1">IF(INDIRECT("'"&amp;A3049&amp;"'!"&amp;B3049)="",FALSE,IF(INDIRECT("'"&amp;A3049&amp;"'!"&amp;B3049)&gt;DATE(Year_DestinationYearID,12,31),TRUE,FALSE))</f>
        <v>0</v>
      </c>
      <c r="E3049" t="s">
        <v>608</v>
      </c>
      <c r="F3049" t="str">
        <f>INDEX(Lists!I:I,MATCH(Validation!E3049,Lists!G:G,0))</f>
        <v>Error</v>
      </c>
      <c r="G3049" t="str">
        <f>INDEX(Lists!H:H,MATCH(Validation!E3049,Lists!G:G,0))</f>
        <v>Issue date must be on or before December 31, 2024.</v>
      </c>
      <c r="H3049" s="25" t="str">
        <f t="shared" ca="1" si="348"/>
        <v/>
      </c>
      <c r="I3049" s="25" t="str">
        <f t="shared" ca="1" si="349"/>
        <v/>
      </c>
      <c r="J3049" s="26" t="str">
        <f t="shared" ca="1" si="350"/>
        <v/>
      </c>
    </row>
    <row r="3050" spans="1:10" x14ac:dyDescent="0.25">
      <c r="A3050" t="s">
        <v>659</v>
      </c>
      <c r="B3050" t="str">
        <f>ADDRESS(ROW('PAYG 1'!$B$8),COLUMN('PAYG 1'!$B$8),4)</f>
        <v>B8</v>
      </c>
      <c r="C3050" t="str">
        <f>ADDRESS(ROW('PAYG 1'!$D$8),COLUMN('PAYG 1'!$D$8),4)</f>
        <v>D8</v>
      </c>
      <c r="D3050" t="b" cm="1">
        <f t="array" aca="1" ref="D3050" ca="1">IF(INDIRECT("'"&amp;A3050&amp;"'!"&amp;B3050)="",FALSE,IF(INDIRECT("'"&amp;A3050&amp;"'!"&amp;B3050)&gt;DATE(Year_DestinationYearID,12,31),TRUE,FALSE))</f>
        <v>0</v>
      </c>
      <c r="E3050" t="s">
        <v>608</v>
      </c>
      <c r="F3050" t="str">
        <f>INDEX(Lists!I:I,MATCH(Validation!E3050,Lists!G:G,0))</f>
        <v>Error</v>
      </c>
      <c r="G3050" t="str">
        <f>INDEX(Lists!H:H,MATCH(Validation!E3050,Lists!G:G,0))</f>
        <v>Issue date must be on or before December 31, 2024.</v>
      </c>
      <c r="H3050" s="25" t="str">
        <f t="shared" ca="1" si="348"/>
        <v/>
      </c>
      <c r="I3050" s="25" t="str">
        <f t="shared" ca="1" si="349"/>
        <v/>
      </c>
      <c r="J3050" s="26" t="str">
        <f t="shared" ca="1" si="350"/>
        <v/>
      </c>
    </row>
    <row r="3051" spans="1:10" x14ac:dyDescent="0.25">
      <c r="A3051" t="s">
        <v>660</v>
      </c>
      <c r="B3051" t="str">
        <f>ADDRESS(ROW('PAYG 1'!$B$8),COLUMN('PAYG 1'!$B$8),4)</f>
        <v>B8</v>
      </c>
      <c r="C3051" t="str">
        <f>ADDRESS(ROW('PAYG 1'!$D$8),COLUMN('PAYG 1'!$D$8),4)</f>
        <v>D8</v>
      </c>
      <c r="D3051" t="b" cm="1">
        <f t="array" aca="1" ref="D3051" ca="1">IF(INDIRECT("'"&amp;A3051&amp;"'!"&amp;B3051)="",FALSE,IF(INDIRECT("'"&amp;A3051&amp;"'!"&amp;B3051)&gt;DATE(Year_DestinationYearID,12,31),TRUE,FALSE))</f>
        <v>0</v>
      </c>
      <c r="E3051" t="s">
        <v>608</v>
      </c>
      <c r="F3051" t="str">
        <f>INDEX(Lists!I:I,MATCH(Validation!E3051,Lists!G:G,0))</f>
        <v>Error</v>
      </c>
      <c r="G3051" t="str">
        <f>INDEX(Lists!H:H,MATCH(Validation!E3051,Lists!G:G,0))</f>
        <v>Issue date must be on or before December 31, 2024.</v>
      </c>
      <c r="H3051" s="25" t="str">
        <f t="shared" ca="1" si="348"/>
        <v/>
      </c>
      <c r="I3051" s="25" t="str">
        <f t="shared" ca="1" si="349"/>
        <v/>
      </c>
      <c r="J3051" s="26" t="str">
        <f t="shared" ca="1" si="350"/>
        <v/>
      </c>
    </row>
    <row r="3052" spans="1:10" x14ac:dyDescent="0.25">
      <c r="A3052" t="s">
        <v>661</v>
      </c>
      <c r="B3052" t="str">
        <f>ADDRESS(ROW('PAYG 1'!$B$8),COLUMN('PAYG 1'!$B$8),4)</f>
        <v>B8</v>
      </c>
      <c r="C3052" t="str">
        <f>ADDRESS(ROW('PAYG 1'!$D$8),COLUMN('PAYG 1'!$D$8),4)</f>
        <v>D8</v>
      </c>
      <c r="D3052" t="b" cm="1">
        <f t="array" aca="1" ref="D3052" ca="1">IF(INDIRECT("'"&amp;A3052&amp;"'!"&amp;B3052)="",FALSE,IF(INDIRECT("'"&amp;A3052&amp;"'!"&amp;B3052)&gt;DATE(Year_DestinationYearID,12,31),TRUE,FALSE))</f>
        <v>0</v>
      </c>
      <c r="E3052" t="s">
        <v>608</v>
      </c>
      <c r="F3052" t="str">
        <f>INDEX(Lists!I:I,MATCH(Validation!E3052,Lists!G:G,0))</f>
        <v>Error</v>
      </c>
      <c r="G3052" t="str">
        <f>INDEX(Lists!H:H,MATCH(Validation!E3052,Lists!G:G,0))</f>
        <v>Issue date must be on or before December 31, 2024.</v>
      </c>
      <c r="H3052" s="25" t="str">
        <f t="shared" ca="1" si="348"/>
        <v/>
      </c>
      <c r="I3052" s="25" t="str">
        <f t="shared" ca="1" si="349"/>
        <v/>
      </c>
      <c r="J3052" s="26" t="str">
        <f t="shared" ca="1" si="350"/>
        <v/>
      </c>
    </row>
    <row r="3053" spans="1:10" x14ac:dyDescent="0.25">
      <c r="A3053" t="s">
        <v>662</v>
      </c>
      <c r="B3053" t="str">
        <f>ADDRESS(ROW('PAYG 1'!$B$8),COLUMN('PAYG 1'!$B$8),4)</f>
        <v>B8</v>
      </c>
      <c r="C3053" t="str">
        <f>ADDRESS(ROW('PAYG 1'!$D$8),COLUMN('PAYG 1'!$D$8),4)</f>
        <v>D8</v>
      </c>
      <c r="D3053" t="b" cm="1">
        <f t="array" aca="1" ref="D3053" ca="1">IF(INDIRECT("'"&amp;A3053&amp;"'!"&amp;B3053)="",FALSE,IF(INDIRECT("'"&amp;A3053&amp;"'!"&amp;B3053)&gt;DATE(Year_DestinationYearID,12,31),TRUE,FALSE))</f>
        <v>0</v>
      </c>
      <c r="E3053" t="s">
        <v>608</v>
      </c>
      <c r="F3053" t="str">
        <f>INDEX(Lists!I:I,MATCH(Validation!E3053,Lists!G:G,0))</f>
        <v>Error</v>
      </c>
      <c r="G3053" t="str">
        <f>INDEX(Lists!H:H,MATCH(Validation!E3053,Lists!G:G,0))</f>
        <v>Issue date must be on or before December 31, 2024.</v>
      </c>
      <c r="H3053" s="25" t="str">
        <f t="shared" ca="1" si="348"/>
        <v/>
      </c>
      <c r="I3053" s="25" t="str">
        <f t="shared" ca="1" si="349"/>
        <v/>
      </c>
      <c r="J3053" s="26" t="str">
        <f t="shared" ca="1" si="350"/>
        <v/>
      </c>
    </row>
    <row r="3054" spans="1:10" x14ac:dyDescent="0.25">
      <c r="A3054" t="s">
        <v>663</v>
      </c>
      <c r="B3054" t="str">
        <f>ADDRESS(ROW('PAYG 1'!$B$8),COLUMN('PAYG 1'!$B$8),4)</f>
        <v>B8</v>
      </c>
      <c r="C3054" t="str">
        <f>ADDRESS(ROW('PAYG 1'!$D$8),COLUMN('PAYG 1'!$D$8),4)</f>
        <v>D8</v>
      </c>
      <c r="D3054" t="b" cm="1">
        <f t="array" aca="1" ref="D3054" ca="1">IF(INDIRECT("'"&amp;A3054&amp;"'!"&amp;B3054)="",FALSE,IF(INDIRECT("'"&amp;A3054&amp;"'!"&amp;B3054)&gt;DATE(Year_DestinationYearID,12,31),TRUE,FALSE))</f>
        <v>0</v>
      </c>
      <c r="E3054" t="s">
        <v>608</v>
      </c>
      <c r="F3054" t="str">
        <f>INDEX(Lists!I:I,MATCH(Validation!E3054,Lists!G:G,0))</f>
        <v>Error</v>
      </c>
      <c r="G3054" t="str">
        <f>INDEX(Lists!H:H,MATCH(Validation!E3054,Lists!G:G,0))</f>
        <v>Issue date must be on or before December 31, 2024.</v>
      </c>
      <c r="H3054" s="25" t="str">
        <f t="shared" ca="1" si="348"/>
        <v/>
      </c>
      <c r="I3054" s="25" t="str">
        <f t="shared" ca="1" si="349"/>
        <v/>
      </c>
      <c r="J3054" s="26" t="str">
        <f t="shared" ca="1" si="350"/>
        <v/>
      </c>
    </row>
    <row r="3055" spans="1:10" x14ac:dyDescent="0.25">
      <c r="A3055" t="s">
        <v>664</v>
      </c>
      <c r="B3055" t="str">
        <f>ADDRESS(ROW('PAYG 1'!$B$8),COLUMN('PAYG 1'!$B$8),4)</f>
        <v>B8</v>
      </c>
      <c r="C3055" t="str">
        <f>ADDRESS(ROW('PAYG 1'!$D$8),COLUMN('PAYG 1'!$D$8),4)</f>
        <v>D8</v>
      </c>
      <c r="D3055" t="b" cm="1">
        <f t="array" aca="1" ref="D3055" ca="1">IF(INDIRECT("'"&amp;A3055&amp;"'!"&amp;B3055)="",FALSE,IF(INDIRECT("'"&amp;A3055&amp;"'!"&amp;B3055)&gt;DATE(Year_DestinationYearID,12,31),TRUE,FALSE))</f>
        <v>0</v>
      </c>
      <c r="E3055" t="s">
        <v>608</v>
      </c>
      <c r="F3055" t="str">
        <f>INDEX(Lists!I:I,MATCH(Validation!E3055,Lists!G:G,0))</f>
        <v>Error</v>
      </c>
      <c r="G3055" t="str">
        <f>INDEX(Lists!H:H,MATCH(Validation!E3055,Lists!G:G,0))</f>
        <v>Issue date must be on or before December 31, 2024.</v>
      </c>
      <c r="H3055" s="25" t="str">
        <f t="shared" ca="1" si="348"/>
        <v/>
      </c>
      <c r="I3055" s="25" t="str">
        <f t="shared" ca="1" si="349"/>
        <v/>
      </c>
      <c r="J3055" s="26" t="str">
        <f t="shared" ca="1" si="350"/>
        <v/>
      </c>
    </row>
    <row r="3056" spans="1:10" x14ac:dyDescent="0.25">
      <c r="A3056" t="s">
        <v>203</v>
      </c>
      <c r="B3056" t="str">
        <f>ADDRESS(ROW('PAYG 1'!$B$8),COLUMN('PAYG 1'!$B$8),4)</f>
        <v>B8</v>
      </c>
      <c r="C3056" t="str">
        <f>ADDRESS(ROW('PAYG 1'!$D$8),COLUMN('PAYG 1'!$D$8),4)</f>
        <v>D8</v>
      </c>
      <c r="D3056" t="b" cm="1">
        <f t="array" aca="1" ref="D3056" ca="1">IF(INDIRECT("'"&amp;A3056&amp;"'!"&amp;B3056)="",FALSE,IF(INDIRECT("'"&amp;A3056&amp;"'!"&amp;B3056)&gt;=TIF_Plan_ApprovalDate,FALSE,TRUE))</f>
        <v>0</v>
      </c>
      <c r="E3056" t="s">
        <v>609</v>
      </c>
      <c r="F3056" t="str">
        <f>INDEX(Lists!I:I,MATCH(Validation!E3056,Lists!G:G,0))</f>
        <v>Error</v>
      </c>
      <c r="G3056" t="str">
        <f>INDEX(Lists!H:H,MATCH(Validation!E3056,Lists!G:G,0))</f>
        <v>Issue date must be on or after the original TIF plan approval date.</v>
      </c>
      <c r="H3056" s="25" t="str">
        <f t="shared" ca="1" si="348"/>
        <v/>
      </c>
      <c r="I3056" s="25" t="str">
        <f t="shared" ca="1" si="349"/>
        <v/>
      </c>
      <c r="J3056" s="26" t="str">
        <f t="shared" ca="1" si="350"/>
        <v/>
      </c>
    </row>
    <row r="3057" spans="1:10" x14ac:dyDescent="0.25">
      <c r="A3057" t="s">
        <v>651</v>
      </c>
      <c r="B3057" t="str">
        <f>ADDRESS(ROW('PAYG 1'!$B$8),COLUMN('PAYG 1'!$B$8),4)</f>
        <v>B8</v>
      </c>
      <c r="C3057" t="str">
        <f>ADDRESS(ROW('PAYG 1'!$D$8),COLUMN('PAYG 1'!$D$8),4)</f>
        <v>D8</v>
      </c>
      <c r="D3057" t="b" cm="1">
        <f t="array" aca="1" ref="D3057" ca="1">IF(INDIRECT("'"&amp;A3057&amp;"'!"&amp;B3057)="",FALSE,IF(INDIRECT("'"&amp;A3057&amp;"'!"&amp;B3057)&gt;=TIF_Plan_ApprovalDate,FALSE,TRUE))</f>
        <v>0</v>
      </c>
      <c r="E3057" t="s">
        <v>609</v>
      </c>
      <c r="F3057" t="str">
        <f>INDEX(Lists!I:I,MATCH(Validation!E3057,Lists!G:G,0))</f>
        <v>Error</v>
      </c>
      <c r="G3057" t="str">
        <f>INDEX(Lists!H:H,MATCH(Validation!E3057,Lists!G:G,0))</f>
        <v>Issue date must be on or after the original TIF plan approval date.</v>
      </c>
      <c r="H3057" s="25" t="str">
        <f t="shared" ca="1" si="348"/>
        <v/>
      </c>
      <c r="I3057" s="25" t="str">
        <f t="shared" ca="1" si="349"/>
        <v/>
      </c>
      <c r="J3057" s="26" t="str">
        <f t="shared" ca="1" si="350"/>
        <v/>
      </c>
    </row>
    <row r="3058" spans="1:10" x14ac:dyDescent="0.25">
      <c r="A3058" t="s">
        <v>652</v>
      </c>
      <c r="B3058" t="str">
        <f>ADDRESS(ROW('PAYG 1'!$B$8),COLUMN('PAYG 1'!$B$8),4)</f>
        <v>B8</v>
      </c>
      <c r="C3058" t="str">
        <f>ADDRESS(ROW('PAYG 1'!$D$8),COLUMN('PAYG 1'!$D$8),4)</f>
        <v>D8</v>
      </c>
      <c r="D3058" t="b" cm="1">
        <f t="array" aca="1" ref="D3058" ca="1">IF(INDIRECT("'"&amp;A3058&amp;"'!"&amp;B3058)="",FALSE,IF(INDIRECT("'"&amp;A3058&amp;"'!"&amp;B3058)&gt;=TIF_Plan_ApprovalDate,FALSE,TRUE))</f>
        <v>0</v>
      </c>
      <c r="E3058" t="s">
        <v>609</v>
      </c>
      <c r="F3058" t="str">
        <f>INDEX(Lists!I:I,MATCH(Validation!E3058,Lists!G:G,0))</f>
        <v>Error</v>
      </c>
      <c r="G3058" t="str">
        <f>INDEX(Lists!H:H,MATCH(Validation!E3058,Lists!G:G,0))</f>
        <v>Issue date must be on or after the original TIF plan approval date.</v>
      </c>
      <c r="H3058" s="25" t="str">
        <f t="shared" ca="1" si="348"/>
        <v/>
      </c>
      <c r="I3058" s="25" t="str">
        <f t="shared" ca="1" si="349"/>
        <v/>
      </c>
      <c r="J3058" s="26" t="str">
        <f t="shared" ca="1" si="350"/>
        <v/>
      </c>
    </row>
    <row r="3059" spans="1:10" x14ac:dyDescent="0.25">
      <c r="A3059" t="s">
        <v>653</v>
      </c>
      <c r="B3059" t="str">
        <f>ADDRESS(ROW('PAYG 1'!$B$8),COLUMN('PAYG 1'!$B$8),4)</f>
        <v>B8</v>
      </c>
      <c r="C3059" t="str">
        <f>ADDRESS(ROW('PAYG 1'!$D$8),COLUMN('PAYG 1'!$D$8),4)</f>
        <v>D8</v>
      </c>
      <c r="D3059" t="b" cm="1">
        <f t="array" aca="1" ref="D3059" ca="1">IF(INDIRECT("'"&amp;A3059&amp;"'!"&amp;B3059)="",FALSE,IF(INDIRECT("'"&amp;A3059&amp;"'!"&amp;B3059)&gt;=TIF_Plan_ApprovalDate,FALSE,TRUE))</f>
        <v>0</v>
      </c>
      <c r="E3059" t="s">
        <v>609</v>
      </c>
      <c r="F3059" t="str">
        <f>INDEX(Lists!I:I,MATCH(Validation!E3059,Lists!G:G,0))</f>
        <v>Error</v>
      </c>
      <c r="G3059" t="str">
        <f>INDEX(Lists!H:H,MATCH(Validation!E3059,Lists!G:G,0))</f>
        <v>Issue date must be on or after the original TIF plan approval date.</v>
      </c>
      <c r="H3059" s="25" t="str">
        <f t="shared" ca="1" si="348"/>
        <v/>
      </c>
      <c r="I3059" s="25" t="str">
        <f t="shared" ca="1" si="349"/>
        <v/>
      </c>
      <c r="J3059" s="26" t="str">
        <f t="shared" ca="1" si="350"/>
        <v/>
      </c>
    </row>
    <row r="3060" spans="1:10" x14ac:dyDescent="0.25">
      <c r="A3060" t="s">
        <v>654</v>
      </c>
      <c r="B3060" t="str">
        <f>ADDRESS(ROW('PAYG 1'!$B$8),COLUMN('PAYG 1'!$B$8),4)</f>
        <v>B8</v>
      </c>
      <c r="C3060" t="str">
        <f>ADDRESS(ROW('PAYG 1'!$D$8),COLUMN('PAYG 1'!$D$8),4)</f>
        <v>D8</v>
      </c>
      <c r="D3060" t="b" cm="1">
        <f t="array" aca="1" ref="D3060" ca="1">IF(INDIRECT("'"&amp;A3060&amp;"'!"&amp;B3060)="",FALSE,IF(INDIRECT("'"&amp;A3060&amp;"'!"&amp;B3060)&gt;=TIF_Plan_ApprovalDate,FALSE,TRUE))</f>
        <v>0</v>
      </c>
      <c r="E3060" t="s">
        <v>609</v>
      </c>
      <c r="F3060" t="str">
        <f>INDEX(Lists!I:I,MATCH(Validation!E3060,Lists!G:G,0))</f>
        <v>Error</v>
      </c>
      <c r="G3060" t="str">
        <f>INDEX(Lists!H:H,MATCH(Validation!E3060,Lists!G:G,0))</f>
        <v>Issue date must be on or after the original TIF plan approval date.</v>
      </c>
      <c r="H3060" s="25" t="str">
        <f t="shared" ca="1" si="348"/>
        <v/>
      </c>
      <c r="I3060" s="25" t="str">
        <f t="shared" ca="1" si="349"/>
        <v/>
      </c>
      <c r="J3060" s="26" t="str">
        <f t="shared" ca="1" si="350"/>
        <v/>
      </c>
    </row>
    <row r="3061" spans="1:10" x14ac:dyDescent="0.25">
      <c r="A3061" t="s">
        <v>655</v>
      </c>
      <c r="B3061" t="str">
        <f>ADDRESS(ROW('PAYG 1'!$B$8),COLUMN('PAYG 1'!$B$8),4)</f>
        <v>B8</v>
      </c>
      <c r="C3061" t="str">
        <f>ADDRESS(ROW('PAYG 1'!$D$8),COLUMN('PAYG 1'!$D$8),4)</f>
        <v>D8</v>
      </c>
      <c r="D3061" t="b" cm="1">
        <f t="array" aca="1" ref="D3061" ca="1">IF(INDIRECT("'"&amp;A3061&amp;"'!"&amp;B3061)="",FALSE,IF(INDIRECT("'"&amp;A3061&amp;"'!"&amp;B3061)&gt;=TIF_Plan_ApprovalDate,FALSE,TRUE))</f>
        <v>0</v>
      </c>
      <c r="E3061" t="s">
        <v>609</v>
      </c>
      <c r="F3061" t="str">
        <f>INDEX(Lists!I:I,MATCH(Validation!E3061,Lists!G:G,0))</f>
        <v>Error</v>
      </c>
      <c r="G3061" t="str">
        <f>INDEX(Lists!H:H,MATCH(Validation!E3061,Lists!G:G,0))</f>
        <v>Issue date must be on or after the original TIF plan approval date.</v>
      </c>
      <c r="H3061" s="25" t="str">
        <f t="shared" ca="1" si="348"/>
        <v/>
      </c>
      <c r="I3061" s="25" t="str">
        <f t="shared" ca="1" si="349"/>
        <v/>
      </c>
      <c r="J3061" s="26" t="str">
        <f t="shared" ca="1" si="350"/>
        <v/>
      </c>
    </row>
    <row r="3062" spans="1:10" x14ac:dyDescent="0.25">
      <c r="A3062" t="s">
        <v>656</v>
      </c>
      <c r="B3062" t="str">
        <f>ADDRESS(ROW('PAYG 1'!$B$8),COLUMN('PAYG 1'!$B$8),4)</f>
        <v>B8</v>
      </c>
      <c r="C3062" t="str">
        <f>ADDRESS(ROW('PAYG 1'!$D$8),COLUMN('PAYG 1'!$D$8),4)</f>
        <v>D8</v>
      </c>
      <c r="D3062" t="b" cm="1">
        <f t="array" aca="1" ref="D3062" ca="1">IF(INDIRECT("'"&amp;A3062&amp;"'!"&amp;B3062)="",FALSE,IF(INDIRECT("'"&amp;A3062&amp;"'!"&amp;B3062)&gt;=TIF_Plan_ApprovalDate,FALSE,TRUE))</f>
        <v>0</v>
      </c>
      <c r="E3062" t="s">
        <v>609</v>
      </c>
      <c r="F3062" t="str">
        <f>INDEX(Lists!I:I,MATCH(Validation!E3062,Lists!G:G,0))</f>
        <v>Error</v>
      </c>
      <c r="G3062" t="str">
        <f>INDEX(Lists!H:H,MATCH(Validation!E3062,Lists!G:G,0))</f>
        <v>Issue date must be on or after the original TIF plan approval date.</v>
      </c>
      <c r="H3062" s="25" t="str">
        <f t="shared" ca="1" si="348"/>
        <v/>
      </c>
      <c r="I3062" s="25" t="str">
        <f t="shared" ca="1" si="349"/>
        <v/>
      </c>
      <c r="J3062" s="26" t="str">
        <f t="shared" ca="1" si="350"/>
        <v/>
      </c>
    </row>
    <row r="3063" spans="1:10" x14ac:dyDescent="0.25">
      <c r="A3063" t="s">
        <v>657</v>
      </c>
      <c r="B3063" t="str">
        <f>ADDRESS(ROW('PAYG 1'!$B$8),COLUMN('PAYG 1'!$B$8),4)</f>
        <v>B8</v>
      </c>
      <c r="C3063" t="str">
        <f>ADDRESS(ROW('PAYG 1'!$D$8),COLUMN('PAYG 1'!$D$8),4)</f>
        <v>D8</v>
      </c>
      <c r="D3063" t="b" cm="1">
        <f t="array" aca="1" ref="D3063" ca="1">IF(INDIRECT("'"&amp;A3063&amp;"'!"&amp;B3063)="",FALSE,IF(INDIRECT("'"&amp;A3063&amp;"'!"&amp;B3063)&gt;=TIF_Plan_ApprovalDate,FALSE,TRUE))</f>
        <v>0</v>
      </c>
      <c r="E3063" t="s">
        <v>609</v>
      </c>
      <c r="F3063" t="str">
        <f>INDEX(Lists!I:I,MATCH(Validation!E3063,Lists!G:G,0))</f>
        <v>Error</v>
      </c>
      <c r="G3063" t="str">
        <f>INDEX(Lists!H:H,MATCH(Validation!E3063,Lists!G:G,0))</f>
        <v>Issue date must be on or after the original TIF plan approval date.</v>
      </c>
      <c r="H3063" s="25" t="str">
        <f t="shared" ca="1" si="348"/>
        <v/>
      </c>
      <c r="I3063" s="25" t="str">
        <f t="shared" ca="1" si="349"/>
        <v/>
      </c>
      <c r="J3063" s="26" t="str">
        <f t="shared" ca="1" si="350"/>
        <v/>
      </c>
    </row>
    <row r="3064" spans="1:10" x14ac:dyDescent="0.25">
      <c r="A3064" t="s">
        <v>658</v>
      </c>
      <c r="B3064" t="str">
        <f>ADDRESS(ROW('PAYG 1'!$B$8),COLUMN('PAYG 1'!$B$8),4)</f>
        <v>B8</v>
      </c>
      <c r="C3064" t="str">
        <f>ADDRESS(ROW('PAYG 1'!$D$8),COLUMN('PAYG 1'!$D$8),4)</f>
        <v>D8</v>
      </c>
      <c r="D3064" t="b" cm="1">
        <f t="array" aca="1" ref="D3064" ca="1">IF(INDIRECT("'"&amp;A3064&amp;"'!"&amp;B3064)="",FALSE,IF(INDIRECT("'"&amp;A3064&amp;"'!"&amp;B3064)&gt;=TIF_Plan_ApprovalDate,FALSE,TRUE))</f>
        <v>0</v>
      </c>
      <c r="E3064" t="s">
        <v>609</v>
      </c>
      <c r="F3064" t="str">
        <f>INDEX(Lists!I:I,MATCH(Validation!E3064,Lists!G:G,0))</f>
        <v>Error</v>
      </c>
      <c r="G3064" t="str">
        <f>INDEX(Lists!H:H,MATCH(Validation!E3064,Lists!G:G,0))</f>
        <v>Issue date must be on or after the original TIF plan approval date.</v>
      </c>
      <c r="H3064" s="25" t="str">
        <f t="shared" ca="1" si="348"/>
        <v/>
      </c>
      <c r="I3064" s="25" t="str">
        <f t="shared" ca="1" si="349"/>
        <v/>
      </c>
      <c r="J3064" s="26" t="str">
        <f t="shared" ca="1" si="350"/>
        <v/>
      </c>
    </row>
    <row r="3065" spans="1:10" x14ac:dyDescent="0.25">
      <c r="A3065" t="s">
        <v>659</v>
      </c>
      <c r="B3065" t="str">
        <f>ADDRESS(ROW('PAYG 1'!$B$8),COLUMN('PAYG 1'!$B$8),4)</f>
        <v>B8</v>
      </c>
      <c r="C3065" t="str">
        <f>ADDRESS(ROW('PAYG 1'!$D$8),COLUMN('PAYG 1'!$D$8),4)</f>
        <v>D8</v>
      </c>
      <c r="D3065" t="b" cm="1">
        <f t="array" aca="1" ref="D3065" ca="1">IF(INDIRECT("'"&amp;A3065&amp;"'!"&amp;B3065)="",FALSE,IF(INDIRECT("'"&amp;A3065&amp;"'!"&amp;B3065)&gt;=TIF_Plan_ApprovalDate,FALSE,TRUE))</f>
        <v>0</v>
      </c>
      <c r="E3065" t="s">
        <v>609</v>
      </c>
      <c r="F3065" t="str">
        <f>INDEX(Lists!I:I,MATCH(Validation!E3065,Lists!G:G,0))</f>
        <v>Error</v>
      </c>
      <c r="G3065" t="str">
        <f>INDEX(Lists!H:H,MATCH(Validation!E3065,Lists!G:G,0))</f>
        <v>Issue date must be on or after the original TIF plan approval date.</v>
      </c>
      <c r="H3065" s="25" t="str">
        <f t="shared" ca="1" si="348"/>
        <v/>
      </c>
      <c r="I3065" s="25" t="str">
        <f t="shared" ca="1" si="349"/>
        <v/>
      </c>
      <c r="J3065" s="26" t="str">
        <f t="shared" ca="1" si="350"/>
        <v/>
      </c>
    </row>
    <row r="3066" spans="1:10" x14ac:dyDescent="0.25">
      <c r="A3066" t="s">
        <v>660</v>
      </c>
      <c r="B3066" t="str">
        <f>ADDRESS(ROW('PAYG 1'!$B$8),COLUMN('PAYG 1'!$B$8),4)</f>
        <v>B8</v>
      </c>
      <c r="C3066" t="str">
        <f>ADDRESS(ROW('PAYG 1'!$D$8),COLUMN('PAYG 1'!$D$8),4)</f>
        <v>D8</v>
      </c>
      <c r="D3066" t="b" cm="1">
        <f t="array" aca="1" ref="D3066" ca="1">IF(INDIRECT("'"&amp;A3066&amp;"'!"&amp;B3066)="",FALSE,IF(INDIRECT("'"&amp;A3066&amp;"'!"&amp;B3066)&gt;=TIF_Plan_ApprovalDate,FALSE,TRUE))</f>
        <v>0</v>
      </c>
      <c r="E3066" t="s">
        <v>609</v>
      </c>
      <c r="F3066" t="str">
        <f>INDEX(Lists!I:I,MATCH(Validation!E3066,Lists!G:G,0))</f>
        <v>Error</v>
      </c>
      <c r="G3066" t="str">
        <f>INDEX(Lists!H:H,MATCH(Validation!E3066,Lists!G:G,0))</f>
        <v>Issue date must be on or after the original TIF plan approval date.</v>
      </c>
      <c r="H3066" s="25" t="str">
        <f t="shared" ca="1" si="348"/>
        <v/>
      </c>
      <c r="I3066" s="25" t="str">
        <f t="shared" ca="1" si="349"/>
        <v/>
      </c>
      <c r="J3066" s="26" t="str">
        <f t="shared" ca="1" si="350"/>
        <v/>
      </c>
    </row>
    <row r="3067" spans="1:10" x14ac:dyDescent="0.25">
      <c r="A3067" t="s">
        <v>661</v>
      </c>
      <c r="B3067" t="str">
        <f>ADDRESS(ROW('PAYG 1'!$B$8),COLUMN('PAYG 1'!$B$8),4)</f>
        <v>B8</v>
      </c>
      <c r="C3067" t="str">
        <f>ADDRESS(ROW('PAYG 1'!$D$8),COLUMN('PAYG 1'!$D$8),4)</f>
        <v>D8</v>
      </c>
      <c r="D3067" t="b" cm="1">
        <f t="array" aca="1" ref="D3067" ca="1">IF(INDIRECT("'"&amp;A3067&amp;"'!"&amp;B3067)="",FALSE,IF(INDIRECT("'"&amp;A3067&amp;"'!"&amp;B3067)&gt;=TIF_Plan_ApprovalDate,FALSE,TRUE))</f>
        <v>0</v>
      </c>
      <c r="E3067" t="s">
        <v>609</v>
      </c>
      <c r="F3067" t="str">
        <f>INDEX(Lists!I:I,MATCH(Validation!E3067,Lists!G:G,0))</f>
        <v>Error</v>
      </c>
      <c r="G3067" t="str">
        <f>INDEX(Lists!H:H,MATCH(Validation!E3067,Lists!G:G,0))</f>
        <v>Issue date must be on or after the original TIF plan approval date.</v>
      </c>
      <c r="H3067" s="25" t="str">
        <f t="shared" ca="1" si="348"/>
        <v/>
      </c>
      <c r="I3067" s="25" t="str">
        <f t="shared" ca="1" si="349"/>
        <v/>
      </c>
      <c r="J3067" s="26" t="str">
        <f t="shared" ca="1" si="350"/>
        <v/>
      </c>
    </row>
    <row r="3068" spans="1:10" x14ac:dyDescent="0.25">
      <c r="A3068" t="s">
        <v>662</v>
      </c>
      <c r="B3068" t="str">
        <f>ADDRESS(ROW('PAYG 1'!$B$8),COLUMN('PAYG 1'!$B$8),4)</f>
        <v>B8</v>
      </c>
      <c r="C3068" t="str">
        <f>ADDRESS(ROW('PAYG 1'!$D$8),COLUMN('PAYG 1'!$D$8),4)</f>
        <v>D8</v>
      </c>
      <c r="D3068" t="b" cm="1">
        <f t="array" aca="1" ref="D3068" ca="1">IF(INDIRECT("'"&amp;A3068&amp;"'!"&amp;B3068)="",FALSE,IF(INDIRECT("'"&amp;A3068&amp;"'!"&amp;B3068)&gt;=TIF_Plan_ApprovalDate,FALSE,TRUE))</f>
        <v>0</v>
      </c>
      <c r="E3068" t="s">
        <v>609</v>
      </c>
      <c r="F3068" t="str">
        <f>INDEX(Lists!I:I,MATCH(Validation!E3068,Lists!G:G,0))</f>
        <v>Error</v>
      </c>
      <c r="G3068" t="str">
        <f>INDEX(Lists!H:H,MATCH(Validation!E3068,Lists!G:G,0))</f>
        <v>Issue date must be on or after the original TIF plan approval date.</v>
      </c>
      <c r="H3068" s="25" t="str">
        <f t="shared" ca="1" si="348"/>
        <v/>
      </c>
      <c r="I3068" s="25" t="str">
        <f t="shared" ca="1" si="349"/>
        <v/>
      </c>
      <c r="J3068" s="26" t="str">
        <f t="shared" ca="1" si="350"/>
        <v/>
      </c>
    </row>
    <row r="3069" spans="1:10" x14ac:dyDescent="0.25">
      <c r="A3069" t="s">
        <v>663</v>
      </c>
      <c r="B3069" t="str">
        <f>ADDRESS(ROW('PAYG 1'!$B$8),COLUMN('PAYG 1'!$B$8),4)</f>
        <v>B8</v>
      </c>
      <c r="C3069" t="str">
        <f>ADDRESS(ROW('PAYG 1'!$D$8),COLUMN('PAYG 1'!$D$8),4)</f>
        <v>D8</v>
      </c>
      <c r="D3069" t="b" cm="1">
        <f t="array" aca="1" ref="D3069" ca="1">IF(INDIRECT("'"&amp;A3069&amp;"'!"&amp;B3069)="",FALSE,IF(INDIRECT("'"&amp;A3069&amp;"'!"&amp;B3069)&gt;=TIF_Plan_ApprovalDate,FALSE,TRUE))</f>
        <v>0</v>
      </c>
      <c r="E3069" t="s">
        <v>609</v>
      </c>
      <c r="F3069" t="str">
        <f>INDEX(Lists!I:I,MATCH(Validation!E3069,Lists!G:G,0))</f>
        <v>Error</v>
      </c>
      <c r="G3069" t="str">
        <f>INDEX(Lists!H:H,MATCH(Validation!E3069,Lists!G:G,0))</f>
        <v>Issue date must be on or after the original TIF plan approval date.</v>
      </c>
      <c r="H3069" s="25" t="str">
        <f t="shared" ca="1" si="348"/>
        <v/>
      </c>
      <c r="I3069" s="25" t="str">
        <f t="shared" ca="1" si="349"/>
        <v/>
      </c>
      <c r="J3069" s="26" t="str">
        <f t="shared" ca="1" si="350"/>
        <v/>
      </c>
    </row>
    <row r="3070" spans="1:10" x14ac:dyDescent="0.25">
      <c r="A3070" t="s">
        <v>664</v>
      </c>
      <c r="B3070" t="str">
        <f>ADDRESS(ROW('PAYG 1'!$B$8),COLUMN('PAYG 1'!$B$8),4)</f>
        <v>B8</v>
      </c>
      <c r="C3070" t="str">
        <f>ADDRESS(ROW('PAYG 1'!$D$8),COLUMN('PAYG 1'!$D$8),4)</f>
        <v>D8</v>
      </c>
      <c r="D3070" t="b" cm="1">
        <f t="array" aca="1" ref="D3070" ca="1">IF(INDIRECT("'"&amp;A3070&amp;"'!"&amp;B3070)="",FALSE,IF(INDIRECT("'"&amp;A3070&amp;"'!"&amp;B3070)&gt;=TIF_Plan_ApprovalDate,FALSE,TRUE))</f>
        <v>0</v>
      </c>
      <c r="E3070" t="s">
        <v>609</v>
      </c>
      <c r="F3070" t="str">
        <f>INDEX(Lists!I:I,MATCH(Validation!E3070,Lists!G:G,0))</f>
        <v>Error</v>
      </c>
      <c r="G3070" t="str">
        <f>INDEX(Lists!H:H,MATCH(Validation!E3070,Lists!G:G,0))</f>
        <v>Issue date must be on or after the original TIF plan approval date.</v>
      </c>
      <c r="H3070" s="25" t="str">
        <f t="shared" ca="1" si="348"/>
        <v/>
      </c>
      <c r="I3070" s="25" t="str">
        <f t="shared" ca="1" si="349"/>
        <v/>
      </c>
      <c r="J3070" s="26" t="str">
        <f t="shared" ca="1" si="350"/>
        <v/>
      </c>
    </row>
    <row r="3071" spans="1:10" x14ac:dyDescent="0.25">
      <c r="A3071" t="s">
        <v>203</v>
      </c>
      <c r="B3071" t="str">
        <f>ADDRESS(ROW('PAYG 1'!$B$9),COLUMN('PAYG 1'!$B$9),4)</f>
        <v>B9</v>
      </c>
      <c r="C3071" t="str">
        <f>ADDRESS(ROW('PAYG 1'!$D$9),COLUMN('PAYG 1'!$D$9),4)</f>
        <v>D9</v>
      </c>
      <c r="D3071" t="b" cm="1">
        <f t="array" aca="1" ref="D3071" ca="1">IF(INDIRECT("'"&amp;A3071&amp;"'!"&amp;B3071)="",FALSE,ISERROR(DATE(INDIRECT("'"&amp;A3071&amp;"'!"&amp;B3071),,)))</f>
        <v>0</v>
      </c>
      <c r="E3071" t="s">
        <v>498</v>
      </c>
      <c r="F3071" t="str">
        <f>INDEX(Lists!I:I,MATCH(Validation!E3071,Lists!G:G,0))</f>
        <v>Error</v>
      </c>
      <c r="G3071" t="str">
        <f>INDEX(Lists!H:H,MATCH(Validation!E3071,Lists!G:G,0))</f>
        <v>Enter a date only (MM/DD/YYYY). Do not enter text, spaces, or amounts.</v>
      </c>
      <c r="H3071" s="25" t="str">
        <f t="shared" ca="1" si="348"/>
        <v/>
      </c>
      <c r="I3071" s="25" t="str">
        <f t="shared" ca="1" si="349"/>
        <v/>
      </c>
      <c r="J3071" s="26" t="str">
        <f t="shared" ca="1" si="350"/>
        <v/>
      </c>
    </row>
    <row r="3072" spans="1:10" x14ac:dyDescent="0.25">
      <c r="A3072" t="s">
        <v>651</v>
      </c>
      <c r="B3072" t="str">
        <f>ADDRESS(ROW('PAYG 1'!$B$9),COLUMN('PAYG 1'!$B$9),4)</f>
        <v>B9</v>
      </c>
      <c r="C3072" t="str">
        <f>ADDRESS(ROW('PAYG 1'!$D$9),COLUMN('PAYG 1'!$D$9),4)</f>
        <v>D9</v>
      </c>
      <c r="D3072" t="b" cm="1">
        <f t="array" aca="1" ref="D3072" ca="1">IF(INDIRECT("'"&amp;A3072&amp;"'!"&amp;B3072)="",FALSE,ISERROR(DATE(INDIRECT("'"&amp;A3072&amp;"'!"&amp;B3072),,)))</f>
        <v>0</v>
      </c>
      <c r="E3072" t="s">
        <v>498</v>
      </c>
      <c r="F3072" t="str">
        <f>INDEX(Lists!I:I,MATCH(Validation!E3072,Lists!G:G,0))</f>
        <v>Error</v>
      </c>
      <c r="G3072" t="str">
        <f>INDEX(Lists!H:H,MATCH(Validation!E3072,Lists!G:G,0))</f>
        <v>Enter a date only (MM/DD/YYYY). Do not enter text, spaces, or amounts.</v>
      </c>
      <c r="H3072" s="25" t="str">
        <f t="shared" ca="1" si="348"/>
        <v/>
      </c>
      <c r="I3072" s="25" t="str">
        <f t="shared" ca="1" si="349"/>
        <v/>
      </c>
      <c r="J3072" s="26" t="str">
        <f t="shared" ca="1" si="350"/>
        <v/>
      </c>
    </row>
    <row r="3073" spans="1:10" x14ac:dyDescent="0.25">
      <c r="A3073" t="s">
        <v>652</v>
      </c>
      <c r="B3073" t="str">
        <f>ADDRESS(ROW('PAYG 1'!$B$9),COLUMN('PAYG 1'!$B$9),4)</f>
        <v>B9</v>
      </c>
      <c r="C3073" t="str">
        <f>ADDRESS(ROW('PAYG 1'!$D$9),COLUMN('PAYG 1'!$D$9),4)</f>
        <v>D9</v>
      </c>
      <c r="D3073" t="b" cm="1">
        <f t="array" aca="1" ref="D3073" ca="1">IF(INDIRECT("'"&amp;A3073&amp;"'!"&amp;B3073)="",FALSE,ISERROR(DATE(INDIRECT("'"&amp;A3073&amp;"'!"&amp;B3073),,)))</f>
        <v>0</v>
      </c>
      <c r="E3073" t="s">
        <v>498</v>
      </c>
      <c r="F3073" t="str">
        <f>INDEX(Lists!I:I,MATCH(Validation!E3073,Lists!G:G,0))</f>
        <v>Error</v>
      </c>
      <c r="G3073" t="str">
        <f>INDEX(Lists!H:H,MATCH(Validation!E3073,Lists!G:G,0))</f>
        <v>Enter a date only (MM/DD/YYYY). Do not enter text, spaces, or amounts.</v>
      </c>
      <c r="H3073" s="25" t="str">
        <f t="shared" ca="1" si="348"/>
        <v/>
      </c>
      <c r="I3073" s="25" t="str">
        <f t="shared" ca="1" si="349"/>
        <v/>
      </c>
      <c r="J3073" s="26" t="str">
        <f t="shared" ca="1" si="350"/>
        <v/>
      </c>
    </row>
    <row r="3074" spans="1:10" x14ac:dyDescent="0.25">
      <c r="A3074" t="s">
        <v>653</v>
      </c>
      <c r="B3074" t="str">
        <f>ADDRESS(ROW('PAYG 1'!$B$9),COLUMN('PAYG 1'!$B$9),4)</f>
        <v>B9</v>
      </c>
      <c r="C3074" t="str">
        <f>ADDRESS(ROW('PAYG 1'!$D$9),COLUMN('PAYG 1'!$D$9),4)</f>
        <v>D9</v>
      </c>
      <c r="D3074" t="b" cm="1">
        <f t="array" aca="1" ref="D3074" ca="1">IF(INDIRECT("'"&amp;A3074&amp;"'!"&amp;B3074)="",FALSE,ISERROR(DATE(INDIRECT("'"&amp;A3074&amp;"'!"&amp;B3074),,)))</f>
        <v>0</v>
      </c>
      <c r="E3074" t="s">
        <v>498</v>
      </c>
      <c r="F3074" t="str">
        <f>INDEX(Lists!I:I,MATCH(Validation!E3074,Lists!G:G,0))</f>
        <v>Error</v>
      </c>
      <c r="G3074" t="str">
        <f>INDEX(Lists!H:H,MATCH(Validation!E3074,Lists!G:G,0))</f>
        <v>Enter a date only (MM/DD/YYYY). Do not enter text, spaces, or amounts.</v>
      </c>
      <c r="H3074" s="25" t="str">
        <f t="shared" ca="1" si="348"/>
        <v/>
      </c>
      <c r="I3074" s="25" t="str">
        <f t="shared" ca="1" si="349"/>
        <v/>
      </c>
      <c r="J3074" s="26" t="str">
        <f t="shared" ca="1" si="350"/>
        <v/>
      </c>
    </row>
    <row r="3075" spans="1:10" x14ac:dyDescent="0.25">
      <c r="A3075" t="s">
        <v>654</v>
      </c>
      <c r="B3075" t="str">
        <f>ADDRESS(ROW('PAYG 1'!$B$9),COLUMN('PAYG 1'!$B$9),4)</f>
        <v>B9</v>
      </c>
      <c r="C3075" t="str">
        <f>ADDRESS(ROW('PAYG 1'!$D$9),COLUMN('PAYG 1'!$D$9),4)</f>
        <v>D9</v>
      </c>
      <c r="D3075" t="b" cm="1">
        <f t="array" aca="1" ref="D3075" ca="1">IF(INDIRECT("'"&amp;A3075&amp;"'!"&amp;B3075)="",FALSE,ISERROR(DATE(INDIRECT("'"&amp;A3075&amp;"'!"&amp;B3075),,)))</f>
        <v>0</v>
      </c>
      <c r="E3075" t="s">
        <v>498</v>
      </c>
      <c r="F3075" t="str">
        <f>INDEX(Lists!I:I,MATCH(Validation!E3075,Lists!G:G,0))</f>
        <v>Error</v>
      </c>
      <c r="G3075" t="str">
        <f>INDEX(Lists!H:H,MATCH(Validation!E3075,Lists!G:G,0))</f>
        <v>Enter a date only (MM/DD/YYYY). Do not enter text, spaces, or amounts.</v>
      </c>
      <c r="H3075" s="25" t="str">
        <f t="shared" ca="1" si="348"/>
        <v/>
      </c>
      <c r="I3075" s="25" t="str">
        <f t="shared" ca="1" si="349"/>
        <v/>
      </c>
      <c r="J3075" s="26" t="str">
        <f t="shared" ca="1" si="350"/>
        <v/>
      </c>
    </row>
    <row r="3076" spans="1:10" x14ac:dyDescent="0.25">
      <c r="A3076" t="s">
        <v>655</v>
      </c>
      <c r="B3076" t="str">
        <f>ADDRESS(ROW('PAYG 1'!$B$9),COLUMN('PAYG 1'!$B$9),4)</f>
        <v>B9</v>
      </c>
      <c r="C3076" t="str">
        <f>ADDRESS(ROW('PAYG 1'!$D$9),COLUMN('PAYG 1'!$D$9),4)</f>
        <v>D9</v>
      </c>
      <c r="D3076" t="b" cm="1">
        <f t="array" aca="1" ref="D3076" ca="1">IF(INDIRECT("'"&amp;A3076&amp;"'!"&amp;B3076)="",FALSE,ISERROR(DATE(INDIRECT("'"&amp;A3076&amp;"'!"&amp;B3076),,)))</f>
        <v>0</v>
      </c>
      <c r="E3076" t="s">
        <v>498</v>
      </c>
      <c r="F3076" t="str">
        <f>INDEX(Lists!I:I,MATCH(Validation!E3076,Lists!G:G,0))</f>
        <v>Error</v>
      </c>
      <c r="G3076" t="str">
        <f>INDEX(Lists!H:H,MATCH(Validation!E3076,Lists!G:G,0))</f>
        <v>Enter a date only (MM/DD/YYYY). Do not enter text, spaces, or amounts.</v>
      </c>
      <c r="H3076" s="25" t="str">
        <f t="shared" ca="1" si="348"/>
        <v/>
      </c>
      <c r="I3076" s="25" t="str">
        <f t="shared" ca="1" si="349"/>
        <v/>
      </c>
      <c r="J3076" s="26" t="str">
        <f t="shared" ca="1" si="350"/>
        <v/>
      </c>
    </row>
    <row r="3077" spans="1:10" x14ac:dyDescent="0.25">
      <c r="A3077" t="s">
        <v>656</v>
      </c>
      <c r="B3077" t="str">
        <f>ADDRESS(ROW('PAYG 1'!$B$9),COLUMN('PAYG 1'!$B$9),4)</f>
        <v>B9</v>
      </c>
      <c r="C3077" t="str">
        <f>ADDRESS(ROW('PAYG 1'!$D$9),COLUMN('PAYG 1'!$D$9),4)</f>
        <v>D9</v>
      </c>
      <c r="D3077" t="b" cm="1">
        <f t="array" aca="1" ref="D3077" ca="1">IF(INDIRECT("'"&amp;A3077&amp;"'!"&amp;B3077)="",FALSE,ISERROR(DATE(INDIRECT("'"&amp;A3077&amp;"'!"&amp;B3077),,)))</f>
        <v>0</v>
      </c>
      <c r="E3077" t="s">
        <v>498</v>
      </c>
      <c r="F3077" t="str">
        <f>INDEX(Lists!I:I,MATCH(Validation!E3077,Lists!G:G,0))</f>
        <v>Error</v>
      </c>
      <c r="G3077" t="str">
        <f>INDEX(Lists!H:H,MATCH(Validation!E3077,Lists!G:G,0))</f>
        <v>Enter a date only (MM/DD/YYYY). Do not enter text, spaces, or amounts.</v>
      </c>
      <c r="H3077" s="25" t="str">
        <f t="shared" ca="1" si="348"/>
        <v/>
      </c>
      <c r="I3077" s="25" t="str">
        <f t="shared" ca="1" si="349"/>
        <v/>
      </c>
      <c r="J3077" s="26" t="str">
        <f t="shared" ca="1" si="350"/>
        <v/>
      </c>
    </row>
    <row r="3078" spans="1:10" x14ac:dyDescent="0.25">
      <c r="A3078" t="s">
        <v>657</v>
      </c>
      <c r="B3078" t="str">
        <f>ADDRESS(ROW('PAYG 1'!$B$9),COLUMN('PAYG 1'!$B$9),4)</f>
        <v>B9</v>
      </c>
      <c r="C3078" t="str">
        <f>ADDRESS(ROW('PAYG 1'!$D$9),COLUMN('PAYG 1'!$D$9),4)</f>
        <v>D9</v>
      </c>
      <c r="D3078" t="b" cm="1">
        <f t="array" aca="1" ref="D3078" ca="1">IF(INDIRECT("'"&amp;A3078&amp;"'!"&amp;B3078)="",FALSE,ISERROR(DATE(INDIRECT("'"&amp;A3078&amp;"'!"&amp;B3078),,)))</f>
        <v>0</v>
      </c>
      <c r="E3078" t="s">
        <v>498</v>
      </c>
      <c r="F3078" t="str">
        <f>INDEX(Lists!I:I,MATCH(Validation!E3078,Lists!G:G,0))</f>
        <v>Error</v>
      </c>
      <c r="G3078" t="str">
        <f>INDEX(Lists!H:H,MATCH(Validation!E3078,Lists!G:G,0))</f>
        <v>Enter a date only (MM/DD/YYYY). Do not enter text, spaces, or amounts.</v>
      </c>
      <c r="H3078" s="25" t="str">
        <f t="shared" ca="1" si="348"/>
        <v/>
      </c>
      <c r="I3078" s="25" t="str">
        <f t="shared" ca="1" si="349"/>
        <v/>
      </c>
      <c r="J3078" s="26" t="str">
        <f t="shared" ca="1" si="350"/>
        <v/>
      </c>
    </row>
    <row r="3079" spans="1:10" x14ac:dyDescent="0.25">
      <c r="A3079" t="s">
        <v>658</v>
      </c>
      <c r="B3079" t="str">
        <f>ADDRESS(ROW('PAYG 1'!$B$9),COLUMN('PAYG 1'!$B$9),4)</f>
        <v>B9</v>
      </c>
      <c r="C3079" t="str">
        <f>ADDRESS(ROW('PAYG 1'!$D$9),COLUMN('PAYG 1'!$D$9),4)</f>
        <v>D9</v>
      </c>
      <c r="D3079" t="b" cm="1">
        <f t="array" aca="1" ref="D3079" ca="1">IF(INDIRECT("'"&amp;A3079&amp;"'!"&amp;B3079)="",FALSE,ISERROR(DATE(INDIRECT("'"&amp;A3079&amp;"'!"&amp;B3079),,)))</f>
        <v>0</v>
      </c>
      <c r="E3079" t="s">
        <v>498</v>
      </c>
      <c r="F3079" t="str">
        <f>INDEX(Lists!I:I,MATCH(Validation!E3079,Lists!G:G,0))</f>
        <v>Error</v>
      </c>
      <c r="G3079" t="str">
        <f>INDEX(Lists!H:H,MATCH(Validation!E3079,Lists!G:G,0))</f>
        <v>Enter a date only (MM/DD/YYYY). Do not enter text, spaces, or amounts.</v>
      </c>
      <c r="H3079" s="25" t="str">
        <f t="shared" ca="1" si="348"/>
        <v/>
      </c>
      <c r="I3079" s="25" t="str">
        <f t="shared" ca="1" si="349"/>
        <v/>
      </c>
      <c r="J3079" s="26" t="str">
        <f t="shared" ca="1" si="350"/>
        <v/>
      </c>
    </row>
    <row r="3080" spans="1:10" x14ac:dyDescent="0.25">
      <c r="A3080" t="s">
        <v>659</v>
      </c>
      <c r="B3080" t="str">
        <f>ADDRESS(ROW('PAYG 1'!$B$9),COLUMN('PAYG 1'!$B$9),4)</f>
        <v>B9</v>
      </c>
      <c r="C3080" t="str">
        <f>ADDRESS(ROW('PAYG 1'!$D$9),COLUMN('PAYG 1'!$D$9),4)</f>
        <v>D9</v>
      </c>
      <c r="D3080" t="b" cm="1">
        <f t="array" aca="1" ref="D3080" ca="1">IF(INDIRECT("'"&amp;A3080&amp;"'!"&amp;B3080)="",FALSE,ISERROR(DATE(INDIRECT("'"&amp;A3080&amp;"'!"&amp;B3080),,)))</f>
        <v>0</v>
      </c>
      <c r="E3080" t="s">
        <v>498</v>
      </c>
      <c r="F3080" t="str">
        <f>INDEX(Lists!I:I,MATCH(Validation!E3080,Lists!G:G,0))</f>
        <v>Error</v>
      </c>
      <c r="G3080" t="str">
        <f>INDEX(Lists!H:H,MATCH(Validation!E3080,Lists!G:G,0))</f>
        <v>Enter a date only (MM/DD/YYYY). Do not enter text, spaces, or amounts.</v>
      </c>
      <c r="H3080" s="25" t="str">
        <f t="shared" ca="1" si="348"/>
        <v/>
      </c>
      <c r="I3080" s="25" t="str">
        <f t="shared" ca="1" si="349"/>
        <v/>
      </c>
      <c r="J3080" s="26" t="str">
        <f t="shared" ca="1" si="350"/>
        <v/>
      </c>
    </row>
    <row r="3081" spans="1:10" x14ac:dyDescent="0.25">
      <c r="A3081" t="s">
        <v>660</v>
      </c>
      <c r="B3081" t="str">
        <f>ADDRESS(ROW('PAYG 1'!$B$9),COLUMN('PAYG 1'!$B$9),4)</f>
        <v>B9</v>
      </c>
      <c r="C3081" t="str">
        <f>ADDRESS(ROW('PAYG 1'!$D$9),COLUMN('PAYG 1'!$D$9),4)</f>
        <v>D9</v>
      </c>
      <c r="D3081" t="b" cm="1">
        <f t="array" aca="1" ref="D3081" ca="1">IF(INDIRECT("'"&amp;A3081&amp;"'!"&amp;B3081)="",FALSE,ISERROR(DATE(INDIRECT("'"&amp;A3081&amp;"'!"&amp;B3081),,)))</f>
        <v>0</v>
      </c>
      <c r="E3081" t="s">
        <v>498</v>
      </c>
      <c r="F3081" t="str">
        <f>INDEX(Lists!I:I,MATCH(Validation!E3081,Lists!G:G,0))</f>
        <v>Error</v>
      </c>
      <c r="G3081" t="str">
        <f>INDEX(Lists!H:H,MATCH(Validation!E3081,Lists!G:G,0))</f>
        <v>Enter a date only (MM/DD/YYYY). Do not enter text, spaces, or amounts.</v>
      </c>
      <c r="H3081" s="25" t="str">
        <f t="shared" ca="1" si="348"/>
        <v/>
      </c>
      <c r="I3081" s="25" t="str">
        <f t="shared" ca="1" si="349"/>
        <v/>
      </c>
      <c r="J3081" s="26" t="str">
        <f t="shared" ca="1" si="350"/>
        <v/>
      </c>
    </row>
    <row r="3082" spans="1:10" x14ac:dyDescent="0.25">
      <c r="A3082" t="s">
        <v>661</v>
      </c>
      <c r="B3082" t="str">
        <f>ADDRESS(ROW('PAYG 1'!$B$9),COLUMN('PAYG 1'!$B$9),4)</f>
        <v>B9</v>
      </c>
      <c r="C3082" t="str">
        <f>ADDRESS(ROW('PAYG 1'!$D$9),COLUMN('PAYG 1'!$D$9),4)</f>
        <v>D9</v>
      </c>
      <c r="D3082" t="b" cm="1">
        <f t="array" aca="1" ref="D3082" ca="1">IF(INDIRECT("'"&amp;A3082&amp;"'!"&amp;B3082)="",FALSE,ISERROR(DATE(INDIRECT("'"&amp;A3082&amp;"'!"&amp;B3082),,)))</f>
        <v>0</v>
      </c>
      <c r="E3082" t="s">
        <v>498</v>
      </c>
      <c r="F3082" t="str">
        <f>INDEX(Lists!I:I,MATCH(Validation!E3082,Lists!G:G,0))</f>
        <v>Error</v>
      </c>
      <c r="G3082" t="str">
        <f>INDEX(Lists!H:H,MATCH(Validation!E3082,Lists!G:G,0))</f>
        <v>Enter a date only (MM/DD/YYYY). Do not enter text, spaces, or amounts.</v>
      </c>
      <c r="H3082" s="25" t="str">
        <f t="shared" ca="1" si="348"/>
        <v/>
      </c>
      <c r="I3082" s="25" t="str">
        <f t="shared" ca="1" si="349"/>
        <v/>
      </c>
      <c r="J3082" s="26" t="str">
        <f t="shared" ca="1" si="350"/>
        <v/>
      </c>
    </row>
    <row r="3083" spans="1:10" x14ac:dyDescent="0.25">
      <c r="A3083" t="s">
        <v>662</v>
      </c>
      <c r="B3083" t="str">
        <f>ADDRESS(ROW('PAYG 1'!$B$9),COLUMN('PAYG 1'!$B$9),4)</f>
        <v>B9</v>
      </c>
      <c r="C3083" t="str">
        <f>ADDRESS(ROW('PAYG 1'!$D$9),COLUMN('PAYG 1'!$D$9),4)</f>
        <v>D9</v>
      </c>
      <c r="D3083" t="b" cm="1">
        <f t="array" aca="1" ref="D3083" ca="1">IF(INDIRECT("'"&amp;A3083&amp;"'!"&amp;B3083)="",FALSE,ISERROR(DATE(INDIRECT("'"&amp;A3083&amp;"'!"&amp;B3083),,)))</f>
        <v>0</v>
      </c>
      <c r="E3083" t="s">
        <v>498</v>
      </c>
      <c r="F3083" t="str">
        <f>INDEX(Lists!I:I,MATCH(Validation!E3083,Lists!G:G,0))</f>
        <v>Error</v>
      </c>
      <c r="G3083" t="str">
        <f>INDEX(Lists!H:H,MATCH(Validation!E3083,Lists!G:G,0))</f>
        <v>Enter a date only (MM/DD/YYYY). Do not enter text, spaces, or amounts.</v>
      </c>
      <c r="H3083" s="25" t="str">
        <f t="shared" ca="1" si="348"/>
        <v/>
      </c>
      <c r="I3083" s="25" t="str">
        <f t="shared" ca="1" si="349"/>
        <v/>
      </c>
      <c r="J3083" s="26" t="str">
        <f t="shared" ca="1" si="350"/>
        <v/>
      </c>
    </row>
    <row r="3084" spans="1:10" x14ac:dyDescent="0.25">
      <c r="A3084" t="s">
        <v>663</v>
      </c>
      <c r="B3084" t="str">
        <f>ADDRESS(ROW('PAYG 1'!$B$9),COLUMN('PAYG 1'!$B$9),4)</f>
        <v>B9</v>
      </c>
      <c r="C3084" t="str">
        <f>ADDRESS(ROW('PAYG 1'!$D$9),COLUMN('PAYG 1'!$D$9),4)</f>
        <v>D9</v>
      </c>
      <c r="D3084" t="b" cm="1">
        <f t="array" aca="1" ref="D3084" ca="1">IF(INDIRECT("'"&amp;A3084&amp;"'!"&amp;B3084)="",FALSE,ISERROR(DATE(INDIRECT("'"&amp;A3084&amp;"'!"&amp;B3084),,)))</f>
        <v>0</v>
      </c>
      <c r="E3084" t="s">
        <v>498</v>
      </c>
      <c r="F3084" t="str">
        <f>INDEX(Lists!I:I,MATCH(Validation!E3084,Lists!G:G,0))</f>
        <v>Error</v>
      </c>
      <c r="G3084" t="str">
        <f>INDEX(Lists!H:H,MATCH(Validation!E3084,Lists!G:G,0))</f>
        <v>Enter a date only (MM/DD/YYYY). Do not enter text, spaces, or amounts.</v>
      </c>
      <c r="H3084" s="25" t="str">
        <f t="shared" ca="1" si="348"/>
        <v/>
      </c>
      <c r="I3084" s="25" t="str">
        <f t="shared" ca="1" si="349"/>
        <v/>
      </c>
      <c r="J3084" s="26" t="str">
        <f t="shared" ca="1" si="350"/>
        <v/>
      </c>
    </row>
    <row r="3085" spans="1:10" x14ac:dyDescent="0.25">
      <c r="A3085" t="s">
        <v>664</v>
      </c>
      <c r="B3085" t="str">
        <f>ADDRESS(ROW('PAYG 1'!$B$9),COLUMN('PAYG 1'!$B$9),4)</f>
        <v>B9</v>
      </c>
      <c r="C3085" t="str">
        <f>ADDRESS(ROW('PAYG 1'!$D$9),COLUMN('PAYG 1'!$D$9),4)</f>
        <v>D9</v>
      </c>
      <c r="D3085" t="b" cm="1">
        <f t="array" aca="1" ref="D3085" ca="1">IF(INDIRECT("'"&amp;A3085&amp;"'!"&amp;B3085)="",FALSE,ISERROR(DATE(INDIRECT("'"&amp;A3085&amp;"'!"&amp;B3085),,)))</f>
        <v>0</v>
      </c>
      <c r="E3085" t="s">
        <v>498</v>
      </c>
      <c r="F3085" t="str">
        <f>INDEX(Lists!I:I,MATCH(Validation!E3085,Lists!G:G,0))</f>
        <v>Error</v>
      </c>
      <c r="G3085" t="str">
        <f>INDEX(Lists!H:H,MATCH(Validation!E3085,Lists!G:G,0))</f>
        <v>Enter a date only (MM/DD/YYYY). Do not enter text, spaces, or amounts.</v>
      </c>
      <c r="H3085" s="25" t="str">
        <f t="shared" ca="1" si="348"/>
        <v/>
      </c>
      <c r="I3085" s="25" t="str">
        <f t="shared" ca="1" si="349"/>
        <v/>
      </c>
      <c r="J3085" s="26" t="str">
        <f t="shared" ca="1" si="350"/>
        <v/>
      </c>
    </row>
    <row r="3086" spans="1:10" x14ac:dyDescent="0.25">
      <c r="A3086" t="s">
        <v>203</v>
      </c>
      <c r="B3086" t="str">
        <f>ADDRESS(ROW('PAYG 1'!$B$9),COLUMN('PAYG 1'!$B$9),4)</f>
        <v>B9</v>
      </c>
      <c r="C3086" t="str">
        <f>ADDRESS(ROW('PAYG 1'!$D$9),COLUMN('PAYG 1'!$D$9),4)</f>
        <v>D9</v>
      </c>
      <c r="D3086" t="b" cm="1">
        <f t="array" aca="1" ref="D3086" ca="1">IF(INDIRECT("'"&amp;A3086&amp;"'!"&amp;B3086)="",FALSE,IF(INDIRECT("'"&amp;A3086&amp;"'!"&amp;B3086)="",TRUE,FALSE))</f>
        <v>0</v>
      </c>
      <c r="E3086" t="s">
        <v>611</v>
      </c>
      <c r="F3086" t="str">
        <f>INDEX(Lists!I:I,MATCH(Validation!E3086,Lists!G:G,0))</f>
        <v>Error</v>
      </c>
      <c r="G3086" t="str">
        <f>INDEX(Lists!H:H,MATCH(Validation!E3086,Lists!G:G,0))</f>
        <v>Enter the issue date first.</v>
      </c>
      <c r="H3086" s="25" t="str">
        <f t="shared" ca="1" si="348"/>
        <v/>
      </c>
      <c r="I3086" s="25" t="str">
        <f t="shared" ca="1" si="349"/>
        <v/>
      </c>
      <c r="J3086" s="26" t="str">
        <f t="shared" ca="1" si="350"/>
        <v/>
      </c>
    </row>
    <row r="3087" spans="1:10" x14ac:dyDescent="0.25">
      <c r="A3087" t="s">
        <v>651</v>
      </c>
      <c r="B3087" t="str">
        <f>ADDRESS(ROW('PAYG 1'!$B$9),COLUMN('PAYG 1'!$B$9),4)</f>
        <v>B9</v>
      </c>
      <c r="C3087" t="str">
        <f>ADDRESS(ROW('PAYG 1'!$D$9),COLUMN('PAYG 1'!$D$9),4)</f>
        <v>D9</v>
      </c>
      <c r="D3087" t="b" cm="1">
        <f t="array" aca="1" ref="D3087" ca="1">IF(INDIRECT("'"&amp;A3087&amp;"'!"&amp;B3087)="",FALSE,IF(INDIRECT("'"&amp;A3087&amp;"'!"&amp;B3087)="",TRUE,FALSE))</f>
        <v>0</v>
      </c>
      <c r="E3087" t="s">
        <v>611</v>
      </c>
      <c r="F3087" t="str">
        <f>INDEX(Lists!I:I,MATCH(Validation!E3087,Lists!G:G,0))</f>
        <v>Error</v>
      </c>
      <c r="G3087" t="str">
        <f>INDEX(Lists!H:H,MATCH(Validation!E3087,Lists!G:G,0))</f>
        <v>Enter the issue date first.</v>
      </c>
      <c r="H3087" s="25" t="str">
        <f t="shared" ca="1" si="348"/>
        <v/>
      </c>
      <c r="I3087" s="25" t="str">
        <f t="shared" ca="1" si="349"/>
        <v/>
      </c>
      <c r="J3087" s="26" t="str">
        <f t="shared" ca="1" si="350"/>
        <v/>
      </c>
    </row>
    <row r="3088" spans="1:10" x14ac:dyDescent="0.25">
      <c r="A3088" t="s">
        <v>652</v>
      </c>
      <c r="B3088" t="str">
        <f>ADDRESS(ROW('PAYG 1'!$B$9),COLUMN('PAYG 1'!$B$9),4)</f>
        <v>B9</v>
      </c>
      <c r="C3088" t="str">
        <f>ADDRESS(ROW('PAYG 1'!$D$9),COLUMN('PAYG 1'!$D$9),4)</f>
        <v>D9</v>
      </c>
      <c r="D3088" t="b" cm="1">
        <f t="array" aca="1" ref="D3088" ca="1">IF(INDIRECT("'"&amp;A3088&amp;"'!"&amp;B3088)="",FALSE,IF(INDIRECT("'"&amp;A3088&amp;"'!"&amp;B3088)="",TRUE,FALSE))</f>
        <v>0</v>
      </c>
      <c r="E3088" t="s">
        <v>611</v>
      </c>
      <c r="F3088" t="str">
        <f>INDEX(Lists!I:I,MATCH(Validation!E3088,Lists!G:G,0))</f>
        <v>Error</v>
      </c>
      <c r="G3088" t="str">
        <f>INDEX(Lists!H:H,MATCH(Validation!E3088,Lists!G:G,0))</f>
        <v>Enter the issue date first.</v>
      </c>
      <c r="H3088" s="25" t="str">
        <f t="shared" ca="1" si="348"/>
        <v/>
      </c>
      <c r="I3088" s="25" t="str">
        <f t="shared" ca="1" si="349"/>
        <v/>
      </c>
      <c r="J3088" s="26" t="str">
        <f t="shared" ca="1" si="350"/>
        <v/>
      </c>
    </row>
    <row r="3089" spans="1:10" x14ac:dyDescent="0.25">
      <c r="A3089" t="s">
        <v>653</v>
      </c>
      <c r="B3089" t="str">
        <f>ADDRESS(ROW('PAYG 1'!$B$9),COLUMN('PAYG 1'!$B$9),4)</f>
        <v>B9</v>
      </c>
      <c r="C3089" t="str">
        <f>ADDRESS(ROW('PAYG 1'!$D$9),COLUMN('PAYG 1'!$D$9),4)</f>
        <v>D9</v>
      </c>
      <c r="D3089" t="b" cm="1">
        <f t="array" aca="1" ref="D3089" ca="1">IF(INDIRECT("'"&amp;A3089&amp;"'!"&amp;B3089)="",FALSE,IF(INDIRECT("'"&amp;A3089&amp;"'!"&amp;B3089)="",TRUE,FALSE))</f>
        <v>0</v>
      </c>
      <c r="E3089" t="s">
        <v>611</v>
      </c>
      <c r="F3089" t="str">
        <f>INDEX(Lists!I:I,MATCH(Validation!E3089,Lists!G:G,0))</f>
        <v>Error</v>
      </c>
      <c r="G3089" t="str">
        <f>INDEX(Lists!H:H,MATCH(Validation!E3089,Lists!G:G,0))</f>
        <v>Enter the issue date first.</v>
      </c>
      <c r="H3089" s="25" t="str">
        <f t="shared" ca="1" si="348"/>
        <v/>
      </c>
      <c r="I3089" s="25" t="str">
        <f t="shared" ca="1" si="349"/>
        <v/>
      </c>
      <c r="J3089" s="26" t="str">
        <f t="shared" ca="1" si="350"/>
        <v/>
      </c>
    </row>
    <row r="3090" spans="1:10" x14ac:dyDescent="0.25">
      <c r="A3090" t="s">
        <v>654</v>
      </c>
      <c r="B3090" t="str">
        <f>ADDRESS(ROW('PAYG 1'!$B$9),COLUMN('PAYG 1'!$B$9),4)</f>
        <v>B9</v>
      </c>
      <c r="C3090" t="str">
        <f>ADDRESS(ROW('PAYG 1'!$D$9),COLUMN('PAYG 1'!$D$9),4)</f>
        <v>D9</v>
      </c>
      <c r="D3090" t="b" cm="1">
        <f t="array" aca="1" ref="D3090" ca="1">IF(INDIRECT("'"&amp;A3090&amp;"'!"&amp;B3090)="",FALSE,IF(INDIRECT("'"&amp;A3090&amp;"'!"&amp;B3090)="",TRUE,FALSE))</f>
        <v>0</v>
      </c>
      <c r="E3090" t="s">
        <v>611</v>
      </c>
      <c r="F3090" t="str">
        <f>INDEX(Lists!I:I,MATCH(Validation!E3090,Lists!G:G,0))</f>
        <v>Error</v>
      </c>
      <c r="G3090" t="str">
        <f>INDEX(Lists!H:H,MATCH(Validation!E3090,Lists!G:G,0))</f>
        <v>Enter the issue date first.</v>
      </c>
      <c r="H3090" s="25" t="str">
        <f t="shared" ca="1" si="348"/>
        <v/>
      </c>
      <c r="I3090" s="25" t="str">
        <f t="shared" ca="1" si="349"/>
        <v/>
      </c>
      <c r="J3090" s="26" t="str">
        <f t="shared" ca="1" si="350"/>
        <v/>
      </c>
    </row>
    <row r="3091" spans="1:10" x14ac:dyDescent="0.25">
      <c r="A3091" t="s">
        <v>655</v>
      </c>
      <c r="B3091" t="str">
        <f>ADDRESS(ROW('PAYG 1'!$B$9),COLUMN('PAYG 1'!$B$9),4)</f>
        <v>B9</v>
      </c>
      <c r="C3091" t="str">
        <f>ADDRESS(ROW('PAYG 1'!$D$9),COLUMN('PAYG 1'!$D$9),4)</f>
        <v>D9</v>
      </c>
      <c r="D3091" t="b" cm="1">
        <f t="array" aca="1" ref="D3091" ca="1">IF(INDIRECT("'"&amp;A3091&amp;"'!"&amp;B3091)="",FALSE,IF(INDIRECT("'"&amp;A3091&amp;"'!"&amp;B3091)="",TRUE,FALSE))</f>
        <v>0</v>
      </c>
      <c r="E3091" t="s">
        <v>611</v>
      </c>
      <c r="F3091" t="str">
        <f>INDEX(Lists!I:I,MATCH(Validation!E3091,Lists!G:G,0))</f>
        <v>Error</v>
      </c>
      <c r="G3091" t="str">
        <f>INDEX(Lists!H:H,MATCH(Validation!E3091,Lists!G:G,0))</f>
        <v>Enter the issue date first.</v>
      </c>
      <c r="H3091" s="25" t="str">
        <f t="shared" ca="1" si="348"/>
        <v/>
      </c>
      <c r="I3091" s="25" t="str">
        <f t="shared" ca="1" si="349"/>
        <v/>
      </c>
      <c r="J3091" s="26" t="str">
        <f t="shared" ca="1" si="350"/>
        <v/>
      </c>
    </row>
    <row r="3092" spans="1:10" x14ac:dyDescent="0.25">
      <c r="A3092" t="s">
        <v>656</v>
      </c>
      <c r="B3092" t="str">
        <f>ADDRESS(ROW('PAYG 1'!$B$9),COLUMN('PAYG 1'!$B$9),4)</f>
        <v>B9</v>
      </c>
      <c r="C3092" t="str">
        <f>ADDRESS(ROW('PAYG 1'!$D$9),COLUMN('PAYG 1'!$D$9),4)</f>
        <v>D9</v>
      </c>
      <c r="D3092" t="b" cm="1">
        <f t="array" aca="1" ref="D3092" ca="1">IF(INDIRECT("'"&amp;A3092&amp;"'!"&amp;B3092)="",FALSE,IF(INDIRECT("'"&amp;A3092&amp;"'!"&amp;B3092)="",TRUE,FALSE))</f>
        <v>0</v>
      </c>
      <c r="E3092" t="s">
        <v>611</v>
      </c>
      <c r="F3092" t="str">
        <f>INDEX(Lists!I:I,MATCH(Validation!E3092,Lists!G:G,0))</f>
        <v>Error</v>
      </c>
      <c r="G3092" t="str">
        <f>INDEX(Lists!H:H,MATCH(Validation!E3092,Lists!G:G,0))</f>
        <v>Enter the issue date first.</v>
      </c>
      <c r="H3092" s="25" t="str">
        <f t="shared" ca="1" si="348"/>
        <v/>
      </c>
      <c r="I3092" s="25" t="str">
        <f t="shared" ca="1" si="349"/>
        <v/>
      </c>
      <c r="J3092" s="26" t="str">
        <f t="shared" ca="1" si="350"/>
        <v/>
      </c>
    </row>
    <row r="3093" spans="1:10" x14ac:dyDescent="0.25">
      <c r="A3093" t="s">
        <v>657</v>
      </c>
      <c r="B3093" t="str">
        <f>ADDRESS(ROW('PAYG 1'!$B$9),COLUMN('PAYG 1'!$B$9),4)</f>
        <v>B9</v>
      </c>
      <c r="C3093" t="str">
        <f>ADDRESS(ROW('PAYG 1'!$D$9),COLUMN('PAYG 1'!$D$9),4)</f>
        <v>D9</v>
      </c>
      <c r="D3093" t="b" cm="1">
        <f t="array" aca="1" ref="D3093" ca="1">IF(INDIRECT("'"&amp;A3093&amp;"'!"&amp;B3093)="",FALSE,IF(INDIRECT("'"&amp;A3093&amp;"'!"&amp;B3093)="",TRUE,FALSE))</f>
        <v>0</v>
      </c>
      <c r="E3093" t="s">
        <v>611</v>
      </c>
      <c r="F3093" t="str">
        <f>INDEX(Lists!I:I,MATCH(Validation!E3093,Lists!G:G,0))</f>
        <v>Error</v>
      </c>
      <c r="G3093" t="str">
        <f>INDEX(Lists!H:H,MATCH(Validation!E3093,Lists!G:G,0))</f>
        <v>Enter the issue date first.</v>
      </c>
      <c r="H3093" s="25" t="str">
        <f t="shared" ca="1" si="348"/>
        <v/>
      </c>
      <c r="I3093" s="25" t="str">
        <f t="shared" ca="1" si="349"/>
        <v/>
      </c>
      <c r="J3093" s="26" t="str">
        <f t="shared" ca="1" si="350"/>
        <v/>
      </c>
    </row>
    <row r="3094" spans="1:10" x14ac:dyDescent="0.25">
      <c r="A3094" t="s">
        <v>658</v>
      </c>
      <c r="B3094" t="str">
        <f>ADDRESS(ROW('PAYG 1'!$B$9),COLUMN('PAYG 1'!$B$9),4)</f>
        <v>B9</v>
      </c>
      <c r="C3094" t="str">
        <f>ADDRESS(ROW('PAYG 1'!$D$9),COLUMN('PAYG 1'!$D$9),4)</f>
        <v>D9</v>
      </c>
      <c r="D3094" t="b" cm="1">
        <f t="array" aca="1" ref="D3094" ca="1">IF(INDIRECT("'"&amp;A3094&amp;"'!"&amp;B3094)="",FALSE,IF(INDIRECT("'"&amp;A3094&amp;"'!"&amp;B3094)="",TRUE,FALSE))</f>
        <v>0</v>
      </c>
      <c r="E3094" t="s">
        <v>611</v>
      </c>
      <c r="F3094" t="str">
        <f>INDEX(Lists!I:I,MATCH(Validation!E3094,Lists!G:G,0))</f>
        <v>Error</v>
      </c>
      <c r="G3094" t="str">
        <f>INDEX(Lists!H:H,MATCH(Validation!E3094,Lists!G:G,0))</f>
        <v>Enter the issue date first.</v>
      </c>
      <c r="H3094" s="25" t="str">
        <f t="shared" ca="1" si="348"/>
        <v/>
      </c>
      <c r="I3094" s="25" t="str">
        <f t="shared" ca="1" si="349"/>
        <v/>
      </c>
      <c r="J3094" s="26" t="str">
        <f t="shared" ca="1" si="350"/>
        <v/>
      </c>
    </row>
    <row r="3095" spans="1:10" x14ac:dyDescent="0.25">
      <c r="A3095" t="s">
        <v>659</v>
      </c>
      <c r="B3095" t="str">
        <f>ADDRESS(ROW('PAYG 1'!$B$9),COLUMN('PAYG 1'!$B$9),4)</f>
        <v>B9</v>
      </c>
      <c r="C3095" t="str">
        <f>ADDRESS(ROW('PAYG 1'!$D$9),COLUMN('PAYG 1'!$D$9),4)</f>
        <v>D9</v>
      </c>
      <c r="D3095" t="b" cm="1">
        <f t="array" aca="1" ref="D3095" ca="1">IF(INDIRECT("'"&amp;A3095&amp;"'!"&amp;B3095)="",FALSE,IF(INDIRECT("'"&amp;A3095&amp;"'!"&amp;B3095)="",TRUE,FALSE))</f>
        <v>0</v>
      </c>
      <c r="E3095" t="s">
        <v>611</v>
      </c>
      <c r="F3095" t="str">
        <f>INDEX(Lists!I:I,MATCH(Validation!E3095,Lists!G:G,0))</f>
        <v>Error</v>
      </c>
      <c r="G3095" t="str">
        <f>INDEX(Lists!H:H,MATCH(Validation!E3095,Lists!G:G,0))</f>
        <v>Enter the issue date first.</v>
      </c>
      <c r="H3095" s="25" t="str">
        <f t="shared" ca="1" si="348"/>
        <v/>
      </c>
      <c r="I3095" s="25" t="str">
        <f t="shared" ca="1" si="349"/>
        <v/>
      </c>
      <c r="J3095" s="26" t="str">
        <f t="shared" ca="1" si="350"/>
        <v/>
      </c>
    </row>
    <row r="3096" spans="1:10" x14ac:dyDescent="0.25">
      <c r="A3096" t="s">
        <v>660</v>
      </c>
      <c r="B3096" t="str">
        <f>ADDRESS(ROW('PAYG 1'!$B$9),COLUMN('PAYG 1'!$B$9),4)</f>
        <v>B9</v>
      </c>
      <c r="C3096" t="str">
        <f>ADDRESS(ROW('PAYG 1'!$D$9),COLUMN('PAYG 1'!$D$9),4)</f>
        <v>D9</v>
      </c>
      <c r="D3096" t="b" cm="1">
        <f t="array" aca="1" ref="D3096" ca="1">IF(INDIRECT("'"&amp;A3096&amp;"'!"&amp;B3096)="",FALSE,IF(INDIRECT("'"&amp;A3096&amp;"'!"&amp;B3096)="",TRUE,FALSE))</f>
        <v>0</v>
      </c>
      <c r="E3096" t="s">
        <v>611</v>
      </c>
      <c r="F3096" t="str">
        <f>INDEX(Lists!I:I,MATCH(Validation!E3096,Lists!G:G,0))</f>
        <v>Error</v>
      </c>
      <c r="G3096" t="str">
        <f>INDEX(Lists!H:H,MATCH(Validation!E3096,Lists!G:G,0))</f>
        <v>Enter the issue date first.</v>
      </c>
      <c r="H3096" s="25" t="str">
        <f t="shared" ca="1" si="348"/>
        <v/>
      </c>
      <c r="I3096" s="25" t="str">
        <f t="shared" ca="1" si="349"/>
        <v/>
      </c>
      <c r="J3096" s="26" t="str">
        <f t="shared" ca="1" si="350"/>
        <v/>
      </c>
    </row>
    <row r="3097" spans="1:10" x14ac:dyDescent="0.25">
      <c r="A3097" t="s">
        <v>661</v>
      </c>
      <c r="B3097" t="str">
        <f>ADDRESS(ROW('PAYG 1'!$B$9),COLUMN('PAYG 1'!$B$9),4)</f>
        <v>B9</v>
      </c>
      <c r="C3097" t="str">
        <f>ADDRESS(ROW('PAYG 1'!$D$9),COLUMN('PAYG 1'!$D$9),4)</f>
        <v>D9</v>
      </c>
      <c r="D3097" t="b" cm="1">
        <f t="array" aca="1" ref="D3097" ca="1">IF(INDIRECT("'"&amp;A3097&amp;"'!"&amp;B3097)="",FALSE,IF(INDIRECT("'"&amp;A3097&amp;"'!"&amp;B3097)="",TRUE,FALSE))</f>
        <v>0</v>
      </c>
      <c r="E3097" t="s">
        <v>611</v>
      </c>
      <c r="F3097" t="str">
        <f>INDEX(Lists!I:I,MATCH(Validation!E3097,Lists!G:G,0))</f>
        <v>Error</v>
      </c>
      <c r="G3097" t="str">
        <f>INDEX(Lists!H:H,MATCH(Validation!E3097,Lists!G:G,0))</f>
        <v>Enter the issue date first.</v>
      </c>
      <c r="H3097" s="25" t="str">
        <f t="shared" ca="1" si="348"/>
        <v/>
      </c>
      <c r="I3097" s="25" t="str">
        <f t="shared" ca="1" si="349"/>
        <v/>
      </c>
      <c r="J3097" s="26" t="str">
        <f t="shared" ca="1" si="350"/>
        <v/>
      </c>
    </row>
    <row r="3098" spans="1:10" x14ac:dyDescent="0.25">
      <c r="A3098" t="s">
        <v>662</v>
      </c>
      <c r="B3098" t="str">
        <f>ADDRESS(ROW('PAYG 1'!$B$9),COLUMN('PAYG 1'!$B$9),4)</f>
        <v>B9</v>
      </c>
      <c r="C3098" t="str">
        <f>ADDRESS(ROW('PAYG 1'!$D$9),COLUMN('PAYG 1'!$D$9),4)</f>
        <v>D9</v>
      </c>
      <c r="D3098" t="b" cm="1">
        <f t="array" aca="1" ref="D3098" ca="1">IF(INDIRECT("'"&amp;A3098&amp;"'!"&amp;B3098)="",FALSE,IF(INDIRECT("'"&amp;A3098&amp;"'!"&amp;B3098)="",TRUE,FALSE))</f>
        <v>0</v>
      </c>
      <c r="E3098" t="s">
        <v>611</v>
      </c>
      <c r="F3098" t="str">
        <f>INDEX(Lists!I:I,MATCH(Validation!E3098,Lists!G:G,0))</f>
        <v>Error</v>
      </c>
      <c r="G3098" t="str">
        <f>INDEX(Lists!H:H,MATCH(Validation!E3098,Lists!G:G,0))</f>
        <v>Enter the issue date first.</v>
      </c>
      <c r="H3098" s="25" t="str">
        <f t="shared" ca="1" si="348"/>
        <v/>
      </c>
      <c r="I3098" s="25" t="str">
        <f t="shared" ca="1" si="349"/>
        <v/>
      </c>
      <c r="J3098" s="26" t="str">
        <f t="shared" ca="1" si="350"/>
        <v/>
      </c>
    </row>
    <row r="3099" spans="1:10" x14ac:dyDescent="0.25">
      <c r="A3099" t="s">
        <v>663</v>
      </c>
      <c r="B3099" t="str">
        <f>ADDRESS(ROW('PAYG 1'!$B$9),COLUMN('PAYG 1'!$B$9),4)</f>
        <v>B9</v>
      </c>
      <c r="C3099" t="str">
        <f>ADDRESS(ROW('PAYG 1'!$D$9),COLUMN('PAYG 1'!$D$9),4)</f>
        <v>D9</v>
      </c>
      <c r="D3099" t="b" cm="1">
        <f t="array" aca="1" ref="D3099" ca="1">IF(INDIRECT("'"&amp;A3099&amp;"'!"&amp;B3099)="",FALSE,IF(INDIRECT("'"&amp;A3099&amp;"'!"&amp;B3099)="",TRUE,FALSE))</f>
        <v>0</v>
      </c>
      <c r="E3099" t="s">
        <v>611</v>
      </c>
      <c r="F3099" t="str">
        <f>INDEX(Lists!I:I,MATCH(Validation!E3099,Lists!G:G,0))</f>
        <v>Error</v>
      </c>
      <c r="G3099" t="str">
        <f>INDEX(Lists!H:H,MATCH(Validation!E3099,Lists!G:G,0))</f>
        <v>Enter the issue date first.</v>
      </c>
      <c r="H3099" s="25" t="str">
        <f t="shared" ca="1" si="348"/>
        <v/>
      </c>
      <c r="I3099" s="25" t="str">
        <f t="shared" ca="1" si="349"/>
        <v/>
      </c>
      <c r="J3099" s="26" t="str">
        <f t="shared" ca="1" si="350"/>
        <v/>
      </c>
    </row>
    <row r="3100" spans="1:10" x14ac:dyDescent="0.25">
      <c r="A3100" t="s">
        <v>664</v>
      </c>
      <c r="B3100" t="str">
        <f>ADDRESS(ROW('PAYG 1'!$B$9),COLUMN('PAYG 1'!$B$9),4)</f>
        <v>B9</v>
      </c>
      <c r="C3100" t="str">
        <f>ADDRESS(ROW('PAYG 1'!$D$9),COLUMN('PAYG 1'!$D$9),4)</f>
        <v>D9</v>
      </c>
      <c r="D3100" t="b" cm="1">
        <f t="array" aca="1" ref="D3100" ca="1">IF(INDIRECT("'"&amp;A3100&amp;"'!"&amp;B3100)="",FALSE,IF(INDIRECT("'"&amp;A3100&amp;"'!"&amp;B3100)="",TRUE,FALSE))</f>
        <v>0</v>
      </c>
      <c r="E3100" t="s">
        <v>611</v>
      </c>
      <c r="F3100" t="str">
        <f>INDEX(Lists!I:I,MATCH(Validation!E3100,Lists!G:G,0))</f>
        <v>Error</v>
      </c>
      <c r="G3100" t="str">
        <f>INDEX(Lists!H:H,MATCH(Validation!E3100,Lists!G:G,0))</f>
        <v>Enter the issue date first.</v>
      </c>
      <c r="H3100" s="25" t="str">
        <f t="shared" ca="1" si="348"/>
        <v/>
      </c>
      <c r="I3100" s="25" t="str">
        <f t="shared" ca="1" si="349"/>
        <v/>
      </c>
      <c r="J3100" s="26" t="str">
        <f t="shared" ca="1" si="350"/>
        <v/>
      </c>
    </row>
    <row r="3101" spans="1:10" x14ac:dyDescent="0.25">
      <c r="A3101" t="s">
        <v>203</v>
      </c>
      <c r="B3101" t="str">
        <f>ADDRESS(ROW('PAYG 1'!$B$9),COLUMN('PAYG 1'!$B$9),4)</f>
        <v>B9</v>
      </c>
      <c r="C3101" t="str">
        <f>ADDRESS(ROW('PAYG 1'!$D$9),COLUMN('PAYG 1'!$D$9),4)</f>
        <v>D9</v>
      </c>
      <c r="D3101" t="b" cm="1">
        <f t="array" aca="1" ref="D3101" ca="1">IF(INDIRECT("'"&amp;A3101&amp;"'!"&amp;B3101)="",FALSE,IF(INDIRECT("'"&amp;A3101&amp;"'!"&amp;B3101)&lt;=INDIRECT("'"&amp;A3101&amp;"'!B$8"),TRUE,FALSE))</f>
        <v>0</v>
      </c>
      <c r="E3101" t="s">
        <v>613</v>
      </c>
      <c r="F3101" t="str">
        <f>INDEX(Lists!I:I,MATCH(Validation!E3101,Lists!G:G,0))</f>
        <v>Error</v>
      </c>
      <c r="G3101" t="str">
        <f>INDEX(Lists!H:H,MATCH(Validation!E3101,Lists!G:G,0))</f>
        <v>Final maturity date must be after the issue date.</v>
      </c>
      <c r="H3101" s="25" t="str">
        <f t="shared" ca="1" si="348"/>
        <v/>
      </c>
      <c r="I3101" s="25" t="str">
        <f t="shared" ca="1" si="349"/>
        <v/>
      </c>
      <c r="J3101" s="26" t="str">
        <f t="shared" ca="1" si="350"/>
        <v/>
      </c>
    </row>
    <row r="3102" spans="1:10" x14ac:dyDescent="0.25">
      <c r="A3102" t="s">
        <v>651</v>
      </c>
      <c r="B3102" t="str">
        <f>ADDRESS(ROW('PAYG 1'!$B$9),COLUMN('PAYG 1'!$B$9),4)</f>
        <v>B9</v>
      </c>
      <c r="C3102" t="str">
        <f>ADDRESS(ROW('PAYG 1'!$D$9),COLUMN('PAYG 1'!$D$9),4)</f>
        <v>D9</v>
      </c>
      <c r="D3102" t="b" cm="1">
        <f t="array" aca="1" ref="D3102" ca="1">IF(INDIRECT("'"&amp;A3102&amp;"'!"&amp;B3102)="",FALSE,IF(INDIRECT("'"&amp;A3102&amp;"'!"&amp;B3102)&lt;=INDIRECT("'"&amp;A3102&amp;"'!B$8"),TRUE,FALSE))</f>
        <v>0</v>
      </c>
      <c r="E3102" t="s">
        <v>613</v>
      </c>
      <c r="F3102" t="str">
        <f>INDEX(Lists!I:I,MATCH(Validation!E3102,Lists!G:G,0))</f>
        <v>Error</v>
      </c>
      <c r="G3102" t="str">
        <f>INDEX(Lists!H:H,MATCH(Validation!E3102,Lists!G:G,0))</f>
        <v>Final maturity date must be after the issue date.</v>
      </c>
      <c r="H3102" s="25" t="str">
        <f t="shared" ca="1" si="348"/>
        <v/>
      </c>
      <c r="I3102" s="25" t="str">
        <f t="shared" ca="1" si="349"/>
        <v/>
      </c>
      <c r="J3102" s="26" t="str">
        <f t="shared" ca="1" si="350"/>
        <v/>
      </c>
    </row>
    <row r="3103" spans="1:10" x14ac:dyDescent="0.25">
      <c r="A3103" t="s">
        <v>652</v>
      </c>
      <c r="B3103" t="str">
        <f>ADDRESS(ROW('PAYG 1'!$B$9),COLUMN('PAYG 1'!$B$9),4)</f>
        <v>B9</v>
      </c>
      <c r="C3103" t="str">
        <f>ADDRESS(ROW('PAYG 1'!$D$9),COLUMN('PAYG 1'!$D$9),4)</f>
        <v>D9</v>
      </c>
      <c r="D3103" t="b" cm="1">
        <f t="array" aca="1" ref="D3103" ca="1">IF(INDIRECT("'"&amp;A3103&amp;"'!"&amp;B3103)="",FALSE,IF(INDIRECT("'"&amp;A3103&amp;"'!"&amp;B3103)&lt;=INDIRECT("'"&amp;A3103&amp;"'!B$8"),TRUE,FALSE))</f>
        <v>0</v>
      </c>
      <c r="E3103" t="s">
        <v>613</v>
      </c>
      <c r="F3103" t="str">
        <f>INDEX(Lists!I:I,MATCH(Validation!E3103,Lists!G:G,0))</f>
        <v>Error</v>
      </c>
      <c r="G3103" t="str">
        <f>INDEX(Lists!H:H,MATCH(Validation!E3103,Lists!G:G,0))</f>
        <v>Final maturity date must be after the issue date.</v>
      </c>
      <c r="H3103" s="25" t="str">
        <f t="shared" ca="1" si="348"/>
        <v/>
      </c>
      <c r="I3103" s="25" t="str">
        <f t="shared" ca="1" si="349"/>
        <v/>
      </c>
      <c r="J3103" s="26" t="str">
        <f t="shared" ca="1" si="350"/>
        <v/>
      </c>
    </row>
    <row r="3104" spans="1:10" x14ac:dyDescent="0.25">
      <c r="A3104" t="s">
        <v>653</v>
      </c>
      <c r="B3104" t="str">
        <f>ADDRESS(ROW('PAYG 1'!$B$9),COLUMN('PAYG 1'!$B$9),4)</f>
        <v>B9</v>
      </c>
      <c r="C3104" t="str">
        <f>ADDRESS(ROW('PAYG 1'!$D$9),COLUMN('PAYG 1'!$D$9),4)</f>
        <v>D9</v>
      </c>
      <c r="D3104" t="b" cm="1">
        <f t="array" aca="1" ref="D3104" ca="1">IF(INDIRECT("'"&amp;A3104&amp;"'!"&amp;B3104)="",FALSE,IF(INDIRECT("'"&amp;A3104&amp;"'!"&amp;B3104)&lt;=INDIRECT("'"&amp;A3104&amp;"'!B$8"),TRUE,FALSE))</f>
        <v>0</v>
      </c>
      <c r="E3104" t="s">
        <v>613</v>
      </c>
      <c r="F3104" t="str">
        <f>INDEX(Lists!I:I,MATCH(Validation!E3104,Lists!G:G,0))</f>
        <v>Error</v>
      </c>
      <c r="G3104" t="str">
        <f>INDEX(Lists!H:H,MATCH(Validation!E3104,Lists!G:G,0))</f>
        <v>Final maturity date must be after the issue date.</v>
      </c>
      <c r="H3104" s="25" t="str">
        <f t="shared" ca="1" si="348"/>
        <v/>
      </c>
      <c r="I3104" s="25" t="str">
        <f t="shared" ca="1" si="349"/>
        <v/>
      </c>
      <c r="J3104" s="26" t="str">
        <f t="shared" ca="1" si="350"/>
        <v/>
      </c>
    </row>
    <row r="3105" spans="1:10" x14ac:dyDescent="0.25">
      <c r="A3105" t="s">
        <v>654</v>
      </c>
      <c r="B3105" t="str">
        <f>ADDRESS(ROW('PAYG 1'!$B$9),COLUMN('PAYG 1'!$B$9),4)</f>
        <v>B9</v>
      </c>
      <c r="C3105" t="str">
        <f>ADDRESS(ROW('PAYG 1'!$D$9),COLUMN('PAYG 1'!$D$9),4)</f>
        <v>D9</v>
      </c>
      <c r="D3105" t="b" cm="1">
        <f t="array" aca="1" ref="D3105" ca="1">IF(INDIRECT("'"&amp;A3105&amp;"'!"&amp;B3105)="",FALSE,IF(INDIRECT("'"&amp;A3105&amp;"'!"&amp;B3105)&lt;=INDIRECT("'"&amp;A3105&amp;"'!B$8"),TRUE,FALSE))</f>
        <v>0</v>
      </c>
      <c r="E3105" t="s">
        <v>613</v>
      </c>
      <c r="F3105" t="str">
        <f>INDEX(Lists!I:I,MATCH(Validation!E3105,Lists!G:G,0))</f>
        <v>Error</v>
      </c>
      <c r="G3105" t="str">
        <f>INDEX(Lists!H:H,MATCH(Validation!E3105,Lists!G:G,0))</f>
        <v>Final maturity date must be after the issue date.</v>
      </c>
      <c r="H3105" s="25" t="str">
        <f t="shared" ca="1" si="348"/>
        <v/>
      </c>
      <c r="I3105" s="25" t="str">
        <f t="shared" ca="1" si="349"/>
        <v/>
      </c>
      <c r="J3105" s="26" t="str">
        <f t="shared" ca="1" si="350"/>
        <v/>
      </c>
    </row>
    <row r="3106" spans="1:10" x14ac:dyDescent="0.25">
      <c r="A3106" t="s">
        <v>655</v>
      </c>
      <c r="B3106" t="str">
        <f>ADDRESS(ROW('PAYG 1'!$B$9),COLUMN('PAYG 1'!$B$9),4)</f>
        <v>B9</v>
      </c>
      <c r="C3106" t="str">
        <f>ADDRESS(ROW('PAYG 1'!$D$9),COLUMN('PAYG 1'!$D$9),4)</f>
        <v>D9</v>
      </c>
      <c r="D3106" t="b" cm="1">
        <f t="array" aca="1" ref="D3106" ca="1">IF(INDIRECT("'"&amp;A3106&amp;"'!"&amp;B3106)="",FALSE,IF(INDIRECT("'"&amp;A3106&amp;"'!"&amp;B3106)&lt;=INDIRECT("'"&amp;A3106&amp;"'!B$8"),TRUE,FALSE))</f>
        <v>0</v>
      </c>
      <c r="E3106" t="s">
        <v>613</v>
      </c>
      <c r="F3106" t="str">
        <f>INDEX(Lists!I:I,MATCH(Validation!E3106,Lists!G:G,0))</f>
        <v>Error</v>
      </c>
      <c r="G3106" t="str">
        <f>INDEX(Lists!H:H,MATCH(Validation!E3106,Lists!G:G,0))</f>
        <v>Final maturity date must be after the issue date.</v>
      </c>
      <c r="H3106" s="25" t="str">
        <f t="shared" ca="1" si="348"/>
        <v/>
      </c>
      <c r="I3106" s="25" t="str">
        <f t="shared" ca="1" si="349"/>
        <v/>
      </c>
      <c r="J3106" s="26" t="str">
        <f t="shared" ca="1" si="350"/>
        <v/>
      </c>
    </row>
    <row r="3107" spans="1:10" x14ac:dyDescent="0.25">
      <c r="A3107" t="s">
        <v>656</v>
      </c>
      <c r="B3107" t="str">
        <f>ADDRESS(ROW('PAYG 1'!$B$9),COLUMN('PAYG 1'!$B$9),4)</f>
        <v>B9</v>
      </c>
      <c r="C3107" t="str">
        <f>ADDRESS(ROW('PAYG 1'!$D$9),COLUMN('PAYG 1'!$D$9),4)</f>
        <v>D9</v>
      </c>
      <c r="D3107" t="b" cm="1">
        <f t="array" aca="1" ref="D3107" ca="1">IF(INDIRECT("'"&amp;A3107&amp;"'!"&amp;B3107)="",FALSE,IF(INDIRECT("'"&amp;A3107&amp;"'!"&amp;B3107)&lt;=INDIRECT("'"&amp;A3107&amp;"'!B$8"),TRUE,FALSE))</f>
        <v>0</v>
      </c>
      <c r="E3107" t="s">
        <v>613</v>
      </c>
      <c r="F3107" t="str">
        <f>INDEX(Lists!I:I,MATCH(Validation!E3107,Lists!G:G,0))</f>
        <v>Error</v>
      </c>
      <c r="G3107" t="str">
        <f>INDEX(Lists!H:H,MATCH(Validation!E3107,Lists!G:G,0))</f>
        <v>Final maturity date must be after the issue date.</v>
      </c>
      <c r="H3107" s="25" t="str">
        <f t="shared" ca="1" si="348"/>
        <v/>
      </c>
      <c r="I3107" s="25" t="str">
        <f t="shared" ca="1" si="349"/>
        <v/>
      </c>
      <c r="J3107" s="26" t="str">
        <f t="shared" ca="1" si="350"/>
        <v/>
      </c>
    </row>
    <row r="3108" spans="1:10" x14ac:dyDescent="0.25">
      <c r="A3108" t="s">
        <v>657</v>
      </c>
      <c r="B3108" t="str">
        <f>ADDRESS(ROW('PAYG 1'!$B$9),COLUMN('PAYG 1'!$B$9),4)</f>
        <v>B9</v>
      </c>
      <c r="C3108" t="str">
        <f>ADDRESS(ROW('PAYG 1'!$D$9),COLUMN('PAYG 1'!$D$9),4)</f>
        <v>D9</v>
      </c>
      <c r="D3108" t="b" cm="1">
        <f t="array" aca="1" ref="D3108" ca="1">IF(INDIRECT("'"&amp;A3108&amp;"'!"&amp;B3108)="",FALSE,IF(INDIRECT("'"&amp;A3108&amp;"'!"&amp;B3108)&lt;=INDIRECT("'"&amp;A3108&amp;"'!B$8"),TRUE,FALSE))</f>
        <v>0</v>
      </c>
      <c r="E3108" t="s">
        <v>613</v>
      </c>
      <c r="F3108" t="str">
        <f>INDEX(Lists!I:I,MATCH(Validation!E3108,Lists!G:G,0))</f>
        <v>Error</v>
      </c>
      <c r="G3108" t="str">
        <f>INDEX(Lists!H:H,MATCH(Validation!E3108,Lists!G:G,0))</f>
        <v>Final maturity date must be after the issue date.</v>
      </c>
      <c r="H3108" s="25" t="str">
        <f t="shared" ca="1" si="348"/>
        <v/>
      </c>
      <c r="I3108" s="25" t="str">
        <f t="shared" ca="1" si="349"/>
        <v/>
      </c>
      <c r="J3108" s="26" t="str">
        <f t="shared" ca="1" si="350"/>
        <v/>
      </c>
    </row>
    <row r="3109" spans="1:10" x14ac:dyDescent="0.25">
      <c r="A3109" t="s">
        <v>658</v>
      </c>
      <c r="B3109" t="str">
        <f>ADDRESS(ROW('PAYG 1'!$B$9),COLUMN('PAYG 1'!$B$9),4)</f>
        <v>B9</v>
      </c>
      <c r="C3109" t="str">
        <f>ADDRESS(ROW('PAYG 1'!$D$9),COLUMN('PAYG 1'!$D$9),4)</f>
        <v>D9</v>
      </c>
      <c r="D3109" t="b" cm="1">
        <f t="array" aca="1" ref="D3109" ca="1">IF(INDIRECT("'"&amp;A3109&amp;"'!"&amp;B3109)="",FALSE,IF(INDIRECT("'"&amp;A3109&amp;"'!"&amp;B3109)&lt;=INDIRECT("'"&amp;A3109&amp;"'!B$8"),TRUE,FALSE))</f>
        <v>0</v>
      </c>
      <c r="E3109" t="s">
        <v>613</v>
      </c>
      <c r="F3109" t="str">
        <f>INDEX(Lists!I:I,MATCH(Validation!E3109,Lists!G:G,0))</f>
        <v>Error</v>
      </c>
      <c r="G3109" t="str">
        <f>INDEX(Lists!H:H,MATCH(Validation!E3109,Lists!G:G,0))</f>
        <v>Final maturity date must be after the issue date.</v>
      </c>
      <c r="H3109" s="25" t="str">
        <f t="shared" ref="H3109:H3172" ca="1" si="351">IFERROR(IF(OR(NOT(D3109),F3109&lt;&gt;"Error"),"",A3109&amp;CELL("address",INDIRECT(B3109))),"")</f>
        <v/>
      </c>
      <c r="I3109" s="25" t="str">
        <f t="shared" ref="I3109:I3172" ca="1" si="352">IFERROR(IF(NOT(D3109),"",A3109&amp;CELL("address",INDIRECT(C3109))),"")</f>
        <v/>
      </c>
      <c r="J3109" s="26" t="str">
        <f t="shared" ref="J3109:J3172" ca="1" si="353">IFERROR(IF(NOT(D3109),"",A3109),"")</f>
        <v/>
      </c>
    </row>
    <row r="3110" spans="1:10" x14ac:dyDescent="0.25">
      <c r="A3110" t="s">
        <v>659</v>
      </c>
      <c r="B3110" t="str">
        <f>ADDRESS(ROW('PAYG 1'!$B$9),COLUMN('PAYG 1'!$B$9),4)</f>
        <v>B9</v>
      </c>
      <c r="C3110" t="str">
        <f>ADDRESS(ROW('PAYG 1'!$D$9),COLUMN('PAYG 1'!$D$9),4)</f>
        <v>D9</v>
      </c>
      <c r="D3110" t="b" cm="1">
        <f t="array" aca="1" ref="D3110" ca="1">IF(INDIRECT("'"&amp;A3110&amp;"'!"&amp;B3110)="",FALSE,IF(INDIRECT("'"&amp;A3110&amp;"'!"&amp;B3110)&lt;=INDIRECT("'"&amp;A3110&amp;"'!B$8"),TRUE,FALSE))</f>
        <v>0</v>
      </c>
      <c r="E3110" t="s">
        <v>613</v>
      </c>
      <c r="F3110" t="str">
        <f>INDEX(Lists!I:I,MATCH(Validation!E3110,Lists!G:G,0))</f>
        <v>Error</v>
      </c>
      <c r="G3110" t="str">
        <f>INDEX(Lists!H:H,MATCH(Validation!E3110,Lists!G:G,0))</f>
        <v>Final maturity date must be after the issue date.</v>
      </c>
      <c r="H3110" s="25" t="str">
        <f t="shared" ca="1" si="351"/>
        <v/>
      </c>
      <c r="I3110" s="25" t="str">
        <f t="shared" ca="1" si="352"/>
        <v/>
      </c>
      <c r="J3110" s="26" t="str">
        <f t="shared" ca="1" si="353"/>
        <v/>
      </c>
    </row>
    <row r="3111" spans="1:10" x14ac:dyDescent="0.25">
      <c r="A3111" t="s">
        <v>660</v>
      </c>
      <c r="B3111" t="str">
        <f>ADDRESS(ROW('PAYG 1'!$B$9),COLUMN('PAYG 1'!$B$9),4)</f>
        <v>B9</v>
      </c>
      <c r="C3111" t="str">
        <f>ADDRESS(ROW('PAYG 1'!$D$9),COLUMN('PAYG 1'!$D$9),4)</f>
        <v>D9</v>
      </c>
      <c r="D3111" t="b" cm="1">
        <f t="array" aca="1" ref="D3111" ca="1">IF(INDIRECT("'"&amp;A3111&amp;"'!"&amp;B3111)="",FALSE,IF(INDIRECT("'"&amp;A3111&amp;"'!"&amp;B3111)&lt;=INDIRECT("'"&amp;A3111&amp;"'!B$8"),TRUE,FALSE))</f>
        <v>0</v>
      </c>
      <c r="E3111" t="s">
        <v>613</v>
      </c>
      <c r="F3111" t="str">
        <f>INDEX(Lists!I:I,MATCH(Validation!E3111,Lists!G:G,0))</f>
        <v>Error</v>
      </c>
      <c r="G3111" t="str">
        <f>INDEX(Lists!H:H,MATCH(Validation!E3111,Lists!G:G,0))</f>
        <v>Final maturity date must be after the issue date.</v>
      </c>
      <c r="H3111" s="25" t="str">
        <f t="shared" ca="1" si="351"/>
        <v/>
      </c>
      <c r="I3111" s="25" t="str">
        <f t="shared" ca="1" si="352"/>
        <v/>
      </c>
      <c r="J3111" s="26" t="str">
        <f t="shared" ca="1" si="353"/>
        <v/>
      </c>
    </row>
    <row r="3112" spans="1:10" x14ac:dyDescent="0.25">
      <c r="A3112" t="s">
        <v>661</v>
      </c>
      <c r="B3112" t="str">
        <f>ADDRESS(ROW('PAYG 1'!$B$9),COLUMN('PAYG 1'!$B$9),4)</f>
        <v>B9</v>
      </c>
      <c r="C3112" t="str">
        <f>ADDRESS(ROW('PAYG 1'!$D$9),COLUMN('PAYG 1'!$D$9),4)</f>
        <v>D9</v>
      </c>
      <c r="D3112" t="b" cm="1">
        <f t="array" aca="1" ref="D3112" ca="1">IF(INDIRECT("'"&amp;A3112&amp;"'!"&amp;B3112)="",FALSE,IF(INDIRECT("'"&amp;A3112&amp;"'!"&amp;B3112)&lt;=INDIRECT("'"&amp;A3112&amp;"'!B$8"),TRUE,FALSE))</f>
        <v>0</v>
      </c>
      <c r="E3112" t="s">
        <v>613</v>
      </c>
      <c r="F3112" t="str">
        <f>INDEX(Lists!I:I,MATCH(Validation!E3112,Lists!G:G,0))</f>
        <v>Error</v>
      </c>
      <c r="G3112" t="str">
        <f>INDEX(Lists!H:H,MATCH(Validation!E3112,Lists!G:G,0))</f>
        <v>Final maturity date must be after the issue date.</v>
      </c>
      <c r="H3112" s="25" t="str">
        <f t="shared" ca="1" si="351"/>
        <v/>
      </c>
      <c r="I3112" s="25" t="str">
        <f t="shared" ca="1" si="352"/>
        <v/>
      </c>
      <c r="J3112" s="26" t="str">
        <f t="shared" ca="1" si="353"/>
        <v/>
      </c>
    </row>
    <row r="3113" spans="1:10" x14ac:dyDescent="0.25">
      <c r="A3113" t="s">
        <v>662</v>
      </c>
      <c r="B3113" t="str">
        <f>ADDRESS(ROW('PAYG 1'!$B$9),COLUMN('PAYG 1'!$B$9),4)</f>
        <v>B9</v>
      </c>
      <c r="C3113" t="str">
        <f>ADDRESS(ROW('PAYG 1'!$D$9),COLUMN('PAYG 1'!$D$9),4)</f>
        <v>D9</v>
      </c>
      <c r="D3113" t="b" cm="1">
        <f t="array" aca="1" ref="D3113" ca="1">IF(INDIRECT("'"&amp;A3113&amp;"'!"&amp;B3113)="",FALSE,IF(INDIRECT("'"&amp;A3113&amp;"'!"&amp;B3113)&lt;=INDIRECT("'"&amp;A3113&amp;"'!B$8"),TRUE,FALSE))</f>
        <v>0</v>
      </c>
      <c r="E3113" t="s">
        <v>613</v>
      </c>
      <c r="F3113" t="str">
        <f>INDEX(Lists!I:I,MATCH(Validation!E3113,Lists!G:G,0))</f>
        <v>Error</v>
      </c>
      <c r="G3113" t="str">
        <f>INDEX(Lists!H:H,MATCH(Validation!E3113,Lists!G:G,0))</f>
        <v>Final maturity date must be after the issue date.</v>
      </c>
      <c r="H3113" s="25" t="str">
        <f t="shared" ca="1" si="351"/>
        <v/>
      </c>
      <c r="I3113" s="25" t="str">
        <f t="shared" ca="1" si="352"/>
        <v/>
      </c>
      <c r="J3113" s="26" t="str">
        <f t="shared" ca="1" si="353"/>
        <v/>
      </c>
    </row>
    <row r="3114" spans="1:10" x14ac:dyDescent="0.25">
      <c r="A3114" t="s">
        <v>663</v>
      </c>
      <c r="B3114" t="str">
        <f>ADDRESS(ROW('PAYG 1'!$B$9),COLUMN('PAYG 1'!$B$9),4)</f>
        <v>B9</v>
      </c>
      <c r="C3114" t="str">
        <f>ADDRESS(ROW('PAYG 1'!$D$9),COLUMN('PAYG 1'!$D$9),4)</f>
        <v>D9</v>
      </c>
      <c r="D3114" t="b" cm="1">
        <f t="array" aca="1" ref="D3114" ca="1">IF(INDIRECT("'"&amp;A3114&amp;"'!"&amp;B3114)="",FALSE,IF(INDIRECT("'"&amp;A3114&amp;"'!"&amp;B3114)&lt;=INDIRECT("'"&amp;A3114&amp;"'!B$8"),TRUE,FALSE))</f>
        <v>0</v>
      </c>
      <c r="E3114" t="s">
        <v>613</v>
      </c>
      <c r="F3114" t="str">
        <f>INDEX(Lists!I:I,MATCH(Validation!E3114,Lists!G:G,0))</f>
        <v>Error</v>
      </c>
      <c r="G3114" t="str">
        <f>INDEX(Lists!H:H,MATCH(Validation!E3114,Lists!G:G,0))</f>
        <v>Final maturity date must be after the issue date.</v>
      </c>
      <c r="H3114" s="25" t="str">
        <f t="shared" ca="1" si="351"/>
        <v/>
      </c>
      <c r="I3114" s="25" t="str">
        <f t="shared" ca="1" si="352"/>
        <v/>
      </c>
      <c r="J3114" s="26" t="str">
        <f t="shared" ca="1" si="353"/>
        <v/>
      </c>
    </row>
    <row r="3115" spans="1:10" x14ac:dyDescent="0.25">
      <c r="A3115" t="s">
        <v>664</v>
      </c>
      <c r="B3115" t="str">
        <f>ADDRESS(ROW('PAYG 1'!$B$9),COLUMN('PAYG 1'!$B$9),4)</f>
        <v>B9</v>
      </c>
      <c r="C3115" t="str">
        <f>ADDRESS(ROW('PAYG 1'!$D$9),COLUMN('PAYG 1'!$D$9),4)</f>
        <v>D9</v>
      </c>
      <c r="D3115" t="b" cm="1">
        <f t="array" aca="1" ref="D3115" ca="1">IF(INDIRECT("'"&amp;A3115&amp;"'!"&amp;B3115)="",FALSE,IF(INDIRECT("'"&amp;A3115&amp;"'!"&amp;B3115)&lt;=INDIRECT("'"&amp;A3115&amp;"'!B$8"),TRUE,FALSE))</f>
        <v>0</v>
      </c>
      <c r="E3115" t="s">
        <v>613</v>
      </c>
      <c r="F3115" t="str">
        <f>INDEX(Lists!I:I,MATCH(Validation!E3115,Lists!G:G,0))</f>
        <v>Error</v>
      </c>
      <c r="G3115" t="str">
        <f>INDEX(Lists!H:H,MATCH(Validation!E3115,Lists!G:G,0))</f>
        <v>Final maturity date must be after the issue date.</v>
      </c>
      <c r="H3115" s="25" t="str">
        <f t="shared" ca="1" si="351"/>
        <v/>
      </c>
      <c r="I3115" s="25" t="str">
        <f t="shared" ca="1" si="352"/>
        <v/>
      </c>
      <c r="J3115" s="26" t="str">
        <f t="shared" ca="1" si="353"/>
        <v/>
      </c>
    </row>
    <row r="3116" spans="1:10" x14ac:dyDescent="0.25">
      <c r="A3116" t="s">
        <v>203</v>
      </c>
      <c r="B3116" t="str">
        <f>ADDRESS(ROW('PAYG 1'!$B$9),COLUMN('PAYG 1'!$B$9),4)</f>
        <v>B9</v>
      </c>
      <c r="C3116" t="str">
        <f>ADDRESS(ROW('PAYG 1'!$D$9),COLUMN('PAYG 1'!$D$9),4)</f>
        <v>D9</v>
      </c>
      <c r="D3116" t="b" cm="1">
        <f t="array" aca="1" ref="D3116" ca="1">IF(INDIRECT("'"&amp;A3116&amp;"'!"&amp;B3116)="",FALSE,IF(YEAR(INDIRECT("'"&amp;A3116&amp;"'!"&amp;B3116))&gt;YEAR(INDIRECT("'"&amp;A3116&amp;"'!B$8"))+30,TRUE,FALSE))</f>
        <v>0</v>
      </c>
      <c r="E3116" t="s">
        <v>614</v>
      </c>
      <c r="F3116" t="str">
        <f>INDEX(Lists!I:I,MATCH(Validation!E3116,Lists!G:G,0))</f>
        <v>Alert</v>
      </c>
      <c r="G3116" t="str">
        <f>INDEX(Lists!H:H,MATCH(Validation!E3116,Lists!G:G,0))</f>
        <v>Final maturity date exceeds a typical length. Correct entry or explain in comments box.</v>
      </c>
      <c r="H3116" s="25" t="str">
        <f t="shared" ca="1" si="351"/>
        <v/>
      </c>
      <c r="I3116" s="25" t="str">
        <f t="shared" ca="1" si="352"/>
        <v/>
      </c>
      <c r="J3116" s="26" t="str">
        <f t="shared" ca="1" si="353"/>
        <v/>
      </c>
    </row>
    <row r="3117" spans="1:10" x14ac:dyDescent="0.25">
      <c r="A3117" t="s">
        <v>651</v>
      </c>
      <c r="B3117" t="str">
        <f>ADDRESS(ROW('PAYG 1'!$B$9),COLUMN('PAYG 1'!$B$9),4)</f>
        <v>B9</v>
      </c>
      <c r="C3117" t="str">
        <f>ADDRESS(ROW('PAYG 1'!$D$9),COLUMN('PAYG 1'!$D$9),4)</f>
        <v>D9</v>
      </c>
      <c r="D3117" t="b" cm="1">
        <f t="array" aca="1" ref="D3117" ca="1">IF(INDIRECT("'"&amp;A3117&amp;"'!"&amp;B3117)="",FALSE,IF(YEAR(INDIRECT("'"&amp;A3117&amp;"'!"&amp;B3117))&gt;YEAR(INDIRECT("'"&amp;A3117&amp;"'!B$8"))+30,TRUE,FALSE))</f>
        <v>0</v>
      </c>
      <c r="E3117" t="s">
        <v>614</v>
      </c>
      <c r="F3117" t="str">
        <f>INDEX(Lists!I:I,MATCH(Validation!E3117,Lists!G:G,0))</f>
        <v>Alert</v>
      </c>
      <c r="G3117" t="str">
        <f>INDEX(Lists!H:H,MATCH(Validation!E3117,Lists!G:G,0))</f>
        <v>Final maturity date exceeds a typical length. Correct entry or explain in comments box.</v>
      </c>
      <c r="H3117" s="25" t="str">
        <f t="shared" ca="1" si="351"/>
        <v/>
      </c>
      <c r="I3117" s="25" t="str">
        <f t="shared" ca="1" si="352"/>
        <v/>
      </c>
      <c r="J3117" s="26" t="str">
        <f t="shared" ca="1" si="353"/>
        <v/>
      </c>
    </row>
    <row r="3118" spans="1:10" x14ac:dyDescent="0.25">
      <c r="A3118" t="s">
        <v>652</v>
      </c>
      <c r="B3118" t="str">
        <f>ADDRESS(ROW('PAYG 1'!$B$9),COLUMN('PAYG 1'!$B$9),4)</f>
        <v>B9</v>
      </c>
      <c r="C3118" t="str">
        <f>ADDRESS(ROW('PAYG 1'!$D$9),COLUMN('PAYG 1'!$D$9),4)</f>
        <v>D9</v>
      </c>
      <c r="D3118" t="b" cm="1">
        <f t="array" aca="1" ref="D3118" ca="1">IF(INDIRECT("'"&amp;A3118&amp;"'!"&amp;B3118)="",FALSE,IF(YEAR(INDIRECT("'"&amp;A3118&amp;"'!"&amp;B3118))&gt;YEAR(INDIRECT("'"&amp;A3118&amp;"'!B$8"))+30,TRUE,FALSE))</f>
        <v>0</v>
      </c>
      <c r="E3118" t="s">
        <v>614</v>
      </c>
      <c r="F3118" t="str">
        <f>INDEX(Lists!I:I,MATCH(Validation!E3118,Lists!G:G,0))</f>
        <v>Alert</v>
      </c>
      <c r="G3118" t="str">
        <f>INDEX(Lists!H:H,MATCH(Validation!E3118,Lists!G:G,0))</f>
        <v>Final maturity date exceeds a typical length. Correct entry or explain in comments box.</v>
      </c>
      <c r="H3118" s="25" t="str">
        <f t="shared" ca="1" si="351"/>
        <v/>
      </c>
      <c r="I3118" s="25" t="str">
        <f t="shared" ca="1" si="352"/>
        <v/>
      </c>
      <c r="J3118" s="26" t="str">
        <f t="shared" ca="1" si="353"/>
        <v/>
      </c>
    </row>
    <row r="3119" spans="1:10" x14ac:dyDescent="0.25">
      <c r="A3119" t="s">
        <v>653</v>
      </c>
      <c r="B3119" t="str">
        <f>ADDRESS(ROW('PAYG 1'!$B$9),COLUMN('PAYG 1'!$B$9),4)</f>
        <v>B9</v>
      </c>
      <c r="C3119" t="str">
        <f>ADDRESS(ROW('PAYG 1'!$D$9),COLUMN('PAYG 1'!$D$9),4)</f>
        <v>D9</v>
      </c>
      <c r="D3119" t="b" cm="1">
        <f t="array" aca="1" ref="D3119" ca="1">IF(INDIRECT("'"&amp;A3119&amp;"'!"&amp;B3119)="",FALSE,IF(YEAR(INDIRECT("'"&amp;A3119&amp;"'!"&amp;B3119))&gt;YEAR(INDIRECT("'"&amp;A3119&amp;"'!B$8"))+30,TRUE,FALSE))</f>
        <v>0</v>
      </c>
      <c r="E3119" t="s">
        <v>614</v>
      </c>
      <c r="F3119" t="str">
        <f>INDEX(Lists!I:I,MATCH(Validation!E3119,Lists!G:G,0))</f>
        <v>Alert</v>
      </c>
      <c r="G3119" t="str">
        <f>INDEX(Lists!H:H,MATCH(Validation!E3119,Lists!G:G,0))</f>
        <v>Final maturity date exceeds a typical length. Correct entry or explain in comments box.</v>
      </c>
      <c r="H3119" s="25" t="str">
        <f t="shared" ca="1" si="351"/>
        <v/>
      </c>
      <c r="I3119" s="25" t="str">
        <f t="shared" ca="1" si="352"/>
        <v/>
      </c>
      <c r="J3119" s="26" t="str">
        <f t="shared" ca="1" si="353"/>
        <v/>
      </c>
    </row>
    <row r="3120" spans="1:10" x14ac:dyDescent="0.25">
      <c r="A3120" t="s">
        <v>654</v>
      </c>
      <c r="B3120" t="str">
        <f>ADDRESS(ROW('PAYG 1'!$B$9),COLUMN('PAYG 1'!$B$9),4)</f>
        <v>B9</v>
      </c>
      <c r="C3120" t="str">
        <f>ADDRESS(ROW('PAYG 1'!$D$9),COLUMN('PAYG 1'!$D$9),4)</f>
        <v>D9</v>
      </c>
      <c r="D3120" t="b" cm="1">
        <f t="array" aca="1" ref="D3120" ca="1">IF(INDIRECT("'"&amp;A3120&amp;"'!"&amp;B3120)="",FALSE,IF(YEAR(INDIRECT("'"&amp;A3120&amp;"'!"&amp;B3120))&gt;YEAR(INDIRECT("'"&amp;A3120&amp;"'!B$8"))+30,TRUE,FALSE))</f>
        <v>0</v>
      </c>
      <c r="E3120" t="s">
        <v>614</v>
      </c>
      <c r="F3120" t="str">
        <f>INDEX(Lists!I:I,MATCH(Validation!E3120,Lists!G:G,0))</f>
        <v>Alert</v>
      </c>
      <c r="G3120" t="str">
        <f>INDEX(Lists!H:H,MATCH(Validation!E3120,Lists!G:G,0))</f>
        <v>Final maturity date exceeds a typical length. Correct entry or explain in comments box.</v>
      </c>
      <c r="H3120" s="25" t="str">
        <f t="shared" ca="1" si="351"/>
        <v/>
      </c>
      <c r="I3120" s="25" t="str">
        <f t="shared" ca="1" si="352"/>
        <v/>
      </c>
      <c r="J3120" s="26" t="str">
        <f t="shared" ca="1" si="353"/>
        <v/>
      </c>
    </row>
    <row r="3121" spans="1:10" x14ac:dyDescent="0.25">
      <c r="A3121" t="s">
        <v>655</v>
      </c>
      <c r="B3121" t="str">
        <f>ADDRESS(ROW('PAYG 1'!$B$9),COLUMN('PAYG 1'!$B$9),4)</f>
        <v>B9</v>
      </c>
      <c r="C3121" t="str">
        <f>ADDRESS(ROW('PAYG 1'!$D$9),COLUMN('PAYG 1'!$D$9),4)</f>
        <v>D9</v>
      </c>
      <c r="D3121" t="b" cm="1">
        <f t="array" aca="1" ref="D3121" ca="1">IF(INDIRECT("'"&amp;A3121&amp;"'!"&amp;B3121)="",FALSE,IF(YEAR(INDIRECT("'"&amp;A3121&amp;"'!"&amp;B3121))&gt;YEAR(INDIRECT("'"&amp;A3121&amp;"'!B$8"))+30,TRUE,FALSE))</f>
        <v>0</v>
      </c>
      <c r="E3121" t="s">
        <v>614</v>
      </c>
      <c r="F3121" t="str">
        <f>INDEX(Lists!I:I,MATCH(Validation!E3121,Lists!G:G,0))</f>
        <v>Alert</v>
      </c>
      <c r="G3121" t="str">
        <f>INDEX(Lists!H:H,MATCH(Validation!E3121,Lists!G:G,0))</f>
        <v>Final maturity date exceeds a typical length. Correct entry or explain in comments box.</v>
      </c>
      <c r="H3121" s="25" t="str">
        <f t="shared" ca="1" si="351"/>
        <v/>
      </c>
      <c r="I3121" s="25" t="str">
        <f t="shared" ca="1" si="352"/>
        <v/>
      </c>
      <c r="J3121" s="26" t="str">
        <f t="shared" ca="1" si="353"/>
        <v/>
      </c>
    </row>
    <row r="3122" spans="1:10" x14ac:dyDescent="0.25">
      <c r="A3122" t="s">
        <v>656</v>
      </c>
      <c r="B3122" t="str">
        <f>ADDRESS(ROW('PAYG 1'!$B$9),COLUMN('PAYG 1'!$B$9),4)</f>
        <v>B9</v>
      </c>
      <c r="C3122" t="str">
        <f>ADDRESS(ROW('PAYG 1'!$D$9),COLUMN('PAYG 1'!$D$9),4)</f>
        <v>D9</v>
      </c>
      <c r="D3122" t="b" cm="1">
        <f t="array" aca="1" ref="D3122" ca="1">IF(INDIRECT("'"&amp;A3122&amp;"'!"&amp;B3122)="",FALSE,IF(YEAR(INDIRECT("'"&amp;A3122&amp;"'!"&amp;B3122))&gt;YEAR(INDIRECT("'"&amp;A3122&amp;"'!B$8"))+30,TRUE,FALSE))</f>
        <v>0</v>
      </c>
      <c r="E3122" t="s">
        <v>614</v>
      </c>
      <c r="F3122" t="str">
        <f>INDEX(Lists!I:I,MATCH(Validation!E3122,Lists!G:G,0))</f>
        <v>Alert</v>
      </c>
      <c r="G3122" t="str">
        <f>INDEX(Lists!H:H,MATCH(Validation!E3122,Lists!G:G,0))</f>
        <v>Final maturity date exceeds a typical length. Correct entry or explain in comments box.</v>
      </c>
      <c r="H3122" s="25" t="str">
        <f t="shared" ca="1" si="351"/>
        <v/>
      </c>
      <c r="I3122" s="25" t="str">
        <f t="shared" ca="1" si="352"/>
        <v/>
      </c>
      <c r="J3122" s="26" t="str">
        <f t="shared" ca="1" si="353"/>
        <v/>
      </c>
    </row>
    <row r="3123" spans="1:10" x14ac:dyDescent="0.25">
      <c r="A3123" t="s">
        <v>657</v>
      </c>
      <c r="B3123" t="str">
        <f>ADDRESS(ROW('PAYG 1'!$B$9),COLUMN('PAYG 1'!$B$9),4)</f>
        <v>B9</v>
      </c>
      <c r="C3123" t="str">
        <f>ADDRESS(ROW('PAYG 1'!$D$9),COLUMN('PAYG 1'!$D$9),4)</f>
        <v>D9</v>
      </c>
      <c r="D3123" t="b" cm="1">
        <f t="array" aca="1" ref="D3123" ca="1">IF(INDIRECT("'"&amp;A3123&amp;"'!"&amp;B3123)="",FALSE,IF(YEAR(INDIRECT("'"&amp;A3123&amp;"'!"&amp;B3123))&gt;YEAR(INDIRECT("'"&amp;A3123&amp;"'!B$8"))+30,TRUE,FALSE))</f>
        <v>0</v>
      </c>
      <c r="E3123" t="s">
        <v>614</v>
      </c>
      <c r="F3123" t="str">
        <f>INDEX(Lists!I:I,MATCH(Validation!E3123,Lists!G:G,0))</f>
        <v>Alert</v>
      </c>
      <c r="G3123" t="str">
        <f>INDEX(Lists!H:H,MATCH(Validation!E3123,Lists!G:G,0))</f>
        <v>Final maturity date exceeds a typical length. Correct entry or explain in comments box.</v>
      </c>
      <c r="H3123" s="25" t="str">
        <f t="shared" ca="1" si="351"/>
        <v/>
      </c>
      <c r="I3123" s="25" t="str">
        <f t="shared" ca="1" si="352"/>
        <v/>
      </c>
      <c r="J3123" s="26" t="str">
        <f t="shared" ca="1" si="353"/>
        <v/>
      </c>
    </row>
    <row r="3124" spans="1:10" x14ac:dyDescent="0.25">
      <c r="A3124" t="s">
        <v>658</v>
      </c>
      <c r="B3124" t="str">
        <f>ADDRESS(ROW('PAYG 1'!$B$9),COLUMN('PAYG 1'!$B$9),4)</f>
        <v>B9</v>
      </c>
      <c r="C3124" t="str">
        <f>ADDRESS(ROW('PAYG 1'!$D$9),COLUMN('PAYG 1'!$D$9),4)</f>
        <v>D9</v>
      </c>
      <c r="D3124" t="b" cm="1">
        <f t="array" aca="1" ref="D3124" ca="1">IF(INDIRECT("'"&amp;A3124&amp;"'!"&amp;B3124)="",FALSE,IF(YEAR(INDIRECT("'"&amp;A3124&amp;"'!"&amp;B3124))&gt;YEAR(INDIRECT("'"&amp;A3124&amp;"'!B$8"))+30,TRUE,FALSE))</f>
        <v>0</v>
      </c>
      <c r="E3124" t="s">
        <v>614</v>
      </c>
      <c r="F3124" t="str">
        <f>INDEX(Lists!I:I,MATCH(Validation!E3124,Lists!G:G,0))</f>
        <v>Alert</v>
      </c>
      <c r="G3124" t="str">
        <f>INDEX(Lists!H:H,MATCH(Validation!E3124,Lists!G:G,0))</f>
        <v>Final maturity date exceeds a typical length. Correct entry or explain in comments box.</v>
      </c>
      <c r="H3124" s="25" t="str">
        <f t="shared" ca="1" si="351"/>
        <v/>
      </c>
      <c r="I3124" s="25" t="str">
        <f t="shared" ca="1" si="352"/>
        <v/>
      </c>
      <c r="J3124" s="26" t="str">
        <f t="shared" ca="1" si="353"/>
        <v/>
      </c>
    </row>
    <row r="3125" spans="1:10" x14ac:dyDescent="0.25">
      <c r="A3125" t="s">
        <v>659</v>
      </c>
      <c r="B3125" t="str">
        <f>ADDRESS(ROW('PAYG 1'!$B$9),COLUMN('PAYG 1'!$B$9),4)</f>
        <v>B9</v>
      </c>
      <c r="C3125" t="str">
        <f>ADDRESS(ROW('PAYG 1'!$D$9),COLUMN('PAYG 1'!$D$9),4)</f>
        <v>D9</v>
      </c>
      <c r="D3125" t="b" cm="1">
        <f t="array" aca="1" ref="D3125" ca="1">IF(INDIRECT("'"&amp;A3125&amp;"'!"&amp;B3125)="",FALSE,IF(YEAR(INDIRECT("'"&amp;A3125&amp;"'!"&amp;B3125))&gt;YEAR(INDIRECT("'"&amp;A3125&amp;"'!B$8"))+30,TRUE,FALSE))</f>
        <v>0</v>
      </c>
      <c r="E3125" t="s">
        <v>614</v>
      </c>
      <c r="F3125" t="str">
        <f>INDEX(Lists!I:I,MATCH(Validation!E3125,Lists!G:G,0))</f>
        <v>Alert</v>
      </c>
      <c r="G3125" t="str">
        <f>INDEX(Lists!H:H,MATCH(Validation!E3125,Lists!G:G,0))</f>
        <v>Final maturity date exceeds a typical length. Correct entry or explain in comments box.</v>
      </c>
      <c r="H3125" s="25" t="str">
        <f t="shared" ca="1" si="351"/>
        <v/>
      </c>
      <c r="I3125" s="25" t="str">
        <f t="shared" ca="1" si="352"/>
        <v/>
      </c>
      <c r="J3125" s="26" t="str">
        <f t="shared" ca="1" si="353"/>
        <v/>
      </c>
    </row>
    <row r="3126" spans="1:10" x14ac:dyDescent="0.25">
      <c r="A3126" t="s">
        <v>660</v>
      </c>
      <c r="B3126" t="str">
        <f>ADDRESS(ROW('PAYG 1'!$B$9),COLUMN('PAYG 1'!$B$9),4)</f>
        <v>B9</v>
      </c>
      <c r="C3126" t="str">
        <f>ADDRESS(ROW('PAYG 1'!$D$9),COLUMN('PAYG 1'!$D$9),4)</f>
        <v>D9</v>
      </c>
      <c r="D3126" t="b" cm="1">
        <f t="array" aca="1" ref="D3126" ca="1">IF(INDIRECT("'"&amp;A3126&amp;"'!"&amp;B3126)="",FALSE,IF(YEAR(INDIRECT("'"&amp;A3126&amp;"'!"&amp;B3126))&gt;YEAR(INDIRECT("'"&amp;A3126&amp;"'!B$8"))+30,TRUE,FALSE))</f>
        <v>0</v>
      </c>
      <c r="E3126" t="s">
        <v>614</v>
      </c>
      <c r="F3126" t="str">
        <f>INDEX(Lists!I:I,MATCH(Validation!E3126,Lists!G:G,0))</f>
        <v>Alert</v>
      </c>
      <c r="G3126" t="str">
        <f>INDEX(Lists!H:H,MATCH(Validation!E3126,Lists!G:G,0))</f>
        <v>Final maturity date exceeds a typical length. Correct entry or explain in comments box.</v>
      </c>
      <c r="H3126" s="25" t="str">
        <f t="shared" ca="1" si="351"/>
        <v/>
      </c>
      <c r="I3126" s="25" t="str">
        <f t="shared" ca="1" si="352"/>
        <v/>
      </c>
      <c r="J3126" s="26" t="str">
        <f t="shared" ca="1" si="353"/>
        <v/>
      </c>
    </row>
    <row r="3127" spans="1:10" x14ac:dyDescent="0.25">
      <c r="A3127" t="s">
        <v>661</v>
      </c>
      <c r="B3127" t="str">
        <f>ADDRESS(ROW('PAYG 1'!$B$9),COLUMN('PAYG 1'!$B$9),4)</f>
        <v>B9</v>
      </c>
      <c r="C3127" t="str">
        <f>ADDRESS(ROW('PAYG 1'!$D$9),COLUMN('PAYG 1'!$D$9),4)</f>
        <v>D9</v>
      </c>
      <c r="D3127" t="b" cm="1">
        <f t="array" aca="1" ref="D3127" ca="1">IF(INDIRECT("'"&amp;A3127&amp;"'!"&amp;B3127)="",FALSE,IF(YEAR(INDIRECT("'"&amp;A3127&amp;"'!"&amp;B3127))&gt;YEAR(INDIRECT("'"&amp;A3127&amp;"'!B$8"))+30,TRUE,FALSE))</f>
        <v>0</v>
      </c>
      <c r="E3127" t="s">
        <v>614</v>
      </c>
      <c r="F3127" t="str">
        <f>INDEX(Lists!I:I,MATCH(Validation!E3127,Lists!G:G,0))</f>
        <v>Alert</v>
      </c>
      <c r="G3127" t="str">
        <f>INDEX(Lists!H:H,MATCH(Validation!E3127,Lists!G:G,0))</f>
        <v>Final maturity date exceeds a typical length. Correct entry or explain in comments box.</v>
      </c>
      <c r="H3127" s="25" t="str">
        <f t="shared" ca="1" si="351"/>
        <v/>
      </c>
      <c r="I3127" s="25" t="str">
        <f t="shared" ca="1" si="352"/>
        <v/>
      </c>
      <c r="J3127" s="26" t="str">
        <f t="shared" ca="1" si="353"/>
        <v/>
      </c>
    </row>
    <row r="3128" spans="1:10" x14ac:dyDescent="0.25">
      <c r="A3128" t="s">
        <v>662</v>
      </c>
      <c r="B3128" t="str">
        <f>ADDRESS(ROW('PAYG 1'!$B$9),COLUMN('PAYG 1'!$B$9),4)</f>
        <v>B9</v>
      </c>
      <c r="C3128" t="str">
        <f>ADDRESS(ROW('PAYG 1'!$D$9),COLUMN('PAYG 1'!$D$9),4)</f>
        <v>D9</v>
      </c>
      <c r="D3128" t="b" cm="1">
        <f t="array" aca="1" ref="D3128" ca="1">IF(INDIRECT("'"&amp;A3128&amp;"'!"&amp;B3128)="",FALSE,IF(YEAR(INDIRECT("'"&amp;A3128&amp;"'!"&amp;B3128))&gt;YEAR(INDIRECT("'"&amp;A3128&amp;"'!B$8"))+30,TRUE,FALSE))</f>
        <v>0</v>
      </c>
      <c r="E3128" t="s">
        <v>614</v>
      </c>
      <c r="F3128" t="str">
        <f>INDEX(Lists!I:I,MATCH(Validation!E3128,Lists!G:G,0))</f>
        <v>Alert</v>
      </c>
      <c r="G3128" t="str">
        <f>INDEX(Lists!H:H,MATCH(Validation!E3128,Lists!G:G,0))</f>
        <v>Final maturity date exceeds a typical length. Correct entry or explain in comments box.</v>
      </c>
      <c r="H3128" s="25" t="str">
        <f t="shared" ca="1" si="351"/>
        <v/>
      </c>
      <c r="I3128" s="25" t="str">
        <f t="shared" ca="1" si="352"/>
        <v/>
      </c>
      <c r="J3128" s="26" t="str">
        <f t="shared" ca="1" si="353"/>
        <v/>
      </c>
    </row>
    <row r="3129" spans="1:10" x14ac:dyDescent="0.25">
      <c r="A3129" t="s">
        <v>663</v>
      </c>
      <c r="B3129" t="str">
        <f>ADDRESS(ROW('PAYG 1'!$B$9),COLUMN('PAYG 1'!$B$9),4)</f>
        <v>B9</v>
      </c>
      <c r="C3129" t="str">
        <f>ADDRESS(ROW('PAYG 1'!$D$9),COLUMN('PAYG 1'!$D$9),4)</f>
        <v>D9</v>
      </c>
      <c r="D3129" t="b" cm="1">
        <f t="array" aca="1" ref="D3129" ca="1">IF(INDIRECT("'"&amp;A3129&amp;"'!"&amp;B3129)="",FALSE,IF(YEAR(INDIRECT("'"&amp;A3129&amp;"'!"&amp;B3129))&gt;YEAR(INDIRECT("'"&amp;A3129&amp;"'!B$8"))+30,TRUE,FALSE))</f>
        <v>0</v>
      </c>
      <c r="E3129" t="s">
        <v>614</v>
      </c>
      <c r="F3129" t="str">
        <f>INDEX(Lists!I:I,MATCH(Validation!E3129,Lists!G:G,0))</f>
        <v>Alert</v>
      </c>
      <c r="G3129" t="str">
        <f>INDEX(Lists!H:H,MATCH(Validation!E3129,Lists!G:G,0))</f>
        <v>Final maturity date exceeds a typical length. Correct entry or explain in comments box.</v>
      </c>
      <c r="H3129" s="25" t="str">
        <f t="shared" ca="1" si="351"/>
        <v/>
      </c>
      <c r="I3129" s="25" t="str">
        <f t="shared" ca="1" si="352"/>
        <v/>
      </c>
      <c r="J3129" s="26" t="str">
        <f t="shared" ca="1" si="353"/>
        <v/>
      </c>
    </row>
    <row r="3130" spans="1:10" x14ac:dyDescent="0.25">
      <c r="A3130" t="s">
        <v>664</v>
      </c>
      <c r="B3130" t="str">
        <f>ADDRESS(ROW('PAYG 1'!$B$9),COLUMN('PAYG 1'!$B$9),4)</f>
        <v>B9</v>
      </c>
      <c r="C3130" t="str">
        <f>ADDRESS(ROW('PAYG 1'!$D$9),COLUMN('PAYG 1'!$D$9),4)</f>
        <v>D9</v>
      </c>
      <c r="D3130" t="b" cm="1">
        <f t="array" aca="1" ref="D3130" ca="1">IF(INDIRECT("'"&amp;A3130&amp;"'!"&amp;B3130)="",FALSE,IF(YEAR(INDIRECT("'"&amp;A3130&amp;"'!"&amp;B3130))&gt;YEAR(INDIRECT("'"&amp;A3130&amp;"'!B$8"))+30,TRUE,FALSE))</f>
        <v>0</v>
      </c>
      <c r="E3130" t="s">
        <v>614</v>
      </c>
      <c r="F3130" t="str">
        <f>INDEX(Lists!I:I,MATCH(Validation!E3130,Lists!G:G,0))</f>
        <v>Alert</v>
      </c>
      <c r="G3130" t="str">
        <f>INDEX(Lists!H:H,MATCH(Validation!E3130,Lists!G:G,0))</f>
        <v>Final maturity date exceeds a typical length. Correct entry or explain in comments box.</v>
      </c>
      <c r="H3130" s="25" t="str">
        <f t="shared" ca="1" si="351"/>
        <v/>
      </c>
      <c r="I3130" s="25" t="str">
        <f t="shared" ca="1" si="352"/>
        <v/>
      </c>
      <c r="J3130" s="26" t="str">
        <f t="shared" ca="1" si="353"/>
        <v/>
      </c>
    </row>
    <row r="3131" spans="1:10" x14ac:dyDescent="0.25">
      <c r="A3131" t="s">
        <v>203</v>
      </c>
      <c r="B3131" t="str">
        <f>ADDRESS(ROW('PAYG 1'!$B$10),COLUMN('PAYG 1'!$B$10),4)</f>
        <v>B10</v>
      </c>
      <c r="C3131" t="str">
        <f>ADDRESS(ROW('PAYG 1'!$D$10),COLUMN('PAYG 1'!$D$10),4)</f>
        <v>D10</v>
      </c>
      <c r="D3131" t="b" cm="1">
        <f t="array" aca="1" ref="D3131" ca="1">IF(INDIRECT("'"&amp;A3131&amp;"'!"&amp;B3131)="",FALSE,IF(NOT(ISNUMBER(INDIRECT("'"&amp;A3131&amp;"'!"&amp;B3131))),TRUE,FALSE))</f>
        <v>0</v>
      </c>
      <c r="E3131" t="s">
        <v>435</v>
      </c>
      <c r="F3131" t="str">
        <f>INDEX(Lists!I:I,MATCH(Validation!E3131,Lists!G:G,0))</f>
        <v>Error</v>
      </c>
      <c r="G3131" t="str">
        <f>INDEX(Lists!H:H,MATCH(Validation!E3131,Lists!G:G,0))</f>
        <v>Enter an amount only. Do not enter text or spaces.</v>
      </c>
      <c r="H3131" s="25" t="str">
        <f t="shared" ca="1" si="351"/>
        <v/>
      </c>
      <c r="I3131" s="25" t="str">
        <f t="shared" ca="1" si="352"/>
        <v/>
      </c>
      <c r="J3131" s="26" t="str">
        <f t="shared" ca="1" si="353"/>
        <v/>
      </c>
    </row>
    <row r="3132" spans="1:10" x14ac:dyDescent="0.25">
      <c r="A3132" t="s">
        <v>651</v>
      </c>
      <c r="B3132" t="str">
        <f>ADDRESS(ROW('PAYG 1'!$B$10),COLUMN('PAYG 1'!$B$10),4)</f>
        <v>B10</v>
      </c>
      <c r="C3132" t="str">
        <f>ADDRESS(ROW('PAYG 1'!$D$10),COLUMN('PAYG 1'!$D$10),4)</f>
        <v>D10</v>
      </c>
      <c r="D3132" t="b" cm="1">
        <f t="array" aca="1" ref="D3132" ca="1">IF(INDIRECT("'"&amp;A3132&amp;"'!"&amp;B3132)="",FALSE,IF(NOT(ISNUMBER(INDIRECT("'"&amp;A3132&amp;"'!"&amp;B3132))),TRUE,FALSE))</f>
        <v>0</v>
      </c>
      <c r="E3132" t="s">
        <v>435</v>
      </c>
      <c r="F3132" t="str">
        <f>INDEX(Lists!I:I,MATCH(Validation!E3132,Lists!G:G,0))</f>
        <v>Error</v>
      </c>
      <c r="G3132" t="str">
        <f>INDEX(Lists!H:H,MATCH(Validation!E3132,Lists!G:G,0))</f>
        <v>Enter an amount only. Do not enter text or spaces.</v>
      </c>
      <c r="H3132" s="25" t="str">
        <f t="shared" ca="1" si="351"/>
        <v/>
      </c>
      <c r="I3132" s="25" t="str">
        <f t="shared" ca="1" si="352"/>
        <v/>
      </c>
      <c r="J3132" s="26" t="str">
        <f t="shared" ca="1" si="353"/>
        <v/>
      </c>
    </row>
    <row r="3133" spans="1:10" x14ac:dyDescent="0.25">
      <c r="A3133" t="s">
        <v>652</v>
      </c>
      <c r="B3133" t="str">
        <f>ADDRESS(ROW('PAYG 1'!$B$10),COLUMN('PAYG 1'!$B$10),4)</f>
        <v>B10</v>
      </c>
      <c r="C3133" t="str">
        <f>ADDRESS(ROW('PAYG 1'!$D$10),COLUMN('PAYG 1'!$D$10),4)</f>
        <v>D10</v>
      </c>
      <c r="D3133" t="b" cm="1">
        <f t="array" aca="1" ref="D3133" ca="1">IF(INDIRECT("'"&amp;A3133&amp;"'!"&amp;B3133)="",FALSE,IF(NOT(ISNUMBER(INDIRECT("'"&amp;A3133&amp;"'!"&amp;B3133))),TRUE,FALSE))</f>
        <v>0</v>
      </c>
      <c r="E3133" t="s">
        <v>435</v>
      </c>
      <c r="F3133" t="str">
        <f>INDEX(Lists!I:I,MATCH(Validation!E3133,Lists!G:G,0))</f>
        <v>Error</v>
      </c>
      <c r="G3133" t="str">
        <f>INDEX(Lists!H:H,MATCH(Validation!E3133,Lists!G:G,0))</f>
        <v>Enter an amount only. Do not enter text or spaces.</v>
      </c>
      <c r="H3133" s="25" t="str">
        <f t="shared" ca="1" si="351"/>
        <v/>
      </c>
      <c r="I3133" s="25" t="str">
        <f t="shared" ca="1" si="352"/>
        <v/>
      </c>
      <c r="J3133" s="26" t="str">
        <f t="shared" ca="1" si="353"/>
        <v/>
      </c>
    </row>
    <row r="3134" spans="1:10" x14ac:dyDescent="0.25">
      <c r="A3134" t="s">
        <v>653</v>
      </c>
      <c r="B3134" t="str">
        <f>ADDRESS(ROW('PAYG 1'!$B$10),COLUMN('PAYG 1'!$B$10),4)</f>
        <v>B10</v>
      </c>
      <c r="C3134" t="str">
        <f>ADDRESS(ROW('PAYG 1'!$D$10),COLUMN('PAYG 1'!$D$10),4)</f>
        <v>D10</v>
      </c>
      <c r="D3134" t="b" cm="1">
        <f t="array" aca="1" ref="D3134" ca="1">IF(INDIRECT("'"&amp;A3134&amp;"'!"&amp;B3134)="",FALSE,IF(NOT(ISNUMBER(INDIRECT("'"&amp;A3134&amp;"'!"&amp;B3134))),TRUE,FALSE))</f>
        <v>0</v>
      </c>
      <c r="E3134" t="s">
        <v>435</v>
      </c>
      <c r="F3134" t="str">
        <f>INDEX(Lists!I:I,MATCH(Validation!E3134,Lists!G:G,0))</f>
        <v>Error</v>
      </c>
      <c r="G3134" t="str">
        <f>INDEX(Lists!H:H,MATCH(Validation!E3134,Lists!G:G,0))</f>
        <v>Enter an amount only. Do not enter text or spaces.</v>
      </c>
      <c r="H3134" s="25" t="str">
        <f t="shared" ca="1" si="351"/>
        <v/>
      </c>
      <c r="I3134" s="25" t="str">
        <f t="shared" ca="1" si="352"/>
        <v/>
      </c>
      <c r="J3134" s="26" t="str">
        <f t="shared" ca="1" si="353"/>
        <v/>
      </c>
    </row>
    <row r="3135" spans="1:10" x14ac:dyDescent="0.25">
      <c r="A3135" t="s">
        <v>654</v>
      </c>
      <c r="B3135" t="str">
        <f>ADDRESS(ROW('PAYG 1'!$B$10),COLUMN('PAYG 1'!$B$10),4)</f>
        <v>B10</v>
      </c>
      <c r="C3135" t="str">
        <f>ADDRESS(ROW('PAYG 1'!$D$10),COLUMN('PAYG 1'!$D$10),4)</f>
        <v>D10</v>
      </c>
      <c r="D3135" t="b" cm="1">
        <f t="array" aca="1" ref="D3135" ca="1">IF(INDIRECT("'"&amp;A3135&amp;"'!"&amp;B3135)="",FALSE,IF(NOT(ISNUMBER(INDIRECT("'"&amp;A3135&amp;"'!"&amp;B3135))),TRUE,FALSE))</f>
        <v>0</v>
      </c>
      <c r="E3135" t="s">
        <v>435</v>
      </c>
      <c r="F3135" t="str">
        <f>INDEX(Lists!I:I,MATCH(Validation!E3135,Lists!G:G,0))</f>
        <v>Error</v>
      </c>
      <c r="G3135" t="str">
        <f>INDEX(Lists!H:H,MATCH(Validation!E3135,Lists!G:G,0))</f>
        <v>Enter an amount only. Do not enter text or spaces.</v>
      </c>
      <c r="H3135" s="25" t="str">
        <f t="shared" ca="1" si="351"/>
        <v/>
      </c>
      <c r="I3135" s="25" t="str">
        <f t="shared" ca="1" si="352"/>
        <v/>
      </c>
      <c r="J3135" s="26" t="str">
        <f t="shared" ca="1" si="353"/>
        <v/>
      </c>
    </row>
    <row r="3136" spans="1:10" x14ac:dyDescent="0.25">
      <c r="A3136" t="s">
        <v>655</v>
      </c>
      <c r="B3136" t="str">
        <f>ADDRESS(ROW('PAYG 1'!$B$10),COLUMN('PAYG 1'!$B$10),4)</f>
        <v>B10</v>
      </c>
      <c r="C3136" t="str">
        <f>ADDRESS(ROW('PAYG 1'!$D$10),COLUMN('PAYG 1'!$D$10),4)</f>
        <v>D10</v>
      </c>
      <c r="D3136" t="b" cm="1">
        <f t="array" aca="1" ref="D3136" ca="1">IF(INDIRECT("'"&amp;A3136&amp;"'!"&amp;B3136)="",FALSE,IF(NOT(ISNUMBER(INDIRECT("'"&amp;A3136&amp;"'!"&amp;B3136))),TRUE,FALSE))</f>
        <v>0</v>
      </c>
      <c r="E3136" t="s">
        <v>435</v>
      </c>
      <c r="F3136" t="str">
        <f>INDEX(Lists!I:I,MATCH(Validation!E3136,Lists!G:G,0))</f>
        <v>Error</v>
      </c>
      <c r="G3136" t="str">
        <f>INDEX(Lists!H:H,MATCH(Validation!E3136,Lists!G:G,0))</f>
        <v>Enter an amount only. Do not enter text or spaces.</v>
      </c>
      <c r="H3136" s="25" t="str">
        <f t="shared" ca="1" si="351"/>
        <v/>
      </c>
      <c r="I3136" s="25" t="str">
        <f t="shared" ca="1" si="352"/>
        <v/>
      </c>
      <c r="J3136" s="26" t="str">
        <f t="shared" ca="1" si="353"/>
        <v/>
      </c>
    </row>
    <row r="3137" spans="1:10" x14ac:dyDescent="0.25">
      <c r="A3137" t="s">
        <v>656</v>
      </c>
      <c r="B3137" t="str">
        <f>ADDRESS(ROW('PAYG 1'!$B$10),COLUMN('PAYG 1'!$B$10),4)</f>
        <v>B10</v>
      </c>
      <c r="C3137" t="str">
        <f>ADDRESS(ROW('PAYG 1'!$D$10),COLUMN('PAYG 1'!$D$10),4)</f>
        <v>D10</v>
      </c>
      <c r="D3137" t="b" cm="1">
        <f t="array" aca="1" ref="D3137" ca="1">IF(INDIRECT("'"&amp;A3137&amp;"'!"&amp;B3137)="",FALSE,IF(NOT(ISNUMBER(INDIRECT("'"&amp;A3137&amp;"'!"&amp;B3137))),TRUE,FALSE))</f>
        <v>0</v>
      </c>
      <c r="E3137" t="s">
        <v>435</v>
      </c>
      <c r="F3137" t="str">
        <f>INDEX(Lists!I:I,MATCH(Validation!E3137,Lists!G:G,0))</f>
        <v>Error</v>
      </c>
      <c r="G3137" t="str">
        <f>INDEX(Lists!H:H,MATCH(Validation!E3137,Lists!G:G,0))</f>
        <v>Enter an amount only. Do not enter text or spaces.</v>
      </c>
      <c r="H3137" s="25" t="str">
        <f t="shared" ca="1" si="351"/>
        <v/>
      </c>
      <c r="I3137" s="25" t="str">
        <f t="shared" ca="1" si="352"/>
        <v/>
      </c>
      <c r="J3137" s="26" t="str">
        <f t="shared" ca="1" si="353"/>
        <v/>
      </c>
    </row>
    <row r="3138" spans="1:10" x14ac:dyDescent="0.25">
      <c r="A3138" t="s">
        <v>657</v>
      </c>
      <c r="B3138" t="str">
        <f>ADDRESS(ROW('PAYG 1'!$B$10),COLUMN('PAYG 1'!$B$10),4)</f>
        <v>B10</v>
      </c>
      <c r="C3138" t="str">
        <f>ADDRESS(ROW('PAYG 1'!$D$10),COLUMN('PAYG 1'!$D$10),4)</f>
        <v>D10</v>
      </c>
      <c r="D3138" t="b" cm="1">
        <f t="array" aca="1" ref="D3138" ca="1">IF(INDIRECT("'"&amp;A3138&amp;"'!"&amp;B3138)="",FALSE,IF(NOT(ISNUMBER(INDIRECT("'"&amp;A3138&amp;"'!"&amp;B3138))),TRUE,FALSE))</f>
        <v>0</v>
      </c>
      <c r="E3138" t="s">
        <v>435</v>
      </c>
      <c r="F3138" t="str">
        <f>INDEX(Lists!I:I,MATCH(Validation!E3138,Lists!G:G,0))</f>
        <v>Error</v>
      </c>
      <c r="G3138" t="str">
        <f>INDEX(Lists!H:H,MATCH(Validation!E3138,Lists!G:G,0))</f>
        <v>Enter an amount only. Do not enter text or spaces.</v>
      </c>
      <c r="H3138" s="25" t="str">
        <f t="shared" ca="1" si="351"/>
        <v/>
      </c>
      <c r="I3138" s="25" t="str">
        <f t="shared" ca="1" si="352"/>
        <v/>
      </c>
      <c r="J3138" s="26" t="str">
        <f t="shared" ca="1" si="353"/>
        <v/>
      </c>
    </row>
    <row r="3139" spans="1:10" x14ac:dyDescent="0.25">
      <c r="A3139" t="s">
        <v>658</v>
      </c>
      <c r="B3139" t="str">
        <f>ADDRESS(ROW('PAYG 1'!$B$10),COLUMN('PAYG 1'!$B$10),4)</f>
        <v>B10</v>
      </c>
      <c r="C3139" t="str">
        <f>ADDRESS(ROW('PAYG 1'!$D$10),COLUMN('PAYG 1'!$D$10),4)</f>
        <v>D10</v>
      </c>
      <c r="D3139" t="b" cm="1">
        <f t="array" aca="1" ref="D3139" ca="1">IF(INDIRECT("'"&amp;A3139&amp;"'!"&amp;B3139)="",FALSE,IF(NOT(ISNUMBER(INDIRECT("'"&amp;A3139&amp;"'!"&amp;B3139))),TRUE,FALSE))</f>
        <v>0</v>
      </c>
      <c r="E3139" t="s">
        <v>435</v>
      </c>
      <c r="F3139" t="str">
        <f>INDEX(Lists!I:I,MATCH(Validation!E3139,Lists!G:G,0))</f>
        <v>Error</v>
      </c>
      <c r="G3139" t="str">
        <f>INDEX(Lists!H:H,MATCH(Validation!E3139,Lists!G:G,0))</f>
        <v>Enter an amount only. Do not enter text or spaces.</v>
      </c>
      <c r="H3139" s="25" t="str">
        <f t="shared" ca="1" si="351"/>
        <v/>
      </c>
      <c r="I3139" s="25" t="str">
        <f t="shared" ca="1" si="352"/>
        <v/>
      </c>
      <c r="J3139" s="26" t="str">
        <f t="shared" ca="1" si="353"/>
        <v/>
      </c>
    </row>
    <row r="3140" spans="1:10" x14ac:dyDescent="0.25">
      <c r="A3140" t="s">
        <v>659</v>
      </c>
      <c r="B3140" t="str">
        <f>ADDRESS(ROW('PAYG 1'!$B$10),COLUMN('PAYG 1'!$B$10),4)</f>
        <v>B10</v>
      </c>
      <c r="C3140" t="str">
        <f>ADDRESS(ROW('PAYG 1'!$D$10),COLUMN('PAYG 1'!$D$10),4)</f>
        <v>D10</v>
      </c>
      <c r="D3140" t="b" cm="1">
        <f t="array" aca="1" ref="D3140" ca="1">IF(INDIRECT("'"&amp;A3140&amp;"'!"&amp;B3140)="",FALSE,IF(NOT(ISNUMBER(INDIRECT("'"&amp;A3140&amp;"'!"&amp;B3140))),TRUE,FALSE))</f>
        <v>0</v>
      </c>
      <c r="E3140" t="s">
        <v>435</v>
      </c>
      <c r="F3140" t="str">
        <f>INDEX(Lists!I:I,MATCH(Validation!E3140,Lists!G:G,0))</f>
        <v>Error</v>
      </c>
      <c r="G3140" t="str">
        <f>INDEX(Lists!H:H,MATCH(Validation!E3140,Lists!G:G,0))</f>
        <v>Enter an amount only. Do not enter text or spaces.</v>
      </c>
      <c r="H3140" s="25" t="str">
        <f t="shared" ca="1" si="351"/>
        <v/>
      </c>
      <c r="I3140" s="25" t="str">
        <f t="shared" ca="1" si="352"/>
        <v/>
      </c>
      <c r="J3140" s="26" t="str">
        <f t="shared" ca="1" si="353"/>
        <v/>
      </c>
    </row>
    <row r="3141" spans="1:10" x14ac:dyDescent="0.25">
      <c r="A3141" t="s">
        <v>660</v>
      </c>
      <c r="B3141" t="str">
        <f>ADDRESS(ROW('PAYG 1'!$B$10),COLUMN('PAYG 1'!$B$10),4)</f>
        <v>B10</v>
      </c>
      <c r="C3141" t="str">
        <f>ADDRESS(ROW('PAYG 1'!$D$10),COLUMN('PAYG 1'!$D$10),4)</f>
        <v>D10</v>
      </c>
      <c r="D3141" t="b" cm="1">
        <f t="array" aca="1" ref="D3141" ca="1">IF(INDIRECT("'"&amp;A3141&amp;"'!"&amp;B3141)="",FALSE,IF(NOT(ISNUMBER(INDIRECT("'"&amp;A3141&amp;"'!"&amp;B3141))),TRUE,FALSE))</f>
        <v>0</v>
      </c>
      <c r="E3141" t="s">
        <v>435</v>
      </c>
      <c r="F3141" t="str">
        <f>INDEX(Lists!I:I,MATCH(Validation!E3141,Lists!G:G,0))</f>
        <v>Error</v>
      </c>
      <c r="G3141" t="str">
        <f>INDEX(Lists!H:H,MATCH(Validation!E3141,Lists!G:G,0))</f>
        <v>Enter an amount only. Do not enter text or spaces.</v>
      </c>
      <c r="H3141" s="25" t="str">
        <f t="shared" ca="1" si="351"/>
        <v/>
      </c>
      <c r="I3141" s="25" t="str">
        <f t="shared" ca="1" si="352"/>
        <v/>
      </c>
      <c r="J3141" s="26" t="str">
        <f t="shared" ca="1" si="353"/>
        <v/>
      </c>
    </row>
    <row r="3142" spans="1:10" x14ac:dyDescent="0.25">
      <c r="A3142" t="s">
        <v>661</v>
      </c>
      <c r="B3142" t="str">
        <f>ADDRESS(ROW('PAYG 1'!$B$10),COLUMN('PAYG 1'!$B$10),4)</f>
        <v>B10</v>
      </c>
      <c r="C3142" t="str">
        <f>ADDRESS(ROW('PAYG 1'!$D$10),COLUMN('PAYG 1'!$D$10),4)</f>
        <v>D10</v>
      </c>
      <c r="D3142" t="b" cm="1">
        <f t="array" aca="1" ref="D3142" ca="1">IF(INDIRECT("'"&amp;A3142&amp;"'!"&amp;B3142)="",FALSE,IF(NOT(ISNUMBER(INDIRECT("'"&amp;A3142&amp;"'!"&amp;B3142))),TRUE,FALSE))</f>
        <v>0</v>
      </c>
      <c r="E3142" t="s">
        <v>435</v>
      </c>
      <c r="F3142" t="str">
        <f>INDEX(Lists!I:I,MATCH(Validation!E3142,Lists!G:G,0))</f>
        <v>Error</v>
      </c>
      <c r="G3142" t="str">
        <f>INDEX(Lists!H:H,MATCH(Validation!E3142,Lists!G:G,0))</f>
        <v>Enter an amount only. Do not enter text or spaces.</v>
      </c>
      <c r="H3142" s="25" t="str">
        <f t="shared" ca="1" si="351"/>
        <v/>
      </c>
      <c r="I3142" s="25" t="str">
        <f t="shared" ca="1" si="352"/>
        <v/>
      </c>
      <c r="J3142" s="26" t="str">
        <f t="shared" ca="1" si="353"/>
        <v/>
      </c>
    </row>
    <row r="3143" spans="1:10" x14ac:dyDescent="0.25">
      <c r="A3143" t="s">
        <v>662</v>
      </c>
      <c r="B3143" t="str">
        <f>ADDRESS(ROW('PAYG 1'!$B$10),COLUMN('PAYG 1'!$B$10),4)</f>
        <v>B10</v>
      </c>
      <c r="C3143" t="str">
        <f>ADDRESS(ROW('PAYG 1'!$D$10),COLUMN('PAYG 1'!$D$10),4)</f>
        <v>D10</v>
      </c>
      <c r="D3143" t="b" cm="1">
        <f t="array" aca="1" ref="D3143" ca="1">IF(INDIRECT("'"&amp;A3143&amp;"'!"&amp;B3143)="",FALSE,IF(NOT(ISNUMBER(INDIRECT("'"&amp;A3143&amp;"'!"&amp;B3143))),TRUE,FALSE))</f>
        <v>0</v>
      </c>
      <c r="E3143" t="s">
        <v>435</v>
      </c>
      <c r="F3143" t="str">
        <f>INDEX(Lists!I:I,MATCH(Validation!E3143,Lists!G:G,0))</f>
        <v>Error</v>
      </c>
      <c r="G3143" t="str">
        <f>INDEX(Lists!H:H,MATCH(Validation!E3143,Lists!G:G,0))</f>
        <v>Enter an amount only. Do not enter text or spaces.</v>
      </c>
      <c r="H3143" s="25" t="str">
        <f t="shared" ca="1" si="351"/>
        <v/>
      </c>
      <c r="I3143" s="25" t="str">
        <f t="shared" ca="1" si="352"/>
        <v/>
      </c>
      <c r="J3143" s="26" t="str">
        <f t="shared" ca="1" si="353"/>
        <v/>
      </c>
    </row>
    <row r="3144" spans="1:10" x14ac:dyDescent="0.25">
      <c r="A3144" t="s">
        <v>663</v>
      </c>
      <c r="B3144" t="str">
        <f>ADDRESS(ROW('PAYG 1'!$B$10),COLUMN('PAYG 1'!$B$10),4)</f>
        <v>B10</v>
      </c>
      <c r="C3144" t="str">
        <f>ADDRESS(ROW('PAYG 1'!$D$10),COLUMN('PAYG 1'!$D$10),4)</f>
        <v>D10</v>
      </c>
      <c r="D3144" t="b" cm="1">
        <f t="array" aca="1" ref="D3144" ca="1">IF(INDIRECT("'"&amp;A3144&amp;"'!"&amp;B3144)="",FALSE,IF(NOT(ISNUMBER(INDIRECT("'"&amp;A3144&amp;"'!"&amp;B3144))),TRUE,FALSE))</f>
        <v>0</v>
      </c>
      <c r="E3144" t="s">
        <v>435</v>
      </c>
      <c r="F3144" t="str">
        <f>INDEX(Lists!I:I,MATCH(Validation!E3144,Lists!G:G,0))</f>
        <v>Error</v>
      </c>
      <c r="G3144" t="str">
        <f>INDEX(Lists!H:H,MATCH(Validation!E3144,Lists!G:G,0))</f>
        <v>Enter an amount only. Do not enter text or spaces.</v>
      </c>
      <c r="H3144" s="25" t="str">
        <f t="shared" ca="1" si="351"/>
        <v/>
      </c>
      <c r="I3144" s="25" t="str">
        <f t="shared" ca="1" si="352"/>
        <v/>
      </c>
      <c r="J3144" s="26" t="str">
        <f t="shared" ca="1" si="353"/>
        <v/>
      </c>
    </row>
    <row r="3145" spans="1:10" x14ac:dyDescent="0.25">
      <c r="A3145" t="s">
        <v>664</v>
      </c>
      <c r="B3145" t="str">
        <f>ADDRESS(ROW('PAYG 1'!$B$10),COLUMN('PAYG 1'!$B$10),4)</f>
        <v>B10</v>
      </c>
      <c r="C3145" t="str">
        <f>ADDRESS(ROW('PAYG 1'!$D$10),COLUMN('PAYG 1'!$D$10),4)</f>
        <v>D10</v>
      </c>
      <c r="D3145" t="b" cm="1">
        <f t="array" aca="1" ref="D3145" ca="1">IF(INDIRECT("'"&amp;A3145&amp;"'!"&amp;B3145)="",FALSE,IF(NOT(ISNUMBER(INDIRECT("'"&amp;A3145&amp;"'!"&amp;B3145))),TRUE,FALSE))</f>
        <v>0</v>
      </c>
      <c r="E3145" t="s">
        <v>435</v>
      </c>
      <c r="F3145" t="str">
        <f>INDEX(Lists!I:I,MATCH(Validation!E3145,Lists!G:G,0))</f>
        <v>Error</v>
      </c>
      <c r="G3145" t="str">
        <f>INDEX(Lists!H:H,MATCH(Validation!E3145,Lists!G:G,0))</f>
        <v>Enter an amount only. Do not enter text or spaces.</v>
      </c>
      <c r="H3145" s="25" t="str">
        <f t="shared" ca="1" si="351"/>
        <v/>
      </c>
      <c r="I3145" s="25" t="str">
        <f t="shared" ca="1" si="352"/>
        <v/>
      </c>
      <c r="J3145" s="26" t="str">
        <f t="shared" ca="1" si="353"/>
        <v/>
      </c>
    </row>
    <row r="3146" spans="1:10" x14ac:dyDescent="0.25">
      <c r="A3146" t="s">
        <v>203</v>
      </c>
      <c r="B3146" t="str">
        <f>ADDRESS(ROW('PAYG 1'!$B$10),COLUMN('PAYG 1'!$B$10),4)</f>
        <v>B10</v>
      </c>
      <c r="C3146" t="str">
        <f>ADDRESS(ROW('PAYG 1'!$D$10),COLUMN('PAYG 1'!$D$10),4)</f>
        <v>D10</v>
      </c>
      <c r="D3146" t="b" cm="1">
        <f t="array" aca="1" ref="D3146" ca="1">IF(INDIRECT("'"&amp;A3146&amp;"'!"&amp;B3146)="",FALSE,IF(INDIRECT("'"&amp;A3146&amp;"'!"&amp;B3146)&lt;0,TRUE,FALSE))</f>
        <v>0</v>
      </c>
      <c r="E3146" t="s">
        <v>760</v>
      </c>
      <c r="F3146" t="str">
        <f>INDEX(Lists!I:I,MATCH(Validation!E3146,Lists!G:G,0))</f>
        <v>Error</v>
      </c>
      <c r="G3146" t="str">
        <f>INDEX(Lists!H:H,MATCH(Validation!E3146,Lists!G:G,0))</f>
        <v>Low interest rate must be greater than or equal to zero.</v>
      </c>
      <c r="H3146" s="25" t="str">
        <f t="shared" ca="1" si="351"/>
        <v/>
      </c>
      <c r="I3146" s="25" t="str">
        <f t="shared" ca="1" si="352"/>
        <v/>
      </c>
      <c r="J3146" s="26" t="str">
        <f t="shared" ca="1" si="353"/>
        <v/>
      </c>
    </row>
    <row r="3147" spans="1:10" x14ac:dyDescent="0.25">
      <c r="A3147" t="s">
        <v>651</v>
      </c>
      <c r="B3147" t="str">
        <f>ADDRESS(ROW('PAYG 1'!$B$10),COLUMN('PAYG 1'!$B$10),4)</f>
        <v>B10</v>
      </c>
      <c r="C3147" t="str">
        <f>ADDRESS(ROW('PAYG 1'!$D$10),COLUMN('PAYG 1'!$D$10),4)</f>
        <v>D10</v>
      </c>
      <c r="D3147" t="b" cm="1">
        <f t="array" aca="1" ref="D3147" ca="1">IF(INDIRECT("'"&amp;A3147&amp;"'!"&amp;B3147)="",FALSE,IF(INDIRECT("'"&amp;A3147&amp;"'!"&amp;B3147)&lt;0,TRUE,FALSE))</f>
        <v>0</v>
      </c>
      <c r="E3147" t="s">
        <v>760</v>
      </c>
      <c r="F3147" t="str">
        <f>INDEX(Lists!I:I,MATCH(Validation!E3147,Lists!G:G,0))</f>
        <v>Error</v>
      </c>
      <c r="G3147" t="str">
        <f>INDEX(Lists!H:H,MATCH(Validation!E3147,Lists!G:G,0))</f>
        <v>Low interest rate must be greater than or equal to zero.</v>
      </c>
      <c r="H3147" s="25" t="str">
        <f t="shared" ca="1" si="351"/>
        <v/>
      </c>
      <c r="I3147" s="25" t="str">
        <f t="shared" ca="1" si="352"/>
        <v/>
      </c>
      <c r="J3147" s="26" t="str">
        <f t="shared" ca="1" si="353"/>
        <v/>
      </c>
    </row>
    <row r="3148" spans="1:10" x14ac:dyDescent="0.25">
      <c r="A3148" t="s">
        <v>652</v>
      </c>
      <c r="B3148" t="str">
        <f>ADDRESS(ROW('PAYG 1'!$B$10),COLUMN('PAYG 1'!$B$10),4)</f>
        <v>B10</v>
      </c>
      <c r="C3148" t="str">
        <f>ADDRESS(ROW('PAYG 1'!$D$10),COLUMN('PAYG 1'!$D$10),4)</f>
        <v>D10</v>
      </c>
      <c r="D3148" t="b" cm="1">
        <f t="array" aca="1" ref="D3148" ca="1">IF(INDIRECT("'"&amp;A3148&amp;"'!"&amp;B3148)="",FALSE,IF(INDIRECT("'"&amp;A3148&amp;"'!"&amp;B3148)&lt;0,TRUE,FALSE))</f>
        <v>0</v>
      </c>
      <c r="E3148" t="s">
        <v>760</v>
      </c>
      <c r="F3148" t="str">
        <f>INDEX(Lists!I:I,MATCH(Validation!E3148,Lists!G:G,0))</f>
        <v>Error</v>
      </c>
      <c r="G3148" t="str">
        <f>INDEX(Lists!H:H,MATCH(Validation!E3148,Lists!G:G,0))</f>
        <v>Low interest rate must be greater than or equal to zero.</v>
      </c>
      <c r="H3148" s="25" t="str">
        <f t="shared" ca="1" si="351"/>
        <v/>
      </c>
      <c r="I3148" s="25" t="str">
        <f t="shared" ca="1" si="352"/>
        <v/>
      </c>
      <c r="J3148" s="26" t="str">
        <f t="shared" ca="1" si="353"/>
        <v/>
      </c>
    </row>
    <row r="3149" spans="1:10" x14ac:dyDescent="0.25">
      <c r="A3149" t="s">
        <v>653</v>
      </c>
      <c r="B3149" t="str">
        <f>ADDRESS(ROW('PAYG 1'!$B$10),COLUMN('PAYG 1'!$B$10),4)</f>
        <v>B10</v>
      </c>
      <c r="C3149" t="str">
        <f>ADDRESS(ROW('PAYG 1'!$D$10),COLUMN('PAYG 1'!$D$10),4)</f>
        <v>D10</v>
      </c>
      <c r="D3149" t="b" cm="1">
        <f t="array" aca="1" ref="D3149" ca="1">IF(INDIRECT("'"&amp;A3149&amp;"'!"&amp;B3149)="",FALSE,IF(INDIRECT("'"&amp;A3149&amp;"'!"&amp;B3149)&lt;0,TRUE,FALSE))</f>
        <v>0</v>
      </c>
      <c r="E3149" t="s">
        <v>760</v>
      </c>
      <c r="F3149" t="str">
        <f>INDEX(Lists!I:I,MATCH(Validation!E3149,Lists!G:G,0))</f>
        <v>Error</v>
      </c>
      <c r="G3149" t="str">
        <f>INDEX(Lists!H:H,MATCH(Validation!E3149,Lists!G:G,0))</f>
        <v>Low interest rate must be greater than or equal to zero.</v>
      </c>
      <c r="H3149" s="25" t="str">
        <f t="shared" ca="1" si="351"/>
        <v/>
      </c>
      <c r="I3149" s="25" t="str">
        <f t="shared" ca="1" si="352"/>
        <v/>
      </c>
      <c r="J3149" s="26" t="str">
        <f t="shared" ca="1" si="353"/>
        <v/>
      </c>
    </row>
    <row r="3150" spans="1:10" x14ac:dyDescent="0.25">
      <c r="A3150" t="s">
        <v>654</v>
      </c>
      <c r="B3150" t="str">
        <f>ADDRESS(ROW('PAYG 1'!$B$10),COLUMN('PAYG 1'!$B$10),4)</f>
        <v>B10</v>
      </c>
      <c r="C3150" t="str">
        <f>ADDRESS(ROW('PAYG 1'!$D$10),COLUMN('PAYG 1'!$D$10),4)</f>
        <v>D10</v>
      </c>
      <c r="D3150" t="b" cm="1">
        <f t="array" aca="1" ref="D3150" ca="1">IF(INDIRECT("'"&amp;A3150&amp;"'!"&amp;B3150)="",FALSE,IF(INDIRECT("'"&amp;A3150&amp;"'!"&amp;B3150)&lt;0,TRUE,FALSE))</f>
        <v>0</v>
      </c>
      <c r="E3150" t="s">
        <v>760</v>
      </c>
      <c r="F3150" t="str">
        <f>INDEX(Lists!I:I,MATCH(Validation!E3150,Lists!G:G,0))</f>
        <v>Error</v>
      </c>
      <c r="G3150" t="str">
        <f>INDEX(Lists!H:H,MATCH(Validation!E3150,Lists!G:G,0))</f>
        <v>Low interest rate must be greater than or equal to zero.</v>
      </c>
      <c r="H3150" s="25" t="str">
        <f t="shared" ca="1" si="351"/>
        <v/>
      </c>
      <c r="I3150" s="25" t="str">
        <f t="shared" ca="1" si="352"/>
        <v/>
      </c>
      <c r="J3150" s="26" t="str">
        <f t="shared" ca="1" si="353"/>
        <v/>
      </c>
    </row>
    <row r="3151" spans="1:10" x14ac:dyDescent="0.25">
      <c r="A3151" t="s">
        <v>655</v>
      </c>
      <c r="B3151" t="str">
        <f>ADDRESS(ROW('PAYG 1'!$B$10),COLUMN('PAYG 1'!$B$10),4)</f>
        <v>B10</v>
      </c>
      <c r="C3151" t="str">
        <f>ADDRESS(ROW('PAYG 1'!$D$10),COLUMN('PAYG 1'!$D$10),4)</f>
        <v>D10</v>
      </c>
      <c r="D3151" t="b" cm="1">
        <f t="array" aca="1" ref="D3151" ca="1">IF(INDIRECT("'"&amp;A3151&amp;"'!"&amp;B3151)="",FALSE,IF(INDIRECT("'"&amp;A3151&amp;"'!"&amp;B3151)&lt;0,TRUE,FALSE))</f>
        <v>0</v>
      </c>
      <c r="E3151" t="s">
        <v>760</v>
      </c>
      <c r="F3151" t="str">
        <f>INDEX(Lists!I:I,MATCH(Validation!E3151,Lists!G:G,0))</f>
        <v>Error</v>
      </c>
      <c r="G3151" t="str">
        <f>INDEX(Lists!H:H,MATCH(Validation!E3151,Lists!G:G,0))</f>
        <v>Low interest rate must be greater than or equal to zero.</v>
      </c>
      <c r="H3151" s="25" t="str">
        <f t="shared" ca="1" si="351"/>
        <v/>
      </c>
      <c r="I3151" s="25" t="str">
        <f t="shared" ca="1" si="352"/>
        <v/>
      </c>
      <c r="J3151" s="26" t="str">
        <f t="shared" ca="1" si="353"/>
        <v/>
      </c>
    </row>
    <row r="3152" spans="1:10" x14ac:dyDescent="0.25">
      <c r="A3152" t="s">
        <v>656</v>
      </c>
      <c r="B3152" t="str">
        <f>ADDRESS(ROW('PAYG 1'!$B$10),COLUMN('PAYG 1'!$B$10),4)</f>
        <v>B10</v>
      </c>
      <c r="C3152" t="str">
        <f>ADDRESS(ROW('PAYG 1'!$D$10),COLUMN('PAYG 1'!$D$10),4)</f>
        <v>D10</v>
      </c>
      <c r="D3152" t="b" cm="1">
        <f t="array" aca="1" ref="D3152" ca="1">IF(INDIRECT("'"&amp;A3152&amp;"'!"&amp;B3152)="",FALSE,IF(INDIRECT("'"&amp;A3152&amp;"'!"&amp;B3152)&lt;0,TRUE,FALSE))</f>
        <v>0</v>
      </c>
      <c r="E3152" t="s">
        <v>760</v>
      </c>
      <c r="F3152" t="str">
        <f>INDEX(Lists!I:I,MATCH(Validation!E3152,Lists!G:G,0))</f>
        <v>Error</v>
      </c>
      <c r="G3152" t="str">
        <f>INDEX(Lists!H:H,MATCH(Validation!E3152,Lists!G:G,0))</f>
        <v>Low interest rate must be greater than or equal to zero.</v>
      </c>
      <c r="H3152" s="25" t="str">
        <f t="shared" ca="1" si="351"/>
        <v/>
      </c>
      <c r="I3152" s="25" t="str">
        <f t="shared" ca="1" si="352"/>
        <v/>
      </c>
      <c r="J3152" s="26" t="str">
        <f t="shared" ca="1" si="353"/>
        <v/>
      </c>
    </row>
    <row r="3153" spans="1:10" x14ac:dyDescent="0.25">
      <c r="A3153" t="s">
        <v>657</v>
      </c>
      <c r="B3153" t="str">
        <f>ADDRESS(ROW('PAYG 1'!$B$10),COLUMN('PAYG 1'!$B$10),4)</f>
        <v>B10</v>
      </c>
      <c r="C3153" t="str">
        <f>ADDRESS(ROW('PAYG 1'!$D$10),COLUMN('PAYG 1'!$D$10),4)</f>
        <v>D10</v>
      </c>
      <c r="D3153" t="b" cm="1">
        <f t="array" aca="1" ref="D3153" ca="1">IF(INDIRECT("'"&amp;A3153&amp;"'!"&amp;B3153)="",FALSE,IF(INDIRECT("'"&amp;A3153&amp;"'!"&amp;B3153)&lt;0,TRUE,FALSE))</f>
        <v>0</v>
      </c>
      <c r="E3153" t="s">
        <v>760</v>
      </c>
      <c r="F3153" t="str">
        <f>INDEX(Lists!I:I,MATCH(Validation!E3153,Lists!G:G,0))</f>
        <v>Error</v>
      </c>
      <c r="G3153" t="str">
        <f>INDEX(Lists!H:H,MATCH(Validation!E3153,Lists!G:G,0))</f>
        <v>Low interest rate must be greater than or equal to zero.</v>
      </c>
      <c r="H3153" s="25" t="str">
        <f t="shared" ca="1" si="351"/>
        <v/>
      </c>
      <c r="I3153" s="25" t="str">
        <f t="shared" ca="1" si="352"/>
        <v/>
      </c>
      <c r="J3153" s="26" t="str">
        <f t="shared" ca="1" si="353"/>
        <v/>
      </c>
    </row>
    <row r="3154" spans="1:10" x14ac:dyDescent="0.25">
      <c r="A3154" t="s">
        <v>658</v>
      </c>
      <c r="B3154" t="str">
        <f>ADDRESS(ROW('PAYG 1'!$B$10),COLUMN('PAYG 1'!$B$10),4)</f>
        <v>B10</v>
      </c>
      <c r="C3154" t="str">
        <f>ADDRESS(ROW('PAYG 1'!$D$10),COLUMN('PAYG 1'!$D$10),4)</f>
        <v>D10</v>
      </c>
      <c r="D3154" t="b" cm="1">
        <f t="array" aca="1" ref="D3154" ca="1">IF(INDIRECT("'"&amp;A3154&amp;"'!"&amp;B3154)="",FALSE,IF(INDIRECT("'"&amp;A3154&amp;"'!"&amp;B3154)&lt;0,TRUE,FALSE))</f>
        <v>0</v>
      </c>
      <c r="E3154" t="s">
        <v>760</v>
      </c>
      <c r="F3154" t="str">
        <f>INDEX(Lists!I:I,MATCH(Validation!E3154,Lists!G:G,0))</f>
        <v>Error</v>
      </c>
      <c r="G3154" t="str">
        <f>INDEX(Lists!H:H,MATCH(Validation!E3154,Lists!G:G,0))</f>
        <v>Low interest rate must be greater than or equal to zero.</v>
      </c>
      <c r="H3154" s="25" t="str">
        <f t="shared" ca="1" si="351"/>
        <v/>
      </c>
      <c r="I3154" s="25" t="str">
        <f t="shared" ca="1" si="352"/>
        <v/>
      </c>
      <c r="J3154" s="26" t="str">
        <f t="shared" ca="1" si="353"/>
        <v/>
      </c>
    </row>
    <row r="3155" spans="1:10" x14ac:dyDescent="0.25">
      <c r="A3155" t="s">
        <v>659</v>
      </c>
      <c r="B3155" t="str">
        <f>ADDRESS(ROW('PAYG 1'!$B$10),COLUMN('PAYG 1'!$B$10),4)</f>
        <v>B10</v>
      </c>
      <c r="C3155" t="str">
        <f>ADDRESS(ROW('PAYG 1'!$D$10),COLUMN('PAYG 1'!$D$10),4)</f>
        <v>D10</v>
      </c>
      <c r="D3155" t="b" cm="1">
        <f t="array" aca="1" ref="D3155" ca="1">IF(INDIRECT("'"&amp;A3155&amp;"'!"&amp;B3155)="",FALSE,IF(INDIRECT("'"&amp;A3155&amp;"'!"&amp;B3155)&lt;0,TRUE,FALSE))</f>
        <v>0</v>
      </c>
      <c r="E3155" t="s">
        <v>760</v>
      </c>
      <c r="F3155" t="str">
        <f>INDEX(Lists!I:I,MATCH(Validation!E3155,Lists!G:G,0))</f>
        <v>Error</v>
      </c>
      <c r="G3155" t="str">
        <f>INDEX(Lists!H:H,MATCH(Validation!E3155,Lists!G:G,0))</f>
        <v>Low interest rate must be greater than or equal to zero.</v>
      </c>
      <c r="H3155" s="25" t="str">
        <f t="shared" ca="1" si="351"/>
        <v/>
      </c>
      <c r="I3155" s="25" t="str">
        <f t="shared" ca="1" si="352"/>
        <v/>
      </c>
      <c r="J3155" s="26" t="str">
        <f t="shared" ca="1" si="353"/>
        <v/>
      </c>
    </row>
    <row r="3156" spans="1:10" x14ac:dyDescent="0.25">
      <c r="A3156" t="s">
        <v>660</v>
      </c>
      <c r="B3156" t="str">
        <f>ADDRESS(ROW('PAYG 1'!$B$10),COLUMN('PAYG 1'!$B$10),4)</f>
        <v>B10</v>
      </c>
      <c r="C3156" t="str">
        <f>ADDRESS(ROW('PAYG 1'!$D$10),COLUMN('PAYG 1'!$D$10),4)</f>
        <v>D10</v>
      </c>
      <c r="D3156" t="b" cm="1">
        <f t="array" aca="1" ref="D3156" ca="1">IF(INDIRECT("'"&amp;A3156&amp;"'!"&amp;B3156)="",FALSE,IF(INDIRECT("'"&amp;A3156&amp;"'!"&amp;B3156)&lt;0,TRUE,FALSE))</f>
        <v>0</v>
      </c>
      <c r="E3156" t="s">
        <v>760</v>
      </c>
      <c r="F3156" t="str">
        <f>INDEX(Lists!I:I,MATCH(Validation!E3156,Lists!G:G,0))</f>
        <v>Error</v>
      </c>
      <c r="G3156" t="str">
        <f>INDEX(Lists!H:H,MATCH(Validation!E3156,Lists!G:G,0))</f>
        <v>Low interest rate must be greater than or equal to zero.</v>
      </c>
      <c r="H3156" s="25" t="str">
        <f t="shared" ca="1" si="351"/>
        <v/>
      </c>
      <c r="I3156" s="25" t="str">
        <f t="shared" ca="1" si="352"/>
        <v/>
      </c>
      <c r="J3156" s="26" t="str">
        <f t="shared" ca="1" si="353"/>
        <v/>
      </c>
    </row>
    <row r="3157" spans="1:10" x14ac:dyDescent="0.25">
      <c r="A3157" t="s">
        <v>661</v>
      </c>
      <c r="B3157" t="str">
        <f>ADDRESS(ROW('PAYG 1'!$B$10),COLUMN('PAYG 1'!$B$10),4)</f>
        <v>B10</v>
      </c>
      <c r="C3157" t="str">
        <f>ADDRESS(ROW('PAYG 1'!$D$10),COLUMN('PAYG 1'!$D$10),4)</f>
        <v>D10</v>
      </c>
      <c r="D3157" t="b" cm="1">
        <f t="array" aca="1" ref="D3157" ca="1">IF(INDIRECT("'"&amp;A3157&amp;"'!"&amp;B3157)="",FALSE,IF(INDIRECT("'"&amp;A3157&amp;"'!"&amp;B3157)&lt;0,TRUE,FALSE))</f>
        <v>0</v>
      </c>
      <c r="E3157" t="s">
        <v>760</v>
      </c>
      <c r="F3157" t="str">
        <f>INDEX(Lists!I:I,MATCH(Validation!E3157,Lists!G:G,0))</f>
        <v>Error</v>
      </c>
      <c r="G3157" t="str">
        <f>INDEX(Lists!H:H,MATCH(Validation!E3157,Lists!G:G,0))</f>
        <v>Low interest rate must be greater than or equal to zero.</v>
      </c>
      <c r="H3157" s="25" t="str">
        <f t="shared" ca="1" si="351"/>
        <v/>
      </c>
      <c r="I3157" s="25" t="str">
        <f t="shared" ca="1" si="352"/>
        <v/>
      </c>
      <c r="J3157" s="26" t="str">
        <f t="shared" ca="1" si="353"/>
        <v/>
      </c>
    </row>
    <row r="3158" spans="1:10" x14ac:dyDescent="0.25">
      <c r="A3158" t="s">
        <v>662</v>
      </c>
      <c r="B3158" t="str">
        <f>ADDRESS(ROW('PAYG 1'!$B$10),COLUMN('PAYG 1'!$B$10),4)</f>
        <v>B10</v>
      </c>
      <c r="C3158" t="str">
        <f>ADDRESS(ROW('PAYG 1'!$D$10),COLUMN('PAYG 1'!$D$10),4)</f>
        <v>D10</v>
      </c>
      <c r="D3158" t="b" cm="1">
        <f t="array" aca="1" ref="D3158" ca="1">IF(INDIRECT("'"&amp;A3158&amp;"'!"&amp;B3158)="",FALSE,IF(INDIRECT("'"&amp;A3158&amp;"'!"&amp;B3158)&lt;0,TRUE,FALSE))</f>
        <v>0</v>
      </c>
      <c r="E3158" t="s">
        <v>760</v>
      </c>
      <c r="F3158" t="str">
        <f>INDEX(Lists!I:I,MATCH(Validation!E3158,Lists!G:G,0))</f>
        <v>Error</v>
      </c>
      <c r="G3158" t="str">
        <f>INDEX(Lists!H:H,MATCH(Validation!E3158,Lists!G:G,0))</f>
        <v>Low interest rate must be greater than or equal to zero.</v>
      </c>
      <c r="H3158" s="25" t="str">
        <f t="shared" ca="1" si="351"/>
        <v/>
      </c>
      <c r="I3158" s="25" t="str">
        <f t="shared" ca="1" si="352"/>
        <v/>
      </c>
      <c r="J3158" s="26" t="str">
        <f t="shared" ca="1" si="353"/>
        <v/>
      </c>
    </row>
    <row r="3159" spans="1:10" x14ac:dyDescent="0.25">
      <c r="A3159" t="s">
        <v>663</v>
      </c>
      <c r="B3159" t="str">
        <f>ADDRESS(ROW('PAYG 1'!$B$10),COLUMN('PAYG 1'!$B$10),4)</f>
        <v>B10</v>
      </c>
      <c r="C3159" t="str">
        <f>ADDRESS(ROW('PAYG 1'!$D$10),COLUMN('PAYG 1'!$D$10),4)</f>
        <v>D10</v>
      </c>
      <c r="D3159" t="b" cm="1">
        <f t="array" aca="1" ref="D3159" ca="1">IF(INDIRECT("'"&amp;A3159&amp;"'!"&amp;B3159)="",FALSE,IF(INDIRECT("'"&amp;A3159&amp;"'!"&amp;B3159)&lt;0,TRUE,FALSE))</f>
        <v>0</v>
      </c>
      <c r="E3159" t="s">
        <v>760</v>
      </c>
      <c r="F3159" t="str">
        <f>INDEX(Lists!I:I,MATCH(Validation!E3159,Lists!G:G,0))</f>
        <v>Error</v>
      </c>
      <c r="G3159" t="str">
        <f>INDEX(Lists!H:H,MATCH(Validation!E3159,Lists!G:G,0))</f>
        <v>Low interest rate must be greater than or equal to zero.</v>
      </c>
      <c r="H3159" s="25" t="str">
        <f t="shared" ca="1" si="351"/>
        <v/>
      </c>
      <c r="I3159" s="25" t="str">
        <f t="shared" ca="1" si="352"/>
        <v/>
      </c>
      <c r="J3159" s="26" t="str">
        <f t="shared" ca="1" si="353"/>
        <v/>
      </c>
    </row>
    <row r="3160" spans="1:10" x14ac:dyDescent="0.25">
      <c r="A3160" t="s">
        <v>664</v>
      </c>
      <c r="B3160" t="str">
        <f>ADDRESS(ROW('PAYG 1'!$B$10),COLUMN('PAYG 1'!$B$10),4)</f>
        <v>B10</v>
      </c>
      <c r="C3160" t="str">
        <f>ADDRESS(ROW('PAYG 1'!$D$10),COLUMN('PAYG 1'!$D$10),4)</f>
        <v>D10</v>
      </c>
      <c r="D3160" t="b" cm="1">
        <f t="array" aca="1" ref="D3160" ca="1">IF(INDIRECT("'"&amp;A3160&amp;"'!"&amp;B3160)="",FALSE,IF(INDIRECT("'"&amp;A3160&amp;"'!"&amp;B3160)&lt;0,TRUE,FALSE))</f>
        <v>0</v>
      </c>
      <c r="E3160" t="s">
        <v>760</v>
      </c>
      <c r="F3160" t="str">
        <f>INDEX(Lists!I:I,MATCH(Validation!E3160,Lists!G:G,0))</f>
        <v>Error</v>
      </c>
      <c r="G3160" t="str">
        <f>INDEX(Lists!H:H,MATCH(Validation!E3160,Lists!G:G,0))</f>
        <v>Low interest rate must be greater than or equal to zero.</v>
      </c>
      <c r="H3160" s="25" t="str">
        <f t="shared" ca="1" si="351"/>
        <v/>
      </c>
      <c r="I3160" s="25" t="str">
        <f t="shared" ca="1" si="352"/>
        <v/>
      </c>
      <c r="J3160" s="26" t="str">
        <f t="shared" ca="1" si="353"/>
        <v/>
      </c>
    </row>
    <row r="3161" spans="1:10" x14ac:dyDescent="0.25">
      <c r="A3161" t="s">
        <v>203</v>
      </c>
      <c r="B3161" t="str">
        <f>ADDRESS(ROW('PAYG 1'!$B$10),COLUMN('PAYG 1'!$B$10),4)</f>
        <v>B10</v>
      </c>
      <c r="C3161" t="str">
        <f>ADDRESS(ROW('PAYG 1'!$D$10),COLUMN('PAYG 1'!$D$10),4)</f>
        <v>D10</v>
      </c>
      <c r="D3161" t="b" cm="1">
        <f t="array" aca="1" ref="D3161" ca="1">IF(INDIRECT("'"&amp;A3161&amp;"'!"&amp;B3161)="",FALSE,IF(INDIRECT("'"&amp;A3161&amp;"'!"&amp;B3161)&gt;9,TRUE,FALSE))</f>
        <v>0</v>
      </c>
      <c r="E3161" t="s">
        <v>707</v>
      </c>
      <c r="F3161" t="str">
        <f>INDEX(Lists!I:I,MATCH(Validation!E3161,Lists!G:G,0))</f>
        <v>Alert</v>
      </c>
      <c r="G3161" t="str">
        <f>INDEX(Lists!H:H,MATCH(Validation!E3161,Lists!G:G,0))</f>
        <v>Low interest rate exceeds typical rates. Correct entry or explain in comments box.</v>
      </c>
      <c r="H3161" s="25" t="str">
        <f t="shared" ca="1" si="351"/>
        <v/>
      </c>
      <c r="I3161" s="25" t="str">
        <f t="shared" ca="1" si="352"/>
        <v/>
      </c>
      <c r="J3161" s="26" t="str">
        <f t="shared" ca="1" si="353"/>
        <v/>
      </c>
    </row>
    <row r="3162" spans="1:10" x14ac:dyDescent="0.25">
      <c r="A3162" t="s">
        <v>651</v>
      </c>
      <c r="B3162" t="str">
        <f>ADDRESS(ROW('PAYG 1'!$B$10),COLUMN('PAYG 1'!$B$10),4)</f>
        <v>B10</v>
      </c>
      <c r="C3162" t="str">
        <f>ADDRESS(ROW('PAYG 1'!$D$10),COLUMN('PAYG 1'!$D$10),4)</f>
        <v>D10</v>
      </c>
      <c r="D3162" t="b" cm="1">
        <f t="array" aca="1" ref="D3162" ca="1">IF(INDIRECT("'"&amp;A3162&amp;"'!"&amp;B3162)="",FALSE,IF(INDIRECT("'"&amp;A3162&amp;"'!"&amp;B3162)&gt;9,TRUE,FALSE))</f>
        <v>0</v>
      </c>
      <c r="E3162" t="s">
        <v>707</v>
      </c>
      <c r="F3162" t="str">
        <f>INDEX(Lists!I:I,MATCH(Validation!E3162,Lists!G:G,0))</f>
        <v>Alert</v>
      </c>
      <c r="G3162" t="str">
        <f>INDEX(Lists!H:H,MATCH(Validation!E3162,Lists!G:G,0))</f>
        <v>Low interest rate exceeds typical rates. Correct entry or explain in comments box.</v>
      </c>
      <c r="H3162" s="25" t="str">
        <f t="shared" ca="1" si="351"/>
        <v/>
      </c>
      <c r="I3162" s="25" t="str">
        <f t="shared" ca="1" si="352"/>
        <v/>
      </c>
      <c r="J3162" s="26" t="str">
        <f t="shared" ca="1" si="353"/>
        <v/>
      </c>
    </row>
    <row r="3163" spans="1:10" x14ac:dyDescent="0.25">
      <c r="A3163" t="s">
        <v>652</v>
      </c>
      <c r="B3163" t="str">
        <f>ADDRESS(ROW('PAYG 1'!$B$10),COLUMN('PAYG 1'!$B$10),4)</f>
        <v>B10</v>
      </c>
      <c r="C3163" t="str">
        <f>ADDRESS(ROW('PAYG 1'!$D$10),COLUMN('PAYG 1'!$D$10),4)</f>
        <v>D10</v>
      </c>
      <c r="D3163" t="b" cm="1">
        <f t="array" aca="1" ref="D3163" ca="1">IF(INDIRECT("'"&amp;A3163&amp;"'!"&amp;B3163)="",FALSE,IF(INDIRECT("'"&amp;A3163&amp;"'!"&amp;B3163)&gt;9,TRUE,FALSE))</f>
        <v>0</v>
      </c>
      <c r="E3163" t="s">
        <v>707</v>
      </c>
      <c r="F3163" t="str">
        <f>INDEX(Lists!I:I,MATCH(Validation!E3163,Lists!G:G,0))</f>
        <v>Alert</v>
      </c>
      <c r="G3163" t="str">
        <f>INDEX(Lists!H:H,MATCH(Validation!E3163,Lists!G:G,0))</f>
        <v>Low interest rate exceeds typical rates. Correct entry or explain in comments box.</v>
      </c>
      <c r="H3163" s="25" t="str">
        <f t="shared" ca="1" si="351"/>
        <v/>
      </c>
      <c r="I3163" s="25" t="str">
        <f t="shared" ca="1" si="352"/>
        <v/>
      </c>
      <c r="J3163" s="26" t="str">
        <f t="shared" ca="1" si="353"/>
        <v/>
      </c>
    </row>
    <row r="3164" spans="1:10" x14ac:dyDescent="0.25">
      <c r="A3164" t="s">
        <v>653</v>
      </c>
      <c r="B3164" t="str">
        <f>ADDRESS(ROW('PAYG 1'!$B$10),COLUMN('PAYG 1'!$B$10),4)</f>
        <v>B10</v>
      </c>
      <c r="C3164" t="str">
        <f>ADDRESS(ROW('PAYG 1'!$D$10),COLUMN('PAYG 1'!$D$10),4)</f>
        <v>D10</v>
      </c>
      <c r="D3164" t="b" cm="1">
        <f t="array" aca="1" ref="D3164" ca="1">IF(INDIRECT("'"&amp;A3164&amp;"'!"&amp;B3164)="",FALSE,IF(INDIRECT("'"&amp;A3164&amp;"'!"&amp;B3164)&gt;9,TRUE,FALSE))</f>
        <v>0</v>
      </c>
      <c r="E3164" t="s">
        <v>707</v>
      </c>
      <c r="F3164" t="str">
        <f>INDEX(Lists!I:I,MATCH(Validation!E3164,Lists!G:G,0))</f>
        <v>Alert</v>
      </c>
      <c r="G3164" t="str">
        <f>INDEX(Lists!H:H,MATCH(Validation!E3164,Lists!G:G,0))</f>
        <v>Low interest rate exceeds typical rates. Correct entry or explain in comments box.</v>
      </c>
      <c r="H3164" s="25" t="str">
        <f t="shared" ca="1" si="351"/>
        <v/>
      </c>
      <c r="I3164" s="25" t="str">
        <f t="shared" ca="1" si="352"/>
        <v/>
      </c>
      <c r="J3164" s="26" t="str">
        <f t="shared" ca="1" si="353"/>
        <v/>
      </c>
    </row>
    <row r="3165" spans="1:10" x14ac:dyDescent="0.25">
      <c r="A3165" t="s">
        <v>654</v>
      </c>
      <c r="B3165" t="str">
        <f>ADDRESS(ROW('PAYG 1'!$B$10),COLUMN('PAYG 1'!$B$10),4)</f>
        <v>B10</v>
      </c>
      <c r="C3165" t="str">
        <f>ADDRESS(ROW('PAYG 1'!$D$10),COLUMN('PAYG 1'!$D$10),4)</f>
        <v>D10</v>
      </c>
      <c r="D3165" t="b" cm="1">
        <f t="array" aca="1" ref="D3165" ca="1">IF(INDIRECT("'"&amp;A3165&amp;"'!"&amp;B3165)="",FALSE,IF(INDIRECT("'"&amp;A3165&amp;"'!"&amp;B3165)&gt;9,TRUE,FALSE))</f>
        <v>0</v>
      </c>
      <c r="E3165" t="s">
        <v>707</v>
      </c>
      <c r="F3165" t="str">
        <f>INDEX(Lists!I:I,MATCH(Validation!E3165,Lists!G:G,0))</f>
        <v>Alert</v>
      </c>
      <c r="G3165" t="str">
        <f>INDEX(Lists!H:H,MATCH(Validation!E3165,Lists!G:G,0))</f>
        <v>Low interest rate exceeds typical rates. Correct entry or explain in comments box.</v>
      </c>
      <c r="H3165" s="25" t="str">
        <f t="shared" ca="1" si="351"/>
        <v/>
      </c>
      <c r="I3165" s="25" t="str">
        <f t="shared" ca="1" si="352"/>
        <v/>
      </c>
      <c r="J3165" s="26" t="str">
        <f t="shared" ca="1" si="353"/>
        <v/>
      </c>
    </row>
    <row r="3166" spans="1:10" x14ac:dyDescent="0.25">
      <c r="A3166" t="s">
        <v>655</v>
      </c>
      <c r="B3166" t="str">
        <f>ADDRESS(ROW('PAYG 1'!$B$10),COLUMN('PAYG 1'!$B$10),4)</f>
        <v>B10</v>
      </c>
      <c r="C3166" t="str">
        <f>ADDRESS(ROW('PAYG 1'!$D$10),COLUMN('PAYG 1'!$D$10),4)</f>
        <v>D10</v>
      </c>
      <c r="D3166" t="b" cm="1">
        <f t="array" aca="1" ref="D3166" ca="1">IF(INDIRECT("'"&amp;A3166&amp;"'!"&amp;B3166)="",FALSE,IF(INDIRECT("'"&amp;A3166&amp;"'!"&amp;B3166)&gt;9,TRUE,FALSE))</f>
        <v>0</v>
      </c>
      <c r="E3166" t="s">
        <v>707</v>
      </c>
      <c r="F3166" t="str">
        <f>INDEX(Lists!I:I,MATCH(Validation!E3166,Lists!G:G,0))</f>
        <v>Alert</v>
      </c>
      <c r="G3166" t="str">
        <f>INDEX(Lists!H:H,MATCH(Validation!E3166,Lists!G:G,0))</f>
        <v>Low interest rate exceeds typical rates. Correct entry or explain in comments box.</v>
      </c>
      <c r="H3166" s="25" t="str">
        <f t="shared" ca="1" si="351"/>
        <v/>
      </c>
      <c r="I3166" s="25" t="str">
        <f t="shared" ca="1" si="352"/>
        <v/>
      </c>
      <c r="J3166" s="26" t="str">
        <f t="shared" ca="1" si="353"/>
        <v/>
      </c>
    </row>
    <row r="3167" spans="1:10" x14ac:dyDescent="0.25">
      <c r="A3167" t="s">
        <v>656</v>
      </c>
      <c r="B3167" t="str">
        <f>ADDRESS(ROW('PAYG 1'!$B$10),COLUMN('PAYG 1'!$B$10),4)</f>
        <v>B10</v>
      </c>
      <c r="C3167" t="str">
        <f>ADDRESS(ROW('PAYG 1'!$D$10),COLUMN('PAYG 1'!$D$10),4)</f>
        <v>D10</v>
      </c>
      <c r="D3167" t="b" cm="1">
        <f t="array" aca="1" ref="D3167" ca="1">IF(INDIRECT("'"&amp;A3167&amp;"'!"&amp;B3167)="",FALSE,IF(INDIRECT("'"&amp;A3167&amp;"'!"&amp;B3167)&gt;9,TRUE,FALSE))</f>
        <v>0</v>
      </c>
      <c r="E3167" t="s">
        <v>707</v>
      </c>
      <c r="F3167" t="str">
        <f>INDEX(Lists!I:I,MATCH(Validation!E3167,Lists!G:G,0))</f>
        <v>Alert</v>
      </c>
      <c r="G3167" t="str">
        <f>INDEX(Lists!H:H,MATCH(Validation!E3167,Lists!G:G,0))</f>
        <v>Low interest rate exceeds typical rates. Correct entry or explain in comments box.</v>
      </c>
      <c r="H3167" s="25" t="str">
        <f t="shared" ca="1" si="351"/>
        <v/>
      </c>
      <c r="I3167" s="25" t="str">
        <f t="shared" ca="1" si="352"/>
        <v/>
      </c>
      <c r="J3167" s="26" t="str">
        <f t="shared" ca="1" si="353"/>
        <v/>
      </c>
    </row>
    <row r="3168" spans="1:10" x14ac:dyDescent="0.25">
      <c r="A3168" t="s">
        <v>657</v>
      </c>
      <c r="B3168" t="str">
        <f>ADDRESS(ROW('PAYG 1'!$B$10),COLUMN('PAYG 1'!$B$10),4)</f>
        <v>B10</v>
      </c>
      <c r="C3168" t="str">
        <f>ADDRESS(ROW('PAYG 1'!$D$10),COLUMN('PAYG 1'!$D$10),4)</f>
        <v>D10</v>
      </c>
      <c r="D3168" t="b" cm="1">
        <f t="array" aca="1" ref="D3168" ca="1">IF(INDIRECT("'"&amp;A3168&amp;"'!"&amp;B3168)="",FALSE,IF(INDIRECT("'"&amp;A3168&amp;"'!"&amp;B3168)&gt;9,TRUE,FALSE))</f>
        <v>0</v>
      </c>
      <c r="E3168" t="s">
        <v>707</v>
      </c>
      <c r="F3168" t="str">
        <f>INDEX(Lists!I:I,MATCH(Validation!E3168,Lists!G:G,0))</f>
        <v>Alert</v>
      </c>
      <c r="G3168" t="str">
        <f>INDEX(Lists!H:H,MATCH(Validation!E3168,Lists!G:G,0))</f>
        <v>Low interest rate exceeds typical rates. Correct entry or explain in comments box.</v>
      </c>
      <c r="H3168" s="25" t="str">
        <f t="shared" ca="1" si="351"/>
        <v/>
      </c>
      <c r="I3168" s="25" t="str">
        <f t="shared" ca="1" si="352"/>
        <v/>
      </c>
      <c r="J3168" s="26" t="str">
        <f t="shared" ca="1" si="353"/>
        <v/>
      </c>
    </row>
    <row r="3169" spans="1:10" x14ac:dyDescent="0.25">
      <c r="A3169" t="s">
        <v>658</v>
      </c>
      <c r="B3169" t="str">
        <f>ADDRESS(ROW('PAYG 1'!$B$10),COLUMN('PAYG 1'!$B$10),4)</f>
        <v>B10</v>
      </c>
      <c r="C3169" t="str">
        <f>ADDRESS(ROW('PAYG 1'!$D$10),COLUMN('PAYG 1'!$D$10),4)</f>
        <v>D10</v>
      </c>
      <c r="D3169" t="b" cm="1">
        <f t="array" aca="1" ref="D3169" ca="1">IF(INDIRECT("'"&amp;A3169&amp;"'!"&amp;B3169)="",FALSE,IF(INDIRECT("'"&amp;A3169&amp;"'!"&amp;B3169)&gt;9,TRUE,FALSE))</f>
        <v>0</v>
      </c>
      <c r="E3169" t="s">
        <v>707</v>
      </c>
      <c r="F3169" t="str">
        <f>INDEX(Lists!I:I,MATCH(Validation!E3169,Lists!G:G,0))</f>
        <v>Alert</v>
      </c>
      <c r="G3169" t="str">
        <f>INDEX(Lists!H:H,MATCH(Validation!E3169,Lists!G:G,0))</f>
        <v>Low interest rate exceeds typical rates. Correct entry or explain in comments box.</v>
      </c>
      <c r="H3169" s="25" t="str">
        <f t="shared" ca="1" si="351"/>
        <v/>
      </c>
      <c r="I3169" s="25" t="str">
        <f t="shared" ca="1" si="352"/>
        <v/>
      </c>
      <c r="J3169" s="26" t="str">
        <f t="shared" ca="1" si="353"/>
        <v/>
      </c>
    </row>
    <row r="3170" spans="1:10" x14ac:dyDescent="0.25">
      <c r="A3170" t="s">
        <v>659</v>
      </c>
      <c r="B3170" t="str">
        <f>ADDRESS(ROW('PAYG 1'!$B$10),COLUMN('PAYG 1'!$B$10),4)</f>
        <v>B10</v>
      </c>
      <c r="C3170" t="str">
        <f>ADDRESS(ROW('PAYG 1'!$D$10),COLUMN('PAYG 1'!$D$10),4)</f>
        <v>D10</v>
      </c>
      <c r="D3170" t="b" cm="1">
        <f t="array" aca="1" ref="D3170" ca="1">IF(INDIRECT("'"&amp;A3170&amp;"'!"&amp;B3170)="",FALSE,IF(INDIRECT("'"&amp;A3170&amp;"'!"&amp;B3170)&gt;9,TRUE,FALSE))</f>
        <v>0</v>
      </c>
      <c r="E3170" t="s">
        <v>707</v>
      </c>
      <c r="F3170" t="str">
        <f>INDEX(Lists!I:I,MATCH(Validation!E3170,Lists!G:G,0))</f>
        <v>Alert</v>
      </c>
      <c r="G3170" t="str">
        <f>INDEX(Lists!H:H,MATCH(Validation!E3170,Lists!G:G,0))</f>
        <v>Low interest rate exceeds typical rates. Correct entry or explain in comments box.</v>
      </c>
      <c r="H3170" s="25" t="str">
        <f t="shared" ca="1" si="351"/>
        <v/>
      </c>
      <c r="I3170" s="25" t="str">
        <f t="shared" ca="1" si="352"/>
        <v/>
      </c>
      <c r="J3170" s="26" t="str">
        <f t="shared" ca="1" si="353"/>
        <v/>
      </c>
    </row>
    <row r="3171" spans="1:10" x14ac:dyDescent="0.25">
      <c r="A3171" t="s">
        <v>660</v>
      </c>
      <c r="B3171" t="str">
        <f>ADDRESS(ROW('PAYG 1'!$B$10),COLUMN('PAYG 1'!$B$10),4)</f>
        <v>B10</v>
      </c>
      <c r="C3171" t="str">
        <f>ADDRESS(ROW('PAYG 1'!$D$10),COLUMN('PAYG 1'!$D$10),4)</f>
        <v>D10</v>
      </c>
      <c r="D3171" t="b" cm="1">
        <f t="array" aca="1" ref="D3171" ca="1">IF(INDIRECT("'"&amp;A3171&amp;"'!"&amp;B3171)="",FALSE,IF(INDIRECT("'"&amp;A3171&amp;"'!"&amp;B3171)&gt;9,TRUE,FALSE))</f>
        <v>0</v>
      </c>
      <c r="E3171" t="s">
        <v>707</v>
      </c>
      <c r="F3171" t="str">
        <f>INDEX(Lists!I:I,MATCH(Validation!E3171,Lists!G:G,0))</f>
        <v>Alert</v>
      </c>
      <c r="G3171" t="str">
        <f>INDEX(Lists!H:H,MATCH(Validation!E3171,Lists!G:G,0))</f>
        <v>Low interest rate exceeds typical rates. Correct entry or explain in comments box.</v>
      </c>
      <c r="H3171" s="25" t="str">
        <f t="shared" ca="1" si="351"/>
        <v/>
      </c>
      <c r="I3171" s="25" t="str">
        <f t="shared" ca="1" si="352"/>
        <v/>
      </c>
      <c r="J3171" s="26" t="str">
        <f t="shared" ca="1" si="353"/>
        <v/>
      </c>
    </row>
    <row r="3172" spans="1:10" x14ac:dyDescent="0.25">
      <c r="A3172" t="s">
        <v>661</v>
      </c>
      <c r="B3172" t="str">
        <f>ADDRESS(ROW('PAYG 1'!$B$10),COLUMN('PAYG 1'!$B$10),4)</f>
        <v>B10</v>
      </c>
      <c r="C3172" t="str">
        <f>ADDRESS(ROW('PAYG 1'!$D$10),COLUMN('PAYG 1'!$D$10),4)</f>
        <v>D10</v>
      </c>
      <c r="D3172" t="b" cm="1">
        <f t="array" aca="1" ref="D3172" ca="1">IF(INDIRECT("'"&amp;A3172&amp;"'!"&amp;B3172)="",FALSE,IF(INDIRECT("'"&amp;A3172&amp;"'!"&amp;B3172)&gt;9,TRUE,FALSE))</f>
        <v>0</v>
      </c>
      <c r="E3172" t="s">
        <v>707</v>
      </c>
      <c r="F3172" t="str">
        <f>INDEX(Lists!I:I,MATCH(Validation!E3172,Lists!G:G,0))</f>
        <v>Alert</v>
      </c>
      <c r="G3172" t="str">
        <f>INDEX(Lists!H:H,MATCH(Validation!E3172,Lists!G:G,0))</f>
        <v>Low interest rate exceeds typical rates. Correct entry or explain in comments box.</v>
      </c>
      <c r="H3172" s="25" t="str">
        <f t="shared" ca="1" si="351"/>
        <v/>
      </c>
      <c r="I3172" s="25" t="str">
        <f t="shared" ca="1" si="352"/>
        <v/>
      </c>
      <c r="J3172" s="26" t="str">
        <f t="shared" ca="1" si="353"/>
        <v/>
      </c>
    </row>
    <row r="3173" spans="1:10" x14ac:dyDescent="0.25">
      <c r="A3173" t="s">
        <v>662</v>
      </c>
      <c r="B3173" t="str">
        <f>ADDRESS(ROW('PAYG 1'!$B$10),COLUMN('PAYG 1'!$B$10),4)</f>
        <v>B10</v>
      </c>
      <c r="C3173" t="str">
        <f>ADDRESS(ROW('PAYG 1'!$D$10),COLUMN('PAYG 1'!$D$10),4)</f>
        <v>D10</v>
      </c>
      <c r="D3173" t="b" cm="1">
        <f t="array" aca="1" ref="D3173" ca="1">IF(INDIRECT("'"&amp;A3173&amp;"'!"&amp;B3173)="",FALSE,IF(INDIRECT("'"&amp;A3173&amp;"'!"&amp;B3173)&gt;9,TRUE,FALSE))</f>
        <v>0</v>
      </c>
      <c r="E3173" t="s">
        <v>707</v>
      </c>
      <c r="F3173" t="str">
        <f>INDEX(Lists!I:I,MATCH(Validation!E3173,Lists!G:G,0))</f>
        <v>Alert</v>
      </c>
      <c r="G3173" t="str">
        <f>INDEX(Lists!H:H,MATCH(Validation!E3173,Lists!G:G,0))</f>
        <v>Low interest rate exceeds typical rates. Correct entry or explain in comments box.</v>
      </c>
      <c r="H3173" s="25" t="str">
        <f t="shared" ref="H3173:H3236" ca="1" si="354">IFERROR(IF(OR(NOT(D3173),F3173&lt;&gt;"Error"),"",A3173&amp;CELL("address",INDIRECT(B3173))),"")</f>
        <v/>
      </c>
      <c r="I3173" s="25" t="str">
        <f t="shared" ref="I3173:I3236" ca="1" si="355">IFERROR(IF(NOT(D3173),"",A3173&amp;CELL("address",INDIRECT(C3173))),"")</f>
        <v/>
      </c>
      <c r="J3173" s="26" t="str">
        <f t="shared" ref="J3173:J3236" ca="1" si="356">IFERROR(IF(NOT(D3173),"",A3173),"")</f>
        <v/>
      </c>
    </row>
    <row r="3174" spans="1:10" x14ac:dyDescent="0.25">
      <c r="A3174" t="s">
        <v>663</v>
      </c>
      <c r="B3174" t="str">
        <f>ADDRESS(ROW('PAYG 1'!$B$10),COLUMN('PAYG 1'!$B$10),4)</f>
        <v>B10</v>
      </c>
      <c r="C3174" t="str">
        <f>ADDRESS(ROW('PAYG 1'!$D$10),COLUMN('PAYG 1'!$D$10),4)</f>
        <v>D10</v>
      </c>
      <c r="D3174" t="b" cm="1">
        <f t="array" aca="1" ref="D3174" ca="1">IF(INDIRECT("'"&amp;A3174&amp;"'!"&amp;B3174)="",FALSE,IF(INDIRECT("'"&amp;A3174&amp;"'!"&amp;B3174)&gt;9,TRUE,FALSE))</f>
        <v>0</v>
      </c>
      <c r="E3174" t="s">
        <v>707</v>
      </c>
      <c r="F3174" t="str">
        <f>INDEX(Lists!I:I,MATCH(Validation!E3174,Lists!G:G,0))</f>
        <v>Alert</v>
      </c>
      <c r="G3174" t="str">
        <f>INDEX(Lists!H:H,MATCH(Validation!E3174,Lists!G:G,0))</f>
        <v>Low interest rate exceeds typical rates. Correct entry or explain in comments box.</v>
      </c>
      <c r="H3174" s="25" t="str">
        <f t="shared" ca="1" si="354"/>
        <v/>
      </c>
      <c r="I3174" s="25" t="str">
        <f t="shared" ca="1" si="355"/>
        <v/>
      </c>
      <c r="J3174" s="26" t="str">
        <f t="shared" ca="1" si="356"/>
        <v/>
      </c>
    </row>
    <row r="3175" spans="1:10" x14ac:dyDescent="0.25">
      <c r="A3175" t="s">
        <v>664</v>
      </c>
      <c r="B3175" t="str">
        <f>ADDRESS(ROW('PAYG 1'!$B$10),COLUMN('PAYG 1'!$B$10),4)</f>
        <v>B10</v>
      </c>
      <c r="C3175" t="str">
        <f>ADDRESS(ROW('PAYG 1'!$D$10),COLUMN('PAYG 1'!$D$10),4)</f>
        <v>D10</v>
      </c>
      <c r="D3175" t="b" cm="1">
        <f t="array" aca="1" ref="D3175" ca="1">IF(INDIRECT("'"&amp;A3175&amp;"'!"&amp;B3175)="",FALSE,IF(INDIRECT("'"&amp;A3175&amp;"'!"&amp;B3175)&gt;9,TRUE,FALSE))</f>
        <v>0</v>
      </c>
      <c r="E3175" t="s">
        <v>707</v>
      </c>
      <c r="F3175" t="str">
        <f>INDEX(Lists!I:I,MATCH(Validation!E3175,Lists!G:G,0))</f>
        <v>Alert</v>
      </c>
      <c r="G3175" t="str">
        <f>INDEX(Lists!H:H,MATCH(Validation!E3175,Lists!G:G,0))</f>
        <v>Low interest rate exceeds typical rates. Correct entry or explain in comments box.</v>
      </c>
      <c r="H3175" s="25" t="str">
        <f t="shared" ca="1" si="354"/>
        <v/>
      </c>
      <c r="I3175" s="25" t="str">
        <f t="shared" ca="1" si="355"/>
        <v/>
      </c>
      <c r="J3175" s="26" t="str">
        <f t="shared" ca="1" si="356"/>
        <v/>
      </c>
    </row>
    <row r="3176" spans="1:10" x14ac:dyDescent="0.25">
      <c r="A3176" t="s">
        <v>203</v>
      </c>
      <c r="B3176" t="str">
        <f>ADDRESS(ROW('PAYG 1'!$B$10),COLUMN('PAYG 1'!$B$10),4)</f>
        <v>B10</v>
      </c>
      <c r="C3176" t="str">
        <f>ADDRESS(ROW('PAYG 1'!$D$10),COLUMN('PAYG 1'!$D$10),4)</f>
        <v>D10</v>
      </c>
      <c r="D3176" t="b" cm="1">
        <f t="array" aca="1" ref="D3176" ca="1">IF(INDIRECT("'"&amp;A3176&amp;"'!"&amp;B3176)="",FALSE,IF(TRUNC(INDIRECT("'"&amp;A3176&amp;"'!"&amp;B3176),3)=INDIRECT("'"&amp;A3176&amp;"'!"&amp;B3176),FALSE,TRUE))</f>
        <v>0</v>
      </c>
      <c r="E3176" t="s">
        <v>616</v>
      </c>
      <c r="F3176" t="str">
        <f>INDEX(Lists!I:I,MATCH(Validation!E3176,Lists!G:G,0))</f>
        <v>Error</v>
      </c>
      <c r="G3176" t="str">
        <f>INDEX(Lists!H:H,MATCH(Validation!E3176,Lists!G:G,0))</f>
        <v>Interest rate cannot have more than three decimals.</v>
      </c>
      <c r="H3176" s="25" t="str">
        <f t="shared" ca="1" si="354"/>
        <v/>
      </c>
      <c r="I3176" s="25" t="str">
        <f t="shared" ca="1" si="355"/>
        <v/>
      </c>
      <c r="J3176" s="26" t="str">
        <f t="shared" ca="1" si="356"/>
        <v/>
      </c>
    </row>
    <row r="3177" spans="1:10" x14ac:dyDescent="0.25">
      <c r="A3177" t="s">
        <v>651</v>
      </c>
      <c r="B3177" t="str">
        <f>ADDRESS(ROW('PAYG 1'!$B$10),COLUMN('PAYG 1'!$B$10),4)</f>
        <v>B10</v>
      </c>
      <c r="C3177" t="str">
        <f>ADDRESS(ROW('PAYG 1'!$D$10),COLUMN('PAYG 1'!$D$10),4)</f>
        <v>D10</v>
      </c>
      <c r="D3177" t="b" cm="1">
        <f t="array" aca="1" ref="D3177" ca="1">IF(INDIRECT("'"&amp;A3177&amp;"'!"&amp;B3177)="",FALSE,IF(TRUNC(INDIRECT("'"&amp;A3177&amp;"'!"&amp;B3177),3)=INDIRECT("'"&amp;A3177&amp;"'!"&amp;B3177),FALSE,TRUE))</f>
        <v>0</v>
      </c>
      <c r="E3177" t="s">
        <v>616</v>
      </c>
      <c r="F3177" t="str">
        <f>INDEX(Lists!I:I,MATCH(Validation!E3177,Lists!G:G,0))</f>
        <v>Error</v>
      </c>
      <c r="G3177" t="str">
        <f>INDEX(Lists!H:H,MATCH(Validation!E3177,Lists!G:G,0))</f>
        <v>Interest rate cannot have more than three decimals.</v>
      </c>
      <c r="H3177" s="25" t="str">
        <f t="shared" ca="1" si="354"/>
        <v/>
      </c>
      <c r="I3177" s="25" t="str">
        <f t="shared" ca="1" si="355"/>
        <v/>
      </c>
      <c r="J3177" s="26" t="str">
        <f t="shared" ca="1" si="356"/>
        <v/>
      </c>
    </row>
    <row r="3178" spans="1:10" x14ac:dyDescent="0.25">
      <c r="A3178" t="s">
        <v>652</v>
      </c>
      <c r="B3178" t="str">
        <f>ADDRESS(ROW('PAYG 1'!$B$10),COLUMN('PAYG 1'!$B$10),4)</f>
        <v>B10</v>
      </c>
      <c r="C3178" t="str">
        <f>ADDRESS(ROW('PAYG 1'!$D$10),COLUMN('PAYG 1'!$D$10),4)</f>
        <v>D10</v>
      </c>
      <c r="D3178" t="b" cm="1">
        <f t="array" aca="1" ref="D3178" ca="1">IF(INDIRECT("'"&amp;A3178&amp;"'!"&amp;B3178)="",FALSE,IF(TRUNC(INDIRECT("'"&amp;A3178&amp;"'!"&amp;B3178),3)=INDIRECT("'"&amp;A3178&amp;"'!"&amp;B3178),FALSE,TRUE))</f>
        <v>0</v>
      </c>
      <c r="E3178" t="s">
        <v>616</v>
      </c>
      <c r="F3178" t="str">
        <f>INDEX(Lists!I:I,MATCH(Validation!E3178,Lists!G:G,0))</f>
        <v>Error</v>
      </c>
      <c r="G3178" t="str">
        <f>INDEX(Lists!H:H,MATCH(Validation!E3178,Lists!G:G,0))</f>
        <v>Interest rate cannot have more than three decimals.</v>
      </c>
      <c r="H3178" s="25" t="str">
        <f t="shared" ca="1" si="354"/>
        <v/>
      </c>
      <c r="I3178" s="25" t="str">
        <f t="shared" ca="1" si="355"/>
        <v/>
      </c>
      <c r="J3178" s="26" t="str">
        <f t="shared" ca="1" si="356"/>
        <v/>
      </c>
    </row>
    <row r="3179" spans="1:10" x14ac:dyDescent="0.25">
      <c r="A3179" t="s">
        <v>653</v>
      </c>
      <c r="B3179" t="str">
        <f>ADDRESS(ROW('PAYG 1'!$B$10),COLUMN('PAYG 1'!$B$10),4)</f>
        <v>B10</v>
      </c>
      <c r="C3179" t="str">
        <f>ADDRESS(ROW('PAYG 1'!$D$10),COLUMN('PAYG 1'!$D$10),4)</f>
        <v>D10</v>
      </c>
      <c r="D3179" t="b" cm="1">
        <f t="array" aca="1" ref="D3179" ca="1">IF(INDIRECT("'"&amp;A3179&amp;"'!"&amp;B3179)="",FALSE,IF(TRUNC(INDIRECT("'"&amp;A3179&amp;"'!"&amp;B3179),3)=INDIRECT("'"&amp;A3179&amp;"'!"&amp;B3179),FALSE,TRUE))</f>
        <v>0</v>
      </c>
      <c r="E3179" t="s">
        <v>616</v>
      </c>
      <c r="F3179" t="str">
        <f>INDEX(Lists!I:I,MATCH(Validation!E3179,Lists!G:G,0))</f>
        <v>Error</v>
      </c>
      <c r="G3179" t="str">
        <f>INDEX(Lists!H:H,MATCH(Validation!E3179,Lists!G:G,0))</f>
        <v>Interest rate cannot have more than three decimals.</v>
      </c>
      <c r="H3179" s="25" t="str">
        <f t="shared" ca="1" si="354"/>
        <v/>
      </c>
      <c r="I3179" s="25" t="str">
        <f t="shared" ca="1" si="355"/>
        <v/>
      </c>
      <c r="J3179" s="26" t="str">
        <f t="shared" ca="1" si="356"/>
        <v/>
      </c>
    </row>
    <row r="3180" spans="1:10" x14ac:dyDescent="0.25">
      <c r="A3180" t="s">
        <v>654</v>
      </c>
      <c r="B3180" t="str">
        <f>ADDRESS(ROW('PAYG 1'!$B$10),COLUMN('PAYG 1'!$B$10),4)</f>
        <v>B10</v>
      </c>
      <c r="C3180" t="str">
        <f>ADDRESS(ROW('PAYG 1'!$D$10),COLUMN('PAYG 1'!$D$10),4)</f>
        <v>D10</v>
      </c>
      <c r="D3180" t="b" cm="1">
        <f t="array" aca="1" ref="D3180" ca="1">IF(INDIRECT("'"&amp;A3180&amp;"'!"&amp;B3180)="",FALSE,IF(TRUNC(INDIRECT("'"&amp;A3180&amp;"'!"&amp;B3180),3)=INDIRECT("'"&amp;A3180&amp;"'!"&amp;B3180),FALSE,TRUE))</f>
        <v>0</v>
      </c>
      <c r="E3180" t="s">
        <v>616</v>
      </c>
      <c r="F3180" t="str">
        <f>INDEX(Lists!I:I,MATCH(Validation!E3180,Lists!G:G,0))</f>
        <v>Error</v>
      </c>
      <c r="G3180" t="str">
        <f>INDEX(Lists!H:H,MATCH(Validation!E3180,Lists!G:G,0))</f>
        <v>Interest rate cannot have more than three decimals.</v>
      </c>
      <c r="H3180" s="25" t="str">
        <f t="shared" ca="1" si="354"/>
        <v/>
      </c>
      <c r="I3180" s="25" t="str">
        <f t="shared" ca="1" si="355"/>
        <v/>
      </c>
      <c r="J3180" s="26" t="str">
        <f t="shared" ca="1" si="356"/>
        <v/>
      </c>
    </row>
    <row r="3181" spans="1:10" x14ac:dyDescent="0.25">
      <c r="A3181" t="s">
        <v>655</v>
      </c>
      <c r="B3181" t="str">
        <f>ADDRESS(ROW('PAYG 1'!$B$10),COLUMN('PAYG 1'!$B$10),4)</f>
        <v>B10</v>
      </c>
      <c r="C3181" t="str">
        <f>ADDRESS(ROW('PAYG 1'!$D$10),COLUMN('PAYG 1'!$D$10),4)</f>
        <v>D10</v>
      </c>
      <c r="D3181" t="b" cm="1">
        <f t="array" aca="1" ref="D3181" ca="1">IF(INDIRECT("'"&amp;A3181&amp;"'!"&amp;B3181)="",FALSE,IF(TRUNC(INDIRECT("'"&amp;A3181&amp;"'!"&amp;B3181),3)=INDIRECT("'"&amp;A3181&amp;"'!"&amp;B3181),FALSE,TRUE))</f>
        <v>0</v>
      </c>
      <c r="E3181" t="s">
        <v>616</v>
      </c>
      <c r="F3181" t="str">
        <f>INDEX(Lists!I:I,MATCH(Validation!E3181,Lists!G:G,0))</f>
        <v>Error</v>
      </c>
      <c r="G3181" t="str">
        <f>INDEX(Lists!H:H,MATCH(Validation!E3181,Lists!G:G,0))</f>
        <v>Interest rate cannot have more than three decimals.</v>
      </c>
      <c r="H3181" s="25" t="str">
        <f t="shared" ca="1" si="354"/>
        <v/>
      </c>
      <c r="I3181" s="25" t="str">
        <f t="shared" ca="1" si="355"/>
        <v/>
      </c>
      <c r="J3181" s="26" t="str">
        <f t="shared" ca="1" si="356"/>
        <v/>
      </c>
    </row>
    <row r="3182" spans="1:10" x14ac:dyDescent="0.25">
      <c r="A3182" t="s">
        <v>656</v>
      </c>
      <c r="B3182" t="str">
        <f>ADDRESS(ROW('PAYG 1'!$B$10),COLUMN('PAYG 1'!$B$10),4)</f>
        <v>B10</v>
      </c>
      <c r="C3182" t="str">
        <f>ADDRESS(ROW('PAYG 1'!$D$10),COLUMN('PAYG 1'!$D$10),4)</f>
        <v>D10</v>
      </c>
      <c r="D3182" t="b" cm="1">
        <f t="array" aca="1" ref="D3182" ca="1">IF(INDIRECT("'"&amp;A3182&amp;"'!"&amp;B3182)="",FALSE,IF(TRUNC(INDIRECT("'"&amp;A3182&amp;"'!"&amp;B3182),3)=INDIRECT("'"&amp;A3182&amp;"'!"&amp;B3182),FALSE,TRUE))</f>
        <v>0</v>
      </c>
      <c r="E3182" t="s">
        <v>616</v>
      </c>
      <c r="F3182" t="str">
        <f>INDEX(Lists!I:I,MATCH(Validation!E3182,Lists!G:G,0))</f>
        <v>Error</v>
      </c>
      <c r="G3182" t="str">
        <f>INDEX(Lists!H:H,MATCH(Validation!E3182,Lists!G:G,0))</f>
        <v>Interest rate cannot have more than three decimals.</v>
      </c>
      <c r="H3182" s="25" t="str">
        <f t="shared" ca="1" si="354"/>
        <v/>
      </c>
      <c r="I3182" s="25" t="str">
        <f t="shared" ca="1" si="355"/>
        <v/>
      </c>
      <c r="J3182" s="26" t="str">
        <f t="shared" ca="1" si="356"/>
        <v/>
      </c>
    </row>
    <row r="3183" spans="1:10" x14ac:dyDescent="0.25">
      <c r="A3183" t="s">
        <v>657</v>
      </c>
      <c r="B3183" t="str">
        <f>ADDRESS(ROW('PAYG 1'!$B$10),COLUMN('PAYG 1'!$B$10),4)</f>
        <v>B10</v>
      </c>
      <c r="C3183" t="str">
        <f>ADDRESS(ROW('PAYG 1'!$D$10),COLUMN('PAYG 1'!$D$10),4)</f>
        <v>D10</v>
      </c>
      <c r="D3183" t="b" cm="1">
        <f t="array" aca="1" ref="D3183" ca="1">IF(INDIRECT("'"&amp;A3183&amp;"'!"&amp;B3183)="",FALSE,IF(TRUNC(INDIRECT("'"&amp;A3183&amp;"'!"&amp;B3183),3)=INDIRECT("'"&amp;A3183&amp;"'!"&amp;B3183),FALSE,TRUE))</f>
        <v>0</v>
      </c>
      <c r="E3183" t="s">
        <v>616</v>
      </c>
      <c r="F3183" t="str">
        <f>INDEX(Lists!I:I,MATCH(Validation!E3183,Lists!G:G,0))</f>
        <v>Error</v>
      </c>
      <c r="G3183" t="str">
        <f>INDEX(Lists!H:H,MATCH(Validation!E3183,Lists!G:G,0))</f>
        <v>Interest rate cannot have more than three decimals.</v>
      </c>
      <c r="H3183" s="25" t="str">
        <f t="shared" ca="1" si="354"/>
        <v/>
      </c>
      <c r="I3183" s="25" t="str">
        <f t="shared" ca="1" si="355"/>
        <v/>
      </c>
      <c r="J3183" s="26" t="str">
        <f t="shared" ca="1" si="356"/>
        <v/>
      </c>
    </row>
    <row r="3184" spans="1:10" x14ac:dyDescent="0.25">
      <c r="A3184" t="s">
        <v>658</v>
      </c>
      <c r="B3184" t="str">
        <f>ADDRESS(ROW('PAYG 1'!$B$10),COLUMN('PAYG 1'!$B$10),4)</f>
        <v>B10</v>
      </c>
      <c r="C3184" t="str">
        <f>ADDRESS(ROW('PAYG 1'!$D$10),COLUMN('PAYG 1'!$D$10),4)</f>
        <v>D10</v>
      </c>
      <c r="D3184" t="b" cm="1">
        <f t="array" aca="1" ref="D3184" ca="1">IF(INDIRECT("'"&amp;A3184&amp;"'!"&amp;B3184)="",FALSE,IF(TRUNC(INDIRECT("'"&amp;A3184&amp;"'!"&amp;B3184),3)=INDIRECT("'"&amp;A3184&amp;"'!"&amp;B3184),FALSE,TRUE))</f>
        <v>0</v>
      </c>
      <c r="E3184" t="s">
        <v>616</v>
      </c>
      <c r="F3184" t="str">
        <f>INDEX(Lists!I:I,MATCH(Validation!E3184,Lists!G:G,0))</f>
        <v>Error</v>
      </c>
      <c r="G3184" t="str">
        <f>INDEX(Lists!H:H,MATCH(Validation!E3184,Lists!G:G,0))</f>
        <v>Interest rate cannot have more than three decimals.</v>
      </c>
      <c r="H3184" s="25" t="str">
        <f t="shared" ca="1" si="354"/>
        <v/>
      </c>
      <c r="I3184" s="25" t="str">
        <f t="shared" ca="1" si="355"/>
        <v/>
      </c>
      <c r="J3184" s="26" t="str">
        <f t="shared" ca="1" si="356"/>
        <v/>
      </c>
    </row>
    <row r="3185" spans="1:10" x14ac:dyDescent="0.25">
      <c r="A3185" t="s">
        <v>659</v>
      </c>
      <c r="B3185" t="str">
        <f>ADDRESS(ROW('PAYG 1'!$B$10),COLUMN('PAYG 1'!$B$10),4)</f>
        <v>B10</v>
      </c>
      <c r="C3185" t="str">
        <f>ADDRESS(ROW('PAYG 1'!$D$10),COLUMN('PAYG 1'!$D$10),4)</f>
        <v>D10</v>
      </c>
      <c r="D3185" t="b" cm="1">
        <f t="array" aca="1" ref="D3185" ca="1">IF(INDIRECT("'"&amp;A3185&amp;"'!"&amp;B3185)="",FALSE,IF(TRUNC(INDIRECT("'"&amp;A3185&amp;"'!"&amp;B3185),3)=INDIRECT("'"&amp;A3185&amp;"'!"&amp;B3185),FALSE,TRUE))</f>
        <v>0</v>
      </c>
      <c r="E3185" t="s">
        <v>616</v>
      </c>
      <c r="F3185" t="str">
        <f>INDEX(Lists!I:I,MATCH(Validation!E3185,Lists!G:G,0))</f>
        <v>Error</v>
      </c>
      <c r="G3185" t="str">
        <f>INDEX(Lists!H:H,MATCH(Validation!E3185,Lists!G:G,0))</f>
        <v>Interest rate cannot have more than three decimals.</v>
      </c>
      <c r="H3185" s="25" t="str">
        <f t="shared" ca="1" si="354"/>
        <v/>
      </c>
      <c r="I3185" s="25" t="str">
        <f t="shared" ca="1" si="355"/>
        <v/>
      </c>
      <c r="J3185" s="26" t="str">
        <f t="shared" ca="1" si="356"/>
        <v/>
      </c>
    </row>
    <row r="3186" spans="1:10" x14ac:dyDescent="0.25">
      <c r="A3186" t="s">
        <v>660</v>
      </c>
      <c r="B3186" t="str">
        <f>ADDRESS(ROW('PAYG 1'!$B$10),COLUMN('PAYG 1'!$B$10),4)</f>
        <v>B10</v>
      </c>
      <c r="C3186" t="str">
        <f>ADDRESS(ROW('PAYG 1'!$D$10),COLUMN('PAYG 1'!$D$10),4)</f>
        <v>D10</v>
      </c>
      <c r="D3186" t="b" cm="1">
        <f t="array" aca="1" ref="D3186" ca="1">IF(INDIRECT("'"&amp;A3186&amp;"'!"&amp;B3186)="",FALSE,IF(TRUNC(INDIRECT("'"&amp;A3186&amp;"'!"&amp;B3186),3)=INDIRECT("'"&amp;A3186&amp;"'!"&amp;B3186),FALSE,TRUE))</f>
        <v>0</v>
      </c>
      <c r="E3186" t="s">
        <v>616</v>
      </c>
      <c r="F3186" t="str">
        <f>INDEX(Lists!I:I,MATCH(Validation!E3186,Lists!G:G,0))</f>
        <v>Error</v>
      </c>
      <c r="G3186" t="str">
        <f>INDEX(Lists!H:H,MATCH(Validation!E3186,Lists!G:G,0))</f>
        <v>Interest rate cannot have more than three decimals.</v>
      </c>
      <c r="H3186" s="25" t="str">
        <f t="shared" ca="1" si="354"/>
        <v/>
      </c>
      <c r="I3186" s="25" t="str">
        <f t="shared" ca="1" si="355"/>
        <v/>
      </c>
      <c r="J3186" s="26" t="str">
        <f t="shared" ca="1" si="356"/>
        <v/>
      </c>
    </row>
    <row r="3187" spans="1:10" x14ac:dyDescent="0.25">
      <c r="A3187" t="s">
        <v>661</v>
      </c>
      <c r="B3187" t="str">
        <f>ADDRESS(ROW('PAYG 1'!$B$10),COLUMN('PAYG 1'!$B$10),4)</f>
        <v>B10</v>
      </c>
      <c r="C3187" t="str">
        <f>ADDRESS(ROW('PAYG 1'!$D$10),COLUMN('PAYG 1'!$D$10),4)</f>
        <v>D10</v>
      </c>
      <c r="D3187" t="b" cm="1">
        <f t="array" aca="1" ref="D3187" ca="1">IF(INDIRECT("'"&amp;A3187&amp;"'!"&amp;B3187)="",FALSE,IF(TRUNC(INDIRECT("'"&amp;A3187&amp;"'!"&amp;B3187),3)=INDIRECT("'"&amp;A3187&amp;"'!"&amp;B3187),FALSE,TRUE))</f>
        <v>0</v>
      </c>
      <c r="E3187" t="s">
        <v>616</v>
      </c>
      <c r="F3187" t="str">
        <f>INDEX(Lists!I:I,MATCH(Validation!E3187,Lists!G:G,0))</f>
        <v>Error</v>
      </c>
      <c r="G3187" t="str">
        <f>INDEX(Lists!H:H,MATCH(Validation!E3187,Lists!G:G,0))</f>
        <v>Interest rate cannot have more than three decimals.</v>
      </c>
      <c r="H3187" s="25" t="str">
        <f t="shared" ca="1" si="354"/>
        <v/>
      </c>
      <c r="I3187" s="25" t="str">
        <f t="shared" ca="1" si="355"/>
        <v/>
      </c>
      <c r="J3187" s="26" t="str">
        <f t="shared" ca="1" si="356"/>
        <v/>
      </c>
    </row>
    <row r="3188" spans="1:10" x14ac:dyDescent="0.25">
      <c r="A3188" t="s">
        <v>662</v>
      </c>
      <c r="B3188" t="str">
        <f>ADDRESS(ROW('PAYG 1'!$B$10),COLUMN('PAYG 1'!$B$10),4)</f>
        <v>B10</v>
      </c>
      <c r="C3188" t="str">
        <f>ADDRESS(ROW('PAYG 1'!$D$10),COLUMN('PAYG 1'!$D$10),4)</f>
        <v>D10</v>
      </c>
      <c r="D3188" t="b" cm="1">
        <f t="array" aca="1" ref="D3188" ca="1">IF(INDIRECT("'"&amp;A3188&amp;"'!"&amp;B3188)="",FALSE,IF(TRUNC(INDIRECT("'"&amp;A3188&amp;"'!"&amp;B3188),3)=INDIRECT("'"&amp;A3188&amp;"'!"&amp;B3188),FALSE,TRUE))</f>
        <v>0</v>
      </c>
      <c r="E3188" t="s">
        <v>616</v>
      </c>
      <c r="F3188" t="str">
        <f>INDEX(Lists!I:I,MATCH(Validation!E3188,Lists!G:G,0))</f>
        <v>Error</v>
      </c>
      <c r="G3188" t="str">
        <f>INDEX(Lists!H:H,MATCH(Validation!E3188,Lists!G:G,0))</f>
        <v>Interest rate cannot have more than three decimals.</v>
      </c>
      <c r="H3188" s="25" t="str">
        <f t="shared" ca="1" si="354"/>
        <v/>
      </c>
      <c r="I3188" s="25" t="str">
        <f t="shared" ca="1" si="355"/>
        <v/>
      </c>
      <c r="J3188" s="26" t="str">
        <f t="shared" ca="1" si="356"/>
        <v/>
      </c>
    </row>
    <row r="3189" spans="1:10" x14ac:dyDescent="0.25">
      <c r="A3189" t="s">
        <v>663</v>
      </c>
      <c r="B3189" t="str">
        <f>ADDRESS(ROW('PAYG 1'!$B$10),COLUMN('PAYG 1'!$B$10),4)</f>
        <v>B10</v>
      </c>
      <c r="C3189" t="str">
        <f>ADDRESS(ROW('PAYG 1'!$D$10),COLUMN('PAYG 1'!$D$10),4)</f>
        <v>D10</v>
      </c>
      <c r="D3189" t="b" cm="1">
        <f t="array" aca="1" ref="D3189" ca="1">IF(INDIRECT("'"&amp;A3189&amp;"'!"&amp;B3189)="",FALSE,IF(TRUNC(INDIRECT("'"&amp;A3189&amp;"'!"&amp;B3189),3)=INDIRECT("'"&amp;A3189&amp;"'!"&amp;B3189),FALSE,TRUE))</f>
        <v>0</v>
      </c>
      <c r="E3189" t="s">
        <v>616</v>
      </c>
      <c r="F3189" t="str">
        <f>INDEX(Lists!I:I,MATCH(Validation!E3189,Lists!G:G,0))</f>
        <v>Error</v>
      </c>
      <c r="G3189" t="str">
        <f>INDEX(Lists!H:H,MATCH(Validation!E3189,Lists!G:G,0))</f>
        <v>Interest rate cannot have more than three decimals.</v>
      </c>
      <c r="H3189" s="25" t="str">
        <f t="shared" ca="1" si="354"/>
        <v/>
      </c>
      <c r="I3189" s="25" t="str">
        <f t="shared" ca="1" si="355"/>
        <v/>
      </c>
      <c r="J3189" s="26" t="str">
        <f t="shared" ca="1" si="356"/>
        <v/>
      </c>
    </row>
    <row r="3190" spans="1:10" x14ac:dyDescent="0.25">
      <c r="A3190" t="s">
        <v>664</v>
      </c>
      <c r="B3190" t="str">
        <f>ADDRESS(ROW('PAYG 1'!$B$10),COLUMN('PAYG 1'!$B$10),4)</f>
        <v>B10</v>
      </c>
      <c r="C3190" t="str">
        <f>ADDRESS(ROW('PAYG 1'!$D$10),COLUMN('PAYG 1'!$D$10),4)</f>
        <v>D10</v>
      </c>
      <c r="D3190" t="b" cm="1">
        <f t="array" aca="1" ref="D3190" ca="1">IF(INDIRECT("'"&amp;A3190&amp;"'!"&amp;B3190)="",FALSE,IF(TRUNC(INDIRECT("'"&amp;A3190&amp;"'!"&amp;B3190),3)=INDIRECT("'"&amp;A3190&amp;"'!"&amp;B3190),FALSE,TRUE))</f>
        <v>0</v>
      </c>
      <c r="E3190" t="s">
        <v>616</v>
      </c>
      <c r="F3190" t="str">
        <f>INDEX(Lists!I:I,MATCH(Validation!E3190,Lists!G:G,0))</f>
        <v>Error</v>
      </c>
      <c r="G3190" t="str">
        <f>INDEX(Lists!H:H,MATCH(Validation!E3190,Lists!G:G,0))</f>
        <v>Interest rate cannot have more than three decimals.</v>
      </c>
      <c r="H3190" s="25" t="str">
        <f t="shared" ca="1" si="354"/>
        <v/>
      </c>
      <c r="I3190" s="25" t="str">
        <f t="shared" ca="1" si="355"/>
        <v/>
      </c>
      <c r="J3190" s="26" t="str">
        <f t="shared" ca="1" si="356"/>
        <v/>
      </c>
    </row>
    <row r="3191" spans="1:10" x14ac:dyDescent="0.25">
      <c r="A3191" t="s">
        <v>203</v>
      </c>
      <c r="B3191" t="str">
        <f>ADDRESS(ROW('PAYG 1'!$B$11),COLUMN('PAYG 1'!$B$11),4)</f>
        <v>B11</v>
      </c>
      <c r="C3191" t="str">
        <f>ADDRESS(ROW('PAYG 1'!$D$11),COLUMN('PAYG 1'!$D$11),4)</f>
        <v>D11</v>
      </c>
      <c r="D3191" t="b" cm="1">
        <f t="array" aca="1" ref="D3191" ca="1">IF(INDIRECT("'"&amp;A3191&amp;"'!"&amp;B3191)="",FALSE,IF(NOT(ISNUMBER(INDIRECT("'"&amp;A3191&amp;"'!"&amp;B3191))),TRUE,FALSE))</f>
        <v>0</v>
      </c>
      <c r="E3191" t="s">
        <v>435</v>
      </c>
      <c r="F3191" t="str">
        <f>INDEX(Lists!I:I,MATCH(Validation!E3191,Lists!G:G,0))</f>
        <v>Error</v>
      </c>
      <c r="G3191" t="str">
        <f>INDEX(Lists!H:H,MATCH(Validation!E3191,Lists!G:G,0))</f>
        <v>Enter an amount only. Do not enter text or spaces.</v>
      </c>
      <c r="H3191" s="25" t="str">
        <f t="shared" ca="1" si="354"/>
        <v/>
      </c>
      <c r="I3191" s="25" t="str">
        <f t="shared" ca="1" si="355"/>
        <v/>
      </c>
      <c r="J3191" s="26" t="str">
        <f t="shared" ca="1" si="356"/>
        <v/>
      </c>
    </row>
    <row r="3192" spans="1:10" x14ac:dyDescent="0.25">
      <c r="A3192" t="s">
        <v>651</v>
      </c>
      <c r="B3192" t="str">
        <f>ADDRESS(ROW('PAYG 1'!$B$11),COLUMN('PAYG 1'!$B$11),4)</f>
        <v>B11</v>
      </c>
      <c r="C3192" t="str">
        <f>ADDRESS(ROW('PAYG 1'!$D$11),COLUMN('PAYG 1'!$D$11),4)</f>
        <v>D11</v>
      </c>
      <c r="D3192" t="b" cm="1">
        <f t="array" aca="1" ref="D3192" ca="1">IF(INDIRECT("'"&amp;A3192&amp;"'!"&amp;B3192)="",FALSE,IF(NOT(ISNUMBER(INDIRECT("'"&amp;A3192&amp;"'!"&amp;B3192))),TRUE,FALSE))</f>
        <v>0</v>
      </c>
      <c r="E3192" t="s">
        <v>435</v>
      </c>
      <c r="F3192" t="str">
        <f>INDEX(Lists!I:I,MATCH(Validation!E3192,Lists!G:G,0))</f>
        <v>Error</v>
      </c>
      <c r="G3192" t="str">
        <f>INDEX(Lists!H:H,MATCH(Validation!E3192,Lists!G:G,0))</f>
        <v>Enter an amount only. Do not enter text or spaces.</v>
      </c>
      <c r="H3192" s="25" t="str">
        <f t="shared" ca="1" si="354"/>
        <v/>
      </c>
      <c r="I3192" s="25" t="str">
        <f t="shared" ca="1" si="355"/>
        <v/>
      </c>
      <c r="J3192" s="26" t="str">
        <f t="shared" ca="1" si="356"/>
        <v/>
      </c>
    </row>
    <row r="3193" spans="1:10" x14ac:dyDescent="0.25">
      <c r="A3193" t="s">
        <v>652</v>
      </c>
      <c r="B3193" t="str">
        <f>ADDRESS(ROW('PAYG 1'!$B$11),COLUMN('PAYG 1'!$B$11),4)</f>
        <v>B11</v>
      </c>
      <c r="C3193" t="str">
        <f>ADDRESS(ROW('PAYG 1'!$D$11),COLUMN('PAYG 1'!$D$11),4)</f>
        <v>D11</v>
      </c>
      <c r="D3193" t="b" cm="1">
        <f t="array" aca="1" ref="D3193" ca="1">IF(INDIRECT("'"&amp;A3193&amp;"'!"&amp;B3193)="",FALSE,IF(NOT(ISNUMBER(INDIRECT("'"&amp;A3193&amp;"'!"&amp;B3193))),TRUE,FALSE))</f>
        <v>0</v>
      </c>
      <c r="E3193" t="s">
        <v>435</v>
      </c>
      <c r="F3193" t="str">
        <f>INDEX(Lists!I:I,MATCH(Validation!E3193,Lists!G:G,0))</f>
        <v>Error</v>
      </c>
      <c r="G3193" t="str">
        <f>INDEX(Lists!H:H,MATCH(Validation!E3193,Lists!G:G,0))</f>
        <v>Enter an amount only. Do not enter text or spaces.</v>
      </c>
      <c r="H3193" s="25" t="str">
        <f t="shared" ca="1" si="354"/>
        <v/>
      </c>
      <c r="I3193" s="25" t="str">
        <f t="shared" ca="1" si="355"/>
        <v/>
      </c>
      <c r="J3193" s="26" t="str">
        <f t="shared" ca="1" si="356"/>
        <v/>
      </c>
    </row>
    <row r="3194" spans="1:10" x14ac:dyDescent="0.25">
      <c r="A3194" t="s">
        <v>653</v>
      </c>
      <c r="B3194" t="str">
        <f>ADDRESS(ROW('PAYG 1'!$B$11),COLUMN('PAYG 1'!$B$11),4)</f>
        <v>B11</v>
      </c>
      <c r="C3194" t="str">
        <f>ADDRESS(ROW('PAYG 1'!$D$11),COLUMN('PAYG 1'!$D$11),4)</f>
        <v>D11</v>
      </c>
      <c r="D3194" t="b" cm="1">
        <f t="array" aca="1" ref="D3194" ca="1">IF(INDIRECT("'"&amp;A3194&amp;"'!"&amp;B3194)="",FALSE,IF(NOT(ISNUMBER(INDIRECT("'"&amp;A3194&amp;"'!"&amp;B3194))),TRUE,FALSE))</f>
        <v>0</v>
      </c>
      <c r="E3194" t="s">
        <v>435</v>
      </c>
      <c r="F3194" t="str">
        <f>INDEX(Lists!I:I,MATCH(Validation!E3194,Lists!G:G,0))</f>
        <v>Error</v>
      </c>
      <c r="G3194" t="str">
        <f>INDEX(Lists!H:H,MATCH(Validation!E3194,Lists!G:G,0))</f>
        <v>Enter an amount only. Do not enter text or spaces.</v>
      </c>
      <c r="H3194" s="25" t="str">
        <f t="shared" ca="1" si="354"/>
        <v/>
      </c>
      <c r="I3194" s="25" t="str">
        <f t="shared" ca="1" si="355"/>
        <v/>
      </c>
      <c r="J3194" s="26" t="str">
        <f t="shared" ca="1" si="356"/>
        <v/>
      </c>
    </row>
    <row r="3195" spans="1:10" x14ac:dyDescent="0.25">
      <c r="A3195" t="s">
        <v>654</v>
      </c>
      <c r="B3195" t="str">
        <f>ADDRESS(ROW('PAYG 1'!$B$11),COLUMN('PAYG 1'!$B$11),4)</f>
        <v>B11</v>
      </c>
      <c r="C3195" t="str">
        <f>ADDRESS(ROW('PAYG 1'!$D$11),COLUMN('PAYG 1'!$D$11),4)</f>
        <v>D11</v>
      </c>
      <c r="D3195" t="b" cm="1">
        <f t="array" aca="1" ref="D3195" ca="1">IF(INDIRECT("'"&amp;A3195&amp;"'!"&amp;B3195)="",FALSE,IF(NOT(ISNUMBER(INDIRECT("'"&amp;A3195&amp;"'!"&amp;B3195))),TRUE,FALSE))</f>
        <v>0</v>
      </c>
      <c r="E3195" t="s">
        <v>435</v>
      </c>
      <c r="F3195" t="str">
        <f>INDEX(Lists!I:I,MATCH(Validation!E3195,Lists!G:G,0))</f>
        <v>Error</v>
      </c>
      <c r="G3195" t="str">
        <f>INDEX(Lists!H:H,MATCH(Validation!E3195,Lists!G:G,0))</f>
        <v>Enter an amount only. Do not enter text or spaces.</v>
      </c>
      <c r="H3195" s="25" t="str">
        <f t="shared" ca="1" si="354"/>
        <v/>
      </c>
      <c r="I3195" s="25" t="str">
        <f t="shared" ca="1" si="355"/>
        <v/>
      </c>
      <c r="J3195" s="26" t="str">
        <f t="shared" ca="1" si="356"/>
        <v/>
      </c>
    </row>
    <row r="3196" spans="1:10" x14ac:dyDescent="0.25">
      <c r="A3196" t="s">
        <v>655</v>
      </c>
      <c r="B3196" t="str">
        <f>ADDRESS(ROW('PAYG 1'!$B$11),COLUMN('PAYG 1'!$B$11),4)</f>
        <v>B11</v>
      </c>
      <c r="C3196" t="str">
        <f>ADDRESS(ROW('PAYG 1'!$D$11),COLUMN('PAYG 1'!$D$11),4)</f>
        <v>D11</v>
      </c>
      <c r="D3196" t="b" cm="1">
        <f t="array" aca="1" ref="D3196" ca="1">IF(INDIRECT("'"&amp;A3196&amp;"'!"&amp;B3196)="",FALSE,IF(NOT(ISNUMBER(INDIRECT("'"&amp;A3196&amp;"'!"&amp;B3196))),TRUE,FALSE))</f>
        <v>0</v>
      </c>
      <c r="E3196" t="s">
        <v>435</v>
      </c>
      <c r="F3196" t="str">
        <f>INDEX(Lists!I:I,MATCH(Validation!E3196,Lists!G:G,0))</f>
        <v>Error</v>
      </c>
      <c r="G3196" t="str">
        <f>INDEX(Lists!H:H,MATCH(Validation!E3196,Lists!G:G,0))</f>
        <v>Enter an amount only. Do not enter text or spaces.</v>
      </c>
      <c r="H3196" s="25" t="str">
        <f t="shared" ca="1" si="354"/>
        <v/>
      </c>
      <c r="I3196" s="25" t="str">
        <f t="shared" ca="1" si="355"/>
        <v/>
      </c>
      <c r="J3196" s="26" t="str">
        <f t="shared" ca="1" si="356"/>
        <v/>
      </c>
    </row>
    <row r="3197" spans="1:10" x14ac:dyDescent="0.25">
      <c r="A3197" t="s">
        <v>656</v>
      </c>
      <c r="B3197" t="str">
        <f>ADDRESS(ROW('PAYG 1'!$B$11),COLUMN('PAYG 1'!$B$11),4)</f>
        <v>B11</v>
      </c>
      <c r="C3197" t="str">
        <f>ADDRESS(ROW('PAYG 1'!$D$11),COLUMN('PAYG 1'!$D$11),4)</f>
        <v>D11</v>
      </c>
      <c r="D3197" t="b" cm="1">
        <f t="array" aca="1" ref="D3197" ca="1">IF(INDIRECT("'"&amp;A3197&amp;"'!"&amp;B3197)="",FALSE,IF(NOT(ISNUMBER(INDIRECT("'"&amp;A3197&amp;"'!"&amp;B3197))),TRUE,FALSE))</f>
        <v>0</v>
      </c>
      <c r="E3197" t="s">
        <v>435</v>
      </c>
      <c r="F3197" t="str">
        <f>INDEX(Lists!I:I,MATCH(Validation!E3197,Lists!G:G,0))</f>
        <v>Error</v>
      </c>
      <c r="G3197" t="str">
        <f>INDEX(Lists!H:H,MATCH(Validation!E3197,Lists!G:G,0))</f>
        <v>Enter an amount only. Do not enter text or spaces.</v>
      </c>
      <c r="H3197" s="25" t="str">
        <f t="shared" ca="1" si="354"/>
        <v/>
      </c>
      <c r="I3197" s="25" t="str">
        <f t="shared" ca="1" si="355"/>
        <v/>
      </c>
      <c r="J3197" s="26" t="str">
        <f t="shared" ca="1" si="356"/>
        <v/>
      </c>
    </row>
    <row r="3198" spans="1:10" x14ac:dyDescent="0.25">
      <c r="A3198" t="s">
        <v>657</v>
      </c>
      <c r="B3198" t="str">
        <f>ADDRESS(ROW('PAYG 1'!$B$11),COLUMN('PAYG 1'!$B$11),4)</f>
        <v>B11</v>
      </c>
      <c r="C3198" t="str">
        <f>ADDRESS(ROW('PAYG 1'!$D$11),COLUMN('PAYG 1'!$D$11),4)</f>
        <v>D11</v>
      </c>
      <c r="D3198" t="b" cm="1">
        <f t="array" aca="1" ref="D3198" ca="1">IF(INDIRECT("'"&amp;A3198&amp;"'!"&amp;B3198)="",FALSE,IF(NOT(ISNUMBER(INDIRECT("'"&amp;A3198&amp;"'!"&amp;B3198))),TRUE,FALSE))</f>
        <v>0</v>
      </c>
      <c r="E3198" t="s">
        <v>435</v>
      </c>
      <c r="F3198" t="str">
        <f>INDEX(Lists!I:I,MATCH(Validation!E3198,Lists!G:G,0))</f>
        <v>Error</v>
      </c>
      <c r="G3198" t="str">
        <f>INDEX(Lists!H:H,MATCH(Validation!E3198,Lists!G:G,0))</f>
        <v>Enter an amount only. Do not enter text or spaces.</v>
      </c>
      <c r="H3198" s="25" t="str">
        <f t="shared" ca="1" si="354"/>
        <v/>
      </c>
      <c r="I3198" s="25" t="str">
        <f t="shared" ca="1" si="355"/>
        <v/>
      </c>
      <c r="J3198" s="26" t="str">
        <f t="shared" ca="1" si="356"/>
        <v/>
      </c>
    </row>
    <row r="3199" spans="1:10" x14ac:dyDescent="0.25">
      <c r="A3199" t="s">
        <v>658</v>
      </c>
      <c r="B3199" t="str">
        <f>ADDRESS(ROW('PAYG 1'!$B$11),COLUMN('PAYG 1'!$B$11),4)</f>
        <v>B11</v>
      </c>
      <c r="C3199" t="str">
        <f>ADDRESS(ROW('PAYG 1'!$D$11),COLUMN('PAYG 1'!$D$11),4)</f>
        <v>D11</v>
      </c>
      <c r="D3199" t="b" cm="1">
        <f t="array" aca="1" ref="D3199" ca="1">IF(INDIRECT("'"&amp;A3199&amp;"'!"&amp;B3199)="",FALSE,IF(NOT(ISNUMBER(INDIRECT("'"&amp;A3199&amp;"'!"&amp;B3199))),TRUE,FALSE))</f>
        <v>0</v>
      </c>
      <c r="E3199" t="s">
        <v>435</v>
      </c>
      <c r="F3199" t="str">
        <f>INDEX(Lists!I:I,MATCH(Validation!E3199,Lists!G:G,0))</f>
        <v>Error</v>
      </c>
      <c r="G3199" t="str">
        <f>INDEX(Lists!H:H,MATCH(Validation!E3199,Lists!G:G,0))</f>
        <v>Enter an amount only. Do not enter text or spaces.</v>
      </c>
      <c r="H3199" s="25" t="str">
        <f t="shared" ca="1" si="354"/>
        <v/>
      </c>
      <c r="I3199" s="25" t="str">
        <f t="shared" ca="1" si="355"/>
        <v/>
      </c>
      <c r="J3199" s="26" t="str">
        <f t="shared" ca="1" si="356"/>
        <v/>
      </c>
    </row>
    <row r="3200" spans="1:10" x14ac:dyDescent="0.25">
      <c r="A3200" t="s">
        <v>659</v>
      </c>
      <c r="B3200" t="str">
        <f>ADDRESS(ROW('PAYG 1'!$B$11),COLUMN('PAYG 1'!$B$11),4)</f>
        <v>B11</v>
      </c>
      <c r="C3200" t="str">
        <f>ADDRESS(ROW('PAYG 1'!$D$11),COLUMN('PAYG 1'!$D$11),4)</f>
        <v>D11</v>
      </c>
      <c r="D3200" t="b" cm="1">
        <f t="array" aca="1" ref="D3200" ca="1">IF(INDIRECT("'"&amp;A3200&amp;"'!"&amp;B3200)="",FALSE,IF(NOT(ISNUMBER(INDIRECT("'"&amp;A3200&amp;"'!"&amp;B3200))),TRUE,FALSE))</f>
        <v>0</v>
      </c>
      <c r="E3200" t="s">
        <v>435</v>
      </c>
      <c r="F3200" t="str">
        <f>INDEX(Lists!I:I,MATCH(Validation!E3200,Lists!G:G,0))</f>
        <v>Error</v>
      </c>
      <c r="G3200" t="str">
        <f>INDEX(Lists!H:H,MATCH(Validation!E3200,Lists!G:G,0))</f>
        <v>Enter an amount only. Do not enter text or spaces.</v>
      </c>
      <c r="H3200" s="25" t="str">
        <f t="shared" ca="1" si="354"/>
        <v/>
      </c>
      <c r="I3200" s="25" t="str">
        <f t="shared" ca="1" si="355"/>
        <v/>
      </c>
      <c r="J3200" s="26" t="str">
        <f t="shared" ca="1" si="356"/>
        <v/>
      </c>
    </row>
    <row r="3201" spans="1:10" x14ac:dyDescent="0.25">
      <c r="A3201" t="s">
        <v>660</v>
      </c>
      <c r="B3201" t="str">
        <f>ADDRESS(ROW('PAYG 1'!$B$11),COLUMN('PAYG 1'!$B$11),4)</f>
        <v>B11</v>
      </c>
      <c r="C3201" t="str">
        <f>ADDRESS(ROW('PAYG 1'!$D$11),COLUMN('PAYG 1'!$D$11),4)</f>
        <v>D11</v>
      </c>
      <c r="D3201" t="b" cm="1">
        <f t="array" aca="1" ref="D3201" ca="1">IF(INDIRECT("'"&amp;A3201&amp;"'!"&amp;B3201)="",FALSE,IF(NOT(ISNUMBER(INDIRECT("'"&amp;A3201&amp;"'!"&amp;B3201))),TRUE,FALSE))</f>
        <v>0</v>
      </c>
      <c r="E3201" t="s">
        <v>435</v>
      </c>
      <c r="F3201" t="str">
        <f>INDEX(Lists!I:I,MATCH(Validation!E3201,Lists!G:G,0))</f>
        <v>Error</v>
      </c>
      <c r="G3201" t="str">
        <f>INDEX(Lists!H:H,MATCH(Validation!E3201,Lists!G:G,0))</f>
        <v>Enter an amount only. Do not enter text or spaces.</v>
      </c>
      <c r="H3201" s="25" t="str">
        <f t="shared" ca="1" si="354"/>
        <v/>
      </c>
      <c r="I3201" s="25" t="str">
        <f t="shared" ca="1" si="355"/>
        <v/>
      </c>
      <c r="J3201" s="26" t="str">
        <f t="shared" ca="1" si="356"/>
        <v/>
      </c>
    </row>
    <row r="3202" spans="1:10" x14ac:dyDescent="0.25">
      <c r="A3202" t="s">
        <v>661</v>
      </c>
      <c r="B3202" t="str">
        <f>ADDRESS(ROW('PAYG 1'!$B$11),COLUMN('PAYG 1'!$B$11),4)</f>
        <v>B11</v>
      </c>
      <c r="C3202" t="str">
        <f>ADDRESS(ROW('PAYG 1'!$D$11),COLUMN('PAYG 1'!$D$11),4)</f>
        <v>D11</v>
      </c>
      <c r="D3202" t="b" cm="1">
        <f t="array" aca="1" ref="D3202" ca="1">IF(INDIRECT("'"&amp;A3202&amp;"'!"&amp;B3202)="",FALSE,IF(NOT(ISNUMBER(INDIRECT("'"&amp;A3202&amp;"'!"&amp;B3202))),TRUE,FALSE))</f>
        <v>0</v>
      </c>
      <c r="E3202" t="s">
        <v>435</v>
      </c>
      <c r="F3202" t="str">
        <f>INDEX(Lists!I:I,MATCH(Validation!E3202,Lists!G:G,0))</f>
        <v>Error</v>
      </c>
      <c r="G3202" t="str">
        <f>INDEX(Lists!H:H,MATCH(Validation!E3202,Lists!G:G,0))</f>
        <v>Enter an amount only. Do not enter text or spaces.</v>
      </c>
      <c r="H3202" s="25" t="str">
        <f t="shared" ca="1" si="354"/>
        <v/>
      </c>
      <c r="I3202" s="25" t="str">
        <f t="shared" ca="1" si="355"/>
        <v/>
      </c>
      <c r="J3202" s="26" t="str">
        <f t="shared" ca="1" si="356"/>
        <v/>
      </c>
    </row>
    <row r="3203" spans="1:10" x14ac:dyDescent="0.25">
      <c r="A3203" t="s">
        <v>662</v>
      </c>
      <c r="B3203" t="str">
        <f>ADDRESS(ROW('PAYG 1'!$B$11),COLUMN('PAYG 1'!$B$11),4)</f>
        <v>B11</v>
      </c>
      <c r="C3203" t="str">
        <f>ADDRESS(ROW('PAYG 1'!$D$11),COLUMN('PAYG 1'!$D$11),4)</f>
        <v>D11</v>
      </c>
      <c r="D3203" t="b" cm="1">
        <f t="array" aca="1" ref="D3203" ca="1">IF(INDIRECT("'"&amp;A3203&amp;"'!"&amp;B3203)="",FALSE,IF(NOT(ISNUMBER(INDIRECT("'"&amp;A3203&amp;"'!"&amp;B3203))),TRUE,FALSE))</f>
        <v>0</v>
      </c>
      <c r="E3203" t="s">
        <v>435</v>
      </c>
      <c r="F3203" t="str">
        <f>INDEX(Lists!I:I,MATCH(Validation!E3203,Lists!G:G,0))</f>
        <v>Error</v>
      </c>
      <c r="G3203" t="str">
        <f>INDEX(Lists!H:H,MATCH(Validation!E3203,Lists!G:G,0))</f>
        <v>Enter an amount only. Do not enter text or spaces.</v>
      </c>
      <c r="H3203" s="25" t="str">
        <f t="shared" ca="1" si="354"/>
        <v/>
      </c>
      <c r="I3203" s="25" t="str">
        <f t="shared" ca="1" si="355"/>
        <v/>
      </c>
      <c r="J3203" s="26" t="str">
        <f t="shared" ca="1" si="356"/>
        <v/>
      </c>
    </row>
    <row r="3204" spans="1:10" x14ac:dyDescent="0.25">
      <c r="A3204" t="s">
        <v>663</v>
      </c>
      <c r="B3204" t="str">
        <f>ADDRESS(ROW('PAYG 1'!$B$11),COLUMN('PAYG 1'!$B$11),4)</f>
        <v>B11</v>
      </c>
      <c r="C3204" t="str">
        <f>ADDRESS(ROW('PAYG 1'!$D$11),COLUMN('PAYG 1'!$D$11),4)</f>
        <v>D11</v>
      </c>
      <c r="D3204" t="b" cm="1">
        <f t="array" aca="1" ref="D3204" ca="1">IF(INDIRECT("'"&amp;A3204&amp;"'!"&amp;B3204)="",FALSE,IF(NOT(ISNUMBER(INDIRECT("'"&amp;A3204&amp;"'!"&amp;B3204))),TRUE,FALSE))</f>
        <v>0</v>
      </c>
      <c r="E3204" t="s">
        <v>435</v>
      </c>
      <c r="F3204" t="str">
        <f>INDEX(Lists!I:I,MATCH(Validation!E3204,Lists!G:G,0))</f>
        <v>Error</v>
      </c>
      <c r="G3204" t="str">
        <f>INDEX(Lists!H:H,MATCH(Validation!E3204,Lists!G:G,0))</f>
        <v>Enter an amount only. Do not enter text or spaces.</v>
      </c>
      <c r="H3204" s="25" t="str">
        <f t="shared" ca="1" si="354"/>
        <v/>
      </c>
      <c r="I3204" s="25" t="str">
        <f t="shared" ca="1" si="355"/>
        <v/>
      </c>
      <c r="J3204" s="26" t="str">
        <f t="shared" ca="1" si="356"/>
        <v/>
      </c>
    </row>
    <row r="3205" spans="1:10" x14ac:dyDescent="0.25">
      <c r="A3205" t="s">
        <v>664</v>
      </c>
      <c r="B3205" t="str">
        <f>ADDRESS(ROW('PAYG 1'!$B$11),COLUMN('PAYG 1'!$B$11),4)</f>
        <v>B11</v>
      </c>
      <c r="C3205" t="str">
        <f>ADDRESS(ROW('PAYG 1'!$D$11),COLUMN('PAYG 1'!$D$11),4)</f>
        <v>D11</v>
      </c>
      <c r="D3205" t="b" cm="1">
        <f t="array" aca="1" ref="D3205" ca="1">IF(INDIRECT("'"&amp;A3205&amp;"'!"&amp;B3205)="",FALSE,IF(NOT(ISNUMBER(INDIRECT("'"&amp;A3205&amp;"'!"&amp;B3205))),TRUE,FALSE))</f>
        <v>0</v>
      </c>
      <c r="E3205" t="s">
        <v>435</v>
      </c>
      <c r="F3205" t="str">
        <f>INDEX(Lists!I:I,MATCH(Validation!E3205,Lists!G:G,0))</f>
        <v>Error</v>
      </c>
      <c r="G3205" t="str">
        <f>INDEX(Lists!H:H,MATCH(Validation!E3205,Lists!G:G,0))</f>
        <v>Enter an amount only. Do not enter text or spaces.</v>
      </c>
      <c r="H3205" s="25" t="str">
        <f t="shared" ca="1" si="354"/>
        <v/>
      </c>
      <c r="I3205" s="25" t="str">
        <f t="shared" ca="1" si="355"/>
        <v/>
      </c>
      <c r="J3205" s="26" t="str">
        <f t="shared" ca="1" si="356"/>
        <v/>
      </c>
    </row>
    <row r="3206" spans="1:10" x14ac:dyDescent="0.25">
      <c r="A3206" t="s">
        <v>203</v>
      </c>
      <c r="B3206" t="str">
        <f>ADDRESS(ROW('PAYG 1'!$B$11),COLUMN('PAYG 1'!$B$11),4)</f>
        <v>B11</v>
      </c>
      <c r="C3206" t="str">
        <f>ADDRESS(ROW('PAYG 1'!$D$11),COLUMN('PAYG 1'!$D$11),4)</f>
        <v>D11</v>
      </c>
      <c r="D3206" t="b" cm="1">
        <f t="array" aca="1" ref="D3206" ca="1">IF(INDIRECT("'"&amp;A3206&amp;"'!"&amp;B3206)="",FALSE,IF(INDIRECT("'"&amp;A3206&amp;"'!"&amp;B3206)&lt;INDIRECT("'"&amp;A3206&amp;"'!B$10"),TRUE,FALSE))</f>
        <v>0</v>
      </c>
      <c r="E3206" t="s">
        <v>708</v>
      </c>
      <c r="F3206" t="str">
        <f>INDEX(Lists!I:I,MATCH(Validation!E3206,Lists!G:G,0))</f>
        <v>Error</v>
      </c>
      <c r="G3206" t="str">
        <f>INDEX(Lists!H:H,MATCH(Validation!E3206,Lists!G:G,0))</f>
        <v>High interest rate must equal or exceed the low interest rate.</v>
      </c>
      <c r="H3206" s="25" t="str">
        <f t="shared" ca="1" si="354"/>
        <v/>
      </c>
      <c r="I3206" s="25" t="str">
        <f t="shared" ca="1" si="355"/>
        <v/>
      </c>
      <c r="J3206" s="26" t="str">
        <f t="shared" ca="1" si="356"/>
        <v/>
      </c>
    </row>
    <row r="3207" spans="1:10" x14ac:dyDescent="0.25">
      <c r="A3207" t="s">
        <v>651</v>
      </c>
      <c r="B3207" t="str">
        <f>ADDRESS(ROW('PAYG 1'!$B$11),COLUMN('PAYG 1'!$B$11),4)</f>
        <v>B11</v>
      </c>
      <c r="C3207" t="str">
        <f>ADDRESS(ROW('PAYG 1'!$D$11),COLUMN('PAYG 1'!$D$11),4)</f>
        <v>D11</v>
      </c>
      <c r="D3207" t="b" cm="1">
        <f t="array" aca="1" ref="D3207" ca="1">IF(INDIRECT("'"&amp;A3207&amp;"'!"&amp;B3207)="",FALSE,IF(INDIRECT("'"&amp;A3207&amp;"'!"&amp;B3207)&lt;INDIRECT("'"&amp;A3207&amp;"'!B$10"),TRUE,FALSE))</f>
        <v>0</v>
      </c>
      <c r="E3207" t="s">
        <v>708</v>
      </c>
      <c r="F3207" t="str">
        <f>INDEX(Lists!I:I,MATCH(Validation!E3207,Lists!G:G,0))</f>
        <v>Error</v>
      </c>
      <c r="G3207" t="str">
        <f>INDEX(Lists!H:H,MATCH(Validation!E3207,Lists!G:G,0))</f>
        <v>High interest rate must equal or exceed the low interest rate.</v>
      </c>
      <c r="H3207" s="25" t="str">
        <f t="shared" ca="1" si="354"/>
        <v/>
      </c>
      <c r="I3207" s="25" t="str">
        <f t="shared" ca="1" si="355"/>
        <v/>
      </c>
      <c r="J3207" s="26" t="str">
        <f t="shared" ca="1" si="356"/>
        <v/>
      </c>
    </row>
    <row r="3208" spans="1:10" x14ac:dyDescent="0.25">
      <c r="A3208" t="s">
        <v>652</v>
      </c>
      <c r="B3208" t="str">
        <f>ADDRESS(ROW('PAYG 1'!$B$11),COLUMN('PAYG 1'!$B$11),4)</f>
        <v>B11</v>
      </c>
      <c r="C3208" t="str">
        <f>ADDRESS(ROW('PAYG 1'!$D$11),COLUMN('PAYG 1'!$D$11),4)</f>
        <v>D11</v>
      </c>
      <c r="D3208" t="b" cm="1">
        <f t="array" aca="1" ref="D3208" ca="1">IF(INDIRECT("'"&amp;A3208&amp;"'!"&amp;B3208)="",FALSE,IF(INDIRECT("'"&amp;A3208&amp;"'!"&amp;B3208)&lt;INDIRECT("'"&amp;A3208&amp;"'!B$10"),TRUE,FALSE))</f>
        <v>0</v>
      </c>
      <c r="E3208" t="s">
        <v>708</v>
      </c>
      <c r="F3208" t="str">
        <f>INDEX(Lists!I:I,MATCH(Validation!E3208,Lists!G:G,0))</f>
        <v>Error</v>
      </c>
      <c r="G3208" t="str">
        <f>INDEX(Lists!H:H,MATCH(Validation!E3208,Lists!G:G,0))</f>
        <v>High interest rate must equal or exceed the low interest rate.</v>
      </c>
      <c r="H3208" s="25" t="str">
        <f t="shared" ca="1" si="354"/>
        <v/>
      </c>
      <c r="I3208" s="25" t="str">
        <f t="shared" ca="1" si="355"/>
        <v/>
      </c>
      <c r="J3208" s="26" t="str">
        <f t="shared" ca="1" si="356"/>
        <v/>
      </c>
    </row>
    <row r="3209" spans="1:10" x14ac:dyDescent="0.25">
      <c r="A3209" t="s">
        <v>653</v>
      </c>
      <c r="B3209" t="str">
        <f>ADDRESS(ROW('PAYG 1'!$B$11),COLUMN('PAYG 1'!$B$11),4)</f>
        <v>B11</v>
      </c>
      <c r="C3209" t="str">
        <f>ADDRESS(ROW('PAYG 1'!$D$11),COLUMN('PAYG 1'!$D$11),4)</f>
        <v>D11</v>
      </c>
      <c r="D3209" t="b" cm="1">
        <f t="array" aca="1" ref="D3209" ca="1">IF(INDIRECT("'"&amp;A3209&amp;"'!"&amp;B3209)="",FALSE,IF(INDIRECT("'"&amp;A3209&amp;"'!"&amp;B3209)&lt;INDIRECT("'"&amp;A3209&amp;"'!B$10"),TRUE,FALSE))</f>
        <v>0</v>
      </c>
      <c r="E3209" t="s">
        <v>708</v>
      </c>
      <c r="F3209" t="str">
        <f>INDEX(Lists!I:I,MATCH(Validation!E3209,Lists!G:G,0))</f>
        <v>Error</v>
      </c>
      <c r="G3209" t="str">
        <f>INDEX(Lists!H:H,MATCH(Validation!E3209,Lists!G:G,0))</f>
        <v>High interest rate must equal or exceed the low interest rate.</v>
      </c>
      <c r="H3209" s="25" t="str">
        <f t="shared" ca="1" si="354"/>
        <v/>
      </c>
      <c r="I3209" s="25" t="str">
        <f t="shared" ca="1" si="355"/>
        <v/>
      </c>
      <c r="J3209" s="26" t="str">
        <f t="shared" ca="1" si="356"/>
        <v/>
      </c>
    </row>
    <row r="3210" spans="1:10" x14ac:dyDescent="0.25">
      <c r="A3210" t="s">
        <v>654</v>
      </c>
      <c r="B3210" t="str">
        <f>ADDRESS(ROW('PAYG 1'!$B$11),COLUMN('PAYG 1'!$B$11),4)</f>
        <v>B11</v>
      </c>
      <c r="C3210" t="str">
        <f>ADDRESS(ROW('PAYG 1'!$D$11),COLUMN('PAYG 1'!$D$11),4)</f>
        <v>D11</v>
      </c>
      <c r="D3210" t="b" cm="1">
        <f t="array" aca="1" ref="D3210" ca="1">IF(INDIRECT("'"&amp;A3210&amp;"'!"&amp;B3210)="",FALSE,IF(INDIRECT("'"&amp;A3210&amp;"'!"&amp;B3210)&lt;INDIRECT("'"&amp;A3210&amp;"'!B$10"),TRUE,FALSE))</f>
        <v>0</v>
      </c>
      <c r="E3210" t="s">
        <v>708</v>
      </c>
      <c r="F3210" t="str">
        <f>INDEX(Lists!I:I,MATCH(Validation!E3210,Lists!G:G,0))</f>
        <v>Error</v>
      </c>
      <c r="G3210" t="str">
        <f>INDEX(Lists!H:H,MATCH(Validation!E3210,Lists!G:G,0))</f>
        <v>High interest rate must equal or exceed the low interest rate.</v>
      </c>
      <c r="H3210" s="25" t="str">
        <f t="shared" ca="1" si="354"/>
        <v/>
      </c>
      <c r="I3210" s="25" t="str">
        <f t="shared" ca="1" si="355"/>
        <v/>
      </c>
      <c r="J3210" s="26" t="str">
        <f t="shared" ca="1" si="356"/>
        <v/>
      </c>
    </row>
    <row r="3211" spans="1:10" x14ac:dyDescent="0.25">
      <c r="A3211" t="s">
        <v>655</v>
      </c>
      <c r="B3211" t="str">
        <f>ADDRESS(ROW('PAYG 1'!$B$11),COLUMN('PAYG 1'!$B$11),4)</f>
        <v>B11</v>
      </c>
      <c r="C3211" t="str">
        <f>ADDRESS(ROW('PAYG 1'!$D$11),COLUMN('PAYG 1'!$D$11),4)</f>
        <v>D11</v>
      </c>
      <c r="D3211" t="b" cm="1">
        <f t="array" aca="1" ref="D3211" ca="1">IF(INDIRECT("'"&amp;A3211&amp;"'!"&amp;B3211)="",FALSE,IF(INDIRECT("'"&amp;A3211&amp;"'!"&amp;B3211)&lt;INDIRECT("'"&amp;A3211&amp;"'!B$10"),TRUE,FALSE))</f>
        <v>0</v>
      </c>
      <c r="E3211" t="s">
        <v>708</v>
      </c>
      <c r="F3211" t="str">
        <f>INDEX(Lists!I:I,MATCH(Validation!E3211,Lists!G:G,0))</f>
        <v>Error</v>
      </c>
      <c r="G3211" t="str">
        <f>INDEX(Lists!H:H,MATCH(Validation!E3211,Lists!G:G,0))</f>
        <v>High interest rate must equal or exceed the low interest rate.</v>
      </c>
      <c r="H3211" s="25" t="str">
        <f t="shared" ca="1" si="354"/>
        <v/>
      </c>
      <c r="I3211" s="25" t="str">
        <f t="shared" ca="1" si="355"/>
        <v/>
      </c>
      <c r="J3211" s="26" t="str">
        <f t="shared" ca="1" si="356"/>
        <v/>
      </c>
    </row>
    <row r="3212" spans="1:10" x14ac:dyDescent="0.25">
      <c r="A3212" t="s">
        <v>656</v>
      </c>
      <c r="B3212" t="str">
        <f>ADDRESS(ROW('PAYG 1'!$B$11),COLUMN('PAYG 1'!$B$11),4)</f>
        <v>B11</v>
      </c>
      <c r="C3212" t="str">
        <f>ADDRESS(ROW('PAYG 1'!$D$11),COLUMN('PAYG 1'!$D$11),4)</f>
        <v>D11</v>
      </c>
      <c r="D3212" t="b" cm="1">
        <f t="array" aca="1" ref="D3212" ca="1">IF(INDIRECT("'"&amp;A3212&amp;"'!"&amp;B3212)="",FALSE,IF(INDIRECT("'"&amp;A3212&amp;"'!"&amp;B3212)&lt;INDIRECT("'"&amp;A3212&amp;"'!B$10"),TRUE,FALSE))</f>
        <v>0</v>
      </c>
      <c r="E3212" t="s">
        <v>708</v>
      </c>
      <c r="F3212" t="str">
        <f>INDEX(Lists!I:I,MATCH(Validation!E3212,Lists!G:G,0))</f>
        <v>Error</v>
      </c>
      <c r="G3212" t="str">
        <f>INDEX(Lists!H:H,MATCH(Validation!E3212,Lists!G:G,0))</f>
        <v>High interest rate must equal or exceed the low interest rate.</v>
      </c>
      <c r="H3212" s="25" t="str">
        <f t="shared" ca="1" si="354"/>
        <v/>
      </c>
      <c r="I3212" s="25" t="str">
        <f t="shared" ca="1" si="355"/>
        <v/>
      </c>
      <c r="J3212" s="26" t="str">
        <f t="shared" ca="1" si="356"/>
        <v/>
      </c>
    </row>
    <row r="3213" spans="1:10" x14ac:dyDescent="0.25">
      <c r="A3213" t="s">
        <v>657</v>
      </c>
      <c r="B3213" t="str">
        <f>ADDRESS(ROW('PAYG 1'!$B$11),COLUMN('PAYG 1'!$B$11),4)</f>
        <v>B11</v>
      </c>
      <c r="C3213" t="str">
        <f>ADDRESS(ROW('PAYG 1'!$D$11),COLUMN('PAYG 1'!$D$11),4)</f>
        <v>D11</v>
      </c>
      <c r="D3213" t="b" cm="1">
        <f t="array" aca="1" ref="D3213" ca="1">IF(INDIRECT("'"&amp;A3213&amp;"'!"&amp;B3213)="",FALSE,IF(INDIRECT("'"&amp;A3213&amp;"'!"&amp;B3213)&lt;INDIRECT("'"&amp;A3213&amp;"'!B$10"),TRUE,FALSE))</f>
        <v>0</v>
      </c>
      <c r="E3213" t="s">
        <v>708</v>
      </c>
      <c r="F3213" t="str">
        <f>INDEX(Lists!I:I,MATCH(Validation!E3213,Lists!G:G,0))</f>
        <v>Error</v>
      </c>
      <c r="G3213" t="str">
        <f>INDEX(Lists!H:H,MATCH(Validation!E3213,Lists!G:G,0))</f>
        <v>High interest rate must equal or exceed the low interest rate.</v>
      </c>
      <c r="H3213" s="25" t="str">
        <f t="shared" ca="1" si="354"/>
        <v/>
      </c>
      <c r="I3213" s="25" t="str">
        <f t="shared" ca="1" si="355"/>
        <v/>
      </c>
      <c r="J3213" s="26" t="str">
        <f t="shared" ca="1" si="356"/>
        <v/>
      </c>
    </row>
    <row r="3214" spans="1:10" x14ac:dyDescent="0.25">
      <c r="A3214" t="s">
        <v>658</v>
      </c>
      <c r="B3214" t="str">
        <f>ADDRESS(ROW('PAYG 1'!$B$11),COLUMN('PAYG 1'!$B$11),4)</f>
        <v>B11</v>
      </c>
      <c r="C3214" t="str">
        <f>ADDRESS(ROW('PAYG 1'!$D$11),COLUMN('PAYG 1'!$D$11),4)</f>
        <v>D11</v>
      </c>
      <c r="D3214" t="b" cm="1">
        <f t="array" aca="1" ref="D3214" ca="1">IF(INDIRECT("'"&amp;A3214&amp;"'!"&amp;B3214)="",FALSE,IF(INDIRECT("'"&amp;A3214&amp;"'!"&amp;B3214)&lt;INDIRECT("'"&amp;A3214&amp;"'!B$10"),TRUE,FALSE))</f>
        <v>0</v>
      </c>
      <c r="E3214" t="s">
        <v>708</v>
      </c>
      <c r="F3214" t="str">
        <f>INDEX(Lists!I:I,MATCH(Validation!E3214,Lists!G:G,0))</f>
        <v>Error</v>
      </c>
      <c r="G3214" t="str">
        <f>INDEX(Lists!H:H,MATCH(Validation!E3214,Lists!G:G,0))</f>
        <v>High interest rate must equal or exceed the low interest rate.</v>
      </c>
      <c r="H3214" s="25" t="str">
        <f t="shared" ca="1" si="354"/>
        <v/>
      </c>
      <c r="I3214" s="25" t="str">
        <f t="shared" ca="1" si="355"/>
        <v/>
      </c>
      <c r="J3214" s="26" t="str">
        <f t="shared" ca="1" si="356"/>
        <v/>
      </c>
    </row>
    <row r="3215" spans="1:10" x14ac:dyDescent="0.25">
      <c r="A3215" t="s">
        <v>659</v>
      </c>
      <c r="B3215" t="str">
        <f>ADDRESS(ROW('PAYG 1'!$B$11),COLUMN('PAYG 1'!$B$11),4)</f>
        <v>B11</v>
      </c>
      <c r="C3215" t="str">
        <f>ADDRESS(ROW('PAYG 1'!$D$11),COLUMN('PAYG 1'!$D$11),4)</f>
        <v>D11</v>
      </c>
      <c r="D3215" t="b" cm="1">
        <f t="array" aca="1" ref="D3215" ca="1">IF(INDIRECT("'"&amp;A3215&amp;"'!"&amp;B3215)="",FALSE,IF(INDIRECT("'"&amp;A3215&amp;"'!"&amp;B3215)&lt;INDIRECT("'"&amp;A3215&amp;"'!B$10"),TRUE,FALSE))</f>
        <v>0</v>
      </c>
      <c r="E3215" t="s">
        <v>708</v>
      </c>
      <c r="F3215" t="str">
        <f>INDEX(Lists!I:I,MATCH(Validation!E3215,Lists!G:G,0))</f>
        <v>Error</v>
      </c>
      <c r="G3215" t="str">
        <f>INDEX(Lists!H:H,MATCH(Validation!E3215,Lists!G:G,0))</f>
        <v>High interest rate must equal or exceed the low interest rate.</v>
      </c>
      <c r="H3215" s="25" t="str">
        <f t="shared" ca="1" si="354"/>
        <v/>
      </c>
      <c r="I3215" s="25" t="str">
        <f t="shared" ca="1" si="355"/>
        <v/>
      </c>
      <c r="J3215" s="26" t="str">
        <f t="shared" ca="1" si="356"/>
        <v/>
      </c>
    </row>
    <row r="3216" spans="1:10" x14ac:dyDescent="0.25">
      <c r="A3216" t="s">
        <v>660</v>
      </c>
      <c r="B3216" t="str">
        <f>ADDRESS(ROW('PAYG 1'!$B$11),COLUMN('PAYG 1'!$B$11),4)</f>
        <v>B11</v>
      </c>
      <c r="C3216" t="str">
        <f>ADDRESS(ROW('PAYG 1'!$D$11),COLUMN('PAYG 1'!$D$11),4)</f>
        <v>D11</v>
      </c>
      <c r="D3216" t="b" cm="1">
        <f t="array" aca="1" ref="D3216" ca="1">IF(INDIRECT("'"&amp;A3216&amp;"'!"&amp;B3216)="",FALSE,IF(INDIRECT("'"&amp;A3216&amp;"'!"&amp;B3216)&lt;INDIRECT("'"&amp;A3216&amp;"'!B$10"),TRUE,FALSE))</f>
        <v>0</v>
      </c>
      <c r="E3216" t="s">
        <v>708</v>
      </c>
      <c r="F3216" t="str">
        <f>INDEX(Lists!I:I,MATCH(Validation!E3216,Lists!G:G,0))</f>
        <v>Error</v>
      </c>
      <c r="G3216" t="str">
        <f>INDEX(Lists!H:H,MATCH(Validation!E3216,Lists!G:G,0))</f>
        <v>High interest rate must equal or exceed the low interest rate.</v>
      </c>
      <c r="H3216" s="25" t="str">
        <f t="shared" ca="1" si="354"/>
        <v/>
      </c>
      <c r="I3216" s="25" t="str">
        <f t="shared" ca="1" si="355"/>
        <v/>
      </c>
      <c r="J3216" s="26" t="str">
        <f t="shared" ca="1" si="356"/>
        <v/>
      </c>
    </row>
    <row r="3217" spans="1:10" x14ac:dyDescent="0.25">
      <c r="A3217" t="s">
        <v>661</v>
      </c>
      <c r="B3217" t="str">
        <f>ADDRESS(ROW('PAYG 1'!$B$11),COLUMN('PAYG 1'!$B$11),4)</f>
        <v>B11</v>
      </c>
      <c r="C3217" t="str">
        <f>ADDRESS(ROW('PAYG 1'!$D$11),COLUMN('PAYG 1'!$D$11),4)</f>
        <v>D11</v>
      </c>
      <c r="D3217" t="b" cm="1">
        <f t="array" aca="1" ref="D3217" ca="1">IF(INDIRECT("'"&amp;A3217&amp;"'!"&amp;B3217)="",FALSE,IF(INDIRECT("'"&amp;A3217&amp;"'!"&amp;B3217)&lt;INDIRECT("'"&amp;A3217&amp;"'!B$10"),TRUE,FALSE))</f>
        <v>0</v>
      </c>
      <c r="E3217" t="s">
        <v>708</v>
      </c>
      <c r="F3217" t="str">
        <f>INDEX(Lists!I:I,MATCH(Validation!E3217,Lists!G:G,0))</f>
        <v>Error</v>
      </c>
      <c r="G3217" t="str">
        <f>INDEX(Lists!H:H,MATCH(Validation!E3217,Lists!G:G,0))</f>
        <v>High interest rate must equal or exceed the low interest rate.</v>
      </c>
      <c r="H3217" s="25" t="str">
        <f t="shared" ca="1" si="354"/>
        <v/>
      </c>
      <c r="I3217" s="25" t="str">
        <f t="shared" ca="1" si="355"/>
        <v/>
      </c>
      <c r="J3217" s="26" t="str">
        <f t="shared" ca="1" si="356"/>
        <v/>
      </c>
    </row>
    <row r="3218" spans="1:10" x14ac:dyDescent="0.25">
      <c r="A3218" t="s">
        <v>662</v>
      </c>
      <c r="B3218" t="str">
        <f>ADDRESS(ROW('PAYG 1'!$B$11),COLUMN('PAYG 1'!$B$11),4)</f>
        <v>B11</v>
      </c>
      <c r="C3218" t="str">
        <f>ADDRESS(ROW('PAYG 1'!$D$11),COLUMN('PAYG 1'!$D$11),4)</f>
        <v>D11</v>
      </c>
      <c r="D3218" t="b" cm="1">
        <f t="array" aca="1" ref="D3218" ca="1">IF(INDIRECT("'"&amp;A3218&amp;"'!"&amp;B3218)="",FALSE,IF(INDIRECT("'"&amp;A3218&amp;"'!"&amp;B3218)&lt;INDIRECT("'"&amp;A3218&amp;"'!B$10"),TRUE,FALSE))</f>
        <v>0</v>
      </c>
      <c r="E3218" t="s">
        <v>708</v>
      </c>
      <c r="F3218" t="str">
        <f>INDEX(Lists!I:I,MATCH(Validation!E3218,Lists!G:G,0))</f>
        <v>Error</v>
      </c>
      <c r="G3218" t="str">
        <f>INDEX(Lists!H:H,MATCH(Validation!E3218,Lists!G:G,0))</f>
        <v>High interest rate must equal or exceed the low interest rate.</v>
      </c>
      <c r="H3218" s="25" t="str">
        <f t="shared" ca="1" si="354"/>
        <v/>
      </c>
      <c r="I3218" s="25" t="str">
        <f t="shared" ca="1" si="355"/>
        <v/>
      </c>
      <c r="J3218" s="26" t="str">
        <f t="shared" ca="1" si="356"/>
        <v/>
      </c>
    </row>
    <row r="3219" spans="1:10" x14ac:dyDescent="0.25">
      <c r="A3219" t="s">
        <v>663</v>
      </c>
      <c r="B3219" t="str">
        <f>ADDRESS(ROW('PAYG 1'!$B$11),COLUMN('PAYG 1'!$B$11),4)</f>
        <v>B11</v>
      </c>
      <c r="C3219" t="str">
        <f>ADDRESS(ROW('PAYG 1'!$D$11),COLUMN('PAYG 1'!$D$11),4)</f>
        <v>D11</v>
      </c>
      <c r="D3219" t="b" cm="1">
        <f t="array" aca="1" ref="D3219" ca="1">IF(INDIRECT("'"&amp;A3219&amp;"'!"&amp;B3219)="",FALSE,IF(INDIRECT("'"&amp;A3219&amp;"'!"&amp;B3219)&lt;INDIRECT("'"&amp;A3219&amp;"'!B$10"),TRUE,FALSE))</f>
        <v>0</v>
      </c>
      <c r="E3219" t="s">
        <v>708</v>
      </c>
      <c r="F3219" t="str">
        <f>INDEX(Lists!I:I,MATCH(Validation!E3219,Lists!G:G,0))</f>
        <v>Error</v>
      </c>
      <c r="G3219" t="str">
        <f>INDEX(Lists!H:H,MATCH(Validation!E3219,Lists!G:G,0))</f>
        <v>High interest rate must equal or exceed the low interest rate.</v>
      </c>
      <c r="H3219" s="25" t="str">
        <f t="shared" ca="1" si="354"/>
        <v/>
      </c>
      <c r="I3219" s="25" t="str">
        <f t="shared" ca="1" si="355"/>
        <v/>
      </c>
      <c r="J3219" s="26" t="str">
        <f t="shared" ca="1" si="356"/>
        <v/>
      </c>
    </row>
    <row r="3220" spans="1:10" x14ac:dyDescent="0.25">
      <c r="A3220" t="s">
        <v>664</v>
      </c>
      <c r="B3220" t="str">
        <f>ADDRESS(ROW('PAYG 1'!$B$11),COLUMN('PAYG 1'!$B$11),4)</f>
        <v>B11</v>
      </c>
      <c r="C3220" t="str">
        <f>ADDRESS(ROW('PAYG 1'!$D$11),COLUMN('PAYG 1'!$D$11),4)</f>
        <v>D11</v>
      </c>
      <c r="D3220" t="b" cm="1">
        <f t="array" aca="1" ref="D3220" ca="1">IF(INDIRECT("'"&amp;A3220&amp;"'!"&amp;B3220)="",FALSE,IF(INDIRECT("'"&amp;A3220&amp;"'!"&amp;B3220)&lt;INDIRECT("'"&amp;A3220&amp;"'!B$10"),TRUE,FALSE))</f>
        <v>0</v>
      </c>
      <c r="E3220" t="s">
        <v>708</v>
      </c>
      <c r="F3220" t="str">
        <f>INDEX(Lists!I:I,MATCH(Validation!E3220,Lists!G:G,0))</f>
        <v>Error</v>
      </c>
      <c r="G3220" t="str">
        <f>INDEX(Lists!H:H,MATCH(Validation!E3220,Lists!G:G,0))</f>
        <v>High interest rate must equal or exceed the low interest rate.</v>
      </c>
      <c r="H3220" s="25" t="str">
        <f t="shared" ca="1" si="354"/>
        <v/>
      </c>
      <c r="I3220" s="25" t="str">
        <f t="shared" ca="1" si="355"/>
        <v/>
      </c>
      <c r="J3220" s="26" t="str">
        <f t="shared" ca="1" si="356"/>
        <v/>
      </c>
    </row>
    <row r="3221" spans="1:10" x14ac:dyDescent="0.25">
      <c r="A3221" t="s">
        <v>203</v>
      </c>
      <c r="B3221" t="str">
        <f>ADDRESS(ROW('PAYG 1'!$B$11),COLUMN('PAYG 1'!$B$11),4)</f>
        <v>B11</v>
      </c>
      <c r="C3221" t="str">
        <f>ADDRESS(ROW('PAYG 1'!$D$11),COLUMN('PAYG 1'!$D$11),4)</f>
        <v>D11</v>
      </c>
      <c r="D3221" t="b" cm="1">
        <f t="array" aca="1" ref="D3221" ca="1">IF(INDIRECT("'"&amp;A3221&amp;"'!"&amp;B3221)="",FALSE,IF(INDIRECT("'"&amp;A3221&amp;"'!"&amp;B3221)&gt;10,TRUE,FALSE))</f>
        <v>0</v>
      </c>
      <c r="E3221" t="s">
        <v>709</v>
      </c>
      <c r="F3221" t="str">
        <f>INDEX(Lists!I:I,MATCH(Validation!E3221,Lists!G:G,0))</f>
        <v>Alert</v>
      </c>
      <c r="G3221" t="str">
        <f>INDEX(Lists!H:H,MATCH(Validation!E3221,Lists!G:G,0))</f>
        <v>High interest rate exceeds typical rates. Correct entry or explain in comments box.</v>
      </c>
      <c r="H3221" s="25" t="str">
        <f t="shared" ca="1" si="354"/>
        <v/>
      </c>
      <c r="I3221" s="25" t="str">
        <f t="shared" ca="1" si="355"/>
        <v/>
      </c>
      <c r="J3221" s="26" t="str">
        <f t="shared" ca="1" si="356"/>
        <v/>
      </c>
    </row>
    <row r="3222" spans="1:10" x14ac:dyDescent="0.25">
      <c r="A3222" t="s">
        <v>651</v>
      </c>
      <c r="B3222" t="str">
        <f>ADDRESS(ROW('PAYG 1'!$B$11),COLUMN('PAYG 1'!$B$11),4)</f>
        <v>B11</v>
      </c>
      <c r="C3222" t="str">
        <f>ADDRESS(ROW('PAYG 1'!$D$11),COLUMN('PAYG 1'!$D$11),4)</f>
        <v>D11</v>
      </c>
      <c r="D3222" t="b" cm="1">
        <f t="array" aca="1" ref="D3222" ca="1">IF(INDIRECT("'"&amp;A3222&amp;"'!"&amp;B3222)="",FALSE,IF(INDIRECT("'"&amp;A3222&amp;"'!"&amp;B3222)&gt;10,TRUE,FALSE))</f>
        <v>0</v>
      </c>
      <c r="E3222" t="s">
        <v>709</v>
      </c>
      <c r="F3222" t="str">
        <f>INDEX(Lists!I:I,MATCH(Validation!E3222,Lists!G:G,0))</f>
        <v>Alert</v>
      </c>
      <c r="G3222" t="str">
        <f>INDEX(Lists!H:H,MATCH(Validation!E3222,Lists!G:G,0))</f>
        <v>High interest rate exceeds typical rates. Correct entry or explain in comments box.</v>
      </c>
      <c r="H3222" s="25" t="str">
        <f t="shared" ca="1" si="354"/>
        <v/>
      </c>
      <c r="I3222" s="25" t="str">
        <f t="shared" ca="1" si="355"/>
        <v/>
      </c>
      <c r="J3222" s="26" t="str">
        <f t="shared" ca="1" si="356"/>
        <v/>
      </c>
    </row>
    <row r="3223" spans="1:10" x14ac:dyDescent="0.25">
      <c r="A3223" t="s">
        <v>652</v>
      </c>
      <c r="B3223" t="str">
        <f>ADDRESS(ROW('PAYG 1'!$B$11),COLUMN('PAYG 1'!$B$11),4)</f>
        <v>B11</v>
      </c>
      <c r="C3223" t="str">
        <f>ADDRESS(ROW('PAYG 1'!$D$11),COLUMN('PAYG 1'!$D$11),4)</f>
        <v>D11</v>
      </c>
      <c r="D3223" t="b" cm="1">
        <f t="array" aca="1" ref="D3223" ca="1">IF(INDIRECT("'"&amp;A3223&amp;"'!"&amp;B3223)="",FALSE,IF(INDIRECT("'"&amp;A3223&amp;"'!"&amp;B3223)&gt;10,TRUE,FALSE))</f>
        <v>0</v>
      </c>
      <c r="E3223" t="s">
        <v>709</v>
      </c>
      <c r="F3223" t="str">
        <f>INDEX(Lists!I:I,MATCH(Validation!E3223,Lists!G:G,0))</f>
        <v>Alert</v>
      </c>
      <c r="G3223" t="str">
        <f>INDEX(Lists!H:H,MATCH(Validation!E3223,Lists!G:G,0))</f>
        <v>High interest rate exceeds typical rates. Correct entry or explain in comments box.</v>
      </c>
      <c r="H3223" s="25" t="str">
        <f t="shared" ca="1" si="354"/>
        <v/>
      </c>
      <c r="I3223" s="25" t="str">
        <f t="shared" ca="1" si="355"/>
        <v/>
      </c>
      <c r="J3223" s="26" t="str">
        <f t="shared" ca="1" si="356"/>
        <v/>
      </c>
    </row>
    <row r="3224" spans="1:10" x14ac:dyDescent="0.25">
      <c r="A3224" t="s">
        <v>653</v>
      </c>
      <c r="B3224" t="str">
        <f>ADDRESS(ROW('PAYG 1'!$B$11),COLUMN('PAYG 1'!$B$11),4)</f>
        <v>B11</v>
      </c>
      <c r="C3224" t="str">
        <f>ADDRESS(ROW('PAYG 1'!$D$11),COLUMN('PAYG 1'!$D$11),4)</f>
        <v>D11</v>
      </c>
      <c r="D3224" t="b" cm="1">
        <f t="array" aca="1" ref="D3224" ca="1">IF(INDIRECT("'"&amp;A3224&amp;"'!"&amp;B3224)="",FALSE,IF(INDIRECT("'"&amp;A3224&amp;"'!"&amp;B3224)&gt;10,TRUE,FALSE))</f>
        <v>0</v>
      </c>
      <c r="E3224" t="s">
        <v>709</v>
      </c>
      <c r="F3224" t="str">
        <f>INDEX(Lists!I:I,MATCH(Validation!E3224,Lists!G:G,0))</f>
        <v>Alert</v>
      </c>
      <c r="G3224" t="str">
        <f>INDEX(Lists!H:H,MATCH(Validation!E3224,Lists!G:G,0))</f>
        <v>High interest rate exceeds typical rates. Correct entry or explain in comments box.</v>
      </c>
      <c r="H3224" s="25" t="str">
        <f t="shared" ca="1" si="354"/>
        <v/>
      </c>
      <c r="I3224" s="25" t="str">
        <f t="shared" ca="1" si="355"/>
        <v/>
      </c>
      <c r="J3224" s="26" t="str">
        <f t="shared" ca="1" si="356"/>
        <v/>
      </c>
    </row>
    <row r="3225" spans="1:10" x14ac:dyDescent="0.25">
      <c r="A3225" t="s">
        <v>654</v>
      </c>
      <c r="B3225" t="str">
        <f>ADDRESS(ROW('PAYG 1'!$B$11),COLUMN('PAYG 1'!$B$11),4)</f>
        <v>B11</v>
      </c>
      <c r="C3225" t="str">
        <f>ADDRESS(ROW('PAYG 1'!$D$11),COLUMN('PAYG 1'!$D$11),4)</f>
        <v>D11</v>
      </c>
      <c r="D3225" t="b" cm="1">
        <f t="array" aca="1" ref="D3225" ca="1">IF(INDIRECT("'"&amp;A3225&amp;"'!"&amp;B3225)="",FALSE,IF(INDIRECT("'"&amp;A3225&amp;"'!"&amp;B3225)&gt;10,TRUE,FALSE))</f>
        <v>0</v>
      </c>
      <c r="E3225" t="s">
        <v>709</v>
      </c>
      <c r="F3225" t="str">
        <f>INDEX(Lists!I:I,MATCH(Validation!E3225,Lists!G:G,0))</f>
        <v>Alert</v>
      </c>
      <c r="G3225" t="str">
        <f>INDEX(Lists!H:H,MATCH(Validation!E3225,Lists!G:G,0))</f>
        <v>High interest rate exceeds typical rates. Correct entry or explain in comments box.</v>
      </c>
      <c r="H3225" s="25" t="str">
        <f t="shared" ca="1" si="354"/>
        <v/>
      </c>
      <c r="I3225" s="25" t="str">
        <f t="shared" ca="1" si="355"/>
        <v/>
      </c>
      <c r="J3225" s="26" t="str">
        <f t="shared" ca="1" si="356"/>
        <v/>
      </c>
    </row>
    <row r="3226" spans="1:10" x14ac:dyDescent="0.25">
      <c r="A3226" t="s">
        <v>655</v>
      </c>
      <c r="B3226" t="str">
        <f>ADDRESS(ROW('PAYG 1'!$B$11),COLUMN('PAYG 1'!$B$11),4)</f>
        <v>B11</v>
      </c>
      <c r="C3226" t="str">
        <f>ADDRESS(ROW('PAYG 1'!$D$11),COLUMN('PAYG 1'!$D$11),4)</f>
        <v>D11</v>
      </c>
      <c r="D3226" t="b" cm="1">
        <f t="array" aca="1" ref="D3226" ca="1">IF(INDIRECT("'"&amp;A3226&amp;"'!"&amp;B3226)="",FALSE,IF(INDIRECT("'"&amp;A3226&amp;"'!"&amp;B3226)&gt;10,TRUE,FALSE))</f>
        <v>0</v>
      </c>
      <c r="E3226" t="s">
        <v>709</v>
      </c>
      <c r="F3226" t="str">
        <f>INDEX(Lists!I:I,MATCH(Validation!E3226,Lists!G:G,0))</f>
        <v>Alert</v>
      </c>
      <c r="G3226" t="str">
        <f>INDEX(Lists!H:H,MATCH(Validation!E3226,Lists!G:G,0))</f>
        <v>High interest rate exceeds typical rates. Correct entry or explain in comments box.</v>
      </c>
      <c r="H3226" s="25" t="str">
        <f t="shared" ca="1" si="354"/>
        <v/>
      </c>
      <c r="I3226" s="25" t="str">
        <f t="shared" ca="1" si="355"/>
        <v/>
      </c>
      <c r="J3226" s="26" t="str">
        <f t="shared" ca="1" si="356"/>
        <v/>
      </c>
    </row>
    <row r="3227" spans="1:10" x14ac:dyDescent="0.25">
      <c r="A3227" t="s">
        <v>656</v>
      </c>
      <c r="B3227" t="str">
        <f>ADDRESS(ROW('PAYG 1'!$B$11),COLUMN('PAYG 1'!$B$11),4)</f>
        <v>B11</v>
      </c>
      <c r="C3227" t="str">
        <f>ADDRESS(ROW('PAYG 1'!$D$11),COLUMN('PAYG 1'!$D$11),4)</f>
        <v>D11</v>
      </c>
      <c r="D3227" t="b" cm="1">
        <f t="array" aca="1" ref="D3227" ca="1">IF(INDIRECT("'"&amp;A3227&amp;"'!"&amp;B3227)="",FALSE,IF(INDIRECT("'"&amp;A3227&amp;"'!"&amp;B3227)&gt;10,TRUE,FALSE))</f>
        <v>0</v>
      </c>
      <c r="E3227" t="s">
        <v>709</v>
      </c>
      <c r="F3227" t="str">
        <f>INDEX(Lists!I:I,MATCH(Validation!E3227,Lists!G:G,0))</f>
        <v>Alert</v>
      </c>
      <c r="G3227" t="str">
        <f>INDEX(Lists!H:H,MATCH(Validation!E3227,Lists!G:G,0))</f>
        <v>High interest rate exceeds typical rates. Correct entry or explain in comments box.</v>
      </c>
      <c r="H3227" s="25" t="str">
        <f t="shared" ca="1" si="354"/>
        <v/>
      </c>
      <c r="I3227" s="25" t="str">
        <f t="shared" ca="1" si="355"/>
        <v/>
      </c>
      <c r="J3227" s="26" t="str">
        <f t="shared" ca="1" si="356"/>
        <v/>
      </c>
    </row>
    <row r="3228" spans="1:10" x14ac:dyDescent="0.25">
      <c r="A3228" t="s">
        <v>657</v>
      </c>
      <c r="B3228" t="str">
        <f>ADDRESS(ROW('PAYG 1'!$B$11),COLUMN('PAYG 1'!$B$11),4)</f>
        <v>B11</v>
      </c>
      <c r="C3228" t="str">
        <f>ADDRESS(ROW('PAYG 1'!$D$11),COLUMN('PAYG 1'!$D$11),4)</f>
        <v>D11</v>
      </c>
      <c r="D3228" t="b" cm="1">
        <f t="array" aca="1" ref="D3228" ca="1">IF(INDIRECT("'"&amp;A3228&amp;"'!"&amp;B3228)="",FALSE,IF(INDIRECT("'"&amp;A3228&amp;"'!"&amp;B3228)&gt;10,TRUE,FALSE))</f>
        <v>0</v>
      </c>
      <c r="E3228" t="s">
        <v>709</v>
      </c>
      <c r="F3228" t="str">
        <f>INDEX(Lists!I:I,MATCH(Validation!E3228,Lists!G:G,0))</f>
        <v>Alert</v>
      </c>
      <c r="G3228" t="str">
        <f>INDEX(Lists!H:H,MATCH(Validation!E3228,Lists!G:G,0))</f>
        <v>High interest rate exceeds typical rates. Correct entry or explain in comments box.</v>
      </c>
      <c r="H3228" s="25" t="str">
        <f t="shared" ca="1" si="354"/>
        <v/>
      </c>
      <c r="I3228" s="25" t="str">
        <f t="shared" ca="1" si="355"/>
        <v/>
      </c>
      <c r="J3228" s="26" t="str">
        <f t="shared" ca="1" si="356"/>
        <v/>
      </c>
    </row>
    <row r="3229" spans="1:10" x14ac:dyDescent="0.25">
      <c r="A3229" t="s">
        <v>658</v>
      </c>
      <c r="B3229" t="str">
        <f>ADDRESS(ROW('PAYG 1'!$B$11),COLUMN('PAYG 1'!$B$11),4)</f>
        <v>B11</v>
      </c>
      <c r="C3229" t="str">
        <f>ADDRESS(ROW('PAYG 1'!$D$11),COLUMN('PAYG 1'!$D$11),4)</f>
        <v>D11</v>
      </c>
      <c r="D3229" t="b" cm="1">
        <f t="array" aca="1" ref="D3229" ca="1">IF(INDIRECT("'"&amp;A3229&amp;"'!"&amp;B3229)="",FALSE,IF(INDIRECT("'"&amp;A3229&amp;"'!"&amp;B3229)&gt;10,TRUE,FALSE))</f>
        <v>0</v>
      </c>
      <c r="E3229" t="s">
        <v>709</v>
      </c>
      <c r="F3229" t="str">
        <f>INDEX(Lists!I:I,MATCH(Validation!E3229,Lists!G:G,0))</f>
        <v>Alert</v>
      </c>
      <c r="G3229" t="str">
        <f>INDEX(Lists!H:H,MATCH(Validation!E3229,Lists!G:G,0))</f>
        <v>High interest rate exceeds typical rates. Correct entry or explain in comments box.</v>
      </c>
      <c r="H3229" s="25" t="str">
        <f t="shared" ca="1" si="354"/>
        <v/>
      </c>
      <c r="I3229" s="25" t="str">
        <f t="shared" ca="1" si="355"/>
        <v/>
      </c>
      <c r="J3229" s="26" t="str">
        <f t="shared" ca="1" si="356"/>
        <v/>
      </c>
    </row>
    <row r="3230" spans="1:10" x14ac:dyDescent="0.25">
      <c r="A3230" t="s">
        <v>659</v>
      </c>
      <c r="B3230" t="str">
        <f>ADDRESS(ROW('PAYG 1'!$B$11),COLUMN('PAYG 1'!$B$11),4)</f>
        <v>B11</v>
      </c>
      <c r="C3230" t="str">
        <f>ADDRESS(ROW('PAYG 1'!$D$11),COLUMN('PAYG 1'!$D$11),4)</f>
        <v>D11</v>
      </c>
      <c r="D3230" t="b" cm="1">
        <f t="array" aca="1" ref="D3230" ca="1">IF(INDIRECT("'"&amp;A3230&amp;"'!"&amp;B3230)="",FALSE,IF(INDIRECT("'"&amp;A3230&amp;"'!"&amp;B3230)&gt;10,TRUE,FALSE))</f>
        <v>0</v>
      </c>
      <c r="E3230" t="s">
        <v>709</v>
      </c>
      <c r="F3230" t="str">
        <f>INDEX(Lists!I:I,MATCH(Validation!E3230,Lists!G:G,0))</f>
        <v>Alert</v>
      </c>
      <c r="G3230" t="str">
        <f>INDEX(Lists!H:H,MATCH(Validation!E3230,Lists!G:G,0))</f>
        <v>High interest rate exceeds typical rates. Correct entry or explain in comments box.</v>
      </c>
      <c r="H3230" s="25" t="str">
        <f t="shared" ca="1" si="354"/>
        <v/>
      </c>
      <c r="I3230" s="25" t="str">
        <f t="shared" ca="1" si="355"/>
        <v/>
      </c>
      <c r="J3230" s="26" t="str">
        <f t="shared" ca="1" si="356"/>
        <v/>
      </c>
    </row>
    <row r="3231" spans="1:10" x14ac:dyDescent="0.25">
      <c r="A3231" t="s">
        <v>660</v>
      </c>
      <c r="B3231" t="str">
        <f>ADDRESS(ROW('PAYG 1'!$B$11),COLUMN('PAYG 1'!$B$11),4)</f>
        <v>B11</v>
      </c>
      <c r="C3231" t="str">
        <f>ADDRESS(ROW('PAYG 1'!$D$11),COLUMN('PAYG 1'!$D$11),4)</f>
        <v>D11</v>
      </c>
      <c r="D3231" t="b" cm="1">
        <f t="array" aca="1" ref="D3231" ca="1">IF(INDIRECT("'"&amp;A3231&amp;"'!"&amp;B3231)="",FALSE,IF(INDIRECT("'"&amp;A3231&amp;"'!"&amp;B3231)&gt;10,TRUE,FALSE))</f>
        <v>0</v>
      </c>
      <c r="E3231" t="s">
        <v>709</v>
      </c>
      <c r="F3231" t="str">
        <f>INDEX(Lists!I:I,MATCH(Validation!E3231,Lists!G:G,0))</f>
        <v>Alert</v>
      </c>
      <c r="G3231" t="str">
        <f>INDEX(Lists!H:H,MATCH(Validation!E3231,Lists!G:G,0))</f>
        <v>High interest rate exceeds typical rates. Correct entry or explain in comments box.</v>
      </c>
      <c r="H3231" s="25" t="str">
        <f t="shared" ca="1" si="354"/>
        <v/>
      </c>
      <c r="I3231" s="25" t="str">
        <f t="shared" ca="1" si="355"/>
        <v/>
      </c>
      <c r="J3231" s="26" t="str">
        <f t="shared" ca="1" si="356"/>
        <v/>
      </c>
    </row>
    <row r="3232" spans="1:10" x14ac:dyDescent="0.25">
      <c r="A3232" t="s">
        <v>661</v>
      </c>
      <c r="B3232" t="str">
        <f>ADDRESS(ROW('PAYG 1'!$B$11),COLUMN('PAYG 1'!$B$11),4)</f>
        <v>B11</v>
      </c>
      <c r="C3232" t="str">
        <f>ADDRESS(ROW('PAYG 1'!$D$11),COLUMN('PAYG 1'!$D$11),4)</f>
        <v>D11</v>
      </c>
      <c r="D3232" t="b" cm="1">
        <f t="array" aca="1" ref="D3232" ca="1">IF(INDIRECT("'"&amp;A3232&amp;"'!"&amp;B3232)="",FALSE,IF(INDIRECT("'"&amp;A3232&amp;"'!"&amp;B3232)&gt;10,TRUE,FALSE))</f>
        <v>0</v>
      </c>
      <c r="E3232" t="s">
        <v>709</v>
      </c>
      <c r="F3232" t="str">
        <f>INDEX(Lists!I:I,MATCH(Validation!E3232,Lists!G:G,0))</f>
        <v>Alert</v>
      </c>
      <c r="G3232" t="str">
        <f>INDEX(Lists!H:H,MATCH(Validation!E3232,Lists!G:G,0))</f>
        <v>High interest rate exceeds typical rates. Correct entry or explain in comments box.</v>
      </c>
      <c r="H3232" s="25" t="str">
        <f t="shared" ca="1" si="354"/>
        <v/>
      </c>
      <c r="I3232" s="25" t="str">
        <f t="shared" ca="1" si="355"/>
        <v/>
      </c>
      <c r="J3232" s="26" t="str">
        <f t="shared" ca="1" si="356"/>
        <v/>
      </c>
    </row>
    <row r="3233" spans="1:10" x14ac:dyDescent="0.25">
      <c r="A3233" t="s">
        <v>662</v>
      </c>
      <c r="B3233" t="str">
        <f>ADDRESS(ROW('PAYG 1'!$B$11),COLUMN('PAYG 1'!$B$11),4)</f>
        <v>B11</v>
      </c>
      <c r="C3233" t="str">
        <f>ADDRESS(ROW('PAYG 1'!$D$11),COLUMN('PAYG 1'!$D$11),4)</f>
        <v>D11</v>
      </c>
      <c r="D3233" t="b" cm="1">
        <f t="array" aca="1" ref="D3233" ca="1">IF(INDIRECT("'"&amp;A3233&amp;"'!"&amp;B3233)="",FALSE,IF(INDIRECT("'"&amp;A3233&amp;"'!"&amp;B3233)&gt;10,TRUE,FALSE))</f>
        <v>0</v>
      </c>
      <c r="E3233" t="s">
        <v>709</v>
      </c>
      <c r="F3233" t="str">
        <f>INDEX(Lists!I:I,MATCH(Validation!E3233,Lists!G:G,0))</f>
        <v>Alert</v>
      </c>
      <c r="G3233" t="str">
        <f>INDEX(Lists!H:H,MATCH(Validation!E3233,Lists!G:G,0))</f>
        <v>High interest rate exceeds typical rates. Correct entry or explain in comments box.</v>
      </c>
      <c r="H3233" s="25" t="str">
        <f t="shared" ca="1" si="354"/>
        <v/>
      </c>
      <c r="I3233" s="25" t="str">
        <f t="shared" ca="1" si="355"/>
        <v/>
      </c>
      <c r="J3233" s="26" t="str">
        <f t="shared" ca="1" si="356"/>
        <v/>
      </c>
    </row>
    <row r="3234" spans="1:10" x14ac:dyDescent="0.25">
      <c r="A3234" t="s">
        <v>663</v>
      </c>
      <c r="B3234" t="str">
        <f>ADDRESS(ROW('PAYG 1'!$B$11),COLUMN('PAYG 1'!$B$11),4)</f>
        <v>B11</v>
      </c>
      <c r="C3234" t="str">
        <f>ADDRESS(ROW('PAYG 1'!$D$11),COLUMN('PAYG 1'!$D$11),4)</f>
        <v>D11</v>
      </c>
      <c r="D3234" t="b" cm="1">
        <f t="array" aca="1" ref="D3234" ca="1">IF(INDIRECT("'"&amp;A3234&amp;"'!"&amp;B3234)="",FALSE,IF(INDIRECT("'"&amp;A3234&amp;"'!"&amp;B3234)&gt;10,TRUE,FALSE))</f>
        <v>0</v>
      </c>
      <c r="E3234" t="s">
        <v>709</v>
      </c>
      <c r="F3234" t="str">
        <f>INDEX(Lists!I:I,MATCH(Validation!E3234,Lists!G:G,0))</f>
        <v>Alert</v>
      </c>
      <c r="G3234" t="str">
        <f>INDEX(Lists!H:H,MATCH(Validation!E3234,Lists!G:G,0))</f>
        <v>High interest rate exceeds typical rates. Correct entry or explain in comments box.</v>
      </c>
      <c r="H3234" s="25" t="str">
        <f t="shared" ca="1" si="354"/>
        <v/>
      </c>
      <c r="I3234" s="25" t="str">
        <f t="shared" ca="1" si="355"/>
        <v/>
      </c>
      <c r="J3234" s="26" t="str">
        <f t="shared" ca="1" si="356"/>
        <v/>
      </c>
    </row>
    <row r="3235" spans="1:10" x14ac:dyDescent="0.25">
      <c r="A3235" t="s">
        <v>664</v>
      </c>
      <c r="B3235" t="str">
        <f>ADDRESS(ROW('PAYG 1'!$B$11),COLUMN('PAYG 1'!$B$11),4)</f>
        <v>B11</v>
      </c>
      <c r="C3235" t="str">
        <f>ADDRESS(ROW('PAYG 1'!$D$11),COLUMN('PAYG 1'!$D$11),4)</f>
        <v>D11</v>
      </c>
      <c r="D3235" t="b" cm="1">
        <f t="array" aca="1" ref="D3235" ca="1">IF(INDIRECT("'"&amp;A3235&amp;"'!"&amp;B3235)="",FALSE,IF(INDIRECT("'"&amp;A3235&amp;"'!"&amp;B3235)&gt;10,TRUE,FALSE))</f>
        <v>0</v>
      </c>
      <c r="E3235" t="s">
        <v>709</v>
      </c>
      <c r="F3235" t="str">
        <f>INDEX(Lists!I:I,MATCH(Validation!E3235,Lists!G:G,0))</f>
        <v>Alert</v>
      </c>
      <c r="G3235" t="str">
        <f>INDEX(Lists!H:H,MATCH(Validation!E3235,Lists!G:G,0))</f>
        <v>High interest rate exceeds typical rates. Correct entry or explain in comments box.</v>
      </c>
      <c r="H3235" s="25" t="str">
        <f t="shared" ca="1" si="354"/>
        <v/>
      </c>
      <c r="I3235" s="25" t="str">
        <f t="shared" ca="1" si="355"/>
        <v/>
      </c>
      <c r="J3235" s="26" t="str">
        <f t="shared" ca="1" si="356"/>
        <v/>
      </c>
    </row>
    <row r="3236" spans="1:10" x14ac:dyDescent="0.25">
      <c r="A3236" t="s">
        <v>203</v>
      </c>
      <c r="B3236" t="str">
        <f>ADDRESS(ROW('PAYG 1'!$B$11),COLUMN('PAYG 1'!$B$11),4)</f>
        <v>B11</v>
      </c>
      <c r="C3236" t="str">
        <f>ADDRESS(ROW('PAYG 1'!$D$11),COLUMN('PAYG 1'!$D$11),4)</f>
        <v>D11</v>
      </c>
      <c r="D3236" t="b" cm="1">
        <f t="array" aca="1" ref="D3236" ca="1">IF(INDIRECT("'"&amp;A3236&amp;"'!"&amp;B3236)="",FALSE,IF(TRUNC(INDIRECT("'"&amp;A3236&amp;"'!"&amp;B3236),3)=INDIRECT("'"&amp;A3236&amp;"'!"&amp;B3236),FALSE,TRUE))</f>
        <v>0</v>
      </c>
      <c r="E3236" t="s">
        <v>616</v>
      </c>
      <c r="F3236" t="str">
        <f>INDEX(Lists!I:I,MATCH(Validation!E3236,Lists!G:G,0))</f>
        <v>Error</v>
      </c>
      <c r="G3236" t="str">
        <f>INDEX(Lists!H:H,MATCH(Validation!E3236,Lists!G:G,0))</f>
        <v>Interest rate cannot have more than three decimals.</v>
      </c>
      <c r="H3236" s="25" t="str">
        <f t="shared" ca="1" si="354"/>
        <v/>
      </c>
      <c r="I3236" s="25" t="str">
        <f t="shared" ca="1" si="355"/>
        <v/>
      </c>
      <c r="J3236" s="26" t="str">
        <f t="shared" ca="1" si="356"/>
        <v/>
      </c>
    </row>
    <row r="3237" spans="1:10" x14ac:dyDescent="0.25">
      <c r="A3237" t="s">
        <v>651</v>
      </c>
      <c r="B3237" t="str">
        <f>ADDRESS(ROW('PAYG 1'!$B$11),COLUMN('PAYG 1'!$B$11),4)</f>
        <v>B11</v>
      </c>
      <c r="C3237" t="str">
        <f>ADDRESS(ROW('PAYG 1'!$D$11),COLUMN('PAYG 1'!$D$11),4)</f>
        <v>D11</v>
      </c>
      <c r="D3237" t="b" cm="1">
        <f t="array" aca="1" ref="D3237" ca="1">IF(INDIRECT("'"&amp;A3237&amp;"'!"&amp;B3237)="",FALSE,IF(TRUNC(INDIRECT("'"&amp;A3237&amp;"'!"&amp;B3237),3)=INDIRECT("'"&amp;A3237&amp;"'!"&amp;B3237),FALSE,TRUE))</f>
        <v>0</v>
      </c>
      <c r="E3237" t="s">
        <v>616</v>
      </c>
      <c r="F3237" t="str">
        <f>INDEX(Lists!I:I,MATCH(Validation!E3237,Lists!G:G,0))</f>
        <v>Error</v>
      </c>
      <c r="G3237" t="str">
        <f>INDEX(Lists!H:H,MATCH(Validation!E3237,Lists!G:G,0))</f>
        <v>Interest rate cannot have more than three decimals.</v>
      </c>
      <c r="H3237" s="25" t="str">
        <f t="shared" ref="H3237:H3250" ca="1" si="357">IFERROR(IF(OR(NOT(D3237),F3237&lt;&gt;"Error"),"",A3237&amp;CELL("address",INDIRECT(B3237))),"")</f>
        <v/>
      </c>
      <c r="I3237" s="25" t="str">
        <f t="shared" ref="I3237:I3250" ca="1" si="358">IFERROR(IF(NOT(D3237),"",A3237&amp;CELL("address",INDIRECT(C3237))),"")</f>
        <v/>
      </c>
      <c r="J3237" s="26" t="str">
        <f t="shared" ref="J3237:J3250" ca="1" si="359">IFERROR(IF(NOT(D3237),"",A3237),"")</f>
        <v/>
      </c>
    </row>
    <row r="3238" spans="1:10" x14ac:dyDescent="0.25">
      <c r="A3238" t="s">
        <v>652</v>
      </c>
      <c r="B3238" t="str">
        <f>ADDRESS(ROW('PAYG 1'!$B$11),COLUMN('PAYG 1'!$B$11),4)</f>
        <v>B11</v>
      </c>
      <c r="C3238" t="str">
        <f>ADDRESS(ROW('PAYG 1'!$D$11),COLUMN('PAYG 1'!$D$11),4)</f>
        <v>D11</v>
      </c>
      <c r="D3238" t="b" cm="1">
        <f t="array" aca="1" ref="D3238" ca="1">IF(INDIRECT("'"&amp;A3238&amp;"'!"&amp;B3238)="",FALSE,IF(TRUNC(INDIRECT("'"&amp;A3238&amp;"'!"&amp;B3238),3)=INDIRECT("'"&amp;A3238&amp;"'!"&amp;B3238),FALSE,TRUE))</f>
        <v>0</v>
      </c>
      <c r="E3238" t="s">
        <v>616</v>
      </c>
      <c r="F3238" t="str">
        <f>INDEX(Lists!I:I,MATCH(Validation!E3238,Lists!G:G,0))</f>
        <v>Error</v>
      </c>
      <c r="G3238" t="str">
        <f>INDEX(Lists!H:H,MATCH(Validation!E3238,Lists!G:G,0))</f>
        <v>Interest rate cannot have more than three decimals.</v>
      </c>
      <c r="H3238" s="25" t="str">
        <f t="shared" ca="1" si="357"/>
        <v/>
      </c>
      <c r="I3238" s="25" t="str">
        <f t="shared" ca="1" si="358"/>
        <v/>
      </c>
      <c r="J3238" s="26" t="str">
        <f t="shared" ca="1" si="359"/>
        <v/>
      </c>
    </row>
    <row r="3239" spans="1:10" x14ac:dyDescent="0.25">
      <c r="A3239" t="s">
        <v>653</v>
      </c>
      <c r="B3239" t="str">
        <f>ADDRESS(ROW('PAYG 1'!$B$11),COLUMN('PAYG 1'!$B$11),4)</f>
        <v>B11</v>
      </c>
      <c r="C3239" t="str">
        <f>ADDRESS(ROW('PAYG 1'!$D$11),COLUMN('PAYG 1'!$D$11),4)</f>
        <v>D11</v>
      </c>
      <c r="D3239" t="b" cm="1">
        <f t="array" aca="1" ref="D3239" ca="1">IF(INDIRECT("'"&amp;A3239&amp;"'!"&amp;B3239)="",FALSE,IF(TRUNC(INDIRECT("'"&amp;A3239&amp;"'!"&amp;B3239),3)=INDIRECT("'"&amp;A3239&amp;"'!"&amp;B3239),FALSE,TRUE))</f>
        <v>0</v>
      </c>
      <c r="E3239" t="s">
        <v>616</v>
      </c>
      <c r="F3239" t="str">
        <f>INDEX(Lists!I:I,MATCH(Validation!E3239,Lists!G:G,0))</f>
        <v>Error</v>
      </c>
      <c r="G3239" t="str">
        <f>INDEX(Lists!H:H,MATCH(Validation!E3239,Lists!G:G,0))</f>
        <v>Interest rate cannot have more than three decimals.</v>
      </c>
      <c r="H3239" s="25" t="str">
        <f t="shared" ca="1" si="357"/>
        <v/>
      </c>
      <c r="I3239" s="25" t="str">
        <f t="shared" ca="1" si="358"/>
        <v/>
      </c>
      <c r="J3239" s="26" t="str">
        <f t="shared" ca="1" si="359"/>
        <v/>
      </c>
    </row>
    <row r="3240" spans="1:10" x14ac:dyDescent="0.25">
      <c r="A3240" t="s">
        <v>654</v>
      </c>
      <c r="B3240" t="str">
        <f>ADDRESS(ROW('PAYG 1'!$B$11),COLUMN('PAYG 1'!$B$11),4)</f>
        <v>B11</v>
      </c>
      <c r="C3240" t="str">
        <f>ADDRESS(ROW('PAYG 1'!$D$11),COLUMN('PAYG 1'!$D$11),4)</f>
        <v>D11</v>
      </c>
      <c r="D3240" t="b" cm="1">
        <f t="array" aca="1" ref="D3240" ca="1">IF(INDIRECT("'"&amp;A3240&amp;"'!"&amp;B3240)="",FALSE,IF(TRUNC(INDIRECT("'"&amp;A3240&amp;"'!"&amp;B3240),3)=INDIRECT("'"&amp;A3240&amp;"'!"&amp;B3240),FALSE,TRUE))</f>
        <v>0</v>
      </c>
      <c r="E3240" t="s">
        <v>616</v>
      </c>
      <c r="F3240" t="str">
        <f>INDEX(Lists!I:I,MATCH(Validation!E3240,Lists!G:G,0))</f>
        <v>Error</v>
      </c>
      <c r="G3240" t="str">
        <f>INDEX(Lists!H:H,MATCH(Validation!E3240,Lists!G:G,0))</f>
        <v>Interest rate cannot have more than three decimals.</v>
      </c>
      <c r="H3240" s="25" t="str">
        <f t="shared" ca="1" si="357"/>
        <v/>
      </c>
      <c r="I3240" s="25" t="str">
        <f t="shared" ca="1" si="358"/>
        <v/>
      </c>
      <c r="J3240" s="26" t="str">
        <f t="shared" ca="1" si="359"/>
        <v/>
      </c>
    </row>
    <row r="3241" spans="1:10" x14ac:dyDescent="0.25">
      <c r="A3241" t="s">
        <v>655</v>
      </c>
      <c r="B3241" t="str">
        <f>ADDRESS(ROW('PAYG 1'!$B$11),COLUMN('PAYG 1'!$B$11),4)</f>
        <v>B11</v>
      </c>
      <c r="C3241" t="str">
        <f>ADDRESS(ROW('PAYG 1'!$D$11),COLUMN('PAYG 1'!$D$11),4)</f>
        <v>D11</v>
      </c>
      <c r="D3241" t="b" cm="1">
        <f t="array" aca="1" ref="D3241" ca="1">IF(INDIRECT("'"&amp;A3241&amp;"'!"&amp;B3241)="",FALSE,IF(TRUNC(INDIRECT("'"&amp;A3241&amp;"'!"&amp;B3241),3)=INDIRECT("'"&amp;A3241&amp;"'!"&amp;B3241),FALSE,TRUE))</f>
        <v>0</v>
      </c>
      <c r="E3241" t="s">
        <v>616</v>
      </c>
      <c r="F3241" t="str">
        <f>INDEX(Lists!I:I,MATCH(Validation!E3241,Lists!G:G,0))</f>
        <v>Error</v>
      </c>
      <c r="G3241" t="str">
        <f>INDEX(Lists!H:H,MATCH(Validation!E3241,Lists!G:G,0))</f>
        <v>Interest rate cannot have more than three decimals.</v>
      </c>
      <c r="H3241" s="25" t="str">
        <f t="shared" ca="1" si="357"/>
        <v/>
      </c>
      <c r="I3241" s="25" t="str">
        <f t="shared" ca="1" si="358"/>
        <v/>
      </c>
      <c r="J3241" s="26" t="str">
        <f t="shared" ca="1" si="359"/>
        <v/>
      </c>
    </row>
    <row r="3242" spans="1:10" x14ac:dyDescent="0.25">
      <c r="A3242" t="s">
        <v>656</v>
      </c>
      <c r="B3242" t="str">
        <f>ADDRESS(ROW('PAYG 1'!$B$11),COLUMN('PAYG 1'!$B$11),4)</f>
        <v>B11</v>
      </c>
      <c r="C3242" t="str">
        <f>ADDRESS(ROW('PAYG 1'!$D$11),COLUMN('PAYG 1'!$D$11),4)</f>
        <v>D11</v>
      </c>
      <c r="D3242" t="b" cm="1">
        <f t="array" aca="1" ref="D3242" ca="1">IF(INDIRECT("'"&amp;A3242&amp;"'!"&amp;B3242)="",FALSE,IF(TRUNC(INDIRECT("'"&amp;A3242&amp;"'!"&amp;B3242),3)=INDIRECT("'"&amp;A3242&amp;"'!"&amp;B3242),FALSE,TRUE))</f>
        <v>0</v>
      </c>
      <c r="E3242" t="s">
        <v>616</v>
      </c>
      <c r="F3242" t="str">
        <f>INDEX(Lists!I:I,MATCH(Validation!E3242,Lists!G:G,0))</f>
        <v>Error</v>
      </c>
      <c r="G3242" t="str">
        <f>INDEX(Lists!H:H,MATCH(Validation!E3242,Lists!G:G,0))</f>
        <v>Interest rate cannot have more than three decimals.</v>
      </c>
      <c r="H3242" s="25" t="str">
        <f t="shared" ca="1" si="357"/>
        <v/>
      </c>
      <c r="I3242" s="25" t="str">
        <f t="shared" ca="1" si="358"/>
        <v/>
      </c>
      <c r="J3242" s="26" t="str">
        <f t="shared" ca="1" si="359"/>
        <v/>
      </c>
    </row>
    <row r="3243" spans="1:10" x14ac:dyDescent="0.25">
      <c r="A3243" t="s">
        <v>657</v>
      </c>
      <c r="B3243" t="str">
        <f>ADDRESS(ROW('PAYG 1'!$B$11),COLUMN('PAYG 1'!$B$11),4)</f>
        <v>B11</v>
      </c>
      <c r="C3243" t="str">
        <f>ADDRESS(ROW('PAYG 1'!$D$11),COLUMN('PAYG 1'!$D$11),4)</f>
        <v>D11</v>
      </c>
      <c r="D3243" t="b" cm="1">
        <f t="array" aca="1" ref="D3243" ca="1">IF(INDIRECT("'"&amp;A3243&amp;"'!"&amp;B3243)="",FALSE,IF(TRUNC(INDIRECT("'"&amp;A3243&amp;"'!"&amp;B3243),3)=INDIRECT("'"&amp;A3243&amp;"'!"&amp;B3243),FALSE,TRUE))</f>
        <v>0</v>
      </c>
      <c r="E3243" t="s">
        <v>616</v>
      </c>
      <c r="F3243" t="str">
        <f>INDEX(Lists!I:I,MATCH(Validation!E3243,Lists!G:G,0))</f>
        <v>Error</v>
      </c>
      <c r="G3243" t="str">
        <f>INDEX(Lists!H:H,MATCH(Validation!E3243,Lists!G:G,0))</f>
        <v>Interest rate cannot have more than three decimals.</v>
      </c>
      <c r="H3243" s="25" t="str">
        <f t="shared" ca="1" si="357"/>
        <v/>
      </c>
      <c r="I3243" s="25" t="str">
        <f t="shared" ca="1" si="358"/>
        <v/>
      </c>
      <c r="J3243" s="26" t="str">
        <f t="shared" ca="1" si="359"/>
        <v/>
      </c>
    </row>
    <row r="3244" spans="1:10" x14ac:dyDescent="0.25">
      <c r="A3244" t="s">
        <v>658</v>
      </c>
      <c r="B3244" t="str">
        <f>ADDRESS(ROW('PAYG 1'!$B$11),COLUMN('PAYG 1'!$B$11),4)</f>
        <v>B11</v>
      </c>
      <c r="C3244" t="str">
        <f>ADDRESS(ROW('PAYG 1'!$D$11),COLUMN('PAYG 1'!$D$11),4)</f>
        <v>D11</v>
      </c>
      <c r="D3244" t="b" cm="1">
        <f t="array" aca="1" ref="D3244" ca="1">IF(INDIRECT("'"&amp;A3244&amp;"'!"&amp;B3244)="",FALSE,IF(TRUNC(INDIRECT("'"&amp;A3244&amp;"'!"&amp;B3244),3)=INDIRECT("'"&amp;A3244&amp;"'!"&amp;B3244),FALSE,TRUE))</f>
        <v>0</v>
      </c>
      <c r="E3244" t="s">
        <v>616</v>
      </c>
      <c r="F3244" t="str">
        <f>INDEX(Lists!I:I,MATCH(Validation!E3244,Lists!G:G,0))</f>
        <v>Error</v>
      </c>
      <c r="G3244" t="str">
        <f>INDEX(Lists!H:H,MATCH(Validation!E3244,Lists!G:G,0))</f>
        <v>Interest rate cannot have more than three decimals.</v>
      </c>
      <c r="H3244" s="25" t="str">
        <f t="shared" ca="1" si="357"/>
        <v/>
      </c>
      <c r="I3244" s="25" t="str">
        <f t="shared" ca="1" si="358"/>
        <v/>
      </c>
      <c r="J3244" s="26" t="str">
        <f t="shared" ca="1" si="359"/>
        <v/>
      </c>
    </row>
    <row r="3245" spans="1:10" x14ac:dyDescent="0.25">
      <c r="A3245" t="s">
        <v>659</v>
      </c>
      <c r="B3245" t="str">
        <f>ADDRESS(ROW('PAYG 1'!$B$11),COLUMN('PAYG 1'!$B$11),4)</f>
        <v>B11</v>
      </c>
      <c r="C3245" t="str">
        <f>ADDRESS(ROW('PAYG 1'!$D$11),COLUMN('PAYG 1'!$D$11),4)</f>
        <v>D11</v>
      </c>
      <c r="D3245" t="b" cm="1">
        <f t="array" aca="1" ref="D3245" ca="1">IF(INDIRECT("'"&amp;A3245&amp;"'!"&amp;B3245)="",FALSE,IF(TRUNC(INDIRECT("'"&amp;A3245&amp;"'!"&amp;B3245),3)=INDIRECT("'"&amp;A3245&amp;"'!"&amp;B3245),FALSE,TRUE))</f>
        <v>0</v>
      </c>
      <c r="E3245" t="s">
        <v>616</v>
      </c>
      <c r="F3245" t="str">
        <f>INDEX(Lists!I:I,MATCH(Validation!E3245,Lists!G:G,0))</f>
        <v>Error</v>
      </c>
      <c r="G3245" t="str">
        <f>INDEX(Lists!H:H,MATCH(Validation!E3245,Lists!G:G,0))</f>
        <v>Interest rate cannot have more than three decimals.</v>
      </c>
      <c r="H3245" s="25" t="str">
        <f t="shared" ca="1" si="357"/>
        <v/>
      </c>
      <c r="I3245" s="25" t="str">
        <f t="shared" ca="1" si="358"/>
        <v/>
      </c>
      <c r="J3245" s="26" t="str">
        <f t="shared" ca="1" si="359"/>
        <v/>
      </c>
    </row>
    <row r="3246" spans="1:10" x14ac:dyDescent="0.25">
      <c r="A3246" t="s">
        <v>660</v>
      </c>
      <c r="B3246" t="str">
        <f>ADDRESS(ROW('PAYG 1'!$B$11),COLUMN('PAYG 1'!$B$11),4)</f>
        <v>B11</v>
      </c>
      <c r="C3246" t="str">
        <f>ADDRESS(ROW('PAYG 1'!$D$11),COLUMN('PAYG 1'!$D$11),4)</f>
        <v>D11</v>
      </c>
      <c r="D3246" t="b" cm="1">
        <f t="array" aca="1" ref="D3246" ca="1">IF(INDIRECT("'"&amp;A3246&amp;"'!"&amp;B3246)="",FALSE,IF(TRUNC(INDIRECT("'"&amp;A3246&amp;"'!"&amp;B3246),3)=INDIRECT("'"&amp;A3246&amp;"'!"&amp;B3246),FALSE,TRUE))</f>
        <v>0</v>
      </c>
      <c r="E3246" t="s">
        <v>616</v>
      </c>
      <c r="F3246" t="str">
        <f>INDEX(Lists!I:I,MATCH(Validation!E3246,Lists!G:G,0))</f>
        <v>Error</v>
      </c>
      <c r="G3246" t="str">
        <f>INDEX(Lists!H:H,MATCH(Validation!E3246,Lists!G:G,0))</f>
        <v>Interest rate cannot have more than three decimals.</v>
      </c>
      <c r="H3246" s="25" t="str">
        <f t="shared" ca="1" si="357"/>
        <v/>
      </c>
      <c r="I3246" s="25" t="str">
        <f t="shared" ca="1" si="358"/>
        <v/>
      </c>
      <c r="J3246" s="26" t="str">
        <f t="shared" ca="1" si="359"/>
        <v/>
      </c>
    </row>
    <row r="3247" spans="1:10" x14ac:dyDescent="0.25">
      <c r="A3247" t="s">
        <v>661</v>
      </c>
      <c r="B3247" t="str">
        <f>ADDRESS(ROW('PAYG 1'!$B$11),COLUMN('PAYG 1'!$B$11),4)</f>
        <v>B11</v>
      </c>
      <c r="C3247" t="str">
        <f>ADDRESS(ROW('PAYG 1'!$D$11),COLUMN('PAYG 1'!$D$11),4)</f>
        <v>D11</v>
      </c>
      <c r="D3247" t="b" cm="1">
        <f t="array" aca="1" ref="D3247" ca="1">IF(INDIRECT("'"&amp;A3247&amp;"'!"&amp;B3247)="",FALSE,IF(TRUNC(INDIRECT("'"&amp;A3247&amp;"'!"&amp;B3247),3)=INDIRECT("'"&amp;A3247&amp;"'!"&amp;B3247),FALSE,TRUE))</f>
        <v>0</v>
      </c>
      <c r="E3247" t="s">
        <v>616</v>
      </c>
      <c r="F3247" t="str">
        <f>INDEX(Lists!I:I,MATCH(Validation!E3247,Lists!G:G,0))</f>
        <v>Error</v>
      </c>
      <c r="G3247" t="str">
        <f>INDEX(Lists!H:H,MATCH(Validation!E3247,Lists!G:G,0))</f>
        <v>Interest rate cannot have more than three decimals.</v>
      </c>
      <c r="H3247" s="25" t="str">
        <f t="shared" ca="1" si="357"/>
        <v/>
      </c>
      <c r="I3247" s="25" t="str">
        <f t="shared" ca="1" si="358"/>
        <v/>
      </c>
      <c r="J3247" s="26" t="str">
        <f t="shared" ca="1" si="359"/>
        <v/>
      </c>
    </row>
    <row r="3248" spans="1:10" x14ac:dyDescent="0.25">
      <c r="A3248" t="s">
        <v>662</v>
      </c>
      <c r="B3248" t="str">
        <f>ADDRESS(ROW('PAYG 1'!$B$11),COLUMN('PAYG 1'!$B$11),4)</f>
        <v>B11</v>
      </c>
      <c r="C3248" t="str">
        <f>ADDRESS(ROW('PAYG 1'!$D$11),COLUMN('PAYG 1'!$D$11),4)</f>
        <v>D11</v>
      </c>
      <c r="D3248" t="b" cm="1">
        <f t="array" aca="1" ref="D3248" ca="1">IF(INDIRECT("'"&amp;A3248&amp;"'!"&amp;B3248)="",FALSE,IF(TRUNC(INDIRECT("'"&amp;A3248&amp;"'!"&amp;B3248),3)=INDIRECT("'"&amp;A3248&amp;"'!"&amp;B3248),FALSE,TRUE))</f>
        <v>0</v>
      </c>
      <c r="E3248" t="s">
        <v>616</v>
      </c>
      <c r="F3248" t="str">
        <f>INDEX(Lists!I:I,MATCH(Validation!E3248,Lists!G:G,0))</f>
        <v>Error</v>
      </c>
      <c r="G3248" t="str">
        <f>INDEX(Lists!H:H,MATCH(Validation!E3248,Lists!G:G,0))</f>
        <v>Interest rate cannot have more than three decimals.</v>
      </c>
      <c r="H3248" s="25" t="str">
        <f t="shared" ca="1" si="357"/>
        <v/>
      </c>
      <c r="I3248" s="25" t="str">
        <f t="shared" ca="1" si="358"/>
        <v/>
      </c>
      <c r="J3248" s="26" t="str">
        <f t="shared" ca="1" si="359"/>
        <v/>
      </c>
    </row>
    <row r="3249" spans="1:10" x14ac:dyDescent="0.25">
      <c r="A3249" t="s">
        <v>663</v>
      </c>
      <c r="B3249" t="str">
        <f>ADDRESS(ROW('PAYG 1'!$B$11),COLUMN('PAYG 1'!$B$11),4)</f>
        <v>B11</v>
      </c>
      <c r="C3249" t="str">
        <f>ADDRESS(ROW('PAYG 1'!$D$11),COLUMN('PAYG 1'!$D$11),4)</f>
        <v>D11</v>
      </c>
      <c r="D3249" t="b" cm="1">
        <f t="array" aca="1" ref="D3249" ca="1">IF(INDIRECT("'"&amp;A3249&amp;"'!"&amp;B3249)="",FALSE,IF(TRUNC(INDIRECT("'"&amp;A3249&amp;"'!"&amp;B3249),3)=INDIRECT("'"&amp;A3249&amp;"'!"&amp;B3249),FALSE,TRUE))</f>
        <v>0</v>
      </c>
      <c r="E3249" t="s">
        <v>616</v>
      </c>
      <c r="F3249" t="str">
        <f>INDEX(Lists!I:I,MATCH(Validation!E3249,Lists!G:G,0))</f>
        <v>Error</v>
      </c>
      <c r="G3249" t="str">
        <f>INDEX(Lists!H:H,MATCH(Validation!E3249,Lists!G:G,0))</f>
        <v>Interest rate cannot have more than three decimals.</v>
      </c>
      <c r="H3249" s="25" t="str">
        <f t="shared" ca="1" si="357"/>
        <v/>
      </c>
      <c r="I3249" s="25" t="str">
        <f t="shared" ca="1" si="358"/>
        <v/>
      </c>
      <c r="J3249" s="26" t="str">
        <f t="shared" ca="1" si="359"/>
        <v/>
      </c>
    </row>
    <row r="3250" spans="1:10" x14ac:dyDescent="0.25">
      <c r="A3250" t="s">
        <v>664</v>
      </c>
      <c r="B3250" t="str">
        <f>ADDRESS(ROW('PAYG 1'!$B$11),COLUMN('PAYG 1'!$B$11),4)</f>
        <v>B11</v>
      </c>
      <c r="C3250" t="str">
        <f>ADDRESS(ROW('PAYG 1'!$D$11),COLUMN('PAYG 1'!$D$11),4)</f>
        <v>D11</v>
      </c>
      <c r="D3250" t="b" cm="1">
        <f t="array" aca="1" ref="D3250" ca="1">IF(INDIRECT("'"&amp;A3250&amp;"'!"&amp;B3250)="",FALSE,IF(TRUNC(INDIRECT("'"&amp;A3250&amp;"'!"&amp;B3250),3)=INDIRECT("'"&amp;A3250&amp;"'!"&amp;B3250),FALSE,TRUE))</f>
        <v>0</v>
      </c>
      <c r="E3250" t="s">
        <v>616</v>
      </c>
      <c r="F3250" t="str">
        <f>INDEX(Lists!I:I,MATCH(Validation!E3250,Lists!G:G,0))</f>
        <v>Error</v>
      </c>
      <c r="G3250" t="str">
        <f>INDEX(Lists!H:H,MATCH(Validation!E3250,Lists!G:G,0))</f>
        <v>Interest rate cannot have more than three decimals.</v>
      </c>
      <c r="H3250" s="25" t="str">
        <f t="shared" ca="1" si="357"/>
        <v/>
      </c>
      <c r="I3250" s="25" t="str">
        <f t="shared" ca="1" si="358"/>
        <v/>
      </c>
      <c r="J3250" s="26" t="str">
        <f t="shared" ca="1" si="359"/>
        <v/>
      </c>
    </row>
    <row r="3251" spans="1:10" x14ac:dyDescent="0.25">
      <c r="A3251" t="s">
        <v>203</v>
      </c>
      <c r="B3251" t="str">
        <f>ADDRESS(ROW('PAYG 1'!$B$12),COLUMN('PAYG 1'!$B$12),4)</f>
        <v>B12</v>
      </c>
      <c r="C3251" t="str">
        <f>ADDRESS(ROW('PAYG 1'!$D$12),COLUMN('PAYG 1'!$D$12),4)</f>
        <v>D12</v>
      </c>
      <c r="D3251" t="b" cm="1">
        <f t="array" aca="1" ref="D3251" ca="1">IF(INDIRECT("'"&amp;A3251&amp;"'!"&amp;B3251)="",FALSE,IF(NOT(ISNUMBER(INDIRECT("'"&amp;A3251&amp;"'!"&amp;B3251))),TRUE,FALSE))</f>
        <v>0</v>
      </c>
      <c r="E3251" t="s">
        <v>435</v>
      </c>
      <c r="F3251" t="str">
        <f>INDEX(Lists!I:I,MATCH(Validation!E3251,Lists!G:G,0))</f>
        <v>Error</v>
      </c>
      <c r="G3251" t="str">
        <f>INDEX(Lists!H:H,MATCH(Validation!E3251,Lists!G:G,0))</f>
        <v>Enter an amount only. Do not enter text or spaces.</v>
      </c>
      <c r="H3251" s="16" t="str">
        <f t="shared" ref="H3251:H3269" ca="1" si="360">IFERROR(IF(OR(NOT(D3251),F3251&lt;&gt;"Error"),"",A3251&amp;CELL("address",INDIRECT(B3251))),"")</f>
        <v/>
      </c>
      <c r="I3251" s="16" t="str">
        <f t="shared" ref="I3251:I3269" ca="1" si="361">IFERROR(IF(NOT(D3251),"",A3251&amp;CELL("address",INDIRECT(C3251))),"")</f>
        <v/>
      </c>
      <c r="J3251" s="17" t="str">
        <f t="shared" ref="J3251:J3269" ca="1" si="362">IFERROR(IF(NOT(D3251),"",A3251),"")</f>
        <v/>
      </c>
    </row>
    <row r="3252" spans="1:10" x14ac:dyDescent="0.25">
      <c r="A3252" t="s">
        <v>651</v>
      </c>
      <c r="B3252" t="str">
        <f>ADDRESS(ROW('PAYG 1'!$B$12),COLUMN('PAYG 1'!$B$12),4)</f>
        <v>B12</v>
      </c>
      <c r="C3252" t="str">
        <f>ADDRESS(ROW('PAYG 1'!$D$12),COLUMN('PAYG 1'!$D$12),4)</f>
        <v>D12</v>
      </c>
      <c r="D3252" t="b" cm="1">
        <f t="array" aca="1" ref="D3252" ca="1">IF(INDIRECT("'"&amp;A3252&amp;"'!"&amp;B3252)="",FALSE,IF(NOT(ISNUMBER(INDIRECT("'"&amp;A3252&amp;"'!"&amp;B3252))),TRUE,FALSE))</f>
        <v>0</v>
      </c>
      <c r="E3252" t="s">
        <v>435</v>
      </c>
      <c r="F3252" t="str">
        <f>INDEX(Lists!I:I,MATCH(Validation!E3252,Lists!G:G,0))</f>
        <v>Error</v>
      </c>
      <c r="G3252" t="str">
        <f>INDEX(Lists!H:H,MATCH(Validation!E3252,Lists!G:G,0))</f>
        <v>Enter an amount only. Do not enter text or spaces.</v>
      </c>
      <c r="H3252" s="16" t="str">
        <f t="shared" ca="1" si="360"/>
        <v/>
      </c>
      <c r="I3252" s="16" t="str">
        <f t="shared" ca="1" si="361"/>
        <v/>
      </c>
      <c r="J3252" s="17" t="str">
        <f t="shared" ca="1" si="362"/>
        <v/>
      </c>
    </row>
    <row r="3253" spans="1:10" x14ac:dyDescent="0.25">
      <c r="A3253" t="s">
        <v>652</v>
      </c>
      <c r="B3253" t="str">
        <f>ADDRESS(ROW('PAYG 1'!$B$12),COLUMN('PAYG 1'!$B$12),4)</f>
        <v>B12</v>
      </c>
      <c r="C3253" t="str">
        <f>ADDRESS(ROW('PAYG 1'!$D$12),COLUMN('PAYG 1'!$D$12),4)</f>
        <v>D12</v>
      </c>
      <c r="D3253" t="b" cm="1">
        <f t="array" aca="1" ref="D3253" ca="1">IF(INDIRECT("'"&amp;A3253&amp;"'!"&amp;B3253)="",FALSE,IF(NOT(ISNUMBER(INDIRECT("'"&amp;A3253&amp;"'!"&amp;B3253))),TRUE,FALSE))</f>
        <v>0</v>
      </c>
      <c r="E3253" t="s">
        <v>435</v>
      </c>
      <c r="F3253" t="str">
        <f>INDEX(Lists!I:I,MATCH(Validation!E3253,Lists!G:G,0))</f>
        <v>Error</v>
      </c>
      <c r="G3253" t="str">
        <f>INDEX(Lists!H:H,MATCH(Validation!E3253,Lists!G:G,0))</f>
        <v>Enter an amount only. Do not enter text or spaces.</v>
      </c>
      <c r="H3253" s="16" t="str">
        <f t="shared" ca="1" si="360"/>
        <v/>
      </c>
      <c r="I3253" s="16" t="str">
        <f t="shared" ca="1" si="361"/>
        <v/>
      </c>
      <c r="J3253" s="17" t="str">
        <f t="shared" ca="1" si="362"/>
        <v/>
      </c>
    </row>
    <row r="3254" spans="1:10" x14ac:dyDescent="0.25">
      <c r="A3254" t="s">
        <v>653</v>
      </c>
      <c r="B3254" t="str">
        <f>ADDRESS(ROW('PAYG 1'!$B$12),COLUMN('PAYG 1'!$B$12),4)</f>
        <v>B12</v>
      </c>
      <c r="C3254" t="str">
        <f>ADDRESS(ROW('PAYG 1'!$D$12),COLUMN('PAYG 1'!$D$12),4)</f>
        <v>D12</v>
      </c>
      <c r="D3254" t="b" cm="1">
        <f t="array" aca="1" ref="D3254" ca="1">IF(INDIRECT("'"&amp;A3254&amp;"'!"&amp;B3254)="",FALSE,IF(NOT(ISNUMBER(INDIRECT("'"&amp;A3254&amp;"'!"&amp;B3254))),TRUE,FALSE))</f>
        <v>0</v>
      </c>
      <c r="E3254" t="s">
        <v>435</v>
      </c>
      <c r="F3254" t="str">
        <f>INDEX(Lists!I:I,MATCH(Validation!E3254,Lists!G:G,0))</f>
        <v>Error</v>
      </c>
      <c r="G3254" t="str">
        <f>INDEX(Lists!H:H,MATCH(Validation!E3254,Lists!G:G,0))</f>
        <v>Enter an amount only. Do not enter text or spaces.</v>
      </c>
      <c r="H3254" s="16" t="str">
        <f t="shared" ca="1" si="360"/>
        <v/>
      </c>
      <c r="I3254" s="16" t="str">
        <f t="shared" ca="1" si="361"/>
        <v/>
      </c>
      <c r="J3254" s="17" t="str">
        <f t="shared" ca="1" si="362"/>
        <v/>
      </c>
    </row>
    <row r="3255" spans="1:10" x14ac:dyDescent="0.25">
      <c r="A3255" t="s">
        <v>654</v>
      </c>
      <c r="B3255" t="str">
        <f>ADDRESS(ROW('PAYG 1'!$B$12),COLUMN('PAYG 1'!$B$12),4)</f>
        <v>B12</v>
      </c>
      <c r="C3255" t="str">
        <f>ADDRESS(ROW('PAYG 1'!$D$12),COLUMN('PAYG 1'!$D$12),4)</f>
        <v>D12</v>
      </c>
      <c r="D3255" t="b" cm="1">
        <f t="array" aca="1" ref="D3255" ca="1">IF(INDIRECT("'"&amp;A3255&amp;"'!"&amp;B3255)="",FALSE,IF(NOT(ISNUMBER(INDIRECT("'"&amp;A3255&amp;"'!"&amp;B3255))),TRUE,FALSE))</f>
        <v>0</v>
      </c>
      <c r="E3255" t="s">
        <v>435</v>
      </c>
      <c r="F3255" t="str">
        <f>INDEX(Lists!I:I,MATCH(Validation!E3255,Lists!G:G,0))</f>
        <v>Error</v>
      </c>
      <c r="G3255" t="str">
        <f>INDEX(Lists!H:H,MATCH(Validation!E3255,Lists!G:G,0))</f>
        <v>Enter an amount only. Do not enter text or spaces.</v>
      </c>
      <c r="H3255" s="16" t="str">
        <f t="shared" ca="1" si="360"/>
        <v/>
      </c>
      <c r="I3255" s="16" t="str">
        <f t="shared" ca="1" si="361"/>
        <v/>
      </c>
      <c r="J3255" s="17" t="str">
        <f t="shared" ca="1" si="362"/>
        <v/>
      </c>
    </row>
    <row r="3256" spans="1:10" x14ac:dyDescent="0.25">
      <c r="A3256" t="s">
        <v>655</v>
      </c>
      <c r="B3256" t="str">
        <f>ADDRESS(ROW('PAYG 1'!$B$12),COLUMN('PAYG 1'!$B$12),4)</f>
        <v>B12</v>
      </c>
      <c r="C3256" t="str">
        <f>ADDRESS(ROW('PAYG 1'!$D$12),COLUMN('PAYG 1'!$D$12),4)</f>
        <v>D12</v>
      </c>
      <c r="D3256" t="b" cm="1">
        <f t="array" aca="1" ref="D3256" ca="1">IF(INDIRECT("'"&amp;A3256&amp;"'!"&amp;B3256)="",FALSE,IF(NOT(ISNUMBER(INDIRECT("'"&amp;A3256&amp;"'!"&amp;B3256))),TRUE,FALSE))</f>
        <v>0</v>
      </c>
      <c r="E3256" t="s">
        <v>435</v>
      </c>
      <c r="F3256" t="str">
        <f>INDEX(Lists!I:I,MATCH(Validation!E3256,Lists!G:G,0))</f>
        <v>Error</v>
      </c>
      <c r="G3256" t="str">
        <f>INDEX(Lists!H:H,MATCH(Validation!E3256,Lists!G:G,0))</f>
        <v>Enter an amount only. Do not enter text or spaces.</v>
      </c>
      <c r="H3256" s="16" t="str">
        <f t="shared" ca="1" si="360"/>
        <v/>
      </c>
      <c r="I3256" s="16" t="str">
        <f t="shared" ca="1" si="361"/>
        <v/>
      </c>
      <c r="J3256" s="17" t="str">
        <f t="shared" ca="1" si="362"/>
        <v/>
      </c>
    </row>
    <row r="3257" spans="1:10" x14ac:dyDescent="0.25">
      <c r="A3257" t="s">
        <v>656</v>
      </c>
      <c r="B3257" t="str">
        <f>ADDRESS(ROW('PAYG 1'!$B$12),COLUMN('PAYG 1'!$B$12),4)</f>
        <v>B12</v>
      </c>
      <c r="C3257" t="str">
        <f>ADDRESS(ROW('PAYG 1'!$D$12),COLUMN('PAYG 1'!$D$12),4)</f>
        <v>D12</v>
      </c>
      <c r="D3257" t="b" cm="1">
        <f t="array" aca="1" ref="D3257" ca="1">IF(INDIRECT("'"&amp;A3257&amp;"'!"&amp;B3257)="",FALSE,IF(NOT(ISNUMBER(INDIRECT("'"&amp;A3257&amp;"'!"&amp;B3257))),TRUE,FALSE))</f>
        <v>0</v>
      </c>
      <c r="E3257" t="s">
        <v>435</v>
      </c>
      <c r="F3257" t="str">
        <f>INDEX(Lists!I:I,MATCH(Validation!E3257,Lists!G:G,0))</f>
        <v>Error</v>
      </c>
      <c r="G3257" t="str">
        <f>INDEX(Lists!H:H,MATCH(Validation!E3257,Lists!G:G,0))</f>
        <v>Enter an amount only. Do not enter text or spaces.</v>
      </c>
      <c r="H3257" s="16" t="str">
        <f t="shared" ca="1" si="360"/>
        <v/>
      </c>
      <c r="I3257" s="16" t="str">
        <f t="shared" ca="1" si="361"/>
        <v/>
      </c>
      <c r="J3257" s="17" t="str">
        <f t="shared" ca="1" si="362"/>
        <v/>
      </c>
    </row>
    <row r="3258" spans="1:10" x14ac:dyDescent="0.25">
      <c r="A3258" t="s">
        <v>657</v>
      </c>
      <c r="B3258" t="str">
        <f>ADDRESS(ROW('PAYG 1'!$B$12),COLUMN('PAYG 1'!$B$12),4)</f>
        <v>B12</v>
      </c>
      <c r="C3258" t="str">
        <f>ADDRESS(ROW('PAYG 1'!$D$12),COLUMN('PAYG 1'!$D$12),4)</f>
        <v>D12</v>
      </c>
      <c r="D3258" t="b" cm="1">
        <f t="array" aca="1" ref="D3258" ca="1">IF(INDIRECT("'"&amp;A3258&amp;"'!"&amp;B3258)="",FALSE,IF(NOT(ISNUMBER(INDIRECT("'"&amp;A3258&amp;"'!"&amp;B3258))),TRUE,FALSE))</f>
        <v>0</v>
      </c>
      <c r="E3258" t="s">
        <v>435</v>
      </c>
      <c r="F3258" t="str">
        <f>INDEX(Lists!I:I,MATCH(Validation!E3258,Lists!G:G,0))</f>
        <v>Error</v>
      </c>
      <c r="G3258" t="str">
        <f>INDEX(Lists!H:H,MATCH(Validation!E3258,Lists!G:G,0))</f>
        <v>Enter an amount only. Do not enter text or spaces.</v>
      </c>
      <c r="H3258" s="16" t="str">
        <f t="shared" ca="1" si="360"/>
        <v/>
      </c>
      <c r="I3258" s="16" t="str">
        <f t="shared" ca="1" si="361"/>
        <v/>
      </c>
      <c r="J3258" s="17" t="str">
        <f t="shared" ca="1" si="362"/>
        <v/>
      </c>
    </row>
    <row r="3259" spans="1:10" x14ac:dyDescent="0.25">
      <c r="A3259" t="s">
        <v>658</v>
      </c>
      <c r="B3259" t="str">
        <f>ADDRESS(ROW('PAYG 1'!$B$12),COLUMN('PAYG 1'!$B$12),4)</f>
        <v>B12</v>
      </c>
      <c r="C3259" t="str">
        <f>ADDRESS(ROW('PAYG 1'!$D$12),COLUMN('PAYG 1'!$D$12),4)</f>
        <v>D12</v>
      </c>
      <c r="D3259" t="b" cm="1">
        <f t="array" aca="1" ref="D3259" ca="1">IF(INDIRECT("'"&amp;A3259&amp;"'!"&amp;B3259)="",FALSE,IF(NOT(ISNUMBER(INDIRECT("'"&amp;A3259&amp;"'!"&amp;B3259))),TRUE,FALSE))</f>
        <v>0</v>
      </c>
      <c r="E3259" t="s">
        <v>435</v>
      </c>
      <c r="F3259" t="str">
        <f>INDEX(Lists!I:I,MATCH(Validation!E3259,Lists!G:G,0))</f>
        <v>Error</v>
      </c>
      <c r="G3259" t="str">
        <f>INDEX(Lists!H:H,MATCH(Validation!E3259,Lists!G:G,0))</f>
        <v>Enter an amount only. Do not enter text or spaces.</v>
      </c>
      <c r="H3259" s="16" t="str">
        <f t="shared" ca="1" si="360"/>
        <v/>
      </c>
      <c r="I3259" s="16" t="str">
        <f t="shared" ca="1" si="361"/>
        <v/>
      </c>
      <c r="J3259" s="17" t="str">
        <f t="shared" ca="1" si="362"/>
        <v/>
      </c>
    </row>
    <row r="3260" spans="1:10" x14ac:dyDescent="0.25">
      <c r="A3260" t="s">
        <v>659</v>
      </c>
      <c r="B3260" t="str">
        <f>ADDRESS(ROW('PAYG 1'!$B$12),COLUMN('PAYG 1'!$B$12),4)</f>
        <v>B12</v>
      </c>
      <c r="C3260" t="str">
        <f>ADDRESS(ROW('PAYG 1'!$D$12),COLUMN('PAYG 1'!$D$12),4)</f>
        <v>D12</v>
      </c>
      <c r="D3260" t="b" cm="1">
        <f t="array" aca="1" ref="D3260" ca="1">IF(INDIRECT("'"&amp;A3260&amp;"'!"&amp;B3260)="",FALSE,IF(NOT(ISNUMBER(INDIRECT("'"&amp;A3260&amp;"'!"&amp;B3260))),TRUE,FALSE))</f>
        <v>0</v>
      </c>
      <c r="E3260" t="s">
        <v>435</v>
      </c>
      <c r="F3260" t="str">
        <f>INDEX(Lists!I:I,MATCH(Validation!E3260,Lists!G:G,0))</f>
        <v>Error</v>
      </c>
      <c r="G3260" t="str">
        <f>INDEX(Lists!H:H,MATCH(Validation!E3260,Lists!G:G,0))</f>
        <v>Enter an amount only. Do not enter text or spaces.</v>
      </c>
      <c r="H3260" s="16" t="str">
        <f t="shared" ca="1" si="360"/>
        <v/>
      </c>
      <c r="I3260" s="16" t="str">
        <f t="shared" ca="1" si="361"/>
        <v/>
      </c>
      <c r="J3260" s="17" t="str">
        <f t="shared" ca="1" si="362"/>
        <v/>
      </c>
    </row>
    <row r="3261" spans="1:10" x14ac:dyDescent="0.25">
      <c r="A3261" t="s">
        <v>660</v>
      </c>
      <c r="B3261" t="str">
        <f>ADDRESS(ROW('PAYG 1'!$B$12),COLUMN('PAYG 1'!$B$12),4)</f>
        <v>B12</v>
      </c>
      <c r="C3261" t="str">
        <f>ADDRESS(ROW('PAYG 1'!$D$12),COLUMN('PAYG 1'!$D$12),4)</f>
        <v>D12</v>
      </c>
      <c r="D3261" t="b" cm="1">
        <f t="array" aca="1" ref="D3261" ca="1">IF(INDIRECT("'"&amp;A3261&amp;"'!"&amp;B3261)="",FALSE,IF(NOT(ISNUMBER(INDIRECT("'"&amp;A3261&amp;"'!"&amp;B3261))),TRUE,FALSE))</f>
        <v>0</v>
      </c>
      <c r="E3261" t="s">
        <v>435</v>
      </c>
      <c r="F3261" t="str">
        <f>INDEX(Lists!I:I,MATCH(Validation!E3261,Lists!G:G,0))</f>
        <v>Error</v>
      </c>
      <c r="G3261" t="str">
        <f>INDEX(Lists!H:H,MATCH(Validation!E3261,Lists!G:G,0))</f>
        <v>Enter an amount only. Do not enter text or spaces.</v>
      </c>
      <c r="H3261" s="16" t="str">
        <f t="shared" ca="1" si="360"/>
        <v/>
      </c>
      <c r="I3261" s="16" t="str">
        <f t="shared" ca="1" si="361"/>
        <v/>
      </c>
      <c r="J3261" s="17" t="str">
        <f t="shared" ca="1" si="362"/>
        <v/>
      </c>
    </row>
    <row r="3262" spans="1:10" x14ac:dyDescent="0.25">
      <c r="A3262" t="s">
        <v>661</v>
      </c>
      <c r="B3262" t="str">
        <f>ADDRESS(ROW('PAYG 1'!$B$12),COLUMN('PAYG 1'!$B$12),4)</f>
        <v>B12</v>
      </c>
      <c r="C3262" t="str">
        <f>ADDRESS(ROW('PAYG 1'!$D$12),COLUMN('PAYG 1'!$D$12),4)</f>
        <v>D12</v>
      </c>
      <c r="D3262" t="b" cm="1">
        <f t="array" aca="1" ref="D3262" ca="1">IF(INDIRECT("'"&amp;A3262&amp;"'!"&amp;B3262)="",FALSE,IF(NOT(ISNUMBER(INDIRECT("'"&amp;A3262&amp;"'!"&amp;B3262))),TRUE,FALSE))</f>
        <v>0</v>
      </c>
      <c r="E3262" t="s">
        <v>435</v>
      </c>
      <c r="F3262" t="str">
        <f>INDEX(Lists!I:I,MATCH(Validation!E3262,Lists!G:G,0))</f>
        <v>Error</v>
      </c>
      <c r="G3262" t="str">
        <f>INDEX(Lists!H:H,MATCH(Validation!E3262,Lists!G:G,0))</f>
        <v>Enter an amount only. Do not enter text or spaces.</v>
      </c>
      <c r="H3262" s="16" t="str">
        <f t="shared" ca="1" si="360"/>
        <v/>
      </c>
      <c r="I3262" s="16" t="str">
        <f t="shared" ca="1" si="361"/>
        <v/>
      </c>
      <c r="J3262" s="17" t="str">
        <f t="shared" ca="1" si="362"/>
        <v/>
      </c>
    </row>
    <row r="3263" spans="1:10" x14ac:dyDescent="0.25">
      <c r="A3263" t="s">
        <v>662</v>
      </c>
      <c r="B3263" t="str">
        <f>ADDRESS(ROW('PAYG 1'!$B$12),COLUMN('PAYG 1'!$B$12),4)</f>
        <v>B12</v>
      </c>
      <c r="C3263" t="str">
        <f>ADDRESS(ROW('PAYG 1'!$D$12),COLUMN('PAYG 1'!$D$12),4)</f>
        <v>D12</v>
      </c>
      <c r="D3263" t="b" cm="1">
        <f t="array" aca="1" ref="D3263" ca="1">IF(INDIRECT("'"&amp;A3263&amp;"'!"&amp;B3263)="",FALSE,IF(NOT(ISNUMBER(INDIRECT("'"&amp;A3263&amp;"'!"&amp;B3263))),TRUE,FALSE))</f>
        <v>0</v>
      </c>
      <c r="E3263" t="s">
        <v>435</v>
      </c>
      <c r="F3263" t="str">
        <f>INDEX(Lists!I:I,MATCH(Validation!E3263,Lists!G:G,0))</f>
        <v>Error</v>
      </c>
      <c r="G3263" t="str">
        <f>INDEX(Lists!H:H,MATCH(Validation!E3263,Lists!G:G,0))</f>
        <v>Enter an amount only. Do not enter text or spaces.</v>
      </c>
      <c r="H3263" s="16" t="str">
        <f t="shared" ca="1" si="360"/>
        <v/>
      </c>
      <c r="I3263" s="16" t="str">
        <f t="shared" ca="1" si="361"/>
        <v/>
      </c>
      <c r="J3263" s="17" t="str">
        <f t="shared" ca="1" si="362"/>
        <v/>
      </c>
    </row>
    <row r="3264" spans="1:10" x14ac:dyDescent="0.25">
      <c r="A3264" t="s">
        <v>663</v>
      </c>
      <c r="B3264" t="str">
        <f>ADDRESS(ROW('PAYG 1'!$B$12),COLUMN('PAYG 1'!$B$12),4)</f>
        <v>B12</v>
      </c>
      <c r="C3264" t="str">
        <f>ADDRESS(ROW('PAYG 1'!$D$12),COLUMN('PAYG 1'!$D$12),4)</f>
        <v>D12</v>
      </c>
      <c r="D3264" t="b" cm="1">
        <f t="array" aca="1" ref="D3264" ca="1">IF(INDIRECT("'"&amp;A3264&amp;"'!"&amp;B3264)="",FALSE,IF(NOT(ISNUMBER(INDIRECT("'"&amp;A3264&amp;"'!"&amp;B3264))),TRUE,FALSE))</f>
        <v>0</v>
      </c>
      <c r="E3264" t="s">
        <v>435</v>
      </c>
      <c r="F3264" t="str">
        <f>INDEX(Lists!I:I,MATCH(Validation!E3264,Lists!G:G,0))</f>
        <v>Error</v>
      </c>
      <c r="G3264" t="str">
        <f>INDEX(Lists!H:H,MATCH(Validation!E3264,Lists!G:G,0))</f>
        <v>Enter an amount only. Do not enter text or spaces.</v>
      </c>
      <c r="H3264" s="16" t="str">
        <f t="shared" ca="1" si="360"/>
        <v/>
      </c>
      <c r="I3264" s="16" t="str">
        <f t="shared" ca="1" si="361"/>
        <v/>
      </c>
      <c r="J3264" s="17" t="str">
        <f t="shared" ca="1" si="362"/>
        <v/>
      </c>
    </row>
    <row r="3265" spans="1:10" x14ac:dyDescent="0.25">
      <c r="A3265" t="s">
        <v>664</v>
      </c>
      <c r="B3265" t="str">
        <f>ADDRESS(ROW('PAYG 1'!$B$12),COLUMN('PAYG 1'!$B$12),4)</f>
        <v>B12</v>
      </c>
      <c r="C3265" t="str">
        <f>ADDRESS(ROW('PAYG 1'!$D$12),COLUMN('PAYG 1'!$D$12),4)</f>
        <v>D12</v>
      </c>
      <c r="D3265" t="b" cm="1">
        <f t="array" aca="1" ref="D3265" ca="1">IF(INDIRECT("'"&amp;A3265&amp;"'!"&amp;B3265)="",FALSE,IF(NOT(ISNUMBER(INDIRECT("'"&amp;A3265&amp;"'!"&amp;B3265))),TRUE,FALSE))</f>
        <v>0</v>
      </c>
      <c r="E3265" t="s">
        <v>435</v>
      </c>
      <c r="F3265" t="str">
        <f>INDEX(Lists!I:I,MATCH(Validation!E3265,Lists!G:G,0))</f>
        <v>Error</v>
      </c>
      <c r="G3265" t="str">
        <f>INDEX(Lists!H:H,MATCH(Validation!E3265,Lists!G:G,0))</f>
        <v>Enter an amount only. Do not enter text or spaces.</v>
      </c>
      <c r="H3265" s="16" t="str">
        <f t="shared" ca="1" si="360"/>
        <v/>
      </c>
      <c r="I3265" s="16" t="str">
        <f t="shared" ca="1" si="361"/>
        <v/>
      </c>
      <c r="J3265" s="17" t="str">
        <f t="shared" ca="1" si="362"/>
        <v/>
      </c>
    </row>
    <row r="3266" spans="1:10" x14ac:dyDescent="0.25">
      <c r="A3266" t="s">
        <v>203</v>
      </c>
      <c r="B3266" t="str">
        <f>ADDRESS(ROW('PAYG 1'!$B$12),COLUMN('PAYG 1'!$B$12),4)</f>
        <v>B12</v>
      </c>
      <c r="C3266" t="str">
        <f>ADDRESS(ROW('PAYG 1'!$D$12),COLUMN('PAYG 1'!$D$12),4)</f>
        <v>D12</v>
      </c>
      <c r="D3266" t="b" cm="1">
        <f t="array" aca="1" ref="D3266" ca="1">IF(INDIRECT("'"&amp;A3266&amp;"'!"&amp;B3266)="",FALSE,IF(INDIRECT("'"&amp;A3266&amp;"'!"&amp;B3266)&lt;=0,TRUE,FALSE))</f>
        <v>0</v>
      </c>
      <c r="E3266" t="s">
        <v>711</v>
      </c>
      <c r="F3266" t="str">
        <f>INDEX(Lists!I:I,MATCH(Validation!E3266,Lists!G:G,0))</f>
        <v>Error</v>
      </c>
      <c r="G3266" t="str">
        <f>INDEX(Lists!H:H,MATCH(Validation!E3266,Lists!G:G,0))</f>
        <v>Amount must be greater than zero.</v>
      </c>
      <c r="H3266" s="16" t="str">
        <f t="shared" ca="1" si="360"/>
        <v/>
      </c>
      <c r="I3266" s="16" t="str">
        <f t="shared" ca="1" si="361"/>
        <v/>
      </c>
      <c r="J3266" s="17" t="str">
        <f t="shared" ca="1" si="362"/>
        <v/>
      </c>
    </row>
    <row r="3267" spans="1:10" x14ac:dyDescent="0.25">
      <c r="A3267" t="s">
        <v>651</v>
      </c>
      <c r="B3267" t="str">
        <f>ADDRESS(ROW('PAYG 1'!$B$12),COLUMN('PAYG 1'!$B$12),4)</f>
        <v>B12</v>
      </c>
      <c r="C3267" t="str">
        <f>ADDRESS(ROW('PAYG 1'!$D$12),COLUMN('PAYG 1'!$D$12),4)</f>
        <v>D12</v>
      </c>
      <c r="D3267" t="b" cm="1">
        <f t="array" aca="1" ref="D3267" ca="1">IF(INDIRECT("'"&amp;A3267&amp;"'!"&amp;B3267)="",FALSE,IF(INDIRECT("'"&amp;A3267&amp;"'!"&amp;B3267)&lt;=0,TRUE,FALSE))</f>
        <v>0</v>
      </c>
      <c r="E3267" t="s">
        <v>711</v>
      </c>
      <c r="F3267" t="str">
        <f>INDEX(Lists!I:I,MATCH(Validation!E3267,Lists!G:G,0))</f>
        <v>Error</v>
      </c>
      <c r="G3267" t="str">
        <f>INDEX(Lists!H:H,MATCH(Validation!E3267,Lists!G:G,0))</f>
        <v>Amount must be greater than zero.</v>
      </c>
      <c r="H3267" s="16" t="str">
        <f t="shared" ca="1" si="360"/>
        <v/>
      </c>
      <c r="I3267" s="16" t="str">
        <f t="shared" ca="1" si="361"/>
        <v/>
      </c>
      <c r="J3267" s="17" t="str">
        <f t="shared" ca="1" si="362"/>
        <v/>
      </c>
    </row>
    <row r="3268" spans="1:10" x14ac:dyDescent="0.25">
      <c r="A3268" t="s">
        <v>652</v>
      </c>
      <c r="B3268" t="str">
        <f>ADDRESS(ROW('PAYG 1'!$B$12),COLUMN('PAYG 1'!$B$12),4)</f>
        <v>B12</v>
      </c>
      <c r="C3268" t="str">
        <f>ADDRESS(ROW('PAYG 1'!$D$12),COLUMN('PAYG 1'!$D$12),4)</f>
        <v>D12</v>
      </c>
      <c r="D3268" t="b" cm="1">
        <f t="array" aca="1" ref="D3268" ca="1">IF(INDIRECT("'"&amp;A3268&amp;"'!"&amp;B3268)="",FALSE,IF(INDIRECT("'"&amp;A3268&amp;"'!"&amp;B3268)&lt;=0,TRUE,FALSE))</f>
        <v>0</v>
      </c>
      <c r="E3268" t="s">
        <v>711</v>
      </c>
      <c r="F3268" t="str">
        <f>INDEX(Lists!I:I,MATCH(Validation!E3268,Lists!G:G,0))</f>
        <v>Error</v>
      </c>
      <c r="G3268" t="str">
        <f>INDEX(Lists!H:H,MATCH(Validation!E3268,Lists!G:G,0))</f>
        <v>Amount must be greater than zero.</v>
      </c>
      <c r="H3268" s="16" t="str">
        <f t="shared" ca="1" si="360"/>
        <v/>
      </c>
      <c r="I3268" s="16" t="str">
        <f t="shared" ca="1" si="361"/>
        <v/>
      </c>
      <c r="J3268" s="17" t="str">
        <f t="shared" ca="1" si="362"/>
        <v/>
      </c>
    </row>
    <row r="3269" spans="1:10" x14ac:dyDescent="0.25">
      <c r="A3269" t="s">
        <v>653</v>
      </c>
      <c r="B3269" t="str">
        <f>ADDRESS(ROW('PAYG 1'!$B$12),COLUMN('PAYG 1'!$B$12),4)</f>
        <v>B12</v>
      </c>
      <c r="C3269" t="str">
        <f>ADDRESS(ROW('PAYG 1'!$D$12),COLUMN('PAYG 1'!$D$12),4)</f>
        <v>D12</v>
      </c>
      <c r="D3269" t="b" cm="1">
        <f t="array" aca="1" ref="D3269" ca="1">IF(INDIRECT("'"&amp;A3269&amp;"'!"&amp;B3269)="",FALSE,IF(INDIRECT("'"&amp;A3269&amp;"'!"&amp;B3269)&lt;=0,TRUE,FALSE))</f>
        <v>0</v>
      </c>
      <c r="E3269" t="s">
        <v>711</v>
      </c>
      <c r="F3269" t="str">
        <f>INDEX(Lists!I:I,MATCH(Validation!E3269,Lists!G:G,0))</f>
        <v>Error</v>
      </c>
      <c r="G3269" t="str">
        <f>INDEX(Lists!H:H,MATCH(Validation!E3269,Lists!G:G,0))</f>
        <v>Amount must be greater than zero.</v>
      </c>
      <c r="H3269" s="16" t="str">
        <f t="shared" ca="1" si="360"/>
        <v/>
      </c>
      <c r="I3269" s="16" t="str">
        <f t="shared" ca="1" si="361"/>
        <v/>
      </c>
      <c r="J3269" s="17" t="str">
        <f t="shared" ca="1" si="362"/>
        <v/>
      </c>
    </row>
    <row r="3270" spans="1:10" x14ac:dyDescent="0.25">
      <c r="A3270" t="s">
        <v>654</v>
      </c>
      <c r="B3270" t="str">
        <f>ADDRESS(ROW('PAYG 1'!$B$12),COLUMN('PAYG 1'!$B$12),4)</f>
        <v>B12</v>
      </c>
      <c r="C3270" t="str">
        <f>ADDRESS(ROW('PAYG 1'!$D$12),COLUMN('PAYG 1'!$D$12),4)</f>
        <v>D12</v>
      </c>
      <c r="D3270" t="b" cm="1">
        <f t="array" aca="1" ref="D3270" ca="1">IF(INDIRECT("'"&amp;A3270&amp;"'!"&amp;B3270)="",FALSE,IF(INDIRECT("'"&amp;A3270&amp;"'!"&amp;B3270)&lt;=0,TRUE,FALSE))</f>
        <v>0</v>
      </c>
      <c r="E3270" t="s">
        <v>711</v>
      </c>
      <c r="F3270" t="str">
        <f>INDEX(Lists!I:I,MATCH(Validation!E3270,Lists!G:G,0))</f>
        <v>Error</v>
      </c>
      <c r="G3270" t="str">
        <f>INDEX(Lists!H:H,MATCH(Validation!E3270,Lists!G:G,0))</f>
        <v>Amount must be greater than zero.</v>
      </c>
      <c r="H3270" s="16" t="str">
        <f t="shared" ref="H3270:H3295" ca="1" si="363">IFERROR(IF(OR(NOT(D3270),F3270&lt;&gt;"Error"),"",A3270&amp;CELL("address",INDIRECT(B3270))),"")</f>
        <v/>
      </c>
      <c r="I3270" s="16" t="str">
        <f t="shared" ref="I3270:I3295" ca="1" si="364">IFERROR(IF(NOT(D3270),"",A3270&amp;CELL("address",INDIRECT(C3270))),"")</f>
        <v/>
      </c>
      <c r="J3270" s="17" t="str">
        <f t="shared" ref="J3270:J3295" ca="1" si="365">IFERROR(IF(NOT(D3270),"",A3270),"")</f>
        <v/>
      </c>
    </row>
    <row r="3271" spans="1:10" x14ac:dyDescent="0.25">
      <c r="A3271" t="s">
        <v>655</v>
      </c>
      <c r="B3271" t="str">
        <f>ADDRESS(ROW('PAYG 1'!$B$12),COLUMN('PAYG 1'!$B$12),4)</f>
        <v>B12</v>
      </c>
      <c r="C3271" t="str">
        <f>ADDRESS(ROW('PAYG 1'!$D$12),COLUMN('PAYG 1'!$D$12),4)</f>
        <v>D12</v>
      </c>
      <c r="D3271" t="b" cm="1">
        <f t="array" aca="1" ref="D3271" ca="1">IF(INDIRECT("'"&amp;A3271&amp;"'!"&amp;B3271)="",FALSE,IF(INDIRECT("'"&amp;A3271&amp;"'!"&amp;B3271)&lt;=0,TRUE,FALSE))</f>
        <v>0</v>
      </c>
      <c r="E3271" t="s">
        <v>711</v>
      </c>
      <c r="F3271" t="str">
        <f>INDEX(Lists!I:I,MATCH(Validation!E3271,Lists!G:G,0))</f>
        <v>Error</v>
      </c>
      <c r="G3271" t="str">
        <f>INDEX(Lists!H:H,MATCH(Validation!E3271,Lists!G:G,0))</f>
        <v>Amount must be greater than zero.</v>
      </c>
      <c r="H3271" s="16" t="str">
        <f t="shared" ca="1" si="363"/>
        <v/>
      </c>
      <c r="I3271" s="16" t="str">
        <f t="shared" ca="1" si="364"/>
        <v/>
      </c>
      <c r="J3271" s="17" t="str">
        <f t="shared" ca="1" si="365"/>
        <v/>
      </c>
    </row>
    <row r="3272" spans="1:10" x14ac:dyDescent="0.25">
      <c r="A3272" t="s">
        <v>656</v>
      </c>
      <c r="B3272" t="str">
        <f>ADDRESS(ROW('PAYG 1'!$B$12),COLUMN('PAYG 1'!$B$12),4)</f>
        <v>B12</v>
      </c>
      <c r="C3272" t="str">
        <f>ADDRESS(ROW('PAYG 1'!$D$12),COLUMN('PAYG 1'!$D$12),4)</f>
        <v>D12</v>
      </c>
      <c r="D3272" t="b" cm="1">
        <f t="array" aca="1" ref="D3272" ca="1">IF(INDIRECT("'"&amp;A3272&amp;"'!"&amp;B3272)="",FALSE,IF(INDIRECT("'"&amp;A3272&amp;"'!"&amp;B3272)&lt;=0,TRUE,FALSE))</f>
        <v>0</v>
      </c>
      <c r="E3272" t="s">
        <v>711</v>
      </c>
      <c r="F3272" t="str">
        <f>INDEX(Lists!I:I,MATCH(Validation!E3272,Lists!G:G,0))</f>
        <v>Error</v>
      </c>
      <c r="G3272" t="str">
        <f>INDEX(Lists!H:H,MATCH(Validation!E3272,Lists!G:G,0))</f>
        <v>Amount must be greater than zero.</v>
      </c>
      <c r="H3272" s="16" t="str">
        <f t="shared" ca="1" si="363"/>
        <v/>
      </c>
      <c r="I3272" s="16" t="str">
        <f t="shared" ca="1" si="364"/>
        <v/>
      </c>
      <c r="J3272" s="17" t="str">
        <f t="shared" ca="1" si="365"/>
        <v/>
      </c>
    </row>
    <row r="3273" spans="1:10" x14ac:dyDescent="0.25">
      <c r="A3273" t="s">
        <v>657</v>
      </c>
      <c r="B3273" t="str">
        <f>ADDRESS(ROW('PAYG 1'!$B$12),COLUMN('PAYG 1'!$B$12),4)</f>
        <v>B12</v>
      </c>
      <c r="C3273" t="str">
        <f>ADDRESS(ROW('PAYG 1'!$D$12),COLUMN('PAYG 1'!$D$12),4)</f>
        <v>D12</v>
      </c>
      <c r="D3273" t="b" cm="1">
        <f t="array" aca="1" ref="D3273" ca="1">IF(INDIRECT("'"&amp;A3273&amp;"'!"&amp;B3273)="",FALSE,IF(INDIRECT("'"&amp;A3273&amp;"'!"&amp;B3273)&lt;=0,TRUE,FALSE))</f>
        <v>0</v>
      </c>
      <c r="E3273" t="s">
        <v>711</v>
      </c>
      <c r="F3273" t="str">
        <f>INDEX(Lists!I:I,MATCH(Validation!E3273,Lists!G:G,0))</f>
        <v>Error</v>
      </c>
      <c r="G3273" t="str">
        <f>INDEX(Lists!H:H,MATCH(Validation!E3273,Lists!G:G,0))</f>
        <v>Amount must be greater than zero.</v>
      </c>
      <c r="H3273" s="16" t="str">
        <f t="shared" ca="1" si="363"/>
        <v/>
      </c>
      <c r="I3273" s="16" t="str">
        <f t="shared" ca="1" si="364"/>
        <v/>
      </c>
      <c r="J3273" s="17" t="str">
        <f t="shared" ca="1" si="365"/>
        <v/>
      </c>
    </row>
    <row r="3274" spans="1:10" x14ac:dyDescent="0.25">
      <c r="A3274" t="s">
        <v>658</v>
      </c>
      <c r="B3274" t="str">
        <f>ADDRESS(ROW('PAYG 1'!$B$12),COLUMN('PAYG 1'!$B$12),4)</f>
        <v>B12</v>
      </c>
      <c r="C3274" t="str">
        <f>ADDRESS(ROW('PAYG 1'!$D$12),COLUMN('PAYG 1'!$D$12),4)</f>
        <v>D12</v>
      </c>
      <c r="D3274" t="b" cm="1">
        <f t="array" aca="1" ref="D3274" ca="1">IF(INDIRECT("'"&amp;A3274&amp;"'!"&amp;B3274)="",FALSE,IF(INDIRECT("'"&amp;A3274&amp;"'!"&amp;B3274)&lt;=0,TRUE,FALSE))</f>
        <v>0</v>
      </c>
      <c r="E3274" t="s">
        <v>711</v>
      </c>
      <c r="F3274" t="str">
        <f>INDEX(Lists!I:I,MATCH(Validation!E3274,Lists!G:G,0))</f>
        <v>Error</v>
      </c>
      <c r="G3274" t="str">
        <f>INDEX(Lists!H:H,MATCH(Validation!E3274,Lists!G:G,0))</f>
        <v>Amount must be greater than zero.</v>
      </c>
      <c r="H3274" s="16" t="str">
        <f t="shared" ca="1" si="363"/>
        <v/>
      </c>
      <c r="I3274" s="16" t="str">
        <f t="shared" ca="1" si="364"/>
        <v/>
      </c>
      <c r="J3274" s="17" t="str">
        <f t="shared" ca="1" si="365"/>
        <v/>
      </c>
    </row>
    <row r="3275" spans="1:10" x14ac:dyDescent="0.25">
      <c r="A3275" t="s">
        <v>659</v>
      </c>
      <c r="B3275" t="str">
        <f>ADDRESS(ROW('PAYG 1'!$B$12),COLUMN('PAYG 1'!$B$12),4)</f>
        <v>B12</v>
      </c>
      <c r="C3275" t="str">
        <f>ADDRESS(ROW('PAYG 1'!$D$12),COLUMN('PAYG 1'!$D$12),4)</f>
        <v>D12</v>
      </c>
      <c r="D3275" t="b" cm="1">
        <f t="array" aca="1" ref="D3275" ca="1">IF(INDIRECT("'"&amp;A3275&amp;"'!"&amp;B3275)="",FALSE,IF(INDIRECT("'"&amp;A3275&amp;"'!"&amp;B3275)&lt;=0,TRUE,FALSE))</f>
        <v>0</v>
      </c>
      <c r="E3275" t="s">
        <v>711</v>
      </c>
      <c r="F3275" t="str">
        <f>INDEX(Lists!I:I,MATCH(Validation!E3275,Lists!G:G,0))</f>
        <v>Error</v>
      </c>
      <c r="G3275" t="str">
        <f>INDEX(Lists!H:H,MATCH(Validation!E3275,Lists!G:G,0))</f>
        <v>Amount must be greater than zero.</v>
      </c>
      <c r="H3275" s="16" t="str">
        <f t="shared" ca="1" si="363"/>
        <v/>
      </c>
      <c r="I3275" s="16" t="str">
        <f t="shared" ca="1" si="364"/>
        <v/>
      </c>
      <c r="J3275" s="17" t="str">
        <f t="shared" ca="1" si="365"/>
        <v/>
      </c>
    </row>
    <row r="3276" spans="1:10" x14ac:dyDescent="0.25">
      <c r="A3276" t="s">
        <v>660</v>
      </c>
      <c r="B3276" t="str">
        <f>ADDRESS(ROW('PAYG 1'!$B$12),COLUMN('PAYG 1'!$B$12),4)</f>
        <v>B12</v>
      </c>
      <c r="C3276" t="str">
        <f>ADDRESS(ROW('PAYG 1'!$D$12),COLUMN('PAYG 1'!$D$12),4)</f>
        <v>D12</v>
      </c>
      <c r="D3276" t="b" cm="1">
        <f t="array" aca="1" ref="D3276" ca="1">IF(INDIRECT("'"&amp;A3276&amp;"'!"&amp;B3276)="",FALSE,IF(INDIRECT("'"&amp;A3276&amp;"'!"&amp;B3276)&lt;=0,TRUE,FALSE))</f>
        <v>0</v>
      </c>
      <c r="E3276" t="s">
        <v>711</v>
      </c>
      <c r="F3276" t="str">
        <f>INDEX(Lists!I:I,MATCH(Validation!E3276,Lists!G:G,0))</f>
        <v>Error</v>
      </c>
      <c r="G3276" t="str">
        <f>INDEX(Lists!H:H,MATCH(Validation!E3276,Lists!G:G,0))</f>
        <v>Amount must be greater than zero.</v>
      </c>
      <c r="H3276" s="16" t="str">
        <f t="shared" ca="1" si="363"/>
        <v/>
      </c>
      <c r="I3276" s="16" t="str">
        <f t="shared" ca="1" si="364"/>
        <v/>
      </c>
      <c r="J3276" s="17" t="str">
        <f t="shared" ca="1" si="365"/>
        <v/>
      </c>
    </row>
    <row r="3277" spans="1:10" x14ac:dyDescent="0.25">
      <c r="A3277" t="s">
        <v>661</v>
      </c>
      <c r="B3277" t="str">
        <f>ADDRESS(ROW('PAYG 1'!$B$12),COLUMN('PAYG 1'!$B$12),4)</f>
        <v>B12</v>
      </c>
      <c r="C3277" t="str">
        <f>ADDRESS(ROW('PAYG 1'!$D$12),COLUMN('PAYG 1'!$D$12),4)</f>
        <v>D12</v>
      </c>
      <c r="D3277" t="b" cm="1">
        <f t="array" aca="1" ref="D3277" ca="1">IF(INDIRECT("'"&amp;A3277&amp;"'!"&amp;B3277)="",FALSE,IF(INDIRECT("'"&amp;A3277&amp;"'!"&amp;B3277)&lt;=0,TRUE,FALSE))</f>
        <v>0</v>
      </c>
      <c r="E3277" t="s">
        <v>711</v>
      </c>
      <c r="F3277" t="str">
        <f>INDEX(Lists!I:I,MATCH(Validation!E3277,Lists!G:G,0))</f>
        <v>Error</v>
      </c>
      <c r="G3277" t="str">
        <f>INDEX(Lists!H:H,MATCH(Validation!E3277,Lists!G:G,0))</f>
        <v>Amount must be greater than zero.</v>
      </c>
      <c r="H3277" s="16" t="str">
        <f t="shared" ca="1" si="363"/>
        <v/>
      </c>
      <c r="I3277" s="16" t="str">
        <f t="shared" ca="1" si="364"/>
        <v/>
      </c>
      <c r="J3277" s="17" t="str">
        <f t="shared" ca="1" si="365"/>
        <v/>
      </c>
    </row>
    <row r="3278" spans="1:10" x14ac:dyDescent="0.25">
      <c r="A3278" t="s">
        <v>662</v>
      </c>
      <c r="B3278" t="str">
        <f>ADDRESS(ROW('PAYG 1'!$B$12),COLUMN('PAYG 1'!$B$12),4)</f>
        <v>B12</v>
      </c>
      <c r="C3278" t="str">
        <f>ADDRESS(ROW('PAYG 1'!$D$12),COLUMN('PAYG 1'!$D$12),4)</f>
        <v>D12</v>
      </c>
      <c r="D3278" t="b" cm="1">
        <f t="array" aca="1" ref="D3278" ca="1">IF(INDIRECT("'"&amp;A3278&amp;"'!"&amp;B3278)="",FALSE,IF(INDIRECT("'"&amp;A3278&amp;"'!"&amp;B3278)&lt;=0,TRUE,FALSE))</f>
        <v>0</v>
      </c>
      <c r="E3278" t="s">
        <v>711</v>
      </c>
      <c r="F3278" t="str">
        <f>INDEX(Lists!I:I,MATCH(Validation!E3278,Lists!G:G,0))</f>
        <v>Error</v>
      </c>
      <c r="G3278" t="str">
        <f>INDEX(Lists!H:H,MATCH(Validation!E3278,Lists!G:G,0))</f>
        <v>Amount must be greater than zero.</v>
      </c>
      <c r="H3278" s="16" t="str">
        <f t="shared" ca="1" si="363"/>
        <v/>
      </c>
      <c r="I3278" s="16" t="str">
        <f t="shared" ca="1" si="364"/>
        <v/>
      </c>
      <c r="J3278" s="17" t="str">
        <f t="shared" ca="1" si="365"/>
        <v/>
      </c>
    </row>
    <row r="3279" spans="1:10" x14ac:dyDescent="0.25">
      <c r="A3279" t="s">
        <v>663</v>
      </c>
      <c r="B3279" t="str">
        <f>ADDRESS(ROW('PAYG 1'!$B$12),COLUMN('PAYG 1'!$B$12),4)</f>
        <v>B12</v>
      </c>
      <c r="C3279" t="str">
        <f>ADDRESS(ROW('PAYG 1'!$D$12),COLUMN('PAYG 1'!$D$12),4)</f>
        <v>D12</v>
      </c>
      <c r="D3279" t="b" cm="1">
        <f t="array" aca="1" ref="D3279" ca="1">IF(INDIRECT("'"&amp;A3279&amp;"'!"&amp;B3279)="",FALSE,IF(INDIRECT("'"&amp;A3279&amp;"'!"&amp;B3279)&lt;=0,TRUE,FALSE))</f>
        <v>0</v>
      </c>
      <c r="E3279" t="s">
        <v>711</v>
      </c>
      <c r="F3279" t="str">
        <f>INDEX(Lists!I:I,MATCH(Validation!E3279,Lists!G:G,0))</f>
        <v>Error</v>
      </c>
      <c r="G3279" t="str">
        <f>INDEX(Lists!H:H,MATCH(Validation!E3279,Lists!G:G,0))</f>
        <v>Amount must be greater than zero.</v>
      </c>
      <c r="H3279" s="16" t="str">
        <f t="shared" ca="1" si="363"/>
        <v/>
      </c>
      <c r="I3279" s="16" t="str">
        <f t="shared" ca="1" si="364"/>
        <v/>
      </c>
      <c r="J3279" s="17" t="str">
        <f t="shared" ca="1" si="365"/>
        <v/>
      </c>
    </row>
    <row r="3280" spans="1:10" x14ac:dyDescent="0.25">
      <c r="A3280" t="s">
        <v>664</v>
      </c>
      <c r="B3280" t="str">
        <f>ADDRESS(ROW('PAYG 1'!$B$12),COLUMN('PAYG 1'!$B$12),4)</f>
        <v>B12</v>
      </c>
      <c r="C3280" t="str">
        <f>ADDRESS(ROW('PAYG 1'!$D$12),COLUMN('PAYG 1'!$D$12),4)</f>
        <v>D12</v>
      </c>
      <c r="D3280" t="b" cm="1">
        <f t="array" aca="1" ref="D3280" ca="1">IF(INDIRECT("'"&amp;A3280&amp;"'!"&amp;B3280)="",FALSE,IF(INDIRECT("'"&amp;A3280&amp;"'!"&amp;B3280)&lt;=0,TRUE,FALSE))</f>
        <v>0</v>
      </c>
      <c r="E3280" t="s">
        <v>711</v>
      </c>
      <c r="F3280" t="str">
        <f>INDEX(Lists!I:I,MATCH(Validation!E3280,Lists!G:G,0))</f>
        <v>Error</v>
      </c>
      <c r="G3280" t="str">
        <f>INDEX(Lists!H:H,MATCH(Validation!E3280,Lists!G:G,0))</f>
        <v>Amount must be greater than zero.</v>
      </c>
      <c r="H3280" s="16" t="str">
        <f t="shared" ca="1" si="363"/>
        <v/>
      </c>
      <c r="I3280" s="16" t="str">
        <f t="shared" ca="1" si="364"/>
        <v/>
      </c>
      <c r="J3280" s="17" t="str">
        <f t="shared" ca="1" si="365"/>
        <v/>
      </c>
    </row>
    <row r="3281" spans="1:10" x14ac:dyDescent="0.25">
      <c r="A3281" t="s">
        <v>203</v>
      </c>
      <c r="B3281" t="str">
        <f>ADDRESS(ROW('PAYG 1'!$B$12),COLUMN('PAYG 1'!$B$12),4)</f>
        <v>B12</v>
      </c>
      <c r="C3281" t="str">
        <f>ADDRESS(ROW('PAYG 1'!$D$12),COLUMN('PAYG 1'!$D$12),4)</f>
        <v>D12</v>
      </c>
      <c r="D3281" t="b" cm="1">
        <f t="array" aca="1" ref="D3281" ca="1">IF(INDIRECT("'"&amp;A3281&amp;"'!"&amp;B3281)="",FALSE,IF(TRUNC(INDIRECT("'"&amp;A3281&amp;"'!"&amp;B3281))=INDIRECT("'"&amp;A3281&amp;"'!"&amp;B3281),FALSE,TRUE))</f>
        <v>0</v>
      </c>
      <c r="E3281" t="s">
        <v>436</v>
      </c>
      <c r="F3281" t="str">
        <f>INDEX(Lists!I:I,MATCH(Validation!E3281,Lists!G:G,0))</f>
        <v>Error</v>
      </c>
      <c r="G3281" t="str">
        <f>INDEX(Lists!H:H,MATCH(Validation!E3281,Lists!G:G,0))</f>
        <v>Amount must be rounded to the nearest dollar.</v>
      </c>
      <c r="H3281" s="16" t="str">
        <f t="shared" ca="1" si="363"/>
        <v/>
      </c>
      <c r="I3281" s="16" t="str">
        <f t="shared" ca="1" si="364"/>
        <v/>
      </c>
      <c r="J3281" s="17" t="str">
        <f t="shared" ca="1" si="365"/>
        <v/>
      </c>
    </row>
    <row r="3282" spans="1:10" x14ac:dyDescent="0.25">
      <c r="A3282" t="s">
        <v>651</v>
      </c>
      <c r="B3282" t="str">
        <f>ADDRESS(ROW('PAYG 1'!$B$12),COLUMN('PAYG 1'!$B$12),4)</f>
        <v>B12</v>
      </c>
      <c r="C3282" t="str">
        <f>ADDRESS(ROW('PAYG 1'!$D$12),COLUMN('PAYG 1'!$D$12),4)</f>
        <v>D12</v>
      </c>
      <c r="D3282" t="b" cm="1">
        <f t="array" aca="1" ref="D3282" ca="1">IF(INDIRECT("'"&amp;A3282&amp;"'!"&amp;B3282)="",FALSE,IF(TRUNC(INDIRECT("'"&amp;A3282&amp;"'!"&amp;B3282))=INDIRECT("'"&amp;A3282&amp;"'!"&amp;B3282),FALSE,TRUE))</f>
        <v>0</v>
      </c>
      <c r="E3282" t="s">
        <v>436</v>
      </c>
      <c r="F3282" t="str">
        <f>INDEX(Lists!I:I,MATCH(Validation!E3282,Lists!G:G,0))</f>
        <v>Error</v>
      </c>
      <c r="G3282" t="str">
        <f>INDEX(Lists!H:H,MATCH(Validation!E3282,Lists!G:G,0))</f>
        <v>Amount must be rounded to the nearest dollar.</v>
      </c>
      <c r="H3282" s="16" t="str">
        <f t="shared" ca="1" si="363"/>
        <v/>
      </c>
      <c r="I3282" s="16" t="str">
        <f t="shared" ca="1" si="364"/>
        <v/>
      </c>
      <c r="J3282" s="17" t="str">
        <f t="shared" ca="1" si="365"/>
        <v/>
      </c>
    </row>
    <row r="3283" spans="1:10" x14ac:dyDescent="0.25">
      <c r="A3283" t="s">
        <v>652</v>
      </c>
      <c r="B3283" t="str">
        <f>ADDRESS(ROW('PAYG 1'!$B$12),COLUMN('PAYG 1'!$B$12),4)</f>
        <v>B12</v>
      </c>
      <c r="C3283" t="str">
        <f>ADDRESS(ROW('PAYG 1'!$D$12),COLUMN('PAYG 1'!$D$12),4)</f>
        <v>D12</v>
      </c>
      <c r="D3283" t="b" cm="1">
        <f t="array" aca="1" ref="D3283" ca="1">IF(INDIRECT("'"&amp;A3283&amp;"'!"&amp;B3283)="",FALSE,IF(TRUNC(INDIRECT("'"&amp;A3283&amp;"'!"&amp;B3283))=INDIRECT("'"&amp;A3283&amp;"'!"&amp;B3283),FALSE,TRUE))</f>
        <v>0</v>
      </c>
      <c r="E3283" t="s">
        <v>436</v>
      </c>
      <c r="F3283" t="str">
        <f>INDEX(Lists!I:I,MATCH(Validation!E3283,Lists!G:G,0))</f>
        <v>Error</v>
      </c>
      <c r="G3283" t="str">
        <f>INDEX(Lists!H:H,MATCH(Validation!E3283,Lists!G:G,0))</f>
        <v>Amount must be rounded to the nearest dollar.</v>
      </c>
      <c r="H3283" s="16" t="str">
        <f t="shared" ca="1" si="363"/>
        <v/>
      </c>
      <c r="I3283" s="16" t="str">
        <f t="shared" ca="1" si="364"/>
        <v/>
      </c>
      <c r="J3283" s="17" t="str">
        <f t="shared" ca="1" si="365"/>
        <v/>
      </c>
    </row>
    <row r="3284" spans="1:10" x14ac:dyDescent="0.25">
      <c r="A3284" t="s">
        <v>653</v>
      </c>
      <c r="B3284" t="str">
        <f>ADDRESS(ROW('PAYG 1'!$B$12),COLUMN('PAYG 1'!$B$12),4)</f>
        <v>B12</v>
      </c>
      <c r="C3284" t="str">
        <f>ADDRESS(ROW('PAYG 1'!$D$12),COLUMN('PAYG 1'!$D$12),4)</f>
        <v>D12</v>
      </c>
      <c r="D3284" t="b" cm="1">
        <f t="array" aca="1" ref="D3284" ca="1">IF(INDIRECT("'"&amp;A3284&amp;"'!"&amp;B3284)="",FALSE,IF(TRUNC(INDIRECT("'"&amp;A3284&amp;"'!"&amp;B3284))=INDIRECT("'"&amp;A3284&amp;"'!"&amp;B3284),FALSE,TRUE))</f>
        <v>0</v>
      </c>
      <c r="E3284" t="s">
        <v>436</v>
      </c>
      <c r="F3284" t="str">
        <f>INDEX(Lists!I:I,MATCH(Validation!E3284,Lists!G:G,0))</f>
        <v>Error</v>
      </c>
      <c r="G3284" t="str">
        <f>INDEX(Lists!H:H,MATCH(Validation!E3284,Lists!G:G,0))</f>
        <v>Amount must be rounded to the nearest dollar.</v>
      </c>
      <c r="H3284" s="16" t="str">
        <f t="shared" ca="1" si="363"/>
        <v/>
      </c>
      <c r="I3284" s="16" t="str">
        <f t="shared" ca="1" si="364"/>
        <v/>
      </c>
      <c r="J3284" s="17" t="str">
        <f t="shared" ca="1" si="365"/>
        <v/>
      </c>
    </row>
    <row r="3285" spans="1:10" x14ac:dyDescent="0.25">
      <c r="A3285" t="s">
        <v>654</v>
      </c>
      <c r="B3285" t="str">
        <f>ADDRESS(ROW('PAYG 1'!$B$12),COLUMN('PAYG 1'!$B$12),4)</f>
        <v>B12</v>
      </c>
      <c r="C3285" t="str">
        <f>ADDRESS(ROW('PAYG 1'!$D$12),COLUMN('PAYG 1'!$D$12),4)</f>
        <v>D12</v>
      </c>
      <c r="D3285" t="b" cm="1">
        <f t="array" aca="1" ref="D3285" ca="1">IF(INDIRECT("'"&amp;A3285&amp;"'!"&amp;B3285)="",FALSE,IF(TRUNC(INDIRECT("'"&amp;A3285&amp;"'!"&amp;B3285))=INDIRECT("'"&amp;A3285&amp;"'!"&amp;B3285),FALSE,TRUE))</f>
        <v>0</v>
      </c>
      <c r="E3285" t="s">
        <v>436</v>
      </c>
      <c r="F3285" t="str">
        <f>INDEX(Lists!I:I,MATCH(Validation!E3285,Lists!G:G,0))</f>
        <v>Error</v>
      </c>
      <c r="G3285" t="str">
        <f>INDEX(Lists!H:H,MATCH(Validation!E3285,Lists!G:G,0))</f>
        <v>Amount must be rounded to the nearest dollar.</v>
      </c>
      <c r="H3285" s="16" t="str">
        <f t="shared" ca="1" si="363"/>
        <v/>
      </c>
      <c r="I3285" s="16" t="str">
        <f t="shared" ca="1" si="364"/>
        <v/>
      </c>
      <c r="J3285" s="17" t="str">
        <f t="shared" ca="1" si="365"/>
        <v/>
      </c>
    </row>
    <row r="3286" spans="1:10" x14ac:dyDescent="0.25">
      <c r="A3286" t="s">
        <v>655</v>
      </c>
      <c r="B3286" t="str">
        <f>ADDRESS(ROW('PAYG 1'!$B$12),COLUMN('PAYG 1'!$B$12),4)</f>
        <v>B12</v>
      </c>
      <c r="C3286" t="str">
        <f>ADDRESS(ROW('PAYG 1'!$D$12),COLUMN('PAYG 1'!$D$12),4)</f>
        <v>D12</v>
      </c>
      <c r="D3286" t="b" cm="1">
        <f t="array" aca="1" ref="D3286" ca="1">IF(INDIRECT("'"&amp;A3286&amp;"'!"&amp;B3286)="",FALSE,IF(TRUNC(INDIRECT("'"&amp;A3286&amp;"'!"&amp;B3286))=INDIRECT("'"&amp;A3286&amp;"'!"&amp;B3286),FALSE,TRUE))</f>
        <v>0</v>
      </c>
      <c r="E3286" t="s">
        <v>436</v>
      </c>
      <c r="F3286" t="str">
        <f>INDEX(Lists!I:I,MATCH(Validation!E3286,Lists!G:G,0))</f>
        <v>Error</v>
      </c>
      <c r="G3286" t="str">
        <f>INDEX(Lists!H:H,MATCH(Validation!E3286,Lists!G:G,0))</f>
        <v>Amount must be rounded to the nearest dollar.</v>
      </c>
      <c r="H3286" s="16" t="str">
        <f t="shared" ca="1" si="363"/>
        <v/>
      </c>
      <c r="I3286" s="16" t="str">
        <f t="shared" ca="1" si="364"/>
        <v/>
      </c>
      <c r="J3286" s="17" t="str">
        <f t="shared" ca="1" si="365"/>
        <v/>
      </c>
    </row>
    <row r="3287" spans="1:10" x14ac:dyDescent="0.25">
      <c r="A3287" t="s">
        <v>656</v>
      </c>
      <c r="B3287" t="str">
        <f>ADDRESS(ROW('PAYG 1'!$B$12),COLUMN('PAYG 1'!$B$12),4)</f>
        <v>B12</v>
      </c>
      <c r="C3287" t="str">
        <f>ADDRESS(ROW('PAYG 1'!$D$12),COLUMN('PAYG 1'!$D$12),4)</f>
        <v>D12</v>
      </c>
      <c r="D3287" t="b" cm="1">
        <f t="array" aca="1" ref="D3287" ca="1">IF(INDIRECT("'"&amp;A3287&amp;"'!"&amp;B3287)="",FALSE,IF(TRUNC(INDIRECT("'"&amp;A3287&amp;"'!"&amp;B3287))=INDIRECT("'"&amp;A3287&amp;"'!"&amp;B3287),FALSE,TRUE))</f>
        <v>0</v>
      </c>
      <c r="E3287" t="s">
        <v>436</v>
      </c>
      <c r="F3287" t="str">
        <f>INDEX(Lists!I:I,MATCH(Validation!E3287,Lists!G:G,0))</f>
        <v>Error</v>
      </c>
      <c r="G3287" t="str">
        <f>INDEX(Lists!H:H,MATCH(Validation!E3287,Lists!G:G,0))</f>
        <v>Amount must be rounded to the nearest dollar.</v>
      </c>
      <c r="H3287" s="16" t="str">
        <f t="shared" ca="1" si="363"/>
        <v/>
      </c>
      <c r="I3287" s="16" t="str">
        <f t="shared" ca="1" si="364"/>
        <v/>
      </c>
      <c r="J3287" s="17" t="str">
        <f t="shared" ca="1" si="365"/>
        <v/>
      </c>
    </row>
    <row r="3288" spans="1:10" x14ac:dyDescent="0.25">
      <c r="A3288" t="s">
        <v>657</v>
      </c>
      <c r="B3288" t="str">
        <f>ADDRESS(ROW('PAYG 1'!$B$12),COLUMN('PAYG 1'!$B$12),4)</f>
        <v>B12</v>
      </c>
      <c r="C3288" t="str">
        <f>ADDRESS(ROW('PAYG 1'!$D$12),COLUMN('PAYG 1'!$D$12),4)</f>
        <v>D12</v>
      </c>
      <c r="D3288" t="b" cm="1">
        <f t="array" aca="1" ref="D3288" ca="1">IF(INDIRECT("'"&amp;A3288&amp;"'!"&amp;B3288)="",FALSE,IF(TRUNC(INDIRECT("'"&amp;A3288&amp;"'!"&amp;B3288))=INDIRECT("'"&amp;A3288&amp;"'!"&amp;B3288),FALSE,TRUE))</f>
        <v>0</v>
      </c>
      <c r="E3288" t="s">
        <v>436</v>
      </c>
      <c r="F3288" t="str">
        <f>INDEX(Lists!I:I,MATCH(Validation!E3288,Lists!G:G,0))</f>
        <v>Error</v>
      </c>
      <c r="G3288" t="str">
        <f>INDEX(Lists!H:H,MATCH(Validation!E3288,Lists!G:G,0))</f>
        <v>Amount must be rounded to the nearest dollar.</v>
      </c>
      <c r="H3288" s="16" t="str">
        <f t="shared" ca="1" si="363"/>
        <v/>
      </c>
      <c r="I3288" s="16" t="str">
        <f t="shared" ca="1" si="364"/>
        <v/>
      </c>
      <c r="J3288" s="17" t="str">
        <f t="shared" ca="1" si="365"/>
        <v/>
      </c>
    </row>
    <row r="3289" spans="1:10" x14ac:dyDescent="0.25">
      <c r="A3289" t="s">
        <v>658</v>
      </c>
      <c r="B3289" t="str">
        <f>ADDRESS(ROW('PAYG 1'!$B$12),COLUMN('PAYG 1'!$B$12),4)</f>
        <v>B12</v>
      </c>
      <c r="C3289" t="str">
        <f>ADDRESS(ROW('PAYG 1'!$D$12),COLUMN('PAYG 1'!$D$12),4)</f>
        <v>D12</v>
      </c>
      <c r="D3289" t="b" cm="1">
        <f t="array" aca="1" ref="D3289" ca="1">IF(INDIRECT("'"&amp;A3289&amp;"'!"&amp;B3289)="",FALSE,IF(TRUNC(INDIRECT("'"&amp;A3289&amp;"'!"&amp;B3289))=INDIRECT("'"&amp;A3289&amp;"'!"&amp;B3289),FALSE,TRUE))</f>
        <v>0</v>
      </c>
      <c r="E3289" t="s">
        <v>436</v>
      </c>
      <c r="F3289" t="str">
        <f>INDEX(Lists!I:I,MATCH(Validation!E3289,Lists!G:G,0))</f>
        <v>Error</v>
      </c>
      <c r="G3289" t="str">
        <f>INDEX(Lists!H:H,MATCH(Validation!E3289,Lists!G:G,0))</f>
        <v>Amount must be rounded to the nearest dollar.</v>
      </c>
      <c r="H3289" s="16" t="str">
        <f t="shared" ca="1" si="363"/>
        <v/>
      </c>
      <c r="I3289" s="16" t="str">
        <f t="shared" ca="1" si="364"/>
        <v/>
      </c>
      <c r="J3289" s="17" t="str">
        <f t="shared" ca="1" si="365"/>
        <v/>
      </c>
    </row>
    <row r="3290" spans="1:10" x14ac:dyDescent="0.25">
      <c r="A3290" t="s">
        <v>659</v>
      </c>
      <c r="B3290" t="str">
        <f>ADDRESS(ROW('PAYG 1'!$B$12),COLUMN('PAYG 1'!$B$12),4)</f>
        <v>B12</v>
      </c>
      <c r="C3290" t="str">
        <f>ADDRESS(ROW('PAYG 1'!$D$12),COLUMN('PAYG 1'!$D$12),4)</f>
        <v>D12</v>
      </c>
      <c r="D3290" t="b" cm="1">
        <f t="array" aca="1" ref="D3290" ca="1">IF(INDIRECT("'"&amp;A3290&amp;"'!"&amp;B3290)="",FALSE,IF(TRUNC(INDIRECT("'"&amp;A3290&amp;"'!"&amp;B3290))=INDIRECT("'"&amp;A3290&amp;"'!"&amp;B3290),FALSE,TRUE))</f>
        <v>0</v>
      </c>
      <c r="E3290" t="s">
        <v>436</v>
      </c>
      <c r="F3290" t="str">
        <f>INDEX(Lists!I:I,MATCH(Validation!E3290,Lists!G:G,0))</f>
        <v>Error</v>
      </c>
      <c r="G3290" t="str">
        <f>INDEX(Lists!H:H,MATCH(Validation!E3290,Lists!G:G,0))</f>
        <v>Amount must be rounded to the nearest dollar.</v>
      </c>
      <c r="H3290" s="16" t="str">
        <f t="shared" ca="1" si="363"/>
        <v/>
      </c>
      <c r="I3290" s="16" t="str">
        <f t="shared" ca="1" si="364"/>
        <v/>
      </c>
      <c r="J3290" s="17" t="str">
        <f t="shared" ca="1" si="365"/>
        <v/>
      </c>
    </row>
    <row r="3291" spans="1:10" x14ac:dyDescent="0.25">
      <c r="A3291" t="s">
        <v>660</v>
      </c>
      <c r="B3291" t="str">
        <f>ADDRESS(ROW('PAYG 1'!$B$12),COLUMN('PAYG 1'!$B$12),4)</f>
        <v>B12</v>
      </c>
      <c r="C3291" t="str">
        <f>ADDRESS(ROW('PAYG 1'!$D$12),COLUMN('PAYG 1'!$D$12),4)</f>
        <v>D12</v>
      </c>
      <c r="D3291" t="b" cm="1">
        <f t="array" aca="1" ref="D3291" ca="1">IF(INDIRECT("'"&amp;A3291&amp;"'!"&amp;B3291)="",FALSE,IF(TRUNC(INDIRECT("'"&amp;A3291&amp;"'!"&amp;B3291))=INDIRECT("'"&amp;A3291&amp;"'!"&amp;B3291),FALSE,TRUE))</f>
        <v>0</v>
      </c>
      <c r="E3291" t="s">
        <v>436</v>
      </c>
      <c r="F3291" t="str">
        <f>INDEX(Lists!I:I,MATCH(Validation!E3291,Lists!G:G,0))</f>
        <v>Error</v>
      </c>
      <c r="G3291" t="str">
        <f>INDEX(Lists!H:H,MATCH(Validation!E3291,Lists!G:G,0))</f>
        <v>Amount must be rounded to the nearest dollar.</v>
      </c>
      <c r="H3291" s="16" t="str">
        <f t="shared" ca="1" si="363"/>
        <v/>
      </c>
      <c r="I3291" s="16" t="str">
        <f t="shared" ca="1" si="364"/>
        <v/>
      </c>
      <c r="J3291" s="17" t="str">
        <f t="shared" ca="1" si="365"/>
        <v/>
      </c>
    </row>
    <row r="3292" spans="1:10" x14ac:dyDescent="0.25">
      <c r="A3292" t="s">
        <v>661</v>
      </c>
      <c r="B3292" t="str">
        <f>ADDRESS(ROW('PAYG 1'!$B$12),COLUMN('PAYG 1'!$B$12),4)</f>
        <v>B12</v>
      </c>
      <c r="C3292" t="str">
        <f>ADDRESS(ROW('PAYG 1'!$D$12),COLUMN('PAYG 1'!$D$12),4)</f>
        <v>D12</v>
      </c>
      <c r="D3292" t="b" cm="1">
        <f t="array" aca="1" ref="D3292" ca="1">IF(INDIRECT("'"&amp;A3292&amp;"'!"&amp;B3292)="",FALSE,IF(TRUNC(INDIRECT("'"&amp;A3292&amp;"'!"&amp;B3292))=INDIRECT("'"&amp;A3292&amp;"'!"&amp;B3292),FALSE,TRUE))</f>
        <v>0</v>
      </c>
      <c r="E3292" t="s">
        <v>436</v>
      </c>
      <c r="F3292" t="str">
        <f>INDEX(Lists!I:I,MATCH(Validation!E3292,Lists!G:G,0))</f>
        <v>Error</v>
      </c>
      <c r="G3292" t="str">
        <f>INDEX(Lists!H:H,MATCH(Validation!E3292,Lists!G:G,0))</f>
        <v>Amount must be rounded to the nearest dollar.</v>
      </c>
      <c r="H3292" s="16" t="str">
        <f t="shared" ca="1" si="363"/>
        <v/>
      </c>
      <c r="I3292" s="16" t="str">
        <f t="shared" ca="1" si="364"/>
        <v/>
      </c>
      <c r="J3292" s="17" t="str">
        <f t="shared" ca="1" si="365"/>
        <v/>
      </c>
    </row>
    <row r="3293" spans="1:10" x14ac:dyDescent="0.25">
      <c r="A3293" t="s">
        <v>662</v>
      </c>
      <c r="B3293" t="str">
        <f>ADDRESS(ROW('PAYG 1'!$B$12),COLUMN('PAYG 1'!$B$12),4)</f>
        <v>B12</v>
      </c>
      <c r="C3293" t="str">
        <f>ADDRESS(ROW('PAYG 1'!$D$12),COLUMN('PAYG 1'!$D$12),4)</f>
        <v>D12</v>
      </c>
      <c r="D3293" t="b" cm="1">
        <f t="array" aca="1" ref="D3293" ca="1">IF(INDIRECT("'"&amp;A3293&amp;"'!"&amp;B3293)="",FALSE,IF(TRUNC(INDIRECT("'"&amp;A3293&amp;"'!"&amp;B3293))=INDIRECT("'"&amp;A3293&amp;"'!"&amp;B3293),FALSE,TRUE))</f>
        <v>0</v>
      </c>
      <c r="E3293" t="s">
        <v>436</v>
      </c>
      <c r="F3293" t="str">
        <f>INDEX(Lists!I:I,MATCH(Validation!E3293,Lists!G:G,0))</f>
        <v>Error</v>
      </c>
      <c r="G3293" t="str">
        <f>INDEX(Lists!H:H,MATCH(Validation!E3293,Lists!G:G,0))</f>
        <v>Amount must be rounded to the nearest dollar.</v>
      </c>
      <c r="H3293" s="16" t="str">
        <f t="shared" ca="1" si="363"/>
        <v/>
      </c>
      <c r="I3293" s="16" t="str">
        <f t="shared" ca="1" si="364"/>
        <v/>
      </c>
      <c r="J3293" s="17" t="str">
        <f t="shared" ca="1" si="365"/>
        <v/>
      </c>
    </row>
    <row r="3294" spans="1:10" x14ac:dyDescent="0.25">
      <c r="A3294" t="s">
        <v>663</v>
      </c>
      <c r="B3294" t="str">
        <f>ADDRESS(ROW('PAYG 1'!$B$12),COLUMN('PAYG 1'!$B$12),4)</f>
        <v>B12</v>
      </c>
      <c r="C3294" t="str">
        <f>ADDRESS(ROW('PAYG 1'!$D$12),COLUMN('PAYG 1'!$D$12),4)</f>
        <v>D12</v>
      </c>
      <c r="D3294" t="b" cm="1">
        <f t="array" aca="1" ref="D3294" ca="1">IF(INDIRECT("'"&amp;A3294&amp;"'!"&amp;B3294)="",FALSE,IF(TRUNC(INDIRECT("'"&amp;A3294&amp;"'!"&amp;B3294))=INDIRECT("'"&amp;A3294&amp;"'!"&amp;B3294),FALSE,TRUE))</f>
        <v>0</v>
      </c>
      <c r="E3294" t="s">
        <v>436</v>
      </c>
      <c r="F3294" t="str">
        <f>INDEX(Lists!I:I,MATCH(Validation!E3294,Lists!G:G,0))</f>
        <v>Error</v>
      </c>
      <c r="G3294" t="str">
        <f>INDEX(Lists!H:H,MATCH(Validation!E3294,Lists!G:G,0))</f>
        <v>Amount must be rounded to the nearest dollar.</v>
      </c>
      <c r="H3294" s="16" t="str">
        <f t="shared" ca="1" si="363"/>
        <v/>
      </c>
      <c r="I3294" s="16" t="str">
        <f t="shared" ca="1" si="364"/>
        <v/>
      </c>
      <c r="J3294" s="17" t="str">
        <f t="shared" ca="1" si="365"/>
        <v/>
      </c>
    </row>
    <row r="3295" spans="1:10" x14ac:dyDescent="0.25">
      <c r="A3295" t="s">
        <v>664</v>
      </c>
      <c r="B3295" t="str">
        <f>ADDRESS(ROW('PAYG 1'!$B$12),COLUMN('PAYG 1'!$B$12),4)</f>
        <v>B12</v>
      </c>
      <c r="C3295" t="str">
        <f>ADDRESS(ROW('PAYG 1'!$D$12),COLUMN('PAYG 1'!$D$12),4)</f>
        <v>D12</v>
      </c>
      <c r="D3295" t="b" cm="1">
        <f t="array" aca="1" ref="D3295" ca="1">IF(INDIRECT("'"&amp;A3295&amp;"'!"&amp;B3295)="",FALSE,IF(TRUNC(INDIRECT("'"&amp;A3295&amp;"'!"&amp;B3295))=INDIRECT("'"&amp;A3295&amp;"'!"&amp;B3295),FALSE,TRUE))</f>
        <v>0</v>
      </c>
      <c r="E3295" t="s">
        <v>436</v>
      </c>
      <c r="F3295" t="str">
        <f>INDEX(Lists!I:I,MATCH(Validation!E3295,Lists!G:G,0))</f>
        <v>Error</v>
      </c>
      <c r="G3295" t="str">
        <f>INDEX(Lists!H:H,MATCH(Validation!E3295,Lists!G:G,0))</f>
        <v>Amount must be rounded to the nearest dollar.</v>
      </c>
      <c r="H3295" s="16" t="str">
        <f t="shared" ca="1" si="363"/>
        <v/>
      </c>
      <c r="I3295" s="16" t="str">
        <f t="shared" ca="1" si="364"/>
        <v/>
      </c>
      <c r="J3295" s="17" t="str">
        <f t="shared" ca="1" si="365"/>
        <v/>
      </c>
    </row>
    <row r="3296" spans="1:10" x14ac:dyDescent="0.25">
      <c r="A3296" t="s">
        <v>203</v>
      </c>
      <c r="B3296" t="str">
        <f>ADDRESS(ROW('PAYG 1'!$B$13),COLUMN('PAYG 1'!$B$13),4)</f>
        <v>B13</v>
      </c>
      <c r="C3296" t="str">
        <f>ADDRESS(ROW('PAYG 1'!$D$13),COLUMN('PAYG 1'!$D$13),4)</f>
        <v>D13</v>
      </c>
      <c r="D3296" t="b" cm="1">
        <f t="array" aca="1" ref="D3296" ca="1">AND(NOT(INDIRECT("'"&amp;A3296&amp;"'!B$7")=""),INDIRECT("'"&amp;A3296&amp;"'!"&amp;B3296)="Select One")</f>
        <v>0</v>
      </c>
      <c r="E3296" t="s">
        <v>64</v>
      </c>
      <c r="F3296" t="str">
        <f>INDEX(Lists!I:I,MATCH(Validation!E3296,Lists!G:G,0))</f>
        <v>Error</v>
      </c>
      <c r="G3296" t="str">
        <f>INDEX(Lists!H:H,MATCH(Validation!E3296,Lists!G:G,0))</f>
        <v>You must make a selection from the dropdown list.</v>
      </c>
      <c r="H3296" s="25" t="str">
        <f ca="1">IFERROR(IF(OR(NOT(D3296),F3296&lt;&gt;"Error"),"",A3296&amp;CELL("address",INDIRECT(B3296))),"")</f>
        <v/>
      </c>
      <c r="I3296" s="25" t="str">
        <f ca="1">IFERROR(IF(NOT(D3296),"",A3296&amp;CELL("address",INDIRECT(C3296))),"")</f>
        <v/>
      </c>
      <c r="J3296" s="26" t="str">
        <f ca="1">IFERROR(IF(NOT(D3296),"",A3296),"")</f>
        <v/>
      </c>
    </row>
    <row r="3297" spans="1:10" x14ac:dyDescent="0.25">
      <c r="A3297" t="s">
        <v>651</v>
      </c>
      <c r="B3297" t="str">
        <f>ADDRESS(ROW('PAYG 1'!$B$13),COLUMN('PAYG 1'!$B$13),4)</f>
        <v>B13</v>
      </c>
      <c r="C3297" t="str">
        <f>ADDRESS(ROW('PAYG 1'!$D$13),COLUMN('PAYG 1'!$D$13),4)</f>
        <v>D13</v>
      </c>
      <c r="D3297" t="b" cm="1">
        <f t="array" aca="1" ref="D3297" ca="1">AND(NOT(INDIRECT("'"&amp;A3297&amp;"'!B$7")=""),INDIRECT("'"&amp;A3297&amp;"'!"&amp;B3297)="Select One")</f>
        <v>0</v>
      </c>
      <c r="E3297" t="s">
        <v>64</v>
      </c>
      <c r="F3297" t="str">
        <f>INDEX(Lists!I:I,MATCH(Validation!E3297,Lists!G:G,0))</f>
        <v>Error</v>
      </c>
      <c r="G3297" t="str">
        <f>INDEX(Lists!H:H,MATCH(Validation!E3297,Lists!G:G,0))</f>
        <v>You must make a selection from the dropdown list.</v>
      </c>
      <c r="H3297" s="25" t="str">
        <f t="shared" ref="H3297:H3309" ca="1" si="366">IFERROR(IF(OR(NOT(D3297),F3297&lt;&gt;"Error"),"",A3297&amp;CELL("address",INDIRECT(B3297))),"")</f>
        <v/>
      </c>
      <c r="I3297" s="25" t="str">
        <f t="shared" ref="I3297:I3309" ca="1" si="367">IFERROR(IF(NOT(D3297),"",A3297&amp;CELL("address",INDIRECT(C3297))),"")</f>
        <v/>
      </c>
      <c r="J3297" s="26" t="str">
        <f t="shared" ref="J3297:J3309" ca="1" si="368">IFERROR(IF(NOT(D3297),"",A3297),"")</f>
        <v/>
      </c>
    </row>
    <row r="3298" spans="1:10" x14ac:dyDescent="0.25">
      <c r="A3298" t="s">
        <v>652</v>
      </c>
      <c r="B3298" t="str">
        <f>ADDRESS(ROW('PAYG 1'!$B$13),COLUMN('PAYG 1'!$B$13),4)</f>
        <v>B13</v>
      </c>
      <c r="C3298" t="str">
        <f>ADDRESS(ROW('PAYG 1'!$D$13),COLUMN('PAYG 1'!$D$13),4)</f>
        <v>D13</v>
      </c>
      <c r="D3298" t="b" cm="1">
        <f t="array" aca="1" ref="D3298" ca="1">AND(NOT(INDIRECT("'"&amp;A3298&amp;"'!B$7")=""),INDIRECT("'"&amp;A3298&amp;"'!"&amp;B3298)="Select One")</f>
        <v>0</v>
      </c>
      <c r="E3298" t="s">
        <v>64</v>
      </c>
      <c r="F3298" t="str">
        <f>INDEX(Lists!I:I,MATCH(Validation!E3298,Lists!G:G,0))</f>
        <v>Error</v>
      </c>
      <c r="G3298" t="str">
        <f>INDEX(Lists!H:H,MATCH(Validation!E3298,Lists!G:G,0))</f>
        <v>You must make a selection from the dropdown list.</v>
      </c>
      <c r="H3298" s="25" t="str">
        <f t="shared" ca="1" si="366"/>
        <v/>
      </c>
      <c r="I3298" s="25" t="str">
        <f t="shared" ca="1" si="367"/>
        <v/>
      </c>
      <c r="J3298" s="26" t="str">
        <f t="shared" ca="1" si="368"/>
        <v/>
      </c>
    </row>
    <row r="3299" spans="1:10" x14ac:dyDescent="0.25">
      <c r="A3299" t="s">
        <v>653</v>
      </c>
      <c r="B3299" t="str">
        <f>ADDRESS(ROW('PAYG 1'!$B$13),COLUMN('PAYG 1'!$B$13),4)</f>
        <v>B13</v>
      </c>
      <c r="C3299" t="str">
        <f>ADDRESS(ROW('PAYG 1'!$D$13),COLUMN('PAYG 1'!$D$13),4)</f>
        <v>D13</v>
      </c>
      <c r="D3299" t="b" cm="1">
        <f t="array" aca="1" ref="D3299" ca="1">AND(NOT(INDIRECT("'"&amp;A3299&amp;"'!B$7")=""),INDIRECT("'"&amp;A3299&amp;"'!"&amp;B3299)="Select One")</f>
        <v>0</v>
      </c>
      <c r="E3299" t="s">
        <v>64</v>
      </c>
      <c r="F3299" t="str">
        <f>INDEX(Lists!I:I,MATCH(Validation!E3299,Lists!G:G,0))</f>
        <v>Error</v>
      </c>
      <c r="G3299" t="str">
        <f>INDEX(Lists!H:H,MATCH(Validation!E3299,Lists!G:G,0))</f>
        <v>You must make a selection from the dropdown list.</v>
      </c>
      <c r="H3299" s="25" t="str">
        <f t="shared" ca="1" si="366"/>
        <v/>
      </c>
      <c r="I3299" s="25" t="str">
        <f t="shared" ca="1" si="367"/>
        <v/>
      </c>
      <c r="J3299" s="26" t="str">
        <f t="shared" ca="1" si="368"/>
        <v/>
      </c>
    </row>
    <row r="3300" spans="1:10" x14ac:dyDescent="0.25">
      <c r="A3300" t="s">
        <v>654</v>
      </c>
      <c r="B3300" t="str">
        <f>ADDRESS(ROW('PAYG 1'!$B$13),COLUMN('PAYG 1'!$B$13),4)</f>
        <v>B13</v>
      </c>
      <c r="C3300" t="str">
        <f>ADDRESS(ROW('PAYG 1'!$D$13),COLUMN('PAYG 1'!$D$13),4)</f>
        <v>D13</v>
      </c>
      <c r="D3300" t="b" cm="1">
        <f t="array" aca="1" ref="D3300" ca="1">AND(NOT(INDIRECT("'"&amp;A3300&amp;"'!B$7")=""),INDIRECT("'"&amp;A3300&amp;"'!"&amp;B3300)="Select One")</f>
        <v>0</v>
      </c>
      <c r="E3300" t="s">
        <v>64</v>
      </c>
      <c r="F3300" t="str">
        <f>INDEX(Lists!I:I,MATCH(Validation!E3300,Lists!G:G,0))</f>
        <v>Error</v>
      </c>
      <c r="G3300" t="str">
        <f>INDEX(Lists!H:H,MATCH(Validation!E3300,Lists!G:G,0))</f>
        <v>You must make a selection from the dropdown list.</v>
      </c>
      <c r="H3300" s="25" t="str">
        <f t="shared" ca="1" si="366"/>
        <v/>
      </c>
      <c r="I3300" s="25" t="str">
        <f t="shared" ca="1" si="367"/>
        <v/>
      </c>
      <c r="J3300" s="26" t="str">
        <f t="shared" ca="1" si="368"/>
        <v/>
      </c>
    </row>
    <row r="3301" spans="1:10" x14ac:dyDescent="0.25">
      <c r="A3301" t="s">
        <v>655</v>
      </c>
      <c r="B3301" t="str">
        <f>ADDRESS(ROW('PAYG 1'!$B$13),COLUMN('PAYG 1'!$B$13),4)</f>
        <v>B13</v>
      </c>
      <c r="C3301" t="str">
        <f>ADDRESS(ROW('PAYG 1'!$D$13),COLUMN('PAYG 1'!$D$13),4)</f>
        <v>D13</v>
      </c>
      <c r="D3301" t="b" cm="1">
        <f t="array" aca="1" ref="D3301" ca="1">AND(NOT(INDIRECT("'"&amp;A3301&amp;"'!B$7")=""),INDIRECT("'"&amp;A3301&amp;"'!"&amp;B3301)="Select One")</f>
        <v>0</v>
      </c>
      <c r="E3301" t="s">
        <v>64</v>
      </c>
      <c r="F3301" t="str">
        <f>INDEX(Lists!I:I,MATCH(Validation!E3301,Lists!G:G,0))</f>
        <v>Error</v>
      </c>
      <c r="G3301" t="str">
        <f>INDEX(Lists!H:H,MATCH(Validation!E3301,Lists!G:G,0))</f>
        <v>You must make a selection from the dropdown list.</v>
      </c>
      <c r="H3301" s="25" t="str">
        <f t="shared" ca="1" si="366"/>
        <v/>
      </c>
      <c r="I3301" s="25" t="str">
        <f t="shared" ca="1" si="367"/>
        <v/>
      </c>
      <c r="J3301" s="26" t="str">
        <f t="shared" ca="1" si="368"/>
        <v/>
      </c>
    </row>
    <row r="3302" spans="1:10" x14ac:dyDescent="0.25">
      <c r="A3302" t="s">
        <v>656</v>
      </c>
      <c r="B3302" t="str">
        <f>ADDRESS(ROW('PAYG 1'!$B$13),COLUMN('PAYG 1'!$B$13),4)</f>
        <v>B13</v>
      </c>
      <c r="C3302" t="str">
        <f>ADDRESS(ROW('PAYG 1'!$D$13),COLUMN('PAYG 1'!$D$13),4)</f>
        <v>D13</v>
      </c>
      <c r="D3302" t="b" cm="1">
        <f t="array" aca="1" ref="D3302" ca="1">AND(NOT(INDIRECT("'"&amp;A3302&amp;"'!B$7")=""),INDIRECT("'"&amp;A3302&amp;"'!"&amp;B3302)="Select One")</f>
        <v>0</v>
      </c>
      <c r="E3302" t="s">
        <v>64</v>
      </c>
      <c r="F3302" t="str">
        <f>INDEX(Lists!I:I,MATCH(Validation!E3302,Lists!G:G,0))</f>
        <v>Error</v>
      </c>
      <c r="G3302" t="str">
        <f>INDEX(Lists!H:H,MATCH(Validation!E3302,Lists!G:G,0))</f>
        <v>You must make a selection from the dropdown list.</v>
      </c>
      <c r="H3302" s="25" t="str">
        <f t="shared" ca="1" si="366"/>
        <v/>
      </c>
      <c r="I3302" s="25" t="str">
        <f t="shared" ca="1" si="367"/>
        <v/>
      </c>
      <c r="J3302" s="26" t="str">
        <f t="shared" ca="1" si="368"/>
        <v/>
      </c>
    </row>
    <row r="3303" spans="1:10" x14ac:dyDescent="0.25">
      <c r="A3303" t="s">
        <v>657</v>
      </c>
      <c r="B3303" t="str">
        <f>ADDRESS(ROW('PAYG 1'!$B$13),COLUMN('PAYG 1'!$B$13),4)</f>
        <v>B13</v>
      </c>
      <c r="C3303" t="str">
        <f>ADDRESS(ROW('PAYG 1'!$D$13),COLUMN('PAYG 1'!$D$13),4)</f>
        <v>D13</v>
      </c>
      <c r="D3303" t="b" cm="1">
        <f t="array" aca="1" ref="D3303" ca="1">AND(NOT(INDIRECT("'"&amp;A3303&amp;"'!B$7")=""),INDIRECT("'"&amp;A3303&amp;"'!"&amp;B3303)="Select One")</f>
        <v>0</v>
      </c>
      <c r="E3303" t="s">
        <v>64</v>
      </c>
      <c r="F3303" t="str">
        <f>INDEX(Lists!I:I,MATCH(Validation!E3303,Lists!G:G,0))</f>
        <v>Error</v>
      </c>
      <c r="G3303" t="str">
        <f>INDEX(Lists!H:H,MATCH(Validation!E3303,Lists!G:G,0))</f>
        <v>You must make a selection from the dropdown list.</v>
      </c>
      <c r="H3303" s="25" t="str">
        <f t="shared" ca="1" si="366"/>
        <v/>
      </c>
      <c r="I3303" s="25" t="str">
        <f t="shared" ca="1" si="367"/>
        <v/>
      </c>
      <c r="J3303" s="26" t="str">
        <f t="shared" ca="1" si="368"/>
        <v/>
      </c>
    </row>
    <row r="3304" spans="1:10" x14ac:dyDescent="0.25">
      <c r="A3304" t="s">
        <v>658</v>
      </c>
      <c r="B3304" t="str">
        <f>ADDRESS(ROW('PAYG 1'!$B$13),COLUMN('PAYG 1'!$B$13),4)</f>
        <v>B13</v>
      </c>
      <c r="C3304" t="str">
        <f>ADDRESS(ROW('PAYG 1'!$D$13),COLUMN('PAYG 1'!$D$13),4)</f>
        <v>D13</v>
      </c>
      <c r="D3304" t="b" cm="1">
        <f t="array" aca="1" ref="D3304" ca="1">AND(NOT(INDIRECT("'"&amp;A3304&amp;"'!B$7")=""),INDIRECT("'"&amp;A3304&amp;"'!"&amp;B3304)="Select One")</f>
        <v>0</v>
      </c>
      <c r="E3304" t="s">
        <v>64</v>
      </c>
      <c r="F3304" t="str">
        <f>INDEX(Lists!I:I,MATCH(Validation!E3304,Lists!G:G,0))</f>
        <v>Error</v>
      </c>
      <c r="G3304" t="str">
        <f>INDEX(Lists!H:H,MATCH(Validation!E3304,Lists!G:G,0))</f>
        <v>You must make a selection from the dropdown list.</v>
      </c>
      <c r="H3304" s="25" t="str">
        <f t="shared" ca="1" si="366"/>
        <v/>
      </c>
      <c r="I3304" s="25" t="str">
        <f t="shared" ca="1" si="367"/>
        <v/>
      </c>
      <c r="J3304" s="26" t="str">
        <f t="shared" ca="1" si="368"/>
        <v/>
      </c>
    </row>
    <row r="3305" spans="1:10" x14ac:dyDescent="0.25">
      <c r="A3305" t="s">
        <v>659</v>
      </c>
      <c r="B3305" t="str">
        <f>ADDRESS(ROW('PAYG 1'!$B$13),COLUMN('PAYG 1'!$B$13),4)</f>
        <v>B13</v>
      </c>
      <c r="C3305" t="str">
        <f>ADDRESS(ROW('PAYG 1'!$D$13),COLUMN('PAYG 1'!$D$13),4)</f>
        <v>D13</v>
      </c>
      <c r="D3305" t="b" cm="1">
        <f t="array" aca="1" ref="D3305" ca="1">AND(NOT(INDIRECT("'"&amp;A3305&amp;"'!B$7")=""),INDIRECT("'"&amp;A3305&amp;"'!"&amp;B3305)="Select One")</f>
        <v>0</v>
      </c>
      <c r="E3305" t="s">
        <v>64</v>
      </c>
      <c r="F3305" t="str">
        <f>INDEX(Lists!I:I,MATCH(Validation!E3305,Lists!G:G,0))</f>
        <v>Error</v>
      </c>
      <c r="G3305" t="str">
        <f>INDEX(Lists!H:H,MATCH(Validation!E3305,Lists!G:G,0))</f>
        <v>You must make a selection from the dropdown list.</v>
      </c>
      <c r="H3305" s="25" t="str">
        <f t="shared" ca="1" si="366"/>
        <v/>
      </c>
      <c r="I3305" s="25" t="str">
        <f t="shared" ca="1" si="367"/>
        <v/>
      </c>
      <c r="J3305" s="26" t="str">
        <f t="shared" ca="1" si="368"/>
        <v/>
      </c>
    </row>
    <row r="3306" spans="1:10" x14ac:dyDescent="0.25">
      <c r="A3306" t="s">
        <v>660</v>
      </c>
      <c r="B3306" t="str">
        <f>ADDRESS(ROW('PAYG 1'!$B$13),COLUMN('PAYG 1'!$B$13),4)</f>
        <v>B13</v>
      </c>
      <c r="C3306" t="str">
        <f>ADDRESS(ROW('PAYG 1'!$D$13),COLUMN('PAYG 1'!$D$13),4)</f>
        <v>D13</v>
      </c>
      <c r="D3306" t="b" cm="1">
        <f t="array" aca="1" ref="D3306" ca="1">AND(NOT(INDIRECT("'"&amp;A3306&amp;"'!B$7")=""),INDIRECT("'"&amp;A3306&amp;"'!"&amp;B3306)="Select One")</f>
        <v>0</v>
      </c>
      <c r="E3306" t="s">
        <v>64</v>
      </c>
      <c r="F3306" t="str">
        <f>INDEX(Lists!I:I,MATCH(Validation!E3306,Lists!G:G,0))</f>
        <v>Error</v>
      </c>
      <c r="G3306" t="str">
        <f>INDEX(Lists!H:H,MATCH(Validation!E3306,Lists!G:G,0))</f>
        <v>You must make a selection from the dropdown list.</v>
      </c>
      <c r="H3306" s="25" t="str">
        <f t="shared" ca="1" si="366"/>
        <v/>
      </c>
      <c r="I3306" s="25" t="str">
        <f t="shared" ca="1" si="367"/>
        <v/>
      </c>
      <c r="J3306" s="26" t="str">
        <f t="shared" ca="1" si="368"/>
        <v/>
      </c>
    </row>
    <row r="3307" spans="1:10" x14ac:dyDescent="0.25">
      <c r="A3307" t="s">
        <v>661</v>
      </c>
      <c r="B3307" t="str">
        <f>ADDRESS(ROW('PAYG 1'!$B$13),COLUMN('PAYG 1'!$B$13),4)</f>
        <v>B13</v>
      </c>
      <c r="C3307" t="str">
        <f>ADDRESS(ROW('PAYG 1'!$D$13),COLUMN('PAYG 1'!$D$13),4)</f>
        <v>D13</v>
      </c>
      <c r="D3307" t="b" cm="1">
        <f t="array" aca="1" ref="D3307" ca="1">AND(NOT(INDIRECT("'"&amp;A3307&amp;"'!B$7")=""),INDIRECT("'"&amp;A3307&amp;"'!"&amp;B3307)="Select One")</f>
        <v>0</v>
      </c>
      <c r="E3307" t="s">
        <v>64</v>
      </c>
      <c r="F3307" t="str">
        <f>INDEX(Lists!I:I,MATCH(Validation!E3307,Lists!G:G,0))</f>
        <v>Error</v>
      </c>
      <c r="G3307" t="str">
        <f>INDEX(Lists!H:H,MATCH(Validation!E3307,Lists!G:G,0))</f>
        <v>You must make a selection from the dropdown list.</v>
      </c>
      <c r="H3307" s="25" t="str">
        <f t="shared" ca="1" si="366"/>
        <v/>
      </c>
      <c r="I3307" s="25" t="str">
        <f t="shared" ca="1" si="367"/>
        <v/>
      </c>
      <c r="J3307" s="26" t="str">
        <f t="shared" ca="1" si="368"/>
        <v/>
      </c>
    </row>
    <row r="3308" spans="1:10" x14ac:dyDescent="0.25">
      <c r="A3308" t="s">
        <v>662</v>
      </c>
      <c r="B3308" t="str">
        <f>ADDRESS(ROW('PAYG 1'!$B$13),COLUMN('PAYG 1'!$B$13),4)</f>
        <v>B13</v>
      </c>
      <c r="C3308" t="str">
        <f>ADDRESS(ROW('PAYG 1'!$D$13),COLUMN('PAYG 1'!$D$13),4)</f>
        <v>D13</v>
      </c>
      <c r="D3308" t="b" cm="1">
        <f t="array" aca="1" ref="D3308" ca="1">AND(NOT(INDIRECT("'"&amp;A3308&amp;"'!B$7")=""),INDIRECT("'"&amp;A3308&amp;"'!"&amp;B3308)="Select One")</f>
        <v>0</v>
      </c>
      <c r="E3308" t="s">
        <v>64</v>
      </c>
      <c r="F3308" t="str">
        <f>INDEX(Lists!I:I,MATCH(Validation!E3308,Lists!G:G,0))</f>
        <v>Error</v>
      </c>
      <c r="G3308" t="str">
        <f>INDEX(Lists!H:H,MATCH(Validation!E3308,Lists!G:G,0))</f>
        <v>You must make a selection from the dropdown list.</v>
      </c>
      <c r="H3308" s="25" t="str">
        <f t="shared" ca="1" si="366"/>
        <v/>
      </c>
      <c r="I3308" s="25" t="str">
        <f t="shared" ca="1" si="367"/>
        <v/>
      </c>
      <c r="J3308" s="26" t="str">
        <f t="shared" ca="1" si="368"/>
        <v/>
      </c>
    </row>
    <row r="3309" spans="1:10" x14ac:dyDescent="0.25">
      <c r="A3309" t="s">
        <v>663</v>
      </c>
      <c r="B3309" t="str">
        <f>ADDRESS(ROW('PAYG 1'!$B$13),COLUMN('PAYG 1'!$B$13),4)</f>
        <v>B13</v>
      </c>
      <c r="C3309" t="str">
        <f>ADDRESS(ROW('PAYG 1'!$D$13),COLUMN('PAYG 1'!$D$13),4)</f>
        <v>D13</v>
      </c>
      <c r="D3309" t="b" cm="1">
        <f t="array" aca="1" ref="D3309" ca="1">AND(NOT(INDIRECT("'"&amp;A3309&amp;"'!B$7")=""),INDIRECT("'"&amp;A3309&amp;"'!"&amp;B3309)="Select One")</f>
        <v>0</v>
      </c>
      <c r="E3309" t="s">
        <v>64</v>
      </c>
      <c r="F3309" t="str">
        <f>INDEX(Lists!I:I,MATCH(Validation!E3309,Lists!G:G,0))</f>
        <v>Error</v>
      </c>
      <c r="G3309" t="str">
        <f>INDEX(Lists!H:H,MATCH(Validation!E3309,Lists!G:G,0))</f>
        <v>You must make a selection from the dropdown list.</v>
      </c>
      <c r="H3309" s="25" t="str">
        <f t="shared" ca="1" si="366"/>
        <v/>
      </c>
      <c r="I3309" s="25" t="str">
        <f t="shared" ca="1" si="367"/>
        <v/>
      </c>
      <c r="J3309" s="26" t="str">
        <f t="shared" ca="1" si="368"/>
        <v/>
      </c>
    </row>
    <row r="3310" spans="1:10" x14ac:dyDescent="0.25">
      <c r="A3310" t="s">
        <v>664</v>
      </c>
      <c r="B3310" t="str">
        <f>ADDRESS(ROW('PAYG 1'!$B$13),COLUMN('PAYG 1'!$B$13),4)</f>
        <v>B13</v>
      </c>
      <c r="C3310" t="str">
        <f>ADDRESS(ROW('PAYG 1'!$D$13),COLUMN('PAYG 1'!$D$13),4)</f>
        <v>D13</v>
      </c>
      <c r="D3310" t="b" cm="1">
        <f t="array" aca="1" ref="D3310" ca="1">AND(NOT(INDIRECT("'"&amp;A3310&amp;"'!B$7")=""),INDIRECT("'"&amp;A3310&amp;"'!"&amp;B3310)="Select One")</f>
        <v>0</v>
      </c>
      <c r="E3310" t="s">
        <v>64</v>
      </c>
      <c r="F3310" t="str">
        <f>INDEX(Lists!I:I,MATCH(Validation!E3310,Lists!G:G,0))</f>
        <v>Error</v>
      </c>
      <c r="G3310" t="str">
        <f>INDEX(Lists!H:H,MATCH(Validation!E3310,Lists!G:G,0))</f>
        <v>You must make a selection from the dropdown list.</v>
      </c>
      <c r="H3310" s="25" t="str">
        <f ca="1">IFERROR(IF(OR(NOT(D3310),F3310&lt;&gt;"Error"),"",A3310&amp;CELL("address",INDIRECT(B3310))),"")</f>
        <v/>
      </c>
      <c r="I3310" s="25" t="str">
        <f ca="1">IFERROR(IF(NOT(D3310),"",A3310&amp;CELL("address",INDIRECT(C3310))),"")</f>
        <v/>
      </c>
      <c r="J3310" s="26" t="str">
        <f ca="1">IFERROR(IF(NOT(D3310),"",A3310),"")</f>
        <v/>
      </c>
    </row>
    <row r="3311" spans="1:10" x14ac:dyDescent="0.25">
      <c r="A3311" t="s">
        <v>203</v>
      </c>
      <c r="B3311" t="str">
        <f>ADDRESS(ROW('PAYG 1'!$B$15),COLUMN('PAYG 1'!$B$15),4)</f>
        <v>B15</v>
      </c>
      <c r="C3311" t="str">
        <f>ADDRESS(ROW('PAYG 1'!$D$15),COLUMN('PAYG 1'!$D$15),4)</f>
        <v>D15</v>
      </c>
      <c r="D3311" t="b" cm="1">
        <f t="array" aca="1" ref="D3311" ca="1">IF(INDIRECT("'"&amp;A3311&amp;"'!"&amp;B3311)="",FALSE,IF(NOT(ISNUMBER(INDIRECT("'"&amp;A3311&amp;"'!"&amp;B3311))),TRUE,FALSE))</f>
        <v>0</v>
      </c>
      <c r="E3311" t="s">
        <v>435</v>
      </c>
      <c r="F3311" t="str">
        <f>INDEX(Lists!I:I,MATCH(Validation!E3311,Lists!G:G,0))</f>
        <v>Error</v>
      </c>
      <c r="G3311" t="str">
        <f>INDEX(Lists!H:H,MATCH(Validation!E3311,Lists!G:G,0))</f>
        <v>Enter an amount only. Do not enter text or spaces.</v>
      </c>
      <c r="H3311" s="16" t="str">
        <f t="shared" ref="H3311:H3355" ca="1" si="369">IFERROR(IF(OR(NOT(D3311),F3311&lt;&gt;"Error"),"",A3311&amp;CELL("address",INDIRECT(B3311))),"")</f>
        <v/>
      </c>
      <c r="I3311" s="16" t="str">
        <f t="shared" ref="I3311:I3355" ca="1" si="370">IFERROR(IF(NOT(D3311),"",A3311&amp;CELL("address",INDIRECT(C3311))),"")</f>
        <v/>
      </c>
      <c r="J3311" s="17" t="str">
        <f t="shared" ref="J3311:J3355" ca="1" si="371">IFERROR(IF(NOT(D3311),"",A3311),"")</f>
        <v/>
      </c>
    </row>
    <row r="3312" spans="1:10" x14ac:dyDescent="0.25">
      <c r="A3312" t="s">
        <v>651</v>
      </c>
      <c r="B3312" t="str">
        <f>ADDRESS(ROW('PAYG 1'!$B$15),COLUMN('PAYG 1'!$B$15),4)</f>
        <v>B15</v>
      </c>
      <c r="C3312" t="str">
        <f>ADDRESS(ROW('PAYG 1'!$D$15),COLUMN('PAYG 1'!$D$15),4)</f>
        <v>D15</v>
      </c>
      <c r="D3312" t="b" cm="1">
        <f t="array" aca="1" ref="D3312" ca="1">IF(INDIRECT("'"&amp;A3312&amp;"'!"&amp;B3312)="",FALSE,IF(NOT(ISNUMBER(INDIRECT("'"&amp;A3312&amp;"'!"&amp;B3312))),TRUE,FALSE))</f>
        <v>0</v>
      </c>
      <c r="E3312" t="s">
        <v>435</v>
      </c>
      <c r="F3312" t="str">
        <f>INDEX(Lists!I:I,MATCH(Validation!E3312,Lists!G:G,0))</f>
        <v>Error</v>
      </c>
      <c r="G3312" t="str">
        <f>INDEX(Lists!H:H,MATCH(Validation!E3312,Lists!G:G,0))</f>
        <v>Enter an amount only. Do not enter text or spaces.</v>
      </c>
      <c r="H3312" s="16" t="str">
        <f t="shared" ca="1" si="369"/>
        <v/>
      </c>
      <c r="I3312" s="16" t="str">
        <f t="shared" ca="1" si="370"/>
        <v/>
      </c>
      <c r="J3312" s="17" t="str">
        <f t="shared" ca="1" si="371"/>
        <v/>
      </c>
    </row>
    <row r="3313" spans="1:10" x14ac:dyDescent="0.25">
      <c r="A3313" t="s">
        <v>652</v>
      </c>
      <c r="B3313" t="str">
        <f>ADDRESS(ROW('PAYG 1'!$B$15),COLUMN('PAYG 1'!$B$15),4)</f>
        <v>B15</v>
      </c>
      <c r="C3313" t="str">
        <f>ADDRESS(ROW('PAYG 1'!$D$15),COLUMN('PAYG 1'!$D$15),4)</f>
        <v>D15</v>
      </c>
      <c r="D3313" t="b" cm="1">
        <f t="array" aca="1" ref="D3313" ca="1">IF(INDIRECT("'"&amp;A3313&amp;"'!"&amp;B3313)="",FALSE,IF(NOT(ISNUMBER(INDIRECT("'"&amp;A3313&amp;"'!"&amp;B3313))),TRUE,FALSE))</f>
        <v>0</v>
      </c>
      <c r="E3313" t="s">
        <v>435</v>
      </c>
      <c r="F3313" t="str">
        <f>INDEX(Lists!I:I,MATCH(Validation!E3313,Lists!G:G,0))</f>
        <v>Error</v>
      </c>
      <c r="G3313" t="str">
        <f>INDEX(Lists!H:H,MATCH(Validation!E3313,Lists!G:G,0))</f>
        <v>Enter an amount only. Do not enter text or spaces.</v>
      </c>
      <c r="H3313" s="16" t="str">
        <f t="shared" ca="1" si="369"/>
        <v/>
      </c>
      <c r="I3313" s="16" t="str">
        <f t="shared" ca="1" si="370"/>
        <v/>
      </c>
      <c r="J3313" s="17" t="str">
        <f t="shared" ca="1" si="371"/>
        <v/>
      </c>
    </row>
    <row r="3314" spans="1:10" x14ac:dyDescent="0.25">
      <c r="A3314" t="s">
        <v>653</v>
      </c>
      <c r="B3314" t="str">
        <f>ADDRESS(ROW('PAYG 1'!$B$15),COLUMN('PAYG 1'!$B$15),4)</f>
        <v>B15</v>
      </c>
      <c r="C3314" t="str">
        <f>ADDRESS(ROW('PAYG 1'!$D$15),COLUMN('PAYG 1'!$D$15),4)</f>
        <v>D15</v>
      </c>
      <c r="D3314" t="b" cm="1">
        <f t="array" aca="1" ref="D3314" ca="1">IF(INDIRECT("'"&amp;A3314&amp;"'!"&amp;B3314)="",FALSE,IF(NOT(ISNUMBER(INDIRECT("'"&amp;A3314&amp;"'!"&amp;B3314))),TRUE,FALSE))</f>
        <v>0</v>
      </c>
      <c r="E3314" t="s">
        <v>435</v>
      </c>
      <c r="F3314" t="str">
        <f>INDEX(Lists!I:I,MATCH(Validation!E3314,Lists!G:G,0))</f>
        <v>Error</v>
      </c>
      <c r="G3314" t="str">
        <f>INDEX(Lists!H:H,MATCH(Validation!E3314,Lists!G:G,0))</f>
        <v>Enter an amount only. Do not enter text or spaces.</v>
      </c>
      <c r="H3314" s="16" t="str">
        <f t="shared" ca="1" si="369"/>
        <v/>
      </c>
      <c r="I3314" s="16" t="str">
        <f t="shared" ca="1" si="370"/>
        <v/>
      </c>
      <c r="J3314" s="17" t="str">
        <f t="shared" ca="1" si="371"/>
        <v/>
      </c>
    </row>
    <row r="3315" spans="1:10" x14ac:dyDescent="0.25">
      <c r="A3315" t="s">
        <v>654</v>
      </c>
      <c r="B3315" t="str">
        <f>ADDRESS(ROW('PAYG 1'!$B$15),COLUMN('PAYG 1'!$B$15),4)</f>
        <v>B15</v>
      </c>
      <c r="C3315" t="str">
        <f>ADDRESS(ROW('PAYG 1'!$D$15),COLUMN('PAYG 1'!$D$15),4)</f>
        <v>D15</v>
      </c>
      <c r="D3315" t="b" cm="1">
        <f t="array" aca="1" ref="D3315" ca="1">IF(INDIRECT("'"&amp;A3315&amp;"'!"&amp;B3315)="",FALSE,IF(NOT(ISNUMBER(INDIRECT("'"&amp;A3315&amp;"'!"&amp;B3315))),TRUE,FALSE))</f>
        <v>0</v>
      </c>
      <c r="E3315" t="s">
        <v>435</v>
      </c>
      <c r="F3315" t="str">
        <f>INDEX(Lists!I:I,MATCH(Validation!E3315,Lists!G:G,0))</f>
        <v>Error</v>
      </c>
      <c r="G3315" t="str">
        <f>INDEX(Lists!H:H,MATCH(Validation!E3315,Lists!G:G,0))</f>
        <v>Enter an amount only. Do not enter text or spaces.</v>
      </c>
      <c r="H3315" s="16" t="str">
        <f t="shared" ca="1" si="369"/>
        <v/>
      </c>
      <c r="I3315" s="16" t="str">
        <f t="shared" ca="1" si="370"/>
        <v/>
      </c>
      <c r="J3315" s="17" t="str">
        <f t="shared" ca="1" si="371"/>
        <v/>
      </c>
    </row>
    <row r="3316" spans="1:10" x14ac:dyDescent="0.25">
      <c r="A3316" t="s">
        <v>655</v>
      </c>
      <c r="B3316" t="str">
        <f>ADDRESS(ROW('PAYG 1'!$B$15),COLUMN('PAYG 1'!$B$15),4)</f>
        <v>B15</v>
      </c>
      <c r="C3316" t="str">
        <f>ADDRESS(ROW('PAYG 1'!$D$15),COLUMN('PAYG 1'!$D$15),4)</f>
        <v>D15</v>
      </c>
      <c r="D3316" t="b" cm="1">
        <f t="array" aca="1" ref="D3316" ca="1">IF(INDIRECT("'"&amp;A3316&amp;"'!"&amp;B3316)="",FALSE,IF(NOT(ISNUMBER(INDIRECT("'"&amp;A3316&amp;"'!"&amp;B3316))),TRUE,FALSE))</f>
        <v>0</v>
      </c>
      <c r="E3316" t="s">
        <v>435</v>
      </c>
      <c r="F3316" t="str">
        <f>INDEX(Lists!I:I,MATCH(Validation!E3316,Lists!G:G,0))</f>
        <v>Error</v>
      </c>
      <c r="G3316" t="str">
        <f>INDEX(Lists!H:H,MATCH(Validation!E3316,Lists!G:G,0))</f>
        <v>Enter an amount only. Do not enter text or spaces.</v>
      </c>
      <c r="H3316" s="16" t="str">
        <f t="shared" ca="1" si="369"/>
        <v/>
      </c>
      <c r="I3316" s="16" t="str">
        <f t="shared" ca="1" si="370"/>
        <v/>
      </c>
      <c r="J3316" s="17" t="str">
        <f t="shared" ca="1" si="371"/>
        <v/>
      </c>
    </row>
    <row r="3317" spans="1:10" x14ac:dyDescent="0.25">
      <c r="A3317" t="s">
        <v>656</v>
      </c>
      <c r="B3317" t="str">
        <f>ADDRESS(ROW('PAYG 1'!$B$15),COLUMN('PAYG 1'!$B$15),4)</f>
        <v>B15</v>
      </c>
      <c r="C3317" t="str">
        <f>ADDRESS(ROW('PAYG 1'!$D$15),COLUMN('PAYG 1'!$D$15),4)</f>
        <v>D15</v>
      </c>
      <c r="D3317" t="b" cm="1">
        <f t="array" aca="1" ref="D3317" ca="1">IF(INDIRECT("'"&amp;A3317&amp;"'!"&amp;B3317)="",FALSE,IF(NOT(ISNUMBER(INDIRECT("'"&amp;A3317&amp;"'!"&amp;B3317))),TRUE,FALSE))</f>
        <v>0</v>
      </c>
      <c r="E3317" t="s">
        <v>435</v>
      </c>
      <c r="F3317" t="str">
        <f>INDEX(Lists!I:I,MATCH(Validation!E3317,Lists!G:G,0))</f>
        <v>Error</v>
      </c>
      <c r="G3317" t="str">
        <f>INDEX(Lists!H:H,MATCH(Validation!E3317,Lists!G:G,0))</f>
        <v>Enter an amount only. Do not enter text or spaces.</v>
      </c>
      <c r="H3317" s="16" t="str">
        <f t="shared" ca="1" si="369"/>
        <v/>
      </c>
      <c r="I3317" s="16" t="str">
        <f t="shared" ca="1" si="370"/>
        <v/>
      </c>
      <c r="J3317" s="17" t="str">
        <f t="shared" ca="1" si="371"/>
        <v/>
      </c>
    </row>
    <row r="3318" spans="1:10" x14ac:dyDescent="0.25">
      <c r="A3318" t="s">
        <v>657</v>
      </c>
      <c r="B3318" t="str">
        <f>ADDRESS(ROW('PAYG 1'!$B$15),COLUMN('PAYG 1'!$B$15),4)</f>
        <v>B15</v>
      </c>
      <c r="C3318" t="str">
        <f>ADDRESS(ROW('PAYG 1'!$D$15),COLUMN('PAYG 1'!$D$15),4)</f>
        <v>D15</v>
      </c>
      <c r="D3318" t="b" cm="1">
        <f t="array" aca="1" ref="D3318" ca="1">IF(INDIRECT("'"&amp;A3318&amp;"'!"&amp;B3318)="",FALSE,IF(NOT(ISNUMBER(INDIRECT("'"&amp;A3318&amp;"'!"&amp;B3318))),TRUE,FALSE))</f>
        <v>0</v>
      </c>
      <c r="E3318" t="s">
        <v>435</v>
      </c>
      <c r="F3318" t="str">
        <f>INDEX(Lists!I:I,MATCH(Validation!E3318,Lists!G:G,0))</f>
        <v>Error</v>
      </c>
      <c r="G3318" t="str">
        <f>INDEX(Lists!H:H,MATCH(Validation!E3318,Lists!G:G,0))</f>
        <v>Enter an amount only. Do not enter text or spaces.</v>
      </c>
      <c r="H3318" s="16" t="str">
        <f t="shared" ca="1" si="369"/>
        <v/>
      </c>
      <c r="I3318" s="16" t="str">
        <f t="shared" ca="1" si="370"/>
        <v/>
      </c>
      <c r="J3318" s="17" t="str">
        <f t="shared" ca="1" si="371"/>
        <v/>
      </c>
    </row>
    <row r="3319" spans="1:10" x14ac:dyDescent="0.25">
      <c r="A3319" t="s">
        <v>658</v>
      </c>
      <c r="B3319" t="str">
        <f>ADDRESS(ROW('PAYG 1'!$B$15),COLUMN('PAYG 1'!$B$15),4)</f>
        <v>B15</v>
      </c>
      <c r="C3319" t="str">
        <f>ADDRESS(ROW('PAYG 1'!$D$15),COLUMN('PAYG 1'!$D$15),4)</f>
        <v>D15</v>
      </c>
      <c r="D3319" t="b" cm="1">
        <f t="array" aca="1" ref="D3319" ca="1">IF(INDIRECT("'"&amp;A3319&amp;"'!"&amp;B3319)="",FALSE,IF(NOT(ISNUMBER(INDIRECT("'"&amp;A3319&amp;"'!"&amp;B3319))),TRUE,FALSE))</f>
        <v>0</v>
      </c>
      <c r="E3319" t="s">
        <v>435</v>
      </c>
      <c r="F3319" t="str">
        <f>INDEX(Lists!I:I,MATCH(Validation!E3319,Lists!G:G,0))</f>
        <v>Error</v>
      </c>
      <c r="G3319" t="str">
        <f>INDEX(Lists!H:H,MATCH(Validation!E3319,Lists!G:G,0))</f>
        <v>Enter an amount only. Do not enter text or spaces.</v>
      </c>
      <c r="H3319" s="16" t="str">
        <f t="shared" ca="1" si="369"/>
        <v/>
      </c>
      <c r="I3319" s="16" t="str">
        <f t="shared" ca="1" si="370"/>
        <v/>
      </c>
      <c r="J3319" s="17" t="str">
        <f t="shared" ca="1" si="371"/>
        <v/>
      </c>
    </row>
    <row r="3320" spans="1:10" x14ac:dyDescent="0.25">
      <c r="A3320" t="s">
        <v>659</v>
      </c>
      <c r="B3320" t="str">
        <f>ADDRESS(ROW('PAYG 1'!$B$15),COLUMN('PAYG 1'!$B$15),4)</f>
        <v>B15</v>
      </c>
      <c r="C3320" t="str">
        <f>ADDRESS(ROW('PAYG 1'!$D$15),COLUMN('PAYG 1'!$D$15),4)</f>
        <v>D15</v>
      </c>
      <c r="D3320" t="b" cm="1">
        <f t="array" aca="1" ref="D3320" ca="1">IF(INDIRECT("'"&amp;A3320&amp;"'!"&amp;B3320)="",FALSE,IF(NOT(ISNUMBER(INDIRECT("'"&amp;A3320&amp;"'!"&amp;B3320))),TRUE,FALSE))</f>
        <v>0</v>
      </c>
      <c r="E3320" t="s">
        <v>435</v>
      </c>
      <c r="F3320" t="str">
        <f>INDEX(Lists!I:I,MATCH(Validation!E3320,Lists!G:G,0))</f>
        <v>Error</v>
      </c>
      <c r="G3320" t="str">
        <f>INDEX(Lists!H:H,MATCH(Validation!E3320,Lists!G:G,0))</f>
        <v>Enter an amount only. Do not enter text or spaces.</v>
      </c>
      <c r="H3320" s="16" t="str">
        <f t="shared" ca="1" si="369"/>
        <v/>
      </c>
      <c r="I3320" s="16" t="str">
        <f t="shared" ca="1" si="370"/>
        <v/>
      </c>
      <c r="J3320" s="17" t="str">
        <f t="shared" ca="1" si="371"/>
        <v/>
      </c>
    </row>
    <row r="3321" spans="1:10" x14ac:dyDescent="0.25">
      <c r="A3321" t="s">
        <v>660</v>
      </c>
      <c r="B3321" t="str">
        <f>ADDRESS(ROW('PAYG 1'!$B$15),COLUMN('PAYG 1'!$B$15),4)</f>
        <v>B15</v>
      </c>
      <c r="C3321" t="str">
        <f>ADDRESS(ROW('PAYG 1'!$D$15),COLUMN('PAYG 1'!$D$15),4)</f>
        <v>D15</v>
      </c>
      <c r="D3321" t="b" cm="1">
        <f t="array" aca="1" ref="D3321" ca="1">IF(INDIRECT("'"&amp;A3321&amp;"'!"&amp;B3321)="",FALSE,IF(NOT(ISNUMBER(INDIRECT("'"&amp;A3321&amp;"'!"&amp;B3321))),TRUE,FALSE))</f>
        <v>0</v>
      </c>
      <c r="E3321" t="s">
        <v>435</v>
      </c>
      <c r="F3321" t="str">
        <f>INDEX(Lists!I:I,MATCH(Validation!E3321,Lists!G:G,0))</f>
        <v>Error</v>
      </c>
      <c r="G3321" t="str">
        <f>INDEX(Lists!H:H,MATCH(Validation!E3321,Lists!G:G,0))</f>
        <v>Enter an amount only. Do not enter text or spaces.</v>
      </c>
      <c r="H3321" s="16" t="str">
        <f t="shared" ca="1" si="369"/>
        <v/>
      </c>
      <c r="I3321" s="16" t="str">
        <f t="shared" ca="1" si="370"/>
        <v/>
      </c>
      <c r="J3321" s="17" t="str">
        <f t="shared" ca="1" si="371"/>
        <v/>
      </c>
    </row>
    <row r="3322" spans="1:10" x14ac:dyDescent="0.25">
      <c r="A3322" t="s">
        <v>661</v>
      </c>
      <c r="B3322" t="str">
        <f>ADDRESS(ROW('PAYG 1'!$B$15),COLUMN('PAYG 1'!$B$15),4)</f>
        <v>B15</v>
      </c>
      <c r="C3322" t="str">
        <f>ADDRESS(ROW('PAYG 1'!$D$15),COLUMN('PAYG 1'!$D$15),4)</f>
        <v>D15</v>
      </c>
      <c r="D3322" t="b" cm="1">
        <f t="array" aca="1" ref="D3322" ca="1">IF(INDIRECT("'"&amp;A3322&amp;"'!"&amp;B3322)="",FALSE,IF(NOT(ISNUMBER(INDIRECT("'"&amp;A3322&amp;"'!"&amp;B3322))),TRUE,FALSE))</f>
        <v>0</v>
      </c>
      <c r="E3322" t="s">
        <v>435</v>
      </c>
      <c r="F3322" t="str">
        <f>INDEX(Lists!I:I,MATCH(Validation!E3322,Lists!G:G,0))</f>
        <v>Error</v>
      </c>
      <c r="G3322" t="str">
        <f>INDEX(Lists!H:H,MATCH(Validation!E3322,Lists!G:G,0))</f>
        <v>Enter an amount only. Do not enter text or spaces.</v>
      </c>
      <c r="H3322" s="16" t="str">
        <f t="shared" ca="1" si="369"/>
        <v/>
      </c>
      <c r="I3322" s="16" t="str">
        <f t="shared" ca="1" si="370"/>
        <v/>
      </c>
      <c r="J3322" s="17" t="str">
        <f t="shared" ca="1" si="371"/>
        <v/>
      </c>
    </row>
    <row r="3323" spans="1:10" x14ac:dyDescent="0.25">
      <c r="A3323" t="s">
        <v>662</v>
      </c>
      <c r="B3323" t="str">
        <f>ADDRESS(ROW('PAYG 1'!$B$15),COLUMN('PAYG 1'!$B$15),4)</f>
        <v>B15</v>
      </c>
      <c r="C3323" t="str">
        <f>ADDRESS(ROW('PAYG 1'!$D$15),COLUMN('PAYG 1'!$D$15),4)</f>
        <v>D15</v>
      </c>
      <c r="D3323" t="b" cm="1">
        <f t="array" aca="1" ref="D3323" ca="1">IF(INDIRECT("'"&amp;A3323&amp;"'!"&amp;B3323)="",FALSE,IF(NOT(ISNUMBER(INDIRECT("'"&amp;A3323&amp;"'!"&amp;B3323))),TRUE,FALSE))</f>
        <v>0</v>
      </c>
      <c r="E3323" t="s">
        <v>435</v>
      </c>
      <c r="F3323" t="str">
        <f>INDEX(Lists!I:I,MATCH(Validation!E3323,Lists!G:G,0))</f>
        <v>Error</v>
      </c>
      <c r="G3323" t="str">
        <f>INDEX(Lists!H:H,MATCH(Validation!E3323,Lists!G:G,0))</f>
        <v>Enter an amount only. Do not enter text or spaces.</v>
      </c>
      <c r="H3323" s="16" t="str">
        <f t="shared" ca="1" si="369"/>
        <v/>
      </c>
      <c r="I3323" s="16" t="str">
        <f t="shared" ca="1" si="370"/>
        <v/>
      </c>
      <c r="J3323" s="17" t="str">
        <f t="shared" ca="1" si="371"/>
        <v/>
      </c>
    </row>
    <row r="3324" spans="1:10" x14ac:dyDescent="0.25">
      <c r="A3324" t="s">
        <v>663</v>
      </c>
      <c r="B3324" t="str">
        <f>ADDRESS(ROW('PAYG 1'!$B$15),COLUMN('PAYG 1'!$B$15),4)</f>
        <v>B15</v>
      </c>
      <c r="C3324" t="str">
        <f>ADDRESS(ROW('PAYG 1'!$D$15),COLUMN('PAYG 1'!$D$15),4)</f>
        <v>D15</v>
      </c>
      <c r="D3324" t="b" cm="1">
        <f t="array" aca="1" ref="D3324" ca="1">IF(INDIRECT("'"&amp;A3324&amp;"'!"&amp;B3324)="",FALSE,IF(NOT(ISNUMBER(INDIRECT("'"&amp;A3324&amp;"'!"&amp;B3324))),TRUE,FALSE))</f>
        <v>0</v>
      </c>
      <c r="E3324" t="s">
        <v>435</v>
      </c>
      <c r="F3324" t="str">
        <f>INDEX(Lists!I:I,MATCH(Validation!E3324,Lists!G:G,0))</f>
        <v>Error</v>
      </c>
      <c r="G3324" t="str">
        <f>INDEX(Lists!H:H,MATCH(Validation!E3324,Lists!G:G,0))</f>
        <v>Enter an amount only. Do not enter text or spaces.</v>
      </c>
      <c r="H3324" s="16" t="str">
        <f t="shared" ca="1" si="369"/>
        <v/>
      </c>
      <c r="I3324" s="16" t="str">
        <f t="shared" ca="1" si="370"/>
        <v/>
      </c>
      <c r="J3324" s="17" t="str">
        <f t="shared" ca="1" si="371"/>
        <v/>
      </c>
    </row>
    <row r="3325" spans="1:10" x14ac:dyDescent="0.25">
      <c r="A3325" t="s">
        <v>664</v>
      </c>
      <c r="B3325" t="str">
        <f>ADDRESS(ROW('PAYG 1'!$B$15),COLUMN('PAYG 1'!$B$15),4)</f>
        <v>B15</v>
      </c>
      <c r="C3325" t="str">
        <f>ADDRESS(ROW('PAYG 1'!$D$15),COLUMN('PAYG 1'!$D$15),4)</f>
        <v>D15</v>
      </c>
      <c r="D3325" t="b" cm="1">
        <f t="array" aca="1" ref="D3325" ca="1">IF(INDIRECT("'"&amp;A3325&amp;"'!"&amp;B3325)="",FALSE,IF(NOT(ISNUMBER(INDIRECT("'"&amp;A3325&amp;"'!"&amp;B3325))),TRUE,FALSE))</f>
        <v>0</v>
      </c>
      <c r="E3325" t="s">
        <v>435</v>
      </c>
      <c r="F3325" t="str">
        <f>INDEX(Lists!I:I,MATCH(Validation!E3325,Lists!G:G,0))</f>
        <v>Error</v>
      </c>
      <c r="G3325" t="str">
        <f>INDEX(Lists!H:H,MATCH(Validation!E3325,Lists!G:G,0))</f>
        <v>Enter an amount only. Do not enter text or spaces.</v>
      </c>
      <c r="H3325" s="16" t="str">
        <f t="shared" ca="1" si="369"/>
        <v/>
      </c>
      <c r="I3325" s="16" t="str">
        <f t="shared" ca="1" si="370"/>
        <v/>
      </c>
      <c r="J3325" s="17" t="str">
        <f t="shared" ca="1" si="371"/>
        <v/>
      </c>
    </row>
    <row r="3326" spans="1:10" x14ac:dyDescent="0.25">
      <c r="A3326" t="s">
        <v>203</v>
      </c>
      <c r="B3326" t="str">
        <f>ADDRESS(ROW('PAYG 1'!$B$15),COLUMN('PAYG 1'!$B$15),4)</f>
        <v>B15</v>
      </c>
      <c r="C3326" t="str">
        <f>ADDRESS(ROW('PAYG 1'!$D$15),COLUMN('PAYG 1'!$D$15),4)</f>
        <v>D15</v>
      </c>
      <c r="D3326" t="b" cm="1">
        <f t="array" aca="1" ref="D3326" ca="1">IF(INDIRECT("'"&amp;A3326&amp;"'!"&amp;B3326)="",FALSE,IF(INDIRECT("'"&amp;A3326&amp;"'!"&amp;B3326)&lt;0,TRUE,FALSE))</f>
        <v>0</v>
      </c>
      <c r="E3326" t="s">
        <v>434</v>
      </c>
      <c r="F3326" t="str">
        <f>INDEX(Lists!I:I,MATCH(Validation!E3326,Lists!G:G,0))</f>
        <v>Error</v>
      </c>
      <c r="G3326" t="str">
        <f>INDEX(Lists!H:H,MATCH(Validation!E3326,Lists!G:G,0))</f>
        <v>Amount may not be negative. Enter an amount greater than or equal to zero.</v>
      </c>
      <c r="H3326" s="16" t="str">
        <f t="shared" ref="H3326:H3340" ca="1" si="372">IFERROR(IF(OR(NOT(D3326),F3326&lt;&gt;"Error"),"",A3326&amp;CELL("address",INDIRECT(B3326))),"")</f>
        <v/>
      </c>
      <c r="I3326" s="16" t="str">
        <f t="shared" ref="I3326:I3340" ca="1" si="373">IFERROR(IF(NOT(D3326),"",A3326&amp;CELL("address",INDIRECT(C3326))),"")</f>
        <v/>
      </c>
      <c r="J3326" s="17" t="str">
        <f t="shared" ref="J3326:J3340" ca="1" si="374">IFERROR(IF(NOT(D3326),"",A3326),"")</f>
        <v/>
      </c>
    </row>
    <row r="3327" spans="1:10" x14ac:dyDescent="0.25">
      <c r="A3327" t="s">
        <v>651</v>
      </c>
      <c r="B3327" t="str">
        <f>ADDRESS(ROW('PAYG 1'!$B$15),COLUMN('PAYG 1'!$B$15),4)</f>
        <v>B15</v>
      </c>
      <c r="C3327" t="str">
        <f>ADDRESS(ROW('PAYG 1'!$D$15),COLUMN('PAYG 1'!$D$15),4)</f>
        <v>D15</v>
      </c>
      <c r="D3327" t="b" cm="1">
        <f t="array" aca="1" ref="D3327" ca="1">IF(INDIRECT("'"&amp;A3327&amp;"'!"&amp;B3327)="",FALSE,IF(INDIRECT("'"&amp;A3327&amp;"'!"&amp;B3327)&lt;0,TRUE,FALSE))</f>
        <v>0</v>
      </c>
      <c r="E3327" t="s">
        <v>434</v>
      </c>
      <c r="F3327" t="str">
        <f>INDEX(Lists!I:I,MATCH(Validation!E3327,Lists!G:G,0))</f>
        <v>Error</v>
      </c>
      <c r="G3327" t="str">
        <f>INDEX(Lists!H:H,MATCH(Validation!E3327,Lists!G:G,0))</f>
        <v>Amount may not be negative. Enter an amount greater than or equal to zero.</v>
      </c>
      <c r="H3327" s="16" t="str">
        <f t="shared" ca="1" si="372"/>
        <v/>
      </c>
      <c r="I3327" s="16" t="str">
        <f t="shared" ca="1" si="373"/>
        <v/>
      </c>
      <c r="J3327" s="17" t="str">
        <f t="shared" ca="1" si="374"/>
        <v/>
      </c>
    </row>
    <row r="3328" spans="1:10" x14ac:dyDescent="0.25">
      <c r="A3328" t="s">
        <v>652</v>
      </c>
      <c r="B3328" t="str">
        <f>ADDRESS(ROW('PAYG 1'!$B$15),COLUMN('PAYG 1'!$B$15),4)</f>
        <v>B15</v>
      </c>
      <c r="C3328" t="str">
        <f>ADDRESS(ROW('PAYG 1'!$D$15),COLUMN('PAYG 1'!$D$15),4)</f>
        <v>D15</v>
      </c>
      <c r="D3328" t="b" cm="1">
        <f t="array" aca="1" ref="D3328" ca="1">IF(INDIRECT("'"&amp;A3328&amp;"'!"&amp;B3328)="",FALSE,IF(INDIRECT("'"&amp;A3328&amp;"'!"&amp;B3328)&lt;0,TRUE,FALSE))</f>
        <v>0</v>
      </c>
      <c r="E3328" t="s">
        <v>434</v>
      </c>
      <c r="F3328" t="str">
        <f>INDEX(Lists!I:I,MATCH(Validation!E3328,Lists!G:G,0))</f>
        <v>Error</v>
      </c>
      <c r="G3328" t="str">
        <f>INDEX(Lists!H:H,MATCH(Validation!E3328,Lists!G:G,0))</f>
        <v>Amount may not be negative. Enter an amount greater than or equal to zero.</v>
      </c>
      <c r="H3328" s="16" t="str">
        <f t="shared" ca="1" si="372"/>
        <v/>
      </c>
      <c r="I3328" s="16" t="str">
        <f t="shared" ca="1" si="373"/>
        <v/>
      </c>
      <c r="J3328" s="17" t="str">
        <f t="shared" ca="1" si="374"/>
        <v/>
      </c>
    </row>
    <row r="3329" spans="1:10" x14ac:dyDescent="0.25">
      <c r="A3329" t="s">
        <v>653</v>
      </c>
      <c r="B3329" t="str">
        <f>ADDRESS(ROW('PAYG 1'!$B$15),COLUMN('PAYG 1'!$B$15),4)</f>
        <v>B15</v>
      </c>
      <c r="C3329" t="str">
        <f>ADDRESS(ROW('PAYG 1'!$D$15),COLUMN('PAYG 1'!$D$15),4)</f>
        <v>D15</v>
      </c>
      <c r="D3329" t="b" cm="1">
        <f t="array" aca="1" ref="D3329" ca="1">IF(INDIRECT("'"&amp;A3329&amp;"'!"&amp;B3329)="",FALSE,IF(INDIRECT("'"&amp;A3329&amp;"'!"&amp;B3329)&lt;0,TRUE,FALSE))</f>
        <v>0</v>
      </c>
      <c r="E3329" t="s">
        <v>434</v>
      </c>
      <c r="F3329" t="str">
        <f>INDEX(Lists!I:I,MATCH(Validation!E3329,Lists!G:G,0))</f>
        <v>Error</v>
      </c>
      <c r="G3329" t="str">
        <f>INDEX(Lists!H:H,MATCH(Validation!E3329,Lists!G:G,0))</f>
        <v>Amount may not be negative. Enter an amount greater than or equal to zero.</v>
      </c>
      <c r="H3329" s="16" t="str">
        <f t="shared" ca="1" si="372"/>
        <v/>
      </c>
      <c r="I3329" s="16" t="str">
        <f t="shared" ca="1" si="373"/>
        <v/>
      </c>
      <c r="J3329" s="17" t="str">
        <f t="shared" ca="1" si="374"/>
        <v/>
      </c>
    </row>
    <row r="3330" spans="1:10" x14ac:dyDescent="0.25">
      <c r="A3330" t="s">
        <v>654</v>
      </c>
      <c r="B3330" t="str">
        <f>ADDRESS(ROW('PAYG 1'!$B$15),COLUMN('PAYG 1'!$B$15),4)</f>
        <v>B15</v>
      </c>
      <c r="C3330" t="str">
        <f>ADDRESS(ROW('PAYG 1'!$D$15),COLUMN('PAYG 1'!$D$15),4)</f>
        <v>D15</v>
      </c>
      <c r="D3330" t="b" cm="1">
        <f t="array" aca="1" ref="D3330" ca="1">IF(INDIRECT("'"&amp;A3330&amp;"'!"&amp;B3330)="",FALSE,IF(INDIRECT("'"&amp;A3330&amp;"'!"&amp;B3330)&lt;0,TRUE,FALSE))</f>
        <v>0</v>
      </c>
      <c r="E3330" t="s">
        <v>434</v>
      </c>
      <c r="F3330" t="str">
        <f>INDEX(Lists!I:I,MATCH(Validation!E3330,Lists!G:G,0))</f>
        <v>Error</v>
      </c>
      <c r="G3330" t="str">
        <f>INDEX(Lists!H:H,MATCH(Validation!E3330,Lists!G:G,0))</f>
        <v>Amount may not be negative. Enter an amount greater than or equal to zero.</v>
      </c>
      <c r="H3330" s="16" t="str">
        <f t="shared" ca="1" si="372"/>
        <v/>
      </c>
      <c r="I3330" s="16" t="str">
        <f t="shared" ca="1" si="373"/>
        <v/>
      </c>
      <c r="J3330" s="17" t="str">
        <f t="shared" ca="1" si="374"/>
        <v/>
      </c>
    </row>
    <row r="3331" spans="1:10" x14ac:dyDescent="0.25">
      <c r="A3331" t="s">
        <v>655</v>
      </c>
      <c r="B3331" t="str">
        <f>ADDRESS(ROW('PAYG 1'!$B$15),COLUMN('PAYG 1'!$B$15),4)</f>
        <v>B15</v>
      </c>
      <c r="C3331" t="str">
        <f>ADDRESS(ROW('PAYG 1'!$D$15),COLUMN('PAYG 1'!$D$15),4)</f>
        <v>D15</v>
      </c>
      <c r="D3331" t="b" cm="1">
        <f t="array" aca="1" ref="D3331" ca="1">IF(INDIRECT("'"&amp;A3331&amp;"'!"&amp;B3331)="",FALSE,IF(INDIRECT("'"&amp;A3331&amp;"'!"&amp;B3331)&lt;0,TRUE,FALSE))</f>
        <v>0</v>
      </c>
      <c r="E3331" t="s">
        <v>434</v>
      </c>
      <c r="F3331" t="str">
        <f>INDEX(Lists!I:I,MATCH(Validation!E3331,Lists!G:G,0))</f>
        <v>Error</v>
      </c>
      <c r="G3331" t="str">
        <f>INDEX(Lists!H:H,MATCH(Validation!E3331,Lists!G:G,0))</f>
        <v>Amount may not be negative. Enter an amount greater than or equal to zero.</v>
      </c>
      <c r="H3331" s="16" t="str">
        <f t="shared" ca="1" si="372"/>
        <v/>
      </c>
      <c r="I3331" s="16" t="str">
        <f t="shared" ca="1" si="373"/>
        <v/>
      </c>
      <c r="J3331" s="17" t="str">
        <f t="shared" ca="1" si="374"/>
        <v/>
      </c>
    </row>
    <row r="3332" spans="1:10" x14ac:dyDescent="0.25">
      <c r="A3332" t="s">
        <v>656</v>
      </c>
      <c r="B3332" t="str">
        <f>ADDRESS(ROW('PAYG 1'!$B$15),COLUMN('PAYG 1'!$B$15),4)</f>
        <v>B15</v>
      </c>
      <c r="C3332" t="str">
        <f>ADDRESS(ROW('PAYG 1'!$D$15),COLUMN('PAYG 1'!$D$15),4)</f>
        <v>D15</v>
      </c>
      <c r="D3332" t="b" cm="1">
        <f t="array" aca="1" ref="D3332" ca="1">IF(INDIRECT("'"&amp;A3332&amp;"'!"&amp;B3332)="",FALSE,IF(INDIRECT("'"&amp;A3332&amp;"'!"&amp;B3332)&lt;0,TRUE,FALSE))</f>
        <v>0</v>
      </c>
      <c r="E3332" t="s">
        <v>434</v>
      </c>
      <c r="F3332" t="str">
        <f>INDEX(Lists!I:I,MATCH(Validation!E3332,Lists!G:G,0))</f>
        <v>Error</v>
      </c>
      <c r="G3332" t="str">
        <f>INDEX(Lists!H:H,MATCH(Validation!E3332,Lists!G:G,0))</f>
        <v>Amount may not be negative. Enter an amount greater than or equal to zero.</v>
      </c>
      <c r="H3332" s="16" t="str">
        <f t="shared" ca="1" si="372"/>
        <v/>
      </c>
      <c r="I3332" s="16" t="str">
        <f t="shared" ca="1" si="373"/>
        <v/>
      </c>
      <c r="J3332" s="17" t="str">
        <f t="shared" ca="1" si="374"/>
        <v/>
      </c>
    </row>
    <row r="3333" spans="1:10" x14ac:dyDescent="0.25">
      <c r="A3333" t="s">
        <v>657</v>
      </c>
      <c r="B3333" t="str">
        <f>ADDRESS(ROW('PAYG 1'!$B$15),COLUMN('PAYG 1'!$B$15),4)</f>
        <v>B15</v>
      </c>
      <c r="C3333" t="str">
        <f>ADDRESS(ROW('PAYG 1'!$D$15),COLUMN('PAYG 1'!$D$15),4)</f>
        <v>D15</v>
      </c>
      <c r="D3333" t="b" cm="1">
        <f t="array" aca="1" ref="D3333" ca="1">IF(INDIRECT("'"&amp;A3333&amp;"'!"&amp;B3333)="",FALSE,IF(INDIRECT("'"&amp;A3333&amp;"'!"&amp;B3333)&lt;0,TRUE,FALSE))</f>
        <v>0</v>
      </c>
      <c r="E3333" t="s">
        <v>434</v>
      </c>
      <c r="F3333" t="str">
        <f>INDEX(Lists!I:I,MATCH(Validation!E3333,Lists!G:G,0))</f>
        <v>Error</v>
      </c>
      <c r="G3333" t="str">
        <f>INDEX(Lists!H:H,MATCH(Validation!E3333,Lists!G:G,0))</f>
        <v>Amount may not be negative. Enter an amount greater than or equal to zero.</v>
      </c>
      <c r="H3333" s="16" t="str">
        <f t="shared" ca="1" si="372"/>
        <v/>
      </c>
      <c r="I3333" s="16" t="str">
        <f t="shared" ca="1" si="373"/>
        <v/>
      </c>
      <c r="J3333" s="17" t="str">
        <f t="shared" ca="1" si="374"/>
        <v/>
      </c>
    </row>
    <row r="3334" spans="1:10" x14ac:dyDescent="0.25">
      <c r="A3334" t="s">
        <v>658</v>
      </c>
      <c r="B3334" t="str">
        <f>ADDRESS(ROW('PAYG 1'!$B$15),COLUMN('PAYG 1'!$B$15),4)</f>
        <v>B15</v>
      </c>
      <c r="C3334" t="str">
        <f>ADDRESS(ROW('PAYG 1'!$D$15),COLUMN('PAYG 1'!$D$15),4)</f>
        <v>D15</v>
      </c>
      <c r="D3334" t="b" cm="1">
        <f t="array" aca="1" ref="D3334" ca="1">IF(INDIRECT("'"&amp;A3334&amp;"'!"&amp;B3334)="",FALSE,IF(INDIRECT("'"&amp;A3334&amp;"'!"&amp;B3334)&lt;0,TRUE,FALSE))</f>
        <v>0</v>
      </c>
      <c r="E3334" t="s">
        <v>434</v>
      </c>
      <c r="F3334" t="str">
        <f>INDEX(Lists!I:I,MATCH(Validation!E3334,Lists!G:G,0))</f>
        <v>Error</v>
      </c>
      <c r="G3334" t="str">
        <f>INDEX(Lists!H:H,MATCH(Validation!E3334,Lists!G:G,0))</f>
        <v>Amount may not be negative. Enter an amount greater than or equal to zero.</v>
      </c>
      <c r="H3334" s="16" t="str">
        <f t="shared" ca="1" si="372"/>
        <v/>
      </c>
      <c r="I3334" s="16" t="str">
        <f t="shared" ca="1" si="373"/>
        <v/>
      </c>
      <c r="J3334" s="17" t="str">
        <f t="shared" ca="1" si="374"/>
        <v/>
      </c>
    </row>
    <row r="3335" spans="1:10" x14ac:dyDescent="0.25">
      <c r="A3335" t="s">
        <v>659</v>
      </c>
      <c r="B3335" t="str">
        <f>ADDRESS(ROW('PAYG 1'!$B$15),COLUMN('PAYG 1'!$B$15),4)</f>
        <v>B15</v>
      </c>
      <c r="C3335" t="str">
        <f>ADDRESS(ROW('PAYG 1'!$D$15),COLUMN('PAYG 1'!$D$15),4)</f>
        <v>D15</v>
      </c>
      <c r="D3335" t="b" cm="1">
        <f t="array" aca="1" ref="D3335" ca="1">IF(INDIRECT("'"&amp;A3335&amp;"'!"&amp;B3335)="",FALSE,IF(INDIRECT("'"&amp;A3335&amp;"'!"&amp;B3335)&lt;0,TRUE,FALSE))</f>
        <v>0</v>
      </c>
      <c r="E3335" t="s">
        <v>434</v>
      </c>
      <c r="F3335" t="str">
        <f>INDEX(Lists!I:I,MATCH(Validation!E3335,Lists!G:G,0))</f>
        <v>Error</v>
      </c>
      <c r="G3335" t="str">
        <f>INDEX(Lists!H:H,MATCH(Validation!E3335,Lists!G:G,0))</f>
        <v>Amount may not be negative. Enter an amount greater than or equal to zero.</v>
      </c>
      <c r="H3335" s="16" t="str">
        <f t="shared" ca="1" si="372"/>
        <v/>
      </c>
      <c r="I3335" s="16" t="str">
        <f t="shared" ca="1" si="373"/>
        <v/>
      </c>
      <c r="J3335" s="17" t="str">
        <f t="shared" ca="1" si="374"/>
        <v/>
      </c>
    </row>
    <row r="3336" spans="1:10" x14ac:dyDescent="0.25">
      <c r="A3336" t="s">
        <v>660</v>
      </c>
      <c r="B3336" t="str">
        <f>ADDRESS(ROW('PAYG 1'!$B$15),COLUMN('PAYG 1'!$B$15),4)</f>
        <v>B15</v>
      </c>
      <c r="C3336" t="str">
        <f>ADDRESS(ROW('PAYG 1'!$D$15),COLUMN('PAYG 1'!$D$15),4)</f>
        <v>D15</v>
      </c>
      <c r="D3336" t="b" cm="1">
        <f t="array" aca="1" ref="D3336" ca="1">IF(INDIRECT("'"&amp;A3336&amp;"'!"&amp;B3336)="",FALSE,IF(INDIRECT("'"&amp;A3336&amp;"'!"&amp;B3336)&lt;0,TRUE,FALSE))</f>
        <v>0</v>
      </c>
      <c r="E3336" t="s">
        <v>434</v>
      </c>
      <c r="F3336" t="str">
        <f>INDEX(Lists!I:I,MATCH(Validation!E3336,Lists!G:G,0))</f>
        <v>Error</v>
      </c>
      <c r="G3336" t="str">
        <f>INDEX(Lists!H:H,MATCH(Validation!E3336,Lists!G:G,0))</f>
        <v>Amount may not be negative. Enter an amount greater than or equal to zero.</v>
      </c>
      <c r="H3336" s="16" t="str">
        <f t="shared" ca="1" si="372"/>
        <v/>
      </c>
      <c r="I3336" s="16" t="str">
        <f t="shared" ca="1" si="373"/>
        <v/>
      </c>
      <c r="J3336" s="17" t="str">
        <f t="shared" ca="1" si="374"/>
        <v/>
      </c>
    </row>
    <row r="3337" spans="1:10" x14ac:dyDescent="0.25">
      <c r="A3337" t="s">
        <v>661</v>
      </c>
      <c r="B3337" t="str">
        <f>ADDRESS(ROW('PAYG 1'!$B$15),COLUMN('PAYG 1'!$B$15),4)</f>
        <v>B15</v>
      </c>
      <c r="C3337" t="str">
        <f>ADDRESS(ROW('PAYG 1'!$D$15),COLUMN('PAYG 1'!$D$15),4)</f>
        <v>D15</v>
      </c>
      <c r="D3337" t="b" cm="1">
        <f t="array" aca="1" ref="D3337" ca="1">IF(INDIRECT("'"&amp;A3337&amp;"'!"&amp;B3337)="",FALSE,IF(INDIRECT("'"&amp;A3337&amp;"'!"&amp;B3337)&lt;0,TRUE,FALSE))</f>
        <v>0</v>
      </c>
      <c r="E3337" t="s">
        <v>434</v>
      </c>
      <c r="F3337" t="str">
        <f>INDEX(Lists!I:I,MATCH(Validation!E3337,Lists!G:G,0))</f>
        <v>Error</v>
      </c>
      <c r="G3337" t="str">
        <f>INDEX(Lists!H:H,MATCH(Validation!E3337,Lists!G:G,0))</f>
        <v>Amount may not be negative. Enter an amount greater than or equal to zero.</v>
      </c>
      <c r="H3337" s="16" t="str">
        <f t="shared" ca="1" si="372"/>
        <v/>
      </c>
      <c r="I3337" s="16" t="str">
        <f t="shared" ca="1" si="373"/>
        <v/>
      </c>
      <c r="J3337" s="17" t="str">
        <f t="shared" ca="1" si="374"/>
        <v/>
      </c>
    </row>
    <row r="3338" spans="1:10" x14ac:dyDescent="0.25">
      <c r="A3338" t="s">
        <v>662</v>
      </c>
      <c r="B3338" t="str">
        <f>ADDRESS(ROW('PAYG 1'!$B$15),COLUMN('PAYG 1'!$B$15),4)</f>
        <v>B15</v>
      </c>
      <c r="C3338" t="str">
        <f>ADDRESS(ROW('PAYG 1'!$D$15),COLUMN('PAYG 1'!$D$15),4)</f>
        <v>D15</v>
      </c>
      <c r="D3338" t="b" cm="1">
        <f t="array" aca="1" ref="D3338" ca="1">IF(INDIRECT("'"&amp;A3338&amp;"'!"&amp;B3338)="",FALSE,IF(INDIRECT("'"&amp;A3338&amp;"'!"&amp;B3338)&lt;0,TRUE,FALSE))</f>
        <v>0</v>
      </c>
      <c r="E3338" t="s">
        <v>434</v>
      </c>
      <c r="F3338" t="str">
        <f>INDEX(Lists!I:I,MATCH(Validation!E3338,Lists!G:G,0))</f>
        <v>Error</v>
      </c>
      <c r="G3338" t="str">
        <f>INDEX(Lists!H:H,MATCH(Validation!E3338,Lists!G:G,0))</f>
        <v>Amount may not be negative. Enter an amount greater than or equal to zero.</v>
      </c>
      <c r="H3338" s="16" t="str">
        <f t="shared" ca="1" si="372"/>
        <v/>
      </c>
      <c r="I3338" s="16" t="str">
        <f t="shared" ca="1" si="373"/>
        <v/>
      </c>
      <c r="J3338" s="17" t="str">
        <f t="shared" ca="1" si="374"/>
        <v/>
      </c>
    </row>
    <row r="3339" spans="1:10" x14ac:dyDescent="0.25">
      <c r="A3339" t="s">
        <v>663</v>
      </c>
      <c r="B3339" t="str">
        <f>ADDRESS(ROW('PAYG 1'!$B$15),COLUMN('PAYG 1'!$B$15),4)</f>
        <v>B15</v>
      </c>
      <c r="C3339" t="str">
        <f>ADDRESS(ROW('PAYG 1'!$D$15),COLUMN('PAYG 1'!$D$15),4)</f>
        <v>D15</v>
      </c>
      <c r="D3339" t="b" cm="1">
        <f t="array" aca="1" ref="D3339" ca="1">IF(INDIRECT("'"&amp;A3339&amp;"'!"&amp;B3339)="",FALSE,IF(INDIRECT("'"&amp;A3339&amp;"'!"&amp;B3339)&lt;0,TRUE,FALSE))</f>
        <v>0</v>
      </c>
      <c r="E3339" t="s">
        <v>434</v>
      </c>
      <c r="F3339" t="str">
        <f>INDEX(Lists!I:I,MATCH(Validation!E3339,Lists!G:G,0))</f>
        <v>Error</v>
      </c>
      <c r="G3339" t="str">
        <f>INDEX(Lists!H:H,MATCH(Validation!E3339,Lists!G:G,0))</f>
        <v>Amount may not be negative. Enter an amount greater than or equal to zero.</v>
      </c>
      <c r="H3339" s="16" t="str">
        <f t="shared" ca="1" si="372"/>
        <v/>
      </c>
      <c r="I3339" s="16" t="str">
        <f t="shared" ca="1" si="373"/>
        <v/>
      </c>
      <c r="J3339" s="17" t="str">
        <f t="shared" ca="1" si="374"/>
        <v/>
      </c>
    </row>
    <row r="3340" spans="1:10" x14ac:dyDescent="0.25">
      <c r="A3340" t="s">
        <v>664</v>
      </c>
      <c r="B3340" t="str">
        <f>ADDRESS(ROW('PAYG 1'!$B$15),COLUMN('PAYG 1'!$B$15),4)</f>
        <v>B15</v>
      </c>
      <c r="C3340" t="str">
        <f>ADDRESS(ROW('PAYG 1'!$D$15),COLUMN('PAYG 1'!$D$15),4)</f>
        <v>D15</v>
      </c>
      <c r="D3340" t="b" cm="1">
        <f t="array" aca="1" ref="D3340" ca="1">IF(INDIRECT("'"&amp;A3340&amp;"'!"&amp;B3340)="",FALSE,IF(INDIRECT("'"&amp;A3340&amp;"'!"&amp;B3340)&lt;0,TRUE,FALSE))</f>
        <v>0</v>
      </c>
      <c r="E3340" t="s">
        <v>434</v>
      </c>
      <c r="F3340" t="str">
        <f>INDEX(Lists!I:I,MATCH(Validation!E3340,Lists!G:G,0))</f>
        <v>Error</v>
      </c>
      <c r="G3340" t="str">
        <f>INDEX(Lists!H:H,MATCH(Validation!E3340,Lists!G:G,0))</f>
        <v>Amount may not be negative. Enter an amount greater than or equal to zero.</v>
      </c>
      <c r="H3340" s="16" t="str">
        <f t="shared" ca="1" si="372"/>
        <v/>
      </c>
      <c r="I3340" s="16" t="str">
        <f t="shared" ca="1" si="373"/>
        <v/>
      </c>
      <c r="J3340" s="17" t="str">
        <f t="shared" ca="1" si="374"/>
        <v/>
      </c>
    </row>
    <row r="3341" spans="1:10" x14ac:dyDescent="0.25">
      <c r="A3341" t="s">
        <v>203</v>
      </c>
      <c r="B3341" t="str">
        <f>ADDRESS(ROW('PAYG 1'!$B$15),COLUMN('PAYG 1'!$B$15),4)</f>
        <v>B15</v>
      </c>
      <c r="C3341" t="str">
        <f>ADDRESS(ROW('PAYG 1'!$D$15),COLUMN('PAYG 1'!$D$15),4)</f>
        <v>D15</v>
      </c>
      <c r="D3341" t="b" cm="1">
        <f t="array" aca="1" ref="D3341" ca="1">IF(INDIRECT("'"&amp;A3341&amp;"'!"&amp;B3341)="",FALSE,IF(TRUNC(INDIRECT("'"&amp;A3341&amp;"'!"&amp;B3341))=INDIRECT("'"&amp;A3341&amp;"'!"&amp;B3341),FALSE,TRUE))</f>
        <v>0</v>
      </c>
      <c r="E3341" t="s">
        <v>436</v>
      </c>
      <c r="F3341" t="str">
        <f>INDEX(Lists!I:I,MATCH(Validation!E3341,Lists!G:G,0))</f>
        <v>Error</v>
      </c>
      <c r="G3341" t="str">
        <f>INDEX(Lists!H:H,MATCH(Validation!E3341,Lists!G:G,0))</f>
        <v>Amount must be rounded to the nearest dollar.</v>
      </c>
      <c r="H3341" s="16" t="str">
        <f t="shared" ca="1" si="369"/>
        <v/>
      </c>
      <c r="I3341" s="16" t="str">
        <f t="shared" ca="1" si="370"/>
        <v/>
      </c>
      <c r="J3341" s="17" t="str">
        <f t="shared" ca="1" si="371"/>
        <v/>
      </c>
    </row>
    <row r="3342" spans="1:10" x14ac:dyDescent="0.25">
      <c r="A3342" t="s">
        <v>651</v>
      </c>
      <c r="B3342" t="str">
        <f>ADDRESS(ROW('PAYG 1'!$B$15),COLUMN('PAYG 1'!$B$15),4)</f>
        <v>B15</v>
      </c>
      <c r="C3342" t="str">
        <f>ADDRESS(ROW('PAYG 1'!$D$15),COLUMN('PAYG 1'!$D$15),4)</f>
        <v>D15</v>
      </c>
      <c r="D3342" t="b" cm="1">
        <f t="array" aca="1" ref="D3342" ca="1">IF(INDIRECT("'"&amp;A3342&amp;"'!"&amp;B3342)="",FALSE,IF(TRUNC(INDIRECT("'"&amp;A3342&amp;"'!"&amp;B3342))=INDIRECT("'"&amp;A3342&amp;"'!"&amp;B3342),FALSE,TRUE))</f>
        <v>0</v>
      </c>
      <c r="E3342" t="s">
        <v>436</v>
      </c>
      <c r="F3342" t="str">
        <f>INDEX(Lists!I:I,MATCH(Validation!E3342,Lists!G:G,0))</f>
        <v>Error</v>
      </c>
      <c r="G3342" t="str">
        <f>INDEX(Lists!H:H,MATCH(Validation!E3342,Lists!G:G,0))</f>
        <v>Amount must be rounded to the nearest dollar.</v>
      </c>
      <c r="H3342" s="16" t="str">
        <f t="shared" ca="1" si="369"/>
        <v/>
      </c>
      <c r="I3342" s="16" t="str">
        <f t="shared" ca="1" si="370"/>
        <v/>
      </c>
      <c r="J3342" s="17" t="str">
        <f t="shared" ca="1" si="371"/>
        <v/>
      </c>
    </row>
    <row r="3343" spans="1:10" x14ac:dyDescent="0.25">
      <c r="A3343" t="s">
        <v>652</v>
      </c>
      <c r="B3343" t="str">
        <f>ADDRESS(ROW('PAYG 1'!$B$15),COLUMN('PAYG 1'!$B$15),4)</f>
        <v>B15</v>
      </c>
      <c r="C3343" t="str">
        <f>ADDRESS(ROW('PAYG 1'!$D$15),COLUMN('PAYG 1'!$D$15),4)</f>
        <v>D15</v>
      </c>
      <c r="D3343" t="b" cm="1">
        <f t="array" aca="1" ref="D3343" ca="1">IF(INDIRECT("'"&amp;A3343&amp;"'!"&amp;B3343)="",FALSE,IF(TRUNC(INDIRECT("'"&amp;A3343&amp;"'!"&amp;B3343))=INDIRECT("'"&amp;A3343&amp;"'!"&amp;B3343),FALSE,TRUE))</f>
        <v>0</v>
      </c>
      <c r="E3343" t="s">
        <v>436</v>
      </c>
      <c r="F3343" t="str">
        <f>INDEX(Lists!I:I,MATCH(Validation!E3343,Lists!G:G,0))</f>
        <v>Error</v>
      </c>
      <c r="G3343" t="str">
        <f>INDEX(Lists!H:H,MATCH(Validation!E3343,Lists!G:G,0))</f>
        <v>Amount must be rounded to the nearest dollar.</v>
      </c>
      <c r="H3343" s="16" t="str">
        <f t="shared" ca="1" si="369"/>
        <v/>
      </c>
      <c r="I3343" s="16" t="str">
        <f t="shared" ca="1" si="370"/>
        <v/>
      </c>
      <c r="J3343" s="17" t="str">
        <f t="shared" ca="1" si="371"/>
        <v/>
      </c>
    </row>
    <row r="3344" spans="1:10" x14ac:dyDescent="0.25">
      <c r="A3344" t="s">
        <v>653</v>
      </c>
      <c r="B3344" t="str">
        <f>ADDRESS(ROW('PAYG 1'!$B$15),COLUMN('PAYG 1'!$B$15),4)</f>
        <v>B15</v>
      </c>
      <c r="C3344" t="str">
        <f>ADDRESS(ROW('PAYG 1'!$D$15),COLUMN('PAYG 1'!$D$15),4)</f>
        <v>D15</v>
      </c>
      <c r="D3344" t="b" cm="1">
        <f t="array" aca="1" ref="D3344" ca="1">IF(INDIRECT("'"&amp;A3344&amp;"'!"&amp;B3344)="",FALSE,IF(TRUNC(INDIRECT("'"&amp;A3344&amp;"'!"&amp;B3344))=INDIRECT("'"&amp;A3344&amp;"'!"&amp;B3344),FALSE,TRUE))</f>
        <v>0</v>
      </c>
      <c r="E3344" t="s">
        <v>436</v>
      </c>
      <c r="F3344" t="str">
        <f>INDEX(Lists!I:I,MATCH(Validation!E3344,Lists!G:G,0))</f>
        <v>Error</v>
      </c>
      <c r="G3344" t="str">
        <f>INDEX(Lists!H:H,MATCH(Validation!E3344,Lists!G:G,0))</f>
        <v>Amount must be rounded to the nearest dollar.</v>
      </c>
      <c r="H3344" s="16" t="str">
        <f t="shared" ca="1" si="369"/>
        <v/>
      </c>
      <c r="I3344" s="16" t="str">
        <f t="shared" ca="1" si="370"/>
        <v/>
      </c>
      <c r="J3344" s="17" t="str">
        <f t="shared" ca="1" si="371"/>
        <v/>
      </c>
    </row>
    <row r="3345" spans="1:10" x14ac:dyDescent="0.25">
      <c r="A3345" t="s">
        <v>654</v>
      </c>
      <c r="B3345" t="str">
        <f>ADDRESS(ROW('PAYG 1'!$B$15),COLUMN('PAYG 1'!$B$15),4)</f>
        <v>B15</v>
      </c>
      <c r="C3345" t="str">
        <f>ADDRESS(ROW('PAYG 1'!$D$15),COLUMN('PAYG 1'!$D$15),4)</f>
        <v>D15</v>
      </c>
      <c r="D3345" t="b" cm="1">
        <f t="array" aca="1" ref="D3345" ca="1">IF(INDIRECT("'"&amp;A3345&amp;"'!"&amp;B3345)="",FALSE,IF(TRUNC(INDIRECT("'"&amp;A3345&amp;"'!"&amp;B3345))=INDIRECT("'"&amp;A3345&amp;"'!"&amp;B3345),FALSE,TRUE))</f>
        <v>0</v>
      </c>
      <c r="E3345" t="s">
        <v>436</v>
      </c>
      <c r="F3345" t="str">
        <f>INDEX(Lists!I:I,MATCH(Validation!E3345,Lists!G:G,0))</f>
        <v>Error</v>
      </c>
      <c r="G3345" t="str">
        <f>INDEX(Lists!H:H,MATCH(Validation!E3345,Lists!G:G,0))</f>
        <v>Amount must be rounded to the nearest dollar.</v>
      </c>
      <c r="H3345" s="16" t="str">
        <f t="shared" ca="1" si="369"/>
        <v/>
      </c>
      <c r="I3345" s="16" t="str">
        <f t="shared" ca="1" si="370"/>
        <v/>
      </c>
      <c r="J3345" s="17" t="str">
        <f t="shared" ca="1" si="371"/>
        <v/>
      </c>
    </row>
    <row r="3346" spans="1:10" x14ac:dyDescent="0.25">
      <c r="A3346" t="s">
        <v>655</v>
      </c>
      <c r="B3346" t="str">
        <f>ADDRESS(ROW('PAYG 1'!$B$15),COLUMN('PAYG 1'!$B$15),4)</f>
        <v>B15</v>
      </c>
      <c r="C3346" t="str">
        <f>ADDRESS(ROW('PAYG 1'!$D$15),COLUMN('PAYG 1'!$D$15),4)</f>
        <v>D15</v>
      </c>
      <c r="D3346" t="b" cm="1">
        <f t="array" aca="1" ref="D3346" ca="1">IF(INDIRECT("'"&amp;A3346&amp;"'!"&amp;B3346)="",FALSE,IF(TRUNC(INDIRECT("'"&amp;A3346&amp;"'!"&amp;B3346))=INDIRECT("'"&amp;A3346&amp;"'!"&amp;B3346),FALSE,TRUE))</f>
        <v>0</v>
      </c>
      <c r="E3346" t="s">
        <v>436</v>
      </c>
      <c r="F3346" t="str">
        <f>INDEX(Lists!I:I,MATCH(Validation!E3346,Lists!G:G,0))</f>
        <v>Error</v>
      </c>
      <c r="G3346" t="str">
        <f>INDEX(Lists!H:H,MATCH(Validation!E3346,Lists!G:G,0))</f>
        <v>Amount must be rounded to the nearest dollar.</v>
      </c>
      <c r="H3346" s="16" t="str">
        <f t="shared" ca="1" si="369"/>
        <v/>
      </c>
      <c r="I3346" s="16" t="str">
        <f t="shared" ca="1" si="370"/>
        <v/>
      </c>
      <c r="J3346" s="17" t="str">
        <f t="shared" ca="1" si="371"/>
        <v/>
      </c>
    </row>
    <row r="3347" spans="1:10" x14ac:dyDescent="0.25">
      <c r="A3347" t="s">
        <v>656</v>
      </c>
      <c r="B3347" t="str">
        <f>ADDRESS(ROW('PAYG 1'!$B$15),COLUMN('PAYG 1'!$B$15),4)</f>
        <v>B15</v>
      </c>
      <c r="C3347" t="str">
        <f>ADDRESS(ROW('PAYG 1'!$D$15),COLUMN('PAYG 1'!$D$15),4)</f>
        <v>D15</v>
      </c>
      <c r="D3347" t="b" cm="1">
        <f t="array" aca="1" ref="D3347" ca="1">IF(INDIRECT("'"&amp;A3347&amp;"'!"&amp;B3347)="",FALSE,IF(TRUNC(INDIRECT("'"&amp;A3347&amp;"'!"&amp;B3347))=INDIRECT("'"&amp;A3347&amp;"'!"&amp;B3347),FALSE,TRUE))</f>
        <v>0</v>
      </c>
      <c r="E3347" t="s">
        <v>436</v>
      </c>
      <c r="F3347" t="str">
        <f>INDEX(Lists!I:I,MATCH(Validation!E3347,Lists!G:G,0))</f>
        <v>Error</v>
      </c>
      <c r="G3347" t="str">
        <f>INDEX(Lists!H:H,MATCH(Validation!E3347,Lists!G:G,0))</f>
        <v>Amount must be rounded to the nearest dollar.</v>
      </c>
      <c r="H3347" s="16" t="str">
        <f t="shared" ca="1" si="369"/>
        <v/>
      </c>
      <c r="I3347" s="16" t="str">
        <f t="shared" ca="1" si="370"/>
        <v/>
      </c>
      <c r="J3347" s="17" t="str">
        <f t="shared" ca="1" si="371"/>
        <v/>
      </c>
    </row>
    <row r="3348" spans="1:10" x14ac:dyDescent="0.25">
      <c r="A3348" t="s">
        <v>657</v>
      </c>
      <c r="B3348" t="str">
        <f>ADDRESS(ROW('PAYG 1'!$B$15),COLUMN('PAYG 1'!$B$15),4)</f>
        <v>B15</v>
      </c>
      <c r="C3348" t="str">
        <f>ADDRESS(ROW('PAYG 1'!$D$15),COLUMN('PAYG 1'!$D$15),4)</f>
        <v>D15</v>
      </c>
      <c r="D3348" t="b" cm="1">
        <f t="array" aca="1" ref="D3348" ca="1">IF(INDIRECT("'"&amp;A3348&amp;"'!"&amp;B3348)="",FALSE,IF(TRUNC(INDIRECT("'"&amp;A3348&amp;"'!"&amp;B3348))=INDIRECT("'"&amp;A3348&amp;"'!"&amp;B3348),FALSE,TRUE))</f>
        <v>0</v>
      </c>
      <c r="E3348" t="s">
        <v>436</v>
      </c>
      <c r="F3348" t="str">
        <f>INDEX(Lists!I:I,MATCH(Validation!E3348,Lists!G:G,0))</f>
        <v>Error</v>
      </c>
      <c r="G3348" t="str">
        <f>INDEX(Lists!H:H,MATCH(Validation!E3348,Lists!G:G,0))</f>
        <v>Amount must be rounded to the nearest dollar.</v>
      </c>
      <c r="H3348" s="16" t="str">
        <f t="shared" ca="1" si="369"/>
        <v/>
      </c>
      <c r="I3348" s="16" t="str">
        <f t="shared" ca="1" si="370"/>
        <v/>
      </c>
      <c r="J3348" s="17" t="str">
        <f t="shared" ca="1" si="371"/>
        <v/>
      </c>
    </row>
    <row r="3349" spans="1:10" x14ac:dyDescent="0.25">
      <c r="A3349" t="s">
        <v>658</v>
      </c>
      <c r="B3349" t="str">
        <f>ADDRESS(ROW('PAYG 1'!$B$15),COLUMN('PAYG 1'!$B$15),4)</f>
        <v>B15</v>
      </c>
      <c r="C3349" t="str">
        <f>ADDRESS(ROW('PAYG 1'!$D$15),COLUMN('PAYG 1'!$D$15),4)</f>
        <v>D15</v>
      </c>
      <c r="D3349" t="b" cm="1">
        <f t="array" aca="1" ref="D3349" ca="1">IF(INDIRECT("'"&amp;A3349&amp;"'!"&amp;B3349)="",FALSE,IF(TRUNC(INDIRECT("'"&amp;A3349&amp;"'!"&amp;B3349))=INDIRECT("'"&amp;A3349&amp;"'!"&amp;B3349),FALSE,TRUE))</f>
        <v>0</v>
      </c>
      <c r="E3349" t="s">
        <v>436</v>
      </c>
      <c r="F3349" t="str">
        <f>INDEX(Lists!I:I,MATCH(Validation!E3349,Lists!G:G,0))</f>
        <v>Error</v>
      </c>
      <c r="G3349" t="str">
        <f>INDEX(Lists!H:H,MATCH(Validation!E3349,Lists!G:G,0))</f>
        <v>Amount must be rounded to the nearest dollar.</v>
      </c>
      <c r="H3349" s="16" t="str">
        <f t="shared" ca="1" si="369"/>
        <v/>
      </c>
      <c r="I3349" s="16" t="str">
        <f t="shared" ca="1" si="370"/>
        <v/>
      </c>
      <c r="J3349" s="17" t="str">
        <f t="shared" ca="1" si="371"/>
        <v/>
      </c>
    </row>
    <row r="3350" spans="1:10" x14ac:dyDescent="0.25">
      <c r="A3350" t="s">
        <v>659</v>
      </c>
      <c r="B3350" t="str">
        <f>ADDRESS(ROW('PAYG 1'!$B$15),COLUMN('PAYG 1'!$B$15),4)</f>
        <v>B15</v>
      </c>
      <c r="C3350" t="str">
        <f>ADDRESS(ROW('PAYG 1'!$D$15),COLUMN('PAYG 1'!$D$15),4)</f>
        <v>D15</v>
      </c>
      <c r="D3350" t="b" cm="1">
        <f t="array" aca="1" ref="D3350" ca="1">IF(INDIRECT("'"&amp;A3350&amp;"'!"&amp;B3350)="",FALSE,IF(TRUNC(INDIRECT("'"&amp;A3350&amp;"'!"&amp;B3350))=INDIRECT("'"&amp;A3350&amp;"'!"&amp;B3350),FALSE,TRUE))</f>
        <v>0</v>
      </c>
      <c r="E3350" t="s">
        <v>436</v>
      </c>
      <c r="F3350" t="str">
        <f>INDEX(Lists!I:I,MATCH(Validation!E3350,Lists!G:G,0))</f>
        <v>Error</v>
      </c>
      <c r="G3350" t="str">
        <f>INDEX(Lists!H:H,MATCH(Validation!E3350,Lists!G:G,0))</f>
        <v>Amount must be rounded to the nearest dollar.</v>
      </c>
      <c r="H3350" s="16" t="str">
        <f t="shared" ca="1" si="369"/>
        <v/>
      </c>
      <c r="I3350" s="16" t="str">
        <f t="shared" ca="1" si="370"/>
        <v/>
      </c>
      <c r="J3350" s="17" t="str">
        <f t="shared" ca="1" si="371"/>
        <v/>
      </c>
    </row>
    <row r="3351" spans="1:10" x14ac:dyDescent="0.25">
      <c r="A3351" t="s">
        <v>660</v>
      </c>
      <c r="B3351" t="str">
        <f>ADDRESS(ROW('PAYG 1'!$B$15),COLUMN('PAYG 1'!$B$15),4)</f>
        <v>B15</v>
      </c>
      <c r="C3351" t="str">
        <f>ADDRESS(ROW('PAYG 1'!$D$15),COLUMN('PAYG 1'!$D$15),4)</f>
        <v>D15</v>
      </c>
      <c r="D3351" t="b" cm="1">
        <f t="array" aca="1" ref="D3351" ca="1">IF(INDIRECT("'"&amp;A3351&amp;"'!"&amp;B3351)="",FALSE,IF(TRUNC(INDIRECT("'"&amp;A3351&amp;"'!"&amp;B3351))=INDIRECT("'"&amp;A3351&amp;"'!"&amp;B3351),FALSE,TRUE))</f>
        <v>0</v>
      </c>
      <c r="E3351" t="s">
        <v>436</v>
      </c>
      <c r="F3351" t="str">
        <f>INDEX(Lists!I:I,MATCH(Validation!E3351,Lists!G:G,0))</f>
        <v>Error</v>
      </c>
      <c r="G3351" t="str">
        <f>INDEX(Lists!H:H,MATCH(Validation!E3351,Lists!G:G,0))</f>
        <v>Amount must be rounded to the nearest dollar.</v>
      </c>
      <c r="H3351" s="16" t="str">
        <f t="shared" ca="1" si="369"/>
        <v/>
      </c>
      <c r="I3351" s="16" t="str">
        <f t="shared" ca="1" si="370"/>
        <v/>
      </c>
      <c r="J3351" s="17" t="str">
        <f t="shared" ca="1" si="371"/>
        <v/>
      </c>
    </row>
    <row r="3352" spans="1:10" x14ac:dyDescent="0.25">
      <c r="A3352" t="s">
        <v>661</v>
      </c>
      <c r="B3352" t="str">
        <f>ADDRESS(ROW('PAYG 1'!$B$15),COLUMN('PAYG 1'!$B$15),4)</f>
        <v>B15</v>
      </c>
      <c r="C3352" t="str">
        <f>ADDRESS(ROW('PAYG 1'!$D$15),COLUMN('PAYG 1'!$D$15),4)</f>
        <v>D15</v>
      </c>
      <c r="D3352" t="b" cm="1">
        <f t="array" aca="1" ref="D3352" ca="1">IF(INDIRECT("'"&amp;A3352&amp;"'!"&amp;B3352)="",FALSE,IF(TRUNC(INDIRECT("'"&amp;A3352&amp;"'!"&amp;B3352))=INDIRECT("'"&amp;A3352&amp;"'!"&amp;B3352),FALSE,TRUE))</f>
        <v>0</v>
      </c>
      <c r="E3352" t="s">
        <v>436</v>
      </c>
      <c r="F3352" t="str">
        <f>INDEX(Lists!I:I,MATCH(Validation!E3352,Lists!G:G,0))</f>
        <v>Error</v>
      </c>
      <c r="G3352" t="str">
        <f>INDEX(Lists!H:H,MATCH(Validation!E3352,Lists!G:G,0))</f>
        <v>Amount must be rounded to the nearest dollar.</v>
      </c>
      <c r="H3352" s="16" t="str">
        <f t="shared" ca="1" si="369"/>
        <v/>
      </c>
      <c r="I3352" s="16" t="str">
        <f t="shared" ca="1" si="370"/>
        <v/>
      </c>
      <c r="J3352" s="17" t="str">
        <f t="shared" ca="1" si="371"/>
        <v/>
      </c>
    </row>
    <row r="3353" spans="1:10" x14ac:dyDescent="0.25">
      <c r="A3353" t="s">
        <v>662</v>
      </c>
      <c r="B3353" t="str">
        <f>ADDRESS(ROW('PAYG 1'!$B$15),COLUMN('PAYG 1'!$B$15),4)</f>
        <v>B15</v>
      </c>
      <c r="C3353" t="str">
        <f>ADDRESS(ROW('PAYG 1'!$D$15),COLUMN('PAYG 1'!$D$15),4)</f>
        <v>D15</v>
      </c>
      <c r="D3353" t="b" cm="1">
        <f t="array" aca="1" ref="D3353" ca="1">IF(INDIRECT("'"&amp;A3353&amp;"'!"&amp;B3353)="",FALSE,IF(TRUNC(INDIRECT("'"&amp;A3353&amp;"'!"&amp;B3353))=INDIRECT("'"&amp;A3353&amp;"'!"&amp;B3353),FALSE,TRUE))</f>
        <v>0</v>
      </c>
      <c r="E3353" t="s">
        <v>436</v>
      </c>
      <c r="F3353" t="str">
        <f>INDEX(Lists!I:I,MATCH(Validation!E3353,Lists!G:G,0))</f>
        <v>Error</v>
      </c>
      <c r="G3353" t="str">
        <f>INDEX(Lists!H:H,MATCH(Validation!E3353,Lists!G:G,0))</f>
        <v>Amount must be rounded to the nearest dollar.</v>
      </c>
      <c r="H3353" s="16" t="str">
        <f t="shared" ca="1" si="369"/>
        <v/>
      </c>
      <c r="I3353" s="16" t="str">
        <f t="shared" ca="1" si="370"/>
        <v/>
      </c>
      <c r="J3353" s="17" t="str">
        <f t="shared" ca="1" si="371"/>
        <v/>
      </c>
    </row>
    <row r="3354" spans="1:10" x14ac:dyDescent="0.25">
      <c r="A3354" t="s">
        <v>663</v>
      </c>
      <c r="B3354" t="str">
        <f>ADDRESS(ROW('PAYG 1'!$B$15),COLUMN('PAYG 1'!$B$15),4)</f>
        <v>B15</v>
      </c>
      <c r="C3354" t="str">
        <f>ADDRESS(ROW('PAYG 1'!$D$15),COLUMN('PAYG 1'!$D$15),4)</f>
        <v>D15</v>
      </c>
      <c r="D3354" t="b" cm="1">
        <f t="array" aca="1" ref="D3354" ca="1">IF(INDIRECT("'"&amp;A3354&amp;"'!"&amp;B3354)="",FALSE,IF(TRUNC(INDIRECT("'"&amp;A3354&amp;"'!"&amp;B3354))=INDIRECT("'"&amp;A3354&amp;"'!"&amp;B3354),FALSE,TRUE))</f>
        <v>0</v>
      </c>
      <c r="E3354" t="s">
        <v>436</v>
      </c>
      <c r="F3354" t="str">
        <f>INDEX(Lists!I:I,MATCH(Validation!E3354,Lists!G:G,0))</f>
        <v>Error</v>
      </c>
      <c r="G3354" t="str">
        <f>INDEX(Lists!H:H,MATCH(Validation!E3354,Lists!G:G,0))</f>
        <v>Amount must be rounded to the nearest dollar.</v>
      </c>
      <c r="H3354" s="16" t="str">
        <f t="shared" ca="1" si="369"/>
        <v/>
      </c>
      <c r="I3354" s="16" t="str">
        <f t="shared" ca="1" si="370"/>
        <v/>
      </c>
      <c r="J3354" s="17" t="str">
        <f t="shared" ca="1" si="371"/>
        <v/>
      </c>
    </row>
    <row r="3355" spans="1:10" x14ac:dyDescent="0.25">
      <c r="A3355" t="s">
        <v>664</v>
      </c>
      <c r="B3355" t="str">
        <f>ADDRESS(ROW('PAYG 1'!$B$15),COLUMN('PAYG 1'!$B$15),4)</f>
        <v>B15</v>
      </c>
      <c r="C3355" t="str">
        <f>ADDRESS(ROW('PAYG 1'!$D$15),COLUMN('PAYG 1'!$D$15),4)</f>
        <v>D15</v>
      </c>
      <c r="D3355" t="b" cm="1">
        <f t="array" aca="1" ref="D3355" ca="1">IF(INDIRECT("'"&amp;A3355&amp;"'!"&amp;B3355)="",FALSE,IF(TRUNC(INDIRECT("'"&amp;A3355&amp;"'!"&amp;B3355))=INDIRECT("'"&amp;A3355&amp;"'!"&amp;B3355),FALSE,TRUE))</f>
        <v>0</v>
      </c>
      <c r="E3355" t="s">
        <v>436</v>
      </c>
      <c r="F3355" t="str">
        <f>INDEX(Lists!I:I,MATCH(Validation!E3355,Lists!G:G,0))</f>
        <v>Error</v>
      </c>
      <c r="G3355" t="str">
        <f>INDEX(Lists!H:H,MATCH(Validation!E3355,Lists!G:G,0))</f>
        <v>Amount must be rounded to the nearest dollar.</v>
      </c>
      <c r="H3355" s="16" t="str">
        <f t="shared" ca="1" si="369"/>
        <v/>
      </c>
      <c r="I3355" s="16" t="str">
        <f t="shared" ca="1" si="370"/>
        <v/>
      </c>
      <c r="J3355" s="17" t="str">
        <f t="shared" ca="1" si="371"/>
        <v/>
      </c>
    </row>
    <row r="3356" spans="1:10" x14ac:dyDescent="0.25">
      <c r="A3356" t="s">
        <v>203</v>
      </c>
      <c r="B3356" t="str">
        <f>ADDRESS(ROW('PAYG 1'!$C$15),COLUMN('PAYG 1'!$C$15),4)</f>
        <v>C15</v>
      </c>
      <c r="C3356" t="str">
        <f>ADDRESS(ROW('PAYG 1'!$D$15),COLUMN('PAYG 1'!$D$15),4)</f>
        <v>D15</v>
      </c>
      <c r="D3356" t="b" cm="1">
        <f t="array" aca="1" ref="D3356" ca="1">IF(INDIRECT("'"&amp;A3356&amp;"'!"&amp;B3356)="",FALSE,IF(NOT(ISNUMBER(INDIRECT("'"&amp;A3356&amp;"'!"&amp;B3356))),TRUE,FALSE))</f>
        <v>0</v>
      </c>
      <c r="E3356" t="s">
        <v>435</v>
      </c>
      <c r="F3356" t="str">
        <f>INDEX(Lists!I:I,MATCH(Validation!E3356,Lists!G:G,0))</f>
        <v>Error</v>
      </c>
      <c r="G3356" t="str">
        <f>INDEX(Lists!H:H,MATCH(Validation!E3356,Lists!G:G,0))</f>
        <v>Enter an amount only. Do not enter text or spaces.</v>
      </c>
      <c r="H3356" s="16" t="str">
        <f t="shared" ref="H3356:H3400" ca="1" si="375">IFERROR(IF(OR(NOT(D3356),F3356&lt;&gt;"Error"),"",A3356&amp;CELL("address",INDIRECT(B3356))),"")</f>
        <v/>
      </c>
      <c r="I3356" s="16" t="str">
        <f t="shared" ref="I3356:I3400" ca="1" si="376">IFERROR(IF(NOT(D3356),"",A3356&amp;CELL("address",INDIRECT(C3356))),"")</f>
        <v/>
      </c>
      <c r="J3356" s="17" t="str">
        <f t="shared" ref="J3356:J3400" ca="1" si="377">IFERROR(IF(NOT(D3356),"",A3356),"")</f>
        <v/>
      </c>
    </row>
    <row r="3357" spans="1:10" x14ac:dyDescent="0.25">
      <c r="A3357" t="s">
        <v>651</v>
      </c>
      <c r="B3357" t="str">
        <f>ADDRESS(ROW('PAYG 1'!$C$15),COLUMN('PAYG 1'!$C$15),4)</f>
        <v>C15</v>
      </c>
      <c r="C3357" t="str">
        <f>ADDRESS(ROW('PAYG 1'!$D$15),COLUMN('PAYG 1'!$D$15),4)</f>
        <v>D15</v>
      </c>
      <c r="D3357" t="b" cm="1">
        <f t="array" aca="1" ref="D3357" ca="1">IF(INDIRECT("'"&amp;A3357&amp;"'!"&amp;B3357)="",FALSE,IF(NOT(ISNUMBER(INDIRECT("'"&amp;A3357&amp;"'!"&amp;B3357))),TRUE,FALSE))</f>
        <v>0</v>
      </c>
      <c r="E3357" t="s">
        <v>435</v>
      </c>
      <c r="F3357" t="str">
        <f>INDEX(Lists!I:I,MATCH(Validation!E3357,Lists!G:G,0))</f>
        <v>Error</v>
      </c>
      <c r="G3357" t="str">
        <f>INDEX(Lists!H:H,MATCH(Validation!E3357,Lists!G:G,0))</f>
        <v>Enter an amount only. Do not enter text or spaces.</v>
      </c>
      <c r="H3357" s="16" t="str">
        <f t="shared" ca="1" si="375"/>
        <v/>
      </c>
      <c r="I3357" s="16" t="str">
        <f t="shared" ca="1" si="376"/>
        <v/>
      </c>
      <c r="J3357" s="17" t="str">
        <f t="shared" ca="1" si="377"/>
        <v/>
      </c>
    </row>
    <row r="3358" spans="1:10" x14ac:dyDescent="0.25">
      <c r="A3358" t="s">
        <v>652</v>
      </c>
      <c r="B3358" t="str">
        <f>ADDRESS(ROW('PAYG 1'!$C$15),COLUMN('PAYG 1'!$C$15),4)</f>
        <v>C15</v>
      </c>
      <c r="C3358" t="str">
        <f>ADDRESS(ROW('PAYG 1'!$D$15),COLUMN('PAYG 1'!$D$15),4)</f>
        <v>D15</v>
      </c>
      <c r="D3358" t="b" cm="1">
        <f t="array" aca="1" ref="D3358" ca="1">IF(INDIRECT("'"&amp;A3358&amp;"'!"&amp;B3358)="",FALSE,IF(NOT(ISNUMBER(INDIRECT("'"&amp;A3358&amp;"'!"&amp;B3358))),TRUE,FALSE))</f>
        <v>0</v>
      </c>
      <c r="E3358" t="s">
        <v>435</v>
      </c>
      <c r="F3358" t="str">
        <f>INDEX(Lists!I:I,MATCH(Validation!E3358,Lists!G:G,0))</f>
        <v>Error</v>
      </c>
      <c r="G3358" t="str">
        <f>INDEX(Lists!H:H,MATCH(Validation!E3358,Lists!G:G,0))</f>
        <v>Enter an amount only. Do not enter text or spaces.</v>
      </c>
      <c r="H3358" s="16" t="str">
        <f t="shared" ca="1" si="375"/>
        <v/>
      </c>
      <c r="I3358" s="16" t="str">
        <f t="shared" ca="1" si="376"/>
        <v/>
      </c>
      <c r="J3358" s="17" t="str">
        <f t="shared" ca="1" si="377"/>
        <v/>
      </c>
    </row>
    <row r="3359" spans="1:10" x14ac:dyDescent="0.25">
      <c r="A3359" t="s">
        <v>653</v>
      </c>
      <c r="B3359" t="str">
        <f>ADDRESS(ROW('PAYG 1'!$C$15),COLUMN('PAYG 1'!$C$15),4)</f>
        <v>C15</v>
      </c>
      <c r="C3359" t="str">
        <f>ADDRESS(ROW('PAYG 1'!$D$15),COLUMN('PAYG 1'!$D$15),4)</f>
        <v>D15</v>
      </c>
      <c r="D3359" t="b" cm="1">
        <f t="array" aca="1" ref="D3359" ca="1">IF(INDIRECT("'"&amp;A3359&amp;"'!"&amp;B3359)="",FALSE,IF(NOT(ISNUMBER(INDIRECT("'"&amp;A3359&amp;"'!"&amp;B3359))),TRUE,FALSE))</f>
        <v>0</v>
      </c>
      <c r="E3359" t="s">
        <v>435</v>
      </c>
      <c r="F3359" t="str">
        <f>INDEX(Lists!I:I,MATCH(Validation!E3359,Lists!G:G,0))</f>
        <v>Error</v>
      </c>
      <c r="G3359" t="str">
        <f>INDEX(Lists!H:H,MATCH(Validation!E3359,Lists!G:G,0))</f>
        <v>Enter an amount only. Do not enter text or spaces.</v>
      </c>
      <c r="H3359" s="16" t="str">
        <f t="shared" ca="1" si="375"/>
        <v/>
      </c>
      <c r="I3359" s="16" t="str">
        <f t="shared" ca="1" si="376"/>
        <v/>
      </c>
      <c r="J3359" s="17" t="str">
        <f t="shared" ca="1" si="377"/>
        <v/>
      </c>
    </row>
    <row r="3360" spans="1:10" x14ac:dyDescent="0.25">
      <c r="A3360" t="s">
        <v>654</v>
      </c>
      <c r="B3360" t="str">
        <f>ADDRESS(ROW('PAYG 1'!$C$15),COLUMN('PAYG 1'!$C$15),4)</f>
        <v>C15</v>
      </c>
      <c r="C3360" t="str">
        <f>ADDRESS(ROW('PAYG 1'!$D$15),COLUMN('PAYG 1'!$D$15),4)</f>
        <v>D15</v>
      </c>
      <c r="D3360" t="b" cm="1">
        <f t="array" aca="1" ref="D3360" ca="1">IF(INDIRECT("'"&amp;A3360&amp;"'!"&amp;B3360)="",FALSE,IF(NOT(ISNUMBER(INDIRECT("'"&amp;A3360&amp;"'!"&amp;B3360))),TRUE,FALSE))</f>
        <v>0</v>
      </c>
      <c r="E3360" t="s">
        <v>435</v>
      </c>
      <c r="F3360" t="str">
        <f>INDEX(Lists!I:I,MATCH(Validation!E3360,Lists!G:G,0))</f>
        <v>Error</v>
      </c>
      <c r="G3360" t="str">
        <f>INDEX(Lists!H:H,MATCH(Validation!E3360,Lists!G:G,0))</f>
        <v>Enter an amount only. Do not enter text or spaces.</v>
      </c>
      <c r="H3360" s="16" t="str">
        <f t="shared" ca="1" si="375"/>
        <v/>
      </c>
      <c r="I3360" s="16" t="str">
        <f t="shared" ca="1" si="376"/>
        <v/>
      </c>
      <c r="J3360" s="17" t="str">
        <f t="shared" ca="1" si="377"/>
        <v/>
      </c>
    </row>
    <row r="3361" spans="1:10" x14ac:dyDescent="0.25">
      <c r="A3361" t="s">
        <v>655</v>
      </c>
      <c r="B3361" t="str">
        <f>ADDRESS(ROW('PAYG 1'!$C$15),COLUMN('PAYG 1'!$C$15),4)</f>
        <v>C15</v>
      </c>
      <c r="C3361" t="str">
        <f>ADDRESS(ROW('PAYG 1'!$D$15),COLUMN('PAYG 1'!$D$15),4)</f>
        <v>D15</v>
      </c>
      <c r="D3361" t="b" cm="1">
        <f t="array" aca="1" ref="D3361" ca="1">IF(INDIRECT("'"&amp;A3361&amp;"'!"&amp;B3361)="",FALSE,IF(NOT(ISNUMBER(INDIRECT("'"&amp;A3361&amp;"'!"&amp;B3361))),TRUE,FALSE))</f>
        <v>0</v>
      </c>
      <c r="E3361" t="s">
        <v>435</v>
      </c>
      <c r="F3361" t="str">
        <f>INDEX(Lists!I:I,MATCH(Validation!E3361,Lists!G:G,0))</f>
        <v>Error</v>
      </c>
      <c r="G3361" t="str">
        <f>INDEX(Lists!H:H,MATCH(Validation!E3361,Lists!G:G,0))</f>
        <v>Enter an amount only. Do not enter text or spaces.</v>
      </c>
      <c r="H3361" s="16" t="str">
        <f t="shared" ca="1" si="375"/>
        <v/>
      </c>
      <c r="I3361" s="16" t="str">
        <f t="shared" ca="1" si="376"/>
        <v/>
      </c>
      <c r="J3361" s="17" t="str">
        <f t="shared" ca="1" si="377"/>
        <v/>
      </c>
    </row>
    <row r="3362" spans="1:10" x14ac:dyDescent="0.25">
      <c r="A3362" t="s">
        <v>656</v>
      </c>
      <c r="B3362" t="str">
        <f>ADDRESS(ROW('PAYG 1'!$C$15),COLUMN('PAYG 1'!$C$15),4)</f>
        <v>C15</v>
      </c>
      <c r="C3362" t="str">
        <f>ADDRESS(ROW('PAYG 1'!$D$15),COLUMN('PAYG 1'!$D$15),4)</f>
        <v>D15</v>
      </c>
      <c r="D3362" t="b" cm="1">
        <f t="array" aca="1" ref="D3362" ca="1">IF(INDIRECT("'"&amp;A3362&amp;"'!"&amp;B3362)="",FALSE,IF(NOT(ISNUMBER(INDIRECT("'"&amp;A3362&amp;"'!"&amp;B3362))),TRUE,FALSE))</f>
        <v>0</v>
      </c>
      <c r="E3362" t="s">
        <v>435</v>
      </c>
      <c r="F3362" t="str">
        <f>INDEX(Lists!I:I,MATCH(Validation!E3362,Lists!G:G,0))</f>
        <v>Error</v>
      </c>
      <c r="G3362" t="str">
        <f>INDEX(Lists!H:H,MATCH(Validation!E3362,Lists!G:G,0))</f>
        <v>Enter an amount only. Do not enter text or spaces.</v>
      </c>
      <c r="H3362" s="16" t="str">
        <f t="shared" ca="1" si="375"/>
        <v/>
      </c>
      <c r="I3362" s="16" t="str">
        <f t="shared" ca="1" si="376"/>
        <v/>
      </c>
      <c r="J3362" s="17" t="str">
        <f t="shared" ca="1" si="377"/>
        <v/>
      </c>
    </row>
    <row r="3363" spans="1:10" x14ac:dyDescent="0.25">
      <c r="A3363" t="s">
        <v>657</v>
      </c>
      <c r="B3363" t="str">
        <f>ADDRESS(ROW('PAYG 1'!$C$15),COLUMN('PAYG 1'!$C$15),4)</f>
        <v>C15</v>
      </c>
      <c r="C3363" t="str">
        <f>ADDRESS(ROW('PAYG 1'!$D$15),COLUMN('PAYG 1'!$D$15),4)</f>
        <v>D15</v>
      </c>
      <c r="D3363" t="b" cm="1">
        <f t="array" aca="1" ref="D3363" ca="1">IF(INDIRECT("'"&amp;A3363&amp;"'!"&amp;B3363)="",FALSE,IF(NOT(ISNUMBER(INDIRECT("'"&amp;A3363&amp;"'!"&amp;B3363))),TRUE,FALSE))</f>
        <v>0</v>
      </c>
      <c r="E3363" t="s">
        <v>435</v>
      </c>
      <c r="F3363" t="str">
        <f>INDEX(Lists!I:I,MATCH(Validation!E3363,Lists!G:G,0))</f>
        <v>Error</v>
      </c>
      <c r="G3363" t="str">
        <f>INDEX(Lists!H:H,MATCH(Validation!E3363,Lists!G:G,0))</f>
        <v>Enter an amount only. Do not enter text or spaces.</v>
      </c>
      <c r="H3363" s="16" t="str">
        <f t="shared" ca="1" si="375"/>
        <v/>
      </c>
      <c r="I3363" s="16" t="str">
        <f t="shared" ca="1" si="376"/>
        <v/>
      </c>
      <c r="J3363" s="17" t="str">
        <f t="shared" ca="1" si="377"/>
        <v/>
      </c>
    </row>
    <row r="3364" spans="1:10" x14ac:dyDescent="0.25">
      <c r="A3364" t="s">
        <v>658</v>
      </c>
      <c r="B3364" t="str">
        <f>ADDRESS(ROW('PAYG 1'!$C$15),COLUMN('PAYG 1'!$C$15),4)</f>
        <v>C15</v>
      </c>
      <c r="C3364" t="str">
        <f>ADDRESS(ROW('PAYG 1'!$D$15),COLUMN('PAYG 1'!$D$15),4)</f>
        <v>D15</v>
      </c>
      <c r="D3364" t="b" cm="1">
        <f t="array" aca="1" ref="D3364" ca="1">IF(INDIRECT("'"&amp;A3364&amp;"'!"&amp;B3364)="",FALSE,IF(NOT(ISNUMBER(INDIRECT("'"&amp;A3364&amp;"'!"&amp;B3364))),TRUE,FALSE))</f>
        <v>0</v>
      </c>
      <c r="E3364" t="s">
        <v>435</v>
      </c>
      <c r="F3364" t="str">
        <f>INDEX(Lists!I:I,MATCH(Validation!E3364,Lists!G:G,0))</f>
        <v>Error</v>
      </c>
      <c r="G3364" t="str">
        <f>INDEX(Lists!H:H,MATCH(Validation!E3364,Lists!G:G,0))</f>
        <v>Enter an amount only. Do not enter text or spaces.</v>
      </c>
      <c r="H3364" s="16" t="str">
        <f t="shared" ca="1" si="375"/>
        <v/>
      </c>
      <c r="I3364" s="16" t="str">
        <f t="shared" ca="1" si="376"/>
        <v/>
      </c>
      <c r="J3364" s="17" t="str">
        <f t="shared" ca="1" si="377"/>
        <v/>
      </c>
    </row>
    <row r="3365" spans="1:10" x14ac:dyDescent="0.25">
      <c r="A3365" t="s">
        <v>659</v>
      </c>
      <c r="B3365" t="str">
        <f>ADDRESS(ROW('PAYG 1'!$C$15),COLUMN('PAYG 1'!$C$15),4)</f>
        <v>C15</v>
      </c>
      <c r="C3365" t="str">
        <f>ADDRESS(ROW('PAYG 1'!$D$15),COLUMN('PAYG 1'!$D$15),4)</f>
        <v>D15</v>
      </c>
      <c r="D3365" t="b" cm="1">
        <f t="array" aca="1" ref="D3365" ca="1">IF(INDIRECT("'"&amp;A3365&amp;"'!"&amp;B3365)="",FALSE,IF(NOT(ISNUMBER(INDIRECT("'"&amp;A3365&amp;"'!"&amp;B3365))),TRUE,FALSE))</f>
        <v>0</v>
      </c>
      <c r="E3365" t="s">
        <v>435</v>
      </c>
      <c r="F3365" t="str">
        <f>INDEX(Lists!I:I,MATCH(Validation!E3365,Lists!G:G,0))</f>
        <v>Error</v>
      </c>
      <c r="G3365" t="str">
        <f>INDEX(Lists!H:H,MATCH(Validation!E3365,Lists!G:G,0))</f>
        <v>Enter an amount only. Do not enter text or spaces.</v>
      </c>
      <c r="H3365" s="16" t="str">
        <f t="shared" ca="1" si="375"/>
        <v/>
      </c>
      <c r="I3365" s="16" t="str">
        <f t="shared" ca="1" si="376"/>
        <v/>
      </c>
      <c r="J3365" s="17" t="str">
        <f t="shared" ca="1" si="377"/>
        <v/>
      </c>
    </row>
    <row r="3366" spans="1:10" x14ac:dyDescent="0.25">
      <c r="A3366" t="s">
        <v>660</v>
      </c>
      <c r="B3366" t="str">
        <f>ADDRESS(ROW('PAYG 1'!$C$15),COLUMN('PAYG 1'!$C$15),4)</f>
        <v>C15</v>
      </c>
      <c r="C3366" t="str">
        <f>ADDRESS(ROW('PAYG 1'!$D$15),COLUMN('PAYG 1'!$D$15),4)</f>
        <v>D15</v>
      </c>
      <c r="D3366" t="b" cm="1">
        <f t="array" aca="1" ref="D3366" ca="1">IF(INDIRECT("'"&amp;A3366&amp;"'!"&amp;B3366)="",FALSE,IF(NOT(ISNUMBER(INDIRECT("'"&amp;A3366&amp;"'!"&amp;B3366))),TRUE,FALSE))</f>
        <v>0</v>
      </c>
      <c r="E3366" t="s">
        <v>435</v>
      </c>
      <c r="F3366" t="str">
        <f>INDEX(Lists!I:I,MATCH(Validation!E3366,Lists!G:G,0))</f>
        <v>Error</v>
      </c>
      <c r="G3366" t="str">
        <f>INDEX(Lists!H:H,MATCH(Validation!E3366,Lists!G:G,0))</f>
        <v>Enter an amount only. Do not enter text or spaces.</v>
      </c>
      <c r="H3366" s="16" t="str">
        <f t="shared" ca="1" si="375"/>
        <v/>
      </c>
      <c r="I3366" s="16" t="str">
        <f t="shared" ca="1" si="376"/>
        <v/>
      </c>
      <c r="J3366" s="17" t="str">
        <f t="shared" ca="1" si="377"/>
        <v/>
      </c>
    </row>
    <row r="3367" spans="1:10" x14ac:dyDescent="0.25">
      <c r="A3367" t="s">
        <v>661</v>
      </c>
      <c r="B3367" t="str">
        <f>ADDRESS(ROW('PAYG 1'!$C$15),COLUMN('PAYG 1'!$C$15),4)</f>
        <v>C15</v>
      </c>
      <c r="C3367" t="str">
        <f>ADDRESS(ROW('PAYG 1'!$D$15),COLUMN('PAYG 1'!$D$15),4)</f>
        <v>D15</v>
      </c>
      <c r="D3367" t="b" cm="1">
        <f t="array" aca="1" ref="D3367" ca="1">IF(INDIRECT("'"&amp;A3367&amp;"'!"&amp;B3367)="",FALSE,IF(NOT(ISNUMBER(INDIRECT("'"&amp;A3367&amp;"'!"&amp;B3367))),TRUE,FALSE))</f>
        <v>0</v>
      </c>
      <c r="E3367" t="s">
        <v>435</v>
      </c>
      <c r="F3367" t="str">
        <f>INDEX(Lists!I:I,MATCH(Validation!E3367,Lists!G:G,0))</f>
        <v>Error</v>
      </c>
      <c r="G3367" t="str">
        <f>INDEX(Lists!H:H,MATCH(Validation!E3367,Lists!G:G,0))</f>
        <v>Enter an amount only. Do not enter text or spaces.</v>
      </c>
      <c r="H3367" s="16" t="str">
        <f t="shared" ca="1" si="375"/>
        <v/>
      </c>
      <c r="I3367" s="16" t="str">
        <f t="shared" ca="1" si="376"/>
        <v/>
      </c>
      <c r="J3367" s="17" t="str">
        <f t="shared" ca="1" si="377"/>
        <v/>
      </c>
    </row>
    <row r="3368" spans="1:10" x14ac:dyDescent="0.25">
      <c r="A3368" t="s">
        <v>662</v>
      </c>
      <c r="B3368" t="str">
        <f>ADDRESS(ROW('PAYG 1'!$C$15),COLUMN('PAYG 1'!$C$15),4)</f>
        <v>C15</v>
      </c>
      <c r="C3368" t="str">
        <f>ADDRESS(ROW('PAYG 1'!$D$15),COLUMN('PAYG 1'!$D$15),4)</f>
        <v>D15</v>
      </c>
      <c r="D3368" t="b" cm="1">
        <f t="array" aca="1" ref="D3368" ca="1">IF(INDIRECT("'"&amp;A3368&amp;"'!"&amp;B3368)="",FALSE,IF(NOT(ISNUMBER(INDIRECT("'"&amp;A3368&amp;"'!"&amp;B3368))),TRUE,FALSE))</f>
        <v>0</v>
      </c>
      <c r="E3368" t="s">
        <v>435</v>
      </c>
      <c r="F3368" t="str">
        <f>INDEX(Lists!I:I,MATCH(Validation!E3368,Lists!G:G,0))</f>
        <v>Error</v>
      </c>
      <c r="G3368" t="str">
        <f>INDEX(Lists!H:H,MATCH(Validation!E3368,Lists!G:G,0))</f>
        <v>Enter an amount only. Do not enter text or spaces.</v>
      </c>
      <c r="H3368" s="16" t="str">
        <f t="shared" ca="1" si="375"/>
        <v/>
      </c>
      <c r="I3368" s="16" t="str">
        <f t="shared" ca="1" si="376"/>
        <v/>
      </c>
      <c r="J3368" s="17" t="str">
        <f t="shared" ca="1" si="377"/>
        <v/>
      </c>
    </row>
    <row r="3369" spans="1:10" x14ac:dyDescent="0.25">
      <c r="A3369" t="s">
        <v>663</v>
      </c>
      <c r="B3369" t="str">
        <f>ADDRESS(ROW('PAYG 1'!$C$15),COLUMN('PAYG 1'!$C$15),4)</f>
        <v>C15</v>
      </c>
      <c r="C3369" t="str">
        <f>ADDRESS(ROW('PAYG 1'!$D$15),COLUMN('PAYG 1'!$D$15),4)</f>
        <v>D15</v>
      </c>
      <c r="D3369" t="b" cm="1">
        <f t="array" aca="1" ref="D3369" ca="1">IF(INDIRECT("'"&amp;A3369&amp;"'!"&amp;B3369)="",FALSE,IF(NOT(ISNUMBER(INDIRECT("'"&amp;A3369&amp;"'!"&amp;B3369))),TRUE,FALSE))</f>
        <v>0</v>
      </c>
      <c r="E3369" t="s">
        <v>435</v>
      </c>
      <c r="F3369" t="str">
        <f>INDEX(Lists!I:I,MATCH(Validation!E3369,Lists!G:G,0))</f>
        <v>Error</v>
      </c>
      <c r="G3369" t="str">
        <f>INDEX(Lists!H:H,MATCH(Validation!E3369,Lists!G:G,0))</f>
        <v>Enter an amount only. Do not enter text or spaces.</v>
      </c>
      <c r="H3369" s="16" t="str">
        <f t="shared" ca="1" si="375"/>
        <v/>
      </c>
      <c r="I3369" s="16" t="str">
        <f t="shared" ca="1" si="376"/>
        <v/>
      </c>
      <c r="J3369" s="17" t="str">
        <f t="shared" ca="1" si="377"/>
        <v/>
      </c>
    </row>
    <row r="3370" spans="1:10" x14ac:dyDescent="0.25">
      <c r="A3370" t="s">
        <v>664</v>
      </c>
      <c r="B3370" t="str">
        <f>ADDRESS(ROW('PAYG 1'!$C$15),COLUMN('PAYG 1'!$C$15),4)</f>
        <v>C15</v>
      </c>
      <c r="C3370" t="str">
        <f>ADDRESS(ROW('PAYG 1'!$D$15),COLUMN('PAYG 1'!$D$15),4)</f>
        <v>D15</v>
      </c>
      <c r="D3370" t="b" cm="1">
        <f t="array" aca="1" ref="D3370" ca="1">IF(INDIRECT("'"&amp;A3370&amp;"'!"&amp;B3370)="",FALSE,IF(NOT(ISNUMBER(INDIRECT("'"&amp;A3370&amp;"'!"&amp;B3370))),TRUE,FALSE))</f>
        <v>0</v>
      </c>
      <c r="E3370" t="s">
        <v>435</v>
      </c>
      <c r="F3370" t="str">
        <f>INDEX(Lists!I:I,MATCH(Validation!E3370,Lists!G:G,0))</f>
        <v>Error</v>
      </c>
      <c r="G3370" t="str">
        <f>INDEX(Lists!H:H,MATCH(Validation!E3370,Lists!G:G,0))</f>
        <v>Enter an amount only. Do not enter text or spaces.</v>
      </c>
      <c r="H3370" s="16" t="str">
        <f t="shared" ca="1" si="375"/>
        <v/>
      </c>
      <c r="I3370" s="16" t="str">
        <f t="shared" ca="1" si="376"/>
        <v/>
      </c>
      <c r="J3370" s="17" t="str">
        <f t="shared" ca="1" si="377"/>
        <v/>
      </c>
    </row>
    <row r="3371" spans="1:10" x14ac:dyDescent="0.25">
      <c r="A3371" t="s">
        <v>203</v>
      </c>
      <c r="B3371" t="str">
        <f>ADDRESS(ROW('PAYG 1'!$C$15),COLUMN('PAYG 1'!$C$15),4)</f>
        <v>C15</v>
      </c>
      <c r="C3371" t="str">
        <f>ADDRESS(ROW('PAYG 1'!$D$15),COLUMN('PAYG 1'!$D$15),4)</f>
        <v>D15</v>
      </c>
      <c r="D3371" t="b" cm="1">
        <f t="array" aca="1" ref="D3371" ca="1">IF(INDIRECT("'"&amp;A3371&amp;"'!"&amp;B3371)="",FALSE,IF(INDIRECT("'"&amp;A3371&amp;"'!"&amp;B3371)&lt;0,TRUE,FALSE))</f>
        <v>0</v>
      </c>
      <c r="E3371" t="s">
        <v>434</v>
      </c>
      <c r="F3371" t="str">
        <f>INDEX(Lists!I:I,MATCH(Validation!E3371,Lists!G:G,0))</f>
        <v>Error</v>
      </c>
      <c r="G3371" t="str">
        <f>INDEX(Lists!H:H,MATCH(Validation!E3371,Lists!G:G,0))</f>
        <v>Amount may not be negative. Enter an amount greater than or equal to zero.</v>
      </c>
      <c r="H3371" s="16" t="str">
        <f t="shared" ca="1" si="375"/>
        <v/>
      </c>
      <c r="I3371" s="16" t="str">
        <f t="shared" ca="1" si="376"/>
        <v/>
      </c>
      <c r="J3371" s="17" t="str">
        <f t="shared" ca="1" si="377"/>
        <v/>
      </c>
    </row>
    <row r="3372" spans="1:10" x14ac:dyDescent="0.25">
      <c r="A3372" t="s">
        <v>651</v>
      </c>
      <c r="B3372" t="str">
        <f>ADDRESS(ROW('PAYG 1'!$C$15),COLUMN('PAYG 1'!$C$15),4)</f>
        <v>C15</v>
      </c>
      <c r="C3372" t="str">
        <f>ADDRESS(ROW('PAYG 1'!$D$15),COLUMN('PAYG 1'!$D$15),4)</f>
        <v>D15</v>
      </c>
      <c r="D3372" t="b" cm="1">
        <f t="array" aca="1" ref="D3372" ca="1">IF(INDIRECT("'"&amp;A3372&amp;"'!"&amp;B3372)="",FALSE,IF(INDIRECT("'"&amp;A3372&amp;"'!"&amp;B3372)&lt;0,TRUE,FALSE))</f>
        <v>0</v>
      </c>
      <c r="E3372" t="s">
        <v>434</v>
      </c>
      <c r="F3372" t="str">
        <f>INDEX(Lists!I:I,MATCH(Validation!E3372,Lists!G:G,0))</f>
        <v>Error</v>
      </c>
      <c r="G3372" t="str">
        <f>INDEX(Lists!H:H,MATCH(Validation!E3372,Lists!G:G,0))</f>
        <v>Amount may not be negative. Enter an amount greater than or equal to zero.</v>
      </c>
      <c r="H3372" s="16" t="str">
        <f t="shared" ca="1" si="375"/>
        <v/>
      </c>
      <c r="I3372" s="16" t="str">
        <f t="shared" ca="1" si="376"/>
        <v/>
      </c>
      <c r="J3372" s="17" t="str">
        <f t="shared" ca="1" si="377"/>
        <v/>
      </c>
    </row>
    <row r="3373" spans="1:10" x14ac:dyDescent="0.25">
      <c r="A3373" t="s">
        <v>652</v>
      </c>
      <c r="B3373" t="str">
        <f>ADDRESS(ROW('PAYG 1'!$C$15),COLUMN('PAYG 1'!$C$15),4)</f>
        <v>C15</v>
      </c>
      <c r="C3373" t="str">
        <f>ADDRESS(ROW('PAYG 1'!$D$15),COLUMN('PAYG 1'!$D$15),4)</f>
        <v>D15</v>
      </c>
      <c r="D3373" t="b" cm="1">
        <f t="array" aca="1" ref="D3373" ca="1">IF(INDIRECT("'"&amp;A3373&amp;"'!"&amp;B3373)="",FALSE,IF(INDIRECT("'"&amp;A3373&amp;"'!"&amp;B3373)&lt;0,TRUE,FALSE))</f>
        <v>0</v>
      </c>
      <c r="E3373" t="s">
        <v>434</v>
      </c>
      <c r="F3373" t="str">
        <f>INDEX(Lists!I:I,MATCH(Validation!E3373,Lists!G:G,0))</f>
        <v>Error</v>
      </c>
      <c r="G3373" t="str">
        <f>INDEX(Lists!H:H,MATCH(Validation!E3373,Lists!G:G,0))</f>
        <v>Amount may not be negative. Enter an amount greater than or equal to zero.</v>
      </c>
      <c r="H3373" s="16" t="str">
        <f t="shared" ca="1" si="375"/>
        <v/>
      </c>
      <c r="I3373" s="16" t="str">
        <f t="shared" ca="1" si="376"/>
        <v/>
      </c>
      <c r="J3373" s="17" t="str">
        <f t="shared" ca="1" si="377"/>
        <v/>
      </c>
    </row>
    <row r="3374" spans="1:10" x14ac:dyDescent="0.25">
      <c r="A3374" t="s">
        <v>653</v>
      </c>
      <c r="B3374" t="str">
        <f>ADDRESS(ROW('PAYG 1'!$C$15),COLUMN('PAYG 1'!$C$15),4)</f>
        <v>C15</v>
      </c>
      <c r="C3374" t="str">
        <f>ADDRESS(ROW('PAYG 1'!$D$15),COLUMN('PAYG 1'!$D$15),4)</f>
        <v>D15</v>
      </c>
      <c r="D3374" t="b" cm="1">
        <f t="array" aca="1" ref="D3374" ca="1">IF(INDIRECT("'"&amp;A3374&amp;"'!"&amp;B3374)="",FALSE,IF(INDIRECT("'"&amp;A3374&amp;"'!"&amp;B3374)&lt;0,TRUE,FALSE))</f>
        <v>0</v>
      </c>
      <c r="E3374" t="s">
        <v>434</v>
      </c>
      <c r="F3374" t="str">
        <f>INDEX(Lists!I:I,MATCH(Validation!E3374,Lists!G:G,0))</f>
        <v>Error</v>
      </c>
      <c r="G3374" t="str">
        <f>INDEX(Lists!H:H,MATCH(Validation!E3374,Lists!G:G,0))</f>
        <v>Amount may not be negative. Enter an amount greater than or equal to zero.</v>
      </c>
      <c r="H3374" s="16" t="str">
        <f t="shared" ca="1" si="375"/>
        <v/>
      </c>
      <c r="I3374" s="16" t="str">
        <f t="shared" ca="1" si="376"/>
        <v/>
      </c>
      <c r="J3374" s="17" t="str">
        <f t="shared" ca="1" si="377"/>
        <v/>
      </c>
    </row>
    <row r="3375" spans="1:10" x14ac:dyDescent="0.25">
      <c r="A3375" t="s">
        <v>654</v>
      </c>
      <c r="B3375" t="str">
        <f>ADDRESS(ROW('PAYG 1'!$C$15),COLUMN('PAYG 1'!$C$15),4)</f>
        <v>C15</v>
      </c>
      <c r="C3375" t="str">
        <f>ADDRESS(ROW('PAYG 1'!$D$15),COLUMN('PAYG 1'!$D$15),4)</f>
        <v>D15</v>
      </c>
      <c r="D3375" t="b" cm="1">
        <f t="array" aca="1" ref="D3375" ca="1">IF(INDIRECT("'"&amp;A3375&amp;"'!"&amp;B3375)="",FALSE,IF(INDIRECT("'"&amp;A3375&amp;"'!"&amp;B3375)&lt;0,TRUE,FALSE))</f>
        <v>0</v>
      </c>
      <c r="E3375" t="s">
        <v>434</v>
      </c>
      <c r="F3375" t="str">
        <f>INDEX(Lists!I:I,MATCH(Validation!E3375,Lists!G:G,0))</f>
        <v>Error</v>
      </c>
      <c r="G3375" t="str">
        <f>INDEX(Lists!H:H,MATCH(Validation!E3375,Lists!G:G,0))</f>
        <v>Amount may not be negative. Enter an amount greater than or equal to zero.</v>
      </c>
      <c r="H3375" s="16" t="str">
        <f t="shared" ca="1" si="375"/>
        <v/>
      </c>
      <c r="I3375" s="16" t="str">
        <f t="shared" ca="1" si="376"/>
        <v/>
      </c>
      <c r="J3375" s="17" t="str">
        <f t="shared" ca="1" si="377"/>
        <v/>
      </c>
    </row>
    <row r="3376" spans="1:10" x14ac:dyDescent="0.25">
      <c r="A3376" t="s">
        <v>655</v>
      </c>
      <c r="B3376" t="str">
        <f>ADDRESS(ROW('PAYG 1'!$C$15),COLUMN('PAYG 1'!$C$15),4)</f>
        <v>C15</v>
      </c>
      <c r="C3376" t="str">
        <f>ADDRESS(ROW('PAYG 1'!$D$15),COLUMN('PAYG 1'!$D$15),4)</f>
        <v>D15</v>
      </c>
      <c r="D3376" t="b" cm="1">
        <f t="array" aca="1" ref="D3376" ca="1">IF(INDIRECT("'"&amp;A3376&amp;"'!"&amp;B3376)="",FALSE,IF(INDIRECT("'"&amp;A3376&amp;"'!"&amp;B3376)&lt;0,TRUE,FALSE))</f>
        <v>0</v>
      </c>
      <c r="E3376" t="s">
        <v>434</v>
      </c>
      <c r="F3376" t="str">
        <f>INDEX(Lists!I:I,MATCH(Validation!E3376,Lists!G:G,0))</f>
        <v>Error</v>
      </c>
      <c r="G3376" t="str">
        <f>INDEX(Lists!H:H,MATCH(Validation!E3376,Lists!G:G,0))</f>
        <v>Amount may not be negative. Enter an amount greater than or equal to zero.</v>
      </c>
      <c r="H3376" s="16" t="str">
        <f t="shared" ca="1" si="375"/>
        <v/>
      </c>
      <c r="I3376" s="16" t="str">
        <f t="shared" ca="1" si="376"/>
        <v/>
      </c>
      <c r="J3376" s="17" t="str">
        <f t="shared" ca="1" si="377"/>
        <v/>
      </c>
    </row>
    <row r="3377" spans="1:10" x14ac:dyDescent="0.25">
      <c r="A3377" t="s">
        <v>656</v>
      </c>
      <c r="B3377" t="str">
        <f>ADDRESS(ROW('PAYG 1'!$C$15),COLUMN('PAYG 1'!$C$15),4)</f>
        <v>C15</v>
      </c>
      <c r="C3377" t="str">
        <f>ADDRESS(ROW('PAYG 1'!$D$15),COLUMN('PAYG 1'!$D$15),4)</f>
        <v>D15</v>
      </c>
      <c r="D3377" t="b" cm="1">
        <f t="array" aca="1" ref="D3377" ca="1">IF(INDIRECT("'"&amp;A3377&amp;"'!"&amp;B3377)="",FALSE,IF(INDIRECT("'"&amp;A3377&amp;"'!"&amp;B3377)&lt;0,TRUE,FALSE))</f>
        <v>0</v>
      </c>
      <c r="E3377" t="s">
        <v>434</v>
      </c>
      <c r="F3377" t="str">
        <f>INDEX(Lists!I:I,MATCH(Validation!E3377,Lists!G:G,0))</f>
        <v>Error</v>
      </c>
      <c r="G3377" t="str">
        <f>INDEX(Lists!H:H,MATCH(Validation!E3377,Lists!G:G,0))</f>
        <v>Amount may not be negative. Enter an amount greater than or equal to zero.</v>
      </c>
      <c r="H3377" s="16" t="str">
        <f t="shared" ca="1" si="375"/>
        <v/>
      </c>
      <c r="I3377" s="16" t="str">
        <f t="shared" ca="1" si="376"/>
        <v/>
      </c>
      <c r="J3377" s="17" t="str">
        <f t="shared" ca="1" si="377"/>
        <v/>
      </c>
    </row>
    <row r="3378" spans="1:10" x14ac:dyDescent="0.25">
      <c r="A3378" t="s">
        <v>657</v>
      </c>
      <c r="B3378" t="str">
        <f>ADDRESS(ROW('PAYG 1'!$C$15),COLUMN('PAYG 1'!$C$15),4)</f>
        <v>C15</v>
      </c>
      <c r="C3378" t="str">
        <f>ADDRESS(ROW('PAYG 1'!$D$15),COLUMN('PAYG 1'!$D$15),4)</f>
        <v>D15</v>
      </c>
      <c r="D3378" t="b" cm="1">
        <f t="array" aca="1" ref="D3378" ca="1">IF(INDIRECT("'"&amp;A3378&amp;"'!"&amp;B3378)="",FALSE,IF(INDIRECT("'"&amp;A3378&amp;"'!"&amp;B3378)&lt;0,TRUE,FALSE))</f>
        <v>0</v>
      </c>
      <c r="E3378" t="s">
        <v>434</v>
      </c>
      <c r="F3378" t="str">
        <f>INDEX(Lists!I:I,MATCH(Validation!E3378,Lists!G:G,0))</f>
        <v>Error</v>
      </c>
      <c r="G3378" t="str">
        <f>INDEX(Lists!H:H,MATCH(Validation!E3378,Lists!G:G,0))</f>
        <v>Amount may not be negative. Enter an amount greater than or equal to zero.</v>
      </c>
      <c r="H3378" s="16" t="str">
        <f t="shared" ca="1" si="375"/>
        <v/>
      </c>
      <c r="I3378" s="16" t="str">
        <f t="shared" ca="1" si="376"/>
        <v/>
      </c>
      <c r="J3378" s="17" t="str">
        <f t="shared" ca="1" si="377"/>
        <v/>
      </c>
    </row>
    <row r="3379" spans="1:10" x14ac:dyDescent="0.25">
      <c r="A3379" t="s">
        <v>658</v>
      </c>
      <c r="B3379" t="str">
        <f>ADDRESS(ROW('PAYG 1'!$C$15),COLUMN('PAYG 1'!$C$15),4)</f>
        <v>C15</v>
      </c>
      <c r="C3379" t="str">
        <f>ADDRESS(ROW('PAYG 1'!$D$15),COLUMN('PAYG 1'!$D$15),4)</f>
        <v>D15</v>
      </c>
      <c r="D3379" t="b" cm="1">
        <f t="array" aca="1" ref="D3379" ca="1">IF(INDIRECT("'"&amp;A3379&amp;"'!"&amp;B3379)="",FALSE,IF(INDIRECT("'"&amp;A3379&amp;"'!"&amp;B3379)&lt;0,TRUE,FALSE))</f>
        <v>0</v>
      </c>
      <c r="E3379" t="s">
        <v>434</v>
      </c>
      <c r="F3379" t="str">
        <f>INDEX(Lists!I:I,MATCH(Validation!E3379,Lists!G:G,0))</f>
        <v>Error</v>
      </c>
      <c r="G3379" t="str">
        <f>INDEX(Lists!H:H,MATCH(Validation!E3379,Lists!G:G,0))</f>
        <v>Amount may not be negative. Enter an amount greater than or equal to zero.</v>
      </c>
      <c r="H3379" s="16" t="str">
        <f t="shared" ca="1" si="375"/>
        <v/>
      </c>
      <c r="I3379" s="16" t="str">
        <f t="shared" ca="1" si="376"/>
        <v/>
      </c>
      <c r="J3379" s="17" t="str">
        <f t="shared" ca="1" si="377"/>
        <v/>
      </c>
    </row>
    <row r="3380" spans="1:10" x14ac:dyDescent="0.25">
      <c r="A3380" t="s">
        <v>659</v>
      </c>
      <c r="B3380" t="str">
        <f>ADDRESS(ROW('PAYG 1'!$C$15),COLUMN('PAYG 1'!$C$15),4)</f>
        <v>C15</v>
      </c>
      <c r="C3380" t="str">
        <f>ADDRESS(ROW('PAYG 1'!$D$15),COLUMN('PAYG 1'!$D$15),4)</f>
        <v>D15</v>
      </c>
      <c r="D3380" t="b" cm="1">
        <f t="array" aca="1" ref="D3380" ca="1">IF(INDIRECT("'"&amp;A3380&amp;"'!"&amp;B3380)="",FALSE,IF(INDIRECT("'"&amp;A3380&amp;"'!"&amp;B3380)&lt;0,TRUE,FALSE))</f>
        <v>0</v>
      </c>
      <c r="E3380" t="s">
        <v>434</v>
      </c>
      <c r="F3380" t="str">
        <f>INDEX(Lists!I:I,MATCH(Validation!E3380,Lists!G:G,0))</f>
        <v>Error</v>
      </c>
      <c r="G3380" t="str">
        <f>INDEX(Lists!H:H,MATCH(Validation!E3380,Lists!G:G,0))</f>
        <v>Amount may not be negative. Enter an amount greater than or equal to zero.</v>
      </c>
      <c r="H3380" s="16" t="str">
        <f t="shared" ca="1" si="375"/>
        <v/>
      </c>
      <c r="I3380" s="16" t="str">
        <f t="shared" ca="1" si="376"/>
        <v/>
      </c>
      <c r="J3380" s="17" t="str">
        <f t="shared" ca="1" si="377"/>
        <v/>
      </c>
    </row>
    <row r="3381" spans="1:10" x14ac:dyDescent="0.25">
      <c r="A3381" t="s">
        <v>660</v>
      </c>
      <c r="B3381" t="str">
        <f>ADDRESS(ROW('PAYG 1'!$C$15),COLUMN('PAYG 1'!$C$15),4)</f>
        <v>C15</v>
      </c>
      <c r="C3381" t="str">
        <f>ADDRESS(ROW('PAYG 1'!$D$15),COLUMN('PAYG 1'!$D$15),4)</f>
        <v>D15</v>
      </c>
      <c r="D3381" t="b" cm="1">
        <f t="array" aca="1" ref="D3381" ca="1">IF(INDIRECT("'"&amp;A3381&amp;"'!"&amp;B3381)="",FALSE,IF(INDIRECT("'"&amp;A3381&amp;"'!"&amp;B3381)&lt;0,TRUE,FALSE))</f>
        <v>0</v>
      </c>
      <c r="E3381" t="s">
        <v>434</v>
      </c>
      <c r="F3381" t="str">
        <f>INDEX(Lists!I:I,MATCH(Validation!E3381,Lists!G:G,0))</f>
        <v>Error</v>
      </c>
      <c r="G3381" t="str">
        <f>INDEX(Lists!H:H,MATCH(Validation!E3381,Lists!G:G,0))</f>
        <v>Amount may not be negative. Enter an amount greater than or equal to zero.</v>
      </c>
      <c r="H3381" s="16" t="str">
        <f t="shared" ca="1" si="375"/>
        <v/>
      </c>
      <c r="I3381" s="16" t="str">
        <f t="shared" ca="1" si="376"/>
        <v/>
      </c>
      <c r="J3381" s="17" t="str">
        <f t="shared" ca="1" si="377"/>
        <v/>
      </c>
    </row>
    <row r="3382" spans="1:10" x14ac:dyDescent="0.25">
      <c r="A3382" t="s">
        <v>661</v>
      </c>
      <c r="B3382" t="str">
        <f>ADDRESS(ROW('PAYG 1'!$C$15),COLUMN('PAYG 1'!$C$15),4)</f>
        <v>C15</v>
      </c>
      <c r="C3382" t="str">
        <f>ADDRESS(ROW('PAYG 1'!$D$15),COLUMN('PAYG 1'!$D$15),4)</f>
        <v>D15</v>
      </c>
      <c r="D3382" t="b" cm="1">
        <f t="array" aca="1" ref="D3382" ca="1">IF(INDIRECT("'"&amp;A3382&amp;"'!"&amp;B3382)="",FALSE,IF(INDIRECT("'"&amp;A3382&amp;"'!"&amp;B3382)&lt;0,TRUE,FALSE))</f>
        <v>0</v>
      </c>
      <c r="E3382" t="s">
        <v>434</v>
      </c>
      <c r="F3382" t="str">
        <f>INDEX(Lists!I:I,MATCH(Validation!E3382,Lists!G:G,0))</f>
        <v>Error</v>
      </c>
      <c r="G3382" t="str">
        <f>INDEX(Lists!H:H,MATCH(Validation!E3382,Lists!G:G,0))</f>
        <v>Amount may not be negative. Enter an amount greater than or equal to zero.</v>
      </c>
      <c r="H3382" s="16" t="str">
        <f t="shared" ca="1" si="375"/>
        <v/>
      </c>
      <c r="I3382" s="16" t="str">
        <f t="shared" ca="1" si="376"/>
        <v/>
      </c>
      <c r="J3382" s="17" t="str">
        <f t="shared" ca="1" si="377"/>
        <v/>
      </c>
    </row>
    <row r="3383" spans="1:10" x14ac:dyDescent="0.25">
      <c r="A3383" t="s">
        <v>662</v>
      </c>
      <c r="B3383" t="str">
        <f>ADDRESS(ROW('PAYG 1'!$C$15),COLUMN('PAYG 1'!$C$15),4)</f>
        <v>C15</v>
      </c>
      <c r="C3383" t="str">
        <f>ADDRESS(ROW('PAYG 1'!$D$15),COLUMN('PAYG 1'!$D$15),4)</f>
        <v>D15</v>
      </c>
      <c r="D3383" t="b" cm="1">
        <f t="array" aca="1" ref="D3383" ca="1">IF(INDIRECT("'"&amp;A3383&amp;"'!"&amp;B3383)="",FALSE,IF(INDIRECT("'"&amp;A3383&amp;"'!"&amp;B3383)&lt;0,TRUE,FALSE))</f>
        <v>0</v>
      </c>
      <c r="E3383" t="s">
        <v>434</v>
      </c>
      <c r="F3383" t="str">
        <f>INDEX(Lists!I:I,MATCH(Validation!E3383,Lists!G:G,0))</f>
        <v>Error</v>
      </c>
      <c r="G3383" t="str">
        <f>INDEX(Lists!H:H,MATCH(Validation!E3383,Lists!G:G,0))</f>
        <v>Amount may not be negative. Enter an amount greater than or equal to zero.</v>
      </c>
      <c r="H3383" s="16" t="str">
        <f t="shared" ca="1" si="375"/>
        <v/>
      </c>
      <c r="I3383" s="16" t="str">
        <f t="shared" ca="1" si="376"/>
        <v/>
      </c>
      <c r="J3383" s="17" t="str">
        <f t="shared" ca="1" si="377"/>
        <v/>
      </c>
    </row>
    <row r="3384" spans="1:10" x14ac:dyDescent="0.25">
      <c r="A3384" t="s">
        <v>663</v>
      </c>
      <c r="B3384" t="str">
        <f>ADDRESS(ROW('PAYG 1'!$C$15),COLUMN('PAYG 1'!$C$15),4)</f>
        <v>C15</v>
      </c>
      <c r="C3384" t="str">
        <f>ADDRESS(ROW('PAYG 1'!$D$15),COLUMN('PAYG 1'!$D$15),4)</f>
        <v>D15</v>
      </c>
      <c r="D3384" t="b" cm="1">
        <f t="array" aca="1" ref="D3384" ca="1">IF(INDIRECT("'"&amp;A3384&amp;"'!"&amp;B3384)="",FALSE,IF(INDIRECT("'"&amp;A3384&amp;"'!"&amp;B3384)&lt;0,TRUE,FALSE))</f>
        <v>0</v>
      </c>
      <c r="E3384" t="s">
        <v>434</v>
      </c>
      <c r="F3384" t="str">
        <f>INDEX(Lists!I:I,MATCH(Validation!E3384,Lists!G:G,0))</f>
        <v>Error</v>
      </c>
      <c r="G3384" t="str">
        <f>INDEX(Lists!H:H,MATCH(Validation!E3384,Lists!G:G,0))</f>
        <v>Amount may not be negative. Enter an amount greater than or equal to zero.</v>
      </c>
      <c r="H3384" s="16" t="str">
        <f t="shared" ca="1" si="375"/>
        <v/>
      </c>
      <c r="I3384" s="16" t="str">
        <f t="shared" ca="1" si="376"/>
        <v/>
      </c>
      <c r="J3384" s="17" t="str">
        <f t="shared" ca="1" si="377"/>
        <v/>
      </c>
    </row>
    <row r="3385" spans="1:10" x14ac:dyDescent="0.25">
      <c r="A3385" t="s">
        <v>664</v>
      </c>
      <c r="B3385" t="str">
        <f>ADDRESS(ROW('PAYG 1'!$C$15),COLUMN('PAYG 1'!$C$15),4)</f>
        <v>C15</v>
      </c>
      <c r="C3385" t="str">
        <f>ADDRESS(ROW('PAYG 1'!$D$15),COLUMN('PAYG 1'!$D$15),4)</f>
        <v>D15</v>
      </c>
      <c r="D3385" t="b" cm="1">
        <f t="array" aca="1" ref="D3385" ca="1">IF(INDIRECT("'"&amp;A3385&amp;"'!"&amp;B3385)="",FALSE,IF(INDIRECT("'"&amp;A3385&amp;"'!"&amp;B3385)&lt;0,TRUE,FALSE))</f>
        <v>0</v>
      </c>
      <c r="E3385" t="s">
        <v>434</v>
      </c>
      <c r="F3385" t="str">
        <f>INDEX(Lists!I:I,MATCH(Validation!E3385,Lists!G:G,0))</f>
        <v>Error</v>
      </c>
      <c r="G3385" t="str">
        <f>INDEX(Lists!H:H,MATCH(Validation!E3385,Lists!G:G,0))</f>
        <v>Amount may not be negative. Enter an amount greater than or equal to zero.</v>
      </c>
      <c r="H3385" s="16" t="str">
        <f t="shared" ca="1" si="375"/>
        <v/>
      </c>
      <c r="I3385" s="16" t="str">
        <f t="shared" ca="1" si="376"/>
        <v/>
      </c>
      <c r="J3385" s="17" t="str">
        <f t="shared" ca="1" si="377"/>
        <v/>
      </c>
    </row>
    <row r="3386" spans="1:10" x14ac:dyDescent="0.25">
      <c r="A3386" t="s">
        <v>203</v>
      </c>
      <c r="B3386" t="str">
        <f>ADDRESS(ROW('PAYG 1'!$C$15),COLUMN('PAYG 1'!$C$15),4)</f>
        <v>C15</v>
      </c>
      <c r="C3386" t="str">
        <f>ADDRESS(ROW('PAYG 1'!$D$15),COLUMN('PAYG 1'!$D$15),4)</f>
        <v>D15</v>
      </c>
      <c r="D3386" t="b" cm="1">
        <f t="array" aca="1" ref="D3386" ca="1">IF(INDIRECT("'"&amp;A3386&amp;"'!"&amp;B3386)="",FALSE,IF(TRUNC(INDIRECT("'"&amp;A3386&amp;"'!"&amp;B3386))=INDIRECT("'"&amp;A3386&amp;"'!"&amp;B3386),FALSE,TRUE))</f>
        <v>0</v>
      </c>
      <c r="E3386" t="s">
        <v>436</v>
      </c>
      <c r="F3386" t="str">
        <f>INDEX(Lists!I:I,MATCH(Validation!E3386,Lists!G:G,0))</f>
        <v>Error</v>
      </c>
      <c r="G3386" t="str">
        <f>INDEX(Lists!H:H,MATCH(Validation!E3386,Lists!G:G,0))</f>
        <v>Amount must be rounded to the nearest dollar.</v>
      </c>
      <c r="H3386" s="16" t="str">
        <f t="shared" ca="1" si="375"/>
        <v/>
      </c>
      <c r="I3386" s="16" t="str">
        <f t="shared" ca="1" si="376"/>
        <v/>
      </c>
      <c r="J3386" s="17" t="str">
        <f t="shared" ca="1" si="377"/>
        <v/>
      </c>
    </row>
    <row r="3387" spans="1:10" x14ac:dyDescent="0.25">
      <c r="A3387" t="s">
        <v>651</v>
      </c>
      <c r="B3387" t="str">
        <f>ADDRESS(ROW('PAYG 1'!$C$15),COLUMN('PAYG 1'!$C$15),4)</f>
        <v>C15</v>
      </c>
      <c r="C3387" t="str">
        <f>ADDRESS(ROW('PAYG 1'!$D$15),COLUMN('PAYG 1'!$D$15),4)</f>
        <v>D15</v>
      </c>
      <c r="D3387" t="b" cm="1">
        <f t="array" aca="1" ref="D3387" ca="1">IF(INDIRECT("'"&amp;A3387&amp;"'!"&amp;B3387)="",FALSE,IF(TRUNC(INDIRECT("'"&amp;A3387&amp;"'!"&amp;B3387))=INDIRECT("'"&amp;A3387&amp;"'!"&amp;B3387),FALSE,TRUE))</f>
        <v>0</v>
      </c>
      <c r="E3387" t="s">
        <v>436</v>
      </c>
      <c r="F3387" t="str">
        <f>INDEX(Lists!I:I,MATCH(Validation!E3387,Lists!G:G,0))</f>
        <v>Error</v>
      </c>
      <c r="G3387" t="str">
        <f>INDEX(Lists!H:H,MATCH(Validation!E3387,Lists!G:G,0))</f>
        <v>Amount must be rounded to the nearest dollar.</v>
      </c>
      <c r="H3387" s="16" t="str">
        <f t="shared" ca="1" si="375"/>
        <v/>
      </c>
      <c r="I3387" s="16" t="str">
        <f t="shared" ca="1" si="376"/>
        <v/>
      </c>
      <c r="J3387" s="17" t="str">
        <f t="shared" ca="1" si="377"/>
        <v/>
      </c>
    </row>
    <row r="3388" spans="1:10" x14ac:dyDescent="0.25">
      <c r="A3388" t="s">
        <v>652</v>
      </c>
      <c r="B3388" t="str">
        <f>ADDRESS(ROW('PAYG 1'!$C$15),COLUMN('PAYG 1'!$C$15),4)</f>
        <v>C15</v>
      </c>
      <c r="C3388" t="str">
        <f>ADDRESS(ROW('PAYG 1'!$D$15),COLUMN('PAYG 1'!$D$15),4)</f>
        <v>D15</v>
      </c>
      <c r="D3388" t="b" cm="1">
        <f t="array" aca="1" ref="D3388" ca="1">IF(INDIRECT("'"&amp;A3388&amp;"'!"&amp;B3388)="",FALSE,IF(TRUNC(INDIRECT("'"&amp;A3388&amp;"'!"&amp;B3388))=INDIRECT("'"&amp;A3388&amp;"'!"&amp;B3388),FALSE,TRUE))</f>
        <v>0</v>
      </c>
      <c r="E3388" t="s">
        <v>436</v>
      </c>
      <c r="F3388" t="str">
        <f>INDEX(Lists!I:I,MATCH(Validation!E3388,Lists!G:G,0))</f>
        <v>Error</v>
      </c>
      <c r="G3388" t="str">
        <f>INDEX(Lists!H:H,MATCH(Validation!E3388,Lists!G:G,0))</f>
        <v>Amount must be rounded to the nearest dollar.</v>
      </c>
      <c r="H3388" s="16" t="str">
        <f t="shared" ca="1" si="375"/>
        <v/>
      </c>
      <c r="I3388" s="16" t="str">
        <f t="shared" ca="1" si="376"/>
        <v/>
      </c>
      <c r="J3388" s="17" t="str">
        <f t="shared" ca="1" si="377"/>
        <v/>
      </c>
    </row>
    <row r="3389" spans="1:10" x14ac:dyDescent="0.25">
      <c r="A3389" t="s">
        <v>653</v>
      </c>
      <c r="B3389" t="str">
        <f>ADDRESS(ROW('PAYG 1'!$C$15),COLUMN('PAYG 1'!$C$15),4)</f>
        <v>C15</v>
      </c>
      <c r="C3389" t="str">
        <f>ADDRESS(ROW('PAYG 1'!$D$15),COLUMN('PAYG 1'!$D$15),4)</f>
        <v>D15</v>
      </c>
      <c r="D3389" t="b" cm="1">
        <f t="array" aca="1" ref="D3389" ca="1">IF(INDIRECT("'"&amp;A3389&amp;"'!"&amp;B3389)="",FALSE,IF(TRUNC(INDIRECT("'"&amp;A3389&amp;"'!"&amp;B3389))=INDIRECT("'"&amp;A3389&amp;"'!"&amp;B3389),FALSE,TRUE))</f>
        <v>0</v>
      </c>
      <c r="E3389" t="s">
        <v>436</v>
      </c>
      <c r="F3389" t="str">
        <f>INDEX(Lists!I:I,MATCH(Validation!E3389,Lists!G:G,0))</f>
        <v>Error</v>
      </c>
      <c r="G3389" t="str">
        <f>INDEX(Lists!H:H,MATCH(Validation!E3389,Lists!G:G,0))</f>
        <v>Amount must be rounded to the nearest dollar.</v>
      </c>
      <c r="H3389" s="16" t="str">
        <f t="shared" ca="1" si="375"/>
        <v/>
      </c>
      <c r="I3389" s="16" t="str">
        <f t="shared" ca="1" si="376"/>
        <v/>
      </c>
      <c r="J3389" s="17" t="str">
        <f t="shared" ca="1" si="377"/>
        <v/>
      </c>
    </row>
    <row r="3390" spans="1:10" x14ac:dyDescent="0.25">
      <c r="A3390" t="s">
        <v>654</v>
      </c>
      <c r="B3390" t="str">
        <f>ADDRESS(ROW('PAYG 1'!$C$15),COLUMN('PAYG 1'!$C$15),4)</f>
        <v>C15</v>
      </c>
      <c r="C3390" t="str">
        <f>ADDRESS(ROW('PAYG 1'!$D$15),COLUMN('PAYG 1'!$D$15),4)</f>
        <v>D15</v>
      </c>
      <c r="D3390" t="b" cm="1">
        <f t="array" aca="1" ref="D3390" ca="1">IF(INDIRECT("'"&amp;A3390&amp;"'!"&amp;B3390)="",FALSE,IF(TRUNC(INDIRECT("'"&amp;A3390&amp;"'!"&amp;B3390))=INDIRECT("'"&amp;A3390&amp;"'!"&amp;B3390),FALSE,TRUE))</f>
        <v>0</v>
      </c>
      <c r="E3390" t="s">
        <v>436</v>
      </c>
      <c r="F3390" t="str">
        <f>INDEX(Lists!I:I,MATCH(Validation!E3390,Lists!G:G,0))</f>
        <v>Error</v>
      </c>
      <c r="G3390" t="str">
        <f>INDEX(Lists!H:H,MATCH(Validation!E3390,Lists!G:G,0))</f>
        <v>Amount must be rounded to the nearest dollar.</v>
      </c>
      <c r="H3390" s="16" t="str">
        <f t="shared" ca="1" si="375"/>
        <v/>
      </c>
      <c r="I3390" s="16" t="str">
        <f t="shared" ca="1" si="376"/>
        <v/>
      </c>
      <c r="J3390" s="17" t="str">
        <f t="shared" ca="1" si="377"/>
        <v/>
      </c>
    </row>
    <row r="3391" spans="1:10" x14ac:dyDescent="0.25">
      <c r="A3391" t="s">
        <v>655</v>
      </c>
      <c r="B3391" t="str">
        <f>ADDRESS(ROW('PAYG 1'!$C$15),COLUMN('PAYG 1'!$C$15),4)</f>
        <v>C15</v>
      </c>
      <c r="C3391" t="str">
        <f>ADDRESS(ROW('PAYG 1'!$D$15),COLUMN('PAYG 1'!$D$15),4)</f>
        <v>D15</v>
      </c>
      <c r="D3391" t="b" cm="1">
        <f t="array" aca="1" ref="D3391" ca="1">IF(INDIRECT("'"&amp;A3391&amp;"'!"&amp;B3391)="",FALSE,IF(TRUNC(INDIRECT("'"&amp;A3391&amp;"'!"&amp;B3391))=INDIRECT("'"&amp;A3391&amp;"'!"&amp;B3391),FALSE,TRUE))</f>
        <v>0</v>
      </c>
      <c r="E3391" t="s">
        <v>436</v>
      </c>
      <c r="F3391" t="str">
        <f>INDEX(Lists!I:I,MATCH(Validation!E3391,Lists!G:G,0))</f>
        <v>Error</v>
      </c>
      <c r="G3391" t="str">
        <f>INDEX(Lists!H:H,MATCH(Validation!E3391,Lists!G:G,0))</f>
        <v>Amount must be rounded to the nearest dollar.</v>
      </c>
      <c r="H3391" s="16" t="str">
        <f t="shared" ca="1" si="375"/>
        <v/>
      </c>
      <c r="I3391" s="16" t="str">
        <f t="shared" ca="1" si="376"/>
        <v/>
      </c>
      <c r="J3391" s="17" t="str">
        <f t="shared" ca="1" si="377"/>
        <v/>
      </c>
    </row>
    <row r="3392" spans="1:10" x14ac:dyDescent="0.25">
      <c r="A3392" t="s">
        <v>656</v>
      </c>
      <c r="B3392" t="str">
        <f>ADDRESS(ROW('PAYG 1'!$C$15),COLUMN('PAYG 1'!$C$15),4)</f>
        <v>C15</v>
      </c>
      <c r="C3392" t="str">
        <f>ADDRESS(ROW('PAYG 1'!$D$15),COLUMN('PAYG 1'!$D$15),4)</f>
        <v>D15</v>
      </c>
      <c r="D3392" t="b" cm="1">
        <f t="array" aca="1" ref="D3392" ca="1">IF(INDIRECT("'"&amp;A3392&amp;"'!"&amp;B3392)="",FALSE,IF(TRUNC(INDIRECT("'"&amp;A3392&amp;"'!"&amp;B3392))=INDIRECT("'"&amp;A3392&amp;"'!"&amp;B3392),FALSE,TRUE))</f>
        <v>0</v>
      </c>
      <c r="E3392" t="s">
        <v>436</v>
      </c>
      <c r="F3392" t="str">
        <f>INDEX(Lists!I:I,MATCH(Validation!E3392,Lists!G:G,0))</f>
        <v>Error</v>
      </c>
      <c r="G3392" t="str">
        <f>INDEX(Lists!H:H,MATCH(Validation!E3392,Lists!G:G,0))</f>
        <v>Amount must be rounded to the nearest dollar.</v>
      </c>
      <c r="H3392" s="16" t="str">
        <f t="shared" ca="1" si="375"/>
        <v/>
      </c>
      <c r="I3392" s="16" t="str">
        <f t="shared" ca="1" si="376"/>
        <v/>
      </c>
      <c r="J3392" s="17" t="str">
        <f t="shared" ca="1" si="377"/>
        <v/>
      </c>
    </row>
    <row r="3393" spans="1:10" x14ac:dyDescent="0.25">
      <c r="A3393" t="s">
        <v>657</v>
      </c>
      <c r="B3393" t="str">
        <f>ADDRESS(ROW('PAYG 1'!$C$15),COLUMN('PAYG 1'!$C$15),4)</f>
        <v>C15</v>
      </c>
      <c r="C3393" t="str">
        <f>ADDRESS(ROW('PAYG 1'!$D$15),COLUMN('PAYG 1'!$D$15),4)</f>
        <v>D15</v>
      </c>
      <c r="D3393" t="b" cm="1">
        <f t="array" aca="1" ref="D3393" ca="1">IF(INDIRECT("'"&amp;A3393&amp;"'!"&amp;B3393)="",FALSE,IF(TRUNC(INDIRECT("'"&amp;A3393&amp;"'!"&amp;B3393))=INDIRECT("'"&amp;A3393&amp;"'!"&amp;B3393),FALSE,TRUE))</f>
        <v>0</v>
      </c>
      <c r="E3393" t="s">
        <v>436</v>
      </c>
      <c r="F3393" t="str">
        <f>INDEX(Lists!I:I,MATCH(Validation!E3393,Lists!G:G,0))</f>
        <v>Error</v>
      </c>
      <c r="G3393" t="str">
        <f>INDEX(Lists!H:H,MATCH(Validation!E3393,Lists!G:G,0))</f>
        <v>Amount must be rounded to the nearest dollar.</v>
      </c>
      <c r="H3393" s="16" t="str">
        <f t="shared" ca="1" si="375"/>
        <v/>
      </c>
      <c r="I3393" s="16" t="str">
        <f t="shared" ca="1" si="376"/>
        <v/>
      </c>
      <c r="J3393" s="17" t="str">
        <f t="shared" ca="1" si="377"/>
        <v/>
      </c>
    </row>
    <row r="3394" spans="1:10" x14ac:dyDescent="0.25">
      <c r="A3394" t="s">
        <v>658</v>
      </c>
      <c r="B3394" t="str">
        <f>ADDRESS(ROW('PAYG 1'!$C$15),COLUMN('PAYG 1'!$C$15),4)</f>
        <v>C15</v>
      </c>
      <c r="C3394" t="str">
        <f>ADDRESS(ROW('PAYG 1'!$D$15),COLUMN('PAYG 1'!$D$15),4)</f>
        <v>D15</v>
      </c>
      <c r="D3394" t="b" cm="1">
        <f t="array" aca="1" ref="D3394" ca="1">IF(INDIRECT("'"&amp;A3394&amp;"'!"&amp;B3394)="",FALSE,IF(TRUNC(INDIRECT("'"&amp;A3394&amp;"'!"&amp;B3394))=INDIRECT("'"&amp;A3394&amp;"'!"&amp;B3394),FALSE,TRUE))</f>
        <v>0</v>
      </c>
      <c r="E3394" t="s">
        <v>436</v>
      </c>
      <c r="F3394" t="str">
        <f>INDEX(Lists!I:I,MATCH(Validation!E3394,Lists!G:G,0))</f>
        <v>Error</v>
      </c>
      <c r="G3394" t="str">
        <f>INDEX(Lists!H:H,MATCH(Validation!E3394,Lists!G:G,0))</f>
        <v>Amount must be rounded to the nearest dollar.</v>
      </c>
      <c r="H3394" s="16" t="str">
        <f t="shared" ca="1" si="375"/>
        <v/>
      </c>
      <c r="I3394" s="16" t="str">
        <f t="shared" ca="1" si="376"/>
        <v/>
      </c>
      <c r="J3394" s="17" t="str">
        <f t="shared" ca="1" si="377"/>
        <v/>
      </c>
    </row>
    <row r="3395" spans="1:10" x14ac:dyDescent="0.25">
      <c r="A3395" t="s">
        <v>659</v>
      </c>
      <c r="B3395" t="str">
        <f>ADDRESS(ROW('PAYG 1'!$C$15),COLUMN('PAYG 1'!$C$15),4)</f>
        <v>C15</v>
      </c>
      <c r="C3395" t="str">
        <f>ADDRESS(ROW('PAYG 1'!$D$15),COLUMN('PAYG 1'!$D$15),4)</f>
        <v>D15</v>
      </c>
      <c r="D3395" t="b" cm="1">
        <f t="array" aca="1" ref="D3395" ca="1">IF(INDIRECT("'"&amp;A3395&amp;"'!"&amp;B3395)="",FALSE,IF(TRUNC(INDIRECT("'"&amp;A3395&amp;"'!"&amp;B3395))=INDIRECT("'"&amp;A3395&amp;"'!"&amp;B3395),FALSE,TRUE))</f>
        <v>0</v>
      </c>
      <c r="E3395" t="s">
        <v>436</v>
      </c>
      <c r="F3395" t="str">
        <f>INDEX(Lists!I:I,MATCH(Validation!E3395,Lists!G:G,0))</f>
        <v>Error</v>
      </c>
      <c r="G3395" t="str">
        <f>INDEX(Lists!H:H,MATCH(Validation!E3395,Lists!G:G,0))</f>
        <v>Amount must be rounded to the nearest dollar.</v>
      </c>
      <c r="H3395" s="16" t="str">
        <f t="shared" ca="1" si="375"/>
        <v/>
      </c>
      <c r="I3395" s="16" t="str">
        <f t="shared" ca="1" si="376"/>
        <v/>
      </c>
      <c r="J3395" s="17" t="str">
        <f t="shared" ca="1" si="377"/>
        <v/>
      </c>
    </row>
    <row r="3396" spans="1:10" x14ac:dyDescent="0.25">
      <c r="A3396" t="s">
        <v>660</v>
      </c>
      <c r="B3396" t="str">
        <f>ADDRESS(ROW('PAYG 1'!$C$15),COLUMN('PAYG 1'!$C$15),4)</f>
        <v>C15</v>
      </c>
      <c r="C3396" t="str">
        <f>ADDRESS(ROW('PAYG 1'!$D$15),COLUMN('PAYG 1'!$D$15),4)</f>
        <v>D15</v>
      </c>
      <c r="D3396" t="b" cm="1">
        <f t="array" aca="1" ref="D3396" ca="1">IF(INDIRECT("'"&amp;A3396&amp;"'!"&amp;B3396)="",FALSE,IF(TRUNC(INDIRECT("'"&amp;A3396&amp;"'!"&amp;B3396))=INDIRECT("'"&amp;A3396&amp;"'!"&amp;B3396),FALSE,TRUE))</f>
        <v>0</v>
      </c>
      <c r="E3396" t="s">
        <v>436</v>
      </c>
      <c r="F3396" t="str">
        <f>INDEX(Lists!I:I,MATCH(Validation!E3396,Lists!G:G,0))</f>
        <v>Error</v>
      </c>
      <c r="G3396" t="str">
        <f>INDEX(Lists!H:H,MATCH(Validation!E3396,Lists!G:G,0))</f>
        <v>Amount must be rounded to the nearest dollar.</v>
      </c>
      <c r="H3396" s="16" t="str">
        <f t="shared" ca="1" si="375"/>
        <v/>
      </c>
      <c r="I3396" s="16" t="str">
        <f t="shared" ca="1" si="376"/>
        <v/>
      </c>
      <c r="J3396" s="17" t="str">
        <f t="shared" ca="1" si="377"/>
        <v/>
      </c>
    </row>
    <row r="3397" spans="1:10" x14ac:dyDescent="0.25">
      <c r="A3397" t="s">
        <v>661</v>
      </c>
      <c r="B3397" t="str">
        <f>ADDRESS(ROW('PAYG 1'!$C$15),COLUMN('PAYG 1'!$C$15),4)</f>
        <v>C15</v>
      </c>
      <c r="C3397" t="str">
        <f>ADDRESS(ROW('PAYG 1'!$D$15),COLUMN('PAYG 1'!$D$15),4)</f>
        <v>D15</v>
      </c>
      <c r="D3397" t="b" cm="1">
        <f t="array" aca="1" ref="D3397" ca="1">IF(INDIRECT("'"&amp;A3397&amp;"'!"&amp;B3397)="",FALSE,IF(TRUNC(INDIRECT("'"&amp;A3397&amp;"'!"&amp;B3397))=INDIRECT("'"&amp;A3397&amp;"'!"&amp;B3397),FALSE,TRUE))</f>
        <v>0</v>
      </c>
      <c r="E3397" t="s">
        <v>436</v>
      </c>
      <c r="F3397" t="str">
        <f>INDEX(Lists!I:I,MATCH(Validation!E3397,Lists!G:G,0))</f>
        <v>Error</v>
      </c>
      <c r="G3397" t="str">
        <f>INDEX(Lists!H:H,MATCH(Validation!E3397,Lists!G:G,0))</f>
        <v>Amount must be rounded to the nearest dollar.</v>
      </c>
      <c r="H3397" s="16" t="str">
        <f t="shared" ca="1" si="375"/>
        <v/>
      </c>
      <c r="I3397" s="16" t="str">
        <f t="shared" ca="1" si="376"/>
        <v/>
      </c>
      <c r="J3397" s="17" t="str">
        <f t="shared" ca="1" si="377"/>
        <v/>
      </c>
    </row>
    <row r="3398" spans="1:10" x14ac:dyDescent="0.25">
      <c r="A3398" t="s">
        <v>662</v>
      </c>
      <c r="B3398" t="str">
        <f>ADDRESS(ROW('PAYG 1'!$C$15),COLUMN('PAYG 1'!$C$15),4)</f>
        <v>C15</v>
      </c>
      <c r="C3398" t="str">
        <f>ADDRESS(ROW('PAYG 1'!$D$15),COLUMN('PAYG 1'!$D$15),4)</f>
        <v>D15</v>
      </c>
      <c r="D3398" t="b" cm="1">
        <f t="array" aca="1" ref="D3398" ca="1">IF(INDIRECT("'"&amp;A3398&amp;"'!"&amp;B3398)="",FALSE,IF(TRUNC(INDIRECT("'"&amp;A3398&amp;"'!"&amp;B3398))=INDIRECT("'"&amp;A3398&amp;"'!"&amp;B3398),FALSE,TRUE))</f>
        <v>0</v>
      </c>
      <c r="E3398" t="s">
        <v>436</v>
      </c>
      <c r="F3398" t="str">
        <f>INDEX(Lists!I:I,MATCH(Validation!E3398,Lists!G:G,0))</f>
        <v>Error</v>
      </c>
      <c r="G3398" t="str">
        <f>INDEX(Lists!H:H,MATCH(Validation!E3398,Lists!G:G,0))</f>
        <v>Amount must be rounded to the nearest dollar.</v>
      </c>
      <c r="H3398" s="16" t="str">
        <f t="shared" ca="1" si="375"/>
        <v/>
      </c>
      <c r="I3398" s="16" t="str">
        <f t="shared" ca="1" si="376"/>
        <v/>
      </c>
      <c r="J3398" s="17" t="str">
        <f t="shared" ca="1" si="377"/>
        <v/>
      </c>
    </row>
    <row r="3399" spans="1:10" x14ac:dyDescent="0.25">
      <c r="A3399" t="s">
        <v>663</v>
      </c>
      <c r="B3399" t="str">
        <f>ADDRESS(ROW('PAYG 1'!$C$15),COLUMN('PAYG 1'!$C$15),4)</f>
        <v>C15</v>
      </c>
      <c r="C3399" t="str">
        <f>ADDRESS(ROW('PAYG 1'!$D$15),COLUMN('PAYG 1'!$D$15),4)</f>
        <v>D15</v>
      </c>
      <c r="D3399" t="b" cm="1">
        <f t="array" aca="1" ref="D3399" ca="1">IF(INDIRECT("'"&amp;A3399&amp;"'!"&amp;B3399)="",FALSE,IF(TRUNC(INDIRECT("'"&amp;A3399&amp;"'!"&amp;B3399))=INDIRECT("'"&amp;A3399&amp;"'!"&amp;B3399),FALSE,TRUE))</f>
        <v>0</v>
      </c>
      <c r="E3399" t="s">
        <v>436</v>
      </c>
      <c r="F3399" t="str">
        <f>INDEX(Lists!I:I,MATCH(Validation!E3399,Lists!G:G,0))</f>
        <v>Error</v>
      </c>
      <c r="G3399" t="str">
        <f>INDEX(Lists!H:H,MATCH(Validation!E3399,Lists!G:G,0))</f>
        <v>Amount must be rounded to the nearest dollar.</v>
      </c>
      <c r="H3399" s="16" t="str">
        <f t="shared" ca="1" si="375"/>
        <v/>
      </c>
      <c r="I3399" s="16" t="str">
        <f t="shared" ca="1" si="376"/>
        <v/>
      </c>
      <c r="J3399" s="17" t="str">
        <f t="shared" ca="1" si="377"/>
        <v/>
      </c>
    </row>
    <row r="3400" spans="1:10" x14ac:dyDescent="0.25">
      <c r="A3400" t="s">
        <v>664</v>
      </c>
      <c r="B3400" t="str">
        <f>ADDRESS(ROW('PAYG 1'!$C$15),COLUMN('PAYG 1'!$C$15),4)</f>
        <v>C15</v>
      </c>
      <c r="C3400" t="str">
        <f>ADDRESS(ROW('PAYG 1'!$D$15),COLUMN('PAYG 1'!$D$15),4)</f>
        <v>D15</v>
      </c>
      <c r="D3400" t="b" cm="1">
        <f t="array" aca="1" ref="D3400" ca="1">IF(INDIRECT("'"&amp;A3400&amp;"'!"&amp;B3400)="",FALSE,IF(TRUNC(INDIRECT("'"&amp;A3400&amp;"'!"&amp;B3400))=INDIRECT("'"&amp;A3400&amp;"'!"&amp;B3400),FALSE,TRUE))</f>
        <v>0</v>
      </c>
      <c r="E3400" t="s">
        <v>436</v>
      </c>
      <c r="F3400" t="str">
        <f>INDEX(Lists!I:I,MATCH(Validation!E3400,Lists!G:G,0))</f>
        <v>Error</v>
      </c>
      <c r="G3400" t="str">
        <f>INDEX(Lists!H:H,MATCH(Validation!E3400,Lists!G:G,0))</f>
        <v>Amount must be rounded to the nearest dollar.</v>
      </c>
      <c r="H3400" s="16" t="str">
        <f t="shared" ca="1" si="375"/>
        <v/>
      </c>
      <c r="I3400" s="16" t="str">
        <f t="shared" ca="1" si="376"/>
        <v/>
      </c>
      <c r="J3400" s="17" t="str">
        <f t="shared" ca="1" si="377"/>
        <v/>
      </c>
    </row>
    <row r="3401" spans="1:10" x14ac:dyDescent="0.25">
      <c r="A3401" t="s">
        <v>203</v>
      </c>
      <c r="B3401" t="str">
        <f>ADDRESS(ROW('PAYG 1'!$B$16),COLUMN('PAYG 1'!$B$16),4)</f>
        <v>B16</v>
      </c>
      <c r="C3401" t="str">
        <f>ADDRESS(ROW('PAYG 1'!$D$16),COLUMN('PAYG 1'!$D$16),4)</f>
        <v>D16</v>
      </c>
      <c r="D3401" t="b" cm="1">
        <f t="array" aca="1" ref="D3401" ca="1">IF(INDIRECT("'"&amp;A3401&amp;"'!"&amp;B3401)="",FALSE,IF(NOT(ISNUMBER(INDIRECT("'"&amp;A3401&amp;"'!"&amp;B3401))),TRUE,FALSE))</f>
        <v>0</v>
      </c>
      <c r="E3401" t="s">
        <v>435</v>
      </c>
      <c r="F3401" t="str">
        <f>INDEX(Lists!I:I,MATCH(Validation!E3401,Lists!G:G,0))</f>
        <v>Error</v>
      </c>
      <c r="G3401" t="str">
        <f>INDEX(Lists!H:H,MATCH(Validation!E3401,Lists!G:G,0))</f>
        <v>Enter an amount only. Do not enter text or spaces.</v>
      </c>
      <c r="H3401" s="16" t="str">
        <f t="shared" ref="H3401:H3445" ca="1" si="378">IFERROR(IF(OR(NOT(D3401),F3401&lt;&gt;"Error"),"",A3401&amp;CELL("address",INDIRECT(B3401))),"")</f>
        <v/>
      </c>
      <c r="I3401" s="16" t="str">
        <f t="shared" ref="I3401:I3445" ca="1" si="379">IFERROR(IF(NOT(D3401),"",A3401&amp;CELL("address",INDIRECT(C3401))),"")</f>
        <v/>
      </c>
      <c r="J3401" s="17" t="str">
        <f t="shared" ref="J3401:J3445" ca="1" si="380">IFERROR(IF(NOT(D3401),"",A3401),"")</f>
        <v/>
      </c>
    </row>
    <row r="3402" spans="1:10" x14ac:dyDescent="0.25">
      <c r="A3402" t="s">
        <v>651</v>
      </c>
      <c r="B3402" t="str">
        <f>ADDRESS(ROW('PAYG 1'!$B$16),COLUMN('PAYG 1'!$B$16),4)</f>
        <v>B16</v>
      </c>
      <c r="C3402" t="str">
        <f>ADDRESS(ROW('PAYG 1'!$D$16),COLUMN('PAYG 1'!$D$16),4)</f>
        <v>D16</v>
      </c>
      <c r="D3402" t="b" cm="1">
        <f t="array" aca="1" ref="D3402" ca="1">IF(INDIRECT("'"&amp;A3402&amp;"'!"&amp;B3402)="",FALSE,IF(NOT(ISNUMBER(INDIRECT("'"&amp;A3402&amp;"'!"&amp;B3402))),TRUE,FALSE))</f>
        <v>0</v>
      </c>
      <c r="E3402" t="s">
        <v>435</v>
      </c>
      <c r="F3402" t="str">
        <f>INDEX(Lists!I:I,MATCH(Validation!E3402,Lists!G:G,0))</f>
        <v>Error</v>
      </c>
      <c r="G3402" t="str">
        <f>INDEX(Lists!H:H,MATCH(Validation!E3402,Lists!G:G,0))</f>
        <v>Enter an amount only. Do not enter text or spaces.</v>
      </c>
      <c r="H3402" s="16" t="str">
        <f t="shared" ca="1" si="378"/>
        <v/>
      </c>
      <c r="I3402" s="16" t="str">
        <f t="shared" ca="1" si="379"/>
        <v/>
      </c>
      <c r="J3402" s="17" t="str">
        <f t="shared" ca="1" si="380"/>
        <v/>
      </c>
    </row>
    <row r="3403" spans="1:10" x14ac:dyDescent="0.25">
      <c r="A3403" t="s">
        <v>652</v>
      </c>
      <c r="B3403" t="str">
        <f>ADDRESS(ROW('PAYG 1'!$B$16),COLUMN('PAYG 1'!$B$16),4)</f>
        <v>B16</v>
      </c>
      <c r="C3403" t="str">
        <f>ADDRESS(ROW('PAYG 1'!$D$16),COLUMN('PAYG 1'!$D$16),4)</f>
        <v>D16</v>
      </c>
      <c r="D3403" t="b" cm="1">
        <f t="array" aca="1" ref="D3403" ca="1">IF(INDIRECT("'"&amp;A3403&amp;"'!"&amp;B3403)="",FALSE,IF(NOT(ISNUMBER(INDIRECT("'"&amp;A3403&amp;"'!"&amp;B3403))),TRUE,FALSE))</f>
        <v>0</v>
      </c>
      <c r="E3403" t="s">
        <v>435</v>
      </c>
      <c r="F3403" t="str">
        <f>INDEX(Lists!I:I,MATCH(Validation!E3403,Lists!G:G,0))</f>
        <v>Error</v>
      </c>
      <c r="G3403" t="str">
        <f>INDEX(Lists!H:H,MATCH(Validation!E3403,Lists!G:G,0))</f>
        <v>Enter an amount only. Do not enter text or spaces.</v>
      </c>
      <c r="H3403" s="16" t="str">
        <f t="shared" ca="1" si="378"/>
        <v/>
      </c>
      <c r="I3403" s="16" t="str">
        <f t="shared" ca="1" si="379"/>
        <v/>
      </c>
      <c r="J3403" s="17" t="str">
        <f t="shared" ca="1" si="380"/>
        <v/>
      </c>
    </row>
    <row r="3404" spans="1:10" x14ac:dyDescent="0.25">
      <c r="A3404" t="s">
        <v>653</v>
      </c>
      <c r="B3404" t="str">
        <f>ADDRESS(ROW('PAYG 1'!$B$16),COLUMN('PAYG 1'!$B$16),4)</f>
        <v>B16</v>
      </c>
      <c r="C3404" t="str">
        <f>ADDRESS(ROW('PAYG 1'!$D$16),COLUMN('PAYG 1'!$D$16),4)</f>
        <v>D16</v>
      </c>
      <c r="D3404" t="b" cm="1">
        <f t="array" aca="1" ref="D3404" ca="1">IF(INDIRECT("'"&amp;A3404&amp;"'!"&amp;B3404)="",FALSE,IF(NOT(ISNUMBER(INDIRECT("'"&amp;A3404&amp;"'!"&amp;B3404))),TRUE,FALSE))</f>
        <v>0</v>
      </c>
      <c r="E3404" t="s">
        <v>435</v>
      </c>
      <c r="F3404" t="str">
        <f>INDEX(Lists!I:I,MATCH(Validation!E3404,Lists!G:G,0))</f>
        <v>Error</v>
      </c>
      <c r="G3404" t="str">
        <f>INDEX(Lists!H:H,MATCH(Validation!E3404,Lists!G:G,0))</f>
        <v>Enter an amount only. Do not enter text or spaces.</v>
      </c>
      <c r="H3404" s="16" t="str">
        <f t="shared" ca="1" si="378"/>
        <v/>
      </c>
      <c r="I3404" s="16" t="str">
        <f t="shared" ca="1" si="379"/>
        <v/>
      </c>
      <c r="J3404" s="17" t="str">
        <f t="shared" ca="1" si="380"/>
        <v/>
      </c>
    </row>
    <row r="3405" spans="1:10" x14ac:dyDescent="0.25">
      <c r="A3405" t="s">
        <v>654</v>
      </c>
      <c r="B3405" t="str">
        <f>ADDRESS(ROW('PAYG 1'!$B$16),COLUMN('PAYG 1'!$B$16),4)</f>
        <v>B16</v>
      </c>
      <c r="C3405" t="str">
        <f>ADDRESS(ROW('PAYG 1'!$D$16),COLUMN('PAYG 1'!$D$16),4)</f>
        <v>D16</v>
      </c>
      <c r="D3405" t="b" cm="1">
        <f t="array" aca="1" ref="D3405" ca="1">IF(INDIRECT("'"&amp;A3405&amp;"'!"&amp;B3405)="",FALSE,IF(NOT(ISNUMBER(INDIRECT("'"&amp;A3405&amp;"'!"&amp;B3405))),TRUE,FALSE))</f>
        <v>0</v>
      </c>
      <c r="E3405" t="s">
        <v>435</v>
      </c>
      <c r="F3405" t="str">
        <f>INDEX(Lists!I:I,MATCH(Validation!E3405,Lists!G:G,0))</f>
        <v>Error</v>
      </c>
      <c r="G3405" t="str">
        <f>INDEX(Lists!H:H,MATCH(Validation!E3405,Lists!G:G,0))</f>
        <v>Enter an amount only. Do not enter text or spaces.</v>
      </c>
      <c r="H3405" s="16" t="str">
        <f t="shared" ca="1" si="378"/>
        <v/>
      </c>
      <c r="I3405" s="16" t="str">
        <f t="shared" ca="1" si="379"/>
        <v/>
      </c>
      <c r="J3405" s="17" t="str">
        <f t="shared" ca="1" si="380"/>
        <v/>
      </c>
    </row>
    <row r="3406" spans="1:10" x14ac:dyDescent="0.25">
      <c r="A3406" t="s">
        <v>655</v>
      </c>
      <c r="B3406" t="str">
        <f>ADDRESS(ROW('PAYG 1'!$B$16),COLUMN('PAYG 1'!$B$16),4)</f>
        <v>B16</v>
      </c>
      <c r="C3406" t="str">
        <f>ADDRESS(ROW('PAYG 1'!$D$16),COLUMN('PAYG 1'!$D$16),4)</f>
        <v>D16</v>
      </c>
      <c r="D3406" t="b" cm="1">
        <f t="array" aca="1" ref="D3406" ca="1">IF(INDIRECT("'"&amp;A3406&amp;"'!"&amp;B3406)="",FALSE,IF(NOT(ISNUMBER(INDIRECT("'"&amp;A3406&amp;"'!"&amp;B3406))),TRUE,FALSE))</f>
        <v>0</v>
      </c>
      <c r="E3406" t="s">
        <v>435</v>
      </c>
      <c r="F3406" t="str">
        <f>INDEX(Lists!I:I,MATCH(Validation!E3406,Lists!G:G,0))</f>
        <v>Error</v>
      </c>
      <c r="G3406" t="str">
        <f>INDEX(Lists!H:H,MATCH(Validation!E3406,Lists!G:G,0))</f>
        <v>Enter an amount only. Do not enter text or spaces.</v>
      </c>
      <c r="H3406" s="16" t="str">
        <f t="shared" ca="1" si="378"/>
        <v/>
      </c>
      <c r="I3406" s="16" t="str">
        <f t="shared" ca="1" si="379"/>
        <v/>
      </c>
      <c r="J3406" s="17" t="str">
        <f t="shared" ca="1" si="380"/>
        <v/>
      </c>
    </row>
    <row r="3407" spans="1:10" x14ac:dyDescent="0.25">
      <c r="A3407" t="s">
        <v>656</v>
      </c>
      <c r="B3407" t="str">
        <f>ADDRESS(ROW('PAYG 1'!$B$16),COLUMN('PAYG 1'!$B$16),4)</f>
        <v>B16</v>
      </c>
      <c r="C3407" t="str">
        <f>ADDRESS(ROW('PAYG 1'!$D$16),COLUMN('PAYG 1'!$D$16),4)</f>
        <v>D16</v>
      </c>
      <c r="D3407" t="b" cm="1">
        <f t="array" aca="1" ref="D3407" ca="1">IF(INDIRECT("'"&amp;A3407&amp;"'!"&amp;B3407)="",FALSE,IF(NOT(ISNUMBER(INDIRECT("'"&amp;A3407&amp;"'!"&amp;B3407))),TRUE,FALSE))</f>
        <v>0</v>
      </c>
      <c r="E3407" t="s">
        <v>435</v>
      </c>
      <c r="F3407" t="str">
        <f>INDEX(Lists!I:I,MATCH(Validation!E3407,Lists!G:G,0))</f>
        <v>Error</v>
      </c>
      <c r="G3407" t="str">
        <f>INDEX(Lists!H:H,MATCH(Validation!E3407,Lists!G:G,0))</f>
        <v>Enter an amount only. Do not enter text or spaces.</v>
      </c>
      <c r="H3407" s="16" t="str">
        <f t="shared" ca="1" si="378"/>
        <v/>
      </c>
      <c r="I3407" s="16" t="str">
        <f t="shared" ca="1" si="379"/>
        <v/>
      </c>
      <c r="J3407" s="17" t="str">
        <f t="shared" ca="1" si="380"/>
        <v/>
      </c>
    </row>
    <row r="3408" spans="1:10" x14ac:dyDescent="0.25">
      <c r="A3408" t="s">
        <v>657</v>
      </c>
      <c r="B3408" t="str">
        <f>ADDRESS(ROW('PAYG 1'!$B$16),COLUMN('PAYG 1'!$B$16),4)</f>
        <v>B16</v>
      </c>
      <c r="C3408" t="str">
        <f>ADDRESS(ROW('PAYG 1'!$D$16),COLUMN('PAYG 1'!$D$16),4)</f>
        <v>D16</v>
      </c>
      <c r="D3408" t="b" cm="1">
        <f t="array" aca="1" ref="D3408" ca="1">IF(INDIRECT("'"&amp;A3408&amp;"'!"&amp;B3408)="",FALSE,IF(NOT(ISNUMBER(INDIRECT("'"&amp;A3408&amp;"'!"&amp;B3408))),TRUE,FALSE))</f>
        <v>0</v>
      </c>
      <c r="E3408" t="s">
        <v>435</v>
      </c>
      <c r="F3408" t="str">
        <f>INDEX(Lists!I:I,MATCH(Validation!E3408,Lists!G:G,0))</f>
        <v>Error</v>
      </c>
      <c r="G3408" t="str">
        <f>INDEX(Lists!H:H,MATCH(Validation!E3408,Lists!G:G,0))</f>
        <v>Enter an amount only. Do not enter text or spaces.</v>
      </c>
      <c r="H3408" s="16" t="str">
        <f t="shared" ca="1" si="378"/>
        <v/>
      </c>
      <c r="I3408" s="16" t="str">
        <f t="shared" ca="1" si="379"/>
        <v/>
      </c>
      <c r="J3408" s="17" t="str">
        <f t="shared" ca="1" si="380"/>
        <v/>
      </c>
    </row>
    <row r="3409" spans="1:10" x14ac:dyDescent="0.25">
      <c r="A3409" t="s">
        <v>658</v>
      </c>
      <c r="B3409" t="str">
        <f>ADDRESS(ROW('PAYG 1'!$B$16),COLUMN('PAYG 1'!$B$16),4)</f>
        <v>B16</v>
      </c>
      <c r="C3409" t="str">
        <f>ADDRESS(ROW('PAYG 1'!$D$16),COLUMN('PAYG 1'!$D$16),4)</f>
        <v>D16</v>
      </c>
      <c r="D3409" t="b" cm="1">
        <f t="array" aca="1" ref="D3409" ca="1">IF(INDIRECT("'"&amp;A3409&amp;"'!"&amp;B3409)="",FALSE,IF(NOT(ISNUMBER(INDIRECT("'"&amp;A3409&amp;"'!"&amp;B3409))),TRUE,FALSE))</f>
        <v>0</v>
      </c>
      <c r="E3409" t="s">
        <v>435</v>
      </c>
      <c r="F3409" t="str">
        <f>INDEX(Lists!I:I,MATCH(Validation!E3409,Lists!G:G,0))</f>
        <v>Error</v>
      </c>
      <c r="G3409" t="str">
        <f>INDEX(Lists!H:H,MATCH(Validation!E3409,Lists!G:G,0))</f>
        <v>Enter an amount only. Do not enter text or spaces.</v>
      </c>
      <c r="H3409" s="16" t="str">
        <f t="shared" ca="1" si="378"/>
        <v/>
      </c>
      <c r="I3409" s="16" t="str">
        <f t="shared" ca="1" si="379"/>
        <v/>
      </c>
      <c r="J3409" s="17" t="str">
        <f t="shared" ca="1" si="380"/>
        <v/>
      </c>
    </row>
    <row r="3410" spans="1:10" x14ac:dyDescent="0.25">
      <c r="A3410" t="s">
        <v>659</v>
      </c>
      <c r="B3410" t="str">
        <f>ADDRESS(ROW('PAYG 1'!$B$16),COLUMN('PAYG 1'!$B$16),4)</f>
        <v>B16</v>
      </c>
      <c r="C3410" t="str">
        <f>ADDRESS(ROW('PAYG 1'!$D$16),COLUMN('PAYG 1'!$D$16),4)</f>
        <v>D16</v>
      </c>
      <c r="D3410" t="b" cm="1">
        <f t="array" aca="1" ref="D3410" ca="1">IF(INDIRECT("'"&amp;A3410&amp;"'!"&amp;B3410)="",FALSE,IF(NOT(ISNUMBER(INDIRECT("'"&amp;A3410&amp;"'!"&amp;B3410))),TRUE,FALSE))</f>
        <v>0</v>
      </c>
      <c r="E3410" t="s">
        <v>435</v>
      </c>
      <c r="F3410" t="str">
        <f>INDEX(Lists!I:I,MATCH(Validation!E3410,Lists!G:G,0))</f>
        <v>Error</v>
      </c>
      <c r="G3410" t="str">
        <f>INDEX(Lists!H:H,MATCH(Validation!E3410,Lists!G:G,0))</f>
        <v>Enter an amount only. Do not enter text or spaces.</v>
      </c>
      <c r="H3410" s="16" t="str">
        <f t="shared" ca="1" si="378"/>
        <v/>
      </c>
      <c r="I3410" s="16" t="str">
        <f t="shared" ca="1" si="379"/>
        <v/>
      </c>
      <c r="J3410" s="17" t="str">
        <f t="shared" ca="1" si="380"/>
        <v/>
      </c>
    </row>
    <row r="3411" spans="1:10" x14ac:dyDescent="0.25">
      <c r="A3411" t="s">
        <v>660</v>
      </c>
      <c r="B3411" t="str">
        <f>ADDRESS(ROW('PAYG 1'!$B$16),COLUMN('PAYG 1'!$B$16),4)</f>
        <v>B16</v>
      </c>
      <c r="C3411" t="str">
        <f>ADDRESS(ROW('PAYG 1'!$D$16),COLUMN('PAYG 1'!$D$16),4)</f>
        <v>D16</v>
      </c>
      <c r="D3411" t="b" cm="1">
        <f t="array" aca="1" ref="D3411" ca="1">IF(INDIRECT("'"&amp;A3411&amp;"'!"&amp;B3411)="",FALSE,IF(NOT(ISNUMBER(INDIRECT("'"&amp;A3411&amp;"'!"&amp;B3411))),TRUE,FALSE))</f>
        <v>0</v>
      </c>
      <c r="E3411" t="s">
        <v>435</v>
      </c>
      <c r="F3411" t="str">
        <f>INDEX(Lists!I:I,MATCH(Validation!E3411,Lists!G:G,0))</f>
        <v>Error</v>
      </c>
      <c r="G3411" t="str">
        <f>INDEX(Lists!H:H,MATCH(Validation!E3411,Lists!G:G,0))</f>
        <v>Enter an amount only. Do not enter text or spaces.</v>
      </c>
      <c r="H3411" s="16" t="str">
        <f t="shared" ca="1" si="378"/>
        <v/>
      </c>
      <c r="I3411" s="16" t="str">
        <f t="shared" ca="1" si="379"/>
        <v/>
      </c>
      <c r="J3411" s="17" t="str">
        <f t="shared" ca="1" si="380"/>
        <v/>
      </c>
    </row>
    <row r="3412" spans="1:10" x14ac:dyDescent="0.25">
      <c r="A3412" t="s">
        <v>661</v>
      </c>
      <c r="B3412" t="str">
        <f>ADDRESS(ROW('PAYG 1'!$B$16),COLUMN('PAYG 1'!$B$16),4)</f>
        <v>B16</v>
      </c>
      <c r="C3412" t="str">
        <f>ADDRESS(ROW('PAYG 1'!$D$16),COLUMN('PAYG 1'!$D$16),4)</f>
        <v>D16</v>
      </c>
      <c r="D3412" t="b" cm="1">
        <f t="array" aca="1" ref="D3412" ca="1">IF(INDIRECT("'"&amp;A3412&amp;"'!"&amp;B3412)="",FALSE,IF(NOT(ISNUMBER(INDIRECT("'"&amp;A3412&amp;"'!"&amp;B3412))),TRUE,FALSE))</f>
        <v>0</v>
      </c>
      <c r="E3412" t="s">
        <v>435</v>
      </c>
      <c r="F3412" t="str">
        <f>INDEX(Lists!I:I,MATCH(Validation!E3412,Lists!G:G,0))</f>
        <v>Error</v>
      </c>
      <c r="G3412" t="str">
        <f>INDEX(Lists!H:H,MATCH(Validation!E3412,Lists!G:G,0))</f>
        <v>Enter an amount only. Do not enter text or spaces.</v>
      </c>
      <c r="H3412" s="16" t="str">
        <f t="shared" ca="1" si="378"/>
        <v/>
      </c>
      <c r="I3412" s="16" t="str">
        <f t="shared" ca="1" si="379"/>
        <v/>
      </c>
      <c r="J3412" s="17" t="str">
        <f t="shared" ca="1" si="380"/>
        <v/>
      </c>
    </row>
    <row r="3413" spans="1:10" x14ac:dyDescent="0.25">
      <c r="A3413" t="s">
        <v>662</v>
      </c>
      <c r="B3413" t="str">
        <f>ADDRESS(ROW('PAYG 1'!$B$16),COLUMN('PAYG 1'!$B$16),4)</f>
        <v>B16</v>
      </c>
      <c r="C3413" t="str">
        <f>ADDRESS(ROW('PAYG 1'!$D$16),COLUMN('PAYG 1'!$D$16),4)</f>
        <v>D16</v>
      </c>
      <c r="D3413" t="b" cm="1">
        <f t="array" aca="1" ref="D3413" ca="1">IF(INDIRECT("'"&amp;A3413&amp;"'!"&amp;B3413)="",FALSE,IF(NOT(ISNUMBER(INDIRECT("'"&amp;A3413&amp;"'!"&amp;B3413))),TRUE,FALSE))</f>
        <v>0</v>
      </c>
      <c r="E3413" t="s">
        <v>435</v>
      </c>
      <c r="F3413" t="str">
        <f>INDEX(Lists!I:I,MATCH(Validation!E3413,Lists!G:G,0))</f>
        <v>Error</v>
      </c>
      <c r="G3413" t="str">
        <f>INDEX(Lists!H:H,MATCH(Validation!E3413,Lists!G:G,0))</f>
        <v>Enter an amount only. Do not enter text or spaces.</v>
      </c>
      <c r="H3413" s="16" t="str">
        <f t="shared" ca="1" si="378"/>
        <v/>
      </c>
      <c r="I3413" s="16" t="str">
        <f t="shared" ca="1" si="379"/>
        <v/>
      </c>
      <c r="J3413" s="17" t="str">
        <f t="shared" ca="1" si="380"/>
        <v/>
      </c>
    </row>
    <row r="3414" spans="1:10" x14ac:dyDescent="0.25">
      <c r="A3414" t="s">
        <v>663</v>
      </c>
      <c r="B3414" t="str">
        <f>ADDRESS(ROW('PAYG 1'!$B$16),COLUMN('PAYG 1'!$B$16),4)</f>
        <v>B16</v>
      </c>
      <c r="C3414" t="str">
        <f>ADDRESS(ROW('PAYG 1'!$D$16),COLUMN('PAYG 1'!$D$16),4)</f>
        <v>D16</v>
      </c>
      <c r="D3414" t="b" cm="1">
        <f t="array" aca="1" ref="D3414" ca="1">IF(INDIRECT("'"&amp;A3414&amp;"'!"&amp;B3414)="",FALSE,IF(NOT(ISNUMBER(INDIRECT("'"&amp;A3414&amp;"'!"&amp;B3414))),TRUE,FALSE))</f>
        <v>0</v>
      </c>
      <c r="E3414" t="s">
        <v>435</v>
      </c>
      <c r="F3414" t="str">
        <f>INDEX(Lists!I:I,MATCH(Validation!E3414,Lists!G:G,0))</f>
        <v>Error</v>
      </c>
      <c r="G3414" t="str">
        <f>INDEX(Lists!H:H,MATCH(Validation!E3414,Lists!G:G,0))</f>
        <v>Enter an amount only. Do not enter text or spaces.</v>
      </c>
      <c r="H3414" s="16" t="str">
        <f t="shared" ca="1" si="378"/>
        <v/>
      </c>
      <c r="I3414" s="16" t="str">
        <f t="shared" ca="1" si="379"/>
        <v/>
      </c>
      <c r="J3414" s="17" t="str">
        <f t="shared" ca="1" si="380"/>
        <v/>
      </c>
    </row>
    <row r="3415" spans="1:10" x14ac:dyDescent="0.25">
      <c r="A3415" t="s">
        <v>664</v>
      </c>
      <c r="B3415" t="str">
        <f>ADDRESS(ROW('PAYG 1'!$B$16),COLUMN('PAYG 1'!$B$16),4)</f>
        <v>B16</v>
      </c>
      <c r="C3415" t="str">
        <f>ADDRESS(ROW('PAYG 1'!$D$16),COLUMN('PAYG 1'!$D$16),4)</f>
        <v>D16</v>
      </c>
      <c r="D3415" t="b" cm="1">
        <f t="array" aca="1" ref="D3415" ca="1">IF(INDIRECT("'"&amp;A3415&amp;"'!"&amp;B3415)="",FALSE,IF(NOT(ISNUMBER(INDIRECT("'"&amp;A3415&amp;"'!"&amp;B3415))),TRUE,FALSE))</f>
        <v>0</v>
      </c>
      <c r="E3415" t="s">
        <v>435</v>
      </c>
      <c r="F3415" t="str">
        <f>INDEX(Lists!I:I,MATCH(Validation!E3415,Lists!G:G,0))</f>
        <v>Error</v>
      </c>
      <c r="G3415" t="str">
        <f>INDEX(Lists!H:H,MATCH(Validation!E3415,Lists!G:G,0))</f>
        <v>Enter an amount only. Do not enter text or spaces.</v>
      </c>
      <c r="H3415" s="16" t="str">
        <f t="shared" ca="1" si="378"/>
        <v/>
      </c>
      <c r="I3415" s="16" t="str">
        <f t="shared" ca="1" si="379"/>
        <v/>
      </c>
      <c r="J3415" s="17" t="str">
        <f t="shared" ca="1" si="380"/>
        <v/>
      </c>
    </row>
    <row r="3416" spans="1:10" x14ac:dyDescent="0.25">
      <c r="A3416" t="s">
        <v>203</v>
      </c>
      <c r="B3416" t="str">
        <f>ADDRESS(ROW('PAYG 1'!$B$16),COLUMN('PAYG 1'!$B$16),4)</f>
        <v>B16</v>
      </c>
      <c r="C3416" t="str">
        <f>ADDRESS(ROW('PAYG 1'!$D$16),COLUMN('PAYG 1'!$D$16),4)</f>
        <v>D16</v>
      </c>
      <c r="D3416" t="b" cm="1">
        <f t="array" aca="1" ref="D3416" ca="1">IF(INDIRECT("'"&amp;A3416&amp;"'!"&amp;B3416)="",FALSE,IF(INDIRECT("'"&amp;A3416&amp;"'!"&amp;B3416)&lt;0,TRUE,FALSE))</f>
        <v>0</v>
      </c>
      <c r="E3416" t="s">
        <v>434</v>
      </c>
      <c r="F3416" t="str">
        <f>INDEX(Lists!I:I,MATCH(Validation!E3416,Lists!G:G,0))</f>
        <v>Error</v>
      </c>
      <c r="G3416" t="str">
        <f>INDEX(Lists!H:H,MATCH(Validation!E3416,Lists!G:G,0))</f>
        <v>Amount may not be negative. Enter an amount greater than or equal to zero.</v>
      </c>
      <c r="H3416" s="16" t="str">
        <f t="shared" ca="1" si="378"/>
        <v/>
      </c>
      <c r="I3416" s="16" t="str">
        <f t="shared" ca="1" si="379"/>
        <v/>
      </c>
      <c r="J3416" s="17" t="str">
        <f t="shared" ca="1" si="380"/>
        <v/>
      </c>
    </row>
    <row r="3417" spans="1:10" x14ac:dyDescent="0.25">
      <c r="A3417" t="s">
        <v>651</v>
      </c>
      <c r="B3417" t="str">
        <f>ADDRESS(ROW('PAYG 1'!$B$16),COLUMN('PAYG 1'!$B$16),4)</f>
        <v>B16</v>
      </c>
      <c r="C3417" t="str">
        <f>ADDRESS(ROW('PAYG 1'!$D$16),COLUMN('PAYG 1'!$D$16),4)</f>
        <v>D16</v>
      </c>
      <c r="D3417" t="b" cm="1">
        <f t="array" aca="1" ref="D3417" ca="1">IF(INDIRECT("'"&amp;A3417&amp;"'!"&amp;B3417)="",FALSE,IF(INDIRECT("'"&amp;A3417&amp;"'!"&amp;B3417)&lt;0,TRUE,FALSE))</f>
        <v>0</v>
      </c>
      <c r="E3417" t="s">
        <v>434</v>
      </c>
      <c r="F3417" t="str">
        <f>INDEX(Lists!I:I,MATCH(Validation!E3417,Lists!G:G,0))</f>
        <v>Error</v>
      </c>
      <c r="G3417" t="str">
        <f>INDEX(Lists!H:H,MATCH(Validation!E3417,Lists!G:G,0))</f>
        <v>Amount may not be negative. Enter an amount greater than or equal to zero.</v>
      </c>
      <c r="H3417" s="16" t="str">
        <f t="shared" ca="1" si="378"/>
        <v/>
      </c>
      <c r="I3417" s="16" t="str">
        <f t="shared" ca="1" si="379"/>
        <v/>
      </c>
      <c r="J3417" s="17" t="str">
        <f t="shared" ca="1" si="380"/>
        <v/>
      </c>
    </row>
    <row r="3418" spans="1:10" x14ac:dyDescent="0.25">
      <c r="A3418" t="s">
        <v>652</v>
      </c>
      <c r="B3418" t="str">
        <f>ADDRESS(ROW('PAYG 1'!$B$16),COLUMN('PAYG 1'!$B$16),4)</f>
        <v>B16</v>
      </c>
      <c r="C3418" t="str">
        <f>ADDRESS(ROW('PAYG 1'!$D$16),COLUMN('PAYG 1'!$D$16),4)</f>
        <v>D16</v>
      </c>
      <c r="D3418" t="b" cm="1">
        <f t="array" aca="1" ref="D3418" ca="1">IF(INDIRECT("'"&amp;A3418&amp;"'!"&amp;B3418)="",FALSE,IF(INDIRECT("'"&amp;A3418&amp;"'!"&amp;B3418)&lt;0,TRUE,FALSE))</f>
        <v>0</v>
      </c>
      <c r="E3418" t="s">
        <v>434</v>
      </c>
      <c r="F3418" t="str">
        <f>INDEX(Lists!I:I,MATCH(Validation!E3418,Lists!G:G,0))</f>
        <v>Error</v>
      </c>
      <c r="G3418" t="str">
        <f>INDEX(Lists!H:H,MATCH(Validation!E3418,Lists!G:G,0))</f>
        <v>Amount may not be negative. Enter an amount greater than or equal to zero.</v>
      </c>
      <c r="H3418" s="16" t="str">
        <f t="shared" ca="1" si="378"/>
        <v/>
      </c>
      <c r="I3418" s="16" t="str">
        <f t="shared" ca="1" si="379"/>
        <v/>
      </c>
      <c r="J3418" s="17" t="str">
        <f t="shared" ca="1" si="380"/>
        <v/>
      </c>
    </row>
    <row r="3419" spans="1:10" x14ac:dyDescent="0.25">
      <c r="A3419" t="s">
        <v>653</v>
      </c>
      <c r="B3419" t="str">
        <f>ADDRESS(ROW('PAYG 1'!$B$16),COLUMN('PAYG 1'!$B$16),4)</f>
        <v>B16</v>
      </c>
      <c r="C3419" t="str">
        <f>ADDRESS(ROW('PAYG 1'!$D$16),COLUMN('PAYG 1'!$D$16),4)</f>
        <v>D16</v>
      </c>
      <c r="D3419" t="b" cm="1">
        <f t="array" aca="1" ref="D3419" ca="1">IF(INDIRECT("'"&amp;A3419&amp;"'!"&amp;B3419)="",FALSE,IF(INDIRECT("'"&amp;A3419&amp;"'!"&amp;B3419)&lt;0,TRUE,FALSE))</f>
        <v>0</v>
      </c>
      <c r="E3419" t="s">
        <v>434</v>
      </c>
      <c r="F3419" t="str">
        <f>INDEX(Lists!I:I,MATCH(Validation!E3419,Lists!G:G,0))</f>
        <v>Error</v>
      </c>
      <c r="G3419" t="str">
        <f>INDEX(Lists!H:H,MATCH(Validation!E3419,Lists!G:G,0))</f>
        <v>Amount may not be negative. Enter an amount greater than or equal to zero.</v>
      </c>
      <c r="H3419" s="16" t="str">
        <f t="shared" ca="1" si="378"/>
        <v/>
      </c>
      <c r="I3419" s="16" t="str">
        <f t="shared" ca="1" si="379"/>
        <v/>
      </c>
      <c r="J3419" s="17" t="str">
        <f t="shared" ca="1" si="380"/>
        <v/>
      </c>
    </row>
    <row r="3420" spans="1:10" x14ac:dyDescent="0.25">
      <c r="A3420" t="s">
        <v>654</v>
      </c>
      <c r="B3420" t="str">
        <f>ADDRESS(ROW('PAYG 1'!$B$16),COLUMN('PAYG 1'!$B$16),4)</f>
        <v>B16</v>
      </c>
      <c r="C3420" t="str">
        <f>ADDRESS(ROW('PAYG 1'!$D$16),COLUMN('PAYG 1'!$D$16),4)</f>
        <v>D16</v>
      </c>
      <c r="D3420" t="b" cm="1">
        <f t="array" aca="1" ref="D3420" ca="1">IF(INDIRECT("'"&amp;A3420&amp;"'!"&amp;B3420)="",FALSE,IF(INDIRECT("'"&amp;A3420&amp;"'!"&amp;B3420)&lt;0,TRUE,FALSE))</f>
        <v>0</v>
      </c>
      <c r="E3420" t="s">
        <v>434</v>
      </c>
      <c r="F3420" t="str">
        <f>INDEX(Lists!I:I,MATCH(Validation!E3420,Lists!G:G,0))</f>
        <v>Error</v>
      </c>
      <c r="G3420" t="str">
        <f>INDEX(Lists!H:H,MATCH(Validation!E3420,Lists!G:G,0))</f>
        <v>Amount may not be negative. Enter an amount greater than or equal to zero.</v>
      </c>
      <c r="H3420" s="16" t="str">
        <f t="shared" ca="1" si="378"/>
        <v/>
      </c>
      <c r="I3420" s="16" t="str">
        <f t="shared" ca="1" si="379"/>
        <v/>
      </c>
      <c r="J3420" s="17" t="str">
        <f t="shared" ca="1" si="380"/>
        <v/>
      </c>
    </row>
    <row r="3421" spans="1:10" x14ac:dyDescent="0.25">
      <c r="A3421" t="s">
        <v>655</v>
      </c>
      <c r="B3421" t="str">
        <f>ADDRESS(ROW('PAYG 1'!$B$16),COLUMN('PAYG 1'!$B$16),4)</f>
        <v>B16</v>
      </c>
      <c r="C3421" t="str">
        <f>ADDRESS(ROW('PAYG 1'!$D$16),COLUMN('PAYG 1'!$D$16),4)</f>
        <v>D16</v>
      </c>
      <c r="D3421" t="b" cm="1">
        <f t="array" aca="1" ref="D3421" ca="1">IF(INDIRECT("'"&amp;A3421&amp;"'!"&amp;B3421)="",FALSE,IF(INDIRECT("'"&amp;A3421&amp;"'!"&amp;B3421)&lt;0,TRUE,FALSE))</f>
        <v>0</v>
      </c>
      <c r="E3421" t="s">
        <v>434</v>
      </c>
      <c r="F3421" t="str">
        <f>INDEX(Lists!I:I,MATCH(Validation!E3421,Lists!G:G,0))</f>
        <v>Error</v>
      </c>
      <c r="G3421" t="str">
        <f>INDEX(Lists!H:H,MATCH(Validation!E3421,Lists!G:G,0))</f>
        <v>Amount may not be negative. Enter an amount greater than or equal to zero.</v>
      </c>
      <c r="H3421" s="16" t="str">
        <f t="shared" ca="1" si="378"/>
        <v/>
      </c>
      <c r="I3421" s="16" t="str">
        <f t="shared" ca="1" si="379"/>
        <v/>
      </c>
      <c r="J3421" s="17" t="str">
        <f t="shared" ca="1" si="380"/>
        <v/>
      </c>
    </row>
    <row r="3422" spans="1:10" x14ac:dyDescent="0.25">
      <c r="A3422" t="s">
        <v>656</v>
      </c>
      <c r="B3422" t="str">
        <f>ADDRESS(ROW('PAYG 1'!$B$16),COLUMN('PAYG 1'!$B$16),4)</f>
        <v>B16</v>
      </c>
      <c r="C3422" t="str">
        <f>ADDRESS(ROW('PAYG 1'!$D$16),COLUMN('PAYG 1'!$D$16),4)</f>
        <v>D16</v>
      </c>
      <c r="D3422" t="b" cm="1">
        <f t="array" aca="1" ref="D3422" ca="1">IF(INDIRECT("'"&amp;A3422&amp;"'!"&amp;B3422)="",FALSE,IF(INDIRECT("'"&amp;A3422&amp;"'!"&amp;B3422)&lt;0,TRUE,FALSE))</f>
        <v>0</v>
      </c>
      <c r="E3422" t="s">
        <v>434</v>
      </c>
      <c r="F3422" t="str">
        <f>INDEX(Lists!I:I,MATCH(Validation!E3422,Lists!G:G,0))</f>
        <v>Error</v>
      </c>
      <c r="G3422" t="str">
        <f>INDEX(Lists!H:H,MATCH(Validation!E3422,Lists!G:G,0))</f>
        <v>Amount may not be negative. Enter an amount greater than or equal to zero.</v>
      </c>
      <c r="H3422" s="16" t="str">
        <f t="shared" ca="1" si="378"/>
        <v/>
      </c>
      <c r="I3422" s="16" t="str">
        <f t="shared" ca="1" si="379"/>
        <v/>
      </c>
      <c r="J3422" s="17" t="str">
        <f t="shared" ca="1" si="380"/>
        <v/>
      </c>
    </row>
    <row r="3423" spans="1:10" x14ac:dyDescent="0.25">
      <c r="A3423" t="s">
        <v>657</v>
      </c>
      <c r="B3423" t="str">
        <f>ADDRESS(ROW('PAYG 1'!$B$16),COLUMN('PAYG 1'!$B$16),4)</f>
        <v>B16</v>
      </c>
      <c r="C3423" t="str">
        <f>ADDRESS(ROW('PAYG 1'!$D$16),COLUMN('PAYG 1'!$D$16),4)</f>
        <v>D16</v>
      </c>
      <c r="D3423" t="b" cm="1">
        <f t="array" aca="1" ref="D3423" ca="1">IF(INDIRECT("'"&amp;A3423&amp;"'!"&amp;B3423)="",FALSE,IF(INDIRECT("'"&amp;A3423&amp;"'!"&amp;B3423)&lt;0,TRUE,FALSE))</f>
        <v>0</v>
      </c>
      <c r="E3423" t="s">
        <v>434</v>
      </c>
      <c r="F3423" t="str">
        <f>INDEX(Lists!I:I,MATCH(Validation!E3423,Lists!G:G,0))</f>
        <v>Error</v>
      </c>
      <c r="G3423" t="str">
        <f>INDEX(Lists!H:H,MATCH(Validation!E3423,Lists!G:G,0))</f>
        <v>Amount may not be negative. Enter an amount greater than or equal to zero.</v>
      </c>
      <c r="H3423" s="16" t="str">
        <f t="shared" ca="1" si="378"/>
        <v/>
      </c>
      <c r="I3423" s="16" t="str">
        <f t="shared" ca="1" si="379"/>
        <v/>
      </c>
      <c r="J3423" s="17" t="str">
        <f t="shared" ca="1" si="380"/>
        <v/>
      </c>
    </row>
    <row r="3424" spans="1:10" x14ac:dyDescent="0.25">
      <c r="A3424" t="s">
        <v>658</v>
      </c>
      <c r="B3424" t="str">
        <f>ADDRESS(ROW('PAYG 1'!$B$16),COLUMN('PAYG 1'!$B$16),4)</f>
        <v>B16</v>
      </c>
      <c r="C3424" t="str">
        <f>ADDRESS(ROW('PAYG 1'!$D$16),COLUMN('PAYG 1'!$D$16),4)</f>
        <v>D16</v>
      </c>
      <c r="D3424" t="b" cm="1">
        <f t="array" aca="1" ref="D3424" ca="1">IF(INDIRECT("'"&amp;A3424&amp;"'!"&amp;B3424)="",FALSE,IF(INDIRECT("'"&amp;A3424&amp;"'!"&amp;B3424)&lt;0,TRUE,FALSE))</f>
        <v>0</v>
      </c>
      <c r="E3424" t="s">
        <v>434</v>
      </c>
      <c r="F3424" t="str">
        <f>INDEX(Lists!I:I,MATCH(Validation!E3424,Lists!G:G,0))</f>
        <v>Error</v>
      </c>
      <c r="G3424" t="str">
        <f>INDEX(Lists!H:H,MATCH(Validation!E3424,Lists!G:G,0))</f>
        <v>Amount may not be negative. Enter an amount greater than or equal to zero.</v>
      </c>
      <c r="H3424" s="16" t="str">
        <f t="shared" ca="1" si="378"/>
        <v/>
      </c>
      <c r="I3424" s="16" t="str">
        <f t="shared" ca="1" si="379"/>
        <v/>
      </c>
      <c r="J3424" s="17" t="str">
        <f t="shared" ca="1" si="380"/>
        <v/>
      </c>
    </row>
    <row r="3425" spans="1:10" x14ac:dyDescent="0.25">
      <c r="A3425" t="s">
        <v>659</v>
      </c>
      <c r="B3425" t="str">
        <f>ADDRESS(ROW('PAYG 1'!$B$16),COLUMN('PAYG 1'!$B$16),4)</f>
        <v>B16</v>
      </c>
      <c r="C3425" t="str">
        <f>ADDRESS(ROW('PAYG 1'!$D$16),COLUMN('PAYG 1'!$D$16),4)</f>
        <v>D16</v>
      </c>
      <c r="D3425" t="b" cm="1">
        <f t="array" aca="1" ref="D3425" ca="1">IF(INDIRECT("'"&amp;A3425&amp;"'!"&amp;B3425)="",FALSE,IF(INDIRECT("'"&amp;A3425&amp;"'!"&amp;B3425)&lt;0,TRUE,FALSE))</f>
        <v>0</v>
      </c>
      <c r="E3425" t="s">
        <v>434</v>
      </c>
      <c r="F3425" t="str">
        <f>INDEX(Lists!I:I,MATCH(Validation!E3425,Lists!G:G,0))</f>
        <v>Error</v>
      </c>
      <c r="G3425" t="str">
        <f>INDEX(Lists!H:H,MATCH(Validation!E3425,Lists!G:G,0))</f>
        <v>Amount may not be negative. Enter an amount greater than or equal to zero.</v>
      </c>
      <c r="H3425" s="16" t="str">
        <f t="shared" ca="1" si="378"/>
        <v/>
      </c>
      <c r="I3425" s="16" t="str">
        <f t="shared" ca="1" si="379"/>
        <v/>
      </c>
      <c r="J3425" s="17" t="str">
        <f t="shared" ca="1" si="380"/>
        <v/>
      </c>
    </row>
    <row r="3426" spans="1:10" x14ac:dyDescent="0.25">
      <c r="A3426" t="s">
        <v>660</v>
      </c>
      <c r="B3426" t="str">
        <f>ADDRESS(ROW('PAYG 1'!$B$16),COLUMN('PAYG 1'!$B$16),4)</f>
        <v>B16</v>
      </c>
      <c r="C3426" t="str">
        <f>ADDRESS(ROW('PAYG 1'!$D$16),COLUMN('PAYG 1'!$D$16),4)</f>
        <v>D16</v>
      </c>
      <c r="D3426" t="b" cm="1">
        <f t="array" aca="1" ref="D3426" ca="1">IF(INDIRECT("'"&amp;A3426&amp;"'!"&amp;B3426)="",FALSE,IF(INDIRECT("'"&amp;A3426&amp;"'!"&amp;B3426)&lt;0,TRUE,FALSE))</f>
        <v>0</v>
      </c>
      <c r="E3426" t="s">
        <v>434</v>
      </c>
      <c r="F3426" t="str">
        <f>INDEX(Lists!I:I,MATCH(Validation!E3426,Lists!G:G,0))</f>
        <v>Error</v>
      </c>
      <c r="G3426" t="str">
        <f>INDEX(Lists!H:H,MATCH(Validation!E3426,Lists!G:G,0))</f>
        <v>Amount may not be negative. Enter an amount greater than or equal to zero.</v>
      </c>
      <c r="H3426" s="16" t="str">
        <f t="shared" ca="1" si="378"/>
        <v/>
      </c>
      <c r="I3426" s="16" t="str">
        <f t="shared" ca="1" si="379"/>
        <v/>
      </c>
      <c r="J3426" s="17" t="str">
        <f t="shared" ca="1" si="380"/>
        <v/>
      </c>
    </row>
    <row r="3427" spans="1:10" x14ac:dyDescent="0.25">
      <c r="A3427" t="s">
        <v>661</v>
      </c>
      <c r="B3427" t="str">
        <f>ADDRESS(ROW('PAYG 1'!$B$16),COLUMN('PAYG 1'!$B$16),4)</f>
        <v>B16</v>
      </c>
      <c r="C3427" t="str">
        <f>ADDRESS(ROW('PAYG 1'!$D$16),COLUMN('PAYG 1'!$D$16),4)</f>
        <v>D16</v>
      </c>
      <c r="D3427" t="b" cm="1">
        <f t="array" aca="1" ref="D3427" ca="1">IF(INDIRECT("'"&amp;A3427&amp;"'!"&amp;B3427)="",FALSE,IF(INDIRECT("'"&amp;A3427&amp;"'!"&amp;B3427)&lt;0,TRUE,FALSE))</f>
        <v>0</v>
      </c>
      <c r="E3427" t="s">
        <v>434</v>
      </c>
      <c r="F3427" t="str">
        <f>INDEX(Lists!I:I,MATCH(Validation!E3427,Lists!G:G,0))</f>
        <v>Error</v>
      </c>
      <c r="G3427" t="str">
        <f>INDEX(Lists!H:H,MATCH(Validation!E3427,Lists!G:G,0))</f>
        <v>Amount may not be negative. Enter an amount greater than or equal to zero.</v>
      </c>
      <c r="H3427" s="16" t="str">
        <f t="shared" ca="1" si="378"/>
        <v/>
      </c>
      <c r="I3427" s="16" t="str">
        <f t="shared" ca="1" si="379"/>
        <v/>
      </c>
      <c r="J3427" s="17" t="str">
        <f t="shared" ca="1" si="380"/>
        <v/>
      </c>
    </row>
    <row r="3428" spans="1:10" x14ac:dyDescent="0.25">
      <c r="A3428" t="s">
        <v>662</v>
      </c>
      <c r="B3428" t="str">
        <f>ADDRESS(ROW('PAYG 1'!$B$16),COLUMN('PAYG 1'!$B$16),4)</f>
        <v>B16</v>
      </c>
      <c r="C3428" t="str">
        <f>ADDRESS(ROW('PAYG 1'!$D$16),COLUMN('PAYG 1'!$D$16),4)</f>
        <v>D16</v>
      </c>
      <c r="D3428" t="b" cm="1">
        <f t="array" aca="1" ref="D3428" ca="1">IF(INDIRECT("'"&amp;A3428&amp;"'!"&amp;B3428)="",FALSE,IF(INDIRECT("'"&amp;A3428&amp;"'!"&amp;B3428)&lt;0,TRUE,FALSE))</f>
        <v>0</v>
      </c>
      <c r="E3428" t="s">
        <v>434</v>
      </c>
      <c r="F3428" t="str">
        <f>INDEX(Lists!I:I,MATCH(Validation!E3428,Lists!G:G,0))</f>
        <v>Error</v>
      </c>
      <c r="G3428" t="str">
        <f>INDEX(Lists!H:H,MATCH(Validation!E3428,Lists!G:G,0))</f>
        <v>Amount may not be negative. Enter an amount greater than or equal to zero.</v>
      </c>
      <c r="H3428" s="16" t="str">
        <f t="shared" ca="1" si="378"/>
        <v/>
      </c>
      <c r="I3428" s="16" t="str">
        <f t="shared" ca="1" si="379"/>
        <v/>
      </c>
      <c r="J3428" s="17" t="str">
        <f t="shared" ca="1" si="380"/>
        <v/>
      </c>
    </row>
    <row r="3429" spans="1:10" x14ac:dyDescent="0.25">
      <c r="A3429" t="s">
        <v>663</v>
      </c>
      <c r="B3429" t="str">
        <f>ADDRESS(ROW('PAYG 1'!$B$16),COLUMN('PAYG 1'!$B$16),4)</f>
        <v>B16</v>
      </c>
      <c r="C3429" t="str">
        <f>ADDRESS(ROW('PAYG 1'!$D$16),COLUMN('PAYG 1'!$D$16),4)</f>
        <v>D16</v>
      </c>
      <c r="D3429" t="b" cm="1">
        <f t="array" aca="1" ref="D3429" ca="1">IF(INDIRECT("'"&amp;A3429&amp;"'!"&amp;B3429)="",FALSE,IF(INDIRECT("'"&amp;A3429&amp;"'!"&amp;B3429)&lt;0,TRUE,FALSE))</f>
        <v>0</v>
      </c>
      <c r="E3429" t="s">
        <v>434</v>
      </c>
      <c r="F3429" t="str">
        <f>INDEX(Lists!I:I,MATCH(Validation!E3429,Lists!G:G,0))</f>
        <v>Error</v>
      </c>
      <c r="G3429" t="str">
        <f>INDEX(Lists!H:H,MATCH(Validation!E3429,Lists!G:G,0))</f>
        <v>Amount may not be negative. Enter an amount greater than or equal to zero.</v>
      </c>
      <c r="H3429" s="16" t="str">
        <f t="shared" ca="1" si="378"/>
        <v/>
      </c>
      <c r="I3429" s="16" t="str">
        <f t="shared" ca="1" si="379"/>
        <v/>
      </c>
      <c r="J3429" s="17" t="str">
        <f t="shared" ca="1" si="380"/>
        <v/>
      </c>
    </row>
    <row r="3430" spans="1:10" x14ac:dyDescent="0.25">
      <c r="A3430" t="s">
        <v>664</v>
      </c>
      <c r="B3430" t="str">
        <f>ADDRESS(ROW('PAYG 1'!$B$16),COLUMN('PAYG 1'!$B$16),4)</f>
        <v>B16</v>
      </c>
      <c r="C3430" t="str">
        <f>ADDRESS(ROW('PAYG 1'!$D$16),COLUMN('PAYG 1'!$D$16),4)</f>
        <v>D16</v>
      </c>
      <c r="D3430" t="b" cm="1">
        <f t="array" aca="1" ref="D3430" ca="1">IF(INDIRECT("'"&amp;A3430&amp;"'!"&amp;B3430)="",FALSE,IF(INDIRECT("'"&amp;A3430&amp;"'!"&amp;B3430)&lt;0,TRUE,FALSE))</f>
        <v>0</v>
      </c>
      <c r="E3430" t="s">
        <v>434</v>
      </c>
      <c r="F3430" t="str">
        <f>INDEX(Lists!I:I,MATCH(Validation!E3430,Lists!G:G,0))</f>
        <v>Error</v>
      </c>
      <c r="G3430" t="str">
        <f>INDEX(Lists!H:H,MATCH(Validation!E3430,Lists!G:G,0))</f>
        <v>Amount may not be negative. Enter an amount greater than or equal to zero.</v>
      </c>
      <c r="H3430" s="16" t="str">
        <f t="shared" ca="1" si="378"/>
        <v/>
      </c>
      <c r="I3430" s="16" t="str">
        <f t="shared" ca="1" si="379"/>
        <v/>
      </c>
      <c r="J3430" s="17" t="str">
        <f t="shared" ca="1" si="380"/>
        <v/>
      </c>
    </row>
    <row r="3431" spans="1:10" x14ac:dyDescent="0.25">
      <c r="A3431" t="s">
        <v>203</v>
      </c>
      <c r="B3431" t="str">
        <f>ADDRESS(ROW('PAYG 1'!$B$16),COLUMN('PAYG 1'!$B$16),4)</f>
        <v>B16</v>
      </c>
      <c r="C3431" t="str">
        <f>ADDRESS(ROW('PAYG 1'!$D$16),COLUMN('PAYG 1'!$D$16),4)</f>
        <v>D16</v>
      </c>
      <c r="D3431" t="b" cm="1">
        <f t="array" aca="1" ref="D3431" ca="1">IF(INDIRECT("'"&amp;A3431&amp;"'!"&amp;B3431)="",FALSE,IF(TRUNC(INDIRECT("'"&amp;A3431&amp;"'!"&amp;B3431))=INDIRECT("'"&amp;A3431&amp;"'!"&amp;B3431),FALSE,TRUE))</f>
        <v>0</v>
      </c>
      <c r="E3431" t="s">
        <v>436</v>
      </c>
      <c r="F3431" t="str">
        <f>INDEX(Lists!I:I,MATCH(Validation!E3431,Lists!G:G,0))</f>
        <v>Error</v>
      </c>
      <c r="G3431" t="str">
        <f>INDEX(Lists!H:H,MATCH(Validation!E3431,Lists!G:G,0))</f>
        <v>Amount must be rounded to the nearest dollar.</v>
      </c>
      <c r="H3431" s="16" t="str">
        <f t="shared" ca="1" si="378"/>
        <v/>
      </c>
      <c r="I3431" s="16" t="str">
        <f t="shared" ca="1" si="379"/>
        <v/>
      </c>
      <c r="J3431" s="17" t="str">
        <f t="shared" ca="1" si="380"/>
        <v/>
      </c>
    </row>
    <row r="3432" spans="1:10" x14ac:dyDescent="0.25">
      <c r="A3432" t="s">
        <v>651</v>
      </c>
      <c r="B3432" t="str">
        <f>ADDRESS(ROW('PAYG 1'!$B$16),COLUMN('PAYG 1'!$B$16),4)</f>
        <v>B16</v>
      </c>
      <c r="C3432" t="str">
        <f>ADDRESS(ROW('PAYG 1'!$D$16),COLUMN('PAYG 1'!$D$16),4)</f>
        <v>D16</v>
      </c>
      <c r="D3432" t="b" cm="1">
        <f t="array" aca="1" ref="D3432" ca="1">IF(INDIRECT("'"&amp;A3432&amp;"'!"&amp;B3432)="",FALSE,IF(TRUNC(INDIRECT("'"&amp;A3432&amp;"'!"&amp;B3432))=INDIRECT("'"&amp;A3432&amp;"'!"&amp;B3432),FALSE,TRUE))</f>
        <v>0</v>
      </c>
      <c r="E3432" t="s">
        <v>436</v>
      </c>
      <c r="F3432" t="str">
        <f>INDEX(Lists!I:I,MATCH(Validation!E3432,Lists!G:G,0))</f>
        <v>Error</v>
      </c>
      <c r="G3432" t="str">
        <f>INDEX(Lists!H:H,MATCH(Validation!E3432,Lists!G:G,0))</f>
        <v>Amount must be rounded to the nearest dollar.</v>
      </c>
      <c r="H3432" s="16" t="str">
        <f t="shared" ca="1" si="378"/>
        <v/>
      </c>
      <c r="I3432" s="16" t="str">
        <f t="shared" ca="1" si="379"/>
        <v/>
      </c>
      <c r="J3432" s="17" t="str">
        <f t="shared" ca="1" si="380"/>
        <v/>
      </c>
    </row>
    <row r="3433" spans="1:10" x14ac:dyDescent="0.25">
      <c r="A3433" t="s">
        <v>652</v>
      </c>
      <c r="B3433" t="str">
        <f>ADDRESS(ROW('PAYG 1'!$B$16),COLUMN('PAYG 1'!$B$16),4)</f>
        <v>B16</v>
      </c>
      <c r="C3433" t="str">
        <f>ADDRESS(ROW('PAYG 1'!$D$16),COLUMN('PAYG 1'!$D$16),4)</f>
        <v>D16</v>
      </c>
      <c r="D3433" t="b" cm="1">
        <f t="array" aca="1" ref="D3433" ca="1">IF(INDIRECT("'"&amp;A3433&amp;"'!"&amp;B3433)="",FALSE,IF(TRUNC(INDIRECT("'"&amp;A3433&amp;"'!"&amp;B3433))=INDIRECT("'"&amp;A3433&amp;"'!"&amp;B3433),FALSE,TRUE))</f>
        <v>0</v>
      </c>
      <c r="E3433" t="s">
        <v>436</v>
      </c>
      <c r="F3433" t="str">
        <f>INDEX(Lists!I:I,MATCH(Validation!E3433,Lists!G:G,0))</f>
        <v>Error</v>
      </c>
      <c r="G3433" t="str">
        <f>INDEX(Lists!H:H,MATCH(Validation!E3433,Lists!G:G,0))</f>
        <v>Amount must be rounded to the nearest dollar.</v>
      </c>
      <c r="H3433" s="16" t="str">
        <f t="shared" ca="1" si="378"/>
        <v/>
      </c>
      <c r="I3433" s="16" t="str">
        <f t="shared" ca="1" si="379"/>
        <v/>
      </c>
      <c r="J3433" s="17" t="str">
        <f t="shared" ca="1" si="380"/>
        <v/>
      </c>
    </row>
    <row r="3434" spans="1:10" x14ac:dyDescent="0.25">
      <c r="A3434" t="s">
        <v>653</v>
      </c>
      <c r="B3434" t="str">
        <f>ADDRESS(ROW('PAYG 1'!$B$16),COLUMN('PAYG 1'!$B$16),4)</f>
        <v>B16</v>
      </c>
      <c r="C3434" t="str">
        <f>ADDRESS(ROW('PAYG 1'!$D$16),COLUMN('PAYG 1'!$D$16),4)</f>
        <v>D16</v>
      </c>
      <c r="D3434" t="b" cm="1">
        <f t="array" aca="1" ref="D3434" ca="1">IF(INDIRECT("'"&amp;A3434&amp;"'!"&amp;B3434)="",FALSE,IF(TRUNC(INDIRECT("'"&amp;A3434&amp;"'!"&amp;B3434))=INDIRECT("'"&amp;A3434&amp;"'!"&amp;B3434),FALSE,TRUE))</f>
        <v>0</v>
      </c>
      <c r="E3434" t="s">
        <v>436</v>
      </c>
      <c r="F3434" t="str">
        <f>INDEX(Lists!I:I,MATCH(Validation!E3434,Lists!G:G,0))</f>
        <v>Error</v>
      </c>
      <c r="G3434" t="str">
        <f>INDEX(Lists!H:H,MATCH(Validation!E3434,Lists!G:G,0))</f>
        <v>Amount must be rounded to the nearest dollar.</v>
      </c>
      <c r="H3434" s="16" t="str">
        <f t="shared" ca="1" si="378"/>
        <v/>
      </c>
      <c r="I3434" s="16" t="str">
        <f t="shared" ca="1" si="379"/>
        <v/>
      </c>
      <c r="J3434" s="17" t="str">
        <f t="shared" ca="1" si="380"/>
        <v/>
      </c>
    </row>
    <row r="3435" spans="1:10" x14ac:dyDescent="0.25">
      <c r="A3435" t="s">
        <v>654</v>
      </c>
      <c r="B3435" t="str">
        <f>ADDRESS(ROW('PAYG 1'!$B$16),COLUMN('PAYG 1'!$B$16),4)</f>
        <v>B16</v>
      </c>
      <c r="C3435" t="str">
        <f>ADDRESS(ROW('PAYG 1'!$D$16),COLUMN('PAYG 1'!$D$16),4)</f>
        <v>D16</v>
      </c>
      <c r="D3435" t="b" cm="1">
        <f t="array" aca="1" ref="D3435" ca="1">IF(INDIRECT("'"&amp;A3435&amp;"'!"&amp;B3435)="",FALSE,IF(TRUNC(INDIRECT("'"&amp;A3435&amp;"'!"&amp;B3435))=INDIRECT("'"&amp;A3435&amp;"'!"&amp;B3435),FALSE,TRUE))</f>
        <v>0</v>
      </c>
      <c r="E3435" t="s">
        <v>436</v>
      </c>
      <c r="F3435" t="str">
        <f>INDEX(Lists!I:I,MATCH(Validation!E3435,Lists!G:G,0))</f>
        <v>Error</v>
      </c>
      <c r="G3435" t="str">
        <f>INDEX(Lists!H:H,MATCH(Validation!E3435,Lists!G:G,0))</f>
        <v>Amount must be rounded to the nearest dollar.</v>
      </c>
      <c r="H3435" s="16" t="str">
        <f t="shared" ca="1" si="378"/>
        <v/>
      </c>
      <c r="I3435" s="16" t="str">
        <f t="shared" ca="1" si="379"/>
        <v/>
      </c>
      <c r="J3435" s="17" t="str">
        <f t="shared" ca="1" si="380"/>
        <v/>
      </c>
    </row>
    <row r="3436" spans="1:10" x14ac:dyDescent="0.25">
      <c r="A3436" t="s">
        <v>655</v>
      </c>
      <c r="B3436" t="str">
        <f>ADDRESS(ROW('PAYG 1'!$B$16),COLUMN('PAYG 1'!$B$16),4)</f>
        <v>B16</v>
      </c>
      <c r="C3436" t="str">
        <f>ADDRESS(ROW('PAYG 1'!$D$16),COLUMN('PAYG 1'!$D$16),4)</f>
        <v>D16</v>
      </c>
      <c r="D3436" t="b" cm="1">
        <f t="array" aca="1" ref="D3436" ca="1">IF(INDIRECT("'"&amp;A3436&amp;"'!"&amp;B3436)="",FALSE,IF(TRUNC(INDIRECT("'"&amp;A3436&amp;"'!"&amp;B3436))=INDIRECT("'"&amp;A3436&amp;"'!"&amp;B3436),FALSE,TRUE))</f>
        <v>0</v>
      </c>
      <c r="E3436" t="s">
        <v>436</v>
      </c>
      <c r="F3436" t="str">
        <f>INDEX(Lists!I:I,MATCH(Validation!E3436,Lists!G:G,0))</f>
        <v>Error</v>
      </c>
      <c r="G3436" t="str">
        <f>INDEX(Lists!H:H,MATCH(Validation!E3436,Lists!G:G,0))</f>
        <v>Amount must be rounded to the nearest dollar.</v>
      </c>
      <c r="H3436" s="16" t="str">
        <f t="shared" ca="1" si="378"/>
        <v/>
      </c>
      <c r="I3436" s="16" t="str">
        <f t="shared" ca="1" si="379"/>
        <v/>
      </c>
      <c r="J3436" s="17" t="str">
        <f t="shared" ca="1" si="380"/>
        <v/>
      </c>
    </row>
    <row r="3437" spans="1:10" x14ac:dyDescent="0.25">
      <c r="A3437" t="s">
        <v>656</v>
      </c>
      <c r="B3437" t="str">
        <f>ADDRESS(ROW('PAYG 1'!$B$16),COLUMN('PAYG 1'!$B$16),4)</f>
        <v>B16</v>
      </c>
      <c r="C3437" t="str">
        <f>ADDRESS(ROW('PAYG 1'!$D$16),COLUMN('PAYG 1'!$D$16),4)</f>
        <v>D16</v>
      </c>
      <c r="D3437" t="b" cm="1">
        <f t="array" aca="1" ref="D3437" ca="1">IF(INDIRECT("'"&amp;A3437&amp;"'!"&amp;B3437)="",FALSE,IF(TRUNC(INDIRECT("'"&amp;A3437&amp;"'!"&amp;B3437))=INDIRECT("'"&amp;A3437&amp;"'!"&amp;B3437),FALSE,TRUE))</f>
        <v>0</v>
      </c>
      <c r="E3437" t="s">
        <v>436</v>
      </c>
      <c r="F3437" t="str">
        <f>INDEX(Lists!I:I,MATCH(Validation!E3437,Lists!G:G,0))</f>
        <v>Error</v>
      </c>
      <c r="G3437" t="str">
        <f>INDEX(Lists!H:H,MATCH(Validation!E3437,Lists!G:G,0))</f>
        <v>Amount must be rounded to the nearest dollar.</v>
      </c>
      <c r="H3437" s="16" t="str">
        <f t="shared" ca="1" si="378"/>
        <v/>
      </c>
      <c r="I3437" s="16" t="str">
        <f t="shared" ca="1" si="379"/>
        <v/>
      </c>
      <c r="J3437" s="17" t="str">
        <f t="shared" ca="1" si="380"/>
        <v/>
      </c>
    </row>
    <row r="3438" spans="1:10" x14ac:dyDescent="0.25">
      <c r="A3438" t="s">
        <v>657</v>
      </c>
      <c r="B3438" t="str">
        <f>ADDRESS(ROW('PAYG 1'!$B$16),COLUMN('PAYG 1'!$B$16),4)</f>
        <v>B16</v>
      </c>
      <c r="C3438" t="str">
        <f>ADDRESS(ROW('PAYG 1'!$D$16),COLUMN('PAYG 1'!$D$16),4)</f>
        <v>D16</v>
      </c>
      <c r="D3438" t="b" cm="1">
        <f t="array" aca="1" ref="D3438" ca="1">IF(INDIRECT("'"&amp;A3438&amp;"'!"&amp;B3438)="",FALSE,IF(TRUNC(INDIRECT("'"&amp;A3438&amp;"'!"&amp;B3438))=INDIRECT("'"&amp;A3438&amp;"'!"&amp;B3438),FALSE,TRUE))</f>
        <v>0</v>
      </c>
      <c r="E3438" t="s">
        <v>436</v>
      </c>
      <c r="F3438" t="str">
        <f>INDEX(Lists!I:I,MATCH(Validation!E3438,Lists!G:G,0))</f>
        <v>Error</v>
      </c>
      <c r="G3438" t="str">
        <f>INDEX(Lists!H:H,MATCH(Validation!E3438,Lists!G:G,0))</f>
        <v>Amount must be rounded to the nearest dollar.</v>
      </c>
      <c r="H3438" s="16" t="str">
        <f t="shared" ca="1" si="378"/>
        <v/>
      </c>
      <c r="I3438" s="16" t="str">
        <f t="shared" ca="1" si="379"/>
        <v/>
      </c>
      <c r="J3438" s="17" t="str">
        <f t="shared" ca="1" si="380"/>
        <v/>
      </c>
    </row>
    <row r="3439" spans="1:10" x14ac:dyDescent="0.25">
      <c r="A3439" t="s">
        <v>658</v>
      </c>
      <c r="B3439" t="str">
        <f>ADDRESS(ROW('PAYG 1'!$B$16),COLUMN('PAYG 1'!$B$16),4)</f>
        <v>B16</v>
      </c>
      <c r="C3439" t="str">
        <f>ADDRESS(ROW('PAYG 1'!$D$16),COLUMN('PAYG 1'!$D$16),4)</f>
        <v>D16</v>
      </c>
      <c r="D3439" t="b" cm="1">
        <f t="array" aca="1" ref="D3439" ca="1">IF(INDIRECT("'"&amp;A3439&amp;"'!"&amp;B3439)="",FALSE,IF(TRUNC(INDIRECT("'"&amp;A3439&amp;"'!"&amp;B3439))=INDIRECT("'"&amp;A3439&amp;"'!"&amp;B3439),FALSE,TRUE))</f>
        <v>0</v>
      </c>
      <c r="E3439" t="s">
        <v>436</v>
      </c>
      <c r="F3439" t="str">
        <f>INDEX(Lists!I:I,MATCH(Validation!E3439,Lists!G:G,0))</f>
        <v>Error</v>
      </c>
      <c r="G3439" t="str">
        <f>INDEX(Lists!H:H,MATCH(Validation!E3439,Lists!G:G,0))</f>
        <v>Amount must be rounded to the nearest dollar.</v>
      </c>
      <c r="H3439" s="16" t="str">
        <f t="shared" ca="1" si="378"/>
        <v/>
      </c>
      <c r="I3439" s="16" t="str">
        <f t="shared" ca="1" si="379"/>
        <v/>
      </c>
      <c r="J3439" s="17" t="str">
        <f t="shared" ca="1" si="380"/>
        <v/>
      </c>
    </row>
    <row r="3440" spans="1:10" x14ac:dyDescent="0.25">
      <c r="A3440" t="s">
        <v>659</v>
      </c>
      <c r="B3440" t="str">
        <f>ADDRESS(ROW('PAYG 1'!$B$16),COLUMN('PAYG 1'!$B$16),4)</f>
        <v>B16</v>
      </c>
      <c r="C3440" t="str">
        <f>ADDRESS(ROW('PAYG 1'!$D$16),COLUMN('PAYG 1'!$D$16),4)</f>
        <v>D16</v>
      </c>
      <c r="D3440" t="b" cm="1">
        <f t="array" aca="1" ref="D3440" ca="1">IF(INDIRECT("'"&amp;A3440&amp;"'!"&amp;B3440)="",FALSE,IF(TRUNC(INDIRECT("'"&amp;A3440&amp;"'!"&amp;B3440))=INDIRECT("'"&amp;A3440&amp;"'!"&amp;B3440),FALSE,TRUE))</f>
        <v>0</v>
      </c>
      <c r="E3440" t="s">
        <v>436</v>
      </c>
      <c r="F3440" t="str">
        <f>INDEX(Lists!I:I,MATCH(Validation!E3440,Lists!G:G,0))</f>
        <v>Error</v>
      </c>
      <c r="G3440" t="str">
        <f>INDEX(Lists!H:H,MATCH(Validation!E3440,Lists!G:G,0))</f>
        <v>Amount must be rounded to the nearest dollar.</v>
      </c>
      <c r="H3440" s="16" t="str">
        <f t="shared" ca="1" si="378"/>
        <v/>
      </c>
      <c r="I3440" s="16" t="str">
        <f t="shared" ca="1" si="379"/>
        <v/>
      </c>
      <c r="J3440" s="17" t="str">
        <f t="shared" ca="1" si="380"/>
        <v/>
      </c>
    </row>
    <row r="3441" spans="1:10" x14ac:dyDescent="0.25">
      <c r="A3441" t="s">
        <v>660</v>
      </c>
      <c r="B3441" t="str">
        <f>ADDRESS(ROW('PAYG 1'!$B$16),COLUMN('PAYG 1'!$B$16),4)</f>
        <v>B16</v>
      </c>
      <c r="C3441" t="str">
        <f>ADDRESS(ROW('PAYG 1'!$D$16),COLUMN('PAYG 1'!$D$16),4)</f>
        <v>D16</v>
      </c>
      <c r="D3441" t="b" cm="1">
        <f t="array" aca="1" ref="D3441" ca="1">IF(INDIRECT("'"&amp;A3441&amp;"'!"&amp;B3441)="",FALSE,IF(TRUNC(INDIRECT("'"&amp;A3441&amp;"'!"&amp;B3441))=INDIRECT("'"&amp;A3441&amp;"'!"&amp;B3441),FALSE,TRUE))</f>
        <v>0</v>
      </c>
      <c r="E3441" t="s">
        <v>436</v>
      </c>
      <c r="F3441" t="str">
        <f>INDEX(Lists!I:I,MATCH(Validation!E3441,Lists!G:G,0))</f>
        <v>Error</v>
      </c>
      <c r="G3441" t="str">
        <f>INDEX(Lists!H:H,MATCH(Validation!E3441,Lists!G:G,0))</f>
        <v>Amount must be rounded to the nearest dollar.</v>
      </c>
      <c r="H3441" s="16" t="str">
        <f t="shared" ca="1" si="378"/>
        <v/>
      </c>
      <c r="I3441" s="16" t="str">
        <f t="shared" ca="1" si="379"/>
        <v/>
      </c>
      <c r="J3441" s="17" t="str">
        <f t="shared" ca="1" si="380"/>
        <v/>
      </c>
    </row>
    <row r="3442" spans="1:10" x14ac:dyDescent="0.25">
      <c r="A3442" t="s">
        <v>661</v>
      </c>
      <c r="B3442" t="str">
        <f>ADDRESS(ROW('PAYG 1'!$B$16),COLUMN('PAYG 1'!$B$16),4)</f>
        <v>B16</v>
      </c>
      <c r="C3442" t="str">
        <f>ADDRESS(ROW('PAYG 1'!$D$16),COLUMN('PAYG 1'!$D$16),4)</f>
        <v>D16</v>
      </c>
      <c r="D3442" t="b" cm="1">
        <f t="array" aca="1" ref="D3442" ca="1">IF(INDIRECT("'"&amp;A3442&amp;"'!"&amp;B3442)="",FALSE,IF(TRUNC(INDIRECT("'"&amp;A3442&amp;"'!"&amp;B3442))=INDIRECT("'"&amp;A3442&amp;"'!"&amp;B3442),FALSE,TRUE))</f>
        <v>0</v>
      </c>
      <c r="E3442" t="s">
        <v>436</v>
      </c>
      <c r="F3442" t="str">
        <f>INDEX(Lists!I:I,MATCH(Validation!E3442,Lists!G:G,0))</f>
        <v>Error</v>
      </c>
      <c r="G3442" t="str">
        <f>INDEX(Lists!H:H,MATCH(Validation!E3442,Lists!G:G,0))</f>
        <v>Amount must be rounded to the nearest dollar.</v>
      </c>
      <c r="H3442" s="16" t="str">
        <f t="shared" ca="1" si="378"/>
        <v/>
      </c>
      <c r="I3442" s="16" t="str">
        <f t="shared" ca="1" si="379"/>
        <v/>
      </c>
      <c r="J3442" s="17" t="str">
        <f t="shared" ca="1" si="380"/>
        <v/>
      </c>
    </row>
    <row r="3443" spans="1:10" x14ac:dyDescent="0.25">
      <c r="A3443" t="s">
        <v>662</v>
      </c>
      <c r="B3443" t="str">
        <f>ADDRESS(ROW('PAYG 1'!$B$16),COLUMN('PAYG 1'!$B$16),4)</f>
        <v>B16</v>
      </c>
      <c r="C3443" t="str">
        <f>ADDRESS(ROW('PAYG 1'!$D$16),COLUMN('PAYG 1'!$D$16),4)</f>
        <v>D16</v>
      </c>
      <c r="D3443" t="b" cm="1">
        <f t="array" aca="1" ref="D3443" ca="1">IF(INDIRECT("'"&amp;A3443&amp;"'!"&amp;B3443)="",FALSE,IF(TRUNC(INDIRECT("'"&amp;A3443&amp;"'!"&amp;B3443))=INDIRECT("'"&amp;A3443&amp;"'!"&amp;B3443),FALSE,TRUE))</f>
        <v>0</v>
      </c>
      <c r="E3443" t="s">
        <v>436</v>
      </c>
      <c r="F3443" t="str">
        <f>INDEX(Lists!I:I,MATCH(Validation!E3443,Lists!G:G,0))</f>
        <v>Error</v>
      </c>
      <c r="G3443" t="str">
        <f>INDEX(Lists!H:H,MATCH(Validation!E3443,Lists!G:G,0))</f>
        <v>Amount must be rounded to the nearest dollar.</v>
      </c>
      <c r="H3443" s="16" t="str">
        <f t="shared" ca="1" si="378"/>
        <v/>
      </c>
      <c r="I3443" s="16" t="str">
        <f t="shared" ca="1" si="379"/>
        <v/>
      </c>
      <c r="J3443" s="17" t="str">
        <f t="shared" ca="1" si="380"/>
        <v/>
      </c>
    </row>
    <row r="3444" spans="1:10" x14ac:dyDescent="0.25">
      <c r="A3444" t="s">
        <v>663</v>
      </c>
      <c r="B3444" t="str">
        <f>ADDRESS(ROW('PAYG 1'!$B$16),COLUMN('PAYG 1'!$B$16),4)</f>
        <v>B16</v>
      </c>
      <c r="C3444" t="str">
        <f>ADDRESS(ROW('PAYG 1'!$D$16),COLUMN('PAYG 1'!$D$16),4)</f>
        <v>D16</v>
      </c>
      <c r="D3444" t="b" cm="1">
        <f t="array" aca="1" ref="D3444" ca="1">IF(INDIRECT("'"&amp;A3444&amp;"'!"&amp;B3444)="",FALSE,IF(TRUNC(INDIRECT("'"&amp;A3444&amp;"'!"&amp;B3444))=INDIRECT("'"&amp;A3444&amp;"'!"&amp;B3444),FALSE,TRUE))</f>
        <v>0</v>
      </c>
      <c r="E3444" t="s">
        <v>436</v>
      </c>
      <c r="F3444" t="str">
        <f>INDEX(Lists!I:I,MATCH(Validation!E3444,Lists!G:G,0))</f>
        <v>Error</v>
      </c>
      <c r="G3444" t="str">
        <f>INDEX(Lists!H:H,MATCH(Validation!E3444,Lists!G:G,0))</f>
        <v>Amount must be rounded to the nearest dollar.</v>
      </c>
      <c r="H3444" s="16" t="str">
        <f t="shared" ca="1" si="378"/>
        <v/>
      </c>
      <c r="I3444" s="16" t="str">
        <f t="shared" ca="1" si="379"/>
        <v/>
      </c>
      <c r="J3444" s="17" t="str">
        <f t="shared" ca="1" si="380"/>
        <v/>
      </c>
    </row>
    <row r="3445" spans="1:10" x14ac:dyDescent="0.25">
      <c r="A3445" t="s">
        <v>664</v>
      </c>
      <c r="B3445" t="str">
        <f>ADDRESS(ROW('PAYG 1'!$B$16),COLUMN('PAYG 1'!$B$16),4)</f>
        <v>B16</v>
      </c>
      <c r="C3445" t="str">
        <f>ADDRESS(ROW('PAYG 1'!$D$16),COLUMN('PAYG 1'!$D$16),4)</f>
        <v>D16</v>
      </c>
      <c r="D3445" t="b" cm="1">
        <f t="array" aca="1" ref="D3445" ca="1">IF(INDIRECT("'"&amp;A3445&amp;"'!"&amp;B3445)="",FALSE,IF(TRUNC(INDIRECT("'"&amp;A3445&amp;"'!"&amp;B3445))=INDIRECT("'"&amp;A3445&amp;"'!"&amp;B3445),FALSE,TRUE))</f>
        <v>0</v>
      </c>
      <c r="E3445" t="s">
        <v>436</v>
      </c>
      <c r="F3445" t="str">
        <f>INDEX(Lists!I:I,MATCH(Validation!E3445,Lists!G:G,0))</f>
        <v>Error</v>
      </c>
      <c r="G3445" t="str">
        <f>INDEX(Lists!H:H,MATCH(Validation!E3445,Lists!G:G,0))</f>
        <v>Amount must be rounded to the nearest dollar.</v>
      </c>
      <c r="H3445" s="16" t="str">
        <f t="shared" ca="1" si="378"/>
        <v/>
      </c>
      <c r="I3445" s="16" t="str">
        <f t="shared" ca="1" si="379"/>
        <v/>
      </c>
      <c r="J3445" s="17" t="str">
        <f t="shared" ca="1" si="380"/>
        <v/>
      </c>
    </row>
    <row r="3446" spans="1:10" x14ac:dyDescent="0.25">
      <c r="A3446" t="s">
        <v>203</v>
      </c>
      <c r="B3446" t="str">
        <f>ADDRESS(ROW('PAYG 1'!$C$16),COLUMN('PAYG 1'!$C$16),4)</f>
        <v>C16</v>
      </c>
      <c r="C3446" t="str">
        <f>ADDRESS(ROW('PAYG 1'!$D$16),COLUMN('PAYG 1'!$D$16),4)</f>
        <v>D16</v>
      </c>
      <c r="D3446" t="b" cm="1">
        <f t="array" aca="1" ref="D3446" ca="1">IF(INDIRECT("'"&amp;A3446&amp;"'!"&amp;B3446)="",FALSE,IF(NOT(ISNUMBER(INDIRECT("'"&amp;A3446&amp;"'!"&amp;B3446))),TRUE,FALSE))</f>
        <v>0</v>
      </c>
      <c r="E3446" t="s">
        <v>435</v>
      </c>
      <c r="F3446" t="str">
        <f>INDEX(Lists!I:I,MATCH(Validation!E3446,Lists!G:G,0))</f>
        <v>Error</v>
      </c>
      <c r="G3446" t="str">
        <f>INDEX(Lists!H:H,MATCH(Validation!E3446,Lists!G:G,0))</f>
        <v>Enter an amount only. Do not enter text or spaces.</v>
      </c>
      <c r="H3446" s="16" t="str">
        <f t="shared" ref="H3446:H3490" ca="1" si="381">IFERROR(IF(OR(NOT(D3446),F3446&lt;&gt;"Error"),"",A3446&amp;CELL("address",INDIRECT(B3446))),"")</f>
        <v/>
      </c>
      <c r="I3446" s="16" t="str">
        <f t="shared" ref="I3446:I3490" ca="1" si="382">IFERROR(IF(NOT(D3446),"",A3446&amp;CELL("address",INDIRECT(C3446))),"")</f>
        <v/>
      </c>
      <c r="J3446" s="17" t="str">
        <f t="shared" ref="J3446:J3490" ca="1" si="383">IFERROR(IF(NOT(D3446),"",A3446),"")</f>
        <v/>
      </c>
    </row>
    <row r="3447" spans="1:10" x14ac:dyDescent="0.25">
      <c r="A3447" t="s">
        <v>651</v>
      </c>
      <c r="B3447" t="str">
        <f>ADDRESS(ROW('PAYG 1'!$C$16),COLUMN('PAYG 1'!$C$16),4)</f>
        <v>C16</v>
      </c>
      <c r="C3447" t="str">
        <f>ADDRESS(ROW('PAYG 1'!$D$16),COLUMN('PAYG 1'!$D$16),4)</f>
        <v>D16</v>
      </c>
      <c r="D3447" t="b" cm="1">
        <f t="array" aca="1" ref="D3447" ca="1">IF(INDIRECT("'"&amp;A3447&amp;"'!"&amp;B3447)="",FALSE,IF(NOT(ISNUMBER(INDIRECT("'"&amp;A3447&amp;"'!"&amp;B3447))),TRUE,FALSE))</f>
        <v>0</v>
      </c>
      <c r="E3447" t="s">
        <v>435</v>
      </c>
      <c r="F3447" t="str">
        <f>INDEX(Lists!I:I,MATCH(Validation!E3447,Lists!G:G,0))</f>
        <v>Error</v>
      </c>
      <c r="G3447" t="str">
        <f>INDEX(Lists!H:H,MATCH(Validation!E3447,Lists!G:G,0))</f>
        <v>Enter an amount only. Do not enter text or spaces.</v>
      </c>
      <c r="H3447" s="16" t="str">
        <f t="shared" ca="1" si="381"/>
        <v/>
      </c>
      <c r="I3447" s="16" t="str">
        <f t="shared" ca="1" si="382"/>
        <v/>
      </c>
      <c r="J3447" s="17" t="str">
        <f t="shared" ca="1" si="383"/>
        <v/>
      </c>
    </row>
    <row r="3448" spans="1:10" x14ac:dyDescent="0.25">
      <c r="A3448" t="s">
        <v>652</v>
      </c>
      <c r="B3448" t="str">
        <f>ADDRESS(ROW('PAYG 1'!$C$16),COLUMN('PAYG 1'!$C$16),4)</f>
        <v>C16</v>
      </c>
      <c r="C3448" t="str">
        <f>ADDRESS(ROW('PAYG 1'!$D$16),COLUMN('PAYG 1'!$D$16),4)</f>
        <v>D16</v>
      </c>
      <c r="D3448" t="b" cm="1">
        <f t="array" aca="1" ref="D3448" ca="1">IF(INDIRECT("'"&amp;A3448&amp;"'!"&amp;B3448)="",FALSE,IF(NOT(ISNUMBER(INDIRECT("'"&amp;A3448&amp;"'!"&amp;B3448))),TRUE,FALSE))</f>
        <v>0</v>
      </c>
      <c r="E3448" t="s">
        <v>435</v>
      </c>
      <c r="F3448" t="str">
        <f>INDEX(Lists!I:I,MATCH(Validation!E3448,Lists!G:G,0))</f>
        <v>Error</v>
      </c>
      <c r="G3448" t="str">
        <f>INDEX(Lists!H:H,MATCH(Validation!E3448,Lists!G:G,0))</f>
        <v>Enter an amount only. Do not enter text or spaces.</v>
      </c>
      <c r="H3448" s="16" t="str">
        <f t="shared" ca="1" si="381"/>
        <v/>
      </c>
      <c r="I3448" s="16" t="str">
        <f t="shared" ca="1" si="382"/>
        <v/>
      </c>
      <c r="J3448" s="17" t="str">
        <f t="shared" ca="1" si="383"/>
        <v/>
      </c>
    </row>
    <row r="3449" spans="1:10" x14ac:dyDescent="0.25">
      <c r="A3449" t="s">
        <v>653</v>
      </c>
      <c r="B3449" t="str">
        <f>ADDRESS(ROW('PAYG 1'!$C$16),COLUMN('PAYG 1'!$C$16),4)</f>
        <v>C16</v>
      </c>
      <c r="C3449" t="str">
        <f>ADDRESS(ROW('PAYG 1'!$D$16),COLUMN('PAYG 1'!$D$16),4)</f>
        <v>D16</v>
      </c>
      <c r="D3449" t="b" cm="1">
        <f t="array" aca="1" ref="D3449" ca="1">IF(INDIRECT("'"&amp;A3449&amp;"'!"&amp;B3449)="",FALSE,IF(NOT(ISNUMBER(INDIRECT("'"&amp;A3449&amp;"'!"&amp;B3449))),TRUE,FALSE))</f>
        <v>0</v>
      </c>
      <c r="E3449" t="s">
        <v>435</v>
      </c>
      <c r="F3449" t="str">
        <f>INDEX(Lists!I:I,MATCH(Validation!E3449,Lists!G:G,0))</f>
        <v>Error</v>
      </c>
      <c r="G3449" t="str">
        <f>INDEX(Lists!H:H,MATCH(Validation!E3449,Lists!G:G,0))</f>
        <v>Enter an amount only. Do not enter text or spaces.</v>
      </c>
      <c r="H3449" s="16" t="str">
        <f t="shared" ca="1" si="381"/>
        <v/>
      </c>
      <c r="I3449" s="16" t="str">
        <f t="shared" ca="1" si="382"/>
        <v/>
      </c>
      <c r="J3449" s="17" t="str">
        <f t="shared" ca="1" si="383"/>
        <v/>
      </c>
    </row>
    <row r="3450" spans="1:10" x14ac:dyDescent="0.25">
      <c r="A3450" t="s">
        <v>654</v>
      </c>
      <c r="B3450" t="str">
        <f>ADDRESS(ROW('PAYG 1'!$C$16),COLUMN('PAYG 1'!$C$16),4)</f>
        <v>C16</v>
      </c>
      <c r="C3450" t="str">
        <f>ADDRESS(ROW('PAYG 1'!$D$16),COLUMN('PAYG 1'!$D$16),4)</f>
        <v>D16</v>
      </c>
      <c r="D3450" t="b" cm="1">
        <f t="array" aca="1" ref="D3450" ca="1">IF(INDIRECT("'"&amp;A3450&amp;"'!"&amp;B3450)="",FALSE,IF(NOT(ISNUMBER(INDIRECT("'"&amp;A3450&amp;"'!"&amp;B3450))),TRUE,FALSE))</f>
        <v>0</v>
      </c>
      <c r="E3450" t="s">
        <v>435</v>
      </c>
      <c r="F3450" t="str">
        <f>INDEX(Lists!I:I,MATCH(Validation!E3450,Lists!G:G,0))</f>
        <v>Error</v>
      </c>
      <c r="G3450" t="str">
        <f>INDEX(Lists!H:H,MATCH(Validation!E3450,Lists!G:G,0))</f>
        <v>Enter an amount only. Do not enter text or spaces.</v>
      </c>
      <c r="H3450" s="16" t="str">
        <f t="shared" ca="1" si="381"/>
        <v/>
      </c>
      <c r="I3450" s="16" t="str">
        <f t="shared" ca="1" si="382"/>
        <v/>
      </c>
      <c r="J3450" s="17" t="str">
        <f t="shared" ca="1" si="383"/>
        <v/>
      </c>
    </row>
    <row r="3451" spans="1:10" x14ac:dyDescent="0.25">
      <c r="A3451" t="s">
        <v>655</v>
      </c>
      <c r="B3451" t="str">
        <f>ADDRESS(ROW('PAYG 1'!$C$16),COLUMN('PAYG 1'!$C$16),4)</f>
        <v>C16</v>
      </c>
      <c r="C3451" t="str">
        <f>ADDRESS(ROW('PAYG 1'!$D$16),COLUMN('PAYG 1'!$D$16),4)</f>
        <v>D16</v>
      </c>
      <c r="D3451" t="b" cm="1">
        <f t="array" aca="1" ref="D3451" ca="1">IF(INDIRECT("'"&amp;A3451&amp;"'!"&amp;B3451)="",FALSE,IF(NOT(ISNUMBER(INDIRECT("'"&amp;A3451&amp;"'!"&amp;B3451))),TRUE,FALSE))</f>
        <v>0</v>
      </c>
      <c r="E3451" t="s">
        <v>435</v>
      </c>
      <c r="F3451" t="str">
        <f>INDEX(Lists!I:I,MATCH(Validation!E3451,Lists!G:G,0))</f>
        <v>Error</v>
      </c>
      <c r="G3451" t="str">
        <f>INDEX(Lists!H:H,MATCH(Validation!E3451,Lists!G:G,0))</f>
        <v>Enter an amount only. Do not enter text or spaces.</v>
      </c>
      <c r="H3451" s="16" t="str">
        <f t="shared" ca="1" si="381"/>
        <v/>
      </c>
      <c r="I3451" s="16" t="str">
        <f t="shared" ca="1" si="382"/>
        <v/>
      </c>
      <c r="J3451" s="17" t="str">
        <f t="shared" ca="1" si="383"/>
        <v/>
      </c>
    </row>
    <row r="3452" spans="1:10" x14ac:dyDescent="0.25">
      <c r="A3452" t="s">
        <v>656</v>
      </c>
      <c r="B3452" t="str">
        <f>ADDRESS(ROW('PAYG 1'!$C$16),COLUMN('PAYG 1'!$C$16),4)</f>
        <v>C16</v>
      </c>
      <c r="C3452" t="str">
        <f>ADDRESS(ROW('PAYG 1'!$D$16),COLUMN('PAYG 1'!$D$16),4)</f>
        <v>D16</v>
      </c>
      <c r="D3452" t="b" cm="1">
        <f t="array" aca="1" ref="D3452" ca="1">IF(INDIRECT("'"&amp;A3452&amp;"'!"&amp;B3452)="",FALSE,IF(NOT(ISNUMBER(INDIRECT("'"&amp;A3452&amp;"'!"&amp;B3452))),TRUE,FALSE))</f>
        <v>0</v>
      </c>
      <c r="E3452" t="s">
        <v>435</v>
      </c>
      <c r="F3452" t="str">
        <f>INDEX(Lists!I:I,MATCH(Validation!E3452,Lists!G:G,0))</f>
        <v>Error</v>
      </c>
      <c r="G3452" t="str">
        <f>INDEX(Lists!H:H,MATCH(Validation!E3452,Lists!G:G,0))</f>
        <v>Enter an amount only. Do not enter text or spaces.</v>
      </c>
      <c r="H3452" s="16" t="str">
        <f t="shared" ca="1" si="381"/>
        <v/>
      </c>
      <c r="I3452" s="16" t="str">
        <f t="shared" ca="1" si="382"/>
        <v/>
      </c>
      <c r="J3452" s="17" t="str">
        <f t="shared" ca="1" si="383"/>
        <v/>
      </c>
    </row>
    <row r="3453" spans="1:10" x14ac:dyDescent="0.25">
      <c r="A3453" t="s">
        <v>657</v>
      </c>
      <c r="B3453" t="str">
        <f>ADDRESS(ROW('PAYG 1'!$C$16),COLUMN('PAYG 1'!$C$16),4)</f>
        <v>C16</v>
      </c>
      <c r="C3453" t="str">
        <f>ADDRESS(ROW('PAYG 1'!$D$16),COLUMN('PAYG 1'!$D$16),4)</f>
        <v>D16</v>
      </c>
      <c r="D3453" t="b" cm="1">
        <f t="array" aca="1" ref="D3453" ca="1">IF(INDIRECT("'"&amp;A3453&amp;"'!"&amp;B3453)="",FALSE,IF(NOT(ISNUMBER(INDIRECT("'"&amp;A3453&amp;"'!"&amp;B3453))),TRUE,FALSE))</f>
        <v>0</v>
      </c>
      <c r="E3453" t="s">
        <v>435</v>
      </c>
      <c r="F3453" t="str">
        <f>INDEX(Lists!I:I,MATCH(Validation!E3453,Lists!G:G,0))</f>
        <v>Error</v>
      </c>
      <c r="G3453" t="str">
        <f>INDEX(Lists!H:H,MATCH(Validation!E3453,Lists!G:G,0))</f>
        <v>Enter an amount only. Do not enter text or spaces.</v>
      </c>
      <c r="H3453" s="16" t="str">
        <f t="shared" ca="1" si="381"/>
        <v/>
      </c>
      <c r="I3453" s="16" t="str">
        <f t="shared" ca="1" si="382"/>
        <v/>
      </c>
      <c r="J3453" s="17" t="str">
        <f t="shared" ca="1" si="383"/>
        <v/>
      </c>
    </row>
    <row r="3454" spans="1:10" x14ac:dyDescent="0.25">
      <c r="A3454" t="s">
        <v>658</v>
      </c>
      <c r="B3454" t="str">
        <f>ADDRESS(ROW('PAYG 1'!$C$16),COLUMN('PAYG 1'!$C$16),4)</f>
        <v>C16</v>
      </c>
      <c r="C3454" t="str">
        <f>ADDRESS(ROW('PAYG 1'!$D$16),COLUMN('PAYG 1'!$D$16),4)</f>
        <v>D16</v>
      </c>
      <c r="D3454" t="b" cm="1">
        <f t="array" aca="1" ref="D3454" ca="1">IF(INDIRECT("'"&amp;A3454&amp;"'!"&amp;B3454)="",FALSE,IF(NOT(ISNUMBER(INDIRECT("'"&amp;A3454&amp;"'!"&amp;B3454))),TRUE,FALSE))</f>
        <v>0</v>
      </c>
      <c r="E3454" t="s">
        <v>435</v>
      </c>
      <c r="F3454" t="str">
        <f>INDEX(Lists!I:I,MATCH(Validation!E3454,Lists!G:G,0))</f>
        <v>Error</v>
      </c>
      <c r="G3454" t="str">
        <f>INDEX(Lists!H:H,MATCH(Validation!E3454,Lists!G:G,0))</f>
        <v>Enter an amount only. Do not enter text or spaces.</v>
      </c>
      <c r="H3454" s="16" t="str">
        <f t="shared" ca="1" si="381"/>
        <v/>
      </c>
      <c r="I3454" s="16" t="str">
        <f t="shared" ca="1" si="382"/>
        <v/>
      </c>
      <c r="J3454" s="17" t="str">
        <f t="shared" ca="1" si="383"/>
        <v/>
      </c>
    </row>
    <row r="3455" spans="1:10" x14ac:dyDescent="0.25">
      <c r="A3455" t="s">
        <v>659</v>
      </c>
      <c r="B3455" t="str">
        <f>ADDRESS(ROW('PAYG 1'!$C$16),COLUMN('PAYG 1'!$C$16),4)</f>
        <v>C16</v>
      </c>
      <c r="C3455" t="str">
        <f>ADDRESS(ROW('PAYG 1'!$D$16),COLUMN('PAYG 1'!$D$16),4)</f>
        <v>D16</v>
      </c>
      <c r="D3455" t="b" cm="1">
        <f t="array" aca="1" ref="D3455" ca="1">IF(INDIRECT("'"&amp;A3455&amp;"'!"&amp;B3455)="",FALSE,IF(NOT(ISNUMBER(INDIRECT("'"&amp;A3455&amp;"'!"&amp;B3455))),TRUE,FALSE))</f>
        <v>0</v>
      </c>
      <c r="E3455" t="s">
        <v>435</v>
      </c>
      <c r="F3455" t="str">
        <f>INDEX(Lists!I:I,MATCH(Validation!E3455,Lists!G:G,0))</f>
        <v>Error</v>
      </c>
      <c r="G3455" t="str">
        <f>INDEX(Lists!H:H,MATCH(Validation!E3455,Lists!G:G,0))</f>
        <v>Enter an amount only. Do not enter text or spaces.</v>
      </c>
      <c r="H3455" s="16" t="str">
        <f t="shared" ca="1" si="381"/>
        <v/>
      </c>
      <c r="I3455" s="16" t="str">
        <f t="shared" ca="1" si="382"/>
        <v/>
      </c>
      <c r="J3455" s="17" t="str">
        <f t="shared" ca="1" si="383"/>
        <v/>
      </c>
    </row>
    <row r="3456" spans="1:10" x14ac:dyDescent="0.25">
      <c r="A3456" t="s">
        <v>660</v>
      </c>
      <c r="B3456" t="str">
        <f>ADDRESS(ROW('PAYG 1'!$C$16),COLUMN('PAYG 1'!$C$16),4)</f>
        <v>C16</v>
      </c>
      <c r="C3456" t="str">
        <f>ADDRESS(ROW('PAYG 1'!$D$16),COLUMN('PAYG 1'!$D$16),4)</f>
        <v>D16</v>
      </c>
      <c r="D3456" t="b" cm="1">
        <f t="array" aca="1" ref="D3456" ca="1">IF(INDIRECT("'"&amp;A3456&amp;"'!"&amp;B3456)="",FALSE,IF(NOT(ISNUMBER(INDIRECT("'"&amp;A3456&amp;"'!"&amp;B3456))),TRUE,FALSE))</f>
        <v>0</v>
      </c>
      <c r="E3456" t="s">
        <v>435</v>
      </c>
      <c r="F3456" t="str">
        <f>INDEX(Lists!I:I,MATCH(Validation!E3456,Lists!G:G,0))</f>
        <v>Error</v>
      </c>
      <c r="G3456" t="str">
        <f>INDEX(Lists!H:H,MATCH(Validation!E3456,Lists!G:G,0))</f>
        <v>Enter an amount only. Do not enter text or spaces.</v>
      </c>
      <c r="H3456" s="16" t="str">
        <f t="shared" ca="1" si="381"/>
        <v/>
      </c>
      <c r="I3456" s="16" t="str">
        <f t="shared" ca="1" si="382"/>
        <v/>
      </c>
      <c r="J3456" s="17" t="str">
        <f t="shared" ca="1" si="383"/>
        <v/>
      </c>
    </row>
    <row r="3457" spans="1:10" x14ac:dyDescent="0.25">
      <c r="A3457" t="s">
        <v>661</v>
      </c>
      <c r="B3457" t="str">
        <f>ADDRESS(ROW('PAYG 1'!$C$16),COLUMN('PAYG 1'!$C$16),4)</f>
        <v>C16</v>
      </c>
      <c r="C3457" t="str">
        <f>ADDRESS(ROW('PAYG 1'!$D$16),COLUMN('PAYG 1'!$D$16),4)</f>
        <v>D16</v>
      </c>
      <c r="D3457" t="b" cm="1">
        <f t="array" aca="1" ref="D3457" ca="1">IF(INDIRECT("'"&amp;A3457&amp;"'!"&amp;B3457)="",FALSE,IF(NOT(ISNUMBER(INDIRECT("'"&amp;A3457&amp;"'!"&amp;B3457))),TRUE,FALSE))</f>
        <v>0</v>
      </c>
      <c r="E3457" t="s">
        <v>435</v>
      </c>
      <c r="F3457" t="str">
        <f>INDEX(Lists!I:I,MATCH(Validation!E3457,Lists!G:G,0))</f>
        <v>Error</v>
      </c>
      <c r="G3457" t="str">
        <f>INDEX(Lists!H:H,MATCH(Validation!E3457,Lists!G:G,0))</f>
        <v>Enter an amount only. Do not enter text or spaces.</v>
      </c>
      <c r="H3457" s="16" t="str">
        <f t="shared" ca="1" si="381"/>
        <v/>
      </c>
      <c r="I3457" s="16" t="str">
        <f t="shared" ca="1" si="382"/>
        <v/>
      </c>
      <c r="J3457" s="17" t="str">
        <f t="shared" ca="1" si="383"/>
        <v/>
      </c>
    </row>
    <row r="3458" spans="1:10" x14ac:dyDescent="0.25">
      <c r="A3458" t="s">
        <v>662</v>
      </c>
      <c r="B3458" t="str">
        <f>ADDRESS(ROW('PAYG 1'!$C$16),COLUMN('PAYG 1'!$C$16),4)</f>
        <v>C16</v>
      </c>
      <c r="C3458" t="str">
        <f>ADDRESS(ROW('PAYG 1'!$D$16),COLUMN('PAYG 1'!$D$16),4)</f>
        <v>D16</v>
      </c>
      <c r="D3458" t="b" cm="1">
        <f t="array" aca="1" ref="D3458" ca="1">IF(INDIRECT("'"&amp;A3458&amp;"'!"&amp;B3458)="",FALSE,IF(NOT(ISNUMBER(INDIRECT("'"&amp;A3458&amp;"'!"&amp;B3458))),TRUE,FALSE))</f>
        <v>0</v>
      </c>
      <c r="E3458" t="s">
        <v>435</v>
      </c>
      <c r="F3458" t="str">
        <f>INDEX(Lists!I:I,MATCH(Validation!E3458,Lists!G:G,0))</f>
        <v>Error</v>
      </c>
      <c r="G3458" t="str">
        <f>INDEX(Lists!H:H,MATCH(Validation!E3458,Lists!G:G,0))</f>
        <v>Enter an amount only. Do not enter text or spaces.</v>
      </c>
      <c r="H3458" s="16" t="str">
        <f t="shared" ca="1" si="381"/>
        <v/>
      </c>
      <c r="I3458" s="16" t="str">
        <f t="shared" ca="1" si="382"/>
        <v/>
      </c>
      <c r="J3458" s="17" t="str">
        <f t="shared" ca="1" si="383"/>
        <v/>
      </c>
    </row>
    <row r="3459" spans="1:10" x14ac:dyDescent="0.25">
      <c r="A3459" t="s">
        <v>663</v>
      </c>
      <c r="B3459" t="str">
        <f>ADDRESS(ROW('PAYG 1'!$C$16),COLUMN('PAYG 1'!$C$16),4)</f>
        <v>C16</v>
      </c>
      <c r="C3459" t="str">
        <f>ADDRESS(ROW('PAYG 1'!$D$16),COLUMN('PAYG 1'!$D$16),4)</f>
        <v>D16</v>
      </c>
      <c r="D3459" t="b" cm="1">
        <f t="array" aca="1" ref="D3459" ca="1">IF(INDIRECT("'"&amp;A3459&amp;"'!"&amp;B3459)="",FALSE,IF(NOT(ISNUMBER(INDIRECT("'"&amp;A3459&amp;"'!"&amp;B3459))),TRUE,FALSE))</f>
        <v>0</v>
      </c>
      <c r="E3459" t="s">
        <v>435</v>
      </c>
      <c r="F3459" t="str">
        <f>INDEX(Lists!I:I,MATCH(Validation!E3459,Lists!G:G,0))</f>
        <v>Error</v>
      </c>
      <c r="G3459" t="str">
        <f>INDEX(Lists!H:H,MATCH(Validation!E3459,Lists!G:G,0))</f>
        <v>Enter an amount only. Do not enter text or spaces.</v>
      </c>
      <c r="H3459" s="16" t="str">
        <f t="shared" ca="1" si="381"/>
        <v/>
      </c>
      <c r="I3459" s="16" t="str">
        <f t="shared" ca="1" si="382"/>
        <v/>
      </c>
      <c r="J3459" s="17" t="str">
        <f t="shared" ca="1" si="383"/>
        <v/>
      </c>
    </row>
    <row r="3460" spans="1:10" x14ac:dyDescent="0.25">
      <c r="A3460" t="s">
        <v>664</v>
      </c>
      <c r="B3460" t="str">
        <f>ADDRESS(ROW('PAYG 1'!$C$16),COLUMN('PAYG 1'!$C$16),4)</f>
        <v>C16</v>
      </c>
      <c r="C3460" t="str">
        <f>ADDRESS(ROW('PAYG 1'!$D$16),COLUMN('PAYG 1'!$D$16),4)</f>
        <v>D16</v>
      </c>
      <c r="D3460" t="b" cm="1">
        <f t="array" aca="1" ref="D3460" ca="1">IF(INDIRECT("'"&amp;A3460&amp;"'!"&amp;B3460)="",FALSE,IF(NOT(ISNUMBER(INDIRECT("'"&amp;A3460&amp;"'!"&amp;B3460))),TRUE,FALSE))</f>
        <v>0</v>
      </c>
      <c r="E3460" t="s">
        <v>435</v>
      </c>
      <c r="F3460" t="str">
        <f>INDEX(Lists!I:I,MATCH(Validation!E3460,Lists!G:G,0))</f>
        <v>Error</v>
      </c>
      <c r="G3460" t="str">
        <f>INDEX(Lists!H:H,MATCH(Validation!E3460,Lists!G:G,0))</f>
        <v>Enter an amount only. Do not enter text or spaces.</v>
      </c>
      <c r="H3460" s="16" t="str">
        <f t="shared" ca="1" si="381"/>
        <v/>
      </c>
      <c r="I3460" s="16" t="str">
        <f t="shared" ca="1" si="382"/>
        <v/>
      </c>
      <c r="J3460" s="17" t="str">
        <f t="shared" ca="1" si="383"/>
        <v/>
      </c>
    </row>
    <row r="3461" spans="1:10" x14ac:dyDescent="0.25">
      <c r="A3461" t="s">
        <v>203</v>
      </c>
      <c r="B3461" t="str">
        <f>ADDRESS(ROW('PAYG 1'!$C$16),COLUMN('PAYG 1'!$C$16),4)</f>
        <v>C16</v>
      </c>
      <c r="C3461" t="str">
        <f>ADDRESS(ROW('PAYG 1'!$D$16),COLUMN('PAYG 1'!$D$16),4)</f>
        <v>D16</v>
      </c>
      <c r="D3461" t="b" cm="1">
        <f t="array" aca="1" ref="D3461" ca="1">IF(INDIRECT("'"&amp;A3461&amp;"'!"&amp;B3461)="",FALSE,IF(INDIRECT("'"&amp;A3461&amp;"'!"&amp;B3461)&lt;0,TRUE,FALSE))</f>
        <v>0</v>
      </c>
      <c r="E3461" t="s">
        <v>434</v>
      </c>
      <c r="F3461" t="str">
        <f>INDEX(Lists!I:I,MATCH(Validation!E3461,Lists!G:G,0))</f>
        <v>Error</v>
      </c>
      <c r="G3461" t="str">
        <f>INDEX(Lists!H:H,MATCH(Validation!E3461,Lists!G:G,0))</f>
        <v>Amount may not be negative. Enter an amount greater than or equal to zero.</v>
      </c>
      <c r="H3461" s="16" t="str">
        <f t="shared" ca="1" si="381"/>
        <v/>
      </c>
      <c r="I3461" s="16" t="str">
        <f t="shared" ca="1" si="382"/>
        <v/>
      </c>
      <c r="J3461" s="17" t="str">
        <f t="shared" ca="1" si="383"/>
        <v/>
      </c>
    </row>
    <row r="3462" spans="1:10" x14ac:dyDescent="0.25">
      <c r="A3462" t="s">
        <v>651</v>
      </c>
      <c r="B3462" t="str">
        <f>ADDRESS(ROW('PAYG 1'!$C$16),COLUMN('PAYG 1'!$C$16),4)</f>
        <v>C16</v>
      </c>
      <c r="C3462" t="str">
        <f>ADDRESS(ROW('PAYG 1'!$D$16),COLUMN('PAYG 1'!$D$16),4)</f>
        <v>D16</v>
      </c>
      <c r="D3462" t="b" cm="1">
        <f t="array" aca="1" ref="D3462" ca="1">IF(INDIRECT("'"&amp;A3462&amp;"'!"&amp;B3462)="",FALSE,IF(INDIRECT("'"&amp;A3462&amp;"'!"&amp;B3462)&lt;0,TRUE,FALSE))</f>
        <v>0</v>
      </c>
      <c r="E3462" t="s">
        <v>434</v>
      </c>
      <c r="F3462" t="str">
        <f>INDEX(Lists!I:I,MATCH(Validation!E3462,Lists!G:G,0))</f>
        <v>Error</v>
      </c>
      <c r="G3462" t="str">
        <f>INDEX(Lists!H:H,MATCH(Validation!E3462,Lists!G:G,0))</f>
        <v>Amount may not be negative. Enter an amount greater than or equal to zero.</v>
      </c>
      <c r="H3462" s="16" t="str">
        <f t="shared" ca="1" si="381"/>
        <v/>
      </c>
      <c r="I3462" s="16" t="str">
        <f t="shared" ca="1" si="382"/>
        <v/>
      </c>
      <c r="J3462" s="17" t="str">
        <f t="shared" ca="1" si="383"/>
        <v/>
      </c>
    </row>
    <row r="3463" spans="1:10" x14ac:dyDescent="0.25">
      <c r="A3463" t="s">
        <v>652</v>
      </c>
      <c r="B3463" t="str">
        <f>ADDRESS(ROW('PAYG 1'!$C$16),COLUMN('PAYG 1'!$C$16),4)</f>
        <v>C16</v>
      </c>
      <c r="C3463" t="str">
        <f>ADDRESS(ROW('PAYG 1'!$D$16),COLUMN('PAYG 1'!$D$16),4)</f>
        <v>D16</v>
      </c>
      <c r="D3463" t="b" cm="1">
        <f t="array" aca="1" ref="D3463" ca="1">IF(INDIRECT("'"&amp;A3463&amp;"'!"&amp;B3463)="",FALSE,IF(INDIRECT("'"&amp;A3463&amp;"'!"&amp;B3463)&lt;0,TRUE,FALSE))</f>
        <v>0</v>
      </c>
      <c r="E3463" t="s">
        <v>434</v>
      </c>
      <c r="F3463" t="str">
        <f>INDEX(Lists!I:I,MATCH(Validation!E3463,Lists!G:G,0))</f>
        <v>Error</v>
      </c>
      <c r="G3463" t="str">
        <f>INDEX(Lists!H:H,MATCH(Validation!E3463,Lists!G:G,0))</f>
        <v>Amount may not be negative. Enter an amount greater than or equal to zero.</v>
      </c>
      <c r="H3463" s="16" t="str">
        <f t="shared" ca="1" si="381"/>
        <v/>
      </c>
      <c r="I3463" s="16" t="str">
        <f t="shared" ca="1" si="382"/>
        <v/>
      </c>
      <c r="J3463" s="17" t="str">
        <f t="shared" ca="1" si="383"/>
        <v/>
      </c>
    </row>
    <row r="3464" spans="1:10" x14ac:dyDescent="0.25">
      <c r="A3464" t="s">
        <v>653</v>
      </c>
      <c r="B3464" t="str">
        <f>ADDRESS(ROW('PAYG 1'!$C$16),COLUMN('PAYG 1'!$C$16),4)</f>
        <v>C16</v>
      </c>
      <c r="C3464" t="str">
        <f>ADDRESS(ROW('PAYG 1'!$D$16),COLUMN('PAYG 1'!$D$16),4)</f>
        <v>D16</v>
      </c>
      <c r="D3464" t="b" cm="1">
        <f t="array" aca="1" ref="D3464" ca="1">IF(INDIRECT("'"&amp;A3464&amp;"'!"&amp;B3464)="",FALSE,IF(INDIRECT("'"&amp;A3464&amp;"'!"&amp;B3464)&lt;0,TRUE,FALSE))</f>
        <v>0</v>
      </c>
      <c r="E3464" t="s">
        <v>434</v>
      </c>
      <c r="F3464" t="str">
        <f>INDEX(Lists!I:I,MATCH(Validation!E3464,Lists!G:G,0))</f>
        <v>Error</v>
      </c>
      <c r="G3464" t="str">
        <f>INDEX(Lists!H:H,MATCH(Validation!E3464,Lists!G:G,0))</f>
        <v>Amount may not be negative. Enter an amount greater than or equal to zero.</v>
      </c>
      <c r="H3464" s="16" t="str">
        <f t="shared" ca="1" si="381"/>
        <v/>
      </c>
      <c r="I3464" s="16" t="str">
        <f t="shared" ca="1" si="382"/>
        <v/>
      </c>
      <c r="J3464" s="17" t="str">
        <f t="shared" ca="1" si="383"/>
        <v/>
      </c>
    </row>
    <row r="3465" spans="1:10" x14ac:dyDescent="0.25">
      <c r="A3465" t="s">
        <v>654</v>
      </c>
      <c r="B3465" t="str">
        <f>ADDRESS(ROW('PAYG 1'!$C$16),COLUMN('PAYG 1'!$C$16),4)</f>
        <v>C16</v>
      </c>
      <c r="C3465" t="str">
        <f>ADDRESS(ROW('PAYG 1'!$D$16),COLUMN('PAYG 1'!$D$16),4)</f>
        <v>D16</v>
      </c>
      <c r="D3465" t="b" cm="1">
        <f t="array" aca="1" ref="D3465" ca="1">IF(INDIRECT("'"&amp;A3465&amp;"'!"&amp;B3465)="",FALSE,IF(INDIRECT("'"&amp;A3465&amp;"'!"&amp;B3465)&lt;0,TRUE,FALSE))</f>
        <v>0</v>
      </c>
      <c r="E3465" t="s">
        <v>434</v>
      </c>
      <c r="F3465" t="str">
        <f>INDEX(Lists!I:I,MATCH(Validation!E3465,Lists!G:G,0))</f>
        <v>Error</v>
      </c>
      <c r="G3465" t="str">
        <f>INDEX(Lists!H:H,MATCH(Validation!E3465,Lists!G:G,0))</f>
        <v>Amount may not be negative. Enter an amount greater than or equal to zero.</v>
      </c>
      <c r="H3465" s="16" t="str">
        <f t="shared" ca="1" si="381"/>
        <v/>
      </c>
      <c r="I3465" s="16" t="str">
        <f t="shared" ca="1" si="382"/>
        <v/>
      </c>
      <c r="J3465" s="17" t="str">
        <f t="shared" ca="1" si="383"/>
        <v/>
      </c>
    </row>
    <row r="3466" spans="1:10" x14ac:dyDescent="0.25">
      <c r="A3466" t="s">
        <v>655</v>
      </c>
      <c r="B3466" t="str">
        <f>ADDRESS(ROW('PAYG 1'!$C$16),COLUMN('PAYG 1'!$C$16),4)</f>
        <v>C16</v>
      </c>
      <c r="C3466" t="str">
        <f>ADDRESS(ROW('PAYG 1'!$D$16),COLUMN('PAYG 1'!$D$16),4)</f>
        <v>D16</v>
      </c>
      <c r="D3466" t="b" cm="1">
        <f t="array" aca="1" ref="D3466" ca="1">IF(INDIRECT("'"&amp;A3466&amp;"'!"&amp;B3466)="",FALSE,IF(INDIRECT("'"&amp;A3466&amp;"'!"&amp;B3466)&lt;0,TRUE,FALSE))</f>
        <v>0</v>
      </c>
      <c r="E3466" t="s">
        <v>434</v>
      </c>
      <c r="F3466" t="str">
        <f>INDEX(Lists!I:I,MATCH(Validation!E3466,Lists!G:G,0))</f>
        <v>Error</v>
      </c>
      <c r="G3466" t="str">
        <f>INDEX(Lists!H:H,MATCH(Validation!E3466,Lists!G:G,0))</f>
        <v>Amount may not be negative. Enter an amount greater than or equal to zero.</v>
      </c>
      <c r="H3466" s="16" t="str">
        <f t="shared" ca="1" si="381"/>
        <v/>
      </c>
      <c r="I3466" s="16" t="str">
        <f t="shared" ca="1" si="382"/>
        <v/>
      </c>
      <c r="J3466" s="17" t="str">
        <f t="shared" ca="1" si="383"/>
        <v/>
      </c>
    </row>
    <row r="3467" spans="1:10" x14ac:dyDescent="0.25">
      <c r="A3467" t="s">
        <v>656</v>
      </c>
      <c r="B3467" t="str">
        <f>ADDRESS(ROW('PAYG 1'!$C$16),COLUMN('PAYG 1'!$C$16),4)</f>
        <v>C16</v>
      </c>
      <c r="C3467" t="str">
        <f>ADDRESS(ROW('PAYG 1'!$D$16),COLUMN('PAYG 1'!$D$16),4)</f>
        <v>D16</v>
      </c>
      <c r="D3467" t="b" cm="1">
        <f t="array" aca="1" ref="D3467" ca="1">IF(INDIRECT("'"&amp;A3467&amp;"'!"&amp;B3467)="",FALSE,IF(INDIRECT("'"&amp;A3467&amp;"'!"&amp;B3467)&lt;0,TRUE,FALSE))</f>
        <v>0</v>
      </c>
      <c r="E3467" t="s">
        <v>434</v>
      </c>
      <c r="F3467" t="str">
        <f>INDEX(Lists!I:I,MATCH(Validation!E3467,Lists!G:G,0))</f>
        <v>Error</v>
      </c>
      <c r="G3467" t="str">
        <f>INDEX(Lists!H:H,MATCH(Validation!E3467,Lists!G:G,0))</f>
        <v>Amount may not be negative. Enter an amount greater than or equal to zero.</v>
      </c>
      <c r="H3467" s="16" t="str">
        <f t="shared" ca="1" si="381"/>
        <v/>
      </c>
      <c r="I3467" s="16" t="str">
        <f t="shared" ca="1" si="382"/>
        <v/>
      </c>
      <c r="J3467" s="17" t="str">
        <f t="shared" ca="1" si="383"/>
        <v/>
      </c>
    </row>
    <row r="3468" spans="1:10" x14ac:dyDescent="0.25">
      <c r="A3468" t="s">
        <v>657</v>
      </c>
      <c r="B3468" t="str">
        <f>ADDRESS(ROW('PAYG 1'!$C$16),COLUMN('PAYG 1'!$C$16),4)</f>
        <v>C16</v>
      </c>
      <c r="C3468" t="str">
        <f>ADDRESS(ROW('PAYG 1'!$D$16),COLUMN('PAYG 1'!$D$16),4)</f>
        <v>D16</v>
      </c>
      <c r="D3468" t="b" cm="1">
        <f t="array" aca="1" ref="D3468" ca="1">IF(INDIRECT("'"&amp;A3468&amp;"'!"&amp;B3468)="",FALSE,IF(INDIRECT("'"&amp;A3468&amp;"'!"&amp;B3468)&lt;0,TRUE,FALSE))</f>
        <v>0</v>
      </c>
      <c r="E3468" t="s">
        <v>434</v>
      </c>
      <c r="F3468" t="str">
        <f>INDEX(Lists!I:I,MATCH(Validation!E3468,Lists!G:G,0))</f>
        <v>Error</v>
      </c>
      <c r="G3468" t="str">
        <f>INDEX(Lists!H:H,MATCH(Validation!E3468,Lists!G:G,0))</f>
        <v>Amount may not be negative. Enter an amount greater than or equal to zero.</v>
      </c>
      <c r="H3468" s="16" t="str">
        <f t="shared" ca="1" si="381"/>
        <v/>
      </c>
      <c r="I3468" s="16" t="str">
        <f t="shared" ca="1" si="382"/>
        <v/>
      </c>
      <c r="J3468" s="17" t="str">
        <f t="shared" ca="1" si="383"/>
        <v/>
      </c>
    </row>
    <row r="3469" spans="1:10" x14ac:dyDescent="0.25">
      <c r="A3469" t="s">
        <v>658</v>
      </c>
      <c r="B3469" t="str">
        <f>ADDRESS(ROW('PAYG 1'!$C$16),COLUMN('PAYG 1'!$C$16),4)</f>
        <v>C16</v>
      </c>
      <c r="C3469" t="str">
        <f>ADDRESS(ROW('PAYG 1'!$D$16),COLUMN('PAYG 1'!$D$16),4)</f>
        <v>D16</v>
      </c>
      <c r="D3469" t="b" cm="1">
        <f t="array" aca="1" ref="D3469" ca="1">IF(INDIRECT("'"&amp;A3469&amp;"'!"&amp;B3469)="",FALSE,IF(INDIRECT("'"&amp;A3469&amp;"'!"&amp;B3469)&lt;0,TRUE,FALSE))</f>
        <v>0</v>
      </c>
      <c r="E3469" t="s">
        <v>434</v>
      </c>
      <c r="F3469" t="str">
        <f>INDEX(Lists!I:I,MATCH(Validation!E3469,Lists!G:G,0))</f>
        <v>Error</v>
      </c>
      <c r="G3469" t="str">
        <f>INDEX(Lists!H:H,MATCH(Validation!E3469,Lists!G:G,0))</f>
        <v>Amount may not be negative. Enter an amount greater than or equal to zero.</v>
      </c>
      <c r="H3469" s="16" t="str">
        <f t="shared" ca="1" si="381"/>
        <v/>
      </c>
      <c r="I3469" s="16" t="str">
        <f t="shared" ca="1" si="382"/>
        <v/>
      </c>
      <c r="J3469" s="17" t="str">
        <f t="shared" ca="1" si="383"/>
        <v/>
      </c>
    </row>
    <row r="3470" spans="1:10" x14ac:dyDescent="0.25">
      <c r="A3470" t="s">
        <v>659</v>
      </c>
      <c r="B3470" t="str">
        <f>ADDRESS(ROW('PAYG 1'!$C$16),COLUMN('PAYG 1'!$C$16),4)</f>
        <v>C16</v>
      </c>
      <c r="C3470" t="str">
        <f>ADDRESS(ROW('PAYG 1'!$D$16),COLUMN('PAYG 1'!$D$16),4)</f>
        <v>D16</v>
      </c>
      <c r="D3470" t="b" cm="1">
        <f t="array" aca="1" ref="D3470" ca="1">IF(INDIRECT("'"&amp;A3470&amp;"'!"&amp;B3470)="",FALSE,IF(INDIRECT("'"&amp;A3470&amp;"'!"&amp;B3470)&lt;0,TRUE,FALSE))</f>
        <v>0</v>
      </c>
      <c r="E3470" t="s">
        <v>434</v>
      </c>
      <c r="F3470" t="str">
        <f>INDEX(Lists!I:I,MATCH(Validation!E3470,Lists!G:G,0))</f>
        <v>Error</v>
      </c>
      <c r="G3470" t="str">
        <f>INDEX(Lists!H:H,MATCH(Validation!E3470,Lists!G:G,0))</f>
        <v>Amount may not be negative. Enter an amount greater than or equal to zero.</v>
      </c>
      <c r="H3470" s="16" t="str">
        <f t="shared" ca="1" si="381"/>
        <v/>
      </c>
      <c r="I3470" s="16" t="str">
        <f t="shared" ca="1" si="382"/>
        <v/>
      </c>
      <c r="J3470" s="17" t="str">
        <f t="shared" ca="1" si="383"/>
        <v/>
      </c>
    </row>
    <row r="3471" spans="1:10" x14ac:dyDescent="0.25">
      <c r="A3471" t="s">
        <v>660</v>
      </c>
      <c r="B3471" t="str">
        <f>ADDRESS(ROW('PAYG 1'!$C$16),COLUMN('PAYG 1'!$C$16),4)</f>
        <v>C16</v>
      </c>
      <c r="C3471" t="str">
        <f>ADDRESS(ROW('PAYG 1'!$D$16),COLUMN('PAYG 1'!$D$16),4)</f>
        <v>D16</v>
      </c>
      <c r="D3471" t="b" cm="1">
        <f t="array" aca="1" ref="D3471" ca="1">IF(INDIRECT("'"&amp;A3471&amp;"'!"&amp;B3471)="",FALSE,IF(INDIRECT("'"&amp;A3471&amp;"'!"&amp;B3471)&lt;0,TRUE,FALSE))</f>
        <v>0</v>
      </c>
      <c r="E3471" t="s">
        <v>434</v>
      </c>
      <c r="F3471" t="str">
        <f>INDEX(Lists!I:I,MATCH(Validation!E3471,Lists!G:G,0))</f>
        <v>Error</v>
      </c>
      <c r="G3471" t="str">
        <f>INDEX(Lists!H:H,MATCH(Validation!E3471,Lists!G:G,0))</f>
        <v>Amount may not be negative. Enter an amount greater than or equal to zero.</v>
      </c>
      <c r="H3471" s="16" t="str">
        <f t="shared" ca="1" si="381"/>
        <v/>
      </c>
      <c r="I3471" s="16" t="str">
        <f t="shared" ca="1" si="382"/>
        <v/>
      </c>
      <c r="J3471" s="17" t="str">
        <f t="shared" ca="1" si="383"/>
        <v/>
      </c>
    </row>
    <row r="3472" spans="1:10" x14ac:dyDescent="0.25">
      <c r="A3472" t="s">
        <v>661</v>
      </c>
      <c r="B3472" t="str">
        <f>ADDRESS(ROW('PAYG 1'!$C$16),COLUMN('PAYG 1'!$C$16),4)</f>
        <v>C16</v>
      </c>
      <c r="C3472" t="str">
        <f>ADDRESS(ROW('PAYG 1'!$D$16),COLUMN('PAYG 1'!$D$16),4)</f>
        <v>D16</v>
      </c>
      <c r="D3472" t="b" cm="1">
        <f t="array" aca="1" ref="D3472" ca="1">IF(INDIRECT("'"&amp;A3472&amp;"'!"&amp;B3472)="",FALSE,IF(INDIRECT("'"&amp;A3472&amp;"'!"&amp;B3472)&lt;0,TRUE,FALSE))</f>
        <v>0</v>
      </c>
      <c r="E3472" t="s">
        <v>434</v>
      </c>
      <c r="F3472" t="str">
        <f>INDEX(Lists!I:I,MATCH(Validation!E3472,Lists!G:G,0))</f>
        <v>Error</v>
      </c>
      <c r="G3472" t="str">
        <f>INDEX(Lists!H:H,MATCH(Validation!E3472,Lists!G:G,0))</f>
        <v>Amount may not be negative. Enter an amount greater than or equal to zero.</v>
      </c>
      <c r="H3472" s="16" t="str">
        <f t="shared" ca="1" si="381"/>
        <v/>
      </c>
      <c r="I3472" s="16" t="str">
        <f t="shared" ca="1" si="382"/>
        <v/>
      </c>
      <c r="J3472" s="17" t="str">
        <f t="shared" ca="1" si="383"/>
        <v/>
      </c>
    </row>
    <row r="3473" spans="1:10" x14ac:dyDescent="0.25">
      <c r="A3473" t="s">
        <v>662</v>
      </c>
      <c r="B3473" t="str">
        <f>ADDRESS(ROW('PAYG 1'!$C$16),COLUMN('PAYG 1'!$C$16),4)</f>
        <v>C16</v>
      </c>
      <c r="C3473" t="str">
        <f>ADDRESS(ROW('PAYG 1'!$D$16),COLUMN('PAYG 1'!$D$16),4)</f>
        <v>D16</v>
      </c>
      <c r="D3473" t="b" cm="1">
        <f t="array" aca="1" ref="D3473" ca="1">IF(INDIRECT("'"&amp;A3473&amp;"'!"&amp;B3473)="",FALSE,IF(INDIRECT("'"&amp;A3473&amp;"'!"&amp;B3473)&lt;0,TRUE,FALSE))</f>
        <v>0</v>
      </c>
      <c r="E3473" t="s">
        <v>434</v>
      </c>
      <c r="F3473" t="str">
        <f>INDEX(Lists!I:I,MATCH(Validation!E3473,Lists!G:G,0))</f>
        <v>Error</v>
      </c>
      <c r="G3473" t="str">
        <f>INDEX(Lists!H:H,MATCH(Validation!E3473,Lists!G:G,0))</f>
        <v>Amount may not be negative. Enter an amount greater than or equal to zero.</v>
      </c>
      <c r="H3473" s="16" t="str">
        <f t="shared" ca="1" si="381"/>
        <v/>
      </c>
      <c r="I3473" s="16" t="str">
        <f t="shared" ca="1" si="382"/>
        <v/>
      </c>
      <c r="J3473" s="17" t="str">
        <f t="shared" ca="1" si="383"/>
        <v/>
      </c>
    </row>
    <row r="3474" spans="1:10" x14ac:dyDescent="0.25">
      <c r="A3474" t="s">
        <v>663</v>
      </c>
      <c r="B3474" t="str">
        <f>ADDRESS(ROW('PAYG 1'!$C$16),COLUMN('PAYG 1'!$C$16),4)</f>
        <v>C16</v>
      </c>
      <c r="C3474" t="str">
        <f>ADDRESS(ROW('PAYG 1'!$D$16),COLUMN('PAYG 1'!$D$16),4)</f>
        <v>D16</v>
      </c>
      <c r="D3474" t="b" cm="1">
        <f t="array" aca="1" ref="D3474" ca="1">IF(INDIRECT("'"&amp;A3474&amp;"'!"&amp;B3474)="",FALSE,IF(INDIRECT("'"&amp;A3474&amp;"'!"&amp;B3474)&lt;0,TRUE,FALSE))</f>
        <v>0</v>
      </c>
      <c r="E3474" t="s">
        <v>434</v>
      </c>
      <c r="F3474" t="str">
        <f>INDEX(Lists!I:I,MATCH(Validation!E3474,Lists!G:G,0))</f>
        <v>Error</v>
      </c>
      <c r="G3474" t="str">
        <f>INDEX(Lists!H:H,MATCH(Validation!E3474,Lists!G:G,0))</f>
        <v>Amount may not be negative. Enter an amount greater than or equal to zero.</v>
      </c>
      <c r="H3474" s="16" t="str">
        <f t="shared" ca="1" si="381"/>
        <v/>
      </c>
      <c r="I3474" s="16" t="str">
        <f t="shared" ca="1" si="382"/>
        <v/>
      </c>
      <c r="J3474" s="17" t="str">
        <f t="shared" ca="1" si="383"/>
        <v/>
      </c>
    </row>
    <row r="3475" spans="1:10" x14ac:dyDescent="0.25">
      <c r="A3475" t="s">
        <v>664</v>
      </c>
      <c r="B3475" t="str">
        <f>ADDRESS(ROW('PAYG 1'!$C$16),COLUMN('PAYG 1'!$C$16),4)</f>
        <v>C16</v>
      </c>
      <c r="C3475" t="str">
        <f>ADDRESS(ROW('PAYG 1'!$D$16),COLUMN('PAYG 1'!$D$16),4)</f>
        <v>D16</v>
      </c>
      <c r="D3475" t="b" cm="1">
        <f t="array" aca="1" ref="D3475" ca="1">IF(INDIRECT("'"&amp;A3475&amp;"'!"&amp;B3475)="",FALSE,IF(INDIRECT("'"&amp;A3475&amp;"'!"&amp;B3475)&lt;0,TRUE,FALSE))</f>
        <v>0</v>
      </c>
      <c r="E3475" t="s">
        <v>434</v>
      </c>
      <c r="F3475" t="str">
        <f>INDEX(Lists!I:I,MATCH(Validation!E3475,Lists!G:G,0))</f>
        <v>Error</v>
      </c>
      <c r="G3475" t="str">
        <f>INDEX(Lists!H:H,MATCH(Validation!E3475,Lists!G:G,0))</f>
        <v>Amount may not be negative. Enter an amount greater than or equal to zero.</v>
      </c>
      <c r="H3475" s="16" t="str">
        <f t="shared" ca="1" si="381"/>
        <v/>
      </c>
      <c r="I3475" s="16" t="str">
        <f t="shared" ca="1" si="382"/>
        <v/>
      </c>
      <c r="J3475" s="17" t="str">
        <f t="shared" ca="1" si="383"/>
        <v/>
      </c>
    </row>
    <row r="3476" spans="1:10" x14ac:dyDescent="0.25">
      <c r="A3476" t="s">
        <v>203</v>
      </c>
      <c r="B3476" t="str">
        <f>ADDRESS(ROW('PAYG 1'!$C$16),COLUMN('PAYG 1'!$C$16),4)</f>
        <v>C16</v>
      </c>
      <c r="C3476" t="str">
        <f>ADDRESS(ROW('PAYG 1'!$D$16),COLUMN('PAYG 1'!$D$16),4)</f>
        <v>D16</v>
      </c>
      <c r="D3476" t="b" cm="1">
        <f t="array" aca="1" ref="D3476" ca="1">IF(INDIRECT("'"&amp;A3476&amp;"'!"&amp;B3476)="",FALSE,IF(TRUNC(INDIRECT("'"&amp;A3476&amp;"'!"&amp;B3476))=INDIRECT("'"&amp;A3476&amp;"'!"&amp;B3476),FALSE,TRUE))</f>
        <v>0</v>
      </c>
      <c r="E3476" t="s">
        <v>436</v>
      </c>
      <c r="F3476" t="str">
        <f>INDEX(Lists!I:I,MATCH(Validation!E3476,Lists!G:G,0))</f>
        <v>Error</v>
      </c>
      <c r="G3476" t="str">
        <f>INDEX(Lists!H:H,MATCH(Validation!E3476,Lists!G:G,0))</f>
        <v>Amount must be rounded to the nearest dollar.</v>
      </c>
      <c r="H3476" s="16" t="str">
        <f t="shared" ca="1" si="381"/>
        <v/>
      </c>
      <c r="I3476" s="16" t="str">
        <f t="shared" ca="1" si="382"/>
        <v/>
      </c>
      <c r="J3476" s="17" t="str">
        <f t="shared" ca="1" si="383"/>
        <v/>
      </c>
    </row>
    <row r="3477" spans="1:10" x14ac:dyDescent="0.25">
      <c r="A3477" t="s">
        <v>651</v>
      </c>
      <c r="B3477" t="str">
        <f>ADDRESS(ROW('PAYG 1'!$C$16),COLUMN('PAYG 1'!$C$16),4)</f>
        <v>C16</v>
      </c>
      <c r="C3477" t="str">
        <f>ADDRESS(ROW('PAYG 1'!$D$16),COLUMN('PAYG 1'!$D$16),4)</f>
        <v>D16</v>
      </c>
      <c r="D3477" t="b" cm="1">
        <f t="array" aca="1" ref="D3477" ca="1">IF(INDIRECT("'"&amp;A3477&amp;"'!"&amp;B3477)="",FALSE,IF(TRUNC(INDIRECT("'"&amp;A3477&amp;"'!"&amp;B3477))=INDIRECT("'"&amp;A3477&amp;"'!"&amp;B3477),FALSE,TRUE))</f>
        <v>0</v>
      </c>
      <c r="E3477" t="s">
        <v>436</v>
      </c>
      <c r="F3477" t="str">
        <f>INDEX(Lists!I:I,MATCH(Validation!E3477,Lists!G:G,0))</f>
        <v>Error</v>
      </c>
      <c r="G3477" t="str">
        <f>INDEX(Lists!H:H,MATCH(Validation!E3477,Lists!G:G,0))</f>
        <v>Amount must be rounded to the nearest dollar.</v>
      </c>
      <c r="H3477" s="16" t="str">
        <f t="shared" ca="1" si="381"/>
        <v/>
      </c>
      <c r="I3477" s="16" t="str">
        <f t="shared" ca="1" si="382"/>
        <v/>
      </c>
      <c r="J3477" s="17" t="str">
        <f t="shared" ca="1" si="383"/>
        <v/>
      </c>
    </row>
    <row r="3478" spans="1:10" x14ac:dyDescent="0.25">
      <c r="A3478" t="s">
        <v>652</v>
      </c>
      <c r="B3478" t="str">
        <f>ADDRESS(ROW('PAYG 1'!$C$16),COLUMN('PAYG 1'!$C$16),4)</f>
        <v>C16</v>
      </c>
      <c r="C3478" t="str">
        <f>ADDRESS(ROW('PAYG 1'!$D$16),COLUMN('PAYG 1'!$D$16),4)</f>
        <v>D16</v>
      </c>
      <c r="D3478" t="b" cm="1">
        <f t="array" aca="1" ref="D3478" ca="1">IF(INDIRECT("'"&amp;A3478&amp;"'!"&amp;B3478)="",FALSE,IF(TRUNC(INDIRECT("'"&amp;A3478&amp;"'!"&amp;B3478))=INDIRECT("'"&amp;A3478&amp;"'!"&amp;B3478),FALSE,TRUE))</f>
        <v>0</v>
      </c>
      <c r="E3478" t="s">
        <v>436</v>
      </c>
      <c r="F3478" t="str">
        <f>INDEX(Lists!I:I,MATCH(Validation!E3478,Lists!G:G,0))</f>
        <v>Error</v>
      </c>
      <c r="G3478" t="str">
        <f>INDEX(Lists!H:H,MATCH(Validation!E3478,Lists!G:G,0))</f>
        <v>Amount must be rounded to the nearest dollar.</v>
      </c>
      <c r="H3478" s="16" t="str">
        <f t="shared" ca="1" si="381"/>
        <v/>
      </c>
      <c r="I3478" s="16" t="str">
        <f t="shared" ca="1" si="382"/>
        <v/>
      </c>
      <c r="J3478" s="17" t="str">
        <f t="shared" ca="1" si="383"/>
        <v/>
      </c>
    </row>
    <row r="3479" spans="1:10" x14ac:dyDescent="0.25">
      <c r="A3479" t="s">
        <v>653</v>
      </c>
      <c r="B3479" t="str">
        <f>ADDRESS(ROW('PAYG 1'!$C$16),COLUMN('PAYG 1'!$C$16),4)</f>
        <v>C16</v>
      </c>
      <c r="C3479" t="str">
        <f>ADDRESS(ROW('PAYG 1'!$D$16),COLUMN('PAYG 1'!$D$16),4)</f>
        <v>D16</v>
      </c>
      <c r="D3479" t="b" cm="1">
        <f t="array" aca="1" ref="D3479" ca="1">IF(INDIRECT("'"&amp;A3479&amp;"'!"&amp;B3479)="",FALSE,IF(TRUNC(INDIRECT("'"&amp;A3479&amp;"'!"&amp;B3479))=INDIRECT("'"&amp;A3479&amp;"'!"&amp;B3479),FALSE,TRUE))</f>
        <v>0</v>
      </c>
      <c r="E3479" t="s">
        <v>436</v>
      </c>
      <c r="F3479" t="str">
        <f>INDEX(Lists!I:I,MATCH(Validation!E3479,Lists!G:G,0))</f>
        <v>Error</v>
      </c>
      <c r="G3479" t="str">
        <f>INDEX(Lists!H:H,MATCH(Validation!E3479,Lists!G:G,0))</f>
        <v>Amount must be rounded to the nearest dollar.</v>
      </c>
      <c r="H3479" s="16" t="str">
        <f t="shared" ca="1" si="381"/>
        <v/>
      </c>
      <c r="I3479" s="16" t="str">
        <f t="shared" ca="1" si="382"/>
        <v/>
      </c>
      <c r="J3479" s="17" t="str">
        <f t="shared" ca="1" si="383"/>
        <v/>
      </c>
    </row>
    <row r="3480" spans="1:10" x14ac:dyDescent="0.25">
      <c r="A3480" t="s">
        <v>654</v>
      </c>
      <c r="B3480" t="str">
        <f>ADDRESS(ROW('PAYG 1'!$C$16),COLUMN('PAYG 1'!$C$16),4)</f>
        <v>C16</v>
      </c>
      <c r="C3480" t="str">
        <f>ADDRESS(ROW('PAYG 1'!$D$16),COLUMN('PAYG 1'!$D$16),4)</f>
        <v>D16</v>
      </c>
      <c r="D3480" t="b" cm="1">
        <f t="array" aca="1" ref="D3480" ca="1">IF(INDIRECT("'"&amp;A3480&amp;"'!"&amp;B3480)="",FALSE,IF(TRUNC(INDIRECT("'"&amp;A3480&amp;"'!"&amp;B3480))=INDIRECT("'"&amp;A3480&amp;"'!"&amp;B3480),FALSE,TRUE))</f>
        <v>0</v>
      </c>
      <c r="E3480" t="s">
        <v>436</v>
      </c>
      <c r="F3480" t="str">
        <f>INDEX(Lists!I:I,MATCH(Validation!E3480,Lists!G:G,0))</f>
        <v>Error</v>
      </c>
      <c r="G3480" t="str">
        <f>INDEX(Lists!H:H,MATCH(Validation!E3480,Lists!G:G,0))</f>
        <v>Amount must be rounded to the nearest dollar.</v>
      </c>
      <c r="H3480" s="16" t="str">
        <f t="shared" ca="1" si="381"/>
        <v/>
      </c>
      <c r="I3480" s="16" t="str">
        <f t="shared" ca="1" si="382"/>
        <v/>
      </c>
      <c r="J3480" s="17" t="str">
        <f t="shared" ca="1" si="383"/>
        <v/>
      </c>
    </row>
    <row r="3481" spans="1:10" x14ac:dyDescent="0.25">
      <c r="A3481" t="s">
        <v>655</v>
      </c>
      <c r="B3481" t="str">
        <f>ADDRESS(ROW('PAYG 1'!$C$16),COLUMN('PAYG 1'!$C$16),4)</f>
        <v>C16</v>
      </c>
      <c r="C3481" t="str">
        <f>ADDRESS(ROW('PAYG 1'!$D$16),COLUMN('PAYG 1'!$D$16),4)</f>
        <v>D16</v>
      </c>
      <c r="D3481" t="b" cm="1">
        <f t="array" aca="1" ref="D3481" ca="1">IF(INDIRECT("'"&amp;A3481&amp;"'!"&amp;B3481)="",FALSE,IF(TRUNC(INDIRECT("'"&amp;A3481&amp;"'!"&amp;B3481))=INDIRECT("'"&amp;A3481&amp;"'!"&amp;B3481),FALSE,TRUE))</f>
        <v>0</v>
      </c>
      <c r="E3481" t="s">
        <v>436</v>
      </c>
      <c r="F3481" t="str">
        <f>INDEX(Lists!I:I,MATCH(Validation!E3481,Lists!G:G,0))</f>
        <v>Error</v>
      </c>
      <c r="G3481" t="str">
        <f>INDEX(Lists!H:H,MATCH(Validation!E3481,Lists!G:G,0))</f>
        <v>Amount must be rounded to the nearest dollar.</v>
      </c>
      <c r="H3481" s="16" t="str">
        <f t="shared" ca="1" si="381"/>
        <v/>
      </c>
      <c r="I3481" s="16" t="str">
        <f t="shared" ca="1" si="382"/>
        <v/>
      </c>
      <c r="J3481" s="17" t="str">
        <f t="shared" ca="1" si="383"/>
        <v/>
      </c>
    </row>
    <row r="3482" spans="1:10" x14ac:dyDescent="0.25">
      <c r="A3482" t="s">
        <v>656</v>
      </c>
      <c r="B3482" t="str">
        <f>ADDRESS(ROW('PAYG 1'!$C$16),COLUMN('PAYG 1'!$C$16),4)</f>
        <v>C16</v>
      </c>
      <c r="C3482" t="str">
        <f>ADDRESS(ROW('PAYG 1'!$D$16),COLUMN('PAYG 1'!$D$16),4)</f>
        <v>D16</v>
      </c>
      <c r="D3482" t="b" cm="1">
        <f t="array" aca="1" ref="D3482" ca="1">IF(INDIRECT("'"&amp;A3482&amp;"'!"&amp;B3482)="",FALSE,IF(TRUNC(INDIRECT("'"&amp;A3482&amp;"'!"&amp;B3482))=INDIRECT("'"&amp;A3482&amp;"'!"&amp;B3482),FALSE,TRUE))</f>
        <v>0</v>
      </c>
      <c r="E3482" t="s">
        <v>436</v>
      </c>
      <c r="F3482" t="str">
        <f>INDEX(Lists!I:I,MATCH(Validation!E3482,Lists!G:G,0))</f>
        <v>Error</v>
      </c>
      <c r="G3482" t="str">
        <f>INDEX(Lists!H:H,MATCH(Validation!E3482,Lists!G:G,0))</f>
        <v>Amount must be rounded to the nearest dollar.</v>
      </c>
      <c r="H3482" s="16" t="str">
        <f t="shared" ca="1" si="381"/>
        <v/>
      </c>
      <c r="I3482" s="16" t="str">
        <f t="shared" ca="1" si="382"/>
        <v/>
      </c>
      <c r="J3482" s="17" t="str">
        <f t="shared" ca="1" si="383"/>
        <v/>
      </c>
    </row>
    <row r="3483" spans="1:10" x14ac:dyDescent="0.25">
      <c r="A3483" t="s">
        <v>657</v>
      </c>
      <c r="B3483" t="str">
        <f>ADDRESS(ROW('PAYG 1'!$C$16),COLUMN('PAYG 1'!$C$16),4)</f>
        <v>C16</v>
      </c>
      <c r="C3483" t="str">
        <f>ADDRESS(ROW('PAYG 1'!$D$16),COLUMN('PAYG 1'!$D$16),4)</f>
        <v>D16</v>
      </c>
      <c r="D3483" t="b" cm="1">
        <f t="array" aca="1" ref="D3483" ca="1">IF(INDIRECT("'"&amp;A3483&amp;"'!"&amp;B3483)="",FALSE,IF(TRUNC(INDIRECT("'"&amp;A3483&amp;"'!"&amp;B3483))=INDIRECT("'"&amp;A3483&amp;"'!"&amp;B3483),FALSE,TRUE))</f>
        <v>0</v>
      </c>
      <c r="E3483" t="s">
        <v>436</v>
      </c>
      <c r="F3483" t="str">
        <f>INDEX(Lists!I:I,MATCH(Validation!E3483,Lists!G:G,0))</f>
        <v>Error</v>
      </c>
      <c r="G3483" t="str">
        <f>INDEX(Lists!H:H,MATCH(Validation!E3483,Lists!G:G,0))</f>
        <v>Amount must be rounded to the nearest dollar.</v>
      </c>
      <c r="H3483" s="16" t="str">
        <f t="shared" ca="1" si="381"/>
        <v/>
      </c>
      <c r="I3483" s="16" t="str">
        <f t="shared" ca="1" si="382"/>
        <v/>
      </c>
      <c r="J3483" s="17" t="str">
        <f t="shared" ca="1" si="383"/>
        <v/>
      </c>
    </row>
    <row r="3484" spans="1:10" x14ac:dyDescent="0.25">
      <c r="A3484" t="s">
        <v>658</v>
      </c>
      <c r="B3484" t="str">
        <f>ADDRESS(ROW('PAYG 1'!$C$16),COLUMN('PAYG 1'!$C$16),4)</f>
        <v>C16</v>
      </c>
      <c r="C3484" t="str">
        <f>ADDRESS(ROW('PAYG 1'!$D$16),COLUMN('PAYG 1'!$D$16),4)</f>
        <v>D16</v>
      </c>
      <c r="D3484" t="b" cm="1">
        <f t="array" aca="1" ref="D3484" ca="1">IF(INDIRECT("'"&amp;A3484&amp;"'!"&amp;B3484)="",FALSE,IF(TRUNC(INDIRECT("'"&amp;A3484&amp;"'!"&amp;B3484))=INDIRECT("'"&amp;A3484&amp;"'!"&amp;B3484),FALSE,TRUE))</f>
        <v>0</v>
      </c>
      <c r="E3484" t="s">
        <v>436</v>
      </c>
      <c r="F3484" t="str">
        <f>INDEX(Lists!I:I,MATCH(Validation!E3484,Lists!G:G,0))</f>
        <v>Error</v>
      </c>
      <c r="G3484" t="str">
        <f>INDEX(Lists!H:H,MATCH(Validation!E3484,Lists!G:G,0))</f>
        <v>Amount must be rounded to the nearest dollar.</v>
      </c>
      <c r="H3484" s="16" t="str">
        <f t="shared" ca="1" si="381"/>
        <v/>
      </c>
      <c r="I3484" s="16" t="str">
        <f t="shared" ca="1" si="382"/>
        <v/>
      </c>
      <c r="J3484" s="17" t="str">
        <f t="shared" ca="1" si="383"/>
        <v/>
      </c>
    </row>
    <row r="3485" spans="1:10" x14ac:dyDescent="0.25">
      <c r="A3485" t="s">
        <v>659</v>
      </c>
      <c r="B3485" t="str">
        <f>ADDRESS(ROW('PAYG 1'!$C$16),COLUMN('PAYG 1'!$C$16),4)</f>
        <v>C16</v>
      </c>
      <c r="C3485" t="str">
        <f>ADDRESS(ROW('PAYG 1'!$D$16),COLUMN('PAYG 1'!$D$16),4)</f>
        <v>D16</v>
      </c>
      <c r="D3485" t="b" cm="1">
        <f t="array" aca="1" ref="D3485" ca="1">IF(INDIRECT("'"&amp;A3485&amp;"'!"&amp;B3485)="",FALSE,IF(TRUNC(INDIRECT("'"&amp;A3485&amp;"'!"&amp;B3485))=INDIRECT("'"&amp;A3485&amp;"'!"&amp;B3485),FALSE,TRUE))</f>
        <v>0</v>
      </c>
      <c r="E3485" t="s">
        <v>436</v>
      </c>
      <c r="F3485" t="str">
        <f>INDEX(Lists!I:I,MATCH(Validation!E3485,Lists!G:G,0))</f>
        <v>Error</v>
      </c>
      <c r="G3485" t="str">
        <f>INDEX(Lists!H:H,MATCH(Validation!E3485,Lists!G:G,0))</f>
        <v>Amount must be rounded to the nearest dollar.</v>
      </c>
      <c r="H3485" s="16" t="str">
        <f t="shared" ca="1" si="381"/>
        <v/>
      </c>
      <c r="I3485" s="16" t="str">
        <f t="shared" ca="1" si="382"/>
        <v/>
      </c>
      <c r="J3485" s="17" t="str">
        <f t="shared" ca="1" si="383"/>
        <v/>
      </c>
    </row>
    <row r="3486" spans="1:10" x14ac:dyDescent="0.25">
      <c r="A3486" t="s">
        <v>660</v>
      </c>
      <c r="B3486" t="str">
        <f>ADDRESS(ROW('PAYG 1'!$C$16),COLUMN('PAYG 1'!$C$16),4)</f>
        <v>C16</v>
      </c>
      <c r="C3486" t="str">
        <f>ADDRESS(ROW('PAYG 1'!$D$16),COLUMN('PAYG 1'!$D$16),4)</f>
        <v>D16</v>
      </c>
      <c r="D3486" t="b" cm="1">
        <f t="array" aca="1" ref="D3486" ca="1">IF(INDIRECT("'"&amp;A3486&amp;"'!"&amp;B3486)="",FALSE,IF(TRUNC(INDIRECT("'"&amp;A3486&amp;"'!"&amp;B3486))=INDIRECT("'"&amp;A3486&amp;"'!"&amp;B3486),FALSE,TRUE))</f>
        <v>0</v>
      </c>
      <c r="E3486" t="s">
        <v>436</v>
      </c>
      <c r="F3486" t="str">
        <f>INDEX(Lists!I:I,MATCH(Validation!E3486,Lists!G:G,0))</f>
        <v>Error</v>
      </c>
      <c r="G3486" t="str">
        <f>INDEX(Lists!H:H,MATCH(Validation!E3486,Lists!G:G,0))</f>
        <v>Amount must be rounded to the nearest dollar.</v>
      </c>
      <c r="H3486" s="16" t="str">
        <f t="shared" ca="1" si="381"/>
        <v/>
      </c>
      <c r="I3486" s="16" t="str">
        <f t="shared" ca="1" si="382"/>
        <v/>
      </c>
      <c r="J3486" s="17" t="str">
        <f t="shared" ca="1" si="383"/>
        <v/>
      </c>
    </row>
    <row r="3487" spans="1:10" x14ac:dyDescent="0.25">
      <c r="A3487" t="s">
        <v>661</v>
      </c>
      <c r="B3487" t="str">
        <f>ADDRESS(ROW('PAYG 1'!$C$16),COLUMN('PAYG 1'!$C$16),4)</f>
        <v>C16</v>
      </c>
      <c r="C3487" t="str">
        <f>ADDRESS(ROW('PAYG 1'!$D$16),COLUMN('PAYG 1'!$D$16),4)</f>
        <v>D16</v>
      </c>
      <c r="D3487" t="b" cm="1">
        <f t="array" aca="1" ref="D3487" ca="1">IF(INDIRECT("'"&amp;A3487&amp;"'!"&amp;B3487)="",FALSE,IF(TRUNC(INDIRECT("'"&amp;A3487&amp;"'!"&amp;B3487))=INDIRECT("'"&amp;A3487&amp;"'!"&amp;B3487),FALSE,TRUE))</f>
        <v>0</v>
      </c>
      <c r="E3487" t="s">
        <v>436</v>
      </c>
      <c r="F3487" t="str">
        <f>INDEX(Lists!I:I,MATCH(Validation!E3487,Lists!G:G,0))</f>
        <v>Error</v>
      </c>
      <c r="G3487" t="str">
        <f>INDEX(Lists!H:H,MATCH(Validation!E3487,Lists!G:G,0))</f>
        <v>Amount must be rounded to the nearest dollar.</v>
      </c>
      <c r="H3487" s="16" t="str">
        <f t="shared" ca="1" si="381"/>
        <v/>
      </c>
      <c r="I3487" s="16" t="str">
        <f t="shared" ca="1" si="382"/>
        <v/>
      </c>
      <c r="J3487" s="17" t="str">
        <f t="shared" ca="1" si="383"/>
        <v/>
      </c>
    </row>
    <row r="3488" spans="1:10" x14ac:dyDescent="0.25">
      <c r="A3488" t="s">
        <v>662</v>
      </c>
      <c r="B3488" t="str">
        <f>ADDRESS(ROW('PAYG 1'!$C$16),COLUMN('PAYG 1'!$C$16),4)</f>
        <v>C16</v>
      </c>
      <c r="C3488" t="str">
        <f>ADDRESS(ROW('PAYG 1'!$D$16),COLUMN('PAYG 1'!$D$16),4)</f>
        <v>D16</v>
      </c>
      <c r="D3488" t="b" cm="1">
        <f t="array" aca="1" ref="D3488" ca="1">IF(INDIRECT("'"&amp;A3488&amp;"'!"&amp;B3488)="",FALSE,IF(TRUNC(INDIRECT("'"&amp;A3488&amp;"'!"&amp;B3488))=INDIRECT("'"&amp;A3488&amp;"'!"&amp;B3488),FALSE,TRUE))</f>
        <v>0</v>
      </c>
      <c r="E3488" t="s">
        <v>436</v>
      </c>
      <c r="F3488" t="str">
        <f>INDEX(Lists!I:I,MATCH(Validation!E3488,Lists!G:G,0))</f>
        <v>Error</v>
      </c>
      <c r="G3488" t="str">
        <f>INDEX(Lists!H:H,MATCH(Validation!E3488,Lists!G:G,0))</f>
        <v>Amount must be rounded to the nearest dollar.</v>
      </c>
      <c r="H3488" s="16" t="str">
        <f t="shared" ca="1" si="381"/>
        <v/>
      </c>
      <c r="I3488" s="16" t="str">
        <f t="shared" ca="1" si="382"/>
        <v/>
      </c>
      <c r="J3488" s="17" t="str">
        <f t="shared" ca="1" si="383"/>
        <v/>
      </c>
    </row>
    <row r="3489" spans="1:10" x14ac:dyDescent="0.25">
      <c r="A3489" t="s">
        <v>663</v>
      </c>
      <c r="B3489" t="str">
        <f>ADDRESS(ROW('PAYG 1'!$C$16),COLUMN('PAYG 1'!$C$16),4)</f>
        <v>C16</v>
      </c>
      <c r="C3489" t="str">
        <f>ADDRESS(ROW('PAYG 1'!$D$16),COLUMN('PAYG 1'!$D$16),4)</f>
        <v>D16</v>
      </c>
      <c r="D3489" t="b" cm="1">
        <f t="array" aca="1" ref="D3489" ca="1">IF(INDIRECT("'"&amp;A3489&amp;"'!"&amp;B3489)="",FALSE,IF(TRUNC(INDIRECT("'"&amp;A3489&amp;"'!"&amp;B3489))=INDIRECT("'"&amp;A3489&amp;"'!"&amp;B3489),FALSE,TRUE))</f>
        <v>0</v>
      </c>
      <c r="E3489" t="s">
        <v>436</v>
      </c>
      <c r="F3489" t="str">
        <f>INDEX(Lists!I:I,MATCH(Validation!E3489,Lists!G:G,0))</f>
        <v>Error</v>
      </c>
      <c r="G3489" t="str">
        <f>INDEX(Lists!H:H,MATCH(Validation!E3489,Lists!G:G,0))</f>
        <v>Amount must be rounded to the nearest dollar.</v>
      </c>
      <c r="H3489" s="16" t="str">
        <f t="shared" ca="1" si="381"/>
        <v/>
      </c>
      <c r="I3489" s="16" t="str">
        <f t="shared" ca="1" si="382"/>
        <v/>
      </c>
      <c r="J3489" s="17" t="str">
        <f t="shared" ca="1" si="383"/>
        <v/>
      </c>
    </row>
    <row r="3490" spans="1:10" x14ac:dyDescent="0.25">
      <c r="A3490" t="s">
        <v>664</v>
      </c>
      <c r="B3490" t="str">
        <f>ADDRESS(ROW('PAYG 1'!$C$16),COLUMN('PAYG 1'!$C$16),4)</f>
        <v>C16</v>
      </c>
      <c r="C3490" t="str">
        <f>ADDRESS(ROW('PAYG 1'!$D$16),COLUMN('PAYG 1'!$D$16),4)</f>
        <v>D16</v>
      </c>
      <c r="D3490" t="b" cm="1">
        <f t="array" aca="1" ref="D3490" ca="1">IF(INDIRECT("'"&amp;A3490&amp;"'!"&amp;B3490)="",FALSE,IF(TRUNC(INDIRECT("'"&amp;A3490&amp;"'!"&amp;B3490))=INDIRECT("'"&amp;A3490&amp;"'!"&amp;B3490),FALSE,TRUE))</f>
        <v>0</v>
      </c>
      <c r="E3490" t="s">
        <v>436</v>
      </c>
      <c r="F3490" t="str">
        <f>INDEX(Lists!I:I,MATCH(Validation!E3490,Lists!G:G,0))</f>
        <v>Error</v>
      </c>
      <c r="G3490" t="str">
        <f>INDEX(Lists!H:H,MATCH(Validation!E3490,Lists!G:G,0))</f>
        <v>Amount must be rounded to the nearest dollar.</v>
      </c>
      <c r="H3490" s="16" t="str">
        <f t="shared" ca="1" si="381"/>
        <v/>
      </c>
      <c r="I3490" s="16" t="str">
        <f t="shared" ca="1" si="382"/>
        <v/>
      </c>
      <c r="J3490" s="17" t="str">
        <f t="shared" ca="1" si="383"/>
        <v/>
      </c>
    </row>
    <row r="3491" spans="1:10" x14ac:dyDescent="0.25">
      <c r="A3491" t="s">
        <v>203</v>
      </c>
      <c r="B3491" t="str">
        <f>ADDRESS(ROW('PAYG 1'!$B$17),COLUMN('PAYG 1'!$B$17),4)</f>
        <v>B17</v>
      </c>
      <c r="C3491" t="str">
        <f>ADDRESS(ROW('PAYG 1'!$D$17),COLUMN('PAYG 1'!$D$17),4)</f>
        <v>D17</v>
      </c>
      <c r="D3491" t="b" cm="1">
        <f t="array" aca="1" ref="D3491" ca="1">IF(INDIRECT("'"&amp;A3491&amp;"'!"&amp;B3491)="",FALSE,IF(NOT(ISNUMBER(INDIRECT("'"&amp;A3491&amp;"'!"&amp;B3491))),TRUE,FALSE))</f>
        <v>0</v>
      </c>
      <c r="E3491" t="s">
        <v>435</v>
      </c>
      <c r="F3491" t="str">
        <f>INDEX(Lists!I:I,MATCH(Validation!E3491,Lists!G:G,0))</f>
        <v>Error</v>
      </c>
      <c r="G3491" t="str">
        <f>INDEX(Lists!H:H,MATCH(Validation!E3491,Lists!G:G,0))</f>
        <v>Enter an amount only. Do not enter text or spaces.</v>
      </c>
      <c r="H3491" s="16" t="str">
        <f t="shared" ref="H3491:H3535" ca="1" si="384">IFERROR(IF(OR(NOT(D3491),F3491&lt;&gt;"Error"),"",A3491&amp;CELL("address",INDIRECT(B3491))),"")</f>
        <v/>
      </c>
      <c r="I3491" s="16" t="str">
        <f t="shared" ref="I3491:I3535" ca="1" si="385">IFERROR(IF(NOT(D3491),"",A3491&amp;CELL("address",INDIRECT(C3491))),"")</f>
        <v/>
      </c>
      <c r="J3491" s="17" t="str">
        <f t="shared" ref="J3491:J3535" ca="1" si="386">IFERROR(IF(NOT(D3491),"",A3491),"")</f>
        <v/>
      </c>
    </row>
    <row r="3492" spans="1:10" x14ac:dyDescent="0.25">
      <c r="A3492" t="s">
        <v>651</v>
      </c>
      <c r="B3492" t="str">
        <f>ADDRESS(ROW('PAYG 1'!$B$17),COLUMN('PAYG 1'!$B$17),4)</f>
        <v>B17</v>
      </c>
      <c r="C3492" t="str">
        <f>ADDRESS(ROW('PAYG 1'!$D$17),COLUMN('PAYG 1'!$D$17),4)</f>
        <v>D17</v>
      </c>
      <c r="D3492" t="b" cm="1">
        <f t="array" aca="1" ref="D3492" ca="1">IF(INDIRECT("'"&amp;A3492&amp;"'!"&amp;B3492)="",FALSE,IF(NOT(ISNUMBER(INDIRECT("'"&amp;A3492&amp;"'!"&amp;B3492))),TRUE,FALSE))</f>
        <v>0</v>
      </c>
      <c r="E3492" t="s">
        <v>435</v>
      </c>
      <c r="F3492" t="str">
        <f>INDEX(Lists!I:I,MATCH(Validation!E3492,Lists!G:G,0))</f>
        <v>Error</v>
      </c>
      <c r="G3492" t="str">
        <f>INDEX(Lists!H:H,MATCH(Validation!E3492,Lists!G:G,0))</f>
        <v>Enter an amount only. Do not enter text or spaces.</v>
      </c>
      <c r="H3492" s="16" t="str">
        <f t="shared" ca="1" si="384"/>
        <v/>
      </c>
      <c r="I3492" s="16" t="str">
        <f t="shared" ca="1" si="385"/>
        <v/>
      </c>
      <c r="J3492" s="17" t="str">
        <f t="shared" ca="1" si="386"/>
        <v/>
      </c>
    </row>
    <row r="3493" spans="1:10" x14ac:dyDescent="0.25">
      <c r="A3493" t="s">
        <v>652</v>
      </c>
      <c r="B3493" t="str">
        <f>ADDRESS(ROW('PAYG 1'!$B$17),COLUMN('PAYG 1'!$B$17),4)</f>
        <v>B17</v>
      </c>
      <c r="C3493" t="str">
        <f>ADDRESS(ROW('PAYG 1'!$D$17),COLUMN('PAYG 1'!$D$17),4)</f>
        <v>D17</v>
      </c>
      <c r="D3493" t="b" cm="1">
        <f t="array" aca="1" ref="D3493" ca="1">IF(INDIRECT("'"&amp;A3493&amp;"'!"&amp;B3493)="",FALSE,IF(NOT(ISNUMBER(INDIRECT("'"&amp;A3493&amp;"'!"&amp;B3493))),TRUE,FALSE))</f>
        <v>0</v>
      </c>
      <c r="E3493" t="s">
        <v>435</v>
      </c>
      <c r="F3493" t="str">
        <f>INDEX(Lists!I:I,MATCH(Validation!E3493,Lists!G:G,0))</f>
        <v>Error</v>
      </c>
      <c r="G3493" t="str">
        <f>INDEX(Lists!H:H,MATCH(Validation!E3493,Lists!G:G,0))</f>
        <v>Enter an amount only. Do not enter text or spaces.</v>
      </c>
      <c r="H3493" s="16" t="str">
        <f t="shared" ca="1" si="384"/>
        <v/>
      </c>
      <c r="I3493" s="16" t="str">
        <f t="shared" ca="1" si="385"/>
        <v/>
      </c>
      <c r="J3493" s="17" t="str">
        <f t="shared" ca="1" si="386"/>
        <v/>
      </c>
    </row>
    <row r="3494" spans="1:10" x14ac:dyDescent="0.25">
      <c r="A3494" t="s">
        <v>653</v>
      </c>
      <c r="B3494" t="str">
        <f>ADDRESS(ROW('PAYG 1'!$B$17),COLUMN('PAYG 1'!$B$17),4)</f>
        <v>B17</v>
      </c>
      <c r="C3494" t="str">
        <f>ADDRESS(ROW('PAYG 1'!$D$17),COLUMN('PAYG 1'!$D$17),4)</f>
        <v>D17</v>
      </c>
      <c r="D3494" t="b" cm="1">
        <f t="array" aca="1" ref="D3494" ca="1">IF(INDIRECT("'"&amp;A3494&amp;"'!"&amp;B3494)="",FALSE,IF(NOT(ISNUMBER(INDIRECT("'"&amp;A3494&amp;"'!"&amp;B3494))),TRUE,FALSE))</f>
        <v>0</v>
      </c>
      <c r="E3494" t="s">
        <v>435</v>
      </c>
      <c r="F3494" t="str">
        <f>INDEX(Lists!I:I,MATCH(Validation!E3494,Lists!G:G,0))</f>
        <v>Error</v>
      </c>
      <c r="G3494" t="str">
        <f>INDEX(Lists!H:H,MATCH(Validation!E3494,Lists!G:G,0))</f>
        <v>Enter an amount only. Do not enter text or spaces.</v>
      </c>
      <c r="H3494" s="16" t="str">
        <f t="shared" ca="1" si="384"/>
        <v/>
      </c>
      <c r="I3494" s="16" t="str">
        <f t="shared" ca="1" si="385"/>
        <v/>
      </c>
      <c r="J3494" s="17" t="str">
        <f t="shared" ca="1" si="386"/>
        <v/>
      </c>
    </row>
    <row r="3495" spans="1:10" x14ac:dyDescent="0.25">
      <c r="A3495" t="s">
        <v>654</v>
      </c>
      <c r="B3495" t="str">
        <f>ADDRESS(ROW('PAYG 1'!$B$17),COLUMN('PAYG 1'!$B$17),4)</f>
        <v>B17</v>
      </c>
      <c r="C3495" t="str">
        <f>ADDRESS(ROW('PAYG 1'!$D$17),COLUMN('PAYG 1'!$D$17),4)</f>
        <v>D17</v>
      </c>
      <c r="D3495" t="b" cm="1">
        <f t="array" aca="1" ref="D3495" ca="1">IF(INDIRECT("'"&amp;A3495&amp;"'!"&amp;B3495)="",FALSE,IF(NOT(ISNUMBER(INDIRECT("'"&amp;A3495&amp;"'!"&amp;B3495))),TRUE,FALSE))</f>
        <v>0</v>
      </c>
      <c r="E3495" t="s">
        <v>435</v>
      </c>
      <c r="F3495" t="str">
        <f>INDEX(Lists!I:I,MATCH(Validation!E3495,Lists!G:G,0))</f>
        <v>Error</v>
      </c>
      <c r="G3495" t="str">
        <f>INDEX(Lists!H:H,MATCH(Validation!E3495,Lists!G:G,0))</f>
        <v>Enter an amount only. Do not enter text or spaces.</v>
      </c>
      <c r="H3495" s="16" t="str">
        <f t="shared" ca="1" si="384"/>
        <v/>
      </c>
      <c r="I3495" s="16" t="str">
        <f t="shared" ca="1" si="385"/>
        <v/>
      </c>
      <c r="J3495" s="17" t="str">
        <f t="shared" ca="1" si="386"/>
        <v/>
      </c>
    </row>
    <row r="3496" spans="1:10" x14ac:dyDescent="0.25">
      <c r="A3496" t="s">
        <v>655</v>
      </c>
      <c r="B3496" t="str">
        <f>ADDRESS(ROW('PAYG 1'!$B$17),COLUMN('PAYG 1'!$B$17),4)</f>
        <v>B17</v>
      </c>
      <c r="C3496" t="str">
        <f>ADDRESS(ROW('PAYG 1'!$D$17),COLUMN('PAYG 1'!$D$17),4)</f>
        <v>D17</v>
      </c>
      <c r="D3496" t="b" cm="1">
        <f t="array" aca="1" ref="D3496" ca="1">IF(INDIRECT("'"&amp;A3496&amp;"'!"&amp;B3496)="",FALSE,IF(NOT(ISNUMBER(INDIRECT("'"&amp;A3496&amp;"'!"&amp;B3496))),TRUE,FALSE))</f>
        <v>0</v>
      </c>
      <c r="E3496" t="s">
        <v>435</v>
      </c>
      <c r="F3496" t="str">
        <f>INDEX(Lists!I:I,MATCH(Validation!E3496,Lists!G:G,0))</f>
        <v>Error</v>
      </c>
      <c r="G3496" t="str">
        <f>INDEX(Lists!H:H,MATCH(Validation!E3496,Lists!G:G,0))</f>
        <v>Enter an amount only. Do not enter text or spaces.</v>
      </c>
      <c r="H3496" s="16" t="str">
        <f t="shared" ca="1" si="384"/>
        <v/>
      </c>
      <c r="I3496" s="16" t="str">
        <f t="shared" ca="1" si="385"/>
        <v/>
      </c>
      <c r="J3496" s="17" t="str">
        <f t="shared" ca="1" si="386"/>
        <v/>
      </c>
    </row>
    <row r="3497" spans="1:10" x14ac:dyDescent="0.25">
      <c r="A3497" t="s">
        <v>656</v>
      </c>
      <c r="B3497" t="str">
        <f>ADDRESS(ROW('PAYG 1'!$B$17),COLUMN('PAYG 1'!$B$17),4)</f>
        <v>B17</v>
      </c>
      <c r="C3497" t="str">
        <f>ADDRESS(ROW('PAYG 1'!$D$17),COLUMN('PAYG 1'!$D$17),4)</f>
        <v>D17</v>
      </c>
      <c r="D3497" t="b" cm="1">
        <f t="array" aca="1" ref="D3497" ca="1">IF(INDIRECT("'"&amp;A3497&amp;"'!"&amp;B3497)="",FALSE,IF(NOT(ISNUMBER(INDIRECT("'"&amp;A3497&amp;"'!"&amp;B3497))),TRUE,FALSE))</f>
        <v>0</v>
      </c>
      <c r="E3497" t="s">
        <v>435</v>
      </c>
      <c r="F3497" t="str">
        <f>INDEX(Lists!I:I,MATCH(Validation!E3497,Lists!G:G,0))</f>
        <v>Error</v>
      </c>
      <c r="G3497" t="str">
        <f>INDEX(Lists!H:H,MATCH(Validation!E3497,Lists!G:G,0))</f>
        <v>Enter an amount only. Do not enter text or spaces.</v>
      </c>
      <c r="H3497" s="16" t="str">
        <f t="shared" ca="1" si="384"/>
        <v/>
      </c>
      <c r="I3497" s="16" t="str">
        <f t="shared" ca="1" si="385"/>
        <v/>
      </c>
      <c r="J3497" s="17" t="str">
        <f t="shared" ca="1" si="386"/>
        <v/>
      </c>
    </row>
    <row r="3498" spans="1:10" x14ac:dyDescent="0.25">
      <c r="A3498" t="s">
        <v>657</v>
      </c>
      <c r="B3498" t="str">
        <f>ADDRESS(ROW('PAYG 1'!$B$17),COLUMN('PAYG 1'!$B$17),4)</f>
        <v>B17</v>
      </c>
      <c r="C3498" t="str">
        <f>ADDRESS(ROW('PAYG 1'!$D$17),COLUMN('PAYG 1'!$D$17),4)</f>
        <v>D17</v>
      </c>
      <c r="D3498" t="b" cm="1">
        <f t="array" aca="1" ref="D3498" ca="1">IF(INDIRECT("'"&amp;A3498&amp;"'!"&amp;B3498)="",FALSE,IF(NOT(ISNUMBER(INDIRECT("'"&amp;A3498&amp;"'!"&amp;B3498))),TRUE,FALSE))</f>
        <v>0</v>
      </c>
      <c r="E3498" t="s">
        <v>435</v>
      </c>
      <c r="F3498" t="str">
        <f>INDEX(Lists!I:I,MATCH(Validation!E3498,Lists!G:G,0))</f>
        <v>Error</v>
      </c>
      <c r="G3498" t="str">
        <f>INDEX(Lists!H:H,MATCH(Validation!E3498,Lists!G:G,0))</f>
        <v>Enter an amount only. Do not enter text or spaces.</v>
      </c>
      <c r="H3498" s="16" t="str">
        <f t="shared" ca="1" si="384"/>
        <v/>
      </c>
      <c r="I3498" s="16" t="str">
        <f t="shared" ca="1" si="385"/>
        <v/>
      </c>
      <c r="J3498" s="17" t="str">
        <f t="shared" ca="1" si="386"/>
        <v/>
      </c>
    </row>
    <row r="3499" spans="1:10" x14ac:dyDescent="0.25">
      <c r="A3499" t="s">
        <v>658</v>
      </c>
      <c r="B3499" t="str">
        <f>ADDRESS(ROW('PAYG 1'!$B$17),COLUMN('PAYG 1'!$B$17),4)</f>
        <v>B17</v>
      </c>
      <c r="C3499" t="str">
        <f>ADDRESS(ROW('PAYG 1'!$D$17),COLUMN('PAYG 1'!$D$17),4)</f>
        <v>D17</v>
      </c>
      <c r="D3499" t="b" cm="1">
        <f t="array" aca="1" ref="D3499" ca="1">IF(INDIRECT("'"&amp;A3499&amp;"'!"&amp;B3499)="",FALSE,IF(NOT(ISNUMBER(INDIRECT("'"&amp;A3499&amp;"'!"&amp;B3499))),TRUE,FALSE))</f>
        <v>0</v>
      </c>
      <c r="E3499" t="s">
        <v>435</v>
      </c>
      <c r="F3499" t="str">
        <f>INDEX(Lists!I:I,MATCH(Validation!E3499,Lists!G:G,0))</f>
        <v>Error</v>
      </c>
      <c r="G3499" t="str">
        <f>INDEX(Lists!H:H,MATCH(Validation!E3499,Lists!G:G,0))</f>
        <v>Enter an amount only. Do not enter text or spaces.</v>
      </c>
      <c r="H3499" s="16" t="str">
        <f t="shared" ca="1" si="384"/>
        <v/>
      </c>
      <c r="I3499" s="16" t="str">
        <f t="shared" ca="1" si="385"/>
        <v/>
      </c>
      <c r="J3499" s="17" t="str">
        <f t="shared" ca="1" si="386"/>
        <v/>
      </c>
    </row>
    <row r="3500" spans="1:10" x14ac:dyDescent="0.25">
      <c r="A3500" t="s">
        <v>659</v>
      </c>
      <c r="B3500" t="str">
        <f>ADDRESS(ROW('PAYG 1'!$B$17),COLUMN('PAYG 1'!$B$17),4)</f>
        <v>B17</v>
      </c>
      <c r="C3500" t="str">
        <f>ADDRESS(ROW('PAYG 1'!$D$17),COLUMN('PAYG 1'!$D$17),4)</f>
        <v>D17</v>
      </c>
      <c r="D3500" t="b" cm="1">
        <f t="array" aca="1" ref="D3500" ca="1">IF(INDIRECT("'"&amp;A3500&amp;"'!"&amp;B3500)="",FALSE,IF(NOT(ISNUMBER(INDIRECT("'"&amp;A3500&amp;"'!"&amp;B3500))),TRUE,FALSE))</f>
        <v>0</v>
      </c>
      <c r="E3500" t="s">
        <v>435</v>
      </c>
      <c r="F3500" t="str">
        <f>INDEX(Lists!I:I,MATCH(Validation!E3500,Lists!G:G,0))</f>
        <v>Error</v>
      </c>
      <c r="G3500" t="str">
        <f>INDEX(Lists!H:H,MATCH(Validation!E3500,Lists!G:G,0))</f>
        <v>Enter an amount only. Do not enter text or spaces.</v>
      </c>
      <c r="H3500" s="16" t="str">
        <f t="shared" ca="1" si="384"/>
        <v/>
      </c>
      <c r="I3500" s="16" t="str">
        <f t="shared" ca="1" si="385"/>
        <v/>
      </c>
      <c r="J3500" s="17" t="str">
        <f t="shared" ca="1" si="386"/>
        <v/>
      </c>
    </row>
    <row r="3501" spans="1:10" x14ac:dyDescent="0.25">
      <c r="A3501" t="s">
        <v>660</v>
      </c>
      <c r="B3501" t="str">
        <f>ADDRESS(ROW('PAYG 1'!$B$17),COLUMN('PAYG 1'!$B$17),4)</f>
        <v>B17</v>
      </c>
      <c r="C3501" t="str">
        <f>ADDRESS(ROW('PAYG 1'!$D$17),COLUMN('PAYG 1'!$D$17),4)</f>
        <v>D17</v>
      </c>
      <c r="D3501" t="b" cm="1">
        <f t="array" aca="1" ref="D3501" ca="1">IF(INDIRECT("'"&amp;A3501&amp;"'!"&amp;B3501)="",FALSE,IF(NOT(ISNUMBER(INDIRECT("'"&amp;A3501&amp;"'!"&amp;B3501))),TRUE,FALSE))</f>
        <v>0</v>
      </c>
      <c r="E3501" t="s">
        <v>435</v>
      </c>
      <c r="F3501" t="str">
        <f>INDEX(Lists!I:I,MATCH(Validation!E3501,Lists!G:G,0))</f>
        <v>Error</v>
      </c>
      <c r="G3501" t="str">
        <f>INDEX(Lists!H:H,MATCH(Validation!E3501,Lists!G:G,0))</f>
        <v>Enter an amount only. Do not enter text or spaces.</v>
      </c>
      <c r="H3501" s="16" t="str">
        <f t="shared" ca="1" si="384"/>
        <v/>
      </c>
      <c r="I3501" s="16" t="str">
        <f t="shared" ca="1" si="385"/>
        <v/>
      </c>
      <c r="J3501" s="17" t="str">
        <f t="shared" ca="1" si="386"/>
        <v/>
      </c>
    </row>
    <row r="3502" spans="1:10" x14ac:dyDescent="0.25">
      <c r="A3502" t="s">
        <v>661</v>
      </c>
      <c r="B3502" t="str">
        <f>ADDRESS(ROW('PAYG 1'!$B$17),COLUMN('PAYG 1'!$B$17),4)</f>
        <v>B17</v>
      </c>
      <c r="C3502" t="str">
        <f>ADDRESS(ROW('PAYG 1'!$D$17),COLUMN('PAYG 1'!$D$17),4)</f>
        <v>D17</v>
      </c>
      <c r="D3502" t="b" cm="1">
        <f t="array" aca="1" ref="D3502" ca="1">IF(INDIRECT("'"&amp;A3502&amp;"'!"&amp;B3502)="",FALSE,IF(NOT(ISNUMBER(INDIRECT("'"&amp;A3502&amp;"'!"&amp;B3502))),TRUE,FALSE))</f>
        <v>0</v>
      </c>
      <c r="E3502" t="s">
        <v>435</v>
      </c>
      <c r="F3502" t="str">
        <f>INDEX(Lists!I:I,MATCH(Validation!E3502,Lists!G:G,0))</f>
        <v>Error</v>
      </c>
      <c r="G3502" t="str">
        <f>INDEX(Lists!H:H,MATCH(Validation!E3502,Lists!G:G,0))</f>
        <v>Enter an amount only. Do not enter text or spaces.</v>
      </c>
      <c r="H3502" s="16" t="str">
        <f t="shared" ca="1" si="384"/>
        <v/>
      </c>
      <c r="I3502" s="16" t="str">
        <f t="shared" ca="1" si="385"/>
        <v/>
      </c>
      <c r="J3502" s="17" t="str">
        <f t="shared" ca="1" si="386"/>
        <v/>
      </c>
    </row>
    <row r="3503" spans="1:10" x14ac:dyDescent="0.25">
      <c r="A3503" t="s">
        <v>662</v>
      </c>
      <c r="B3503" t="str">
        <f>ADDRESS(ROW('PAYG 1'!$B$17),COLUMN('PAYG 1'!$B$17),4)</f>
        <v>B17</v>
      </c>
      <c r="C3503" t="str">
        <f>ADDRESS(ROW('PAYG 1'!$D$17),COLUMN('PAYG 1'!$D$17),4)</f>
        <v>D17</v>
      </c>
      <c r="D3503" t="b" cm="1">
        <f t="array" aca="1" ref="D3503" ca="1">IF(INDIRECT("'"&amp;A3503&amp;"'!"&amp;B3503)="",FALSE,IF(NOT(ISNUMBER(INDIRECT("'"&amp;A3503&amp;"'!"&amp;B3503))),TRUE,FALSE))</f>
        <v>0</v>
      </c>
      <c r="E3503" t="s">
        <v>435</v>
      </c>
      <c r="F3503" t="str">
        <f>INDEX(Lists!I:I,MATCH(Validation!E3503,Lists!G:G,0))</f>
        <v>Error</v>
      </c>
      <c r="G3503" t="str">
        <f>INDEX(Lists!H:H,MATCH(Validation!E3503,Lists!G:G,0))</f>
        <v>Enter an amount only. Do not enter text or spaces.</v>
      </c>
      <c r="H3503" s="16" t="str">
        <f t="shared" ca="1" si="384"/>
        <v/>
      </c>
      <c r="I3503" s="16" t="str">
        <f t="shared" ca="1" si="385"/>
        <v/>
      </c>
      <c r="J3503" s="17" t="str">
        <f t="shared" ca="1" si="386"/>
        <v/>
      </c>
    </row>
    <row r="3504" spans="1:10" x14ac:dyDescent="0.25">
      <c r="A3504" t="s">
        <v>663</v>
      </c>
      <c r="B3504" t="str">
        <f>ADDRESS(ROW('PAYG 1'!$B$17),COLUMN('PAYG 1'!$B$17),4)</f>
        <v>B17</v>
      </c>
      <c r="C3504" t="str">
        <f>ADDRESS(ROW('PAYG 1'!$D$17),COLUMN('PAYG 1'!$D$17),4)</f>
        <v>D17</v>
      </c>
      <c r="D3504" t="b" cm="1">
        <f t="array" aca="1" ref="D3504" ca="1">IF(INDIRECT("'"&amp;A3504&amp;"'!"&amp;B3504)="",FALSE,IF(NOT(ISNUMBER(INDIRECT("'"&amp;A3504&amp;"'!"&amp;B3504))),TRUE,FALSE))</f>
        <v>0</v>
      </c>
      <c r="E3504" t="s">
        <v>435</v>
      </c>
      <c r="F3504" t="str">
        <f>INDEX(Lists!I:I,MATCH(Validation!E3504,Lists!G:G,0))</f>
        <v>Error</v>
      </c>
      <c r="G3504" t="str">
        <f>INDEX(Lists!H:H,MATCH(Validation!E3504,Lists!G:G,0))</f>
        <v>Enter an amount only. Do not enter text or spaces.</v>
      </c>
      <c r="H3504" s="16" t="str">
        <f t="shared" ca="1" si="384"/>
        <v/>
      </c>
      <c r="I3504" s="16" t="str">
        <f t="shared" ca="1" si="385"/>
        <v/>
      </c>
      <c r="J3504" s="17" t="str">
        <f t="shared" ca="1" si="386"/>
        <v/>
      </c>
    </row>
    <row r="3505" spans="1:10" x14ac:dyDescent="0.25">
      <c r="A3505" t="s">
        <v>664</v>
      </c>
      <c r="B3505" t="str">
        <f>ADDRESS(ROW('PAYG 1'!$B$17),COLUMN('PAYG 1'!$B$17),4)</f>
        <v>B17</v>
      </c>
      <c r="C3505" t="str">
        <f>ADDRESS(ROW('PAYG 1'!$D$17),COLUMN('PAYG 1'!$D$17),4)</f>
        <v>D17</v>
      </c>
      <c r="D3505" t="b" cm="1">
        <f t="array" aca="1" ref="D3505" ca="1">IF(INDIRECT("'"&amp;A3505&amp;"'!"&amp;B3505)="",FALSE,IF(NOT(ISNUMBER(INDIRECT("'"&amp;A3505&amp;"'!"&amp;B3505))),TRUE,FALSE))</f>
        <v>0</v>
      </c>
      <c r="E3505" t="s">
        <v>435</v>
      </c>
      <c r="F3505" t="str">
        <f>INDEX(Lists!I:I,MATCH(Validation!E3505,Lists!G:G,0))</f>
        <v>Error</v>
      </c>
      <c r="G3505" t="str">
        <f>INDEX(Lists!H:H,MATCH(Validation!E3505,Lists!G:G,0))</f>
        <v>Enter an amount only. Do not enter text or spaces.</v>
      </c>
      <c r="H3505" s="16" t="str">
        <f t="shared" ca="1" si="384"/>
        <v/>
      </c>
      <c r="I3505" s="16" t="str">
        <f t="shared" ca="1" si="385"/>
        <v/>
      </c>
      <c r="J3505" s="17" t="str">
        <f t="shared" ca="1" si="386"/>
        <v/>
      </c>
    </row>
    <row r="3506" spans="1:10" x14ac:dyDescent="0.25">
      <c r="A3506" t="s">
        <v>203</v>
      </c>
      <c r="B3506" t="str">
        <f>ADDRESS(ROW('PAYG 1'!$B$17),COLUMN('PAYG 1'!$B$17),4)</f>
        <v>B17</v>
      </c>
      <c r="C3506" t="str">
        <f>ADDRESS(ROW('PAYG 1'!$D$17),COLUMN('PAYG 1'!$D$17),4)</f>
        <v>D17</v>
      </c>
      <c r="D3506" t="b" cm="1">
        <f t="array" aca="1" ref="D3506" ca="1">IF(INDIRECT("'"&amp;A3506&amp;"'!"&amp;B3506)="",FALSE,IF(INDIRECT("'"&amp;A3506&amp;"'!"&amp;B3506)&lt;0,TRUE,FALSE))</f>
        <v>0</v>
      </c>
      <c r="E3506" t="s">
        <v>434</v>
      </c>
      <c r="F3506" t="str">
        <f>INDEX(Lists!I:I,MATCH(Validation!E3506,Lists!G:G,0))</f>
        <v>Error</v>
      </c>
      <c r="G3506" t="str">
        <f>INDEX(Lists!H:H,MATCH(Validation!E3506,Lists!G:G,0))</f>
        <v>Amount may not be negative. Enter an amount greater than or equal to zero.</v>
      </c>
      <c r="H3506" s="16" t="str">
        <f t="shared" ca="1" si="384"/>
        <v/>
      </c>
      <c r="I3506" s="16" t="str">
        <f t="shared" ca="1" si="385"/>
        <v/>
      </c>
      <c r="J3506" s="17" t="str">
        <f t="shared" ca="1" si="386"/>
        <v/>
      </c>
    </row>
    <row r="3507" spans="1:10" x14ac:dyDescent="0.25">
      <c r="A3507" t="s">
        <v>651</v>
      </c>
      <c r="B3507" t="str">
        <f>ADDRESS(ROW('PAYG 1'!$B$17),COLUMN('PAYG 1'!$B$17),4)</f>
        <v>B17</v>
      </c>
      <c r="C3507" t="str">
        <f>ADDRESS(ROW('PAYG 1'!$D$17),COLUMN('PAYG 1'!$D$17),4)</f>
        <v>D17</v>
      </c>
      <c r="D3507" t="b" cm="1">
        <f t="array" aca="1" ref="D3507" ca="1">IF(INDIRECT("'"&amp;A3507&amp;"'!"&amp;B3507)="",FALSE,IF(INDIRECT("'"&amp;A3507&amp;"'!"&amp;B3507)&lt;0,TRUE,FALSE))</f>
        <v>0</v>
      </c>
      <c r="E3507" t="s">
        <v>434</v>
      </c>
      <c r="F3507" t="str">
        <f>INDEX(Lists!I:I,MATCH(Validation!E3507,Lists!G:G,0))</f>
        <v>Error</v>
      </c>
      <c r="G3507" t="str">
        <f>INDEX(Lists!H:H,MATCH(Validation!E3507,Lists!G:G,0))</f>
        <v>Amount may not be negative. Enter an amount greater than or equal to zero.</v>
      </c>
      <c r="H3507" s="16" t="str">
        <f t="shared" ca="1" si="384"/>
        <v/>
      </c>
      <c r="I3507" s="16" t="str">
        <f t="shared" ca="1" si="385"/>
        <v/>
      </c>
      <c r="J3507" s="17" t="str">
        <f t="shared" ca="1" si="386"/>
        <v/>
      </c>
    </row>
    <row r="3508" spans="1:10" x14ac:dyDescent="0.25">
      <c r="A3508" t="s">
        <v>652</v>
      </c>
      <c r="B3508" t="str">
        <f>ADDRESS(ROW('PAYG 1'!$B$17),COLUMN('PAYG 1'!$B$17),4)</f>
        <v>B17</v>
      </c>
      <c r="C3508" t="str">
        <f>ADDRESS(ROW('PAYG 1'!$D$17),COLUMN('PAYG 1'!$D$17),4)</f>
        <v>D17</v>
      </c>
      <c r="D3508" t="b" cm="1">
        <f t="array" aca="1" ref="D3508" ca="1">IF(INDIRECT("'"&amp;A3508&amp;"'!"&amp;B3508)="",FALSE,IF(INDIRECT("'"&amp;A3508&amp;"'!"&amp;B3508)&lt;0,TRUE,FALSE))</f>
        <v>0</v>
      </c>
      <c r="E3508" t="s">
        <v>434</v>
      </c>
      <c r="F3508" t="str">
        <f>INDEX(Lists!I:I,MATCH(Validation!E3508,Lists!G:G,0))</f>
        <v>Error</v>
      </c>
      <c r="G3508" t="str">
        <f>INDEX(Lists!H:H,MATCH(Validation!E3508,Lists!G:G,0))</f>
        <v>Amount may not be negative. Enter an amount greater than or equal to zero.</v>
      </c>
      <c r="H3508" s="16" t="str">
        <f t="shared" ca="1" si="384"/>
        <v/>
      </c>
      <c r="I3508" s="16" t="str">
        <f t="shared" ca="1" si="385"/>
        <v/>
      </c>
      <c r="J3508" s="17" t="str">
        <f t="shared" ca="1" si="386"/>
        <v/>
      </c>
    </row>
    <row r="3509" spans="1:10" x14ac:dyDescent="0.25">
      <c r="A3509" t="s">
        <v>653</v>
      </c>
      <c r="B3509" t="str">
        <f>ADDRESS(ROW('PAYG 1'!$B$17),COLUMN('PAYG 1'!$B$17),4)</f>
        <v>B17</v>
      </c>
      <c r="C3509" t="str">
        <f>ADDRESS(ROW('PAYG 1'!$D$17),COLUMN('PAYG 1'!$D$17),4)</f>
        <v>D17</v>
      </c>
      <c r="D3509" t="b" cm="1">
        <f t="array" aca="1" ref="D3509" ca="1">IF(INDIRECT("'"&amp;A3509&amp;"'!"&amp;B3509)="",FALSE,IF(INDIRECT("'"&amp;A3509&amp;"'!"&amp;B3509)&lt;0,TRUE,FALSE))</f>
        <v>0</v>
      </c>
      <c r="E3509" t="s">
        <v>434</v>
      </c>
      <c r="F3509" t="str">
        <f>INDEX(Lists!I:I,MATCH(Validation!E3509,Lists!G:G,0))</f>
        <v>Error</v>
      </c>
      <c r="G3509" t="str">
        <f>INDEX(Lists!H:H,MATCH(Validation!E3509,Lists!G:G,0))</f>
        <v>Amount may not be negative. Enter an amount greater than or equal to zero.</v>
      </c>
      <c r="H3509" s="16" t="str">
        <f t="shared" ca="1" si="384"/>
        <v/>
      </c>
      <c r="I3509" s="16" t="str">
        <f t="shared" ca="1" si="385"/>
        <v/>
      </c>
      <c r="J3509" s="17" t="str">
        <f t="shared" ca="1" si="386"/>
        <v/>
      </c>
    </row>
    <row r="3510" spans="1:10" x14ac:dyDescent="0.25">
      <c r="A3510" t="s">
        <v>654</v>
      </c>
      <c r="B3510" t="str">
        <f>ADDRESS(ROW('PAYG 1'!$B$17),COLUMN('PAYG 1'!$B$17),4)</f>
        <v>B17</v>
      </c>
      <c r="C3510" t="str">
        <f>ADDRESS(ROW('PAYG 1'!$D$17),COLUMN('PAYG 1'!$D$17),4)</f>
        <v>D17</v>
      </c>
      <c r="D3510" t="b" cm="1">
        <f t="array" aca="1" ref="D3510" ca="1">IF(INDIRECT("'"&amp;A3510&amp;"'!"&amp;B3510)="",FALSE,IF(INDIRECT("'"&amp;A3510&amp;"'!"&amp;B3510)&lt;0,TRUE,FALSE))</f>
        <v>0</v>
      </c>
      <c r="E3510" t="s">
        <v>434</v>
      </c>
      <c r="F3510" t="str">
        <f>INDEX(Lists!I:I,MATCH(Validation!E3510,Lists!G:G,0))</f>
        <v>Error</v>
      </c>
      <c r="G3510" t="str">
        <f>INDEX(Lists!H:H,MATCH(Validation!E3510,Lists!G:G,0))</f>
        <v>Amount may not be negative. Enter an amount greater than or equal to zero.</v>
      </c>
      <c r="H3510" s="16" t="str">
        <f t="shared" ca="1" si="384"/>
        <v/>
      </c>
      <c r="I3510" s="16" t="str">
        <f t="shared" ca="1" si="385"/>
        <v/>
      </c>
      <c r="J3510" s="17" t="str">
        <f t="shared" ca="1" si="386"/>
        <v/>
      </c>
    </row>
    <row r="3511" spans="1:10" x14ac:dyDescent="0.25">
      <c r="A3511" t="s">
        <v>655</v>
      </c>
      <c r="B3511" t="str">
        <f>ADDRESS(ROW('PAYG 1'!$B$17),COLUMN('PAYG 1'!$B$17),4)</f>
        <v>B17</v>
      </c>
      <c r="C3511" t="str">
        <f>ADDRESS(ROW('PAYG 1'!$D$17),COLUMN('PAYG 1'!$D$17),4)</f>
        <v>D17</v>
      </c>
      <c r="D3511" t="b" cm="1">
        <f t="array" aca="1" ref="D3511" ca="1">IF(INDIRECT("'"&amp;A3511&amp;"'!"&amp;B3511)="",FALSE,IF(INDIRECT("'"&amp;A3511&amp;"'!"&amp;B3511)&lt;0,TRUE,FALSE))</f>
        <v>0</v>
      </c>
      <c r="E3511" t="s">
        <v>434</v>
      </c>
      <c r="F3511" t="str">
        <f>INDEX(Lists!I:I,MATCH(Validation!E3511,Lists!G:G,0))</f>
        <v>Error</v>
      </c>
      <c r="G3511" t="str">
        <f>INDEX(Lists!H:H,MATCH(Validation!E3511,Lists!G:G,0))</f>
        <v>Amount may not be negative. Enter an amount greater than or equal to zero.</v>
      </c>
      <c r="H3511" s="16" t="str">
        <f t="shared" ca="1" si="384"/>
        <v/>
      </c>
      <c r="I3511" s="16" t="str">
        <f t="shared" ca="1" si="385"/>
        <v/>
      </c>
      <c r="J3511" s="17" t="str">
        <f t="shared" ca="1" si="386"/>
        <v/>
      </c>
    </row>
    <row r="3512" spans="1:10" x14ac:dyDescent="0.25">
      <c r="A3512" t="s">
        <v>656</v>
      </c>
      <c r="B3512" t="str">
        <f>ADDRESS(ROW('PAYG 1'!$B$17),COLUMN('PAYG 1'!$B$17),4)</f>
        <v>B17</v>
      </c>
      <c r="C3512" t="str">
        <f>ADDRESS(ROW('PAYG 1'!$D$17),COLUMN('PAYG 1'!$D$17),4)</f>
        <v>D17</v>
      </c>
      <c r="D3512" t="b" cm="1">
        <f t="array" aca="1" ref="D3512" ca="1">IF(INDIRECT("'"&amp;A3512&amp;"'!"&amp;B3512)="",FALSE,IF(INDIRECT("'"&amp;A3512&amp;"'!"&amp;B3512)&lt;0,TRUE,FALSE))</f>
        <v>0</v>
      </c>
      <c r="E3512" t="s">
        <v>434</v>
      </c>
      <c r="F3512" t="str">
        <f>INDEX(Lists!I:I,MATCH(Validation!E3512,Lists!G:G,0))</f>
        <v>Error</v>
      </c>
      <c r="G3512" t="str">
        <f>INDEX(Lists!H:H,MATCH(Validation!E3512,Lists!G:G,0))</f>
        <v>Amount may not be negative. Enter an amount greater than or equal to zero.</v>
      </c>
      <c r="H3512" s="16" t="str">
        <f t="shared" ca="1" si="384"/>
        <v/>
      </c>
      <c r="I3512" s="16" t="str">
        <f t="shared" ca="1" si="385"/>
        <v/>
      </c>
      <c r="J3512" s="17" t="str">
        <f t="shared" ca="1" si="386"/>
        <v/>
      </c>
    </row>
    <row r="3513" spans="1:10" x14ac:dyDescent="0.25">
      <c r="A3513" t="s">
        <v>657</v>
      </c>
      <c r="B3513" t="str">
        <f>ADDRESS(ROW('PAYG 1'!$B$17),COLUMN('PAYG 1'!$B$17),4)</f>
        <v>B17</v>
      </c>
      <c r="C3513" t="str">
        <f>ADDRESS(ROW('PAYG 1'!$D$17),COLUMN('PAYG 1'!$D$17),4)</f>
        <v>D17</v>
      </c>
      <c r="D3513" t="b" cm="1">
        <f t="array" aca="1" ref="D3513" ca="1">IF(INDIRECT("'"&amp;A3513&amp;"'!"&amp;B3513)="",FALSE,IF(INDIRECT("'"&amp;A3513&amp;"'!"&amp;B3513)&lt;0,TRUE,FALSE))</f>
        <v>0</v>
      </c>
      <c r="E3513" t="s">
        <v>434</v>
      </c>
      <c r="F3513" t="str">
        <f>INDEX(Lists!I:I,MATCH(Validation!E3513,Lists!G:G,0))</f>
        <v>Error</v>
      </c>
      <c r="G3513" t="str">
        <f>INDEX(Lists!H:H,MATCH(Validation!E3513,Lists!G:G,0))</f>
        <v>Amount may not be negative. Enter an amount greater than or equal to zero.</v>
      </c>
      <c r="H3513" s="16" t="str">
        <f t="shared" ca="1" si="384"/>
        <v/>
      </c>
      <c r="I3513" s="16" t="str">
        <f t="shared" ca="1" si="385"/>
        <v/>
      </c>
      <c r="J3513" s="17" t="str">
        <f t="shared" ca="1" si="386"/>
        <v/>
      </c>
    </row>
    <row r="3514" spans="1:10" x14ac:dyDescent="0.25">
      <c r="A3514" t="s">
        <v>658</v>
      </c>
      <c r="B3514" t="str">
        <f>ADDRESS(ROW('PAYG 1'!$B$17),COLUMN('PAYG 1'!$B$17),4)</f>
        <v>B17</v>
      </c>
      <c r="C3514" t="str">
        <f>ADDRESS(ROW('PAYG 1'!$D$17),COLUMN('PAYG 1'!$D$17),4)</f>
        <v>D17</v>
      </c>
      <c r="D3514" t="b" cm="1">
        <f t="array" aca="1" ref="D3514" ca="1">IF(INDIRECT("'"&amp;A3514&amp;"'!"&amp;B3514)="",FALSE,IF(INDIRECT("'"&amp;A3514&amp;"'!"&amp;B3514)&lt;0,TRUE,FALSE))</f>
        <v>0</v>
      </c>
      <c r="E3514" t="s">
        <v>434</v>
      </c>
      <c r="F3514" t="str">
        <f>INDEX(Lists!I:I,MATCH(Validation!E3514,Lists!G:G,0))</f>
        <v>Error</v>
      </c>
      <c r="G3514" t="str">
        <f>INDEX(Lists!H:H,MATCH(Validation!E3514,Lists!G:G,0))</f>
        <v>Amount may not be negative. Enter an amount greater than or equal to zero.</v>
      </c>
      <c r="H3514" s="16" t="str">
        <f t="shared" ca="1" si="384"/>
        <v/>
      </c>
      <c r="I3514" s="16" t="str">
        <f t="shared" ca="1" si="385"/>
        <v/>
      </c>
      <c r="J3514" s="17" t="str">
        <f t="shared" ca="1" si="386"/>
        <v/>
      </c>
    </row>
    <row r="3515" spans="1:10" x14ac:dyDescent="0.25">
      <c r="A3515" t="s">
        <v>659</v>
      </c>
      <c r="B3515" t="str">
        <f>ADDRESS(ROW('PAYG 1'!$B$17),COLUMN('PAYG 1'!$B$17),4)</f>
        <v>B17</v>
      </c>
      <c r="C3515" t="str">
        <f>ADDRESS(ROW('PAYG 1'!$D$17),COLUMN('PAYG 1'!$D$17),4)</f>
        <v>D17</v>
      </c>
      <c r="D3515" t="b" cm="1">
        <f t="array" aca="1" ref="D3515" ca="1">IF(INDIRECT("'"&amp;A3515&amp;"'!"&amp;B3515)="",FALSE,IF(INDIRECT("'"&amp;A3515&amp;"'!"&amp;B3515)&lt;0,TRUE,FALSE))</f>
        <v>0</v>
      </c>
      <c r="E3515" t="s">
        <v>434</v>
      </c>
      <c r="F3515" t="str">
        <f>INDEX(Lists!I:I,MATCH(Validation!E3515,Lists!G:G,0))</f>
        <v>Error</v>
      </c>
      <c r="G3515" t="str">
        <f>INDEX(Lists!H:H,MATCH(Validation!E3515,Lists!G:G,0))</f>
        <v>Amount may not be negative. Enter an amount greater than or equal to zero.</v>
      </c>
      <c r="H3515" s="16" t="str">
        <f t="shared" ca="1" si="384"/>
        <v/>
      </c>
      <c r="I3515" s="16" t="str">
        <f t="shared" ca="1" si="385"/>
        <v/>
      </c>
      <c r="J3515" s="17" t="str">
        <f t="shared" ca="1" si="386"/>
        <v/>
      </c>
    </row>
    <row r="3516" spans="1:10" x14ac:dyDescent="0.25">
      <c r="A3516" t="s">
        <v>660</v>
      </c>
      <c r="B3516" t="str">
        <f>ADDRESS(ROW('PAYG 1'!$B$17),COLUMN('PAYG 1'!$B$17),4)</f>
        <v>B17</v>
      </c>
      <c r="C3516" t="str">
        <f>ADDRESS(ROW('PAYG 1'!$D$17),COLUMN('PAYG 1'!$D$17),4)</f>
        <v>D17</v>
      </c>
      <c r="D3516" t="b" cm="1">
        <f t="array" aca="1" ref="D3516" ca="1">IF(INDIRECT("'"&amp;A3516&amp;"'!"&amp;B3516)="",FALSE,IF(INDIRECT("'"&amp;A3516&amp;"'!"&amp;B3516)&lt;0,TRUE,FALSE))</f>
        <v>0</v>
      </c>
      <c r="E3516" t="s">
        <v>434</v>
      </c>
      <c r="F3516" t="str">
        <f>INDEX(Lists!I:I,MATCH(Validation!E3516,Lists!G:G,0))</f>
        <v>Error</v>
      </c>
      <c r="G3516" t="str">
        <f>INDEX(Lists!H:H,MATCH(Validation!E3516,Lists!G:G,0))</f>
        <v>Amount may not be negative. Enter an amount greater than or equal to zero.</v>
      </c>
      <c r="H3516" s="16" t="str">
        <f t="shared" ca="1" si="384"/>
        <v/>
      </c>
      <c r="I3516" s="16" t="str">
        <f t="shared" ca="1" si="385"/>
        <v/>
      </c>
      <c r="J3516" s="17" t="str">
        <f t="shared" ca="1" si="386"/>
        <v/>
      </c>
    </row>
    <row r="3517" spans="1:10" x14ac:dyDescent="0.25">
      <c r="A3517" t="s">
        <v>661</v>
      </c>
      <c r="B3517" t="str">
        <f>ADDRESS(ROW('PAYG 1'!$B$17),COLUMN('PAYG 1'!$B$17),4)</f>
        <v>B17</v>
      </c>
      <c r="C3517" t="str">
        <f>ADDRESS(ROW('PAYG 1'!$D$17),COLUMN('PAYG 1'!$D$17),4)</f>
        <v>D17</v>
      </c>
      <c r="D3517" t="b" cm="1">
        <f t="array" aca="1" ref="D3517" ca="1">IF(INDIRECT("'"&amp;A3517&amp;"'!"&amp;B3517)="",FALSE,IF(INDIRECT("'"&amp;A3517&amp;"'!"&amp;B3517)&lt;0,TRUE,FALSE))</f>
        <v>0</v>
      </c>
      <c r="E3517" t="s">
        <v>434</v>
      </c>
      <c r="F3517" t="str">
        <f>INDEX(Lists!I:I,MATCH(Validation!E3517,Lists!G:G,0))</f>
        <v>Error</v>
      </c>
      <c r="G3517" t="str">
        <f>INDEX(Lists!H:H,MATCH(Validation!E3517,Lists!G:G,0))</f>
        <v>Amount may not be negative. Enter an amount greater than or equal to zero.</v>
      </c>
      <c r="H3517" s="16" t="str">
        <f t="shared" ca="1" si="384"/>
        <v/>
      </c>
      <c r="I3517" s="16" t="str">
        <f t="shared" ca="1" si="385"/>
        <v/>
      </c>
      <c r="J3517" s="17" t="str">
        <f t="shared" ca="1" si="386"/>
        <v/>
      </c>
    </row>
    <row r="3518" spans="1:10" x14ac:dyDescent="0.25">
      <c r="A3518" t="s">
        <v>662</v>
      </c>
      <c r="B3518" t="str">
        <f>ADDRESS(ROW('PAYG 1'!$B$17),COLUMN('PAYG 1'!$B$17),4)</f>
        <v>B17</v>
      </c>
      <c r="C3518" t="str">
        <f>ADDRESS(ROW('PAYG 1'!$D$17),COLUMN('PAYG 1'!$D$17),4)</f>
        <v>D17</v>
      </c>
      <c r="D3518" t="b" cm="1">
        <f t="array" aca="1" ref="D3518" ca="1">IF(INDIRECT("'"&amp;A3518&amp;"'!"&amp;B3518)="",FALSE,IF(INDIRECT("'"&amp;A3518&amp;"'!"&amp;B3518)&lt;0,TRUE,FALSE))</f>
        <v>0</v>
      </c>
      <c r="E3518" t="s">
        <v>434</v>
      </c>
      <c r="F3518" t="str">
        <f>INDEX(Lists!I:I,MATCH(Validation!E3518,Lists!G:G,0))</f>
        <v>Error</v>
      </c>
      <c r="G3518" t="str">
        <f>INDEX(Lists!H:H,MATCH(Validation!E3518,Lists!G:G,0))</f>
        <v>Amount may not be negative. Enter an amount greater than or equal to zero.</v>
      </c>
      <c r="H3518" s="16" t="str">
        <f t="shared" ca="1" si="384"/>
        <v/>
      </c>
      <c r="I3518" s="16" t="str">
        <f t="shared" ca="1" si="385"/>
        <v/>
      </c>
      <c r="J3518" s="17" t="str">
        <f t="shared" ca="1" si="386"/>
        <v/>
      </c>
    </row>
    <row r="3519" spans="1:10" x14ac:dyDescent="0.25">
      <c r="A3519" t="s">
        <v>663</v>
      </c>
      <c r="B3519" t="str">
        <f>ADDRESS(ROW('PAYG 1'!$B$17),COLUMN('PAYG 1'!$B$17),4)</f>
        <v>B17</v>
      </c>
      <c r="C3519" t="str">
        <f>ADDRESS(ROW('PAYG 1'!$D$17),COLUMN('PAYG 1'!$D$17),4)</f>
        <v>D17</v>
      </c>
      <c r="D3519" t="b" cm="1">
        <f t="array" aca="1" ref="D3519" ca="1">IF(INDIRECT("'"&amp;A3519&amp;"'!"&amp;B3519)="",FALSE,IF(INDIRECT("'"&amp;A3519&amp;"'!"&amp;B3519)&lt;0,TRUE,FALSE))</f>
        <v>0</v>
      </c>
      <c r="E3519" t="s">
        <v>434</v>
      </c>
      <c r="F3519" t="str">
        <f>INDEX(Lists!I:I,MATCH(Validation!E3519,Lists!G:G,0))</f>
        <v>Error</v>
      </c>
      <c r="G3519" t="str">
        <f>INDEX(Lists!H:H,MATCH(Validation!E3519,Lists!G:G,0))</f>
        <v>Amount may not be negative. Enter an amount greater than or equal to zero.</v>
      </c>
      <c r="H3519" s="16" t="str">
        <f t="shared" ca="1" si="384"/>
        <v/>
      </c>
      <c r="I3519" s="16" t="str">
        <f t="shared" ca="1" si="385"/>
        <v/>
      </c>
      <c r="J3519" s="17" t="str">
        <f t="shared" ca="1" si="386"/>
        <v/>
      </c>
    </row>
    <row r="3520" spans="1:10" x14ac:dyDescent="0.25">
      <c r="A3520" t="s">
        <v>664</v>
      </c>
      <c r="B3520" t="str">
        <f>ADDRESS(ROW('PAYG 1'!$B$17),COLUMN('PAYG 1'!$B$17),4)</f>
        <v>B17</v>
      </c>
      <c r="C3520" t="str">
        <f>ADDRESS(ROW('PAYG 1'!$D$17),COLUMN('PAYG 1'!$D$17),4)</f>
        <v>D17</v>
      </c>
      <c r="D3520" t="b" cm="1">
        <f t="array" aca="1" ref="D3520" ca="1">IF(INDIRECT("'"&amp;A3520&amp;"'!"&amp;B3520)="",FALSE,IF(INDIRECT("'"&amp;A3520&amp;"'!"&amp;B3520)&lt;0,TRUE,FALSE))</f>
        <v>0</v>
      </c>
      <c r="E3520" t="s">
        <v>434</v>
      </c>
      <c r="F3520" t="str">
        <f>INDEX(Lists!I:I,MATCH(Validation!E3520,Lists!G:G,0))</f>
        <v>Error</v>
      </c>
      <c r="G3520" t="str">
        <f>INDEX(Lists!H:H,MATCH(Validation!E3520,Lists!G:G,0))</f>
        <v>Amount may not be negative. Enter an amount greater than or equal to zero.</v>
      </c>
      <c r="H3520" s="16" t="str">
        <f t="shared" ca="1" si="384"/>
        <v/>
      </c>
      <c r="I3520" s="16" t="str">
        <f t="shared" ca="1" si="385"/>
        <v/>
      </c>
      <c r="J3520" s="17" t="str">
        <f t="shared" ca="1" si="386"/>
        <v/>
      </c>
    </row>
    <row r="3521" spans="1:10" x14ac:dyDescent="0.25">
      <c r="A3521" t="s">
        <v>203</v>
      </c>
      <c r="B3521" t="str">
        <f>ADDRESS(ROW('PAYG 1'!$B$17),COLUMN('PAYG 1'!$B$17),4)</f>
        <v>B17</v>
      </c>
      <c r="C3521" t="str">
        <f>ADDRESS(ROW('PAYG 1'!$D$17),COLUMN('PAYG 1'!$D$17),4)</f>
        <v>D17</v>
      </c>
      <c r="D3521" t="b" cm="1">
        <f t="array" aca="1" ref="D3521" ca="1">IF(INDIRECT("'"&amp;A3521&amp;"'!"&amp;B3521)="",FALSE,IF(TRUNC(INDIRECT("'"&amp;A3521&amp;"'!"&amp;B3521))=INDIRECT("'"&amp;A3521&amp;"'!"&amp;B3521),FALSE,TRUE))</f>
        <v>0</v>
      </c>
      <c r="E3521" t="s">
        <v>436</v>
      </c>
      <c r="F3521" t="str">
        <f>INDEX(Lists!I:I,MATCH(Validation!E3521,Lists!G:G,0))</f>
        <v>Error</v>
      </c>
      <c r="G3521" t="str">
        <f>INDEX(Lists!H:H,MATCH(Validation!E3521,Lists!G:G,0))</f>
        <v>Amount must be rounded to the nearest dollar.</v>
      </c>
      <c r="H3521" s="16" t="str">
        <f t="shared" ca="1" si="384"/>
        <v/>
      </c>
      <c r="I3521" s="16" t="str">
        <f t="shared" ca="1" si="385"/>
        <v/>
      </c>
      <c r="J3521" s="17" t="str">
        <f t="shared" ca="1" si="386"/>
        <v/>
      </c>
    </row>
    <row r="3522" spans="1:10" x14ac:dyDescent="0.25">
      <c r="A3522" t="s">
        <v>651</v>
      </c>
      <c r="B3522" t="str">
        <f>ADDRESS(ROW('PAYG 1'!$B$17),COLUMN('PAYG 1'!$B$17),4)</f>
        <v>B17</v>
      </c>
      <c r="C3522" t="str">
        <f>ADDRESS(ROW('PAYG 1'!$D$17),COLUMN('PAYG 1'!$D$17),4)</f>
        <v>D17</v>
      </c>
      <c r="D3522" t="b" cm="1">
        <f t="array" aca="1" ref="D3522" ca="1">IF(INDIRECT("'"&amp;A3522&amp;"'!"&amp;B3522)="",FALSE,IF(TRUNC(INDIRECT("'"&amp;A3522&amp;"'!"&amp;B3522))=INDIRECT("'"&amp;A3522&amp;"'!"&amp;B3522),FALSE,TRUE))</f>
        <v>0</v>
      </c>
      <c r="E3522" t="s">
        <v>436</v>
      </c>
      <c r="F3522" t="str">
        <f>INDEX(Lists!I:I,MATCH(Validation!E3522,Lists!G:G,0))</f>
        <v>Error</v>
      </c>
      <c r="G3522" t="str">
        <f>INDEX(Lists!H:H,MATCH(Validation!E3522,Lists!G:G,0))</f>
        <v>Amount must be rounded to the nearest dollar.</v>
      </c>
      <c r="H3522" s="16" t="str">
        <f t="shared" ca="1" si="384"/>
        <v/>
      </c>
      <c r="I3522" s="16" t="str">
        <f t="shared" ca="1" si="385"/>
        <v/>
      </c>
      <c r="J3522" s="17" t="str">
        <f t="shared" ca="1" si="386"/>
        <v/>
      </c>
    </row>
    <row r="3523" spans="1:10" x14ac:dyDescent="0.25">
      <c r="A3523" t="s">
        <v>652</v>
      </c>
      <c r="B3523" t="str">
        <f>ADDRESS(ROW('PAYG 1'!$B$17),COLUMN('PAYG 1'!$B$17),4)</f>
        <v>B17</v>
      </c>
      <c r="C3523" t="str">
        <f>ADDRESS(ROW('PAYG 1'!$D$17),COLUMN('PAYG 1'!$D$17),4)</f>
        <v>D17</v>
      </c>
      <c r="D3523" t="b" cm="1">
        <f t="array" aca="1" ref="D3523" ca="1">IF(INDIRECT("'"&amp;A3523&amp;"'!"&amp;B3523)="",FALSE,IF(TRUNC(INDIRECT("'"&amp;A3523&amp;"'!"&amp;B3523))=INDIRECT("'"&amp;A3523&amp;"'!"&amp;B3523),FALSE,TRUE))</f>
        <v>0</v>
      </c>
      <c r="E3523" t="s">
        <v>436</v>
      </c>
      <c r="F3523" t="str">
        <f>INDEX(Lists!I:I,MATCH(Validation!E3523,Lists!G:G,0))</f>
        <v>Error</v>
      </c>
      <c r="G3523" t="str">
        <f>INDEX(Lists!H:H,MATCH(Validation!E3523,Lists!G:G,0))</f>
        <v>Amount must be rounded to the nearest dollar.</v>
      </c>
      <c r="H3523" s="16" t="str">
        <f t="shared" ca="1" si="384"/>
        <v/>
      </c>
      <c r="I3523" s="16" t="str">
        <f t="shared" ca="1" si="385"/>
        <v/>
      </c>
      <c r="J3523" s="17" t="str">
        <f t="shared" ca="1" si="386"/>
        <v/>
      </c>
    </row>
    <row r="3524" spans="1:10" x14ac:dyDescent="0.25">
      <c r="A3524" t="s">
        <v>653</v>
      </c>
      <c r="B3524" t="str">
        <f>ADDRESS(ROW('PAYG 1'!$B$17),COLUMN('PAYG 1'!$B$17),4)</f>
        <v>B17</v>
      </c>
      <c r="C3524" t="str">
        <f>ADDRESS(ROW('PAYG 1'!$D$17),COLUMN('PAYG 1'!$D$17),4)</f>
        <v>D17</v>
      </c>
      <c r="D3524" t="b" cm="1">
        <f t="array" aca="1" ref="D3524" ca="1">IF(INDIRECT("'"&amp;A3524&amp;"'!"&amp;B3524)="",FALSE,IF(TRUNC(INDIRECT("'"&amp;A3524&amp;"'!"&amp;B3524))=INDIRECT("'"&amp;A3524&amp;"'!"&amp;B3524),FALSE,TRUE))</f>
        <v>0</v>
      </c>
      <c r="E3524" t="s">
        <v>436</v>
      </c>
      <c r="F3524" t="str">
        <f>INDEX(Lists!I:I,MATCH(Validation!E3524,Lists!G:G,0))</f>
        <v>Error</v>
      </c>
      <c r="G3524" t="str">
        <f>INDEX(Lists!H:H,MATCH(Validation!E3524,Lists!G:G,0))</f>
        <v>Amount must be rounded to the nearest dollar.</v>
      </c>
      <c r="H3524" s="16" t="str">
        <f t="shared" ca="1" si="384"/>
        <v/>
      </c>
      <c r="I3524" s="16" t="str">
        <f t="shared" ca="1" si="385"/>
        <v/>
      </c>
      <c r="J3524" s="17" t="str">
        <f t="shared" ca="1" si="386"/>
        <v/>
      </c>
    </row>
    <row r="3525" spans="1:10" x14ac:dyDescent="0.25">
      <c r="A3525" t="s">
        <v>654</v>
      </c>
      <c r="B3525" t="str">
        <f>ADDRESS(ROW('PAYG 1'!$B$17),COLUMN('PAYG 1'!$B$17),4)</f>
        <v>B17</v>
      </c>
      <c r="C3525" t="str">
        <f>ADDRESS(ROW('PAYG 1'!$D$17),COLUMN('PAYG 1'!$D$17),4)</f>
        <v>D17</v>
      </c>
      <c r="D3525" t="b" cm="1">
        <f t="array" aca="1" ref="D3525" ca="1">IF(INDIRECT("'"&amp;A3525&amp;"'!"&amp;B3525)="",FALSE,IF(TRUNC(INDIRECT("'"&amp;A3525&amp;"'!"&amp;B3525))=INDIRECT("'"&amp;A3525&amp;"'!"&amp;B3525),FALSE,TRUE))</f>
        <v>0</v>
      </c>
      <c r="E3525" t="s">
        <v>436</v>
      </c>
      <c r="F3525" t="str">
        <f>INDEX(Lists!I:I,MATCH(Validation!E3525,Lists!G:G,0))</f>
        <v>Error</v>
      </c>
      <c r="G3525" t="str">
        <f>INDEX(Lists!H:H,MATCH(Validation!E3525,Lists!G:G,0))</f>
        <v>Amount must be rounded to the nearest dollar.</v>
      </c>
      <c r="H3525" s="16" t="str">
        <f t="shared" ca="1" si="384"/>
        <v/>
      </c>
      <c r="I3525" s="16" t="str">
        <f t="shared" ca="1" si="385"/>
        <v/>
      </c>
      <c r="J3525" s="17" t="str">
        <f t="shared" ca="1" si="386"/>
        <v/>
      </c>
    </row>
    <row r="3526" spans="1:10" x14ac:dyDescent="0.25">
      <c r="A3526" t="s">
        <v>655</v>
      </c>
      <c r="B3526" t="str">
        <f>ADDRESS(ROW('PAYG 1'!$B$17),COLUMN('PAYG 1'!$B$17),4)</f>
        <v>B17</v>
      </c>
      <c r="C3526" t="str">
        <f>ADDRESS(ROW('PAYG 1'!$D$17),COLUMN('PAYG 1'!$D$17),4)</f>
        <v>D17</v>
      </c>
      <c r="D3526" t="b" cm="1">
        <f t="array" aca="1" ref="D3526" ca="1">IF(INDIRECT("'"&amp;A3526&amp;"'!"&amp;B3526)="",FALSE,IF(TRUNC(INDIRECT("'"&amp;A3526&amp;"'!"&amp;B3526))=INDIRECT("'"&amp;A3526&amp;"'!"&amp;B3526),FALSE,TRUE))</f>
        <v>0</v>
      </c>
      <c r="E3526" t="s">
        <v>436</v>
      </c>
      <c r="F3526" t="str">
        <f>INDEX(Lists!I:I,MATCH(Validation!E3526,Lists!G:G,0))</f>
        <v>Error</v>
      </c>
      <c r="G3526" t="str">
        <f>INDEX(Lists!H:H,MATCH(Validation!E3526,Lists!G:G,0))</f>
        <v>Amount must be rounded to the nearest dollar.</v>
      </c>
      <c r="H3526" s="16" t="str">
        <f t="shared" ca="1" si="384"/>
        <v/>
      </c>
      <c r="I3526" s="16" t="str">
        <f t="shared" ca="1" si="385"/>
        <v/>
      </c>
      <c r="J3526" s="17" t="str">
        <f t="shared" ca="1" si="386"/>
        <v/>
      </c>
    </row>
    <row r="3527" spans="1:10" x14ac:dyDescent="0.25">
      <c r="A3527" t="s">
        <v>656</v>
      </c>
      <c r="B3527" t="str">
        <f>ADDRESS(ROW('PAYG 1'!$B$17),COLUMN('PAYG 1'!$B$17),4)</f>
        <v>B17</v>
      </c>
      <c r="C3527" t="str">
        <f>ADDRESS(ROW('PAYG 1'!$D$17),COLUMN('PAYG 1'!$D$17),4)</f>
        <v>D17</v>
      </c>
      <c r="D3527" t="b" cm="1">
        <f t="array" aca="1" ref="D3527" ca="1">IF(INDIRECT("'"&amp;A3527&amp;"'!"&amp;B3527)="",FALSE,IF(TRUNC(INDIRECT("'"&amp;A3527&amp;"'!"&amp;B3527))=INDIRECT("'"&amp;A3527&amp;"'!"&amp;B3527),FALSE,TRUE))</f>
        <v>0</v>
      </c>
      <c r="E3527" t="s">
        <v>436</v>
      </c>
      <c r="F3527" t="str">
        <f>INDEX(Lists!I:I,MATCH(Validation!E3527,Lists!G:G,0))</f>
        <v>Error</v>
      </c>
      <c r="G3527" t="str">
        <f>INDEX(Lists!H:H,MATCH(Validation!E3527,Lists!G:G,0))</f>
        <v>Amount must be rounded to the nearest dollar.</v>
      </c>
      <c r="H3527" s="16" t="str">
        <f t="shared" ca="1" si="384"/>
        <v/>
      </c>
      <c r="I3527" s="16" t="str">
        <f t="shared" ca="1" si="385"/>
        <v/>
      </c>
      <c r="J3527" s="17" t="str">
        <f t="shared" ca="1" si="386"/>
        <v/>
      </c>
    </row>
    <row r="3528" spans="1:10" x14ac:dyDescent="0.25">
      <c r="A3528" t="s">
        <v>657</v>
      </c>
      <c r="B3528" t="str">
        <f>ADDRESS(ROW('PAYG 1'!$B$17),COLUMN('PAYG 1'!$B$17),4)</f>
        <v>B17</v>
      </c>
      <c r="C3528" t="str">
        <f>ADDRESS(ROW('PAYG 1'!$D$17),COLUMN('PAYG 1'!$D$17),4)</f>
        <v>D17</v>
      </c>
      <c r="D3528" t="b" cm="1">
        <f t="array" aca="1" ref="D3528" ca="1">IF(INDIRECT("'"&amp;A3528&amp;"'!"&amp;B3528)="",FALSE,IF(TRUNC(INDIRECT("'"&amp;A3528&amp;"'!"&amp;B3528))=INDIRECT("'"&amp;A3528&amp;"'!"&amp;B3528),FALSE,TRUE))</f>
        <v>0</v>
      </c>
      <c r="E3528" t="s">
        <v>436</v>
      </c>
      <c r="F3528" t="str">
        <f>INDEX(Lists!I:I,MATCH(Validation!E3528,Lists!G:G,0))</f>
        <v>Error</v>
      </c>
      <c r="G3528" t="str">
        <f>INDEX(Lists!H:H,MATCH(Validation!E3528,Lists!G:G,0))</f>
        <v>Amount must be rounded to the nearest dollar.</v>
      </c>
      <c r="H3528" s="16" t="str">
        <f t="shared" ca="1" si="384"/>
        <v/>
      </c>
      <c r="I3528" s="16" t="str">
        <f t="shared" ca="1" si="385"/>
        <v/>
      </c>
      <c r="J3528" s="17" t="str">
        <f t="shared" ca="1" si="386"/>
        <v/>
      </c>
    </row>
    <row r="3529" spans="1:10" x14ac:dyDescent="0.25">
      <c r="A3529" t="s">
        <v>658</v>
      </c>
      <c r="B3529" t="str">
        <f>ADDRESS(ROW('PAYG 1'!$B$17),COLUMN('PAYG 1'!$B$17),4)</f>
        <v>B17</v>
      </c>
      <c r="C3529" t="str">
        <f>ADDRESS(ROW('PAYG 1'!$D$17),COLUMN('PAYG 1'!$D$17),4)</f>
        <v>D17</v>
      </c>
      <c r="D3529" t="b" cm="1">
        <f t="array" aca="1" ref="D3529" ca="1">IF(INDIRECT("'"&amp;A3529&amp;"'!"&amp;B3529)="",FALSE,IF(TRUNC(INDIRECT("'"&amp;A3529&amp;"'!"&amp;B3529))=INDIRECT("'"&amp;A3529&amp;"'!"&amp;B3529),FALSE,TRUE))</f>
        <v>0</v>
      </c>
      <c r="E3529" t="s">
        <v>436</v>
      </c>
      <c r="F3529" t="str">
        <f>INDEX(Lists!I:I,MATCH(Validation!E3529,Lists!G:G,0))</f>
        <v>Error</v>
      </c>
      <c r="G3529" t="str">
        <f>INDEX(Lists!H:H,MATCH(Validation!E3529,Lists!G:G,0))</f>
        <v>Amount must be rounded to the nearest dollar.</v>
      </c>
      <c r="H3529" s="16" t="str">
        <f t="shared" ca="1" si="384"/>
        <v/>
      </c>
      <c r="I3529" s="16" t="str">
        <f t="shared" ca="1" si="385"/>
        <v/>
      </c>
      <c r="J3529" s="17" t="str">
        <f t="shared" ca="1" si="386"/>
        <v/>
      </c>
    </row>
    <row r="3530" spans="1:10" x14ac:dyDescent="0.25">
      <c r="A3530" t="s">
        <v>659</v>
      </c>
      <c r="B3530" t="str">
        <f>ADDRESS(ROW('PAYG 1'!$B$17),COLUMN('PAYG 1'!$B$17),4)</f>
        <v>B17</v>
      </c>
      <c r="C3530" t="str">
        <f>ADDRESS(ROW('PAYG 1'!$D$17),COLUMN('PAYG 1'!$D$17),4)</f>
        <v>D17</v>
      </c>
      <c r="D3530" t="b" cm="1">
        <f t="array" aca="1" ref="D3530" ca="1">IF(INDIRECT("'"&amp;A3530&amp;"'!"&amp;B3530)="",FALSE,IF(TRUNC(INDIRECT("'"&amp;A3530&amp;"'!"&amp;B3530))=INDIRECT("'"&amp;A3530&amp;"'!"&amp;B3530),FALSE,TRUE))</f>
        <v>0</v>
      </c>
      <c r="E3530" t="s">
        <v>436</v>
      </c>
      <c r="F3530" t="str">
        <f>INDEX(Lists!I:I,MATCH(Validation!E3530,Lists!G:G,0))</f>
        <v>Error</v>
      </c>
      <c r="G3530" t="str">
        <f>INDEX(Lists!H:H,MATCH(Validation!E3530,Lists!G:G,0))</f>
        <v>Amount must be rounded to the nearest dollar.</v>
      </c>
      <c r="H3530" s="16" t="str">
        <f t="shared" ca="1" si="384"/>
        <v/>
      </c>
      <c r="I3530" s="16" t="str">
        <f t="shared" ca="1" si="385"/>
        <v/>
      </c>
      <c r="J3530" s="17" t="str">
        <f t="shared" ca="1" si="386"/>
        <v/>
      </c>
    </row>
    <row r="3531" spans="1:10" x14ac:dyDescent="0.25">
      <c r="A3531" t="s">
        <v>660</v>
      </c>
      <c r="B3531" t="str">
        <f>ADDRESS(ROW('PAYG 1'!$B$17),COLUMN('PAYG 1'!$B$17),4)</f>
        <v>B17</v>
      </c>
      <c r="C3531" t="str">
        <f>ADDRESS(ROW('PAYG 1'!$D$17),COLUMN('PAYG 1'!$D$17),4)</f>
        <v>D17</v>
      </c>
      <c r="D3531" t="b" cm="1">
        <f t="array" aca="1" ref="D3531" ca="1">IF(INDIRECT("'"&amp;A3531&amp;"'!"&amp;B3531)="",FALSE,IF(TRUNC(INDIRECT("'"&amp;A3531&amp;"'!"&amp;B3531))=INDIRECT("'"&amp;A3531&amp;"'!"&amp;B3531),FALSE,TRUE))</f>
        <v>0</v>
      </c>
      <c r="E3531" t="s">
        <v>436</v>
      </c>
      <c r="F3531" t="str">
        <f>INDEX(Lists!I:I,MATCH(Validation!E3531,Lists!G:G,0))</f>
        <v>Error</v>
      </c>
      <c r="G3531" t="str">
        <f>INDEX(Lists!H:H,MATCH(Validation!E3531,Lists!G:G,0))</f>
        <v>Amount must be rounded to the nearest dollar.</v>
      </c>
      <c r="H3531" s="16" t="str">
        <f t="shared" ca="1" si="384"/>
        <v/>
      </c>
      <c r="I3531" s="16" t="str">
        <f t="shared" ca="1" si="385"/>
        <v/>
      </c>
      <c r="J3531" s="17" t="str">
        <f t="shared" ca="1" si="386"/>
        <v/>
      </c>
    </row>
    <row r="3532" spans="1:10" x14ac:dyDescent="0.25">
      <c r="A3532" t="s">
        <v>661</v>
      </c>
      <c r="B3532" t="str">
        <f>ADDRESS(ROW('PAYG 1'!$B$17),COLUMN('PAYG 1'!$B$17),4)</f>
        <v>B17</v>
      </c>
      <c r="C3532" t="str">
        <f>ADDRESS(ROW('PAYG 1'!$D$17),COLUMN('PAYG 1'!$D$17),4)</f>
        <v>D17</v>
      </c>
      <c r="D3532" t="b" cm="1">
        <f t="array" aca="1" ref="D3532" ca="1">IF(INDIRECT("'"&amp;A3532&amp;"'!"&amp;B3532)="",FALSE,IF(TRUNC(INDIRECT("'"&amp;A3532&amp;"'!"&amp;B3532))=INDIRECT("'"&amp;A3532&amp;"'!"&amp;B3532),FALSE,TRUE))</f>
        <v>0</v>
      </c>
      <c r="E3532" t="s">
        <v>436</v>
      </c>
      <c r="F3532" t="str">
        <f>INDEX(Lists!I:I,MATCH(Validation!E3532,Lists!G:G,0))</f>
        <v>Error</v>
      </c>
      <c r="G3532" t="str">
        <f>INDEX(Lists!H:H,MATCH(Validation!E3532,Lists!G:G,0))</f>
        <v>Amount must be rounded to the nearest dollar.</v>
      </c>
      <c r="H3532" s="16" t="str">
        <f t="shared" ca="1" si="384"/>
        <v/>
      </c>
      <c r="I3532" s="16" t="str">
        <f t="shared" ca="1" si="385"/>
        <v/>
      </c>
      <c r="J3532" s="17" t="str">
        <f t="shared" ca="1" si="386"/>
        <v/>
      </c>
    </row>
    <row r="3533" spans="1:10" x14ac:dyDescent="0.25">
      <c r="A3533" t="s">
        <v>662</v>
      </c>
      <c r="B3533" t="str">
        <f>ADDRESS(ROW('PAYG 1'!$B$17),COLUMN('PAYG 1'!$B$17),4)</f>
        <v>B17</v>
      </c>
      <c r="C3533" t="str">
        <f>ADDRESS(ROW('PAYG 1'!$D$17),COLUMN('PAYG 1'!$D$17),4)</f>
        <v>D17</v>
      </c>
      <c r="D3533" t="b" cm="1">
        <f t="array" aca="1" ref="D3533" ca="1">IF(INDIRECT("'"&amp;A3533&amp;"'!"&amp;B3533)="",FALSE,IF(TRUNC(INDIRECT("'"&amp;A3533&amp;"'!"&amp;B3533))=INDIRECT("'"&amp;A3533&amp;"'!"&amp;B3533),FALSE,TRUE))</f>
        <v>0</v>
      </c>
      <c r="E3533" t="s">
        <v>436</v>
      </c>
      <c r="F3533" t="str">
        <f>INDEX(Lists!I:I,MATCH(Validation!E3533,Lists!G:G,0))</f>
        <v>Error</v>
      </c>
      <c r="G3533" t="str">
        <f>INDEX(Lists!H:H,MATCH(Validation!E3533,Lists!G:G,0))</f>
        <v>Amount must be rounded to the nearest dollar.</v>
      </c>
      <c r="H3533" s="16" t="str">
        <f t="shared" ca="1" si="384"/>
        <v/>
      </c>
      <c r="I3533" s="16" t="str">
        <f t="shared" ca="1" si="385"/>
        <v/>
      </c>
      <c r="J3533" s="17" t="str">
        <f t="shared" ca="1" si="386"/>
        <v/>
      </c>
    </row>
    <row r="3534" spans="1:10" x14ac:dyDescent="0.25">
      <c r="A3534" t="s">
        <v>663</v>
      </c>
      <c r="B3534" t="str">
        <f>ADDRESS(ROW('PAYG 1'!$B$17),COLUMN('PAYG 1'!$B$17),4)</f>
        <v>B17</v>
      </c>
      <c r="C3534" t="str">
        <f>ADDRESS(ROW('PAYG 1'!$D$17),COLUMN('PAYG 1'!$D$17),4)</f>
        <v>D17</v>
      </c>
      <c r="D3534" t="b" cm="1">
        <f t="array" aca="1" ref="D3534" ca="1">IF(INDIRECT("'"&amp;A3534&amp;"'!"&amp;B3534)="",FALSE,IF(TRUNC(INDIRECT("'"&amp;A3534&amp;"'!"&amp;B3534))=INDIRECT("'"&amp;A3534&amp;"'!"&amp;B3534),FALSE,TRUE))</f>
        <v>0</v>
      </c>
      <c r="E3534" t="s">
        <v>436</v>
      </c>
      <c r="F3534" t="str">
        <f>INDEX(Lists!I:I,MATCH(Validation!E3534,Lists!G:G,0))</f>
        <v>Error</v>
      </c>
      <c r="G3534" t="str">
        <f>INDEX(Lists!H:H,MATCH(Validation!E3534,Lists!G:G,0))</f>
        <v>Amount must be rounded to the nearest dollar.</v>
      </c>
      <c r="H3534" s="16" t="str">
        <f t="shared" ca="1" si="384"/>
        <v/>
      </c>
      <c r="I3534" s="16" t="str">
        <f t="shared" ca="1" si="385"/>
        <v/>
      </c>
      <c r="J3534" s="17" t="str">
        <f t="shared" ca="1" si="386"/>
        <v/>
      </c>
    </row>
    <row r="3535" spans="1:10" x14ac:dyDescent="0.25">
      <c r="A3535" t="s">
        <v>664</v>
      </c>
      <c r="B3535" t="str">
        <f>ADDRESS(ROW('PAYG 1'!$B$17),COLUMN('PAYG 1'!$B$17),4)</f>
        <v>B17</v>
      </c>
      <c r="C3535" t="str">
        <f>ADDRESS(ROW('PAYG 1'!$D$17),COLUMN('PAYG 1'!$D$17),4)</f>
        <v>D17</v>
      </c>
      <c r="D3535" t="b" cm="1">
        <f t="array" aca="1" ref="D3535" ca="1">IF(INDIRECT("'"&amp;A3535&amp;"'!"&amp;B3535)="",FALSE,IF(TRUNC(INDIRECT("'"&amp;A3535&amp;"'!"&amp;B3535))=INDIRECT("'"&amp;A3535&amp;"'!"&amp;B3535),FALSE,TRUE))</f>
        <v>0</v>
      </c>
      <c r="E3535" t="s">
        <v>436</v>
      </c>
      <c r="F3535" t="str">
        <f>INDEX(Lists!I:I,MATCH(Validation!E3535,Lists!G:G,0))</f>
        <v>Error</v>
      </c>
      <c r="G3535" t="str">
        <f>INDEX(Lists!H:H,MATCH(Validation!E3535,Lists!G:G,0))</f>
        <v>Amount must be rounded to the nearest dollar.</v>
      </c>
      <c r="H3535" s="16" t="str">
        <f t="shared" ca="1" si="384"/>
        <v/>
      </c>
      <c r="I3535" s="16" t="str">
        <f t="shared" ca="1" si="385"/>
        <v/>
      </c>
      <c r="J3535" s="17" t="str">
        <f t="shared" ca="1" si="386"/>
        <v/>
      </c>
    </row>
    <row r="3536" spans="1:10" x14ac:dyDescent="0.25">
      <c r="A3536" t="s">
        <v>203</v>
      </c>
      <c r="B3536" t="str">
        <f>ADDRESS(ROW('PAYG 1'!$C$17),COLUMN('PAYG 1'!$C$17),4)</f>
        <v>C17</v>
      </c>
      <c r="C3536" t="str">
        <f>ADDRESS(ROW('PAYG 1'!$D$17),COLUMN('PAYG 1'!$D$17),4)</f>
        <v>D17</v>
      </c>
      <c r="D3536" t="b" cm="1">
        <f t="array" aca="1" ref="D3536" ca="1">IF(INDIRECT("'"&amp;A3536&amp;"'!"&amp;B3536)="",FALSE,IF(NOT(ISNUMBER(INDIRECT("'"&amp;A3536&amp;"'!"&amp;B3536))),TRUE,FALSE))</f>
        <v>0</v>
      </c>
      <c r="E3536" t="s">
        <v>435</v>
      </c>
      <c r="F3536" t="str">
        <f>INDEX(Lists!I:I,MATCH(Validation!E3536,Lists!G:G,0))</f>
        <v>Error</v>
      </c>
      <c r="G3536" t="str">
        <f>INDEX(Lists!H:H,MATCH(Validation!E3536,Lists!G:G,0))</f>
        <v>Enter an amount only. Do not enter text or spaces.</v>
      </c>
      <c r="H3536" s="16" t="str">
        <f t="shared" ref="H3536:H3580" ca="1" si="387">IFERROR(IF(OR(NOT(D3536),F3536&lt;&gt;"Error"),"",A3536&amp;CELL("address",INDIRECT(B3536))),"")</f>
        <v/>
      </c>
      <c r="I3536" s="16" t="str">
        <f t="shared" ref="I3536:I3580" ca="1" si="388">IFERROR(IF(NOT(D3536),"",A3536&amp;CELL("address",INDIRECT(C3536))),"")</f>
        <v/>
      </c>
      <c r="J3536" s="17" t="str">
        <f t="shared" ref="J3536:J3580" ca="1" si="389">IFERROR(IF(NOT(D3536),"",A3536),"")</f>
        <v/>
      </c>
    </row>
    <row r="3537" spans="1:10" x14ac:dyDescent="0.25">
      <c r="A3537" t="s">
        <v>651</v>
      </c>
      <c r="B3537" t="str">
        <f>ADDRESS(ROW('PAYG 1'!$C$17),COLUMN('PAYG 1'!$C$17),4)</f>
        <v>C17</v>
      </c>
      <c r="C3537" t="str">
        <f>ADDRESS(ROW('PAYG 1'!$D$17),COLUMN('PAYG 1'!$D$17),4)</f>
        <v>D17</v>
      </c>
      <c r="D3537" t="b" cm="1">
        <f t="array" aca="1" ref="D3537" ca="1">IF(INDIRECT("'"&amp;A3537&amp;"'!"&amp;B3537)="",FALSE,IF(NOT(ISNUMBER(INDIRECT("'"&amp;A3537&amp;"'!"&amp;B3537))),TRUE,FALSE))</f>
        <v>0</v>
      </c>
      <c r="E3537" t="s">
        <v>435</v>
      </c>
      <c r="F3537" t="str">
        <f>INDEX(Lists!I:I,MATCH(Validation!E3537,Lists!G:G,0))</f>
        <v>Error</v>
      </c>
      <c r="G3537" t="str">
        <f>INDEX(Lists!H:H,MATCH(Validation!E3537,Lists!G:G,0))</f>
        <v>Enter an amount only. Do not enter text or spaces.</v>
      </c>
      <c r="H3537" s="16" t="str">
        <f t="shared" ca="1" si="387"/>
        <v/>
      </c>
      <c r="I3537" s="16" t="str">
        <f t="shared" ca="1" si="388"/>
        <v/>
      </c>
      <c r="J3537" s="17" t="str">
        <f t="shared" ca="1" si="389"/>
        <v/>
      </c>
    </row>
    <row r="3538" spans="1:10" x14ac:dyDescent="0.25">
      <c r="A3538" t="s">
        <v>652</v>
      </c>
      <c r="B3538" t="str">
        <f>ADDRESS(ROW('PAYG 1'!$C$17),COLUMN('PAYG 1'!$C$17),4)</f>
        <v>C17</v>
      </c>
      <c r="C3538" t="str">
        <f>ADDRESS(ROW('PAYG 1'!$D$17),COLUMN('PAYG 1'!$D$17),4)</f>
        <v>D17</v>
      </c>
      <c r="D3538" t="b" cm="1">
        <f t="array" aca="1" ref="D3538" ca="1">IF(INDIRECT("'"&amp;A3538&amp;"'!"&amp;B3538)="",FALSE,IF(NOT(ISNUMBER(INDIRECT("'"&amp;A3538&amp;"'!"&amp;B3538))),TRUE,FALSE))</f>
        <v>0</v>
      </c>
      <c r="E3538" t="s">
        <v>435</v>
      </c>
      <c r="F3538" t="str">
        <f>INDEX(Lists!I:I,MATCH(Validation!E3538,Lists!G:G,0))</f>
        <v>Error</v>
      </c>
      <c r="G3538" t="str">
        <f>INDEX(Lists!H:H,MATCH(Validation!E3538,Lists!G:G,0))</f>
        <v>Enter an amount only. Do not enter text or spaces.</v>
      </c>
      <c r="H3538" s="16" t="str">
        <f t="shared" ca="1" si="387"/>
        <v/>
      </c>
      <c r="I3538" s="16" t="str">
        <f t="shared" ca="1" si="388"/>
        <v/>
      </c>
      <c r="J3538" s="17" t="str">
        <f t="shared" ca="1" si="389"/>
        <v/>
      </c>
    </row>
    <row r="3539" spans="1:10" x14ac:dyDescent="0.25">
      <c r="A3539" t="s">
        <v>653</v>
      </c>
      <c r="B3539" t="str">
        <f>ADDRESS(ROW('PAYG 1'!$C$17),COLUMN('PAYG 1'!$C$17),4)</f>
        <v>C17</v>
      </c>
      <c r="C3539" t="str">
        <f>ADDRESS(ROW('PAYG 1'!$D$17),COLUMN('PAYG 1'!$D$17),4)</f>
        <v>D17</v>
      </c>
      <c r="D3539" t="b" cm="1">
        <f t="array" aca="1" ref="D3539" ca="1">IF(INDIRECT("'"&amp;A3539&amp;"'!"&amp;B3539)="",FALSE,IF(NOT(ISNUMBER(INDIRECT("'"&amp;A3539&amp;"'!"&amp;B3539))),TRUE,FALSE))</f>
        <v>0</v>
      </c>
      <c r="E3539" t="s">
        <v>435</v>
      </c>
      <c r="F3539" t="str">
        <f>INDEX(Lists!I:I,MATCH(Validation!E3539,Lists!G:G,0))</f>
        <v>Error</v>
      </c>
      <c r="G3539" t="str">
        <f>INDEX(Lists!H:H,MATCH(Validation!E3539,Lists!G:G,0))</f>
        <v>Enter an amount only. Do not enter text or spaces.</v>
      </c>
      <c r="H3539" s="16" t="str">
        <f t="shared" ca="1" si="387"/>
        <v/>
      </c>
      <c r="I3539" s="16" t="str">
        <f t="shared" ca="1" si="388"/>
        <v/>
      </c>
      <c r="J3539" s="17" t="str">
        <f t="shared" ca="1" si="389"/>
        <v/>
      </c>
    </row>
    <row r="3540" spans="1:10" x14ac:dyDescent="0.25">
      <c r="A3540" t="s">
        <v>654</v>
      </c>
      <c r="B3540" t="str">
        <f>ADDRESS(ROW('PAYG 1'!$C$17),COLUMN('PAYG 1'!$C$17),4)</f>
        <v>C17</v>
      </c>
      <c r="C3540" t="str">
        <f>ADDRESS(ROW('PAYG 1'!$D$17),COLUMN('PAYG 1'!$D$17),4)</f>
        <v>D17</v>
      </c>
      <c r="D3540" t="b" cm="1">
        <f t="array" aca="1" ref="D3540" ca="1">IF(INDIRECT("'"&amp;A3540&amp;"'!"&amp;B3540)="",FALSE,IF(NOT(ISNUMBER(INDIRECT("'"&amp;A3540&amp;"'!"&amp;B3540))),TRUE,FALSE))</f>
        <v>0</v>
      </c>
      <c r="E3540" t="s">
        <v>435</v>
      </c>
      <c r="F3540" t="str">
        <f>INDEX(Lists!I:I,MATCH(Validation!E3540,Lists!G:G,0))</f>
        <v>Error</v>
      </c>
      <c r="G3540" t="str">
        <f>INDEX(Lists!H:H,MATCH(Validation!E3540,Lists!G:G,0))</f>
        <v>Enter an amount only. Do not enter text or spaces.</v>
      </c>
      <c r="H3540" s="16" t="str">
        <f t="shared" ca="1" si="387"/>
        <v/>
      </c>
      <c r="I3540" s="16" t="str">
        <f t="shared" ca="1" si="388"/>
        <v/>
      </c>
      <c r="J3540" s="17" t="str">
        <f t="shared" ca="1" si="389"/>
        <v/>
      </c>
    </row>
    <row r="3541" spans="1:10" x14ac:dyDescent="0.25">
      <c r="A3541" t="s">
        <v>655</v>
      </c>
      <c r="B3541" t="str">
        <f>ADDRESS(ROW('PAYG 1'!$C$17),COLUMN('PAYG 1'!$C$17),4)</f>
        <v>C17</v>
      </c>
      <c r="C3541" t="str">
        <f>ADDRESS(ROW('PAYG 1'!$D$17),COLUMN('PAYG 1'!$D$17),4)</f>
        <v>D17</v>
      </c>
      <c r="D3541" t="b" cm="1">
        <f t="array" aca="1" ref="D3541" ca="1">IF(INDIRECT("'"&amp;A3541&amp;"'!"&amp;B3541)="",FALSE,IF(NOT(ISNUMBER(INDIRECT("'"&amp;A3541&amp;"'!"&amp;B3541))),TRUE,FALSE))</f>
        <v>0</v>
      </c>
      <c r="E3541" t="s">
        <v>435</v>
      </c>
      <c r="F3541" t="str">
        <f>INDEX(Lists!I:I,MATCH(Validation!E3541,Lists!G:G,0))</f>
        <v>Error</v>
      </c>
      <c r="G3541" t="str">
        <f>INDEX(Lists!H:H,MATCH(Validation!E3541,Lists!G:G,0))</f>
        <v>Enter an amount only. Do not enter text or spaces.</v>
      </c>
      <c r="H3541" s="16" t="str">
        <f t="shared" ca="1" si="387"/>
        <v/>
      </c>
      <c r="I3541" s="16" t="str">
        <f t="shared" ca="1" si="388"/>
        <v/>
      </c>
      <c r="J3541" s="17" t="str">
        <f t="shared" ca="1" si="389"/>
        <v/>
      </c>
    </row>
    <row r="3542" spans="1:10" x14ac:dyDescent="0.25">
      <c r="A3542" t="s">
        <v>656</v>
      </c>
      <c r="B3542" t="str">
        <f>ADDRESS(ROW('PAYG 1'!$C$17),COLUMN('PAYG 1'!$C$17),4)</f>
        <v>C17</v>
      </c>
      <c r="C3542" t="str">
        <f>ADDRESS(ROW('PAYG 1'!$D$17),COLUMN('PAYG 1'!$D$17),4)</f>
        <v>D17</v>
      </c>
      <c r="D3542" t="b" cm="1">
        <f t="array" aca="1" ref="D3542" ca="1">IF(INDIRECT("'"&amp;A3542&amp;"'!"&amp;B3542)="",FALSE,IF(NOT(ISNUMBER(INDIRECT("'"&amp;A3542&amp;"'!"&amp;B3542))),TRUE,FALSE))</f>
        <v>0</v>
      </c>
      <c r="E3542" t="s">
        <v>435</v>
      </c>
      <c r="F3542" t="str">
        <f>INDEX(Lists!I:I,MATCH(Validation!E3542,Lists!G:G,0))</f>
        <v>Error</v>
      </c>
      <c r="G3542" t="str">
        <f>INDEX(Lists!H:H,MATCH(Validation!E3542,Lists!G:G,0))</f>
        <v>Enter an amount only. Do not enter text or spaces.</v>
      </c>
      <c r="H3542" s="16" t="str">
        <f t="shared" ca="1" si="387"/>
        <v/>
      </c>
      <c r="I3542" s="16" t="str">
        <f t="shared" ca="1" si="388"/>
        <v/>
      </c>
      <c r="J3542" s="17" t="str">
        <f t="shared" ca="1" si="389"/>
        <v/>
      </c>
    </row>
    <row r="3543" spans="1:10" x14ac:dyDescent="0.25">
      <c r="A3543" t="s">
        <v>657</v>
      </c>
      <c r="B3543" t="str">
        <f>ADDRESS(ROW('PAYG 1'!$C$17),COLUMN('PAYG 1'!$C$17),4)</f>
        <v>C17</v>
      </c>
      <c r="C3543" t="str">
        <f>ADDRESS(ROW('PAYG 1'!$D$17),COLUMN('PAYG 1'!$D$17),4)</f>
        <v>D17</v>
      </c>
      <c r="D3543" t="b" cm="1">
        <f t="array" aca="1" ref="D3543" ca="1">IF(INDIRECT("'"&amp;A3543&amp;"'!"&amp;B3543)="",FALSE,IF(NOT(ISNUMBER(INDIRECT("'"&amp;A3543&amp;"'!"&amp;B3543))),TRUE,FALSE))</f>
        <v>0</v>
      </c>
      <c r="E3543" t="s">
        <v>435</v>
      </c>
      <c r="F3543" t="str">
        <f>INDEX(Lists!I:I,MATCH(Validation!E3543,Lists!G:G,0))</f>
        <v>Error</v>
      </c>
      <c r="G3543" t="str">
        <f>INDEX(Lists!H:H,MATCH(Validation!E3543,Lists!G:G,0))</f>
        <v>Enter an amount only. Do not enter text or spaces.</v>
      </c>
      <c r="H3543" s="16" t="str">
        <f t="shared" ca="1" si="387"/>
        <v/>
      </c>
      <c r="I3543" s="16" t="str">
        <f t="shared" ca="1" si="388"/>
        <v/>
      </c>
      <c r="J3543" s="17" t="str">
        <f t="shared" ca="1" si="389"/>
        <v/>
      </c>
    </row>
    <row r="3544" spans="1:10" x14ac:dyDescent="0.25">
      <c r="A3544" t="s">
        <v>658</v>
      </c>
      <c r="B3544" t="str">
        <f>ADDRESS(ROW('PAYG 1'!$C$17),COLUMN('PAYG 1'!$C$17),4)</f>
        <v>C17</v>
      </c>
      <c r="C3544" t="str">
        <f>ADDRESS(ROW('PAYG 1'!$D$17),COLUMN('PAYG 1'!$D$17),4)</f>
        <v>D17</v>
      </c>
      <c r="D3544" t="b" cm="1">
        <f t="array" aca="1" ref="D3544" ca="1">IF(INDIRECT("'"&amp;A3544&amp;"'!"&amp;B3544)="",FALSE,IF(NOT(ISNUMBER(INDIRECT("'"&amp;A3544&amp;"'!"&amp;B3544))),TRUE,FALSE))</f>
        <v>0</v>
      </c>
      <c r="E3544" t="s">
        <v>435</v>
      </c>
      <c r="F3544" t="str">
        <f>INDEX(Lists!I:I,MATCH(Validation!E3544,Lists!G:G,0))</f>
        <v>Error</v>
      </c>
      <c r="G3544" t="str">
        <f>INDEX(Lists!H:H,MATCH(Validation!E3544,Lists!G:G,0))</f>
        <v>Enter an amount only. Do not enter text or spaces.</v>
      </c>
      <c r="H3544" s="16" t="str">
        <f t="shared" ca="1" si="387"/>
        <v/>
      </c>
      <c r="I3544" s="16" t="str">
        <f t="shared" ca="1" si="388"/>
        <v/>
      </c>
      <c r="J3544" s="17" t="str">
        <f t="shared" ca="1" si="389"/>
        <v/>
      </c>
    </row>
    <row r="3545" spans="1:10" x14ac:dyDescent="0.25">
      <c r="A3545" t="s">
        <v>659</v>
      </c>
      <c r="B3545" t="str">
        <f>ADDRESS(ROW('PAYG 1'!$C$17),COLUMN('PAYG 1'!$C$17),4)</f>
        <v>C17</v>
      </c>
      <c r="C3545" t="str">
        <f>ADDRESS(ROW('PAYG 1'!$D$17),COLUMN('PAYG 1'!$D$17),4)</f>
        <v>D17</v>
      </c>
      <c r="D3545" t="b" cm="1">
        <f t="array" aca="1" ref="D3545" ca="1">IF(INDIRECT("'"&amp;A3545&amp;"'!"&amp;B3545)="",FALSE,IF(NOT(ISNUMBER(INDIRECT("'"&amp;A3545&amp;"'!"&amp;B3545))),TRUE,FALSE))</f>
        <v>0</v>
      </c>
      <c r="E3545" t="s">
        <v>435</v>
      </c>
      <c r="F3545" t="str">
        <f>INDEX(Lists!I:I,MATCH(Validation!E3545,Lists!G:G,0))</f>
        <v>Error</v>
      </c>
      <c r="G3545" t="str">
        <f>INDEX(Lists!H:H,MATCH(Validation!E3545,Lists!G:G,0))</f>
        <v>Enter an amount only. Do not enter text or spaces.</v>
      </c>
      <c r="H3545" s="16" t="str">
        <f t="shared" ca="1" si="387"/>
        <v/>
      </c>
      <c r="I3545" s="16" t="str">
        <f t="shared" ca="1" si="388"/>
        <v/>
      </c>
      <c r="J3545" s="17" t="str">
        <f t="shared" ca="1" si="389"/>
        <v/>
      </c>
    </row>
    <row r="3546" spans="1:10" x14ac:dyDescent="0.25">
      <c r="A3546" t="s">
        <v>660</v>
      </c>
      <c r="B3546" t="str">
        <f>ADDRESS(ROW('PAYG 1'!$C$17),COLUMN('PAYG 1'!$C$17),4)</f>
        <v>C17</v>
      </c>
      <c r="C3546" t="str">
        <f>ADDRESS(ROW('PAYG 1'!$D$17),COLUMN('PAYG 1'!$D$17),4)</f>
        <v>D17</v>
      </c>
      <c r="D3546" t="b" cm="1">
        <f t="array" aca="1" ref="D3546" ca="1">IF(INDIRECT("'"&amp;A3546&amp;"'!"&amp;B3546)="",FALSE,IF(NOT(ISNUMBER(INDIRECT("'"&amp;A3546&amp;"'!"&amp;B3546))),TRUE,FALSE))</f>
        <v>0</v>
      </c>
      <c r="E3546" t="s">
        <v>435</v>
      </c>
      <c r="F3546" t="str">
        <f>INDEX(Lists!I:I,MATCH(Validation!E3546,Lists!G:G,0))</f>
        <v>Error</v>
      </c>
      <c r="G3546" t="str">
        <f>INDEX(Lists!H:H,MATCH(Validation!E3546,Lists!G:G,0))</f>
        <v>Enter an amount only. Do not enter text or spaces.</v>
      </c>
      <c r="H3546" s="16" t="str">
        <f t="shared" ca="1" si="387"/>
        <v/>
      </c>
      <c r="I3546" s="16" t="str">
        <f t="shared" ca="1" si="388"/>
        <v/>
      </c>
      <c r="J3546" s="17" t="str">
        <f t="shared" ca="1" si="389"/>
        <v/>
      </c>
    </row>
    <row r="3547" spans="1:10" x14ac:dyDescent="0.25">
      <c r="A3547" t="s">
        <v>661</v>
      </c>
      <c r="B3547" t="str">
        <f>ADDRESS(ROW('PAYG 1'!$C$17),COLUMN('PAYG 1'!$C$17),4)</f>
        <v>C17</v>
      </c>
      <c r="C3547" t="str">
        <f>ADDRESS(ROW('PAYG 1'!$D$17),COLUMN('PAYG 1'!$D$17),4)</f>
        <v>D17</v>
      </c>
      <c r="D3547" t="b" cm="1">
        <f t="array" aca="1" ref="D3547" ca="1">IF(INDIRECT("'"&amp;A3547&amp;"'!"&amp;B3547)="",FALSE,IF(NOT(ISNUMBER(INDIRECT("'"&amp;A3547&amp;"'!"&amp;B3547))),TRUE,FALSE))</f>
        <v>0</v>
      </c>
      <c r="E3547" t="s">
        <v>435</v>
      </c>
      <c r="F3547" t="str">
        <f>INDEX(Lists!I:I,MATCH(Validation!E3547,Lists!G:G,0))</f>
        <v>Error</v>
      </c>
      <c r="G3547" t="str">
        <f>INDEX(Lists!H:H,MATCH(Validation!E3547,Lists!G:G,0))</f>
        <v>Enter an amount only. Do not enter text or spaces.</v>
      </c>
      <c r="H3547" s="16" t="str">
        <f t="shared" ca="1" si="387"/>
        <v/>
      </c>
      <c r="I3547" s="16" t="str">
        <f t="shared" ca="1" si="388"/>
        <v/>
      </c>
      <c r="J3547" s="17" t="str">
        <f t="shared" ca="1" si="389"/>
        <v/>
      </c>
    </row>
    <row r="3548" spans="1:10" x14ac:dyDescent="0.25">
      <c r="A3548" t="s">
        <v>662</v>
      </c>
      <c r="B3548" t="str">
        <f>ADDRESS(ROW('PAYG 1'!$C$17),COLUMN('PAYG 1'!$C$17),4)</f>
        <v>C17</v>
      </c>
      <c r="C3548" t="str">
        <f>ADDRESS(ROW('PAYG 1'!$D$17),COLUMN('PAYG 1'!$D$17),4)</f>
        <v>D17</v>
      </c>
      <c r="D3548" t="b" cm="1">
        <f t="array" aca="1" ref="D3548" ca="1">IF(INDIRECT("'"&amp;A3548&amp;"'!"&amp;B3548)="",FALSE,IF(NOT(ISNUMBER(INDIRECT("'"&amp;A3548&amp;"'!"&amp;B3548))),TRUE,FALSE))</f>
        <v>0</v>
      </c>
      <c r="E3548" t="s">
        <v>435</v>
      </c>
      <c r="F3548" t="str">
        <f>INDEX(Lists!I:I,MATCH(Validation!E3548,Lists!G:G,0))</f>
        <v>Error</v>
      </c>
      <c r="G3548" t="str">
        <f>INDEX(Lists!H:H,MATCH(Validation!E3548,Lists!G:G,0))</f>
        <v>Enter an amount only. Do not enter text or spaces.</v>
      </c>
      <c r="H3548" s="16" t="str">
        <f t="shared" ca="1" si="387"/>
        <v/>
      </c>
      <c r="I3548" s="16" t="str">
        <f t="shared" ca="1" si="388"/>
        <v/>
      </c>
      <c r="J3548" s="17" t="str">
        <f t="shared" ca="1" si="389"/>
        <v/>
      </c>
    </row>
    <row r="3549" spans="1:10" x14ac:dyDescent="0.25">
      <c r="A3549" t="s">
        <v>663</v>
      </c>
      <c r="B3549" t="str">
        <f>ADDRESS(ROW('PAYG 1'!$C$17),COLUMN('PAYG 1'!$C$17),4)</f>
        <v>C17</v>
      </c>
      <c r="C3549" t="str">
        <f>ADDRESS(ROW('PAYG 1'!$D$17),COLUMN('PAYG 1'!$D$17),4)</f>
        <v>D17</v>
      </c>
      <c r="D3549" t="b" cm="1">
        <f t="array" aca="1" ref="D3549" ca="1">IF(INDIRECT("'"&amp;A3549&amp;"'!"&amp;B3549)="",FALSE,IF(NOT(ISNUMBER(INDIRECT("'"&amp;A3549&amp;"'!"&amp;B3549))),TRUE,FALSE))</f>
        <v>0</v>
      </c>
      <c r="E3549" t="s">
        <v>435</v>
      </c>
      <c r="F3549" t="str">
        <f>INDEX(Lists!I:I,MATCH(Validation!E3549,Lists!G:G,0))</f>
        <v>Error</v>
      </c>
      <c r="G3549" t="str">
        <f>INDEX(Lists!H:H,MATCH(Validation!E3549,Lists!G:G,0))</f>
        <v>Enter an amount only. Do not enter text or spaces.</v>
      </c>
      <c r="H3549" s="16" t="str">
        <f t="shared" ca="1" si="387"/>
        <v/>
      </c>
      <c r="I3549" s="16" t="str">
        <f t="shared" ca="1" si="388"/>
        <v/>
      </c>
      <c r="J3549" s="17" t="str">
        <f t="shared" ca="1" si="389"/>
        <v/>
      </c>
    </row>
    <row r="3550" spans="1:10" x14ac:dyDescent="0.25">
      <c r="A3550" t="s">
        <v>664</v>
      </c>
      <c r="B3550" t="str">
        <f>ADDRESS(ROW('PAYG 1'!$C$17),COLUMN('PAYG 1'!$C$17),4)</f>
        <v>C17</v>
      </c>
      <c r="C3550" t="str">
        <f>ADDRESS(ROW('PAYG 1'!$D$17),COLUMN('PAYG 1'!$D$17),4)</f>
        <v>D17</v>
      </c>
      <c r="D3550" t="b" cm="1">
        <f t="array" aca="1" ref="D3550" ca="1">IF(INDIRECT("'"&amp;A3550&amp;"'!"&amp;B3550)="",FALSE,IF(NOT(ISNUMBER(INDIRECT("'"&amp;A3550&amp;"'!"&amp;B3550))),TRUE,FALSE))</f>
        <v>0</v>
      </c>
      <c r="E3550" t="s">
        <v>435</v>
      </c>
      <c r="F3550" t="str">
        <f>INDEX(Lists!I:I,MATCH(Validation!E3550,Lists!G:G,0))</f>
        <v>Error</v>
      </c>
      <c r="G3550" t="str">
        <f>INDEX(Lists!H:H,MATCH(Validation!E3550,Lists!G:G,0))</f>
        <v>Enter an amount only. Do not enter text or spaces.</v>
      </c>
      <c r="H3550" s="16" t="str">
        <f t="shared" ca="1" si="387"/>
        <v/>
      </c>
      <c r="I3550" s="16" t="str">
        <f t="shared" ca="1" si="388"/>
        <v/>
      </c>
      <c r="J3550" s="17" t="str">
        <f t="shared" ca="1" si="389"/>
        <v/>
      </c>
    </row>
    <row r="3551" spans="1:10" x14ac:dyDescent="0.25">
      <c r="A3551" t="s">
        <v>203</v>
      </c>
      <c r="B3551" t="str">
        <f>ADDRESS(ROW('PAYG 1'!$C$17),COLUMN('PAYG 1'!$C$17),4)</f>
        <v>C17</v>
      </c>
      <c r="C3551" t="str">
        <f>ADDRESS(ROW('PAYG 1'!$D$17),COLUMN('PAYG 1'!$D$17),4)</f>
        <v>D17</v>
      </c>
      <c r="D3551" t="b" cm="1">
        <f t="array" aca="1" ref="D3551" ca="1">IF(INDIRECT("'"&amp;A3551&amp;"'!"&amp;B3551)="",FALSE,IF(INDIRECT("'"&amp;A3551&amp;"'!"&amp;B3551)&lt;0,TRUE,FALSE))</f>
        <v>0</v>
      </c>
      <c r="E3551" t="s">
        <v>434</v>
      </c>
      <c r="F3551" t="str">
        <f>INDEX(Lists!I:I,MATCH(Validation!E3551,Lists!G:G,0))</f>
        <v>Error</v>
      </c>
      <c r="G3551" t="str">
        <f>INDEX(Lists!H:H,MATCH(Validation!E3551,Lists!G:G,0))</f>
        <v>Amount may not be negative. Enter an amount greater than or equal to zero.</v>
      </c>
      <c r="H3551" s="16" t="str">
        <f t="shared" ca="1" si="387"/>
        <v/>
      </c>
      <c r="I3551" s="16" t="str">
        <f t="shared" ca="1" si="388"/>
        <v/>
      </c>
      <c r="J3551" s="17" t="str">
        <f t="shared" ca="1" si="389"/>
        <v/>
      </c>
    </row>
    <row r="3552" spans="1:10" x14ac:dyDescent="0.25">
      <c r="A3552" t="s">
        <v>651</v>
      </c>
      <c r="B3552" t="str">
        <f>ADDRESS(ROW('PAYG 1'!$C$17),COLUMN('PAYG 1'!$C$17),4)</f>
        <v>C17</v>
      </c>
      <c r="C3552" t="str">
        <f>ADDRESS(ROW('PAYG 1'!$D$17),COLUMN('PAYG 1'!$D$17),4)</f>
        <v>D17</v>
      </c>
      <c r="D3552" t="b" cm="1">
        <f t="array" aca="1" ref="D3552" ca="1">IF(INDIRECT("'"&amp;A3552&amp;"'!"&amp;B3552)="",FALSE,IF(INDIRECT("'"&amp;A3552&amp;"'!"&amp;B3552)&lt;0,TRUE,FALSE))</f>
        <v>0</v>
      </c>
      <c r="E3552" t="s">
        <v>434</v>
      </c>
      <c r="F3552" t="str">
        <f>INDEX(Lists!I:I,MATCH(Validation!E3552,Lists!G:G,0))</f>
        <v>Error</v>
      </c>
      <c r="G3552" t="str">
        <f>INDEX(Lists!H:H,MATCH(Validation!E3552,Lists!G:G,0))</f>
        <v>Amount may not be negative. Enter an amount greater than or equal to zero.</v>
      </c>
      <c r="H3552" s="16" t="str">
        <f t="shared" ca="1" si="387"/>
        <v/>
      </c>
      <c r="I3552" s="16" t="str">
        <f t="shared" ca="1" si="388"/>
        <v/>
      </c>
      <c r="J3552" s="17" t="str">
        <f t="shared" ca="1" si="389"/>
        <v/>
      </c>
    </row>
    <row r="3553" spans="1:10" x14ac:dyDescent="0.25">
      <c r="A3553" t="s">
        <v>652</v>
      </c>
      <c r="B3553" t="str">
        <f>ADDRESS(ROW('PAYG 1'!$C$17),COLUMN('PAYG 1'!$C$17),4)</f>
        <v>C17</v>
      </c>
      <c r="C3553" t="str">
        <f>ADDRESS(ROW('PAYG 1'!$D$17),COLUMN('PAYG 1'!$D$17),4)</f>
        <v>D17</v>
      </c>
      <c r="D3553" t="b" cm="1">
        <f t="array" aca="1" ref="D3553" ca="1">IF(INDIRECT("'"&amp;A3553&amp;"'!"&amp;B3553)="",FALSE,IF(INDIRECT("'"&amp;A3553&amp;"'!"&amp;B3553)&lt;0,TRUE,FALSE))</f>
        <v>0</v>
      </c>
      <c r="E3553" t="s">
        <v>434</v>
      </c>
      <c r="F3553" t="str">
        <f>INDEX(Lists!I:I,MATCH(Validation!E3553,Lists!G:G,0))</f>
        <v>Error</v>
      </c>
      <c r="G3553" t="str">
        <f>INDEX(Lists!H:H,MATCH(Validation!E3553,Lists!G:G,0))</f>
        <v>Amount may not be negative. Enter an amount greater than or equal to zero.</v>
      </c>
      <c r="H3553" s="16" t="str">
        <f t="shared" ca="1" si="387"/>
        <v/>
      </c>
      <c r="I3553" s="16" t="str">
        <f t="shared" ca="1" si="388"/>
        <v/>
      </c>
      <c r="J3553" s="17" t="str">
        <f t="shared" ca="1" si="389"/>
        <v/>
      </c>
    </row>
    <row r="3554" spans="1:10" x14ac:dyDescent="0.25">
      <c r="A3554" t="s">
        <v>653</v>
      </c>
      <c r="B3554" t="str">
        <f>ADDRESS(ROW('PAYG 1'!$C$17),COLUMN('PAYG 1'!$C$17),4)</f>
        <v>C17</v>
      </c>
      <c r="C3554" t="str">
        <f>ADDRESS(ROW('PAYG 1'!$D$17),COLUMN('PAYG 1'!$D$17),4)</f>
        <v>D17</v>
      </c>
      <c r="D3554" t="b" cm="1">
        <f t="array" aca="1" ref="D3554" ca="1">IF(INDIRECT("'"&amp;A3554&amp;"'!"&amp;B3554)="",FALSE,IF(INDIRECT("'"&amp;A3554&amp;"'!"&amp;B3554)&lt;0,TRUE,FALSE))</f>
        <v>0</v>
      </c>
      <c r="E3554" t="s">
        <v>434</v>
      </c>
      <c r="F3554" t="str">
        <f>INDEX(Lists!I:I,MATCH(Validation!E3554,Lists!G:G,0))</f>
        <v>Error</v>
      </c>
      <c r="G3554" t="str">
        <f>INDEX(Lists!H:H,MATCH(Validation!E3554,Lists!G:G,0))</f>
        <v>Amount may not be negative. Enter an amount greater than or equal to zero.</v>
      </c>
      <c r="H3554" s="16" t="str">
        <f t="shared" ca="1" si="387"/>
        <v/>
      </c>
      <c r="I3554" s="16" t="str">
        <f t="shared" ca="1" si="388"/>
        <v/>
      </c>
      <c r="J3554" s="17" t="str">
        <f t="shared" ca="1" si="389"/>
        <v/>
      </c>
    </row>
    <row r="3555" spans="1:10" x14ac:dyDescent="0.25">
      <c r="A3555" t="s">
        <v>654</v>
      </c>
      <c r="B3555" t="str">
        <f>ADDRESS(ROW('PAYG 1'!$C$17),COLUMN('PAYG 1'!$C$17),4)</f>
        <v>C17</v>
      </c>
      <c r="C3555" t="str">
        <f>ADDRESS(ROW('PAYG 1'!$D$17),COLUMN('PAYG 1'!$D$17),4)</f>
        <v>D17</v>
      </c>
      <c r="D3555" t="b" cm="1">
        <f t="array" aca="1" ref="D3555" ca="1">IF(INDIRECT("'"&amp;A3555&amp;"'!"&amp;B3555)="",FALSE,IF(INDIRECT("'"&amp;A3555&amp;"'!"&amp;B3555)&lt;0,TRUE,FALSE))</f>
        <v>0</v>
      </c>
      <c r="E3555" t="s">
        <v>434</v>
      </c>
      <c r="F3555" t="str">
        <f>INDEX(Lists!I:I,MATCH(Validation!E3555,Lists!G:G,0))</f>
        <v>Error</v>
      </c>
      <c r="G3555" t="str">
        <f>INDEX(Lists!H:H,MATCH(Validation!E3555,Lists!G:G,0))</f>
        <v>Amount may not be negative. Enter an amount greater than or equal to zero.</v>
      </c>
      <c r="H3555" s="16" t="str">
        <f t="shared" ca="1" si="387"/>
        <v/>
      </c>
      <c r="I3555" s="16" t="str">
        <f t="shared" ca="1" si="388"/>
        <v/>
      </c>
      <c r="J3555" s="17" t="str">
        <f t="shared" ca="1" si="389"/>
        <v/>
      </c>
    </row>
    <row r="3556" spans="1:10" x14ac:dyDescent="0.25">
      <c r="A3556" t="s">
        <v>655</v>
      </c>
      <c r="B3556" t="str">
        <f>ADDRESS(ROW('PAYG 1'!$C$17),COLUMN('PAYG 1'!$C$17),4)</f>
        <v>C17</v>
      </c>
      <c r="C3556" t="str">
        <f>ADDRESS(ROW('PAYG 1'!$D$17),COLUMN('PAYG 1'!$D$17),4)</f>
        <v>D17</v>
      </c>
      <c r="D3556" t="b" cm="1">
        <f t="array" aca="1" ref="D3556" ca="1">IF(INDIRECT("'"&amp;A3556&amp;"'!"&amp;B3556)="",FALSE,IF(INDIRECT("'"&amp;A3556&amp;"'!"&amp;B3556)&lt;0,TRUE,FALSE))</f>
        <v>0</v>
      </c>
      <c r="E3556" t="s">
        <v>434</v>
      </c>
      <c r="F3556" t="str">
        <f>INDEX(Lists!I:I,MATCH(Validation!E3556,Lists!G:G,0))</f>
        <v>Error</v>
      </c>
      <c r="G3556" t="str">
        <f>INDEX(Lists!H:H,MATCH(Validation!E3556,Lists!G:G,0))</f>
        <v>Amount may not be negative. Enter an amount greater than or equal to zero.</v>
      </c>
      <c r="H3556" s="16" t="str">
        <f t="shared" ca="1" si="387"/>
        <v/>
      </c>
      <c r="I3556" s="16" t="str">
        <f t="shared" ca="1" si="388"/>
        <v/>
      </c>
      <c r="J3556" s="17" t="str">
        <f t="shared" ca="1" si="389"/>
        <v/>
      </c>
    </row>
    <row r="3557" spans="1:10" x14ac:dyDescent="0.25">
      <c r="A3557" t="s">
        <v>656</v>
      </c>
      <c r="B3557" t="str">
        <f>ADDRESS(ROW('PAYG 1'!$C$17),COLUMN('PAYG 1'!$C$17),4)</f>
        <v>C17</v>
      </c>
      <c r="C3557" t="str">
        <f>ADDRESS(ROW('PAYG 1'!$D$17),COLUMN('PAYG 1'!$D$17),4)</f>
        <v>D17</v>
      </c>
      <c r="D3557" t="b" cm="1">
        <f t="array" aca="1" ref="D3557" ca="1">IF(INDIRECT("'"&amp;A3557&amp;"'!"&amp;B3557)="",FALSE,IF(INDIRECT("'"&amp;A3557&amp;"'!"&amp;B3557)&lt;0,TRUE,FALSE))</f>
        <v>0</v>
      </c>
      <c r="E3557" t="s">
        <v>434</v>
      </c>
      <c r="F3557" t="str">
        <f>INDEX(Lists!I:I,MATCH(Validation!E3557,Lists!G:G,0))</f>
        <v>Error</v>
      </c>
      <c r="G3557" t="str">
        <f>INDEX(Lists!H:H,MATCH(Validation!E3557,Lists!G:G,0))</f>
        <v>Amount may not be negative. Enter an amount greater than or equal to zero.</v>
      </c>
      <c r="H3557" s="16" t="str">
        <f t="shared" ca="1" si="387"/>
        <v/>
      </c>
      <c r="I3557" s="16" t="str">
        <f t="shared" ca="1" si="388"/>
        <v/>
      </c>
      <c r="J3557" s="17" t="str">
        <f t="shared" ca="1" si="389"/>
        <v/>
      </c>
    </row>
    <row r="3558" spans="1:10" x14ac:dyDescent="0.25">
      <c r="A3558" t="s">
        <v>657</v>
      </c>
      <c r="B3558" t="str">
        <f>ADDRESS(ROW('PAYG 1'!$C$17),COLUMN('PAYG 1'!$C$17),4)</f>
        <v>C17</v>
      </c>
      <c r="C3558" t="str">
        <f>ADDRESS(ROW('PAYG 1'!$D$17),COLUMN('PAYG 1'!$D$17),4)</f>
        <v>D17</v>
      </c>
      <c r="D3558" t="b" cm="1">
        <f t="array" aca="1" ref="D3558" ca="1">IF(INDIRECT("'"&amp;A3558&amp;"'!"&amp;B3558)="",FALSE,IF(INDIRECT("'"&amp;A3558&amp;"'!"&amp;B3558)&lt;0,TRUE,FALSE))</f>
        <v>0</v>
      </c>
      <c r="E3558" t="s">
        <v>434</v>
      </c>
      <c r="F3558" t="str">
        <f>INDEX(Lists!I:I,MATCH(Validation!E3558,Lists!G:G,0))</f>
        <v>Error</v>
      </c>
      <c r="G3558" t="str">
        <f>INDEX(Lists!H:H,MATCH(Validation!E3558,Lists!G:G,0))</f>
        <v>Amount may not be negative. Enter an amount greater than or equal to zero.</v>
      </c>
      <c r="H3558" s="16" t="str">
        <f t="shared" ca="1" si="387"/>
        <v/>
      </c>
      <c r="I3558" s="16" t="str">
        <f t="shared" ca="1" si="388"/>
        <v/>
      </c>
      <c r="J3558" s="17" t="str">
        <f t="shared" ca="1" si="389"/>
        <v/>
      </c>
    </row>
    <row r="3559" spans="1:10" x14ac:dyDescent="0.25">
      <c r="A3559" t="s">
        <v>658</v>
      </c>
      <c r="B3559" t="str">
        <f>ADDRESS(ROW('PAYG 1'!$C$17),COLUMN('PAYG 1'!$C$17),4)</f>
        <v>C17</v>
      </c>
      <c r="C3559" t="str">
        <f>ADDRESS(ROW('PAYG 1'!$D$17),COLUMN('PAYG 1'!$D$17),4)</f>
        <v>D17</v>
      </c>
      <c r="D3559" t="b" cm="1">
        <f t="array" aca="1" ref="D3559" ca="1">IF(INDIRECT("'"&amp;A3559&amp;"'!"&amp;B3559)="",FALSE,IF(INDIRECT("'"&amp;A3559&amp;"'!"&amp;B3559)&lt;0,TRUE,FALSE))</f>
        <v>0</v>
      </c>
      <c r="E3559" t="s">
        <v>434</v>
      </c>
      <c r="F3559" t="str">
        <f>INDEX(Lists!I:I,MATCH(Validation!E3559,Lists!G:G,0))</f>
        <v>Error</v>
      </c>
      <c r="G3559" t="str">
        <f>INDEX(Lists!H:H,MATCH(Validation!E3559,Lists!G:G,0))</f>
        <v>Amount may not be negative. Enter an amount greater than or equal to zero.</v>
      </c>
      <c r="H3559" s="16" t="str">
        <f t="shared" ca="1" si="387"/>
        <v/>
      </c>
      <c r="I3559" s="16" t="str">
        <f t="shared" ca="1" si="388"/>
        <v/>
      </c>
      <c r="J3559" s="17" t="str">
        <f t="shared" ca="1" si="389"/>
        <v/>
      </c>
    </row>
    <row r="3560" spans="1:10" x14ac:dyDescent="0.25">
      <c r="A3560" t="s">
        <v>659</v>
      </c>
      <c r="B3560" t="str">
        <f>ADDRESS(ROW('PAYG 1'!$C$17),COLUMN('PAYG 1'!$C$17),4)</f>
        <v>C17</v>
      </c>
      <c r="C3560" t="str">
        <f>ADDRESS(ROW('PAYG 1'!$D$17),COLUMN('PAYG 1'!$D$17),4)</f>
        <v>D17</v>
      </c>
      <c r="D3560" t="b" cm="1">
        <f t="array" aca="1" ref="D3560" ca="1">IF(INDIRECT("'"&amp;A3560&amp;"'!"&amp;B3560)="",FALSE,IF(INDIRECT("'"&amp;A3560&amp;"'!"&amp;B3560)&lt;0,TRUE,FALSE))</f>
        <v>0</v>
      </c>
      <c r="E3560" t="s">
        <v>434</v>
      </c>
      <c r="F3560" t="str">
        <f>INDEX(Lists!I:I,MATCH(Validation!E3560,Lists!G:G,0))</f>
        <v>Error</v>
      </c>
      <c r="G3560" t="str">
        <f>INDEX(Lists!H:H,MATCH(Validation!E3560,Lists!G:G,0))</f>
        <v>Amount may not be negative. Enter an amount greater than or equal to zero.</v>
      </c>
      <c r="H3560" s="16" t="str">
        <f t="shared" ca="1" si="387"/>
        <v/>
      </c>
      <c r="I3560" s="16" t="str">
        <f t="shared" ca="1" si="388"/>
        <v/>
      </c>
      <c r="J3560" s="17" t="str">
        <f t="shared" ca="1" si="389"/>
        <v/>
      </c>
    </row>
    <row r="3561" spans="1:10" x14ac:dyDescent="0.25">
      <c r="A3561" t="s">
        <v>660</v>
      </c>
      <c r="B3561" t="str">
        <f>ADDRESS(ROW('PAYG 1'!$C$17),COLUMN('PAYG 1'!$C$17),4)</f>
        <v>C17</v>
      </c>
      <c r="C3561" t="str">
        <f>ADDRESS(ROW('PAYG 1'!$D$17),COLUMN('PAYG 1'!$D$17),4)</f>
        <v>D17</v>
      </c>
      <c r="D3561" t="b" cm="1">
        <f t="array" aca="1" ref="D3561" ca="1">IF(INDIRECT("'"&amp;A3561&amp;"'!"&amp;B3561)="",FALSE,IF(INDIRECT("'"&amp;A3561&amp;"'!"&amp;B3561)&lt;0,TRUE,FALSE))</f>
        <v>0</v>
      </c>
      <c r="E3561" t="s">
        <v>434</v>
      </c>
      <c r="F3561" t="str">
        <f>INDEX(Lists!I:I,MATCH(Validation!E3561,Lists!G:G,0))</f>
        <v>Error</v>
      </c>
      <c r="G3561" t="str">
        <f>INDEX(Lists!H:H,MATCH(Validation!E3561,Lists!G:G,0))</f>
        <v>Amount may not be negative. Enter an amount greater than or equal to zero.</v>
      </c>
      <c r="H3561" s="16" t="str">
        <f t="shared" ca="1" si="387"/>
        <v/>
      </c>
      <c r="I3561" s="16" t="str">
        <f t="shared" ca="1" si="388"/>
        <v/>
      </c>
      <c r="J3561" s="17" t="str">
        <f t="shared" ca="1" si="389"/>
        <v/>
      </c>
    </row>
    <row r="3562" spans="1:10" x14ac:dyDescent="0.25">
      <c r="A3562" t="s">
        <v>661</v>
      </c>
      <c r="B3562" t="str">
        <f>ADDRESS(ROW('PAYG 1'!$C$17),COLUMN('PAYG 1'!$C$17),4)</f>
        <v>C17</v>
      </c>
      <c r="C3562" t="str">
        <f>ADDRESS(ROW('PAYG 1'!$D$17),COLUMN('PAYG 1'!$D$17),4)</f>
        <v>D17</v>
      </c>
      <c r="D3562" t="b" cm="1">
        <f t="array" aca="1" ref="D3562" ca="1">IF(INDIRECT("'"&amp;A3562&amp;"'!"&amp;B3562)="",FALSE,IF(INDIRECT("'"&amp;A3562&amp;"'!"&amp;B3562)&lt;0,TRUE,FALSE))</f>
        <v>0</v>
      </c>
      <c r="E3562" t="s">
        <v>434</v>
      </c>
      <c r="F3562" t="str">
        <f>INDEX(Lists!I:I,MATCH(Validation!E3562,Lists!G:G,0))</f>
        <v>Error</v>
      </c>
      <c r="G3562" t="str">
        <f>INDEX(Lists!H:H,MATCH(Validation!E3562,Lists!G:G,0))</f>
        <v>Amount may not be negative. Enter an amount greater than or equal to zero.</v>
      </c>
      <c r="H3562" s="16" t="str">
        <f t="shared" ca="1" si="387"/>
        <v/>
      </c>
      <c r="I3562" s="16" t="str">
        <f t="shared" ca="1" si="388"/>
        <v/>
      </c>
      <c r="J3562" s="17" t="str">
        <f t="shared" ca="1" si="389"/>
        <v/>
      </c>
    </row>
    <row r="3563" spans="1:10" x14ac:dyDescent="0.25">
      <c r="A3563" t="s">
        <v>662</v>
      </c>
      <c r="B3563" t="str">
        <f>ADDRESS(ROW('PAYG 1'!$C$17),COLUMN('PAYG 1'!$C$17),4)</f>
        <v>C17</v>
      </c>
      <c r="C3563" t="str">
        <f>ADDRESS(ROW('PAYG 1'!$D$17),COLUMN('PAYG 1'!$D$17),4)</f>
        <v>D17</v>
      </c>
      <c r="D3563" t="b" cm="1">
        <f t="array" aca="1" ref="D3563" ca="1">IF(INDIRECT("'"&amp;A3563&amp;"'!"&amp;B3563)="",FALSE,IF(INDIRECT("'"&amp;A3563&amp;"'!"&amp;B3563)&lt;0,TRUE,FALSE))</f>
        <v>0</v>
      </c>
      <c r="E3563" t="s">
        <v>434</v>
      </c>
      <c r="F3563" t="str">
        <f>INDEX(Lists!I:I,MATCH(Validation!E3563,Lists!G:G,0))</f>
        <v>Error</v>
      </c>
      <c r="G3563" t="str">
        <f>INDEX(Lists!H:H,MATCH(Validation!E3563,Lists!G:G,0))</f>
        <v>Amount may not be negative. Enter an amount greater than or equal to zero.</v>
      </c>
      <c r="H3563" s="16" t="str">
        <f t="shared" ca="1" si="387"/>
        <v/>
      </c>
      <c r="I3563" s="16" t="str">
        <f t="shared" ca="1" si="388"/>
        <v/>
      </c>
      <c r="J3563" s="17" t="str">
        <f t="shared" ca="1" si="389"/>
        <v/>
      </c>
    </row>
    <row r="3564" spans="1:10" x14ac:dyDescent="0.25">
      <c r="A3564" t="s">
        <v>663</v>
      </c>
      <c r="B3564" t="str">
        <f>ADDRESS(ROW('PAYG 1'!$C$17),COLUMN('PAYG 1'!$C$17),4)</f>
        <v>C17</v>
      </c>
      <c r="C3564" t="str">
        <f>ADDRESS(ROW('PAYG 1'!$D$17),COLUMN('PAYG 1'!$D$17),4)</f>
        <v>D17</v>
      </c>
      <c r="D3564" t="b" cm="1">
        <f t="array" aca="1" ref="D3564" ca="1">IF(INDIRECT("'"&amp;A3564&amp;"'!"&amp;B3564)="",FALSE,IF(INDIRECT("'"&amp;A3564&amp;"'!"&amp;B3564)&lt;0,TRUE,FALSE))</f>
        <v>0</v>
      </c>
      <c r="E3564" t="s">
        <v>434</v>
      </c>
      <c r="F3564" t="str">
        <f>INDEX(Lists!I:I,MATCH(Validation!E3564,Lists!G:G,0))</f>
        <v>Error</v>
      </c>
      <c r="G3564" t="str">
        <f>INDEX(Lists!H:H,MATCH(Validation!E3564,Lists!G:G,0))</f>
        <v>Amount may not be negative. Enter an amount greater than or equal to zero.</v>
      </c>
      <c r="H3564" s="16" t="str">
        <f t="shared" ca="1" si="387"/>
        <v/>
      </c>
      <c r="I3564" s="16" t="str">
        <f t="shared" ca="1" si="388"/>
        <v/>
      </c>
      <c r="J3564" s="17" t="str">
        <f t="shared" ca="1" si="389"/>
        <v/>
      </c>
    </row>
    <row r="3565" spans="1:10" x14ac:dyDescent="0.25">
      <c r="A3565" t="s">
        <v>664</v>
      </c>
      <c r="B3565" t="str">
        <f>ADDRESS(ROW('PAYG 1'!$C$17),COLUMN('PAYG 1'!$C$17),4)</f>
        <v>C17</v>
      </c>
      <c r="C3565" t="str">
        <f>ADDRESS(ROW('PAYG 1'!$D$17),COLUMN('PAYG 1'!$D$17),4)</f>
        <v>D17</v>
      </c>
      <c r="D3565" t="b" cm="1">
        <f t="array" aca="1" ref="D3565" ca="1">IF(INDIRECT("'"&amp;A3565&amp;"'!"&amp;B3565)="",FALSE,IF(INDIRECT("'"&amp;A3565&amp;"'!"&amp;B3565)&lt;0,TRUE,FALSE))</f>
        <v>0</v>
      </c>
      <c r="E3565" t="s">
        <v>434</v>
      </c>
      <c r="F3565" t="str">
        <f>INDEX(Lists!I:I,MATCH(Validation!E3565,Lists!G:G,0))</f>
        <v>Error</v>
      </c>
      <c r="G3565" t="str">
        <f>INDEX(Lists!H:H,MATCH(Validation!E3565,Lists!G:G,0))</f>
        <v>Amount may not be negative. Enter an amount greater than or equal to zero.</v>
      </c>
      <c r="H3565" s="16" t="str">
        <f t="shared" ca="1" si="387"/>
        <v/>
      </c>
      <c r="I3565" s="16" t="str">
        <f t="shared" ca="1" si="388"/>
        <v/>
      </c>
      <c r="J3565" s="17" t="str">
        <f t="shared" ca="1" si="389"/>
        <v/>
      </c>
    </row>
    <row r="3566" spans="1:10" x14ac:dyDescent="0.25">
      <c r="A3566" t="s">
        <v>203</v>
      </c>
      <c r="B3566" t="str">
        <f>ADDRESS(ROW('PAYG 1'!$C$17),COLUMN('PAYG 1'!$C$17),4)</f>
        <v>C17</v>
      </c>
      <c r="C3566" t="str">
        <f>ADDRESS(ROW('PAYG 1'!$D$17),COLUMN('PAYG 1'!$D$17),4)</f>
        <v>D17</v>
      </c>
      <c r="D3566" t="b" cm="1">
        <f t="array" aca="1" ref="D3566" ca="1">IF(INDIRECT("'"&amp;A3566&amp;"'!"&amp;B3566)="",FALSE,IF(TRUNC(INDIRECT("'"&amp;A3566&amp;"'!"&amp;B3566))=INDIRECT("'"&amp;A3566&amp;"'!"&amp;B3566),FALSE,TRUE))</f>
        <v>0</v>
      </c>
      <c r="E3566" t="s">
        <v>436</v>
      </c>
      <c r="F3566" t="str">
        <f>INDEX(Lists!I:I,MATCH(Validation!E3566,Lists!G:G,0))</f>
        <v>Error</v>
      </c>
      <c r="G3566" t="str">
        <f>INDEX(Lists!H:H,MATCH(Validation!E3566,Lists!G:G,0))</f>
        <v>Amount must be rounded to the nearest dollar.</v>
      </c>
      <c r="H3566" s="16" t="str">
        <f t="shared" ca="1" si="387"/>
        <v/>
      </c>
      <c r="I3566" s="16" t="str">
        <f t="shared" ca="1" si="388"/>
        <v/>
      </c>
      <c r="J3566" s="17" t="str">
        <f t="shared" ca="1" si="389"/>
        <v/>
      </c>
    </row>
    <row r="3567" spans="1:10" x14ac:dyDescent="0.25">
      <c r="A3567" t="s">
        <v>651</v>
      </c>
      <c r="B3567" t="str">
        <f>ADDRESS(ROW('PAYG 1'!$C$17),COLUMN('PAYG 1'!$C$17),4)</f>
        <v>C17</v>
      </c>
      <c r="C3567" t="str">
        <f>ADDRESS(ROW('PAYG 1'!$D$17),COLUMN('PAYG 1'!$D$17),4)</f>
        <v>D17</v>
      </c>
      <c r="D3567" t="b" cm="1">
        <f t="array" aca="1" ref="D3567" ca="1">IF(INDIRECT("'"&amp;A3567&amp;"'!"&amp;B3567)="",FALSE,IF(TRUNC(INDIRECT("'"&amp;A3567&amp;"'!"&amp;B3567))=INDIRECT("'"&amp;A3567&amp;"'!"&amp;B3567),FALSE,TRUE))</f>
        <v>0</v>
      </c>
      <c r="E3567" t="s">
        <v>436</v>
      </c>
      <c r="F3567" t="str">
        <f>INDEX(Lists!I:I,MATCH(Validation!E3567,Lists!G:G,0))</f>
        <v>Error</v>
      </c>
      <c r="G3567" t="str">
        <f>INDEX(Lists!H:H,MATCH(Validation!E3567,Lists!G:G,0))</f>
        <v>Amount must be rounded to the nearest dollar.</v>
      </c>
      <c r="H3567" s="16" t="str">
        <f t="shared" ca="1" si="387"/>
        <v/>
      </c>
      <c r="I3567" s="16" t="str">
        <f t="shared" ca="1" si="388"/>
        <v/>
      </c>
      <c r="J3567" s="17" t="str">
        <f t="shared" ca="1" si="389"/>
        <v/>
      </c>
    </row>
    <row r="3568" spans="1:10" x14ac:dyDescent="0.25">
      <c r="A3568" t="s">
        <v>652</v>
      </c>
      <c r="B3568" t="str">
        <f>ADDRESS(ROW('PAYG 1'!$C$17),COLUMN('PAYG 1'!$C$17),4)</f>
        <v>C17</v>
      </c>
      <c r="C3568" t="str">
        <f>ADDRESS(ROW('PAYG 1'!$D$17),COLUMN('PAYG 1'!$D$17),4)</f>
        <v>D17</v>
      </c>
      <c r="D3568" t="b" cm="1">
        <f t="array" aca="1" ref="D3568" ca="1">IF(INDIRECT("'"&amp;A3568&amp;"'!"&amp;B3568)="",FALSE,IF(TRUNC(INDIRECT("'"&amp;A3568&amp;"'!"&amp;B3568))=INDIRECT("'"&amp;A3568&amp;"'!"&amp;B3568),FALSE,TRUE))</f>
        <v>0</v>
      </c>
      <c r="E3568" t="s">
        <v>436</v>
      </c>
      <c r="F3568" t="str">
        <f>INDEX(Lists!I:I,MATCH(Validation!E3568,Lists!G:G,0))</f>
        <v>Error</v>
      </c>
      <c r="G3568" t="str">
        <f>INDEX(Lists!H:H,MATCH(Validation!E3568,Lists!G:G,0))</f>
        <v>Amount must be rounded to the nearest dollar.</v>
      </c>
      <c r="H3568" s="16" t="str">
        <f t="shared" ca="1" si="387"/>
        <v/>
      </c>
      <c r="I3568" s="16" t="str">
        <f t="shared" ca="1" si="388"/>
        <v/>
      </c>
      <c r="J3568" s="17" t="str">
        <f t="shared" ca="1" si="389"/>
        <v/>
      </c>
    </row>
    <row r="3569" spans="1:10" x14ac:dyDescent="0.25">
      <c r="A3569" t="s">
        <v>653</v>
      </c>
      <c r="B3569" t="str">
        <f>ADDRESS(ROW('PAYG 1'!$C$17),COLUMN('PAYG 1'!$C$17),4)</f>
        <v>C17</v>
      </c>
      <c r="C3569" t="str">
        <f>ADDRESS(ROW('PAYG 1'!$D$17),COLUMN('PAYG 1'!$D$17),4)</f>
        <v>D17</v>
      </c>
      <c r="D3569" t="b" cm="1">
        <f t="array" aca="1" ref="D3569" ca="1">IF(INDIRECT("'"&amp;A3569&amp;"'!"&amp;B3569)="",FALSE,IF(TRUNC(INDIRECT("'"&amp;A3569&amp;"'!"&amp;B3569))=INDIRECT("'"&amp;A3569&amp;"'!"&amp;B3569),FALSE,TRUE))</f>
        <v>0</v>
      </c>
      <c r="E3569" t="s">
        <v>436</v>
      </c>
      <c r="F3569" t="str">
        <f>INDEX(Lists!I:I,MATCH(Validation!E3569,Lists!G:G,0))</f>
        <v>Error</v>
      </c>
      <c r="G3569" t="str">
        <f>INDEX(Lists!H:H,MATCH(Validation!E3569,Lists!G:G,0))</f>
        <v>Amount must be rounded to the nearest dollar.</v>
      </c>
      <c r="H3569" s="16" t="str">
        <f t="shared" ca="1" si="387"/>
        <v/>
      </c>
      <c r="I3569" s="16" t="str">
        <f t="shared" ca="1" si="388"/>
        <v/>
      </c>
      <c r="J3569" s="17" t="str">
        <f t="shared" ca="1" si="389"/>
        <v/>
      </c>
    </row>
    <row r="3570" spans="1:10" x14ac:dyDescent="0.25">
      <c r="A3570" t="s">
        <v>654</v>
      </c>
      <c r="B3570" t="str">
        <f>ADDRESS(ROW('PAYG 1'!$C$17),COLUMN('PAYG 1'!$C$17),4)</f>
        <v>C17</v>
      </c>
      <c r="C3570" t="str">
        <f>ADDRESS(ROW('PAYG 1'!$D$17),COLUMN('PAYG 1'!$D$17),4)</f>
        <v>D17</v>
      </c>
      <c r="D3570" t="b" cm="1">
        <f t="array" aca="1" ref="D3570" ca="1">IF(INDIRECT("'"&amp;A3570&amp;"'!"&amp;B3570)="",FALSE,IF(TRUNC(INDIRECT("'"&amp;A3570&amp;"'!"&amp;B3570))=INDIRECT("'"&amp;A3570&amp;"'!"&amp;B3570),FALSE,TRUE))</f>
        <v>0</v>
      </c>
      <c r="E3570" t="s">
        <v>436</v>
      </c>
      <c r="F3570" t="str">
        <f>INDEX(Lists!I:I,MATCH(Validation!E3570,Lists!G:G,0))</f>
        <v>Error</v>
      </c>
      <c r="G3570" t="str">
        <f>INDEX(Lists!H:H,MATCH(Validation!E3570,Lists!G:G,0))</f>
        <v>Amount must be rounded to the nearest dollar.</v>
      </c>
      <c r="H3570" s="16" t="str">
        <f t="shared" ca="1" si="387"/>
        <v/>
      </c>
      <c r="I3570" s="16" t="str">
        <f t="shared" ca="1" si="388"/>
        <v/>
      </c>
      <c r="J3570" s="17" t="str">
        <f t="shared" ca="1" si="389"/>
        <v/>
      </c>
    </row>
    <row r="3571" spans="1:10" x14ac:dyDescent="0.25">
      <c r="A3571" t="s">
        <v>655</v>
      </c>
      <c r="B3571" t="str">
        <f>ADDRESS(ROW('PAYG 1'!$C$17),COLUMN('PAYG 1'!$C$17),4)</f>
        <v>C17</v>
      </c>
      <c r="C3571" t="str">
        <f>ADDRESS(ROW('PAYG 1'!$D$17),COLUMN('PAYG 1'!$D$17),4)</f>
        <v>D17</v>
      </c>
      <c r="D3571" t="b" cm="1">
        <f t="array" aca="1" ref="D3571" ca="1">IF(INDIRECT("'"&amp;A3571&amp;"'!"&amp;B3571)="",FALSE,IF(TRUNC(INDIRECT("'"&amp;A3571&amp;"'!"&amp;B3571))=INDIRECT("'"&amp;A3571&amp;"'!"&amp;B3571),FALSE,TRUE))</f>
        <v>0</v>
      </c>
      <c r="E3571" t="s">
        <v>436</v>
      </c>
      <c r="F3571" t="str">
        <f>INDEX(Lists!I:I,MATCH(Validation!E3571,Lists!G:G,0))</f>
        <v>Error</v>
      </c>
      <c r="G3571" t="str">
        <f>INDEX(Lists!H:H,MATCH(Validation!E3571,Lists!G:G,0))</f>
        <v>Amount must be rounded to the nearest dollar.</v>
      </c>
      <c r="H3571" s="16" t="str">
        <f t="shared" ca="1" si="387"/>
        <v/>
      </c>
      <c r="I3571" s="16" t="str">
        <f t="shared" ca="1" si="388"/>
        <v/>
      </c>
      <c r="J3571" s="17" t="str">
        <f t="shared" ca="1" si="389"/>
        <v/>
      </c>
    </row>
    <row r="3572" spans="1:10" x14ac:dyDescent="0.25">
      <c r="A3572" t="s">
        <v>656</v>
      </c>
      <c r="B3572" t="str">
        <f>ADDRESS(ROW('PAYG 1'!$C$17),COLUMN('PAYG 1'!$C$17),4)</f>
        <v>C17</v>
      </c>
      <c r="C3572" t="str">
        <f>ADDRESS(ROW('PAYG 1'!$D$17),COLUMN('PAYG 1'!$D$17),4)</f>
        <v>D17</v>
      </c>
      <c r="D3572" t="b" cm="1">
        <f t="array" aca="1" ref="D3572" ca="1">IF(INDIRECT("'"&amp;A3572&amp;"'!"&amp;B3572)="",FALSE,IF(TRUNC(INDIRECT("'"&amp;A3572&amp;"'!"&amp;B3572))=INDIRECT("'"&amp;A3572&amp;"'!"&amp;B3572),FALSE,TRUE))</f>
        <v>0</v>
      </c>
      <c r="E3572" t="s">
        <v>436</v>
      </c>
      <c r="F3572" t="str">
        <f>INDEX(Lists!I:I,MATCH(Validation!E3572,Lists!G:G,0))</f>
        <v>Error</v>
      </c>
      <c r="G3572" t="str">
        <f>INDEX(Lists!H:H,MATCH(Validation!E3572,Lists!G:G,0))</f>
        <v>Amount must be rounded to the nearest dollar.</v>
      </c>
      <c r="H3572" s="16" t="str">
        <f t="shared" ca="1" si="387"/>
        <v/>
      </c>
      <c r="I3572" s="16" t="str">
        <f t="shared" ca="1" si="388"/>
        <v/>
      </c>
      <c r="J3572" s="17" t="str">
        <f t="shared" ca="1" si="389"/>
        <v/>
      </c>
    </row>
    <row r="3573" spans="1:10" x14ac:dyDescent="0.25">
      <c r="A3573" t="s">
        <v>657</v>
      </c>
      <c r="B3573" t="str">
        <f>ADDRESS(ROW('PAYG 1'!$C$17),COLUMN('PAYG 1'!$C$17),4)</f>
        <v>C17</v>
      </c>
      <c r="C3573" t="str">
        <f>ADDRESS(ROW('PAYG 1'!$D$17),COLUMN('PAYG 1'!$D$17),4)</f>
        <v>D17</v>
      </c>
      <c r="D3573" t="b" cm="1">
        <f t="array" aca="1" ref="D3573" ca="1">IF(INDIRECT("'"&amp;A3573&amp;"'!"&amp;B3573)="",FALSE,IF(TRUNC(INDIRECT("'"&amp;A3573&amp;"'!"&amp;B3573))=INDIRECT("'"&amp;A3573&amp;"'!"&amp;B3573),FALSE,TRUE))</f>
        <v>0</v>
      </c>
      <c r="E3573" t="s">
        <v>436</v>
      </c>
      <c r="F3573" t="str">
        <f>INDEX(Lists!I:I,MATCH(Validation!E3573,Lists!G:G,0))</f>
        <v>Error</v>
      </c>
      <c r="G3573" t="str">
        <f>INDEX(Lists!H:H,MATCH(Validation!E3573,Lists!G:G,0))</f>
        <v>Amount must be rounded to the nearest dollar.</v>
      </c>
      <c r="H3573" s="16" t="str">
        <f t="shared" ca="1" si="387"/>
        <v/>
      </c>
      <c r="I3573" s="16" t="str">
        <f t="shared" ca="1" si="388"/>
        <v/>
      </c>
      <c r="J3573" s="17" t="str">
        <f t="shared" ca="1" si="389"/>
        <v/>
      </c>
    </row>
    <row r="3574" spans="1:10" x14ac:dyDescent="0.25">
      <c r="A3574" t="s">
        <v>658</v>
      </c>
      <c r="B3574" t="str">
        <f>ADDRESS(ROW('PAYG 1'!$C$17),COLUMN('PAYG 1'!$C$17),4)</f>
        <v>C17</v>
      </c>
      <c r="C3574" t="str">
        <f>ADDRESS(ROW('PAYG 1'!$D$17),COLUMN('PAYG 1'!$D$17),4)</f>
        <v>D17</v>
      </c>
      <c r="D3574" t="b" cm="1">
        <f t="array" aca="1" ref="D3574" ca="1">IF(INDIRECT("'"&amp;A3574&amp;"'!"&amp;B3574)="",FALSE,IF(TRUNC(INDIRECT("'"&amp;A3574&amp;"'!"&amp;B3574))=INDIRECT("'"&amp;A3574&amp;"'!"&amp;B3574),FALSE,TRUE))</f>
        <v>0</v>
      </c>
      <c r="E3574" t="s">
        <v>436</v>
      </c>
      <c r="F3574" t="str">
        <f>INDEX(Lists!I:I,MATCH(Validation!E3574,Lists!G:G,0))</f>
        <v>Error</v>
      </c>
      <c r="G3574" t="str">
        <f>INDEX(Lists!H:H,MATCH(Validation!E3574,Lists!G:G,0))</f>
        <v>Amount must be rounded to the nearest dollar.</v>
      </c>
      <c r="H3574" s="16" t="str">
        <f t="shared" ca="1" si="387"/>
        <v/>
      </c>
      <c r="I3574" s="16" t="str">
        <f t="shared" ca="1" si="388"/>
        <v/>
      </c>
      <c r="J3574" s="17" t="str">
        <f t="shared" ca="1" si="389"/>
        <v/>
      </c>
    </row>
    <row r="3575" spans="1:10" x14ac:dyDescent="0.25">
      <c r="A3575" t="s">
        <v>659</v>
      </c>
      <c r="B3575" t="str">
        <f>ADDRESS(ROW('PAYG 1'!$C$17),COLUMN('PAYG 1'!$C$17),4)</f>
        <v>C17</v>
      </c>
      <c r="C3575" t="str">
        <f>ADDRESS(ROW('PAYG 1'!$D$17),COLUMN('PAYG 1'!$D$17),4)</f>
        <v>D17</v>
      </c>
      <c r="D3575" t="b" cm="1">
        <f t="array" aca="1" ref="D3575" ca="1">IF(INDIRECT("'"&amp;A3575&amp;"'!"&amp;B3575)="",FALSE,IF(TRUNC(INDIRECT("'"&amp;A3575&amp;"'!"&amp;B3575))=INDIRECT("'"&amp;A3575&amp;"'!"&amp;B3575),FALSE,TRUE))</f>
        <v>0</v>
      </c>
      <c r="E3575" t="s">
        <v>436</v>
      </c>
      <c r="F3575" t="str">
        <f>INDEX(Lists!I:I,MATCH(Validation!E3575,Lists!G:G,0))</f>
        <v>Error</v>
      </c>
      <c r="G3575" t="str">
        <f>INDEX(Lists!H:H,MATCH(Validation!E3575,Lists!G:G,0))</f>
        <v>Amount must be rounded to the nearest dollar.</v>
      </c>
      <c r="H3575" s="16" t="str">
        <f t="shared" ca="1" si="387"/>
        <v/>
      </c>
      <c r="I3575" s="16" t="str">
        <f t="shared" ca="1" si="388"/>
        <v/>
      </c>
      <c r="J3575" s="17" t="str">
        <f t="shared" ca="1" si="389"/>
        <v/>
      </c>
    </row>
    <row r="3576" spans="1:10" x14ac:dyDescent="0.25">
      <c r="A3576" t="s">
        <v>660</v>
      </c>
      <c r="B3576" t="str">
        <f>ADDRESS(ROW('PAYG 1'!$C$17),COLUMN('PAYG 1'!$C$17),4)</f>
        <v>C17</v>
      </c>
      <c r="C3576" t="str">
        <f>ADDRESS(ROW('PAYG 1'!$D$17),COLUMN('PAYG 1'!$D$17),4)</f>
        <v>D17</v>
      </c>
      <c r="D3576" t="b" cm="1">
        <f t="array" aca="1" ref="D3576" ca="1">IF(INDIRECT("'"&amp;A3576&amp;"'!"&amp;B3576)="",FALSE,IF(TRUNC(INDIRECT("'"&amp;A3576&amp;"'!"&amp;B3576))=INDIRECT("'"&amp;A3576&amp;"'!"&amp;B3576),FALSE,TRUE))</f>
        <v>0</v>
      </c>
      <c r="E3576" t="s">
        <v>436</v>
      </c>
      <c r="F3576" t="str">
        <f>INDEX(Lists!I:I,MATCH(Validation!E3576,Lists!G:G,0))</f>
        <v>Error</v>
      </c>
      <c r="G3576" t="str">
        <f>INDEX(Lists!H:H,MATCH(Validation!E3576,Lists!G:G,0))</f>
        <v>Amount must be rounded to the nearest dollar.</v>
      </c>
      <c r="H3576" s="16" t="str">
        <f t="shared" ca="1" si="387"/>
        <v/>
      </c>
      <c r="I3576" s="16" t="str">
        <f t="shared" ca="1" si="388"/>
        <v/>
      </c>
      <c r="J3576" s="17" t="str">
        <f t="shared" ca="1" si="389"/>
        <v/>
      </c>
    </row>
    <row r="3577" spans="1:10" x14ac:dyDescent="0.25">
      <c r="A3577" t="s">
        <v>661</v>
      </c>
      <c r="B3577" t="str">
        <f>ADDRESS(ROW('PAYG 1'!$C$17),COLUMN('PAYG 1'!$C$17),4)</f>
        <v>C17</v>
      </c>
      <c r="C3577" t="str">
        <f>ADDRESS(ROW('PAYG 1'!$D$17),COLUMN('PAYG 1'!$D$17),4)</f>
        <v>D17</v>
      </c>
      <c r="D3577" t="b" cm="1">
        <f t="array" aca="1" ref="D3577" ca="1">IF(INDIRECT("'"&amp;A3577&amp;"'!"&amp;B3577)="",FALSE,IF(TRUNC(INDIRECT("'"&amp;A3577&amp;"'!"&amp;B3577))=INDIRECT("'"&amp;A3577&amp;"'!"&amp;B3577),FALSE,TRUE))</f>
        <v>0</v>
      </c>
      <c r="E3577" t="s">
        <v>436</v>
      </c>
      <c r="F3577" t="str">
        <f>INDEX(Lists!I:I,MATCH(Validation!E3577,Lists!G:G,0))</f>
        <v>Error</v>
      </c>
      <c r="G3577" t="str">
        <f>INDEX(Lists!H:H,MATCH(Validation!E3577,Lists!G:G,0))</f>
        <v>Amount must be rounded to the nearest dollar.</v>
      </c>
      <c r="H3577" s="16" t="str">
        <f t="shared" ca="1" si="387"/>
        <v/>
      </c>
      <c r="I3577" s="16" t="str">
        <f t="shared" ca="1" si="388"/>
        <v/>
      </c>
      <c r="J3577" s="17" t="str">
        <f t="shared" ca="1" si="389"/>
        <v/>
      </c>
    </row>
    <row r="3578" spans="1:10" x14ac:dyDescent="0.25">
      <c r="A3578" t="s">
        <v>662</v>
      </c>
      <c r="B3578" t="str">
        <f>ADDRESS(ROW('PAYG 1'!$C$17),COLUMN('PAYG 1'!$C$17),4)</f>
        <v>C17</v>
      </c>
      <c r="C3578" t="str">
        <f>ADDRESS(ROW('PAYG 1'!$D$17),COLUMN('PAYG 1'!$D$17),4)</f>
        <v>D17</v>
      </c>
      <c r="D3578" t="b" cm="1">
        <f t="array" aca="1" ref="D3578" ca="1">IF(INDIRECT("'"&amp;A3578&amp;"'!"&amp;B3578)="",FALSE,IF(TRUNC(INDIRECT("'"&amp;A3578&amp;"'!"&amp;B3578))=INDIRECT("'"&amp;A3578&amp;"'!"&amp;B3578),FALSE,TRUE))</f>
        <v>0</v>
      </c>
      <c r="E3578" t="s">
        <v>436</v>
      </c>
      <c r="F3578" t="str">
        <f>INDEX(Lists!I:I,MATCH(Validation!E3578,Lists!G:G,0))</f>
        <v>Error</v>
      </c>
      <c r="G3578" t="str">
        <f>INDEX(Lists!H:H,MATCH(Validation!E3578,Lists!G:G,0))</f>
        <v>Amount must be rounded to the nearest dollar.</v>
      </c>
      <c r="H3578" s="16" t="str">
        <f t="shared" ca="1" si="387"/>
        <v/>
      </c>
      <c r="I3578" s="16" t="str">
        <f t="shared" ca="1" si="388"/>
        <v/>
      </c>
      <c r="J3578" s="17" t="str">
        <f t="shared" ca="1" si="389"/>
        <v/>
      </c>
    </row>
    <row r="3579" spans="1:10" x14ac:dyDescent="0.25">
      <c r="A3579" t="s">
        <v>663</v>
      </c>
      <c r="B3579" t="str">
        <f>ADDRESS(ROW('PAYG 1'!$C$17),COLUMN('PAYG 1'!$C$17),4)</f>
        <v>C17</v>
      </c>
      <c r="C3579" t="str">
        <f>ADDRESS(ROW('PAYG 1'!$D$17),COLUMN('PAYG 1'!$D$17),4)</f>
        <v>D17</v>
      </c>
      <c r="D3579" t="b" cm="1">
        <f t="array" aca="1" ref="D3579" ca="1">IF(INDIRECT("'"&amp;A3579&amp;"'!"&amp;B3579)="",FALSE,IF(TRUNC(INDIRECT("'"&amp;A3579&amp;"'!"&amp;B3579))=INDIRECT("'"&amp;A3579&amp;"'!"&amp;B3579),FALSE,TRUE))</f>
        <v>0</v>
      </c>
      <c r="E3579" t="s">
        <v>436</v>
      </c>
      <c r="F3579" t="str">
        <f>INDEX(Lists!I:I,MATCH(Validation!E3579,Lists!G:G,0))</f>
        <v>Error</v>
      </c>
      <c r="G3579" t="str">
        <f>INDEX(Lists!H:H,MATCH(Validation!E3579,Lists!G:G,0))</f>
        <v>Amount must be rounded to the nearest dollar.</v>
      </c>
      <c r="H3579" s="16" t="str">
        <f t="shared" ca="1" si="387"/>
        <v/>
      </c>
      <c r="I3579" s="16" t="str">
        <f t="shared" ca="1" si="388"/>
        <v/>
      </c>
      <c r="J3579" s="17" t="str">
        <f t="shared" ca="1" si="389"/>
        <v/>
      </c>
    </row>
    <row r="3580" spans="1:10" x14ac:dyDescent="0.25">
      <c r="A3580" t="s">
        <v>664</v>
      </c>
      <c r="B3580" t="str">
        <f>ADDRESS(ROW('PAYG 1'!$C$17),COLUMN('PAYG 1'!$C$17),4)</f>
        <v>C17</v>
      </c>
      <c r="C3580" t="str">
        <f>ADDRESS(ROW('PAYG 1'!$D$17),COLUMN('PAYG 1'!$D$17),4)</f>
        <v>D17</v>
      </c>
      <c r="D3580" t="b" cm="1">
        <f t="array" aca="1" ref="D3580" ca="1">IF(INDIRECT("'"&amp;A3580&amp;"'!"&amp;B3580)="",FALSE,IF(TRUNC(INDIRECT("'"&amp;A3580&amp;"'!"&amp;B3580))=INDIRECT("'"&amp;A3580&amp;"'!"&amp;B3580),FALSE,TRUE))</f>
        <v>0</v>
      </c>
      <c r="E3580" t="s">
        <v>436</v>
      </c>
      <c r="F3580" t="str">
        <f>INDEX(Lists!I:I,MATCH(Validation!E3580,Lists!G:G,0))</f>
        <v>Error</v>
      </c>
      <c r="G3580" t="str">
        <f>INDEX(Lists!H:H,MATCH(Validation!E3580,Lists!G:G,0))</f>
        <v>Amount must be rounded to the nearest dollar.</v>
      </c>
      <c r="H3580" s="16" t="str">
        <f t="shared" ca="1" si="387"/>
        <v/>
      </c>
      <c r="I3580" s="16" t="str">
        <f t="shared" ca="1" si="388"/>
        <v/>
      </c>
      <c r="J3580" s="17" t="str">
        <f t="shared" ca="1" si="389"/>
        <v/>
      </c>
    </row>
    <row r="3581" spans="1:10" x14ac:dyDescent="0.25">
      <c r="A3581" t="s">
        <v>203</v>
      </c>
      <c r="B3581" t="str">
        <f>ADDRESS(ROW('PAYG 1'!$B$18),COLUMN('PAYG 1'!$B$18),4)</f>
        <v>B18</v>
      </c>
      <c r="C3581" t="str">
        <f>ADDRESS(ROW('PAYG 1'!$D$18),COLUMN('PAYG 1'!$D$18),4)</f>
        <v>D18</v>
      </c>
      <c r="D3581" t="b" cm="1">
        <f t="array" aca="1" ref="D3581" ca="1">IF(INDIRECT("'"&amp;A3581&amp;"'!"&amp;B3581)="",FALSE,IF(NOT(ISNUMBER(INDIRECT("'"&amp;A3581&amp;"'!"&amp;B3581))),TRUE,FALSE))</f>
        <v>0</v>
      </c>
      <c r="E3581" t="s">
        <v>435</v>
      </c>
      <c r="F3581" t="str">
        <f>INDEX(Lists!I:I,MATCH(Validation!E3581,Lists!G:G,0))</f>
        <v>Error</v>
      </c>
      <c r="G3581" t="str">
        <f>INDEX(Lists!H:H,MATCH(Validation!E3581,Lists!G:G,0))</f>
        <v>Enter an amount only. Do not enter text or spaces.</v>
      </c>
      <c r="H3581" s="16" t="str">
        <f t="shared" ref="H3581:H3625" ca="1" si="390">IFERROR(IF(OR(NOT(D3581),F3581&lt;&gt;"Error"),"",A3581&amp;CELL("address",INDIRECT(B3581))),"")</f>
        <v/>
      </c>
      <c r="I3581" s="16" t="str">
        <f t="shared" ref="I3581:I3625" ca="1" si="391">IFERROR(IF(NOT(D3581),"",A3581&amp;CELL("address",INDIRECT(C3581))),"")</f>
        <v/>
      </c>
      <c r="J3581" s="17" t="str">
        <f t="shared" ref="J3581:J3625" ca="1" si="392">IFERROR(IF(NOT(D3581),"",A3581),"")</f>
        <v/>
      </c>
    </row>
    <row r="3582" spans="1:10" x14ac:dyDescent="0.25">
      <c r="A3582" t="s">
        <v>651</v>
      </c>
      <c r="B3582" t="str">
        <f>ADDRESS(ROW('PAYG 1'!$B$18),COLUMN('PAYG 1'!$B$18),4)</f>
        <v>B18</v>
      </c>
      <c r="C3582" t="str">
        <f>ADDRESS(ROW('PAYG 1'!$D$18),COLUMN('PAYG 1'!$D$18),4)</f>
        <v>D18</v>
      </c>
      <c r="D3582" t="b" cm="1">
        <f t="array" aca="1" ref="D3582" ca="1">IF(INDIRECT("'"&amp;A3582&amp;"'!"&amp;B3582)="",FALSE,IF(NOT(ISNUMBER(INDIRECT("'"&amp;A3582&amp;"'!"&amp;B3582))),TRUE,FALSE))</f>
        <v>0</v>
      </c>
      <c r="E3582" t="s">
        <v>435</v>
      </c>
      <c r="F3582" t="str">
        <f>INDEX(Lists!I:I,MATCH(Validation!E3582,Lists!G:G,0))</f>
        <v>Error</v>
      </c>
      <c r="G3582" t="str">
        <f>INDEX(Lists!H:H,MATCH(Validation!E3582,Lists!G:G,0))</f>
        <v>Enter an amount only. Do not enter text or spaces.</v>
      </c>
      <c r="H3582" s="16" t="str">
        <f t="shared" ca="1" si="390"/>
        <v/>
      </c>
      <c r="I3582" s="16" t="str">
        <f t="shared" ca="1" si="391"/>
        <v/>
      </c>
      <c r="J3582" s="17" t="str">
        <f t="shared" ca="1" si="392"/>
        <v/>
      </c>
    </row>
    <row r="3583" spans="1:10" x14ac:dyDescent="0.25">
      <c r="A3583" t="s">
        <v>652</v>
      </c>
      <c r="B3583" t="str">
        <f>ADDRESS(ROW('PAYG 1'!$B$18),COLUMN('PAYG 1'!$B$18),4)</f>
        <v>B18</v>
      </c>
      <c r="C3583" t="str">
        <f>ADDRESS(ROW('PAYG 1'!$D$18),COLUMN('PAYG 1'!$D$18),4)</f>
        <v>D18</v>
      </c>
      <c r="D3583" t="b" cm="1">
        <f t="array" aca="1" ref="D3583" ca="1">IF(INDIRECT("'"&amp;A3583&amp;"'!"&amp;B3583)="",FALSE,IF(NOT(ISNUMBER(INDIRECT("'"&amp;A3583&amp;"'!"&amp;B3583))),TRUE,FALSE))</f>
        <v>0</v>
      </c>
      <c r="E3583" t="s">
        <v>435</v>
      </c>
      <c r="F3583" t="str">
        <f>INDEX(Lists!I:I,MATCH(Validation!E3583,Lists!G:G,0))</f>
        <v>Error</v>
      </c>
      <c r="G3583" t="str">
        <f>INDEX(Lists!H:H,MATCH(Validation!E3583,Lists!G:G,0))</f>
        <v>Enter an amount only. Do not enter text or spaces.</v>
      </c>
      <c r="H3583" s="16" t="str">
        <f t="shared" ca="1" si="390"/>
        <v/>
      </c>
      <c r="I3583" s="16" t="str">
        <f t="shared" ca="1" si="391"/>
        <v/>
      </c>
      <c r="J3583" s="17" t="str">
        <f t="shared" ca="1" si="392"/>
        <v/>
      </c>
    </row>
    <row r="3584" spans="1:10" x14ac:dyDescent="0.25">
      <c r="A3584" t="s">
        <v>653</v>
      </c>
      <c r="B3584" t="str">
        <f>ADDRESS(ROW('PAYG 1'!$B$18),COLUMN('PAYG 1'!$B$18),4)</f>
        <v>B18</v>
      </c>
      <c r="C3584" t="str">
        <f>ADDRESS(ROW('PAYG 1'!$D$18),COLUMN('PAYG 1'!$D$18),4)</f>
        <v>D18</v>
      </c>
      <c r="D3584" t="b" cm="1">
        <f t="array" aca="1" ref="D3584" ca="1">IF(INDIRECT("'"&amp;A3584&amp;"'!"&amp;B3584)="",FALSE,IF(NOT(ISNUMBER(INDIRECT("'"&amp;A3584&amp;"'!"&amp;B3584))),TRUE,FALSE))</f>
        <v>0</v>
      </c>
      <c r="E3584" t="s">
        <v>435</v>
      </c>
      <c r="F3584" t="str">
        <f>INDEX(Lists!I:I,MATCH(Validation!E3584,Lists!G:G,0))</f>
        <v>Error</v>
      </c>
      <c r="G3584" t="str">
        <f>INDEX(Lists!H:H,MATCH(Validation!E3584,Lists!G:G,0))</f>
        <v>Enter an amount only. Do not enter text or spaces.</v>
      </c>
      <c r="H3584" s="16" t="str">
        <f t="shared" ca="1" si="390"/>
        <v/>
      </c>
      <c r="I3584" s="16" t="str">
        <f t="shared" ca="1" si="391"/>
        <v/>
      </c>
      <c r="J3584" s="17" t="str">
        <f t="shared" ca="1" si="392"/>
        <v/>
      </c>
    </row>
    <row r="3585" spans="1:10" x14ac:dyDescent="0.25">
      <c r="A3585" t="s">
        <v>654</v>
      </c>
      <c r="B3585" t="str">
        <f>ADDRESS(ROW('PAYG 1'!$B$18),COLUMN('PAYG 1'!$B$18),4)</f>
        <v>B18</v>
      </c>
      <c r="C3585" t="str">
        <f>ADDRESS(ROW('PAYG 1'!$D$18),COLUMN('PAYG 1'!$D$18),4)</f>
        <v>D18</v>
      </c>
      <c r="D3585" t="b" cm="1">
        <f t="array" aca="1" ref="D3585" ca="1">IF(INDIRECT("'"&amp;A3585&amp;"'!"&amp;B3585)="",FALSE,IF(NOT(ISNUMBER(INDIRECT("'"&amp;A3585&amp;"'!"&amp;B3585))),TRUE,FALSE))</f>
        <v>0</v>
      </c>
      <c r="E3585" t="s">
        <v>435</v>
      </c>
      <c r="F3585" t="str">
        <f>INDEX(Lists!I:I,MATCH(Validation!E3585,Lists!G:G,0))</f>
        <v>Error</v>
      </c>
      <c r="G3585" t="str">
        <f>INDEX(Lists!H:H,MATCH(Validation!E3585,Lists!G:G,0))</f>
        <v>Enter an amount only. Do not enter text or spaces.</v>
      </c>
      <c r="H3585" s="16" t="str">
        <f t="shared" ca="1" si="390"/>
        <v/>
      </c>
      <c r="I3585" s="16" t="str">
        <f t="shared" ca="1" si="391"/>
        <v/>
      </c>
      <c r="J3585" s="17" t="str">
        <f t="shared" ca="1" si="392"/>
        <v/>
      </c>
    </row>
    <row r="3586" spans="1:10" x14ac:dyDescent="0.25">
      <c r="A3586" t="s">
        <v>655</v>
      </c>
      <c r="B3586" t="str">
        <f>ADDRESS(ROW('PAYG 1'!$B$18),COLUMN('PAYG 1'!$B$18),4)</f>
        <v>B18</v>
      </c>
      <c r="C3586" t="str">
        <f>ADDRESS(ROW('PAYG 1'!$D$18),COLUMN('PAYG 1'!$D$18),4)</f>
        <v>D18</v>
      </c>
      <c r="D3586" t="b" cm="1">
        <f t="array" aca="1" ref="D3586" ca="1">IF(INDIRECT("'"&amp;A3586&amp;"'!"&amp;B3586)="",FALSE,IF(NOT(ISNUMBER(INDIRECT("'"&amp;A3586&amp;"'!"&amp;B3586))),TRUE,FALSE))</f>
        <v>0</v>
      </c>
      <c r="E3586" t="s">
        <v>435</v>
      </c>
      <c r="F3586" t="str">
        <f>INDEX(Lists!I:I,MATCH(Validation!E3586,Lists!G:G,0))</f>
        <v>Error</v>
      </c>
      <c r="G3586" t="str">
        <f>INDEX(Lists!H:H,MATCH(Validation!E3586,Lists!G:G,0))</f>
        <v>Enter an amount only. Do not enter text or spaces.</v>
      </c>
      <c r="H3586" s="16" t="str">
        <f t="shared" ca="1" si="390"/>
        <v/>
      </c>
      <c r="I3586" s="16" t="str">
        <f t="shared" ca="1" si="391"/>
        <v/>
      </c>
      <c r="J3586" s="17" t="str">
        <f t="shared" ca="1" si="392"/>
        <v/>
      </c>
    </row>
    <row r="3587" spans="1:10" x14ac:dyDescent="0.25">
      <c r="A3587" t="s">
        <v>656</v>
      </c>
      <c r="B3587" t="str">
        <f>ADDRESS(ROW('PAYG 1'!$B$18),COLUMN('PAYG 1'!$B$18),4)</f>
        <v>B18</v>
      </c>
      <c r="C3587" t="str">
        <f>ADDRESS(ROW('PAYG 1'!$D$18),COLUMN('PAYG 1'!$D$18),4)</f>
        <v>D18</v>
      </c>
      <c r="D3587" t="b" cm="1">
        <f t="array" aca="1" ref="D3587" ca="1">IF(INDIRECT("'"&amp;A3587&amp;"'!"&amp;B3587)="",FALSE,IF(NOT(ISNUMBER(INDIRECT("'"&amp;A3587&amp;"'!"&amp;B3587))),TRUE,FALSE))</f>
        <v>0</v>
      </c>
      <c r="E3587" t="s">
        <v>435</v>
      </c>
      <c r="F3587" t="str">
        <f>INDEX(Lists!I:I,MATCH(Validation!E3587,Lists!G:G,0))</f>
        <v>Error</v>
      </c>
      <c r="G3587" t="str">
        <f>INDEX(Lists!H:H,MATCH(Validation!E3587,Lists!G:G,0))</f>
        <v>Enter an amount only. Do not enter text or spaces.</v>
      </c>
      <c r="H3587" s="16" t="str">
        <f t="shared" ca="1" si="390"/>
        <v/>
      </c>
      <c r="I3587" s="16" t="str">
        <f t="shared" ca="1" si="391"/>
        <v/>
      </c>
      <c r="J3587" s="17" t="str">
        <f t="shared" ca="1" si="392"/>
        <v/>
      </c>
    </row>
    <row r="3588" spans="1:10" x14ac:dyDescent="0.25">
      <c r="A3588" t="s">
        <v>657</v>
      </c>
      <c r="B3588" t="str">
        <f>ADDRESS(ROW('PAYG 1'!$B$18),COLUMN('PAYG 1'!$B$18),4)</f>
        <v>B18</v>
      </c>
      <c r="C3588" t="str">
        <f>ADDRESS(ROW('PAYG 1'!$D$18),COLUMN('PAYG 1'!$D$18),4)</f>
        <v>D18</v>
      </c>
      <c r="D3588" t="b" cm="1">
        <f t="array" aca="1" ref="D3588" ca="1">IF(INDIRECT("'"&amp;A3588&amp;"'!"&amp;B3588)="",FALSE,IF(NOT(ISNUMBER(INDIRECT("'"&amp;A3588&amp;"'!"&amp;B3588))),TRUE,FALSE))</f>
        <v>0</v>
      </c>
      <c r="E3588" t="s">
        <v>435</v>
      </c>
      <c r="F3588" t="str">
        <f>INDEX(Lists!I:I,MATCH(Validation!E3588,Lists!G:G,0))</f>
        <v>Error</v>
      </c>
      <c r="G3588" t="str">
        <f>INDEX(Lists!H:H,MATCH(Validation!E3588,Lists!G:G,0))</f>
        <v>Enter an amount only. Do not enter text or spaces.</v>
      </c>
      <c r="H3588" s="16" t="str">
        <f t="shared" ca="1" si="390"/>
        <v/>
      </c>
      <c r="I3588" s="16" t="str">
        <f t="shared" ca="1" si="391"/>
        <v/>
      </c>
      <c r="J3588" s="17" t="str">
        <f t="shared" ca="1" si="392"/>
        <v/>
      </c>
    </row>
    <row r="3589" spans="1:10" x14ac:dyDescent="0.25">
      <c r="A3589" t="s">
        <v>658</v>
      </c>
      <c r="B3589" t="str">
        <f>ADDRESS(ROW('PAYG 1'!$B$18),COLUMN('PAYG 1'!$B$18),4)</f>
        <v>B18</v>
      </c>
      <c r="C3589" t="str">
        <f>ADDRESS(ROW('PAYG 1'!$D$18),COLUMN('PAYG 1'!$D$18),4)</f>
        <v>D18</v>
      </c>
      <c r="D3589" t="b" cm="1">
        <f t="array" aca="1" ref="D3589" ca="1">IF(INDIRECT("'"&amp;A3589&amp;"'!"&amp;B3589)="",FALSE,IF(NOT(ISNUMBER(INDIRECT("'"&amp;A3589&amp;"'!"&amp;B3589))),TRUE,FALSE))</f>
        <v>0</v>
      </c>
      <c r="E3589" t="s">
        <v>435</v>
      </c>
      <c r="F3589" t="str">
        <f>INDEX(Lists!I:I,MATCH(Validation!E3589,Lists!G:G,0))</f>
        <v>Error</v>
      </c>
      <c r="G3589" t="str">
        <f>INDEX(Lists!H:H,MATCH(Validation!E3589,Lists!G:G,0))</f>
        <v>Enter an amount only. Do not enter text or spaces.</v>
      </c>
      <c r="H3589" s="16" t="str">
        <f t="shared" ca="1" si="390"/>
        <v/>
      </c>
      <c r="I3589" s="16" t="str">
        <f t="shared" ca="1" si="391"/>
        <v/>
      </c>
      <c r="J3589" s="17" t="str">
        <f t="shared" ca="1" si="392"/>
        <v/>
      </c>
    </row>
    <row r="3590" spans="1:10" x14ac:dyDescent="0.25">
      <c r="A3590" t="s">
        <v>659</v>
      </c>
      <c r="B3590" t="str">
        <f>ADDRESS(ROW('PAYG 1'!$B$18),COLUMN('PAYG 1'!$B$18),4)</f>
        <v>B18</v>
      </c>
      <c r="C3590" t="str">
        <f>ADDRESS(ROW('PAYG 1'!$D$18),COLUMN('PAYG 1'!$D$18),4)</f>
        <v>D18</v>
      </c>
      <c r="D3590" t="b" cm="1">
        <f t="array" aca="1" ref="D3590" ca="1">IF(INDIRECT("'"&amp;A3590&amp;"'!"&amp;B3590)="",FALSE,IF(NOT(ISNUMBER(INDIRECT("'"&amp;A3590&amp;"'!"&amp;B3590))),TRUE,FALSE))</f>
        <v>0</v>
      </c>
      <c r="E3590" t="s">
        <v>435</v>
      </c>
      <c r="F3590" t="str">
        <f>INDEX(Lists!I:I,MATCH(Validation!E3590,Lists!G:G,0))</f>
        <v>Error</v>
      </c>
      <c r="G3590" t="str">
        <f>INDEX(Lists!H:H,MATCH(Validation!E3590,Lists!G:G,0))</f>
        <v>Enter an amount only. Do not enter text or spaces.</v>
      </c>
      <c r="H3590" s="16" t="str">
        <f t="shared" ca="1" si="390"/>
        <v/>
      </c>
      <c r="I3590" s="16" t="str">
        <f t="shared" ca="1" si="391"/>
        <v/>
      </c>
      <c r="J3590" s="17" t="str">
        <f t="shared" ca="1" si="392"/>
        <v/>
      </c>
    </row>
    <row r="3591" spans="1:10" x14ac:dyDescent="0.25">
      <c r="A3591" t="s">
        <v>660</v>
      </c>
      <c r="B3591" t="str">
        <f>ADDRESS(ROW('PAYG 1'!$B$18),COLUMN('PAYG 1'!$B$18),4)</f>
        <v>B18</v>
      </c>
      <c r="C3591" t="str">
        <f>ADDRESS(ROW('PAYG 1'!$D$18),COLUMN('PAYG 1'!$D$18),4)</f>
        <v>D18</v>
      </c>
      <c r="D3591" t="b" cm="1">
        <f t="array" aca="1" ref="D3591" ca="1">IF(INDIRECT("'"&amp;A3591&amp;"'!"&amp;B3591)="",FALSE,IF(NOT(ISNUMBER(INDIRECT("'"&amp;A3591&amp;"'!"&amp;B3591))),TRUE,FALSE))</f>
        <v>0</v>
      </c>
      <c r="E3591" t="s">
        <v>435</v>
      </c>
      <c r="F3591" t="str">
        <f>INDEX(Lists!I:I,MATCH(Validation!E3591,Lists!G:G,0))</f>
        <v>Error</v>
      </c>
      <c r="G3591" t="str">
        <f>INDEX(Lists!H:H,MATCH(Validation!E3591,Lists!G:G,0))</f>
        <v>Enter an amount only. Do not enter text or spaces.</v>
      </c>
      <c r="H3591" s="16" t="str">
        <f t="shared" ca="1" si="390"/>
        <v/>
      </c>
      <c r="I3591" s="16" t="str">
        <f t="shared" ca="1" si="391"/>
        <v/>
      </c>
      <c r="J3591" s="17" t="str">
        <f t="shared" ca="1" si="392"/>
        <v/>
      </c>
    </row>
    <row r="3592" spans="1:10" x14ac:dyDescent="0.25">
      <c r="A3592" t="s">
        <v>661</v>
      </c>
      <c r="B3592" t="str">
        <f>ADDRESS(ROW('PAYG 1'!$B$18),COLUMN('PAYG 1'!$B$18),4)</f>
        <v>B18</v>
      </c>
      <c r="C3592" t="str">
        <f>ADDRESS(ROW('PAYG 1'!$D$18),COLUMN('PAYG 1'!$D$18),4)</f>
        <v>D18</v>
      </c>
      <c r="D3592" t="b" cm="1">
        <f t="array" aca="1" ref="D3592" ca="1">IF(INDIRECT("'"&amp;A3592&amp;"'!"&amp;B3592)="",FALSE,IF(NOT(ISNUMBER(INDIRECT("'"&amp;A3592&amp;"'!"&amp;B3592))),TRUE,FALSE))</f>
        <v>0</v>
      </c>
      <c r="E3592" t="s">
        <v>435</v>
      </c>
      <c r="F3592" t="str">
        <f>INDEX(Lists!I:I,MATCH(Validation!E3592,Lists!G:G,0))</f>
        <v>Error</v>
      </c>
      <c r="G3592" t="str">
        <f>INDEX(Lists!H:H,MATCH(Validation!E3592,Lists!G:G,0))</f>
        <v>Enter an amount only. Do not enter text or spaces.</v>
      </c>
      <c r="H3592" s="16" t="str">
        <f t="shared" ca="1" si="390"/>
        <v/>
      </c>
      <c r="I3592" s="16" t="str">
        <f t="shared" ca="1" si="391"/>
        <v/>
      </c>
      <c r="J3592" s="17" t="str">
        <f t="shared" ca="1" si="392"/>
        <v/>
      </c>
    </row>
    <row r="3593" spans="1:10" x14ac:dyDescent="0.25">
      <c r="A3593" t="s">
        <v>662</v>
      </c>
      <c r="B3593" t="str">
        <f>ADDRESS(ROW('PAYG 1'!$B$18),COLUMN('PAYG 1'!$B$18),4)</f>
        <v>B18</v>
      </c>
      <c r="C3593" t="str">
        <f>ADDRESS(ROW('PAYG 1'!$D$18),COLUMN('PAYG 1'!$D$18),4)</f>
        <v>D18</v>
      </c>
      <c r="D3593" t="b" cm="1">
        <f t="array" aca="1" ref="D3593" ca="1">IF(INDIRECT("'"&amp;A3593&amp;"'!"&amp;B3593)="",FALSE,IF(NOT(ISNUMBER(INDIRECT("'"&amp;A3593&amp;"'!"&amp;B3593))),TRUE,FALSE))</f>
        <v>0</v>
      </c>
      <c r="E3593" t="s">
        <v>435</v>
      </c>
      <c r="F3593" t="str">
        <f>INDEX(Lists!I:I,MATCH(Validation!E3593,Lists!G:G,0))</f>
        <v>Error</v>
      </c>
      <c r="G3593" t="str">
        <f>INDEX(Lists!H:H,MATCH(Validation!E3593,Lists!G:G,0))</f>
        <v>Enter an amount only. Do not enter text or spaces.</v>
      </c>
      <c r="H3593" s="16" t="str">
        <f t="shared" ca="1" si="390"/>
        <v/>
      </c>
      <c r="I3593" s="16" t="str">
        <f t="shared" ca="1" si="391"/>
        <v/>
      </c>
      <c r="J3593" s="17" t="str">
        <f t="shared" ca="1" si="392"/>
        <v/>
      </c>
    </row>
    <row r="3594" spans="1:10" x14ac:dyDescent="0.25">
      <c r="A3594" t="s">
        <v>663</v>
      </c>
      <c r="B3594" t="str">
        <f>ADDRESS(ROW('PAYG 1'!$B$18),COLUMN('PAYG 1'!$B$18),4)</f>
        <v>B18</v>
      </c>
      <c r="C3594" t="str">
        <f>ADDRESS(ROW('PAYG 1'!$D$18),COLUMN('PAYG 1'!$D$18),4)</f>
        <v>D18</v>
      </c>
      <c r="D3594" t="b" cm="1">
        <f t="array" aca="1" ref="D3594" ca="1">IF(INDIRECT("'"&amp;A3594&amp;"'!"&amp;B3594)="",FALSE,IF(NOT(ISNUMBER(INDIRECT("'"&amp;A3594&amp;"'!"&amp;B3594))),TRUE,FALSE))</f>
        <v>0</v>
      </c>
      <c r="E3594" t="s">
        <v>435</v>
      </c>
      <c r="F3594" t="str">
        <f>INDEX(Lists!I:I,MATCH(Validation!E3594,Lists!G:G,0))</f>
        <v>Error</v>
      </c>
      <c r="G3594" t="str">
        <f>INDEX(Lists!H:H,MATCH(Validation!E3594,Lists!G:G,0))</f>
        <v>Enter an amount only. Do not enter text or spaces.</v>
      </c>
      <c r="H3594" s="16" t="str">
        <f t="shared" ca="1" si="390"/>
        <v/>
      </c>
      <c r="I3594" s="16" t="str">
        <f t="shared" ca="1" si="391"/>
        <v/>
      </c>
      <c r="J3594" s="17" t="str">
        <f t="shared" ca="1" si="392"/>
        <v/>
      </c>
    </row>
    <row r="3595" spans="1:10" x14ac:dyDescent="0.25">
      <c r="A3595" t="s">
        <v>664</v>
      </c>
      <c r="B3595" t="str">
        <f>ADDRESS(ROW('PAYG 1'!$B$18),COLUMN('PAYG 1'!$B$18),4)</f>
        <v>B18</v>
      </c>
      <c r="C3595" t="str">
        <f>ADDRESS(ROW('PAYG 1'!$D$18),COLUMN('PAYG 1'!$D$18),4)</f>
        <v>D18</v>
      </c>
      <c r="D3595" t="b" cm="1">
        <f t="array" aca="1" ref="D3595" ca="1">IF(INDIRECT("'"&amp;A3595&amp;"'!"&amp;B3595)="",FALSE,IF(NOT(ISNUMBER(INDIRECT("'"&amp;A3595&amp;"'!"&amp;B3595))),TRUE,FALSE))</f>
        <v>0</v>
      </c>
      <c r="E3595" t="s">
        <v>435</v>
      </c>
      <c r="F3595" t="str">
        <f>INDEX(Lists!I:I,MATCH(Validation!E3595,Lists!G:G,0))</f>
        <v>Error</v>
      </c>
      <c r="G3595" t="str">
        <f>INDEX(Lists!H:H,MATCH(Validation!E3595,Lists!G:G,0))</f>
        <v>Enter an amount only. Do not enter text or spaces.</v>
      </c>
      <c r="H3595" s="16" t="str">
        <f t="shared" ca="1" si="390"/>
        <v/>
      </c>
      <c r="I3595" s="16" t="str">
        <f t="shared" ca="1" si="391"/>
        <v/>
      </c>
      <c r="J3595" s="17" t="str">
        <f t="shared" ca="1" si="392"/>
        <v/>
      </c>
    </row>
    <row r="3596" spans="1:10" x14ac:dyDescent="0.25">
      <c r="A3596" t="s">
        <v>203</v>
      </c>
      <c r="B3596" t="str">
        <f>ADDRESS(ROW('PAYG 1'!$B$18),COLUMN('PAYG 1'!$B$18),4)</f>
        <v>B18</v>
      </c>
      <c r="C3596" t="str">
        <f>ADDRESS(ROW('PAYG 1'!$D$18),COLUMN('PAYG 1'!$D$18),4)</f>
        <v>D18</v>
      </c>
      <c r="D3596" t="b" cm="1">
        <f t="array" aca="1" ref="D3596" ca="1">IF(INDIRECT("'"&amp;A3596&amp;"'!"&amp;B3596)="",FALSE,IF(INDIRECT("'"&amp;A3596&amp;"'!"&amp;B3596)&lt;0,TRUE,FALSE))</f>
        <v>0</v>
      </c>
      <c r="E3596" t="s">
        <v>434</v>
      </c>
      <c r="F3596" t="str">
        <f>INDEX(Lists!I:I,MATCH(Validation!E3596,Lists!G:G,0))</f>
        <v>Error</v>
      </c>
      <c r="G3596" t="str">
        <f>INDEX(Lists!H:H,MATCH(Validation!E3596,Lists!G:G,0))</f>
        <v>Amount may not be negative. Enter an amount greater than or equal to zero.</v>
      </c>
      <c r="H3596" s="16" t="str">
        <f t="shared" ca="1" si="390"/>
        <v/>
      </c>
      <c r="I3596" s="16" t="str">
        <f t="shared" ca="1" si="391"/>
        <v/>
      </c>
      <c r="J3596" s="17" t="str">
        <f t="shared" ca="1" si="392"/>
        <v/>
      </c>
    </row>
    <row r="3597" spans="1:10" x14ac:dyDescent="0.25">
      <c r="A3597" t="s">
        <v>651</v>
      </c>
      <c r="B3597" t="str">
        <f>ADDRESS(ROW('PAYG 1'!$B$18),COLUMN('PAYG 1'!$B$18),4)</f>
        <v>B18</v>
      </c>
      <c r="C3597" t="str">
        <f>ADDRESS(ROW('PAYG 1'!$D$18),COLUMN('PAYG 1'!$D$18),4)</f>
        <v>D18</v>
      </c>
      <c r="D3597" t="b" cm="1">
        <f t="array" aca="1" ref="D3597" ca="1">IF(INDIRECT("'"&amp;A3597&amp;"'!"&amp;B3597)="",FALSE,IF(INDIRECT("'"&amp;A3597&amp;"'!"&amp;B3597)&lt;0,TRUE,FALSE))</f>
        <v>0</v>
      </c>
      <c r="E3597" t="s">
        <v>434</v>
      </c>
      <c r="F3597" t="str">
        <f>INDEX(Lists!I:I,MATCH(Validation!E3597,Lists!G:G,0))</f>
        <v>Error</v>
      </c>
      <c r="G3597" t="str">
        <f>INDEX(Lists!H:H,MATCH(Validation!E3597,Lists!G:G,0))</f>
        <v>Amount may not be negative. Enter an amount greater than or equal to zero.</v>
      </c>
      <c r="H3597" s="16" t="str">
        <f t="shared" ca="1" si="390"/>
        <v/>
      </c>
      <c r="I3597" s="16" t="str">
        <f t="shared" ca="1" si="391"/>
        <v/>
      </c>
      <c r="J3597" s="17" t="str">
        <f t="shared" ca="1" si="392"/>
        <v/>
      </c>
    </row>
    <row r="3598" spans="1:10" x14ac:dyDescent="0.25">
      <c r="A3598" t="s">
        <v>652</v>
      </c>
      <c r="B3598" t="str">
        <f>ADDRESS(ROW('PAYG 1'!$B$18),COLUMN('PAYG 1'!$B$18),4)</f>
        <v>B18</v>
      </c>
      <c r="C3598" t="str">
        <f>ADDRESS(ROW('PAYG 1'!$D$18),COLUMN('PAYG 1'!$D$18),4)</f>
        <v>D18</v>
      </c>
      <c r="D3598" t="b" cm="1">
        <f t="array" aca="1" ref="D3598" ca="1">IF(INDIRECT("'"&amp;A3598&amp;"'!"&amp;B3598)="",FALSE,IF(INDIRECT("'"&amp;A3598&amp;"'!"&amp;B3598)&lt;0,TRUE,FALSE))</f>
        <v>0</v>
      </c>
      <c r="E3598" t="s">
        <v>434</v>
      </c>
      <c r="F3598" t="str">
        <f>INDEX(Lists!I:I,MATCH(Validation!E3598,Lists!G:G,0))</f>
        <v>Error</v>
      </c>
      <c r="G3598" t="str">
        <f>INDEX(Lists!H:H,MATCH(Validation!E3598,Lists!G:G,0))</f>
        <v>Amount may not be negative. Enter an amount greater than or equal to zero.</v>
      </c>
      <c r="H3598" s="16" t="str">
        <f t="shared" ca="1" si="390"/>
        <v/>
      </c>
      <c r="I3598" s="16" t="str">
        <f t="shared" ca="1" si="391"/>
        <v/>
      </c>
      <c r="J3598" s="17" t="str">
        <f t="shared" ca="1" si="392"/>
        <v/>
      </c>
    </row>
    <row r="3599" spans="1:10" x14ac:dyDescent="0.25">
      <c r="A3599" t="s">
        <v>653</v>
      </c>
      <c r="B3599" t="str">
        <f>ADDRESS(ROW('PAYG 1'!$B$18),COLUMN('PAYG 1'!$B$18),4)</f>
        <v>B18</v>
      </c>
      <c r="C3599" t="str">
        <f>ADDRESS(ROW('PAYG 1'!$D$18),COLUMN('PAYG 1'!$D$18),4)</f>
        <v>D18</v>
      </c>
      <c r="D3599" t="b" cm="1">
        <f t="array" aca="1" ref="D3599" ca="1">IF(INDIRECT("'"&amp;A3599&amp;"'!"&amp;B3599)="",FALSE,IF(INDIRECT("'"&amp;A3599&amp;"'!"&amp;B3599)&lt;0,TRUE,FALSE))</f>
        <v>0</v>
      </c>
      <c r="E3599" t="s">
        <v>434</v>
      </c>
      <c r="F3599" t="str">
        <f>INDEX(Lists!I:I,MATCH(Validation!E3599,Lists!G:G,0))</f>
        <v>Error</v>
      </c>
      <c r="G3599" t="str">
        <f>INDEX(Lists!H:H,MATCH(Validation!E3599,Lists!G:G,0))</f>
        <v>Amount may not be negative. Enter an amount greater than or equal to zero.</v>
      </c>
      <c r="H3599" s="16" t="str">
        <f t="shared" ca="1" si="390"/>
        <v/>
      </c>
      <c r="I3599" s="16" t="str">
        <f t="shared" ca="1" si="391"/>
        <v/>
      </c>
      <c r="J3599" s="17" t="str">
        <f t="shared" ca="1" si="392"/>
        <v/>
      </c>
    </row>
    <row r="3600" spans="1:10" x14ac:dyDescent="0.25">
      <c r="A3600" t="s">
        <v>654</v>
      </c>
      <c r="B3600" t="str">
        <f>ADDRESS(ROW('PAYG 1'!$B$18),COLUMN('PAYG 1'!$B$18),4)</f>
        <v>B18</v>
      </c>
      <c r="C3600" t="str">
        <f>ADDRESS(ROW('PAYG 1'!$D$18),COLUMN('PAYG 1'!$D$18),4)</f>
        <v>D18</v>
      </c>
      <c r="D3600" t="b" cm="1">
        <f t="array" aca="1" ref="D3600" ca="1">IF(INDIRECT("'"&amp;A3600&amp;"'!"&amp;B3600)="",FALSE,IF(INDIRECT("'"&amp;A3600&amp;"'!"&amp;B3600)&lt;0,TRUE,FALSE))</f>
        <v>0</v>
      </c>
      <c r="E3600" t="s">
        <v>434</v>
      </c>
      <c r="F3600" t="str">
        <f>INDEX(Lists!I:I,MATCH(Validation!E3600,Lists!G:G,0))</f>
        <v>Error</v>
      </c>
      <c r="G3600" t="str">
        <f>INDEX(Lists!H:H,MATCH(Validation!E3600,Lists!G:G,0))</f>
        <v>Amount may not be negative. Enter an amount greater than or equal to zero.</v>
      </c>
      <c r="H3600" s="16" t="str">
        <f t="shared" ca="1" si="390"/>
        <v/>
      </c>
      <c r="I3600" s="16" t="str">
        <f t="shared" ca="1" si="391"/>
        <v/>
      </c>
      <c r="J3600" s="17" t="str">
        <f t="shared" ca="1" si="392"/>
        <v/>
      </c>
    </row>
    <row r="3601" spans="1:10" x14ac:dyDescent="0.25">
      <c r="A3601" t="s">
        <v>655</v>
      </c>
      <c r="B3601" t="str">
        <f>ADDRESS(ROW('PAYG 1'!$B$18),COLUMN('PAYG 1'!$B$18),4)</f>
        <v>B18</v>
      </c>
      <c r="C3601" t="str">
        <f>ADDRESS(ROW('PAYG 1'!$D$18),COLUMN('PAYG 1'!$D$18),4)</f>
        <v>D18</v>
      </c>
      <c r="D3601" t="b" cm="1">
        <f t="array" aca="1" ref="D3601" ca="1">IF(INDIRECT("'"&amp;A3601&amp;"'!"&amp;B3601)="",FALSE,IF(INDIRECT("'"&amp;A3601&amp;"'!"&amp;B3601)&lt;0,TRUE,FALSE))</f>
        <v>0</v>
      </c>
      <c r="E3601" t="s">
        <v>434</v>
      </c>
      <c r="F3601" t="str">
        <f>INDEX(Lists!I:I,MATCH(Validation!E3601,Lists!G:G,0))</f>
        <v>Error</v>
      </c>
      <c r="G3601" t="str">
        <f>INDEX(Lists!H:H,MATCH(Validation!E3601,Lists!G:G,0))</f>
        <v>Amount may not be negative. Enter an amount greater than or equal to zero.</v>
      </c>
      <c r="H3601" s="16" t="str">
        <f t="shared" ca="1" si="390"/>
        <v/>
      </c>
      <c r="I3601" s="16" t="str">
        <f t="shared" ca="1" si="391"/>
        <v/>
      </c>
      <c r="J3601" s="17" t="str">
        <f t="shared" ca="1" si="392"/>
        <v/>
      </c>
    </row>
    <row r="3602" spans="1:10" x14ac:dyDescent="0.25">
      <c r="A3602" t="s">
        <v>656</v>
      </c>
      <c r="B3602" t="str">
        <f>ADDRESS(ROW('PAYG 1'!$B$18),COLUMN('PAYG 1'!$B$18),4)</f>
        <v>B18</v>
      </c>
      <c r="C3602" t="str">
        <f>ADDRESS(ROW('PAYG 1'!$D$18),COLUMN('PAYG 1'!$D$18),4)</f>
        <v>D18</v>
      </c>
      <c r="D3602" t="b" cm="1">
        <f t="array" aca="1" ref="D3602" ca="1">IF(INDIRECT("'"&amp;A3602&amp;"'!"&amp;B3602)="",FALSE,IF(INDIRECT("'"&amp;A3602&amp;"'!"&amp;B3602)&lt;0,TRUE,FALSE))</f>
        <v>0</v>
      </c>
      <c r="E3602" t="s">
        <v>434</v>
      </c>
      <c r="F3602" t="str">
        <f>INDEX(Lists!I:I,MATCH(Validation!E3602,Lists!G:G,0))</f>
        <v>Error</v>
      </c>
      <c r="G3602" t="str">
        <f>INDEX(Lists!H:H,MATCH(Validation!E3602,Lists!G:G,0))</f>
        <v>Amount may not be negative. Enter an amount greater than or equal to zero.</v>
      </c>
      <c r="H3602" s="16" t="str">
        <f t="shared" ca="1" si="390"/>
        <v/>
      </c>
      <c r="I3602" s="16" t="str">
        <f t="shared" ca="1" si="391"/>
        <v/>
      </c>
      <c r="J3602" s="17" t="str">
        <f t="shared" ca="1" si="392"/>
        <v/>
      </c>
    </row>
    <row r="3603" spans="1:10" x14ac:dyDescent="0.25">
      <c r="A3603" t="s">
        <v>657</v>
      </c>
      <c r="B3603" t="str">
        <f>ADDRESS(ROW('PAYG 1'!$B$18),COLUMN('PAYG 1'!$B$18),4)</f>
        <v>B18</v>
      </c>
      <c r="C3603" t="str">
        <f>ADDRESS(ROW('PAYG 1'!$D$18),COLUMN('PAYG 1'!$D$18),4)</f>
        <v>D18</v>
      </c>
      <c r="D3603" t="b" cm="1">
        <f t="array" aca="1" ref="D3603" ca="1">IF(INDIRECT("'"&amp;A3603&amp;"'!"&amp;B3603)="",FALSE,IF(INDIRECT("'"&amp;A3603&amp;"'!"&amp;B3603)&lt;0,TRUE,FALSE))</f>
        <v>0</v>
      </c>
      <c r="E3603" t="s">
        <v>434</v>
      </c>
      <c r="F3603" t="str">
        <f>INDEX(Lists!I:I,MATCH(Validation!E3603,Lists!G:G,0))</f>
        <v>Error</v>
      </c>
      <c r="G3603" t="str">
        <f>INDEX(Lists!H:H,MATCH(Validation!E3603,Lists!G:G,0))</f>
        <v>Amount may not be negative. Enter an amount greater than or equal to zero.</v>
      </c>
      <c r="H3603" s="16" t="str">
        <f t="shared" ca="1" si="390"/>
        <v/>
      </c>
      <c r="I3603" s="16" t="str">
        <f t="shared" ca="1" si="391"/>
        <v/>
      </c>
      <c r="J3603" s="17" t="str">
        <f t="shared" ca="1" si="392"/>
        <v/>
      </c>
    </row>
    <row r="3604" spans="1:10" x14ac:dyDescent="0.25">
      <c r="A3604" t="s">
        <v>658</v>
      </c>
      <c r="B3604" t="str">
        <f>ADDRESS(ROW('PAYG 1'!$B$18),COLUMN('PAYG 1'!$B$18),4)</f>
        <v>B18</v>
      </c>
      <c r="C3604" t="str">
        <f>ADDRESS(ROW('PAYG 1'!$D$18),COLUMN('PAYG 1'!$D$18),4)</f>
        <v>D18</v>
      </c>
      <c r="D3604" t="b" cm="1">
        <f t="array" aca="1" ref="D3604" ca="1">IF(INDIRECT("'"&amp;A3604&amp;"'!"&amp;B3604)="",FALSE,IF(INDIRECT("'"&amp;A3604&amp;"'!"&amp;B3604)&lt;0,TRUE,FALSE))</f>
        <v>0</v>
      </c>
      <c r="E3604" t="s">
        <v>434</v>
      </c>
      <c r="F3604" t="str">
        <f>INDEX(Lists!I:I,MATCH(Validation!E3604,Lists!G:G,0))</f>
        <v>Error</v>
      </c>
      <c r="G3604" t="str">
        <f>INDEX(Lists!H:H,MATCH(Validation!E3604,Lists!G:G,0))</f>
        <v>Amount may not be negative. Enter an amount greater than or equal to zero.</v>
      </c>
      <c r="H3604" s="16" t="str">
        <f t="shared" ca="1" si="390"/>
        <v/>
      </c>
      <c r="I3604" s="16" t="str">
        <f t="shared" ca="1" si="391"/>
        <v/>
      </c>
      <c r="J3604" s="17" t="str">
        <f t="shared" ca="1" si="392"/>
        <v/>
      </c>
    </row>
    <row r="3605" spans="1:10" x14ac:dyDescent="0.25">
      <c r="A3605" t="s">
        <v>659</v>
      </c>
      <c r="B3605" t="str">
        <f>ADDRESS(ROW('PAYG 1'!$B$18),COLUMN('PAYG 1'!$B$18),4)</f>
        <v>B18</v>
      </c>
      <c r="C3605" t="str">
        <f>ADDRESS(ROW('PAYG 1'!$D$18),COLUMN('PAYG 1'!$D$18),4)</f>
        <v>D18</v>
      </c>
      <c r="D3605" t="b" cm="1">
        <f t="array" aca="1" ref="D3605" ca="1">IF(INDIRECT("'"&amp;A3605&amp;"'!"&amp;B3605)="",FALSE,IF(INDIRECT("'"&amp;A3605&amp;"'!"&amp;B3605)&lt;0,TRUE,FALSE))</f>
        <v>0</v>
      </c>
      <c r="E3605" t="s">
        <v>434</v>
      </c>
      <c r="F3605" t="str">
        <f>INDEX(Lists!I:I,MATCH(Validation!E3605,Lists!G:G,0))</f>
        <v>Error</v>
      </c>
      <c r="G3605" t="str">
        <f>INDEX(Lists!H:H,MATCH(Validation!E3605,Lists!G:G,0))</f>
        <v>Amount may not be negative. Enter an amount greater than or equal to zero.</v>
      </c>
      <c r="H3605" s="16" t="str">
        <f t="shared" ca="1" si="390"/>
        <v/>
      </c>
      <c r="I3605" s="16" t="str">
        <f t="shared" ca="1" si="391"/>
        <v/>
      </c>
      <c r="J3605" s="17" t="str">
        <f t="shared" ca="1" si="392"/>
        <v/>
      </c>
    </row>
    <row r="3606" spans="1:10" x14ac:dyDescent="0.25">
      <c r="A3606" t="s">
        <v>660</v>
      </c>
      <c r="B3606" t="str">
        <f>ADDRESS(ROW('PAYG 1'!$B$18),COLUMN('PAYG 1'!$B$18),4)</f>
        <v>B18</v>
      </c>
      <c r="C3606" t="str">
        <f>ADDRESS(ROW('PAYG 1'!$D$18),COLUMN('PAYG 1'!$D$18),4)</f>
        <v>D18</v>
      </c>
      <c r="D3606" t="b" cm="1">
        <f t="array" aca="1" ref="D3606" ca="1">IF(INDIRECT("'"&amp;A3606&amp;"'!"&amp;B3606)="",FALSE,IF(INDIRECT("'"&amp;A3606&amp;"'!"&amp;B3606)&lt;0,TRUE,FALSE))</f>
        <v>0</v>
      </c>
      <c r="E3606" t="s">
        <v>434</v>
      </c>
      <c r="F3606" t="str">
        <f>INDEX(Lists!I:I,MATCH(Validation!E3606,Lists!G:G,0))</f>
        <v>Error</v>
      </c>
      <c r="G3606" t="str">
        <f>INDEX(Lists!H:H,MATCH(Validation!E3606,Lists!G:G,0))</f>
        <v>Amount may not be negative. Enter an amount greater than or equal to zero.</v>
      </c>
      <c r="H3606" s="16" t="str">
        <f t="shared" ca="1" si="390"/>
        <v/>
      </c>
      <c r="I3606" s="16" t="str">
        <f t="shared" ca="1" si="391"/>
        <v/>
      </c>
      <c r="J3606" s="17" t="str">
        <f t="shared" ca="1" si="392"/>
        <v/>
      </c>
    </row>
    <row r="3607" spans="1:10" x14ac:dyDescent="0.25">
      <c r="A3607" t="s">
        <v>661</v>
      </c>
      <c r="B3607" t="str">
        <f>ADDRESS(ROW('PAYG 1'!$B$18),COLUMN('PAYG 1'!$B$18),4)</f>
        <v>B18</v>
      </c>
      <c r="C3607" t="str">
        <f>ADDRESS(ROW('PAYG 1'!$D$18),COLUMN('PAYG 1'!$D$18),4)</f>
        <v>D18</v>
      </c>
      <c r="D3607" t="b" cm="1">
        <f t="array" aca="1" ref="D3607" ca="1">IF(INDIRECT("'"&amp;A3607&amp;"'!"&amp;B3607)="",FALSE,IF(INDIRECT("'"&amp;A3607&amp;"'!"&amp;B3607)&lt;0,TRUE,FALSE))</f>
        <v>0</v>
      </c>
      <c r="E3607" t="s">
        <v>434</v>
      </c>
      <c r="F3607" t="str">
        <f>INDEX(Lists!I:I,MATCH(Validation!E3607,Lists!G:G,0))</f>
        <v>Error</v>
      </c>
      <c r="G3607" t="str">
        <f>INDEX(Lists!H:H,MATCH(Validation!E3607,Lists!G:G,0))</f>
        <v>Amount may not be negative. Enter an amount greater than or equal to zero.</v>
      </c>
      <c r="H3607" s="16" t="str">
        <f t="shared" ca="1" si="390"/>
        <v/>
      </c>
      <c r="I3607" s="16" t="str">
        <f t="shared" ca="1" si="391"/>
        <v/>
      </c>
      <c r="J3607" s="17" t="str">
        <f t="shared" ca="1" si="392"/>
        <v/>
      </c>
    </row>
    <row r="3608" spans="1:10" x14ac:dyDescent="0.25">
      <c r="A3608" t="s">
        <v>662</v>
      </c>
      <c r="B3608" t="str">
        <f>ADDRESS(ROW('PAYG 1'!$B$18),COLUMN('PAYG 1'!$B$18),4)</f>
        <v>B18</v>
      </c>
      <c r="C3608" t="str">
        <f>ADDRESS(ROW('PAYG 1'!$D$18),COLUMN('PAYG 1'!$D$18),4)</f>
        <v>D18</v>
      </c>
      <c r="D3608" t="b" cm="1">
        <f t="array" aca="1" ref="D3608" ca="1">IF(INDIRECT("'"&amp;A3608&amp;"'!"&amp;B3608)="",FALSE,IF(INDIRECT("'"&amp;A3608&amp;"'!"&amp;B3608)&lt;0,TRUE,FALSE))</f>
        <v>0</v>
      </c>
      <c r="E3608" t="s">
        <v>434</v>
      </c>
      <c r="F3608" t="str">
        <f>INDEX(Lists!I:I,MATCH(Validation!E3608,Lists!G:G,0))</f>
        <v>Error</v>
      </c>
      <c r="G3608" t="str">
        <f>INDEX(Lists!H:H,MATCH(Validation!E3608,Lists!G:G,0))</f>
        <v>Amount may not be negative. Enter an amount greater than or equal to zero.</v>
      </c>
      <c r="H3608" s="16" t="str">
        <f t="shared" ca="1" si="390"/>
        <v/>
      </c>
      <c r="I3608" s="16" t="str">
        <f t="shared" ca="1" si="391"/>
        <v/>
      </c>
      <c r="J3608" s="17" t="str">
        <f t="shared" ca="1" si="392"/>
        <v/>
      </c>
    </row>
    <row r="3609" spans="1:10" x14ac:dyDescent="0.25">
      <c r="A3609" t="s">
        <v>663</v>
      </c>
      <c r="B3609" t="str">
        <f>ADDRESS(ROW('PAYG 1'!$B$18),COLUMN('PAYG 1'!$B$18),4)</f>
        <v>B18</v>
      </c>
      <c r="C3609" t="str">
        <f>ADDRESS(ROW('PAYG 1'!$D$18),COLUMN('PAYG 1'!$D$18),4)</f>
        <v>D18</v>
      </c>
      <c r="D3609" t="b" cm="1">
        <f t="array" aca="1" ref="D3609" ca="1">IF(INDIRECT("'"&amp;A3609&amp;"'!"&amp;B3609)="",FALSE,IF(INDIRECT("'"&amp;A3609&amp;"'!"&amp;B3609)&lt;0,TRUE,FALSE))</f>
        <v>0</v>
      </c>
      <c r="E3609" t="s">
        <v>434</v>
      </c>
      <c r="F3609" t="str">
        <f>INDEX(Lists!I:I,MATCH(Validation!E3609,Lists!G:G,0))</f>
        <v>Error</v>
      </c>
      <c r="G3609" t="str">
        <f>INDEX(Lists!H:H,MATCH(Validation!E3609,Lists!G:G,0))</f>
        <v>Amount may not be negative. Enter an amount greater than or equal to zero.</v>
      </c>
      <c r="H3609" s="16" t="str">
        <f t="shared" ca="1" si="390"/>
        <v/>
      </c>
      <c r="I3609" s="16" t="str">
        <f t="shared" ca="1" si="391"/>
        <v/>
      </c>
      <c r="J3609" s="17" t="str">
        <f t="shared" ca="1" si="392"/>
        <v/>
      </c>
    </row>
    <row r="3610" spans="1:10" x14ac:dyDescent="0.25">
      <c r="A3610" t="s">
        <v>664</v>
      </c>
      <c r="B3610" t="str">
        <f>ADDRESS(ROW('PAYG 1'!$B$18),COLUMN('PAYG 1'!$B$18),4)</f>
        <v>B18</v>
      </c>
      <c r="C3610" t="str">
        <f>ADDRESS(ROW('PAYG 1'!$D$18),COLUMN('PAYG 1'!$D$18),4)</f>
        <v>D18</v>
      </c>
      <c r="D3610" t="b" cm="1">
        <f t="array" aca="1" ref="D3610" ca="1">IF(INDIRECT("'"&amp;A3610&amp;"'!"&amp;B3610)="",FALSE,IF(INDIRECT("'"&amp;A3610&amp;"'!"&amp;B3610)&lt;0,TRUE,FALSE))</f>
        <v>0</v>
      </c>
      <c r="E3610" t="s">
        <v>434</v>
      </c>
      <c r="F3610" t="str">
        <f>INDEX(Lists!I:I,MATCH(Validation!E3610,Lists!G:G,0))</f>
        <v>Error</v>
      </c>
      <c r="G3610" t="str">
        <f>INDEX(Lists!H:H,MATCH(Validation!E3610,Lists!G:G,0))</f>
        <v>Amount may not be negative. Enter an amount greater than or equal to zero.</v>
      </c>
      <c r="H3610" s="16" t="str">
        <f t="shared" ca="1" si="390"/>
        <v/>
      </c>
      <c r="I3610" s="16" t="str">
        <f t="shared" ca="1" si="391"/>
        <v/>
      </c>
      <c r="J3610" s="17" t="str">
        <f t="shared" ca="1" si="392"/>
        <v/>
      </c>
    </row>
    <row r="3611" spans="1:10" x14ac:dyDescent="0.25">
      <c r="A3611" t="s">
        <v>203</v>
      </c>
      <c r="B3611" t="str">
        <f>ADDRESS(ROW('PAYG 1'!$B$18),COLUMN('PAYG 1'!$B$18),4)</f>
        <v>B18</v>
      </c>
      <c r="C3611" t="str">
        <f>ADDRESS(ROW('PAYG 1'!$D$18),COLUMN('PAYG 1'!$D$18),4)</f>
        <v>D18</v>
      </c>
      <c r="D3611" t="b" cm="1">
        <f t="array" aca="1" ref="D3611" ca="1">IF(INDIRECT("'"&amp;A3611&amp;"'!"&amp;B3611)="",FALSE,IF(TRUNC(INDIRECT("'"&amp;A3611&amp;"'!"&amp;B3611))=INDIRECT("'"&amp;A3611&amp;"'!"&amp;B3611),FALSE,TRUE))</f>
        <v>0</v>
      </c>
      <c r="E3611" t="s">
        <v>436</v>
      </c>
      <c r="F3611" t="str">
        <f>INDEX(Lists!I:I,MATCH(Validation!E3611,Lists!G:G,0))</f>
        <v>Error</v>
      </c>
      <c r="G3611" t="str">
        <f>INDEX(Lists!H:H,MATCH(Validation!E3611,Lists!G:G,0))</f>
        <v>Amount must be rounded to the nearest dollar.</v>
      </c>
      <c r="H3611" s="16" t="str">
        <f t="shared" ca="1" si="390"/>
        <v/>
      </c>
      <c r="I3611" s="16" t="str">
        <f t="shared" ca="1" si="391"/>
        <v/>
      </c>
      <c r="J3611" s="17" t="str">
        <f t="shared" ca="1" si="392"/>
        <v/>
      </c>
    </row>
    <row r="3612" spans="1:10" x14ac:dyDescent="0.25">
      <c r="A3612" t="s">
        <v>651</v>
      </c>
      <c r="B3612" t="str">
        <f>ADDRESS(ROW('PAYG 1'!$B$18),COLUMN('PAYG 1'!$B$18),4)</f>
        <v>B18</v>
      </c>
      <c r="C3612" t="str">
        <f>ADDRESS(ROW('PAYG 1'!$D$18),COLUMN('PAYG 1'!$D$18),4)</f>
        <v>D18</v>
      </c>
      <c r="D3612" t="b" cm="1">
        <f t="array" aca="1" ref="D3612" ca="1">IF(INDIRECT("'"&amp;A3612&amp;"'!"&amp;B3612)="",FALSE,IF(TRUNC(INDIRECT("'"&amp;A3612&amp;"'!"&amp;B3612))=INDIRECT("'"&amp;A3612&amp;"'!"&amp;B3612),FALSE,TRUE))</f>
        <v>0</v>
      </c>
      <c r="E3612" t="s">
        <v>436</v>
      </c>
      <c r="F3612" t="str">
        <f>INDEX(Lists!I:I,MATCH(Validation!E3612,Lists!G:G,0))</f>
        <v>Error</v>
      </c>
      <c r="G3612" t="str">
        <f>INDEX(Lists!H:H,MATCH(Validation!E3612,Lists!G:G,0))</f>
        <v>Amount must be rounded to the nearest dollar.</v>
      </c>
      <c r="H3612" s="16" t="str">
        <f t="shared" ca="1" si="390"/>
        <v/>
      </c>
      <c r="I3612" s="16" t="str">
        <f t="shared" ca="1" si="391"/>
        <v/>
      </c>
      <c r="J3612" s="17" t="str">
        <f t="shared" ca="1" si="392"/>
        <v/>
      </c>
    </row>
    <row r="3613" spans="1:10" x14ac:dyDescent="0.25">
      <c r="A3613" t="s">
        <v>652</v>
      </c>
      <c r="B3613" t="str">
        <f>ADDRESS(ROW('PAYG 1'!$B$18),COLUMN('PAYG 1'!$B$18),4)</f>
        <v>B18</v>
      </c>
      <c r="C3613" t="str">
        <f>ADDRESS(ROW('PAYG 1'!$D$18),COLUMN('PAYG 1'!$D$18),4)</f>
        <v>D18</v>
      </c>
      <c r="D3613" t="b" cm="1">
        <f t="array" aca="1" ref="D3613" ca="1">IF(INDIRECT("'"&amp;A3613&amp;"'!"&amp;B3613)="",FALSE,IF(TRUNC(INDIRECT("'"&amp;A3613&amp;"'!"&amp;B3613))=INDIRECT("'"&amp;A3613&amp;"'!"&amp;B3613),FALSE,TRUE))</f>
        <v>0</v>
      </c>
      <c r="E3613" t="s">
        <v>436</v>
      </c>
      <c r="F3613" t="str">
        <f>INDEX(Lists!I:I,MATCH(Validation!E3613,Lists!G:G,0))</f>
        <v>Error</v>
      </c>
      <c r="G3613" t="str">
        <f>INDEX(Lists!H:H,MATCH(Validation!E3613,Lists!G:G,0))</f>
        <v>Amount must be rounded to the nearest dollar.</v>
      </c>
      <c r="H3613" s="16" t="str">
        <f t="shared" ca="1" si="390"/>
        <v/>
      </c>
      <c r="I3613" s="16" t="str">
        <f t="shared" ca="1" si="391"/>
        <v/>
      </c>
      <c r="J3613" s="17" t="str">
        <f t="shared" ca="1" si="392"/>
        <v/>
      </c>
    </row>
    <row r="3614" spans="1:10" x14ac:dyDescent="0.25">
      <c r="A3614" t="s">
        <v>653</v>
      </c>
      <c r="B3614" t="str">
        <f>ADDRESS(ROW('PAYG 1'!$B$18),COLUMN('PAYG 1'!$B$18),4)</f>
        <v>B18</v>
      </c>
      <c r="C3614" t="str">
        <f>ADDRESS(ROW('PAYG 1'!$D$18),COLUMN('PAYG 1'!$D$18),4)</f>
        <v>D18</v>
      </c>
      <c r="D3614" t="b" cm="1">
        <f t="array" aca="1" ref="D3614" ca="1">IF(INDIRECT("'"&amp;A3614&amp;"'!"&amp;B3614)="",FALSE,IF(TRUNC(INDIRECT("'"&amp;A3614&amp;"'!"&amp;B3614))=INDIRECT("'"&amp;A3614&amp;"'!"&amp;B3614),FALSE,TRUE))</f>
        <v>0</v>
      </c>
      <c r="E3614" t="s">
        <v>436</v>
      </c>
      <c r="F3614" t="str">
        <f>INDEX(Lists!I:I,MATCH(Validation!E3614,Lists!G:G,0))</f>
        <v>Error</v>
      </c>
      <c r="G3614" t="str">
        <f>INDEX(Lists!H:H,MATCH(Validation!E3614,Lists!G:G,0))</f>
        <v>Amount must be rounded to the nearest dollar.</v>
      </c>
      <c r="H3614" s="16" t="str">
        <f t="shared" ca="1" si="390"/>
        <v/>
      </c>
      <c r="I3614" s="16" t="str">
        <f t="shared" ca="1" si="391"/>
        <v/>
      </c>
      <c r="J3614" s="17" t="str">
        <f t="shared" ca="1" si="392"/>
        <v/>
      </c>
    </row>
    <row r="3615" spans="1:10" x14ac:dyDescent="0.25">
      <c r="A3615" t="s">
        <v>654</v>
      </c>
      <c r="B3615" t="str">
        <f>ADDRESS(ROW('PAYG 1'!$B$18),COLUMN('PAYG 1'!$B$18),4)</f>
        <v>B18</v>
      </c>
      <c r="C3615" t="str">
        <f>ADDRESS(ROW('PAYG 1'!$D$18),COLUMN('PAYG 1'!$D$18),4)</f>
        <v>D18</v>
      </c>
      <c r="D3615" t="b" cm="1">
        <f t="array" aca="1" ref="D3615" ca="1">IF(INDIRECT("'"&amp;A3615&amp;"'!"&amp;B3615)="",FALSE,IF(TRUNC(INDIRECT("'"&amp;A3615&amp;"'!"&amp;B3615))=INDIRECT("'"&amp;A3615&amp;"'!"&amp;B3615),FALSE,TRUE))</f>
        <v>0</v>
      </c>
      <c r="E3615" t="s">
        <v>436</v>
      </c>
      <c r="F3615" t="str">
        <f>INDEX(Lists!I:I,MATCH(Validation!E3615,Lists!G:G,0))</f>
        <v>Error</v>
      </c>
      <c r="G3615" t="str">
        <f>INDEX(Lists!H:H,MATCH(Validation!E3615,Lists!G:G,0))</f>
        <v>Amount must be rounded to the nearest dollar.</v>
      </c>
      <c r="H3615" s="16" t="str">
        <f t="shared" ca="1" si="390"/>
        <v/>
      </c>
      <c r="I3615" s="16" t="str">
        <f t="shared" ca="1" si="391"/>
        <v/>
      </c>
      <c r="J3615" s="17" t="str">
        <f t="shared" ca="1" si="392"/>
        <v/>
      </c>
    </row>
    <row r="3616" spans="1:10" x14ac:dyDescent="0.25">
      <c r="A3616" t="s">
        <v>655</v>
      </c>
      <c r="B3616" t="str">
        <f>ADDRESS(ROW('PAYG 1'!$B$18),COLUMN('PAYG 1'!$B$18),4)</f>
        <v>B18</v>
      </c>
      <c r="C3616" t="str">
        <f>ADDRESS(ROW('PAYG 1'!$D$18),COLUMN('PAYG 1'!$D$18),4)</f>
        <v>D18</v>
      </c>
      <c r="D3616" t="b" cm="1">
        <f t="array" aca="1" ref="D3616" ca="1">IF(INDIRECT("'"&amp;A3616&amp;"'!"&amp;B3616)="",FALSE,IF(TRUNC(INDIRECT("'"&amp;A3616&amp;"'!"&amp;B3616))=INDIRECT("'"&amp;A3616&amp;"'!"&amp;B3616),FALSE,TRUE))</f>
        <v>0</v>
      </c>
      <c r="E3616" t="s">
        <v>436</v>
      </c>
      <c r="F3616" t="str">
        <f>INDEX(Lists!I:I,MATCH(Validation!E3616,Lists!G:G,0))</f>
        <v>Error</v>
      </c>
      <c r="G3616" t="str">
        <f>INDEX(Lists!H:H,MATCH(Validation!E3616,Lists!G:G,0))</f>
        <v>Amount must be rounded to the nearest dollar.</v>
      </c>
      <c r="H3616" s="16" t="str">
        <f t="shared" ca="1" si="390"/>
        <v/>
      </c>
      <c r="I3616" s="16" t="str">
        <f t="shared" ca="1" si="391"/>
        <v/>
      </c>
      <c r="J3616" s="17" t="str">
        <f t="shared" ca="1" si="392"/>
        <v/>
      </c>
    </row>
    <row r="3617" spans="1:10" x14ac:dyDescent="0.25">
      <c r="A3617" t="s">
        <v>656</v>
      </c>
      <c r="B3617" t="str">
        <f>ADDRESS(ROW('PAYG 1'!$B$18),COLUMN('PAYG 1'!$B$18),4)</f>
        <v>B18</v>
      </c>
      <c r="C3617" t="str">
        <f>ADDRESS(ROW('PAYG 1'!$D$18),COLUMN('PAYG 1'!$D$18),4)</f>
        <v>D18</v>
      </c>
      <c r="D3617" t="b" cm="1">
        <f t="array" aca="1" ref="D3617" ca="1">IF(INDIRECT("'"&amp;A3617&amp;"'!"&amp;B3617)="",FALSE,IF(TRUNC(INDIRECT("'"&amp;A3617&amp;"'!"&amp;B3617))=INDIRECT("'"&amp;A3617&amp;"'!"&amp;B3617),FALSE,TRUE))</f>
        <v>0</v>
      </c>
      <c r="E3617" t="s">
        <v>436</v>
      </c>
      <c r="F3617" t="str">
        <f>INDEX(Lists!I:I,MATCH(Validation!E3617,Lists!G:G,0))</f>
        <v>Error</v>
      </c>
      <c r="G3617" t="str">
        <f>INDEX(Lists!H:H,MATCH(Validation!E3617,Lists!G:G,0))</f>
        <v>Amount must be rounded to the nearest dollar.</v>
      </c>
      <c r="H3617" s="16" t="str">
        <f t="shared" ca="1" si="390"/>
        <v/>
      </c>
      <c r="I3617" s="16" t="str">
        <f t="shared" ca="1" si="391"/>
        <v/>
      </c>
      <c r="J3617" s="17" t="str">
        <f t="shared" ca="1" si="392"/>
        <v/>
      </c>
    </row>
    <row r="3618" spans="1:10" x14ac:dyDescent="0.25">
      <c r="A3618" t="s">
        <v>657</v>
      </c>
      <c r="B3618" t="str">
        <f>ADDRESS(ROW('PAYG 1'!$B$18),COLUMN('PAYG 1'!$B$18),4)</f>
        <v>B18</v>
      </c>
      <c r="C3618" t="str">
        <f>ADDRESS(ROW('PAYG 1'!$D$18),COLUMN('PAYG 1'!$D$18),4)</f>
        <v>D18</v>
      </c>
      <c r="D3618" t="b" cm="1">
        <f t="array" aca="1" ref="D3618" ca="1">IF(INDIRECT("'"&amp;A3618&amp;"'!"&amp;B3618)="",FALSE,IF(TRUNC(INDIRECT("'"&amp;A3618&amp;"'!"&amp;B3618))=INDIRECT("'"&amp;A3618&amp;"'!"&amp;B3618),FALSE,TRUE))</f>
        <v>0</v>
      </c>
      <c r="E3618" t="s">
        <v>436</v>
      </c>
      <c r="F3618" t="str">
        <f>INDEX(Lists!I:I,MATCH(Validation!E3618,Lists!G:G,0))</f>
        <v>Error</v>
      </c>
      <c r="G3618" t="str">
        <f>INDEX(Lists!H:H,MATCH(Validation!E3618,Lists!G:G,0))</f>
        <v>Amount must be rounded to the nearest dollar.</v>
      </c>
      <c r="H3618" s="16" t="str">
        <f t="shared" ca="1" si="390"/>
        <v/>
      </c>
      <c r="I3618" s="16" t="str">
        <f t="shared" ca="1" si="391"/>
        <v/>
      </c>
      <c r="J3618" s="17" t="str">
        <f t="shared" ca="1" si="392"/>
        <v/>
      </c>
    </row>
    <row r="3619" spans="1:10" x14ac:dyDescent="0.25">
      <c r="A3619" t="s">
        <v>658</v>
      </c>
      <c r="B3619" t="str">
        <f>ADDRESS(ROW('PAYG 1'!$B$18),COLUMN('PAYG 1'!$B$18),4)</f>
        <v>B18</v>
      </c>
      <c r="C3619" t="str">
        <f>ADDRESS(ROW('PAYG 1'!$D$18),COLUMN('PAYG 1'!$D$18),4)</f>
        <v>D18</v>
      </c>
      <c r="D3619" t="b" cm="1">
        <f t="array" aca="1" ref="D3619" ca="1">IF(INDIRECT("'"&amp;A3619&amp;"'!"&amp;B3619)="",FALSE,IF(TRUNC(INDIRECT("'"&amp;A3619&amp;"'!"&amp;B3619))=INDIRECT("'"&amp;A3619&amp;"'!"&amp;B3619),FALSE,TRUE))</f>
        <v>0</v>
      </c>
      <c r="E3619" t="s">
        <v>436</v>
      </c>
      <c r="F3619" t="str">
        <f>INDEX(Lists!I:I,MATCH(Validation!E3619,Lists!G:G,0))</f>
        <v>Error</v>
      </c>
      <c r="G3619" t="str">
        <f>INDEX(Lists!H:H,MATCH(Validation!E3619,Lists!G:G,0))</f>
        <v>Amount must be rounded to the nearest dollar.</v>
      </c>
      <c r="H3619" s="16" t="str">
        <f t="shared" ca="1" si="390"/>
        <v/>
      </c>
      <c r="I3619" s="16" t="str">
        <f t="shared" ca="1" si="391"/>
        <v/>
      </c>
      <c r="J3619" s="17" t="str">
        <f t="shared" ca="1" si="392"/>
        <v/>
      </c>
    </row>
    <row r="3620" spans="1:10" x14ac:dyDescent="0.25">
      <c r="A3620" t="s">
        <v>659</v>
      </c>
      <c r="B3620" t="str">
        <f>ADDRESS(ROW('PAYG 1'!$B$18),COLUMN('PAYG 1'!$B$18),4)</f>
        <v>B18</v>
      </c>
      <c r="C3620" t="str">
        <f>ADDRESS(ROW('PAYG 1'!$D$18),COLUMN('PAYG 1'!$D$18),4)</f>
        <v>D18</v>
      </c>
      <c r="D3620" t="b" cm="1">
        <f t="array" aca="1" ref="D3620" ca="1">IF(INDIRECT("'"&amp;A3620&amp;"'!"&amp;B3620)="",FALSE,IF(TRUNC(INDIRECT("'"&amp;A3620&amp;"'!"&amp;B3620))=INDIRECT("'"&amp;A3620&amp;"'!"&amp;B3620),FALSE,TRUE))</f>
        <v>0</v>
      </c>
      <c r="E3620" t="s">
        <v>436</v>
      </c>
      <c r="F3620" t="str">
        <f>INDEX(Lists!I:I,MATCH(Validation!E3620,Lists!G:G,0))</f>
        <v>Error</v>
      </c>
      <c r="G3620" t="str">
        <f>INDEX(Lists!H:H,MATCH(Validation!E3620,Lists!G:G,0))</f>
        <v>Amount must be rounded to the nearest dollar.</v>
      </c>
      <c r="H3620" s="16" t="str">
        <f t="shared" ca="1" si="390"/>
        <v/>
      </c>
      <c r="I3620" s="16" t="str">
        <f t="shared" ca="1" si="391"/>
        <v/>
      </c>
      <c r="J3620" s="17" t="str">
        <f t="shared" ca="1" si="392"/>
        <v/>
      </c>
    </row>
    <row r="3621" spans="1:10" x14ac:dyDescent="0.25">
      <c r="A3621" t="s">
        <v>660</v>
      </c>
      <c r="B3621" t="str">
        <f>ADDRESS(ROW('PAYG 1'!$B$18),COLUMN('PAYG 1'!$B$18),4)</f>
        <v>B18</v>
      </c>
      <c r="C3621" t="str">
        <f>ADDRESS(ROW('PAYG 1'!$D$18),COLUMN('PAYG 1'!$D$18),4)</f>
        <v>D18</v>
      </c>
      <c r="D3621" t="b" cm="1">
        <f t="array" aca="1" ref="D3621" ca="1">IF(INDIRECT("'"&amp;A3621&amp;"'!"&amp;B3621)="",FALSE,IF(TRUNC(INDIRECT("'"&amp;A3621&amp;"'!"&amp;B3621))=INDIRECT("'"&amp;A3621&amp;"'!"&amp;B3621),FALSE,TRUE))</f>
        <v>0</v>
      </c>
      <c r="E3621" t="s">
        <v>436</v>
      </c>
      <c r="F3621" t="str">
        <f>INDEX(Lists!I:I,MATCH(Validation!E3621,Lists!G:G,0))</f>
        <v>Error</v>
      </c>
      <c r="G3621" t="str">
        <f>INDEX(Lists!H:H,MATCH(Validation!E3621,Lists!G:G,0))</f>
        <v>Amount must be rounded to the nearest dollar.</v>
      </c>
      <c r="H3621" s="16" t="str">
        <f t="shared" ca="1" si="390"/>
        <v/>
      </c>
      <c r="I3621" s="16" t="str">
        <f t="shared" ca="1" si="391"/>
        <v/>
      </c>
      <c r="J3621" s="17" t="str">
        <f t="shared" ca="1" si="392"/>
        <v/>
      </c>
    </row>
    <row r="3622" spans="1:10" x14ac:dyDescent="0.25">
      <c r="A3622" t="s">
        <v>661</v>
      </c>
      <c r="B3622" t="str">
        <f>ADDRESS(ROW('PAYG 1'!$B$18),COLUMN('PAYG 1'!$B$18),4)</f>
        <v>B18</v>
      </c>
      <c r="C3622" t="str">
        <f>ADDRESS(ROW('PAYG 1'!$D$18),COLUMN('PAYG 1'!$D$18),4)</f>
        <v>D18</v>
      </c>
      <c r="D3622" t="b" cm="1">
        <f t="array" aca="1" ref="D3622" ca="1">IF(INDIRECT("'"&amp;A3622&amp;"'!"&amp;B3622)="",FALSE,IF(TRUNC(INDIRECT("'"&amp;A3622&amp;"'!"&amp;B3622))=INDIRECT("'"&amp;A3622&amp;"'!"&amp;B3622),FALSE,TRUE))</f>
        <v>0</v>
      </c>
      <c r="E3622" t="s">
        <v>436</v>
      </c>
      <c r="F3622" t="str">
        <f>INDEX(Lists!I:I,MATCH(Validation!E3622,Lists!G:G,0))</f>
        <v>Error</v>
      </c>
      <c r="G3622" t="str">
        <f>INDEX(Lists!H:H,MATCH(Validation!E3622,Lists!G:G,0))</f>
        <v>Amount must be rounded to the nearest dollar.</v>
      </c>
      <c r="H3622" s="16" t="str">
        <f t="shared" ca="1" si="390"/>
        <v/>
      </c>
      <c r="I3622" s="16" t="str">
        <f t="shared" ca="1" si="391"/>
        <v/>
      </c>
      <c r="J3622" s="17" t="str">
        <f t="shared" ca="1" si="392"/>
        <v/>
      </c>
    </row>
    <row r="3623" spans="1:10" x14ac:dyDescent="0.25">
      <c r="A3623" t="s">
        <v>662</v>
      </c>
      <c r="B3623" t="str">
        <f>ADDRESS(ROW('PAYG 1'!$B$18),COLUMN('PAYG 1'!$B$18),4)</f>
        <v>B18</v>
      </c>
      <c r="C3623" t="str">
        <f>ADDRESS(ROW('PAYG 1'!$D$18),COLUMN('PAYG 1'!$D$18),4)</f>
        <v>D18</v>
      </c>
      <c r="D3623" t="b" cm="1">
        <f t="array" aca="1" ref="D3623" ca="1">IF(INDIRECT("'"&amp;A3623&amp;"'!"&amp;B3623)="",FALSE,IF(TRUNC(INDIRECT("'"&amp;A3623&amp;"'!"&amp;B3623))=INDIRECT("'"&amp;A3623&amp;"'!"&amp;B3623),FALSE,TRUE))</f>
        <v>0</v>
      </c>
      <c r="E3623" t="s">
        <v>436</v>
      </c>
      <c r="F3623" t="str">
        <f>INDEX(Lists!I:I,MATCH(Validation!E3623,Lists!G:G,0))</f>
        <v>Error</v>
      </c>
      <c r="G3623" t="str">
        <f>INDEX(Lists!H:H,MATCH(Validation!E3623,Lists!G:G,0))</f>
        <v>Amount must be rounded to the nearest dollar.</v>
      </c>
      <c r="H3623" s="16" t="str">
        <f t="shared" ca="1" si="390"/>
        <v/>
      </c>
      <c r="I3623" s="16" t="str">
        <f t="shared" ca="1" si="391"/>
        <v/>
      </c>
      <c r="J3623" s="17" t="str">
        <f t="shared" ca="1" si="392"/>
        <v/>
      </c>
    </row>
    <row r="3624" spans="1:10" x14ac:dyDescent="0.25">
      <c r="A3624" t="s">
        <v>663</v>
      </c>
      <c r="B3624" t="str">
        <f>ADDRESS(ROW('PAYG 1'!$B$18),COLUMN('PAYG 1'!$B$18),4)</f>
        <v>B18</v>
      </c>
      <c r="C3624" t="str">
        <f>ADDRESS(ROW('PAYG 1'!$D$18),COLUMN('PAYG 1'!$D$18),4)</f>
        <v>D18</v>
      </c>
      <c r="D3624" t="b" cm="1">
        <f t="array" aca="1" ref="D3624" ca="1">IF(INDIRECT("'"&amp;A3624&amp;"'!"&amp;B3624)="",FALSE,IF(TRUNC(INDIRECT("'"&amp;A3624&amp;"'!"&amp;B3624))=INDIRECT("'"&amp;A3624&amp;"'!"&amp;B3624),FALSE,TRUE))</f>
        <v>0</v>
      </c>
      <c r="E3624" t="s">
        <v>436</v>
      </c>
      <c r="F3624" t="str">
        <f>INDEX(Lists!I:I,MATCH(Validation!E3624,Lists!G:G,0))</f>
        <v>Error</v>
      </c>
      <c r="G3624" t="str">
        <f>INDEX(Lists!H:H,MATCH(Validation!E3624,Lists!G:G,0))</f>
        <v>Amount must be rounded to the nearest dollar.</v>
      </c>
      <c r="H3624" s="16" t="str">
        <f t="shared" ca="1" si="390"/>
        <v/>
      </c>
      <c r="I3624" s="16" t="str">
        <f t="shared" ca="1" si="391"/>
        <v/>
      </c>
      <c r="J3624" s="17" t="str">
        <f t="shared" ca="1" si="392"/>
        <v/>
      </c>
    </row>
    <row r="3625" spans="1:10" x14ac:dyDescent="0.25">
      <c r="A3625" t="s">
        <v>664</v>
      </c>
      <c r="B3625" t="str">
        <f>ADDRESS(ROW('PAYG 1'!$B$18),COLUMN('PAYG 1'!$B$18),4)</f>
        <v>B18</v>
      </c>
      <c r="C3625" t="str">
        <f>ADDRESS(ROW('PAYG 1'!$D$18),COLUMN('PAYG 1'!$D$18),4)</f>
        <v>D18</v>
      </c>
      <c r="D3625" t="b" cm="1">
        <f t="array" aca="1" ref="D3625" ca="1">IF(INDIRECT("'"&amp;A3625&amp;"'!"&amp;B3625)="",FALSE,IF(TRUNC(INDIRECT("'"&amp;A3625&amp;"'!"&amp;B3625))=INDIRECT("'"&amp;A3625&amp;"'!"&amp;B3625),FALSE,TRUE))</f>
        <v>0</v>
      </c>
      <c r="E3625" t="s">
        <v>436</v>
      </c>
      <c r="F3625" t="str">
        <f>INDEX(Lists!I:I,MATCH(Validation!E3625,Lists!G:G,0))</f>
        <v>Error</v>
      </c>
      <c r="G3625" t="str">
        <f>INDEX(Lists!H:H,MATCH(Validation!E3625,Lists!G:G,0))</f>
        <v>Amount must be rounded to the nearest dollar.</v>
      </c>
      <c r="H3625" s="16" t="str">
        <f t="shared" ca="1" si="390"/>
        <v/>
      </c>
      <c r="I3625" s="16" t="str">
        <f t="shared" ca="1" si="391"/>
        <v/>
      </c>
      <c r="J3625" s="17" t="str">
        <f t="shared" ca="1" si="392"/>
        <v/>
      </c>
    </row>
    <row r="3626" spans="1:10" x14ac:dyDescent="0.25">
      <c r="A3626" t="s">
        <v>203</v>
      </c>
      <c r="B3626" t="str">
        <f>ADDRESS(ROW('PAYG 1'!$C$18),COLUMN('PAYG 1'!$C$18),4)</f>
        <v>C18</v>
      </c>
      <c r="C3626" t="str">
        <f>ADDRESS(ROW('PAYG 1'!$D$18),COLUMN('PAYG 1'!$D$18),4)</f>
        <v>D18</v>
      </c>
      <c r="D3626" t="b" cm="1">
        <f t="array" aca="1" ref="D3626" ca="1">IF(INDIRECT("'"&amp;A3626&amp;"'!"&amp;B3626)="",FALSE,IF(NOT(ISNUMBER(INDIRECT("'"&amp;A3626&amp;"'!"&amp;B3626))),TRUE,FALSE))</f>
        <v>0</v>
      </c>
      <c r="E3626" t="s">
        <v>435</v>
      </c>
      <c r="F3626" t="str">
        <f>INDEX(Lists!I:I,MATCH(Validation!E3626,Lists!G:G,0))</f>
        <v>Error</v>
      </c>
      <c r="G3626" t="str">
        <f>INDEX(Lists!H:H,MATCH(Validation!E3626,Lists!G:G,0))</f>
        <v>Enter an amount only. Do not enter text or spaces.</v>
      </c>
      <c r="H3626" s="16" t="str">
        <f t="shared" ref="H3626:H3670" ca="1" si="393">IFERROR(IF(OR(NOT(D3626),F3626&lt;&gt;"Error"),"",A3626&amp;CELL("address",INDIRECT(B3626))),"")</f>
        <v/>
      </c>
      <c r="I3626" s="16" t="str">
        <f t="shared" ref="I3626:I3670" ca="1" si="394">IFERROR(IF(NOT(D3626),"",A3626&amp;CELL("address",INDIRECT(C3626))),"")</f>
        <v/>
      </c>
      <c r="J3626" s="17" t="str">
        <f t="shared" ref="J3626:J3670" ca="1" si="395">IFERROR(IF(NOT(D3626),"",A3626),"")</f>
        <v/>
      </c>
    </row>
    <row r="3627" spans="1:10" x14ac:dyDescent="0.25">
      <c r="A3627" t="s">
        <v>651</v>
      </c>
      <c r="B3627" t="str">
        <f>ADDRESS(ROW('PAYG 1'!$C$18),COLUMN('PAYG 1'!$C$18),4)</f>
        <v>C18</v>
      </c>
      <c r="C3627" t="str">
        <f>ADDRESS(ROW('PAYG 1'!$D$18),COLUMN('PAYG 1'!$D$18),4)</f>
        <v>D18</v>
      </c>
      <c r="D3627" t="b" cm="1">
        <f t="array" aca="1" ref="D3627" ca="1">IF(INDIRECT("'"&amp;A3627&amp;"'!"&amp;B3627)="",FALSE,IF(NOT(ISNUMBER(INDIRECT("'"&amp;A3627&amp;"'!"&amp;B3627))),TRUE,FALSE))</f>
        <v>0</v>
      </c>
      <c r="E3627" t="s">
        <v>435</v>
      </c>
      <c r="F3627" t="str">
        <f>INDEX(Lists!I:I,MATCH(Validation!E3627,Lists!G:G,0))</f>
        <v>Error</v>
      </c>
      <c r="G3627" t="str">
        <f>INDEX(Lists!H:H,MATCH(Validation!E3627,Lists!G:G,0))</f>
        <v>Enter an amount only. Do not enter text or spaces.</v>
      </c>
      <c r="H3627" s="16" t="str">
        <f t="shared" ca="1" si="393"/>
        <v/>
      </c>
      <c r="I3627" s="16" t="str">
        <f t="shared" ca="1" si="394"/>
        <v/>
      </c>
      <c r="J3627" s="17" t="str">
        <f t="shared" ca="1" si="395"/>
        <v/>
      </c>
    </row>
    <row r="3628" spans="1:10" x14ac:dyDescent="0.25">
      <c r="A3628" t="s">
        <v>652</v>
      </c>
      <c r="B3628" t="str">
        <f>ADDRESS(ROW('PAYG 1'!$C$18),COLUMN('PAYG 1'!$C$18),4)</f>
        <v>C18</v>
      </c>
      <c r="C3628" t="str">
        <f>ADDRESS(ROW('PAYG 1'!$D$18),COLUMN('PAYG 1'!$D$18),4)</f>
        <v>D18</v>
      </c>
      <c r="D3628" t="b" cm="1">
        <f t="array" aca="1" ref="D3628" ca="1">IF(INDIRECT("'"&amp;A3628&amp;"'!"&amp;B3628)="",FALSE,IF(NOT(ISNUMBER(INDIRECT("'"&amp;A3628&amp;"'!"&amp;B3628))),TRUE,FALSE))</f>
        <v>0</v>
      </c>
      <c r="E3628" t="s">
        <v>435</v>
      </c>
      <c r="F3628" t="str">
        <f>INDEX(Lists!I:I,MATCH(Validation!E3628,Lists!G:G,0))</f>
        <v>Error</v>
      </c>
      <c r="G3628" t="str">
        <f>INDEX(Lists!H:H,MATCH(Validation!E3628,Lists!G:G,0))</f>
        <v>Enter an amount only. Do not enter text or spaces.</v>
      </c>
      <c r="H3628" s="16" t="str">
        <f t="shared" ca="1" si="393"/>
        <v/>
      </c>
      <c r="I3628" s="16" t="str">
        <f t="shared" ca="1" si="394"/>
        <v/>
      </c>
      <c r="J3628" s="17" t="str">
        <f t="shared" ca="1" si="395"/>
        <v/>
      </c>
    </row>
    <row r="3629" spans="1:10" x14ac:dyDescent="0.25">
      <c r="A3629" t="s">
        <v>653</v>
      </c>
      <c r="B3629" t="str">
        <f>ADDRESS(ROW('PAYG 1'!$C$18),COLUMN('PAYG 1'!$C$18),4)</f>
        <v>C18</v>
      </c>
      <c r="C3629" t="str">
        <f>ADDRESS(ROW('PAYG 1'!$D$18),COLUMN('PAYG 1'!$D$18),4)</f>
        <v>D18</v>
      </c>
      <c r="D3629" t="b" cm="1">
        <f t="array" aca="1" ref="D3629" ca="1">IF(INDIRECT("'"&amp;A3629&amp;"'!"&amp;B3629)="",FALSE,IF(NOT(ISNUMBER(INDIRECT("'"&amp;A3629&amp;"'!"&amp;B3629))),TRUE,FALSE))</f>
        <v>0</v>
      </c>
      <c r="E3629" t="s">
        <v>435</v>
      </c>
      <c r="F3629" t="str">
        <f>INDEX(Lists!I:I,MATCH(Validation!E3629,Lists!G:G,0))</f>
        <v>Error</v>
      </c>
      <c r="G3629" t="str">
        <f>INDEX(Lists!H:H,MATCH(Validation!E3629,Lists!G:G,0))</f>
        <v>Enter an amount only. Do not enter text or spaces.</v>
      </c>
      <c r="H3629" s="16" t="str">
        <f t="shared" ca="1" si="393"/>
        <v/>
      </c>
      <c r="I3629" s="16" t="str">
        <f t="shared" ca="1" si="394"/>
        <v/>
      </c>
      <c r="J3629" s="17" t="str">
        <f t="shared" ca="1" si="395"/>
        <v/>
      </c>
    </row>
    <row r="3630" spans="1:10" x14ac:dyDescent="0.25">
      <c r="A3630" t="s">
        <v>654</v>
      </c>
      <c r="B3630" t="str">
        <f>ADDRESS(ROW('PAYG 1'!$C$18),COLUMN('PAYG 1'!$C$18),4)</f>
        <v>C18</v>
      </c>
      <c r="C3630" t="str">
        <f>ADDRESS(ROW('PAYG 1'!$D$18),COLUMN('PAYG 1'!$D$18),4)</f>
        <v>D18</v>
      </c>
      <c r="D3630" t="b" cm="1">
        <f t="array" aca="1" ref="D3630" ca="1">IF(INDIRECT("'"&amp;A3630&amp;"'!"&amp;B3630)="",FALSE,IF(NOT(ISNUMBER(INDIRECT("'"&amp;A3630&amp;"'!"&amp;B3630))),TRUE,FALSE))</f>
        <v>0</v>
      </c>
      <c r="E3630" t="s">
        <v>435</v>
      </c>
      <c r="F3630" t="str">
        <f>INDEX(Lists!I:I,MATCH(Validation!E3630,Lists!G:G,0))</f>
        <v>Error</v>
      </c>
      <c r="G3630" t="str">
        <f>INDEX(Lists!H:H,MATCH(Validation!E3630,Lists!G:G,0))</f>
        <v>Enter an amount only. Do not enter text or spaces.</v>
      </c>
      <c r="H3630" s="16" t="str">
        <f t="shared" ca="1" si="393"/>
        <v/>
      </c>
      <c r="I3630" s="16" t="str">
        <f t="shared" ca="1" si="394"/>
        <v/>
      </c>
      <c r="J3630" s="17" t="str">
        <f t="shared" ca="1" si="395"/>
        <v/>
      </c>
    </row>
    <row r="3631" spans="1:10" x14ac:dyDescent="0.25">
      <c r="A3631" t="s">
        <v>655</v>
      </c>
      <c r="B3631" t="str">
        <f>ADDRESS(ROW('PAYG 1'!$C$18),COLUMN('PAYG 1'!$C$18),4)</f>
        <v>C18</v>
      </c>
      <c r="C3631" t="str">
        <f>ADDRESS(ROW('PAYG 1'!$D$18),COLUMN('PAYG 1'!$D$18),4)</f>
        <v>D18</v>
      </c>
      <c r="D3631" t="b" cm="1">
        <f t="array" aca="1" ref="D3631" ca="1">IF(INDIRECT("'"&amp;A3631&amp;"'!"&amp;B3631)="",FALSE,IF(NOT(ISNUMBER(INDIRECT("'"&amp;A3631&amp;"'!"&amp;B3631))),TRUE,FALSE))</f>
        <v>0</v>
      </c>
      <c r="E3631" t="s">
        <v>435</v>
      </c>
      <c r="F3631" t="str">
        <f>INDEX(Lists!I:I,MATCH(Validation!E3631,Lists!G:G,0))</f>
        <v>Error</v>
      </c>
      <c r="G3631" t="str">
        <f>INDEX(Lists!H:H,MATCH(Validation!E3631,Lists!G:G,0))</f>
        <v>Enter an amount only. Do not enter text or spaces.</v>
      </c>
      <c r="H3631" s="16" t="str">
        <f t="shared" ca="1" si="393"/>
        <v/>
      </c>
      <c r="I3631" s="16" t="str">
        <f t="shared" ca="1" si="394"/>
        <v/>
      </c>
      <c r="J3631" s="17" t="str">
        <f t="shared" ca="1" si="395"/>
        <v/>
      </c>
    </row>
    <row r="3632" spans="1:10" x14ac:dyDescent="0.25">
      <c r="A3632" t="s">
        <v>656</v>
      </c>
      <c r="B3632" t="str">
        <f>ADDRESS(ROW('PAYG 1'!$C$18),COLUMN('PAYG 1'!$C$18),4)</f>
        <v>C18</v>
      </c>
      <c r="C3632" t="str">
        <f>ADDRESS(ROW('PAYG 1'!$D$18),COLUMN('PAYG 1'!$D$18),4)</f>
        <v>D18</v>
      </c>
      <c r="D3632" t="b" cm="1">
        <f t="array" aca="1" ref="D3632" ca="1">IF(INDIRECT("'"&amp;A3632&amp;"'!"&amp;B3632)="",FALSE,IF(NOT(ISNUMBER(INDIRECT("'"&amp;A3632&amp;"'!"&amp;B3632))),TRUE,FALSE))</f>
        <v>0</v>
      </c>
      <c r="E3632" t="s">
        <v>435</v>
      </c>
      <c r="F3632" t="str">
        <f>INDEX(Lists!I:I,MATCH(Validation!E3632,Lists!G:G,0))</f>
        <v>Error</v>
      </c>
      <c r="G3632" t="str">
        <f>INDEX(Lists!H:H,MATCH(Validation!E3632,Lists!G:G,0))</f>
        <v>Enter an amount only. Do not enter text or spaces.</v>
      </c>
      <c r="H3632" s="16" t="str">
        <f t="shared" ca="1" si="393"/>
        <v/>
      </c>
      <c r="I3632" s="16" t="str">
        <f t="shared" ca="1" si="394"/>
        <v/>
      </c>
      <c r="J3632" s="17" t="str">
        <f t="shared" ca="1" si="395"/>
        <v/>
      </c>
    </row>
    <row r="3633" spans="1:10" x14ac:dyDescent="0.25">
      <c r="A3633" t="s">
        <v>657</v>
      </c>
      <c r="B3633" t="str">
        <f>ADDRESS(ROW('PAYG 1'!$C$18),COLUMN('PAYG 1'!$C$18),4)</f>
        <v>C18</v>
      </c>
      <c r="C3633" t="str">
        <f>ADDRESS(ROW('PAYG 1'!$D$18),COLUMN('PAYG 1'!$D$18),4)</f>
        <v>D18</v>
      </c>
      <c r="D3633" t="b" cm="1">
        <f t="array" aca="1" ref="D3633" ca="1">IF(INDIRECT("'"&amp;A3633&amp;"'!"&amp;B3633)="",FALSE,IF(NOT(ISNUMBER(INDIRECT("'"&amp;A3633&amp;"'!"&amp;B3633))),TRUE,FALSE))</f>
        <v>0</v>
      </c>
      <c r="E3633" t="s">
        <v>435</v>
      </c>
      <c r="F3633" t="str">
        <f>INDEX(Lists!I:I,MATCH(Validation!E3633,Lists!G:G,0))</f>
        <v>Error</v>
      </c>
      <c r="G3633" t="str">
        <f>INDEX(Lists!H:H,MATCH(Validation!E3633,Lists!G:G,0))</f>
        <v>Enter an amount only. Do not enter text or spaces.</v>
      </c>
      <c r="H3633" s="16" t="str">
        <f t="shared" ca="1" si="393"/>
        <v/>
      </c>
      <c r="I3633" s="16" t="str">
        <f t="shared" ca="1" si="394"/>
        <v/>
      </c>
      <c r="J3633" s="17" t="str">
        <f t="shared" ca="1" si="395"/>
        <v/>
      </c>
    </row>
    <row r="3634" spans="1:10" x14ac:dyDescent="0.25">
      <c r="A3634" t="s">
        <v>658</v>
      </c>
      <c r="B3634" t="str">
        <f>ADDRESS(ROW('PAYG 1'!$C$18),COLUMN('PAYG 1'!$C$18),4)</f>
        <v>C18</v>
      </c>
      <c r="C3634" t="str">
        <f>ADDRESS(ROW('PAYG 1'!$D$18),COLUMN('PAYG 1'!$D$18),4)</f>
        <v>D18</v>
      </c>
      <c r="D3634" t="b" cm="1">
        <f t="array" aca="1" ref="D3634" ca="1">IF(INDIRECT("'"&amp;A3634&amp;"'!"&amp;B3634)="",FALSE,IF(NOT(ISNUMBER(INDIRECT("'"&amp;A3634&amp;"'!"&amp;B3634))),TRUE,FALSE))</f>
        <v>0</v>
      </c>
      <c r="E3634" t="s">
        <v>435</v>
      </c>
      <c r="F3634" t="str">
        <f>INDEX(Lists!I:I,MATCH(Validation!E3634,Lists!G:G,0))</f>
        <v>Error</v>
      </c>
      <c r="G3634" t="str">
        <f>INDEX(Lists!H:H,MATCH(Validation!E3634,Lists!G:G,0))</f>
        <v>Enter an amount only. Do not enter text or spaces.</v>
      </c>
      <c r="H3634" s="16" t="str">
        <f t="shared" ca="1" si="393"/>
        <v/>
      </c>
      <c r="I3634" s="16" t="str">
        <f t="shared" ca="1" si="394"/>
        <v/>
      </c>
      <c r="J3634" s="17" t="str">
        <f t="shared" ca="1" si="395"/>
        <v/>
      </c>
    </row>
    <row r="3635" spans="1:10" x14ac:dyDescent="0.25">
      <c r="A3635" t="s">
        <v>659</v>
      </c>
      <c r="B3635" t="str">
        <f>ADDRESS(ROW('PAYG 1'!$C$18),COLUMN('PAYG 1'!$C$18),4)</f>
        <v>C18</v>
      </c>
      <c r="C3635" t="str">
        <f>ADDRESS(ROW('PAYG 1'!$D$18),COLUMN('PAYG 1'!$D$18),4)</f>
        <v>D18</v>
      </c>
      <c r="D3635" t="b" cm="1">
        <f t="array" aca="1" ref="D3635" ca="1">IF(INDIRECT("'"&amp;A3635&amp;"'!"&amp;B3635)="",FALSE,IF(NOT(ISNUMBER(INDIRECT("'"&amp;A3635&amp;"'!"&amp;B3635))),TRUE,FALSE))</f>
        <v>0</v>
      </c>
      <c r="E3635" t="s">
        <v>435</v>
      </c>
      <c r="F3635" t="str">
        <f>INDEX(Lists!I:I,MATCH(Validation!E3635,Lists!G:G,0))</f>
        <v>Error</v>
      </c>
      <c r="G3635" t="str">
        <f>INDEX(Lists!H:H,MATCH(Validation!E3635,Lists!G:G,0))</f>
        <v>Enter an amount only. Do not enter text or spaces.</v>
      </c>
      <c r="H3635" s="16" t="str">
        <f t="shared" ca="1" si="393"/>
        <v/>
      </c>
      <c r="I3635" s="16" t="str">
        <f t="shared" ca="1" si="394"/>
        <v/>
      </c>
      <c r="J3635" s="17" t="str">
        <f t="shared" ca="1" si="395"/>
        <v/>
      </c>
    </row>
    <row r="3636" spans="1:10" x14ac:dyDescent="0.25">
      <c r="A3636" t="s">
        <v>660</v>
      </c>
      <c r="B3636" t="str">
        <f>ADDRESS(ROW('PAYG 1'!$C$18),COLUMN('PAYG 1'!$C$18),4)</f>
        <v>C18</v>
      </c>
      <c r="C3636" t="str">
        <f>ADDRESS(ROW('PAYG 1'!$D$18),COLUMN('PAYG 1'!$D$18),4)</f>
        <v>D18</v>
      </c>
      <c r="D3636" t="b" cm="1">
        <f t="array" aca="1" ref="D3636" ca="1">IF(INDIRECT("'"&amp;A3636&amp;"'!"&amp;B3636)="",FALSE,IF(NOT(ISNUMBER(INDIRECT("'"&amp;A3636&amp;"'!"&amp;B3636))),TRUE,FALSE))</f>
        <v>0</v>
      </c>
      <c r="E3636" t="s">
        <v>435</v>
      </c>
      <c r="F3636" t="str">
        <f>INDEX(Lists!I:I,MATCH(Validation!E3636,Lists!G:G,0))</f>
        <v>Error</v>
      </c>
      <c r="G3636" t="str">
        <f>INDEX(Lists!H:H,MATCH(Validation!E3636,Lists!G:G,0))</f>
        <v>Enter an amount only. Do not enter text or spaces.</v>
      </c>
      <c r="H3636" s="16" t="str">
        <f t="shared" ca="1" si="393"/>
        <v/>
      </c>
      <c r="I3636" s="16" t="str">
        <f t="shared" ca="1" si="394"/>
        <v/>
      </c>
      <c r="J3636" s="17" t="str">
        <f t="shared" ca="1" si="395"/>
        <v/>
      </c>
    </row>
    <row r="3637" spans="1:10" x14ac:dyDescent="0.25">
      <c r="A3637" t="s">
        <v>661</v>
      </c>
      <c r="B3637" t="str">
        <f>ADDRESS(ROW('PAYG 1'!$C$18),COLUMN('PAYG 1'!$C$18),4)</f>
        <v>C18</v>
      </c>
      <c r="C3637" t="str">
        <f>ADDRESS(ROW('PAYG 1'!$D$18),COLUMN('PAYG 1'!$D$18),4)</f>
        <v>D18</v>
      </c>
      <c r="D3637" t="b" cm="1">
        <f t="array" aca="1" ref="D3637" ca="1">IF(INDIRECT("'"&amp;A3637&amp;"'!"&amp;B3637)="",FALSE,IF(NOT(ISNUMBER(INDIRECT("'"&amp;A3637&amp;"'!"&amp;B3637))),TRUE,FALSE))</f>
        <v>0</v>
      </c>
      <c r="E3637" t="s">
        <v>435</v>
      </c>
      <c r="F3637" t="str">
        <f>INDEX(Lists!I:I,MATCH(Validation!E3637,Lists!G:G,0))</f>
        <v>Error</v>
      </c>
      <c r="G3637" t="str">
        <f>INDEX(Lists!H:H,MATCH(Validation!E3637,Lists!G:G,0))</f>
        <v>Enter an amount only. Do not enter text or spaces.</v>
      </c>
      <c r="H3637" s="16" t="str">
        <f t="shared" ca="1" si="393"/>
        <v/>
      </c>
      <c r="I3637" s="16" t="str">
        <f t="shared" ca="1" si="394"/>
        <v/>
      </c>
      <c r="J3637" s="17" t="str">
        <f t="shared" ca="1" si="395"/>
        <v/>
      </c>
    </row>
    <row r="3638" spans="1:10" x14ac:dyDescent="0.25">
      <c r="A3638" t="s">
        <v>662</v>
      </c>
      <c r="B3638" t="str">
        <f>ADDRESS(ROW('PAYG 1'!$C$18),COLUMN('PAYG 1'!$C$18),4)</f>
        <v>C18</v>
      </c>
      <c r="C3638" t="str">
        <f>ADDRESS(ROW('PAYG 1'!$D$18),COLUMN('PAYG 1'!$D$18),4)</f>
        <v>D18</v>
      </c>
      <c r="D3638" t="b" cm="1">
        <f t="array" aca="1" ref="D3638" ca="1">IF(INDIRECT("'"&amp;A3638&amp;"'!"&amp;B3638)="",FALSE,IF(NOT(ISNUMBER(INDIRECT("'"&amp;A3638&amp;"'!"&amp;B3638))),TRUE,FALSE))</f>
        <v>0</v>
      </c>
      <c r="E3638" t="s">
        <v>435</v>
      </c>
      <c r="F3638" t="str">
        <f>INDEX(Lists!I:I,MATCH(Validation!E3638,Lists!G:G,0))</f>
        <v>Error</v>
      </c>
      <c r="G3638" t="str">
        <f>INDEX(Lists!H:H,MATCH(Validation!E3638,Lists!G:G,0))</f>
        <v>Enter an amount only. Do not enter text or spaces.</v>
      </c>
      <c r="H3638" s="16" t="str">
        <f t="shared" ca="1" si="393"/>
        <v/>
      </c>
      <c r="I3638" s="16" t="str">
        <f t="shared" ca="1" si="394"/>
        <v/>
      </c>
      <c r="J3638" s="17" t="str">
        <f t="shared" ca="1" si="395"/>
        <v/>
      </c>
    </row>
    <row r="3639" spans="1:10" x14ac:dyDescent="0.25">
      <c r="A3639" t="s">
        <v>663</v>
      </c>
      <c r="B3639" t="str">
        <f>ADDRESS(ROW('PAYG 1'!$C$18),COLUMN('PAYG 1'!$C$18),4)</f>
        <v>C18</v>
      </c>
      <c r="C3639" t="str">
        <f>ADDRESS(ROW('PAYG 1'!$D$18),COLUMN('PAYG 1'!$D$18),4)</f>
        <v>D18</v>
      </c>
      <c r="D3639" t="b" cm="1">
        <f t="array" aca="1" ref="D3639" ca="1">IF(INDIRECT("'"&amp;A3639&amp;"'!"&amp;B3639)="",FALSE,IF(NOT(ISNUMBER(INDIRECT("'"&amp;A3639&amp;"'!"&amp;B3639))),TRUE,FALSE))</f>
        <v>0</v>
      </c>
      <c r="E3639" t="s">
        <v>435</v>
      </c>
      <c r="F3639" t="str">
        <f>INDEX(Lists!I:I,MATCH(Validation!E3639,Lists!G:G,0))</f>
        <v>Error</v>
      </c>
      <c r="G3639" t="str">
        <f>INDEX(Lists!H:H,MATCH(Validation!E3639,Lists!G:G,0))</f>
        <v>Enter an amount only. Do not enter text or spaces.</v>
      </c>
      <c r="H3639" s="16" t="str">
        <f t="shared" ca="1" si="393"/>
        <v/>
      </c>
      <c r="I3639" s="16" t="str">
        <f t="shared" ca="1" si="394"/>
        <v/>
      </c>
      <c r="J3639" s="17" t="str">
        <f t="shared" ca="1" si="395"/>
        <v/>
      </c>
    </row>
    <row r="3640" spans="1:10" x14ac:dyDescent="0.25">
      <c r="A3640" t="s">
        <v>664</v>
      </c>
      <c r="B3640" t="str">
        <f>ADDRESS(ROW('PAYG 1'!$C$18),COLUMN('PAYG 1'!$C$18),4)</f>
        <v>C18</v>
      </c>
      <c r="C3640" t="str">
        <f>ADDRESS(ROW('PAYG 1'!$D$18),COLUMN('PAYG 1'!$D$18),4)</f>
        <v>D18</v>
      </c>
      <c r="D3640" t="b" cm="1">
        <f t="array" aca="1" ref="D3640" ca="1">IF(INDIRECT("'"&amp;A3640&amp;"'!"&amp;B3640)="",FALSE,IF(NOT(ISNUMBER(INDIRECT("'"&amp;A3640&amp;"'!"&amp;B3640))),TRUE,FALSE))</f>
        <v>0</v>
      </c>
      <c r="E3640" t="s">
        <v>435</v>
      </c>
      <c r="F3640" t="str">
        <f>INDEX(Lists!I:I,MATCH(Validation!E3640,Lists!G:G,0))</f>
        <v>Error</v>
      </c>
      <c r="G3640" t="str">
        <f>INDEX(Lists!H:H,MATCH(Validation!E3640,Lists!G:G,0))</f>
        <v>Enter an amount only. Do not enter text or spaces.</v>
      </c>
      <c r="H3640" s="16" t="str">
        <f t="shared" ca="1" si="393"/>
        <v/>
      </c>
      <c r="I3640" s="16" t="str">
        <f t="shared" ca="1" si="394"/>
        <v/>
      </c>
      <c r="J3640" s="17" t="str">
        <f t="shared" ca="1" si="395"/>
        <v/>
      </c>
    </row>
    <row r="3641" spans="1:10" x14ac:dyDescent="0.25">
      <c r="A3641" t="s">
        <v>203</v>
      </c>
      <c r="B3641" t="str">
        <f>ADDRESS(ROW('PAYG 1'!$C$18),COLUMN('PAYG 1'!$C$18),4)</f>
        <v>C18</v>
      </c>
      <c r="C3641" t="str">
        <f>ADDRESS(ROW('PAYG 1'!$D$18),COLUMN('PAYG 1'!$D$18),4)</f>
        <v>D18</v>
      </c>
      <c r="D3641" t="b" cm="1">
        <f t="array" aca="1" ref="D3641" ca="1">IF(INDIRECT("'"&amp;A3641&amp;"'!"&amp;B3641)="",FALSE,IF(INDIRECT("'"&amp;A3641&amp;"'!"&amp;B3641)&lt;0,TRUE,FALSE))</f>
        <v>0</v>
      </c>
      <c r="E3641" t="s">
        <v>434</v>
      </c>
      <c r="F3641" t="str">
        <f>INDEX(Lists!I:I,MATCH(Validation!E3641,Lists!G:G,0))</f>
        <v>Error</v>
      </c>
      <c r="G3641" t="str">
        <f>INDEX(Lists!H:H,MATCH(Validation!E3641,Lists!G:G,0))</f>
        <v>Amount may not be negative. Enter an amount greater than or equal to zero.</v>
      </c>
      <c r="H3641" s="16" t="str">
        <f t="shared" ca="1" si="393"/>
        <v/>
      </c>
      <c r="I3641" s="16" t="str">
        <f t="shared" ca="1" si="394"/>
        <v/>
      </c>
      <c r="J3641" s="17" t="str">
        <f t="shared" ca="1" si="395"/>
        <v/>
      </c>
    </row>
    <row r="3642" spans="1:10" x14ac:dyDescent="0.25">
      <c r="A3642" t="s">
        <v>651</v>
      </c>
      <c r="B3642" t="str">
        <f>ADDRESS(ROW('PAYG 1'!$C$18),COLUMN('PAYG 1'!$C$18),4)</f>
        <v>C18</v>
      </c>
      <c r="C3642" t="str">
        <f>ADDRESS(ROW('PAYG 1'!$D$18),COLUMN('PAYG 1'!$D$18),4)</f>
        <v>D18</v>
      </c>
      <c r="D3642" t="b" cm="1">
        <f t="array" aca="1" ref="D3642" ca="1">IF(INDIRECT("'"&amp;A3642&amp;"'!"&amp;B3642)="",FALSE,IF(INDIRECT("'"&amp;A3642&amp;"'!"&amp;B3642)&lt;0,TRUE,FALSE))</f>
        <v>0</v>
      </c>
      <c r="E3642" t="s">
        <v>434</v>
      </c>
      <c r="F3642" t="str">
        <f>INDEX(Lists!I:I,MATCH(Validation!E3642,Lists!G:G,0))</f>
        <v>Error</v>
      </c>
      <c r="G3642" t="str">
        <f>INDEX(Lists!H:H,MATCH(Validation!E3642,Lists!G:G,0))</f>
        <v>Amount may not be negative. Enter an amount greater than or equal to zero.</v>
      </c>
      <c r="H3642" s="16" t="str">
        <f t="shared" ca="1" si="393"/>
        <v/>
      </c>
      <c r="I3642" s="16" t="str">
        <f t="shared" ca="1" si="394"/>
        <v/>
      </c>
      <c r="J3642" s="17" t="str">
        <f t="shared" ca="1" si="395"/>
        <v/>
      </c>
    </row>
    <row r="3643" spans="1:10" x14ac:dyDescent="0.25">
      <c r="A3643" t="s">
        <v>652</v>
      </c>
      <c r="B3643" t="str">
        <f>ADDRESS(ROW('PAYG 1'!$C$18),COLUMN('PAYG 1'!$C$18),4)</f>
        <v>C18</v>
      </c>
      <c r="C3643" t="str">
        <f>ADDRESS(ROW('PAYG 1'!$D$18),COLUMN('PAYG 1'!$D$18),4)</f>
        <v>D18</v>
      </c>
      <c r="D3643" t="b" cm="1">
        <f t="array" aca="1" ref="D3643" ca="1">IF(INDIRECT("'"&amp;A3643&amp;"'!"&amp;B3643)="",FALSE,IF(INDIRECT("'"&amp;A3643&amp;"'!"&amp;B3643)&lt;0,TRUE,FALSE))</f>
        <v>0</v>
      </c>
      <c r="E3643" t="s">
        <v>434</v>
      </c>
      <c r="F3643" t="str">
        <f>INDEX(Lists!I:I,MATCH(Validation!E3643,Lists!G:G,0))</f>
        <v>Error</v>
      </c>
      <c r="G3643" t="str">
        <f>INDEX(Lists!H:H,MATCH(Validation!E3643,Lists!G:G,0))</f>
        <v>Amount may not be negative. Enter an amount greater than or equal to zero.</v>
      </c>
      <c r="H3643" s="16" t="str">
        <f t="shared" ca="1" si="393"/>
        <v/>
      </c>
      <c r="I3643" s="16" t="str">
        <f t="shared" ca="1" si="394"/>
        <v/>
      </c>
      <c r="J3643" s="17" t="str">
        <f t="shared" ca="1" si="395"/>
        <v/>
      </c>
    </row>
    <row r="3644" spans="1:10" x14ac:dyDescent="0.25">
      <c r="A3644" t="s">
        <v>653</v>
      </c>
      <c r="B3644" t="str">
        <f>ADDRESS(ROW('PAYG 1'!$C$18),COLUMN('PAYG 1'!$C$18),4)</f>
        <v>C18</v>
      </c>
      <c r="C3644" t="str">
        <f>ADDRESS(ROW('PAYG 1'!$D$18),COLUMN('PAYG 1'!$D$18),4)</f>
        <v>D18</v>
      </c>
      <c r="D3644" t="b" cm="1">
        <f t="array" aca="1" ref="D3644" ca="1">IF(INDIRECT("'"&amp;A3644&amp;"'!"&amp;B3644)="",FALSE,IF(INDIRECT("'"&amp;A3644&amp;"'!"&amp;B3644)&lt;0,TRUE,FALSE))</f>
        <v>0</v>
      </c>
      <c r="E3644" t="s">
        <v>434</v>
      </c>
      <c r="F3644" t="str">
        <f>INDEX(Lists!I:I,MATCH(Validation!E3644,Lists!G:G,0))</f>
        <v>Error</v>
      </c>
      <c r="G3644" t="str">
        <f>INDEX(Lists!H:H,MATCH(Validation!E3644,Lists!G:G,0))</f>
        <v>Amount may not be negative. Enter an amount greater than or equal to zero.</v>
      </c>
      <c r="H3644" s="16" t="str">
        <f t="shared" ca="1" si="393"/>
        <v/>
      </c>
      <c r="I3644" s="16" t="str">
        <f t="shared" ca="1" si="394"/>
        <v/>
      </c>
      <c r="J3644" s="17" t="str">
        <f t="shared" ca="1" si="395"/>
        <v/>
      </c>
    </row>
    <row r="3645" spans="1:10" x14ac:dyDescent="0.25">
      <c r="A3645" t="s">
        <v>654</v>
      </c>
      <c r="B3645" t="str">
        <f>ADDRESS(ROW('PAYG 1'!$C$18),COLUMN('PAYG 1'!$C$18),4)</f>
        <v>C18</v>
      </c>
      <c r="C3645" t="str">
        <f>ADDRESS(ROW('PAYG 1'!$D$18),COLUMN('PAYG 1'!$D$18),4)</f>
        <v>D18</v>
      </c>
      <c r="D3645" t="b" cm="1">
        <f t="array" aca="1" ref="D3645" ca="1">IF(INDIRECT("'"&amp;A3645&amp;"'!"&amp;B3645)="",FALSE,IF(INDIRECT("'"&amp;A3645&amp;"'!"&amp;B3645)&lt;0,TRUE,FALSE))</f>
        <v>0</v>
      </c>
      <c r="E3645" t="s">
        <v>434</v>
      </c>
      <c r="F3645" t="str">
        <f>INDEX(Lists!I:I,MATCH(Validation!E3645,Lists!G:G,0))</f>
        <v>Error</v>
      </c>
      <c r="G3645" t="str">
        <f>INDEX(Lists!H:H,MATCH(Validation!E3645,Lists!G:G,0))</f>
        <v>Amount may not be negative. Enter an amount greater than or equal to zero.</v>
      </c>
      <c r="H3645" s="16" t="str">
        <f t="shared" ca="1" si="393"/>
        <v/>
      </c>
      <c r="I3645" s="16" t="str">
        <f t="shared" ca="1" si="394"/>
        <v/>
      </c>
      <c r="J3645" s="17" t="str">
        <f t="shared" ca="1" si="395"/>
        <v/>
      </c>
    </row>
    <row r="3646" spans="1:10" x14ac:dyDescent="0.25">
      <c r="A3646" t="s">
        <v>655</v>
      </c>
      <c r="B3646" t="str">
        <f>ADDRESS(ROW('PAYG 1'!$C$18),COLUMN('PAYG 1'!$C$18),4)</f>
        <v>C18</v>
      </c>
      <c r="C3646" t="str">
        <f>ADDRESS(ROW('PAYG 1'!$D$18),COLUMN('PAYG 1'!$D$18),4)</f>
        <v>D18</v>
      </c>
      <c r="D3646" t="b" cm="1">
        <f t="array" aca="1" ref="D3646" ca="1">IF(INDIRECT("'"&amp;A3646&amp;"'!"&amp;B3646)="",FALSE,IF(INDIRECT("'"&amp;A3646&amp;"'!"&amp;B3646)&lt;0,TRUE,FALSE))</f>
        <v>0</v>
      </c>
      <c r="E3646" t="s">
        <v>434</v>
      </c>
      <c r="F3646" t="str">
        <f>INDEX(Lists!I:I,MATCH(Validation!E3646,Lists!G:G,0))</f>
        <v>Error</v>
      </c>
      <c r="G3646" t="str">
        <f>INDEX(Lists!H:H,MATCH(Validation!E3646,Lists!G:G,0))</f>
        <v>Amount may not be negative. Enter an amount greater than or equal to zero.</v>
      </c>
      <c r="H3646" s="16" t="str">
        <f t="shared" ca="1" si="393"/>
        <v/>
      </c>
      <c r="I3646" s="16" t="str">
        <f t="shared" ca="1" si="394"/>
        <v/>
      </c>
      <c r="J3646" s="17" t="str">
        <f t="shared" ca="1" si="395"/>
        <v/>
      </c>
    </row>
    <row r="3647" spans="1:10" x14ac:dyDescent="0.25">
      <c r="A3647" t="s">
        <v>656</v>
      </c>
      <c r="B3647" t="str">
        <f>ADDRESS(ROW('PAYG 1'!$C$18),COLUMN('PAYG 1'!$C$18),4)</f>
        <v>C18</v>
      </c>
      <c r="C3647" t="str">
        <f>ADDRESS(ROW('PAYG 1'!$D$18),COLUMN('PAYG 1'!$D$18),4)</f>
        <v>D18</v>
      </c>
      <c r="D3647" t="b" cm="1">
        <f t="array" aca="1" ref="D3647" ca="1">IF(INDIRECT("'"&amp;A3647&amp;"'!"&amp;B3647)="",FALSE,IF(INDIRECT("'"&amp;A3647&amp;"'!"&amp;B3647)&lt;0,TRUE,FALSE))</f>
        <v>0</v>
      </c>
      <c r="E3647" t="s">
        <v>434</v>
      </c>
      <c r="F3647" t="str">
        <f>INDEX(Lists!I:I,MATCH(Validation!E3647,Lists!G:G,0))</f>
        <v>Error</v>
      </c>
      <c r="G3647" t="str">
        <f>INDEX(Lists!H:H,MATCH(Validation!E3647,Lists!G:G,0))</f>
        <v>Amount may not be negative. Enter an amount greater than or equal to zero.</v>
      </c>
      <c r="H3647" s="16" t="str">
        <f t="shared" ca="1" si="393"/>
        <v/>
      </c>
      <c r="I3647" s="16" t="str">
        <f t="shared" ca="1" si="394"/>
        <v/>
      </c>
      <c r="J3647" s="17" t="str">
        <f t="shared" ca="1" si="395"/>
        <v/>
      </c>
    </row>
    <row r="3648" spans="1:10" x14ac:dyDescent="0.25">
      <c r="A3648" t="s">
        <v>657</v>
      </c>
      <c r="B3648" t="str">
        <f>ADDRESS(ROW('PAYG 1'!$C$18),COLUMN('PAYG 1'!$C$18),4)</f>
        <v>C18</v>
      </c>
      <c r="C3648" t="str">
        <f>ADDRESS(ROW('PAYG 1'!$D$18),COLUMN('PAYG 1'!$D$18),4)</f>
        <v>D18</v>
      </c>
      <c r="D3648" t="b" cm="1">
        <f t="array" aca="1" ref="D3648" ca="1">IF(INDIRECT("'"&amp;A3648&amp;"'!"&amp;B3648)="",FALSE,IF(INDIRECT("'"&amp;A3648&amp;"'!"&amp;B3648)&lt;0,TRUE,FALSE))</f>
        <v>0</v>
      </c>
      <c r="E3648" t="s">
        <v>434</v>
      </c>
      <c r="F3648" t="str">
        <f>INDEX(Lists!I:I,MATCH(Validation!E3648,Lists!G:G,0))</f>
        <v>Error</v>
      </c>
      <c r="G3648" t="str">
        <f>INDEX(Lists!H:H,MATCH(Validation!E3648,Lists!G:G,0))</f>
        <v>Amount may not be negative. Enter an amount greater than or equal to zero.</v>
      </c>
      <c r="H3648" s="16" t="str">
        <f t="shared" ca="1" si="393"/>
        <v/>
      </c>
      <c r="I3648" s="16" t="str">
        <f t="shared" ca="1" si="394"/>
        <v/>
      </c>
      <c r="J3648" s="17" t="str">
        <f t="shared" ca="1" si="395"/>
        <v/>
      </c>
    </row>
    <row r="3649" spans="1:10" x14ac:dyDescent="0.25">
      <c r="A3649" t="s">
        <v>658</v>
      </c>
      <c r="B3649" t="str">
        <f>ADDRESS(ROW('PAYG 1'!$C$18),COLUMN('PAYG 1'!$C$18),4)</f>
        <v>C18</v>
      </c>
      <c r="C3649" t="str">
        <f>ADDRESS(ROW('PAYG 1'!$D$18),COLUMN('PAYG 1'!$D$18),4)</f>
        <v>D18</v>
      </c>
      <c r="D3649" t="b" cm="1">
        <f t="array" aca="1" ref="D3649" ca="1">IF(INDIRECT("'"&amp;A3649&amp;"'!"&amp;B3649)="",FALSE,IF(INDIRECT("'"&amp;A3649&amp;"'!"&amp;B3649)&lt;0,TRUE,FALSE))</f>
        <v>0</v>
      </c>
      <c r="E3649" t="s">
        <v>434</v>
      </c>
      <c r="F3649" t="str">
        <f>INDEX(Lists!I:I,MATCH(Validation!E3649,Lists!G:G,0))</f>
        <v>Error</v>
      </c>
      <c r="G3649" t="str">
        <f>INDEX(Lists!H:H,MATCH(Validation!E3649,Lists!G:G,0))</f>
        <v>Amount may not be negative. Enter an amount greater than or equal to zero.</v>
      </c>
      <c r="H3649" s="16" t="str">
        <f t="shared" ca="1" si="393"/>
        <v/>
      </c>
      <c r="I3649" s="16" t="str">
        <f t="shared" ca="1" si="394"/>
        <v/>
      </c>
      <c r="J3649" s="17" t="str">
        <f t="shared" ca="1" si="395"/>
        <v/>
      </c>
    </row>
    <row r="3650" spans="1:10" x14ac:dyDescent="0.25">
      <c r="A3650" t="s">
        <v>659</v>
      </c>
      <c r="B3650" t="str">
        <f>ADDRESS(ROW('PAYG 1'!$C$18),COLUMN('PAYG 1'!$C$18),4)</f>
        <v>C18</v>
      </c>
      <c r="C3650" t="str">
        <f>ADDRESS(ROW('PAYG 1'!$D$18),COLUMN('PAYG 1'!$D$18),4)</f>
        <v>D18</v>
      </c>
      <c r="D3650" t="b" cm="1">
        <f t="array" aca="1" ref="D3650" ca="1">IF(INDIRECT("'"&amp;A3650&amp;"'!"&amp;B3650)="",FALSE,IF(INDIRECT("'"&amp;A3650&amp;"'!"&amp;B3650)&lt;0,TRUE,FALSE))</f>
        <v>0</v>
      </c>
      <c r="E3650" t="s">
        <v>434</v>
      </c>
      <c r="F3650" t="str">
        <f>INDEX(Lists!I:I,MATCH(Validation!E3650,Lists!G:G,0))</f>
        <v>Error</v>
      </c>
      <c r="G3650" t="str">
        <f>INDEX(Lists!H:H,MATCH(Validation!E3650,Lists!G:G,0))</f>
        <v>Amount may not be negative. Enter an amount greater than or equal to zero.</v>
      </c>
      <c r="H3650" s="16" t="str">
        <f t="shared" ca="1" si="393"/>
        <v/>
      </c>
      <c r="I3650" s="16" t="str">
        <f t="shared" ca="1" si="394"/>
        <v/>
      </c>
      <c r="J3650" s="17" t="str">
        <f t="shared" ca="1" si="395"/>
        <v/>
      </c>
    </row>
    <row r="3651" spans="1:10" x14ac:dyDescent="0.25">
      <c r="A3651" t="s">
        <v>660</v>
      </c>
      <c r="B3651" t="str">
        <f>ADDRESS(ROW('PAYG 1'!$C$18),COLUMN('PAYG 1'!$C$18),4)</f>
        <v>C18</v>
      </c>
      <c r="C3651" t="str">
        <f>ADDRESS(ROW('PAYG 1'!$D$18),COLUMN('PAYG 1'!$D$18),4)</f>
        <v>D18</v>
      </c>
      <c r="D3651" t="b" cm="1">
        <f t="array" aca="1" ref="D3651" ca="1">IF(INDIRECT("'"&amp;A3651&amp;"'!"&amp;B3651)="",FALSE,IF(INDIRECT("'"&amp;A3651&amp;"'!"&amp;B3651)&lt;0,TRUE,FALSE))</f>
        <v>0</v>
      </c>
      <c r="E3651" t="s">
        <v>434</v>
      </c>
      <c r="F3651" t="str">
        <f>INDEX(Lists!I:I,MATCH(Validation!E3651,Lists!G:G,0))</f>
        <v>Error</v>
      </c>
      <c r="G3651" t="str">
        <f>INDEX(Lists!H:H,MATCH(Validation!E3651,Lists!G:G,0))</f>
        <v>Amount may not be negative. Enter an amount greater than or equal to zero.</v>
      </c>
      <c r="H3651" s="16" t="str">
        <f t="shared" ca="1" si="393"/>
        <v/>
      </c>
      <c r="I3651" s="16" t="str">
        <f t="shared" ca="1" si="394"/>
        <v/>
      </c>
      <c r="J3651" s="17" t="str">
        <f t="shared" ca="1" si="395"/>
        <v/>
      </c>
    </row>
    <row r="3652" spans="1:10" x14ac:dyDescent="0.25">
      <c r="A3652" t="s">
        <v>661</v>
      </c>
      <c r="B3652" t="str">
        <f>ADDRESS(ROW('PAYG 1'!$C$18),COLUMN('PAYG 1'!$C$18),4)</f>
        <v>C18</v>
      </c>
      <c r="C3652" t="str">
        <f>ADDRESS(ROW('PAYG 1'!$D$18),COLUMN('PAYG 1'!$D$18),4)</f>
        <v>D18</v>
      </c>
      <c r="D3652" t="b" cm="1">
        <f t="array" aca="1" ref="D3652" ca="1">IF(INDIRECT("'"&amp;A3652&amp;"'!"&amp;B3652)="",FALSE,IF(INDIRECT("'"&amp;A3652&amp;"'!"&amp;B3652)&lt;0,TRUE,FALSE))</f>
        <v>0</v>
      </c>
      <c r="E3652" t="s">
        <v>434</v>
      </c>
      <c r="F3652" t="str">
        <f>INDEX(Lists!I:I,MATCH(Validation!E3652,Lists!G:G,0))</f>
        <v>Error</v>
      </c>
      <c r="G3652" t="str">
        <f>INDEX(Lists!H:H,MATCH(Validation!E3652,Lists!G:G,0))</f>
        <v>Amount may not be negative. Enter an amount greater than or equal to zero.</v>
      </c>
      <c r="H3652" s="16" t="str">
        <f t="shared" ca="1" si="393"/>
        <v/>
      </c>
      <c r="I3652" s="16" t="str">
        <f t="shared" ca="1" si="394"/>
        <v/>
      </c>
      <c r="J3652" s="17" t="str">
        <f t="shared" ca="1" si="395"/>
        <v/>
      </c>
    </row>
    <row r="3653" spans="1:10" x14ac:dyDescent="0.25">
      <c r="A3653" t="s">
        <v>662</v>
      </c>
      <c r="B3653" t="str">
        <f>ADDRESS(ROW('PAYG 1'!$C$18),COLUMN('PAYG 1'!$C$18),4)</f>
        <v>C18</v>
      </c>
      <c r="C3653" t="str">
        <f>ADDRESS(ROW('PAYG 1'!$D$18),COLUMN('PAYG 1'!$D$18),4)</f>
        <v>D18</v>
      </c>
      <c r="D3653" t="b" cm="1">
        <f t="array" aca="1" ref="D3653" ca="1">IF(INDIRECT("'"&amp;A3653&amp;"'!"&amp;B3653)="",FALSE,IF(INDIRECT("'"&amp;A3653&amp;"'!"&amp;B3653)&lt;0,TRUE,FALSE))</f>
        <v>0</v>
      </c>
      <c r="E3653" t="s">
        <v>434</v>
      </c>
      <c r="F3653" t="str">
        <f>INDEX(Lists!I:I,MATCH(Validation!E3653,Lists!G:G,0))</f>
        <v>Error</v>
      </c>
      <c r="G3653" t="str">
        <f>INDEX(Lists!H:H,MATCH(Validation!E3653,Lists!G:G,0))</f>
        <v>Amount may not be negative. Enter an amount greater than or equal to zero.</v>
      </c>
      <c r="H3653" s="16" t="str">
        <f t="shared" ca="1" si="393"/>
        <v/>
      </c>
      <c r="I3653" s="16" t="str">
        <f t="shared" ca="1" si="394"/>
        <v/>
      </c>
      <c r="J3653" s="17" t="str">
        <f t="shared" ca="1" si="395"/>
        <v/>
      </c>
    </row>
    <row r="3654" spans="1:10" x14ac:dyDescent="0.25">
      <c r="A3654" t="s">
        <v>663</v>
      </c>
      <c r="B3654" t="str">
        <f>ADDRESS(ROW('PAYG 1'!$C$18),COLUMN('PAYG 1'!$C$18),4)</f>
        <v>C18</v>
      </c>
      <c r="C3654" t="str">
        <f>ADDRESS(ROW('PAYG 1'!$D$18),COLUMN('PAYG 1'!$D$18),4)</f>
        <v>D18</v>
      </c>
      <c r="D3654" t="b" cm="1">
        <f t="array" aca="1" ref="D3654" ca="1">IF(INDIRECT("'"&amp;A3654&amp;"'!"&amp;B3654)="",FALSE,IF(INDIRECT("'"&amp;A3654&amp;"'!"&amp;B3654)&lt;0,TRUE,FALSE))</f>
        <v>0</v>
      </c>
      <c r="E3654" t="s">
        <v>434</v>
      </c>
      <c r="F3654" t="str">
        <f>INDEX(Lists!I:I,MATCH(Validation!E3654,Lists!G:G,0))</f>
        <v>Error</v>
      </c>
      <c r="G3654" t="str">
        <f>INDEX(Lists!H:H,MATCH(Validation!E3654,Lists!G:G,0))</f>
        <v>Amount may not be negative. Enter an amount greater than or equal to zero.</v>
      </c>
      <c r="H3654" s="16" t="str">
        <f t="shared" ca="1" si="393"/>
        <v/>
      </c>
      <c r="I3654" s="16" t="str">
        <f t="shared" ca="1" si="394"/>
        <v/>
      </c>
      <c r="J3654" s="17" t="str">
        <f t="shared" ca="1" si="395"/>
        <v/>
      </c>
    </row>
    <row r="3655" spans="1:10" x14ac:dyDescent="0.25">
      <c r="A3655" t="s">
        <v>664</v>
      </c>
      <c r="B3655" t="str">
        <f>ADDRESS(ROW('PAYG 1'!$C$18),COLUMN('PAYG 1'!$C$18),4)</f>
        <v>C18</v>
      </c>
      <c r="C3655" t="str">
        <f>ADDRESS(ROW('PAYG 1'!$D$18),COLUMN('PAYG 1'!$D$18),4)</f>
        <v>D18</v>
      </c>
      <c r="D3655" t="b" cm="1">
        <f t="array" aca="1" ref="D3655" ca="1">IF(INDIRECT("'"&amp;A3655&amp;"'!"&amp;B3655)="",FALSE,IF(INDIRECT("'"&amp;A3655&amp;"'!"&amp;B3655)&lt;0,TRUE,FALSE))</f>
        <v>0</v>
      </c>
      <c r="E3655" t="s">
        <v>434</v>
      </c>
      <c r="F3655" t="str">
        <f>INDEX(Lists!I:I,MATCH(Validation!E3655,Lists!G:G,0))</f>
        <v>Error</v>
      </c>
      <c r="G3655" t="str">
        <f>INDEX(Lists!H:H,MATCH(Validation!E3655,Lists!G:G,0))</f>
        <v>Amount may not be negative. Enter an amount greater than or equal to zero.</v>
      </c>
      <c r="H3655" s="16" t="str">
        <f t="shared" ca="1" si="393"/>
        <v/>
      </c>
      <c r="I3655" s="16" t="str">
        <f t="shared" ca="1" si="394"/>
        <v/>
      </c>
      <c r="J3655" s="17" t="str">
        <f t="shared" ca="1" si="395"/>
        <v/>
      </c>
    </row>
    <row r="3656" spans="1:10" x14ac:dyDescent="0.25">
      <c r="A3656" t="s">
        <v>203</v>
      </c>
      <c r="B3656" t="str">
        <f>ADDRESS(ROW('PAYG 1'!$C$18),COLUMN('PAYG 1'!$C$18),4)</f>
        <v>C18</v>
      </c>
      <c r="C3656" t="str">
        <f>ADDRESS(ROW('PAYG 1'!$D$18),COLUMN('PAYG 1'!$D$18),4)</f>
        <v>D18</v>
      </c>
      <c r="D3656" t="b" cm="1">
        <f t="array" aca="1" ref="D3656" ca="1">IF(INDIRECT("'"&amp;A3656&amp;"'!"&amp;B3656)="",FALSE,IF(TRUNC(INDIRECT("'"&amp;A3656&amp;"'!"&amp;B3656))=INDIRECT("'"&amp;A3656&amp;"'!"&amp;B3656),FALSE,TRUE))</f>
        <v>0</v>
      </c>
      <c r="E3656" t="s">
        <v>436</v>
      </c>
      <c r="F3656" t="str">
        <f>INDEX(Lists!I:I,MATCH(Validation!E3656,Lists!G:G,0))</f>
        <v>Error</v>
      </c>
      <c r="G3656" t="str">
        <f>INDEX(Lists!H:H,MATCH(Validation!E3656,Lists!G:G,0))</f>
        <v>Amount must be rounded to the nearest dollar.</v>
      </c>
      <c r="H3656" s="16" t="str">
        <f t="shared" ca="1" si="393"/>
        <v/>
      </c>
      <c r="I3656" s="16" t="str">
        <f t="shared" ca="1" si="394"/>
        <v/>
      </c>
      <c r="J3656" s="17" t="str">
        <f t="shared" ca="1" si="395"/>
        <v/>
      </c>
    </row>
    <row r="3657" spans="1:10" x14ac:dyDescent="0.25">
      <c r="A3657" t="s">
        <v>651</v>
      </c>
      <c r="B3657" t="str">
        <f>ADDRESS(ROW('PAYG 1'!$C$18),COLUMN('PAYG 1'!$C$18),4)</f>
        <v>C18</v>
      </c>
      <c r="C3657" t="str">
        <f>ADDRESS(ROW('PAYG 1'!$D$18),COLUMN('PAYG 1'!$D$18),4)</f>
        <v>D18</v>
      </c>
      <c r="D3657" t="b" cm="1">
        <f t="array" aca="1" ref="D3657" ca="1">IF(INDIRECT("'"&amp;A3657&amp;"'!"&amp;B3657)="",FALSE,IF(TRUNC(INDIRECT("'"&amp;A3657&amp;"'!"&amp;B3657))=INDIRECT("'"&amp;A3657&amp;"'!"&amp;B3657),FALSE,TRUE))</f>
        <v>0</v>
      </c>
      <c r="E3657" t="s">
        <v>436</v>
      </c>
      <c r="F3657" t="str">
        <f>INDEX(Lists!I:I,MATCH(Validation!E3657,Lists!G:G,0))</f>
        <v>Error</v>
      </c>
      <c r="G3657" t="str">
        <f>INDEX(Lists!H:H,MATCH(Validation!E3657,Lists!G:G,0))</f>
        <v>Amount must be rounded to the nearest dollar.</v>
      </c>
      <c r="H3657" s="16" t="str">
        <f t="shared" ca="1" si="393"/>
        <v/>
      </c>
      <c r="I3657" s="16" t="str">
        <f t="shared" ca="1" si="394"/>
        <v/>
      </c>
      <c r="J3657" s="17" t="str">
        <f t="shared" ca="1" si="395"/>
        <v/>
      </c>
    </row>
    <row r="3658" spans="1:10" x14ac:dyDescent="0.25">
      <c r="A3658" t="s">
        <v>652</v>
      </c>
      <c r="B3658" t="str">
        <f>ADDRESS(ROW('PAYG 1'!$C$18),COLUMN('PAYG 1'!$C$18),4)</f>
        <v>C18</v>
      </c>
      <c r="C3658" t="str">
        <f>ADDRESS(ROW('PAYG 1'!$D$18),COLUMN('PAYG 1'!$D$18),4)</f>
        <v>D18</v>
      </c>
      <c r="D3658" t="b" cm="1">
        <f t="array" aca="1" ref="D3658" ca="1">IF(INDIRECT("'"&amp;A3658&amp;"'!"&amp;B3658)="",FALSE,IF(TRUNC(INDIRECT("'"&amp;A3658&amp;"'!"&amp;B3658))=INDIRECT("'"&amp;A3658&amp;"'!"&amp;B3658),FALSE,TRUE))</f>
        <v>0</v>
      </c>
      <c r="E3658" t="s">
        <v>436</v>
      </c>
      <c r="F3658" t="str">
        <f>INDEX(Lists!I:I,MATCH(Validation!E3658,Lists!G:G,0))</f>
        <v>Error</v>
      </c>
      <c r="G3658" t="str">
        <f>INDEX(Lists!H:H,MATCH(Validation!E3658,Lists!G:G,0))</f>
        <v>Amount must be rounded to the nearest dollar.</v>
      </c>
      <c r="H3658" s="16" t="str">
        <f t="shared" ca="1" si="393"/>
        <v/>
      </c>
      <c r="I3658" s="16" t="str">
        <f t="shared" ca="1" si="394"/>
        <v/>
      </c>
      <c r="J3658" s="17" t="str">
        <f t="shared" ca="1" si="395"/>
        <v/>
      </c>
    </row>
    <row r="3659" spans="1:10" x14ac:dyDescent="0.25">
      <c r="A3659" t="s">
        <v>653</v>
      </c>
      <c r="B3659" t="str">
        <f>ADDRESS(ROW('PAYG 1'!$C$18),COLUMN('PAYG 1'!$C$18),4)</f>
        <v>C18</v>
      </c>
      <c r="C3659" t="str">
        <f>ADDRESS(ROW('PAYG 1'!$D$18),COLUMN('PAYG 1'!$D$18),4)</f>
        <v>D18</v>
      </c>
      <c r="D3659" t="b" cm="1">
        <f t="array" aca="1" ref="D3659" ca="1">IF(INDIRECT("'"&amp;A3659&amp;"'!"&amp;B3659)="",FALSE,IF(TRUNC(INDIRECT("'"&amp;A3659&amp;"'!"&amp;B3659))=INDIRECT("'"&amp;A3659&amp;"'!"&amp;B3659),FALSE,TRUE))</f>
        <v>0</v>
      </c>
      <c r="E3659" t="s">
        <v>436</v>
      </c>
      <c r="F3659" t="str">
        <f>INDEX(Lists!I:I,MATCH(Validation!E3659,Lists!G:G,0))</f>
        <v>Error</v>
      </c>
      <c r="G3659" t="str">
        <f>INDEX(Lists!H:H,MATCH(Validation!E3659,Lists!G:G,0))</f>
        <v>Amount must be rounded to the nearest dollar.</v>
      </c>
      <c r="H3659" s="16" t="str">
        <f t="shared" ca="1" si="393"/>
        <v/>
      </c>
      <c r="I3659" s="16" t="str">
        <f t="shared" ca="1" si="394"/>
        <v/>
      </c>
      <c r="J3659" s="17" t="str">
        <f t="shared" ca="1" si="395"/>
        <v/>
      </c>
    </row>
    <row r="3660" spans="1:10" x14ac:dyDescent="0.25">
      <c r="A3660" t="s">
        <v>654</v>
      </c>
      <c r="B3660" t="str">
        <f>ADDRESS(ROW('PAYG 1'!$C$18),COLUMN('PAYG 1'!$C$18),4)</f>
        <v>C18</v>
      </c>
      <c r="C3660" t="str">
        <f>ADDRESS(ROW('PAYG 1'!$D$18),COLUMN('PAYG 1'!$D$18),4)</f>
        <v>D18</v>
      </c>
      <c r="D3660" t="b" cm="1">
        <f t="array" aca="1" ref="D3660" ca="1">IF(INDIRECT("'"&amp;A3660&amp;"'!"&amp;B3660)="",FALSE,IF(TRUNC(INDIRECT("'"&amp;A3660&amp;"'!"&amp;B3660))=INDIRECT("'"&amp;A3660&amp;"'!"&amp;B3660),FALSE,TRUE))</f>
        <v>0</v>
      </c>
      <c r="E3660" t="s">
        <v>436</v>
      </c>
      <c r="F3660" t="str">
        <f>INDEX(Lists!I:I,MATCH(Validation!E3660,Lists!G:G,0))</f>
        <v>Error</v>
      </c>
      <c r="G3660" t="str">
        <f>INDEX(Lists!H:H,MATCH(Validation!E3660,Lists!G:G,0))</f>
        <v>Amount must be rounded to the nearest dollar.</v>
      </c>
      <c r="H3660" s="16" t="str">
        <f t="shared" ca="1" si="393"/>
        <v/>
      </c>
      <c r="I3660" s="16" t="str">
        <f t="shared" ca="1" si="394"/>
        <v/>
      </c>
      <c r="J3660" s="17" t="str">
        <f t="shared" ca="1" si="395"/>
        <v/>
      </c>
    </row>
    <row r="3661" spans="1:10" x14ac:dyDescent="0.25">
      <c r="A3661" t="s">
        <v>655</v>
      </c>
      <c r="B3661" t="str">
        <f>ADDRESS(ROW('PAYG 1'!$C$18),COLUMN('PAYG 1'!$C$18),4)</f>
        <v>C18</v>
      </c>
      <c r="C3661" t="str">
        <f>ADDRESS(ROW('PAYG 1'!$D$18),COLUMN('PAYG 1'!$D$18),4)</f>
        <v>D18</v>
      </c>
      <c r="D3661" t="b" cm="1">
        <f t="array" aca="1" ref="D3661" ca="1">IF(INDIRECT("'"&amp;A3661&amp;"'!"&amp;B3661)="",FALSE,IF(TRUNC(INDIRECT("'"&amp;A3661&amp;"'!"&amp;B3661))=INDIRECT("'"&amp;A3661&amp;"'!"&amp;B3661),FALSE,TRUE))</f>
        <v>0</v>
      </c>
      <c r="E3661" t="s">
        <v>436</v>
      </c>
      <c r="F3661" t="str">
        <f>INDEX(Lists!I:I,MATCH(Validation!E3661,Lists!G:G,0))</f>
        <v>Error</v>
      </c>
      <c r="G3661" t="str">
        <f>INDEX(Lists!H:H,MATCH(Validation!E3661,Lists!G:G,0))</f>
        <v>Amount must be rounded to the nearest dollar.</v>
      </c>
      <c r="H3661" s="16" t="str">
        <f t="shared" ca="1" si="393"/>
        <v/>
      </c>
      <c r="I3661" s="16" t="str">
        <f t="shared" ca="1" si="394"/>
        <v/>
      </c>
      <c r="J3661" s="17" t="str">
        <f t="shared" ca="1" si="395"/>
        <v/>
      </c>
    </row>
    <row r="3662" spans="1:10" x14ac:dyDescent="0.25">
      <c r="A3662" t="s">
        <v>656</v>
      </c>
      <c r="B3662" t="str">
        <f>ADDRESS(ROW('PAYG 1'!$C$18),COLUMN('PAYG 1'!$C$18),4)</f>
        <v>C18</v>
      </c>
      <c r="C3662" t="str">
        <f>ADDRESS(ROW('PAYG 1'!$D$18),COLUMN('PAYG 1'!$D$18),4)</f>
        <v>D18</v>
      </c>
      <c r="D3662" t="b" cm="1">
        <f t="array" aca="1" ref="D3662" ca="1">IF(INDIRECT("'"&amp;A3662&amp;"'!"&amp;B3662)="",FALSE,IF(TRUNC(INDIRECT("'"&amp;A3662&amp;"'!"&amp;B3662))=INDIRECT("'"&amp;A3662&amp;"'!"&amp;B3662),FALSE,TRUE))</f>
        <v>0</v>
      </c>
      <c r="E3662" t="s">
        <v>436</v>
      </c>
      <c r="F3662" t="str">
        <f>INDEX(Lists!I:I,MATCH(Validation!E3662,Lists!G:G,0))</f>
        <v>Error</v>
      </c>
      <c r="G3662" t="str">
        <f>INDEX(Lists!H:H,MATCH(Validation!E3662,Lists!G:G,0))</f>
        <v>Amount must be rounded to the nearest dollar.</v>
      </c>
      <c r="H3662" s="16" t="str">
        <f t="shared" ca="1" si="393"/>
        <v/>
      </c>
      <c r="I3662" s="16" t="str">
        <f t="shared" ca="1" si="394"/>
        <v/>
      </c>
      <c r="J3662" s="17" t="str">
        <f t="shared" ca="1" si="395"/>
        <v/>
      </c>
    </row>
    <row r="3663" spans="1:10" x14ac:dyDescent="0.25">
      <c r="A3663" t="s">
        <v>657</v>
      </c>
      <c r="B3663" t="str">
        <f>ADDRESS(ROW('PAYG 1'!$C$18),COLUMN('PAYG 1'!$C$18),4)</f>
        <v>C18</v>
      </c>
      <c r="C3663" t="str">
        <f>ADDRESS(ROW('PAYG 1'!$D$18),COLUMN('PAYG 1'!$D$18),4)</f>
        <v>D18</v>
      </c>
      <c r="D3663" t="b" cm="1">
        <f t="array" aca="1" ref="D3663" ca="1">IF(INDIRECT("'"&amp;A3663&amp;"'!"&amp;B3663)="",FALSE,IF(TRUNC(INDIRECT("'"&amp;A3663&amp;"'!"&amp;B3663))=INDIRECT("'"&amp;A3663&amp;"'!"&amp;B3663),FALSE,TRUE))</f>
        <v>0</v>
      </c>
      <c r="E3663" t="s">
        <v>436</v>
      </c>
      <c r="F3663" t="str">
        <f>INDEX(Lists!I:I,MATCH(Validation!E3663,Lists!G:G,0))</f>
        <v>Error</v>
      </c>
      <c r="G3663" t="str">
        <f>INDEX(Lists!H:H,MATCH(Validation!E3663,Lists!G:G,0))</f>
        <v>Amount must be rounded to the nearest dollar.</v>
      </c>
      <c r="H3663" s="16" t="str">
        <f t="shared" ca="1" si="393"/>
        <v/>
      </c>
      <c r="I3663" s="16" t="str">
        <f t="shared" ca="1" si="394"/>
        <v/>
      </c>
      <c r="J3663" s="17" t="str">
        <f t="shared" ca="1" si="395"/>
        <v/>
      </c>
    </row>
    <row r="3664" spans="1:10" x14ac:dyDescent="0.25">
      <c r="A3664" t="s">
        <v>658</v>
      </c>
      <c r="B3664" t="str">
        <f>ADDRESS(ROW('PAYG 1'!$C$18),COLUMN('PAYG 1'!$C$18),4)</f>
        <v>C18</v>
      </c>
      <c r="C3664" t="str">
        <f>ADDRESS(ROW('PAYG 1'!$D$18),COLUMN('PAYG 1'!$D$18),4)</f>
        <v>D18</v>
      </c>
      <c r="D3664" t="b" cm="1">
        <f t="array" aca="1" ref="D3664" ca="1">IF(INDIRECT("'"&amp;A3664&amp;"'!"&amp;B3664)="",FALSE,IF(TRUNC(INDIRECT("'"&amp;A3664&amp;"'!"&amp;B3664))=INDIRECT("'"&amp;A3664&amp;"'!"&amp;B3664),FALSE,TRUE))</f>
        <v>0</v>
      </c>
      <c r="E3664" t="s">
        <v>436</v>
      </c>
      <c r="F3664" t="str">
        <f>INDEX(Lists!I:I,MATCH(Validation!E3664,Lists!G:G,0))</f>
        <v>Error</v>
      </c>
      <c r="G3664" t="str">
        <f>INDEX(Lists!H:H,MATCH(Validation!E3664,Lists!G:G,0))</f>
        <v>Amount must be rounded to the nearest dollar.</v>
      </c>
      <c r="H3664" s="16" t="str">
        <f t="shared" ca="1" si="393"/>
        <v/>
      </c>
      <c r="I3664" s="16" t="str">
        <f t="shared" ca="1" si="394"/>
        <v/>
      </c>
      <c r="J3664" s="17" t="str">
        <f t="shared" ca="1" si="395"/>
        <v/>
      </c>
    </row>
    <row r="3665" spans="1:10" x14ac:dyDescent="0.25">
      <c r="A3665" t="s">
        <v>659</v>
      </c>
      <c r="B3665" t="str">
        <f>ADDRESS(ROW('PAYG 1'!$C$18),COLUMN('PAYG 1'!$C$18),4)</f>
        <v>C18</v>
      </c>
      <c r="C3665" t="str">
        <f>ADDRESS(ROW('PAYG 1'!$D$18),COLUMN('PAYG 1'!$D$18),4)</f>
        <v>D18</v>
      </c>
      <c r="D3665" t="b" cm="1">
        <f t="array" aca="1" ref="D3665" ca="1">IF(INDIRECT("'"&amp;A3665&amp;"'!"&amp;B3665)="",FALSE,IF(TRUNC(INDIRECT("'"&amp;A3665&amp;"'!"&amp;B3665))=INDIRECT("'"&amp;A3665&amp;"'!"&amp;B3665),FALSE,TRUE))</f>
        <v>0</v>
      </c>
      <c r="E3665" t="s">
        <v>436</v>
      </c>
      <c r="F3665" t="str">
        <f>INDEX(Lists!I:I,MATCH(Validation!E3665,Lists!G:G,0))</f>
        <v>Error</v>
      </c>
      <c r="G3665" t="str">
        <f>INDEX(Lists!H:H,MATCH(Validation!E3665,Lists!G:G,0))</f>
        <v>Amount must be rounded to the nearest dollar.</v>
      </c>
      <c r="H3665" s="16" t="str">
        <f t="shared" ca="1" si="393"/>
        <v/>
      </c>
      <c r="I3665" s="16" t="str">
        <f t="shared" ca="1" si="394"/>
        <v/>
      </c>
      <c r="J3665" s="17" t="str">
        <f t="shared" ca="1" si="395"/>
        <v/>
      </c>
    </row>
    <row r="3666" spans="1:10" x14ac:dyDescent="0.25">
      <c r="A3666" t="s">
        <v>660</v>
      </c>
      <c r="B3666" t="str">
        <f>ADDRESS(ROW('PAYG 1'!$C$18),COLUMN('PAYG 1'!$C$18),4)</f>
        <v>C18</v>
      </c>
      <c r="C3666" t="str">
        <f>ADDRESS(ROW('PAYG 1'!$D$18),COLUMN('PAYG 1'!$D$18),4)</f>
        <v>D18</v>
      </c>
      <c r="D3666" t="b" cm="1">
        <f t="array" aca="1" ref="D3666" ca="1">IF(INDIRECT("'"&amp;A3666&amp;"'!"&amp;B3666)="",FALSE,IF(TRUNC(INDIRECT("'"&amp;A3666&amp;"'!"&amp;B3666))=INDIRECT("'"&amp;A3666&amp;"'!"&amp;B3666),FALSE,TRUE))</f>
        <v>0</v>
      </c>
      <c r="E3666" t="s">
        <v>436</v>
      </c>
      <c r="F3666" t="str">
        <f>INDEX(Lists!I:I,MATCH(Validation!E3666,Lists!G:G,0))</f>
        <v>Error</v>
      </c>
      <c r="G3666" t="str">
        <f>INDEX(Lists!H:H,MATCH(Validation!E3666,Lists!G:G,0))</f>
        <v>Amount must be rounded to the nearest dollar.</v>
      </c>
      <c r="H3666" s="16" t="str">
        <f t="shared" ca="1" si="393"/>
        <v/>
      </c>
      <c r="I3666" s="16" t="str">
        <f t="shared" ca="1" si="394"/>
        <v/>
      </c>
      <c r="J3666" s="17" t="str">
        <f t="shared" ca="1" si="395"/>
        <v/>
      </c>
    </row>
    <row r="3667" spans="1:10" x14ac:dyDescent="0.25">
      <c r="A3667" t="s">
        <v>661</v>
      </c>
      <c r="B3667" t="str">
        <f>ADDRESS(ROW('PAYG 1'!$C$18),COLUMN('PAYG 1'!$C$18),4)</f>
        <v>C18</v>
      </c>
      <c r="C3667" t="str">
        <f>ADDRESS(ROW('PAYG 1'!$D$18),COLUMN('PAYG 1'!$D$18),4)</f>
        <v>D18</v>
      </c>
      <c r="D3667" t="b" cm="1">
        <f t="array" aca="1" ref="D3667" ca="1">IF(INDIRECT("'"&amp;A3667&amp;"'!"&amp;B3667)="",FALSE,IF(TRUNC(INDIRECT("'"&amp;A3667&amp;"'!"&amp;B3667))=INDIRECT("'"&amp;A3667&amp;"'!"&amp;B3667),FALSE,TRUE))</f>
        <v>0</v>
      </c>
      <c r="E3667" t="s">
        <v>436</v>
      </c>
      <c r="F3667" t="str">
        <f>INDEX(Lists!I:I,MATCH(Validation!E3667,Lists!G:G,0))</f>
        <v>Error</v>
      </c>
      <c r="G3667" t="str">
        <f>INDEX(Lists!H:H,MATCH(Validation!E3667,Lists!G:G,0))</f>
        <v>Amount must be rounded to the nearest dollar.</v>
      </c>
      <c r="H3667" s="16" t="str">
        <f t="shared" ca="1" si="393"/>
        <v/>
      </c>
      <c r="I3667" s="16" t="str">
        <f t="shared" ca="1" si="394"/>
        <v/>
      </c>
      <c r="J3667" s="17" t="str">
        <f t="shared" ca="1" si="395"/>
        <v/>
      </c>
    </row>
    <row r="3668" spans="1:10" x14ac:dyDescent="0.25">
      <c r="A3668" t="s">
        <v>662</v>
      </c>
      <c r="B3668" t="str">
        <f>ADDRESS(ROW('PAYG 1'!$C$18),COLUMN('PAYG 1'!$C$18),4)</f>
        <v>C18</v>
      </c>
      <c r="C3668" t="str">
        <f>ADDRESS(ROW('PAYG 1'!$D$18),COLUMN('PAYG 1'!$D$18),4)</f>
        <v>D18</v>
      </c>
      <c r="D3668" t="b" cm="1">
        <f t="array" aca="1" ref="D3668" ca="1">IF(INDIRECT("'"&amp;A3668&amp;"'!"&amp;B3668)="",FALSE,IF(TRUNC(INDIRECT("'"&amp;A3668&amp;"'!"&amp;B3668))=INDIRECT("'"&amp;A3668&amp;"'!"&amp;B3668),FALSE,TRUE))</f>
        <v>0</v>
      </c>
      <c r="E3668" t="s">
        <v>436</v>
      </c>
      <c r="F3668" t="str">
        <f>INDEX(Lists!I:I,MATCH(Validation!E3668,Lists!G:G,0))</f>
        <v>Error</v>
      </c>
      <c r="G3668" t="str">
        <f>INDEX(Lists!H:H,MATCH(Validation!E3668,Lists!G:G,0))</f>
        <v>Amount must be rounded to the nearest dollar.</v>
      </c>
      <c r="H3668" s="16" t="str">
        <f t="shared" ca="1" si="393"/>
        <v/>
      </c>
      <c r="I3668" s="16" t="str">
        <f t="shared" ca="1" si="394"/>
        <v/>
      </c>
      <c r="J3668" s="17" t="str">
        <f t="shared" ca="1" si="395"/>
        <v/>
      </c>
    </row>
    <row r="3669" spans="1:10" x14ac:dyDescent="0.25">
      <c r="A3669" t="s">
        <v>663</v>
      </c>
      <c r="B3669" t="str">
        <f>ADDRESS(ROW('PAYG 1'!$C$18),COLUMN('PAYG 1'!$C$18),4)</f>
        <v>C18</v>
      </c>
      <c r="C3669" t="str">
        <f>ADDRESS(ROW('PAYG 1'!$D$18),COLUMN('PAYG 1'!$D$18),4)</f>
        <v>D18</v>
      </c>
      <c r="D3669" t="b" cm="1">
        <f t="array" aca="1" ref="D3669" ca="1">IF(INDIRECT("'"&amp;A3669&amp;"'!"&amp;B3669)="",FALSE,IF(TRUNC(INDIRECT("'"&amp;A3669&amp;"'!"&amp;B3669))=INDIRECT("'"&amp;A3669&amp;"'!"&amp;B3669),FALSE,TRUE))</f>
        <v>0</v>
      </c>
      <c r="E3669" t="s">
        <v>436</v>
      </c>
      <c r="F3669" t="str">
        <f>INDEX(Lists!I:I,MATCH(Validation!E3669,Lists!G:G,0))</f>
        <v>Error</v>
      </c>
      <c r="G3669" t="str">
        <f>INDEX(Lists!H:H,MATCH(Validation!E3669,Lists!G:G,0))</f>
        <v>Amount must be rounded to the nearest dollar.</v>
      </c>
      <c r="H3669" s="16" t="str">
        <f t="shared" ca="1" si="393"/>
        <v/>
      </c>
      <c r="I3669" s="16" t="str">
        <f t="shared" ca="1" si="394"/>
        <v/>
      </c>
      <c r="J3669" s="17" t="str">
        <f t="shared" ca="1" si="395"/>
        <v/>
      </c>
    </row>
    <row r="3670" spans="1:10" x14ac:dyDescent="0.25">
      <c r="A3670" t="s">
        <v>664</v>
      </c>
      <c r="B3670" t="str">
        <f>ADDRESS(ROW('PAYG 1'!$C$18),COLUMN('PAYG 1'!$C$18),4)</f>
        <v>C18</v>
      </c>
      <c r="C3670" t="str">
        <f>ADDRESS(ROW('PAYG 1'!$D$18),COLUMN('PAYG 1'!$D$18),4)</f>
        <v>D18</v>
      </c>
      <c r="D3670" t="b" cm="1">
        <f t="array" aca="1" ref="D3670" ca="1">IF(INDIRECT("'"&amp;A3670&amp;"'!"&amp;B3670)="",FALSE,IF(TRUNC(INDIRECT("'"&amp;A3670&amp;"'!"&amp;B3670))=INDIRECT("'"&amp;A3670&amp;"'!"&amp;B3670),FALSE,TRUE))</f>
        <v>0</v>
      </c>
      <c r="E3670" t="s">
        <v>436</v>
      </c>
      <c r="F3670" t="str">
        <f>INDEX(Lists!I:I,MATCH(Validation!E3670,Lists!G:G,0))</f>
        <v>Error</v>
      </c>
      <c r="G3670" t="str">
        <f>INDEX(Lists!H:H,MATCH(Validation!E3670,Lists!G:G,0))</f>
        <v>Amount must be rounded to the nearest dollar.</v>
      </c>
      <c r="H3670" s="16" t="str">
        <f t="shared" ca="1" si="393"/>
        <v/>
      </c>
      <c r="I3670" s="16" t="str">
        <f t="shared" ca="1" si="394"/>
        <v/>
      </c>
      <c r="J3670" s="17" t="str">
        <f t="shared" ca="1" si="395"/>
        <v/>
      </c>
    </row>
    <row r="3671" spans="1:10" x14ac:dyDescent="0.25">
      <c r="A3671" t="s">
        <v>203</v>
      </c>
      <c r="B3671" t="str">
        <f>ADDRESS(ROW('PAYG 1'!$B$19),COLUMN('PAYG 1'!$B$19),4)</f>
        <v>B19</v>
      </c>
      <c r="C3671" t="str">
        <f>ADDRESS(ROW('PAYG 1'!$D$19),COLUMN('PAYG 1'!$D$19),4)</f>
        <v>D19</v>
      </c>
      <c r="D3671" t="b" cm="1">
        <f t="array" aca="1" ref="D3671" ca="1">IF(INDIRECT("'"&amp;A3671&amp;"'!"&amp;B3671)="",FALSE,IF(NOT(ISNUMBER(INDIRECT("'"&amp;A3671&amp;"'!"&amp;B3671))),TRUE,FALSE))</f>
        <v>0</v>
      </c>
      <c r="E3671" t="s">
        <v>435</v>
      </c>
      <c r="F3671" t="str">
        <f>INDEX(Lists!I:I,MATCH(Validation!E3671,Lists!G:G,0))</f>
        <v>Error</v>
      </c>
      <c r="G3671" t="str">
        <f>INDEX(Lists!H:H,MATCH(Validation!E3671,Lists!G:G,0))</f>
        <v>Enter an amount only. Do not enter text or spaces.</v>
      </c>
      <c r="H3671" s="16" t="str">
        <f t="shared" ref="H3671:H3715" ca="1" si="396">IFERROR(IF(OR(NOT(D3671),F3671&lt;&gt;"Error"),"",A3671&amp;CELL("address",INDIRECT(B3671))),"")</f>
        <v/>
      </c>
      <c r="I3671" s="16" t="str">
        <f t="shared" ref="I3671:I3715" ca="1" si="397">IFERROR(IF(NOT(D3671),"",A3671&amp;CELL("address",INDIRECT(C3671))),"")</f>
        <v/>
      </c>
      <c r="J3671" s="17" t="str">
        <f t="shared" ref="J3671:J3715" ca="1" si="398">IFERROR(IF(NOT(D3671),"",A3671),"")</f>
        <v/>
      </c>
    </row>
    <row r="3672" spans="1:10" x14ac:dyDescent="0.25">
      <c r="A3672" t="s">
        <v>651</v>
      </c>
      <c r="B3672" t="str">
        <f>ADDRESS(ROW('PAYG 1'!$B$19),COLUMN('PAYG 1'!$B$19),4)</f>
        <v>B19</v>
      </c>
      <c r="C3672" t="str">
        <f>ADDRESS(ROW('PAYG 1'!$D$19),COLUMN('PAYG 1'!$D$19),4)</f>
        <v>D19</v>
      </c>
      <c r="D3672" t="b" cm="1">
        <f t="array" aca="1" ref="D3672" ca="1">IF(INDIRECT("'"&amp;A3672&amp;"'!"&amp;B3672)="",FALSE,IF(NOT(ISNUMBER(INDIRECT("'"&amp;A3672&amp;"'!"&amp;B3672))),TRUE,FALSE))</f>
        <v>0</v>
      </c>
      <c r="E3672" t="s">
        <v>435</v>
      </c>
      <c r="F3672" t="str">
        <f>INDEX(Lists!I:I,MATCH(Validation!E3672,Lists!G:G,0))</f>
        <v>Error</v>
      </c>
      <c r="G3672" t="str">
        <f>INDEX(Lists!H:H,MATCH(Validation!E3672,Lists!G:G,0))</f>
        <v>Enter an amount only. Do not enter text or spaces.</v>
      </c>
      <c r="H3672" s="16" t="str">
        <f t="shared" ca="1" si="396"/>
        <v/>
      </c>
      <c r="I3672" s="16" t="str">
        <f t="shared" ca="1" si="397"/>
        <v/>
      </c>
      <c r="J3672" s="17" t="str">
        <f t="shared" ca="1" si="398"/>
        <v/>
      </c>
    </row>
    <row r="3673" spans="1:10" x14ac:dyDescent="0.25">
      <c r="A3673" t="s">
        <v>652</v>
      </c>
      <c r="B3673" t="str">
        <f>ADDRESS(ROW('PAYG 1'!$B$19),COLUMN('PAYG 1'!$B$19),4)</f>
        <v>B19</v>
      </c>
      <c r="C3673" t="str">
        <f>ADDRESS(ROW('PAYG 1'!$D$19),COLUMN('PAYG 1'!$D$19),4)</f>
        <v>D19</v>
      </c>
      <c r="D3673" t="b" cm="1">
        <f t="array" aca="1" ref="D3673" ca="1">IF(INDIRECT("'"&amp;A3673&amp;"'!"&amp;B3673)="",FALSE,IF(NOT(ISNUMBER(INDIRECT("'"&amp;A3673&amp;"'!"&amp;B3673))),TRUE,FALSE))</f>
        <v>0</v>
      </c>
      <c r="E3673" t="s">
        <v>435</v>
      </c>
      <c r="F3673" t="str">
        <f>INDEX(Lists!I:I,MATCH(Validation!E3673,Lists!G:G,0))</f>
        <v>Error</v>
      </c>
      <c r="G3673" t="str">
        <f>INDEX(Lists!H:H,MATCH(Validation!E3673,Lists!G:G,0))</f>
        <v>Enter an amount only. Do not enter text or spaces.</v>
      </c>
      <c r="H3673" s="16" t="str">
        <f t="shared" ca="1" si="396"/>
        <v/>
      </c>
      <c r="I3673" s="16" t="str">
        <f t="shared" ca="1" si="397"/>
        <v/>
      </c>
      <c r="J3673" s="17" t="str">
        <f t="shared" ca="1" si="398"/>
        <v/>
      </c>
    </row>
    <row r="3674" spans="1:10" x14ac:dyDescent="0.25">
      <c r="A3674" t="s">
        <v>653</v>
      </c>
      <c r="B3674" t="str">
        <f>ADDRESS(ROW('PAYG 1'!$B$19),COLUMN('PAYG 1'!$B$19),4)</f>
        <v>B19</v>
      </c>
      <c r="C3674" t="str">
        <f>ADDRESS(ROW('PAYG 1'!$D$19),COLUMN('PAYG 1'!$D$19),4)</f>
        <v>D19</v>
      </c>
      <c r="D3674" t="b" cm="1">
        <f t="array" aca="1" ref="D3674" ca="1">IF(INDIRECT("'"&amp;A3674&amp;"'!"&amp;B3674)="",FALSE,IF(NOT(ISNUMBER(INDIRECT("'"&amp;A3674&amp;"'!"&amp;B3674))),TRUE,FALSE))</f>
        <v>0</v>
      </c>
      <c r="E3674" t="s">
        <v>435</v>
      </c>
      <c r="F3674" t="str">
        <f>INDEX(Lists!I:I,MATCH(Validation!E3674,Lists!G:G,0))</f>
        <v>Error</v>
      </c>
      <c r="G3674" t="str">
        <f>INDEX(Lists!H:H,MATCH(Validation!E3674,Lists!G:G,0))</f>
        <v>Enter an amount only. Do not enter text or spaces.</v>
      </c>
      <c r="H3674" s="16" t="str">
        <f t="shared" ca="1" si="396"/>
        <v/>
      </c>
      <c r="I3674" s="16" t="str">
        <f t="shared" ca="1" si="397"/>
        <v/>
      </c>
      <c r="J3674" s="17" t="str">
        <f t="shared" ca="1" si="398"/>
        <v/>
      </c>
    </row>
    <row r="3675" spans="1:10" x14ac:dyDescent="0.25">
      <c r="A3675" t="s">
        <v>654</v>
      </c>
      <c r="B3675" t="str">
        <f>ADDRESS(ROW('PAYG 1'!$B$19),COLUMN('PAYG 1'!$B$19),4)</f>
        <v>B19</v>
      </c>
      <c r="C3675" t="str">
        <f>ADDRESS(ROW('PAYG 1'!$D$19),COLUMN('PAYG 1'!$D$19),4)</f>
        <v>D19</v>
      </c>
      <c r="D3675" t="b" cm="1">
        <f t="array" aca="1" ref="D3675" ca="1">IF(INDIRECT("'"&amp;A3675&amp;"'!"&amp;B3675)="",FALSE,IF(NOT(ISNUMBER(INDIRECT("'"&amp;A3675&amp;"'!"&amp;B3675))),TRUE,FALSE))</f>
        <v>0</v>
      </c>
      <c r="E3675" t="s">
        <v>435</v>
      </c>
      <c r="F3675" t="str">
        <f>INDEX(Lists!I:I,MATCH(Validation!E3675,Lists!G:G,0))</f>
        <v>Error</v>
      </c>
      <c r="G3675" t="str">
        <f>INDEX(Lists!H:H,MATCH(Validation!E3675,Lists!G:G,0))</f>
        <v>Enter an amount only. Do not enter text or spaces.</v>
      </c>
      <c r="H3675" s="16" t="str">
        <f t="shared" ca="1" si="396"/>
        <v/>
      </c>
      <c r="I3675" s="16" t="str">
        <f t="shared" ca="1" si="397"/>
        <v/>
      </c>
      <c r="J3675" s="17" t="str">
        <f t="shared" ca="1" si="398"/>
        <v/>
      </c>
    </row>
    <row r="3676" spans="1:10" x14ac:dyDescent="0.25">
      <c r="A3676" t="s">
        <v>655</v>
      </c>
      <c r="B3676" t="str">
        <f>ADDRESS(ROW('PAYG 1'!$B$19),COLUMN('PAYG 1'!$B$19),4)</f>
        <v>B19</v>
      </c>
      <c r="C3676" t="str">
        <f>ADDRESS(ROW('PAYG 1'!$D$19),COLUMN('PAYG 1'!$D$19),4)</f>
        <v>D19</v>
      </c>
      <c r="D3676" t="b" cm="1">
        <f t="array" aca="1" ref="D3676" ca="1">IF(INDIRECT("'"&amp;A3676&amp;"'!"&amp;B3676)="",FALSE,IF(NOT(ISNUMBER(INDIRECT("'"&amp;A3676&amp;"'!"&amp;B3676))),TRUE,FALSE))</f>
        <v>0</v>
      </c>
      <c r="E3676" t="s">
        <v>435</v>
      </c>
      <c r="F3676" t="str">
        <f>INDEX(Lists!I:I,MATCH(Validation!E3676,Lists!G:G,0))</f>
        <v>Error</v>
      </c>
      <c r="G3676" t="str">
        <f>INDEX(Lists!H:H,MATCH(Validation!E3676,Lists!G:G,0))</f>
        <v>Enter an amount only. Do not enter text or spaces.</v>
      </c>
      <c r="H3676" s="16" t="str">
        <f t="shared" ca="1" si="396"/>
        <v/>
      </c>
      <c r="I3676" s="16" t="str">
        <f t="shared" ca="1" si="397"/>
        <v/>
      </c>
      <c r="J3676" s="17" t="str">
        <f t="shared" ca="1" si="398"/>
        <v/>
      </c>
    </row>
    <row r="3677" spans="1:10" x14ac:dyDescent="0.25">
      <c r="A3677" t="s">
        <v>656</v>
      </c>
      <c r="B3677" t="str">
        <f>ADDRESS(ROW('PAYG 1'!$B$19),COLUMN('PAYG 1'!$B$19),4)</f>
        <v>B19</v>
      </c>
      <c r="C3677" t="str">
        <f>ADDRESS(ROW('PAYG 1'!$D$19),COLUMN('PAYG 1'!$D$19),4)</f>
        <v>D19</v>
      </c>
      <c r="D3677" t="b" cm="1">
        <f t="array" aca="1" ref="D3677" ca="1">IF(INDIRECT("'"&amp;A3677&amp;"'!"&amp;B3677)="",FALSE,IF(NOT(ISNUMBER(INDIRECT("'"&amp;A3677&amp;"'!"&amp;B3677))),TRUE,FALSE))</f>
        <v>0</v>
      </c>
      <c r="E3677" t="s">
        <v>435</v>
      </c>
      <c r="F3677" t="str">
        <f>INDEX(Lists!I:I,MATCH(Validation!E3677,Lists!G:G,0))</f>
        <v>Error</v>
      </c>
      <c r="G3677" t="str">
        <f>INDEX(Lists!H:H,MATCH(Validation!E3677,Lists!G:G,0))</f>
        <v>Enter an amount only. Do not enter text or spaces.</v>
      </c>
      <c r="H3677" s="16" t="str">
        <f t="shared" ca="1" si="396"/>
        <v/>
      </c>
      <c r="I3677" s="16" t="str">
        <f t="shared" ca="1" si="397"/>
        <v/>
      </c>
      <c r="J3677" s="17" t="str">
        <f t="shared" ca="1" si="398"/>
        <v/>
      </c>
    </row>
    <row r="3678" spans="1:10" x14ac:dyDescent="0.25">
      <c r="A3678" t="s">
        <v>657</v>
      </c>
      <c r="B3678" t="str">
        <f>ADDRESS(ROW('PAYG 1'!$B$19),COLUMN('PAYG 1'!$B$19),4)</f>
        <v>B19</v>
      </c>
      <c r="C3678" t="str">
        <f>ADDRESS(ROW('PAYG 1'!$D$19),COLUMN('PAYG 1'!$D$19),4)</f>
        <v>D19</v>
      </c>
      <c r="D3678" t="b" cm="1">
        <f t="array" aca="1" ref="D3678" ca="1">IF(INDIRECT("'"&amp;A3678&amp;"'!"&amp;B3678)="",FALSE,IF(NOT(ISNUMBER(INDIRECT("'"&amp;A3678&amp;"'!"&amp;B3678))),TRUE,FALSE))</f>
        <v>0</v>
      </c>
      <c r="E3678" t="s">
        <v>435</v>
      </c>
      <c r="F3678" t="str">
        <f>INDEX(Lists!I:I,MATCH(Validation!E3678,Lists!G:G,0))</f>
        <v>Error</v>
      </c>
      <c r="G3678" t="str">
        <f>INDEX(Lists!H:H,MATCH(Validation!E3678,Lists!G:G,0))</f>
        <v>Enter an amount only. Do not enter text or spaces.</v>
      </c>
      <c r="H3678" s="16" t="str">
        <f t="shared" ca="1" si="396"/>
        <v/>
      </c>
      <c r="I3678" s="16" t="str">
        <f t="shared" ca="1" si="397"/>
        <v/>
      </c>
      <c r="J3678" s="17" t="str">
        <f t="shared" ca="1" si="398"/>
        <v/>
      </c>
    </row>
    <row r="3679" spans="1:10" x14ac:dyDescent="0.25">
      <c r="A3679" t="s">
        <v>658</v>
      </c>
      <c r="B3679" t="str">
        <f>ADDRESS(ROW('PAYG 1'!$B$19),COLUMN('PAYG 1'!$B$19),4)</f>
        <v>B19</v>
      </c>
      <c r="C3679" t="str">
        <f>ADDRESS(ROW('PAYG 1'!$D$19),COLUMN('PAYG 1'!$D$19),4)</f>
        <v>D19</v>
      </c>
      <c r="D3679" t="b" cm="1">
        <f t="array" aca="1" ref="D3679" ca="1">IF(INDIRECT("'"&amp;A3679&amp;"'!"&amp;B3679)="",FALSE,IF(NOT(ISNUMBER(INDIRECT("'"&amp;A3679&amp;"'!"&amp;B3679))),TRUE,FALSE))</f>
        <v>0</v>
      </c>
      <c r="E3679" t="s">
        <v>435</v>
      </c>
      <c r="F3679" t="str">
        <f>INDEX(Lists!I:I,MATCH(Validation!E3679,Lists!G:G,0))</f>
        <v>Error</v>
      </c>
      <c r="G3679" t="str">
        <f>INDEX(Lists!H:H,MATCH(Validation!E3679,Lists!G:G,0))</f>
        <v>Enter an amount only. Do not enter text or spaces.</v>
      </c>
      <c r="H3679" s="16" t="str">
        <f t="shared" ca="1" si="396"/>
        <v/>
      </c>
      <c r="I3679" s="16" t="str">
        <f t="shared" ca="1" si="397"/>
        <v/>
      </c>
      <c r="J3679" s="17" t="str">
        <f t="shared" ca="1" si="398"/>
        <v/>
      </c>
    </row>
    <row r="3680" spans="1:10" x14ac:dyDescent="0.25">
      <c r="A3680" t="s">
        <v>659</v>
      </c>
      <c r="B3680" t="str">
        <f>ADDRESS(ROW('PAYG 1'!$B$19),COLUMN('PAYG 1'!$B$19),4)</f>
        <v>B19</v>
      </c>
      <c r="C3680" t="str">
        <f>ADDRESS(ROW('PAYG 1'!$D$19),COLUMN('PAYG 1'!$D$19),4)</f>
        <v>D19</v>
      </c>
      <c r="D3680" t="b" cm="1">
        <f t="array" aca="1" ref="D3680" ca="1">IF(INDIRECT("'"&amp;A3680&amp;"'!"&amp;B3680)="",FALSE,IF(NOT(ISNUMBER(INDIRECT("'"&amp;A3680&amp;"'!"&amp;B3680))),TRUE,FALSE))</f>
        <v>0</v>
      </c>
      <c r="E3680" t="s">
        <v>435</v>
      </c>
      <c r="F3680" t="str">
        <f>INDEX(Lists!I:I,MATCH(Validation!E3680,Lists!G:G,0))</f>
        <v>Error</v>
      </c>
      <c r="G3680" t="str">
        <f>INDEX(Lists!H:H,MATCH(Validation!E3680,Lists!G:G,0))</f>
        <v>Enter an amount only. Do not enter text or spaces.</v>
      </c>
      <c r="H3680" s="16" t="str">
        <f t="shared" ca="1" si="396"/>
        <v/>
      </c>
      <c r="I3680" s="16" t="str">
        <f t="shared" ca="1" si="397"/>
        <v/>
      </c>
      <c r="J3680" s="17" t="str">
        <f t="shared" ca="1" si="398"/>
        <v/>
      </c>
    </row>
    <row r="3681" spans="1:10" x14ac:dyDescent="0.25">
      <c r="A3681" t="s">
        <v>660</v>
      </c>
      <c r="B3681" t="str">
        <f>ADDRESS(ROW('PAYG 1'!$B$19),COLUMN('PAYG 1'!$B$19),4)</f>
        <v>B19</v>
      </c>
      <c r="C3681" t="str">
        <f>ADDRESS(ROW('PAYG 1'!$D$19),COLUMN('PAYG 1'!$D$19),4)</f>
        <v>D19</v>
      </c>
      <c r="D3681" t="b" cm="1">
        <f t="array" aca="1" ref="D3681" ca="1">IF(INDIRECT("'"&amp;A3681&amp;"'!"&amp;B3681)="",FALSE,IF(NOT(ISNUMBER(INDIRECT("'"&amp;A3681&amp;"'!"&amp;B3681))),TRUE,FALSE))</f>
        <v>0</v>
      </c>
      <c r="E3681" t="s">
        <v>435</v>
      </c>
      <c r="F3681" t="str">
        <f>INDEX(Lists!I:I,MATCH(Validation!E3681,Lists!G:G,0))</f>
        <v>Error</v>
      </c>
      <c r="G3681" t="str">
        <f>INDEX(Lists!H:H,MATCH(Validation!E3681,Lists!G:G,0))</f>
        <v>Enter an amount only. Do not enter text or spaces.</v>
      </c>
      <c r="H3681" s="16" t="str">
        <f t="shared" ca="1" si="396"/>
        <v/>
      </c>
      <c r="I3681" s="16" t="str">
        <f t="shared" ca="1" si="397"/>
        <v/>
      </c>
      <c r="J3681" s="17" t="str">
        <f t="shared" ca="1" si="398"/>
        <v/>
      </c>
    </row>
    <row r="3682" spans="1:10" x14ac:dyDescent="0.25">
      <c r="A3682" t="s">
        <v>661</v>
      </c>
      <c r="B3682" t="str">
        <f>ADDRESS(ROW('PAYG 1'!$B$19),COLUMN('PAYG 1'!$B$19),4)</f>
        <v>B19</v>
      </c>
      <c r="C3682" t="str">
        <f>ADDRESS(ROW('PAYG 1'!$D$19),COLUMN('PAYG 1'!$D$19),4)</f>
        <v>D19</v>
      </c>
      <c r="D3682" t="b" cm="1">
        <f t="array" aca="1" ref="D3682" ca="1">IF(INDIRECT("'"&amp;A3682&amp;"'!"&amp;B3682)="",FALSE,IF(NOT(ISNUMBER(INDIRECT("'"&amp;A3682&amp;"'!"&amp;B3682))),TRUE,FALSE))</f>
        <v>0</v>
      </c>
      <c r="E3682" t="s">
        <v>435</v>
      </c>
      <c r="F3682" t="str">
        <f>INDEX(Lists!I:I,MATCH(Validation!E3682,Lists!G:G,0))</f>
        <v>Error</v>
      </c>
      <c r="G3682" t="str">
        <f>INDEX(Lists!H:H,MATCH(Validation!E3682,Lists!G:G,0))</f>
        <v>Enter an amount only. Do not enter text or spaces.</v>
      </c>
      <c r="H3682" s="16" t="str">
        <f t="shared" ca="1" si="396"/>
        <v/>
      </c>
      <c r="I3682" s="16" t="str">
        <f t="shared" ca="1" si="397"/>
        <v/>
      </c>
      <c r="J3682" s="17" t="str">
        <f t="shared" ca="1" si="398"/>
        <v/>
      </c>
    </row>
    <row r="3683" spans="1:10" x14ac:dyDescent="0.25">
      <c r="A3683" t="s">
        <v>662</v>
      </c>
      <c r="B3683" t="str">
        <f>ADDRESS(ROW('PAYG 1'!$B$19),COLUMN('PAYG 1'!$B$19),4)</f>
        <v>B19</v>
      </c>
      <c r="C3683" t="str">
        <f>ADDRESS(ROW('PAYG 1'!$D$19),COLUMN('PAYG 1'!$D$19),4)</f>
        <v>D19</v>
      </c>
      <c r="D3683" t="b" cm="1">
        <f t="array" aca="1" ref="D3683" ca="1">IF(INDIRECT("'"&amp;A3683&amp;"'!"&amp;B3683)="",FALSE,IF(NOT(ISNUMBER(INDIRECT("'"&amp;A3683&amp;"'!"&amp;B3683))),TRUE,FALSE))</f>
        <v>0</v>
      </c>
      <c r="E3683" t="s">
        <v>435</v>
      </c>
      <c r="F3683" t="str">
        <f>INDEX(Lists!I:I,MATCH(Validation!E3683,Lists!G:G,0))</f>
        <v>Error</v>
      </c>
      <c r="G3683" t="str">
        <f>INDEX(Lists!H:H,MATCH(Validation!E3683,Lists!G:G,0))</f>
        <v>Enter an amount only. Do not enter text or spaces.</v>
      </c>
      <c r="H3683" s="16" t="str">
        <f t="shared" ca="1" si="396"/>
        <v/>
      </c>
      <c r="I3683" s="16" t="str">
        <f t="shared" ca="1" si="397"/>
        <v/>
      </c>
      <c r="J3683" s="17" t="str">
        <f t="shared" ca="1" si="398"/>
        <v/>
      </c>
    </row>
    <row r="3684" spans="1:10" x14ac:dyDescent="0.25">
      <c r="A3684" t="s">
        <v>663</v>
      </c>
      <c r="B3684" t="str">
        <f>ADDRESS(ROW('PAYG 1'!$B$19),COLUMN('PAYG 1'!$B$19),4)</f>
        <v>B19</v>
      </c>
      <c r="C3684" t="str">
        <f>ADDRESS(ROW('PAYG 1'!$D$19),COLUMN('PAYG 1'!$D$19),4)</f>
        <v>D19</v>
      </c>
      <c r="D3684" t="b" cm="1">
        <f t="array" aca="1" ref="D3684" ca="1">IF(INDIRECT("'"&amp;A3684&amp;"'!"&amp;B3684)="",FALSE,IF(NOT(ISNUMBER(INDIRECT("'"&amp;A3684&amp;"'!"&amp;B3684))),TRUE,FALSE))</f>
        <v>0</v>
      </c>
      <c r="E3684" t="s">
        <v>435</v>
      </c>
      <c r="F3684" t="str">
        <f>INDEX(Lists!I:I,MATCH(Validation!E3684,Lists!G:G,0))</f>
        <v>Error</v>
      </c>
      <c r="G3684" t="str">
        <f>INDEX(Lists!H:H,MATCH(Validation!E3684,Lists!G:G,0))</f>
        <v>Enter an amount only. Do not enter text or spaces.</v>
      </c>
      <c r="H3684" s="16" t="str">
        <f t="shared" ca="1" si="396"/>
        <v/>
      </c>
      <c r="I3684" s="16" t="str">
        <f t="shared" ca="1" si="397"/>
        <v/>
      </c>
      <c r="J3684" s="17" t="str">
        <f t="shared" ca="1" si="398"/>
        <v/>
      </c>
    </row>
    <row r="3685" spans="1:10" x14ac:dyDescent="0.25">
      <c r="A3685" t="s">
        <v>664</v>
      </c>
      <c r="B3685" t="str">
        <f>ADDRESS(ROW('PAYG 1'!$B$19),COLUMN('PAYG 1'!$B$19),4)</f>
        <v>B19</v>
      </c>
      <c r="C3685" t="str">
        <f>ADDRESS(ROW('PAYG 1'!$D$19),COLUMN('PAYG 1'!$D$19),4)</f>
        <v>D19</v>
      </c>
      <c r="D3685" t="b" cm="1">
        <f t="array" aca="1" ref="D3685" ca="1">IF(INDIRECT("'"&amp;A3685&amp;"'!"&amp;B3685)="",FALSE,IF(NOT(ISNUMBER(INDIRECT("'"&amp;A3685&amp;"'!"&amp;B3685))),TRUE,FALSE))</f>
        <v>0</v>
      </c>
      <c r="E3685" t="s">
        <v>435</v>
      </c>
      <c r="F3685" t="str">
        <f>INDEX(Lists!I:I,MATCH(Validation!E3685,Lists!G:G,0))</f>
        <v>Error</v>
      </c>
      <c r="G3685" t="str">
        <f>INDEX(Lists!H:H,MATCH(Validation!E3685,Lists!G:G,0))</f>
        <v>Enter an amount only. Do not enter text or spaces.</v>
      </c>
      <c r="H3685" s="16" t="str">
        <f t="shared" ca="1" si="396"/>
        <v/>
      </c>
      <c r="I3685" s="16" t="str">
        <f t="shared" ca="1" si="397"/>
        <v/>
      </c>
      <c r="J3685" s="17" t="str">
        <f t="shared" ca="1" si="398"/>
        <v/>
      </c>
    </row>
    <row r="3686" spans="1:10" x14ac:dyDescent="0.25">
      <c r="A3686" t="s">
        <v>203</v>
      </c>
      <c r="B3686" t="str">
        <f>ADDRESS(ROW('PAYG 1'!$B$19),COLUMN('PAYG 1'!$B$19),4)</f>
        <v>B19</v>
      </c>
      <c r="C3686" t="str">
        <f>ADDRESS(ROW('PAYG 1'!$D$19),COLUMN('PAYG 1'!$D$19),4)</f>
        <v>D19</v>
      </c>
      <c r="D3686" t="b" cm="1">
        <f t="array" aca="1" ref="D3686" ca="1">IF(INDIRECT("'"&amp;A3686&amp;"'!"&amp;B3686)="",FALSE,IF(INDIRECT("'"&amp;A3686&amp;"'!"&amp;B3686)&lt;0,TRUE,FALSE))</f>
        <v>0</v>
      </c>
      <c r="E3686" t="s">
        <v>434</v>
      </c>
      <c r="F3686" t="str">
        <f>INDEX(Lists!I:I,MATCH(Validation!E3686,Lists!G:G,0))</f>
        <v>Error</v>
      </c>
      <c r="G3686" t="str">
        <f>INDEX(Lists!H:H,MATCH(Validation!E3686,Lists!G:G,0))</f>
        <v>Amount may not be negative. Enter an amount greater than or equal to zero.</v>
      </c>
      <c r="H3686" s="16" t="str">
        <f t="shared" ca="1" si="396"/>
        <v/>
      </c>
      <c r="I3686" s="16" t="str">
        <f t="shared" ca="1" si="397"/>
        <v/>
      </c>
      <c r="J3686" s="17" t="str">
        <f t="shared" ca="1" si="398"/>
        <v/>
      </c>
    </row>
    <row r="3687" spans="1:10" x14ac:dyDescent="0.25">
      <c r="A3687" t="s">
        <v>651</v>
      </c>
      <c r="B3687" t="str">
        <f>ADDRESS(ROW('PAYG 1'!$B$19),COLUMN('PAYG 1'!$B$19),4)</f>
        <v>B19</v>
      </c>
      <c r="C3687" t="str">
        <f>ADDRESS(ROW('PAYG 1'!$D$19),COLUMN('PAYG 1'!$D$19),4)</f>
        <v>D19</v>
      </c>
      <c r="D3687" t="b" cm="1">
        <f t="array" aca="1" ref="D3687" ca="1">IF(INDIRECT("'"&amp;A3687&amp;"'!"&amp;B3687)="",FALSE,IF(INDIRECT("'"&amp;A3687&amp;"'!"&amp;B3687)&lt;0,TRUE,FALSE))</f>
        <v>0</v>
      </c>
      <c r="E3687" t="s">
        <v>434</v>
      </c>
      <c r="F3687" t="str">
        <f>INDEX(Lists!I:I,MATCH(Validation!E3687,Lists!G:G,0))</f>
        <v>Error</v>
      </c>
      <c r="G3687" t="str">
        <f>INDEX(Lists!H:H,MATCH(Validation!E3687,Lists!G:G,0))</f>
        <v>Amount may not be negative. Enter an amount greater than or equal to zero.</v>
      </c>
      <c r="H3687" s="16" t="str">
        <f t="shared" ca="1" si="396"/>
        <v/>
      </c>
      <c r="I3687" s="16" t="str">
        <f t="shared" ca="1" si="397"/>
        <v/>
      </c>
      <c r="J3687" s="17" t="str">
        <f t="shared" ca="1" si="398"/>
        <v/>
      </c>
    </row>
    <row r="3688" spans="1:10" x14ac:dyDescent="0.25">
      <c r="A3688" t="s">
        <v>652</v>
      </c>
      <c r="B3688" t="str">
        <f>ADDRESS(ROW('PAYG 1'!$B$19),COLUMN('PAYG 1'!$B$19),4)</f>
        <v>B19</v>
      </c>
      <c r="C3688" t="str">
        <f>ADDRESS(ROW('PAYG 1'!$D$19),COLUMN('PAYG 1'!$D$19),4)</f>
        <v>D19</v>
      </c>
      <c r="D3688" t="b" cm="1">
        <f t="array" aca="1" ref="D3688" ca="1">IF(INDIRECT("'"&amp;A3688&amp;"'!"&amp;B3688)="",FALSE,IF(INDIRECT("'"&amp;A3688&amp;"'!"&amp;B3688)&lt;0,TRUE,FALSE))</f>
        <v>0</v>
      </c>
      <c r="E3688" t="s">
        <v>434</v>
      </c>
      <c r="F3688" t="str">
        <f>INDEX(Lists!I:I,MATCH(Validation!E3688,Lists!G:G,0))</f>
        <v>Error</v>
      </c>
      <c r="G3688" t="str">
        <f>INDEX(Lists!H:H,MATCH(Validation!E3688,Lists!G:G,0))</f>
        <v>Amount may not be negative. Enter an amount greater than or equal to zero.</v>
      </c>
      <c r="H3688" s="16" t="str">
        <f t="shared" ca="1" si="396"/>
        <v/>
      </c>
      <c r="I3688" s="16" t="str">
        <f t="shared" ca="1" si="397"/>
        <v/>
      </c>
      <c r="J3688" s="17" t="str">
        <f t="shared" ca="1" si="398"/>
        <v/>
      </c>
    </row>
    <row r="3689" spans="1:10" x14ac:dyDescent="0.25">
      <c r="A3689" t="s">
        <v>653</v>
      </c>
      <c r="B3689" t="str">
        <f>ADDRESS(ROW('PAYG 1'!$B$19),COLUMN('PAYG 1'!$B$19),4)</f>
        <v>B19</v>
      </c>
      <c r="C3689" t="str">
        <f>ADDRESS(ROW('PAYG 1'!$D$19),COLUMN('PAYG 1'!$D$19),4)</f>
        <v>D19</v>
      </c>
      <c r="D3689" t="b" cm="1">
        <f t="array" aca="1" ref="D3689" ca="1">IF(INDIRECT("'"&amp;A3689&amp;"'!"&amp;B3689)="",FALSE,IF(INDIRECT("'"&amp;A3689&amp;"'!"&amp;B3689)&lt;0,TRUE,FALSE))</f>
        <v>0</v>
      </c>
      <c r="E3689" t="s">
        <v>434</v>
      </c>
      <c r="F3689" t="str">
        <f>INDEX(Lists!I:I,MATCH(Validation!E3689,Lists!G:G,0))</f>
        <v>Error</v>
      </c>
      <c r="G3689" t="str">
        <f>INDEX(Lists!H:H,MATCH(Validation!E3689,Lists!G:G,0))</f>
        <v>Amount may not be negative. Enter an amount greater than or equal to zero.</v>
      </c>
      <c r="H3689" s="16" t="str">
        <f t="shared" ca="1" si="396"/>
        <v/>
      </c>
      <c r="I3689" s="16" t="str">
        <f t="shared" ca="1" si="397"/>
        <v/>
      </c>
      <c r="J3689" s="17" t="str">
        <f t="shared" ca="1" si="398"/>
        <v/>
      </c>
    </row>
    <row r="3690" spans="1:10" x14ac:dyDescent="0.25">
      <c r="A3690" t="s">
        <v>654</v>
      </c>
      <c r="B3690" t="str">
        <f>ADDRESS(ROW('PAYG 1'!$B$19),COLUMN('PAYG 1'!$B$19),4)</f>
        <v>B19</v>
      </c>
      <c r="C3690" t="str">
        <f>ADDRESS(ROW('PAYG 1'!$D$19),COLUMN('PAYG 1'!$D$19),4)</f>
        <v>D19</v>
      </c>
      <c r="D3690" t="b" cm="1">
        <f t="array" aca="1" ref="D3690" ca="1">IF(INDIRECT("'"&amp;A3690&amp;"'!"&amp;B3690)="",FALSE,IF(INDIRECT("'"&amp;A3690&amp;"'!"&amp;B3690)&lt;0,TRUE,FALSE))</f>
        <v>0</v>
      </c>
      <c r="E3690" t="s">
        <v>434</v>
      </c>
      <c r="F3690" t="str">
        <f>INDEX(Lists!I:I,MATCH(Validation!E3690,Lists!G:G,0))</f>
        <v>Error</v>
      </c>
      <c r="G3690" t="str">
        <f>INDEX(Lists!H:H,MATCH(Validation!E3690,Lists!G:G,0))</f>
        <v>Amount may not be negative. Enter an amount greater than or equal to zero.</v>
      </c>
      <c r="H3690" s="16" t="str">
        <f t="shared" ca="1" si="396"/>
        <v/>
      </c>
      <c r="I3690" s="16" t="str">
        <f t="shared" ca="1" si="397"/>
        <v/>
      </c>
      <c r="J3690" s="17" t="str">
        <f t="shared" ca="1" si="398"/>
        <v/>
      </c>
    </row>
    <row r="3691" spans="1:10" x14ac:dyDescent="0.25">
      <c r="A3691" t="s">
        <v>655</v>
      </c>
      <c r="B3691" t="str">
        <f>ADDRESS(ROW('PAYG 1'!$B$19),COLUMN('PAYG 1'!$B$19),4)</f>
        <v>B19</v>
      </c>
      <c r="C3691" t="str">
        <f>ADDRESS(ROW('PAYG 1'!$D$19),COLUMN('PAYG 1'!$D$19),4)</f>
        <v>D19</v>
      </c>
      <c r="D3691" t="b" cm="1">
        <f t="array" aca="1" ref="D3691" ca="1">IF(INDIRECT("'"&amp;A3691&amp;"'!"&amp;B3691)="",FALSE,IF(INDIRECT("'"&amp;A3691&amp;"'!"&amp;B3691)&lt;0,TRUE,FALSE))</f>
        <v>0</v>
      </c>
      <c r="E3691" t="s">
        <v>434</v>
      </c>
      <c r="F3691" t="str">
        <f>INDEX(Lists!I:I,MATCH(Validation!E3691,Lists!G:G,0))</f>
        <v>Error</v>
      </c>
      <c r="G3691" t="str">
        <f>INDEX(Lists!H:H,MATCH(Validation!E3691,Lists!G:G,0))</f>
        <v>Amount may not be negative. Enter an amount greater than or equal to zero.</v>
      </c>
      <c r="H3691" s="16" t="str">
        <f t="shared" ca="1" si="396"/>
        <v/>
      </c>
      <c r="I3691" s="16" t="str">
        <f t="shared" ca="1" si="397"/>
        <v/>
      </c>
      <c r="J3691" s="17" t="str">
        <f t="shared" ca="1" si="398"/>
        <v/>
      </c>
    </row>
    <row r="3692" spans="1:10" x14ac:dyDescent="0.25">
      <c r="A3692" t="s">
        <v>656</v>
      </c>
      <c r="B3692" t="str">
        <f>ADDRESS(ROW('PAYG 1'!$B$19),COLUMN('PAYG 1'!$B$19),4)</f>
        <v>B19</v>
      </c>
      <c r="C3692" t="str">
        <f>ADDRESS(ROW('PAYG 1'!$D$19),COLUMN('PAYG 1'!$D$19),4)</f>
        <v>D19</v>
      </c>
      <c r="D3692" t="b" cm="1">
        <f t="array" aca="1" ref="D3692" ca="1">IF(INDIRECT("'"&amp;A3692&amp;"'!"&amp;B3692)="",FALSE,IF(INDIRECT("'"&amp;A3692&amp;"'!"&amp;B3692)&lt;0,TRUE,FALSE))</f>
        <v>0</v>
      </c>
      <c r="E3692" t="s">
        <v>434</v>
      </c>
      <c r="F3692" t="str">
        <f>INDEX(Lists!I:I,MATCH(Validation!E3692,Lists!G:G,0))</f>
        <v>Error</v>
      </c>
      <c r="G3692" t="str">
        <f>INDEX(Lists!H:H,MATCH(Validation!E3692,Lists!G:G,0))</f>
        <v>Amount may not be negative. Enter an amount greater than or equal to zero.</v>
      </c>
      <c r="H3692" s="16" t="str">
        <f t="shared" ca="1" si="396"/>
        <v/>
      </c>
      <c r="I3692" s="16" t="str">
        <f t="shared" ca="1" si="397"/>
        <v/>
      </c>
      <c r="J3692" s="17" t="str">
        <f t="shared" ca="1" si="398"/>
        <v/>
      </c>
    </row>
    <row r="3693" spans="1:10" x14ac:dyDescent="0.25">
      <c r="A3693" t="s">
        <v>657</v>
      </c>
      <c r="B3693" t="str">
        <f>ADDRESS(ROW('PAYG 1'!$B$19),COLUMN('PAYG 1'!$B$19),4)</f>
        <v>B19</v>
      </c>
      <c r="C3693" t="str">
        <f>ADDRESS(ROW('PAYG 1'!$D$19),COLUMN('PAYG 1'!$D$19),4)</f>
        <v>D19</v>
      </c>
      <c r="D3693" t="b" cm="1">
        <f t="array" aca="1" ref="D3693" ca="1">IF(INDIRECT("'"&amp;A3693&amp;"'!"&amp;B3693)="",FALSE,IF(INDIRECT("'"&amp;A3693&amp;"'!"&amp;B3693)&lt;0,TRUE,FALSE))</f>
        <v>0</v>
      </c>
      <c r="E3693" t="s">
        <v>434</v>
      </c>
      <c r="F3693" t="str">
        <f>INDEX(Lists!I:I,MATCH(Validation!E3693,Lists!G:G,0))</f>
        <v>Error</v>
      </c>
      <c r="G3693" t="str">
        <f>INDEX(Lists!H:H,MATCH(Validation!E3693,Lists!G:G,0))</f>
        <v>Amount may not be negative. Enter an amount greater than or equal to zero.</v>
      </c>
      <c r="H3693" s="16" t="str">
        <f t="shared" ca="1" si="396"/>
        <v/>
      </c>
      <c r="I3693" s="16" t="str">
        <f t="shared" ca="1" si="397"/>
        <v/>
      </c>
      <c r="J3693" s="17" t="str">
        <f t="shared" ca="1" si="398"/>
        <v/>
      </c>
    </row>
    <row r="3694" spans="1:10" x14ac:dyDescent="0.25">
      <c r="A3694" t="s">
        <v>658</v>
      </c>
      <c r="B3694" t="str">
        <f>ADDRESS(ROW('PAYG 1'!$B$19),COLUMN('PAYG 1'!$B$19),4)</f>
        <v>B19</v>
      </c>
      <c r="C3694" t="str">
        <f>ADDRESS(ROW('PAYG 1'!$D$19),COLUMN('PAYG 1'!$D$19),4)</f>
        <v>D19</v>
      </c>
      <c r="D3694" t="b" cm="1">
        <f t="array" aca="1" ref="D3694" ca="1">IF(INDIRECT("'"&amp;A3694&amp;"'!"&amp;B3694)="",FALSE,IF(INDIRECT("'"&amp;A3694&amp;"'!"&amp;B3694)&lt;0,TRUE,FALSE))</f>
        <v>0</v>
      </c>
      <c r="E3694" t="s">
        <v>434</v>
      </c>
      <c r="F3694" t="str">
        <f>INDEX(Lists!I:I,MATCH(Validation!E3694,Lists!G:G,0))</f>
        <v>Error</v>
      </c>
      <c r="G3694" t="str">
        <f>INDEX(Lists!H:H,MATCH(Validation!E3694,Lists!G:G,0))</f>
        <v>Amount may not be negative. Enter an amount greater than or equal to zero.</v>
      </c>
      <c r="H3694" s="16" t="str">
        <f t="shared" ca="1" si="396"/>
        <v/>
      </c>
      <c r="I3694" s="16" t="str">
        <f t="shared" ca="1" si="397"/>
        <v/>
      </c>
      <c r="J3694" s="17" t="str">
        <f t="shared" ca="1" si="398"/>
        <v/>
      </c>
    </row>
    <row r="3695" spans="1:10" x14ac:dyDescent="0.25">
      <c r="A3695" t="s">
        <v>659</v>
      </c>
      <c r="B3695" t="str">
        <f>ADDRESS(ROW('PAYG 1'!$B$19),COLUMN('PAYG 1'!$B$19),4)</f>
        <v>B19</v>
      </c>
      <c r="C3695" t="str">
        <f>ADDRESS(ROW('PAYG 1'!$D$19),COLUMN('PAYG 1'!$D$19),4)</f>
        <v>D19</v>
      </c>
      <c r="D3695" t="b" cm="1">
        <f t="array" aca="1" ref="D3695" ca="1">IF(INDIRECT("'"&amp;A3695&amp;"'!"&amp;B3695)="",FALSE,IF(INDIRECT("'"&amp;A3695&amp;"'!"&amp;B3695)&lt;0,TRUE,FALSE))</f>
        <v>0</v>
      </c>
      <c r="E3695" t="s">
        <v>434</v>
      </c>
      <c r="F3695" t="str">
        <f>INDEX(Lists!I:I,MATCH(Validation!E3695,Lists!G:G,0))</f>
        <v>Error</v>
      </c>
      <c r="G3695" t="str">
        <f>INDEX(Lists!H:H,MATCH(Validation!E3695,Lists!G:G,0))</f>
        <v>Amount may not be negative. Enter an amount greater than or equal to zero.</v>
      </c>
      <c r="H3695" s="16" t="str">
        <f t="shared" ca="1" si="396"/>
        <v/>
      </c>
      <c r="I3695" s="16" t="str">
        <f t="shared" ca="1" si="397"/>
        <v/>
      </c>
      <c r="J3695" s="17" t="str">
        <f t="shared" ca="1" si="398"/>
        <v/>
      </c>
    </row>
    <row r="3696" spans="1:10" x14ac:dyDescent="0.25">
      <c r="A3696" t="s">
        <v>660</v>
      </c>
      <c r="B3696" t="str">
        <f>ADDRESS(ROW('PAYG 1'!$B$19),COLUMN('PAYG 1'!$B$19),4)</f>
        <v>B19</v>
      </c>
      <c r="C3696" t="str">
        <f>ADDRESS(ROW('PAYG 1'!$D$19),COLUMN('PAYG 1'!$D$19),4)</f>
        <v>D19</v>
      </c>
      <c r="D3696" t="b" cm="1">
        <f t="array" aca="1" ref="D3696" ca="1">IF(INDIRECT("'"&amp;A3696&amp;"'!"&amp;B3696)="",FALSE,IF(INDIRECT("'"&amp;A3696&amp;"'!"&amp;B3696)&lt;0,TRUE,FALSE))</f>
        <v>0</v>
      </c>
      <c r="E3696" t="s">
        <v>434</v>
      </c>
      <c r="F3696" t="str">
        <f>INDEX(Lists!I:I,MATCH(Validation!E3696,Lists!G:G,0))</f>
        <v>Error</v>
      </c>
      <c r="G3696" t="str">
        <f>INDEX(Lists!H:H,MATCH(Validation!E3696,Lists!G:G,0))</f>
        <v>Amount may not be negative. Enter an amount greater than or equal to zero.</v>
      </c>
      <c r="H3696" s="16" t="str">
        <f t="shared" ca="1" si="396"/>
        <v/>
      </c>
      <c r="I3696" s="16" t="str">
        <f t="shared" ca="1" si="397"/>
        <v/>
      </c>
      <c r="J3696" s="17" t="str">
        <f t="shared" ca="1" si="398"/>
        <v/>
      </c>
    </row>
    <row r="3697" spans="1:10" x14ac:dyDescent="0.25">
      <c r="A3697" t="s">
        <v>661</v>
      </c>
      <c r="B3697" t="str">
        <f>ADDRESS(ROW('PAYG 1'!$B$19),COLUMN('PAYG 1'!$B$19),4)</f>
        <v>B19</v>
      </c>
      <c r="C3697" t="str">
        <f>ADDRESS(ROW('PAYG 1'!$D$19),COLUMN('PAYG 1'!$D$19),4)</f>
        <v>D19</v>
      </c>
      <c r="D3697" t="b" cm="1">
        <f t="array" aca="1" ref="D3697" ca="1">IF(INDIRECT("'"&amp;A3697&amp;"'!"&amp;B3697)="",FALSE,IF(INDIRECT("'"&amp;A3697&amp;"'!"&amp;B3697)&lt;0,TRUE,FALSE))</f>
        <v>0</v>
      </c>
      <c r="E3697" t="s">
        <v>434</v>
      </c>
      <c r="F3697" t="str">
        <f>INDEX(Lists!I:I,MATCH(Validation!E3697,Lists!G:G,0))</f>
        <v>Error</v>
      </c>
      <c r="G3697" t="str">
        <f>INDEX(Lists!H:H,MATCH(Validation!E3697,Lists!G:G,0))</f>
        <v>Amount may not be negative. Enter an amount greater than or equal to zero.</v>
      </c>
      <c r="H3697" s="16" t="str">
        <f t="shared" ca="1" si="396"/>
        <v/>
      </c>
      <c r="I3697" s="16" t="str">
        <f t="shared" ca="1" si="397"/>
        <v/>
      </c>
      <c r="J3697" s="17" t="str">
        <f t="shared" ca="1" si="398"/>
        <v/>
      </c>
    </row>
    <row r="3698" spans="1:10" x14ac:dyDescent="0.25">
      <c r="A3698" t="s">
        <v>662</v>
      </c>
      <c r="B3698" t="str">
        <f>ADDRESS(ROW('PAYG 1'!$B$19),COLUMN('PAYG 1'!$B$19),4)</f>
        <v>B19</v>
      </c>
      <c r="C3698" t="str">
        <f>ADDRESS(ROW('PAYG 1'!$D$19),COLUMN('PAYG 1'!$D$19),4)</f>
        <v>D19</v>
      </c>
      <c r="D3698" t="b" cm="1">
        <f t="array" aca="1" ref="D3698" ca="1">IF(INDIRECT("'"&amp;A3698&amp;"'!"&amp;B3698)="",FALSE,IF(INDIRECT("'"&amp;A3698&amp;"'!"&amp;B3698)&lt;0,TRUE,FALSE))</f>
        <v>0</v>
      </c>
      <c r="E3698" t="s">
        <v>434</v>
      </c>
      <c r="F3698" t="str">
        <f>INDEX(Lists!I:I,MATCH(Validation!E3698,Lists!G:G,0))</f>
        <v>Error</v>
      </c>
      <c r="G3698" t="str">
        <f>INDEX(Lists!H:H,MATCH(Validation!E3698,Lists!G:G,0))</f>
        <v>Amount may not be negative. Enter an amount greater than or equal to zero.</v>
      </c>
      <c r="H3698" s="16" t="str">
        <f t="shared" ca="1" si="396"/>
        <v/>
      </c>
      <c r="I3698" s="16" t="str">
        <f t="shared" ca="1" si="397"/>
        <v/>
      </c>
      <c r="J3698" s="17" t="str">
        <f t="shared" ca="1" si="398"/>
        <v/>
      </c>
    </row>
    <row r="3699" spans="1:10" x14ac:dyDescent="0.25">
      <c r="A3699" t="s">
        <v>663</v>
      </c>
      <c r="B3699" t="str">
        <f>ADDRESS(ROW('PAYG 1'!$B$19),COLUMN('PAYG 1'!$B$19),4)</f>
        <v>B19</v>
      </c>
      <c r="C3699" t="str">
        <f>ADDRESS(ROW('PAYG 1'!$D$19),COLUMN('PAYG 1'!$D$19),4)</f>
        <v>D19</v>
      </c>
      <c r="D3699" t="b" cm="1">
        <f t="array" aca="1" ref="D3699" ca="1">IF(INDIRECT("'"&amp;A3699&amp;"'!"&amp;B3699)="",FALSE,IF(INDIRECT("'"&amp;A3699&amp;"'!"&amp;B3699)&lt;0,TRUE,FALSE))</f>
        <v>0</v>
      </c>
      <c r="E3699" t="s">
        <v>434</v>
      </c>
      <c r="F3699" t="str">
        <f>INDEX(Lists!I:I,MATCH(Validation!E3699,Lists!G:G,0))</f>
        <v>Error</v>
      </c>
      <c r="G3699" t="str">
        <f>INDEX(Lists!H:H,MATCH(Validation!E3699,Lists!G:G,0))</f>
        <v>Amount may not be negative. Enter an amount greater than or equal to zero.</v>
      </c>
      <c r="H3699" s="16" t="str">
        <f t="shared" ca="1" si="396"/>
        <v/>
      </c>
      <c r="I3699" s="16" t="str">
        <f t="shared" ca="1" si="397"/>
        <v/>
      </c>
      <c r="J3699" s="17" t="str">
        <f t="shared" ca="1" si="398"/>
        <v/>
      </c>
    </row>
    <row r="3700" spans="1:10" x14ac:dyDescent="0.25">
      <c r="A3700" t="s">
        <v>664</v>
      </c>
      <c r="B3700" t="str">
        <f>ADDRESS(ROW('PAYG 1'!$B$19),COLUMN('PAYG 1'!$B$19),4)</f>
        <v>B19</v>
      </c>
      <c r="C3700" t="str">
        <f>ADDRESS(ROW('PAYG 1'!$D$19),COLUMN('PAYG 1'!$D$19),4)</f>
        <v>D19</v>
      </c>
      <c r="D3700" t="b" cm="1">
        <f t="array" aca="1" ref="D3700" ca="1">IF(INDIRECT("'"&amp;A3700&amp;"'!"&amp;B3700)="",FALSE,IF(INDIRECT("'"&amp;A3700&amp;"'!"&amp;B3700)&lt;0,TRUE,FALSE))</f>
        <v>0</v>
      </c>
      <c r="E3700" t="s">
        <v>434</v>
      </c>
      <c r="F3700" t="str">
        <f>INDEX(Lists!I:I,MATCH(Validation!E3700,Lists!G:G,0))</f>
        <v>Error</v>
      </c>
      <c r="G3700" t="str">
        <f>INDEX(Lists!H:H,MATCH(Validation!E3700,Lists!G:G,0))</f>
        <v>Amount may not be negative. Enter an amount greater than or equal to zero.</v>
      </c>
      <c r="H3700" s="16" t="str">
        <f t="shared" ca="1" si="396"/>
        <v/>
      </c>
      <c r="I3700" s="16" t="str">
        <f t="shared" ca="1" si="397"/>
        <v/>
      </c>
      <c r="J3700" s="17" t="str">
        <f t="shared" ca="1" si="398"/>
        <v/>
      </c>
    </row>
    <row r="3701" spans="1:10" x14ac:dyDescent="0.25">
      <c r="A3701" t="s">
        <v>203</v>
      </c>
      <c r="B3701" t="str">
        <f>ADDRESS(ROW('PAYG 1'!$B$19),COLUMN('PAYG 1'!$B$19),4)</f>
        <v>B19</v>
      </c>
      <c r="C3701" t="str">
        <f>ADDRESS(ROW('PAYG 1'!$D$19),COLUMN('PAYG 1'!$D$19),4)</f>
        <v>D19</v>
      </c>
      <c r="D3701" t="b" cm="1">
        <f t="array" aca="1" ref="D3701" ca="1">IF(INDIRECT("'"&amp;A3701&amp;"'!"&amp;B3701)="",FALSE,IF(TRUNC(INDIRECT("'"&amp;A3701&amp;"'!"&amp;B3701))=INDIRECT("'"&amp;A3701&amp;"'!"&amp;B3701),FALSE,TRUE))</f>
        <v>0</v>
      </c>
      <c r="E3701" t="s">
        <v>436</v>
      </c>
      <c r="F3701" t="str">
        <f>INDEX(Lists!I:I,MATCH(Validation!E3701,Lists!G:G,0))</f>
        <v>Error</v>
      </c>
      <c r="G3701" t="str">
        <f>INDEX(Lists!H:H,MATCH(Validation!E3701,Lists!G:G,0))</f>
        <v>Amount must be rounded to the nearest dollar.</v>
      </c>
      <c r="H3701" s="16" t="str">
        <f t="shared" ca="1" si="396"/>
        <v/>
      </c>
      <c r="I3701" s="16" t="str">
        <f t="shared" ca="1" si="397"/>
        <v/>
      </c>
      <c r="J3701" s="17" t="str">
        <f t="shared" ca="1" si="398"/>
        <v/>
      </c>
    </row>
    <row r="3702" spans="1:10" x14ac:dyDescent="0.25">
      <c r="A3702" t="s">
        <v>651</v>
      </c>
      <c r="B3702" t="str">
        <f>ADDRESS(ROW('PAYG 1'!$B$19),COLUMN('PAYG 1'!$B$19),4)</f>
        <v>B19</v>
      </c>
      <c r="C3702" t="str">
        <f>ADDRESS(ROW('PAYG 1'!$D$19),COLUMN('PAYG 1'!$D$19),4)</f>
        <v>D19</v>
      </c>
      <c r="D3702" t="b" cm="1">
        <f t="array" aca="1" ref="D3702" ca="1">IF(INDIRECT("'"&amp;A3702&amp;"'!"&amp;B3702)="",FALSE,IF(TRUNC(INDIRECT("'"&amp;A3702&amp;"'!"&amp;B3702))=INDIRECT("'"&amp;A3702&amp;"'!"&amp;B3702),FALSE,TRUE))</f>
        <v>0</v>
      </c>
      <c r="E3702" t="s">
        <v>436</v>
      </c>
      <c r="F3702" t="str">
        <f>INDEX(Lists!I:I,MATCH(Validation!E3702,Lists!G:G,0))</f>
        <v>Error</v>
      </c>
      <c r="G3702" t="str">
        <f>INDEX(Lists!H:H,MATCH(Validation!E3702,Lists!G:G,0))</f>
        <v>Amount must be rounded to the nearest dollar.</v>
      </c>
      <c r="H3702" s="16" t="str">
        <f t="shared" ca="1" si="396"/>
        <v/>
      </c>
      <c r="I3702" s="16" t="str">
        <f t="shared" ca="1" si="397"/>
        <v/>
      </c>
      <c r="J3702" s="17" t="str">
        <f t="shared" ca="1" si="398"/>
        <v/>
      </c>
    </row>
    <row r="3703" spans="1:10" x14ac:dyDescent="0.25">
      <c r="A3703" t="s">
        <v>652</v>
      </c>
      <c r="B3703" t="str">
        <f>ADDRESS(ROW('PAYG 1'!$B$19),COLUMN('PAYG 1'!$B$19),4)</f>
        <v>B19</v>
      </c>
      <c r="C3703" t="str">
        <f>ADDRESS(ROW('PAYG 1'!$D$19),COLUMN('PAYG 1'!$D$19),4)</f>
        <v>D19</v>
      </c>
      <c r="D3703" t="b" cm="1">
        <f t="array" aca="1" ref="D3703" ca="1">IF(INDIRECT("'"&amp;A3703&amp;"'!"&amp;B3703)="",FALSE,IF(TRUNC(INDIRECT("'"&amp;A3703&amp;"'!"&amp;B3703))=INDIRECT("'"&amp;A3703&amp;"'!"&amp;B3703),FALSE,TRUE))</f>
        <v>0</v>
      </c>
      <c r="E3703" t="s">
        <v>436</v>
      </c>
      <c r="F3703" t="str">
        <f>INDEX(Lists!I:I,MATCH(Validation!E3703,Lists!G:G,0))</f>
        <v>Error</v>
      </c>
      <c r="G3703" t="str">
        <f>INDEX(Lists!H:H,MATCH(Validation!E3703,Lists!G:G,0))</f>
        <v>Amount must be rounded to the nearest dollar.</v>
      </c>
      <c r="H3703" s="16" t="str">
        <f t="shared" ca="1" si="396"/>
        <v/>
      </c>
      <c r="I3703" s="16" t="str">
        <f t="shared" ca="1" si="397"/>
        <v/>
      </c>
      <c r="J3703" s="17" t="str">
        <f t="shared" ca="1" si="398"/>
        <v/>
      </c>
    </row>
    <row r="3704" spans="1:10" x14ac:dyDescent="0.25">
      <c r="A3704" t="s">
        <v>653</v>
      </c>
      <c r="B3704" t="str">
        <f>ADDRESS(ROW('PAYG 1'!$B$19),COLUMN('PAYG 1'!$B$19),4)</f>
        <v>B19</v>
      </c>
      <c r="C3704" t="str">
        <f>ADDRESS(ROW('PAYG 1'!$D$19),COLUMN('PAYG 1'!$D$19),4)</f>
        <v>D19</v>
      </c>
      <c r="D3704" t="b" cm="1">
        <f t="array" aca="1" ref="D3704" ca="1">IF(INDIRECT("'"&amp;A3704&amp;"'!"&amp;B3704)="",FALSE,IF(TRUNC(INDIRECT("'"&amp;A3704&amp;"'!"&amp;B3704))=INDIRECT("'"&amp;A3704&amp;"'!"&amp;B3704),FALSE,TRUE))</f>
        <v>0</v>
      </c>
      <c r="E3704" t="s">
        <v>436</v>
      </c>
      <c r="F3704" t="str">
        <f>INDEX(Lists!I:I,MATCH(Validation!E3704,Lists!G:G,0))</f>
        <v>Error</v>
      </c>
      <c r="G3704" t="str">
        <f>INDEX(Lists!H:H,MATCH(Validation!E3704,Lists!G:G,0))</f>
        <v>Amount must be rounded to the nearest dollar.</v>
      </c>
      <c r="H3704" s="16" t="str">
        <f t="shared" ca="1" si="396"/>
        <v/>
      </c>
      <c r="I3704" s="16" t="str">
        <f t="shared" ca="1" si="397"/>
        <v/>
      </c>
      <c r="J3704" s="17" t="str">
        <f t="shared" ca="1" si="398"/>
        <v/>
      </c>
    </row>
    <row r="3705" spans="1:10" x14ac:dyDescent="0.25">
      <c r="A3705" t="s">
        <v>654</v>
      </c>
      <c r="B3705" t="str">
        <f>ADDRESS(ROW('PAYG 1'!$B$19),COLUMN('PAYG 1'!$B$19),4)</f>
        <v>B19</v>
      </c>
      <c r="C3705" t="str">
        <f>ADDRESS(ROW('PAYG 1'!$D$19),COLUMN('PAYG 1'!$D$19),4)</f>
        <v>D19</v>
      </c>
      <c r="D3705" t="b" cm="1">
        <f t="array" aca="1" ref="D3705" ca="1">IF(INDIRECT("'"&amp;A3705&amp;"'!"&amp;B3705)="",FALSE,IF(TRUNC(INDIRECT("'"&amp;A3705&amp;"'!"&amp;B3705))=INDIRECT("'"&amp;A3705&amp;"'!"&amp;B3705),FALSE,TRUE))</f>
        <v>0</v>
      </c>
      <c r="E3705" t="s">
        <v>436</v>
      </c>
      <c r="F3705" t="str">
        <f>INDEX(Lists!I:I,MATCH(Validation!E3705,Lists!G:G,0))</f>
        <v>Error</v>
      </c>
      <c r="G3705" t="str">
        <f>INDEX(Lists!H:H,MATCH(Validation!E3705,Lists!G:G,0))</f>
        <v>Amount must be rounded to the nearest dollar.</v>
      </c>
      <c r="H3705" s="16" t="str">
        <f t="shared" ca="1" si="396"/>
        <v/>
      </c>
      <c r="I3705" s="16" t="str">
        <f t="shared" ca="1" si="397"/>
        <v/>
      </c>
      <c r="J3705" s="17" t="str">
        <f t="shared" ca="1" si="398"/>
        <v/>
      </c>
    </row>
    <row r="3706" spans="1:10" x14ac:dyDescent="0.25">
      <c r="A3706" t="s">
        <v>655</v>
      </c>
      <c r="B3706" t="str">
        <f>ADDRESS(ROW('PAYG 1'!$B$19),COLUMN('PAYG 1'!$B$19),4)</f>
        <v>B19</v>
      </c>
      <c r="C3706" t="str">
        <f>ADDRESS(ROW('PAYG 1'!$D$19),COLUMN('PAYG 1'!$D$19),4)</f>
        <v>D19</v>
      </c>
      <c r="D3706" t="b" cm="1">
        <f t="array" aca="1" ref="D3706" ca="1">IF(INDIRECT("'"&amp;A3706&amp;"'!"&amp;B3706)="",FALSE,IF(TRUNC(INDIRECT("'"&amp;A3706&amp;"'!"&amp;B3706))=INDIRECT("'"&amp;A3706&amp;"'!"&amp;B3706),FALSE,TRUE))</f>
        <v>0</v>
      </c>
      <c r="E3706" t="s">
        <v>436</v>
      </c>
      <c r="F3706" t="str">
        <f>INDEX(Lists!I:I,MATCH(Validation!E3706,Lists!G:G,0))</f>
        <v>Error</v>
      </c>
      <c r="G3706" t="str">
        <f>INDEX(Lists!H:H,MATCH(Validation!E3706,Lists!G:G,0))</f>
        <v>Amount must be rounded to the nearest dollar.</v>
      </c>
      <c r="H3706" s="16" t="str">
        <f t="shared" ca="1" si="396"/>
        <v/>
      </c>
      <c r="I3706" s="16" t="str">
        <f t="shared" ca="1" si="397"/>
        <v/>
      </c>
      <c r="J3706" s="17" t="str">
        <f t="shared" ca="1" si="398"/>
        <v/>
      </c>
    </row>
    <row r="3707" spans="1:10" x14ac:dyDescent="0.25">
      <c r="A3707" t="s">
        <v>656</v>
      </c>
      <c r="B3707" t="str">
        <f>ADDRESS(ROW('PAYG 1'!$B$19),COLUMN('PAYG 1'!$B$19),4)</f>
        <v>B19</v>
      </c>
      <c r="C3707" t="str">
        <f>ADDRESS(ROW('PAYG 1'!$D$19),COLUMN('PAYG 1'!$D$19),4)</f>
        <v>D19</v>
      </c>
      <c r="D3707" t="b" cm="1">
        <f t="array" aca="1" ref="D3707" ca="1">IF(INDIRECT("'"&amp;A3707&amp;"'!"&amp;B3707)="",FALSE,IF(TRUNC(INDIRECT("'"&amp;A3707&amp;"'!"&amp;B3707))=INDIRECT("'"&amp;A3707&amp;"'!"&amp;B3707),FALSE,TRUE))</f>
        <v>0</v>
      </c>
      <c r="E3707" t="s">
        <v>436</v>
      </c>
      <c r="F3707" t="str">
        <f>INDEX(Lists!I:I,MATCH(Validation!E3707,Lists!G:G,0))</f>
        <v>Error</v>
      </c>
      <c r="G3707" t="str">
        <f>INDEX(Lists!H:H,MATCH(Validation!E3707,Lists!G:G,0))</f>
        <v>Amount must be rounded to the nearest dollar.</v>
      </c>
      <c r="H3707" s="16" t="str">
        <f t="shared" ca="1" si="396"/>
        <v/>
      </c>
      <c r="I3707" s="16" t="str">
        <f t="shared" ca="1" si="397"/>
        <v/>
      </c>
      <c r="J3707" s="17" t="str">
        <f t="shared" ca="1" si="398"/>
        <v/>
      </c>
    </row>
    <row r="3708" spans="1:10" x14ac:dyDescent="0.25">
      <c r="A3708" t="s">
        <v>657</v>
      </c>
      <c r="B3708" t="str">
        <f>ADDRESS(ROW('PAYG 1'!$B$19),COLUMN('PAYG 1'!$B$19),4)</f>
        <v>B19</v>
      </c>
      <c r="C3708" t="str">
        <f>ADDRESS(ROW('PAYG 1'!$D$19),COLUMN('PAYG 1'!$D$19),4)</f>
        <v>D19</v>
      </c>
      <c r="D3708" t="b" cm="1">
        <f t="array" aca="1" ref="D3708" ca="1">IF(INDIRECT("'"&amp;A3708&amp;"'!"&amp;B3708)="",FALSE,IF(TRUNC(INDIRECT("'"&amp;A3708&amp;"'!"&amp;B3708))=INDIRECT("'"&amp;A3708&amp;"'!"&amp;B3708),FALSE,TRUE))</f>
        <v>0</v>
      </c>
      <c r="E3708" t="s">
        <v>436</v>
      </c>
      <c r="F3708" t="str">
        <f>INDEX(Lists!I:I,MATCH(Validation!E3708,Lists!G:G,0))</f>
        <v>Error</v>
      </c>
      <c r="G3708" t="str">
        <f>INDEX(Lists!H:H,MATCH(Validation!E3708,Lists!G:G,0))</f>
        <v>Amount must be rounded to the nearest dollar.</v>
      </c>
      <c r="H3708" s="16" t="str">
        <f t="shared" ca="1" si="396"/>
        <v/>
      </c>
      <c r="I3708" s="16" t="str">
        <f t="shared" ca="1" si="397"/>
        <v/>
      </c>
      <c r="J3708" s="17" t="str">
        <f t="shared" ca="1" si="398"/>
        <v/>
      </c>
    </row>
    <row r="3709" spans="1:10" x14ac:dyDescent="0.25">
      <c r="A3709" t="s">
        <v>658</v>
      </c>
      <c r="B3709" t="str">
        <f>ADDRESS(ROW('PAYG 1'!$B$19),COLUMN('PAYG 1'!$B$19),4)</f>
        <v>B19</v>
      </c>
      <c r="C3709" t="str">
        <f>ADDRESS(ROW('PAYG 1'!$D$19),COLUMN('PAYG 1'!$D$19),4)</f>
        <v>D19</v>
      </c>
      <c r="D3709" t="b" cm="1">
        <f t="array" aca="1" ref="D3709" ca="1">IF(INDIRECT("'"&amp;A3709&amp;"'!"&amp;B3709)="",FALSE,IF(TRUNC(INDIRECT("'"&amp;A3709&amp;"'!"&amp;B3709))=INDIRECT("'"&amp;A3709&amp;"'!"&amp;B3709),FALSE,TRUE))</f>
        <v>0</v>
      </c>
      <c r="E3709" t="s">
        <v>436</v>
      </c>
      <c r="F3709" t="str">
        <f>INDEX(Lists!I:I,MATCH(Validation!E3709,Lists!G:G,0))</f>
        <v>Error</v>
      </c>
      <c r="G3709" t="str">
        <f>INDEX(Lists!H:H,MATCH(Validation!E3709,Lists!G:G,0))</f>
        <v>Amount must be rounded to the nearest dollar.</v>
      </c>
      <c r="H3709" s="16" t="str">
        <f t="shared" ca="1" si="396"/>
        <v/>
      </c>
      <c r="I3709" s="16" t="str">
        <f t="shared" ca="1" si="397"/>
        <v/>
      </c>
      <c r="J3709" s="17" t="str">
        <f t="shared" ca="1" si="398"/>
        <v/>
      </c>
    </row>
    <row r="3710" spans="1:10" x14ac:dyDescent="0.25">
      <c r="A3710" t="s">
        <v>659</v>
      </c>
      <c r="B3710" t="str">
        <f>ADDRESS(ROW('PAYG 1'!$B$19),COLUMN('PAYG 1'!$B$19),4)</f>
        <v>B19</v>
      </c>
      <c r="C3710" t="str">
        <f>ADDRESS(ROW('PAYG 1'!$D$19),COLUMN('PAYG 1'!$D$19),4)</f>
        <v>D19</v>
      </c>
      <c r="D3710" t="b" cm="1">
        <f t="array" aca="1" ref="D3710" ca="1">IF(INDIRECT("'"&amp;A3710&amp;"'!"&amp;B3710)="",FALSE,IF(TRUNC(INDIRECT("'"&amp;A3710&amp;"'!"&amp;B3710))=INDIRECT("'"&amp;A3710&amp;"'!"&amp;B3710),FALSE,TRUE))</f>
        <v>0</v>
      </c>
      <c r="E3710" t="s">
        <v>436</v>
      </c>
      <c r="F3710" t="str">
        <f>INDEX(Lists!I:I,MATCH(Validation!E3710,Lists!G:G,0))</f>
        <v>Error</v>
      </c>
      <c r="G3710" t="str">
        <f>INDEX(Lists!H:H,MATCH(Validation!E3710,Lists!G:G,0))</f>
        <v>Amount must be rounded to the nearest dollar.</v>
      </c>
      <c r="H3710" s="16" t="str">
        <f t="shared" ca="1" si="396"/>
        <v/>
      </c>
      <c r="I3710" s="16" t="str">
        <f t="shared" ca="1" si="397"/>
        <v/>
      </c>
      <c r="J3710" s="17" t="str">
        <f t="shared" ca="1" si="398"/>
        <v/>
      </c>
    </row>
    <row r="3711" spans="1:10" x14ac:dyDescent="0.25">
      <c r="A3711" t="s">
        <v>660</v>
      </c>
      <c r="B3711" t="str">
        <f>ADDRESS(ROW('PAYG 1'!$B$19),COLUMN('PAYG 1'!$B$19),4)</f>
        <v>B19</v>
      </c>
      <c r="C3711" t="str">
        <f>ADDRESS(ROW('PAYG 1'!$D$19),COLUMN('PAYG 1'!$D$19),4)</f>
        <v>D19</v>
      </c>
      <c r="D3711" t="b" cm="1">
        <f t="array" aca="1" ref="D3711" ca="1">IF(INDIRECT("'"&amp;A3711&amp;"'!"&amp;B3711)="",FALSE,IF(TRUNC(INDIRECT("'"&amp;A3711&amp;"'!"&amp;B3711))=INDIRECT("'"&amp;A3711&amp;"'!"&amp;B3711),FALSE,TRUE))</f>
        <v>0</v>
      </c>
      <c r="E3711" t="s">
        <v>436</v>
      </c>
      <c r="F3711" t="str">
        <f>INDEX(Lists!I:I,MATCH(Validation!E3711,Lists!G:G,0))</f>
        <v>Error</v>
      </c>
      <c r="G3711" t="str">
        <f>INDEX(Lists!H:H,MATCH(Validation!E3711,Lists!G:G,0))</f>
        <v>Amount must be rounded to the nearest dollar.</v>
      </c>
      <c r="H3711" s="16" t="str">
        <f t="shared" ca="1" si="396"/>
        <v/>
      </c>
      <c r="I3711" s="16" t="str">
        <f t="shared" ca="1" si="397"/>
        <v/>
      </c>
      <c r="J3711" s="17" t="str">
        <f t="shared" ca="1" si="398"/>
        <v/>
      </c>
    </row>
    <row r="3712" spans="1:10" x14ac:dyDescent="0.25">
      <c r="A3712" t="s">
        <v>661</v>
      </c>
      <c r="B3712" t="str">
        <f>ADDRESS(ROW('PAYG 1'!$B$19),COLUMN('PAYG 1'!$B$19),4)</f>
        <v>B19</v>
      </c>
      <c r="C3712" t="str">
        <f>ADDRESS(ROW('PAYG 1'!$D$19),COLUMN('PAYG 1'!$D$19),4)</f>
        <v>D19</v>
      </c>
      <c r="D3712" t="b" cm="1">
        <f t="array" aca="1" ref="D3712" ca="1">IF(INDIRECT("'"&amp;A3712&amp;"'!"&amp;B3712)="",FALSE,IF(TRUNC(INDIRECT("'"&amp;A3712&amp;"'!"&amp;B3712))=INDIRECT("'"&amp;A3712&amp;"'!"&amp;B3712),FALSE,TRUE))</f>
        <v>0</v>
      </c>
      <c r="E3712" t="s">
        <v>436</v>
      </c>
      <c r="F3712" t="str">
        <f>INDEX(Lists!I:I,MATCH(Validation!E3712,Lists!G:G,0))</f>
        <v>Error</v>
      </c>
      <c r="G3712" t="str">
        <f>INDEX(Lists!H:H,MATCH(Validation!E3712,Lists!G:G,0))</f>
        <v>Amount must be rounded to the nearest dollar.</v>
      </c>
      <c r="H3712" s="16" t="str">
        <f t="shared" ca="1" si="396"/>
        <v/>
      </c>
      <c r="I3712" s="16" t="str">
        <f t="shared" ca="1" si="397"/>
        <v/>
      </c>
      <c r="J3712" s="17" t="str">
        <f t="shared" ca="1" si="398"/>
        <v/>
      </c>
    </row>
    <row r="3713" spans="1:10" x14ac:dyDescent="0.25">
      <c r="A3713" t="s">
        <v>662</v>
      </c>
      <c r="B3713" t="str">
        <f>ADDRESS(ROW('PAYG 1'!$B$19),COLUMN('PAYG 1'!$B$19),4)</f>
        <v>B19</v>
      </c>
      <c r="C3713" t="str">
        <f>ADDRESS(ROW('PAYG 1'!$D$19),COLUMN('PAYG 1'!$D$19),4)</f>
        <v>D19</v>
      </c>
      <c r="D3713" t="b" cm="1">
        <f t="array" aca="1" ref="D3713" ca="1">IF(INDIRECT("'"&amp;A3713&amp;"'!"&amp;B3713)="",FALSE,IF(TRUNC(INDIRECT("'"&amp;A3713&amp;"'!"&amp;B3713))=INDIRECT("'"&amp;A3713&amp;"'!"&amp;B3713),FALSE,TRUE))</f>
        <v>0</v>
      </c>
      <c r="E3713" t="s">
        <v>436</v>
      </c>
      <c r="F3713" t="str">
        <f>INDEX(Lists!I:I,MATCH(Validation!E3713,Lists!G:G,0))</f>
        <v>Error</v>
      </c>
      <c r="G3713" t="str">
        <f>INDEX(Lists!H:H,MATCH(Validation!E3713,Lists!G:G,0))</f>
        <v>Amount must be rounded to the nearest dollar.</v>
      </c>
      <c r="H3713" s="16" t="str">
        <f t="shared" ca="1" si="396"/>
        <v/>
      </c>
      <c r="I3713" s="16" t="str">
        <f t="shared" ca="1" si="397"/>
        <v/>
      </c>
      <c r="J3713" s="17" t="str">
        <f t="shared" ca="1" si="398"/>
        <v/>
      </c>
    </row>
    <row r="3714" spans="1:10" x14ac:dyDescent="0.25">
      <c r="A3714" t="s">
        <v>663</v>
      </c>
      <c r="B3714" t="str">
        <f>ADDRESS(ROW('PAYG 1'!$B$19),COLUMN('PAYG 1'!$B$19),4)</f>
        <v>B19</v>
      </c>
      <c r="C3714" t="str">
        <f>ADDRESS(ROW('PAYG 1'!$D$19),COLUMN('PAYG 1'!$D$19),4)</f>
        <v>D19</v>
      </c>
      <c r="D3714" t="b" cm="1">
        <f t="array" aca="1" ref="D3714" ca="1">IF(INDIRECT("'"&amp;A3714&amp;"'!"&amp;B3714)="",FALSE,IF(TRUNC(INDIRECT("'"&amp;A3714&amp;"'!"&amp;B3714))=INDIRECT("'"&amp;A3714&amp;"'!"&amp;B3714),FALSE,TRUE))</f>
        <v>0</v>
      </c>
      <c r="E3714" t="s">
        <v>436</v>
      </c>
      <c r="F3714" t="str">
        <f>INDEX(Lists!I:I,MATCH(Validation!E3714,Lists!G:G,0))</f>
        <v>Error</v>
      </c>
      <c r="G3714" t="str">
        <f>INDEX(Lists!H:H,MATCH(Validation!E3714,Lists!G:G,0))</f>
        <v>Amount must be rounded to the nearest dollar.</v>
      </c>
      <c r="H3714" s="16" t="str">
        <f t="shared" ca="1" si="396"/>
        <v/>
      </c>
      <c r="I3714" s="16" t="str">
        <f t="shared" ca="1" si="397"/>
        <v/>
      </c>
      <c r="J3714" s="17" t="str">
        <f t="shared" ca="1" si="398"/>
        <v/>
      </c>
    </row>
    <row r="3715" spans="1:10" x14ac:dyDescent="0.25">
      <c r="A3715" t="s">
        <v>664</v>
      </c>
      <c r="B3715" t="str">
        <f>ADDRESS(ROW('PAYG 1'!$B$19),COLUMN('PAYG 1'!$B$19),4)</f>
        <v>B19</v>
      </c>
      <c r="C3715" t="str">
        <f>ADDRESS(ROW('PAYG 1'!$D$19),COLUMN('PAYG 1'!$D$19),4)</f>
        <v>D19</v>
      </c>
      <c r="D3715" t="b" cm="1">
        <f t="array" aca="1" ref="D3715" ca="1">IF(INDIRECT("'"&amp;A3715&amp;"'!"&amp;B3715)="",FALSE,IF(TRUNC(INDIRECT("'"&amp;A3715&amp;"'!"&amp;B3715))=INDIRECT("'"&amp;A3715&amp;"'!"&amp;B3715),FALSE,TRUE))</f>
        <v>0</v>
      </c>
      <c r="E3715" t="s">
        <v>436</v>
      </c>
      <c r="F3715" t="str">
        <f>INDEX(Lists!I:I,MATCH(Validation!E3715,Lists!G:G,0))</f>
        <v>Error</v>
      </c>
      <c r="G3715" t="str">
        <f>INDEX(Lists!H:H,MATCH(Validation!E3715,Lists!G:G,0))</f>
        <v>Amount must be rounded to the nearest dollar.</v>
      </c>
      <c r="H3715" s="16" t="str">
        <f t="shared" ca="1" si="396"/>
        <v/>
      </c>
      <c r="I3715" s="16" t="str">
        <f t="shared" ca="1" si="397"/>
        <v/>
      </c>
      <c r="J3715" s="17" t="str">
        <f t="shared" ca="1" si="398"/>
        <v/>
      </c>
    </row>
    <row r="3716" spans="1:10" x14ac:dyDescent="0.25">
      <c r="A3716" t="s">
        <v>203</v>
      </c>
      <c r="B3716" t="str">
        <f>ADDRESS(ROW('PAYG 1'!$C$19),COLUMN('PAYG 1'!$C$19),4)</f>
        <v>C19</v>
      </c>
      <c r="C3716" t="str">
        <f>ADDRESS(ROW('PAYG 1'!$D$19),COLUMN('PAYG 1'!$D$19),4)</f>
        <v>D19</v>
      </c>
      <c r="D3716" t="b" cm="1">
        <f t="array" aca="1" ref="D3716" ca="1">IF(INDIRECT("'"&amp;A3716&amp;"'!"&amp;B3716)="",FALSE,IF(NOT(ISNUMBER(INDIRECT("'"&amp;A3716&amp;"'!"&amp;B3716))),TRUE,FALSE))</f>
        <v>0</v>
      </c>
      <c r="E3716" t="s">
        <v>435</v>
      </c>
      <c r="F3716" t="str">
        <f>INDEX(Lists!I:I,MATCH(Validation!E3716,Lists!G:G,0))</f>
        <v>Error</v>
      </c>
      <c r="G3716" t="str">
        <f>INDEX(Lists!H:H,MATCH(Validation!E3716,Lists!G:G,0))</f>
        <v>Enter an amount only. Do not enter text or spaces.</v>
      </c>
      <c r="H3716" s="16" t="str">
        <f t="shared" ref="H3716:H3760" ca="1" si="399">IFERROR(IF(OR(NOT(D3716),F3716&lt;&gt;"Error"),"",A3716&amp;CELL("address",INDIRECT(B3716))),"")</f>
        <v/>
      </c>
      <c r="I3716" s="16" t="str">
        <f t="shared" ref="I3716:I3760" ca="1" si="400">IFERROR(IF(NOT(D3716),"",A3716&amp;CELL("address",INDIRECT(C3716))),"")</f>
        <v/>
      </c>
      <c r="J3716" s="17" t="str">
        <f t="shared" ref="J3716:J3760" ca="1" si="401">IFERROR(IF(NOT(D3716),"",A3716),"")</f>
        <v/>
      </c>
    </row>
    <row r="3717" spans="1:10" x14ac:dyDescent="0.25">
      <c r="A3717" t="s">
        <v>651</v>
      </c>
      <c r="B3717" t="str">
        <f>ADDRESS(ROW('PAYG 1'!$C$19),COLUMN('PAYG 1'!$C$19),4)</f>
        <v>C19</v>
      </c>
      <c r="C3717" t="str">
        <f>ADDRESS(ROW('PAYG 1'!$D$19),COLUMN('PAYG 1'!$D$19),4)</f>
        <v>D19</v>
      </c>
      <c r="D3717" t="b" cm="1">
        <f t="array" aca="1" ref="D3717" ca="1">IF(INDIRECT("'"&amp;A3717&amp;"'!"&amp;B3717)="",FALSE,IF(NOT(ISNUMBER(INDIRECT("'"&amp;A3717&amp;"'!"&amp;B3717))),TRUE,FALSE))</f>
        <v>0</v>
      </c>
      <c r="E3717" t="s">
        <v>435</v>
      </c>
      <c r="F3717" t="str">
        <f>INDEX(Lists!I:I,MATCH(Validation!E3717,Lists!G:G,0))</f>
        <v>Error</v>
      </c>
      <c r="G3717" t="str">
        <f>INDEX(Lists!H:H,MATCH(Validation!E3717,Lists!G:G,0))</f>
        <v>Enter an amount only. Do not enter text or spaces.</v>
      </c>
      <c r="H3717" s="16" t="str">
        <f t="shared" ca="1" si="399"/>
        <v/>
      </c>
      <c r="I3717" s="16" t="str">
        <f t="shared" ca="1" si="400"/>
        <v/>
      </c>
      <c r="J3717" s="17" t="str">
        <f t="shared" ca="1" si="401"/>
        <v/>
      </c>
    </row>
    <row r="3718" spans="1:10" x14ac:dyDescent="0.25">
      <c r="A3718" t="s">
        <v>652</v>
      </c>
      <c r="B3718" t="str">
        <f>ADDRESS(ROW('PAYG 1'!$C$19),COLUMN('PAYG 1'!$C$19),4)</f>
        <v>C19</v>
      </c>
      <c r="C3718" t="str">
        <f>ADDRESS(ROW('PAYG 1'!$D$19),COLUMN('PAYG 1'!$D$19),4)</f>
        <v>D19</v>
      </c>
      <c r="D3718" t="b" cm="1">
        <f t="array" aca="1" ref="D3718" ca="1">IF(INDIRECT("'"&amp;A3718&amp;"'!"&amp;B3718)="",FALSE,IF(NOT(ISNUMBER(INDIRECT("'"&amp;A3718&amp;"'!"&amp;B3718))),TRUE,FALSE))</f>
        <v>0</v>
      </c>
      <c r="E3718" t="s">
        <v>435</v>
      </c>
      <c r="F3718" t="str">
        <f>INDEX(Lists!I:I,MATCH(Validation!E3718,Lists!G:G,0))</f>
        <v>Error</v>
      </c>
      <c r="G3718" t="str">
        <f>INDEX(Lists!H:H,MATCH(Validation!E3718,Lists!G:G,0))</f>
        <v>Enter an amount only. Do not enter text or spaces.</v>
      </c>
      <c r="H3718" s="16" t="str">
        <f t="shared" ca="1" si="399"/>
        <v/>
      </c>
      <c r="I3718" s="16" t="str">
        <f t="shared" ca="1" si="400"/>
        <v/>
      </c>
      <c r="J3718" s="17" t="str">
        <f t="shared" ca="1" si="401"/>
        <v/>
      </c>
    </row>
    <row r="3719" spans="1:10" x14ac:dyDescent="0.25">
      <c r="A3719" t="s">
        <v>653</v>
      </c>
      <c r="B3719" t="str">
        <f>ADDRESS(ROW('PAYG 1'!$C$19),COLUMN('PAYG 1'!$C$19),4)</f>
        <v>C19</v>
      </c>
      <c r="C3719" t="str">
        <f>ADDRESS(ROW('PAYG 1'!$D$19),COLUMN('PAYG 1'!$D$19),4)</f>
        <v>D19</v>
      </c>
      <c r="D3719" t="b" cm="1">
        <f t="array" aca="1" ref="D3719" ca="1">IF(INDIRECT("'"&amp;A3719&amp;"'!"&amp;B3719)="",FALSE,IF(NOT(ISNUMBER(INDIRECT("'"&amp;A3719&amp;"'!"&amp;B3719))),TRUE,FALSE))</f>
        <v>0</v>
      </c>
      <c r="E3719" t="s">
        <v>435</v>
      </c>
      <c r="F3719" t="str">
        <f>INDEX(Lists!I:I,MATCH(Validation!E3719,Lists!G:G,0))</f>
        <v>Error</v>
      </c>
      <c r="G3719" t="str">
        <f>INDEX(Lists!H:H,MATCH(Validation!E3719,Lists!G:G,0))</f>
        <v>Enter an amount only. Do not enter text or spaces.</v>
      </c>
      <c r="H3719" s="16" t="str">
        <f t="shared" ca="1" si="399"/>
        <v/>
      </c>
      <c r="I3719" s="16" t="str">
        <f t="shared" ca="1" si="400"/>
        <v/>
      </c>
      <c r="J3719" s="17" t="str">
        <f t="shared" ca="1" si="401"/>
        <v/>
      </c>
    </row>
    <row r="3720" spans="1:10" x14ac:dyDescent="0.25">
      <c r="A3720" t="s">
        <v>654</v>
      </c>
      <c r="B3720" t="str">
        <f>ADDRESS(ROW('PAYG 1'!$C$19),COLUMN('PAYG 1'!$C$19),4)</f>
        <v>C19</v>
      </c>
      <c r="C3720" t="str">
        <f>ADDRESS(ROW('PAYG 1'!$D$19),COLUMN('PAYG 1'!$D$19),4)</f>
        <v>D19</v>
      </c>
      <c r="D3720" t="b" cm="1">
        <f t="array" aca="1" ref="D3720" ca="1">IF(INDIRECT("'"&amp;A3720&amp;"'!"&amp;B3720)="",FALSE,IF(NOT(ISNUMBER(INDIRECT("'"&amp;A3720&amp;"'!"&amp;B3720))),TRUE,FALSE))</f>
        <v>0</v>
      </c>
      <c r="E3720" t="s">
        <v>435</v>
      </c>
      <c r="F3720" t="str">
        <f>INDEX(Lists!I:I,MATCH(Validation!E3720,Lists!G:G,0))</f>
        <v>Error</v>
      </c>
      <c r="G3720" t="str">
        <f>INDEX(Lists!H:H,MATCH(Validation!E3720,Lists!G:G,0))</f>
        <v>Enter an amount only. Do not enter text or spaces.</v>
      </c>
      <c r="H3720" s="16" t="str">
        <f t="shared" ca="1" si="399"/>
        <v/>
      </c>
      <c r="I3720" s="16" t="str">
        <f t="shared" ca="1" si="400"/>
        <v/>
      </c>
      <c r="J3720" s="17" t="str">
        <f t="shared" ca="1" si="401"/>
        <v/>
      </c>
    </row>
    <row r="3721" spans="1:10" x14ac:dyDescent="0.25">
      <c r="A3721" t="s">
        <v>655</v>
      </c>
      <c r="B3721" t="str">
        <f>ADDRESS(ROW('PAYG 1'!$C$19),COLUMN('PAYG 1'!$C$19),4)</f>
        <v>C19</v>
      </c>
      <c r="C3721" t="str">
        <f>ADDRESS(ROW('PAYG 1'!$D$19),COLUMN('PAYG 1'!$D$19),4)</f>
        <v>D19</v>
      </c>
      <c r="D3721" t="b" cm="1">
        <f t="array" aca="1" ref="D3721" ca="1">IF(INDIRECT("'"&amp;A3721&amp;"'!"&amp;B3721)="",FALSE,IF(NOT(ISNUMBER(INDIRECT("'"&amp;A3721&amp;"'!"&amp;B3721))),TRUE,FALSE))</f>
        <v>0</v>
      </c>
      <c r="E3721" t="s">
        <v>435</v>
      </c>
      <c r="F3721" t="str">
        <f>INDEX(Lists!I:I,MATCH(Validation!E3721,Lists!G:G,0))</f>
        <v>Error</v>
      </c>
      <c r="G3721" t="str">
        <f>INDEX(Lists!H:H,MATCH(Validation!E3721,Lists!G:G,0))</f>
        <v>Enter an amount only. Do not enter text or spaces.</v>
      </c>
      <c r="H3721" s="16" t="str">
        <f t="shared" ca="1" si="399"/>
        <v/>
      </c>
      <c r="I3721" s="16" t="str">
        <f t="shared" ca="1" si="400"/>
        <v/>
      </c>
      <c r="J3721" s="17" t="str">
        <f t="shared" ca="1" si="401"/>
        <v/>
      </c>
    </row>
    <row r="3722" spans="1:10" x14ac:dyDescent="0.25">
      <c r="A3722" t="s">
        <v>656</v>
      </c>
      <c r="B3722" t="str">
        <f>ADDRESS(ROW('PAYG 1'!$C$19),COLUMN('PAYG 1'!$C$19),4)</f>
        <v>C19</v>
      </c>
      <c r="C3722" t="str">
        <f>ADDRESS(ROW('PAYG 1'!$D$19),COLUMN('PAYG 1'!$D$19),4)</f>
        <v>D19</v>
      </c>
      <c r="D3722" t="b" cm="1">
        <f t="array" aca="1" ref="D3722" ca="1">IF(INDIRECT("'"&amp;A3722&amp;"'!"&amp;B3722)="",FALSE,IF(NOT(ISNUMBER(INDIRECT("'"&amp;A3722&amp;"'!"&amp;B3722))),TRUE,FALSE))</f>
        <v>0</v>
      </c>
      <c r="E3722" t="s">
        <v>435</v>
      </c>
      <c r="F3722" t="str">
        <f>INDEX(Lists!I:I,MATCH(Validation!E3722,Lists!G:G,0))</f>
        <v>Error</v>
      </c>
      <c r="G3722" t="str">
        <f>INDEX(Lists!H:H,MATCH(Validation!E3722,Lists!G:G,0))</f>
        <v>Enter an amount only. Do not enter text or spaces.</v>
      </c>
      <c r="H3722" s="16" t="str">
        <f t="shared" ca="1" si="399"/>
        <v/>
      </c>
      <c r="I3722" s="16" t="str">
        <f t="shared" ca="1" si="400"/>
        <v/>
      </c>
      <c r="J3722" s="17" t="str">
        <f t="shared" ca="1" si="401"/>
        <v/>
      </c>
    </row>
    <row r="3723" spans="1:10" x14ac:dyDescent="0.25">
      <c r="A3723" t="s">
        <v>657</v>
      </c>
      <c r="B3723" t="str">
        <f>ADDRESS(ROW('PAYG 1'!$C$19),COLUMN('PAYG 1'!$C$19),4)</f>
        <v>C19</v>
      </c>
      <c r="C3723" t="str">
        <f>ADDRESS(ROW('PAYG 1'!$D$19),COLUMN('PAYG 1'!$D$19),4)</f>
        <v>D19</v>
      </c>
      <c r="D3723" t="b" cm="1">
        <f t="array" aca="1" ref="D3723" ca="1">IF(INDIRECT("'"&amp;A3723&amp;"'!"&amp;B3723)="",FALSE,IF(NOT(ISNUMBER(INDIRECT("'"&amp;A3723&amp;"'!"&amp;B3723))),TRUE,FALSE))</f>
        <v>0</v>
      </c>
      <c r="E3723" t="s">
        <v>435</v>
      </c>
      <c r="F3723" t="str">
        <f>INDEX(Lists!I:I,MATCH(Validation!E3723,Lists!G:G,0))</f>
        <v>Error</v>
      </c>
      <c r="G3723" t="str">
        <f>INDEX(Lists!H:H,MATCH(Validation!E3723,Lists!G:G,0))</f>
        <v>Enter an amount only. Do not enter text or spaces.</v>
      </c>
      <c r="H3723" s="16" t="str">
        <f t="shared" ca="1" si="399"/>
        <v/>
      </c>
      <c r="I3723" s="16" t="str">
        <f t="shared" ca="1" si="400"/>
        <v/>
      </c>
      <c r="J3723" s="17" t="str">
        <f t="shared" ca="1" si="401"/>
        <v/>
      </c>
    </row>
    <row r="3724" spans="1:10" x14ac:dyDescent="0.25">
      <c r="A3724" t="s">
        <v>658</v>
      </c>
      <c r="B3724" t="str">
        <f>ADDRESS(ROW('PAYG 1'!$C$19),COLUMN('PAYG 1'!$C$19),4)</f>
        <v>C19</v>
      </c>
      <c r="C3724" t="str">
        <f>ADDRESS(ROW('PAYG 1'!$D$19),COLUMN('PAYG 1'!$D$19),4)</f>
        <v>D19</v>
      </c>
      <c r="D3724" t="b" cm="1">
        <f t="array" aca="1" ref="D3724" ca="1">IF(INDIRECT("'"&amp;A3724&amp;"'!"&amp;B3724)="",FALSE,IF(NOT(ISNUMBER(INDIRECT("'"&amp;A3724&amp;"'!"&amp;B3724))),TRUE,FALSE))</f>
        <v>0</v>
      </c>
      <c r="E3724" t="s">
        <v>435</v>
      </c>
      <c r="F3724" t="str">
        <f>INDEX(Lists!I:I,MATCH(Validation!E3724,Lists!G:G,0))</f>
        <v>Error</v>
      </c>
      <c r="G3724" t="str">
        <f>INDEX(Lists!H:H,MATCH(Validation!E3724,Lists!G:G,0))</f>
        <v>Enter an amount only. Do not enter text or spaces.</v>
      </c>
      <c r="H3724" s="16" t="str">
        <f t="shared" ca="1" si="399"/>
        <v/>
      </c>
      <c r="I3724" s="16" t="str">
        <f t="shared" ca="1" si="400"/>
        <v/>
      </c>
      <c r="J3724" s="17" t="str">
        <f t="shared" ca="1" si="401"/>
        <v/>
      </c>
    </row>
    <row r="3725" spans="1:10" x14ac:dyDescent="0.25">
      <c r="A3725" t="s">
        <v>659</v>
      </c>
      <c r="B3725" t="str">
        <f>ADDRESS(ROW('PAYG 1'!$C$19),COLUMN('PAYG 1'!$C$19),4)</f>
        <v>C19</v>
      </c>
      <c r="C3725" t="str">
        <f>ADDRESS(ROW('PAYG 1'!$D$19),COLUMN('PAYG 1'!$D$19),4)</f>
        <v>D19</v>
      </c>
      <c r="D3725" t="b" cm="1">
        <f t="array" aca="1" ref="D3725" ca="1">IF(INDIRECT("'"&amp;A3725&amp;"'!"&amp;B3725)="",FALSE,IF(NOT(ISNUMBER(INDIRECT("'"&amp;A3725&amp;"'!"&amp;B3725))),TRUE,FALSE))</f>
        <v>0</v>
      </c>
      <c r="E3725" t="s">
        <v>435</v>
      </c>
      <c r="F3725" t="str">
        <f>INDEX(Lists!I:I,MATCH(Validation!E3725,Lists!G:G,0))</f>
        <v>Error</v>
      </c>
      <c r="G3725" t="str">
        <f>INDEX(Lists!H:H,MATCH(Validation!E3725,Lists!G:G,0))</f>
        <v>Enter an amount only. Do not enter text or spaces.</v>
      </c>
      <c r="H3725" s="16" t="str">
        <f t="shared" ca="1" si="399"/>
        <v/>
      </c>
      <c r="I3725" s="16" t="str">
        <f t="shared" ca="1" si="400"/>
        <v/>
      </c>
      <c r="J3725" s="17" t="str">
        <f t="shared" ca="1" si="401"/>
        <v/>
      </c>
    </row>
    <row r="3726" spans="1:10" x14ac:dyDescent="0.25">
      <c r="A3726" t="s">
        <v>660</v>
      </c>
      <c r="B3726" t="str">
        <f>ADDRESS(ROW('PAYG 1'!$C$19),COLUMN('PAYG 1'!$C$19),4)</f>
        <v>C19</v>
      </c>
      <c r="C3726" t="str">
        <f>ADDRESS(ROW('PAYG 1'!$D$19),COLUMN('PAYG 1'!$D$19),4)</f>
        <v>D19</v>
      </c>
      <c r="D3726" t="b" cm="1">
        <f t="array" aca="1" ref="D3726" ca="1">IF(INDIRECT("'"&amp;A3726&amp;"'!"&amp;B3726)="",FALSE,IF(NOT(ISNUMBER(INDIRECT("'"&amp;A3726&amp;"'!"&amp;B3726))),TRUE,FALSE))</f>
        <v>0</v>
      </c>
      <c r="E3726" t="s">
        <v>435</v>
      </c>
      <c r="F3726" t="str">
        <f>INDEX(Lists!I:I,MATCH(Validation!E3726,Lists!G:G,0))</f>
        <v>Error</v>
      </c>
      <c r="G3726" t="str">
        <f>INDEX(Lists!H:H,MATCH(Validation!E3726,Lists!G:G,0))</f>
        <v>Enter an amount only. Do not enter text or spaces.</v>
      </c>
      <c r="H3726" s="16" t="str">
        <f t="shared" ca="1" si="399"/>
        <v/>
      </c>
      <c r="I3726" s="16" t="str">
        <f t="shared" ca="1" si="400"/>
        <v/>
      </c>
      <c r="J3726" s="17" t="str">
        <f t="shared" ca="1" si="401"/>
        <v/>
      </c>
    </row>
    <row r="3727" spans="1:10" x14ac:dyDescent="0.25">
      <c r="A3727" t="s">
        <v>661</v>
      </c>
      <c r="B3727" t="str">
        <f>ADDRESS(ROW('PAYG 1'!$C$19),COLUMN('PAYG 1'!$C$19),4)</f>
        <v>C19</v>
      </c>
      <c r="C3727" t="str">
        <f>ADDRESS(ROW('PAYG 1'!$D$19),COLUMN('PAYG 1'!$D$19),4)</f>
        <v>D19</v>
      </c>
      <c r="D3727" t="b" cm="1">
        <f t="array" aca="1" ref="D3727" ca="1">IF(INDIRECT("'"&amp;A3727&amp;"'!"&amp;B3727)="",FALSE,IF(NOT(ISNUMBER(INDIRECT("'"&amp;A3727&amp;"'!"&amp;B3727))),TRUE,FALSE))</f>
        <v>0</v>
      </c>
      <c r="E3727" t="s">
        <v>435</v>
      </c>
      <c r="F3727" t="str">
        <f>INDEX(Lists!I:I,MATCH(Validation!E3727,Lists!G:G,0))</f>
        <v>Error</v>
      </c>
      <c r="G3727" t="str">
        <f>INDEX(Lists!H:H,MATCH(Validation!E3727,Lists!G:G,0))</f>
        <v>Enter an amount only. Do not enter text or spaces.</v>
      </c>
      <c r="H3727" s="16" t="str">
        <f t="shared" ca="1" si="399"/>
        <v/>
      </c>
      <c r="I3727" s="16" t="str">
        <f t="shared" ca="1" si="400"/>
        <v/>
      </c>
      <c r="J3727" s="17" t="str">
        <f t="shared" ca="1" si="401"/>
        <v/>
      </c>
    </row>
    <row r="3728" spans="1:10" x14ac:dyDescent="0.25">
      <c r="A3728" t="s">
        <v>662</v>
      </c>
      <c r="B3728" t="str">
        <f>ADDRESS(ROW('PAYG 1'!$C$19),COLUMN('PAYG 1'!$C$19),4)</f>
        <v>C19</v>
      </c>
      <c r="C3728" t="str">
        <f>ADDRESS(ROW('PAYG 1'!$D$19),COLUMN('PAYG 1'!$D$19),4)</f>
        <v>D19</v>
      </c>
      <c r="D3728" t="b" cm="1">
        <f t="array" aca="1" ref="D3728" ca="1">IF(INDIRECT("'"&amp;A3728&amp;"'!"&amp;B3728)="",FALSE,IF(NOT(ISNUMBER(INDIRECT("'"&amp;A3728&amp;"'!"&amp;B3728))),TRUE,FALSE))</f>
        <v>0</v>
      </c>
      <c r="E3728" t="s">
        <v>435</v>
      </c>
      <c r="F3728" t="str">
        <f>INDEX(Lists!I:I,MATCH(Validation!E3728,Lists!G:G,0))</f>
        <v>Error</v>
      </c>
      <c r="G3728" t="str">
        <f>INDEX(Lists!H:H,MATCH(Validation!E3728,Lists!G:G,0))</f>
        <v>Enter an amount only. Do not enter text or spaces.</v>
      </c>
      <c r="H3728" s="16" t="str">
        <f t="shared" ca="1" si="399"/>
        <v/>
      </c>
      <c r="I3728" s="16" t="str">
        <f t="shared" ca="1" si="400"/>
        <v/>
      </c>
      <c r="J3728" s="17" t="str">
        <f t="shared" ca="1" si="401"/>
        <v/>
      </c>
    </row>
    <row r="3729" spans="1:10" x14ac:dyDescent="0.25">
      <c r="A3729" t="s">
        <v>663</v>
      </c>
      <c r="B3729" t="str">
        <f>ADDRESS(ROW('PAYG 1'!$C$19),COLUMN('PAYG 1'!$C$19),4)</f>
        <v>C19</v>
      </c>
      <c r="C3729" t="str">
        <f>ADDRESS(ROW('PAYG 1'!$D$19),COLUMN('PAYG 1'!$D$19),4)</f>
        <v>D19</v>
      </c>
      <c r="D3729" t="b" cm="1">
        <f t="array" aca="1" ref="D3729" ca="1">IF(INDIRECT("'"&amp;A3729&amp;"'!"&amp;B3729)="",FALSE,IF(NOT(ISNUMBER(INDIRECT("'"&amp;A3729&amp;"'!"&amp;B3729))),TRUE,FALSE))</f>
        <v>0</v>
      </c>
      <c r="E3729" t="s">
        <v>435</v>
      </c>
      <c r="F3729" t="str">
        <f>INDEX(Lists!I:I,MATCH(Validation!E3729,Lists!G:G,0))</f>
        <v>Error</v>
      </c>
      <c r="G3729" t="str">
        <f>INDEX(Lists!H:H,MATCH(Validation!E3729,Lists!G:G,0))</f>
        <v>Enter an amount only. Do not enter text or spaces.</v>
      </c>
      <c r="H3729" s="16" t="str">
        <f t="shared" ca="1" si="399"/>
        <v/>
      </c>
      <c r="I3729" s="16" t="str">
        <f t="shared" ca="1" si="400"/>
        <v/>
      </c>
      <c r="J3729" s="17" t="str">
        <f t="shared" ca="1" si="401"/>
        <v/>
      </c>
    </row>
    <row r="3730" spans="1:10" x14ac:dyDescent="0.25">
      <c r="A3730" t="s">
        <v>664</v>
      </c>
      <c r="B3730" t="str">
        <f>ADDRESS(ROW('PAYG 1'!$C$19),COLUMN('PAYG 1'!$C$19),4)</f>
        <v>C19</v>
      </c>
      <c r="C3730" t="str">
        <f>ADDRESS(ROW('PAYG 1'!$D$19),COLUMN('PAYG 1'!$D$19),4)</f>
        <v>D19</v>
      </c>
      <c r="D3730" t="b" cm="1">
        <f t="array" aca="1" ref="D3730" ca="1">IF(INDIRECT("'"&amp;A3730&amp;"'!"&amp;B3730)="",FALSE,IF(NOT(ISNUMBER(INDIRECT("'"&amp;A3730&amp;"'!"&amp;B3730))),TRUE,FALSE))</f>
        <v>0</v>
      </c>
      <c r="E3730" t="s">
        <v>435</v>
      </c>
      <c r="F3730" t="str">
        <f>INDEX(Lists!I:I,MATCH(Validation!E3730,Lists!G:G,0))</f>
        <v>Error</v>
      </c>
      <c r="G3730" t="str">
        <f>INDEX(Lists!H:H,MATCH(Validation!E3730,Lists!G:G,0))</f>
        <v>Enter an amount only. Do not enter text or spaces.</v>
      </c>
      <c r="H3730" s="16" t="str">
        <f t="shared" ca="1" si="399"/>
        <v/>
      </c>
      <c r="I3730" s="16" t="str">
        <f t="shared" ca="1" si="400"/>
        <v/>
      </c>
      <c r="J3730" s="17" t="str">
        <f t="shared" ca="1" si="401"/>
        <v/>
      </c>
    </row>
    <row r="3731" spans="1:10" x14ac:dyDescent="0.25">
      <c r="A3731" t="s">
        <v>203</v>
      </c>
      <c r="B3731" t="str">
        <f>ADDRESS(ROW('PAYG 1'!$C$19),COLUMN('PAYG 1'!$C$19),4)</f>
        <v>C19</v>
      </c>
      <c r="C3731" t="str">
        <f>ADDRESS(ROW('PAYG 1'!$D$19),COLUMN('PAYG 1'!$D$19),4)</f>
        <v>D19</v>
      </c>
      <c r="D3731" t="b" cm="1">
        <f t="array" aca="1" ref="D3731" ca="1">IF(INDIRECT("'"&amp;A3731&amp;"'!"&amp;B3731)="",FALSE,IF(INDIRECT("'"&amp;A3731&amp;"'!"&amp;B3731)&lt;0,TRUE,FALSE))</f>
        <v>0</v>
      </c>
      <c r="E3731" t="s">
        <v>434</v>
      </c>
      <c r="F3731" t="str">
        <f>INDEX(Lists!I:I,MATCH(Validation!E3731,Lists!G:G,0))</f>
        <v>Error</v>
      </c>
      <c r="G3731" t="str">
        <f>INDEX(Lists!H:H,MATCH(Validation!E3731,Lists!G:G,0))</f>
        <v>Amount may not be negative. Enter an amount greater than or equal to zero.</v>
      </c>
      <c r="H3731" s="16" t="str">
        <f t="shared" ca="1" si="399"/>
        <v/>
      </c>
      <c r="I3731" s="16" t="str">
        <f t="shared" ca="1" si="400"/>
        <v/>
      </c>
      <c r="J3731" s="17" t="str">
        <f t="shared" ca="1" si="401"/>
        <v/>
      </c>
    </row>
    <row r="3732" spans="1:10" x14ac:dyDescent="0.25">
      <c r="A3732" t="s">
        <v>651</v>
      </c>
      <c r="B3732" t="str">
        <f>ADDRESS(ROW('PAYG 1'!$C$19),COLUMN('PAYG 1'!$C$19),4)</f>
        <v>C19</v>
      </c>
      <c r="C3732" t="str">
        <f>ADDRESS(ROW('PAYG 1'!$D$19),COLUMN('PAYG 1'!$D$19),4)</f>
        <v>D19</v>
      </c>
      <c r="D3732" t="b" cm="1">
        <f t="array" aca="1" ref="D3732" ca="1">IF(INDIRECT("'"&amp;A3732&amp;"'!"&amp;B3732)="",FALSE,IF(INDIRECT("'"&amp;A3732&amp;"'!"&amp;B3732)&lt;0,TRUE,FALSE))</f>
        <v>0</v>
      </c>
      <c r="E3732" t="s">
        <v>434</v>
      </c>
      <c r="F3732" t="str">
        <f>INDEX(Lists!I:I,MATCH(Validation!E3732,Lists!G:G,0))</f>
        <v>Error</v>
      </c>
      <c r="G3732" t="str">
        <f>INDEX(Lists!H:H,MATCH(Validation!E3732,Lists!G:G,0))</f>
        <v>Amount may not be negative. Enter an amount greater than or equal to zero.</v>
      </c>
      <c r="H3732" s="16" t="str">
        <f t="shared" ca="1" si="399"/>
        <v/>
      </c>
      <c r="I3732" s="16" t="str">
        <f t="shared" ca="1" si="400"/>
        <v/>
      </c>
      <c r="J3732" s="17" t="str">
        <f t="shared" ca="1" si="401"/>
        <v/>
      </c>
    </row>
    <row r="3733" spans="1:10" x14ac:dyDescent="0.25">
      <c r="A3733" t="s">
        <v>652</v>
      </c>
      <c r="B3733" t="str">
        <f>ADDRESS(ROW('PAYG 1'!$C$19),COLUMN('PAYG 1'!$C$19),4)</f>
        <v>C19</v>
      </c>
      <c r="C3733" t="str">
        <f>ADDRESS(ROW('PAYG 1'!$D$19),COLUMN('PAYG 1'!$D$19),4)</f>
        <v>D19</v>
      </c>
      <c r="D3733" t="b" cm="1">
        <f t="array" aca="1" ref="D3733" ca="1">IF(INDIRECT("'"&amp;A3733&amp;"'!"&amp;B3733)="",FALSE,IF(INDIRECT("'"&amp;A3733&amp;"'!"&amp;B3733)&lt;0,TRUE,FALSE))</f>
        <v>0</v>
      </c>
      <c r="E3733" t="s">
        <v>434</v>
      </c>
      <c r="F3733" t="str">
        <f>INDEX(Lists!I:I,MATCH(Validation!E3733,Lists!G:G,0))</f>
        <v>Error</v>
      </c>
      <c r="G3733" t="str">
        <f>INDEX(Lists!H:H,MATCH(Validation!E3733,Lists!G:G,0))</f>
        <v>Amount may not be negative. Enter an amount greater than or equal to zero.</v>
      </c>
      <c r="H3733" s="16" t="str">
        <f t="shared" ca="1" si="399"/>
        <v/>
      </c>
      <c r="I3733" s="16" t="str">
        <f t="shared" ca="1" si="400"/>
        <v/>
      </c>
      <c r="J3733" s="17" t="str">
        <f t="shared" ca="1" si="401"/>
        <v/>
      </c>
    </row>
    <row r="3734" spans="1:10" x14ac:dyDescent="0.25">
      <c r="A3734" t="s">
        <v>653</v>
      </c>
      <c r="B3734" t="str">
        <f>ADDRESS(ROW('PAYG 1'!$C$19),COLUMN('PAYG 1'!$C$19),4)</f>
        <v>C19</v>
      </c>
      <c r="C3734" t="str">
        <f>ADDRESS(ROW('PAYG 1'!$D$19),COLUMN('PAYG 1'!$D$19),4)</f>
        <v>D19</v>
      </c>
      <c r="D3734" t="b" cm="1">
        <f t="array" aca="1" ref="D3734" ca="1">IF(INDIRECT("'"&amp;A3734&amp;"'!"&amp;B3734)="",FALSE,IF(INDIRECT("'"&amp;A3734&amp;"'!"&amp;B3734)&lt;0,TRUE,FALSE))</f>
        <v>0</v>
      </c>
      <c r="E3734" t="s">
        <v>434</v>
      </c>
      <c r="F3734" t="str">
        <f>INDEX(Lists!I:I,MATCH(Validation!E3734,Lists!G:G,0))</f>
        <v>Error</v>
      </c>
      <c r="G3734" t="str">
        <f>INDEX(Lists!H:H,MATCH(Validation!E3734,Lists!G:G,0))</f>
        <v>Amount may not be negative. Enter an amount greater than or equal to zero.</v>
      </c>
      <c r="H3734" s="16" t="str">
        <f t="shared" ca="1" si="399"/>
        <v/>
      </c>
      <c r="I3734" s="16" t="str">
        <f t="shared" ca="1" si="400"/>
        <v/>
      </c>
      <c r="J3734" s="17" t="str">
        <f t="shared" ca="1" si="401"/>
        <v/>
      </c>
    </row>
    <row r="3735" spans="1:10" x14ac:dyDescent="0.25">
      <c r="A3735" t="s">
        <v>654</v>
      </c>
      <c r="B3735" t="str">
        <f>ADDRESS(ROW('PAYG 1'!$C$19),COLUMN('PAYG 1'!$C$19),4)</f>
        <v>C19</v>
      </c>
      <c r="C3735" t="str">
        <f>ADDRESS(ROW('PAYG 1'!$D$19),COLUMN('PAYG 1'!$D$19),4)</f>
        <v>D19</v>
      </c>
      <c r="D3735" t="b" cm="1">
        <f t="array" aca="1" ref="D3735" ca="1">IF(INDIRECT("'"&amp;A3735&amp;"'!"&amp;B3735)="",FALSE,IF(INDIRECT("'"&amp;A3735&amp;"'!"&amp;B3735)&lt;0,TRUE,FALSE))</f>
        <v>0</v>
      </c>
      <c r="E3735" t="s">
        <v>434</v>
      </c>
      <c r="F3735" t="str">
        <f>INDEX(Lists!I:I,MATCH(Validation!E3735,Lists!G:G,0))</f>
        <v>Error</v>
      </c>
      <c r="G3735" t="str">
        <f>INDEX(Lists!H:H,MATCH(Validation!E3735,Lists!G:G,0))</f>
        <v>Amount may not be negative. Enter an amount greater than or equal to zero.</v>
      </c>
      <c r="H3735" s="16" t="str">
        <f t="shared" ca="1" si="399"/>
        <v/>
      </c>
      <c r="I3735" s="16" t="str">
        <f t="shared" ca="1" si="400"/>
        <v/>
      </c>
      <c r="J3735" s="17" t="str">
        <f t="shared" ca="1" si="401"/>
        <v/>
      </c>
    </row>
    <row r="3736" spans="1:10" x14ac:dyDescent="0.25">
      <c r="A3736" t="s">
        <v>655</v>
      </c>
      <c r="B3736" t="str">
        <f>ADDRESS(ROW('PAYG 1'!$C$19),COLUMN('PAYG 1'!$C$19),4)</f>
        <v>C19</v>
      </c>
      <c r="C3736" t="str">
        <f>ADDRESS(ROW('PAYG 1'!$D$19),COLUMN('PAYG 1'!$D$19),4)</f>
        <v>D19</v>
      </c>
      <c r="D3736" t="b" cm="1">
        <f t="array" aca="1" ref="D3736" ca="1">IF(INDIRECT("'"&amp;A3736&amp;"'!"&amp;B3736)="",FALSE,IF(INDIRECT("'"&amp;A3736&amp;"'!"&amp;B3736)&lt;0,TRUE,FALSE))</f>
        <v>0</v>
      </c>
      <c r="E3736" t="s">
        <v>434</v>
      </c>
      <c r="F3736" t="str">
        <f>INDEX(Lists!I:I,MATCH(Validation!E3736,Lists!G:G,0))</f>
        <v>Error</v>
      </c>
      <c r="G3736" t="str">
        <f>INDEX(Lists!H:H,MATCH(Validation!E3736,Lists!G:G,0))</f>
        <v>Amount may not be negative. Enter an amount greater than or equal to zero.</v>
      </c>
      <c r="H3736" s="16" t="str">
        <f t="shared" ca="1" si="399"/>
        <v/>
      </c>
      <c r="I3736" s="16" t="str">
        <f t="shared" ca="1" si="400"/>
        <v/>
      </c>
      <c r="J3736" s="17" t="str">
        <f t="shared" ca="1" si="401"/>
        <v/>
      </c>
    </row>
    <row r="3737" spans="1:10" x14ac:dyDescent="0.25">
      <c r="A3737" t="s">
        <v>656</v>
      </c>
      <c r="B3737" t="str">
        <f>ADDRESS(ROW('PAYG 1'!$C$19),COLUMN('PAYG 1'!$C$19),4)</f>
        <v>C19</v>
      </c>
      <c r="C3737" t="str">
        <f>ADDRESS(ROW('PAYG 1'!$D$19),COLUMN('PAYG 1'!$D$19),4)</f>
        <v>D19</v>
      </c>
      <c r="D3737" t="b" cm="1">
        <f t="array" aca="1" ref="D3737" ca="1">IF(INDIRECT("'"&amp;A3737&amp;"'!"&amp;B3737)="",FALSE,IF(INDIRECT("'"&amp;A3737&amp;"'!"&amp;B3737)&lt;0,TRUE,FALSE))</f>
        <v>0</v>
      </c>
      <c r="E3737" t="s">
        <v>434</v>
      </c>
      <c r="F3737" t="str">
        <f>INDEX(Lists!I:I,MATCH(Validation!E3737,Lists!G:G,0))</f>
        <v>Error</v>
      </c>
      <c r="G3737" t="str">
        <f>INDEX(Lists!H:H,MATCH(Validation!E3737,Lists!G:G,0))</f>
        <v>Amount may not be negative. Enter an amount greater than or equal to zero.</v>
      </c>
      <c r="H3737" s="16" t="str">
        <f t="shared" ca="1" si="399"/>
        <v/>
      </c>
      <c r="I3737" s="16" t="str">
        <f t="shared" ca="1" si="400"/>
        <v/>
      </c>
      <c r="J3737" s="17" t="str">
        <f t="shared" ca="1" si="401"/>
        <v/>
      </c>
    </row>
    <row r="3738" spans="1:10" x14ac:dyDescent="0.25">
      <c r="A3738" t="s">
        <v>657</v>
      </c>
      <c r="B3738" t="str">
        <f>ADDRESS(ROW('PAYG 1'!$C$19),COLUMN('PAYG 1'!$C$19),4)</f>
        <v>C19</v>
      </c>
      <c r="C3738" t="str">
        <f>ADDRESS(ROW('PAYG 1'!$D$19),COLUMN('PAYG 1'!$D$19),4)</f>
        <v>D19</v>
      </c>
      <c r="D3738" t="b" cm="1">
        <f t="array" aca="1" ref="D3738" ca="1">IF(INDIRECT("'"&amp;A3738&amp;"'!"&amp;B3738)="",FALSE,IF(INDIRECT("'"&amp;A3738&amp;"'!"&amp;B3738)&lt;0,TRUE,FALSE))</f>
        <v>0</v>
      </c>
      <c r="E3738" t="s">
        <v>434</v>
      </c>
      <c r="F3738" t="str">
        <f>INDEX(Lists!I:I,MATCH(Validation!E3738,Lists!G:G,0))</f>
        <v>Error</v>
      </c>
      <c r="G3738" t="str">
        <f>INDEX(Lists!H:H,MATCH(Validation!E3738,Lists!G:G,0))</f>
        <v>Amount may not be negative. Enter an amount greater than or equal to zero.</v>
      </c>
      <c r="H3738" s="16" t="str">
        <f t="shared" ca="1" si="399"/>
        <v/>
      </c>
      <c r="I3738" s="16" t="str">
        <f t="shared" ca="1" si="400"/>
        <v/>
      </c>
      <c r="J3738" s="17" t="str">
        <f t="shared" ca="1" si="401"/>
        <v/>
      </c>
    </row>
    <row r="3739" spans="1:10" x14ac:dyDescent="0.25">
      <c r="A3739" t="s">
        <v>658</v>
      </c>
      <c r="B3739" t="str">
        <f>ADDRESS(ROW('PAYG 1'!$C$19),COLUMN('PAYG 1'!$C$19),4)</f>
        <v>C19</v>
      </c>
      <c r="C3739" t="str">
        <f>ADDRESS(ROW('PAYG 1'!$D$19),COLUMN('PAYG 1'!$D$19),4)</f>
        <v>D19</v>
      </c>
      <c r="D3739" t="b" cm="1">
        <f t="array" aca="1" ref="D3739" ca="1">IF(INDIRECT("'"&amp;A3739&amp;"'!"&amp;B3739)="",FALSE,IF(INDIRECT("'"&amp;A3739&amp;"'!"&amp;B3739)&lt;0,TRUE,FALSE))</f>
        <v>0</v>
      </c>
      <c r="E3739" t="s">
        <v>434</v>
      </c>
      <c r="F3739" t="str">
        <f>INDEX(Lists!I:I,MATCH(Validation!E3739,Lists!G:G,0))</f>
        <v>Error</v>
      </c>
      <c r="G3739" t="str">
        <f>INDEX(Lists!H:H,MATCH(Validation!E3739,Lists!G:G,0))</f>
        <v>Amount may not be negative. Enter an amount greater than or equal to zero.</v>
      </c>
      <c r="H3739" s="16" t="str">
        <f t="shared" ca="1" si="399"/>
        <v/>
      </c>
      <c r="I3739" s="16" t="str">
        <f t="shared" ca="1" si="400"/>
        <v/>
      </c>
      <c r="J3739" s="17" t="str">
        <f t="shared" ca="1" si="401"/>
        <v/>
      </c>
    </row>
    <row r="3740" spans="1:10" x14ac:dyDescent="0.25">
      <c r="A3740" t="s">
        <v>659</v>
      </c>
      <c r="B3740" t="str">
        <f>ADDRESS(ROW('PAYG 1'!$C$19),COLUMN('PAYG 1'!$C$19),4)</f>
        <v>C19</v>
      </c>
      <c r="C3740" t="str">
        <f>ADDRESS(ROW('PAYG 1'!$D$19),COLUMN('PAYG 1'!$D$19),4)</f>
        <v>D19</v>
      </c>
      <c r="D3740" t="b" cm="1">
        <f t="array" aca="1" ref="D3740" ca="1">IF(INDIRECT("'"&amp;A3740&amp;"'!"&amp;B3740)="",FALSE,IF(INDIRECT("'"&amp;A3740&amp;"'!"&amp;B3740)&lt;0,TRUE,FALSE))</f>
        <v>0</v>
      </c>
      <c r="E3740" t="s">
        <v>434</v>
      </c>
      <c r="F3740" t="str">
        <f>INDEX(Lists!I:I,MATCH(Validation!E3740,Lists!G:G,0))</f>
        <v>Error</v>
      </c>
      <c r="G3740" t="str">
        <f>INDEX(Lists!H:H,MATCH(Validation!E3740,Lists!G:G,0))</f>
        <v>Amount may not be negative. Enter an amount greater than or equal to zero.</v>
      </c>
      <c r="H3740" s="16" t="str">
        <f t="shared" ca="1" si="399"/>
        <v/>
      </c>
      <c r="I3740" s="16" t="str">
        <f t="shared" ca="1" si="400"/>
        <v/>
      </c>
      <c r="J3740" s="17" t="str">
        <f t="shared" ca="1" si="401"/>
        <v/>
      </c>
    </row>
    <row r="3741" spans="1:10" x14ac:dyDescent="0.25">
      <c r="A3741" t="s">
        <v>660</v>
      </c>
      <c r="B3741" t="str">
        <f>ADDRESS(ROW('PAYG 1'!$C$19),COLUMN('PAYG 1'!$C$19),4)</f>
        <v>C19</v>
      </c>
      <c r="C3741" t="str">
        <f>ADDRESS(ROW('PAYG 1'!$D$19),COLUMN('PAYG 1'!$D$19),4)</f>
        <v>D19</v>
      </c>
      <c r="D3741" t="b" cm="1">
        <f t="array" aca="1" ref="D3741" ca="1">IF(INDIRECT("'"&amp;A3741&amp;"'!"&amp;B3741)="",FALSE,IF(INDIRECT("'"&amp;A3741&amp;"'!"&amp;B3741)&lt;0,TRUE,FALSE))</f>
        <v>0</v>
      </c>
      <c r="E3741" t="s">
        <v>434</v>
      </c>
      <c r="F3741" t="str">
        <f>INDEX(Lists!I:I,MATCH(Validation!E3741,Lists!G:G,0))</f>
        <v>Error</v>
      </c>
      <c r="G3741" t="str">
        <f>INDEX(Lists!H:H,MATCH(Validation!E3741,Lists!G:G,0))</f>
        <v>Amount may not be negative. Enter an amount greater than or equal to zero.</v>
      </c>
      <c r="H3741" s="16" t="str">
        <f t="shared" ca="1" si="399"/>
        <v/>
      </c>
      <c r="I3741" s="16" t="str">
        <f t="shared" ca="1" si="400"/>
        <v/>
      </c>
      <c r="J3741" s="17" t="str">
        <f t="shared" ca="1" si="401"/>
        <v/>
      </c>
    </row>
    <row r="3742" spans="1:10" x14ac:dyDescent="0.25">
      <c r="A3742" t="s">
        <v>661</v>
      </c>
      <c r="B3742" t="str">
        <f>ADDRESS(ROW('PAYG 1'!$C$19),COLUMN('PAYG 1'!$C$19),4)</f>
        <v>C19</v>
      </c>
      <c r="C3742" t="str">
        <f>ADDRESS(ROW('PAYG 1'!$D$19),COLUMN('PAYG 1'!$D$19),4)</f>
        <v>D19</v>
      </c>
      <c r="D3742" t="b" cm="1">
        <f t="array" aca="1" ref="D3742" ca="1">IF(INDIRECT("'"&amp;A3742&amp;"'!"&amp;B3742)="",FALSE,IF(INDIRECT("'"&amp;A3742&amp;"'!"&amp;B3742)&lt;0,TRUE,FALSE))</f>
        <v>0</v>
      </c>
      <c r="E3742" t="s">
        <v>434</v>
      </c>
      <c r="F3742" t="str">
        <f>INDEX(Lists!I:I,MATCH(Validation!E3742,Lists!G:G,0))</f>
        <v>Error</v>
      </c>
      <c r="G3742" t="str">
        <f>INDEX(Lists!H:H,MATCH(Validation!E3742,Lists!G:G,0))</f>
        <v>Amount may not be negative. Enter an amount greater than or equal to zero.</v>
      </c>
      <c r="H3742" s="16" t="str">
        <f t="shared" ca="1" si="399"/>
        <v/>
      </c>
      <c r="I3742" s="16" t="str">
        <f t="shared" ca="1" si="400"/>
        <v/>
      </c>
      <c r="J3742" s="17" t="str">
        <f t="shared" ca="1" si="401"/>
        <v/>
      </c>
    </row>
    <row r="3743" spans="1:10" x14ac:dyDescent="0.25">
      <c r="A3743" t="s">
        <v>662</v>
      </c>
      <c r="B3743" t="str">
        <f>ADDRESS(ROW('PAYG 1'!$C$19),COLUMN('PAYG 1'!$C$19),4)</f>
        <v>C19</v>
      </c>
      <c r="C3743" t="str">
        <f>ADDRESS(ROW('PAYG 1'!$D$19),COLUMN('PAYG 1'!$D$19),4)</f>
        <v>D19</v>
      </c>
      <c r="D3743" t="b" cm="1">
        <f t="array" aca="1" ref="D3743" ca="1">IF(INDIRECT("'"&amp;A3743&amp;"'!"&amp;B3743)="",FALSE,IF(INDIRECT("'"&amp;A3743&amp;"'!"&amp;B3743)&lt;0,TRUE,FALSE))</f>
        <v>0</v>
      </c>
      <c r="E3743" t="s">
        <v>434</v>
      </c>
      <c r="F3743" t="str">
        <f>INDEX(Lists!I:I,MATCH(Validation!E3743,Lists!G:G,0))</f>
        <v>Error</v>
      </c>
      <c r="G3743" t="str">
        <f>INDEX(Lists!H:H,MATCH(Validation!E3743,Lists!G:G,0))</f>
        <v>Amount may not be negative. Enter an amount greater than or equal to zero.</v>
      </c>
      <c r="H3743" s="16" t="str">
        <f t="shared" ca="1" si="399"/>
        <v/>
      </c>
      <c r="I3743" s="16" t="str">
        <f t="shared" ca="1" si="400"/>
        <v/>
      </c>
      <c r="J3743" s="17" t="str">
        <f t="shared" ca="1" si="401"/>
        <v/>
      </c>
    </row>
    <row r="3744" spans="1:10" x14ac:dyDescent="0.25">
      <c r="A3744" t="s">
        <v>663</v>
      </c>
      <c r="B3744" t="str">
        <f>ADDRESS(ROW('PAYG 1'!$C$19),COLUMN('PAYG 1'!$C$19),4)</f>
        <v>C19</v>
      </c>
      <c r="C3744" t="str">
        <f>ADDRESS(ROW('PAYG 1'!$D$19),COLUMN('PAYG 1'!$D$19),4)</f>
        <v>D19</v>
      </c>
      <c r="D3744" t="b" cm="1">
        <f t="array" aca="1" ref="D3744" ca="1">IF(INDIRECT("'"&amp;A3744&amp;"'!"&amp;B3744)="",FALSE,IF(INDIRECT("'"&amp;A3744&amp;"'!"&amp;B3744)&lt;0,TRUE,FALSE))</f>
        <v>0</v>
      </c>
      <c r="E3744" t="s">
        <v>434</v>
      </c>
      <c r="F3744" t="str">
        <f>INDEX(Lists!I:I,MATCH(Validation!E3744,Lists!G:G,0))</f>
        <v>Error</v>
      </c>
      <c r="G3744" t="str">
        <f>INDEX(Lists!H:H,MATCH(Validation!E3744,Lists!G:G,0))</f>
        <v>Amount may not be negative. Enter an amount greater than or equal to zero.</v>
      </c>
      <c r="H3744" s="16" t="str">
        <f t="shared" ca="1" si="399"/>
        <v/>
      </c>
      <c r="I3744" s="16" t="str">
        <f t="shared" ca="1" si="400"/>
        <v/>
      </c>
      <c r="J3744" s="17" t="str">
        <f t="shared" ca="1" si="401"/>
        <v/>
      </c>
    </row>
    <row r="3745" spans="1:10" x14ac:dyDescent="0.25">
      <c r="A3745" t="s">
        <v>664</v>
      </c>
      <c r="B3745" t="str">
        <f>ADDRESS(ROW('PAYG 1'!$C$19),COLUMN('PAYG 1'!$C$19),4)</f>
        <v>C19</v>
      </c>
      <c r="C3745" t="str">
        <f>ADDRESS(ROW('PAYG 1'!$D$19),COLUMN('PAYG 1'!$D$19),4)</f>
        <v>D19</v>
      </c>
      <c r="D3745" t="b" cm="1">
        <f t="array" aca="1" ref="D3745" ca="1">IF(INDIRECT("'"&amp;A3745&amp;"'!"&amp;B3745)="",FALSE,IF(INDIRECT("'"&amp;A3745&amp;"'!"&amp;B3745)&lt;0,TRUE,FALSE))</f>
        <v>0</v>
      </c>
      <c r="E3745" t="s">
        <v>434</v>
      </c>
      <c r="F3745" t="str">
        <f>INDEX(Lists!I:I,MATCH(Validation!E3745,Lists!G:G,0))</f>
        <v>Error</v>
      </c>
      <c r="G3745" t="str">
        <f>INDEX(Lists!H:H,MATCH(Validation!E3745,Lists!G:G,0))</f>
        <v>Amount may not be negative. Enter an amount greater than or equal to zero.</v>
      </c>
      <c r="H3745" s="16" t="str">
        <f t="shared" ca="1" si="399"/>
        <v/>
      </c>
      <c r="I3745" s="16" t="str">
        <f t="shared" ca="1" si="400"/>
        <v/>
      </c>
      <c r="J3745" s="17" t="str">
        <f t="shared" ca="1" si="401"/>
        <v/>
      </c>
    </row>
    <row r="3746" spans="1:10" x14ac:dyDescent="0.25">
      <c r="A3746" t="s">
        <v>203</v>
      </c>
      <c r="B3746" t="str">
        <f>ADDRESS(ROW('PAYG 1'!$C$19),COLUMN('PAYG 1'!$C$19),4)</f>
        <v>C19</v>
      </c>
      <c r="C3746" t="str">
        <f>ADDRESS(ROW('PAYG 1'!$D$19),COLUMN('PAYG 1'!$D$19),4)</f>
        <v>D19</v>
      </c>
      <c r="D3746" t="b" cm="1">
        <f t="array" aca="1" ref="D3746" ca="1">IF(INDIRECT("'"&amp;A3746&amp;"'!"&amp;B3746)="",FALSE,IF(TRUNC(INDIRECT("'"&amp;A3746&amp;"'!"&amp;B3746))=INDIRECT("'"&amp;A3746&amp;"'!"&amp;B3746),FALSE,TRUE))</f>
        <v>0</v>
      </c>
      <c r="E3746" t="s">
        <v>436</v>
      </c>
      <c r="F3746" t="str">
        <f>INDEX(Lists!I:I,MATCH(Validation!E3746,Lists!G:G,0))</f>
        <v>Error</v>
      </c>
      <c r="G3746" t="str">
        <f>INDEX(Lists!H:H,MATCH(Validation!E3746,Lists!G:G,0))</f>
        <v>Amount must be rounded to the nearest dollar.</v>
      </c>
      <c r="H3746" s="16" t="str">
        <f t="shared" ca="1" si="399"/>
        <v/>
      </c>
      <c r="I3746" s="16" t="str">
        <f t="shared" ca="1" si="400"/>
        <v/>
      </c>
      <c r="J3746" s="17" t="str">
        <f t="shared" ca="1" si="401"/>
        <v/>
      </c>
    </row>
    <row r="3747" spans="1:10" x14ac:dyDescent="0.25">
      <c r="A3747" t="s">
        <v>651</v>
      </c>
      <c r="B3747" t="str">
        <f>ADDRESS(ROW('PAYG 1'!$C$19),COLUMN('PAYG 1'!$C$19),4)</f>
        <v>C19</v>
      </c>
      <c r="C3747" t="str">
        <f>ADDRESS(ROW('PAYG 1'!$D$19),COLUMN('PAYG 1'!$D$19),4)</f>
        <v>D19</v>
      </c>
      <c r="D3747" t="b" cm="1">
        <f t="array" aca="1" ref="D3747" ca="1">IF(INDIRECT("'"&amp;A3747&amp;"'!"&amp;B3747)="",FALSE,IF(TRUNC(INDIRECT("'"&amp;A3747&amp;"'!"&amp;B3747))=INDIRECT("'"&amp;A3747&amp;"'!"&amp;B3747),FALSE,TRUE))</f>
        <v>0</v>
      </c>
      <c r="E3747" t="s">
        <v>436</v>
      </c>
      <c r="F3747" t="str">
        <f>INDEX(Lists!I:I,MATCH(Validation!E3747,Lists!G:G,0))</f>
        <v>Error</v>
      </c>
      <c r="G3747" t="str">
        <f>INDEX(Lists!H:H,MATCH(Validation!E3747,Lists!G:G,0))</f>
        <v>Amount must be rounded to the nearest dollar.</v>
      </c>
      <c r="H3747" s="16" t="str">
        <f t="shared" ca="1" si="399"/>
        <v/>
      </c>
      <c r="I3747" s="16" t="str">
        <f t="shared" ca="1" si="400"/>
        <v/>
      </c>
      <c r="J3747" s="17" t="str">
        <f t="shared" ca="1" si="401"/>
        <v/>
      </c>
    </row>
    <row r="3748" spans="1:10" x14ac:dyDescent="0.25">
      <c r="A3748" t="s">
        <v>652</v>
      </c>
      <c r="B3748" t="str">
        <f>ADDRESS(ROW('PAYG 1'!$C$19),COLUMN('PAYG 1'!$C$19),4)</f>
        <v>C19</v>
      </c>
      <c r="C3748" t="str">
        <f>ADDRESS(ROW('PAYG 1'!$D$19),COLUMN('PAYG 1'!$D$19),4)</f>
        <v>D19</v>
      </c>
      <c r="D3748" t="b" cm="1">
        <f t="array" aca="1" ref="D3748" ca="1">IF(INDIRECT("'"&amp;A3748&amp;"'!"&amp;B3748)="",FALSE,IF(TRUNC(INDIRECT("'"&amp;A3748&amp;"'!"&amp;B3748))=INDIRECT("'"&amp;A3748&amp;"'!"&amp;B3748),FALSE,TRUE))</f>
        <v>0</v>
      </c>
      <c r="E3748" t="s">
        <v>436</v>
      </c>
      <c r="F3748" t="str">
        <f>INDEX(Lists!I:I,MATCH(Validation!E3748,Lists!G:G,0))</f>
        <v>Error</v>
      </c>
      <c r="G3748" t="str">
        <f>INDEX(Lists!H:H,MATCH(Validation!E3748,Lists!G:G,0))</f>
        <v>Amount must be rounded to the nearest dollar.</v>
      </c>
      <c r="H3748" s="16" t="str">
        <f t="shared" ca="1" si="399"/>
        <v/>
      </c>
      <c r="I3748" s="16" t="str">
        <f t="shared" ca="1" si="400"/>
        <v/>
      </c>
      <c r="J3748" s="17" t="str">
        <f t="shared" ca="1" si="401"/>
        <v/>
      </c>
    </row>
    <row r="3749" spans="1:10" x14ac:dyDescent="0.25">
      <c r="A3749" t="s">
        <v>653</v>
      </c>
      <c r="B3749" t="str">
        <f>ADDRESS(ROW('PAYG 1'!$C$19),COLUMN('PAYG 1'!$C$19),4)</f>
        <v>C19</v>
      </c>
      <c r="C3749" t="str">
        <f>ADDRESS(ROW('PAYG 1'!$D$19),COLUMN('PAYG 1'!$D$19),4)</f>
        <v>D19</v>
      </c>
      <c r="D3749" t="b" cm="1">
        <f t="array" aca="1" ref="D3749" ca="1">IF(INDIRECT("'"&amp;A3749&amp;"'!"&amp;B3749)="",FALSE,IF(TRUNC(INDIRECT("'"&amp;A3749&amp;"'!"&amp;B3749))=INDIRECT("'"&amp;A3749&amp;"'!"&amp;B3749),FALSE,TRUE))</f>
        <v>0</v>
      </c>
      <c r="E3749" t="s">
        <v>436</v>
      </c>
      <c r="F3749" t="str">
        <f>INDEX(Lists!I:I,MATCH(Validation!E3749,Lists!G:G,0))</f>
        <v>Error</v>
      </c>
      <c r="G3749" t="str">
        <f>INDEX(Lists!H:H,MATCH(Validation!E3749,Lists!G:G,0))</f>
        <v>Amount must be rounded to the nearest dollar.</v>
      </c>
      <c r="H3749" s="16" t="str">
        <f t="shared" ca="1" si="399"/>
        <v/>
      </c>
      <c r="I3749" s="16" t="str">
        <f t="shared" ca="1" si="400"/>
        <v/>
      </c>
      <c r="J3749" s="17" t="str">
        <f t="shared" ca="1" si="401"/>
        <v/>
      </c>
    </row>
    <row r="3750" spans="1:10" x14ac:dyDescent="0.25">
      <c r="A3750" t="s">
        <v>654</v>
      </c>
      <c r="B3750" t="str">
        <f>ADDRESS(ROW('PAYG 1'!$C$19),COLUMN('PAYG 1'!$C$19),4)</f>
        <v>C19</v>
      </c>
      <c r="C3750" t="str">
        <f>ADDRESS(ROW('PAYG 1'!$D$19),COLUMN('PAYG 1'!$D$19),4)</f>
        <v>D19</v>
      </c>
      <c r="D3750" t="b" cm="1">
        <f t="array" aca="1" ref="D3750" ca="1">IF(INDIRECT("'"&amp;A3750&amp;"'!"&amp;B3750)="",FALSE,IF(TRUNC(INDIRECT("'"&amp;A3750&amp;"'!"&amp;B3750))=INDIRECT("'"&amp;A3750&amp;"'!"&amp;B3750),FALSE,TRUE))</f>
        <v>0</v>
      </c>
      <c r="E3750" t="s">
        <v>436</v>
      </c>
      <c r="F3750" t="str">
        <f>INDEX(Lists!I:I,MATCH(Validation!E3750,Lists!G:G,0))</f>
        <v>Error</v>
      </c>
      <c r="G3750" t="str">
        <f>INDEX(Lists!H:H,MATCH(Validation!E3750,Lists!G:G,0))</f>
        <v>Amount must be rounded to the nearest dollar.</v>
      </c>
      <c r="H3750" s="16" t="str">
        <f t="shared" ca="1" si="399"/>
        <v/>
      </c>
      <c r="I3750" s="16" t="str">
        <f t="shared" ca="1" si="400"/>
        <v/>
      </c>
      <c r="J3750" s="17" t="str">
        <f t="shared" ca="1" si="401"/>
        <v/>
      </c>
    </row>
    <row r="3751" spans="1:10" x14ac:dyDescent="0.25">
      <c r="A3751" t="s">
        <v>655</v>
      </c>
      <c r="B3751" t="str">
        <f>ADDRESS(ROW('PAYG 1'!$C$19),COLUMN('PAYG 1'!$C$19),4)</f>
        <v>C19</v>
      </c>
      <c r="C3751" t="str">
        <f>ADDRESS(ROW('PAYG 1'!$D$19),COLUMN('PAYG 1'!$D$19),4)</f>
        <v>D19</v>
      </c>
      <c r="D3751" t="b" cm="1">
        <f t="array" aca="1" ref="D3751" ca="1">IF(INDIRECT("'"&amp;A3751&amp;"'!"&amp;B3751)="",FALSE,IF(TRUNC(INDIRECT("'"&amp;A3751&amp;"'!"&amp;B3751))=INDIRECT("'"&amp;A3751&amp;"'!"&amp;B3751),FALSE,TRUE))</f>
        <v>0</v>
      </c>
      <c r="E3751" t="s">
        <v>436</v>
      </c>
      <c r="F3751" t="str">
        <f>INDEX(Lists!I:I,MATCH(Validation!E3751,Lists!G:G,0))</f>
        <v>Error</v>
      </c>
      <c r="G3751" t="str">
        <f>INDEX(Lists!H:H,MATCH(Validation!E3751,Lists!G:G,0))</f>
        <v>Amount must be rounded to the nearest dollar.</v>
      </c>
      <c r="H3751" s="16" t="str">
        <f t="shared" ca="1" si="399"/>
        <v/>
      </c>
      <c r="I3751" s="16" t="str">
        <f t="shared" ca="1" si="400"/>
        <v/>
      </c>
      <c r="J3751" s="17" t="str">
        <f t="shared" ca="1" si="401"/>
        <v/>
      </c>
    </row>
    <row r="3752" spans="1:10" x14ac:dyDescent="0.25">
      <c r="A3752" t="s">
        <v>656</v>
      </c>
      <c r="B3752" t="str">
        <f>ADDRESS(ROW('PAYG 1'!$C$19),COLUMN('PAYG 1'!$C$19),4)</f>
        <v>C19</v>
      </c>
      <c r="C3752" t="str">
        <f>ADDRESS(ROW('PAYG 1'!$D$19),COLUMN('PAYG 1'!$D$19),4)</f>
        <v>D19</v>
      </c>
      <c r="D3752" t="b" cm="1">
        <f t="array" aca="1" ref="D3752" ca="1">IF(INDIRECT("'"&amp;A3752&amp;"'!"&amp;B3752)="",FALSE,IF(TRUNC(INDIRECT("'"&amp;A3752&amp;"'!"&amp;B3752))=INDIRECT("'"&amp;A3752&amp;"'!"&amp;B3752),FALSE,TRUE))</f>
        <v>0</v>
      </c>
      <c r="E3752" t="s">
        <v>436</v>
      </c>
      <c r="F3752" t="str">
        <f>INDEX(Lists!I:I,MATCH(Validation!E3752,Lists!G:G,0))</f>
        <v>Error</v>
      </c>
      <c r="G3752" t="str">
        <f>INDEX(Lists!H:H,MATCH(Validation!E3752,Lists!G:G,0))</f>
        <v>Amount must be rounded to the nearest dollar.</v>
      </c>
      <c r="H3752" s="16" t="str">
        <f t="shared" ca="1" si="399"/>
        <v/>
      </c>
      <c r="I3752" s="16" t="str">
        <f t="shared" ca="1" si="400"/>
        <v/>
      </c>
      <c r="J3752" s="17" t="str">
        <f t="shared" ca="1" si="401"/>
        <v/>
      </c>
    </row>
    <row r="3753" spans="1:10" x14ac:dyDescent="0.25">
      <c r="A3753" t="s">
        <v>657</v>
      </c>
      <c r="B3753" t="str">
        <f>ADDRESS(ROW('PAYG 1'!$C$19),COLUMN('PAYG 1'!$C$19),4)</f>
        <v>C19</v>
      </c>
      <c r="C3753" t="str">
        <f>ADDRESS(ROW('PAYG 1'!$D$19),COLUMN('PAYG 1'!$D$19),4)</f>
        <v>D19</v>
      </c>
      <c r="D3753" t="b" cm="1">
        <f t="array" aca="1" ref="D3753" ca="1">IF(INDIRECT("'"&amp;A3753&amp;"'!"&amp;B3753)="",FALSE,IF(TRUNC(INDIRECT("'"&amp;A3753&amp;"'!"&amp;B3753))=INDIRECT("'"&amp;A3753&amp;"'!"&amp;B3753),FALSE,TRUE))</f>
        <v>0</v>
      </c>
      <c r="E3753" t="s">
        <v>436</v>
      </c>
      <c r="F3753" t="str">
        <f>INDEX(Lists!I:I,MATCH(Validation!E3753,Lists!G:G,0))</f>
        <v>Error</v>
      </c>
      <c r="G3753" t="str">
        <f>INDEX(Lists!H:H,MATCH(Validation!E3753,Lists!G:G,0))</f>
        <v>Amount must be rounded to the nearest dollar.</v>
      </c>
      <c r="H3753" s="16" t="str">
        <f t="shared" ca="1" si="399"/>
        <v/>
      </c>
      <c r="I3753" s="16" t="str">
        <f t="shared" ca="1" si="400"/>
        <v/>
      </c>
      <c r="J3753" s="17" t="str">
        <f t="shared" ca="1" si="401"/>
        <v/>
      </c>
    </row>
    <row r="3754" spans="1:10" x14ac:dyDescent="0.25">
      <c r="A3754" t="s">
        <v>658</v>
      </c>
      <c r="B3754" t="str">
        <f>ADDRESS(ROW('PAYG 1'!$C$19),COLUMN('PAYG 1'!$C$19),4)</f>
        <v>C19</v>
      </c>
      <c r="C3754" t="str">
        <f>ADDRESS(ROW('PAYG 1'!$D$19),COLUMN('PAYG 1'!$D$19),4)</f>
        <v>D19</v>
      </c>
      <c r="D3754" t="b" cm="1">
        <f t="array" aca="1" ref="D3754" ca="1">IF(INDIRECT("'"&amp;A3754&amp;"'!"&amp;B3754)="",FALSE,IF(TRUNC(INDIRECT("'"&amp;A3754&amp;"'!"&amp;B3754))=INDIRECT("'"&amp;A3754&amp;"'!"&amp;B3754),FALSE,TRUE))</f>
        <v>0</v>
      </c>
      <c r="E3754" t="s">
        <v>436</v>
      </c>
      <c r="F3754" t="str">
        <f>INDEX(Lists!I:I,MATCH(Validation!E3754,Lists!G:G,0))</f>
        <v>Error</v>
      </c>
      <c r="G3754" t="str">
        <f>INDEX(Lists!H:H,MATCH(Validation!E3754,Lists!G:G,0))</f>
        <v>Amount must be rounded to the nearest dollar.</v>
      </c>
      <c r="H3754" s="16" t="str">
        <f t="shared" ca="1" si="399"/>
        <v/>
      </c>
      <c r="I3754" s="16" t="str">
        <f t="shared" ca="1" si="400"/>
        <v/>
      </c>
      <c r="J3754" s="17" t="str">
        <f t="shared" ca="1" si="401"/>
        <v/>
      </c>
    </row>
    <row r="3755" spans="1:10" x14ac:dyDescent="0.25">
      <c r="A3755" t="s">
        <v>659</v>
      </c>
      <c r="B3755" t="str">
        <f>ADDRESS(ROW('PAYG 1'!$C$19),COLUMN('PAYG 1'!$C$19),4)</f>
        <v>C19</v>
      </c>
      <c r="C3755" t="str">
        <f>ADDRESS(ROW('PAYG 1'!$D$19),COLUMN('PAYG 1'!$D$19),4)</f>
        <v>D19</v>
      </c>
      <c r="D3755" t="b" cm="1">
        <f t="array" aca="1" ref="D3755" ca="1">IF(INDIRECT("'"&amp;A3755&amp;"'!"&amp;B3755)="",FALSE,IF(TRUNC(INDIRECT("'"&amp;A3755&amp;"'!"&amp;B3755))=INDIRECT("'"&amp;A3755&amp;"'!"&amp;B3755),FALSE,TRUE))</f>
        <v>0</v>
      </c>
      <c r="E3755" t="s">
        <v>436</v>
      </c>
      <c r="F3755" t="str">
        <f>INDEX(Lists!I:I,MATCH(Validation!E3755,Lists!G:G,0))</f>
        <v>Error</v>
      </c>
      <c r="G3755" t="str">
        <f>INDEX(Lists!H:H,MATCH(Validation!E3755,Lists!G:G,0))</f>
        <v>Amount must be rounded to the nearest dollar.</v>
      </c>
      <c r="H3755" s="16" t="str">
        <f t="shared" ca="1" si="399"/>
        <v/>
      </c>
      <c r="I3755" s="16" t="str">
        <f t="shared" ca="1" si="400"/>
        <v/>
      </c>
      <c r="J3755" s="17" t="str">
        <f t="shared" ca="1" si="401"/>
        <v/>
      </c>
    </row>
    <row r="3756" spans="1:10" x14ac:dyDescent="0.25">
      <c r="A3756" t="s">
        <v>660</v>
      </c>
      <c r="B3756" t="str">
        <f>ADDRESS(ROW('PAYG 1'!$C$19),COLUMN('PAYG 1'!$C$19),4)</f>
        <v>C19</v>
      </c>
      <c r="C3756" t="str">
        <f>ADDRESS(ROW('PAYG 1'!$D$19),COLUMN('PAYG 1'!$D$19),4)</f>
        <v>D19</v>
      </c>
      <c r="D3756" t="b" cm="1">
        <f t="array" aca="1" ref="D3756" ca="1">IF(INDIRECT("'"&amp;A3756&amp;"'!"&amp;B3756)="",FALSE,IF(TRUNC(INDIRECT("'"&amp;A3756&amp;"'!"&amp;B3756))=INDIRECT("'"&amp;A3756&amp;"'!"&amp;B3756),FALSE,TRUE))</f>
        <v>0</v>
      </c>
      <c r="E3756" t="s">
        <v>436</v>
      </c>
      <c r="F3756" t="str">
        <f>INDEX(Lists!I:I,MATCH(Validation!E3756,Lists!G:G,0))</f>
        <v>Error</v>
      </c>
      <c r="G3756" t="str">
        <f>INDEX(Lists!H:H,MATCH(Validation!E3756,Lists!G:G,0))</f>
        <v>Amount must be rounded to the nearest dollar.</v>
      </c>
      <c r="H3756" s="16" t="str">
        <f t="shared" ca="1" si="399"/>
        <v/>
      </c>
      <c r="I3756" s="16" t="str">
        <f t="shared" ca="1" si="400"/>
        <v/>
      </c>
      <c r="J3756" s="17" t="str">
        <f t="shared" ca="1" si="401"/>
        <v/>
      </c>
    </row>
    <row r="3757" spans="1:10" x14ac:dyDescent="0.25">
      <c r="A3757" t="s">
        <v>661</v>
      </c>
      <c r="B3757" t="str">
        <f>ADDRESS(ROW('PAYG 1'!$C$19),COLUMN('PAYG 1'!$C$19),4)</f>
        <v>C19</v>
      </c>
      <c r="C3757" t="str">
        <f>ADDRESS(ROW('PAYG 1'!$D$19),COLUMN('PAYG 1'!$D$19),4)</f>
        <v>D19</v>
      </c>
      <c r="D3757" t="b" cm="1">
        <f t="array" aca="1" ref="D3757" ca="1">IF(INDIRECT("'"&amp;A3757&amp;"'!"&amp;B3757)="",FALSE,IF(TRUNC(INDIRECT("'"&amp;A3757&amp;"'!"&amp;B3757))=INDIRECT("'"&amp;A3757&amp;"'!"&amp;B3757),FALSE,TRUE))</f>
        <v>0</v>
      </c>
      <c r="E3757" t="s">
        <v>436</v>
      </c>
      <c r="F3757" t="str">
        <f>INDEX(Lists!I:I,MATCH(Validation!E3757,Lists!G:G,0))</f>
        <v>Error</v>
      </c>
      <c r="G3757" t="str">
        <f>INDEX(Lists!H:H,MATCH(Validation!E3757,Lists!G:G,0))</f>
        <v>Amount must be rounded to the nearest dollar.</v>
      </c>
      <c r="H3757" s="16" t="str">
        <f t="shared" ca="1" si="399"/>
        <v/>
      </c>
      <c r="I3757" s="16" t="str">
        <f t="shared" ca="1" si="400"/>
        <v/>
      </c>
      <c r="J3757" s="17" t="str">
        <f t="shared" ca="1" si="401"/>
        <v/>
      </c>
    </row>
    <row r="3758" spans="1:10" x14ac:dyDescent="0.25">
      <c r="A3758" t="s">
        <v>662</v>
      </c>
      <c r="B3758" t="str">
        <f>ADDRESS(ROW('PAYG 1'!$C$19),COLUMN('PAYG 1'!$C$19),4)</f>
        <v>C19</v>
      </c>
      <c r="C3758" t="str">
        <f>ADDRESS(ROW('PAYG 1'!$D$19),COLUMN('PAYG 1'!$D$19),4)</f>
        <v>D19</v>
      </c>
      <c r="D3758" t="b" cm="1">
        <f t="array" aca="1" ref="D3758" ca="1">IF(INDIRECT("'"&amp;A3758&amp;"'!"&amp;B3758)="",FALSE,IF(TRUNC(INDIRECT("'"&amp;A3758&amp;"'!"&amp;B3758))=INDIRECT("'"&amp;A3758&amp;"'!"&amp;B3758),FALSE,TRUE))</f>
        <v>0</v>
      </c>
      <c r="E3758" t="s">
        <v>436</v>
      </c>
      <c r="F3758" t="str">
        <f>INDEX(Lists!I:I,MATCH(Validation!E3758,Lists!G:G,0))</f>
        <v>Error</v>
      </c>
      <c r="G3758" t="str">
        <f>INDEX(Lists!H:H,MATCH(Validation!E3758,Lists!G:G,0))</f>
        <v>Amount must be rounded to the nearest dollar.</v>
      </c>
      <c r="H3758" s="16" t="str">
        <f t="shared" ca="1" si="399"/>
        <v/>
      </c>
      <c r="I3758" s="16" t="str">
        <f t="shared" ca="1" si="400"/>
        <v/>
      </c>
      <c r="J3758" s="17" t="str">
        <f t="shared" ca="1" si="401"/>
        <v/>
      </c>
    </row>
    <row r="3759" spans="1:10" x14ac:dyDescent="0.25">
      <c r="A3759" t="s">
        <v>663</v>
      </c>
      <c r="B3759" t="str">
        <f>ADDRESS(ROW('PAYG 1'!$C$19),COLUMN('PAYG 1'!$C$19),4)</f>
        <v>C19</v>
      </c>
      <c r="C3759" t="str">
        <f>ADDRESS(ROW('PAYG 1'!$D$19),COLUMN('PAYG 1'!$D$19),4)</f>
        <v>D19</v>
      </c>
      <c r="D3759" t="b" cm="1">
        <f t="array" aca="1" ref="D3759" ca="1">IF(INDIRECT("'"&amp;A3759&amp;"'!"&amp;B3759)="",FALSE,IF(TRUNC(INDIRECT("'"&amp;A3759&amp;"'!"&amp;B3759))=INDIRECT("'"&amp;A3759&amp;"'!"&amp;B3759),FALSE,TRUE))</f>
        <v>0</v>
      </c>
      <c r="E3759" t="s">
        <v>436</v>
      </c>
      <c r="F3759" t="str">
        <f>INDEX(Lists!I:I,MATCH(Validation!E3759,Lists!G:G,0))</f>
        <v>Error</v>
      </c>
      <c r="G3759" t="str">
        <f>INDEX(Lists!H:H,MATCH(Validation!E3759,Lists!G:G,0))</f>
        <v>Amount must be rounded to the nearest dollar.</v>
      </c>
      <c r="H3759" s="16" t="str">
        <f t="shared" ca="1" si="399"/>
        <v/>
      </c>
      <c r="I3759" s="16" t="str">
        <f t="shared" ca="1" si="400"/>
        <v/>
      </c>
      <c r="J3759" s="17" t="str">
        <f t="shared" ca="1" si="401"/>
        <v/>
      </c>
    </row>
    <row r="3760" spans="1:10" x14ac:dyDescent="0.25">
      <c r="A3760" t="s">
        <v>664</v>
      </c>
      <c r="B3760" t="str">
        <f>ADDRESS(ROW('PAYG 1'!$C$19),COLUMN('PAYG 1'!$C$19),4)</f>
        <v>C19</v>
      </c>
      <c r="C3760" t="str">
        <f>ADDRESS(ROW('PAYG 1'!$D$19),COLUMN('PAYG 1'!$D$19),4)</f>
        <v>D19</v>
      </c>
      <c r="D3760" t="b" cm="1">
        <f t="array" aca="1" ref="D3760" ca="1">IF(INDIRECT("'"&amp;A3760&amp;"'!"&amp;B3760)="",FALSE,IF(TRUNC(INDIRECT("'"&amp;A3760&amp;"'!"&amp;B3760))=INDIRECT("'"&amp;A3760&amp;"'!"&amp;B3760),FALSE,TRUE))</f>
        <v>0</v>
      </c>
      <c r="E3760" t="s">
        <v>436</v>
      </c>
      <c r="F3760" t="str">
        <f>INDEX(Lists!I:I,MATCH(Validation!E3760,Lists!G:G,0))</f>
        <v>Error</v>
      </c>
      <c r="G3760" t="str">
        <f>INDEX(Lists!H:H,MATCH(Validation!E3760,Lists!G:G,0))</f>
        <v>Amount must be rounded to the nearest dollar.</v>
      </c>
      <c r="H3760" s="16" t="str">
        <f t="shared" ca="1" si="399"/>
        <v/>
      </c>
      <c r="I3760" s="16" t="str">
        <f t="shared" ca="1" si="400"/>
        <v/>
      </c>
      <c r="J3760" s="17" t="str">
        <f t="shared" ca="1" si="401"/>
        <v/>
      </c>
    </row>
    <row r="3761" spans="1:10" x14ac:dyDescent="0.25">
      <c r="A3761" t="s">
        <v>203</v>
      </c>
      <c r="B3761" t="str">
        <f>ADDRESS(ROW('PAYG 1'!$B$20),COLUMN('PAYG 1'!$B$20),4)</f>
        <v>B20</v>
      </c>
      <c r="C3761" t="str">
        <f>ADDRESS(ROW('PAYG 1'!$D$20),COLUMN('PAYG 1'!$D$20),4)</f>
        <v>D20</v>
      </c>
      <c r="D3761" t="b" cm="1">
        <f t="array" aca="1" ref="D3761" ca="1">IF(INDIRECT("'"&amp;A3761&amp;"'!"&amp;B3761)="",FALSE,IF(NOT(ISNUMBER(INDIRECT("'"&amp;A3761&amp;"'!"&amp;B3761))),TRUE,FALSE))</f>
        <v>0</v>
      </c>
      <c r="E3761" t="s">
        <v>435</v>
      </c>
      <c r="F3761" t="str">
        <f>INDEX(Lists!I:I,MATCH(Validation!E3761,Lists!G:G,0))</f>
        <v>Error</v>
      </c>
      <c r="G3761" t="str">
        <f>INDEX(Lists!H:H,MATCH(Validation!E3761,Lists!G:G,0))</f>
        <v>Enter an amount only. Do not enter text or spaces.</v>
      </c>
      <c r="H3761" s="16" t="str">
        <f t="shared" ref="H3761:H3805" ca="1" si="402">IFERROR(IF(OR(NOT(D3761),F3761&lt;&gt;"Error"),"",A3761&amp;CELL("address",INDIRECT(B3761))),"")</f>
        <v/>
      </c>
      <c r="I3761" s="16" t="str">
        <f t="shared" ref="I3761:I3805" ca="1" si="403">IFERROR(IF(NOT(D3761),"",A3761&amp;CELL("address",INDIRECT(C3761))),"")</f>
        <v/>
      </c>
      <c r="J3761" s="17" t="str">
        <f t="shared" ref="J3761:J3805" ca="1" si="404">IFERROR(IF(NOT(D3761),"",A3761),"")</f>
        <v/>
      </c>
    </row>
    <row r="3762" spans="1:10" x14ac:dyDescent="0.25">
      <c r="A3762" t="s">
        <v>651</v>
      </c>
      <c r="B3762" t="str">
        <f>ADDRESS(ROW('PAYG 1'!$B$20),COLUMN('PAYG 1'!$B$20),4)</f>
        <v>B20</v>
      </c>
      <c r="C3762" t="str">
        <f>ADDRESS(ROW('PAYG 1'!$D$20),COLUMN('PAYG 1'!$D$20),4)</f>
        <v>D20</v>
      </c>
      <c r="D3762" t="b" cm="1">
        <f t="array" aca="1" ref="D3762" ca="1">IF(INDIRECT("'"&amp;A3762&amp;"'!"&amp;B3762)="",FALSE,IF(NOT(ISNUMBER(INDIRECT("'"&amp;A3762&amp;"'!"&amp;B3762))),TRUE,FALSE))</f>
        <v>0</v>
      </c>
      <c r="E3762" t="s">
        <v>435</v>
      </c>
      <c r="F3762" t="str">
        <f>INDEX(Lists!I:I,MATCH(Validation!E3762,Lists!G:G,0))</f>
        <v>Error</v>
      </c>
      <c r="G3762" t="str">
        <f>INDEX(Lists!H:H,MATCH(Validation!E3762,Lists!G:G,0))</f>
        <v>Enter an amount only. Do not enter text or spaces.</v>
      </c>
      <c r="H3762" s="16" t="str">
        <f t="shared" ca="1" si="402"/>
        <v/>
      </c>
      <c r="I3762" s="16" t="str">
        <f t="shared" ca="1" si="403"/>
        <v/>
      </c>
      <c r="J3762" s="17" t="str">
        <f t="shared" ca="1" si="404"/>
        <v/>
      </c>
    </row>
    <row r="3763" spans="1:10" x14ac:dyDescent="0.25">
      <c r="A3763" t="s">
        <v>652</v>
      </c>
      <c r="B3763" t="str">
        <f>ADDRESS(ROW('PAYG 1'!$B$20),COLUMN('PAYG 1'!$B$20),4)</f>
        <v>B20</v>
      </c>
      <c r="C3763" t="str">
        <f>ADDRESS(ROW('PAYG 1'!$D$20),COLUMN('PAYG 1'!$D$20),4)</f>
        <v>D20</v>
      </c>
      <c r="D3763" t="b" cm="1">
        <f t="array" aca="1" ref="D3763" ca="1">IF(INDIRECT("'"&amp;A3763&amp;"'!"&amp;B3763)="",FALSE,IF(NOT(ISNUMBER(INDIRECT("'"&amp;A3763&amp;"'!"&amp;B3763))),TRUE,FALSE))</f>
        <v>0</v>
      </c>
      <c r="E3763" t="s">
        <v>435</v>
      </c>
      <c r="F3763" t="str">
        <f>INDEX(Lists!I:I,MATCH(Validation!E3763,Lists!G:G,0))</f>
        <v>Error</v>
      </c>
      <c r="G3763" t="str">
        <f>INDEX(Lists!H:H,MATCH(Validation!E3763,Lists!G:G,0))</f>
        <v>Enter an amount only. Do not enter text or spaces.</v>
      </c>
      <c r="H3763" s="16" t="str">
        <f t="shared" ca="1" si="402"/>
        <v/>
      </c>
      <c r="I3763" s="16" t="str">
        <f t="shared" ca="1" si="403"/>
        <v/>
      </c>
      <c r="J3763" s="17" t="str">
        <f t="shared" ca="1" si="404"/>
        <v/>
      </c>
    </row>
    <row r="3764" spans="1:10" x14ac:dyDescent="0.25">
      <c r="A3764" t="s">
        <v>653</v>
      </c>
      <c r="B3764" t="str">
        <f>ADDRESS(ROW('PAYG 1'!$B$20),COLUMN('PAYG 1'!$B$20),4)</f>
        <v>B20</v>
      </c>
      <c r="C3764" t="str">
        <f>ADDRESS(ROW('PAYG 1'!$D$20),COLUMN('PAYG 1'!$D$20),4)</f>
        <v>D20</v>
      </c>
      <c r="D3764" t="b" cm="1">
        <f t="array" aca="1" ref="D3764" ca="1">IF(INDIRECT("'"&amp;A3764&amp;"'!"&amp;B3764)="",FALSE,IF(NOT(ISNUMBER(INDIRECT("'"&amp;A3764&amp;"'!"&amp;B3764))),TRUE,FALSE))</f>
        <v>0</v>
      </c>
      <c r="E3764" t="s">
        <v>435</v>
      </c>
      <c r="F3764" t="str">
        <f>INDEX(Lists!I:I,MATCH(Validation!E3764,Lists!G:G,0))</f>
        <v>Error</v>
      </c>
      <c r="G3764" t="str">
        <f>INDEX(Lists!H:H,MATCH(Validation!E3764,Lists!G:G,0))</f>
        <v>Enter an amount only. Do not enter text or spaces.</v>
      </c>
      <c r="H3764" s="16" t="str">
        <f t="shared" ca="1" si="402"/>
        <v/>
      </c>
      <c r="I3764" s="16" t="str">
        <f t="shared" ca="1" si="403"/>
        <v/>
      </c>
      <c r="J3764" s="17" t="str">
        <f t="shared" ca="1" si="404"/>
        <v/>
      </c>
    </row>
    <row r="3765" spans="1:10" x14ac:dyDescent="0.25">
      <c r="A3765" t="s">
        <v>654</v>
      </c>
      <c r="B3765" t="str">
        <f>ADDRESS(ROW('PAYG 1'!$B$20),COLUMN('PAYG 1'!$B$20),4)</f>
        <v>B20</v>
      </c>
      <c r="C3765" t="str">
        <f>ADDRESS(ROW('PAYG 1'!$D$20),COLUMN('PAYG 1'!$D$20),4)</f>
        <v>D20</v>
      </c>
      <c r="D3765" t="b" cm="1">
        <f t="array" aca="1" ref="D3765" ca="1">IF(INDIRECT("'"&amp;A3765&amp;"'!"&amp;B3765)="",FALSE,IF(NOT(ISNUMBER(INDIRECT("'"&amp;A3765&amp;"'!"&amp;B3765))),TRUE,FALSE))</f>
        <v>0</v>
      </c>
      <c r="E3765" t="s">
        <v>435</v>
      </c>
      <c r="F3765" t="str">
        <f>INDEX(Lists!I:I,MATCH(Validation!E3765,Lists!G:G,0))</f>
        <v>Error</v>
      </c>
      <c r="G3765" t="str">
        <f>INDEX(Lists!H:H,MATCH(Validation!E3765,Lists!G:G,0))</f>
        <v>Enter an amount only. Do not enter text or spaces.</v>
      </c>
      <c r="H3765" s="16" t="str">
        <f t="shared" ca="1" si="402"/>
        <v/>
      </c>
      <c r="I3765" s="16" t="str">
        <f t="shared" ca="1" si="403"/>
        <v/>
      </c>
      <c r="J3765" s="17" t="str">
        <f t="shared" ca="1" si="404"/>
        <v/>
      </c>
    </row>
    <row r="3766" spans="1:10" x14ac:dyDescent="0.25">
      <c r="A3766" t="s">
        <v>655</v>
      </c>
      <c r="B3766" t="str">
        <f>ADDRESS(ROW('PAYG 1'!$B$20),COLUMN('PAYG 1'!$B$20),4)</f>
        <v>B20</v>
      </c>
      <c r="C3766" t="str">
        <f>ADDRESS(ROW('PAYG 1'!$D$20),COLUMN('PAYG 1'!$D$20),4)</f>
        <v>D20</v>
      </c>
      <c r="D3766" t="b" cm="1">
        <f t="array" aca="1" ref="D3766" ca="1">IF(INDIRECT("'"&amp;A3766&amp;"'!"&amp;B3766)="",FALSE,IF(NOT(ISNUMBER(INDIRECT("'"&amp;A3766&amp;"'!"&amp;B3766))),TRUE,FALSE))</f>
        <v>0</v>
      </c>
      <c r="E3766" t="s">
        <v>435</v>
      </c>
      <c r="F3766" t="str">
        <f>INDEX(Lists!I:I,MATCH(Validation!E3766,Lists!G:G,0))</f>
        <v>Error</v>
      </c>
      <c r="G3766" t="str">
        <f>INDEX(Lists!H:H,MATCH(Validation!E3766,Lists!G:G,0))</f>
        <v>Enter an amount only. Do not enter text or spaces.</v>
      </c>
      <c r="H3766" s="16" t="str">
        <f t="shared" ca="1" si="402"/>
        <v/>
      </c>
      <c r="I3766" s="16" t="str">
        <f t="shared" ca="1" si="403"/>
        <v/>
      </c>
      <c r="J3766" s="17" t="str">
        <f t="shared" ca="1" si="404"/>
        <v/>
      </c>
    </row>
    <row r="3767" spans="1:10" x14ac:dyDescent="0.25">
      <c r="A3767" t="s">
        <v>656</v>
      </c>
      <c r="B3767" t="str">
        <f>ADDRESS(ROW('PAYG 1'!$B$20),COLUMN('PAYG 1'!$B$20),4)</f>
        <v>B20</v>
      </c>
      <c r="C3767" t="str">
        <f>ADDRESS(ROW('PAYG 1'!$D$20),COLUMN('PAYG 1'!$D$20),4)</f>
        <v>D20</v>
      </c>
      <c r="D3767" t="b" cm="1">
        <f t="array" aca="1" ref="D3767" ca="1">IF(INDIRECT("'"&amp;A3767&amp;"'!"&amp;B3767)="",FALSE,IF(NOT(ISNUMBER(INDIRECT("'"&amp;A3767&amp;"'!"&amp;B3767))),TRUE,FALSE))</f>
        <v>0</v>
      </c>
      <c r="E3767" t="s">
        <v>435</v>
      </c>
      <c r="F3767" t="str">
        <f>INDEX(Lists!I:I,MATCH(Validation!E3767,Lists!G:G,0))</f>
        <v>Error</v>
      </c>
      <c r="G3767" t="str">
        <f>INDEX(Lists!H:H,MATCH(Validation!E3767,Lists!G:G,0))</f>
        <v>Enter an amount only. Do not enter text or spaces.</v>
      </c>
      <c r="H3767" s="16" t="str">
        <f t="shared" ca="1" si="402"/>
        <v/>
      </c>
      <c r="I3767" s="16" t="str">
        <f t="shared" ca="1" si="403"/>
        <v/>
      </c>
      <c r="J3767" s="17" t="str">
        <f t="shared" ca="1" si="404"/>
        <v/>
      </c>
    </row>
    <row r="3768" spans="1:10" x14ac:dyDescent="0.25">
      <c r="A3768" t="s">
        <v>657</v>
      </c>
      <c r="B3768" t="str">
        <f>ADDRESS(ROW('PAYG 1'!$B$20),COLUMN('PAYG 1'!$B$20),4)</f>
        <v>B20</v>
      </c>
      <c r="C3768" t="str">
        <f>ADDRESS(ROW('PAYG 1'!$D$20),COLUMN('PAYG 1'!$D$20),4)</f>
        <v>D20</v>
      </c>
      <c r="D3768" t="b" cm="1">
        <f t="array" aca="1" ref="D3768" ca="1">IF(INDIRECT("'"&amp;A3768&amp;"'!"&amp;B3768)="",FALSE,IF(NOT(ISNUMBER(INDIRECT("'"&amp;A3768&amp;"'!"&amp;B3768))),TRUE,FALSE))</f>
        <v>0</v>
      </c>
      <c r="E3768" t="s">
        <v>435</v>
      </c>
      <c r="F3768" t="str">
        <f>INDEX(Lists!I:I,MATCH(Validation!E3768,Lists!G:G,0))</f>
        <v>Error</v>
      </c>
      <c r="G3768" t="str">
        <f>INDEX(Lists!H:H,MATCH(Validation!E3768,Lists!G:G,0))</f>
        <v>Enter an amount only. Do not enter text or spaces.</v>
      </c>
      <c r="H3768" s="16" t="str">
        <f t="shared" ca="1" si="402"/>
        <v/>
      </c>
      <c r="I3768" s="16" t="str">
        <f t="shared" ca="1" si="403"/>
        <v/>
      </c>
      <c r="J3768" s="17" t="str">
        <f t="shared" ca="1" si="404"/>
        <v/>
      </c>
    </row>
    <row r="3769" spans="1:10" x14ac:dyDescent="0.25">
      <c r="A3769" t="s">
        <v>658</v>
      </c>
      <c r="B3769" t="str">
        <f>ADDRESS(ROW('PAYG 1'!$B$20),COLUMN('PAYG 1'!$B$20),4)</f>
        <v>B20</v>
      </c>
      <c r="C3769" t="str">
        <f>ADDRESS(ROW('PAYG 1'!$D$20),COLUMN('PAYG 1'!$D$20),4)</f>
        <v>D20</v>
      </c>
      <c r="D3769" t="b" cm="1">
        <f t="array" aca="1" ref="D3769" ca="1">IF(INDIRECT("'"&amp;A3769&amp;"'!"&amp;B3769)="",FALSE,IF(NOT(ISNUMBER(INDIRECT("'"&amp;A3769&amp;"'!"&amp;B3769))),TRUE,FALSE))</f>
        <v>0</v>
      </c>
      <c r="E3769" t="s">
        <v>435</v>
      </c>
      <c r="F3769" t="str">
        <f>INDEX(Lists!I:I,MATCH(Validation!E3769,Lists!G:G,0))</f>
        <v>Error</v>
      </c>
      <c r="G3769" t="str">
        <f>INDEX(Lists!H:H,MATCH(Validation!E3769,Lists!G:G,0))</f>
        <v>Enter an amount only. Do not enter text or spaces.</v>
      </c>
      <c r="H3769" s="16" t="str">
        <f t="shared" ca="1" si="402"/>
        <v/>
      </c>
      <c r="I3769" s="16" t="str">
        <f t="shared" ca="1" si="403"/>
        <v/>
      </c>
      <c r="J3769" s="17" t="str">
        <f t="shared" ca="1" si="404"/>
        <v/>
      </c>
    </row>
    <row r="3770" spans="1:10" x14ac:dyDescent="0.25">
      <c r="A3770" t="s">
        <v>659</v>
      </c>
      <c r="B3770" t="str">
        <f>ADDRESS(ROW('PAYG 1'!$B$20),COLUMN('PAYG 1'!$B$20),4)</f>
        <v>B20</v>
      </c>
      <c r="C3770" t="str">
        <f>ADDRESS(ROW('PAYG 1'!$D$20),COLUMN('PAYG 1'!$D$20),4)</f>
        <v>D20</v>
      </c>
      <c r="D3770" t="b" cm="1">
        <f t="array" aca="1" ref="D3770" ca="1">IF(INDIRECT("'"&amp;A3770&amp;"'!"&amp;B3770)="",FALSE,IF(NOT(ISNUMBER(INDIRECT("'"&amp;A3770&amp;"'!"&amp;B3770))),TRUE,FALSE))</f>
        <v>0</v>
      </c>
      <c r="E3770" t="s">
        <v>435</v>
      </c>
      <c r="F3770" t="str">
        <f>INDEX(Lists!I:I,MATCH(Validation!E3770,Lists!G:G,0))</f>
        <v>Error</v>
      </c>
      <c r="G3770" t="str">
        <f>INDEX(Lists!H:H,MATCH(Validation!E3770,Lists!G:G,0))</f>
        <v>Enter an amount only. Do not enter text or spaces.</v>
      </c>
      <c r="H3770" s="16" t="str">
        <f t="shared" ca="1" si="402"/>
        <v/>
      </c>
      <c r="I3770" s="16" t="str">
        <f t="shared" ca="1" si="403"/>
        <v/>
      </c>
      <c r="J3770" s="17" t="str">
        <f t="shared" ca="1" si="404"/>
        <v/>
      </c>
    </row>
    <row r="3771" spans="1:10" x14ac:dyDescent="0.25">
      <c r="A3771" t="s">
        <v>660</v>
      </c>
      <c r="B3771" t="str">
        <f>ADDRESS(ROW('PAYG 1'!$B$20),COLUMN('PAYG 1'!$B$20),4)</f>
        <v>B20</v>
      </c>
      <c r="C3771" t="str">
        <f>ADDRESS(ROW('PAYG 1'!$D$20),COLUMN('PAYG 1'!$D$20),4)</f>
        <v>D20</v>
      </c>
      <c r="D3771" t="b" cm="1">
        <f t="array" aca="1" ref="D3771" ca="1">IF(INDIRECT("'"&amp;A3771&amp;"'!"&amp;B3771)="",FALSE,IF(NOT(ISNUMBER(INDIRECT("'"&amp;A3771&amp;"'!"&amp;B3771))),TRUE,FALSE))</f>
        <v>0</v>
      </c>
      <c r="E3771" t="s">
        <v>435</v>
      </c>
      <c r="F3771" t="str">
        <f>INDEX(Lists!I:I,MATCH(Validation!E3771,Lists!G:G,0))</f>
        <v>Error</v>
      </c>
      <c r="G3771" t="str">
        <f>INDEX(Lists!H:H,MATCH(Validation!E3771,Lists!G:G,0))</f>
        <v>Enter an amount only. Do not enter text or spaces.</v>
      </c>
      <c r="H3771" s="16" t="str">
        <f t="shared" ca="1" si="402"/>
        <v/>
      </c>
      <c r="I3771" s="16" t="str">
        <f t="shared" ca="1" si="403"/>
        <v/>
      </c>
      <c r="J3771" s="17" t="str">
        <f t="shared" ca="1" si="404"/>
        <v/>
      </c>
    </row>
    <row r="3772" spans="1:10" x14ac:dyDescent="0.25">
      <c r="A3772" t="s">
        <v>661</v>
      </c>
      <c r="B3772" t="str">
        <f>ADDRESS(ROW('PAYG 1'!$B$20),COLUMN('PAYG 1'!$B$20),4)</f>
        <v>B20</v>
      </c>
      <c r="C3772" t="str">
        <f>ADDRESS(ROW('PAYG 1'!$D$20),COLUMN('PAYG 1'!$D$20),4)</f>
        <v>D20</v>
      </c>
      <c r="D3772" t="b" cm="1">
        <f t="array" aca="1" ref="D3772" ca="1">IF(INDIRECT("'"&amp;A3772&amp;"'!"&amp;B3772)="",FALSE,IF(NOT(ISNUMBER(INDIRECT("'"&amp;A3772&amp;"'!"&amp;B3772))),TRUE,FALSE))</f>
        <v>0</v>
      </c>
      <c r="E3772" t="s">
        <v>435</v>
      </c>
      <c r="F3772" t="str">
        <f>INDEX(Lists!I:I,MATCH(Validation!E3772,Lists!G:G,0))</f>
        <v>Error</v>
      </c>
      <c r="G3772" t="str">
        <f>INDEX(Lists!H:H,MATCH(Validation!E3772,Lists!G:G,0))</f>
        <v>Enter an amount only. Do not enter text or spaces.</v>
      </c>
      <c r="H3772" s="16" t="str">
        <f t="shared" ca="1" si="402"/>
        <v/>
      </c>
      <c r="I3772" s="16" t="str">
        <f t="shared" ca="1" si="403"/>
        <v/>
      </c>
      <c r="J3772" s="17" t="str">
        <f t="shared" ca="1" si="404"/>
        <v/>
      </c>
    </row>
    <row r="3773" spans="1:10" x14ac:dyDescent="0.25">
      <c r="A3773" t="s">
        <v>662</v>
      </c>
      <c r="B3773" t="str">
        <f>ADDRESS(ROW('PAYG 1'!$B$20),COLUMN('PAYG 1'!$B$20),4)</f>
        <v>B20</v>
      </c>
      <c r="C3773" t="str">
        <f>ADDRESS(ROW('PAYG 1'!$D$20),COLUMN('PAYG 1'!$D$20),4)</f>
        <v>D20</v>
      </c>
      <c r="D3773" t="b" cm="1">
        <f t="array" aca="1" ref="D3773" ca="1">IF(INDIRECT("'"&amp;A3773&amp;"'!"&amp;B3773)="",FALSE,IF(NOT(ISNUMBER(INDIRECT("'"&amp;A3773&amp;"'!"&amp;B3773))),TRUE,FALSE))</f>
        <v>0</v>
      </c>
      <c r="E3773" t="s">
        <v>435</v>
      </c>
      <c r="F3773" t="str">
        <f>INDEX(Lists!I:I,MATCH(Validation!E3773,Lists!G:G,0))</f>
        <v>Error</v>
      </c>
      <c r="G3773" t="str">
        <f>INDEX(Lists!H:H,MATCH(Validation!E3773,Lists!G:G,0))</f>
        <v>Enter an amount only. Do not enter text or spaces.</v>
      </c>
      <c r="H3773" s="16" t="str">
        <f t="shared" ca="1" si="402"/>
        <v/>
      </c>
      <c r="I3773" s="16" t="str">
        <f t="shared" ca="1" si="403"/>
        <v/>
      </c>
      <c r="J3773" s="17" t="str">
        <f t="shared" ca="1" si="404"/>
        <v/>
      </c>
    </row>
    <row r="3774" spans="1:10" x14ac:dyDescent="0.25">
      <c r="A3774" t="s">
        <v>663</v>
      </c>
      <c r="B3774" t="str">
        <f>ADDRESS(ROW('PAYG 1'!$B$20),COLUMN('PAYG 1'!$B$20),4)</f>
        <v>B20</v>
      </c>
      <c r="C3774" t="str">
        <f>ADDRESS(ROW('PAYG 1'!$D$20),COLUMN('PAYG 1'!$D$20),4)</f>
        <v>D20</v>
      </c>
      <c r="D3774" t="b" cm="1">
        <f t="array" aca="1" ref="D3774" ca="1">IF(INDIRECT("'"&amp;A3774&amp;"'!"&amp;B3774)="",FALSE,IF(NOT(ISNUMBER(INDIRECT("'"&amp;A3774&amp;"'!"&amp;B3774))),TRUE,FALSE))</f>
        <v>0</v>
      </c>
      <c r="E3774" t="s">
        <v>435</v>
      </c>
      <c r="F3774" t="str">
        <f>INDEX(Lists!I:I,MATCH(Validation!E3774,Lists!G:G,0))</f>
        <v>Error</v>
      </c>
      <c r="G3774" t="str">
        <f>INDEX(Lists!H:H,MATCH(Validation!E3774,Lists!G:G,0))</f>
        <v>Enter an amount only. Do not enter text or spaces.</v>
      </c>
      <c r="H3774" s="16" t="str">
        <f t="shared" ca="1" si="402"/>
        <v/>
      </c>
      <c r="I3774" s="16" t="str">
        <f t="shared" ca="1" si="403"/>
        <v/>
      </c>
      <c r="J3774" s="17" t="str">
        <f t="shared" ca="1" si="404"/>
        <v/>
      </c>
    </row>
    <row r="3775" spans="1:10" x14ac:dyDescent="0.25">
      <c r="A3775" t="s">
        <v>664</v>
      </c>
      <c r="B3775" t="str">
        <f>ADDRESS(ROW('PAYG 1'!$B$20),COLUMN('PAYG 1'!$B$20),4)</f>
        <v>B20</v>
      </c>
      <c r="C3775" t="str">
        <f>ADDRESS(ROW('PAYG 1'!$D$20),COLUMN('PAYG 1'!$D$20),4)</f>
        <v>D20</v>
      </c>
      <c r="D3775" t="b" cm="1">
        <f t="array" aca="1" ref="D3775" ca="1">IF(INDIRECT("'"&amp;A3775&amp;"'!"&amp;B3775)="",FALSE,IF(NOT(ISNUMBER(INDIRECT("'"&amp;A3775&amp;"'!"&amp;B3775))),TRUE,FALSE))</f>
        <v>0</v>
      </c>
      <c r="E3775" t="s">
        <v>435</v>
      </c>
      <c r="F3775" t="str">
        <f>INDEX(Lists!I:I,MATCH(Validation!E3775,Lists!G:G,0))</f>
        <v>Error</v>
      </c>
      <c r="G3775" t="str">
        <f>INDEX(Lists!H:H,MATCH(Validation!E3775,Lists!G:G,0))</f>
        <v>Enter an amount only. Do not enter text or spaces.</v>
      </c>
      <c r="H3775" s="16" t="str">
        <f t="shared" ca="1" si="402"/>
        <v/>
      </c>
      <c r="I3775" s="16" t="str">
        <f t="shared" ca="1" si="403"/>
        <v/>
      </c>
      <c r="J3775" s="17" t="str">
        <f t="shared" ca="1" si="404"/>
        <v/>
      </c>
    </row>
    <row r="3776" spans="1:10" x14ac:dyDescent="0.25">
      <c r="A3776" t="s">
        <v>203</v>
      </c>
      <c r="B3776" t="str">
        <f>ADDRESS(ROW('PAYG 1'!$B$20),COLUMN('PAYG 1'!$B$20),4)</f>
        <v>B20</v>
      </c>
      <c r="C3776" t="str">
        <f>ADDRESS(ROW('PAYG 1'!$D$20),COLUMN('PAYG 1'!$D$20),4)</f>
        <v>D20</v>
      </c>
      <c r="D3776" t="b" cm="1">
        <f t="array" aca="1" ref="D3776" ca="1">IF(INDIRECT("'"&amp;A3776&amp;"'!"&amp;B3776)="",FALSE,IF(INDIRECT("'"&amp;A3776&amp;"'!"&amp;B3776)&lt;0,TRUE,FALSE))</f>
        <v>0</v>
      </c>
      <c r="E3776" t="s">
        <v>434</v>
      </c>
      <c r="F3776" t="str">
        <f>INDEX(Lists!I:I,MATCH(Validation!E3776,Lists!G:G,0))</f>
        <v>Error</v>
      </c>
      <c r="G3776" t="str">
        <f>INDEX(Lists!H:H,MATCH(Validation!E3776,Lists!G:G,0))</f>
        <v>Amount may not be negative. Enter an amount greater than or equal to zero.</v>
      </c>
      <c r="H3776" s="16" t="str">
        <f t="shared" ca="1" si="402"/>
        <v/>
      </c>
      <c r="I3776" s="16" t="str">
        <f t="shared" ca="1" si="403"/>
        <v/>
      </c>
      <c r="J3776" s="17" t="str">
        <f t="shared" ca="1" si="404"/>
        <v/>
      </c>
    </row>
    <row r="3777" spans="1:10" x14ac:dyDescent="0.25">
      <c r="A3777" t="s">
        <v>651</v>
      </c>
      <c r="B3777" t="str">
        <f>ADDRESS(ROW('PAYG 1'!$B$20),COLUMN('PAYG 1'!$B$20),4)</f>
        <v>B20</v>
      </c>
      <c r="C3777" t="str">
        <f>ADDRESS(ROW('PAYG 1'!$D$20),COLUMN('PAYG 1'!$D$20),4)</f>
        <v>D20</v>
      </c>
      <c r="D3777" t="b" cm="1">
        <f t="array" aca="1" ref="D3777" ca="1">IF(INDIRECT("'"&amp;A3777&amp;"'!"&amp;B3777)="",FALSE,IF(INDIRECT("'"&amp;A3777&amp;"'!"&amp;B3777)&lt;0,TRUE,FALSE))</f>
        <v>0</v>
      </c>
      <c r="E3777" t="s">
        <v>434</v>
      </c>
      <c r="F3777" t="str">
        <f>INDEX(Lists!I:I,MATCH(Validation!E3777,Lists!G:G,0))</f>
        <v>Error</v>
      </c>
      <c r="G3777" t="str">
        <f>INDEX(Lists!H:H,MATCH(Validation!E3777,Lists!G:G,0))</f>
        <v>Amount may not be negative. Enter an amount greater than or equal to zero.</v>
      </c>
      <c r="H3777" s="16" t="str">
        <f t="shared" ca="1" si="402"/>
        <v/>
      </c>
      <c r="I3777" s="16" t="str">
        <f t="shared" ca="1" si="403"/>
        <v/>
      </c>
      <c r="J3777" s="17" t="str">
        <f t="shared" ca="1" si="404"/>
        <v/>
      </c>
    </row>
    <row r="3778" spans="1:10" x14ac:dyDescent="0.25">
      <c r="A3778" t="s">
        <v>652</v>
      </c>
      <c r="B3778" t="str">
        <f>ADDRESS(ROW('PAYG 1'!$B$20),COLUMN('PAYG 1'!$B$20),4)</f>
        <v>B20</v>
      </c>
      <c r="C3778" t="str">
        <f>ADDRESS(ROW('PAYG 1'!$D$20),COLUMN('PAYG 1'!$D$20),4)</f>
        <v>D20</v>
      </c>
      <c r="D3778" t="b" cm="1">
        <f t="array" aca="1" ref="D3778" ca="1">IF(INDIRECT("'"&amp;A3778&amp;"'!"&amp;B3778)="",FALSE,IF(INDIRECT("'"&amp;A3778&amp;"'!"&amp;B3778)&lt;0,TRUE,FALSE))</f>
        <v>0</v>
      </c>
      <c r="E3778" t="s">
        <v>434</v>
      </c>
      <c r="F3778" t="str">
        <f>INDEX(Lists!I:I,MATCH(Validation!E3778,Lists!G:G,0))</f>
        <v>Error</v>
      </c>
      <c r="G3778" t="str">
        <f>INDEX(Lists!H:H,MATCH(Validation!E3778,Lists!G:G,0))</f>
        <v>Amount may not be negative. Enter an amount greater than or equal to zero.</v>
      </c>
      <c r="H3778" s="16" t="str">
        <f t="shared" ca="1" si="402"/>
        <v/>
      </c>
      <c r="I3778" s="16" t="str">
        <f t="shared" ca="1" si="403"/>
        <v/>
      </c>
      <c r="J3778" s="17" t="str">
        <f t="shared" ca="1" si="404"/>
        <v/>
      </c>
    </row>
    <row r="3779" spans="1:10" x14ac:dyDescent="0.25">
      <c r="A3779" t="s">
        <v>653</v>
      </c>
      <c r="B3779" t="str">
        <f>ADDRESS(ROW('PAYG 1'!$B$20),COLUMN('PAYG 1'!$B$20),4)</f>
        <v>B20</v>
      </c>
      <c r="C3779" t="str">
        <f>ADDRESS(ROW('PAYG 1'!$D$20),COLUMN('PAYG 1'!$D$20),4)</f>
        <v>D20</v>
      </c>
      <c r="D3779" t="b" cm="1">
        <f t="array" aca="1" ref="D3779" ca="1">IF(INDIRECT("'"&amp;A3779&amp;"'!"&amp;B3779)="",FALSE,IF(INDIRECT("'"&amp;A3779&amp;"'!"&amp;B3779)&lt;0,TRUE,FALSE))</f>
        <v>0</v>
      </c>
      <c r="E3779" t="s">
        <v>434</v>
      </c>
      <c r="F3779" t="str">
        <f>INDEX(Lists!I:I,MATCH(Validation!E3779,Lists!G:G,0))</f>
        <v>Error</v>
      </c>
      <c r="G3779" t="str">
        <f>INDEX(Lists!H:H,MATCH(Validation!E3779,Lists!G:G,0))</f>
        <v>Amount may not be negative. Enter an amount greater than or equal to zero.</v>
      </c>
      <c r="H3779" s="16" t="str">
        <f t="shared" ca="1" si="402"/>
        <v/>
      </c>
      <c r="I3779" s="16" t="str">
        <f t="shared" ca="1" si="403"/>
        <v/>
      </c>
      <c r="J3779" s="17" t="str">
        <f t="shared" ca="1" si="404"/>
        <v/>
      </c>
    </row>
    <row r="3780" spans="1:10" x14ac:dyDescent="0.25">
      <c r="A3780" t="s">
        <v>654</v>
      </c>
      <c r="B3780" t="str">
        <f>ADDRESS(ROW('PAYG 1'!$B$20),COLUMN('PAYG 1'!$B$20),4)</f>
        <v>B20</v>
      </c>
      <c r="C3780" t="str">
        <f>ADDRESS(ROW('PAYG 1'!$D$20),COLUMN('PAYG 1'!$D$20),4)</f>
        <v>D20</v>
      </c>
      <c r="D3780" t="b" cm="1">
        <f t="array" aca="1" ref="D3780" ca="1">IF(INDIRECT("'"&amp;A3780&amp;"'!"&amp;B3780)="",FALSE,IF(INDIRECT("'"&amp;A3780&amp;"'!"&amp;B3780)&lt;0,TRUE,FALSE))</f>
        <v>0</v>
      </c>
      <c r="E3780" t="s">
        <v>434</v>
      </c>
      <c r="F3780" t="str">
        <f>INDEX(Lists!I:I,MATCH(Validation!E3780,Lists!G:G,0))</f>
        <v>Error</v>
      </c>
      <c r="G3780" t="str">
        <f>INDEX(Lists!H:H,MATCH(Validation!E3780,Lists!G:G,0))</f>
        <v>Amount may not be negative. Enter an amount greater than or equal to zero.</v>
      </c>
      <c r="H3780" s="16" t="str">
        <f t="shared" ca="1" si="402"/>
        <v/>
      </c>
      <c r="I3780" s="16" t="str">
        <f t="shared" ca="1" si="403"/>
        <v/>
      </c>
      <c r="J3780" s="17" t="str">
        <f t="shared" ca="1" si="404"/>
        <v/>
      </c>
    </row>
    <row r="3781" spans="1:10" x14ac:dyDescent="0.25">
      <c r="A3781" t="s">
        <v>655</v>
      </c>
      <c r="B3781" t="str">
        <f>ADDRESS(ROW('PAYG 1'!$B$20),COLUMN('PAYG 1'!$B$20),4)</f>
        <v>B20</v>
      </c>
      <c r="C3781" t="str">
        <f>ADDRESS(ROW('PAYG 1'!$D$20),COLUMN('PAYG 1'!$D$20),4)</f>
        <v>D20</v>
      </c>
      <c r="D3781" t="b" cm="1">
        <f t="array" aca="1" ref="D3781" ca="1">IF(INDIRECT("'"&amp;A3781&amp;"'!"&amp;B3781)="",FALSE,IF(INDIRECT("'"&amp;A3781&amp;"'!"&amp;B3781)&lt;0,TRUE,FALSE))</f>
        <v>0</v>
      </c>
      <c r="E3781" t="s">
        <v>434</v>
      </c>
      <c r="F3781" t="str">
        <f>INDEX(Lists!I:I,MATCH(Validation!E3781,Lists!G:G,0))</f>
        <v>Error</v>
      </c>
      <c r="G3781" t="str">
        <f>INDEX(Lists!H:H,MATCH(Validation!E3781,Lists!G:G,0))</f>
        <v>Amount may not be negative. Enter an amount greater than or equal to zero.</v>
      </c>
      <c r="H3781" s="16" t="str">
        <f t="shared" ca="1" si="402"/>
        <v/>
      </c>
      <c r="I3781" s="16" t="str">
        <f t="shared" ca="1" si="403"/>
        <v/>
      </c>
      <c r="J3781" s="17" t="str">
        <f t="shared" ca="1" si="404"/>
        <v/>
      </c>
    </row>
    <row r="3782" spans="1:10" x14ac:dyDescent="0.25">
      <c r="A3782" t="s">
        <v>656</v>
      </c>
      <c r="B3782" t="str">
        <f>ADDRESS(ROW('PAYG 1'!$B$20),COLUMN('PAYG 1'!$B$20),4)</f>
        <v>B20</v>
      </c>
      <c r="C3782" t="str">
        <f>ADDRESS(ROW('PAYG 1'!$D$20),COLUMN('PAYG 1'!$D$20),4)</f>
        <v>D20</v>
      </c>
      <c r="D3782" t="b" cm="1">
        <f t="array" aca="1" ref="D3782" ca="1">IF(INDIRECT("'"&amp;A3782&amp;"'!"&amp;B3782)="",FALSE,IF(INDIRECT("'"&amp;A3782&amp;"'!"&amp;B3782)&lt;0,TRUE,FALSE))</f>
        <v>0</v>
      </c>
      <c r="E3782" t="s">
        <v>434</v>
      </c>
      <c r="F3782" t="str">
        <f>INDEX(Lists!I:I,MATCH(Validation!E3782,Lists!G:G,0))</f>
        <v>Error</v>
      </c>
      <c r="G3782" t="str">
        <f>INDEX(Lists!H:H,MATCH(Validation!E3782,Lists!G:G,0))</f>
        <v>Amount may not be negative. Enter an amount greater than or equal to zero.</v>
      </c>
      <c r="H3782" s="16" t="str">
        <f t="shared" ca="1" si="402"/>
        <v/>
      </c>
      <c r="I3782" s="16" t="str">
        <f t="shared" ca="1" si="403"/>
        <v/>
      </c>
      <c r="J3782" s="17" t="str">
        <f t="shared" ca="1" si="404"/>
        <v/>
      </c>
    </row>
    <row r="3783" spans="1:10" x14ac:dyDescent="0.25">
      <c r="A3783" t="s">
        <v>657</v>
      </c>
      <c r="B3783" t="str">
        <f>ADDRESS(ROW('PAYG 1'!$B$20),COLUMN('PAYG 1'!$B$20),4)</f>
        <v>B20</v>
      </c>
      <c r="C3783" t="str">
        <f>ADDRESS(ROW('PAYG 1'!$D$20),COLUMN('PAYG 1'!$D$20),4)</f>
        <v>D20</v>
      </c>
      <c r="D3783" t="b" cm="1">
        <f t="array" aca="1" ref="D3783" ca="1">IF(INDIRECT("'"&amp;A3783&amp;"'!"&amp;B3783)="",FALSE,IF(INDIRECT("'"&amp;A3783&amp;"'!"&amp;B3783)&lt;0,TRUE,FALSE))</f>
        <v>0</v>
      </c>
      <c r="E3783" t="s">
        <v>434</v>
      </c>
      <c r="F3783" t="str">
        <f>INDEX(Lists!I:I,MATCH(Validation!E3783,Lists!G:G,0))</f>
        <v>Error</v>
      </c>
      <c r="G3783" t="str">
        <f>INDEX(Lists!H:H,MATCH(Validation!E3783,Lists!G:G,0))</f>
        <v>Amount may not be negative. Enter an amount greater than or equal to zero.</v>
      </c>
      <c r="H3783" s="16" t="str">
        <f t="shared" ca="1" si="402"/>
        <v/>
      </c>
      <c r="I3783" s="16" t="str">
        <f t="shared" ca="1" si="403"/>
        <v/>
      </c>
      <c r="J3783" s="17" t="str">
        <f t="shared" ca="1" si="404"/>
        <v/>
      </c>
    </row>
    <row r="3784" spans="1:10" x14ac:dyDescent="0.25">
      <c r="A3784" t="s">
        <v>658</v>
      </c>
      <c r="B3784" t="str">
        <f>ADDRESS(ROW('PAYG 1'!$B$20),COLUMN('PAYG 1'!$B$20),4)</f>
        <v>B20</v>
      </c>
      <c r="C3784" t="str">
        <f>ADDRESS(ROW('PAYG 1'!$D$20),COLUMN('PAYG 1'!$D$20),4)</f>
        <v>D20</v>
      </c>
      <c r="D3784" t="b" cm="1">
        <f t="array" aca="1" ref="D3784" ca="1">IF(INDIRECT("'"&amp;A3784&amp;"'!"&amp;B3784)="",FALSE,IF(INDIRECT("'"&amp;A3784&amp;"'!"&amp;B3784)&lt;0,TRUE,FALSE))</f>
        <v>0</v>
      </c>
      <c r="E3784" t="s">
        <v>434</v>
      </c>
      <c r="F3784" t="str">
        <f>INDEX(Lists!I:I,MATCH(Validation!E3784,Lists!G:G,0))</f>
        <v>Error</v>
      </c>
      <c r="G3784" t="str">
        <f>INDEX(Lists!H:H,MATCH(Validation!E3784,Lists!G:G,0))</f>
        <v>Amount may not be negative. Enter an amount greater than or equal to zero.</v>
      </c>
      <c r="H3784" s="16" t="str">
        <f t="shared" ca="1" si="402"/>
        <v/>
      </c>
      <c r="I3784" s="16" t="str">
        <f t="shared" ca="1" si="403"/>
        <v/>
      </c>
      <c r="J3784" s="17" t="str">
        <f t="shared" ca="1" si="404"/>
        <v/>
      </c>
    </row>
    <row r="3785" spans="1:10" x14ac:dyDescent="0.25">
      <c r="A3785" t="s">
        <v>659</v>
      </c>
      <c r="B3785" t="str">
        <f>ADDRESS(ROW('PAYG 1'!$B$20),COLUMN('PAYG 1'!$B$20),4)</f>
        <v>B20</v>
      </c>
      <c r="C3785" t="str">
        <f>ADDRESS(ROW('PAYG 1'!$D$20),COLUMN('PAYG 1'!$D$20),4)</f>
        <v>D20</v>
      </c>
      <c r="D3785" t="b" cm="1">
        <f t="array" aca="1" ref="D3785" ca="1">IF(INDIRECT("'"&amp;A3785&amp;"'!"&amp;B3785)="",FALSE,IF(INDIRECT("'"&amp;A3785&amp;"'!"&amp;B3785)&lt;0,TRUE,FALSE))</f>
        <v>0</v>
      </c>
      <c r="E3785" t="s">
        <v>434</v>
      </c>
      <c r="F3785" t="str">
        <f>INDEX(Lists!I:I,MATCH(Validation!E3785,Lists!G:G,0))</f>
        <v>Error</v>
      </c>
      <c r="G3785" t="str">
        <f>INDEX(Lists!H:H,MATCH(Validation!E3785,Lists!G:G,0))</f>
        <v>Amount may not be negative. Enter an amount greater than or equal to zero.</v>
      </c>
      <c r="H3785" s="16" t="str">
        <f t="shared" ca="1" si="402"/>
        <v/>
      </c>
      <c r="I3785" s="16" t="str">
        <f t="shared" ca="1" si="403"/>
        <v/>
      </c>
      <c r="J3785" s="17" t="str">
        <f t="shared" ca="1" si="404"/>
        <v/>
      </c>
    </row>
    <row r="3786" spans="1:10" x14ac:dyDescent="0.25">
      <c r="A3786" t="s">
        <v>660</v>
      </c>
      <c r="B3786" t="str">
        <f>ADDRESS(ROW('PAYG 1'!$B$20),COLUMN('PAYG 1'!$B$20),4)</f>
        <v>B20</v>
      </c>
      <c r="C3786" t="str">
        <f>ADDRESS(ROW('PAYG 1'!$D$20),COLUMN('PAYG 1'!$D$20),4)</f>
        <v>D20</v>
      </c>
      <c r="D3786" t="b" cm="1">
        <f t="array" aca="1" ref="D3786" ca="1">IF(INDIRECT("'"&amp;A3786&amp;"'!"&amp;B3786)="",FALSE,IF(INDIRECT("'"&amp;A3786&amp;"'!"&amp;B3786)&lt;0,TRUE,FALSE))</f>
        <v>0</v>
      </c>
      <c r="E3786" t="s">
        <v>434</v>
      </c>
      <c r="F3786" t="str">
        <f>INDEX(Lists!I:I,MATCH(Validation!E3786,Lists!G:G,0))</f>
        <v>Error</v>
      </c>
      <c r="G3786" t="str">
        <f>INDEX(Lists!H:H,MATCH(Validation!E3786,Lists!G:G,0))</f>
        <v>Amount may not be negative. Enter an amount greater than or equal to zero.</v>
      </c>
      <c r="H3786" s="16" t="str">
        <f t="shared" ca="1" si="402"/>
        <v/>
      </c>
      <c r="I3786" s="16" t="str">
        <f t="shared" ca="1" si="403"/>
        <v/>
      </c>
      <c r="J3786" s="17" t="str">
        <f t="shared" ca="1" si="404"/>
        <v/>
      </c>
    </row>
    <row r="3787" spans="1:10" x14ac:dyDescent="0.25">
      <c r="A3787" t="s">
        <v>661</v>
      </c>
      <c r="B3787" t="str">
        <f>ADDRESS(ROW('PAYG 1'!$B$20),COLUMN('PAYG 1'!$B$20),4)</f>
        <v>B20</v>
      </c>
      <c r="C3787" t="str">
        <f>ADDRESS(ROW('PAYG 1'!$D$20),COLUMN('PAYG 1'!$D$20),4)</f>
        <v>D20</v>
      </c>
      <c r="D3787" t="b" cm="1">
        <f t="array" aca="1" ref="D3787" ca="1">IF(INDIRECT("'"&amp;A3787&amp;"'!"&amp;B3787)="",FALSE,IF(INDIRECT("'"&amp;A3787&amp;"'!"&amp;B3787)&lt;0,TRUE,FALSE))</f>
        <v>0</v>
      </c>
      <c r="E3787" t="s">
        <v>434</v>
      </c>
      <c r="F3787" t="str">
        <f>INDEX(Lists!I:I,MATCH(Validation!E3787,Lists!G:G,0))</f>
        <v>Error</v>
      </c>
      <c r="G3787" t="str">
        <f>INDEX(Lists!H:H,MATCH(Validation!E3787,Lists!G:G,0))</f>
        <v>Amount may not be negative. Enter an amount greater than or equal to zero.</v>
      </c>
      <c r="H3787" s="16" t="str">
        <f t="shared" ca="1" si="402"/>
        <v/>
      </c>
      <c r="I3787" s="16" t="str">
        <f t="shared" ca="1" si="403"/>
        <v/>
      </c>
      <c r="J3787" s="17" t="str">
        <f t="shared" ca="1" si="404"/>
        <v/>
      </c>
    </row>
    <row r="3788" spans="1:10" x14ac:dyDescent="0.25">
      <c r="A3788" t="s">
        <v>662</v>
      </c>
      <c r="B3788" t="str">
        <f>ADDRESS(ROW('PAYG 1'!$B$20),COLUMN('PAYG 1'!$B$20),4)</f>
        <v>B20</v>
      </c>
      <c r="C3788" t="str">
        <f>ADDRESS(ROW('PAYG 1'!$D$20),COLUMN('PAYG 1'!$D$20),4)</f>
        <v>D20</v>
      </c>
      <c r="D3788" t="b" cm="1">
        <f t="array" aca="1" ref="D3788" ca="1">IF(INDIRECT("'"&amp;A3788&amp;"'!"&amp;B3788)="",FALSE,IF(INDIRECT("'"&amp;A3788&amp;"'!"&amp;B3788)&lt;0,TRUE,FALSE))</f>
        <v>0</v>
      </c>
      <c r="E3788" t="s">
        <v>434</v>
      </c>
      <c r="F3788" t="str">
        <f>INDEX(Lists!I:I,MATCH(Validation!E3788,Lists!G:G,0))</f>
        <v>Error</v>
      </c>
      <c r="G3788" t="str">
        <f>INDEX(Lists!H:H,MATCH(Validation!E3788,Lists!G:G,0))</f>
        <v>Amount may not be negative. Enter an amount greater than or equal to zero.</v>
      </c>
      <c r="H3788" s="16" t="str">
        <f t="shared" ca="1" si="402"/>
        <v/>
      </c>
      <c r="I3788" s="16" t="str">
        <f t="shared" ca="1" si="403"/>
        <v/>
      </c>
      <c r="J3788" s="17" t="str">
        <f t="shared" ca="1" si="404"/>
        <v/>
      </c>
    </row>
    <row r="3789" spans="1:10" x14ac:dyDescent="0.25">
      <c r="A3789" t="s">
        <v>663</v>
      </c>
      <c r="B3789" t="str">
        <f>ADDRESS(ROW('PAYG 1'!$B$20),COLUMN('PAYG 1'!$B$20),4)</f>
        <v>B20</v>
      </c>
      <c r="C3789" t="str">
        <f>ADDRESS(ROW('PAYG 1'!$D$20),COLUMN('PAYG 1'!$D$20),4)</f>
        <v>D20</v>
      </c>
      <c r="D3789" t="b" cm="1">
        <f t="array" aca="1" ref="D3789" ca="1">IF(INDIRECT("'"&amp;A3789&amp;"'!"&amp;B3789)="",FALSE,IF(INDIRECT("'"&amp;A3789&amp;"'!"&amp;B3789)&lt;0,TRUE,FALSE))</f>
        <v>0</v>
      </c>
      <c r="E3789" t="s">
        <v>434</v>
      </c>
      <c r="F3789" t="str">
        <f>INDEX(Lists!I:I,MATCH(Validation!E3789,Lists!G:G,0))</f>
        <v>Error</v>
      </c>
      <c r="G3789" t="str">
        <f>INDEX(Lists!H:H,MATCH(Validation!E3789,Lists!G:G,0))</f>
        <v>Amount may not be negative. Enter an amount greater than or equal to zero.</v>
      </c>
      <c r="H3789" s="16" t="str">
        <f t="shared" ca="1" si="402"/>
        <v/>
      </c>
      <c r="I3789" s="16" t="str">
        <f t="shared" ca="1" si="403"/>
        <v/>
      </c>
      <c r="J3789" s="17" t="str">
        <f t="shared" ca="1" si="404"/>
        <v/>
      </c>
    </row>
    <row r="3790" spans="1:10" x14ac:dyDescent="0.25">
      <c r="A3790" t="s">
        <v>664</v>
      </c>
      <c r="B3790" t="str">
        <f>ADDRESS(ROW('PAYG 1'!$B$20),COLUMN('PAYG 1'!$B$20),4)</f>
        <v>B20</v>
      </c>
      <c r="C3790" t="str">
        <f>ADDRESS(ROW('PAYG 1'!$D$20),COLUMN('PAYG 1'!$D$20),4)</f>
        <v>D20</v>
      </c>
      <c r="D3790" t="b" cm="1">
        <f t="array" aca="1" ref="D3790" ca="1">IF(INDIRECT("'"&amp;A3790&amp;"'!"&amp;B3790)="",FALSE,IF(INDIRECT("'"&amp;A3790&amp;"'!"&amp;B3790)&lt;0,TRUE,FALSE))</f>
        <v>0</v>
      </c>
      <c r="E3790" t="s">
        <v>434</v>
      </c>
      <c r="F3790" t="str">
        <f>INDEX(Lists!I:I,MATCH(Validation!E3790,Lists!G:G,0))</f>
        <v>Error</v>
      </c>
      <c r="G3790" t="str">
        <f>INDEX(Lists!H:H,MATCH(Validation!E3790,Lists!G:G,0))</f>
        <v>Amount may not be negative. Enter an amount greater than or equal to zero.</v>
      </c>
      <c r="H3790" s="16" t="str">
        <f t="shared" ca="1" si="402"/>
        <v/>
      </c>
      <c r="I3790" s="16" t="str">
        <f t="shared" ca="1" si="403"/>
        <v/>
      </c>
      <c r="J3790" s="17" t="str">
        <f t="shared" ca="1" si="404"/>
        <v/>
      </c>
    </row>
    <row r="3791" spans="1:10" x14ac:dyDescent="0.25">
      <c r="A3791" t="s">
        <v>203</v>
      </c>
      <c r="B3791" t="str">
        <f>ADDRESS(ROW('PAYG 1'!$B$20),COLUMN('PAYG 1'!$B$20),4)</f>
        <v>B20</v>
      </c>
      <c r="C3791" t="str">
        <f>ADDRESS(ROW('PAYG 1'!$D$20),COLUMN('PAYG 1'!$D$20),4)</f>
        <v>D20</v>
      </c>
      <c r="D3791" t="b" cm="1">
        <f t="array" aca="1" ref="D3791" ca="1">IF(INDIRECT("'"&amp;A3791&amp;"'!"&amp;B3791)="",FALSE,IF(TRUNC(INDIRECT("'"&amp;A3791&amp;"'!"&amp;B3791))=INDIRECT("'"&amp;A3791&amp;"'!"&amp;B3791),FALSE,TRUE))</f>
        <v>0</v>
      </c>
      <c r="E3791" t="s">
        <v>436</v>
      </c>
      <c r="F3791" t="str">
        <f>INDEX(Lists!I:I,MATCH(Validation!E3791,Lists!G:G,0))</f>
        <v>Error</v>
      </c>
      <c r="G3791" t="str">
        <f>INDEX(Lists!H:H,MATCH(Validation!E3791,Lists!G:G,0))</f>
        <v>Amount must be rounded to the nearest dollar.</v>
      </c>
      <c r="H3791" s="16" t="str">
        <f t="shared" ca="1" si="402"/>
        <v/>
      </c>
      <c r="I3791" s="16" t="str">
        <f t="shared" ca="1" si="403"/>
        <v/>
      </c>
      <c r="J3791" s="17" t="str">
        <f t="shared" ca="1" si="404"/>
        <v/>
      </c>
    </row>
    <row r="3792" spans="1:10" x14ac:dyDescent="0.25">
      <c r="A3792" t="s">
        <v>651</v>
      </c>
      <c r="B3792" t="str">
        <f>ADDRESS(ROW('PAYG 1'!$B$20),COLUMN('PAYG 1'!$B$20),4)</f>
        <v>B20</v>
      </c>
      <c r="C3792" t="str">
        <f>ADDRESS(ROW('PAYG 1'!$D$20),COLUMN('PAYG 1'!$D$20),4)</f>
        <v>D20</v>
      </c>
      <c r="D3792" t="b" cm="1">
        <f t="array" aca="1" ref="D3792" ca="1">IF(INDIRECT("'"&amp;A3792&amp;"'!"&amp;B3792)="",FALSE,IF(TRUNC(INDIRECT("'"&amp;A3792&amp;"'!"&amp;B3792))=INDIRECT("'"&amp;A3792&amp;"'!"&amp;B3792),FALSE,TRUE))</f>
        <v>0</v>
      </c>
      <c r="E3792" t="s">
        <v>436</v>
      </c>
      <c r="F3792" t="str">
        <f>INDEX(Lists!I:I,MATCH(Validation!E3792,Lists!G:G,0))</f>
        <v>Error</v>
      </c>
      <c r="G3792" t="str">
        <f>INDEX(Lists!H:H,MATCH(Validation!E3792,Lists!G:G,0))</f>
        <v>Amount must be rounded to the nearest dollar.</v>
      </c>
      <c r="H3792" s="16" t="str">
        <f t="shared" ca="1" si="402"/>
        <v/>
      </c>
      <c r="I3792" s="16" t="str">
        <f t="shared" ca="1" si="403"/>
        <v/>
      </c>
      <c r="J3792" s="17" t="str">
        <f t="shared" ca="1" si="404"/>
        <v/>
      </c>
    </row>
    <row r="3793" spans="1:10" x14ac:dyDescent="0.25">
      <c r="A3793" t="s">
        <v>652</v>
      </c>
      <c r="B3793" t="str">
        <f>ADDRESS(ROW('PAYG 1'!$B$20),COLUMN('PAYG 1'!$B$20),4)</f>
        <v>B20</v>
      </c>
      <c r="C3793" t="str">
        <f>ADDRESS(ROW('PAYG 1'!$D$20),COLUMN('PAYG 1'!$D$20),4)</f>
        <v>D20</v>
      </c>
      <c r="D3793" t="b" cm="1">
        <f t="array" aca="1" ref="D3793" ca="1">IF(INDIRECT("'"&amp;A3793&amp;"'!"&amp;B3793)="",FALSE,IF(TRUNC(INDIRECT("'"&amp;A3793&amp;"'!"&amp;B3793))=INDIRECT("'"&amp;A3793&amp;"'!"&amp;B3793),FALSE,TRUE))</f>
        <v>0</v>
      </c>
      <c r="E3793" t="s">
        <v>436</v>
      </c>
      <c r="F3793" t="str">
        <f>INDEX(Lists!I:I,MATCH(Validation!E3793,Lists!G:G,0))</f>
        <v>Error</v>
      </c>
      <c r="G3793" t="str">
        <f>INDEX(Lists!H:H,MATCH(Validation!E3793,Lists!G:G,0))</f>
        <v>Amount must be rounded to the nearest dollar.</v>
      </c>
      <c r="H3793" s="16" t="str">
        <f t="shared" ca="1" si="402"/>
        <v/>
      </c>
      <c r="I3793" s="16" t="str">
        <f t="shared" ca="1" si="403"/>
        <v/>
      </c>
      <c r="J3793" s="17" t="str">
        <f t="shared" ca="1" si="404"/>
        <v/>
      </c>
    </row>
    <row r="3794" spans="1:10" x14ac:dyDescent="0.25">
      <c r="A3794" t="s">
        <v>653</v>
      </c>
      <c r="B3794" t="str">
        <f>ADDRESS(ROW('PAYG 1'!$B$20),COLUMN('PAYG 1'!$B$20),4)</f>
        <v>B20</v>
      </c>
      <c r="C3794" t="str">
        <f>ADDRESS(ROW('PAYG 1'!$D$20),COLUMN('PAYG 1'!$D$20),4)</f>
        <v>D20</v>
      </c>
      <c r="D3794" t="b" cm="1">
        <f t="array" aca="1" ref="D3794" ca="1">IF(INDIRECT("'"&amp;A3794&amp;"'!"&amp;B3794)="",FALSE,IF(TRUNC(INDIRECT("'"&amp;A3794&amp;"'!"&amp;B3794))=INDIRECT("'"&amp;A3794&amp;"'!"&amp;B3794),FALSE,TRUE))</f>
        <v>0</v>
      </c>
      <c r="E3794" t="s">
        <v>436</v>
      </c>
      <c r="F3794" t="str">
        <f>INDEX(Lists!I:I,MATCH(Validation!E3794,Lists!G:G,0))</f>
        <v>Error</v>
      </c>
      <c r="G3794" t="str">
        <f>INDEX(Lists!H:H,MATCH(Validation!E3794,Lists!G:G,0))</f>
        <v>Amount must be rounded to the nearest dollar.</v>
      </c>
      <c r="H3794" s="16" t="str">
        <f t="shared" ca="1" si="402"/>
        <v/>
      </c>
      <c r="I3794" s="16" t="str">
        <f t="shared" ca="1" si="403"/>
        <v/>
      </c>
      <c r="J3794" s="17" t="str">
        <f t="shared" ca="1" si="404"/>
        <v/>
      </c>
    </row>
    <row r="3795" spans="1:10" x14ac:dyDescent="0.25">
      <c r="A3795" t="s">
        <v>654</v>
      </c>
      <c r="B3795" t="str">
        <f>ADDRESS(ROW('PAYG 1'!$B$20),COLUMN('PAYG 1'!$B$20),4)</f>
        <v>B20</v>
      </c>
      <c r="C3795" t="str">
        <f>ADDRESS(ROW('PAYG 1'!$D$20),COLUMN('PAYG 1'!$D$20),4)</f>
        <v>D20</v>
      </c>
      <c r="D3795" t="b" cm="1">
        <f t="array" aca="1" ref="D3795" ca="1">IF(INDIRECT("'"&amp;A3795&amp;"'!"&amp;B3795)="",FALSE,IF(TRUNC(INDIRECT("'"&amp;A3795&amp;"'!"&amp;B3795))=INDIRECT("'"&amp;A3795&amp;"'!"&amp;B3795),FALSE,TRUE))</f>
        <v>0</v>
      </c>
      <c r="E3795" t="s">
        <v>436</v>
      </c>
      <c r="F3795" t="str">
        <f>INDEX(Lists!I:I,MATCH(Validation!E3795,Lists!G:G,0))</f>
        <v>Error</v>
      </c>
      <c r="G3795" t="str">
        <f>INDEX(Lists!H:H,MATCH(Validation!E3795,Lists!G:G,0))</f>
        <v>Amount must be rounded to the nearest dollar.</v>
      </c>
      <c r="H3795" s="16" t="str">
        <f t="shared" ca="1" si="402"/>
        <v/>
      </c>
      <c r="I3795" s="16" t="str">
        <f t="shared" ca="1" si="403"/>
        <v/>
      </c>
      <c r="J3795" s="17" t="str">
        <f t="shared" ca="1" si="404"/>
        <v/>
      </c>
    </row>
    <row r="3796" spans="1:10" x14ac:dyDescent="0.25">
      <c r="A3796" t="s">
        <v>655</v>
      </c>
      <c r="B3796" t="str">
        <f>ADDRESS(ROW('PAYG 1'!$B$20),COLUMN('PAYG 1'!$B$20),4)</f>
        <v>B20</v>
      </c>
      <c r="C3796" t="str">
        <f>ADDRESS(ROW('PAYG 1'!$D$20),COLUMN('PAYG 1'!$D$20),4)</f>
        <v>D20</v>
      </c>
      <c r="D3796" t="b" cm="1">
        <f t="array" aca="1" ref="D3796" ca="1">IF(INDIRECT("'"&amp;A3796&amp;"'!"&amp;B3796)="",FALSE,IF(TRUNC(INDIRECT("'"&amp;A3796&amp;"'!"&amp;B3796))=INDIRECT("'"&amp;A3796&amp;"'!"&amp;B3796),FALSE,TRUE))</f>
        <v>0</v>
      </c>
      <c r="E3796" t="s">
        <v>436</v>
      </c>
      <c r="F3796" t="str">
        <f>INDEX(Lists!I:I,MATCH(Validation!E3796,Lists!G:G,0))</f>
        <v>Error</v>
      </c>
      <c r="G3796" t="str">
        <f>INDEX(Lists!H:H,MATCH(Validation!E3796,Lists!G:G,0))</f>
        <v>Amount must be rounded to the nearest dollar.</v>
      </c>
      <c r="H3796" s="16" t="str">
        <f t="shared" ca="1" si="402"/>
        <v/>
      </c>
      <c r="I3796" s="16" t="str">
        <f t="shared" ca="1" si="403"/>
        <v/>
      </c>
      <c r="J3796" s="17" t="str">
        <f t="shared" ca="1" si="404"/>
        <v/>
      </c>
    </row>
    <row r="3797" spans="1:10" x14ac:dyDescent="0.25">
      <c r="A3797" t="s">
        <v>656</v>
      </c>
      <c r="B3797" t="str">
        <f>ADDRESS(ROW('PAYG 1'!$B$20),COLUMN('PAYG 1'!$B$20),4)</f>
        <v>B20</v>
      </c>
      <c r="C3797" t="str">
        <f>ADDRESS(ROW('PAYG 1'!$D$20),COLUMN('PAYG 1'!$D$20),4)</f>
        <v>D20</v>
      </c>
      <c r="D3797" t="b" cm="1">
        <f t="array" aca="1" ref="D3797" ca="1">IF(INDIRECT("'"&amp;A3797&amp;"'!"&amp;B3797)="",FALSE,IF(TRUNC(INDIRECT("'"&amp;A3797&amp;"'!"&amp;B3797))=INDIRECT("'"&amp;A3797&amp;"'!"&amp;B3797),FALSE,TRUE))</f>
        <v>0</v>
      </c>
      <c r="E3797" t="s">
        <v>436</v>
      </c>
      <c r="F3797" t="str">
        <f>INDEX(Lists!I:I,MATCH(Validation!E3797,Lists!G:G,0))</f>
        <v>Error</v>
      </c>
      <c r="G3797" t="str">
        <f>INDEX(Lists!H:H,MATCH(Validation!E3797,Lists!G:G,0))</f>
        <v>Amount must be rounded to the nearest dollar.</v>
      </c>
      <c r="H3797" s="16" t="str">
        <f t="shared" ca="1" si="402"/>
        <v/>
      </c>
      <c r="I3797" s="16" t="str">
        <f t="shared" ca="1" si="403"/>
        <v/>
      </c>
      <c r="J3797" s="17" t="str">
        <f t="shared" ca="1" si="404"/>
        <v/>
      </c>
    </row>
    <row r="3798" spans="1:10" x14ac:dyDescent="0.25">
      <c r="A3798" t="s">
        <v>657</v>
      </c>
      <c r="B3798" t="str">
        <f>ADDRESS(ROW('PAYG 1'!$B$20),COLUMN('PAYG 1'!$B$20),4)</f>
        <v>B20</v>
      </c>
      <c r="C3798" t="str">
        <f>ADDRESS(ROW('PAYG 1'!$D$20),COLUMN('PAYG 1'!$D$20),4)</f>
        <v>D20</v>
      </c>
      <c r="D3798" t="b" cm="1">
        <f t="array" aca="1" ref="D3798" ca="1">IF(INDIRECT("'"&amp;A3798&amp;"'!"&amp;B3798)="",FALSE,IF(TRUNC(INDIRECT("'"&amp;A3798&amp;"'!"&amp;B3798))=INDIRECT("'"&amp;A3798&amp;"'!"&amp;B3798),FALSE,TRUE))</f>
        <v>0</v>
      </c>
      <c r="E3798" t="s">
        <v>436</v>
      </c>
      <c r="F3798" t="str">
        <f>INDEX(Lists!I:I,MATCH(Validation!E3798,Lists!G:G,0))</f>
        <v>Error</v>
      </c>
      <c r="G3798" t="str">
        <f>INDEX(Lists!H:H,MATCH(Validation!E3798,Lists!G:G,0))</f>
        <v>Amount must be rounded to the nearest dollar.</v>
      </c>
      <c r="H3798" s="16" t="str">
        <f t="shared" ca="1" si="402"/>
        <v/>
      </c>
      <c r="I3798" s="16" t="str">
        <f t="shared" ca="1" si="403"/>
        <v/>
      </c>
      <c r="J3798" s="17" t="str">
        <f t="shared" ca="1" si="404"/>
        <v/>
      </c>
    </row>
    <row r="3799" spans="1:10" x14ac:dyDescent="0.25">
      <c r="A3799" t="s">
        <v>658</v>
      </c>
      <c r="B3799" t="str">
        <f>ADDRESS(ROW('PAYG 1'!$B$20),COLUMN('PAYG 1'!$B$20),4)</f>
        <v>B20</v>
      </c>
      <c r="C3799" t="str">
        <f>ADDRESS(ROW('PAYG 1'!$D$20),COLUMN('PAYG 1'!$D$20),4)</f>
        <v>D20</v>
      </c>
      <c r="D3799" t="b" cm="1">
        <f t="array" aca="1" ref="D3799" ca="1">IF(INDIRECT("'"&amp;A3799&amp;"'!"&amp;B3799)="",FALSE,IF(TRUNC(INDIRECT("'"&amp;A3799&amp;"'!"&amp;B3799))=INDIRECT("'"&amp;A3799&amp;"'!"&amp;B3799),FALSE,TRUE))</f>
        <v>0</v>
      </c>
      <c r="E3799" t="s">
        <v>436</v>
      </c>
      <c r="F3799" t="str">
        <f>INDEX(Lists!I:I,MATCH(Validation!E3799,Lists!G:G,0))</f>
        <v>Error</v>
      </c>
      <c r="G3799" t="str">
        <f>INDEX(Lists!H:H,MATCH(Validation!E3799,Lists!G:G,0))</f>
        <v>Amount must be rounded to the nearest dollar.</v>
      </c>
      <c r="H3799" s="16" t="str">
        <f t="shared" ca="1" si="402"/>
        <v/>
      </c>
      <c r="I3799" s="16" t="str">
        <f t="shared" ca="1" si="403"/>
        <v/>
      </c>
      <c r="J3799" s="17" t="str">
        <f t="shared" ca="1" si="404"/>
        <v/>
      </c>
    </row>
    <row r="3800" spans="1:10" x14ac:dyDescent="0.25">
      <c r="A3800" t="s">
        <v>659</v>
      </c>
      <c r="B3800" t="str">
        <f>ADDRESS(ROW('PAYG 1'!$B$20),COLUMN('PAYG 1'!$B$20),4)</f>
        <v>B20</v>
      </c>
      <c r="C3800" t="str">
        <f>ADDRESS(ROW('PAYG 1'!$D$20),COLUMN('PAYG 1'!$D$20),4)</f>
        <v>D20</v>
      </c>
      <c r="D3800" t="b" cm="1">
        <f t="array" aca="1" ref="D3800" ca="1">IF(INDIRECT("'"&amp;A3800&amp;"'!"&amp;B3800)="",FALSE,IF(TRUNC(INDIRECT("'"&amp;A3800&amp;"'!"&amp;B3800))=INDIRECT("'"&amp;A3800&amp;"'!"&amp;B3800),FALSE,TRUE))</f>
        <v>0</v>
      </c>
      <c r="E3800" t="s">
        <v>436</v>
      </c>
      <c r="F3800" t="str">
        <f>INDEX(Lists!I:I,MATCH(Validation!E3800,Lists!G:G,0))</f>
        <v>Error</v>
      </c>
      <c r="G3800" t="str">
        <f>INDEX(Lists!H:H,MATCH(Validation!E3800,Lists!G:G,0))</f>
        <v>Amount must be rounded to the nearest dollar.</v>
      </c>
      <c r="H3800" s="16" t="str">
        <f t="shared" ca="1" si="402"/>
        <v/>
      </c>
      <c r="I3800" s="16" t="str">
        <f t="shared" ca="1" si="403"/>
        <v/>
      </c>
      <c r="J3800" s="17" t="str">
        <f t="shared" ca="1" si="404"/>
        <v/>
      </c>
    </row>
    <row r="3801" spans="1:10" x14ac:dyDescent="0.25">
      <c r="A3801" t="s">
        <v>660</v>
      </c>
      <c r="B3801" t="str">
        <f>ADDRESS(ROW('PAYG 1'!$B$20),COLUMN('PAYG 1'!$B$20),4)</f>
        <v>B20</v>
      </c>
      <c r="C3801" t="str">
        <f>ADDRESS(ROW('PAYG 1'!$D$20),COLUMN('PAYG 1'!$D$20),4)</f>
        <v>D20</v>
      </c>
      <c r="D3801" t="b" cm="1">
        <f t="array" aca="1" ref="D3801" ca="1">IF(INDIRECT("'"&amp;A3801&amp;"'!"&amp;B3801)="",FALSE,IF(TRUNC(INDIRECT("'"&amp;A3801&amp;"'!"&amp;B3801))=INDIRECT("'"&amp;A3801&amp;"'!"&amp;B3801),FALSE,TRUE))</f>
        <v>0</v>
      </c>
      <c r="E3801" t="s">
        <v>436</v>
      </c>
      <c r="F3801" t="str">
        <f>INDEX(Lists!I:I,MATCH(Validation!E3801,Lists!G:G,0))</f>
        <v>Error</v>
      </c>
      <c r="G3801" t="str">
        <f>INDEX(Lists!H:H,MATCH(Validation!E3801,Lists!G:G,0))</f>
        <v>Amount must be rounded to the nearest dollar.</v>
      </c>
      <c r="H3801" s="16" t="str">
        <f t="shared" ca="1" si="402"/>
        <v/>
      </c>
      <c r="I3801" s="16" t="str">
        <f t="shared" ca="1" si="403"/>
        <v/>
      </c>
      <c r="J3801" s="17" t="str">
        <f t="shared" ca="1" si="404"/>
        <v/>
      </c>
    </row>
    <row r="3802" spans="1:10" x14ac:dyDescent="0.25">
      <c r="A3802" t="s">
        <v>661</v>
      </c>
      <c r="B3802" t="str">
        <f>ADDRESS(ROW('PAYG 1'!$B$20),COLUMN('PAYG 1'!$B$20),4)</f>
        <v>B20</v>
      </c>
      <c r="C3802" t="str">
        <f>ADDRESS(ROW('PAYG 1'!$D$20),COLUMN('PAYG 1'!$D$20),4)</f>
        <v>D20</v>
      </c>
      <c r="D3802" t="b" cm="1">
        <f t="array" aca="1" ref="D3802" ca="1">IF(INDIRECT("'"&amp;A3802&amp;"'!"&amp;B3802)="",FALSE,IF(TRUNC(INDIRECT("'"&amp;A3802&amp;"'!"&amp;B3802))=INDIRECT("'"&amp;A3802&amp;"'!"&amp;B3802),FALSE,TRUE))</f>
        <v>0</v>
      </c>
      <c r="E3802" t="s">
        <v>436</v>
      </c>
      <c r="F3802" t="str">
        <f>INDEX(Lists!I:I,MATCH(Validation!E3802,Lists!G:G,0))</f>
        <v>Error</v>
      </c>
      <c r="G3802" t="str">
        <f>INDEX(Lists!H:H,MATCH(Validation!E3802,Lists!G:G,0))</f>
        <v>Amount must be rounded to the nearest dollar.</v>
      </c>
      <c r="H3802" s="16" t="str">
        <f t="shared" ca="1" si="402"/>
        <v/>
      </c>
      <c r="I3802" s="16" t="str">
        <f t="shared" ca="1" si="403"/>
        <v/>
      </c>
      <c r="J3802" s="17" t="str">
        <f t="shared" ca="1" si="404"/>
        <v/>
      </c>
    </row>
    <row r="3803" spans="1:10" x14ac:dyDescent="0.25">
      <c r="A3803" t="s">
        <v>662</v>
      </c>
      <c r="B3803" t="str">
        <f>ADDRESS(ROW('PAYG 1'!$B$20),COLUMN('PAYG 1'!$B$20),4)</f>
        <v>B20</v>
      </c>
      <c r="C3803" t="str">
        <f>ADDRESS(ROW('PAYG 1'!$D$20),COLUMN('PAYG 1'!$D$20),4)</f>
        <v>D20</v>
      </c>
      <c r="D3803" t="b" cm="1">
        <f t="array" aca="1" ref="D3803" ca="1">IF(INDIRECT("'"&amp;A3803&amp;"'!"&amp;B3803)="",FALSE,IF(TRUNC(INDIRECT("'"&amp;A3803&amp;"'!"&amp;B3803))=INDIRECT("'"&amp;A3803&amp;"'!"&amp;B3803),FALSE,TRUE))</f>
        <v>0</v>
      </c>
      <c r="E3803" t="s">
        <v>436</v>
      </c>
      <c r="F3803" t="str">
        <f>INDEX(Lists!I:I,MATCH(Validation!E3803,Lists!G:G,0))</f>
        <v>Error</v>
      </c>
      <c r="G3803" t="str">
        <f>INDEX(Lists!H:H,MATCH(Validation!E3803,Lists!G:G,0))</f>
        <v>Amount must be rounded to the nearest dollar.</v>
      </c>
      <c r="H3803" s="16" t="str">
        <f t="shared" ca="1" si="402"/>
        <v/>
      </c>
      <c r="I3803" s="16" t="str">
        <f t="shared" ca="1" si="403"/>
        <v/>
      </c>
      <c r="J3803" s="17" t="str">
        <f t="shared" ca="1" si="404"/>
        <v/>
      </c>
    </row>
    <row r="3804" spans="1:10" x14ac:dyDescent="0.25">
      <c r="A3804" t="s">
        <v>663</v>
      </c>
      <c r="B3804" t="str">
        <f>ADDRESS(ROW('PAYG 1'!$B$20),COLUMN('PAYG 1'!$B$20),4)</f>
        <v>B20</v>
      </c>
      <c r="C3804" t="str">
        <f>ADDRESS(ROW('PAYG 1'!$D$20),COLUMN('PAYG 1'!$D$20),4)</f>
        <v>D20</v>
      </c>
      <c r="D3804" t="b" cm="1">
        <f t="array" aca="1" ref="D3804" ca="1">IF(INDIRECT("'"&amp;A3804&amp;"'!"&amp;B3804)="",FALSE,IF(TRUNC(INDIRECT("'"&amp;A3804&amp;"'!"&amp;B3804))=INDIRECT("'"&amp;A3804&amp;"'!"&amp;B3804),FALSE,TRUE))</f>
        <v>0</v>
      </c>
      <c r="E3804" t="s">
        <v>436</v>
      </c>
      <c r="F3804" t="str">
        <f>INDEX(Lists!I:I,MATCH(Validation!E3804,Lists!G:G,0))</f>
        <v>Error</v>
      </c>
      <c r="G3804" t="str">
        <f>INDEX(Lists!H:H,MATCH(Validation!E3804,Lists!G:G,0))</f>
        <v>Amount must be rounded to the nearest dollar.</v>
      </c>
      <c r="H3804" s="16" t="str">
        <f t="shared" ca="1" si="402"/>
        <v/>
      </c>
      <c r="I3804" s="16" t="str">
        <f t="shared" ca="1" si="403"/>
        <v/>
      </c>
      <c r="J3804" s="17" t="str">
        <f t="shared" ca="1" si="404"/>
        <v/>
      </c>
    </row>
    <row r="3805" spans="1:10" x14ac:dyDescent="0.25">
      <c r="A3805" t="s">
        <v>664</v>
      </c>
      <c r="B3805" t="str">
        <f>ADDRESS(ROW('PAYG 1'!$B$20),COLUMN('PAYG 1'!$B$20),4)</f>
        <v>B20</v>
      </c>
      <c r="C3805" t="str">
        <f>ADDRESS(ROW('PAYG 1'!$D$20),COLUMN('PAYG 1'!$D$20),4)</f>
        <v>D20</v>
      </c>
      <c r="D3805" t="b" cm="1">
        <f t="array" aca="1" ref="D3805" ca="1">IF(INDIRECT("'"&amp;A3805&amp;"'!"&amp;B3805)="",FALSE,IF(TRUNC(INDIRECT("'"&amp;A3805&amp;"'!"&amp;B3805))=INDIRECT("'"&amp;A3805&amp;"'!"&amp;B3805),FALSE,TRUE))</f>
        <v>0</v>
      </c>
      <c r="E3805" t="s">
        <v>436</v>
      </c>
      <c r="F3805" t="str">
        <f>INDEX(Lists!I:I,MATCH(Validation!E3805,Lists!G:G,0))</f>
        <v>Error</v>
      </c>
      <c r="G3805" t="str">
        <f>INDEX(Lists!H:H,MATCH(Validation!E3805,Lists!G:G,0))</f>
        <v>Amount must be rounded to the nearest dollar.</v>
      </c>
      <c r="H3805" s="16" t="str">
        <f t="shared" ca="1" si="402"/>
        <v/>
      </c>
      <c r="I3805" s="16" t="str">
        <f t="shared" ca="1" si="403"/>
        <v/>
      </c>
      <c r="J3805" s="17" t="str">
        <f t="shared" ca="1" si="404"/>
        <v/>
      </c>
    </row>
    <row r="3806" spans="1:10" x14ac:dyDescent="0.25">
      <c r="A3806" t="s">
        <v>203</v>
      </c>
      <c r="B3806" t="str">
        <f>ADDRESS(ROW('PAYG 1'!$C$20),COLUMN('PAYG 1'!$C$20),4)</f>
        <v>C20</v>
      </c>
      <c r="C3806" t="str">
        <f>ADDRESS(ROW('PAYG 1'!$D$20),COLUMN('PAYG 1'!$D$20),4)</f>
        <v>D20</v>
      </c>
      <c r="D3806" t="b" cm="1">
        <f t="array" aca="1" ref="D3806" ca="1">IF(INDIRECT("'"&amp;A3806&amp;"'!"&amp;B3806)="",FALSE,IF(NOT(ISNUMBER(INDIRECT("'"&amp;A3806&amp;"'!"&amp;B3806))),TRUE,FALSE))</f>
        <v>0</v>
      </c>
      <c r="E3806" t="s">
        <v>435</v>
      </c>
      <c r="F3806" t="str">
        <f>INDEX(Lists!I:I,MATCH(Validation!E3806,Lists!G:G,0))</f>
        <v>Error</v>
      </c>
      <c r="G3806" t="str">
        <f>INDEX(Lists!H:H,MATCH(Validation!E3806,Lists!G:G,0))</f>
        <v>Enter an amount only. Do not enter text or spaces.</v>
      </c>
      <c r="H3806" s="16" t="str">
        <f t="shared" ref="H3806:H3850" ca="1" si="405">IFERROR(IF(OR(NOT(D3806),F3806&lt;&gt;"Error"),"",A3806&amp;CELL("address",INDIRECT(B3806))),"")</f>
        <v/>
      </c>
      <c r="I3806" s="16" t="str">
        <f t="shared" ref="I3806:I3850" ca="1" si="406">IFERROR(IF(NOT(D3806),"",A3806&amp;CELL("address",INDIRECT(C3806))),"")</f>
        <v/>
      </c>
      <c r="J3806" s="17" t="str">
        <f t="shared" ref="J3806:J3850" ca="1" si="407">IFERROR(IF(NOT(D3806),"",A3806),"")</f>
        <v/>
      </c>
    </row>
    <row r="3807" spans="1:10" x14ac:dyDescent="0.25">
      <c r="A3807" t="s">
        <v>651</v>
      </c>
      <c r="B3807" t="str">
        <f>ADDRESS(ROW('PAYG 1'!$C$20),COLUMN('PAYG 1'!$C$20),4)</f>
        <v>C20</v>
      </c>
      <c r="C3807" t="str">
        <f>ADDRESS(ROW('PAYG 1'!$D$20),COLUMN('PAYG 1'!$D$20),4)</f>
        <v>D20</v>
      </c>
      <c r="D3807" t="b" cm="1">
        <f t="array" aca="1" ref="D3807" ca="1">IF(INDIRECT("'"&amp;A3807&amp;"'!"&amp;B3807)="",FALSE,IF(NOT(ISNUMBER(INDIRECT("'"&amp;A3807&amp;"'!"&amp;B3807))),TRUE,FALSE))</f>
        <v>0</v>
      </c>
      <c r="E3807" t="s">
        <v>435</v>
      </c>
      <c r="F3807" t="str">
        <f>INDEX(Lists!I:I,MATCH(Validation!E3807,Lists!G:G,0))</f>
        <v>Error</v>
      </c>
      <c r="G3807" t="str">
        <f>INDEX(Lists!H:H,MATCH(Validation!E3807,Lists!G:G,0))</f>
        <v>Enter an amount only. Do not enter text or spaces.</v>
      </c>
      <c r="H3807" s="16" t="str">
        <f t="shared" ca="1" si="405"/>
        <v/>
      </c>
      <c r="I3807" s="16" t="str">
        <f t="shared" ca="1" si="406"/>
        <v/>
      </c>
      <c r="J3807" s="17" t="str">
        <f t="shared" ca="1" si="407"/>
        <v/>
      </c>
    </row>
    <row r="3808" spans="1:10" x14ac:dyDescent="0.25">
      <c r="A3808" t="s">
        <v>652</v>
      </c>
      <c r="B3808" t="str">
        <f>ADDRESS(ROW('PAYG 1'!$C$20),COLUMN('PAYG 1'!$C$20),4)</f>
        <v>C20</v>
      </c>
      <c r="C3808" t="str">
        <f>ADDRESS(ROW('PAYG 1'!$D$20),COLUMN('PAYG 1'!$D$20),4)</f>
        <v>D20</v>
      </c>
      <c r="D3808" t="b" cm="1">
        <f t="array" aca="1" ref="D3808" ca="1">IF(INDIRECT("'"&amp;A3808&amp;"'!"&amp;B3808)="",FALSE,IF(NOT(ISNUMBER(INDIRECT("'"&amp;A3808&amp;"'!"&amp;B3808))),TRUE,FALSE))</f>
        <v>0</v>
      </c>
      <c r="E3808" t="s">
        <v>435</v>
      </c>
      <c r="F3808" t="str">
        <f>INDEX(Lists!I:I,MATCH(Validation!E3808,Lists!G:G,0))</f>
        <v>Error</v>
      </c>
      <c r="G3808" t="str">
        <f>INDEX(Lists!H:H,MATCH(Validation!E3808,Lists!G:G,0))</f>
        <v>Enter an amount only. Do not enter text or spaces.</v>
      </c>
      <c r="H3808" s="16" t="str">
        <f t="shared" ca="1" si="405"/>
        <v/>
      </c>
      <c r="I3808" s="16" t="str">
        <f t="shared" ca="1" si="406"/>
        <v/>
      </c>
      <c r="J3808" s="17" t="str">
        <f t="shared" ca="1" si="407"/>
        <v/>
      </c>
    </row>
    <row r="3809" spans="1:10" x14ac:dyDescent="0.25">
      <c r="A3809" t="s">
        <v>653</v>
      </c>
      <c r="B3809" t="str">
        <f>ADDRESS(ROW('PAYG 1'!$C$20),COLUMN('PAYG 1'!$C$20),4)</f>
        <v>C20</v>
      </c>
      <c r="C3809" t="str">
        <f>ADDRESS(ROW('PAYG 1'!$D$20),COLUMN('PAYG 1'!$D$20),4)</f>
        <v>D20</v>
      </c>
      <c r="D3809" t="b" cm="1">
        <f t="array" aca="1" ref="D3809" ca="1">IF(INDIRECT("'"&amp;A3809&amp;"'!"&amp;B3809)="",FALSE,IF(NOT(ISNUMBER(INDIRECT("'"&amp;A3809&amp;"'!"&amp;B3809))),TRUE,FALSE))</f>
        <v>0</v>
      </c>
      <c r="E3809" t="s">
        <v>435</v>
      </c>
      <c r="F3809" t="str">
        <f>INDEX(Lists!I:I,MATCH(Validation!E3809,Lists!G:G,0))</f>
        <v>Error</v>
      </c>
      <c r="G3809" t="str">
        <f>INDEX(Lists!H:H,MATCH(Validation!E3809,Lists!G:G,0))</f>
        <v>Enter an amount only. Do not enter text or spaces.</v>
      </c>
      <c r="H3809" s="16" t="str">
        <f t="shared" ca="1" si="405"/>
        <v/>
      </c>
      <c r="I3809" s="16" t="str">
        <f t="shared" ca="1" si="406"/>
        <v/>
      </c>
      <c r="J3809" s="17" t="str">
        <f t="shared" ca="1" si="407"/>
        <v/>
      </c>
    </row>
    <row r="3810" spans="1:10" x14ac:dyDescent="0.25">
      <c r="A3810" t="s">
        <v>654</v>
      </c>
      <c r="B3810" t="str">
        <f>ADDRESS(ROW('PAYG 1'!$C$20),COLUMN('PAYG 1'!$C$20),4)</f>
        <v>C20</v>
      </c>
      <c r="C3810" t="str">
        <f>ADDRESS(ROW('PAYG 1'!$D$20),COLUMN('PAYG 1'!$D$20),4)</f>
        <v>D20</v>
      </c>
      <c r="D3810" t="b" cm="1">
        <f t="array" aca="1" ref="D3810" ca="1">IF(INDIRECT("'"&amp;A3810&amp;"'!"&amp;B3810)="",FALSE,IF(NOT(ISNUMBER(INDIRECT("'"&amp;A3810&amp;"'!"&amp;B3810))),TRUE,FALSE))</f>
        <v>0</v>
      </c>
      <c r="E3810" t="s">
        <v>435</v>
      </c>
      <c r="F3810" t="str">
        <f>INDEX(Lists!I:I,MATCH(Validation!E3810,Lists!G:G,0))</f>
        <v>Error</v>
      </c>
      <c r="G3810" t="str">
        <f>INDEX(Lists!H:H,MATCH(Validation!E3810,Lists!G:G,0))</f>
        <v>Enter an amount only. Do not enter text or spaces.</v>
      </c>
      <c r="H3810" s="16" t="str">
        <f t="shared" ca="1" si="405"/>
        <v/>
      </c>
      <c r="I3810" s="16" t="str">
        <f t="shared" ca="1" si="406"/>
        <v/>
      </c>
      <c r="J3810" s="17" t="str">
        <f t="shared" ca="1" si="407"/>
        <v/>
      </c>
    </row>
    <row r="3811" spans="1:10" x14ac:dyDescent="0.25">
      <c r="A3811" t="s">
        <v>655</v>
      </c>
      <c r="B3811" t="str">
        <f>ADDRESS(ROW('PAYG 1'!$C$20),COLUMN('PAYG 1'!$C$20),4)</f>
        <v>C20</v>
      </c>
      <c r="C3811" t="str">
        <f>ADDRESS(ROW('PAYG 1'!$D$20),COLUMN('PAYG 1'!$D$20),4)</f>
        <v>D20</v>
      </c>
      <c r="D3811" t="b" cm="1">
        <f t="array" aca="1" ref="D3811" ca="1">IF(INDIRECT("'"&amp;A3811&amp;"'!"&amp;B3811)="",FALSE,IF(NOT(ISNUMBER(INDIRECT("'"&amp;A3811&amp;"'!"&amp;B3811))),TRUE,FALSE))</f>
        <v>0</v>
      </c>
      <c r="E3811" t="s">
        <v>435</v>
      </c>
      <c r="F3811" t="str">
        <f>INDEX(Lists!I:I,MATCH(Validation!E3811,Lists!G:G,0))</f>
        <v>Error</v>
      </c>
      <c r="G3811" t="str">
        <f>INDEX(Lists!H:H,MATCH(Validation!E3811,Lists!G:G,0))</f>
        <v>Enter an amount only. Do not enter text or spaces.</v>
      </c>
      <c r="H3811" s="16" t="str">
        <f t="shared" ca="1" si="405"/>
        <v/>
      </c>
      <c r="I3811" s="16" t="str">
        <f t="shared" ca="1" si="406"/>
        <v/>
      </c>
      <c r="J3811" s="17" t="str">
        <f t="shared" ca="1" si="407"/>
        <v/>
      </c>
    </row>
    <row r="3812" spans="1:10" x14ac:dyDescent="0.25">
      <c r="A3812" t="s">
        <v>656</v>
      </c>
      <c r="B3812" t="str">
        <f>ADDRESS(ROW('PAYG 1'!$C$20),COLUMN('PAYG 1'!$C$20),4)</f>
        <v>C20</v>
      </c>
      <c r="C3812" t="str">
        <f>ADDRESS(ROW('PAYG 1'!$D$20),COLUMN('PAYG 1'!$D$20),4)</f>
        <v>D20</v>
      </c>
      <c r="D3812" t="b" cm="1">
        <f t="array" aca="1" ref="D3812" ca="1">IF(INDIRECT("'"&amp;A3812&amp;"'!"&amp;B3812)="",FALSE,IF(NOT(ISNUMBER(INDIRECT("'"&amp;A3812&amp;"'!"&amp;B3812))),TRUE,FALSE))</f>
        <v>0</v>
      </c>
      <c r="E3812" t="s">
        <v>435</v>
      </c>
      <c r="F3812" t="str">
        <f>INDEX(Lists!I:I,MATCH(Validation!E3812,Lists!G:G,0))</f>
        <v>Error</v>
      </c>
      <c r="G3812" t="str">
        <f>INDEX(Lists!H:H,MATCH(Validation!E3812,Lists!G:G,0))</f>
        <v>Enter an amount only. Do not enter text or spaces.</v>
      </c>
      <c r="H3812" s="16" t="str">
        <f t="shared" ca="1" si="405"/>
        <v/>
      </c>
      <c r="I3812" s="16" t="str">
        <f t="shared" ca="1" si="406"/>
        <v/>
      </c>
      <c r="J3812" s="17" t="str">
        <f t="shared" ca="1" si="407"/>
        <v/>
      </c>
    </row>
    <row r="3813" spans="1:10" x14ac:dyDescent="0.25">
      <c r="A3813" t="s">
        <v>657</v>
      </c>
      <c r="B3813" t="str">
        <f>ADDRESS(ROW('PAYG 1'!$C$20),COLUMN('PAYG 1'!$C$20),4)</f>
        <v>C20</v>
      </c>
      <c r="C3813" t="str">
        <f>ADDRESS(ROW('PAYG 1'!$D$20),COLUMN('PAYG 1'!$D$20),4)</f>
        <v>D20</v>
      </c>
      <c r="D3813" t="b" cm="1">
        <f t="array" aca="1" ref="D3813" ca="1">IF(INDIRECT("'"&amp;A3813&amp;"'!"&amp;B3813)="",FALSE,IF(NOT(ISNUMBER(INDIRECT("'"&amp;A3813&amp;"'!"&amp;B3813))),TRUE,FALSE))</f>
        <v>0</v>
      </c>
      <c r="E3813" t="s">
        <v>435</v>
      </c>
      <c r="F3813" t="str">
        <f>INDEX(Lists!I:I,MATCH(Validation!E3813,Lists!G:G,0))</f>
        <v>Error</v>
      </c>
      <c r="G3813" t="str">
        <f>INDEX(Lists!H:H,MATCH(Validation!E3813,Lists!G:G,0))</f>
        <v>Enter an amount only. Do not enter text or spaces.</v>
      </c>
      <c r="H3813" s="16" t="str">
        <f t="shared" ca="1" si="405"/>
        <v/>
      </c>
      <c r="I3813" s="16" t="str">
        <f t="shared" ca="1" si="406"/>
        <v/>
      </c>
      <c r="J3813" s="17" t="str">
        <f t="shared" ca="1" si="407"/>
        <v/>
      </c>
    </row>
    <row r="3814" spans="1:10" x14ac:dyDescent="0.25">
      <c r="A3814" t="s">
        <v>658</v>
      </c>
      <c r="B3814" t="str">
        <f>ADDRESS(ROW('PAYG 1'!$C$20),COLUMN('PAYG 1'!$C$20),4)</f>
        <v>C20</v>
      </c>
      <c r="C3814" t="str">
        <f>ADDRESS(ROW('PAYG 1'!$D$20),COLUMN('PAYG 1'!$D$20),4)</f>
        <v>D20</v>
      </c>
      <c r="D3814" t="b" cm="1">
        <f t="array" aca="1" ref="D3814" ca="1">IF(INDIRECT("'"&amp;A3814&amp;"'!"&amp;B3814)="",FALSE,IF(NOT(ISNUMBER(INDIRECT("'"&amp;A3814&amp;"'!"&amp;B3814))),TRUE,FALSE))</f>
        <v>0</v>
      </c>
      <c r="E3814" t="s">
        <v>435</v>
      </c>
      <c r="F3814" t="str">
        <f>INDEX(Lists!I:I,MATCH(Validation!E3814,Lists!G:G,0))</f>
        <v>Error</v>
      </c>
      <c r="G3814" t="str">
        <f>INDEX(Lists!H:H,MATCH(Validation!E3814,Lists!G:G,0))</f>
        <v>Enter an amount only. Do not enter text or spaces.</v>
      </c>
      <c r="H3814" s="16" t="str">
        <f t="shared" ca="1" si="405"/>
        <v/>
      </c>
      <c r="I3814" s="16" t="str">
        <f t="shared" ca="1" si="406"/>
        <v/>
      </c>
      <c r="J3814" s="17" t="str">
        <f t="shared" ca="1" si="407"/>
        <v/>
      </c>
    </row>
    <row r="3815" spans="1:10" x14ac:dyDescent="0.25">
      <c r="A3815" t="s">
        <v>659</v>
      </c>
      <c r="B3815" t="str">
        <f>ADDRESS(ROW('PAYG 1'!$C$20),COLUMN('PAYG 1'!$C$20),4)</f>
        <v>C20</v>
      </c>
      <c r="C3815" t="str">
        <f>ADDRESS(ROW('PAYG 1'!$D$20),COLUMN('PAYG 1'!$D$20),4)</f>
        <v>D20</v>
      </c>
      <c r="D3815" t="b" cm="1">
        <f t="array" aca="1" ref="D3815" ca="1">IF(INDIRECT("'"&amp;A3815&amp;"'!"&amp;B3815)="",FALSE,IF(NOT(ISNUMBER(INDIRECT("'"&amp;A3815&amp;"'!"&amp;B3815))),TRUE,FALSE))</f>
        <v>0</v>
      </c>
      <c r="E3815" t="s">
        <v>435</v>
      </c>
      <c r="F3815" t="str">
        <f>INDEX(Lists!I:I,MATCH(Validation!E3815,Lists!G:G,0))</f>
        <v>Error</v>
      </c>
      <c r="G3815" t="str">
        <f>INDEX(Lists!H:H,MATCH(Validation!E3815,Lists!G:G,0))</f>
        <v>Enter an amount only. Do not enter text or spaces.</v>
      </c>
      <c r="H3815" s="16" t="str">
        <f t="shared" ca="1" si="405"/>
        <v/>
      </c>
      <c r="I3815" s="16" t="str">
        <f t="shared" ca="1" si="406"/>
        <v/>
      </c>
      <c r="J3815" s="17" t="str">
        <f t="shared" ca="1" si="407"/>
        <v/>
      </c>
    </row>
    <row r="3816" spans="1:10" x14ac:dyDescent="0.25">
      <c r="A3816" t="s">
        <v>660</v>
      </c>
      <c r="B3816" t="str">
        <f>ADDRESS(ROW('PAYG 1'!$C$20),COLUMN('PAYG 1'!$C$20),4)</f>
        <v>C20</v>
      </c>
      <c r="C3816" t="str">
        <f>ADDRESS(ROW('PAYG 1'!$D$20),COLUMN('PAYG 1'!$D$20),4)</f>
        <v>D20</v>
      </c>
      <c r="D3816" t="b" cm="1">
        <f t="array" aca="1" ref="D3816" ca="1">IF(INDIRECT("'"&amp;A3816&amp;"'!"&amp;B3816)="",FALSE,IF(NOT(ISNUMBER(INDIRECT("'"&amp;A3816&amp;"'!"&amp;B3816))),TRUE,FALSE))</f>
        <v>0</v>
      </c>
      <c r="E3816" t="s">
        <v>435</v>
      </c>
      <c r="F3816" t="str">
        <f>INDEX(Lists!I:I,MATCH(Validation!E3816,Lists!G:G,0))</f>
        <v>Error</v>
      </c>
      <c r="G3816" t="str">
        <f>INDEX(Lists!H:H,MATCH(Validation!E3816,Lists!G:G,0))</f>
        <v>Enter an amount only. Do not enter text or spaces.</v>
      </c>
      <c r="H3816" s="16" t="str">
        <f t="shared" ca="1" si="405"/>
        <v/>
      </c>
      <c r="I3816" s="16" t="str">
        <f t="shared" ca="1" si="406"/>
        <v/>
      </c>
      <c r="J3816" s="17" t="str">
        <f t="shared" ca="1" si="407"/>
        <v/>
      </c>
    </row>
    <row r="3817" spans="1:10" x14ac:dyDescent="0.25">
      <c r="A3817" t="s">
        <v>661</v>
      </c>
      <c r="B3817" t="str">
        <f>ADDRESS(ROW('PAYG 1'!$C$20),COLUMN('PAYG 1'!$C$20),4)</f>
        <v>C20</v>
      </c>
      <c r="C3817" t="str">
        <f>ADDRESS(ROW('PAYG 1'!$D$20),COLUMN('PAYG 1'!$D$20),4)</f>
        <v>D20</v>
      </c>
      <c r="D3817" t="b" cm="1">
        <f t="array" aca="1" ref="D3817" ca="1">IF(INDIRECT("'"&amp;A3817&amp;"'!"&amp;B3817)="",FALSE,IF(NOT(ISNUMBER(INDIRECT("'"&amp;A3817&amp;"'!"&amp;B3817))),TRUE,FALSE))</f>
        <v>0</v>
      </c>
      <c r="E3817" t="s">
        <v>435</v>
      </c>
      <c r="F3817" t="str">
        <f>INDEX(Lists!I:I,MATCH(Validation!E3817,Lists!G:G,0))</f>
        <v>Error</v>
      </c>
      <c r="G3817" t="str">
        <f>INDEX(Lists!H:H,MATCH(Validation!E3817,Lists!G:G,0))</f>
        <v>Enter an amount only. Do not enter text or spaces.</v>
      </c>
      <c r="H3817" s="16" t="str">
        <f t="shared" ca="1" si="405"/>
        <v/>
      </c>
      <c r="I3817" s="16" t="str">
        <f t="shared" ca="1" si="406"/>
        <v/>
      </c>
      <c r="J3817" s="17" t="str">
        <f t="shared" ca="1" si="407"/>
        <v/>
      </c>
    </row>
    <row r="3818" spans="1:10" x14ac:dyDescent="0.25">
      <c r="A3818" t="s">
        <v>662</v>
      </c>
      <c r="B3818" t="str">
        <f>ADDRESS(ROW('PAYG 1'!$C$20),COLUMN('PAYG 1'!$C$20),4)</f>
        <v>C20</v>
      </c>
      <c r="C3818" t="str">
        <f>ADDRESS(ROW('PAYG 1'!$D$20),COLUMN('PAYG 1'!$D$20),4)</f>
        <v>D20</v>
      </c>
      <c r="D3818" t="b" cm="1">
        <f t="array" aca="1" ref="D3818" ca="1">IF(INDIRECT("'"&amp;A3818&amp;"'!"&amp;B3818)="",FALSE,IF(NOT(ISNUMBER(INDIRECT("'"&amp;A3818&amp;"'!"&amp;B3818))),TRUE,FALSE))</f>
        <v>0</v>
      </c>
      <c r="E3818" t="s">
        <v>435</v>
      </c>
      <c r="F3818" t="str">
        <f>INDEX(Lists!I:I,MATCH(Validation!E3818,Lists!G:G,0))</f>
        <v>Error</v>
      </c>
      <c r="G3818" t="str">
        <f>INDEX(Lists!H:H,MATCH(Validation!E3818,Lists!G:G,0))</f>
        <v>Enter an amount only. Do not enter text or spaces.</v>
      </c>
      <c r="H3818" s="16" t="str">
        <f t="shared" ca="1" si="405"/>
        <v/>
      </c>
      <c r="I3818" s="16" t="str">
        <f t="shared" ca="1" si="406"/>
        <v/>
      </c>
      <c r="J3818" s="17" t="str">
        <f t="shared" ca="1" si="407"/>
        <v/>
      </c>
    </row>
    <row r="3819" spans="1:10" x14ac:dyDescent="0.25">
      <c r="A3819" t="s">
        <v>663</v>
      </c>
      <c r="B3819" t="str">
        <f>ADDRESS(ROW('PAYG 1'!$C$20),COLUMN('PAYG 1'!$C$20),4)</f>
        <v>C20</v>
      </c>
      <c r="C3819" t="str">
        <f>ADDRESS(ROW('PAYG 1'!$D$20),COLUMN('PAYG 1'!$D$20),4)</f>
        <v>D20</v>
      </c>
      <c r="D3819" t="b" cm="1">
        <f t="array" aca="1" ref="D3819" ca="1">IF(INDIRECT("'"&amp;A3819&amp;"'!"&amp;B3819)="",FALSE,IF(NOT(ISNUMBER(INDIRECT("'"&amp;A3819&amp;"'!"&amp;B3819))),TRUE,FALSE))</f>
        <v>0</v>
      </c>
      <c r="E3819" t="s">
        <v>435</v>
      </c>
      <c r="F3819" t="str">
        <f>INDEX(Lists!I:I,MATCH(Validation!E3819,Lists!G:G,0))</f>
        <v>Error</v>
      </c>
      <c r="G3819" t="str">
        <f>INDEX(Lists!H:H,MATCH(Validation!E3819,Lists!G:G,0))</f>
        <v>Enter an amount only. Do not enter text or spaces.</v>
      </c>
      <c r="H3819" s="16" t="str">
        <f t="shared" ca="1" si="405"/>
        <v/>
      </c>
      <c r="I3819" s="16" t="str">
        <f t="shared" ca="1" si="406"/>
        <v/>
      </c>
      <c r="J3819" s="17" t="str">
        <f t="shared" ca="1" si="407"/>
        <v/>
      </c>
    </row>
    <row r="3820" spans="1:10" x14ac:dyDescent="0.25">
      <c r="A3820" t="s">
        <v>664</v>
      </c>
      <c r="B3820" t="str">
        <f>ADDRESS(ROW('PAYG 1'!$C$20),COLUMN('PAYG 1'!$C$20),4)</f>
        <v>C20</v>
      </c>
      <c r="C3820" t="str">
        <f>ADDRESS(ROW('PAYG 1'!$D$20),COLUMN('PAYG 1'!$D$20),4)</f>
        <v>D20</v>
      </c>
      <c r="D3820" t="b" cm="1">
        <f t="array" aca="1" ref="D3820" ca="1">IF(INDIRECT("'"&amp;A3820&amp;"'!"&amp;B3820)="",FALSE,IF(NOT(ISNUMBER(INDIRECT("'"&amp;A3820&amp;"'!"&amp;B3820))),TRUE,FALSE))</f>
        <v>0</v>
      </c>
      <c r="E3820" t="s">
        <v>435</v>
      </c>
      <c r="F3820" t="str">
        <f>INDEX(Lists!I:I,MATCH(Validation!E3820,Lists!G:G,0))</f>
        <v>Error</v>
      </c>
      <c r="G3820" t="str">
        <f>INDEX(Lists!H:H,MATCH(Validation!E3820,Lists!G:G,0))</f>
        <v>Enter an amount only. Do not enter text or spaces.</v>
      </c>
      <c r="H3820" s="16" t="str">
        <f t="shared" ca="1" si="405"/>
        <v/>
      </c>
      <c r="I3820" s="16" t="str">
        <f t="shared" ca="1" si="406"/>
        <v/>
      </c>
      <c r="J3820" s="17" t="str">
        <f t="shared" ca="1" si="407"/>
        <v/>
      </c>
    </row>
    <row r="3821" spans="1:10" x14ac:dyDescent="0.25">
      <c r="A3821" t="s">
        <v>203</v>
      </c>
      <c r="B3821" t="str">
        <f>ADDRESS(ROW('PAYG 1'!$C$20),COLUMN('PAYG 1'!$C$20),4)</f>
        <v>C20</v>
      </c>
      <c r="C3821" t="str">
        <f>ADDRESS(ROW('PAYG 1'!$D$20),COLUMN('PAYG 1'!$D$20),4)</f>
        <v>D20</v>
      </c>
      <c r="D3821" t="b" cm="1">
        <f t="array" aca="1" ref="D3821" ca="1">IF(INDIRECT("'"&amp;A3821&amp;"'!"&amp;B3821)="",FALSE,IF(INDIRECT("'"&amp;A3821&amp;"'!"&amp;B3821)&lt;0,TRUE,FALSE))</f>
        <v>0</v>
      </c>
      <c r="E3821" t="s">
        <v>434</v>
      </c>
      <c r="F3821" t="str">
        <f>INDEX(Lists!I:I,MATCH(Validation!E3821,Lists!G:G,0))</f>
        <v>Error</v>
      </c>
      <c r="G3821" t="str">
        <f>INDEX(Lists!H:H,MATCH(Validation!E3821,Lists!G:G,0))</f>
        <v>Amount may not be negative. Enter an amount greater than or equal to zero.</v>
      </c>
      <c r="H3821" s="16" t="str">
        <f t="shared" ca="1" si="405"/>
        <v/>
      </c>
      <c r="I3821" s="16" t="str">
        <f t="shared" ca="1" si="406"/>
        <v/>
      </c>
      <c r="J3821" s="17" t="str">
        <f t="shared" ca="1" si="407"/>
        <v/>
      </c>
    </row>
    <row r="3822" spans="1:10" x14ac:dyDescent="0.25">
      <c r="A3822" t="s">
        <v>651</v>
      </c>
      <c r="B3822" t="str">
        <f>ADDRESS(ROW('PAYG 1'!$C$20),COLUMN('PAYG 1'!$C$20),4)</f>
        <v>C20</v>
      </c>
      <c r="C3822" t="str">
        <f>ADDRESS(ROW('PAYG 1'!$D$20),COLUMN('PAYG 1'!$D$20),4)</f>
        <v>D20</v>
      </c>
      <c r="D3822" t="b" cm="1">
        <f t="array" aca="1" ref="D3822" ca="1">IF(INDIRECT("'"&amp;A3822&amp;"'!"&amp;B3822)="",FALSE,IF(INDIRECT("'"&amp;A3822&amp;"'!"&amp;B3822)&lt;0,TRUE,FALSE))</f>
        <v>0</v>
      </c>
      <c r="E3822" t="s">
        <v>434</v>
      </c>
      <c r="F3822" t="str">
        <f>INDEX(Lists!I:I,MATCH(Validation!E3822,Lists!G:G,0))</f>
        <v>Error</v>
      </c>
      <c r="G3822" t="str">
        <f>INDEX(Lists!H:H,MATCH(Validation!E3822,Lists!G:G,0))</f>
        <v>Amount may not be negative. Enter an amount greater than or equal to zero.</v>
      </c>
      <c r="H3822" s="16" t="str">
        <f t="shared" ca="1" si="405"/>
        <v/>
      </c>
      <c r="I3822" s="16" t="str">
        <f t="shared" ca="1" si="406"/>
        <v/>
      </c>
      <c r="J3822" s="17" t="str">
        <f t="shared" ca="1" si="407"/>
        <v/>
      </c>
    </row>
    <row r="3823" spans="1:10" x14ac:dyDescent="0.25">
      <c r="A3823" t="s">
        <v>652</v>
      </c>
      <c r="B3823" t="str">
        <f>ADDRESS(ROW('PAYG 1'!$C$20),COLUMN('PAYG 1'!$C$20),4)</f>
        <v>C20</v>
      </c>
      <c r="C3823" t="str">
        <f>ADDRESS(ROW('PAYG 1'!$D$20),COLUMN('PAYG 1'!$D$20),4)</f>
        <v>D20</v>
      </c>
      <c r="D3823" t="b" cm="1">
        <f t="array" aca="1" ref="D3823" ca="1">IF(INDIRECT("'"&amp;A3823&amp;"'!"&amp;B3823)="",FALSE,IF(INDIRECT("'"&amp;A3823&amp;"'!"&amp;B3823)&lt;0,TRUE,FALSE))</f>
        <v>0</v>
      </c>
      <c r="E3823" t="s">
        <v>434</v>
      </c>
      <c r="F3823" t="str">
        <f>INDEX(Lists!I:I,MATCH(Validation!E3823,Lists!G:G,0))</f>
        <v>Error</v>
      </c>
      <c r="G3823" t="str">
        <f>INDEX(Lists!H:H,MATCH(Validation!E3823,Lists!G:G,0))</f>
        <v>Amount may not be negative. Enter an amount greater than or equal to zero.</v>
      </c>
      <c r="H3823" s="16" t="str">
        <f t="shared" ca="1" si="405"/>
        <v/>
      </c>
      <c r="I3823" s="16" t="str">
        <f t="shared" ca="1" si="406"/>
        <v/>
      </c>
      <c r="J3823" s="17" t="str">
        <f t="shared" ca="1" si="407"/>
        <v/>
      </c>
    </row>
    <row r="3824" spans="1:10" x14ac:dyDescent="0.25">
      <c r="A3824" t="s">
        <v>653</v>
      </c>
      <c r="B3824" t="str">
        <f>ADDRESS(ROW('PAYG 1'!$C$20),COLUMN('PAYG 1'!$C$20),4)</f>
        <v>C20</v>
      </c>
      <c r="C3824" t="str">
        <f>ADDRESS(ROW('PAYG 1'!$D$20),COLUMN('PAYG 1'!$D$20),4)</f>
        <v>D20</v>
      </c>
      <c r="D3824" t="b" cm="1">
        <f t="array" aca="1" ref="D3824" ca="1">IF(INDIRECT("'"&amp;A3824&amp;"'!"&amp;B3824)="",FALSE,IF(INDIRECT("'"&amp;A3824&amp;"'!"&amp;B3824)&lt;0,TRUE,FALSE))</f>
        <v>0</v>
      </c>
      <c r="E3824" t="s">
        <v>434</v>
      </c>
      <c r="F3824" t="str">
        <f>INDEX(Lists!I:I,MATCH(Validation!E3824,Lists!G:G,0))</f>
        <v>Error</v>
      </c>
      <c r="G3824" t="str">
        <f>INDEX(Lists!H:H,MATCH(Validation!E3824,Lists!G:G,0))</f>
        <v>Amount may not be negative. Enter an amount greater than or equal to zero.</v>
      </c>
      <c r="H3824" s="16" t="str">
        <f t="shared" ca="1" si="405"/>
        <v/>
      </c>
      <c r="I3824" s="16" t="str">
        <f t="shared" ca="1" si="406"/>
        <v/>
      </c>
      <c r="J3824" s="17" t="str">
        <f t="shared" ca="1" si="407"/>
        <v/>
      </c>
    </row>
    <row r="3825" spans="1:10" x14ac:dyDescent="0.25">
      <c r="A3825" t="s">
        <v>654</v>
      </c>
      <c r="B3825" t="str">
        <f>ADDRESS(ROW('PAYG 1'!$C$20),COLUMN('PAYG 1'!$C$20),4)</f>
        <v>C20</v>
      </c>
      <c r="C3825" t="str">
        <f>ADDRESS(ROW('PAYG 1'!$D$20),COLUMN('PAYG 1'!$D$20),4)</f>
        <v>D20</v>
      </c>
      <c r="D3825" t="b" cm="1">
        <f t="array" aca="1" ref="D3825" ca="1">IF(INDIRECT("'"&amp;A3825&amp;"'!"&amp;B3825)="",FALSE,IF(INDIRECT("'"&amp;A3825&amp;"'!"&amp;B3825)&lt;0,TRUE,FALSE))</f>
        <v>0</v>
      </c>
      <c r="E3825" t="s">
        <v>434</v>
      </c>
      <c r="F3825" t="str">
        <f>INDEX(Lists!I:I,MATCH(Validation!E3825,Lists!G:G,0))</f>
        <v>Error</v>
      </c>
      <c r="G3825" t="str">
        <f>INDEX(Lists!H:H,MATCH(Validation!E3825,Lists!G:G,0))</f>
        <v>Amount may not be negative. Enter an amount greater than or equal to zero.</v>
      </c>
      <c r="H3825" s="16" t="str">
        <f t="shared" ca="1" si="405"/>
        <v/>
      </c>
      <c r="I3825" s="16" t="str">
        <f t="shared" ca="1" si="406"/>
        <v/>
      </c>
      <c r="J3825" s="17" t="str">
        <f t="shared" ca="1" si="407"/>
        <v/>
      </c>
    </row>
    <row r="3826" spans="1:10" x14ac:dyDescent="0.25">
      <c r="A3826" t="s">
        <v>655</v>
      </c>
      <c r="B3826" t="str">
        <f>ADDRESS(ROW('PAYG 1'!$C$20),COLUMN('PAYG 1'!$C$20),4)</f>
        <v>C20</v>
      </c>
      <c r="C3826" t="str">
        <f>ADDRESS(ROW('PAYG 1'!$D$20),COLUMN('PAYG 1'!$D$20),4)</f>
        <v>D20</v>
      </c>
      <c r="D3826" t="b" cm="1">
        <f t="array" aca="1" ref="D3826" ca="1">IF(INDIRECT("'"&amp;A3826&amp;"'!"&amp;B3826)="",FALSE,IF(INDIRECT("'"&amp;A3826&amp;"'!"&amp;B3826)&lt;0,TRUE,FALSE))</f>
        <v>0</v>
      </c>
      <c r="E3826" t="s">
        <v>434</v>
      </c>
      <c r="F3826" t="str">
        <f>INDEX(Lists!I:I,MATCH(Validation!E3826,Lists!G:G,0))</f>
        <v>Error</v>
      </c>
      <c r="G3826" t="str">
        <f>INDEX(Lists!H:H,MATCH(Validation!E3826,Lists!G:G,0))</f>
        <v>Amount may not be negative. Enter an amount greater than or equal to zero.</v>
      </c>
      <c r="H3826" s="16" t="str">
        <f t="shared" ca="1" si="405"/>
        <v/>
      </c>
      <c r="I3826" s="16" t="str">
        <f t="shared" ca="1" si="406"/>
        <v/>
      </c>
      <c r="J3826" s="17" t="str">
        <f t="shared" ca="1" si="407"/>
        <v/>
      </c>
    </row>
    <row r="3827" spans="1:10" x14ac:dyDescent="0.25">
      <c r="A3827" t="s">
        <v>656</v>
      </c>
      <c r="B3827" t="str">
        <f>ADDRESS(ROW('PAYG 1'!$C$20),COLUMN('PAYG 1'!$C$20),4)</f>
        <v>C20</v>
      </c>
      <c r="C3827" t="str">
        <f>ADDRESS(ROW('PAYG 1'!$D$20),COLUMN('PAYG 1'!$D$20),4)</f>
        <v>D20</v>
      </c>
      <c r="D3827" t="b" cm="1">
        <f t="array" aca="1" ref="D3827" ca="1">IF(INDIRECT("'"&amp;A3827&amp;"'!"&amp;B3827)="",FALSE,IF(INDIRECT("'"&amp;A3827&amp;"'!"&amp;B3827)&lt;0,TRUE,FALSE))</f>
        <v>0</v>
      </c>
      <c r="E3827" t="s">
        <v>434</v>
      </c>
      <c r="F3827" t="str">
        <f>INDEX(Lists!I:I,MATCH(Validation!E3827,Lists!G:G,0))</f>
        <v>Error</v>
      </c>
      <c r="G3827" t="str">
        <f>INDEX(Lists!H:H,MATCH(Validation!E3827,Lists!G:G,0))</f>
        <v>Amount may not be negative. Enter an amount greater than or equal to zero.</v>
      </c>
      <c r="H3827" s="16" t="str">
        <f t="shared" ca="1" si="405"/>
        <v/>
      </c>
      <c r="I3827" s="16" t="str">
        <f t="shared" ca="1" si="406"/>
        <v/>
      </c>
      <c r="J3827" s="17" t="str">
        <f t="shared" ca="1" si="407"/>
        <v/>
      </c>
    </row>
    <row r="3828" spans="1:10" x14ac:dyDescent="0.25">
      <c r="A3828" t="s">
        <v>657</v>
      </c>
      <c r="B3828" t="str">
        <f>ADDRESS(ROW('PAYG 1'!$C$20),COLUMN('PAYG 1'!$C$20),4)</f>
        <v>C20</v>
      </c>
      <c r="C3828" t="str">
        <f>ADDRESS(ROW('PAYG 1'!$D$20),COLUMN('PAYG 1'!$D$20),4)</f>
        <v>D20</v>
      </c>
      <c r="D3828" t="b" cm="1">
        <f t="array" aca="1" ref="D3828" ca="1">IF(INDIRECT("'"&amp;A3828&amp;"'!"&amp;B3828)="",FALSE,IF(INDIRECT("'"&amp;A3828&amp;"'!"&amp;B3828)&lt;0,TRUE,FALSE))</f>
        <v>0</v>
      </c>
      <c r="E3828" t="s">
        <v>434</v>
      </c>
      <c r="F3828" t="str">
        <f>INDEX(Lists!I:I,MATCH(Validation!E3828,Lists!G:G,0))</f>
        <v>Error</v>
      </c>
      <c r="G3828" t="str">
        <f>INDEX(Lists!H:H,MATCH(Validation!E3828,Lists!G:G,0))</f>
        <v>Amount may not be negative. Enter an amount greater than or equal to zero.</v>
      </c>
      <c r="H3828" s="16" t="str">
        <f t="shared" ca="1" si="405"/>
        <v/>
      </c>
      <c r="I3828" s="16" t="str">
        <f t="shared" ca="1" si="406"/>
        <v/>
      </c>
      <c r="J3828" s="17" t="str">
        <f t="shared" ca="1" si="407"/>
        <v/>
      </c>
    </row>
    <row r="3829" spans="1:10" x14ac:dyDescent="0.25">
      <c r="A3829" t="s">
        <v>658</v>
      </c>
      <c r="B3829" t="str">
        <f>ADDRESS(ROW('PAYG 1'!$C$20),COLUMN('PAYG 1'!$C$20),4)</f>
        <v>C20</v>
      </c>
      <c r="C3829" t="str">
        <f>ADDRESS(ROW('PAYG 1'!$D$20),COLUMN('PAYG 1'!$D$20),4)</f>
        <v>D20</v>
      </c>
      <c r="D3829" t="b" cm="1">
        <f t="array" aca="1" ref="D3829" ca="1">IF(INDIRECT("'"&amp;A3829&amp;"'!"&amp;B3829)="",FALSE,IF(INDIRECT("'"&amp;A3829&amp;"'!"&amp;B3829)&lt;0,TRUE,FALSE))</f>
        <v>0</v>
      </c>
      <c r="E3829" t="s">
        <v>434</v>
      </c>
      <c r="F3829" t="str">
        <f>INDEX(Lists!I:I,MATCH(Validation!E3829,Lists!G:G,0))</f>
        <v>Error</v>
      </c>
      <c r="G3829" t="str">
        <f>INDEX(Lists!H:H,MATCH(Validation!E3829,Lists!G:G,0))</f>
        <v>Amount may not be negative. Enter an amount greater than or equal to zero.</v>
      </c>
      <c r="H3829" s="16" t="str">
        <f t="shared" ca="1" si="405"/>
        <v/>
      </c>
      <c r="I3829" s="16" t="str">
        <f t="shared" ca="1" si="406"/>
        <v/>
      </c>
      <c r="J3829" s="17" t="str">
        <f t="shared" ca="1" si="407"/>
        <v/>
      </c>
    </row>
    <row r="3830" spans="1:10" x14ac:dyDescent="0.25">
      <c r="A3830" t="s">
        <v>659</v>
      </c>
      <c r="B3830" t="str">
        <f>ADDRESS(ROW('PAYG 1'!$C$20),COLUMN('PAYG 1'!$C$20),4)</f>
        <v>C20</v>
      </c>
      <c r="C3830" t="str">
        <f>ADDRESS(ROW('PAYG 1'!$D$20),COLUMN('PAYG 1'!$D$20),4)</f>
        <v>D20</v>
      </c>
      <c r="D3830" t="b" cm="1">
        <f t="array" aca="1" ref="D3830" ca="1">IF(INDIRECT("'"&amp;A3830&amp;"'!"&amp;B3830)="",FALSE,IF(INDIRECT("'"&amp;A3830&amp;"'!"&amp;B3830)&lt;0,TRUE,FALSE))</f>
        <v>0</v>
      </c>
      <c r="E3830" t="s">
        <v>434</v>
      </c>
      <c r="F3830" t="str">
        <f>INDEX(Lists!I:I,MATCH(Validation!E3830,Lists!G:G,0))</f>
        <v>Error</v>
      </c>
      <c r="G3830" t="str">
        <f>INDEX(Lists!H:H,MATCH(Validation!E3830,Lists!G:G,0))</f>
        <v>Amount may not be negative. Enter an amount greater than or equal to zero.</v>
      </c>
      <c r="H3830" s="16" t="str">
        <f t="shared" ca="1" si="405"/>
        <v/>
      </c>
      <c r="I3830" s="16" t="str">
        <f t="shared" ca="1" si="406"/>
        <v/>
      </c>
      <c r="J3830" s="17" t="str">
        <f t="shared" ca="1" si="407"/>
        <v/>
      </c>
    </row>
    <row r="3831" spans="1:10" x14ac:dyDescent="0.25">
      <c r="A3831" t="s">
        <v>660</v>
      </c>
      <c r="B3831" t="str">
        <f>ADDRESS(ROW('PAYG 1'!$C$20),COLUMN('PAYG 1'!$C$20),4)</f>
        <v>C20</v>
      </c>
      <c r="C3831" t="str">
        <f>ADDRESS(ROW('PAYG 1'!$D$20),COLUMN('PAYG 1'!$D$20),4)</f>
        <v>D20</v>
      </c>
      <c r="D3831" t="b" cm="1">
        <f t="array" aca="1" ref="D3831" ca="1">IF(INDIRECT("'"&amp;A3831&amp;"'!"&amp;B3831)="",FALSE,IF(INDIRECT("'"&amp;A3831&amp;"'!"&amp;B3831)&lt;0,TRUE,FALSE))</f>
        <v>0</v>
      </c>
      <c r="E3831" t="s">
        <v>434</v>
      </c>
      <c r="F3831" t="str">
        <f>INDEX(Lists!I:I,MATCH(Validation!E3831,Lists!G:G,0))</f>
        <v>Error</v>
      </c>
      <c r="G3831" t="str">
        <f>INDEX(Lists!H:H,MATCH(Validation!E3831,Lists!G:G,0))</f>
        <v>Amount may not be negative. Enter an amount greater than or equal to zero.</v>
      </c>
      <c r="H3831" s="16" t="str">
        <f t="shared" ca="1" si="405"/>
        <v/>
      </c>
      <c r="I3831" s="16" t="str">
        <f t="shared" ca="1" si="406"/>
        <v/>
      </c>
      <c r="J3831" s="17" t="str">
        <f t="shared" ca="1" si="407"/>
        <v/>
      </c>
    </row>
    <row r="3832" spans="1:10" x14ac:dyDescent="0.25">
      <c r="A3832" t="s">
        <v>661</v>
      </c>
      <c r="B3832" t="str">
        <f>ADDRESS(ROW('PAYG 1'!$C$20),COLUMN('PAYG 1'!$C$20),4)</f>
        <v>C20</v>
      </c>
      <c r="C3832" t="str">
        <f>ADDRESS(ROW('PAYG 1'!$D$20),COLUMN('PAYG 1'!$D$20),4)</f>
        <v>D20</v>
      </c>
      <c r="D3832" t="b" cm="1">
        <f t="array" aca="1" ref="D3832" ca="1">IF(INDIRECT("'"&amp;A3832&amp;"'!"&amp;B3832)="",FALSE,IF(INDIRECT("'"&amp;A3832&amp;"'!"&amp;B3832)&lt;0,TRUE,FALSE))</f>
        <v>0</v>
      </c>
      <c r="E3832" t="s">
        <v>434</v>
      </c>
      <c r="F3832" t="str">
        <f>INDEX(Lists!I:I,MATCH(Validation!E3832,Lists!G:G,0))</f>
        <v>Error</v>
      </c>
      <c r="G3832" t="str">
        <f>INDEX(Lists!H:H,MATCH(Validation!E3832,Lists!G:G,0))</f>
        <v>Amount may not be negative. Enter an amount greater than or equal to zero.</v>
      </c>
      <c r="H3832" s="16" t="str">
        <f t="shared" ca="1" si="405"/>
        <v/>
      </c>
      <c r="I3832" s="16" t="str">
        <f t="shared" ca="1" si="406"/>
        <v/>
      </c>
      <c r="J3832" s="17" t="str">
        <f t="shared" ca="1" si="407"/>
        <v/>
      </c>
    </row>
    <row r="3833" spans="1:10" x14ac:dyDescent="0.25">
      <c r="A3833" t="s">
        <v>662</v>
      </c>
      <c r="B3833" t="str">
        <f>ADDRESS(ROW('PAYG 1'!$C$20),COLUMN('PAYG 1'!$C$20),4)</f>
        <v>C20</v>
      </c>
      <c r="C3833" t="str">
        <f>ADDRESS(ROW('PAYG 1'!$D$20),COLUMN('PAYG 1'!$D$20),4)</f>
        <v>D20</v>
      </c>
      <c r="D3833" t="b" cm="1">
        <f t="array" aca="1" ref="D3833" ca="1">IF(INDIRECT("'"&amp;A3833&amp;"'!"&amp;B3833)="",FALSE,IF(INDIRECT("'"&amp;A3833&amp;"'!"&amp;B3833)&lt;0,TRUE,FALSE))</f>
        <v>0</v>
      </c>
      <c r="E3833" t="s">
        <v>434</v>
      </c>
      <c r="F3833" t="str">
        <f>INDEX(Lists!I:I,MATCH(Validation!E3833,Lists!G:G,0))</f>
        <v>Error</v>
      </c>
      <c r="G3833" t="str">
        <f>INDEX(Lists!H:H,MATCH(Validation!E3833,Lists!G:G,0))</f>
        <v>Amount may not be negative. Enter an amount greater than or equal to zero.</v>
      </c>
      <c r="H3833" s="16" t="str">
        <f t="shared" ca="1" si="405"/>
        <v/>
      </c>
      <c r="I3833" s="16" t="str">
        <f t="shared" ca="1" si="406"/>
        <v/>
      </c>
      <c r="J3833" s="17" t="str">
        <f t="shared" ca="1" si="407"/>
        <v/>
      </c>
    </row>
    <row r="3834" spans="1:10" x14ac:dyDescent="0.25">
      <c r="A3834" t="s">
        <v>663</v>
      </c>
      <c r="B3834" t="str">
        <f>ADDRESS(ROW('PAYG 1'!$C$20),COLUMN('PAYG 1'!$C$20),4)</f>
        <v>C20</v>
      </c>
      <c r="C3834" t="str">
        <f>ADDRESS(ROW('PAYG 1'!$D$20),COLUMN('PAYG 1'!$D$20),4)</f>
        <v>D20</v>
      </c>
      <c r="D3834" t="b" cm="1">
        <f t="array" aca="1" ref="D3834" ca="1">IF(INDIRECT("'"&amp;A3834&amp;"'!"&amp;B3834)="",FALSE,IF(INDIRECT("'"&amp;A3834&amp;"'!"&amp;B3834)&lt;0,TRUE,FALSE))</f>
        <v>0</v>
      </c>
      <c r="E3834" t="s">
        <v>434</v>
      </c>
      <c r="F3834" t="str">
        <f>INDEX(Lists!I:I,MATCH(Validation!E3834,Lists!G:G,0))</f>
        <v>Error</v>
      </c>
      <c r="G3834" t="str">
        <f>INDEX(Lists!H:H,MATCH(Validation!E3834,Lists!G:G,0))</f>
        <v>Amount may not be negative. Enter an amount greater than or equal to zero.</v>
      </c>
      <c r="H3834" s="16" t="str">
        <f t="shared" ca="1" si="405"/>
        <v/>
      </c>
      <c r="I3834" s="16" t="str">
        <f t="shared" ca="1" si="406"/>
        <v/>
      </c>
      <c r="J3834" s="17" t="str">
        <f t="shared" ca="1" si="407"/>
        <v/>
      </c>
    </row>
    <row r="3835" spans="1:10" x14ac:dyDescent="0.25">
      <c r="A3835" t="s">
        <v>664</v>
      </c>
      <c r="B3835" t="str">
        <f>ADDRESS(ROW('PAYG 1'!$C$20),COLUMN('PAYG 1'!$C$20),4)</f>
        <v>C20</v>
      </c>
      <c r="C3835" t="str">
        <f>ADDRESS(ROW('PAYG 1'!$D$20),COLUMN('PAYG 1'!$D$20),4)</f>
        <v>D20</v>
      </c>
      <c r="D3835" t="b" cm="1">
        <f t="array" aca="1" ref="D3835" ca="1">IF(INDIRECT("'"&amp;A3835&amp;"'!"&amp;B3835)="",FALSE,IF(INDIRECT("'"&amp;A3835&amp;"'!"&amp;B3835)&lt;0,TRUE,FALSE))</f>
        <v>0</v>
      </c>
      <c r="E3835" t="s">
        <v>434</v>
      </c>
      <c r="F3835" t="str">
        <f>INDEX(Lists!I:I,MATCH(Validation!E3835,Lists!G:G,0))</f>
        <v>Error</v>
      </c>
      <c r="G3835" t="str">
        <f>INDEX(Lists!H:H,MATCH(Validation!E3835,Lists!G:G,0))</f>
        <v>Amount may not be negative. Enter an amount greater than or equal to zero.</v>
      </c>
      <c r="H3835" s="16" t="str">
        <f t="shared" ca="1" si="405"/>
        <v/>
      </c>
      <c r="I3835" s="16" t="str">
        <f t="shared" ca="1" si="406"/>
        <v/>
      </c>
      <c r="J3835" s="17" t="str">
        <f t="shared" ca="1" si="407"/>
        <v/>
      </c>
    </row>
    <row r="3836" spans="1:10" x14ac:dyDescent="0.25">
      <c r="A3836" t="s">
        <v>203</v>
      </c>
      <c r="B3836" t="str">
        <f>ADDRESS(ROW('PAYG 1'!$C$20),COLUMN('PAYG 1'!$C$20),4)</f>
        <v>C20</v>
      </c>
      <c r="C3836" t="str">
        <f>ADDRESS(ROW('PAYG 1'!$D$20),COLUMN('PAYG 1'!$D$20),4)</f>
        <v>D20</v>
      </c>
      <c r="D3836" t="b" cm="1">
        <f t="array" aca="1" ref="D3836" ca="1">IF(INDIRECT("'"&amp;A3836&amp;"'!"&amp;B3836)="",FALSE,IF(TRUNC(INDIRECT("'"&amp;A3836&amp;"'!"&amp;B3836))=INDIRECT("'"&amp;A3836&amp;"'!"&amp;B3836),FALSE,TRUE))</f>
        <v>0</v>
      </c>
      <c r="E3836" t="s">
        <v>436</v>
      </c>
      <c r="F3836" t="str">
        <f>INDEX(Lists!I:I,MATCH(Validation!E3836,Lists!G:G,0))</f>
        <v>Error</v>
      </c>
      <c r="G3836" t="str">
        <f>INDEX(Lists!H:H,MATCH(Validation!E3836,Lists!G:G,0))</f>
        <v>Amount must be rounded to the nearest dollar.</v>
      </c>
      <c r="H3836" s="16" t="str">
        <f t="shared" ca="1" si="405"/>
        <v/>
      </c>
      <c r="I3836" s="16" t="str">
        <f t="shared" ca="1" si="406"/>
        <v/>
      </c>
      <c r="J3836" s="17" t="str">
        <f t="shared" ca="1" si="407"/>
        <v/>
      </c>
    </row>
    <row r="3837" spans="1:10" x14ac:dyDescent="0.25">
      <c r="A3837" t="s">
        <v>651</v>
      </c>
      <c r="B3837" t="str">
        <f>ADDRESS(ROW('PAYG 1'!$C$20),COLUMN('PAYG 1'!$C$20),4)</f>
        <v>C20</v>
      </c>
      <c r="C3837" t="str">
        <f>ADDRESS(ROW('PAYG 1'!$D$20),COLUMN('PAYG 1'!$D$20),4)</f>
        <v>D20</v>
      </c>
      <c r="D3837" t="b" cm="1">
        <f t="array" aca="1" ref="D3837" ca="1">IF(INDIRECT("'"&amp;A3837&amp;"'!"&amp;B3837)="",FALSE,IF(TRUNC(INDIRECT("'"&amp;A3837&amp;"'!"&amp;B3837))=INDIRECT("'"&amp;A3837&amp;"'!"&amp;B3837),FALSE,TRUE))</f>
        <v>0</v>
      </c>
      <c r="E3837" t="s">
        <v>436</v>
      </c>
      <c r="F3837" t="str">
        <f>INDEX(Lists!I:I,MATCH(Validation!E3837,Lists!G:G,0))</f>
        <v>Error</v>
      </c>
      <c r="G3837" t="str">
        <f>INDEX(Lists!H:H,MATCH(Validation!E3837,Lists!G:G,0))</f>
        <v>Amount must be rounded to the nearest dollar.</v>
      </c>
      <c r="H3837" s="16" t="str">
        <f t="shared" ca="1" si="405"/>
        <v/>
      </c>
      <c r="I3837" s="16" t="str">
        <f t="shared" ca="1" si="406"/>
        <v/>
      </c>
      <c r="J3837" s="17" t="str">
        <f t="shared" ca="1" si="407"/>
        <v/>
      </c>
    </row>
    <row r="3838" spans="1:10" x14ac:dyDescent="0.25">
      <c r="A3838" t="s">
        <v>652</v>
      </c>
      <c r="B3838" t="str">
        <f>ADDRESS(ROW('PAYG 1'!$C$20),COLUMN('PAYG 1'!$C$20),4)</f>
        <v>C20</v>
      </c>
      <c r="C3838" t="str">
        <f>ADDRESS(ROW('PAYG 1'!$D$20),COLUMN('PAYG 1'!$D$20),4)</f>
        <v>D20</v>
      </c>
      <c r="D3838" t="b" cm="1">
        <f t="array" aca="1" ref="D3838" ca="1">IF(INDIRECT("'"&amp;A3838&amp;"'!"&amp;B3838)="",FALSE,IF(TRUNC(INDIRECT("'"&amp;A3838&amp;"'!"&amp;B3838))=INDIRECT("'"&amp;A3838&amp;"'!"&amp;B3838),FALSE,TRUE))</f>
        <v>0</v>
      </c>
      <c r="E3838" t="s">
        <v>436</v>
      </c>
      <c r="F3838" t="str">
        <f>INDEX(Lists!I:I,MATCH(Validation!E3838,Lists!G:G,0))</f>
        <v>Error</v>
      </c>
      <c r="G3838" t="str">
        <f>INDEX(Lists!H:H,MATCH(Validation!E3838,Lists!G:G,0))</f>
        <v>Amount must be rounded to the nearest dollar.</v>
      </c>
      <c r="H3838" s="16" t="str">
        <f t="shared" ca="1" si="405"/>
        <v/>
      </c>
      <c r="I3838" s="16" t="str">
        <f t="shared" ca="1" si="406"/>
        <v/>
      </c>
      <c r="J3838" s="17" t="str">
        <f t="shared" ca="1" si="407"/>
        <v/>
      </c>
    </row>
    <row r="3839" spans="1:10" x14ac:dyDescent="0.25">
      <c r="A3839" t="s">
        <v>653</v>
      </c>
      <c r="B3839" t="str">
        <f>ADDRESS(ROW('PAYG 1'!$C$20),COLUMN('PAYG 1'!$C$20),4)</f>
        <v>C20</v>
      </c>
      <c r="C3839" t="str">
        <f>ADDRESS(ROW('PAYG 1'!$D$20),COLUMN('PAYG 1'!$D$20),4)</f>
        <v>D20</v>
      </c>
      <c r="D3839" t="b" cm="1">
        <f t="array" aca="1" ref="D3839" ca="1">IF(INDIRECT("'"&amp;A3839&amp;"'!"&amp;B3839)="",FALSE,IF(TRUNC(INDIRECT("'"&amp;A3839&amp;"'!"&amp;B3839))=INDIRECT("'"&amp;A3839&amp;"'!"&amp;B3839),FALSE,TRUE))</f>
        <v>0</v>
      </c>
      <c r="E3839" t="s">
        <v>436</v>
      </c>
      <c r="F3839" t="str">
        <f>INDEX(Lists!I:I,MATCH(Validation!E3839,Lists!G:G,0))</f>
        <v>Error</v>
      </c>
      <c r="G3839" t="str">
        <f>INDEX(Lists!H:H,MATCH(Validation!E3839,Lists!G:G,0))</f>
        <v>Amount must be rounded to the nearest dollar.</v>
      </c>
      <c r="H3839" s="16" t="str">
        <f t="shared" ca="1" si="405"/>
        <v/>
      </c>
      <c r="I3839" s="16" t="str">
        <f t="shared" ca="1" si="406"/>
        <v/>
      </c>
      <c r="J3839" s="17" t="str">
        <f t="shared" ca="1" si="407"/>
        <v/>
      </c>
    </row>
    <row r="3840" spans="1:10" x14ac:dyDescent="0.25">
      <c r="A3840" t="s">
        <v>654</v>
      </c>
      <c r="B3840" t="str">
        <f>ADDRESS(ROW('PAYG 1'!$C$20),COLUMN('PAYG 1'!$C$20),4)</f>
        <v>C20</v>
      </c>
      <c r="C3840" t="str">
        <f>ADDRESS(ROW('PAYG 1'!$D$20),COLUMN('PAYG 1'!$D$20),4)</f>
        <v>D20</v>
      </c>
      <c r="D3840" t="b" cm="1">
        <f t="array" aca="1" ref="D3840" ca="1">IF(INDIRECT("'"&amp;A3840&amp;"'!"&amp;B3840)="",FALSE,IF(TRUNC(INDIRECT("'"&amp;A3840&amp;"'!"&amp;B3840))=INDIRECT("'"&amp;A3840&amp;"'!"&amp;B3840),FALSE,TRUE))</f>
        <v>0</v>
      </c>
      <c r="E3840" t="s">
        <v>436</v>
      </c>
      <c r="F3840" t="str">
        <f>INDEX(Lists!I:I,MATCH(Validation!E3840,Lists!G:G,0))</f>
        <v>Error</v>
      </c>
      <c r="G3840" t="str">
        <f>INDEX(Lists!H:H,MATCH(Validation!E3840,Lists!G:G,0))</f>
        <v>Amount must be rounded to the nearest dollar.</v>
      </c>
      <c r="H3840" s="16" t="str">
        <f t="shared" ca="1" si="405"/>
        <v/>
      </c>
      <c r="I3840" s="16" t="str">
        <f t="shared" ca="1" si="406"/>
        <v/>
      </c>
      <c r="J3840" s="17" t="str">
        <f t="shared" ca="1" si="407"/>
        <v/>
      </c>
    </row>
    <row r="3841" spans="1:10" x14ac:dyDescent="0.25">
      <c r="A3841" t="s">
        <v>655</v>
      </c>
      <c r="B3841" t="str">
        <f>ADDRESS(ROW('PAYG 1'!$C$20),COLUMN('PAYG 1'!$C$20),4)</f>
        <v>C20</v>
      </c>
      <c r="C3841" t="str">
        <f>ADDRESS(ROW('PAYG 1'!$D$20),COLUMN('PAYG 1'!$D$20),4)</f>
        <v>D20</v>
      </c>
      <c r="D3841" t="b" cm="1">
        <f t="array" aca="1" ref="D3841" ca="1">IF(INDIRECT("'"&amp;A3841&amp;"'!"&amp;B3841)="",FALSE,IF(TRUNC(INDIRECT("'"&amp;A3841&amp;"'!"&amp;B3841))=INDIRECT("'"&amp;A3841&amp;"'!"&amp;B3841),FALSE,TRUE))</f>
        <v>0</v>
      </c>
      <c r="E3841" t="s">
        <v>436</v>
      </c>
      <c r="F3841" t="str">
        <f>INDEX(Lists!I:I,MATCH(Validation!E3841,Lists!G:G,0))</f>
        <v>Error</v>
      </c>
      <c r="G3841" t="str">
        <f>INDEX(Lists!H:H,MATCH(Validation!E3841,Lists!G:G,0))</f>
        <v>Amount must be rounded to the nearest dollar.</v>
      </c>
      <c r="H3841" s="16" t="str">
        <f t="shared" ca="1" si="405"/>
        <v/>
      </c>
      <c r="I3841" s="16" t="str">
        <f t="shared" ca="1" si="406"/>
        <v/>
      </c>
      <c r="J3841" s="17" t="str">
        <f t="shared" ca="1" si="407"/>
        <v/>
      </c>
    </row>
    <row r="3842" spans="1:10" x14ac:dyDescent="0.25">
      <c r="A3842" t="s">
        <v>656</v>
      </c>
      <c r="B3842" t="str">
        <f>ADDRESS(ROW('PAYG 1'!$C$20),COLUMN('PAYG 1'!$C$20),4)</f>
        <v>C20</v>
      </c>
      <c r="C3842" t="str">
        <f>ADDRESS(ROW('PAYG 1'!$D$20),COLUMN('PAYG 1'!$D$20),4)</f>
        <v>D20</v>
      </c>
      <c r="D3842" t="b" cm="1">
        <f t="array" aca="1" ref="D3842" ca="1">IF(INDIRECT("'"&amp;A3842&amp;"'!"&amp;B3842)="",FALSE,IF(TRUNC(INDIRECT("'"&amp;A3842&amp;"'!"&amp;B3842))=INDIRECT("'"&amp;A3842&amp;"'!"&amp;B3842),FALSE,TRUE))</f>
        <v>0</v>
      </c>
      <c r="E3842" t="s">
        <v>436</v>
      </c>
      <c r="F3842" t="str">
        <f>INDEX(Lists!I:I,MATCH(Validation!E3842,Lists!G:G,0))</f>
        <v>Error</v>
      </c>
      <c r="G3842" t="str">
        <f>INDEX(Lists!H:H,MATCH(Validation!E3842,Lists!G:G,0))</f>
        <v>Amount must be rounded to the nearest dollar.</v>
      </c>
      <c r="H3842" s="16" t="str">
        <f t="shared" ca="1" si="405"/>
        <v/>
      </c>
      <c r="I3842" s="16" t="str">
        <f t="shared" ca="1" si="406"/>
        <v/>
      </c>
      <c r="J3842" s="17" t="str">
        <f t="shared" ca="1" si="407"/>
        <v/>
      </c>
    </row>
    <row r="3843" spans="1:10" x14ac:dyDescent="0.25">
      <c r="A3843" t="s">
        <v>657</v>
      </c>
      <c r="B3843" t="str">
        <f>ADDRESS(ROW('PAYG 1'!$C$20),COLUMN('PAYG 1'!$C$20),4)</f>
        <v>C20</v>
      </c>
      <c r="C3843" t="str">
        <f>ADDRESS(ROW('PAYG 1'!$D$20),COLUMN('PAYG 1'!$D$20),4)</f>
        <v>D20</v>
      </c>
      <c r="D3843" t="b" cm="1">
        <f t="array" aca="1" ref="D3843" ca="1">IF(INDIRECT("'"&amp;A3843&amp;"'!"&amp;B3843)="",FALSE,IF(TRUNC(INDIRECT("'"&amp;A3843&amp;"'!"&amp;B3843))=INDIRECT("'"&amp;A3843&amp;"'!"&amp;B3843),FALSE,TRUE))</f>
        <v>0</v>
      </c>
      <c r="E3843" t="s">
        <v>436</v>
      </c>
      <c r="F3843" t="str">
        <f>INDEX(Lists!I:I,MATCH(Validation!E3843,Lists!G:G,0))</f>
        <v>Error</v>
      </c>
      <c r="G3843" t="str">
        <f>INDEX(Lists!H:H,MATCH(Validation!E3843,Lists!G:G,0))</f>
        <v>Amount must be rounded to the nearest dollar.</v>
      </c>
      <c r="H3843" s="16" t="str">
        <f t="shared" ca="1" si="405"/>
        <v/>
      </c>
      <c r="I3843" s="16" t="str">
        <f t="shared" ca="1" si="406"/>
        <v/>
      </c>
      <c r="J3843" s="17" t="str">
        <f t="shared" ca="1" si="407"/>
        <v/>
      </c>
    </row>
    <row r="3844" spans="1:10" x14ac:dyDescent="0.25">
      <c r="A3844" t="s">
        <v>658</v>
      </c>
      <c r="B3844" t="str">
        <f>ADDRESS(ROW('PAYG 1'!$C$20),COLUMN('PAYG 1'!$C$20),4)</f>
        <v>C20</v>
      </c>
      <c r="C3844" t="str">
        <f>ADDRESS(ROW('PAYG 1'!$D$20),COLUMN('PAYG 1'!$D$20),4)</f>
        <v>D20</v>
      </c>
      <c r="D3844" t="b" cm="1">
        <f t="array" aca="1" ref="D3844" ca="1">IF(INDIRECT("'"&amp;A3844&amp;"'!"&amp;B3844)="",FALSE,IF(TRUNC(INDIRECT("'"&amp;A3844&amp;"'!"&amp;B3844))=INDIRECT("'"&amp;A3844&amp;"'!"&amp;B3844),FALSE,TRUE))</f>
        <v>0</v>
      </c>
      <c r="E3844" t="s">
        <v>436</v>
      </c>
      <c r="F3844" t="str">
        <f>INDEX(Lists!I:I,MATCH(Validation!E3844,Lists!G:G,0))</f>
        <v>Error</v>
      </c>
      <c r="G3844" t="str">
        <f>INDEX(Lists!H:H,MATCH(Validation!E3844,Lists!G:G,0))</f>
        <v>Amount must be rounded to the nearest dollar.</v>
      </c>
      <c r="H3844" s="16" t="str">
        <f t="shared" ca="1" si="405"/>
        <v/>
      </c>
      <c r="I3844" s="16" t="str">
        <f t="shared" ca="1" si="406"/>
        <v/>
      </c>
      <c r="J3844" s="17" t="str">
        <f t="shared" ca="1" si="407"/>
        <v/>
      </c>
    </row>
    <row r="3845" spans="1:10" x14ac:dyDescent="0.25">
      <c r="A3845" t="s">
        <v>659</v>
      </c>
      <c r="B3845" t="str">
        <f>ADDRESS(ROW('PAYG 1'!$C$20),COLUMN('PAYG 1'!$C$20),4)</f>
        <v>C20</v>
      </c>
      <c r="C3845" t="str">
        <f>ADDRESS(ROW('PAYG 1'!$D$20),COLUMN('PAYG 1'!$D$20),4)</f>
        <v>D20</v>
      </c>
      <c r="D3845" t="b" cm="1">
        <f t="array" aca="1" ref="D3845" ca="1">IF(INDIRECT("'"&amp;A3845&amp;"'!"&amp;B3845)="",FALSE,IF(TRUNC(INDIRECT("'"&amp;A3845&amp;"'!"&amp;B3845))=INDIRECT("'"&amp;A3845&amp;"'!"&amp;B3845),FALSE,TRUE))</f>
        <v>0</v>
      </c>
      <c r="E3845" t="s">
        <v>436</v>
      </c>
      <c r="F3845" t="str">
        <f>INDEX(Lists!I:I,MATCH(Validation!E3845,Lists!G:G,0))</f>
        <v>Error</v>
      </c>
      <c r="G3845" t="str">
        <f>INDEX(Lists!H:H,MATCH(Validation!E3845,Lists!G:G,0))</f>
        <v>Amount must be rounded to the nearest dollar.</v>
      </c>
      <c r="H3845" s="16" t="str">
        <f t="shared" ca="1" si="405"/>
        <v/>
      </c>
      <c r="I3845" s="16" t="str">
        <f t="shared" ca="1" si="406"/>
        <v/>
      </c>
      <c r="J3845" s="17" t="str">
        <f t="shared" ca="1" si="407"/>
        <v/>
      </c>
    </row>
    <row r="3846" spans="1:10" x14ac:dyDescent="0.25">
      <c r="A3846" t="s">
        <v>660</v>
      </c>
      <c r="B3846" t="str">
        <f>ADDRESS(ROW('PAYG 1'!$C$20),COLUMN('PAYG 1'!$C$20),4)</f>
        <v>C20</v>
      </c>
      <c r="C3846" t="str">
        <f>ADDRESS(ROW('PAYG 1'!$D$20),COLUMN('PAYG 1'!$D$20),4)</f>
        <v>D20</v>
      </c>
      <c r="D3846" t="b" cm="1">
        <f t="array" aca="1" ref="D3846" ca="1">IF(INDIRECT("'"&amp;A3846&amp;"'!"&amp;B3846)="",FALSE,IF(TRUNC(INDIRECT("'"&amp;A3846&amp;"'!"&amp;B3846))=INDIRECT("'"&amp;A3846&amp;"'!"&amp;B3846),FALSE,TRUE))</f>
        <v>0</v>
      </c>
      <c r="E3846" t="s">
        <v>436</v>
      </c>
      <c r="F3846" t="str">
        <f>INDEX(Lists!I:I,MATCH(Validation!E3846,Lists!G:G,0))</f>
        <v>Error</v>
      </c>
      <c r="G3846" t="str">
        <f>INDEX(Lists!H:H,MATCH(Validation!E3846,Lists!G:G,0))</f>
        <v>Amount must be rounded to the nearest dollar.</v>
      </c>
      <c r="H3846" s="16" t="str">
        <f t="shared" ca="1" si="405"/>
        <v/>
      </c>
      <c r="I3846" s="16" t="str">
        <f t="shared" ca="1" si="406"/>
        <v/>
      </c>
      <c r="J3846" s="17" t="str">
        <f t="shared" ca="1" si="407"/>
        <v/>
      </c>
    </row>
    <row r="3847" spans="1:10" x14ac:dyDescent="0.25">
      <c r="A3847" t="s">
        <v>661</v>
      </c>
      <c r="B3847" t="str">
        <f>ADDRESS(ROW('PAYG 1'!$C$20),COLUMN('PAYG 1'!$C$20),4)</f>
        <v>C20</v>
      </c>
      <c r="C3847" t="str">
        <f>ADDRESS(ROW('PAYG 1'!$D$20),COLUMN('PAYG 1'!$D$20),4)</f>
        <v>D20</v>
      </c>
      <c r="D3847" t="b" cm="1">
        <f t="array" aca="1" ref="D3847" ca="1">IF(INDIRECT("'"&amp;A3847&amp;"'!"&amp;B3847)="",FALSE,IF(TRUNC(INDIRECT("'"&amp;A3847&amp;"'!"&amp;B3847))=INDIRECT("'"&amp;A3847&amp;"'!"&amp;B3847),FALSE,TRUE))</f>
        <v>0</v>
      </c>
      <c r="E3847" t="s">
        <v>436</v>
      </c>
      <c r="F3847" t="str">
        <f>INDEX(Lists!I:I,MATCH(Validation!E3847,Lists!G:G,0))</f>
        <v>Error</v>
      </c>
      <c r="G3847" t="str">
        <f>INDEX(Lists!H:H,MATCH(Validation!E3847,Lists!G:G,0))</f>
        <v>Amount must be rounded to the nearest dollar.</v>
      </c>
      <c r="H3847" s="16" t="str">
        <f t="shared" ca="1" si="405"/>
        <v/>
      </c>
      <c r="I3847" s="16" t="str">
        <f t="shared" ca="1" si="406"/>
        <v/>
      </c>
      <c r="J3847" s="17" t="str">
        <f t="shared" ca="1" si="407"/>
        <v/>
      </c>
    </row>
    <row r="3848" spans="1:10" x14ac:dyDescent="0.25">
      <c r="A3848" t="s">
        <v>662</v>
      </c>
      <c r="B3848" t="str">
        <f>ADDRESS(ROW('PAYG 1'!$C$20),COLUMN('PAYG 1'!$C$20),4)</f>
        <v>C20</v>
      </c>
      <c r="C3848" t="str">
        <f>ADDRESS(ROW('PAYG 1'!$D$20),COLUMN('PAYG 1'!$D$20),4)</f>
        <v>D20</v>
      </c>
      <c r="D3848" t="b" cm="1">
        <f t="array" aca="1" ref="D3848" ca="1">IF(INDIRECT("'"&amp;A3848&amp;"'!"&amp;B3848)="",FALSE,IF(TRUNC(INDIRECT("'"&amp;A3848&amp;"'!"&amp;B3848))=INDIRECT("'"&amp;A3848&amp;"'!"&amp;B3848),FALSE,TRUE))</f>
        <v>0</v>
      </c>
      <c r="E3848" t="s">
        <v>436</v>
      </c>
      <c r="F3848" t="str">
        <f>INDEX(Lists!I:I,MATCH(Validation!E3848,Lists!G:G,0))</f>
        <v>Error</v>
      </c>
      <c r="G3848" t="str">
        <f>INDEX(Lists!H:H,MATCH(Validation!E3848,Lists!G:G,0))</f>
        <v>Amount must be rounded to the nearest dollar.</v>
      </c>
      <c r="H3848" s="16" t="str">
        <f t="shared" ca="1" si="405"/>
        <v/>
      </c>
      <c r="I3848" s="16" t="str">
        <f t="shared" ca="1" si="406"/>
        <v/>
      </c>
      <c r="J3848" s="17" t="str">
        <f t="shared" ca="1" si="407"/>
        <v/>
      </c>
    </row>
    <row r="3849" spans="1:10" x14ac:dyDescent="0.25">
      <c r="A3849" t="s">
        <v>663</v>
      </c>
      <c r="B3849" t="str">
        <f>ADDRESS(ROW('PAYG 1'!$C$20),COLUMN('PAYG 1'!$C$20),4)</f>
        <v>C20</v>
      </c>
      <c r="C3849" t="str">
        <f>ADDRESS(ROW('PAYG 1'!$D$20),COLUMN('PAYG 1'!$D$20),4)</f>
        <v>D20</v>
      </c>
      <c r="D3849" t="b" cm="1">
        <f t="array" aca="1" ref="D3849" ca="1">IF(INDIRECT("'"&amp;A3849&amp;"'!"&amp;B3849)="",FALSE,IF(TRUNC(INDIRECT("'"&amp;A3849&amp;"'!"&amp;B3849))=INDIRECT("'"&amp;A3849&amp;"'!"&amp;B3849),FALSE,TRUE))</f>
        <v>0</v>
      </c>
      <c r="E3849" t="s">
        <v>436</v>
      </c>
      <c r="F3849" t="str">
        <f>INDEX(Lists!I:I,MATCH(Validation!E3849,Lists!G:G,0))</f>
        <v>Error</v>
      </c>
      <c r="G3849" t="str">
        <f>INDEX(Lists!H:H,MATCH(Validation!E3849,Lists!G:G,0))</f>
        <v>Amount must be rounded to the nearest dollar.</v>
      </c>
      <c r="H3849" s="16" t="str">
        <f t="shared" ca="1" si="405"/>
        <v/>
      </c>
      <c r="I3849" s="16" t="str">
        <f t="shared" ca="1" si="406"/>
        <v/>
      </c>
      <c r="J3849" s="17" t="str">
        <f t="shared" ca="1" si="407"/>
        <v/>
      </c>
    </row>
    <row r="3850" spans="1:10" x14ac:dyDescent="0.25">
      <c r="A3850" t="s">
        <v>664</v>
      </c>
      <c r="B3850" t="str">
        <f>ADDRESS(ROW('PAYG 1'!$C$20),COLUMN('PAYG 1'!$C$20),4)</f>
        <v>C20</v>
      </c>
      <c r="C3850" t="str">
        <f>ADDRESS(ROW('PAYG 1'!$D$20),COLUMN('PAYG 1'!$D$20),4)</f>
        <v>D20</v>
      </c>
      <c r="D3850" t="b" cm="1">
        <f t="array" aca="1" ref="D3850" ca="1">IF(INDIRECT("'"&amp;A3850&amp;"'!"&amp;B3850)="",FALSE,IF(TRUNC(INDIRECT("'"&amp;A3850&amp;"'!"&amp;B3850))=INDIRECT("'"&amp;A3850&amp;"'!"&amp;B3850),FALSE,TRUE))</f>
        <v>0</v>
      </c>
      <c r="E3850" t="s">
        <v>436</v>
      </c>
      <c r="F3850" t="str">
        <f>INDEX(Lists!I:I,MATCH(Validation!E3850,Lists!G:G,0))</f>
        <v>Error</v>
      </c>
      <c r="G3850" t="str">
        <f>INDEX(Lists!H:H,MATCH(Validation!E3850,Lists!G:G,0))</f>
        <v>Amount must be rounded to the nearest dollar.</v>
      </c>
      <c r="H3850" s="16" t="str">
        <f t="shared" ca="1" si="405"/>
        <v/>
      </c>
      <c r="I3850" s="16" t="str">
        <f t="shared" ca="1" si="406"/>
        <v/>
      </c>
      <c r="J3850" s="17" t="str">
        <f t="shared" ca="1" si="407"/>
        <v/>
      </c>
    </row>
    <row r="3851" spans="1:10" x14ac:dyDescent="0.25">
      <c r="A3851" t="s">
        <v>203</v>
      </c>
      <c r="B3851" t="str">
        <f>ADDRESS(ROW('PAYG 1'!$B$21),COLUMN('PAYG 1'!$B$21),4)</f>
        <v>B21</v>
      </c>
      <c r="C3851" t="str">
        <f>ADDRESS(ROW('PAYG 1'!$D$21),COLUMN('PAYG 1'!$D$21),4)</f>
        <v>D21</v>
      </c>
      <c r="D3851" t="b">
        <f>IF('PAYG 1'!B$7="",FALSE,IF('PAYG 1'!B$21&gt;'PAYG 1'!B$12,TRUE,FALSE))</f>
        <v>0</v>
      </c>
      <c r="E3851" t="s">
        <v>712</v>
      </c>
      <c r="F3851" t="str">
        <f>INDEX(Lists!I:I,MATCH(Validation!E3851,Lists!G:G,0))</f>
        <v>Error</v>
      </c>
      <c r="G3851" t="str">
        <f>INDEX(Lists!H:H,MATCH(Validation!E3851,Lists!G:G,0))</f>
        <v>Total documented costs may not exceed the note amount.</v>
      </c>
      <c r="H3851" s="16" t="str">
        <f t="shared" ref="H3851:H3865" ca="1" si="408">IFERROR(IF(OR(NOT(D3851),F3851&lt;&gt;"Error"),"",A3851&amp;CELL("address",INDIRECT(B3851))),"")</f>
        <v/>
      </c>
      <c r="I3851" s="16" t="str">
        <f t="shared" ref="I3851:I3865" ca="1" si="409">IFERROR(IF(NOT(D3851),"",A3851&amp;CELL("address",INDIRECT(C3851))),"")</f>
        <v/>
      </c>
      <c r="J3851" s="17" t="str">
        <f t="shared" ref="J3851:J3865" si="410">IFERROR(IF(NOT(D3851),"",A3851),"")</f>
        <v/>
      </c>
    </row>
    <row r="3852" spans="1:10" x14ac:dyDescent="0.25">
      <c r="A3852" t="s">
        <v>651</v>
      </c>
      <c r="B3852" t="str">
        <f>ADDRESS(ROW('PAYG 1'!$B$21),COLUMN('PAYG 1'!$B$21),4)</f>
        <v>B21</v>
      </c>
      <c r="C3852" t="str">
        <f>ADDRESS(ROW('PAYG 1'!$D$21),COLUMN('PAYG 1'!$D$21),4)</f>
        <v>D21</v>
      </c>
      <c r="D3852" t="b">
        <f>IF('PAYG 2'!B$7="",FALSE,IF('PAYG 2'!B$21&gt;'PAYG 2'!B$12,TRUE,FALSE))</f>
        <v>0</v>
      </c>
      <c r="E3852" t="s">
        <v>712</v>
      </c>
      <c r="F3852" t="str">
        <f>INDEX(Lists!I:I,MATCH(Validation!E3852,Lists!G:G,0))</f>
        <v>Error</v>
      </c>
      <c r="G3852" t="str">
        <f>INDEX(Lists!H:H,MATCH(Validation!E3852,Lists!G:G,0))</f>
        <v>Total documented costs may not exceed the note amount.</v>
      </c>
      <c r="H3852" s="16" t="str">
        <f t="shared" ca="1" si="408"/>
        <v/>
      </c>
      <c r="I3852" s="16" t="str">
        <f t="shared" ca="1" si="409"/>
        <v/>
      </c>
      <c r="J3852" s="17" t="str">
        <f t="shared" si="410"/>
        <v/>
      </c>
    </row>
    <row r="3853" spans="1:10" x14ac:dyDescent="0.25">
      <c r="A3853" t="s">
        <v>652</v>
      </c>
      <c r="B3853" t="str">
        <f>ADDRESS(ROW('PAYG 1'!$B$21),COLUMN('PAYG 1'!$B$21),4)</f>
        <v>B21</v>
      </c>
      <c r="C3853" t="str">
        <f>ADDRESS(ROW('PAYG 1'!$D$21),COLUMN('PAYG 1'!$D$21),4)</f>
        <v>D21</v>
      </c>
      <c r="D3853" t="b">
        <f>IF('PAYG 3'!B$7="",FALSE,IF('PAYG 3'!B$21&gt;'PAYG 3'!B$12,TRUE,FALSE))</f>
        <v>0</v>
      </c>
      <c r="E3853" t="s">
        <v>712</v>
      </c>
      <c r="F3853" t="str">
        <f>INDEX(Lists!I:I,MATCH(Validation!E3853,Lists!G:G,0))</f>
        <v>Error</v>
      </c>
      <c r="G3853" t="str">
        <f>INDEX(Lists!H:H,MATCH(Validation!E3853,Lists!G:G,0))</f>
        <v>Total documented costs may not exceed the note amount.</v>
      </c>
      <c r="H3853" s="16" t="str">
        <f t="shared" ca="1" si="408"/>
        <v/>
      </c>
      <c r="I3853" s="16" t="str">
        <f t="shared" ca="1" si="409"/>
        <v/>
      </c>
      <c r="J3853" s="17" t="str">
        <f t="shared" si="410"/>
        <v/>
      </c>
    </row>
    <row r="3854" spans="1:10" x14ac:dyDescent="0.25">
      <c r="A3854" t="s">
        <v>653</v>
      </c>
      <c r="B3854" t="str">
        <f>ADDRESS(ROW('PAYG 1'!$B$21),COLUMN('PAYG 1'!$B$21),4)</f>
        <v>B21</v>
      </c>
      <c r="C3854" t="str">
        <f>ADDRESS(ROW('PAYG 1'!$D$21),COLUMN('PAYG 1'!$D$21),4)</f>
        <v>D21</v>
      </c>
      <c r="D3854" t="b">
        <f>IF('PAYG 4'!B$7="",FALSE,IF('PAYG 4'!B$21&gt;'PAYG 4'!B$12,TRUE,FALSE))</f>
        <v>0</v>
      </c>
      <c r="E3854" t="s">
        <v>712</v>
      </c>
      <c r="F3854" t="str">
        <f>INDEX(Lists!I:I,MATCH(Validation!E3854,Lists!G:G,0))</f>
        <v>Error</v>
      </c>
      <c r="G3854" t="str">
        <f>INDEX(Lists!H:H,MATCH(Validation!E3854,Lists!G:G,0))</f>
        <v>Total documented costs may not exceed the note amount.</v>
      </c>
      <c r="H3854" s="16" t="str">
        <f t="shared" ca="1" si="408"/>
        <v/>
      </c>
      <c r="I3854" s="16" t="str">
        <f t="shared" ca="1" si="409"/>
        <v/>
      </c>
      <c r="J3854" s="17" t="str">
        <f t="shared" si="410"/>
        <v/>
      </c>
    </row>
    <row r="3855" spans="1:10" x14ac:dyDescent="0.25">
      <c r="A3855" t="s">
        <v>654</v>
      </c>
      <c r="B3855" t="str">
        <f>ADDRESS(ROW('PAYG 1'!$B$21),COLUMN('PAYG 1'!$B$21),4)</f>
        <v>B21</v>
      </c>
      <c r="C3855" t="str">
        <f>ADDRESS(ROW('PAYG 1'!$D$21),COLUMN('PAYG 1'!$D$21),4)</f>
        <v>D21</v>
      </c>
      <c r="D3855" t="b">
        <f>IF('PAYG 5'!B$7="",FALSE,IF('PAYG 5'!B$21&gt;'PAYG 5'!B$12,TRUE,FALSE))</f>
        <v>0</v>
      </c>
      <c r="E3855" t="s">
        <v>712</v>
      </c>
      <c r="F3855" t="str">
        <f>INDEX(Lists!I:I,MATCH(Validation!E3855,Lists!G:G,0))</f>
        <v>Error</v>
      </c>
      <c r="G3855" t="str">
        <f>INDEX(Lists!H:H,MATCH(Validation!E3855,Lists!G:G,0))</f>
        <v>Total documented costs may not exceed the note amount.</v>
      </c>
      <c r="H3855" s="16" t="str">
        <f t="shared" ca="1" si="408"/>
        <v/>
      </c>
      <c r="I3855" s="16" t="str">
        <f t="shared" ca="1" si="409"/>
        <v/>
      </c>
      <c r="J3855" s="17" t="str">
        <f t="shared" si="410"/>
        <v/>
      </c>
    </row>
    <row r="3856" spans="1:10" x14ac:dyDescent="0.25">
      <c r="A3856" t="s">
        <v>655</v>
      </c>
      <c r="B3856" t="str">
        <f>ADDRESS(ROW('PAYG 1'!$B$21),COLUMN('PAYG 1'!$B$21),4)</f>
        <v>B21</v>
      </c>
      <c r="C3856" t="str">
        <f>ADDRESS(ROW('PAYG 1'!$D$21),COLUMN('PAYG 1'!$D$21),4)</f>
        <v>D21</v>
      </c>
      <c r="D3856" t="b">
        <f>IF('PAYG 6'!B$7="",FALSE,IF('PAYG 6'!B$21&gt;'PAYG 6'!B$12,TRUE,FALSE))</f>
        <v>0</v>
      </c>
      <c r="E3856" t="s">
        <v>712</v>
      </c>
      <c r="F3856" t="str">
        <f>INDEX(Lists!I:I,MATCH(Validation!E3856,Lists!G:G,0))</f>
        <v>Error</v>
      </c>
      <c r="G3856" t="str">
        <f>INDEX(Lists!H:H,MATCH(Validation!E3856,Lists!G:G,0))</f>
        <v>Total documented costs may not exceed the note amount.</v>
      </c>
      <c r="H3856" s="16" t="str">
        <f t="shared" ca="1" si="408"/>
        <v/>
      </c>
      <c r="I3856" s="16" t="str">
        <f t="shared" ca="1" si="409"/>
        <v/>
      </c>
      <c r="J3856" s="17" t="str">
        <f t="shared" si="410"/>
        <v/>
      </c>
    </row>
    <row r="3857" spans="1:10" x14ac:dyDescent="0.25">
      <c r="A3857" t="s">
        <v>656</v>
      </c>
      <c r="B3857" t="str">
        <f>ADDRESS(ROW('PAYG 1'!$B$21),COLUMN('PAYG 1'!$B$21),4)</f>
        <v>B21</v>
      </c>
      <c r="C3857" t="str">
        <f>ADDRESS(ROW('PAYG 1'!$D$21),COLUMN('PAYG 1'!$D$21),4)</f>
        <v>D21</v>
      </c>
      <c r="D3857" t="b">
        <f>IF('PAYG 7'!B$7="",FALSE,IF('PAYG 7'!B$21&gt;'PAYG 7'!B$12,TRUE,FALSE))</f>
        <v>0</v>
      </c>
      <c r="E3857" t="s">
        <v>712</v>
      </c>
      <c r="F3857" t="str">
        <f>INDEX(Lists!I:I,MATCH(Validation!E3857,Lists!G:G,0))</f>
        <v>Error</v>
      </c>
      <c r="G3857" t="str">
        <f>INDEX(Lists!H:H,MATCH(Validation!E3857,Lists!G:G,0))</f>
        <v>Total documented costs may not exceed the note amount.</v>
      </c>
      <c r="H3857" s="16" t="str">
        <f t="shared" ca="1" si="408"/>
        <v/>
      </c>
      <c r="I3857" s="16" t="str">
        <f t="shared" ca="1" si="409"/>
        <v/>
      </c>
      <c r="J3857" s="17" t="str">
        <f t="shared" si="410"/>
        <v/>
      </c>
    </row>
    <row r="3858" spans="1:10" x14ac:dyDescent="0.25">
      <c r="A3858" t="s">
        <v>657</v>
      </c>
      <c r="B3858" t="str">
        <f>ADDRESS(ROW('PAYG 1'!$B$21),COLUMN('PAYG 1'!$B$21),4)</f>
        <v>B21</v>
      </c>
      <c r="C3858" t="str">
        <f>ADDRESS(ROW('PAYG 1'!$D$21),COLUMN('PAYG 1'!$D$21),4)</f>
        <v>D21</v>
      </c>
      <c r="D3858" t="b">
        <f>IF('PAYG 8'!B$7="",FALSE,IF('PAYG 8'!B$21&gt;'PAYG 8'!B$12,TRUE,FALSE))</f>
        <v>0</v>
      </c>
      <c r="E3858" t="s">
        <v>712</v>
      </c>
      <c r="F3858" t="str">
        <f>INDEX(Lists!I:I,MATCH(Validation!E3858,Lists!G:G,0))</f>
        <v>Error</v>
      </c>
      <c r="G3858" t="str">
        <f>INDEX(Lists!H:H,MATCH(Validation!E3858,Lists!G:G,0))</f>
        <v>Total documented costs may not exceed the note amount.</v>
      </c>
      <c r="H3858" s="16" t="str">
        <f t="shared" ca="1" si="408"/>
        <v/>
      </c>
      <c r="I3858" s="16" t="str">
        <f t="shared" ca="1" si="409"/>
        <v/>
      </c>
      <c r="J3858" s="17" t="str">
        <f t="shared" si="410"/>
        <v/>
      </c>
    </row>
    <row r="3859" spans="1:10" x14ac:dyDescent="0.25">
      <c r="A3859" t="s">
        <v>658</v>
      </c>
      <c r="B3859" t="str">
        <f>ADDRESS(ROW('PAYG 1'!$B$21),COLUMN('PAYG 1'!$B$21),4)</f>
        <v>B21</v>
      </c>
      <c r="C3859" t="str">
        <f>ADDRESS(ROW('PAYG 1'!$D$21),COLUMN('PAYG 1'!$D$21),4)</f>
        <v>D21</v>
      </c>
      <c r="D3859" t="b">
        <f>IF('PAYG 9'!B$7="",FALSE,IF('PAYG 9'!B$21&gt;'PAYG 9'!B$12,TRUE,FALSE))</f>
        <v>0</v>
      </c>
      <c r="E3859" t="s">
        <v>712</v>
      </c>
      <c r="F3859" t="str">
        <f>INDEX(Lists!I:I,MATCH(Validation!E3859,Lists!G:G,0))</f>
        <v>Error</v>
      </c>
      <c r="G3859" t="str">
        <f>INDEX(Lists!H:H,MATCH(Validation!E3859,Lists!G:G,0))</f>
        <v>Total documented costs may not exceed the note amount.</v>
      </c>
      <c r="H3859" s="16" t="str">
        <f t="shared" ca="1" si="408"/>
        <v/>
      </c>
      <c r="I3859" s="16" t="str">
        <f t="shared" ca="1" si="409"/>
        <v/>
      </c>
      <c r="J3859" s="17" t="str">
        <f t="shared" si="410"/>
        <v/>
      </c>
    </row>
    <row r="3860" spans="1:10" x14ac:dyDescent="0.25">
      <c r="A3860" t="s">
        <v>659</v>
      </c>
      <c r="B3860" t="str">
        <f>ADDRESS(ROW('PAYG 1'!$B$21),COLUMN('PAYG 1'!$B$21),4)</f>
        <v>B21</v>
      </c>
      <c r="C3860" t="str">
        <f>ADDRESS(ROW('PAYG 1'!$D$21),COLUMN('PAYG 1'!$D$21),4)</f>
        <v>D21</v>
      </c>
      <c r="D3860" t="b">
        <f>IF('PAYG 10'!B$7="",FALSE,IF('PAYG 10'!B$21&gt;'PAYG 10'!B$12,TRUE,FALSE))</f>
        <v>0</v>
      </c>
      <c r="E3860" t="s">
        <v>712</v>
      </c>
      <c r="F3860" t="str">
        <f>INDEX(Lists!I:I,MATCH(Validation!E3860,Lists!G:G,0))</f>
        <v>Error</v>
      </c>
      <c r="G3860" t="str">
        <f>INDEX(Lists!H:H,MATCH(Validation!E3860,Lists!G:G,0))</f>
        <v>Total documented costs may not exceed the note amount.</v>
      </c>
      <c r="H3860" s="16" t="str">
        <f t="shared" ca="1" si="408"/>
        <v/>
      </c>
      <c r="I3860" s="16" t="str">
        <f t="shared" ca="1" si="409"/>
        <v/>
      </c>
      <c r="J3860" s="17" t="str">
        <f t="shared" si="410"/>
        <v/>
      </c>
    </row>
    <row r="3861" spans="1:10" x14ac:dyDescent="0.25">
      <c r="A3861" t="s">
        <v>660</v>
      </c>
      <c r="B3861" t="str">
        <f>ADDRESS(ROW('PAYG 1'!$B$21),COLUMN('PAYG 1'!$B$21),4)</f>
        <v>B21</v>
      </c>
      <c r="C3861" t="str">
        <f>ADDRESS(ROW('PAYG 1'!$D$21),COLUMN('PAYG 1'!$D$21),4)</f>
        <v>D21</v>
      </c>
      <c r="D3861" t="b">
        <f>IF('PAYG 11'!B$7="",FALSE,IF('PAYG 11'!B$21&gt;'PAYG 11'!B$12,TRUE,FALSE))</f>
        <v>0</v>
      </c>
      <c r="E3861" t="s">
        <v>712</v>
      </c>
      <c r="F3861" t="str">
        <f>INDEX(Lists!I:I,MATCH(Validation!E3861,Lists!G:G,0))</f>
        <v>Error</v>
      </c>
      <c r="G3861" t="str">
        <f>INDEX(Lists!H:H,MATCH(Validation!E3861,Lists!G:G,0))</f>
        <v>Total documented costs may not exceed the note amount.</v>
      </c>
      <c r="H3861" s="16" t="str">
        <f t="shared" ca="1" si="408"/>
        <v/>
      </c>
      <c r="I3861" s="16" t="str">
        <f t="shared" ca="1" si="409"/>
        <v/>
      </c>
      <c r="J3861" s="17" t="str">
        <f t="shared" si="410"/>
        <v/>
      </c>
    </row>
    <row r="3862" spans="1:10" x14ac:dyDescent="0.25">
      <c r="A3862" t="s">
        <v>661</v>
      </c>
      <c r="B3862" t="str">
        <f>ADDRESS(ROW('PAYG 1'!$B$21),COLUMN('PAYG 1'!$B$21),4)</f>
        <v>B21</v>
      </c>
      <c r="C3862" t="str">
        <f>ADDRESS(ROW('PAYG 1'!$D$21),COLUMN('PAYG 1'!$D$21),4)</f>
        <v>D21</v>
      </c>
      <c r="D3862" t="b">
        <f>IF('PAYG 12'!B$7="",FALSE,IF('PAYG 12'!B$21&gt;'PAYG 12'!B$12,TRUE,FALSE))</f>
        <v>0</v>
      </c>
      <c r="E3862" t="s">
        <v>712</v>
      </c>
      <c r="F3862" t="str">
        <f>INDEX(Lists!I:I,MATCH(Validation!E3862,Lists!G:G,0))</f>
        <v>Error</v>
      </c>
      <c r="G3862" t="str">
        <f>INDEX(Lists!H:H,MATCH(Validation!E3862,Lists!G:G,0))</f>
        <v>Total documented costs may not exceed the note amount.</v>
      </c>
      <c r="H3862" s="16" t="str">
        <f t="shared" ca="1" si="408"/>
        <v/>
      </c>
      <c r="I3862" s="16" t="str">
        <f t="shared" ca="1" si="409"/>
        <v/>
      </c>
      <c r="J3862" s="17" t="str">
        <f t="shared" si="410"/>
        <v/>
      </c>
    </row>
    <row r="3863" spans="1:10" x14ac:dyDescent="0.25">
      <c r="A3863" t="s">
        <v>662</v>
      </c>
      <c r="B3863" t="str">
        <f>ADDRESS(ROW('PAYG 1'!$B$21),COLUMN('PAYG 1'!$B$21),4)</f>
        <v>B21</v>
      </c>
      <c r="C3863" t="str">
        <f>ADDRESS(ROW('PAYG 1'!$D$21),COLUMN('PAYG 1'!$D$21),4)</f>
        <v>D21</v>
      </c>
      <c r="D3863" t="b">
        <f>IF('PAYG 13'!B$7="",FALSE,IF('PAYG 13'!B$21&gt;'PAYG 13'!B$12,TRUE,FALSE))</f>
        <v>0</v>
      </c>
      <c r="E3863" t="s">
        <v>712</v>
      </c>
      <c r="F3863" t="str">
        <f>INDEX(Lists!I:I,MATCH(Validation!E3863,Lists!G:G,0))</f>
        <v>Error</v>
      </c>
      <c r="G3863" t="str">
        <f>INDEX(Lists!H:H,MATCH(Validation!E3863,Lists!G:G,0))</f>
        <v>Total documented costs may not exceed the note amount.</v>
      </c>
      <c r="H3863" s="16" t="str">
        <f t="shared" ca="1" si="408"/>
        <v/>
      </c>
      <c r="I3863" s="16" t="str">
        <f t="shared" ca="1" si="409"/>
        <v/>
      </c>
      <c r="J3863" s="17" t="str">
        <f t="shared" si="410"/>
        <v/>
      </c>
    </row>
    <row r="3864" spans="1:10" x14ac:dyDescent="0.25">
      <c r="A3864" t="s">
        <v>663</v>
      </c>
      <c r="B3864" t="str">
        <f>ADDRESS(ROW('PAYG 1'!$B$21),COLUMN('PAYG 1'!$B$21),4)</f>
        <v>B21</v>
      </c>
      <c r="C3864" t="str">
        <f>ADDRESS(ROW('PAYG 1'!$D$21),COLUMN('PAYG 1'!$D$21),4)</f>
        <v>D21</v>
      </c>
      <c r="D3864" t="b">
        <f>IF('PAYG 14'!B$7="",FALSE,IF('PAYG 14'!B$21&gt;'PAYG 14'!B$12,TRUE,FALSE))</f>
        <v>0</v>
      </c>
      <c r="E3864" t="s">
        <v>712</v>
      </c>
      <c r="F3864" t="str">
        <f>INDEX(Lists!I:I,MATCH(Validation!E3864,Lists!G:G,0))</f>
        <v>Error</v>
      </c>
      <c r="G3864" t="str">
        <f>INDEX(Lists!H:H,MATCH(Validation!E3864,Lists!G:G,0))</f>
        <v>Total documented costs may not exceed the note amount.</v>
      </c>
      <c r="H3864" s="16" t="str">
        <f t="shared" ca="1" si="408"/>
        <v/>
      </c>
      <c r="I3864" s="16" t="str">
        <f t="shared" ca="1" si="409"/>
        <v/>
      </c>
      <c r="J3864" s="17" t="str">
        <f t="shared" si="410"/>
        <v/>
      </c>
    </row>
    <row r="3865" spans="1:10" x14ac:dyDescent="0.25">
      <c r="A3865" t="s">
        <v>664</v>
      </c>
      <c r="B3865" t="str">
        <f>ADDRESS(ROW('PAYG 1'!$B$21),COLUMN('PAYG 1'!$B$21),4)</f>
        <v>B21</v>
      </c>
      <c r="C3865" t="str">
        <f>ADDRESS(ROW('PAYG 1'!$D$21),COLUMN('PAYG 1'!$D$21),4)</f>
        <v>D21</v>
      </c>
      <c r="D3865" t="b">
        <f>IF('PAYG 15'!B$7="",FALSE,IF('PAYG 15'!B$21&gt;'PAYG 15'!B$12,TRUE,FALSE))</f>
        <v>0</v>
      </c>
      <c r="E3865" t="s">
        <v>712</v>
      </c>
      <c r="F3865" t="str">
        <f>INDEX(Lists!I:I,MATCH(Validation!E3865,Lists!G:G,0))</f>
        <v>Error</v>
      </c>
      <c r="G3865" t="str">
        <f>INDEX(Lists!H:H,MATCH(Validation!E3865,Lists!G:G,0))</f>
        <v>Total documented costs may not exceed the note amount.</v>
      </c>
      <c r="H3865" s="16" t="str">
        <f t="shared" ca="1" si="408"/>
        <v/>
      </c>
      <c r="I3865" s="16" t="str">
        <f t="shared" ca="1" si="409"/>
        <v/>
      </c>
      <c r="J3865" s="17" t="str">
        <f t="shared" si="410"/>
        <v/>
      </c>
    </row>
    <row r="3866" spans="1:10" x14ac:dyDescent="0.25">
      <c r="A3866" t="s">
        <v>203</v>
      </c>
      <c r="B3866" t="str">
        <f>ADDRESS(ROW('PAYG 1'!$C$21),COLUMN('PAYG 1'!$C$21),4)</f>
        <v>C21</v>
      </c>
      <c r="C3866" t="str">
        <f>ADDRESS(ROW('PAYG 1'!$D$21),COLUMN('PAYG 1'!$D$21),4)</f>
        <v>D21</v>
      </c>
      <c r="D3866" t="b">
        <f>IF('PAYG 1'!B$7="",FALSE,IF('PAYG 1'!B$21+'PAYG 1'!C$21&gt;'PAYG 1'!B$12,TRUE,FALSE))</f>
        <v>0</v>
      </c>
      <c r="E3866" t="s">
        <v>712</v>
      </c>
      <c r="F3866" t="str">
        <f>INDEX(Lists!I:I,MATCH(Validation!E3866,Lists!G:G,0))</f>
        <v>Error</v>
      </c>
      <c r="G3866" t="str">
        <f>INDEX(Lists!H:H,MATCH(Validation!E3866,Lists!G:G,0))</f>
        <v>Total documented costs may not exceed the note amount.</v>
      </c>
      <c r="H3866" s="16" t="str">
        <f t="shared" ref="H3866:H3880" ca="1" si="411">IFERROR(IF(OR(NOT(D3866),F3866&lt;&gt;"Error"),"",A3866&amp;CELL("address",INDIRECT(B3866))),"")</f>
        <v/>
      </c>
      <c r="I3866" s="16" t="str">
        <f t="shared" ref="I3866:I3880" ca="1" si="412">IFERROR(IF(NOT(D3866),"",A3866&amp;CELL("address",INDIRECT(C3866))),"")</f>
        <v/>
      </c>
      <c r="J3866" s="17" t="str">
        <f t="shared" ref="J3866:J3880" si="413">IFERROR(IF(NOT(D3866),"",A3866),"")</f>
        <v/>
      </c>
    </row>
    <row r="3867" spans="1:10" x14ac:dyDescent="0.25">
      <c r="A3867" t="s">
        <v>651</v>
      </c>
      <c r="B3867" t="str">
        <f>ADDRESS(ROW('PAYG 1'!$C$21),COLUMN('PAYG 1'!$C$21),4)</f>
        <v>C21</v>
      </c>
      <c r="C3867" t="str">
        <f>ADDRESS(ROW('PAYG 1'!$D$21),COLUMN('PAYG 1'!$D$21),4)</f>
        <v>D21</v>
      </c>
      <c r="D3867" t="b">
        <f>IF('PAYG 2'!B$7="",FALSE,IF('PAYG 2'!B$21+'PAYG 2'!C$21&gt;'PAYG 2'!B$12,TRUE,FALSE))</f>
        <v>0</v>
      </c>
      <c r="E3867" t="s">
        <v>712</v>
      </c>
      <c r="F3867" t="str">
        <f>INDEX(Lists!I:I,MATCH(Validation!E3867,Lists!G:G,0))</f>
        <v>Error</v>
      </c>
      <c r="G3867" t="str">
        <f>INDEX(Lists!H:H,MATCH(Validation!E3867,Lists!G:G,0))</f>
        <v>Total documented costs may not exceed the note amount.</v>
      </c>
      <c r="H3867" s="16" t="str">
        <f t="shared" ca="1" si="411"/>
        <v/>
      </c>
      <c r="I3867" s="16" t="str">
        <f t="shared" ca="1" si="412"/>
        <v/>
      </c>
      <c r="J3867" s="17" t="str">
        <f t="shared" si="413"/>
        <v/>
      </c>
    </row>
    <row r="3868" spans="1:10" x14ac:dyDescent="0.25">
      <c r="A3868" t="s">
        <v>652</v>
      </c>
      <c r="B3868" t="str">
        <f>ADDRESS(ROW('PAYG 1'!$C$21),COLUMN('PAYG 1'!$C$21),4)</f>
        <v>C21</v>
      </c>
      <c r="C3868" t="str">
        <f>ADDRESS(ROW('PAYG 1'!$D$21),COLUMN('PAYG 1'!$D$21),4)</f>
        <v>D21</v>
      </c>
      <c r="D3868" t="b">
        <f>IF('PAYG 3'!B$7="",FALSE,IF('PAYG 3'!B$21+'PAYG 3'!C$21&gt;'PAYG 3'!B$12,TRUE,FALSE))</f>
        <v>0</v>
      </c>
      <c r="E3868" t="s">
        <v>712</v>
      </c>
      <c r="F3868" t="str">
        <f>INDEX(Lists!I:I,MATCH(Validation!E3868,Lists!G:G,0))</f>
        <v>Error</v>
      </c>
      <c r="G3868" t="str">
        <f>INDEX(Lists!H:H,MATCH(Validation!E3868,Lists!G:G,0))</f>
        <v>Total documented costs may not exceed the note amount.</v>
      </c>
      <c r="H3868" s="16" t="str">
        <f t="shared" ca="1" si="411"/>
        <v/>
      </c>
      <c r="I3868" s="16" t="str">
        <f t="shared" ca="1" si="412"/>
        <v/>
      </c>
      <c r="J3868" s="17" t="str">
        <f t="shared" si="413"/>
        <v/>
      </c>
    </row>
    <row r="3869" spans="1:10" x14ac:dyDescent="0.25">
      <c r="A3869" t="s">
        <v>653</v>
      </c>
      <c r="B3869" t="str">
        <f>ADDRESS(ROW('PAYG 1'!$C$21),COLUMN('PAYG 1'!$C$21),4)</f>
        <v>C21</v>
      </c>
      <c r="C3869" t="str">
        <f>ADDRESS(ROW('PAYG 1'!$D$21),COLUMN('PAYG 1'!$D$21),4)</f>
        <v>D21</v>
      </c>
      <c r="D3869" t="b">
        <f>IF('PAYG 4'!B$7="",FALSE,IF('PAYG 4'!B$21+'PAYG 4'!C$21&gt;'PAYG 4'!B$12,TRUE,FALSE))</f>
        <v>0</v>
      </c>
      <c r="E3869" t="s">
        <v>712</v>
      </c>
      <c r="F3869" t="str">
        <f>INDEX(Lists!I:I,MATCH(Validation!E3869,Lists!G:G,0))</f>
        <v>Error</v>
      </c>
      <c r="G3869" t="str">
        <f>INDEX(Lists!H:H,MATCH(Validation!E3869,Lists!G:G,0))</f>
        <v>Total documented costs may not exceed the note amount.</v>
      </c>
      <c r="H3869" s="16" t="str">
        <f t="shared" ca="1" si="411"/>
        <v/>
      </c>
      <c r="I3869" s="16" t="str">
        <f t="shared" ca="1" si="412"/>
        <v/>
      </c>
      <c r="J3869" s="17" t="str">
        <f t="shared" si="413"/>
        <v/>
      </c>
    </row>
    <row r="3870" spans="1:10" x14ac:dyDescent="0.25">
      <c r="A3870" t="s">
        <v>654</v>
      </c>
      <c r="B3870" t="str">
        <f>ADDRESS(ROW('PAYG 1'!$C$21),COLUMN('PAYG 1'!$C$21),4)</f>
        <v>C21</v>
      </c>
      <c r="C3870" t="str">
        <f>ADDRESS(ROW('PAYG 1'!$D$21),COLUMN('PAYG 1'!$D$21),4)</f>
        <v>D21</v>
      </c>
      <c r="D3870" t="b">
        <f>IF('PAYG 5'!B$7="",FALSE,IF('PAYG 5'!B$21+'PAYG 5'!C$21&gt;'PAYG 5'!B$12,TRUE,FALSE))</f>
        <v>0</v>
      </c>
      <c r="E3870" t="s">
        <v>712</v>
      </c>
      <c r="F3870" t="str">
        <f>INDEX(Lists!I:I,MATCH(Validation!E3870,Lists!G:G,0))</f>
        <v>Error</v>
      </c>
      <c r="G3870" t="str">
        <f>INDEX(Lists!H:H,MATCH(Validation!E3870,Lists!G:G,0))</f>
        <v>Total documented costs may not exceed the note amount.</v>
      </c>
      <c r="H3870" s="16" t="str">
        <f t="shared" ca="1" si="411"/>
        <v/>
      </c>
      <c r="I3870" s="16" t="str">
        <f t="shared" ca="1" si="412"/>
        <v/>
      </c>
      <c r="J3870" s="17" t="str">
        <f t="shared" si="413"/>
        <v/>
      </c>
    </row>
    <row r="3871" spans="1:10" x14ac:dyDescent="0.25">
      <c r="A3871" t="s">
        <v>655</v>
      </c>
      <c r="B3871" t="str">
        <f>ADDRESS(ROW('PAYG 1'!$C$21),COLUMN('PAYG 1'!$C$21),4)</f>
        <v>C21</v>
      </c>
      <c r="C3871" t="str">
        <f>ADDRESS(ROW('PAYG 1'!$D$21),COLUMN('PAYG 1'!$D$21),4)</f>
        <v>D21</v>
      </c>
      <c r="D3871" t="b">
        <f>IF('PAYG 6'!B$7="",FALSE,IF('PAYG 6'!B$21+'PAYG 6'!C$21&gt;'PAYG 6'!B$12,TRUE,FALSE))</f>
        <v>0</v>
      </c>
      <c r="E3871" t="s">
        <v>712</v>
      </c>
      <c r="F3871" t="str">
        <f>INDEX(Lists!I:I,MATCH(Validation!E3871,Lists!G:G,0))</f>
        <v>Error</v>
      </c>
      <c r="G3871" t="str">
        <f>INDEX(Lists!H:H,MATCH(Validation!E3871,Lists!G:G,0))</f>
        <v>Total documented costs may not exceed the note amount.</v>
      </c>
      <c r="H3871" s="16" t="str">
        <f t="shared" ca="1" si="411"/>
        <v/>
      </c>
      <c r="I3871" s="16" t="str">
        <f t="shared" ca="1" si="412"/>
        <v/>
      </c>
      <c r="J3871" s="17" t="str">
        <f t="shared" si="413"/>
        <v/>
      </c>
    </row>
    <row r="3872" spans="1:10" x14ac:dyDescent="0.25">
      <c r="A3872" t="s">
        <v>656</v>
      </c>
      <c r="B3872" t="str">
        <f>ADDRESS(ROW('PAYG 1'!$C$21),COLUMN('PAYG 1'!$C$21),4)</f>
        <v>C21</v>
      </c>
      <c r="C3872" t="str">
        <f>ADDRESS(ROW('PAYG 1'!$D$21),COLUMN('PAYG 1'!$D$21),4)</f>
        <v>D21</v>
      </c>
      <c r="D3872" t="b">
        <f>IF('PAYG 7'!B$7="",FALSE,IF('PAYG 7'!B$21+'PAYG 7'!C$21&gt;'PAYG 7'!B$12,TRUE,FALSE))</f>
        <v>0</v>
      </c>
      <c r="E3872" t="s">
        <v>712</v>
      </c>
      <c r="F3872" t="str">
        <f>INDEX(Lists!I:I,MATCH(Validation!E3872,Lists!G:G,0))</f>
        <v>Error</v>
      </c>
      <c r="G3872" t="str">
        <f>INDEX(Lists!H:H,MATCH(Validation!E3872,Lists!G:G,0))</f>
        <v>Total documented costs may not exceed the note amount.</v>
      </c>
      <c r="H3872" s="16" t="str">
        <f t="shared" ca="1" si="411"/>
        <v/>
      </c>
      <c r="I3872" s="16" t="str">
        <f t="shared" ca="1" si="412"/>
        <v/>
      </c>
      <c r="J3872" s="17" t="str">
        <f t="shared" si="413"/>
        <v/>
      </c>
    </row>
    <row r="3873" spans="1:10" x14ac:dyDescent="0.25">
      <c r="A3873" t="s">
        <v>657</v>
      </c>
      <c r="B3873" t="str">
        <f>ADDRESS(ROW('PAYG 1'!$C$21),COLUMN('PAYG 1'!$C$21),4)</f>
        <v>C21</v>
      </c>
      <c r="C3873" t="str">
        <f>ADDRESS(ROW('PAYG 1'!$D$21),COLUMN('PAYG 1'!$D$21),4)</f>
        <v>D21</v>
      </c>
      <c r="D3873" t="b">
        <f>IF('PAYG 8'!B$7="",FALSE,IF('PAYG 8'!B$21+'PAYG 8'!C$21&gt;'PAYG 8'!B$12,TRUE,FALSE))</f>
        <v>0</v>
      </c>
      <c r="E3873" t="s">
        <v>712</v>
      </c>
      <c r="F3873" t="str">
        <f>INDEX(Lists!I:I,MATCH(Validation!E3873,Lists!G:G,0))</f>
        <v>Error</v>
      </c>
      <c r="G3873" t="str">
        <f>INDEX(Lists!H:H,MATCH(Validation!E3873,Lists!G:G,0))</f>
        <v>Total documented costs may not exceed the note amount.</v>
      </c>
      <c r="H3873" s="16" t="str">
        <f t="shared" ca="1" si="411"/>
        <v/>
      </c>
      <c r="I3873" s="16" t="str">
        <f t="shared" ca="1" si="412"/>
        <v/>
      </c>
      <c r="J3873" s="17" t="str">
        <f t="shared" si="413"/>
        <v/>
      </c>
    </row>
    <row r="3874" spans="1:10" x14ac:dyDescent="0.25">
      <c r="A3874" t="s">
        <v>658</v>
      </c>
      <c r="B3874" t="str">
        <f>ADDRESS(ROW('PAYG 1'!$C$21),COLUMN('PAYG 1'!$C$21),4)</f>
        <v>C21</v>
      </c>
      <c r="C3874" t="str">
        <f>ADDRESS(ROW('PAYG 1'!$D$21),COLUMN('PAYG 1'!$D$21),4)</f>
        <v>D21</v>
      </c>
      <c r="D3874" t="b">
        <f>IF('PAYG 9'!B$7="",FALSE,IF('PAYG 9'!B$21+'PAYG 9'!C$21&gt;'PAYG 9'!B$12,TRUE,FALSE))</f>
        <v>0</v>
      </c>
      <c r="E3874" t="s">
        <v>712</v>
      </c>
      <c r="F3874" t="str">
        <f>INDEX(Lists!I:I,MATCH(Validation!E3874,Lists!G:G,0))</f>
        <v>Error</v>
      </c>
      <c r="G3874" t="str">
        <f>INDEX(Lists!H:H,MATCH(Validation!E3874,Lists!G:G,0))</f>
        <v>Total documented costs may not exceed the note amount.</v>
      </c>
      <c r="H3874" s="16" t="str">
        <f t="shared" ca="1" si="411"/>
        <v/>
      </c>
      <c r="I3874" s="16" t="str">
        <f t="shared" ca="1" si="412"/>
        <v/>
      </c>
      <c r="J3874" s="17" t="str">
        <f t="shared" si="413"/>
        <v/>
      </c>
    </row>
    <row r="3875" spans="1:10" x14ac:dyDescent="0.25">
      <c r="A3875" t="s">
        <v>659</v>
      </c>
      <c r="B3875" t="str">
        <f>ADDRESS(ROW('PAYG 1'!$C$21),COLUMN('PAYG 1'!$C$21),4)</f>
        <v>C21</v>
      </c>
      <c r="C3875" t="str">
        <f>ADDRESS(ROW('PAYG 1'!$D$21),COLUMN('PAYG 1'!$D$21),4)</f>
        <v>D21</v>
      </c>
      <c r="D3875" t="b">
        <f>IF('PAYG 10'!B$7="",FALSE,IF('PAYG 10'!B$21+'PAYG 10'!C$21&gt;'PAYG 10'!B$12,TRUE,FALSE))</f>
        <v>0</v>
      </c>
      <c r="E3875" t="s">
        <v>712</v>
      </c>
      <c r="F3875" t="str">
        <f>INDEX(Lists!I:I,MATCH(Validation!E3875,Lists!G:G,0))</f>
        <v>Error</v>
      </c>
      <c r="G3875" t="str">
        <f>INDEX(Lists!H:H,MATCH(Validation!E3875,Lists!G:G,0))</f>
        <v>Total documented costs may not exceed the note amount.</v>
      </c>
      <c r="H3875" s="16" t="str">
        <f t="shared" ca="1" si="411"/>
        <v/>
      </c>
      <c r="I3875" s="16" t="str">
        <f t="shared" ca="1" si="412"/>
        <v/>
      </c>
      <c r="J3875" s="17" t="str">
        <f t="shared" si="413"/>
        <v/>
      </c>
    </row>
    <row r="3876" spans="1:10" x14ac:dyDescent="0.25">
      <c r="A3876" t="s">
        <v>660</v>
      </c>
      <c r="B3876" t="str">
        <f>ADDRESS(ROW('PAYG 1'!$C$21),COLUMN('PAYG 1'!$C$21),4)</f>
        <v>C21</v>
      </c>
      <c r="C3876" t="str">
        <f>ADDRESS(ROW('PAYG 1'!$D$21),COLUMN('PAYG 1'!$D$21),4)</f>
        <v>D21</v>
      </c>
      <c r="D3876" t="b">
        <f>IF('PAYG 11'!B$7="",FALSE,IF('PAYG 11'!B$21+'PAYG 11'!C$21&gt;'PAYG 11'!B$12,TRUE,FALSE))</f>
        <v>0</v>
      </c>
      <c r="E3876" t="s">
        <v>712</v>
      </c>
      <c r="F3876" t="str">
        <f>INDEX(Lists!I:I,MATCH(Validation!E3876,Lists!G:G,0))</f>
        <v>Error</v>
      </c>
      <c r="G3876" t="str">
        <f>INDEX(Lists!H:H,MATCH(Validation!E3876,Lists!G:G,0))</f>
        <v>Total documented costs may not exceed the note amount.</v>
      </c>
      <c r="H3876" s="16" t="str">
        <f t="shared" ca="1" si="411"/>
        <v/>
      </c>
      <c r="I3876" s="16" t="str">
        <f t="shared" ca="1" si="412"/>
        <v/>
      </c>
      <c r="J3876" s="17" t="str">
        <f t="shared" si="413"/>
        <v/>
      </c>
    </row>
    <row r="3877" spans="1:10" x14ac:dyDescent="0.25">
      <c r="A3877" t="s">
        <v>661</v>
      </c>
      <c r="B3877" t="str">
        <f>ADDRESS(ROW('PAYG 1'!$C$21),COLUMN('PAYG 1'!$C$21),4)</f>
        <v>C21</v>
      </c>
      <c r="C3877" t="str">
        <f>ADDRESS(ROW('PAYG 1'!$D$21),COLUMN('PAYG 1'!$D$21),4)</f>
        <v>D21</v>
      </c>
      <c r="D3877" t="b">
        <f>IF('PAYG 12'!B$7="",FALSE,IF('PAYG 12'!B$21+'PAYG 12'!C$21&gt;'PAYG 12'!B$12,TRUE,FALSE))</f>
        <v>0</v>
      </c>
      <c r="E3877" t="s">
        <v>712</v>
      </c>
      <c r="F3877" t="str">
        <f>INDEX(Lists!I:I,MATCH(Validation!E3877,Lists!G:G,0))</f>
        <v>Error</v>
      </c>
      <c r="G3877" t="str">
        <f>INDEX(Lists!H:H,MATCH(Validation!E3877,Lists!G:G,0))</f>
        <v>Total documented costs may not exceed the note amount.</v>
      </c>
      <c r="H3877" s="16" t="str">
        <f t="shared" ca="1" si="411"/>
        <v/>
      </c>
      <c r="I3877" s="16" t="str">
        <f t="shared" ca="1" si="412"/>
        <v/>
      </c>
      <c r="J3877" s="17" t="str">
        <f t="shared" si="413"/>
        <v/>
      </c>
    </row>
    <row r="3878" spans="1:10" x14ac:dyDescent="0.25">
      <c r="A3878" t="s">
        <v>662</v>
      </c>
      <c r="B3878" t="str">
        <f>ADDRESS(ROW('PAYG 1'!$C$21),COLUMN('PAYG 1'!$C$21),4)</f>
        <v>C21</v>
      </c>
      <c r="C3878" t="str">
        <f>ADDRESS(ROW('PAYG 1'!$D$21),COLUMN('PAYG 1'!$D$21),4)</f>
        <v>D21</v>
      </c>
      <c r="D3878" t="b">
        <f>IF('PAYG 13'!B$7="",FALSE,IF('PAYG 13'!B$21+'PAYG 13'!C$21&gt;'PAYG 13'!B$12,TRUE,FALSE))</f>
        <v>0</v>
      </c>
      <c r="E3878" t="s">
        <v>712</v>
      </c>
      <c r="F3878" t="str">
        <f>INDEX(Lists!I:I,MATCH(Validation!E3878,Lists!G:G,0))</f>
        <v>Error</v>
      </c>
      <c r="G3878" t="str">
        <f>INDEX(Lists!H:H,MATCH(Validation!E3878,Lists!G:G,0))</f>
        <v>Total documented costs may not exceed the note amount.</v>
      </c>
      <c r="H3878" s="16" t="str">
        <f t="shared" ca="1" si="411"/>
        <v/>
      </c>
      <c r="I3878" s="16" t="str">
        <f t="shared" ca="1" si="412"/>
        <v/>
      </c>
      <c r="J3878" s="17" t="str">
        <f t="shared" si="413"/>
        <v/>
      </c>
    </row>
    <row r="3879" spans="1:10" x14ac:dyDescent="0.25">
      <c r="A3879" t="s">
        <v>663</v>
      </c>
      <c r="B3879" t="str">
        <f>ADDRESS(ROW('PAYG 1'!$C$21),COLUMN('PAYG 1'!$C$21),4)</f>
        <v>C21</v>
      </c>
      <c r="C3879" t="str">
        <f>ADDRESS(ROW('PAYG 1'!$D$21),COLUMN('PAYG 1'!$D$21),4)</f>
        <v>D21</v>
      </c>
      <c r="D3879" t="b">
        <f>IF('PAYG 14'!B$7="",FALSE,IF('PAYG 14'!B$21+'PAYG 14'!C$21&gt;'PAYG 14'!B$12,TRUE,FALSE))</f>
        <v>0</v>
      </c>
      <c r="E3879" t="s">
        <v>712</v>
      </c>
      <c r="F3879" t="str">
        <f>INDEX(Lists!I:I,MATCH(Validation!E3879,Lists!G:G,0))</f>
        <v>Error</v>
      </c>
      <c r="G3879" t="str">
        <f>INDEX(Lists!H:H,MATCH(Validation!E3879,Lists!G:G,0))</f>
        <v>Total documented costs may not exceed the note amount.</v>
      </c>
      <c r="H3879" s="16" t="str">
        <f t="shared" ca="1" si="411"/>
        <v/>
      </c>
      <c r="I3879" s="16" t="str">
        <f t="shared" ca="1" si="412"/>
        <v/>
      </c>
      <c r="J3879" s="17" t="str">
        <f t="shared" si="413"/>
        <v/>
      </c>
    </row>
    <row r="3880" spans="1:10" x14ac:dyDescent="0.25">
      <c r="A3880" t="s">
        <v>664</v>
      </c>
      <c r="B3880" t="str">
        <f>ADDRESS(ROW('PAYG 1'!$C$21),COLUMN('PAYG 1'!$C$21),4)</f>
        <v>C21</v>
      </c>
      <c r="C3880" t="str">
        <f>ADDRESS(ROW('PAYG 1'!$D$21),COLUMN('PAYG 1'!$D$21),4)</f>
        <v>D21</v>
      </c>
      <c r="D3880" t="b">
        <f>IF('PAYG 15'!B$7="",FALSE,IF('PAYG 15'!B$21+'PAYG 15'!C$21&gt;'PAYG 15'!B$12,TRUE,FALSE))</f>
        <v>0</v>
      </c>
      <c r="E3880" t="s">
        <v>712</v>
      </c>
      <c r="F3880" t="str">
        <f>INDEX(Lists!I:I,MATCH(Validation!E3880,Lists!G:G,0))</f>
        <v>Error</v>
      </c>
      <c r="G3880" t="str">
        <f>INDEX(Lists!H:H,MATCH(Validation!E3880,Lists!G:G,0))</f>
        <v>Total documented costs may not exceed the note amount.</v>
      </c>
      <c r="H3880" s="16" t="str">
        <f t="shared" ca="1" si="411"/>
        <v/>
      </c>
      <c r="I3880" s="16" t="str">
        <f t="shared" ca="1" si="412"/>
        <v/>
      </c>
      <c r="J3880" s="17" t="str">
        <f t="shared" si="413"/>
        <v/>
      </c>
    </row>
    <row r="3881" spans="1:10" x14ac:dyDescent="0.25">
      <c r="A3881" t="s">
        <v>203</v>
      </c>
      <c r="B3881" t="str">
        <f>ADDRESS(ROW('PAYG 1'!$B$21),COLUMN('PAYG 1'!$B$21),4)</f>
        <v>B21</v>
      </c>
      <c r="C3881" t="str">
        <f>ADDRESS(ROW('PAYG 1'!$D$21),COLUMN('PAYG 1'!$D$21),4)</f>
        <v>D21</v>
      </c>
      <c r="D3881" t="b">
        <f>IF(OR('PAYG 1'!B$22="",'PAYG 1'!B$23="",'PAYG 1'!B$7=""),FALSE,IF('PAYG 1'!B$22+'PAYG 1'!B$23='PAYG 1'!B$21,FALSE,TRUE))</f>
        <v>0</v>
      </c>
      <c r="E3881" t="s">
        <v>1444</v>
      </c>
      <c r="F3881" t="str">
        <f>INDEX(Lists!I:I,MATCH(Validation!E3881,Lists!G:G,0))</f>
        <v>Error</v>
      </c>
      <c r="G3881" t="str">
        <f>INDEX(Lists!H:H,MATCH(Validation!E3881,Lists!G:G,0))</f>
        <v>The sum of Lines 22 and 23 must equal Line 21.</v>
      </c>
      <c r="H3881" s="16" t="str">
        <f t="shared" ref="H3881" ca="1" si="414">IFERROR(IF(OR(NOT(D3881),F3881&lt;&gt;"Error"),"",A3881&amp;CELL("address",INDIRECT(B3881))),"")</f>
        <v/>
      </c>
      <c r="I3881" s="16" t="str">
        <f t="shared" ref="I3881" ca="1" si="415">IFERROR(IF(NOT(D3881),"",A3881&amp;CELL("address",INDIRECT(C3881))),"")</f>
        <v/>
      </c>
      <c r="J3881" s="17" t="str">
        <f t="shared" ref="J3881" si="416">IFERROR(IF(NOT(D3881),"",A3881),"")</f>
        <v/>
      </c>
    </row>
    <row r="3882" spans="1:10" x14ac:dyDescent="0.25">
      <c r="A3882" t="s">
        <v>651</v>
      </c>
      <c r="B3882" t="str">
        <f>ADDRESS(ROW('PAYG 1'!$B$21),COLUMN('PAYG 1'!$B$21),4)</f>
        <v>B21</v>
      </c>
      <c r="C3882" t="str">
        <f>ADDRESS(ROW('PAYG 1'!$D$21),COLUMN('PAYG 1'!$D$21),4)</f>
        <v>D21</v>
      </c>
      <c r="D3882" t="b">
        <f>IF(OR('PAYG 2'!B$22="",'PAYG 2'!B$23="",'PAYG 2'!B$7=""),FALSE,IF('PAYG 2'!B$22+'PAYG 2'!B$23='PAYG 2'!B$21,FALSE,TRUE))</f>
        <v>0</v>
      </c>
      <c r="E3882" t="s">
        <v>1444</v>
      </c>
      <c r="F3882" t="str">
        <f>INDEX(Lists!I:I,MATCH(Validation!E3882,Lists!G:G,0))</f>
        <v>Error</v>
      </c>
      <c r="G3882" t="str">
        <f>INDEX(Lists!H:H,MATCH(Validation!E3882,Lists!G:G,0))</f>
        <v>The sum of Lines 22 and 23 must equal Line 21.</v>
      </c>
      <c r="H3882" s="16" t="str">
        <f t="shared" ref="H3882:H3896" ca="1" si="417">IFERROR(IF(OR(NOT(D3882),F3882&lt;&gt;"Error"),"",A3882&amp;CELL("address",INDIRECT(B3882))),"")</f>
        <v/>
      </c>
      <c r="I3882" s="16" t="str">
        <f t="shared" ref="I3882:I3896" ca="1" si="418">IFERROR(IF(NOT(D3882),"",A3882&amp;CELL("address",INDIRECT(C3882))),"")</f>
        <v/>
      </c>
      <c r="J3882" s="17" t="str">
        <f t="shared" ref="J3882:J3896" si="419">IFERROR(IF(NOT(D3882),"",A3882),"")</f>
        <v/>
      </c>
    </row>
    <row r="3883" spans="1:10" x14ac:dyDescent="0.25">
      <c r="A3883" t="s">
        <v>652</v>
      </c>
      <c r="B3883" t="str">
        <f>ADDRESS(ROW('PAYG 1'!$B$21),COLUMN('PAYG 1'!$B$21),4)</f>
        <v>B21</v>
      </c>
      <c r="C3883" t="str">
        <f>ADDRESS(ROW('PAYG 1'!$D$21),COLUMN('PAYG 1'!$D$21),4)</f>
        <v>D21</v>
      </c>
      <c r="D3883" t="b">
        <f>IF(OR('PAYG 3'!B$22="",'PAYG 3'!B$23="",'PAYG 3'!B$7=""),FALSE,IF('PAYG 3'!B$22+'PAYG 3'!B$23='PAYG 3'!B$21,FALSE,TRUE))</f>
        <v>0</v>
      </c>
      <c r="E3883" t="s">
        <v>1444</v>
      </c>
      <c r="F3883" t="str">
        <f>INDEX(Lists!I:I,MATCH(Validation!E3883,Lists!G:G,0))</f>
        <v>Error</v>
      </c>
      <c r="G3883" t="str">
        <f>INDEX(Lists!H:H,MATCH(Validation!E3883,Lists!G:G,0))</f>
        <v>The sum of Lines 22 and 23 must equal Line 21.</v>
      </c>
      <c r="H3883" s="16" t="str">
        <f t="shared" ca="1" si="417"/>
        <v/>
      </c>
      <c r="I3883" s="16" t="str">
        <f t="shared" ca="1" si="418"/>
        <v/>
      </c>
      <c r="J3883" s="17" t="str">
        <f t="shared" si="419"/>
        <v/>
      </c>
    </row>
    <row r="3884" spans="1:10" x14ac:dyDescent="0.25">
      <c r="A3884" t="s">
        <v>653</v>
      </c>
      <c r="B3884" t="str">
        <f>ADDRESS(ROW('PAYG 1'!$B$21),COLUMN('PAYG 1'!$B$21),4)</f>
        <v>B21</v>
      </c>
      <c r="C3884" t="str">
        <f>ADDRESS(ROW('PAYG 1'!$D$21),COLUMN('PAYG 1'!$D$21),4)</f>
        <v>D21</v>
      </c>
      <c r="D3884" t="b">
        <f>IF(OR('PAYG 4'!B$22="",'PAYG 4'!B$23="",'PAYG 4'!B$7=""),FALSE,IF('PAYG 4'!B$22+'PAYG 4'!B$23='PAYG 4'!B$21,FALSE,TRUE))</f>
        <v>0</v>
      </c>
      <c r="E3884" t="s">
        <v>1444</v>
      </c>
      <c r="F3884" t="str">
        <f>INDEX(Lists!I:I,MATCH(Validation!E3884,Lists!G:G,0))</f>
        <v>Error</v>
      </c>
      <c r="G3884" t="str">
        <f>INDEX(Lists!H:H,MATCH(Validation!E3884,Lists!G:G,0))</f>
        <v>The sum of Lines 22 and 23 must equal Line 21.</v>
      </c>
      <c r="H3884" s="16" t="str">
        <f t="shared" ca="1" si="417"/>
        <v/>
      </c>
      <c r="I3884" s="16" t="str">
        <f t="shared" ca="1" si="418"/>
        <v/>
      </c>
      <c r="J3884" s="17" t="str">
        <f t="shared" si="419"/>
        <v/>
      </c>
    </row>
    <row r="3885" spans="1:10" x14ac:dyDescent="0.25">
      <c r="A3885" t="s">
        <v>654</v>
      </c>
      <c r="B3885" t="str">
        <f>ADDRESS(ROW('PAYG 1'!$B$21),COLUMN('PAYG 1'!$B$21),4)</f>
        <v>B21</v>
      </c>
      <c r="C3885" t="str">
        <f>ADDRESS(ROW('PAYG 1'!$D$21),COLUMN('PAYG 1'!$D$21),4)</f>
        <v>D21</v>
      </c>
      <c r="D3885" t="b">
        <f>IF(OR('PAYG 5'!B$22="",'PAYG 5'!B$23="",'PAYG 5'!B$7=""),FALSE,IF('PAYG 5'!B$22+'PAYG 5'!B$23='PAYG 5'!B$21,FALSE,TRUE))</f>
        <v>0</v>
      </c>
      <c r="E3885" t="s">
        <v>1444</v>
      </c>
      <c r="F3885" t="str">
        <f>INDEX(Lists!I:I,MATCH(Validation!E3885,Lists!G:G,0))</f>
        <v>Error</v>
      </c>
      <c r="G3885" t="str">
        <f>INDEX(Lists!H:H,MATCH(Validation!E3885,Lists!G:G,0))</f>
        <v>The sum of Lines 22 and 23 must equal Line 21.</v>
      </c>
      <c r="H3885" s="16" t="str">
        <f t="shared" ca="1" si="417"/>
        <v/>
      </c>
      <c r="I3885" s="16" t="str">
        <f t="shared" ca="1" si="418"/>
        <v/>
      </c>
      <c r="J3885" s="17" t="str">
        <f t="shared" si="419"/>
        <v/>
      </c>
    </row>
    <row r="3886" spans="1:10" x14ac:dyDescent="0.25">
      <c r="A3886" t="s">
        <v>655</v>
      </c>
      <c r="B3886" t="str">
        <f>ADDRESS(ROW('PAYG 1'!$B$21),COLUMN('PAYG 1'!$B$21),4)</f>
        <v>B21</v>
      </c>
      <c r="C3886" t="str">
        <f>ADDRESS(ROW('PAYG 1'!$D$21),COLUMN('PAYG 1'!$D$21),4)</f>
        <v>D21</v>
      </c>
      <c r="D3886" t="b">
        <f>IF(OR('PAYG 6'!B$22="",'PAYG 6'!B$23="",'PAYG 6'!B$7=""),FALSE,IF('PAYG 6'!B$22+'PAYG 6'!B$23='PAYG 6'!B$21,FALSE,TRUE))</f>
        <v>0</v>
      </c>
      <c r="E3886" t="s">
        <v>1444</v>
      </c>
      <c r="F3886" t="str">
        <f>INDEX(Lists!I:I,MATCH(Validation!E3886,Lists!G:G,0))</f>
        <v>Error</v>
      </c>
      <c r="G3886" t="str">
        <f>INDEX(Lists!H:H,MATCH(Validation!E3886,Lists!G:G,0))</f>
        <v>The sum of Lines 22 and 23 must equal Line 21.</v>
      </c>
      <c r="H3886" s="16" t="str">
        <f t="shared" ca="1" si="417"/>
        <v/>
      </c>
      <c r="I3886" s="16" t="str">
        <f t="shared" ca="1" si="418"/>
        <v/>
      </c>
      <c r="J3886" s="17" t="str">
        <f t="shared" si="419"/>
        <v/>
      </c>
    </row>
    <row r="3887" spans="1:10" x14ac:dyDescent="0.25">
      <c r="A3887" t="s">
        <v>656</v>
      </c>
      <c r="B3887" t="str">
        <f>ADDRESS(ROW('PAYG 1'!$B$21),COLUMN('PAYG 1'!$B$21),4)</f>
        <v>B21</v>
      </c>
      <c r="C3887" t="str">
        <f>ADDRESS(ROW('PAYG 1'!$D$21),COLUMN('PAYG 1'!$D$21),4)</f>
        <v>D21</v>
      </c>
      <c r="D3887" t="b">
        <f>IF(OR('PAYG 7'!B$22="",'PAYG 7'!B$23="",'PAYG 7'!B$7=""),FALSE,IF('PAYG 7'!B$22+'PAYG 7'!B$23='PAYG 7'!B$21,FALSE,TRUE))</f>
        <v>0</v>
      </c>
      <c r="E3887" t="s">
        <v>1444</v>
      </c>
      <c r="F3887" t="str">
        <f>INDEX(Lists!I:I,MATCH(Validation!E3887,Lists!G:G,0))</f>
        <v>Error</v>
      </c>
      <c r="G3887" t="str">
        <f>INDEX(Lists!H:H,MATCH(Validation!E3887,Lists!G:G,0))</f>
        <v>The sum of Lines 22 and 23 must equal Line 21.</v>
      </c>
      <c r="H3887" s="16" t="str">
        <f t="shared" ca="1" si="417"/>
        <v/>
      </c>
      <c r="I3887" s="16" t="str">
        <f t="shared" ca="1" si="418"/>
        <v/>
      </c>
      <c r="J3887" s="17" t="str">
        <f t="shared" si="419"/>
        <v/>
      </c>
    </row>
    <row r="3888" spans="1:10" x14ac:dyDescent="0.25">
      <c r="A3888" t="s">
        <v>657</v>
      </c>
      <c r="B3888" t="str">
        <f>ADDRESS(ROW('PAYG 1'!$B$21),COLUMN('PAYG 1'!$B$21),4)</f>
        <v>B21</v>
      </c>
      <c r="C3888" t="str">
        <f>ADDRESS(ROW('PAYG 1'!$D$21),COLUMN('PAYG 1'!$D$21),4)</f>
        <v>D21</v>
      </c>
      <c r="D3888" t="b">
        <f>IF(OR('PAYG 8'!B$22="",'PAYG 8'!B$23="",'PAYG 8'!B$7=""),FALSE,IF('PAYG 8'!B$22+'PAYG 8'!B$23='PAYG 8'!B$21,FALSE,TRUE))</f>
        <v>0</v>
      </c>
      <c r="E3888" t="s">
        <v>1444</v>
      </c>
      <c r="F3888" t="str">
        <f>INDEX(Lists!I:I,MATCH(Validation!E3888,Lists!G:G,0))</f>
        <v>Error</v>
      </c>
      <c r="G3888" t="str">
        <f>INDEX(Lists!H:H,MATCH(Validation!E3888,Lists!G:G,0))</f>
        <v>The sum of Lines 22 and 23 must equal Line 21.</v>
      </c>
      <c r="H3888" s="16" t="str">
        <f t="shared" ca="1" si="417"/>
        <v/>
      </c>
      <c r="I3888" s="16" t="str">
        <f t="shared" ca="1" si="418"/>
        <v/>
      </c>
      <c r="J3888" s="17" t="str">
        <f t="shared" si="419"/>
        <v/>
      </c>
    </row>
    <row r="3889" spans="1:10" x14ac:dyDescent="0.25">
      <c r="A3889" t="s">
        <v>658</v>
      </c>
      <c r="B3889" t="str">
        <f>ADDRESS(ROW('PAYG 1'!$B$21),COLUMN('PAYG 1'!$B$21),4)</f>
        <v>B21</v>
      </c>
      <c r="C3889" t="str">
        <f>ADDRESS(ROW('PAYG 1'!$D$21),COLUMN('PAYG 1'!$D$21),4)</f>
        <v>D21</v>
      </c>
      <c r="D3889" t="b">
        <f>IF(OR('PAYG 9'!B$22="",'PAYG 9'!B$23="",'PAYG 9'!B$7=""),FALSE,IF('PAYG 9'!B$22+'PAYG 9'!B$23='PAYG 9'!B$21,FALSE,TRUE))</f>
        <v>0</v>
      </c>
      <c r="E3889" t="s">
        <v>1444</v>
      </c>
      <c r="F3889" t="str">
        <f>INDEX(Lists!I:I,MATCH(Validation!E3889,Lists!G:G,0))</f>
        <v>Error</v>
      </c>
      <c r="G3889" t="str">
        <f>INDEX(Lists!H:H,MATCH(Validation!E3889,Lists!G:G,0))</f>
        <v>The sum of Lines 22 and 23 must equal Line 21.</v>
      </c>
      <c r="H3889" s="16" t="str">
        <f t="shared" ca="1" si="417"/>
        <v/>
      </c>
      <c r="I3889" s="16" t="str">
        <f t="shared" ca="1" si="418"/>
        <v/>
      </c>
      <c r="J3889" s="17" t="str">
        <f t="shared" si="419"/>
        <v/>
      </c>
    </row>
    <row r="3890" spans="1:10" x14ac:dyDescent="0.25">
      <c r="A3890" t="s">
        <v>659</v>
      </c>
      <c r="B3890" t="str">
        <f>ADDRESS(ROW('PAYG 1'!$B$21),COLUMN('PAYG 1'!$B$21),4)</f>
        <v>B21</v>
      </c>
      <c r="C3890" t="str">
        <f>ADDRESS(ROW('PAYG 1'!$D$21),COLUMN('PAYG 1'!$D$21),4)</f>
        <v>D21</v>
      </c>
      <c r="D3890" t="b">
        <f>IF(OR('PAYG 10'!B$22="",'PAYG 10'!B$23="",'PAYG 10'!B$7=""),FALSE,IF('PAYG 10'!B$22+'PAYG 10'!B$23='PAYG 10'!B$21,FALSE,TRUE))</f>
        <v>0</v>
      </c>
      <c r="E3890" t="s">
        <v>1444</v>
      </c>
      <c r="F3890" t="str">
        <f>INDEX(Lists!I:I,MATCH(Validation!E3890,Lists!G:G,0))</f>
        <v>Error</v>
      </c>
      <c r="G3890" t="str">
        <f>INDEX(Lists!H:H,MATCH(Validation!E3890,Lists!G:G,0))</f>
        <v>The sum of Lines 22 and 23 must equal Line 21.</v>
      </c>
      <c r="H3890" s="16" t="str">
        <f t="shared" ca="1" si="417"/>
        <v/>
      </c>
      <c r="I3890" s="16" t="str">
        <f t="shared" ca="1" si="418"/>
        <v/>
      </c>
      <c r="J3890" s="17" t="str">
        <f t="shared" si="419"/>
        <v/>
      </c>
    </row>
    <row r="3891" spans="1:10" x14ac:dyDescent="0.25">
      <c r="A3891" t="s">
        <v>660</v>
      </c>
      <c r="B3891" t="str">
        <f>ADDRESS(ROW('PAYG 1'!$B$21),COLUMN('PAYG 1'!$B$21),4)</f>
        <v>B21</v>
      </c>
      <c r="C3891" t="str">
        <f>ADDRESS(ROW('PAYG 1'!$D$21),COLUMN('PAYG 1'!$D$21),4)</f>
        <v>D21</v>
      </c>
      <c r="D3891" t="b">
        <f>IF(OR('PAYG 11'!B$22="",'PAYG 11'!B$23="",'PAYG 11'!B$7=""),FALSE,IF('PAYG 11'!B$22+'PAYG 11'!B$23='PAYG 11'!B$21,FALSE,TRUE))</f>
        <v>0</v>
      </c>
      <c r="E3891" t="s">
        <v>1444</v>
      </c>
      <c r="F3891" t="str">
        <f>INDEX(Lists!I:I,MATCH(Validation!E3891,Lists!G:G,0))</f>
        <v>Error</v>
      </c>
      <c r="G3891" t="str">
        <f>INDEX(Lists!H:H,MATCH(Validation!E3891,Lists!G:G,0))</f>
        <v>The sum of Lines 22 and 23 must equal Line 21.</v>
      </c>
      <c r="H3891" s="16" t="str">
        <f t="shared" ca="1" si="417"/>
        <v/>
      </c>
      <c r="I3891" s="16" t="str">
        <f t="shared" ca="1" si="418"/>
        <v/>
      </c>
      <c r="J3891" s="17" t="str">
        <f t="shared" si="419"/>
        <v/>
      </c>
    </row>
    <row r="3892" spans="1:10" x14ac:dyDescent="0.25">
      <c r="A3892" t="s">
        <v>661</v>
      </c>
      <c r="B3892" t="str">
        <f>ADDRESS(ROW('PAYG 1'!$B$21),COLUMN('PAYG 1'!$B$21),4)</f>
        <v>B21</v>
      </c>
      <c r="C3892" t="str">
        <f>ADDRESS(ROW('PAYG 1'!$D$21),COLUMN('PAYG 1'!$D$21),4)</f>
        <v>D21</v>
      </c>
      <c r="D3892" t="b">
        <f>IF(OR('PAYG 12'!B$22="",'PAYG 12'!B$23="",'PAYG 12'!B$7=""),FALSE,IF('PAYG 12'!B$22+'PAYG 12'!B$23='PAYG 12'!B$21,FALSE,TRUE))</f>
        <v>0</v>
      </c>
      <c r="E3892" t="s">
        <v>1444</v>
      </c>
      <c r="F3892" t="str">
        <f>INDEX(Lists!I:I,MATCH(Validation!E3892,Lists!G:G,0))</f>
        <v>Error</v>
      </c>
      <c r="G3892" t="str">
        <f>INDEX(Lists!H:H,MATCH(Validation!E3892,Lists!G:G,0))</f>
        <v>The sum of Lines 22 and 23 must equal Line 21.</v>
      </c>
      <c r="H3892" s="16" t="str">
        <f t="shared" ca="1" si="417"/>
        <v/>
      </c>
      <c r="I3892" s="16" t="str">
        <f t="shared" ca="1" si="418"/>
        <v/>
      </c>
      <c r="J3892" s="17" t="str">
        <f t="shared" si="419"/>
        <v/>
      </c>
    </row>
    <row r="3893" spans="1:10" x14ac:dyDescent="0.25">
      <c r="A3893" t="s">
        <v>662</v>
      </c>
      <c r="B3893" t="str">
        <f>ADDRESS(ROW('PAYG 1'!$B$21),COLUMN('PAYG 1'!$B$21),4)</f>
        <v>B21</v>
      </c>
      <c r="C3893" t="str">
        <f>ADDRESS(ROW('PAYG 1'!$D$21),COLUMN('PAYG 1'!$D$21),4)</f>
        <v>D21</v>
      </c>
      <c r="D3893" t="b">
        <f>IF(OR('PAYG 13'!B$22="",'PAYG 13'!B$23="",'PAYG 13'!B$7=""),FALSE,IF('PAYG 13'!B$22+'PAYG 13'!B$23='PAYG 13'!B$21,FALSE,TRUE))</f>
        <v>0</v>
      </c>
      <c r="E3893" t="s">
        <v>1444</v>
      </c>
      <c r="F3893" t="str">
        <f>INDEX(Lists!I:I,MATCH(Validation!E3893,Lists!G:G,0))</f>
        <v>Error</v>
      </c>
      <c r="G3893" t="str">
        <f>INDEX(Lists!H:H,MATCH(Validation!E3893,Lists!G:G,0))</f>
        <v>The sum of Lines 22 and 23 must equal Line 21.</v>
      </c>
      <c r="H3893" s="16" t="str">
        <f t="shared" ca="1" si="417"/>
        <v/>
      </c>
      <c r="I3893" s="16" t="str">
        <f t="shared" ca="1" si="418"/>
        <v/>
      </c>
      <c r="J3893" s="17" t="str">
        <f t="shared" si="419"/>
        <v/>
      </c>
    </row>
    <row r="3894" spans="1:10" x14ac:dyDescent="0.25">
      <c r="A3894" t="s">
        <v>663</v>
      </c>
      <c r="B3894" t="str">
        <f>ADDRESS(ROW('PAYG 1'!$B$21),COLUMN('PAYG 1'!$B$21),4)</f>
        <v>B21</v>
      </c>
      <c r="C3894" t="str">
        <f>ADDRESS(ROW('PAYG 1'!$D$21),COLUMN('PAYG 1'!$D$21),4)</f>
        <v>D21</v>
      </c>
      <c r="D3894" t="b">
        <f>IF(OR('PAYG 14'!B$22="",'PAYG 14'!B$23="",'PAYG 14'!B$7=""),FALSE,IF('PAYG 14'!B$22+'PAYG 14'!B$23='PAYG 14'!B$21,FALSE,TRUE))</f>
        <v>0</v>
      </c>
      <c r="E3894" t="s">
        <v>1444</v>
      </c>
      <c r="F3894" t="str">
        <f>INDEX(Lists!I:I,MATCH(Validation!E3894,Lists!G:G,0))</f>
        <v>Error</v>
      </c>
      <c r="G3894" t="str">
        <f>INDEX(Lists!H:H,MATCH(Validation!E3894,Lists!G:G,0))</f>
        <v>The sum of Lines 22 and 23 must equal Line 21.</v>
      </c>
      <c r="H3894" s="16" t="str">
        <f t="shared" ca="1" si="417"/>
        <v/>
      </c>
      <c r="I3894" s="16" t="str">
        <f t="shared" ca="1" si="418"/>
        <v/>
      </c>
      <c r="J3894" s="17" t="str">
        <f t="shared" si="419"/>
        <v/>
      </c>
    </row>
    <row r="3895" spans="1:10" x14ac:dyDescent="0.25">
      <c r="A3895" t="s">
        <v>664</v>
      </c>
      <c r="B3895" t="str">
        <f>ADDRESS(ROW('PAYG 1'!$B$21),COLUMN('PAYG 1'!$B$21),4)</f>
        <v>B21</v>
      </c>
      <c r="C3895" t="str">
        <f>ADDRESS(ROW('PAYG 1'!$D$21),COLUMN('PAYG 1'!$D$21),4)</f>
        <v>D21</v>
      </c>
      <c r="D3895" t="b">
        <f>IF(OR('PAYG 15'!B$22="",'PAYG 15'!B$23="",'PAYG 15'!B$7=""),FALSE,IF('PAYG 15'!B$22+'PAYG 15'!B$23='PAYG 15'!B$21,FALSE,TRUE))</f>
        <v>0</v>
      </c>
      <c r="E3895" t="s">
        <v>1444</v>
      </c>
      <c r="F3895" t="str">
        <f>INDEX(Lists!I:I,MATCH(Validation!E3895,Lists!G:G,0))</f>
        <v>Error</v>
      </c>
      <c r="G3895" t="str">
        <f>INDEX(Lists!H:H,MATCH(Validation!E3895,Lists!G:G,0))</f>
        <v>The sum of Lines 22 and 23 must equal Line 21.</v>
      </c>
      <c r="H3895" s="16" t="str">
        <f t="shared" ca="1" si="417"/>
        <v/>
      </c>
      <c r="I3895" s="16" t="str">
        <f t="shared" ca="1" si="418"/>
        <v/>
      </c>
      <c r="J3895" s="17" t="str">
        <f t="shared" si="419"/>
        <v/>
      </c>
    </row>
    <row r="3896" spans="1:10" x14ac:dyDescent="0.25">
      <c r="A3896" t="s">
        <v>203</v>
      </c>
      <c r="B3896" t="str">
        <f>ADDRESS(ROW('PAYG 1'!$C$21),COLUMN('PAYG 1'!$C$21),4)</f>
        <v>C21</v>
      </c>
      <c r="C3896" t="str">
        <f>ADDRESS(ROW('PAYG 1'!$D$21),COLUMN('PAYG 1'!$D$21),4)</f>
        <v>D21</v>
      </c>
      <c r="D3896" t="b">
        <f>IF('PAYG 1'!B$7="",FALSE,IF('PAYG 1'!C$22+'PAYG 1'!C$23='PAYG 1'!C$21,FALSE,TRUE))</f>
        <v>0</v>
      </c>
      <c r="E3896" t="s">
        <v>1444</v>
      </c>
      <c r="F3896" t="str">
        <f>INDEX(Lists!I:I,MATCH(Validation!E3896,Lists!G:G,0))</f>
        <v>Error</v>
      </c>
      <c r="G3896" t="str">
        <f>INDEX(Lists!H:H,MATCH(Validation!E3896,Lists!G:G,0))</f>
        <v>The sum of Lines 22 and 23 must equal Line 21.</v>
      </c>
      <c r="H3896" s="16" t="str">
        <f t="shared" ca="1" si="417"/>
        <v/>
      </c>
      <c r="I3896" s="16" t="str">
        <f t="shared" ca="1" si="418"/>
        <v/>
      </c>
      <c r="J3896" s="17" t="str">
        <f t="shared" si="419"/>
        <v/>
      </c>
    </row>
    <row r="3897" spans="1:10" x14ac:dyDescent="0.25">
      <c r="A3897" t="s">
        <v>651</v>
      </c>
      <c r="B3897" t="str">
        <f>ADDRESS(ROW('PAYG 1'!$C$21),COLUMN('PAYG 1'!$C$21),4)</f>
        <v>C21</v>
      </c>
      <c r="C3897" t="str">
        <f>ADDRESS(ROW('PAYG 1'!$D$21),COLUMN('PAYG 1'!$D$21),4)</f>
        <v>D21</v>
      </c>
      <c r="D3897" t="b">
        <f>IF('PAYG 2'!B$7="",FALSE,IF('PAYG 2'!C$22+'PAYG 2'!C$23='PAYG 2'!C$21,FALSE,TRUE))</f>
        <v>0</v>
      </c>
      <c r="E3897" t="s">
        <v>1444</v>
      </c>
      <c r="F3897" t="str">
        <f>INDEX(Lists!I:I,MATCH(Validation!E3897,Lists!G:G,0))</f>
        <v>Error</v>
      </c>
      <c r="G3897" t="str">
        <f>INDEX(Lists!H:H,MATCH(Validation!E3897,Lists!G:G,0))</f>
        <v>The sum of Lines 22 and 23 must equal Line 21.</v>
      </c>
      <c r="H3897" s="16" t="str">
        <f t="shared" ref="H3897:H3910" ca="1" si="420">IFERROR(IF(OR(NOT(D3897),F3897&lt;&gt;"Error"),"",A3897&amp;CELL("address",INDIRECT(B3897))),"")</f>
        <v/>
      </c>
      <c r="I3897" s="16" t="str">
        <f t="shared" ref="I3897:I3910" ca="1" si="421">IFERROR(IF(NOT(D3897),"",A3897&amp;CELL("address",INDIRECT(C3897))),"")</f>
        <v/>
      </c>
      <c r="J3897" s="17" t="str">
        <f t="shared" ref="J3897:J3910" si="422">IFERROR(IF(NOT(D3897),"",A3897),"")</f>
        <v/>
      </c>
    </row>
    <row r="3898" spans="1:10" x14ac:dyDescent="0.25">
      <c r="A3898" t="s">
        <v>652</v>
      </c>
      <c r="B3898" t="str">
        <f>ADDRESS(ROW('PAYG 1'!$C$21),COLUMN('PAYG 1'!$C$21),4)</f>
        <v>C21</v>
      </c>
      <c r="C3898" t="str">
        <f>ADDRESS(ROW('PAYG 1'!$D$21),COLUMN('PAYG 1'!$D$21),4)</f>
        <v>D21</v>
      </c>
      <c r="D3898" t="b">
        <f>IF('PAYG 3'!B$7="",FALSE,IF('PAYG 3'!C$22+'PAYG 3'!C$23='PAYG 3'!C$21,FALSE,TRUE))</f>
        <v>0</v>
      </c>
      <c r="E3898" t="s">
        <v>1444</v>
      </c>
      <c r="F3898" t="str">
        <f>INDEX(Lists!I:I,MATCH(Validation!E3898,Lists!G:G,0))</f>
        <v>Error</v>
      </c>
      <c r="G3898" t="str">
        <f>INDEX(Lists!H:H,MATCH(Validation!E3898,Lists!G:G,0))</f>
        <v>The sum of Lines 22 and 23 must equal Line 21.</v>
      </c>
      <c r="H3898" s="16" t="str">
        <f t="shared" ca="1" si="420"/>
        <v/>
      </c>
      <c r="I3898" s="16" t="str">
        <f t="shared" ca="1" si="421"/>
        <v/>
      </c>
      <c r="J3898" s="17" t="str">
        <f t="shared" si="422"/>
        <v/>
      </c>
    </row>
    <row r="3899" spans="1:10" x14ac:dyDescent="0.25">
      <c r="A3899" t="s">
        <v>653</v>
      </c>
      <c r="B3899" t="str">
        <f>ADDRESS(ROW('PAYG 1'!$C$21),COLUMN('PAYG 1'!$C$21),4)</f>
        <v>C21</v>
      </c>
      <c r="C3899" t="str">
        <f>ADDRESS(ROW('PAYG 1'!$D$21),COLUMN('PAYG 1'!$D$21),4)</f>
        <v>D21</v>
      </c>
      <c r="D3899" t="b">
        <f>IF('PAYG 4'!B$7="",FALSE,IF('PAYG 4'!C$22+'PAYG 4'!C$23='PAYG 4'!C$21,FALSE,TRUE))</f>
        <v>0</v>
      </c>
      <c r="E3899" t="s">
        <v>1444</v>
      </c>
      <c r="F3899" t="str">
        <f>INDEX(Lists!I:I,MATCH(Validation!E3899,Lists!G:G,0))</f>
        <v>Error</v>
      </c>
      <c r="G3899" t="str">
        <f>INDEX(Lists!H:H,MATCH(Validation!E3899,Lists!G:G,0))</f>
        <v>The sum of Lines 22 and 23 must equal Line 21.</v>
      </c>
      <c r="H3899" s="16" t="str">
        <f t="shared" ca="1" si="420"/>
        <v/>
      </c>
      <c r="I3899" s="16" t="str">
        <f t="shared" ca="1" si="421"/>
        <v/>
      </c>
      <c r="J3899" s="17" t="str">
        <f t="shared" si="422"/>
        <v/>
      </c>
    </row>
    <row r="3900" spans="1:10" x14ac:dyDescent="0.25">
      <c r="A3900" t="s">
        <v>654</v>
      </c>
      <c r="B3900" t="str">
        <f>ADDRESS(ROW('PAYG 1'!$C$21),COLUMN('PAYG 1'!$C$21),4)</f>
        <v>C21</v>
      </c>
      <c r="C3900" t="str">
        <f>ADDRESS(ROW('PAYG 1'!$D$21),COLUMN('PAYG 1'!$D$21),4)</f>
        <v>D21</v>
      </c>
      <c r="D3900" t="b">
        <f>IF('PAYG 5'!B$7="",FALSE,IF('PAYG 5'!C$22+'PAYG 5'!C$23='PAYG 5'!C$21,FALSE,TRUE))</f>
        <v>0</v>
      </c>
      <c r="E3900" t="s">
        <v>1444</v>
      </c>
      <c r="F3900" t="str">
        <f>INDEX(Lists!I:I,MATCH(Validation!E3900,Lists!G:G,0))</f>
        <v>Error</v>
      </c>
      <c r="G3900" t="str">
        <f>INDEX(Lists!H:H,MATCH(Validation!E3900,Lists!G:G,0))</f>
        <v>The sum of Lines 22 and 23 must equal Line 21.</v>
      </c>
      <c r="H3900" s="16" t="str">
        <f t="shared" ca="1" si="420"/>
        <v/>
      </c>
      <c r="I3900" s="16" t="str">
        <f t="shared" ca="1" si="421"/>
        <v/>
      </c>
      <c r="J3900" s="17" t="str">
        <f t="shared" si="422"/>
        <v/>
      </c>
    </row>
    <row r="3901" spans="1:10" x14ac:dyDescent="0.25">
      <c r="A3901" t="s">
        <v>655</v>
      </c>
      <c r="B3901" t="str">
        <f>ADDRESS(ROW('PAYG 1'!$C$21),COLUMN('PAYG 1'!$C$21),4)</f>
        <v>C21</v>
      </c>
      <c r="C3901" t="str">
        <f>ADDRESS(ROW('PAYG 1'!$D$21),COLUMN('PAYG 1'!$D$21),4)</f>
        <v>D21</v>
      </c>
      <c r="D3901" t="b">
        <f>IF('PAYG 6'!B$7="",FALSE,IF('PAYG 6'!C$22+'PAYG 6'!C$23='PAYG 6'!C$21,FALSE,TRUE))</f>
        <v>0</v>
      </c>
      <c r="E3901" t="s">
        <v>1444</v>
      </c>
      <c r="F3901" t="str">
        <f>INDEX(Lists!I:I,MATCH(Validation!E3901,Lists!G:G,0))</f>
        <v>Error</v>
      </c>
      <c r="G3901" t="str">
        <f>INDEX(Lists!H:H,MATCH(Validation!E3901,Lists!G:G,0))</f>
        <v>The sum of Lines 22 and 23 must equal Line 21.</v>
      </c>
      <c r="H3901" s="16" t="str">
        <f t="shared" ca="1" si="420"/>
        <v/>
      </c>
      <c r="I3901" s="16" t="str">
        <f t="shared" ca="1" si="421"/>
        <v/>
      </c>
      <c r="J3901" s="17" t="str">
        <f t="shared" si="422"/>
        <v/>
      </c>
    </row>
    <row r="3902" spans="1:10" x14ac:dyDescent="0.25">
      <c r="A3902" t="s">
        <v>656</v>
      </c>
      <c r="B3902" t="str">
        <f>ADDRESS(ROW('PAYG 1'!$C$21),COLUMN('PAYG 1'!$C$21),4)</f>
        <v>C21</v>
      </c>
      <c r="C3902" t="str">
        <f>ADDRESS(ROW('PAYG 1'!$D$21),COLUMN('PAYG 1'!$D$21),4)</f>
        <v>D21</v>
      </c>
      <c r="D3902" t="b">
        <f>IF('PAYG 7'!B$7="",FALSE,IF('PAYG 7'!C$22+'PAYG 7'!C$23='PAYG 7'!C$21,FALSE,TRUE))</f>
        <v>0</v>
      </c>
      <c r="E3902" t="s">
        <v>1444</v>
      </c>
      <c r="F3902" t="str">
        <f>INDEX(Lists!I:I,MATCH(Validation!E3902,Lists!G:G,0))</f>
        <v>Error</v>
      </c>
      <c r="G3902" t="str">
        <f>INDEX(Lists!H:H,MATCH(Validation!E3902,Lists!G:G,0))</f>
        <v>The sum of Lines 22 and 23 must equal Line 21.</v>
      </c>
      <c r="H3902" s="16" t="str">
        <f t="shared" ca="1" si="420"/>
        <v/>
      </c>
      <c r="I3902" s="16" t="str">
        <f t="shared" ca="1" si="421"/>
        <v/>
      </c>
      <c r="J3902" s="17" t="str">
        <f t="shared" si="422"/>
        <v/>
      </c>
    </row>
    <row r="3903" spans="1:10" x14ac:dyDescent="0.25">
      <c r="A3903" t="s">
        <v>657</v>
      </c>
      <c r="B3903" t="str">
        <f>ADDRESS(ROW('PAYG 1'!$C$21),COLUMN('PAYG 1'!$C$21),4)</f>
        <v>C21</v>
      </c>
      <c r="C3903" t="str">
        <f>ADDRESS(ROW('PAYG 1'!$D$21),COLUMN('PAYG 1'!$D$21),4)</f>
        <v>D21</v>
      </c>
      <c r="D3903" t="b">
        <f>IF('PAYG 8'!B$7="",FALSE,IF('PAYG 8'!C$22+'PAYG 8'!C$23='PAYG 8'!C$21,FALSE,TRUE))</f>
        <v>0</v>
      </c>
      <c r="E3903" t="s">
        <v>1444</v>
      </c>
      <c r="F3903" t="str">
        <f>INDEX(Lists!I:I,MATCH(Validation!E3903,Lists!G:G,0))</f>
        <v>Error</v>
      </c>
      <c r="G3903" t="str">
        <f>INDEX(Lists!H:H,MATCH(Validation!E3903,Lists!G:G,0))</f>
        <v>The sum of Lines 22 and 23 must equal Line 21.</v>
      </c>
      <c r="H3903" s="16" t="str">
        <f t="shared" ca="1" si="420"/>
        <v/>
      </c>
      <c r="I3903" s="16" t="str">
        <f t="shared" ca="1" si="421"/>
        <v/>
      </c>
      <c r="J3903" s="17" t="str">
        <f t="shared" si="422"/>
        <v/>
      </c>
    </row>
    <row r="3904" spans="1:10" x14ac:dyDescent="0.25">
      <c r="A3904" t="s">
        <v>658</v>
      </c>
      <c r="B3904" t="str">
        <f>ADDRESS(ROW('PAYG 1'!$C$21),COLUMN('PAYG 1'!$C$21),4)</f>
        <v>C21</v>
      </c>
      <c r="C3904" t="str">
        <f>ADDRESS(ROW('PAYG 1'!$D$21),COLUMN('PAYG 1'!$D$21),4)</f>
        <v>D21</v>
      </c>
      <c r="D3904" t="b">
        <f>IF('PAYG 9'!B$7="",FALSE,IF('PAYG 9'!C$22+'PAYG 9'!C$23='PAYG 9'!C$21,FALSE,TRUE))</f>
        <v>0</v>
      </c>
      <c r="E3904" t="s">
        <v>1444</v>
      </c>
      <c r="F3904" t="str">
        <f>INDEX(Lists!I:I,MATCH(Validation!E3904,Lists!G:G,0))</f>
        <v>Error</v>
      </c>
      <c r="G3904" t="str">
        <f>INDEX(Lists!H:H,MATCH(Validation!E3904,Lists!G:G,0))</f>
        <v>The sum of Lines 22 and 23 must equal Line 21.</v>
      </c>
      <c r="H3904" s="16" t="str">
        <f t="shared" ca="1" si="420"/>
        <v/>
      </c>
      <c r="I3904" s="16" t="str">
        <f t="shared" ca="1" si="421"/>
        <v/>
      </c>
      <c r="J3904" s="17" t="str">
        <f t="shared" si="422"/>
        <v/>
      </c>
    </row>
    <row r="3905" spans="1:10" x14ac:dyDescent="0.25">
      <c r="A3905" t="s">
        <v>659</v>
      </c>
      <c r="B3905" t="str">
        <f>ADDRESS(ROW('PAYG 1'!$C$21),COLUMN('PAYG 1'!$C$21),4)</f>
        <v>C21</v>
      </c>
      <c r="C3905" t="str">
        <f>ADDRESS(ROW('PAYG 1'!$D$21),COLUMN('PAYG 1'!$D$21),4)</f>
        <v>D21</v>
      </c>
      <c r="D3905" t="b">
        <f>IF('PAYG 10'!B$7="",FALSE,IF('PAYG 10'!C$22+'PAYG 10'!C$23='PAYG 10'!C$21,FALSE,TRUE))</f>
        <v>0</v>
      </c>
      <c r="E3905" t="s">
        <v>1444</v>
      </c>
      <c r="F3905" t="str">
        <f>INDEX(Lists!I:I,MATCH(Validation!E3905,Lists!G:G,0))</f>
        <v>Error</v>
      </c>
      <c r="G3905" t="str">
        <f>INDEX(Lists!H:H,MATCH(Validation!E3905,Lists!G:G,0))</f>
        <v>The sum of Lines 22 and 23 must equal Line 21.</v>
      </c>
      <c r="H3905" s="16" t="str">
        <f t="shared" ca="1" si="420"/>
        <v/>
      </c>
      <c r="I3905" s="16" t="str">
        <f t="shared" ca="1" si="421"/>
        <v/>
      </c>
      <c r="J3905" s="17" t="str">
        <f t="shared" si="422"/>
        <v/>
      </c>
    </row>
    <row r="3906" spans="1:10" x14ac:dyDescent="0.25">
      <c r="A3906" t="s">
        <v>660</v>
      </c>
      <c r="B3906" t="str">
        <f>ADDRESS(ROW('PAYG 1'!$C$21),COLUMN('PAYG 1'!$C$21),4)</f>
        <v>C21</v>
      </c>
      <c r="C3906" t="str">
        <f>ADDRESS(ROW('PAYG 1'!$D$21),COLUMN('PAYG 1'!$D$21),4)</f>
        <v>D21</v>
      </c>
      <c r="D3906" t="b">
        <f>IF('PAYG 11'!B$7="",FALSE,IF('PAYG 11'!C$22+'PAYG 11'!C$23='PAYG 11'!C$21,FALSE,TRUE))</f>
        <v>0</v>
      </c>
      <c r="E3906" t="s">
        <v>1444</v>
      </c>
      <c r="F3906" t="str">
        <f>INDEX(Lists!I:I,MATCH(Validation!E3906,Lists!G:G,0))</f>
        <v>Error</v>
      </c>
      <c r="G3906" t="str">
        <f>INDEX(Lists!H:H,MATCH(Validation!E3906,Lists!G:G,0))</f>
        <v>The sum of Lines 22 and 23 must equal Line 21.</v>
      </c>
      <c r="H3906" s="16" t="str">
        <f t="shared" ca="1" si="420"/>
        <v/>
      </c>
      <c r="I3906" s="16" t="str">
        <f t="shared" ca="1" si="421"/>
        <v/>
      </c>
      <c r="J3906" s="17" t="str">
        <f t="shared" si="422"/>
        <v/>
      </c>
    </row>
    <row r="3907" spans="1:10" x14ac:dyDescent="0.25">
      <c r="A3907" t="s">
        <v>661</v>
      </c>
      <c r="B3907" t="str">
        <f>ADDRESS(ROW('PAYG 1'!$C$21),COLUMN('PAYG 1'!$C$21),4)</f>
        <v>C21</v>
      </c>
      <c r="C3907" t="str">
        <f>ADDRESS(ROW('PAYG 1'!$D$21),COLUMN('PAYG 1'!$D$21),4)</f>
        <v>D21</v>
      </c>
      <c r="D3907" t="b">
        <f>IF('PAYG 12'!B$7="",FALSE,IF('PAYG 12'!C$22+'PAYG 12'!C$23='PAYG 12'!C$21,FALSE,TRUE))</f>
        <v>0</v>
      </c>
      <c r="E3907" t="s">
        <v>1444</v>
      </c>
      <c r="F3907" t="str">
        <f>INDEX(Lists!I:I,MATCH(Validation!E3907,Lists!G:G,0))</f>
        <v>Error</v>
      </c>
      <c r="G3907" t="str">
        <f>INDEX(Lists!H:H,MATCH(Validation!E3907,Lists!G:G,0))</f>
        <v>The sum of Lines 22 and 23 must equal Line 21.</v>
      </c>
      <c r="H3907" s="16" t="str">
        <f t="shared" ca="1" si="420"/>
        <v/>
      </c>
      <c r="I3907" s="16" t="str">
        <f t="shared" ca="1" si="421"/>
        <v/>
      </c>
      <c r="J3907" s="17" t="str">
        <f t="shared" si="422"/>
        <v/>
      </c>
    </row>
    <row r="3908" spans="1:10" x14ac:dyDescent="0.25">
      <c r="A3908" t="s">
        <v>662</v>
      </c>
      <c r="B3908" t="str">
        <f>ADDRESS(ROW('PAYG 1'!$C$21),COLUMN('PAYG 1'!$C$21),4)</f>
        <v>C21</v>
      </c>
      <c r="C3908" t="str">
        <f>ADDRESS(ROW('PAYG 1'!$D$21),COLUMN('PAYG 1'!$D$21),4)</f>
        <v>D21</v>
      </c>
      <c r="D3908" t="b">
        <f>IF('PAYG 13'!B$7="",FALSE,IF('PAYG 13'!C$22+'PAYG 13'!C$23='PAYG 13'!C$21,FALSE,TRUE))</f>
        <v>0</v>
      </c>
      <c r="E3908" t="s">
        <v>1444</v>
      </c>
      <c r="F3908" t="str">
        <f>INDEX(Lists!I:I,MATCH(Validation!E3908,Lists!G:G,0))</f>
        <v>Error</v>
      </c>
      <c r="G3908" t="str">
        <f>INDEX(Lists!H:H,MATCH(Validation!E3908,Lists!G:G,0))</f>
        <v>The sum of Lines 22 and 23 must equal Line 21.</v>
      </c>
      <c r="H3908" s="16" t="str">
        <f t="shared" ca="1" si="420"/>
        <v/>
      </c>
      <c r="I3908" s="16" t="str">
        <f t="shared" ca="1" si="421"/>
        <v/>
      </c>
      <c r="J3908" s="17" t="str">
        <f t="shared" si="422"/>
        <v/>
      </c>
    </row>
    <row r="3909" spans="1:10" x14ac:dyDescent="0.25">
      <c r="A3909" t="s">
        <v>663</v>
      </c>
      <c r="B3909" t="str">
        <f>ADDRESS(ROW('PAYG 1'!$C$21),COLUMN('PAYG 1'!$C$21),4)</f>
        <v>C21</v>
      </c>
      <c r="C3909" t="str">
        <f>ADDRESS(ROW('PAYG 1'!$D$21),COLUMN('PAYG 1'!$D$21),4)</f>
        <v>D21</v>
      </c>
      <c r="D3909" t="b">
        <f>IF('PAYG 14'!B$7="",FALSE,IF('PAYG 14'!C$22+'PAYG 14'!C$23='PAYG 14'!C$21,FALSE,TRUE))</f>
        <v>0</v>
      </c>
      <c r="E3909" t="s">
        <v>1444</v>
      </c>
      <c r="F3909" t="str">
        <f>INDEX(Lists!I:I,MATCH(Validation!E3909,Lists!G:G,0))</f>
        <v>Error</v>
      </c>
      <c r="G3909" t="str">
        <f>INDEX(Lists!H:H,MATCH(Validation!E3909,Lists!G:G,0))</f>
        <v>The sum of Lines 22 and 23 must equal Line 21.</v>
      </c>
      <c r="H3909" s="16" t="str">
        <f t="shared" ca="1" si="420"/>
        <v/>
      </c>
      <c r="I3909" s="16" t="str">
        <f t="shared" ca="1" si="421"/>
        <v/>
      </c>
      <c r="J3909" s="17" t="str">
        <f t="shared" si="422"/>
        <v/>
      </c>
    </row>
    <row r="3910" spans="1:10" x14ac:dyDescent="0.25">
      <c r="A3910" t="s">
        <v>664</v>
      </c>
      <c r="B3910" t="str">
        <f>ADDRESS(ROW('PAYG 1'!$C$21),COLUMN('PAYG 1'!$C$21),4)</f>
        <v>C21</v>
      </c>
      <c r="C3910" t="str">
        <f>ADDRESS(ROW('PAYG 1'!$D$21),COLUMN('PAYG 1'!$D$21),4)</f>
        <v>D21</v>
      </c>
      <c r="D3910" t="b">
        <f>IF('PAYG 15'!B$7="",FALSE,IF('PAYG 15'!C$22+'PAYG 15'!C$23='PAYG 15'!C$21,FALSE,TRUE))</f>
        <v>0</v>
      </c>
      <c r="E3910" t="s">
        <v>1444</v>
      </c>
      <c r="F3910" t="str">
        <f>INDEX(Lists!I:I,MATCH(Validation!E3910,Lists!G:G,0))</f>
        <v>Error</v>
      </c>
      <c r="G3910" t="str">
        <f>INDEX(Lists!H:H,MATCH(Validation!E3910,Lists!G:G,0))</f>
        <v>The sum of Lines 22 and 23 must equal Line 21.</v>
      </c>
      <c r="H3910" s="16" t="str">
        <f t="shared" ca="1" si="420"/>
        <v/>
      </c>
      <c r="I3910" s="16" t="str">
        <f t="shared" ca="1" si="421"/>
        <v/>
      </c>
      <c r="J3910" s="17" t="str">
        <f t="shared" si="422"/>
        <v/>
      </c>
    </row>
    <row r="3911" spans="1:10" x14ac:dyDescent="0.25">
      <c r="A3911" t="s">
        <v>203</v>
      </c>
      <c r="B3911" t="str">
        <f>ADDRESS(ROW('PAYG 1'!$B$22),COLUMN('PAYG 1'!$B$22),4)</f>
        <v>B22</v>
      </c>
      <c r="C3911" t="str">
        <f>ADDRESS(ROW('PAYG 1'!$D$22),COLUMN('PAYG 1'!$D$22),4)</f>
        <v>D22</v>
      </c>
      <c r="D3911" t="b" cm="1">
        <f t="array" aca="1" ref="D3911" ca="1">IF(INDIRECT("'"&amp;A3911&amp;"'!"&amp;B3911)="",FALSE,IF(NOT(ISNUMBER(INDIRECT("'"&amp;A3911&amp;"'!"&amp;B3911))),TRUE,FALSE))</f>
        <v>0</v>
      </c>
      <c r="E3911" t="s">
        <v>435</v>
      </c>
      <c r="F3911" t="str">
        <f>INDEX(Lists!I:I,MATCH(Validation!E3911,Lists!G:G,0))</f>
        <v>Error</v>
      </c>
      <c r="G3911" t="str">
        <f>INDEX(Lists!H:H,MATCH(Validation!E3911,Lists!G:G,0))</f>
        <v>Enter an amount only. Do not enter text or spaces.</v>
      </c>
      <c r="H3911" s="16" t="str">
        <f t="shared" ref="H3911:H3955" ca="1" si="423">IFERROR(IF(OR(NOT(D3911),F3911&lt;&gt;"Error"),"",A3911&amp;CELL("address",INDIRECT(B3911))),"")</f>
        <v/>
      </c>
      <c r="I3911" s="16" t="str">
        <f t="shared" ref="I3911:I3955" ca="1" si="424">IFERROR(IF(NOT(D3911),"",A3911&amp;CELL("address",INDIRECT(C3911))),"")</f>
        <v/>
      </c>
      <c r="J3911" s="17" t="str">
        <f t="shared" ref="J3911:J3955" ca="1" si="425">IFERROR(IF(NOT(D3911),"",A3911),"")</f>
        <v/>
      </c>
    </row>
    <row r="3912" spans="1:10" x14ac:dyDescent="0.25">
      <c r="A3912" t="s">
        <v>651</v>
      </c>
      <c r="B3912" t="str">
        <f>ADDRESS(ROW('PAYG 1'!$B$22),COLUMN('PAYG 1'!$B$22),4)</f>
        <v>B22</v>
      </c>
      <c r="C3912" t="str">
        <f>ADDRESS(ROW('PAYG 1'!$D$22),COLUMN('PAYG 1'!$D$22),4)</f>
        <v>D22</v>
      </c>
      <c r="D3912" t="b" cm="1">
        <f t="array" aca="1" ref="D3912" ca="1">IF(INDIRECT("'"&amp;A3912&amp;"'!"&amp;B3912)="",FALSE,IF(NOT(ISNUMBER(INDIRECT("'"&amp;A3912&amp;"'!"&amp;B3912))),TRUE,FALSE))</f>
        <v>0</v>
      </c>
      <c r="E3912" t="s">
        <v>435</v>
      </c>
      <c r="F3912" t="str">
        <f>INDEX(Lists!I:I,MATCH(Validation!E3912,Lists!G:G,0))</f>
        <v>Error</v>
      </c>
      <c r="G3912" t="str">
        <f>INDEX(Lists!H:H,MATCH(Validation!E3912,Lists!G:G,0))</f>
        <v>Enter an amount only. Do not enter text or spaces.</v>
      </c>
      <c r="H3912" s="16" t="str">
        <f t="shared" ca="1" si="423"/>
        <v/>
      </c>
      <c r="I3912" s="16" t="str">
        <f t="shared" ca="1" si="424"/>
        <v/>
      </c>
      <c r="J3912" s="17" t="str">
        <f t="shared" ca="1" si="425"/>
        <v/>
      </c>
    </row>
    <row r="3913" spans="1:10" x14ac:dyDescent="0.25">
      <c r="A3913" t="s">
        <v>652</v>
      </c>
      <c r="B3913" t="str">
        <f>ADDRESS(ROW('PAYG 1'!$B$22),COLUMN('PAYG 1'!$B$22),4)</f>
        <v>B22</v>
      </c>
      <c r="C3913" t="str">
        <f>ADDRESS(ROW('PAYG 1'!$D$22),COLUMN('PAYG 1'!$D$22),4)</f>
        <v>D22</v>
      </c>
      <c r="D3913" t="b" cm="1">
        <f t="array" aca="1" ref="D3913" ca="1">IF(INDIRECT("'"&amp;A3913&amp;"'!"&amp;B3913)="",FALSE,IF(NOT(ISNUMBER(INDIRECT("'"&amp;A3913&amp;"'!"&amp;B3913))),TRUE,FALSE))</f>
        <v>0</v>
      </c>
      <c r="E3913" t="s">
        <v>435</v>
      </c>
      <c r="F3913" t="str">
        <f>INDEX(Lists!I:I,MATCH(Validation!E3913,Lists!G:G,0))</f>
        <v>Error</v>
      </c>
      <c r="G3913" t="str">
        <f>INDEX(Lists!H:H,MATCH(Validation!E3913,Lists!G:G,0))</f>
        <v>Enter an amount only. Do not enter text or spaces.</v>
      </c>
      <c r="H3913" s="16" t="str">
        <f t="shared" ca="1" si="423"/>
        <v/>
      </c>
      <c r="I3913" s="16" t="str">
        <f t="shared" ca="1" si="424"/>
        <v/>
      </c>
      <c r="J3913" s="17" t="str">
        <f t="shared" ca="1" si="425"/>
        <v/>
      </c>
    </row>
    <row r="3914" spans="1:10" x14ac:dyDescent="0.25">
      <c r="A3914" t="s">
        <v>653</v>
      </c>
      <c r="B3914" t="str">
        <f>ADDRESS(ROW('PAYG 1'!$B$22),COLUMN('PAYG 1'!$B$22),4)</f>
        <v>B22</v>
      </c>
      <c r="C3914" t="str">
        <f>ADDRESS(ROW('PAYG 1'!$D$22),COLUMN('PAYG 1'!$D$22),4)</f>
        <v>D22</v>
      </c>
      <c r="D3914" t="b" cm="1">
        <f t="array" aca="1" ref="D3914" ca="1">IF(INDIRECT("'"&amp;A3914&amp;"'!"&amp;B3914)="",FALSE,IF(NOT(ISNUMBER(INDIRECT("'"&amp;A3914&amp;"'!"&amp;B3914))),TRUE,FALSE))</f>
        <v>0</v>
      </c>
      <c r="E3914" t="s">
        <v>435</v>
      </c>
      <c r="F3914" t="str">
        <f>INDEX(Lists!I:I,MATCH(Validation!E3914,Lists!G:G,0))</f>
        <v>Error</v>
      </c>
      <c r="G3914" t="str">
        <f>INDEX(Lists!H:H,MATCH(Validation!E3914,Lists!G:G,0))</f>
        <v>Enter an amount only. Do not enter text or spaces.</v>
      </c>
      <c r="H3914" s="16" t="str">
        <f t="shared" ca="1" si="423"/>
        <v/>
      </c>
      <c r="I3914" s="16" t="str">
        <f t="shared" ca="1" si="424"/>
        <v/>
      </c>
      <c r="J3914" s="17" t="str">
        <f t="shared" ca="1" si="425"/>
        <v/>
      </c>
    </row>
    <row r="3915" spans="1:10" x14ac:dyDescent="0.25">
      <c r="A3915" t="s">
        <v>654</v>
      </c>
      <c r="B3915" t="str">
        <f>ADDRESS(ROW('PAYG 1'!$B$22),COLUMN('PAYG 1'!$B$22),4)</f>
        <v>B22</v>
      </c>
      <c r="C3915" t="str">
        <f>ADDRESS(ROW('PAYG 1'!$D$22),COLUMN('PAYG 1'!$D$22),4)</f>
        <v>D22</v>
      </c>
      <c r="D3915" t="b" cm="1">
        <f t="array" aca="1" ref="D3915" ca="1">IF(INDIRECT("'"&amp;A3915&amp;"'!"&amp;B3915)="",FALSE,IF(NOT(ISNUMBER(INDIRECT("'"&amp;A3915&amp;"'!"&amp;B3915))),TRUE,FALSE))</f>
        <v>0</v>
      </c>
      <c r="E3915" t="s">
        <v>435</v>
      </c>
      <c r="F3915" t="str">
        <f>INDEX(Lists!I:I,MATCH(Validation!E3915,Lists!G:G,0))</f>
        <v>Error</v>
      </c>
      <c r="G3915" t="str">
        <f>INDEX(Lists!H:H,MATCH(Validation!E3915,Lists!G:G,0))</f>
        <v>Enter an amount only. Do not enter text or spaces.</v>
      </c>
      <c r="H3915" s="16" t="str">
        <f t="shared" ca="1" si="423"/>
        <v/>
      </c>
      <c r="I3915" s="16" t="str">
        <f t="shared" ca="1" si="424"/>
        <v/>
      </c>
      <c r="J3915" s="17" t="str">
        <f t="shared" ca="1" si="425"/>
        <v/>
      </c>
    </row>
    <row r="3916" spans="1:10" x14ac:dyDescent="0.25">
      <c r="A3916" t="s">
        <v>655</v>
      </c>
      <c r="B3916" t="str">
        <f>ADDRESS(ROW('PAYG 1'!$B$22),COLUMN('PAYG 1'!$B$22),4)</f>
        <v>B22</v>
      </c>
      <c r="C3916" t="str">
        <f>ADDRESS(ROW('PAYG 1'!$D$22),COLUMN('PAYG 1'!$D$22),4)</f>
        <v>D22</v>
      </c>
      <c r="D3916" t="b" cm="1">
        <f t="array" aca="1" ref="D3916" ca="1">IF(INDIRECT("'"&amp;A3916&amp;"'!"&amp;B3916)="",FALSE,IF(NOT(ISNUMBER(INDIRECT("'"&amp;A3916&amp;"'!"&amp;B3916))),TRUE,FALSE))</f>
        <v>0</v>
      </c>
      <c r="E3916" t="s">
        <v>435</v>
      </c>
      <c r="F3916" t="str">
        <f>INDEX(Lists!I:I,MATCH(Validation!E3916,Lists!G:G,0))</f>
        <v>Error</v>
      </c>
      <c r="G3916" t="str">
        <f>INDEX(Lists!H:H,MATCH(Validation!E3916,Lists!G:G,0))</f>
        <v>Enter an amount only. Do not enter text or spaces.</v>
      </c>
      <c r="H3916" s="16" t="str">
        <f t="shared" ca="1" si="423"/>
        <v/>
      </c>
      <c r="I3916" s="16" t="str">
        <f t="shared" ca="1" si="424"/>
        <v/>
      </c>
      <c r="J3916" s="17" t="str">
        <f t="shared" ca="1" si="425"/>
        <v/>
      </c>
    </row>
    <row r="3917" spans="1:10" x14ac:dyDescent="0.25">
      <c r="A3917" t="s">
        <v>656</v>
      </c>
      <c r="B3917" t="str">
        <f>ADDRESS(ROW('PAYG 1'!$B$22),COLUMN('PAYG 1'!$B$22),4)</f>
        <v>B22</v>
      </c>
      <c r="C3917" t="str">
        <f>ADDRESS(ROW('PAYG 1'!$D$22),COLUMN('PAYG 1'!$D$22),4)</f>
        <v>D22</v>
      </c>
      <c r="D3917" t="b" cm="1">
        <f t="array" aca="1" ref="D3917" ca="1">IF(INDIRECT("'"&amp;A3917&amp;"'!"&amp;B3917)="",FALSE,IF(NOT(ISNUMBER(INDIRECT("'"&amp;A3917&amp;"'!"&amp;B3917))),TRUE,FALSE))</f>
        <v>0</v>
      </c>
      <c r="E3917" t="s">
        <v>435</v>
      </c>
      <c r="F3917" t="str">
        <f>INDEX(Lists!I:I,MATCH(Validation!E3917,Lists!G:G,0))</f>
        <v>Error</v>
      </c>
      <c r="G3917" t="str">
        <f>INDEX(Lists!H:H,MATCH(Validation!E3917,Lists!G:G,0))</f>
        <v>Enter an amount only. Do not enter text or spaces.</v>
      </c>
      <c r="H3917" s="16" t="str">
        <f t="shared" ca="1" si="423"/>
        <v/>
      </c>
      <c r="I3917" s="16" t="str">
        <f t="shared" ca="1" si="424"/>
        <v/>
      </c>
      <c r="J3917" s="17" t="str">
        <f t="shared" ca="1" si="425"/>
        <v/>
      </c>
    </row>
    <row r="3918" spans="1:10" x14ac:dyDescent="0.25">
      <c r="A3918" t="s">
        <v>657</v>
      </c>
      <c r="B3918" t="str">
        <f>ADDRESS(ROW('PAYG 1'!$B$22),COLUMN('PAYG 1'!$B$22),4)</f>
        <v>B22</v>
      </c>
      <c r="C3918" t="str">
        <f>ADDRESS(ROW('PAYG 1'!$D$22),COLUMN('PAYG 1'!$D$22),4)</f>
        <v>D22</v>
      </c>
      <c r="D3918" t="b" cm="1">
        <f t="array" aca="1" ref="D3918" ca="1">IF(INDIRECT("'"&amp;A3918&amp;"'!"&amp;B3918)="",FALSE,IF(NOT(ISNUMBER(INDIRECT("'"&amp;A3918&amp;"'!"&amp;B3918))),TRUE,FALSE))</f>
        <v>0</v>
      </c>
      <c r="E3918" t="s">
        <v>435</v>
      </c>
      <c r="F3918" t="str">
        <f>INDEX(Lists!I:I,MATCH(Validation!E3918,Lists!G:G,0))</f>
        <v>Error</v>
      </c>
      <c r="G3918" t="str">
        <f>INDEX(Lists!H:H,MATCH(Validation!E3918,Lists!G:G,0))</f>
        <v>Enter an amount only. Do not enter text or spaces.</v>
      </c>
      <c r="H3918" s="16" t="str">
        <f t="shared" ca="1" si="423"/>
        <v/>
      </c>
      <c r="I3918" s="16" t="str">
        <f t="shared" ca="1" si="424"/>
        <v/>
      </c>
      <c r="J3918" s="17" t="str">
        <f t="shared" ca="1" si="425"/>
        <v/>
      </c>
    </row>
    <row r="3919" spans="1:10" x14ac:dyDescent="0.25">
      <c r="A3919" t="s">
        <v>658</v>
      </c>
      <c r="B3919" t="str">
        <f>ADDRESS(ROW('PAYG 1'!$B$22),COLUMN('PAYG 1'!$B$22),4)</f>
        <v>B22</v>
      </c>
      <c r="C3919" t="str">
        <f>ADDRESS(ROW('PAYG 1'!$D$22),COLUMN('PAYG 1'!$D$22),4)</f>
        <v>D22</v>
      </c>
      <c r="D3919" t="b" cm="1">
        <f t="array" aca="1" ref="D3919" ca="1">IF(INDIRECT("'"&amp;A3919&amp;"'!"&amp;B3919)="",FALSE,IF(NOT(ISNUMBER(INDIRECT("'"&amp;A3919&amp;"'!"&amp;B3919))),TRUE,FALSE))</f>
        <v>0</v>
      </c>
      <c r="E3919" t="s">
        <v>435</v>
      </c>
      <c r="F3919" t="str">
        <f>INDEX(Lists!I:I,MATCH(Validation!E3919,Lists!G:G,0))</f>
        <v>Error</v>
      </c>
      <c r="G3919" t="str">
        <f>INDEX(Lists!H:H,MATCH(Validation!E3919,Lists!G:G,0))</f>
        <v>Enter an amount only. Do not enter text or spaces.</v>
      </c>
      <c r="H3919" s="16" t="str">
        <f t="shared" ca="1" si="423"/>
        <v/>
      </c>
      <c r="I3919" s="16" t="str">
        <f t="shared" ca="1" si="424"/>
        <v/>
      </c>
      <c r="J3919" s="17" t="str">
        <f t="shared" ca="1" si="425"/>
        <v/>
      </c>
    </row>
    <row r="3920" spans="1:10" x14ac:dyDescent="0.25">
      <c r="A3920" t="s">
        <v>659</v>
      </c>
      <c r="B3920" t="str">
        <f>ADDRESS(ROW('PAYG 1'!$B$22),COLUMN('PAYG 1'!$B$22),4)</f>
        <v>B22</v>
      </c>
      <c r="C3920" t="str">
        <f>ADDRESS(ROW('PAYG 1'!$D$22),COLUMN('PAYG 1'!$D$22),4)</f>
        <v>D22</v>
      </c>
      <c r="D3920" t="b" cm="1">
        <f t="array" aca="1" ref="D3920" ca="1">IF(INDIRECT("'"&amp;A3920&amp;"'!"&amp;B3920)="",FALSE,IF(NOT(ISNUMBER(INDIRECT("'"&amp;A3920&amp;"'!"&amp;B3920))),TRUE,FALSE))</f>
        <v>0</v>
      </c>
      <c r="E3920" t="s">
        <v>435</v>
      </c>
      <c r="F3920" t="str">
        <f>INDEX(Lists!I:I,MATCH(Validation!E3920,Lists!G:G,0))</f>
        <v>Error</v>
      </c>
      <c r="G3920" t="str">
        <f>INDEX(Lists!H:H,MATCH(Validation!E3920,Lists!G:G,0))</f>
        <v>Enter an amount only. Do not enter text or spaces.</v>
      </c>
      <c r="H3920" s="16" t="str">
        <f t="shared" ca="1" si="423"/>
        <v/>
      </c>
      <c r="I3920" s="16" t="str">
        <f t="shared" ca="1" si="424"/>
        <v/>
      </c>
      <c r="J3920" s="17" t="str">
        <f t="shared" ca="1" si="425"/>
        <v/>
      </c>
    </row>
    <row r="3921" spans="1:10" x14ac:dyDescent="0.25">
      <c r="A3921" t="s">
        <v>660</v>
      </c>
      <c r="B3921" t="str">
        <f>ADDRESS(ROW('PAYG 1'!$B$22),COLUMN('PAYG 1'!$B$22),4)</f>
        <v>B22</v>
      </c>
      <c r="C3921" t="str">
        <f>ADDRESS(ROW('PAYG 1'!$D$22),COLUMN('PAYG 1'!$D$22),4)</f>
        <v>D22</v>
      </c>
      <c r="D3921" t="b" cm="1">
        <f t="array" aca="1" ref="D3921" ca="1">IF(INDIRECT("'"&amp;A3921&amp;"'!"&amp;B3921)="",FALSE,IF(NOT(ISNUMBER(INDIRECT("'"&amp;A3921&amp;"'!"&amp;B3921))),TRUE,FALSE))</f>
        <v>0</v>
      </c>
      <c r="E3921" t="s">
        <v>435</v>
      </c>
      <c r="F3921" t="str">
        <f>INDEX(Lists!I:I,MATCH(Validation!E3921,Lists!G:G,0))</f>
        <v>Error</v>
      </c>
      <c r="G3921" t="str">
        <f>INDEX(Lists!H:H,MATCH(Validation!E3921,Lists!G:G,0))</f>
        <v>Enter an amount only. Do not enter text or spaces.</v>
      </c>
      <c r="H3921" s="16" t="str">
        <f t="shared" ca="1" si="423"/>
        <v/>
      </c>
      <c r="I3921" s="16" t="str">
        <f t="shared" ca="1" si="424"/>
        <v/>
      </c>
      <c r="J3921" s="17" t="str">
        <f t="shared" ca="1" si="425"/>
        <v/>
      </c>
    </row>
    <row r="3922" spans="1:10" x14ac:dyDescent="0.25">
      <c r="A3922" t="s">
        <v>661</v>
      </c>
      <c r="B3922" t="str">
        <f>ADDRESS(ROW('PAYG 1'!$B$22),COLUMN('PAYG 1'!$B$22),4)</f>
        <v>B22</v>
      </c>
      <c r="C3922" t="str">
        <f>ADDRESS(ROW('PAYG 1'!$D$22),COLUMN('PAYG 1'!$D$22),4)</f>
        <v>D22</v>
      </c>
      <c r="D3922" t="b" cm="1">
        <f t="array" aca="1" ref="D3922" ca="1">IF(INDIRECT("'"&amp;A3922&amp;"'!"&amp;B3922)="",FALSE,IF(NOT(ISNUMBER(INDIRECT("'"&amp;A3922&amp;"'!"&amp;B3922))),TRUE,FALSE))</f>
        <v>0</v>
      </c>
      <c r="E3922" t="s">
        <v>435</v>
      </c>
      <c r="F3922" t="str">
        <f>INDEX(Lists!I:I,MATCH(Validation!E3922,Lists!G:G,0))</f>
        <v>Error</v>
      </c>
      <c r="G3922" t="str">
        <f>INDEX(Lists!H:H,MATCH(Validation!E3922,Lists!G:G,0))</f>
        <v>Enter an amount only. Do not enter text or spaces.</v>
      </c>
      <c r="H3922" s="16" t="str">
        <f t="shared" ca="1" si="423"/>
        <v/>
      </c>
      <c r="I3922" s="16" t="str">
        <f t="shared" ca="1" si="424"/>
        <v/>
      </c>
      <c r="J3922" s="17" t="str">
        <f t="shared" ca="1" si="425"/>
        <v/>
      </c>
    </row>
    <row r="3923" spans="1:10" x14ac:dyDescent="0.25">
      <c r="A3923" t="s">
        <v>662</v>
      </c>
      <c r="B3923" t="str">
        <f>ADDRESS(ROW('PAYG 1'!$B$22),COLUMN('PAYG 1'!$B$22),4)</f>
        <v>B22</v>
      </c>
      <c r="C3923" t="str">
        <f>ADDRESS(ROW('PAYG 1'!$D$22),COLUMN('PAYG 1'!$D$22),4)</f>
        <v>D22</v>
      </c>
      <c r="D3923" t="b" cm="1">
        <f t="array" aca="1" ref="D3923" ca="1">IF(INDIRECT("'"&amp;A3923&amp;"'!"&amp;B3923)="",FALSE,IF(NOT(ISNUMBER(INDIRECT("'"&amp;A3923&amp;"'!"&amp;B3923))),TRUE,FALSE))</f>
        <v>0</v>
      </c>
      <c r="E3923" t="s">
        <v>435</v>
      </c>
      <c r="F3923" t="str">
        <f>INDEX(Lists!I:I,MATCH(Validation!E3923,Lists!G:G,0))</f>
        <v>Error</v>
      </c>
      <c r="G3923" t="str">
        <f>INDEX(Lists!H:H,MATCH(Validation!E3923,Lists!G:G,0))</f>
        <v>Enter an amount only. Do not enter text or spaces.</v>
      </c>
      <c r="H3923" s="16" t="str">
        <f t="shared" ca="1" si="423"/>
        <v/>
      </c>
      <c r="I3923" s="16" t="str">
        <f t="shared" ca="1" si="424"/>
        <v/>
      </c>
      <c r="J3923" s="17" t="str">
        <f t="shared" ca="1" si="425"/>
        <v/>
      </c>
    </row>
    <row r="3924" spans="1:10" x14ac:dyDescent="0.25">
      <c r="A3924" t="s">
        <v>663</v>
      </c>
      <c r="B3924" t="str">
        <f>ADDRESS(ROW('PAYG 1'!$B$22),COLUMN('PAYG 1'!$B$22),4)</f>
        <v>B22</v>
      </c>
      <c r="C3924" t="str">
        <f>ADDRESS(ROW('PAYG 1'!$D$22),COLUMN('PAYG 1'!$D$22),4)</f>
        <v>D22</v>
      </c>
      <c r="D3924" t="b" cm="1">
        <f t="array" aca="1" ref="D3924" ca="1">IF(INDIRECT("'"&amp;A3924&amp;"'!"&amp;B3924)="",FALSE,IF(NOT(ISNUMBER(INDIRECT("'"&amp;A3924&amp;"'!"&amp;B3924))),TRUE,FALSE))</f>
        <v>0</v>
      </c>
      <c r="E3924" t="s">
        <v>435</v>
      </c>
      <c r="F3924" t="str">
        <f>INDEX(Lists!I:I,MATCH(Validation!E3924,Lists!G:G,0))</f>
        <v>Error</v>
      </c>
      <c r="G3924" t="str">
        <f>INDEX(Lists!H:H,MATCH(Validation!E3924,Lists!G:G,0))</f>
        <v>Enter an amount only. Do not enter text or spaces.</v>
      </c>
      <c r="H3924" s="16" t="str">
        <f t="shared" ca="1" si="423"/>
        <v/>
      </c>
      <c r="I3924" s="16" t="str">
        <f t="shared" ca="1" si="424"/>
        <v/>
      </c>
      <c r="J3924" s="17" t="str">
        <f t="shared" ca="1" si="425"/>
        <v/>
      </c>
    </row>
    <row r="3925" spans="1:10" x14ac:dyDescent="0.25">
      <c r="A3925" t="s">
        <v>664</v>
      </c>
      <c r="B3925" t="str">
        <f>ADDRESS(ROW('PAYG 1'!$B$22),COLUMN('PAYG 1'!$B$22),4)</f>
        <v>B22</v>
      </c>
      <c r="C3925" t="str">
        <f>ADDRESS(ROW('PAYG 1'!$D$22),COLUMN('PAYG 1'!$D$22),4)</f>
        <v>D22</v>
      </c>
      <c r="D3925" t="b" cm="1">
        <f t="array" aca="1" ref="D3925" ca="1">IF(INDIRECT("'"&amp;A3925&amp;"'!"&amp;B3925)="",FALSE,IF(NOT(ISNUMBER(INDIRECT("'"&amp;A3925&amp;"'!"&amp;B3925))),TRUE,FALSE))</f>
        <v>0</v>
      </c>
      <c r="E3925" t="s">
        <v>435</v>
      </c>
      <c r="F3925" t="str">
        <f>INDEX(Lists!I:I,MATCH(Validation!E3925,Lists!G:G,0))</f>
        <v>Error</v>
      </c>
      <c r="G3925" t="str">
        <f>INDEX(Lists!H:H,MATCH(Validation!E3925,Lists!G:G,0))</f>
        <v>Enter an amount only. Do not enter text or spaces.</v>
      </c>
      <c r="H3925" s="16" t="str">
        <f t="shared" ca="1" si="423"/>
        <v/>
      </c>
      <c r="I3925" s="16" t="str">
        <f t="shared" ca="1" si="424"/>
        <v/>
      </c>
      <c r="J3925" s="17" t="str">
        <f t="shared" ca="1" si="425"/>
        <v/>
      </c>
    </row>
    <row r="3926" spans="1:10" x14ac:dyDescent="0.25">
      <c r="A3926" t="s">
        <v>203</v>
      </c>
      <c r="B3926" t="str">
        <f>ADDRESS(ROW('PAYG 1'!$B$22),COLUMN('PAYG 1'!$B$22),4)</f>
        <v>B22</v>
      </c>
      <c r="C3926" t="str">
        <f>ADDRESS(ROW('PAYG 1'!$D$22),COLUMN('PAYG 1'!$D$22),4)</f>
        <v>D22</v>
      </c>
      <c r="D3926" t="b" cm="1">
        <f t="array" aca="1" ref="D3926" ca="1">IF(INDIRECT("'"&amp;A3926&amp;"'!"&amp;B3926)="",FALSE,IF(INDIRECT("'"&amp;A3926&amp;"'!"&amp;B3926)&lt;0,TRUE,FALSE))</f>
        <v>0</v>
      </c>
      <c r="E3926" t="s">
        <v>434</v>
      </c>
      <c r="F3926" t="str">
        <f>INDEX(Lists!I:I,MATCH(Validation!E3926,Lists!G:G,0))</f>
        <v>Error</v>
      </c>
      <c r="G3926" t="str">
        <f>INDEX(Lists!H:H,MATCH(Validation!E3926,Lists!G:G,0))</f>
        <v>Amount may not be negative. Enter an amount greater than or equal to zero.</v>
      </c>
      <c r="H3926" s="16" t="str">
        <f t="shared" ca="1" si="423"/>
        <v/>
      </c>
      <c r="I3926" s="16" t="str">
        <f t="shared" ca="1" si="424"/>
        <v/>
      </c>
      <c r="J3926" s="17" t="str">
        <f t="shared" ca="1" si="425"/>
        <v/>
      </c>
    </row>
    <row r="3927" spans="1:10" x14ac:dyDescent="0.25">
      <c r="A3927" t="s">
        <v>651</v>
      </c>
      <c r="B3927" t="str">
        <f>ADDRESS(ROW('PAYG 1'!$B$22),COLUMN('PAYG 1'!$B$22),4)</f>
        <v>B22</v>
      </c>
      <c r="C3927" t="str">
        <f>ADDRESS(ROW('PAYG 1'!$D$22),COLUMN('PAYG 1'!$D$22),4)</f>
        <v>D22</v>
      </c>
      <c r="D3927" t="b" cm="1">
        <f t="array" aca="1" ref="D3927" ca="1">IF(INDIRECT("'"&amp;A3927&amp;"'!"&amp;B3927)="",FALSE,IF(INDIRECT("'"&amp;A3927&amp;"'!"&amp;B3927)&lt;0,TRUE,FALSE))</f>
        <v>0</v>
      </c>
      <c r="E3927" t="s">
        <v>434</v>
      </c>
      <c r="F3927" t="str">
        <f>INDEX(Lists!I:I,MATCH(Validation!E3927,Lists!G:G,0))</f>
        <v>Error</v>
      </c>
      <c r="G3927" t="str">
        <f>INDEX(Lists!H:H,MATCH(Validation!E3927,Lists!G:G,0))</f>
        <v>Amount may not be negative. Enter an amount greater than or equal to zero.</v>
      </c>
      <c r="H3927" s="16" t="str">
        <f t="shared" ca="1" si="423"/>
        <v/>
      </c>
      <c r="I3927" s="16" t="str">
        <f t="shared" ca="1" si="424"/>
        <v/>
      </c>
      <c r="J3927" s="17" t="str">
        <f t="shared" ca="1" si="425"/>
        <v/>
      </c>
    </row>
    <row r="3928" spans="1:10" x14ac:dyDescent="0.25">
      <c r="A3928" t="s">
        <v>652</v>
      </c>
      <c r="B3928" t="str">
        <f>ADDRESS(ROW('PAYG 1'!$B$22),COLUMN('PAYG 1'!$B$22),4)</f>
        <v>B22</v>
      </c>
      <c r="C3928" t="str">
        <f>ADDRESS(ROW('PAYG 1'!$D$22),COLUMN('PAYG 1'!$D$22),4)</f>
        <v>D22</v>
      </c>
      <c r="D3928" t="b" cm="1">
        <f t="array" aca="1" ref="D3928" ca="1">IF(INDIRECT("'"&amp;A3928&amp;"'!"&amp;B3928)="",FALSE,IF(INDIRECT("'"&amp;A3928&amp;"'!"&amp;B3928)&lt;0,TRUE,FALSE))</f>
        <v>0</v>
      </c>
      <c r="E3928" t="s">
        <v>434</v>
      </c>
      <c r="F3928" t="str">
        <f>INDEX(Lists!I:I,MATCH(Validation!E3928,Lists!G:G,0))</f>
        <v>Error</v>
      </c>
      <c r="G3928" t="str">
        <f>INDEX(Lists!H:H,MATCH(Validation!E3928,Lists!G:G,0))</f>
        <v>Amount may not be negative. Enter an amount greater than or equal to zero.</v>
      </c>
      <c r="H3928" s="16" t="str">
        <f t="shared" ca="1" si="423"/>
        <v/>
      </c>
      <c r="I3928" s="16" t="str">
        <f t="shared" ca="1" si="424"/>
        <v/>
      </c>
      <c r="J3928" s="17" t="str">
        <f t="shared" ca="1" si="425"/>
        <v/>
      </c>
    </row>
    <row r="3929" spans="1:10" x14ac:dyDescent="0.25">
      <c r="A3929" t="s">
        <v>653</v>
      </c>
      <c r="B3929" t="str">
        <f>ADDRESS(ROW('PAYG 1'!$B$22),COLUMN('PAYG 1'!$B$22),4)</f>
        <v>B22</v>
      </c>
      <c r="C3929" t="str">
        <f>ADDRESS(ROW('PAYG 1'!$D$22),COLUMN('PAYG 1'!$D$22),4)</f>
        <v>D22</v>
      </c>
      <c r="D3929" t="b" cm="1">
        <f t="array" aca="1" ref="D3929" ca="1">IF(INDIRECT("'"&amp;A3929&amp;"'!"&amp;B3929)="",FALSE,IF(INDIRECT("'"&amp;A3929&amp;"'!"&amp;B3929)&lt;0,TRUE,FALSE))</f>
        <v>0</v>
      </c>
      <c r="E3929" t="s">
        <v>434</v>
      </c>
      <c r="F3929" t="str">
        <f>INDEX(Lists!I:I,MATCH(Validation!E3929,Lists!G:G,0))</f>
        <v>Error</v>
      </c>
      <c r="G3929" t="str">
        <f>INDEX(Lists!H:H,MATCH(Validation!E3929,Lists!G:G,0))</f>
        <v>Amount may not be negative. Enter an amount greater than or equal to zero.</v>
      </c>
      <c r="H3929" s="16" t="str">
        <f t="shared" ca="1" si="423"/>
        <v/>
      </c>
      <c r="I3929" s="16" t="str">
        <f t="shared" ca="1" si="424"/>
        <v/>
      </c>
      <c r="J3929" s="17" t="str">
        <f t="shared" ca="1" si="425"/>
        <v/>
      </c>
    </row>
    <row r="3930" spans="1:10" x14ac:dyDescent="0.25">
      <c r="A3930" t="s">
        <v>654</v>
      </c>
      <c r="B3930" t="str">
        <f>ADDRESS(ROW('PAYG 1'!$B$22),COLUMN('PAYG 1'!$B$22),4)</f>
        <v>B22</v>
      </c>
      <c r="C3930" t="str">
        <f>ADDRESS(ROW('PAYG 1'!$D$22),COLUMN('PAYG 1'!$D$22),4)</f>
        <v>D22</v>
      </c>
      <c r="D3930" t="b" cm="1">
        <f t="array" aca="1" ref="D3930" ca="1">IF(INDIRECT("'"&amp;A3930&amp;"'!"&amp;B3930)="",FALSE,IF(INDIRECT("'"&amp;A3930&amp;"'!"&amp;B3930)&lt;0,TRUE,FALSE))</f>
        <v>0</v>
      </c>
      <c r="E3930" t="s">
        <v>434</v>
      </c>
      <c r="F3930" t="str">
        <f>INDEX(Lists!I:I,MATCH(Validation!E3930,Lists!G:G,0))</f>
        <v>Error</v>
      </c>
      <c r="G3930" t="str">
        <f>INDEX(Lists!H:H,MATCH(Validation!E3930,Lists!G:G,0))</f>
        <v>Amount may not be negative. Enter an amount greater than or equal to zero.</v>
      </c>
      <c r="H3930" s="16" t="str">
        <f t="shared" ca="1" si="423"/>
        <v/>
      </c>
      <c r="I3930" s="16" t="str">
        <f t="shared" ca="1" si="424"/>
        <v/>
      </c>
      <c r="J3930" s="17" t="str">
        <f t="shared" ca="1" si="425"/>
        <v/>
      </c>
    </row>
    <row r="3931" spans="1:10" x14ac:dyDescent="0.25">
      <c r="A3931" t="s">
        <v>655</v>
      </c>
      <c r="B3931" t="str">
        <f>ADDRESS(ROW('PAYG 1'!$B$22),COLUMN('PAYG 1'!$B$22),4)</f>
        <v>B22</v>
      </c>
      <c r="C3931" t="str">
        <f>ADDRESS(ROW('PAYG 1'!$D$22),COLUMN('PAYG 1'!$D$22),4)</f>
        <v>D22</v>
      </c>
      <c r="D3931" t="b" cm="1">
        <f t="array" aca="1" ref="D3931" ca="1">IF(INDIRECT("'"&amp;A3931&amp;"'!"&amp;B3931)="",FALSE,IF(INDIRECT("'"&amp;A3931&amp;"'!"&amp;B3931)&lt;0,TRUE,FALSE))</f>
        <v>0</v>
      </c>
      <c r="E3931" t="s">
        <v>434</v>
      </c>
      <c r="F3931" t="str">
        <f>INDEX(Lists!I:I,MATCH(Validation!E3931,Lists!G:G,0))</f>
        <v>Error</v>
      </c>
      <c r="G3931" t="str">
        <f>INDEX(Lists!H:H,MATCH(Validation!E3931,Lists!G:G,0))</f>
        <v>Amount may not be negative. Enter an amount greater than or equal to zero.</v>
      </c>
      <c r="H3931" s="16" t="str">
        <f t="shared" ca="1" si="423"/>
        <v/>
      </c>
      <c r="I3931" s="16" t="str">
        <f t="shared" ca="1" si="424"/>
        <v/>
      </c>
      <c r="J3931" s="17" t="str">
        <f t="shared" ca="1" si="425"/>
        <v/>
      </c>
    </row>
    <row r="3932" spans="1:10" x14ac:dyDescent="0.25">
      <c r="A3932" t="s">
        <v>656</v>
      </c>
      <c r="B3932" t="str">
        <f>ADDRESS(ROW('PAYG 1'!$B$22),COLUMN('PAYG 1'!$B$22),4)</f>
        <v>B22</v>
      </c>
      <c r="C3932" t="str">
        <f>ADDRESS(ROW('PAYG 1'!$D$22),COLUMN('PAYG 1'!$D$22),4)</f>
        <v>D22</v>
      </c>
      <c r="D3932" t="b" cm="1">
        <f t="array" aca="1" ref="D3932" ca="1">IF(INDIRECT("'"&amp;A3932&amp;"'!"&amp;B3932)="",FALSE,IF(INDIRECT("'"&amp;A3932&amp;"'!"&amp;B3932)&lt;0,TRUE,FALSE))</f>
        <v>0</v>
      </c>
      <c r="E3932" t="s">
        <v>434</v>
      </c>
      <c r="F3932" t="str">
        <f>INDEX(Lists!I:I,MATCH(Validation!E3932,Lists!G:G,0))</f>
        <v>Error</v>
      </c>
      <c r="G3932" t="str">
        <f>INDEX(Lists!H:H,MATCH(Validation!E3932,Lists!G:G,0))</f>
        <v>Amount may not be negative. Enter an amount greater than or equal to zero.</v>
      </c>
      <c r="H3932" s="16" t="str">
        <f t="shared" ca="1" si="423"/>
        <v/>
      </c>
      <c r="I3932" s="16" t="str">
        <f t="shared" ca="1" si="424"/>
        <v/>
      </c>
      <c r="J3932" s="17" t="str">
        <f t="shared" ca="1" si="425"/>
        <v/>
      </c>
    </row>
    <row r="3933" spans="1:10" x14ac:dyDescent="0.25">
      <c r="A3933" t="s">
        <v>657</v>
      </c>
      <c r="B3933" t="str">
        <f>ADDRESS(ROW('PAYG 1'!$B$22),COLUMN('PAYG 1'!$B$22),4)</f>
        <v>B22</v>
      </c>
      <c r="C3933" t="str">
        <f>ADDRESS(ROW('PAYG 1'!$D$22),COLUMN('PAYG 1'!$D$22),4)</f>
        <v>D22</v>
      </c>
      <c r="D3933" t="b" cm="1">
        <f t="array" aca="1" ref="D3933" ca="1">IF(INDIRECT("'"&amp;A3933&amp;"'!"&amp;B3933)="",FALSE,IF(INDIRECT("'"&amp;A3933&amp;"'!"&amp;B3933)&lt;0,TRUE,FALSE))</f>
        <v>0</v>
      </c>
      <c r="E3933" t="s">
        <v>434</v>
      </c>
      <c r="F3933" t="str">
        <f>INDEX(Lists!I:I,MATCH(Validation!E3933,Lists!G:G,0))</f>
        <v>Error</v>
      </c>
      <c r="G3933" t="str">
        <f>INDEX(Lists!H:H,MATCH(Validation!E3933,Lists!G:G,0))</f>
        <v>Amount may not be negative. Enter an amount greater than or equal to zero.</v>
      </c>
      <c r="H3933" s="16" t="str">
        <f t="shared" ca="1" si="423"/>
        <v/>
      </c>
      <c r="I3933" s="16" t="str">
        <f t="shared" ca="1" si="424"/>
        <v/>
      </c>
      <c r="J3933" s="17" t="str">
        <f t="shared" ca="1" si="425"/>
        <v/>
      </c>
    </row>
    <row r="3934" spans="1:10" x14ac:dyDescent="0.25">
      <c r="A3934" t="s">
        <v>658</v>
      </c>
      <c r="B3934" t="str">
        <f>ADDRESS(ROW('PAYG 1'!$B$22),COLUMN('PAYG 1'!$B$22),4)</f>
        <v>B22</v>
      </c>
      <c r="C3934" t="str">
        <f>ADDRESS(ROW('PAYG 1'!$D$22),COLUMN('PAYG 1'!$D$22),4)</f>
        <v>D22</v>
      </c>
      <c r="D3934" t="b" cm="1">
        <f t="array" aca="1" ref="D3934" ca="1">IF(INDIRECT("'"&amp;A3934&amp;"'!"&amp;B3934)="",FALSE,IF(INDIRECT("'"&amp;A3934&amp;"'!"&amp;B3934)&lt;0,TRUE,FALSE))</f>
        <v>0</v>
      </c>
      <c r="E3934" t="s">
        <v>434</v>
      </c>
      <c r="F3934" t="str">
        <f>INDEX(Lists!I:I,MATCH(Validation!E3934,Lists!G:G,0))</f>
        <v>Error</v>
      </c>
      <c r="G3934" t="str">
        <f>INDEX(Lists!H:H,MATCH(Validation!E3934,Lists!G:G,0))</f>
        <v>Amount may not be negative. Enter an amount greater than or equal to zero.</v>
      </c>
      <c r="H3934" s="16" t="str">
        <f t="shared" ca="1" si="423"/>
        <v/>
      </c>
      <c r="I3934" s="16" t="str">
        <f t="shared" ca="1" si="424"/>
        <v/>
      </c>
      <c r="J3934" s="17" t="str">
        <f t="shared" ca="1" si="425"/>
        <v/>
      </c>
    </row>
    <row r="3935" spans="1:10" x14ac:dyDescent="0.25">
      <c r="A3935" t="s">
        <v>659</v>
      </c>
      <c r="B3935" t="str">
        <f>ADDRESS(ROW('PAYG 1'!$B$22),COLUMN('PAYG 1'!$B$22),4)</f>
        <v>B22</v>
      </c>
      <c r="C3935" t="str">
        <f>ADDRESS(ROW('PAYG 1'!$D$22),COLUMN('PAYG 1'!$D$22),4)</f>
        <v>D22</v>
      </c>
      <c r="D3935" t="b" cm="1">
        <f t="array" aca="1" ref="D3935" ca="1">IF(INDIRECT("'"&amp;A3935&amp;"'!"&amp;B3935)="",FALSE,IF(INDIRECT("'"&amp;A3935&amp;"'!"&amp;B3935)&lt;0,TRUE,FALSE))</f>
        <v>0</v>
      </c>
      <c r="E3935" t="s">
        <v>434</v>
      </c>
      <c r="F3935" t="str">
        <f>INDEX(Lists!I:I,MATCH(Validation!E3935,Lists!G:G,0))</f>
        <v>Error</v>
      </c>
      <c r="G3935" t="str">
        <f>INDEX(Lists!H:H,MATCH(Validation!E3935,Lists!G:G,0))</f>
        <v>Amount may not be negative. Enter an amount greater than or equal to zero.</v>
      </c>
      <c r="H3935" s="16" t="str">
        <f t="shared" ca="1" si="423"/>
        <v/>
      </c>
      <c r="I3935" s="16" t="str">
        <f t="shared" ca="1" si="424"/>
        <v/>
      </c>
      <c r="J3935" s="17" t="str">
        <f t="shared" ca="1" si="425"/>
        <v/>
      </c>
    </row>
    <row r="3936" spans="1:10" x14ac:dyDescent="0.25">
      <c r="A3936" t="s">
        <v>660</v>
      </c>
      <c r="B3936" t="str">
        <f>ADDRESS(ROW('PAYG 1'!$B$22),COLUMN('PAYG 1'!$B$22),4)</f>
        <v>B22</v>
      </c>
      <c r="C3936" t="str">
        <f>ADDRESS(ROW('PAYG 1'!$D$22),COLUMN('PAYG 1'!$D$22),4)</f>
        <v>D22</v>
      </c>
      <c r="D3936" t="b" cm="1">
        <f t="array" aca="1" ref="D3936" ca="1">IF(INDIRECT("'"&amp;A3936&amp;"'!"&amp;B3936)="",FALSE,IF(INDIRECT("'"&amp;A3936&amp;"'!"&amp;B3936)&lt;0,TRUE,FALSE))</f>
        <v>0</v>
      </c>
      <c r="E3936" t="s">
        <v>434</v>
      </c>
      <c r="F3936" t="str">
        <f>INDEX(Lists!I:I,MATCH(Validation!E3936,Lists!G:G,0))</f>
        <v>Error</v>
      </c>
      <c r="G3936" t="str">
        <f>INDEX(Lists!H:H,MATCH(Validation!E3936,Lists!G:G,0))</f>
        <v>Amount may not be negative. Enter an amount greater than or equal to zero.</v>
      </c>
      <c r="H3936" s="16" t="str">
        <f t="shared" ca="1" si="423"/>
        <v/>
      </c>
      <c r="I3936" s="16" t="str">
        <f t="shared" ca="1" si="424"/>
        <v/>
      </c>
      <c r="J3936" s="17" t="str">
        <f t="shared" ca="1" si="425"/>
        <v/>
      </c>
    </row>
    <row r="3937" spans="1:10" x14ac:dyDescent="0.25">
      <c r="A3937" t="s">
        <v>661</v>
      </c>
      <c r="B3937" t="str">
        <f>ADDRESS(ROW('PAYG 1'!$B$22),COLUMN('PAYG 1'!$B$22),4)</f>
        <v>B22</v>
      </c>
      <c r="C3937" t="str">
        <f>ADDRESS(ROW('PAYG 1'!$D$22),COLUMN('PAYG 1'!$D$22),4)</f>
        <v>D22</v>
      </c>
      <c r="D3937" t="b" cm="1">
        <f t="array" aca="1" ref="D3937" ca="1">IF(INDIRECT("'"&amp;A3937&amp;"'!"&amp;B3937)="",FALSE,IF(INDIRECT("'"&amp;A3937&amp;"'!"&amp;B3937)&lt;0,TRUE,FALSE))</f>
        <v>0</v>
      </c>
      <c r="E3937" t="s">
        <v>434</v>
      </c>
      <c r="F3937" t="str">
        <f>INDEX(Lists!I:I,MATCH(Validation!E3937,Lists!G:G,0))</f>
        <v>Error</v>
      </c>
      <c r="G3937" t="str">
        <f>INDEX(Lists!H:H,MATCH(Validation!E3937,Lists!G:G,0))</f>
        <v>Amount may not be negative. Enter an amount greater than or equal to zero.</v>
      </c>
      <c r="H3937" s="16" t="str">
        <f t="shared" ca="1" si="423"/>
        <v/>
      </c>
      <c r="I3937" s="16" t="str">
        <f t="shared" ca="1" si="424"/>
        <v/>
      </c>
      <c r="J3937" s="17" t="str">
        <f t="shared" ca="1" si="425"/>
        <v/>
      </c>
    </row>
    <row r="3938" spans="1:10" x14ac:dyDescent="0.25">
      <c r="A3938" t="s">
        <v>662</v>
      </c>
      <c r="B3938" t="str">
        <f>ADDRESS(ROW('PAYG 1'!$B$22),COLUMN('PAYG 1'!$B$22),4)</f>
        <v>B22</v>
      </c>
      <c r="C3938" t="str">
        <f>ADDRESS(ROW('PAYG 1'!$D$22),COLUMN('PAYG 1'!$D$22),4)</f>
        <v>D22</v>
      </c>
      <c r="D3938" t="b" cm="1">
        <f t="array" aca="1" ref="D3938" ca="1">IF(INDIRECT("'"&amp;A3938&amp;"'!"&amp;B3938)="",FALSE,IF(INDIRECT("'"&amp;A3938&amp;"'!"&amp;B3938)&lt;0,TRUE,FALSE))</f>
        <v>0</v>
      </c>
      <c r="E3938" t="s">
        <v>434</v>
      </c>
      <c r="F3938" t="str">
        <f>INDEX(Lists!I:I,MATCH(Validation!E3938,Lists!G:G,0))</f>
        <v>Error</v>
      </c>
      <c r="G3938" t="str">
        <f>INDEX(Lists!H:H,MATCH(Validation!E3938,Lists!G:G,0))</f>
        <v>Amount may not be negative. Enter an amount greater than or equal to zero.</v>
      </c>
      <c r="H3938" s="16" t="str">
        <f t="shared" ca="1" si="423"/>
        <v/>
      </c>
      <c r="I3938" s="16" t="str">
        <f t="shared" ca="1" si="424"/>
        <v/>
      </c>
      <c r="J3938" s="17" t="str">
        <f t="shared" ca="1" si="425"/>
        <v/>
      </c>
    </row>
    <row r="3939" spans="1:10" x14ac:dyDescent="0.25">
      <c r="A3939" t="s">
        <v>663</v>
      </c>
      <c r="B3939" t="str">
        <f>ADDRESS(ROW('PAYG 1'!$B$22),COLUMN('PAYG 1'!$B$22),4)</f>
        <v>B22</v>
      </c>
      <c r="C3939" t="str">
        <f>ADDRESS(ROW('PAYG 1'!$D$22),COLUMN('PAYG 1'!$D$22),4)</f>
        <v>D22</v>
      </c>
      <c r="D3939" t="b" cm="1">
        <f t="array" aca="1" ref="D3939" ca="1">IF(INDIRECT("'"&amp;A3939&amp;"'!"&amp;B3939)="",FALSE,IF(INDIRECT("'"&amp;A3939&amp;"'!"&amp;B3939)&lt;0,TRUE,FALSE))</f>
        <v>0</v>
      </c>
      <c r="E3939" t="s">
        <v>434</v>
      </c>
      <c r="F3939" t="str">
        <f>INDEX(Lists!I:I,MATCH(Validation!E3939,Lists!G:G,0))</f>
        <v>Error</v>
      </c>
      <c r="G3939" t="str">
        <f>INDEX(Lists!H:H,MATCH(Validation!E3939,Lists!G:G,0))</f>
        <v>Amount may not be negative. Enter an amount greater than or equal to zero.</v>
      </c>
      <c r="H3939" s="16" t="str">
        <f t="shared" ca="1" si="423"/>
        <v/>
      </c>
      <c r="I3939" s="16" t="str">
        <f t="shared" ca="1" si="424"/>
        <v/>
      </c>
      <c r="J3939" s="17" t="str">
        <f t="shared" ca="1" si="425"/>
        <v/>
      </c>
    </row>
    <row r="3940" spans="1:10" x14ac:dyDescent="0.25">
      <c r="A3940" t="s">
        <v>664</v>
      </c>
      <c r="B3940" t="str">
        <f>ADDRESS(ROW('PAYG 1'!$B$22),COLUMN('PAYG 1'!$B$22),4)</f>
        <v>B22</v>
      </c>
      <c r="C3940" t="str">
        <f>ADDRESS(ROW('PAYG 1'!$D$22),COLUMN('PAYG 1'!$D$22),4)</f>
        <v>D22</v>
      </c>
      <c r="D3940" t="b" cm="1">
        <f t="array" aca="1" ref="D3940" ca="1">IF(INDIRECT("'"&amp;A3940&amp;"'!"&amp;B3940)="",FALSE,IF(INDIRECT("'"&amp;A3940&amp;"'!"&amp;B3940)&lt;0,TRUE,FALSE))</f>
        <v>0</v>
      </c>
      <c r="E3940" t="s">
        <v>434</v>
      </c>
      <c r="F3940" t="str">
        <f>INDEX(Lists!I:I,MATCH(Validation!E3940,Lists!G:G,0))</f>
        <v>Error</v>
      </c>
      <c r="G3940" t="str">
        <f>INDEX(Lists!H:H,MATCH(Validation!E3940,Lists!G:G,0))</f>
        <v>Amount may not be negative. Enter an amount greater than or equal to zero.</v>
      </c>
      <c r="H3940" s="16" t="str">
        <f t="shared" ca="1" si="423"/>
        <v/>
      </c>
      <c r="I3940" s="16" t="str">
        <f t="shared" ca="1" si="424"/>
        <v/>
      </c>
      <c r="J3940" s="17" t="str">
        <f t="shared" ca="1" si="425"/>
        <v/>
      </c>
    </row>
    <row r="3941" spans="1:10" x14ac:dyDescent="0.25">
      <c r="A3941" t="s">
        <v>203</v>
      </c>
      <c r="B3941" t="str">
        <f>ADDRESS(ROW('PAYG 1'!$B$22),COLUMN('PAYG 1'!$B$22),4)</f>
        <v>B22</v>
      </c>
      <c r="C3941" t="str">
        <f>ADDRESS(ROW('PAYG 1'!$D$22),COLUMN('PAYG 1'!$D$22),4)</f>
        <v>D22</v>
      </c>
      <c r="D3941" t="b" cm="1">
        <f t="array" aca="1" ref="D3941" ca="1">IF(INDIRECT("'"&amp;A3941&amp;"'!"&amp;B3941)="",FALSE,IF(TRUNC(INDIRECT("'"&amp;A3941&amp;"'!"&amp;B3941))=INDIRECT("'"&amp;A3941&amp;"'!"&amp;B3941),FALSE,TRUE))</f>
        <v>0</v>
      </c>
      <c r="E3941" t="s">
        <v>436</v>
      </c>
      <c r="F3941" t="str">
        <f>INDEX(Lists!I:I,MATCH(Validation!E3941,Lists!G:G,0))</f>
        <v>Error</v>
      </c>
      <c r="G3941" t="str">
        <f>INDEX(Lists!H:H,MATCH(Validation!E3941,Lists!G:G,0))</f>
        <v>Amount must be rounded to the nearest dollar.</v>
      </c>
      <c r="H3941" s="16" t="str">
        <f t="shared" ca="1" si="423"/>
        <v/>
      </c>
      <c r="I3941" s="16" t="str">
        <f t="shared" ca="1" si="424"/>
        <v/>
      </c>
      <c r="J3941" s="17" t="str">
        <f t="shared" ca="1" si="425"/>
        <v/>
      </c>
    </row>
    <row r="3942" spans="1:10" x14ac:dyDescent="0.25">
      <c r="A3942" t="s">
        <v>651</v>
      </c>
      <c r="B3942" t="str">
        <f>ADDRESS(ROW('PAYG 1'!$B$22),COLUMN('PAYG 1'!$B$22),4)</f>
        <v>B22</v>
      </c>
      <c r="C3942" t="str">
        <f>ADDRESS(ROW('PAYG 1'!$D$22),COLUMN('PAYG 1'!$D$22),4)</f>
        <v>D22</v>
      </c>
      <c r="D3942" t="b" cm="1">
        <f t="array" aca="1" ref="D3942" ca="1">IF(INDIRECT("'"&amp;A3942&amp;"'!"&amp;B3942)="",FALSE,IF(TRUNC(INDIRECT("'"&amp;A3942&amp;"'!"&amp;B3942))=INDIRECT("'"&amp;A3942&amp;"'!"&amp;B3942),FALSE,TRUE))</f>
        <v>0</v>
      </c>
      <c r="E3942" t="s">
        <v>436</v>
      </c>
      <c r="F3942" t="str">
        <f>INDEX(Lists!I:I,MATCH(Validation!E3942,Lists!G:G,0))</f>
        <v>Error</v>
      </c>
      <c r="G3942" t="str">
        <f>INDEX(Lists!H:H,MATCH(Validation!E3942,Lists!G:G,0))</f>
        <v>Amount must be rounded to the nearest dollar.</v>
      </c>
      <c r="H3942" s="16" t="str">
        <f t="shared" ca="1" si="423"/>
        <v/>
      </c>
      <c r="I3942" s="16" t="str">
        <f t="shared" ca="1" si="424"/>
        <v/>
      </c>
      <c r="J3942" s="17" t="str">
        <f t="shared" ca="1" si="425"/>
        <v/>
      </c>
    </row>
    <row r="3943" spans="1:10" x14ac:dyDescent="0.25">
      <c r="A3943" t="s">
        <v>652</v>
      </c>
      <c r="B3943" t="str">
        <f>ADDRESS(ROW('PAYG 1'!$B$22),COLUMN('PAYG 1'!$B$22),4)</f>
        <v>B22</v>
      </c>
      <c r="C3943" t="str">
        <f>ADDRESS(ROW('PAYG 1'!$D$22),COLUMN('PAYG 1'!$D$22),4)</f>
        <v>D22</v>
      </c>
      <c r="D3943" t="b" cm="1">
        <f t="array" aca="1" ref="D3943" ca="1">IF(INDIRECT("'"&amp;A3943&amp;"'!"&amp;B3943)="",FALSE,IF(TRUNC(INDIRECT("'"&amp;A3943&amp;"'!"&amp;B3943))=INDIRECT("'"&amp;A3943&amp;"'!"&amp;B3943),FALSE,TRUE))</f>
        <v>0</v>
      </c>
      <c r="E3943" t="s">
        <v>436</v>
      </c>
      <c r="F3943" t="str">
        <f>INDEX(Lists!I:I,MATCH(Validation!E3943,Lists!G:G,0))</f>
        <v>Error</v>
      </c>
      <c r="G3943" t="str">
        <f>INDEX(Lists!H:H,MATCH(Validation!E3943,Lists!G:G,0))</f>
        <v>Amount must be rounded to the nearest dollar.</v>
      </c>
      <c r="H3943" s="16" t="str">
        <f t="shared" ca="1" si="423"/>
        <v/>
      </c>
      <c r="I3943" s="16" t="str">
        <f t="shared" ca="1" si="424"/>
        <v/>
      </c>
      <c r="J3943" s="17" t="str">
        <f t="shared" ca="1" si="425"/>
        <v/>
      </c>
    </row>
    <row r="3944" spans="1:10" x14ac:dyDescent="0.25">
      <c r="A3944" t="s">
        <v>653</v>
      </c>
      <c r="B3944" t="str">
        <f>ADDRESS(ROW('PAYG 1'!$B$22),COLUMN('PAYG 1'!$B$22),4)</f>
        <v>B22</v>
      </c>
      <c r="C3944" t="str">
        <f>ADDRESS(ROW('PAYG 1'!$D$22),COLUMN('PAYG 1'!$D$22),4)</f>
        <v>D22</v>
      </c>
      <c r="D3944" t="b" cm="1">
        <f t="array" aca="1" ref="D3944" ca="1">IF(INDIRECT("'"&amp;A3944&amp;"'!"&amp;B3944)="",FALSE,IF(TRUNC(INDIRECT("'"&amp;A3944&amp;"'!"&amp;B3944))=INDIRECT("'"&amp;A3944&amp;"'!"&amp;B3944),FALSE,TRUE))</f>
        <v>0</v>
      </c>
      <c r="E3944" t="s">
        <v>436</v>
      </c>
      <c r="F3944" t="str">
        <f>INDEX(Lists!I:I,MATCH(Validation!E3944,Lists!G:G,0))</f>
        <v>Error</v>
      </c>
      <c r="G3944" t="str">
        <f>INDEX(Lists!H:H,MATCH(Validation!E3944,Lists!G:G,0))</f>
        <v>Amount must be rounded to the nearest dollar.</v>
      </c>
      <c r="H3944" s="16" t="str">
        <f t="shared" ca="1" si="423"/>
        <v/>
      </c>
      <c r="I3944" s="16" t="str">
        <f t="shared" ca="1" si="424"/>
        <v/>
      </c>
      <c r="J3944" s="17" t="str">
        <f t="shared" ca="1" si="425"/>
        <v/>
      </c>
    </row>
    <row r="3945" spans="1:10" x14ac:dyDescent="0.25">
      <c r="A3945" t="s">
        <v>654</v>
      </c>
      <c r="B3945" t="str">
        <f>ADDRESS(ROW('PAYG 1'!$B$22),COLUMN('PAYG 1'!$B$22),4)</f>
        <v>B22</v>
      </c>
      <c r="C3945" t="str">
        <f>ADDRESS(ROW('PAYG 1'!$D$22),COLUMN('PAYG 1'!$D$22),4)</f>
        <v>D22</v>
      </c>
      <c r="D3945" t="b" cm="1">
        <f t="array" aca="1" ref="D3945" ca="1">IF(INDIRECT("'"&amp;A3945&amp;"'!"&amp;B3945)="",FALSE,IF(TRUNC(INDIRECT("'"&amp;A3945&amp;"'!"&amp;B3945))=INDIRECT("'"&amp;A3945&amp;"'!"&amp;B3945),FALSE,TRUE))</f>
        <v>0</v>
      </c>
      <c r="E3945" t="s">
        <v>436</v>
      </c>
      <c r="F3945" t="str">
        <f>INDEX(Lists!I:I,MATCH(Validation!E3945,Lists!G:G,0))</f>
        <v>Error</v>
      </c>
      <c r="G3945" t="str">
        <f>INDEX(Lists!H:H,MATCH(Validation!E3945,Lists!G:G,0))</f>
        <v>Amount must be rounded to the nearest dollar.</v>
      </c>
      <c r="H3945" s="16" t="str">
        <f t="shared" ca="1" si="423"/>
        <v/>
      </c>
      <c r="I3945" s="16" t="str">
        <f t="shared" ca="1" si="424"/>
        <v/>
      </c>
      <c r="J3945" s="17" t="str">
        <f t="shared" ca="1" si="425"/>
        <v/>
      </c>
    </row>
    <row r="3946" spans="1:10" x14ac:dyDescent="0.25">
      <c r="A3946" t="s">
        <v>655</v>
      </c>
      <c r="B3946" t="str">
        <f>ADDRESS(ROW('PAYG 1'!$B$22),COLUMN('PAYG 1'!$B$22),4)</f>
        <v>B22</v>
      </c>
      <c r="C3946" t="str">
        <f>ADDRESS(ROW('PAYG 1'!$D$22),COLUMN('PAYG 1'!$D$22),4)</f>
        <v>D22</v>
      </c>
      <c r="D3946" t="b" cm="1">
        <f t="array" aca="1" ref="D3946" ca="1">IF(INDIRECT("'"&amp;A3946&amp;"'!"&amp;B3946)="",FALSE,IF(TRUNC(INDIRECT("'"&amp;A3946&amp;"'!"&amp;B3946))=INDIRECT("'"&amp;A3946&amp;"'!"&amp;B3946),FALSE,TRUE))</f>
        <v>0</v>
      </c>
      <c r="E3946" t="s">
        <v>436</v>
      </c>
      <c r="F3946" t="str">
        <f>INDEX(Lists!I:I,MATCH(Validation!E3946,Lists!G:G,0))</f>
        <v>Error</v>
      </c>
      <c r="G3946" t="str">
        <f>INDEX(Lists!H:H,MATCH(Validation!E3946,Lists!G:G,0))</f>
        <v>Amount must be rounded to the nearest dollar.</v>
      </c>
      <c r="H3946" s="16" t="str">
        <f t="shared" ca="1" si="423"/>
        <v/>
      </c>
      <c r="I3946" s="16" t="str">
        <f t="shared" ca="1" si="424"/>
        <v/>
      </c>
      <c r="J3946" s="17" t="str">
        <f t="shared" ca="1" si="425"/>
        <v/>
      </c>
    </row>
    <row r="3947" spans="1:10" x14ac:dyDescent="0.25">
      <c r="A3947" t="s">
        <v>656</v>
      </c>
      <c r="B3947" t="str">
        <f>ADDRESS(ROW('PAYG 1'!$B$22),COLUMN('PAYG 1'!$B$22),4)</f>
        <v>B22</v>
      </c>
      <c r="C3947" t="str">
        <f>ADDRESS(ROW('PAYG 1'!$D$22),COLUMN('PAYG 1'!$D$22),4)</f>
        <v>D22</v>
      </c>
      <c r="D3947" t="b" cm="1">
        <f t="array" aca="1" ref="D3947" ca="1">IF(INDIRECT("'"&amp;A3947&amp;"'!"&amp;B3947)="",FALSE,IF(TRUNC(INDIRECT("'"&amp;A3947&amp;"'!"&amp;B3947))=INDIRECT("'"&amp;A3947&amp;"'!"&amp;B3947),FALSE,TRUE))</f>
        <v>0</v>
      </c>
      <c r="E3947" t="s">
        <v>436</v>
      </c>
      <c r="F3947" t="str">
        <f>INDEX(Lists!I:I,MATCH(Validation!E3947,Lists!G:G,0))</f>
        <v>Error</v>
      </c>
      <c r="G3947" t="str">
        <f>INDEX(Lists!H:H,MATCH(Validation!E3947,Lists!G:G,0))</f>
        <v>Amount must be rounded to the nearest dollar.</v>
      </c>
      <c r="H3947" s="16" t="str">
        <f t="shared" ca="1" si="423"/>
        <v/>
      </c>
      <c r="I3947" s="16" t="str">
        <f t="shared" ca="1" si="424"/>
        <v/>
      </c>
      <c r="J3947" s="17" t="str">
        <f t="shared" ca="1" si="425"/>
        <v/>
      </c>
    </row>
    <row r="3948" spans="1:10" x14ac:dyDescent="0.25">
      <c r="A3948" t="s">
        <v>657</v>
      </c>
      <c r="B3948" t="str">
        <f>ADDRESS(ROW('PAYG 1'!$B$22),COLUMN('PAYG 1'!$B$22),4)</f>
        <v>B22</v>
      </c>
      <c r="C3948" t="str">
        <f>ADDRESS(ROW('PAYG 1'!$D$22),COLUMN('PAYG 1'!$D$22),4)</f>
        <v>D22</v>
      </c>
      <c r="D3948" t="b" cm="1">
        <f t="array" aca="1" ref="D3948" ca="1">IF(INDIRECT("'"&amp;A3948&amp;"'!"&amp;B3948)="",FALSE,IF(TRUNC(INDIRECT("'"&amp;A3948&amp;"'!"&amp;B3948))=INDIRECT("'"&amp;A3948&amp;"'!"&amp;B3948),FALSE,TRUE))</f>
        <v>0</v>
      </c>
      <c r="E3948" t="s">
        <v>436</v>
      </c>
      <c r="F3948" t="str">
        <f>INDEX(Lists!I:I,MATCH(Validation!E3948,Lists!G:G,0))</f>
        <v>Error</v>
      </c>
      <c r="G3948" t="str">
        <f>INDEX(Lists!H:H,MATCH(Validation!E3948,Lists!G:G,0))</f>
        <v>Amount must be rounded to the nearest dollar.</v>
      </c>
      <c r="H3948" s="16" t="str">
        <f t="shared" ca="1" si="423"/>
        <v/>
      </c>
      <c r="I3948" s="16" t="str">
        <f t="shared" ca="1" si="424"/>
        <v/>
      </c>
      <c r="J3948" s="17" t="str">
        <f t="shared" ca="1" si="425"/>
        <v/>
      </c>
    </row>
    <row r="3949" spans="1:10" x14ac:dyDescent="0.25">
      <c r="A3949" t="s">
        <v>658</v>
      </c>
      <c r="B3949" t="str">
        <f>ADDRESS(ROW('PAYG 1'!$B$22),COLUMN('PAYG 1'!$B$22),4)</f>
        <v>B22</v>
      </c>
      <c r="C3949" t="str">
        <f>ADDRESS(ROW('PAYG 1'!$D$22),COLUMN('PAYG 1'!$D$22),4)</f>
        <v>D22</v>
      </c>
      <c r="D3949" t="b" cm="1">
        <f t="array" aca="1" ref="D3949" ca="1">IF(INDIRECT("'"&amp;A3949&amp;"'!"&amp;B3949)="",FALSE,IF(TRUNC(INDIRECT("'"&amp;A3949&amp;"'!"&amp;B3949))=INDIRECT("'"&amp;A3949&amp;"'!"&amp;B3949),FALSE,TRUE))</f>
        <v>0</v>
      </c>
      <c r="E3949" t="s">
        <v>436</v>
      </c>
      <c r="F3949" t="str">
        <f>INDEX(Lists!I:I,MATCH(Validation!E3949,Lists!G:G,0))</f>
        <v>Error</v>
      </c>
      <c r="G3949" t="str">
        <f>INDEX(Lists!H:H,MATCH(Validation!E3949,Lists!G:G,0))</f>
        <v>Amount must be rounded to the nearest dollar.</v>
      </c>
      <c r="H3949" s="16" t="str">
        <f t="shared" ca="1" si="423"/>
        <v/>
      </c>
      <c r="I3949" s="16" t="str">
        <f t="shared" ca="1" si="424"/>
        <v/>
      </c>
      <c r="J3949" s="17" t="str">
        <f t="shared" ca="1" si="425"/>
        <v/>
      </c>
    </row>
    <row r="3950" spans="1:10" x14ac:dyDescent="0.25">
      <c r="A3950" t="s">
        <v>659</v>
      </c>
      <c r="B3950" t="str">
        <f>ADDRESS(ROW('PAYG 1'!$B$22),COLUMN('PAYG 1'!$B$22),4)</f>
        <v>B22</v>
      </c>
      <c r="C3950" t="str">
        <f>ADDRESS(ROW('PAYG 1'!$D$22),COLUMN('PAYG 1'!$D$22),4)</f>
        <v>D22</v>
      </c>
      <c r="D3950" t="b" cm="1">
        <f t="array" aca="1" ref="D3950" ca="1">IF(INDIRECT("'"&amp;A3950&amp;"'!"&amp;B3950)="",FALSE,IF(TRUNC(INDIRECT("'"&amp;A3950&amp;"'!"&amp;B3950))=INDIRECT("'"&amp;A3950&amp;"'!"&amp;B3950),FALSE,TRUE))</f>
        <v>0</v>
      </c>
      <c r="E3950" t="s">
        <v>436</v>
      </c>
      <c r="F3950" t="str">
        <f>INDEX(Lists!I:I,MATCH(Validation!E3950,Lists!G:G,0))</f>
        <v>Error</v>
      </c>
      <c r="G3950" t="str">
        <f>INDEX(Lists!H:H,MATCH(Validation!E3950,Lists!G:G,0))</f>
        <v>Amount must be rounded to the nearest dollar.</v>
      </c>
      <c r="H3950" s="16" t="str">
        <f t="shared" ca="1" si="423"/>
        <v/>
      </c>
      <c r="I3950" s="16" t="str">
        <f t="shared" ca="1" si="424"/>
        <v/>
      </c>
      <c r="J3950" s="17" t="str">
        <f t="shared" ca="1" si="425"/>
        <v/>
      </c>
    </row>
    <row r="3951" spans="1:10" x14ac:dyDescent="0.25">
      <c r="A3951" t="s">
        <v>660</v>
      </c>
      <c r="B3951" t="str">
        <f>ADDRESS(ROW('PAYG 1'!$B$22),COLUMN('PAYG 1'!$B$22),4)</f>
        <v>B22</v>
      </c>
      <c r="C3951" t="str">
        <f>ADDRESS(ROW('PAYG 1'!$D$22),COLUMN('PAYG 1'!$D$22),4)</f>
        <v>D22</v>
      </c>
      <c r="D3951" t="b" cm="1">
        <f t="array" aca="1" ref="D3951" ca="1">IF(INDIRECT("'"&amp;A3951&amp;"'!"&amp;B3951)="",FALSE,IF(TRUNC(INDIRECT("'"&amp;A3951&amp;"'!"&amp;B3951))=INDIRECT("'"&amp;A3951&amp;"'!"&amp;B3951),FALSE,TRUE))</f>
        <v>0</v>
      </c>
      <c r="E3951" t="s">
        <v>436</v>
      </c>
      <c r="F3951" t="str">
        <f>INDEX(Lists!I:I,MATCH(Validation!E3951,Lists!G:G,0))</f>
        <v>Error</v>
      </c>
      <c r="G3951" t="str">
        <f>INDEX(Lists!H:H,MATCH(Validation!E3951,Lists!G:G,0))</f>
        <v>Amount must be rounded to the nearest dollar.</v>
      </c>
      <c r="H3951" s="16" t="str">
        <f t="shared" ca="1" si="423"/>
        <v/>
      </c>
      <c r="I3951" s="16" t="str">
        <f t="shared" ca="1" si="424"/>
        <v/>
      </c>
      <c r="J3951" s="17" t="str">
        <f t="shared" ca="1" si="425"/>
        <v/>
      </c>
    </row>
    <row r="3952" spans="1:10" x14ac:dyDescent="0.25">
      <c r="A3952" t="s">
        <v>661</v>
      </c>
      <c r="B3952" t="str">
        <f>ADDRESS(ROW('PAYG 1'!$B$22),COLUMN('PAYG 1'!$B$22),4)</f>
        <v>B22</v>
      </c>
      <c r="C3952" t="str">
        <f>ADDRESS(ROW('PAYG 1'!$D$22),COLUMN('PAYG 1'!$D$22),4)</f>
        <v>D22</v>
      </c>
      <c r="D3952" t="b" cm="1">
        <f t="array" aca="1" ref="D3952" ca="1">IF(INDIRECT("'"&amp;A3952&amp;"'!"&amp;B3952)="",FALSE,IF(TRUNC(INDIRECT("'"&amp;A3952&amp;"'!"&amp;B3952))=INDIRECT("'"&amp;A3952&amp;"'!"&amp;B3952),FALSE,TRUE))</f>
        <v>0</v>
      </c>
      <c r="E3952" t="s">
        <v>436</v>
      </c>
      <c r="F3952" t="str">
        <f>INDEX(Lists!I:I,MATCH(Validation!E3952,Lists!G:G,0))</f>
        <v>Error</v>
      </c>
      <c r="G3952" t="str">
        <f>INDEX(Lists!H:H,MATCH(Validation!E3952,Lists!G:G,0))</f>
        <v>Amount must be rounded to the nearest dollar.</v>
      </c>
      <c r="H3952" s="16" t="str">
        <f t="shared" ca="1" si="423"/>
        <v/>
      </c>
      <c r="I3952" s="16" t="str">
        <f t="shared" ca="1" si="424"/>
        <v/>
      </c>
      <c r="J3952" s="17" t="str">
        <f t="shared" ca="1" si="425"/>
        <v/>
      </c>
    </row>
    <row r="3953" spans="1:10" x14ac:dyDescent="0.25">
      <c r="A3953" t="s">
        <v>662</v>
      </c>
      <c r="B3953" t="str">
        <f>ADDRESS(ROW('PAYG 1'!$B$22),COLUMN('PAYG 1'!$B$22),4)</f>
        <v>B22</v>
      </c>
      <c r="C3953" t="str">
        <f>ADDRESS(ROW('PAYG 1'!$D$22),COLUMN('PAYG 1'!$D$22),4)</f>
        <v>D22</v>
      </c>
      <c r="D3953" t="b" cm="1">
        <f t="array" aca="1" ref="D3953" ca="1">IF(INDIRECT("'"&amp;A3953&amp;"'!"&amp;B3953)="",FALSE,IF(TRUNC(INDIRECT("'"&amp;A3953&amp;"'!"&amp;B3953))=INDIRECT("'"&amp;A3953&amp;"'!"&amp;B3953),FALSE,TRUE))</f>
        <v>0</v>
      </c>
      <c r="E3953" t="s">
        <v>436</v>
      </c>
      <c r="F3953" t="str">
        <f>INDEX(Lists!I:I,MATCH(Validation!E3953,Lists!G:G,0))</f>
        <v>Error</v>
      </c>
      <c r="G3953" t="str">
        <f>INDEX(Lists!H:H,MATCH(Validation!E3953,Lists!G:G,0))</f>
        <v>Amount must be rounded to the nearest dollar.</v>
      </c>
      <c r="H3953" s="16" t="str">
        <f t="shared" ca="1" si="423"/>
        <v/>
      </c>
      <c r="I3953" s="16" t="str">
        <f t="shared" ca="1" si="424"/>
        <v/>
      </c>
      <c r="J3953" s="17" t="str">
        <f t="shared" ca="1" si="425"/>
        <v/>
      </c>
    </row>
    <row r="3954" spans="1:10" x14ac:dyDescent="0.25">
      <c r="A3954" t="s">
        <v>663</v>
      </c>
      <c r="B3954" t="str">
        <f>ADDRESS(ROW('PAYG 1'!$B$22),COLUMN('PAYG 1'!$B$22),4)</f>
        <v>B22</v>
      </c>
      <c r="C3954" t="str">
        <f>ADDRESS(ROW('PAYG 1'!$D$22),COLUMN('PAYG 1'!$D$22),4)</f>
        <v>D22</v>
      </c>
      <c r="D3954" t="b" cm="1">
        <f t="array" aca="1" ref="D3954" ca="1">IF(INDIRECT("'"&amp;A3954&amp;"'!"&amp;B3954)="",FALSE,IF(TRUNC(INDIRECT("'"&amp;A3954&amp;"'!"&amp;B3954))=INDIRECT("'"&amp;A3954&amp;"'!"&amp;B3954),FALSE,TRUE))</f>
        <v>0</v>
      </c>
      <c r="E3954" t="s">
        <v>436</v>
      </c>
      <c r="F3954" t="str">
        <f>INDEX(Lists!I:I,MATCH(Validation!E3954,Lists!G:G,0))</f>
        <v>Error</v>
      </c>
      <c r="G3954" t="str">
        <f>INDEX(Lists!H:H,MATCH(Validation!E3954,Lists!G:G,0))</f>
        <v>Amount must be rounded to the nearest dollar.</v>
      </c>
      <c r="H3954" s="16" t="str">
        <f t="shared" ca="1" si="423"/>
        <v/>
      </c>
      <c r="I3954" s="16" t="str">
        <f t="shared" ca="1" si="424"/>
        <v/>
      </c>
      <c r="J3954" s="17" t="str">
        <f t="shared" ca="1" si="425"/>
        <v/>
      </c>
    </row>
    <row r="3955" spans="1:10" x14ac:dyDescent="0.25">
      <c r="A3955" t="s">
        <v>664</v>
      </c>
      <c r="B3955" t="str">
        <f>ADDRESS(ROW('PAYG 1'!$B$22),COLUMN('PAYG 1'!$B$22),4)</f>
        <v>B22</v>
      </c>
      <c r="C3955" t="str">
        <f>ADDRESS(ROW('PAYG 1'!$D$22),COLUMN('PAYG 1'!$D$22),4)</f>
        <v>D22</v>
      </c>
      <c r="D3955" t="b" cm="1">
        <f t="array" aca="1" ref="D3955" ca="1">IF(INDIRECT("'"&amp;A3955&amp;"'!"&amp;B3955)="",FALSE,IF(TRUNC(INDIRECT("'"&amp;A3955&amp;"'!"&amp;B3955))=INDIRECT("'"&amp;A3955&amp;"'!"&amp;B3955),FALSE,TRUE))</f>
        <v>0</v>
      </c>
      <c r="E3955" t="s">
        <v>436</v>
      </c>
      <c r="F3955" t="str">
        <f>INDEX(Lists!I:I,MATCH(Validation!E3955,Lists!G:G,0))</f>
        <v>Error</v>
      </c>
      <c r="G3955" t="str">
        <f>INDEX(Lists!H:H,MATCH(Validation!E3955,Lists!G:G,0))</f>
        <v>Amount must be rounded to the nearest dollar.</v>
      </c>
      <c r="H3955" s="16" t="str">
        <f t="shared" ca="1" si="423"/>
        <v/>
      </c>
      <c r="I3955" s="16" t="str">
        <f t="shared" ca="1" si="424"/>
        <v/>
      </c>
      <c r="J3955" s="17" t="str">
        <f t="shared" ca="1" si="425"/>
        <v/>
      </c>
    </row>
    <row r="3956" spans="1:10" x14ac:dyDescent="0.25">
      <c r="A3956" t="s">
        <v>203</v>
      </c>
      <c r="B3956" t="str">
        <f>ADDRESS(ROW('PAYG 1'!$C$22),COLUMN('PAYG 1'!$C$22),4)</f>
        <v>C22</v>
      </c>
      <c r="C3956" t="str">
        <f>ADDRESS(ROW('PAYG 1'!$D$22),COLUMN('PAYG 1'!$D$22),4)</f>
        <v>D22</v>
      </c>
      <c r="D3956" t="b" cm="1">
        <f t="array" aca="1" ref="D3956" ca="1">IF(INDIRECT("'"&amp;A3956&amp;"'!"&amp;B3956)="",FALSE,IF(NOT(ISNUMBER(INDIRECT("'"&amp;A3956&amp;"'!"&amp;B3956))),TRUE,FALSE))</f>
        <v>0</v>
      </c>
      <c r="E3956" t="s">
        <v>435</v>
      </c>
      <c r="F3956" t="str">
        <f>INDEX(Lists!I:I,MATCH(Validation!E3956,Lists!G:G,0))</f>
        <v>Error</v>
      </c>
      <c r="G3956" t="str">
        <f>INDEX(Lists!H:H,MATCH(Validation!E3956,Lists!G:G,0))</f>
        <v>Enter an amount only. Do not enter text or spaces.</v>
      </c>
      <c r="H3956" s="16" t="str">
        <f t="shared" ref="H3956:H4000" ca="1" si="426">IFERROR(IF(OR(NOT(D3956),F3956&lt;&gt;"Error"),"",A3956&amp;CELL("address",INDIRECT(B3956))),"")</f>
        <v/>
      </c>
      <c r="I3956" s="16" t="str">
        <f t="shared" ref="I3956:I4000" ca="1" si="427">IFERROR(IF(NOT(D3956),"",A3956&amp;CELL("address",INDIRECT(C3956))),"")</f>
        <v/>
      </c>
      <c r="J3956" s="17" t="str">
        <f t="shared" ref="J3956:J4000" ca="1" si="428">IFERROR(IF(NOT(D3956),"",A3956),"")</f>
        <v/>
      </c>
    </row>
    <row r="3957" spans="1:10" x14ac:dyDescent="0.25">
      <c r="A3957" t="s">
        <v>651</v>
      </c>
      <c r="B3957" t="str">
        <f>ADDRESS(ROW('PAYG 1'!$C$22),COLUMN('PAYG 1'!$C$22),4)</f>
        <v>C22</v>
      </c>
      <c r="C3957" t="str">
        <f>ADDRESS(ROW('PAYG 1'!$D$22),COLUMN('PAYG 1'!$D$22),4)</f>
        <v>D22</v>
      </c>
      <c r="D3957" t="b" cm="1">
        <f t="array" aca="1" ref="D3957" ca="1">IF(INDIRECT("'"&amp;A3957&amp;"'!"&amp;B3957)="",FALSE,IF(NOT(ISNUMBER(INDIRECT("'"&amp;A3957&amp;"'!"&amp;B3957))),TRUE,FALSE))</f>
        <v>0</v>
      </c>
      <c r="E3957" t="s">
        <v>435</v>
      </c>
      <c r="F3957" t="str">
        <f>INDEX(Lists!I:I,MATCH(Validation!E3957,Lists!G:G,0))</f>
        <v>Error</v>
      </c>
      <c r="G3957" t="str">
        <f>INDEX(Lists!H:H,MATCH(Validation!E3957,Lists!G:G,0))</f>
        <v>Enter an amount only. Do not enter text or spaces.</v>
      </c>
      <c r="H3957" s="16" t="str">
        <f t="shared" ca="1" si="426"/>
        <v/>
      </c>
      <c r="I3957" s="16" t="str">
        <f t="shared" ca="1" si="427"/>
        <v/>
      </c>
      <c r="J3957" s="17" t="str">
        <f t="shared" ca="1" si="428"/>
        <v/>
      </c>
    </row>
    <row r="3958" spans="1:10" x14ac:dyDescent="0.25">
      <c r="A3958" t="s">
        <v>652</v>
      </c>
      <c r="B3958" t="str">
        <f>ADDRESS(ROW('PAYG 1'!$C$22),COLUMN('PAYG 1'!$C$22),4)</f>
        <v>C22</v>
      </c>
      <c r="C3958" t="str">
        <f>ADDRESS(ROW('PAYG 1'!$D$22),COLUMN('PAYG 1'!$D$22),4)</f>
        <v>D22</v>
      </c>
      <c r="D3958" t="b" cm="1">
        <f t="array" aca="1" ref="D3958" ca="1">IF(INDIRECT("'"&amp;A3958&amp;"'!"&amp;B3958)="",FALSE,IF(NOT(ISNUMBER(INDIRECT("'"&amp;A3958&amp;"'!"&amp;B3958))),TRUE,FALSE))</f>
        <v>0</v>
      </c>
      <c r="E3958" t="s">
        <v>435</v>
      </c>
      <c r="F3958" t="str">
        <f>INDEX(Lists!I:I,MATCH(Validation!E3958,Lists!G:G,0))</f>
        <v>Error</v>
      </c>
      <c r="G3958" t="str">
        <f>INDEX(Lists!H:H,MATCH(Validation!E3958,Lists!G:G,0))</f>
        <v>Enter an amount only. Do not enter text or spaces.</v>
      </c>
      <c r="H3958" s="16" t="str">
        <f t="shared" ca="1" si="426"/>
        <v/>
      </c>
      <c r="I3958" s="16" t="str">
        <f t="shared" ca="1" si="427"/>
        <v/>
      </c>
      <c r="J3958" s="17" t="str">
        <f t="shared" ca="1" si="428"/>
        <v/>
      </c>
    </row>
    <row r="3959" spans="1:10" x14ac:dyDescent="0.25">
      <c r="A3959" t="s">
        <v>653</v>
      </c>
      <c r="B3959" t="str">
        <f>ADDRESS(ROW('PAYG 1'!$C$22),COLUMN('PAYG 1'!$C$22),4)</f>
        <v>C22</v>
      </c>
      <c r="C3959" t="str">
        <f>ADDRESS(ROW('PAYG 1'!$D$22),COLUMN('PAYG 1'!$D$22),4)</f>
        <v>D22</v>
      </c>
      <c r="D3959" t="b" cm="1">
        <f t="array" aca="1" ref="D3959" ca="1">IF(INDIRECT("'"&amp;A3959&amp;"'!"&amp;B3959)="",FALSE,IF(NOT(ISNUMBER(INDIRECT("'"&amp;A3959&amp;"'!"&amp;B3959))),TRUE,FALSE))</f>
        <v>0</v>
      </c>
      <c r="E3959" t="s">
        <v>435</v>
      </c>
      <c r="F3959" t="str">
        <f>INDEX(Lists!I:I,MATCH(Validation!E3959,Lists!G:G,0))</f>
        <v>Error</v>
      </c>
      <c r="G3959" t="str">
        <f>INDEX(Lists!H:H,MATCH(Validation!E3959,Lists!G:G,0))</f>
        <v>Enter an amount only. Do not enter text or spaces.</v>
      </c>
      <c r="H3959" s="16" t="str">
        <f t="shared" ca="1" si="426"/>
        <v/>
      </c>
      <c r="I3959" s="16" t="str">
        <f t="shared" ca="1" si="427"/>
        <v/>
      </c>
      <c r="J3959" s="17" t="str">
        <f t="shared" ca="1" si="428"/>
        <v/>
      </c>
    </row>
    <row r="3960" spans="1:10" x14ac:dyDescent="0.25">
      <c r="A3960" t="s">
        <v>654</v>
      </c>
      <c r="B3960" t="str">
        <f>ADDRESS(ROW('PAYG 1'!$C$22),COLUMN('PAYG 1'!$C$22),4)</f>
        <v>C22</v>
      </c>
      <c r="C3960" t="str">
        <f>ADDRESS(ROW('PAYG 1'!$D$22),COLUMN('PAYG 1'!$D$22),4)</f>
        <v>D22</v>
      </c>
      <c r="D3960" t="b" cm="1">
        <f t="array" aca="1" ref="D3960" ca="1">IF(INDIRECT("'"&amp;A3960&amp;"'!"&amp;B3960)="",FALSE,IF(NOT(ISNUMBER(INDIRECT("'"&amp;A3960&amp;"'!"&amp;B3960))),TRUE,FALSE))</f>
        <v>0</v>
      </c>
      <c r="E3960" t="s">
        <v>435</v>
      </c>
      <c r="F3960" t="str">
        <f>INDEX(Lists!I:I,MATCH(Validation!E3960,Lists!G:G,0))</f>
        <v>Error</v>
      </c>
      <c r="G3960" t="str">
        <f>INDEX(Lists!H:H,MATCH(Validation!E3960,Lists!G:G,0))</f>
        <v>Enter an amount only. Do not enter text or spaces.</v>
      </c>
      <c r="H3960" s="16" t="str">
        <f t="shared" ca="1" si="426"/>
        <v/>
      </c>
      <c r="I3960" s="16" t="str">
        <f t="shared" ca="1" si="427"/>
        <v/>
      </c>
      <c r="J3960" s="17" t="str">
        <f t="shared" ca="1" si="428"/>
        <v/>
      </c>
    </row>
    <row r="3961" spans="1:10" x14ac:dyDescent="0.25">
      <c r="A3961" t="s">
        <v>655</v>
      </c>
      <c r="B3961" t="str">
        <f>ADDRESS(ROW('PAYG 1'!$C$22),COLUMN('PAYG 1'!$C$22),4)</f>
        <v>C22</v>
      </c>
      <c r="C3961" t="str">
        <f>ADDRESS(ROW('PAYG 1'!$D$22),COLUMN('PAYG 1'!$D$22),4)</f>
        <v>D22</v>
      </c>
      <c r="D3961" t="b" cm="1">
        <f t="array" aca="1" ref="D3961" ca="1">IF(INDIRECT("'"&amp;A3961&amp;"'!"&amp;B3961)="",FALSE,IF(NOT(ISNUMBER(INDIRECT("'"&amp;A3961&amp;"'!"&amp;B3961))),TRUE,FALSE))</f>
        <v>0</v>
      </c>
      <c r="E3961" t="s">
        <v>435</v>
      </c>
      <c r="F3961" t="str">
        <f>INDEX(Lists!I:I,MATCH(Validation!E3961,Lists!G:G,0))</f>
        <v>Error</v>
      </c>
      <c r="G3961" t="str">
        <f>INDEX(Lists!H:H,MATCH(Validation!E3961,Lists!G:G,0))</f>
        <v>Enter an amount only. Do not enter text or spaces.</v>
      </c>
      <c r="H3961" s="16" t="str">
        <f t="shared" ca="1" si="426"/>
        <v/>
      </c>
      <c r="I3961" s="16" t="str">
        <f t="shared" ca="1" si="427"/>
        <v/>
      </c>
      <c r="J3961" s="17" t="str">
        <f t="shared" ca="1" si="428"/>
        <v/>
      </c>
    </row>
    <row r="3962" spans="1:10" x14ac:dyDescent="0.25">
      <c r="A3962" t="s">
        <v>656</v>
      </c>
      <c r="B3962" t="str">
        <f>ADDRESS(ROW('PAYG 1'!$C$22),COLUMN('PAYG 1'!$C$22),4)</f>
        <v>C22</v>
      </c>
      <c r="C3962" t="str">
        <f>ADDRESS(ROW('PAYG 1'!$D$22),COLUMN('PAYG 1'!$D$22),4)</f>
        <v>D22</v>
      </c>
      <c r="D3962" t="b" cm="1">
        <f t="array" aca="1" ref="D3962" ca="1">IF(INDIRECT("'"&amp;A3962&amp;"'!"&amp;B3962)="",FALSE,IF(NOT(ISNUMBER(INDIRECT("'"&amp;A3962&amp;"'!"&amp;B3962))),TRUE,FALSE))</f>
        <v>0</v>
      </c>
      <c r="E3962" t="s">
        <v>435</v>
      </c>
      <c r="F3962" t="str">
        <f>INDEX(Lists!I:I,MATCH(Validation!E3962,Lists!G:G,0))</f>
        <v>Error</v>
      </c>
      <c r="G3962" t="str">
        <f>INDEX(Lists!H:H,MATCH(Validation!E3962,Lists!G:G,0))</f>
        <v>Enter an amount only. Do not enter text or spaces.</v>
      </c>
      <c r="H3962" s="16" t="str">
        <f t="shared" ca="1" si="426"/>
        <v/>
      </c>
      <c r="I3962" s="16" t="str">
        <f t="shared" ca="1" si="427"/>
        <v/>
      </c>
      <c r="J3962" s="17" t="str">
        <f t="shared" ca="1" si="428"/>
        <v/>
      </c>
    </row>
    <row r="3963" spans="1:10" x14ac:dyDescent="0.25">
      <c r="A3963" t="s">
        <v>657</v>
      </c>
      <c r="B3963" t="str">
        <f>ADDRESS(ROW('PAYG 1'!$C$22),COLUMN('PAYG 1'!$C$22),4)</f>
        <v>C22</v>
      </c>
      <c r="C3963" t="str">
        <f>ADDRESS(ROW('PAYG 1'!$D$22),COLUMN('PAYG 1'!$D$22),4)</f>
        <v>D22</v>
      </c>
      <c r="D3963" t="b" cm="1">
        <f t="array" aca="1" ref="D3963" ca="1">IF(INDIRECT("'"&amp;A3963&amp;"'!"&amp;B3963)="",FALSE,IF(NOT(ISNUMBER(INDIRECT("'"&amp;A3963&amp;"'!"&amp;B3963))),TRUE,FALSE))</f>
        <v>0</v>
      </c>
      <c r="E3963" t="s">
        <v>435</v>
      </c>
      <c r="F3963" t="str">
        <f>INDEX(Lists!I:I,MATCH(Validation!E3963,Lists!G:G,0))</f>
        <v>Error</v>
      </c>
      <c r="G3963" t="str">
        <f>INDEX(Lists!H:H,MATCH(Validation!E3963,Lists!G:G,0))</f>
        <v>Enter an amount only. Do not enter text or spaces.</v>
      </c>
      <c r="H3963" s="16" t="str">
        <f t="shared" ca="1" si="426"/>
        <v/>
      </c>
      <c r="I3963" s="16" t="str">
        <f t="shared" ca="1" si="427"/>
        <v/>
      </c>
      <c r="J3963" s="17" t="str">
        <f t="shared" ca="1" si="428"/>
        <v/>
      </c>
    </row>
    <row r="3964" spans="1:10" x14ac:dyDescent="0.25">
      <c r="A3964" t="s">
        <v>658</v>
      </c>
      <c r="B3964" t="str">
        <f>ADDRESS(ROW('PAYG 1'!$C$22),COLUMN('PAYG 1'!$C$22),4)</f>
        <v>C22</v>
      </c>
      <c r="C3964" t="str">
        <f>ADDRESS(ROW('PAYG 1'!$D$22),COLUMN('PAYG 1'!$D$22),4)</f>
        <v>D22</v>
      </c>
      <c r="D3964" t="b" cm="1">
        <f t="array" aca="1" ref="D3964" ca="1">IF(INDIRECT("'"&amp;A3964&amp;"'!"&amp;B3964)="",FALSE,IF(NOT(ISNUMBER(INDIRECT("'"&amp;A3964&amp;"'!"&amp;B3964))),TRUE,FALSE))</f>
        <v>0</v>
      </c>
      <c r="E3964" t="s">
        <v>435</v>
      </c>
      <c r="F3964" t="str">
        <f>INDEX(Lists!I:I,MATCH(Validation!E3964,Lists!G:G,0))</f>
        <v>Error</v>
      </c>
      <c r="G3964" t="str">
        <f>INDEX(Lists!H:H,MATCH(Validation!E3964,Lists!G:G,0))</f>
        <v>Enter an amount only. Do not enter text or spaces.</v>
      </c>
      <c r="H3964" s="16" t="str">
        <f t="shared" ca="1" si="426"/>
        <v/>
      </c>
      <c r="I3964" s="16" t="str">
        <f t="shared" ca="1" si="427"/>
        <v/>
      </c>
      <c r="J3964" s="17" t="str">
        <f t="shared" ca="1" si="428"/>
        <v/>
      </c>
    </row>
    <row r="3965" spans="1:10" x14ac:dyDescent="0.25">
      <c r="A3965" t="s">
        <v>659</v>
      </c>
      <c r="B3965" t="str">
        <f>ADDRESS(ROW('PAYG 1'!$C$22),COLUMN('PAYG 1'!$C$22),4)</f>
        <v>C22</v>
      </c>
      <c r="C3965" t="str">
        <f>ADDRESS(ROW('PAYG 1'!$D$22),COLUMN('PAYG 1'!$D$22),4)</f>
        <v>D22</v>
      </c>
      <c r="D3965" t="b" cm="1">
        <f t="array" aca="1" ref="D3965" ca="1">IF(INDIRECT("'"&amp;A3965&amp;"'!"&amp;B3965)="",FALSE,IF(NOT(ISNUMBER(INDIRECT("'"&amp;A3965&amp;"'!"&amp;B3965))),TRUE,FALSE))</f>
        <v>0</v>
      </c>
      <c r="E3965" t="s">
        <v>435</v>
      </c>
      <c r="F3965" t="str">
        <f>INDEX(Lists!I:I,MATCH(Validation!E3965,Lists!G:G,0))</f>
        <v>Error</v>
      </c>
      <c r="G3965" t="str">
        <f>INDEX(Lists!H:H,MATCH(Validation!E3965,Lists!G:G,0))</f>
        <v>Enter an amount only. Do not enter text or spaces.</v>
      </c>
      <c r="H3965" s="16" t="str">
        <f t="shared" ca="1" si="426"/>
        <v/>
      </c>
      <c r="I3965" s="16" t="str">
        <f t="shared" ca="1" si="427"/>
        <v/>
      </c>
      <c r="J3965" s="17" t="str">
        <f t="shared" ca="1" si="428"/>
        <v/>
      </c>
    </row>
    <row r="3966" spans="1:10" x14ac:dyDescent="0.25">
      <c r="A3966" t="s">
        <v>660</v>
      </c>
      <c r="B3966" t="str">
        <f>ADDRESS(ROW('PAYG 1'!$C$22),COLUMN('PAYG 1'!$C$22),4)</f>
        <v>C22</v>
      </c>
      <c r="C3966" t="str">
        <f>ADDRESS(ROW('PAYG 1'!$D$22),COLUMN('PAYG 1'!$D$22),4)</f>
        <v>D22</v>
      </c>
      <c r="D3966" t="b" cm="1">
        <f t="array" aca="1" ref="D3966" ca="1">IF(INDIRECT("'"&amp;A3966&amp;"'!"&amp;B3966)="",FALSE,IF(NOT(ISNUMBER(INDIRECT("'"&amp;A3966&amp;"'!"&amp;B3966))),TRUE,FALSE))</f>
        <v>0</v>
      </c>
      <c r="E3966" t="s">
        <v>435</v>
      </c>
      <c r="F3966" t="str">
        <f>INDEX(Lists!I:I,MATCH(Validation!E3966,Lists!G:G,0))</f>
        <v>Error</v>
      </c>
      <c r="G3966" t="str">
        <f>INDEX(Lists!H:H,MATCH(Validation!E3966,Lists!G:G,0))</f>
        <v>Enter an amount only. Do not enter text or spaces.</v>
      </c>
      <c r="H3966" s="16" t="str">
        <f t="shared" ca="1" si="426"/>
        <v/>
      </c>
      <c r="I3966" s="16" t="str">
        <f t="shared" ca="1" si="427"/>
        <v/>
      </c>
      <c r="J3966" s="17" t="str">
        <f t="shared" ca="1" si="428"/>
        <v/>
      </c>
    </row>
    <row r="3967" spans="1:10" x14ac:dyDescent="0.25">
      <c r="A3967" t="s">
        <v>661</v>
      </c>
      <c r="B3967" t="str">
        <f>ADDRESS(ROW('PAYG 1'!$C$22),COLUMN('PAYG 1'!$C$22),4)</f>
        <v>C22</v>
      </c>
      <c r="C3967" t="str">
        <f>ADDRESS(ROW('PAYG 1'!$D$22),COLUMN('PAYG 1'!$D$22),4)</f>
        <v>D22</v>
      </c>
      <c r="D3967" t="b" cm="1">
        <f t="array" aca="1" ref="D3967" ca="1">IF(INDIRECT("'"&amp;A3967&amp;"'!"&amp;B3967)="",FALSE,IF(NOT(ISNUMBER(INDIRECT("'"&amp;A3967&amp;"'!"&amp;B3967))),TRUE,FALSE))</f>
        <v>0</v>
      </c>
      <c r="E3967" t="s">
        <v>435</v>
      </c>
      <c r="F3967" t="str">
        <f>INDEX(Lists!I:I,MATCH(Validation!E3967,Lists!G:G,0))</f>
        <v>Error</v>
      </c>
      <c r="G3967" t="str">
        <f>INDEX(Lists!H:H,MATCH(Validation!E3967,Lists!G:G,0))</f>
        <v>Enter an amount only. Do not enter text or spaces.</v>
      </c>
      <c r="H3967" s="16" t="str">
        <f t="shared" ca="1" si="426"/>
        <v/>
      </c>
      <c r="I3967" s="16" t="str">
        <f t="shared" ca="1" si="427"/>
        <v/>
      </c>
      <c r="J3967" s="17" t="str">
        <f t="shared" ca="1" si="428"/>
        <v/>
      </c>
    </row>
    <row r="3968" spans="1:10" x14ac:dyDescent="0.25">
      <c r="A3968" t="s">
        <v>662</v>
      </c>
      <c r="B3968" t="str">
        <f>ADDRESS(ROW('PAYG 1'!$C$22),COLUMN('PAYG 1'!$C$22),4)</f>
        <v>C22</v>
      </c>
      <c r="C3968" t="str">
        <f>ADDRESS(ROW('PAYG 1'!$D$22),COLUMN('PAYG 1'!$D$22),4)</f>
        <v>D22</v>
      </c>
      <c r="D3968" t="b" cm="1">
        <f t="array" aca="1" ref="D3968" ca="1">IF(INDIRECT("'"&amp;A3968&amp;"'!"&amp;B3968)="",FALSE,IF(NOT(ISNUMBER(INDIRECT("'"&amp;A3968&amp;"'!"&amp;B3968))),TRUE,FALSE))</f>
        <v>0</v>
      </c>
      <c r="E3968" t="s">
        <v>435</v>
      </c>
      <c r="F3968" t="str">
        <f>INDEX(Lists!I:I,MATCH(Validation!E3968,Lists!G:G,0))</f>
        <v>Error</v>
      </c>
      <c r="G3968" t="str">
        <f>INDEX(Lists!H:H,MATCH(Validation!E3968,Lists!G:G,0))</f>
        <v>Enter an amount only. Do not enter text or spaces.</v>
      </c>
      <c r="H3968" s="16" t="str">
        <f t="shared" ca="1" si="426"/>
        <v/>
      </c>
      <c r="I3968" s="16" t="str">
        <f t="shared" ca="1" si="427"/>
        <v/>
      </c>
      <c r="J3968" s="17" t="str">
        <f t="shared" ca="1" si="428"/>
        <v/>
      </c>
    </row>
    <row r="3969" spans="1:10" x14ac:dyDescent="0.25">
      <c r="A3969" t="s">
        <v>663</v>
      </c>
      <c r="B3969" t="str">
        <f>ADDRESS(ROW('PAYG 1'!$C$22),COLUMN('PAYG 1'!$C$22),4)</f>
        <v>C22</v>
      </c>
      <c r="C3969" t="str">
        <f>ADDRESS(ROW('PAYG 1'!$D$22),COLUMN('PAYG 1'!$D$22),4)</f>
        <v>D22</v>
      </c>
      <c r="D3969" t="b" cm="1">
        <f t="array" aca="1" ref="D3969" ca="1">IF(INDIRECT("'"&amp;A3969&amp;"'!"&amp;B3969)="",FALSE,IF(NOT(ISNUMBER(INDIRECT("'"&amp;A3969&amp;"'!"&amp;B3969))),TRUE,FALSE))</f>
        <v>0</v>
      </c>
      <c r="E3969" t="s">
        <v>435</v>
      </c>
      <c r="F3969" t="str">
        <f>INDEX(Lists!I:I,MATCH(Validation!E3969,Lists!G:G,0))</f>
        <v>Error</v>
      </c>
      <c r="G3969" t="str">
        <f>INDEX(Lists!H:H,MATCH(Validation!E3969,Lists!G:G,0))</f>
        <v>Enter an amount only. Do not enter text or spaces.</v>
      </c>
      <c r="H3969" s="16" t="str">
        <f t="shared" ca="1" si="426"/>
        <v/>
      </c>
      <c r="I3969" s="16" t="str">
        <f t="shared" ca="1" si="427"/>
        <v/>
      </c>
      <c r="J3969" s="17" t="str">
        <f t="shared" ca="1" si="428"/>
        <v/>
      </c>
    </row>
    <row r="3970" spans="1:10" x14ac:dyDescent="0.25">
      <c r="A3970" t="s">
        <v>664</v>
      </c>
      <c r="B3970" t="str">
        <f>ADDRESS(ROW('PAYG 1'!$C$22),COLUMN('PAYG 1'!$C$22),4)</f>
        <v>C22</v>
      </c>
      <c r="C3970" t="str">
        <f>ADDRESS(ROW('PAYG 1'!$D$22),COLUMN('PAYG 1'!$D$22),4)</f>
        <v>D22</v>
      </c>
      <c r="D3970" t="b" cm="1">
        <f t="array" aca="1" ref="D3970" ca="1">IF(INDIRECT("'"&amp;A3970&amp;"'!"&amp;B3970)="",FALSE,IF(NOT(ISNUMBER(INDIRECT("'"&amp;A3970&amp;"'!"&amp;B3970))),TRUE,FALSE))</f>
        <v>0</v>
      </c>
      <c r="E3970" t="s">
        <v>435</v>
      </c>
      <c r="F3970" t="str">
        <f>INDEX(Lists!I:I,MATCH(Validation!E3970,Lists!G:G,0))</f>
        <v>Error</v>
      </c>
      <c r="G3970" t="str">
        <f>INDEX(Lists!H:H,MATCH(Validation!E3970,Lists!G:G,0))</f>
        <v>Enter an amount only. Do not enter text or spaces.</v>
      </c>
      <c r="H3970" s="16" t="str">
        <f t="shared" ca="1" si="426"/>
        <v/>
      </c>
      <c r="I3970" s="16" t="str">
        <f t="shared" ca="1" si="427"/>
        <v/>
      </c>
      <c r="J3970" s="17" t="str">
        <f t="shared" ca="1" si="428"/>
        <v/>
      </c>
    </row>
    <row r="3971" spans="1:10" x14ac:dyDescent="0.25">
      <c r="A3971" t="s">
        <v>203</v>
      </c>
      <c r="B3971" t="str">
        <f>ADDRESS(ROW('PAYG 1'!$C$22),COLUMN('PAYG 1'!$C$22),4)</f>
        <v>C22</v>
      </c>
      <c r="C3971" t="str">
        <f>ADDRESS(ROW('PAYG 1'!$D$22),COLUMN('PAYG 1'!$D$22),4)</f>
        <v>D22</v>
      </c>
      <c r="D3971" t="b" cm="1">
        <f t="array" aca="1" ref="D3971" ca="1">IF(INDIRECT("'"&amp;A3971&amp;"'!"&amp;B3971)="",FALSE,IF(INDIRECT("'"&amp;A3971&amp;"'!"&amp;B3971)&lt;0,TRUE,FALSE))</f>
        <v>0</v>
      </c>
      <c r="E3971" t="s">
        <v>434</v>
      </c>
      <c r="F3971" t="str">
        <f>INDEX(Lists!I:I,MATCH(Validation!E3971,Lists!G:G,0))</f>
        <v>Error</v>
      </c>
      <c r="G3971" t="str">
        <f>INDEX(Lists!H:H,MATCH(Validation!E3971,Lists!G:G,0))</f>
        <v>Amount may not be negative. Enter an amount greater than or equal to zero.</v>
      </c>
      <c r="H3971" s="16" t="str">
        <f t="shared" ca="1" si="426"/>
        <v/>
      </c>
      <c r="I3971" s="16" t="str">
        <f t="shared" ca="1" si="427"/>
        <v/>
      </c>
      <c r="J3971" s="17" t="str">
        <f t="shared" ca="1" si="428"/>
        <v/>
      </c>
    </row>
    <row r="3972" spans="1:10" x14ac:dyDescent="0.25">
      <c r="A3972" t="s">
        <v>651</v>
      </c>
      <c r="B3972" t="str">
        <f>ADDRESS(ROW('PAYG 1'!$C$22),COLUMN('PAYG 1'!$C$22),4)</f>
        <v>C22</v>
      </c>
      <c r="C3972" t="str">
        <f>ADDRESS(ROW('PAYG 1'!$D$22),COLUMN('PAYG 1'!$D$22),4)</f>
        <v>D22</v>
      </c>
      <c r="D3972" t="b" cm="1">
        <f t="array" aca="1" ref="D3972" ca="1">IF(INDIRECT("'"&amp;A3972&amp;"'!"&amp;B3972)="",FALSE,IF(INDIRECT("'"&amp;A3972&amp;"'!"&amp;B3972)&lt;0,TRUE,FALSE))</f>
        <v>0</v>
      </c>
      <c r="E3972" t="s">
        <v>434</v>
      </c>
      <c r="F3972" t="str">
        <f>INDEX(Lists!I:I,MATCH(Validation!E3972,Lists!G:G,0))</f>
        <v>Error</v>
      </c>
      <c r="G3972" t="str">
        <f>INDEX(Lists!H:H,MATCH(Validation!E3972,Lists!G:G,0))</f>
        <v>Amount may not be negative. Enter an amount greater than or equal to zero.</v>
      </c>
      <c r="H3972" s="16" t="str">
        <f t="shared" ca="1" si="426"/>
        <v/>
      </c>
      <c r="I3972" s="16" t="str">
        <f t="shared" ca="1" si="427"/>
        <v/>
      </c>
      <c r="J3972" s="17" t="str">
        <f t="shared" ca="1" si="428"/>
        <v/>
      </c>
    </row>
    <row r="3973" spans="1:10" x14ac:dyDescent="0.25">
      <c r="A3973" t="s">
        <v>652</v>
      </c>
      <c r="B3973" t="str">
        <f>ADDRESS(ROW('PAYG 1'!$C$22),COLUMN('PAYG 1'!$C$22),4)</f>
        <v>C22</v>
      </c>
      <c r="C3973" t="str">
        <f>ADDRESS(ROW('PAYG 1'!$D$22),COLUMN('PAYG 1'!$D$22),4)</f>
        <v>D22</v>
      </c>
      <c r="D3973" t="b" cm="1">
        <f t="array" aca="1" ref="D3973" ca="1">IF(INDIRECT("'"&amp;A3973&amp;"'!"&amp;B3973)="",FALSE,IF(INDIRECT("'"&amp;A3973&amp;"'!"&amp;B3973)&lt;0,TRUE,FALSE))</f>
        <v>0</v>
      </c>
      <c r="E3973" t="s">
        <v>434</v>
      </c>
      <c r="F3973" t="str">
        <f>INDEX(Lists!I:I,MATCH(Validation!E3973,Lists!G:G,0))</f>
        <v>Error</v>
      </c>
      <c r="G3973" t="str">
        <f>INDEX(Lists!H:H,MATCH(Validation!E3973,Lists!G:G,0))</f>
        <v>Amount may not be negative. Enter an amount greater than or equal to zero.</v>
      </c>
      <c r="H3973" s="16" t="str">
        <f t="shared" ca="1" si="426"/>
        <v/>
      </c>
      <c r="I3973" s="16" t="str">
        <f t="shared" ca="1" si="427"/>
        <v/>
      </c>
      <c r="J3973" s="17" t="str">
        <f t="shared" ca="1" si="428"/>
        <v/>
      </c>
    </row>
    <row r="3974" spans="1:10" x14ac:dyDescent="0.25">
      <c r="A3974" t="s">
        <v>653</v>
      </c>
      <c r="B3974" t="str">
        <f>ADDRESS(ROW('PAYG 1'!$C$22),COLUMN('PAYG 1'!$C$22),4)</f>
        <v>C22</v>
      </c>
      <c r="C3974" t="str">
        <f>ADDRESS(ROW('PAYG 1'!$D$22),COLUMN('PAYG 1'!$D$22),4)</f>
        <v>D22</v>
      </c>
      <c r="D3974" t="b" cm="1">
        <f t="array" aca="1" ref="D3974" ca="1">IF(INDIRECT("'"&amp;A3974&amp;"'!"&amp;B3974)="",FALSE,IF(INDIRECT("'"&amp;A3974&amp;"'!"&amp;B3974)&lt;0,TRUE,FALSE))</f>
        <v>0</v>
      </c>
      <c r="E3974" t="s">
        <v>434</v>
      </c>
      <c r="F3974" t="str">
        <f>INDEX(Lists!I:I,MATCH(Validation!E3974,Lists!G:G,0))</f>
        <v>Error</v>
      </c>
      <c r="G3974" t="str">
        <f>INDEX(Lists!H:H,MATCH(Validation!E3974,Lists!G:G,0))</f>
        <v>Amount may not be negative. Enter an amount greater than or equal to zero.</v>
      </c>
      <c r="H3974" s="16" t="str">
        <f t="shared" ca="1" si="426"/>
        <v/>
      </c>
      <c r="I3974" s="16" t="str">
        <f t="shared" ca="1" si="427"/>
        <v/>
      </c>
      <c r="J3974" s="17" t="str">
        <f t="shared" ca="1" si="428"/>
        <v/>
      </c>
    </row>
    <row r="3975" spans="1:10" x14ac:dyDescent="0.25">
      <c r="A3975" t="s">
        <v>654</v>
      </c>
      <c r="B3975" t="str">
        <f>ADDRESS(ROW('PAYG 1'!$C$22),COLUMN('PAYG 1'!$C$22),4)</f>
        <v>C22</v>
      </c>
      <c r="C3975" t="str">
        <f>ADDRESS(ROW('PAYG 1'!$D$22),COLUMN('PAYG 1'!$D$22),4)</f>
        <v>D22</v>
      </c>
      <c r="D3975" t="b" cm="1">
        <f t="array" aca="1" ref="D3975" ca="1">IF(INDIRECT("'"&amp;A3975&amp;"'!"&amp;B3975)="",FALSE,IF(INDIRECT("'"&amp;A3975&amp;"'!"&amp;B3975)&lt;0,TRUE,FALSE))</f>
        <v>0</v>
      </c>
      <c r="E3975" t="s">
        <v>434</v>
      </c>
      <c r="F3975" t="str">
        <f>INDEX(Lists!I:I,MATCH(Validation!E3975,Lists!G:G,0))</f>
        <v>Error</v>
      </c>
      <c r="G3975" t="str">
        <f>INDEX(Lists!H:H,MATCH(Validation!E3975,Lists!G:G,0))</f>
        <v>Amount may not be negative. Enter an amount greater than or equal to zero.</v>
      </c>
      <c r="H3975" s="16" t="str">
        <f t="shared" ca="1" si="426"/>
        <v/>
      </c>
      <c r="I3975" s="16" t="str">
        <f t="shared" ca="1" si="427"/>
        <v/>
      </c>
      <c r="J3975" s="17" t="str">
        <f t="shared" ca="1" si="428"/>
        <v/>
      </c>
    </row>
    <row r="3976" spans="1:10" x14ac:dyDescent="0.25">
      <c r="A3976" t="s">
        <v>655</v>
      </c>
      <c r="B3976" t="str">
        <f>ADDRESS(ROW('PAYG 1'!$C$22),COLUMN('PAYG 1'!$C$22),4)</f>
        <v>C22</v>
      </c>
      <c r="C3976" t="str">
        <f>ADDRESS(ROW('PAYG 1'!$D$22),COLUMN('PAYG 1'!$D$22),4)</f>
        <v>D22</v>
      </c>
      <c r="D3976" t="b" cm="1">
        <f t="array" aca="1" ref="D3976" ca="1">IF(INDIRECT("'"&amp;A3976&amp;"'!"&amp;B3976)="",FALSE,IF(INDIRECT("'"&amp;A3976&amp;"'!"&amp;B3976)&lt;0,TRUE,FALSE))</f>
        <v>0</v>
      </c>
      <c r="E3976" t="s">
        <v>434</v>
      </c>
      <c r="F3976" t="str">
        <f>INDEX(Lists!I:I,MATCH(Validation!E3976,Lists!G:G,0))</f>
        <v>Error</v>
      </c>
      <c r="G3976" t="str">
        <f>INDEX(Lists!H:H,MATCH(Validation!E3976,Lists!G:G,0))</f>
        <v>Amount may not be negative. Enter an amount greater than or equal to zero.</v>
      </c>
      <c r="H3976" s="16" t="str">
        <f t="shared" ca="1" si="426"/>
        <v/>
      </c>
      <c r="I3976" s="16" t="str">
        <f t="shared" ca="1" si="427"/>
        <v/>
      </c>
      <c r="J3976" s="17" t="str">
        <f t="shared" ca="1" si="428"/>
        <v/>
      </c>
    </row>
    <row r="3977" spans="1:10" x14ac:dyDescent="0.25">
      <c r="A3977" t="s">
        <v>656</v>
      </c>
      <c r="B3977" t="str">
        <f>ADDRESS(ROW('PAYG 1'!$C$22),COLUMN('PAYG 1'!$C$22),4)</f>
        <v>C22</v>
      </c>
      <c r="C3977" t="str">
        <f>ADDRESS(ROW('PAYG 1'!$D$22),COLUMN('PAYG 1'!$D$22),4)</f>
        <v>D22</v>
      </c>
      <c r="D3977" t="b" cm="1">
        <f t="array" aca="1" ref="D3977" ca="1">IF(INDIRECT("'"&amp;A3977&amp;"'!"&amp;B3977)="",FALSE,IF(INDIRECT("'"&amp;A3977&amp;"'!"&amp;B3977)&lt;0,TRUE,FALSE))</f>
        <v>0</v>
      </c>
      <c r="E3977" t="s">
        <v>434</v>
      </c>
      <c r="F3977" t="str">
        <f>INDEX(Lists!I:I,MATCH(Validation!E3977,Lists!G:G,0))</f>
        <v>Error</v>
      </c>
      <c r="G3977" t="str">
        <f>INDEX(Lists!H:H,MATCH(Validation!E3977,Lists!G:G,0))</f>
        <v>Amount may not be negative. Enter an amount greater than or equal to zero.</v>
      </c>
      <c r="H3977" s="16" t="str">
        <f t="shared" ca="1" si="426"/>
        <v/>
      </c>
      <c r="I3977" s="16" t="str">
        <f t="shared" ca="1" si="427"/>
        <v/>
      </c>
      <c r="J3977" s="17" t="str">
        <f t="shared" ca="1" si="428"/>
        <v/>
      </c>
    </row>
    <row r="3978" spans="1:10" x14ac:dyDescent="0.25">
      <c r="A3978" t="s">
        <v>657</v>
      </c>
      <c r="B3978" t="str">
        <f>ADDRESS(ROW('PAYG 1'!$C$22),COLUMN('PAYG 1'!$C$22),4)</f>
        <v>C22</v>
      </c>
      <c r="C3978" t="str">
        <f>ADDRESS(ROW('PAYG 1'!$D$22),COLUMN('PAYG 1'!$D$22),4)</f>
        <v>D22</v>
      </c>
      <c r="D3978" t="b" cm="1">
        <f t="array" aca="1" ref="D3978" ca="1">IF(INDIRECT("'"&amp;A3978&amp;"'!"&amp;B3978)="",FALSE,IF(INDIRECT("'"&amp;A3978&amp;"'!"&amp;B3978)&lt;0,TRUE,FALSE))</f>
        <v>0</v>
      </c>
      <c r="E3978" t="s">
        <v>434</v>
      </c>
      <c r="F3978" t="str">
        <f>INDEX(Lists!I:I,MATCH(Validation!E3978,Lists!G:G,0))</f>
        <v>Error</v>
      </c>
      <c r="G3978" t="str">
        <f>INDEX(Lists!H:H,MATCH(Validation!E3978,Lists!G:G,0))</f>
        <v>Amount may not be negative. Enter an amount greater than or equal to zero.</v>
      </c>
      <c r="H3978" s="16" t="str">
        <f t="shared" ca="1" si="426"/>
        <v/>
      </c>
      <c r="I3978" s="16" t="str">
        <f t="shared" ca="1" si="427"/>
        <v/>
      </c>
      <c r="J3978" s="17" t="str">
        <f t="shared" ca="1" si="428"/>
        <v/>
      </c>
    </row>
    <row r="3979" spans="1:10" x14ac:dyDescent="0.25">
      <c r="A3979" t="s">
        <v>658</v>
      </c>
      <c r="B3979" t="str">
        <f>ADDRESS(ROW('PAYG 1'!$C$22),COLUMN('PAYG 1'!$C$22),4)</f>
        <v>C22</v>
      </c>
      <c r="C3979" t="str">
        <f>ADDRESS(ROW('PAYG 1'!$D$22),COLUMN('PAYG 1'!$D$22),4)</f>
        <v>D22</v>
      </c>
      <c r="D3979" t="b" cm="1">
        <f t="array" aca="1" ref="D3979" ca="1">IF(INDIRECT("'"&amp;A3979&amp;"'!"&amp;B3979)="",FALSE,IF(INDIRECT("'"&amp;A3979&amp;"'!"&amp;B3979)&lt;0,TRUE,FALSE))</f>
        <v>0</v>
      </c>
      <c r="E3979" t="s">
        <v>434</v>
      </c>
      <c r="F3979" t="str">
        <f>INDEX(Lists!I:I,MATCH(Validation!E3979,Lists!G:G,0))</f>
        <v>Error</v>
      </c>
      <c r="G3979" t="str">
        <f>INDEX(Lists!H:H,MATCH(Validation!E3979,Lists!G:G,0))</f>
        <v>Amount may not be negative. Enter an amount greater than or equal to zero.</v>
      </c>
      <c r="H3979" s="16" t="str">
        <f t="shared" ca="1" si="426"/>
        <v/>
      </c>
      <c r="I3979" s="16" t="str">
        <f t="shared" ca="1" si="427"/>
        <v/>
      </c>
      <c r="J3979" s="17" t="str">
        <f t="shared" ca="1" si="428"/>
        <v/>
      </c>
    </row>
    <row r="3980" spans="1:10" x14ac:dyDescent="0.25">
      <c r="A3980" t="s">
        <v>659</v>
      </c>
      <c r="B3980" t="str">
        <f>ADDRESS(ROW('PAYG 1'!$C$22),COLUMN('PAYG 1'!$C$22),4)</f>
        <v>C22</v>
      </c>
      <c r="C3980" t="str">
        <f>ADDRESS(ROW('PAYG 1'!$D$22),COLUMN('PAYG 1'!$D$22),4)</f>
        <v>D22</v>
      </c>
      <c r="D3980" t="b" cm="1">
        <f t="array" aca="1" ref="D3980" ca="1">IF(INDIRECT("'"&amp;A3980&amp;"'!"&amp;B3980)="",FALSE,IF(INDIRECT("'"&amp;A3980&amp;"'!"&amp;B3980)&lt;0,TRUE,FALSE))</f>
        <v>0</v>
      </c>
      <c r="E3980" t="s">
        <v>434</v>
      </c>
      <c r="F3980" t="str">
        <f>INDEX(Lists!I:I,MATCH(Validation!E3980,Lists!G:G,0))</f>
        <v>Error</v>
      </c>
      <c r="G3980" t="str">
        <f>INDEX(Lists!H:H,MATCH(Validation!E3980,Lists!G:G,0))</f>
        <v>Amount may not be negative. Enter an amount greater than or equal to zero.</v>
      </c>
      <c r="H3980" s="16" t="str">
        <f t="shared" ca="1" si="426"/>
        <v/>
      </c>
      <c r="I3980" s="16" t="str">
        <f t="shared" ca="1" si="427"/>
        <v/>
      </c>
      <c r="J3980" s="17" t="str">
        <f t="shared" ca="1" si="428"/>
        <v/>
      </c>
    </row>
    <row r="3981" spans="1:10" x14ac:dyDescent="0.25">
      <c r="A3981" t="s">
        <v>660</v>
      </c>
      <c r="B3981" t="str">
        <f>ADDRESS(ROW('PAYG 1'!$C$22),COLUMN('PAYG 1'!$C$22),4)</f>
        <v>C22</v>
      </c>
      <c r="C3981" t="str">
        <f>ADDRESS(ROW('PAYG 1'!$D$22),COLUMN('PAYG 1'!$D$22),4)</f>
        <v>D22</v>
      </c>
      <c r="D3981" t="b" cm="1">
        <f t="array" aca="1" ref="D3981" ca="1">IF(INDIRECT("'"&amp;A3981&amp;"'!"&amp;B3981)="",FALSE,IF(INDIRECT("'"&amp;A3981&amp;"'!"&amp;B3981)&lt;0,TRUE,FALSE))</f>
        <v>0</v>
      </c>
      <c r="E3981" t="s">
        <v>434</v>
      </c>
      <c r="F3981" t="str">
        <f>INDEX(Lists!I:I,MATCH(Validation!E3981,Lists!G:G,0))</f>
        <v>Error</v>
      </c>
      <c r="G3981" t="str">
        <f>INDEX(Lists!H:H,MATCH(Validation!E3981,Lists!G:G,0))</f>
        <v>Amount may not be negative. Enter an amount greater than or equal to zero.</v>
      </c>
      <c r="H3981" s="16" t="str">
        <f t="shared" ca="1" si="426"/>
        <v/>
      </c>
      <c r="I3981" s="16" t="str">
        <f t="shared" ca="1" si="427"/>
        <v/>
      </c>
      <c r="J3981" s="17" t="str">
        <f t="shared" ca="1" si="428"/>
        <v/>
      </c>
    </row>
    <row r="3982" spans="1:10" x14ac:dyDescent="0.25">
      <c r="A3982" t="s">
        <v>661</v>
      </c>
      <c r="B3982" t="str">
        <f>ADDRESS(ROW('PAYG 1'!$C$22),COLUMN('PAYG 1'!$C$22),4)</f>
        <v>C22</v>
      </c>
      <c r="C3982" t="str">
        <f>ADDRESS(ROW('PAYG 1'!$D$22),COLUMN('PAYG 1'!$D$22),4)</f>
        <v>D22</v>
      </c>
      <c r="D3982" t="b" cm="1">
        <f t="array" aca="1" ref="D3982" ca="1">IF(INDIRECT("'"&amp;A3982&amp;"'!"&amp;B3982)="",FALSE,IF(INDIRECT("'"&amp;A3982&amp;"'!"&amp;B3982)&lt;0,TRUE,FALSE))</f>
        <v>0</v>
      </c>
      <c r="E3982" t="s">
        <v>434</v>
      </c>
      <c r="F3982" t="str">
        <f>INDEX(Lists!I:I,MATCH(Validation!E3982,Lists!G:G,0))</f>
        <v>Error</v>
      </c>
      <c r="G3982" t="str">
        <f>INDEX(Lists!H:H,MATCH(Validation!E3982,Lists!G:G,0))</f>
        <v>Amount may not be negative. Enter an amount greater than or equal to zero.</v>
      </c>
      <c r="H3982" s="16" t="str">
        <f t="shared" ca="1" si="426"/>
        <v/>
      </c>
      <c r="I3982" s="16" t="str">
        <f t="shared" ca="1" si="427"/>
        <v/>
      </c>
      <c r="J3982" s="17" t="str">
        <f t="shared" ca="1" si="428"/>
        <v/>
      </c>
    </row>
    <row r="3983" spans="1:10" x14ac:dyDescent="0.25">
      <c r="A3983" t="s">
        <v>662</v>
      </c>
      <c r="B3983" t="str">
        <f>ADDRESS(ROW('PAYG 1'!$C$22),COLUMN('PAYG 1'!$C$22),4)</f>
        <v>C22</v>
      </c>
      <c r="C3983" t="str">
        <f>ADDRESS(ROW('PAYG 1'!$D$22),COLUMN('PAYG 1'!$D$22),4)</f>
        <v>D22</v>
      </c>
      <c r="D3983" t="b" cm="1">
        <f t="array" aca="1" ref="D3983" ca="1">IF(INDIRECT("'"&amp;A3983&amp;"'!"&amp;B3983)="",FALSE,IF(INDIRECT("'"&amp;A3983&amp;"'!"&amp;B3983)&lt;0,TRUE,FALSE))</f>
        <v>0</v>
      </c>
      <c r="E3983" t="s">
        <v>434</v>
      </c>
      <c r="F3983" t="str">
        <f>INDEX(Lists!I:I,MATCH(Validation!E3983,Lists!G:G,0))</f>
        <v>Error</v>
      </c>
      <c r="G3983" t="str">
        <f>INDEX(Lists!H:H,MATCH(Validation!E3983,Lists!G:G,0))</f>
        <v>Amount may not be negative. Enter an amount greater than or equal to zero.</v>
      </c>
      <c r="H3983" s="16" t="str">
        <f t="shared" ca="1" si="426"/>
        <v/>
      </c>
      <c r="I3983" s="16" t="str">
        <f t="shared" ca="1" si="427"/>
        <v/>
      </c>
      <c r="J3983" s="17" t="str">
        <f t="shared" ca="1" si="428"/>
        <v/>
      </c>
    </row>
    <row r="3984" spans="1:10" x14ac:dyDescent="0.25">
      <c r="A3984" t="s">
        <v>663</v>
      </c>
      <c r="B3984" t="str">
        <f>ADDRESS(ROW('PAYG 1'!$C$22),COLUMN('PAYG 1'!$C$22),4)</f>
        <v>C22</v>
      </c>
      <c r="C3984" t="str">
        <f>ADDRESS(ROW('PAYG 1'!$D$22),COLUMN('PAYG 1'!$D$22),4)</f>
        <v>D22</v>
      </c>
      <c r="D3984" t="b" cm="1">
        <f t="array" aca="1" ref="D3984" ca="1">IF(INDIRECT("'"&amp;A3984&amp;"'!"&amp;B3984)="",FALSE,IF(INDIRECT("'"&amp;A3984&amp;"'!"&amp;B3984)&lt;0,TRUE,FALSE))</f>
        <v>0</v>
      </c>
      <c r="E3984" t="s">
        <v>434</v>
      </c>
      <c r="F3984" t="str">
        <f>INDEX(Lists!I:I,MATCH(Validation!E3984,Lists!G:G,0))</f>
        <v>Error</v>
      </c>
      <c r="G3984" t="str">
        <f>INDEX(Lists!H:H,MATCH(Validation!E3984,Lists!G:G,0))</f>
        <v>Amount may not be negative. Enter an amount greater than or equal to zero.</v>
      </c>
      <c r="H3984" s="16" t="str">
        <f t="shared" ca="1" si="426"/>
        <v/>
      </c>
      <c r="I3984" s="16" t="str">
        <f t="shared" ca="1" si="427"/>
        <v/>
      </c>
      <c r="J3984" s="17" t="str">
        <f t="shared" ca="1" si="428"/>
        <v/>
      </c>
    </row>
    <row r="3985" spans="1:10" x14ac:dyDescent="0.25">
      <c r="A3985" t="s">
        <v>664</v>
      </c>
      <c r="B3985" t="str">
        <f>ADDRESS(ROW('PAYG 1'!$C$22),COLUMN('PAYG 1'!$C$22),4)</f>
        <v>C22</v>
      </c>
      <c r="C3985" t="str">
        <f>ADDRESS(ROW('PAYG 1'!$D$22),COLUMN('PAYG 1'!$D$22),4)</f>
        <v>D22</v>
      </c>
      <c r="D3985" t="b" cm="1">
        <f t="array" aca="1" ref="D3985" ca="1">IF(INDIRECT("'"&amp;A3985&amp;"'!"&amp;B3985)="",FALSE,IF(INDIRECT("'"&amp;A3985&amp;"'!"&amp;B3985)&lt;0,TRUE,FALSE))</f>
        <v>0</v>
      </c>
      <c r="E3985" t="s">
        <v>434</v>
      </c>
      <c r="F3985" t="str">
        <f>INDEX(Lists!I:I,MATCH(Validation!E3985,Lists!G:G,0))</f>
        <v>Error</v>
      </c>
      <c r="G3985" t="str">
        <f>INDEX(Lists!H:H,MATCH(Validation!E3985,Lists!G:G,0))</f>
        <v>Amount may not be negative. Enter an amount greater than or equal to zero.</v>
      </c>
      <c r="H3985" s="16" t="str">
        <f t="shared" ca="1" si="426"/>
        <v/>
      </c>
      <c r="I3985" s="16" t="str">
        <f t="shared" ca="1" si="427"/>
        <v/>
      </c>
      <c r="J3985" s="17" t="str">
        <f t="shared" ca="1" si="428"/>
        <v/>
      </c>
    </row>
    <row r="3986" spans="1:10" x14ac:dyDescent="0.25">
      <c r="A3986" t="s">
        <v>203</v>
      </c>
      <c r="B3986" t="str">
        <f>ADDRESS(ROW('PAYG 1'!$C$22),COLUMN('PAYG 1'!$C$22),4)</f>
        <v>C22</v>
      </c>
      <c r="C3986" t="str">
        <f>ADDRESS(ROW('PAYG 1'!$D$22),COLUMN('PAYG 1'!$D$22),4)</f>
        <v>D22</v>
      </c>
      <c r="D3986" t="b" cm="1">
        <f t="array" aca="1" ref="D3986" ca="1">IF(INDIRECT("'"&amp;A3986&amp;"'!"&amp;B3986)="",FALSE,IF(TRUNC(INDIRECT("'"&amp;A3986&amp;"'!"&amp;B3986))=INDIRECT("'"&amp;A3986&amp;"'!"&amp;B3986),FALSE,TRUE))</f>
        <v>0</v>
      </c>
      <c r="E3986" t="s">
        <v>436</v>
      </c>
      <c r="F3986" t="str">
        <f>INDEX(Lists!I:I,MATCH(Validation!E3986,Lists!G:G,0))</f>
        <v>Error</v>
      </c>
      <c r="G3986" t="str">
        <f>INDEX(Lists!H:H,MATCH(Validation!E3986,Lists!G:G,0))</f>
        <v>Amount must be rounded to the nearest dollar.</v>
      </c>
      <c r="H3986" s="16" t="str">
        <f t="shared" ca="1" si="426"/>
        <v/>
      </c>
      <c r="I3986" s="16" t="str">
        <f t="shared" ca="1" si="427"/>
        <v/>
      </c>
      <c r="J3986" s="17" t="str">
        <f t="shared" ca="1" si="428"/>
        <v/>
      </c>
    </row>
    <row r="3987" spans="1:10" x14ac:dyDescent="0.25">
      <c r="A3987" t="s">
        <v>651</v>
      </c>
      <c r="B3987" t="str">
        <f>ADDRESS(ROW('PAYG 1'!$C$22),COLUMN('PAYG 1'!$C$22),4)</f>
        <v>C22</v>
      </c>
      <c r="C3987" t="str">
        <f>ADDRESS(ROW('PAYG 1'!$D$22),COLUMN('PAYG 1'!$D$22),4)</f>
        <v>D22</v>
      </c>
      <c r="D3987" t="b" cm="1">
        <f t="array" aca="1" ref="D3987" ca="1">IF(INDIRECT("'"&amp;A3987&amp;"'!"&amp;B3987)="",FALSE,IF(TRUNC(INDIRECT("'"&amp;A3987&amp;"'!"&amp;B3987))=INDIRECT("'"&amp;A3987&amp;"'!"&amp;B3987),FALSE,TRUE))</f>
        <v>0</v>
      </c>
      <c r="E3987" t="s">
        <v>436</v>
      </c>
      <c r="F3987" t="str">
        <f>INDEX(Lists!I:I,MATCH(Validation!E3987,Lists!G:G,0))</f>
        <v>Error</v>
      </c>
      <c r="G3987" t="str">
        <f>INDEX(Lists!H:H,MATCH(Validation!E3987,Lists!G:G,0))</f>
        <v>Amount must be rounded to the nearest dollar.</v>
      </c>
      <c r="H3987" s="16" t="str">
        <f t="shared" ca="1" si="426"/>
        <v/>
      </c>
      <c r="I3987" s="16" t="str">
        <f t="shared" ca="1" si="427"/>
        <v/>
      </c>
      <c r="J3987" s="17" t="str">
        <f t="shared" ca="1" si="428"/>
        <v/>
      </c>
    </row>
    <row r="3988" spans="1:10" x14ac:dyDescent="0.25">
      <c r="A3988" t="s">
        <v>652</v>
      </c>
      <c r="B3988" t="str">
        <f>ADDRESS(ROW('PAYG 1'!$C$22),COLUMN('PAYG 1'!$C$22),4)</f>
        <v>C22</v>
      </c>
      <c r="C3988" t="str">
        <f>ADDRESS(ROW('PAYG 1'!$D$22),COLUMN('PAYG 1'!$D$22),4)</f>
        <v>D22</v>
      </c>
      <c r="D3988" t="b" cm="1">
        <f t="array" aca="1" ref="D3988" ca="1">IF(INDIRECT("'"&amp;A3988&amp;"'!"&amp;B3988)="",FALSE,IF(TRUNC(INDIRECT("'"&amp;A3988&amp;"'!"&amp;B3988))=INDIRECT("'"&amp;A3988&amp;"'!"&amp;B3988),FALSE,TRUE))</f>
        <v>0</v>
      </c>
      <c r="E3988" t="s">
        <v>436</v>
      </c>
      <c r="F3988" t="str">
        <f>INDEX(Lists!I:I,MATCH(Validation!E3988,Lists!G:G,0))</f>
        <v>Error</v>
      </c>
      <c r="G3988" t="str">
        <f>INDEX(Lists!H:H,MATCH(Validation!E3988,Lists!G:G,0))</f>
        <v>Amount must be rounded to the nearest dollar.</v>
      </c>
      <c r="H3988" s="16" t="str">
        <f t="shared" ca="1" si="426"/>
        <v/>
      </c>
      <c r="I3988" s="16" t="str">
        <f t="shared" ca="1" si="427"/>
        <v/>
      </c>
      <c r="J3988" s="17" t="str">
        <f t="shared" ca="1" si="428"/>
        <v/>
      </c>
    </row>
    <row r="3989" spans="1:10" x14ac:dyDescent="0.25">
      <c r="A3989" t="s">
        <v>653</v>
      </c>
      <c r="B3989" t="str">
        <f>ADDRESS(ROW('PAYG 1'!$C$22),COLUMN('PAYG 1'!$C$22),4)</f>
        <v>C22</v>
      </c>
      <c r="C3989" t="str">
        <f>ADDRESS(ROW('PAYG 1'!$D$22),COLUMN('PAYG 1'!$D$22),4)</f>
        <v>D22</v>
      </c>
      <c r="D3989" t="b" cm="1">
        <f t="array" aca="1" ref="D3989" ca="1">IF(INDIRECT("'"&amp;A3989&amp;"'!"&amp;B3989)="",FALSE,IF(TRUNC(INDIRECT("'"&amp;A3989&amp;"'!"&amp;B3989))=INDIRECT("'"&amp;A3989&amp;"'!"&amp;B3989),FALSE,TRUE))</f>
        <v>0</v>
      </c>
      <c r="E3989" t="s">
        <v>436</v>
      </c>
      <c r="F3989" t="str">
        <f>INDEX(Lists!I:I,MATCH(Validation!E3989,Lists!G:G,0))</f>
        <v>Error</v>
      </c>
      <c r="G3989" t="str">
        <f>INDEX(Lists!H:H,MATCH(Validation!E3989,Lists!G:G,0))</f>
        <v>Amount must be rounded to the nearest dollar.</v>
      </c>
      <c r="H3989" s="16" t="str">
        <f t="shared" ca="1" si="426"/>
        <v/>
      </c>
      <c r="I3989" s="16" t="str">
        <f t="shared" ca="1" si="427"/>
        <v/>
      </c>
      <c r="J3989" s="17" t="str">
        <f t="shared" ca="1" si="428"/>
        <v/>
      </c>
    </row>
    <row r="3990" spans="1:10" x14ac:dyDescent="0.25">
      <c r="A3990" t="s">
        <v>654</v>
      </c>
      <c r="B3990" t="str">
        <f>ADDRESS(ROW('PAYG 1'!$C$22),COLUMN('PAYG 1'!$C$22),4)</f>
        <v>C22</v>
      </c>
      <c r="C3990" t="str">
        <f>ADDRESS(ROW('PAYG 1'!$D$22),COLUMN('PAYG 1'!$D$22),4)</f>
        <v>D22</v>
      </c>
      <c r="D3990" t="b" cm="1">
        <f t="array" aca="1" ref="D3990" ca="1">IF(INDIRECT("'"&amp;A3990&amp;"'!"&amp;B3990)="",FALSE,IF(TRUNC(INDIRECT("'"&amp;A3990&amp;"'!"&amp;B3990))=INDIRECT("'"&amp;A3990&amp;"'!"&amp;B3990),FALSE,TRUE))</f>
        <v>0</v>
      </c>
      <c r="E3990" t="s">
        <v>436</v>
      </c>
      <c r="F3990" t="str">
        <f>INDEX(Lists!I:I,MATCH(Validation!E3990,Lists!G:G,0))</f>
        <v>Error</v>
      </c>
      <c r="G3990" t="str">
        <f>INDEX(Lists!H:H,MATCH(Validation!E3990,Lists!G:G,0))</f>
        <v>Amount must be rounded to the nearest dollar.</v>
      </c>
      <c r="H3990" s="16" t="str">
        <f t="shared" ca="1" si="426"/>
        <v/>
      </c>
      <c r="I3990" s="16" t="str">
        <f t="shared" ca="1" si="427"/>
        <v/>
      </c>
      <c r="J3990" s="17" t="str">
        <f t="shared" ca="1" si="428"/>
        <v/>
      </c>
    </row>
    <row r="3991" spans="1:10" x14ac:dyDescent="0.25">
      <c r="A3991" t="s">
        <v>655</v>
      </c>
      <c r="B3991" t="str">
        <f>ADDRESS(ROW('PAYG 1'!$C$22),COLUMN('PAYG 1'!$C$22),4)</f>
        <v>C22</v>
      </c>
      <c r="C3991" t="str">
        <f>ADDRESS(ROW('PAYG 1'!$D$22),COLUMN('PAYG 1'!$D$22),4)</f>
        <v>D22</v>
      </c>
      <c r="D3991" t="b" cm="1">
        <f t="array" aca="1" ref="D3991" ca="1">IF(INDIRECT("'"&amp;A3991&amp;"'!"&amp;B3991)="",FALSE,IF(TRUNC(INDIRECT("'"&amp;A3991&amp;"'!"&amp;B3991))=INDIRECT("'"&amp;A3991&amp;"'!"&amp;B3991),FALSE,TRUE))</f>
        <v>0</v>
      </c>
      <c r="E3991" t="s">
        <v>436</v>
      </c>
      <c r="F3991" t="str">
        <f>INDEX(Lists!I:I,MATCH(Validation!E3991,Lists!G:G,0))</f>
        <v>Error</v>
      </c>
      <c r="G3991" t="str">
        <f>INDEX(Lists!H:H,MATCH(Validation!E3991,Lists!G:G,0))</f>
        <v>Amount must be rounded to the nearest dollar.</v>
      </c>
      <c r="H3991" s="16" t="str">
        <f t="shared" ca="1" si="426"/>
        <v/>
      </c>
      <c r="I3991" s="16" t="str">
        <f t="shared" ca="1" si="427"/>
        <v/>
      </c>
      <c r="J3991" s="17" t="str">
        <f t="shared" ca="1" si="428"/>
        <v/>
      </c>
    </row>
    <row r="3992" spans="1:10" x14ac:dyDescent="0.25">
      <c r="A3992" t="s">
        <v>656</v>
      </c>
      <c r="B3992" t="str">
        <f>ADDRESS(ROW('PAYG 1'!$C$22),COLUMN('PAYG 1'!$C$22),4)</f>
        <v>C22</v>
      </c>
      <c r="C3992" t="str">
        <f>ADDRESS(ROW('PAYG 1'!$D$22),COLUMN('PAYG 1'!$D$22),4)</f>
        <v>D22</v>
      </c>
      <c r="D3992" t="b" cm="1">
        <f t="array" aca="1" ref="D3992" ca="1">IF(INDIRECT("'"&amp;A3992&amp;"'!"&amp;B3992)="",FALSE,IF(TRUNC(INDIRECT("'"&amp;A3992&amp;"'!"&amp;B3992))=INDIRECT("'"&amp;A3992&amp;"'!"&amp;B3992),FALSE,TRUE))</f>
        <v>0</v>
      </c>
      <c r="E3992" t="s">
        <v>436</v>
      </c>
      <c r="F3992" t="str">
        <f>INDEX(Lists!I:I,MATCH(Validation!E3992,Lists!G:G,0))</f>
        <v>Error</v>
      </c>
      <c r="G3992" t="str">
        <f>INDEX(Lists!H:H,MATCH(Validation!E3992,Lists!G:G,0))</f>
        <v>Amount must be rounded to the nearest dollar.</v>
      </c>
      <c r="H3992" s="16" t="str">
        <f t="shared" ca="1" si="426"/>
        <v/>
      </c>
      <c r="I3992" s="16" t="str">
        <f t="shared" ca="1" si="427"/>
        <v/>
      </c>
      <c r="J3992" s="17" t="str">
        <f t="shared" ca="1" si="428"/>
        <v/>
      </c>
    </row>
    <row r="3993" spans="1:10" x14ac:dyDescent="0.25">
      <c r="A3993" t="s">
        <v>657</v>
      </c>
      <c r="B3993" t="str">
        <f>ADDRESS(ROW('PAYG 1'!$C$22),COLUMN('PAYG 1'!$C$22),4)</f>
        <v>C22</v>
      </c>
      <c r="C3993" t="str">
        <f>ADDRESS(ROW('PAYG 1'!$D$22),COLUMN('PAYG 1'!$D$22),4)</f>
        <v>D22</v>
      </c>
      <c r="D3993" t="b" cm="1">
        <f t="array" aca="1" ref="D3993" ca="1">IF(INDIRECT("'"&amp;A3993&amp;"'!"&amp;B3993)="",FALSE,IF(TRUNC(INDIRECT("'"&amp;A3993&amp;"'!"&amp;B3993))=INDIRECT("'"&amp;A3993&amp;"'!"&amp;B3993),FALSE,TRUE))</f>
        <v>0</v>
      </c>
      <c r="E3993" t="s">
        <v>436</v>
      </c>
      <c r="F3993" t="str">
        <f>INDEX(Lists!I:I,MATCH(Validation!E3993,Lists!G:G,0))</f>
        <v>Error</v>
      </c>
      <c r="G3993" t="str">
        <f>INDEX(Lists!H:H,MATCH(Validation!E3993,Lists!G:G,0))</f>
        <v>Amount must be rounded to the nearest dollar.</v>
      </c>
      <c r="H3993" s="16" t="str">
        <f t="shared" ca="1" si="426"/>
        <v/>
      </c>
      <c r="I3993" s="16" t="str">
        <f t="shared" ca="1" si="427"/>
        <v/>
      </c>
      <c r="J3993" s="17" t="str">
        <f t="shared" ca="1" si="428"/>
        <v/>
      </c>
    </row>
    <row r="3994" spans="1:10" x14ac:dyDescent="0.25">
      <c r="A3994" t="s">
        <v>658</v>
      </c>
      <c r="B3994" t="str">
        <f>ADDRESS(ROW('PAYG 1'!$C$22),COLUMN('PAYG 1'!$C$22),4)</f>
        <v>C22</v>
      </c>
      <c r="C3994" t="str">
        <f>ADDRESS(ROW('PAYG 1'!$D$22),COLUMN('PAYG 1'!$D$22),4)</f>
        <v>D22</v>
      </c>
      <c r="D3994" t="b" cm="1">
        <f t="array" aca="1" ref="D3994" ca="1">IF(INDIRECT("'"&amp;A3994&amp;"'!"&amp;B3994)="",FALSE,IF(TRUNC(INDIRECT("'"&amp;A3994&amp;"'!"&amp;B3994))=INDIRECT("'"&amp;A3994&amp;"'!"&amp;B3994),FALSE,TRUE))</f>
        <v>0</v>
      </c>
      <c r="E3994" t="s">
        <v>436</v>
      </c>
      <c r="F3994" t="str">
        <f>INDEX(Lists!I:I,MATCH(Validation!E3994,Lists!G:G,0))</f>
        <v>Error</v>
      </c>
      <c r="G3994" t="str">
        <f>INDEX(Lists!H:H,MATCH(Validation!E3994,Lists!G:G,0))</f>
        <v>Amount must be rounded to the nearest dollar.</v>
      </c>
      <c r="H3994" s="16" t="str">
        <f t="shared" ca="1" si="426"/>
        <v/>
      </c>
      <c r="I3994" s="16" t="str">
        <f t="shared" ca="1" si="427"/>
        <v/>
      </c>
      <c r="J3994" s="17" t="str">
        <f t="shared" ca="1" si="428"/>
        <v/>
      </c>
    </row>
    <row r="3995" spans="1:10" x14ac:dyDescent="0.25">
      <c r="A3995" t="s">
        <v>659</v>
      </c>
      <c r="B3995" t="str">
        <f>ADDRESS(ROW('PAYG 1'!$C$22),COLUMN('PAYG 1'!$C$22),4)</f>
        <v>C22</v>
      </c>
      <c r="C3995" t="str">
        <f>ADDRESS(ROW('PAYG 1'!$D$22),COLUMN('PAYG 1'!$D$22),4)</f>
        <v>D22</v>
      </c>
      <c r="D3995" t="b" cm="1">
        <f t="array" aca="1" ref="D3995" ca="1">IF(INDIRECT("'"&amp;A3995&amp;"'!"&amp;B3995)="",FALSE,IF(TRUNC(INDIRECT("'"&amp;A3995&amp;"'!"&amp;B3995))=INDIRECT("'"&amp;A3995&amp;"'!"&amp;B3995),FALSE,TRUE))</f>
        <v>0</v>
      </c>
      <c r="E3995" t="s">
        <v>436</v>
      </c>
      <c r="F3995" t="str">
        <f>INDEX(Lists!I:I,MATCH(Validation!E3995,Lists!G:G,0))</f>
        <v>Error</v>
      </c>
      <c r="G3995" t="str">
        <f>INDEX(Lists!H:H,MATCH(Validation!E3995,Lists!G:G,0))</f>
        <v>Amount must be rounded to the nearest dollar.</v>
      </c>
      <c r="H3995" s="16" t="str">
        <f t="shared" ca="1" si="426"/>
        <v/>
      </c>
      <c r="I3995" s="16" t="str">
        <f t="shared" ca="1" si="427"/>
        <v/>
      </c>
      <c r="J3995" s="17" t="str">
        <f t="shared" ca="1" si="428"/>
        <v/>
      </c>
    </row>
    <row r="3996" spans="1:10" x14ac:dyDescent="0.25">
      <c r="A3996" t="s">
        <v>660</v>
      </c>
      <c r="B3996" t="str">
        <f>ADDRESS(ROW('PAYG 1'!$C$22),COLUMN('PAYG 1'!$C$22),4)</f>
        <v>C22</v>
      </c>
      <c r="C3996" t="str">
        <f>ADDRESS(ROW('PAYG 1'!$D$22),COLUMN('PAYG 1'!$D$22),4)</f>
        <v>D22</v>
      </c>
      <c r="D3996" t="b" cm="1">
        <f t="array" aca="1" ref="D3996" ca="1">IF(INDIRECT("'"&amp;A3996&amp;"'!"&amp;B3996)="",FALSE,IF(TRUNC(INDIRECT("'"&amp;A3996&amp;"'!"&amp;B3996))=INDIRECT("'"&amp;A3996&amp;"'!"&amp;B3996),FALSE,TRUE))</f>
        <v>0</v>
      </c>
      <c r="E3996" t="s">
        <v>436</v>
      </c>
      <c r="F3996" t="str">
        <f>INDEX(Lists!I:I,MATCH(Validation!E3996,Lists!G:G,0))</f>
        <v>Error</v>
      </c>
      <c r="G3996" t="str">
        <f>INDEX(Lists!H:H,MATCH(Validation!E3996,Lists!G:G,0))</f>
        <v>Amount must be rounded to the nearest dollar.</v>
      </c>
      <c r="H3996" s="16" t="str">
        <f t="shared" ca="1" si="426"/>
        <v/>
      </c>
      <c r="I3996" s="16" t="str">
        <f t="shared" ca="1" si="427"/>
        <v/>
      </c>
      <c r="J3996" s="17" t="str">
        <f t="shared" ca="1" si="428"/>
        <v/>
      </c>
    </row>
    <row r="3997" spans="1:10" x14ac:dyDescent="0.25">
      <c r="A3997" t="s">
        <v>661</v>
      </c>
      <c r="B3997" t="str">
        <f>ADDRESS(ROW('PAYG 1'!$C$22),COLUMN('PAYG 1'!$C$22),4)</f>
        <v>C22</v>
      </c>
      <c r="C3997" t="str">
        <f>ADDRESS(ROW('PAYG 1'!$D$22),COLUMN('PAYG 1'!$D$22),4)</f>
        <v>D22</v>
      </c>
      <c r="D3997" t="b" cm="1">
        <f t="array" aca="1" ref="D3997" ca="1">IF(INDIRECT("'"&amp;A3997&amp;"'!"&amp;B3997)="",FALSE,IF(TRUNC(INDIRECT("'"&amp;A3997&amp;"'!"&amp;B3997))=INDIRECT("'"&amp;A3997&amp;"'!"&amp;B3997),FALSE,TRUE))</f>
        <v>0</v>
      </c>
      <c r="E3997" t="s">
        <v>436</v>
      </c>
      <c r="F3997" t="str">
        <f>INDEX(Lists!I:I,MATCH(Validation!E3997,Lists!G:G,0))</f>
        <v>Error</v>
      </c>
      <c r="G3997" t="str">
        <f>INDEX(Lists!H:H,MATCH(Validation!E3997,Lists!G:G,0))</f>
        <v>Amount must be rounded to the nearest dollar.</v>
      </c>
      <c r="H3997" s="16" t="str">
        <f t="shared" ca="1" si="426"/>
        <v/>
      </c>
      <c r="I3997" s="16" t="str">
        <f t="shared" ca="1" si="427"/>
        <v/>
      </c>
      <c r="J3997" s="17" t="str">
        <f t="shared" ca="1" si="428"/>
        <v/>
      </c>
    </row>
    <row r="3998" spans="1:10" x14ac:dyDescent="0.25">
      <c r="A3998" t="s">
        <v>662</v>
      </c>
      <c r="B3998" t="str">
        <f>ADDRESS(ROW('PAYG 1'!$C$22),COLUMN('PAYG 1'!$C$22),4)</f>
        <v>C22</v>
      </c>
      <c r="C3998" t="str">
        <f>ADDRESS(ROW('PAYG 1'!$D$22),COLUMN('PAYG 1'!$D$22),4)</f>
        <v>D22</v>
      </c>
      <c r="D3998" t="b" cm="1">
        <f t="array" aca="1" ref="D3998" ca="1">IF(INDIRECT("'"&amp;A3998&amp;"'!"&amp;B3998)="",FALSE,IF(TRUNC(INDIRECT("'"&amp;A3998&amp;"'!"&amp;B3998))=INDIRECT("'"&amp;A3998&amp;"'!"&amp;B3998),FALSE,TRUE))</f>
        <v>0</v>
      </c>
      <c r="E3998" t="s">
        <v>436</v>
      </c>
      <c r="F3998" t="str">
        <f>INDEX(Lists!I:I,MATCH(Validation!E3998,Lists!G:G,0))</f>
        <v>Error</v>
      </c>
      <c r="G3998" t="str">
        <f>INDEX(Lists!H:H,MATCH(Validation!E3998,Lists!G:G,0))</f>
        <v>Amount must be rounded to the nearest dollar.</v>
      </c>
      <c r="H3998" s="16" t="str">
        <f t="shared" ca="1" si="426"/>
        <v/>
      </c>
      <c r="I3998" s="16" t="str">
        <f t="shared" ca="1" si="427"/>
        <v/>
      </c>
      <c r="J3998" s="17" t="str">
        <f t="shared" ca="1" si="428"/>
        <v/>
      </c>
    </row>
    <row r="3999" spans="1:10" x14ac:dyDescent="0.25">
      <c r="A3999" t="s">
        <v>663</v>
      </c>
      <c r="B3999" t="str">
        <f>ADDRESS(ROW('PAYG 1'!$C$22),COLUMN('PAYG 1'!$C$22),4)</f>
        <v>C22</v>
      </c>
      <c r="C3999" t="str">
        <f>ADDRESS(ROW('PAYG 1'!$D$22),COLUMN('PAYG 1'!$D$22),4)</f>
        <v>D22</v>
      </c>
      <c r="D3999" t="b" cm="1">
        <f t="array" aca="1" ref="D3999" ca="1">IF(INDIRECT("'"&amp;A3999&amp;"'!"&amp;B3999)="",FALSE,IF(TRUNC(INDIRECT("'"&amp;A3999&amp;"'!"&amp;B3999))=INDIRECT("'"&amp;A3999&amp;"'!"&amp;B3999),FALSE,TRUE))</f>
        <v>0</v>
      </c>
      <c r="E3999" t="s">
        <v>436</v>
      </c>
      <c r="F3999" t="str">
        <f>INDEX(Lists!I:I,MATCH(Validation!E3999,Lists!G:G,0))</f>
        <v>Error</v>
      </c>
      <c r="G3999" t="str">
        <f>INDEX(Lists!H:H,MATCH(Validation!E3999,Lists!G:G,0))</f>
        <v>Amount must be rounded to the nearest dollar.</v>
      </c>
      <c r="H3999" s="16" t="str">
        <f t="shared" ca="1" si="426"/>
        <v/>
      </c>
      <c r="I3999" s="16" t="str">
        <f t="shared" ca="1" si="427"/>
        <v/>
      </c>
      <c r="J3999" s="17" t="str">
        <f t="shared" ca="1" si="428"/>
        <v/>
      </c>
    </row>
    <row r="4000" spans="1:10" x14ac:dyDescent="0.25">
      <c r="A4000" t="s">
        <v>664</v>
      </c>
      <c r="B4000" t="str">
        <f>ADDRESS(ROW('PAYG 1'!$C$22),COLUMN('PAYG 1'!$C$22),4)</f>
        <v>C22</v>
      </c>
      <c r="C4000" t="str">
        <f>ADDRESS(ROW('PAYG 1'!$D$22),COLUMN('PAYG 1'!$D$22),4)</f>
        <v>D22</v>
      </c>
      <c r="D4000" t="b" cm="1">
        <f t="array" aca="1" ref="D4000" ca="1">IF(INDIRECT("'"&amp;A4000&amp;"'!"&amp;B4000)="",FALSE,IF(TRUNC(INDIRECT("'"&amp;A4000&amp;"'!"&amp;B4000))=INDIRECT("'"&amp;A4000&amp;"'!"&amp;B4000),FALSE,TRUE))</f>
        <v>0</v>
      </c>
      <c r="E4000" t="s">
        <v>436</v>
      </c>
      <c r="F4000" t="str">
        <f>INDEX(Lists!I:I,MATCH(Validation!E4000,Lists!G:G,0))</f>
        <v>Error</v>
      </c>
      <c r="G4000" t="str">
        <f>INDEX(Lists!H:H,MATCH(Validation!E4000,Lists!G:G,0))</f>
        <v>Amount must be rounded to the nearest dollar.</v>
      </c>
      <c r="H4000" s="16" t="str">
        <f t="shared" ca="1" si="426"/>
        <v/>
      </c>
      <c r="I4000" s="16" t="str">
        <f t="shared" ca="1" si="427"/>
        <v/>
      </c>
      <c r="J4000" s="17" t="str">
        <f t="shared" ca="1" si="428"/>
        <v/>
      </c>
    </row>
    <row r="4001" spans="1:10" x14ac:dyDescent="0.25">
      <c r="A4001" t="s">
        <v>203</v>
      </c>
      <c r="B4001" t="str">
        <f>ADDRESS(ROW('PAYG 1'!$B$23),COLUMN('PAYG 1'!$B$23),4)</f>
        <v>B23</v>
      </c>
      <c r="C4001" t="str">
        <f>ADDRESS(ROW('PAYG 1'!$D$23),COLUMN('PAYG 1'!$D$23),4)</f>
        <v>D23</v>
      </c>
      <c r="D4001" t="b" cm="1">
        <f t="array" aca="1" ref="D4001" ca="1">IF(INDIRECT("'"&amp;A4001&amp;"'!"&amp;B4001)="",FALSE,IF(NOT(ISNUMBER(INDIRECT("'"&amp;A4001&amp;"'!"&amp;B4001))),TRUE,FALSE))</f>
        <v>0</v>
      </c>
      <c r="E4001" t="s">
        <v>435</v>
      </c>
      <c r="F4001" t="str">
        <f>INDEX(Lists!I:I,MATCH(Validation!E4001,Lists!G:G,0))</f>
        <v>Error</v>
      </c>
      <c r="G4001" t="str">
        <f>INDEX(Lists!H:H,MATCH(Validation!E4001,Lists!G:G,0))</f>
        <v>Enter an amount only. Do not enter text or spaces.</v>
      </c>
      <c r="H4001" s="16" t="str">
        <f t="shared" ref="H4001:H4109" ca="1" si="429">IFERROR(IF(OR(NOT(D4001),F4001&lt;&gt;"Error"),"",A4001&amp;CELL("address",INDIRECT(B4001))),"")</f>
        <v/>
      </c>
      <c r="I4001" s="16" t="str">
        <f t="shared" ref="I4001:I4109" ca="1" si="430">IFERROR(IF(NOT(D4001),"",A4001&amp;CELL("address",INDIRECT(C4001))),"")</f>
        <v/>
      </c>
      <c r="J4001" s="17" t="str">
        <f t="shared" ref="J4001:J4109" ca="1" si="431">IFERROR(IF(NOT(D4001),"",A4001),"")</f>
        <v/>
      </c>
    </row>
    <row r="4002" spans="1:10" x14ac:dyDescent="0.25">
      <c r="A4002" t="s">
        <v>651</v>
      </c>
      <c r="B4002" t="str">
        <f>ADDRESS(ROW('PAYG 1'!$B$23),COLUMN('PAYG 1'!$B$23),4)</f>
        <v>B23</v>
      </c>
      <c r="C4002" t="str">
        <f>ADDRESS(ROW('PAYG 1'!$D$23),COLUMN('PAYG 1'!$D$23),4)</f>
        <v>D23</v>
      </c>
      <c r="D4002" t="b" cm="1">
        <f t="array" aca="1" ref="D4002" ca="1">IF(INDIRECT("'"&amp;A4002&amp;"'!"&amp;B4002)="",FALSE,IF(NOT(ISNUMBER(INDIRECT("'"&amp;A4002&amp;"'!"&amp;B4002))),TRUE,FALSE))</f>
        <v>0</v>
      </c>
      <c r="E4002" t="s">
        <v>435</v>
      </c>
      <c r="F4002" t="str">
        <f>INDEX(Lists!I:I,MATCH(Validation!E4002,Lists!G:G,0))</f>
        <v>Error</v>
      </c>
      <c r="G4002" t="str">
        <f>INDEX(Lists!H:H,MATCH(Validation!E4002,Lists!G:G,0))</f>
        <v>Enter an amount only. Do not enter text or spaces.</v>
      </c>
      <c r="H4002" s="16" t="str">
        <f t="shared" ca="1" si="429"/>
        <v/>
      </c>
      <c r="I4002" s="16" t="str">
        <f t="shared" ca="1" si="430"/>
        <v/>
      </c>
      <c r="J4002" s="17" t="str">
        <f t="shared" ca="1" si="431"/>
        <v/>
      </c>
    </row>
    <row r="4003" spans="1:10" x14ac:dyDescent="0.25">
      <c r="A4003" t="s">
        <v>652</v>
      </c>
      <c r="B4003" t="str">
        <f>ADDRESS(ROW('PAYG 1'!$B$23),COLUMN('PAYG 1'!$B$23),4)</f>
        <v>B23</v>
      </c>
      <c r="C4003" t="str">
        <f>ADDRESS(ROW('PAYG 1'!$D$23),COLUMN('PAYG 1'!$D$23),4)</f>
        <v>D23</v>
      </c>
      <c r="D4003" t="b" cm="1">
        <f t="array" aca="1" ref="D4003" ca="1">IF(INDIRECT("'"&amp;A4003&amp;"'!"&amp;B4003)="",FALSE,IF(NOT(ISNUMBER(INDIRECT("'"&amp;A4003&amp;"'!"&amp;B4003))),TRUE,FALSE))</f>
        <v>0</v>
      </c>
      <c r="E4003" t="s">
        <v>435</v>
      </c>
      <c r="F4003" t="str">
        <f>INDEX(Lists!I:I,MATCH(Validation!E4003,Lists!G:G,0))</f>
        <v>Error</v>
      </c>
      <c r="G4003" t="str">
        <f>INDEX(Lists!H:H,MATCH(Validation!E4003,Lists!G:G,0))</f>
        <v>Enter an amount only. Do not enter text or spaces.</v>
      </c>
      <c r="H4003" s="16" t="str">
        <f t="shared" ca="1" si="429"/>
        <v/>
      </c>
      <c r="I4003" s="16" t="str">
        <f t="shared" ca="1" si="430"/>
        <v/>
      </c>
      <c r="J4003" s="17" t="str">
        <f t="shared" ca="1" si="431"/>
        <v/>
      </c>
    </row>
    <row r="4004" spans="1:10" x14ac:dyDescent="0.25">
      <c r="A4004" t="s">
        <v>653</v>
      </c>
      <c r="B4004" t="str">
        <f>ADDRESS(ROW('PAYG 1'!$B$23),COLUMN('PAYG 1'!$B$23),4)</f>
        <v>B23</v>
      </c>
      <c r="C4004" t="str">
        <f>ADDRESS(ROW('PAYG 1'!$D$23),COLUMN('PAYG 1'!$D$23),4)</f>
        <v>D23</v>
      </c>
      <c r="D4004" t="b" cm="1">
        <f t="array" aca="1" ref="D4004" ca="1">IF(INDIRECT("'"&amp;A4004&amp;"'!"&amp;B4004)="",FALSE,IF(NOT(ISNUMBER(INDIRECT("'"&amp;A4004&amp;"'!"&amp;B4004))),TRUE,FALSE))</f>
        <v>0</v>
      </c>
      <c r="E4004" t="s">
        <v>435</v>
      </c>
      <c r="F4004" t="str">
        <f>INDEX(Lists!I:I,MATCH(Validation!E4004,Lists!G:G,0))</f>
        <v>Error</v>
      </c>
      <c r="G4004" t="str">
        <f>INDEX(Lists!H:H,MATCH(Validation!E4004,Lists!G:G,0))</f>
        <v>Enter an amount only. Do not enter text or spaces.</v>
      </c>
      <c r="H4004" s="16" t="str">
        <f t="shared" ca="1" si="429"/>
        <v/>
      </c>
      <c r="I4004" s="16" t="str">
        <f t="shared" ca="1" si="430"/>
        <v/>
      </c>
      <c r="J4004" s="17" t="str">
        <f t="shared" ca="1" si="431"/>
        <v/>
      </c>
    </row>
    <row r="4005" spans="1:10" x14ac:dyDescent="0.25">
      <c r="A4005" t="s">
        <v>654</v>
      </c>
      <c r="B4005" t="str">
        <f>ADDRESS(ROW('PAYG 1'!$B$23),COLUMN('PAYG 1'!$B$23),4)</f>
        <v>B23</v>
      </c>
      <c r="C4005" t="str">
        <f>ADDRESS(ROW('PAYG 1'!$D$23),COLUMN('PAYG 1'!$D$23),4)</f>
        <v>D23</v>
      </c>
      <c r="D4005" t="b" cm="1">
        <f t="array" aca="1" ref="D4005" ca="1">IF(INDIRECT("'"&amp;A4005&amp;"'!"&amp;B4005)="",FALSE,IF(NOT(ISNUMBER(INDIRECT("'"&amp;A4005&amp;"'!"&amp;B4005))),TRUE,FALSE))</f>
        <v>0</v>
      </c>
      <c r="E4005" t="s">
        <v>435</v>
      </c>
      <c r="F4005" t="str">
        <f>INDEX(Lists!I:I,MATCH(Validation!E4005,Lists!G:G,0))</f>
        <v>Error</v>
      </c>
      <c r="G4005" t="str">
        <f>INDEX(Lists!H:H,MATCH(Validation!E4005,Lists!G:G,0))</f>
        <v>Enter an amount only. Do not enter text or spaces.</v>
      </c>
      <c r="H4005" s="16" t="str">
        <f t="shared" ca="1" si="429"/>
        <v/>
      </c>
      <c r="I4005" s="16" t="str">
        <f t="shared" ca="1" si="430"/>
        <v/>
      </c>
      <c r="J4005" s="17" t="str">
        <f t="shared" ca="1" si="431"/>
        <v/>
      </c>
    </row>
    <row r="4006" spans="1:10" x14ac:dyDescent="0.25">
      <c r="A4006" t="s">
        <v>655</v>
      </c>
      <c r="B4006" t="str">
        <f>ADDRESS(ROW('PAYG 1'!$B$23),COLUMN('PAYG 1'!$B$23),4)</f>
        <v>B23</v>
      </c>
      <c r="C4006" t="str">
        <f>ADDRESS(ROW('PAYG 1'!$D$23),COLUMN('PAYG 1'!$D$23),4)</f>
        <v>D23</v>
      </c>
      <c r="D4006" t="b" cm="1">
        <f t="array" aca="1" ref="D4006" ca="1">IF(INDIRECT("'"&amp;A4006&amp;"'!"&amp;B4006)="",FALSE,IF(NOT(ISNUMBER(INDIRECT("'"&amp;A4006&amp;"'!"&amp;B4006))),TRUE,FALSE))</f>
        <v>0</v>
      </c>
      <c r="E4006" t="s">
        <v>435</v>
      </c>
      <c r="F4006" t="str">
        <f>INDEX(Lists!I:I,MATCH(Validation!E4006,Lists!G:G,0))</f>
        <v>Error</v>
      </c>
      <c r="G4006" t="str">
        <f>INDEX(Lists!H:H,MATCH(Validation!E4006,Lists!G:G,0))</f>
        <v>Enter an amount only. Do not enter text or spaces.</v>
      </c>
      <c r="H4006" s="16" t="str">
        <f t="shared" ca="1" si="429"/>
        <v/>
      </c>
      <c r="I4006" s="16" t="str">
        <f t="shared" ca="1" si="430"/>
        <v/>
      </c>
      <c r="J4006" s="17" t="str">
        <f t="shared" ca="1" si="431"/>
        <v/>
      </c>
    </row>
    <row r="4007" spans="1:10" x14ac:dyDescent="0.25">
      <c r="A4007" t="s">
        <v>656</v>
      </c>
      <c r="B4007" t="str">
        <f>ADDRESS(ROW('PAYG 1'!$B$23),COLUMN('PAYG 1'!$B$23),4)</f>
        <v>B23</v>
      </c>
      <c r="C4007" t="str">
        <f>ADDRESS(ROW('PAYG 1'!$D$23),COLUMN('PAYG 1'!$D$23),4)</f>
        <v>D23</v>
      </c>
      <c r="D4007" t="b" cm="1">
        <f t="array" aca="1" ref="D4007" ca="1">IF(INDIRECT("'"&amp;A4007&amp;"'!"&amp;B4007)="",FALSE,IF(NOT(ISNUMBER(INDIRECT("'"&amp;A4007&amp;"'!"&amp;B4007))),TRUE,FALSE))</f>
        <v>0</v>
      </c>
      <c r="E4007" t="s">
        <v>435</v>
      </c>
      <c r="F4007" t="str">
        <f>INDEX(Lists!I:I,MATCH(Validation!E4007,Lists!G:G,0))</f>
        <v>Error</v>
      </c>
      <c r="G4007" t="str">
        <f>INDEX(Lists!H:H,MATCH(Validation!E4007,Lists!G:G,0))</f>
        <v>Enter an amount only. Do not enter text or spaces.</v>
      </c>
      <c r="H4007" s="16" t="str">
        <f t="shared" ca="1" si="429"/>
        <v/>
      </c>
      <c r="I4007" s="16" t="str">
        <f t="shared" ca="1" si="430"/>
        <v/>
      </c>
      <c r="J4007" s="17" t="str">
        <f t="shared" ca="1" si="431"/>
        <v/>
      </c>
    </row>
    <row r="4008" spans="1:10" x14ac:dyDescent="0.25">
      <c r="A4008" t="s">
        <v>657</v>
      </c>
      <c r="B4008" t="str">
        <f>ADDRESS(ROW('PAYG 1'!$B$23),COLUMN('PAYG 1'!$B$23),4)</f>
        <v>B23</v>
      </c>
      <c r="C4008" t="str">
        <f>ADDRESS(ROW('PAYG 1'!$D$23),COLUMN('PAYG 1'!$D$23),4)</f>
        <v>D23</v>
      </c>
      <c r="D4008" t="b" cm="1">
        <f t="array" aca="1" ref="D4008" ca="1">IF(INDIRECT("'"&amp;A4008&amp;"'!"&amp;B4008)="",FALSE,IF(NOT(ISNUMBER(INDIRECT("'"&amp;A4008&amp;"'!"&amp;B4008))),TRUE,FALSE))</f>
        <v>0</v>
      </c>
      <c r="E4008" t="s">
        <v>435</v>
      </c>
      <c r="F4008" t="str">
        <f>INDEX(Lists!I:I,MATCH(Validation!E4008,Lists!G:G,0))</f>
        <v>Error</v>
      </c>
      <c r="G4008" t="str">
        <f>INDEX(Lists!H:H,MATCH(Validation!E4008,Lists!G:G,0))</f>
        <v>Enter an amount only. Do not enter text or spaces.</v>
      </c>
      <c r="H4008" s="16" t="str">
        <f t="shared" ca="1" si="429"/>
        <v/>
      </c>
      <c r="I4008" s="16" t="str">
        <f t="shared" ca="1" si="430"/>
        <v/>
      </c>
      <c r="J4008" s="17" t="str">
        <f t="shared" ca="1" si="431"/>
        <v/>
      </c>
    </row>
    <row r="4009" spans="1:10" x14ac:dyDescent="0.25">
      <c r="A4009" t="s">
        <v>658</v>
      </c>
      <c r="B4009" t="str">
        <f>ADDRESS(ROW('PAYG 1'!$B$23),COLUMN('PAYG 1'!$B$23),4)</f>
        <v>B23</v>
      </c>
      <c r="C4009" t="str">
        <f>ADDRESS(ROW('PAYG 1'!$D$23),COLUMN('PAYG 1'!$D$23),4)</f>
        <v>D23</v>
      </c>
      <c r="D4009" t="b" cm="1">
        <f t="array" aca="1" ref="D4009" ca="1">IF(INDIRECT("'"&amp;A4009&amp;"'!"&amp;B4009)="",FALSE,IF(NOT(ISNUMBER(INDIRECT("'"&amp;A4009&amp;"'!"&amp;B4009))),TRUE,FALSE))</f>
        <v>0</v>
      </c>
      <c r="E4009" t="s">
        <v>435</v>
      </c>
      <c r="F4009" t="str">
        <f>INDEX(Lists!I:I,MATCH(Validation!E4009,Lists!G:G,0))</f>
        <v>Error</v>
      </c>
      <c r="G4009" t="str">
        <f>INDEX(Lists!H:H,MATCH(Validation!E4009,Lists!G:G,0))</f>
        <v>Enter an amount only. Do not enter text or spaces.</v>
      </c>
      <c r="H4009" s="16" t="str">
        <f t="shared" ca="1" si="429"/>
        <v/>
      </c>
      <c r="I4009" s="16" t="str">
        <f t="shared" ca="1" si="430"/>
        <v/>
      </c>
      <c r="J4009" s="17" t="str">
        <f t="shared" ca="1" si="431"/>
        <v/>
      </c>
    </row>
    <row r="4010" spans="1:10" x14ac:dyDescent="0.25">
      <c r="A4010" t="s">
        <v>659</v>
      </c>
      <c r="B4010" t="str">
        <f>ADDRESS(ROW('PAYG 1'!$B$23),COLUMN('PAYG 1'!$B$23),4)</f>
        <v>B23</v>
      </c>
      <c r="C4010" t="str">
        <f>ADDRESS(ROW('PAYG 1'!$D$23),COLUMN('PAYG 1'!$D$23),4)</f>
        <v>D23</v>
      </c>
      <c r="D4010" t="b" cm="1">
        <f t="array" aca="1" ref="D4010" ca="1">IF(INDIRECT("'"&amp;A4010&amp;"'!"&amp;B4010)="",FALSE,IF(NOT(ISNUMBER(INDIRECT("'"&amp;A4010&amp;"'!"&amp;B4010))),TRUE,FALSE))</f>
        <v>0</v>
      </c>
      <c r="E4010" t="s">
        <v>435</v>
      </c>
      <c r="F4010" t="str">
        <f>INDEX(Lists!I:I,MATCH(Validation!E4010,Lists!G:G,0))</f>
        <v>Error</v>
      </c>
      <c r="G4010" t="str">
        <f>INDEX(Lists!H:H,MATCH(Validation!E4010,Lists!G:G,0))</f>
        <v>Enter an amount only. Do not enter text or spaces.</v>
      </c>
      <c r="H4010" s="16" t="str">
        <f t="shared" ca="1" si="429"/>
        <v/>
      </c>
      <c r="I4010" s="16" t="str">
        <f t="shared" ca="1" si="430"/>
        <v/>
      </c>
      <c r="J4010" s="17" t="str">
        <f t="shared" ca="1" si="431"/>
        <v/>
      </c>
    </row>
    <row r="4011" spans="1:10" x14ac:dyDescent="0.25">
      <c r="A4011" t="s">
        <v>660</v>
      </c>
      <c r="B4011" t="str">
        <f>ADDRESS(ROW('PAYG 1'!$B$23),COLUMN('PAYG 1'!$B$23),4)</f>
        <v>B23</v>
      </c>
      <c r="C4011" t="str">
        <f>ADDRESS(ROW('PAYG 1'!$D$23),COLUMN('PAYG 1'!$D$23),4)</f>
        <v>D23</v>
      </c>
      <c r="D4011" t="b" cm="1">
        <f t="array" aca="1" ref="D4011" ca="1">IF(INDIRECT("'"&amp;A4011&amp;"'!"&amp;B4011)="",FALSE,IF(NOT(ISNUMBER(INDIRECT("'"&amp;A4011&amp;"'!"&amp;B4011))),TRUE,FALSE))</f>
        <v>0</v>
      </c>
      <c r="E4011" t="s">
        <v>435</v>
      </c>
      <c r="F4011" t="str">
        <f>INDEX(Lists!I:I,MATCH(Validation!E4011,Lists!G:G,0))</f>
        <v>Error</v>
      </c>
      <c r="G4011" t="str">
        <f>INDEX(Lists!H:H,MATCH(Validation!E4011,Lists!G:G,0))</f>
        <v>Enter an amount only. Do not enter text or spaces.</v>
      </c>
      <c r="H4011" s="16" t="str">
        <f t="shared" ca="1" si="429"/>
        <v/>
      </c>
      <c r="I4011" s="16" t="str">
        <f t="shared" ca="1" si="430"/>
        <v/>
      </c>
      <c r="J4011" s="17" t="str">
        <f t="shared" ca="1" si="431"/>
        <v/>
      </c>
    </row>
    <row r="4012" spans="1:10" x14ac:dyDescent="0.25">
      <c r="A4012" t="s">
        <v>661</v>
      </c>
      <c r="B4012" t="str">
        <f>ADDRESS(ROW('PAYG 1'!$B$23),COLUMN('PAYG 1'!$B$23),4)</f>
        <v>B23</v>
      </c>
      <c r="C4012" t="str">
        <f>ADDRESS(ROW('PAYG 1'!$D$23),COLUMN('PAYG 1'!$D$23),4)</f>
        <v>D23</v>
      </c>
      <c r="D4012" t="b" cm="1">
        <f t="array" aca="1" ref="D4012" ca="1">IF(INDIRECT("'"&amp;A4012&amp;"'!"&amp;B4012)="",FALSE,IF(NOT(ISNUMBER(INDIRECT("'"&amp;A4012&amp;"'!"&amp;B4012))),TRUE,FALSE))</f>
        <v>0</v>
      </c>
      <c r="E4012" t="s">
        <v>435</v>
      </c>
      <c r="F4012" t="str">
        <f>INDEX(Lists!I:I,MATCH(Validation!E4012,Lists!G:G,0))</f>
        <v>Error</v>
      </c>
      <c r="G4012" t="str">
        <f>INDEX(Lists!H:H,MATCH(Validation!E4012,Lists!G:G,0))</f>
        <v>Enter an amount only. Do not enter text or spaces.</v>
      </c>
      <c r="H4012" s="16" t="str">
        <f t="shared" ca="1" si="429"/>
        <v/>
      </c>
      <c r="I4012" s="16" t="str">
        <f t="shared" ca="1" si="430"/>
        <v/>
      </c>
      <c r="J4012" s="17" t="str">
        <f t="shared" ca="1" si="431"/>
        <v/>
      </c>
    </row>
    <row r="4013" spans="1:10" x14ac:dyDescent="0.25">
      <c r="A4013" t="s">
        <v>662</v>
      </c>
      <c r="B4013" t="str">
        <f>ADDRESS(ROW('PAYG 1'!$B$23),COLUMN('PAYG 1'!$B$23),4)</f>
        <v>B23</v>
      </c>
      <c r="C4013" t="str">
        <f>ADDRESS(ROW('PAYG 1'!$D$23),COLUMN('PAYG 1'!$D$23),4)</f>
        <v>D23</v>
      </c>
      <c r="D4013" t="b" cm="1">
        <f t="array" aca="1" ref="D4013" ca="1">IF(INDIRECT("'"&amp;A4013&amp;"'!"&amp;B4013)="",FALSE,IF(NOT(ISNUMBER(INDIRECT("'"&amp;A4013&amp;"'!"&amp;B4013))),TRUE,FALSE))</f>
        <v>0</v>
      </c>
      <c r="E4013" t="s">
        <v>435</v>
      </c>
      <c r="F4013" t="str">
        <f>INDEX(Lists!I:I,MATCH(Validation!E4013,Lists!G:G,0))</f>
        <v>Error</v>
      </c>
      <c r="G4013" t="str">
        <f>INDEX(Lists!H:H,MATCH(Validation!E4013,Lists!G:G,0))</f>
        <v>Enter an amount only. Do not enter text or spaces.</v>
      </c>
      <c r="H4013" s="16" t="str">
        <f t="shared" ca="1" si="429"/>
        <v/>
      </c>
      <c r="I4013" s="16" t="str">
        <f t="shared" ca="1" si="430"/>
        <v/>
      </c>
      <c r="J4013" s="17" t="str">
        <f t="shared" ca="1" si="431"/>
        <v/>
      </c>
    </row>
    <row r="4014" spans="1:10" x14ac:dyDescent="0.25">
      <c r="A4014" t="s">
        <v>663</v>
      </c>
      <c r="B4014" t="str">
        <f>ADDRESS(ROW('PAYG 1'!$B$23),COLUMN('PAYG 1'!$B$23),4)</f>
        <v>B23</v>
      </c>
      <c r="C4014" t="str">
        <f>ADDRESS(ROW('PAYG 1'!$D$23),COLUMN('PAYG 1'!$D$23),4)</f>
        <v>D23</v>
      </c>
      <c r="D4014" t="b" cm="1">
        <f t="array" aca="1" ref="D4014" ca="1">IF(INDIRECT("'"&amp;A4014&amp;"'!"&amp;B4014)="",FALSE,IF(NOT(ISNUMBER(INDIRECT("'"&amp;A4014&amp;"'!"&amp;B4014))),TRUE,FALSE))</f>
        <v>0</v>
      </c>
      <c r="E4014" t="s">
        <v>435</v>
      </c>
      <c r="F4014" t="str">
        <f>INDEX(Lists!I:I,MATCH(Validation!E4014,Lists!G:G,0))</f>
        <v>Error</v>
      </c>
      <c r="G4014" t="str">
        <f>INDEX(Lists!H:H,MATCH(Validation!E4014,Lists!G:G,0))</f>
        <v>Enter an amount only. Do not enter text or spaces.</v>
      </c>
      <c r="H4014" s="16" t="str">
        <f t="shared" ca="1" si="429"/>
        <v/>
      </c>
      <c r="I4014" s="16" t="str">
        <f t="shared" ca="1" si="430"/>
        <v/>
      </c>
      <c r="J4014" s="17" t="str">
        <f t="shared" ca="1" si="431"/>
        <v/>
      </c>
    </row>
    <row r="4015" spans="1:10" x14ac:dyDescent="0.25">
      <c r="A4015" t="s">
        <v>664</v>
      </c>
      <c r="B4015" t="str">
        <f>ADDRESS(ROW('PAYG 1'!$B$23),COLUMN('PAYG 1'!$B$23),4)</f>
        <v>B23</v>
      </c>
      <c r="C4015" t="str">
        <f>ADDRESS(ROW('PAYG 1'!$D$23),COLUMN('PAYG 1'!$D$23),4)</f>
        <v>D23</v>
      </c>
      <c r="D4015" t="b" cm="1">
        <f t="array" aca="1" ref="D4015" ca="1">IF(INDIRECT("'"&amp;A4015&amp;"'!"&amp;B4015)="",FALSE,IF(NOT(ISNUMBER(INDIRECT("'"&amp;A4015&amp;"'!"&amp;B4015))),TRUE,FALSE))</f>
        <v>0</v>
      </c>
      <c r="E4015" t="s">
        <v>435</v>
      </c>
      <c r="F4015" t="str">
        <f>INDEX(Lists!I:I,MATCH(Validation!E4015,Lists!G:G,0))</f>
        <v>Error</v>
      </c>
      <c r="G4015" t="str">
        <f>INDEX(Lists!H:H,MATCH(Validation!E4015,Lists!G:G,0))</f>
        <v>Enter an amount only. Do not enter text or spaces.</v>
      </c>
      <c r="H4015" s="16" t="str">
        <f t="shared" ca="1" si="429"/>
        <v/>
      </c>
      <c r="I4015" s="16" t="str">
        <f t="shared" ca="1" si="430"/>
        <v/>
      </c>
      <c r="J4015" s="17" t="str">
        <f t="shared" ca="1" si="431"/>
        <v/>
      </c>
    </row>
    <row r="4016" spans="1:10" x14ac:dyDescent="0.25">
      <c r="A4016" t="s">
        <v>203</v>
      </c>
      <c r="B4016" t="str">
        <f>ADDRESS(ROW('PAYG 1'!$B$23),COLUMN('PAYG 1'!$B$23),4)</f>
        <v>B23</v>
      </c>
      <c r="C4016" t="str">
        <f>ADDRESS(ROW('PAYG 1'!$D$23),COLUMN('PAYG 1'!$D$23),4)</f>
        <v>D23</v>
      </c>
      <c r="D4016" t="b" cm="1">
        <f t="array" aca="1" ref="D4016" ca="1">IF(INDIRECT("'"&amp;A4016&amp;"'!"&amp;B4016)="",FALSE,IF(INDIRECT("'"&amp;A4016&amp;"'!"&amp;B4016)&lt;0,TRUE,FALSE))</f>
        <v>0</v>
      </c>
      <c r="E4016" t="s">
        <v>434</v>
      </c>
      <c r="F4016" t="str">
        <f>INDEX(Lists!I:I,MATCH(Validation!E4016,Lists!G:G,0))</f>
        <v>Error</v>
      </c>
      <c r="G4016" t="str">
        <f>INDEX(Lists!H:H,MATCH(Validation!E4016,Lists!G:G,0))</f>
        <v>Amount may not be negative. Enter an amount greater than or equal to zero.</v>
      </c>
      <c r="H4016" s="16" t="str">
        <f t="shared" ca="1" si="429"/>
        <v/>
      </c>
      <c r="I4016" s="16" t="str">
        <f t="shared" ca="1" si="430"/>
        <v/>
      </c>
      <c r="J4016" s="17" t="str">
        <f t="shared" ca="1" si="431"/>
        <v/>
      </c>
    </row>
    <row r="4017" spans="1:10" x14ac:dyDescent="0.25">
      <c r="A4017" t="s">
        <v>651</v>
      </c>
      <c r="B4017" t="str">
        <f>ADDRESS(ROW('PAYG 1'!$B$23),COLUMN('PAYG 1'!$B$23),4)</f>
        <v>B23</v>
      </c>
      <c r="C4017" t="str">
        <f>ADDRESS(ROW('PAYG 1'!$D$23),COLUMN('PAYG 1'!$D$23),4)</f>
        <v>D23</v>
      </c>
      <c r="D4017" t="b" cm="1">
        <f t="array" aca="1" ref="D4017" ca="1">IF(INDIRECT("'"&amp;A4017&amp;"'!"&amp;B4017)="",FALSE,IF(INDIRECT("'"&amp;A4017&amp;"'!"&amp;B4017)&lt;0,TRUE,FALSE))</f>
        <v>0</v>
      </c>
      <c r="E4017" t="s">
        <v>434</v>
      </c>
      <c r="F4017" t="str">
        <f>INDEX(Lists!I:I,MATCH(Validation!E4017,Lists!G:G,0))</f>
        <v>Error</v>
      </c>
      <c r="G4017" t="str">
        <f>INDEX(Lists!H:H,MATCH(Validation!E4017,Lists!G:G,0))</f>
        <v>Amount may not be negative. Enter an amount greater than or equal to zero.</v>
      </c>
      <c r="H4017" s="16" t="str">
        <f t="shared" ca="1" si="429"/>
        <v/>
      </c>
      <c r="I4017" s="16" t="str">
        <f t="shared" ca="1" si="430"/>
        <v/>
      </c>
      <c r="J4017" s="17" t="str">
        <f t="shared" ca="1" si="431"/>
        <v/>
      </c>
    </row>
    <row r="4018" spans="1:10" x14ac:dyDescent="0.25">
      <c r="A4018" t="s">
        <v>652</v>
      </c>
      <c r="B4018" t="str">
        <f>ADDRESS(ROW('PAYG 1'!$B$23),COLUMN('PAYG 1'!$B$23),4)</f>
        <v>B23</v>
      </c>
      <c r="C4018" t="str">
        <f>ADDRESS(ROW('PAYG 1'!$D$23),COLUMN('PAYG 1'!$D$23),4)</f>
        <v>D23</v>
      </c>
      <c r="D4018" t="b" cm="1">
        <f t="array" aca="1" ref="D4018" ca="1">IF(INDIRECT("'"&amp;A4018&amp;"'!"&amp;B4018)="",FALSE,IF(INDIRECT("'"&amp;A4018&amp;"'!"&amp;B4018)&lt;0,TRUE,FALSE))</f>
        <v>0</v>
      </c>
      <c r="E4018" t="s">
        <v>434</v>
      </c>
      <c r="F4018" t="str">
        <f>INDEX(Lists!I:I,MATCH(Validation!E4018,Lists!G:G,0))</f>
        <v>Error</v>
      </c>
      <c r="G4018" t="str">
        <f>INDEX(Lists!H:H,MATCH(Validation!E4018,Lists!G:G,0))</f>
        <v>Amount may not be negative. Enter an amount greater than or equal to zero.</v>
      </c>
      <c r="H4018" s="16" t="str">
        <f t="shared" ca="1" si="429"/>
        <v/>
      </c>
      <c r="I4018" s="16" t="str">
        <f t="shared" ca="1" si="430"/>
        <v/>
      </c>
      <c r="J4018" s="17" t="str">
        <f t="shared" ca="1" si="431"/>
        <v/>
      </c>
    </row>
    <row r="4019" spans="1:10" x14ac:dyDescent="0.25">
      <c r="A4019" t="s">
        <v>653</v>
      </c>
      <c r="B4019" t="str">
        <f>ADDRESS(ROW('PAYG 1'!$B$23),COLUMN('PAYG 1'!$B$23),4)</f>
        <v>B23</v>
      </c>
      <c r="C4019" t="str">
        <f>ADDRESS(ROW('PAYG 1'!$D$23),COLUMN('PAYG 1'!$D$23),4)</f>
        <v>D23</v>
      </c>
      <c r="D4019" t="b" cm="1">
        <f t="array" aca="1" ref="D4019" ca="1">IF(INDIRECT("'"&amp;A4019&amp;"'!"&amp;B4019)="",FALSE,IF(INDIRECT("'"&amp;A4019&amp;"'!"&amp;B4019)&lt;0,TRUE,FALSE))</f>
        <v>0</v>
      </c>
      <c r="E4019" t="s">
        <v>434</v>
      </c>
      <c r="F4019" t="str">
        <f>INDEX(Lists!I:I,MATCH(Validation!E4019,Lists!G:G,0))</f>
        <v>Error</v>
      </c>
      <c r="G4019" t="str">
        <f>INDEX(Lists!H:H,MATCH(Validation!E4019,Lists!G:G,0))</f>
        <v>Amount may not be negative. Enter an amount greater than or equal to zero.</v>
      </c>
      <c r="H4019" s="16" t="str">
        <f t="shared" ca="1" si="429"/>
        <v/>
      </c>
      <c r="I4019" s="16" t="str">
        <f t="shared" ca="1" si="430"/>
        <v/>
      </c>
      <c r="J4019" s="17" t="str">
        <f t="shared" ca="1" si="431"/>
        <v/>
      </c>
    </row>
    <row r="4020" spans="1:10" x14ac:dyDescent="0.25">
      <c r="A4020" t="s">
        <v>654</v>
      </c>
      <c r="B4020" t="str">
        <f>ADDRESS(ROW('PAYG 1'!$B$23),COLUMN('PAYG 1'!$B$23),4)</f>
        <v>B23</v>
      </c>
      <c r="C4020" t="str">
        <f>ADDRESS(ROW('PAYG 1'!$D$23),COLUMN('PAYG 1'!$D$23),4)</f>
        <v>D23</v>
      </c>
      <c r="D4020" t="b" cm="1">
        <f t="array" aca="1" ref="D4020" ca="1">IF(INDIRECT("'"&amp;A4020&amp;"'!"&amp;B4020)="",FALSE,IF(INDIRECT("'"&amp;A4020&amp;"'!"&amp;B4020)&lt;0,TRUE,FALSE))</f>
        <v>0</v>
      </c>
      <c r="E4020" t="s">
        <v>434</v>
      </c>
      <c r="F4020" t="str">
        <f>INDEX(Lists!I:I,MATCH(Validation!E4020,Lists!G:G,0))</f>
        <v>Error</v>
      </c>
      <c r="G4020" t="str">
        <f>INDEX(Lists!H:H,MATCH(Validation!E4020,Lists!G:G,0))</f>
        <v>Amount may not be negative. Enter an amount greater than or equal to zero.</v>
      </c>
      <c r="H4020" s="16" t="str">
        <f t="shared" ca="1" si="429"/>
        <v/>
      </c>
      <c r="I4020" s="16" t="str">
        <f t="shared" ca="1" si="430"/>
        <v/>
      </c>
      <c r="J4020" s="17" t="str">
        <f t="shared" ca="1" si="431"/>
        <v/>
      </c>
    </row>
    <row r="4021" spans="1:10" x14ac:dyDescent="0.25">
      <c r="A4021" t="s">
        <v>655</v>
      </c>
      <c r="B4021" t="str">
        <f>ADDRESS(ROW('PAYG 1'!$B$23),COLUMN('PAYG 1'!$B$23),4)</f>
        <v>B23</v>
      </c>
      <c r="C4021" t="str">
        <f>ADDRESS(ROW('PAYG 1'!$D$23),COLUMN('PAYG 1'!$D$23),4)</f>
        <v>D23</v>
      </c>
      <c r="D4021" t="b" cm="1">
        <f t="array" aca="1" ref="D4021" ca="1">IF(INDIRECT("'"&amp;A4021&amp;"'!"&amp;B4021)="",FALSE,IF(INDIRECT("'"&amp;A4021&amp;"'!"&amp;B4021)&lt;0,TRUE,FALSE))</f>
        <v>0</v>
      </c>
      <c r="E4021" t="s">
        <v>434</v>
      </c>
      <c r="F4021" t="str">
        <f>INDEX(Lists!I:I,MATCH(Validation!E4021,Lists!G:G,0))</f>
        <v>Error</v>
      </c>
      <c r="G4021" t="str">
        <f>INDEX(Lists!H:H,MATCH(Validation!E4021,Lists!G:G,0))</f>
        <v>Amount may not be negative. Enter an amount greater than or equal to zero.</v>
      </c>
      <c r="H4021" s="16" t="str">
        <f t="shared" ca="1" si="429"/>
        <v/>
      </c>
      <c r="I4021" s="16" t="str">
        <f t="shared" ca="1" si="430"/>
        <v/>
      </c>
      <c r="J4021" s="17" t="str">
        <f t="shared" ca="1" si="431"/>
        <v/>
      </c>
    </row>
    <row r="4022" spans="1:10" x14ac:dyDescent="0.25">
      <c r="A4022" t="s">
        <v>656</v>
      </c>
      <c r="B4022" t="str">
        <f>ADDRESS(ROW('PAYG 1'!$B$23),COLUMN('PAYG 1'!$B$23),4)</f>
        <v>B23</v>
      </c>
      <c r="C4022" t="str">
        <f>ADDRESS(ROW('PAYG 1'!$D$23),COLUMN('PAYG 1'!$D$23),4)</f>
        <v>D23</v>
      </c>
      <c r="D4022" t="b" cm="1">
        <f t="array" aca="1" ref="D4022" ca="1">IF(INDIRECT("'"&amp;A4022&amp;"'!"&amp;B4022)="",FALSE,IF(INDIRECT("'"&amp;A4022&amp;"'!"&amp;B4022)&lt;0,TRUE,FALSE))</f>
        <v>0</v>
      </c>
      <c r="E4022" t="s">
        <v>434</v>
      </c>
      <c r="F4022" t="str">
        <f>INDEX(Lists!I:I,MATCH(Validation!E4022,Lists!G:G,0))</f>
        <v>Error</v>
      </c>
      <c r="G4022" t="str">
        <f>INDEX(Lists!H:H,MATCH(Validation!E4022,Lists!G:G,0))</f>
        <v>Amount may not be negative. Enter an amount greater than or equal to zero.</v>
      </c>
      <c r="H4022" s="16" t="str">
        <f t="shared" ca="1" si="429"/>
        <v/>
      </c>
      <c r="I4022" s="16" t="str">
        <f t="shared" ca="1" si="430"/>
        <v/>
      </c>
      <c r="J4022" s="17" t="str">
        <f t="shared" ca="1" si="431"/>
        <v/>
      </c>
    </row>
    <row r="4023" spans="1:10" x14ac:dyDescent="0.25">
      <c r="A4023" t="s">
        <v>657</v>
      </c>
      <c r="B4023" t="str">
        <f>ADDRESS(ROW('PAYG 1'!$B$23),COLUMN('PAYG 1'!$B$23),4)</f>
        <v>B23</v>
      </c>
      <c r="C4023" t="str">
        <f>ADDRESS(ROW('PAYG 1'!$D$23),COLUMN('PAYG 1'!$D$23),4)</f>
        <v>D23</v>
      </c>
      <c r="D4023" t="b" cm="1">
        <f t="array" aca="1" ref="D4023" ca="1">IF(INDIRECT("'"&amp;A4023&amp;"'!"&amp;B4023)="",FALSE,IF(INDIRECT("'"&amp;A4023&amp;"'!"&amp;B4023)&lt;0,TRUE,FALSE))</f>
        <v>0</v>
      </c>
      <c r="E4023" t="s">
        <v>434</v>
      </c>
      <c r="F4023" t="str">
        <f>INDEX(Lists!I:I,MATCH(Validation!E4023,Lists!G:G,0))</f>
        <v>Error</v>
      </c>
      <c r="G4023" t="str">
        <f>INDEX(Lists!H:H,MATCH(Validation!E4023,Lists!G:G,0))</f>
        <v>Amount may not be negative. Enter an amount greater than or equal to zero.</v>
      </c>
      <c r="H4023" s="16" t="str">
        <f t="shared" ca="1" si="429"/>
        <v/>
      </c>
      <c r="I4023" s="16" t="str">
        <f t="shared" ca="1" si="430"/>
        <v/>
      </c>
      <c r="J4023" s="17" t="str">
        <f t="shared" ca="1" si="431"/>
        <v/>
      </c>
    </row>
    <row r="4024" spans="1:10" x14ac:dyDescent="0.25">
      <c r="A4024" t="s">
        <v>658</v>
      </c>
      <c r="B4024" t="str">
        <f>ADDRESS(ROW('PAYG 1'!$B$23),COLUMN('PAYG 1'!$B$23),4)</f>
        <v>B23</v>
      </c>
      <c r="C4024" t="str">
        <f>ADDRESS(ROW('PAYG 1'!$D$23),COLUMN('PAYG 1'!$D$23),4)</f>
        <v>D23</v>
      </c>
      <c r="D4024" t="b" cm="1">
        <f t="array" aca="1" ref="D4024" ca="1">IF(INDIRECT("'"&amp;A4024&amp;"'!"&amp;B4024)="",FALSE,IF(INDIRECT("'"&amp;A4024&amp;"'!"&amp;B4024)&lt;0,TRUE,FALSE))</f>
        <v>0</v>
      </c>
      <c r="E4024" t="s">
        <v>434</v>
      </c>
      <c r="F4024" t="str">
        <f>INDEX(Lists!I:I,MATCH(Validation!E4024,Lists!G:G,0))</f>
        <v>Error</v>
      </c>
      <c r="G4024" t="str">
        <f>INDEX(Lists!H:H,MATCH(Validation!E4024,Lists!G:G,0))</f>
        <v>Amount may not be negative. Enter an amount greater than or equal to zero.</v>
      </c>
      <c r="H4024" s="16" t="str">
        <f t="shared" ca="1" si="429"/>
        <v/>
      </c>
      <c r="I4024" s="16" t="str">
        <f t="shared" ca="1" si="430"/>
        <v/>
      </c>
      <c r="J4024" s="17" t="str">
        <f t="shared" ca="1" si="431"/>
        <v/>
      </c>
    </row>
    <row r="4025" spans="1:10" x14ac:dyDescent="0.25">
      <c r="A4025" t="s">
        <v>659</v>
      </c>
      <c r="B4025" t="str">
        <f>ADDRESS(ROW('PAYG 1'!$B$23),COLUMN('PAYG 1'!$B$23),4)</f>
        <v>B23</v>
      </c>
      <c r="C4025" t="str">
        <f>ADDRESS(ROW('PAYG 1'!$D$23),COLUMN('PAYG 1'!$D$23),4)</f>
        <v>D23</v>
      </c>
      <c r="D4025" t="b" cm="1">
        <f t="array" aca="1" ref="D4025" ca="1">IF(INDIRECT("'"&amp;A4025&amp;"'!"&amp;B4025)="",FALSE,IF(INDIRECT("'"&amp;A4025&amp;"'!"&amp;B4025)&lt;0,TRUE,FALSE))</f>
        <v>0</v>
      </c>
      <c r="E4025" t="s">
        <v>434</v>
      </c>
      <c r="F4025" t="str">
        <f>INDEX(Lists!I:I,MATCH(Validation!E4025,Lists!G:G,0))</f>
        <v>Error</v>
      </c>
      <c r="G4025" t="str">
        <f>INDEX(Lists!H:H,MATCH(Validation!E4025,Lists!G:G,0))</f>
        <v>Amount may not be negative. Enter an amount greater than or equal to zero.</v>
      </c>
      <c r="H4025" s="16" t="str">
        <f t="shared" ca="1" si="429"/>
        <v/>
      </c>
      <c r="I4025" s="16" t="str">
        <f t="shared" ca="1" si="430"/>
        <v/>
      </c>
      <c r="J4025" s="17" t="str">
        <f t="shared" ca="1" si="431"/>
        <v/>
      </c>
    </row>
    <row r="4026" spans="1:10" x14ac:dyDescent="0.25">
      <c r="A4026" t="s">
        <v>660</v>
      </c>
      <c r="B4026" t="str">
        <f>ADDRESS(ROW('PAYG 1'!$B$23),COLUMN('PAYG 1'!$B$23),4)</f>
        <v>B23</v>
      </c>
      <c r="C4026" t="str">
        <f>ADDRESS(ROW('PAYG 1'!$D$23),COLUMN('PAYG 1'!$D$23),4)</f>
        <v>D23</v>
      </c>
      <c r="D4026" t="b" cm="1">
        <f t="array" aca="1" ref="D4026" ca="1">IF(INDIRECT("'"&amp;A4026&amp;"'!"&amp;B4026)="",FALSE,IF(INDIRECT("'"&amp;A4026&amp;"'!"&amp;B4026)&lt;0,TRUE,FALSE))</f>
        <v>0</v>
      </c>
      <c r="E4026" t="s">
        <v>434</v>
      </c>
      <c r="F4026" t="str">
        <f>INDEX(Lists!I:I,MATCH(Validation!E4026,Lists!G:G,0))</f>
        <v>Error</v>
      </c>
      <c r="G4026" t="str">
        <f>INDEX(Lists!H:H,MATCH(Validation!E4026,Lists!G:G,0))</f>
        <v>Amount may not be negative. Enter an amount greater than or equal to zero.</v>
      </c>
      <c r="H4026" s="16" t="str">
        <f t="shared" ca="1" si="429"/>
        <v/>
      </c>
      <c r="I4026" s="16" t="str">
        <f t="shared" ca="1" si="430"/>
        <v/>
      </c>
      <c r="J4026" s="17" t="str">
        <f t="shared" ca="1" si="431"/>
        <v/>
      </c>
    </row>
    <row r="4027" spans="1:10" x14ac:dyDescent="0.25">
      <c r="A4027" t="s">
        <v>661</v>
      </c>
      <c r="B4027" t="str">
        <f>ADDRESS(ROW('PAYG 1'!$B$23),COLUMN('PAYG 1'!$B$23),4)</f>
        <v>B23</v>
      </c>
      <c r="C4027" t="str">
        <f>ADDRESS(ROW('PAYG 1'!$D$23),COLUMN('PAYG 1'!$D$23),4)</f>
        <v>D23</v>
      </c>
      <c r="D4027" t="b" cm="1">
        <f t="array" aca="1" ref="D4027" ca="1">IF(INDIRECT("'"&amp;A4027&amp;"'!"&amp;B4027)="",FALSE,IF(INDIRECT("'"&amp;A4027&amp;"'!"&amp;B4027)&lt;0,TRUE,FALSE))</f>
        <v>0</v>
      </c>
      <c r="E4027" t="s">
        <v>434</v>
      </c>
      <c r="F4027" t="str">
        <f>INDEX(Lists!I:I,MATCH(Validation!E4027,Lists!G:G,0))</f>
        <v>Error</v>
      </c>
      <c r="G4027" t="str">
        <f>INDEX(Lists!H:H,MATCH(Validation!E4027,Lists!G:G,0))</f>
        <v>Amount may not be negative. Enter an amount greater than or equal to zero.</v>
      </c>
      <c r="H4027" s="16" t="str">
        <f t="shared" ca="1" si="429"/>
        <v/>
      </c>
      <c r="I4027" s="16" t="str">
        <f t="shared" ca="1" si="430"/>
        <v/>
      </c>
      <c r="J4027" s="17" t="str">
        <f t="shared" ca="1" si="431"/>
        <v/>
      </c>
    </row>
    <row r="4028" spans="1:10" x14ac:dyDescent="0.25">
      <c r="A4028" t="s">
        <v>662</v>
      </c>
      <c r="B4028" t="str">
        <f>ADDRESS(ROW('PAYG 1'!$B$23),COLUMN('PAYG 1'!$B$23),4)</f>
        <v>B23</v>
      </c>
      <c r="C4028" t="str">
        <f>ADDRESS(ROW('PAYG 1'!$D$23),COLUMN('PAYG 1'!$D$23),4)</f>
        <v>D23</v>
      </c>
      <c r="D4028" t="b" cm="1">
        <f t="array" aca="1" ref="D4028" ca="1">IF(INDIRECT("'"&amp;A4028&amp;"'!"&amp;B4028)="",FALSE,IF(INDIRECT("'"&amp;A4028&amp;"'!"&amp;B4028)&lt;0,TRUE,FALSE))</f>
        <v>0</v>
      </c>
      <c r="E4028" t="s">
        <v>434</v>
      </c>
      <c r="F4028" t="str">
        <f>INDEX(Lists!I:I,MATCH(Validation!E4028,Lists!G:G,0))</f>
        <v>Error</v>
      </c>
      <c r="G4028" t="str">
        <f>INDEX(Lists!H:H,MATCH(Validation!E4028,Lists!G:G,0))</f>
        <v>Amount may not be negative. Enter an amount greater than or equal to zero.</v>
      </c>
      <c r="H4028" s="16" t="str">
        <f t="shared" ca="1" si="429"/>
        <v/>
      </c>
      <c r="I4028" s="16" t="str">
        <f t="shared" ca="1" si="430"/>
        <v/>
      </c>
      <c r="J4028" s="17" t="str">
        <f t="shared" ca="1" si="431"/>
        <v/>
      </c>
    </row>
    <row r="4029" spans="1:10" x14ac:dyDescent="0.25">
      <c r="A4029" t="s">
        <v>663</v>
      </c>
      <c r="B4029" t="str">
        <f>ADDRESS(ROW('PAYG 1'!$B$23),COLUMN('PAYG 1'!$B$23),4)</f>
        <v>B23</v>
      </c>
      <c r="C4029" t="str">
        <f>ADDRESS(ROW('PAYG 1'!$D$23),COLUMN('PAYG 1'!$D$23),4)</f>
        <v>D23</v>
      </c>
      <c r="D4029" t="b" cm="1">
        <f t="array" aca="1" ref="D4029" ca="1">IF(INDIRECT("'"&amp;A4029&amp;"'!"&amp;B4029)="",FALSE,IF(INDIRECT("'"&amp;A4029&amp;"'!"&amp;B4029)&lt;0,TRUE,FALSE))</f>
        <v>0</v>
      </c>
      <c r="E4029" t="s">
        <v>434</v>
      </c>
      <c r="F4029" t="str">
        <f>INDEX(Lists!I:I,MATCH(Validation!E4029,Lists!G:G,0))</f>
        <v>Error</v>
      </c>
      <c r="G4029" t="str">
        <f>INDEX(Lists!H:H,MATCH(Validation!E4029,Lists!G:G,0))</f>
        <v>Amount may not be negative. Enter an amount greater than or equal to zero.</v>
      </c>
      <c r="H4029" s="16" t="str">
        <f t="shared" ca="1" si="429"/>
        <v/>
      </c>
      <c r="I4029" s="16" t="str">
        <f t="shared" ca="1" si="430"/>
        <v/>
      </c>
      <c r="J4029" s="17" t="str">
        <f t="shared" ca="1" si="431"/>
        <v/>
      </c>
    </row>
    <row r="4030" spans="1:10" x14ac:dyDescent="0.25">
      <c r="A4030" t="s">
        <v>664</v>
      </c>
      <c r="B4030" t="str">
        <f>ADDRESS(ROW('PAYG 1'!$B$23),COLUMN('PAYG 1'!$B$23),4)</f>
        <v>B23</v>
      </c>
      <c r="C4030" t="str">
        <f>ADDRESS(ROW('PAYG 1'!$D$23),COLUMN('PAYG 1'!$D$23),4)</f>
        <v>D23</v>
      </c>
      <c r="D4030" t="b" cm="1">
        <f t="array" aca="1" ref="D4030" ca="1">IF(INDIRECT("'"&amp;A4030&amp;"'!"&amp;B4030)="",FALSE,IF(INDIRECT("'"&amp;A4030&amp;"'!"&amp;B4030)&lt;0,TRUE,FALSE))</f>
        <v>0</v>
      </c>
      <c r="E4030" t="s">
        <v>434</v>
      </c>
      <c r="F4030" t="str">
        <f>INDEX(Lists!I:I,MATCH(Validation!E4030,Lists!G:G,0))</f>
        <v>Error</v>
      </c>
      <c r="G4030" t="str">
        <f>INDEX(Lists!H:H,MATCH(Validation!E4030,Lists!G:G,0))</f>
        <v>Amount may not be negative. Enter an amount greater than or equal to zero.</v>
      </c>
      <c r="H4030" s="16" t="str">
        <f t="shared" ca="1" si="429"/>
        <v/>
      </c>
      <c r="I4030" s="16" t="str">
        <f t="shared" ca="1" si="430"/>
        <v/>
      </c>
      <c r="J4030" s="17" t="str">
        <f t="shared" ca="1" si="431"/>
        <v/>
      </c>
    </row>
    <row r="4031" spans="1:10" x14ac:dyDescent="0.25">
      <c r="A4031" t="s">
        <v>203</v>
      </c>
      <c r="B4031" t="str">
        <f>ADDRESS(ROW('PAYG 1'!$B$23),COLUMN('PAYG 1'!$B$23),4)</f>
        <v>B23</v>
      </c>
      <c r="C4031" t="str">
        <f>ADDRESS(ROW('PAYG 1'!$D$23),COLUMN('PAYG 1'!$D$23),4)</f>
        <v>D23</v>
      </c>
      <c r="D4031" t="b" cm="1">
        <f t="array" aca="1" ref="D4031" ca="1">IF(INDIRECT("'"&amp;A4031&amp;"'!"&amp;B4031)="",FALSE,IF(TRUNC(INDIRECT("'"&amp;A4031&amp;"'!"&amp;B4031))=INDIRECT("'"&amp;A4031&amp;"'!"&amp;B4031),FALSE,TRUE))</f>
        <v>0</v>
      </c>
      <c r="E4031" t="s">
        <v>436</v>
      </c>
      <c r="F4031" t="str">
        <f>INDEX(Lists!I:I,MATCH(Validation!E4031,Lists!G:G,0))</f>
        <v>Error</v>
      </c>
      <c r="G4031" t="str">
        <f>INDEX(Lists!H:H,MATCH(Validation!E4031,Lists!G:G,0))</f>
        <v>Amount must be rounded to the nearest dollar.</v>
      </c>
      <c r="H4031" s="16" t="str">
        <f t="shared" ca="1" si="429"/>
        <v/>
      </c>
      <c r="I4031" s="16" t="str">
        <f t="shared" ca="1" si="430"/>
        <v/>
      </c>
      <c r="J4031" s="17" t="str">
        <f t="shared" ca="1" si="431"/>
        <v/>
      </c>
    </row>
    <row r="4032" spans="1:10" x14ac:dyDescent="0.25">
      <c r="A4032" t="s">
        <v>651</v>
      </c>
      <c r="B4032" t="str">
        <f>ADDRESS(ROW('PAYG 1'!$B$23),COLUMN('PAYG 1'!$B$23),4)</f>
        <v>B23</v>
      </c>
      <c r="C4032" t="str">
        <f>ADDRESS(ROW('PAYG 1'!$D$23),COLUMN('PAYG 1'!$D$23),4)</f>
        <v>D23</v>
      </c>
      <c r="D4032" t="b" cm="1">
        <f t="array" aca="1" ref="D4032" ca="1">IF(INDIRECT("'"&amp;A4032&amp;"'!"&amp;B4032)="",FALSE,IF(TRUNC(INDIRECT("'"&amp;A4032&amp;"'!"&amp;B4032))=INDIRECT("'"&amp;A4032&amp;"'!"&amp;B4032),FALSE,TRUE))</f>
        <v>0</v>
      </c>
      <c r="E4032" t="s">
        <v>436</v>
      </c>
      <c r="F4032" t="str">
        <f>INDEX(Lists!I:I,MATCH(Validation!E4032,Lists!G:G,0))</f>
        <v>Error</v>
      </c>
      <c r="G4032" t="str">
        <f>INDEX(Lists!H:H,MATCH(Validation!E4032,Lists!G:G,0))</f>
        <v>Amount must be rounded to the nearest dollar.</v>
      </c>
      <c r="H4032" s="16" t="str">
        <f t="shared" ca="1" si="429"/>
        <v/>
      </c>
      <c r="I4032" s="16" t="str">
        <f t="shared" ca="1" si="430"/>
        <v/>
      </c>
      <c r="J4032" s="17" t="str">
        <f t="shared" ca="1" si="431"/>
        <v/>
      </c>
    </row>
    <row r="4033" spans="1:10" x14ac:dyDescent="0.25">
      <c r="A4033" t="s">
        <v>652</v>
      </c>
      <c r="B4033" t="str">
        <f>ADDRESS(ROW('PAYG 1'!$B$23),COLUMN('PAYG 1'!$B$23),4)</f>
        <v>B23</v>
      </c>
      <c r="C4033" t="str">
        <f>ADDRESS(ROW('PAYG 1'!$D$23),COLUMN('PAYG 1'!$D$23),4)</f>
        <v>D23</v>
      </c>
      <c r="D4033" t="b" cm="1">
        <f t="array" aca="1" ref="D4033" ca="1">IF(INDIRECT("'"&amp;A4033&amp;"'!"&amp;B4033)="",FALSE,IF(TRUNC(INDIRECT("'"&amp;A4033&amp;"'!"&amp;B4033))=INDIRECT("'"&amp;A4033&amp;"'!"&amp;B4033),FALSE,TRUE))</f>
        <v>0</v>
      </c>
      <c r="E4033" t="s">
        <v>436</v>
      </c>
      <c r="F4033" t="str">
        <f>INDEX(Lists!I:I,MATCH(Validation!E4033,Lists!G:G,0))</f>
        <v>Error</v>
      </c>
      <c r="G4033" t="str">
        <f>INDEX(Lists!H:H,MATCH(Validation!E4033,Lists!G:G,0))</f>
        <v>Amount must be rounded to the nearest dollar.</v>
      </c>
      <c r="H4033" s="16" t="str">
        <f t="shared" ca="1" si="429"/>
        <v/>
      </c>
      <c r="I4033" s="16" t="str">
        <f t="shared" ca="1" si="430"/>
        <v/>
      </c>
      <c r="J4033" s="17" t="str">
        <f t="shared" ca="1" si="431"/>
        <v/>
      </c>
    </row>
    <row r="4034" spans="1:10" x14ac:dyDescent="0.25">
      <c r="A4034" t="s">
        <v>653</v>
      </c>
      <c r="B4034" t="str">
        <f>ADDRESS(ROW('PAYG 1'!$B$23),COLUMN('PAYG 1'!$B$23),4)</f>
        <v>B23</v>
      </c>
      <c r="C4034" t="str">
        <f>ADDRESS(ROW('PAYG 1'!$D$23),COLUMN('PAYG 1'!$D$23),4)</f>
        <v>D23</v>
      </c>
      <c r="D4034" t="b" cm="1">
        <f t="array" aca="1" ref="D4034" ca="1">IF(INDIRECT("'"&amp;A4034&amp;"'!"&amp;B4034)="",FALSE,IF(TRUNC(INDIRECT("'"&amp;A4034&amp;"'!"&amp;B4034))=INDIRECT("'"&amp;A4034&amp;"'!"&amp;B4034),FALSE,TRUE))</f>
        <v>0</v>
      </c>
      <c r="E4034" t="s">
        <v>436</v>
      </c>
      <c r="F4034" t="str">
        <f>INDEX(Lists!I:I,MATCH(Validation!E4034,Lists!G:G,0))</f>
        <v>Error</v>
      </c>
      <c r="G4034" t="str">
        <f>INDEX(Lists!H:H,MATCH(Validation!E4034,Lists!G:G,0))</f>
        <v>Amount must be rounded to the nearest dollar.</v>
      </c>
      <c r="H4034" s="16" t="str">
        <f t="shared" ca="1" si="429"/>
        <v/>
      </c>
      <c r="I4034" s="16" t="str">
        <f t="shared" ca="1" si="430"/>
        <v/>
      </c>
      <c r="J4034" s="17" t="str">
        <f t="shared" ca="1" si="431"/>
        <v/>
      </c>
    </row>
    <row r="4035" spans="1:10" x14ac:dyDescent="0.25">
      <c r="A4035" t="s">
        <v>654</v>
      </c>
      <c r="B4035" t="str">
        <f>ADDRESS(ROW('PAYG 1'!$B$23),COLUMN('PAYG 1'!$B$23),4)</f>
        <v>B23</v>
      </c>
      <c r="C4035" t="str">
        <f>ADDRESS(ROW('PAYG 1'!$D$23),COLUMN('PAYG 1'!$D$23),4)</f>
        <v>D23</v>
      </c>
      <c r="D4035" t="b" cm="1">
        <f t="array" aca="1" ref="D4035" ca="1">IF(INDIRECT("'"&amp;A4035&amp;"'!"&amp;B4035)="",FALSE,IF(TRUNC(INDIRECT("'"&amp;A4035&amp;"'!"&amp;B4035))=INDIRECT("'"&amp;A4035&amp;"'!"&amp;B4035),FALSE,TRUE))</f>
        <v>0</v>
      </c>
      <c r="E4035" t="s">
        <v>436</v>
      </c>
      <c r="F4035" t="str">
        <f>INDEX(Lists!I:I,MATCH(Validation!E4035,Lists!G:G,0))</f>
        <v>Error</v>
      </c>
      <c r="G4035" t="str">
        <f>INDEX(Lists!H:H,MATCH(Validation!E4035,Lists!G:G,0))</f>
        <v>Amount must be rounded to the nearest dollar.</v>
      </c>
      <c r="H4035" s="16" t="str">
        <f t="shared" ca="1" si="429"/>
        <v/>
      </c>
      <c r="I4035" s="16" t="str">
        <f t="shared" ca="1" si="430"/>
        <v/>
      </c>
      <c r="J4035" s="17" t="str">
        <f t="shared" ca="1" si="431"/>
        <v/>
      </c>
    </row>
    <row r="4036" spans="1:10" x14ac:dyDescent="0.25">
      <c r="A4036" t="s">
        <v>655</v>
      </c>
      <c r="B4036" t="str">
        <f>ADDRESS(ROW('PAYG 1'!$B$23),COLUMN('PAYG 1'!$B$23),4)</f>
        <v>B23</v>
      </c>
      <c r="C4036" t="str">
        <f>ADDRESS(ROW('PAYG 1'!$D$23),COLUMN('PAYG 1'!$D$23),4)</f>
        <v>D23</v>
      </c>
      <c r="D4036" t="b" cm="1">
        <f t="array" aca="1" ref="D4036" ca="1">IF(INDIRECT("'"&amp;A4036&amp;"'!"&amp;B4036)="",FALSE,IF(TRUNC(INDIRECT("'"&amp;A4036&amp;"'!"&amp;B4036))=INDIRECT("'"&amp;A4036&amp;"'!"&amp;B4036),FALSE,TRUE))</f>
        <v>0</v>
      </c>
      <c r="E4036" t="s">
        <v>436</v>
      </c>
      <c r="F4036" t="str">
        <f>INDEX(Lists!I:I,MATCH(Validation!E4036,Lists!G:G,0))</f>
        <v>Error</v>
      </c>
      <c r="G4036" t="str">
        <f>INDEX(Lists!H:H,MATCH(Validation!E4036,Lists!G:G,0))</f>
        <v>Amount must be rounded to the nearest dollar.</v>
      </c>
      <c r="H4036" s="16" t="str">
        <f t="shared" ca="1" si="429"/>
        <v/>
      </c>
      <c r="I4036" s="16" t="str">
        <f t="shared" ca="1" si="430"/>
        <v/>
      </c>
      <c r="J4036" s="17" t="str">
        <f t="shared" ca="1" si="431"/>
        <v/>
      </c>
    </row>
    <row r="4037" spans="1:10" x14ac:dyDescent="0.25">
      <c r="A4037" t="s">
        <v>656</v>
      </c>
      <c r="B4037" t="str">
        <f>ADDRESS(ROW('PAYG 1'!$B$23),COLUMN('PAYG 1'!$B$23),4)</f>
        <v>B23</v>
      </c>
      <c r="C4037" t="str">
        <f>ADDRESS(ROW('PAYG 1'!$D$23),COLUMN('PAYG 1'!$D$23),4)</f>
        <v>D23</v>
      </c>
      <c r="D4037" t="b" cm="1">
        <f t="array" aca="1" ref="D4037" ca="1">IF(INDIRECT("'"&amp;A4037&amp;"'!"&amp;B4037)="",FALSE,IF(TRUNC(INDIRECT("'"&amp;A4037&amp;"'!"&amp;B4037))=INDIRECT("'"&amp;A4037&amp;"'!"&amp;B4037),FALSE,TRUE))</f>
        <v>0</v>
      </c>
      <c r="E4037" t="s">
        <v>436</v>
      </c>
      <c r="F4037" t="str">
        <f>INDEX(Lists!I:I,MATCH(Validation!E4037,Lists!G:G,0))</f>
        <v>Error</v>
      </c>
      <c r="G4037" t="str">
        <f>INDEX(Lists!H:H,MATCH(Validation!E4037,Lists!G:G,0))</f>
        <v>Amount must be rounded to the nearest dollar.</v>
      </c>
      <c r="H4037" s="16" t="str">
        <f t="shared" ca="1" si="429"/>
        <v/>
      </c>
      <c r="I4037" s="16" t="str">
        <f t="shared" ca="1" si="430"/>
        <v/>
      </c>
      <c r="J4037" s="17" t="str">
        <f t="shared" ca="1" si="431"/>
        <v/>
      </c>
    </row>
    <row r="4038" spans="1:10" x14ac:dyDescent="0.25">
      <c r="A4038" t="s">
        <v>657</v>
      </c>
      <c r="B4038" t="str">
        <f>ADDRESS(ROW('PAYG 1'!$B$23),COLUMN('PAYG 1'!$B$23),4)</f>
        <v>B23</v>
      </c>
      <c r="C4038" t="str">
        <f>ADDRESS(ROW('PAYG 1'!$D$23),COLUMN('PAYG 1'!$D$23),4)</f>
        <v>D23</v>
      </c>
      <c r="D4038" t="b" cm="1">
        <f t="array" aca="1" ref="D4038" ca="1">IF(INDIRECT("'"&amp;A4038&amp;"'!"&amp;B4038)="",FALSE,IF(TRUNC(INDIRECT("'"&amp;A4038&amp;"'!"&amp;B4038))=INDIRECT("'"&amp;A4038&amp;"'!"&amp;B4038),FALSE,TRUE))</f>
        <v>0</v>
      </c>
      <c r="E4038" t="s">
        <v>436</v>
      </c>
      <c r="F4038" t="str">
        <f>INDEX(Lists!I:I,MATCH(Validation!E4038,Lists!G:G,0))</f>
        <v>Error</v>
      </c>
      <c r="G4038" t="str">
        <f>INDEX(Lists!H:H,MATCH(Validation!E4038,Lists!G:G,0))</f>
        <v>Amount must be rounded to the nearest dollar.</v>
      </c>
      <c r="H4038" s="16" t="str">
        <f t="shared" ca="1" si="429"/>
        <v/>
      </c>
      <c r="I4038" s="16" t="str">
        <f t="shared" ca="1" si="430"/>
        <v/>
      </c>
      <c r="J4038" s="17" t="str">
        <f t="shared" ca="1" si="431"/>
        <v/>
      </c>
    </row>
    <row r="4039" spans="1:10" x14ac:dyDescent="0.25">
      <c r="A4039" t="s">
        <v>658</v>
      </c>
      <c r="B4039" t="str">
        <f>ADDRESS(ROW('PAYG 1'!$B$23),COLUMN('PAYG 1'!$B$23),4)</f>
        <v>B23</v>
      </c>
      <c r="C4039" t="str">
        <f>ADDRESS(ROW('PAYG 1'!$D$23),COLUMN('PAYG 1'!$D$23),4)</f>
        <v>D23</v>
      </c>
      <c r="D4039" t="b" cm="1">
        <f t="array" aca="1" ref="D4039" ca="1">IF(INDIRECT("'"&amp;A4039&amp;"'!"&amp;B4039)="",FALSE,IF(TRUNC(INDIRECT("'"&amp;A4039&amp;"'!"&amp;B4039))=INDIRECT("'"&amp;A4039&amp;"'!"&amp;B4039),FALSE,TRUE))</f>
        <v>0</v>
      </c>
      <c r="E4039" t="s">
        <v>436</v>
      </c>
      <c r="F4039" t="str">
        <f>INDEX(Lists!I:I,MATCH(Validation!E4039,Lists!G:G,0))</f>
        <v>Error</v>
      </c>
      <c r="G4039" t="str">
        <f>INDEX(Lists!H:H,MATCH(Validation!E4039,Lists!G:G,0))</f>
        <v>Amount must be rounded to the nearest dollar.</v>
      </c>
      <c r="H4039" s="16" t="str">
        <f t="shared" ca="1" si="429"/>
        <v/>
      </c>
      <c r="I4039" s="16" t="str">
        <f t="shared" ca="1" si="430"/>
        <v/>
      </c>
      <c r="J4039" s="17" t="str">
        <f t="shared" ca="1" si="431"/>
        <v/>
      </c>
    </row>
    <row r="4040" spans="1:10" x14ac:dyDescent="0.25">
      <c r="A4040" t="s">
        <v>659</v>
      </c>
      <c r="B4040" t="str">
        <f>ADDRESS(ROW('PAYG 1'!$B$23),COLUMN('PAYG 1'!$B$23),4)</f>
        <v>B23</v>
      </c>
      <c r="C4040" t="str">
        <f>ADDRESS(ROW('PAYG 1'!$D$23),COLUMN('PAYG 1'!$D$23),4)</f>
        <v>D23</v>
      </c>
      <c r="D4040" t="b" cm="1">
        <f t="array" aca="1" ref="D4040" ca="1">IF(INDIRECT("'"&amp;A4040&amp;"'!"&amp;B4040)="",FALSE,IF(TRUNC(INDIRECT("'"&amp;A4040&amp;"'!"&amp;B4040))=INDIRECT("'"&amp;A4040&amp;"'!"&amp;B4040),FALSE,TRUE))</f>
        <v>0</v>
      </c>
      <c r="E4040" t="s">
        <v>436</v>
      </c>
      <c r="F4040" t="str">
        <f>INDEX(Lists!I:I,MATCH(Validation!E4040,Lists!G:G,0))</f>
        <v>Error</v>
      </c>
      <c r="G4040" t="str">
        <f>INDEX(Lists!H:H,MATCH(Validation!E4040,Lists!G:G,0))</f>
        <v>Amount must be rounded to the nearest dollar.</v>
      </c>
      <c r="H4040" s="16" t="str">
        <f t="shared" ca="1" si="429"/>
        <v/>
      </c>
      <c r="I4040" s="16" t="str">
        <f t="shared" ca="1" si="430"/>
        <v/>
      </c>
      <c r="J4040" s="17" t="str">
        <f t="shared" ca="1" si="431"/>
        <v/>
      </c>
    </row>
    <row r="4041" spans="1:10" x14ac:dyDescent="0.25">
      <c r="A4041" t="s">
        <v>660</v>
      </c>
      <c r="B4041" t="str">
        <f>ADDRESS(ROW('PAYG 1'!$B$23),COLUMN('PAYG 1'!$B$23),4)</f>
        <v>B23</v>
      </c>
      <c r="C4041" t="str">
        <f>ADDRESS(ROW('PAYG 1'!$D$23),COLUMN('PAYG 1'!$D$23),4)</f>
        <v>D23</v>
      </c>
      <c r="D4041" t="b" cm="1">
        <f t="array" aca="1" ref="D4041" ca="1">IF(INDIRECT("'"&amp;A4041&amp;"'!"&amp;B4041)="",FALSE,IF(TRUNC(INDIRECT("'"&amp;A4041&amp;"'!"&amp;B4041))=INDIRECT("'"&amp;A4041&amp;"'!"&amp;B4041),FALSE,TRUE))</f>
        <v>0</v>
      </c>
      <c r="E4041" t="s">
        <v>436</v>
      </c>
      <c r="F4041" t="str">
        <f>INDEX(Lists!I:I,MATCH(Validation!E4041,Lists!G:G,0))</f>
        <v>Error</v>
      </c>
      <c r="G4041" t="str">
        <f>INDEX(Lists!H:H,MATCH(Validation!E4041,Lists!G:G,0))</f>
        <v>Amount must be rounded to the nearest dollar.</v>
      </c>
      <c r="H4041" s="16" t="str">
        <f t="shared" ca="1" si="429"/>
        <v/>
      </c>
      <c r="I4041" s="16" t="str">
        <f t="shared" ca="1" si="430"/>
        <v/>
      </c>
      <c r="J4041" s="17" t="str">
        <f t="shared" ca="1" si="431"/>
        <v/>
      </c>
    </row>
    <row r="4042" spans="1:10" x14ac:dyDescent="0.25">
      <c r="A4042" t="s">
        <v>661</v>
      </c>
      <c r="B4042" t="str">
        <f>ADDRESS(ROW('PAYG 1'!$B$23),COLUMN('PAYG 1'!$B$23),4)</f>
        <v>B23</v>
      </c>
      <c r="C4042" t="str">
        <f>ADDRESS(ROW('PAYG 1'!$D$23),COLUMN('PAYG 1'!$D$23),4)</f>
        <v>D23</v>
      </c>
      <c r="D4042" t="b" cm="1">
        <f t="array" aca="1" ref="D4042" ca="1">IF(INDIRECT("'"&amp;A4042&amp;"'!"&amp;B4042)="",FALSE,IF(TRUNC(INDIRECT("'"&amp;A4042&amp;"'!"&amp;B4042))=INDIRECT("'"&amp;A4042&amp;"'!"&amp;B4042),FALSE,TRUE))</f>
        <v>0</v>
      </c>
      <c r="E4042" t="s">
        <v>436</v>
      </c>
      <c r="F4042" t="str">
        <f>INDEX(Lists!I:I,MATCH(Validation!E4042,Lists!G:G,0))</f>
        <v>Error</v>
      </c>
      <c r="G4042" t="str">
        <f>INDEX(Lists!H:H,MATCH(Validation!E4042,Lists!G:G,0))</f>
        <v>Amount must be rounded to the nearest dollar.</v>
      </c>
      <c r="H4042" s="16" t="str">
        <f t="shared" ca="1" si="429"/>
        <v/>
      </c>
      <c r="I4042" s="16" t="str">
        <f t="shared" ca="1" si="430"/>
        <v/>
      </c>
      <c r="J4042" s="17" t="str">
        <f t="shared" ca="1" si="431"/>
        <v/>
      </c>
    </row>
    <row r="4043" spans="1:10" x14ac:dyDescent="0.25">
      <c r="A4043" t="s">
        <v>662</v>
      </c>
      <c r="B4043" t="str">
        <f>ADDRESS(ROW('PAYG 1'!$B$23),COLUMN('PAYG 1'!$B$23),4)</f>
        <v>B23</v>
      </c>
      <c r="C4043" t="str">
        <f>ADDRESS(ROW('PAYG 1'!$D$23),COLUMN('PAYG 1'!$D$23),4)</f>
        <v>D23</v>
      </c>
      <c r="D4043" t="b" cm="1">
        <f t="array" aca="1" ref="D4043" ca="1">IF(INDIRECT("'"&amp;A4043&amp;"'!"&amp;B4043)="",FALSE,IF(TRUNC(INDIRECT("'"&amp;A4043&amp;"'!"&amp;B4043))=INDIRECT("'"&amp;A4043&amp;"'!"&amp;B4043),FALSE,TRUE))</f>
        <v>0</v>
      </c>
      <c r="E4043" t="s">
        <v>436</v>
      </c>
      <c r="F4043" t="str">
        <f>INDEX(Lists!I:I,MATCH(Validation!E4043,Lists!G:G,0))</f>
        <v>Error</v>
      </c>
      <c r="G4043" t="str">
        <f>INDEX(Lists!H:H,MATCH(Validation!E4043,Lists!G:G,0))</f>
        <v>Amount must be rounded to the nearest dollar.</v>
      </c>
      <c r="H4043" s="16" t="str">
        <f t="shared" ca="1" si="429"/>
        <v/>
      </c>
      <c r="I4043" s="16" t="str">
        <f t="shared" ca="1" si="430"/>
        <v/>
      </c>
      <c r="J4043" s="17" t="str">
        <f t="shared" ca="1" si="431"/>
        <v/>
      </c>
    </row>
    <row r="4044" spans="1:10" x14ac:dyDescent="0.25">
      <c r="A4044" t="s">
        <v>663</v>
      </c>
      <c r="B4044" t="str">
        <f>ADDRESS(ROW('PAYG 1'!$B$23),COLUMN('PAYG 1'!$B$23),4)</f>
        <v>B23</v>
      </c>
      <c r="C4044" t="str">
        <f>ADDRESS(ROW('PAYG 1'!$D$23),COLUMN('PAYG 1'!$D$23),4)</f>
        <v>D23</v>
      </c>
      <c r="D4044" t="b" cm="1">
        <f t="array" aca="1" ref="D4044" ca="1">IF(INDIRECT("'"&amp;A4044&amp;"'!"&amp;B4044)="",FALSE,IF(TRUNC(INDIRECT("'"&amp;A4044&amp;"'!"&amp;B4044))=INDIRECT("'"&amp;A4044&amp;"'!"&amp;B4044),FALSE,TRUE))</f>
        <v>0</v>
      </c>
      <c r="E4044" t="s">
        <v>436</v>
      </c>
      <c r="F4044" t="str">
        <f>INDEX(Lists!I:I,MATCH(Validation!E4044,Lists!G:G,0))</f>
        <v>Error</v>
      </c>
      <c r="G4044" t="str">
        <f>INDEX(Lists!H:H,MATCH(Validation!E4044,Lists!G:G,0))</f>
        <v>Amount must be rounded to the nearest dollar.</v>
      </c>
      <c r="H4044" s="16" t="str">
        <f t="shared" ca="1" si="429"/>
        <v/>
      </c>
      <c r="I4044" s="16" t="str">
        <f t="shared" ca="1" si="430"/>
        <v/>
      </c>
      <c r="J4044" s="17" t="str">
        <f t="shared" ca="1" si="431"/>
        <v/>
      </c>
    </row>
    <row r="4045" spans="1:10" x14ac:dyDescent="0.25">
      <c r="A4045" t="s">
        <v>664</v>
      </c>
      <c r="B4045" t="str">
        <f>ADDRESS(ROW('PAYG 1'!$B$23),COLUMN('PAYG 1'!$B$23),4)</f>
        <v>B23</v>
      </c>
      <c r="C4045" t="str">
        <f>ADDRESS(ROW('PAYG 1'!$D$23),COLUMN('PAYG 1'!$D$23),4)</f>
        <v>D23</v>
      </c>
      <c r="D4045" t="b" cm="1">
        <f t="array" aca="1" ref="D4045" ca="1">IF(INDIRECT("'"&amp;A4045&amp;"'!"&amp;B4045)="",FALSE,IF(TRUNC(INDIRECT("'"&amp;A4045&amp;"'!"&amp;B4045))=INDIRECT("'"&amp;A4045&amp;"'!"&amp;B4045),FALSE,TRUE))</f>
        <v>0</v>
      </c>
      <c r="E4045" t="s">
        <v>436</v>
      </c>
      <c r="F4045" t="str">
        <f>INDEX(Lists!I:I,MATCH(Validation!E4045,Lists!G:G,0))</f>
        <v>Error</v>
      </c>
      <c r="G4045" t="str">
        <f>INDEX(Lists!H:H,MATCH(Validation!E4045,Lists!G:G,0))</f>
        <v>Amount must be rounded to the nearest dollar.</v>
      </c>
      <c r="H4045" s="16" t="str">
        <f t="shared" ca="1" si="429"/>
        <v/>
      </c>
      <c r="I4045" s="16" t="str">
        <f t="shared" ca="1" si="430"/>
        <v/>
      </c>
      <c r="J4045" s="17" t="str">
        <f t="shared" ca="1" si="431"/>
        <v/>
      </c>
    </row>
    <row r="4046" spans="1:10" x14ac:dyDescent="0.25">
      <c r="A4046" t="s">
        <v>203</v>
      </c>
      <c r="B4046" t="str">
        <f>ADDRESS(ROW('PAYG 1'!$C$23),COLUMN('PAYG 1'!$C$23),4)</f>
        <v>C23</v>
      </c>
      <c r="C4046" t="str">
        <f>ADDRESS(ROW('PAYG 1'!$D$23),COLUMN('PAYG 1'!$D$23),4)</f>
        <v>D23</v>
      </c>
      <c r="D4046" t="b" cm="1">
        <f t="array" aca="1" ref="D4046" ca="1">IF(INDIRECT("'"&amp;A4046&amp;"'!"&amp;B4046)="",FALSE,IF(NOT(ISNUMBER(INDIRECT("'"&amp;A4046&amp;"'!"&amp;B4046))),TRUE,FALSE))</f>
        <v>0</v>
      </c>
      <c r="E4046" t="s">
        <v>435</v>
      </c>
      <c r="F4046" t="str">
        <f>INDEX(Lists!I:I,MATCH(Validation!E4046,Lists!G:G,0))</f>
        <v>Error</v>
      </c>
      <c r="G4046" t="str">
        <f>INDEX(Lists!H:H,MATCH(Validation!E4046,Lists!G:G,0))</f>
        <v>Enter an amount only. Do not enter text or spaces.</v>
      </c>
      <c r="H4046" s="16" t="str">
        <f t="shared" ref="H4046:H4090" ca="1" si="432">IFERROR(IF(OR(NOT(D4046),F4046&lt;&gt;"Error"),"",A4046&amp;CELL("address",INDIRECT(B4046))),"")</f>
        <v/>
      </c>
      <c r="I4046" s="16" t="str">
        <f t="shared" ref="I4046:I4090" ca="1" si="433">IFERROR(IF(NOT(D4046),"",A4046&amp;CELL("address",INDIRECT(C4046))),"")</f>
        <v/>
      </c>
      <c r="J4046" s="17" t="str">
        <f t="shared" ref="J4046:J4090" ca="1" si="434">IFERROR(IF(NOT(D4046),"",A4046),"")</f>
        <v/>
      </c>
    </row>
    <row r="4047" spans="1:10" x14ac:dyDescent="0.25">
      <c r="A4047" t="s">
        <v>651</v>
      </c>
      <c r="B4047" t="str">
        <f>ADDRESS(ROW('PAYG 1'!$C$23),COLUMN('PAYG 1'!$C$23),4)</f>
        <v>C23</v>
      </c>
      <c r="C4047" t="str">
        <f>ADDRESS(ROW('PAYG 1'!$D$23),COLUMN('PAYG 1'!$D$23),4)</f>
        <v>D23</v>
      </c>
      <c r="D4047" t="b" cm="1">
        <f t="array" aca="1" ref="D4047" ca="1">IF(INDIRECT("'"&amp;A4047&amp;"'!"&amp;B4047)="",FALSE,IF(NOT(ISNUMBER(INDIRECT("'"&amp;A4047&amp;"'!"&amp;B4047))),TRUE,FALSE))</f>
        <v>0</v>
      </c>
      <c r="E4047" t="s">
        <v>435</v>
      </c>
      <c r="F4047" t="str">
        <f>INDEX(Lists!I:I,MATCH(Validation!E4047,Lists!G:G,0))</f>
        <v>Error</v>
      </c>
      <c r="G4047" t="str">
        <f>INDEX(Lists!H:H,MATCH(Validation!E4047,Lists!G:G,0))</f>
        <v>Enter an amount only. Do not enter text or spaces.</v>
      </c>
      <c r="H4047" s="16" t="str">
        <f t="shared" ca="1" si="432"/>
        <v/>
      </c>
      <c r="I4047" s="16" t="str">
        <f t="shared" ca="1" si="433"/>
        <v/>
      </c>
      <c r="J4047" s="17" t="str">
        <f t="shared" ca="1" si="434"/>
        <v/>
      </c>
    </row>
    <row r="4048" spans="1:10" x14ac:dyDescent="0.25">
      <c r="A4048" t="s">
        <v>652</v>
      </c>
      <c r="B4048" t="str">
        <f>ADDRESS(ROW('PAYG 1'!$C$23),COLUMN('PAYG 1'!$C$23),4)</f>
        <v>C23</v>
      </c>
      <c r="C4048" t="str">
        <f>ADDRESS(ROW('PAYG 1'!$D$23),COLUMN('PAYG 1'!$D$23),4)</f>
        <v>D23</v>
      </c>
      <c r="D4048" t="b" cm="1">
        <f t="array" aca="1" ref="D4048" ca="1">IF(INDIRECT("'"&amp;A4048&amp;"'!"&amp;B4048)="",FALSE,IF(NOT(ISNUMBER(INDIRECT("'"&amp;A4048&amp;"'!"&amp;B4048))),TRUE,FALSE))</f>
        <v>0</v>
      </c>
      <c r="E4048" t="s">
        <v>435</v>
      </c>
      <c r="F4048" t="str">
        <f>INDEX(Lists!I:I,MATCH(Validation!E4048,Lists!G:G,0))</f>
        <v>Error</v>
      </c>
      <c r="G4048" t="str">
        <f>INDEX(Lists!H:H,MATCH(Validation!E4048,Lists!G:G,0))</f>
        <v>Enter an amount only. Do not enter text or spaces.</v>
      </c>
      <c r="H4048" s="16" t="str">
        <f t="shared" ca="1" si="432"/>
        <v/>
      </c>
      <c r="I4048" s="16" t="str">
        <f t="shared" ca="1" si="433"/>
        <v/>
      </c>
      <c r="J4048" s="17" t="str">
        <f t="shared" ca="1" si="434"/>
        <v/>
      </c>
    </row>
    <row r="4049" spans="1:10" x14ac:dyDescent="0.25">
      <c r="A4049" t="s">
        <v>653</v>
      </c>
      <c r="B4049" t="str">
        <f>ADDRESS(ROW('PAYG 1'!$C$23),COLUMN('PAYG 1'!$C$23),4)</f>
        <v>C23</v>
      </c>
      <c r="C4049" t="str">
        <f>ADDRESS(ROW('PAYG 1'!$D$23),COLUMN('PAYG 1'!$D$23),4)</f>
        <v>D23</v>
      </c>
      <c r="D4049" t="b" cm="1">
        <f t="array" aca="1" ref="D4049" ca="1">IF(INDIRECT("'"&amp;A4049&amp;"'!"&amp;B4049)="",FALSE,IF(NOT(ISNUMBER(INDIRECT("'"&amp;A4049&amp;"'!"&amp;B4049))),TRUE,FALSE))</f>
        <v>0</v>
      </c>
      <c r="E4049" t="s">
        <v>435</v>
      </c>
      <c r="F4049" t="str">
        <f>INDEX(Lists!I:I,MATCH(Validation!E4049,Lists!G:G,0))</f>
        <v>Error</v>
      </c>
      <c r="G4049" t="str">
        <f>INDEX(Lists!H:H,MATCH(Validation!E4049,Lists!G:G,0))</f>
        <v>Enter an amount only. Do not enter text or spaces.</v>
      </c>
      <c r="H4049" s="16" t="str">
        <f t="shared" ca="1" si="432"/>
        <v/>
      </c>
      <c r="I4049" s="16" t="str">
        <f t="shared" ca="1" si="433"/>
        <v/>
      </c>
      <c r="J4049" s="17" t="str">
        <f t="shared" ca="1" si="434"/>
        <v/>
      </c>
    </row>
    <row r="4050" spans="1:10" x14ac:dyDescent="0.25">
      <c r="A4050" t="s">
        <v>654</v>
      </c>
      <c r="B4050" t="str">
        <f>ADDRESS(ROW('PAYG 1'!$C$23),COLUMN('PAYG 1'!$C$23),4)</f>
        <v>C23</v>
      </c>
      <c r="C4050" t="str">
        <f>ADDRESS(ROW('PAYG 1'!$D$23),COLUMN('PAYG 1'!$D$23),4)</f>
        <v>D23</v>
      </c>
      <c r="D4050" t="b" cm="1">
        <f t="array" aca="1" ref="D4050" ca="1">IF(INDIRECT("'"&amp;A4050&amp;"'!"&amp;B4050)="",FALSE,IF(NOT(ISNUMBER(INDIRECT("'"&amp;A4050&amp;"'!"&amp;B4050))),TRUE,FALSE))</f>
        <v>0</v>
      </c>
      <c r="E4050" t="s">
        <v>435</v>
      </c>
      <c r="F4050" t="str">
        <f>INDEX(Lists!I:I,MATCH(Validation!E4050,Lists!G:G,0))</f>
        <v>Error</v>
      </c>
      <c r="G4050" t="str">
        <f>INDEX(Lists!H:H,MATCH(Validation!E4050,Lists!G:G,0))</f>
        <v>Enter an amount only. Do not enter text or spaces.</v>
      </c>
      <c r="H4050" s="16" t="str">
        <f t="shared" ca="1" si="432"/>
        <v/>
      </c>
      <c r="I4050" s="16" t="str">
        <f t="shared" ca="1" si="433"/>
        <v/>
      </c>
      <c r="J4050" s="17" t="str">
        <f t="shared" ca="1" si="434"/>
        <v/>
      </c>
    </row>
    <row r="4051" spans="1:10" x14ac:dyDescent="0.25">
      <c r="A4051" t="s">
        <v>655</v>
      </c>
      <c r="B4051" t="str">
        <f>ADDRESS(ROW('PAYG 1'!$C$23),COLUMN('PAYG 1'!$C$23),4)</f>
        <v>C23</v>
      </c>
      <c r="C4051" t="str">
        <f>ADDRESS(ROW('PAYG 1'!$D$23),COLUMN('PAYG 1'!$D$23),4)</f>
        <v>D23</v>
      </c>
      <c r="D4051" t="b" cm="1">
        <f t="array" aca="1" ref="D4051" ca="1">IF(INDIRECT("'"&amp;A4051&amp;"'!"&amp;B4051)="",FALSE,IF(NOT(ISNUMBER(INDIRECT("'"&amp;A4051&amp;"'!"&amp;B4051))),TRUE,FALSE))</f>
        <v>0</v>
      </c>
      <c r="E4051" t="s">
        <v>435</v>
      </c>
      <c r="F4051" t="str">
        <f>INDEX(Lists!I:I,MATCH(Validation!E4051,Lists!G:G,0))</f>
        <v>Error</v>
      </c>
      <c r="G4051" t="str">
        <f>INDEX(Lists!H:H,MATCH(Validation!E4051,Lists!G:G,0))</f>
        <v>Enter an amount only. Do not enter text or spaces.</v>
      </c>
      <c r="H4051" s="16" t="str">
        <f t="shared" ca="1" si="432"/>
        <v/>
      </c>
      <c r="I4051" s="16" t="str">
        <f t="shared" ca="1" si="433"/>
        <v/>
      </c>
      <c r="J4051" s="17" t="str">
        <f t="shared" ca="1" si="434"/>
        <v/>
      </c>
    </row>
    <row r="4052" spans="1:10" x14ac:dyDescent="0.25">
      <c r="A4052" t="s">
        <v>656</v>
      </c>
      <c r="B4052" t="str">
        <f>ADDRESS(ROW('PAYG 1'!$C$23),COLUMN('PAYG 1'!$C$23),4)</f>
        <v>C23</v>
      </c>
      <c r="C4052" t="str">
        <f>ADDRESS(ROW('PAYG 1'!$D$23),COLUMN('PAYG 1'!$D$23),4)</f>
        <v>D23</v>
      </c>
      <c r="D4052" t="b" cm="1">
        <f t="array" aca="1" ref="D4052" ca="1">IF(INDIRECT("'"&amp;A4052&amp;"'!"&amp;B4052)="",FALSE,IF(NOT(ISNUMBER(INDIRECT("'"&amp;A4052&amp;"'!"&amp;B4052))),TRUE,FALSE))</f>
        <v>0</v>
      </c>
      <c r="E4052" t="s">
        <v>435</v>
      </c>
      <c r="F4052" t="str">
        <f>INDEX(Lists!I:I,MATCH(Validation!E4052,Lists!G:G,0))</f>
        <v>Error</v>
      </c>
      <c r="G4052" t="str">
        <f>INDEX(Lists!H:H,MATCH(Validation!E4052,Lists!G:G,0))</f>
        <v>Enter an amount only. Do not enter text or spaces.</v>
      </c>
      <c r="H4052" s="16" t="str">
        <f t="shared" ca="1" si="432"/>
        <v/>
      </c>
      <c r="I4052" s="16" t="str">
        <f t="shared" ca="1" si="433"/>
        <v/>
      </c>
      <c r="J4052" s="17" t="str">
        <f t="shared" ca="1" si="434"/>
        <v/>
      </c>
    </row>
    <row r="4053" spans="1:10" x14ac:dyDescent="0.25">
      <c r="A4053" t="s">
        <v>657</v>
      </c>
      <c r="B4053" t="str">
        <f>ADDRESS(ROW('PAYG 1'!$C$23),COLUMN('PAYG 1'!$C$23),4)</f>
        <v>C23</v>
      </c>
      <c r="C4053" t="str">
        <f>ADDRESS(ROW('PAYG 1'!$D$23),COLUMN('PAYG 1'!$D$23),4)</f>
        <v>D23</v>
      </c>
      <c r="D4053" t="b" cm="1">
        <f t="array" aca="1" ref="D4053" ca="1">IF(INDIRECT("'"&amp;A4053&amp;"'!"&amp;B4053)="",FALSE,IF(NOT(ISNUMBER(INDIRECT("'"&amp;A4053&amp;"'!"&amp;B4053))),TRUE,FALSE))</f>
        <v>0</v>
      </c>
      <c r="E4053" t="s">
        <v>435</v>
      </c>
      <c r="F4053" t="str">
        <f>INDEX(Lists!I:I,MATCH(Validation!E4053,Lists!G:G,0))</f>
        <v>Error</v>
      </c>
      <c r="G4053" t="str">
        <f>INDEX(Lists!H:H,MATCH(Validation!E4053,Lists!G:G,0))</f>
        <v>Enter an amount only. Do not enter text or spaces.</v>
      </c>
      <c r="H4053" s="16" t="str">
        <f t="shared" ca="1" si="432"/>
        <v/>
      </c>
      <c r="I4053" s="16" t="str">
        <f t="shared" ca="1" si="433"/>
        <v/>
      </c>
      <c r="J4053" s="17" t="str">
        <f t="shared" ca="1" si="434"/>
        <v/>
      </c>
    </row>
    <row r="4054" spans="1:10" x14ac:dyDescent="0.25">
      <c r="A4054" t="s">
        <v>658</v>
      </c>
      <c r="B4054" t="str">
        <f>ADDRESS(ROW('PAYG 1'!$C$23),COLUMN('PAYG 1'!$C$23),4)</f>
        <v>C23</v>
      </c>
      <c r="C4054" t="str">
        <f>ADDRESS(ROW('PAYG 1'!$D$23),COLUMN('PAYG 1'!$D$23),4)</f>
        <v>D23</v>
      </c>
      <c r="D4054" t="b" cm="1">
        <f t="array" aca="1" ref="D4054" ca="1">IF(INDIRECT("'"&amp;A4054&amp;"'!"&amp;B4054)="",FALSE,IF(NOT(ISNUMBER(INDIRECT("'"&amp;A4054&amp;"'!"&amp;B4054))),TRUE,FALSE))</f>
        <v>0</v>
      </c>
      <c r="E4054" t="s">
        <v>435</v>
      </c>
      <c r="F4054" t="str">
        <f>INDEX(Lists!I:I,MATCH(Validation!E4054,Lists!G:G,0))</f>
        <v>Error</v>
      </c>
      <c r="G4054" t="str">
        <f>INDEX(Lists!H:H,MATCH(Validation!E4054,Lists!G:G,0))</f>
        <v>Enter an amount only. Do not enter text or spaces.</v>
      </c>
      <c r="H4054" s="16" t="str">
        <f t="shared" ca="1" si="432"/>
        <v/>
      </c>
      <c r="I4054" s="16" t="str">
        <f t="shared" ca="1" si="433"/>
        <v/>
      </c>
      <c r="J4054" s="17" t="str">
        <f t="shared" ca="1" si="434"/>
        <v/>
      </c>
    </row>
    <row r="4055" spans="1:10" x14ac:dyDescent="0.25">
      <c r="A4055" t="s">
        <v>659</v>
      </c>
      <c r="B4055" t="str">
        <f>ADDRESS(ROW('PAYG 1'!$C$23),COLUMN('PAYG 1'!$C$23),4)</f>
        <v>C23</v>
      </c>
      <c r="C4055" t="str">
        <f>ADDRESS(ROW('PAYG 1'!$D$23),COLUMN('PAYG 1'!$D$23),4)</f>
        <v>D23</v>
      </c>
      <c r="D4055" t="b" cm="1">
        <f t="array" aca="1" ref="D4055" ca="1">IF(INDIRECT("'"&amp;A4055&amp;"'!"&amp;B4055)="",FALSE,IF(NOT(ISNUMBER(INDIRECT("'"&amp;A4055&amp;"'!"&amp;B4055))),TRUE,FALSE))</f>
        <v>0</v>
      </c>
      <c r="E4055" t="s">
        <v>435</v>
      </c>
      <c r="F4055" t="str">
        <f>INDEX(Lists!I:I,MATCH(Validation!E4055,Lists!G:G,0))</f>
        <v>Error</v>
      </c>
      <c r="G4055" t="str">
        <f>INDEX(Lists!H:H,MATCH(Validation!E4055,Lists!G:G,0))</f>
        <v>Enter an amount only. Do not enter text or spaces.</v>
      </c>
      <c r="H4055" s="16" t="str">
        <f t="shared" ca="1" si="432"/>
        <v/>
      </c>
      <c r="I4055" s="16" t="str">
        <f t="shared" ca="1" si="433"/>
        <v/>
      </c>
      <c r="J4055" s="17" t="str">
        <f t="shared" ca="1" si="434"/>
        <v/>
      </c>
    </row>
    <row r="4056" spans="1:10" x14ac:dyDescent="0.25">
      <c r="A4056" t="s">
        <v>660</v>
      </c>
      <c r="B4056" t="str">
        <f>ADDRESS(ROW('PAYG 1'!$C$23),COLUMN('PAYG 1'!$C$23),4)</f>
        <v>C23</v>
      </c>
      <c r="C4056" t="str">
        <f>ADDRESS(ROW('PAYG 1'!$D$23),COLUMN('PAYG 1'!$D$23),4)</f>
        <v>D23</v>
      </c>
      <c r="D4056" t="b" cm="1">
        <f t="array" aca="1" ref="D4056" ca="1">IF(INDIRECT("'"&amp;A4056&amp;"'!"&amp;B4056)="",FALSE,IF(NOT(ISNUMBER(INDIRECT("'"&amp;A4056&amp;"'!"&amp;B4056))),TRUE,FALSE))</f>
        <v>0</v>
      </c>
      <c r="E4056" t="s">
        <v>435</v>
      </c>
      <c r="F4056" t="str">
        <f>INDEX(Lists!I:I,MATCH(Validation!E4056,Lists!G:G,0))</f>
        <v>Error</v>
      </c>
      <c r="G4056" t="str">
        <f>INDEX(Lists!H:H,MATCH(Validation!E4056,Lists!G:G,0))</f>
        <v>Enter an amount only. Do not enter text or spaces.</v>
      </c>
      <c r="H4056" s="16" t="str">
        <f t="shared" ca="1" si="432"/>
        <v/>
      </c>
      <c r="I4056" s="16" t="str">
        <f t="shared" ca="1" si="433"/>
        <v/>
      </c>
      <c r="J4056" s="17" t="str">
        <f t="shared" ca="1" si="434"/>
        <v/>
      </c>
    </row>
    <row r="4057" spans="1:10" x14ac:dyDescent="0.25">
      <c r="A4057" t="s">
        <v>661</v>
      </c>
      <c r="B4057" t="str">
        <f>ADDRESS(ROW('PAYG 1'!$C$23),COLUMN('PAYG 1'!$C$23),4)</f>
        <v>C23</v>
      </c>
      <c r="C4057" t="str">
        <f>ADDRESS(ROW('PAYG 1'!$D$23),COLUMN('PAYG 1'!$D$23),4)</f>
        <v>D23</v>
      </c>
      <c r="D4057" t="b" cm="1">
        <f t="array" aca="1" ref="D4057" ca="1">IF(INDIRECT("'"&amp;A4057&amp;"'!"&amp;B4057)="",FALSE,IF(NOT(ISNUMBER(INDIRECT("'"&amp;A4057&amp;"'!"&amp;B4057))),TRUE,FALSE))</f>
        <v>0</v>
      </c>
      <c r="E4057" t="s">
        <v>435</v>
      </c>
      <c r="F4057" t="str">
        <f>INDEX(Lists!I:I,MATCH(Validation!E4057,Lists!G:G,0))</f>
        <v>Error</v>
      </c>
      <c r="G4057" t="str">
        <f>INDEX(Lists!H:H,MATCH(Validation!E4057,Lists!G:G,0))</f>
        <v>Enter an amount only. Do not enter text or spaces.</v>
      </c>
      <c r="H4057" s="16" t="str">
        <f t="shared" ca="1" si="432"/>
        <v/>
      </c>
      <c r="I4057" s="16" t="str">
        <f t="shared" ca="1" si="433"/>
        <v/>
      </c>
      <c r="J4057" s="17" t="str">
        <f t="shared" ca="1" si="434"/>
        <v/>
      </c>
    </row>
    <row r="4058" spans="1:10" x14ac:dyDescent="0.25">
      <c r="A4058" t="s">
        <v>662</v>
      </c>
      <c r="B4058" t="str">
        <f>ADDRESS(ROW('PAYG 1'!$C$23),COLUMN('PAYG 1'!$C$23),4)</f>
        <v>C23</v>
      </c>
      <c r="C4058" t="str">
        <f>ADDRESS(ROW('PAYG 1'!$D$23),COLUMN('PAYG 1'!$D$23),4)</f>
        <v>D23</v>
      </c>
      <c r="D4058" t="b" cm="1">
        <f t="array" aca="1" ref="D4058" ca="1">IF(INDIRECT("'"&amp;A4058&amp;"'!"&amp;B4058)="",FALSE,IF(NOT(ISNUMBER(INDIRECT("'"&amp;A4058&amp;"'!"&amp;B4058))),TRUE,FALSE))</f>
        <v>0</v>
      </c>
      <c r="E4058" t="s">
        <v>435</v>
      </c>
      <c r="F4058" t="str">
        <f>INDEX(Lists!I:I,MATCH(Validation!E4058,Lists!G:G,0))</f>
        <v>Error</v>
      </c>
      <c r="G4058" t="str">
        <f>INDEX(Lists!H:H,MATCH(Validation!E4058,Lists!G:G,0))</f>
        <v>Enter an amount only. Do not enter text or spaces.</v>
      </c>
      <c r="H4058" s="16" t="str">
        <f t="shared" ca="1" si="432"/>
        <v/>
      </c>
      <c r="I4058" s="16" t="str">
        <f t="shared" ca="1" si="433"/>
        <v/>
      </c>
      <c r="J4058" s="17" t="str">
        <f t="shared" ca="1" si="434"/>
        <v/>
      </c>
    </row>
    <row r="4059" spans="1:10" x14ac:dyDescent="0.25">
      <c r="A4059" t="s">
        <v>663</v>
      </c>
      <c r="B4059" t="str">
        <f>ADDRESS(ROW('PAYG 1'!$C$23),COLUMN('PAYG 1'!$C$23),4)</f>
        <v>C23</v>
      </c>
      <c r="C4059" t="str">
        <f>ADDRESS(ROW('PAYG 1'!$D$23),COLUMN('PAYG 1'!$D$23),4)</f>
        <v>D23</v>
      </c>
      <c r="D4059" t="b" cm="1">
        <f t="array" aca="1" ref="D4059" ca="1">IF(INDIRECT("'"&amp;A4059&amp;"'!"&amp;B4059)="",FALSE,IF(NOT(ISNUMBER(INDIRECT("'"&amp;A4059&amp;"'!"&amp;B4059))),TRUE,FALSE))</f>
        <v>0</v>
      </c>
      <c r="E4059" t="s">
        <v>435</v>
      </c>
      <c r="F4059" t="str">
        <f>INDEX(Lists!I:I,MATCH(Validation!E4059,Lists!G:G,0))</f>
        <v>Error</v>
      </c>
      <c r="G4059" t="str">
        <f>INDEX(Lists!H:H,MATCH(Validation!E4059,Lists!G:G,0))</f>
        <v>Enter an amount only. Do not enter text or spaces.</v>
      </c>
      <c r="H4059" s="16" t="str">
        <f t="shared" ca="1" si="432"/>
        <v/>
      </c>
      <c r="I4059" s="16" t="str">
        <f t="shared" ca="1" si="433"/>
        <v/>
      </c>
      <c r="J4059" s="17" t="str">
        <f t="shared" ca="1" si="434"/>
        <v/>
      </c>
    </row>
    <row r="4060" spans="1:10" x14ac:dyDescent="0.25">
      <c r="A4060" t="s">
        <v>664</v>
      </c>
      <c r="B4060" t="str">
        <f>ADDRESS(ROW('PAYG 1'!$C$23),COLUMN('PAYG 1'!$C$23),4)</f>
        <v>C23</v>
      </c>
      <c r="C4060" t="str">
        <f>ADDRESS(ROW('PAYG 1'!$D$23),COLUMN('PAYG 1'!$D$23),4)</f>
        <v>D23</v>
      </c>
      <c r="D4060" t="b" cm="1">
        <f t="array" aca="1" ref="D4060" ca="1">IF(INDIRECT("'"&amp;A4060&amp;"'!"&amp;B4060)="",FALSE,IF(NOT(ISNUMBER(INDIRECT("'"&amp;A4060&amp;"'!"&amp;B4060))),TRUE,FALSE))</f>
        <v>0</v>
      </c>
      <c r="E4060" t="s">
        <v>435</v>
      </c>
      <c r="F4060" t="str">
        <f>INDEX(Lists!I:I,MATCH(Validation!E4060,Lists!G:G,0))</f>
        <v>Error</v>
      </c>
      <c r="G4060" t="str">
        <f>INDEX(Lists!H:H,MATCH(Validation!E4060,Lists!G:G,0))</f>
        <v>Enter an amount only. Do not enter text or spaces.</v>
      </c>
      <c r="H4060" s="16" t="str">
        <f t="shared" ca="1" si="432"/>
        <v/>
      </c>
      <c r="I4060" s="16" t="str">
        <f t="shared" ca="1" si="433"/>
        <v/>
      </c>
      <c r="J4060" s="17" t="str">
        <f t="shared" ca="1" si="434"/>
        <v/>
      </c>
    </row>
    <row r="4061" spans="1:10" x14ac:dyDescent="0.25">
      <c r="A4061" t="s">
        <v>203</v>
      </c>
      <c r="B4061" t="str">
        <f>ADDRESS(ROW('PAYG 1'!$C$23),COLUMN('PAYG 1'!$C$23),4)</f>
        <v>C23</v>
      </c>
      <c r="C4061" t="str">
        <f>ADDRESS(ROW('PAYG 1'!$D$23),COLUMN('PAYG 1'!$D$23),4)</f>
        <v>D23</v>
      </c>
      <c r="D4061" t="b" cm="1">
        <f t="array" aca="1" ref="D4061" ca="1">IF(INDIRECT("'"&amp;A4061&amp;"'!"&amp;B4061)="",FALSE,IF(INDIRECT("'"&amp;A4061&amp;"'!"&amp;B4061)&lt;0,TRUE,FALSE))</f>
        <v>0</v>
      </c>
      <c r="E4061" t="s">
        <v>434</v>
      </c>
      <c r="F4061" t="str">
        <f>INDEX(Lists!I:I,MATCH(Validation!E4061,Lists!G:G,0))</f>
        <v>Error</v>
      </c>
      <c r="G4061" t="str">
        <f>INDEX(Lists!H:H,MATCH(Validation!E4061,Lists!G:G,0))</f>
        <v>Amount may not be negative. Enter an amount greater than or equal to zero.</v>
      </c>
      <c r="H4061" s="16" t="str">
        <f t="shared" ca="1" si="432"/>
        <v/>
      </c>
      <c r="I4061" s="16" t="str">
        <f t="shared" ca="1" si="433"/>
        <v/>
      </c>
      <c r="J4061" s="17" t="str">
        <f t="shared" ca="1" si="434"/>
        <v/>
      </c>
    </row>
    <row r="4062" spans="1:10" x14ac:dyDescent="0.25">
      <c r="A4062" t="s">
        <v>651</v>
      </c>
      <c r="B4062" t="str">
        <f>ADDRESS(ROW('PAYG 1'!$C$23),COLUMN('PAYG 1'!$C$23),4)</f>
        <v>C23</v>
      </c>
      <c r="C4062" t="str">
        <f>ADDRESS(ROW('PAYG 1'!$D$23),COLUMN('PAYG 1'!$D$23),4)</f>
        <v>D23</v>
      </c>
      <c r="D4062" t="b" cm="1">
        <f t="array" aca="1" ref="D4062" ca="1">IF(INDIRECT("'"&amp;A4062&amp;"'!"&amp;B4062)="",FALSE,IF(INDIRECT("'"&amp;A4062&amp;"'!"&amp;B4062)&lt;0,TRUE,FALSE))</f>
        <v>0</v>
      </c>
      <c r="E4062" t="s">
        <v>434</v>
      </c>
      <c r="F4062" t="str">
        <f>INDEX(Lists!I:I,MATCH(Validation!E4062,Lists!G:G,0))</f>
        <v>Error</v>
      </c>
      <c r="G4062" t="str">
        <f>INDEX(Lists!H:H,MATCH(Validation!E4062,Lists!G:G,0))</f>
        <v>Amount may not be negative. Enter an amount greater than or equal to zero.</v>
      </c>
      <c r="H4062" s="16" t="str">
        <f t="shared" ca="1" si="432"/>
        <v/>
      </c>
      <c r="I4062" s="16" t="str">
        <f t="shared" ca="1" si="433"/>
        <v/>
      </c>
      <c r="J4062" s="17" t="str">
        <f t="shared" ca="1" si="434"/>
        <v/>
      </c>
    </row>
    <row r="4063" spans="1:10" x14ac:dyDescent="0.25">
      <c r="A4063" t="s">
        <v>652</v>
      </c>
      <c r="B4063" t="str">
        <f>ADDRESS(ROW('PAYG 1'!$C$23),COLUMN('PAYG 1'!$C$23),4)</f>
        <v>C23</v>
      </c>
      <c r="C4063" t="str">
        <f>ADDRESS(ROW('PAYG 1'!$D$23),COLUMN('PAYG 1'!$D$23),4)</f>
        <v>D23</v>
      </c>
      <c r="D4063" t="b" cm="1">
        <f t="array" aca="1" ref="D4063" ca="1">IF(INDIRECT("'"&amp;A4063&amp;"'!"&amp;B4063)="",FALSE,IF(INDIRECT("'"&amp;A4063&amp;"'!"&amp;B4063)&lt;0,TRUE,FALSE))</f>
        <v>0</v>
      </c>
      <c r="E4063" t="s">
        <v>434</v>
      </c>
      <c r="F4063" t="str">
        <f>INDEX(Lists!I:I,MATCH(Validation!E4063,Lists!G:G,0))</f>
        <v>Error</v>
      </c>
      <c r="G4063" t="str">
        <f>INDEX(Lists!H:H,MATCH(Validation!E4063,Lists!G:G,0))</f>
        <v>Amount may not be negative. Enter an amount greater than or equal to zero.</v>
      </c>
      <c r="H4063" s="16" t="str">
        <f t="shared" ca="1" si="432"/>
        <v/>
      </c>
      <c r="I4063" s="16" t="str">
        <f t="shared" ca="1" si="433"/>
        <v/>
      </c>
      <c r="J4063" s="17" t="str">
        <f t="shared" ca="1" si="434"/>
        <v/>
      </c>
    </row>
    <row r="4064" spans="1:10" x14ac:dyDescent="0.25">
      <c r="A4064" t="s">
        <v>653</v>
      </c>
      <c r="B4064" t="str">
        <f>ADDRESS(ROW('PAYG 1'!$C$23),COLUMN('PAYG 1'!$C$23),4)</f>
        <v>C23</v>
      </c>
      <c r="C4064" t="str">
        <f>ADDRESS(ROW('PAYG 1'!$D$23),COLUMN('PAYG 1'!$D$23),4)</f>
        <v>D23</v>
      </c>
      <c r="D4064" t="b" cm="1">
        <f t="array" aca="1" ref="D4064" ca="1">IF(INDIRECT("'"&amp;A4064&amp;"'!"&amp;B4064)="",FALSE,IF(INDIRECT("'"&amp;A4064&amp;"'!"&amp;B4064)&lt;0,TRUE,FALSE))</f>
        <v>0</v>
      </c>
      <c r="E4064" t="s">
        <v>434</v>
      </c>
      <c r="F4064" t="str">
        <f>INDEX(Lists!I:I,MATCH(Validation!E4064,Lists!G:G,0))</f>
        <v>Error</v>
      </c>
      <c r="G4064" t="str">
        <f>INDEX(Lists!H:H,MATCH(Validation!E4064,Lists!G:G,0))</f>
        <v>Amount may not be negative. Enter an amount greater than or equal to zero.</v>
      </c>
      <c r="H4064" s="16" t="str">
        <f t="shared" ca="1" si="432"/>
        <v/>
      </c>
      <c r="I4064" s="16" t="str">
        <f t="shared" ca="1" si="433"/>
        <v/>
      </c>
      <c r="J4064" s="17" t="str">
        <f t="shared" ca="1" si="434"/>
        <v/>
      </c>
    </row>
    <row r="4065" spans="1:10" x14ac:dyDescent="0.25">
      <c r="A4065" t="s">
        <v>654</v>
      </c>
      <c r="B4065" t="str">
        <f>ADDRESS(ROW('PAYG 1'!$C$23),COLUMN('PAYG 1'!$C$23),4)</f>
        <v>C23</v>
      </c>
      <c r="C4065" t="str">
        <f>ADDRESS(ROW('PAYG 1'!$D$23),COLUMN('PAYG 1'!$D$23),4)</f>
        <v>D23</v>
      </c>
      <c r="D4065" t="b" cm="1">
        <f t="array" aca="1" ref="D4065" ca="1">IF(INDIRECT("'"&amp;A4065&amp;"'!"&amp;B4065)="",FALSE,IF(INDIRECT("'"&amp;A4065&amp;"'!"&amp;B4065)&lt;0,TRUE,FALSE))</f>
        <v>0</v>
      </c>
      <c r="E4065" t="s">
        <v>434</v>
      </c>
      <c r="F4065" t="str">
        <f>INDEX(Lists!I:I,MATCH(Validation!E4065,Lists!G:G,0))</f>
        <v>Error</v>
      </c>
      <c r="G4065" t="str">
        <f>INDEX(Lists!H:H,MATCH(Validation!E4065,Lists!G:G,0))</f>
        <v>Amount may not be negative. Enter an amount greater than or equal to zero.</v>
      </c>
      <c r="H4065" s="16" t="str">
        <f t="shared" ca="1" si="432"/>
        <v/>
      </c>
      <c r="I4065" s="16" t="str">
        <f t="shared" ca="1" si="433"/>
        <v/>
      </c>
      <c r="J4065" s="17" t="str">
        <f t="shared" ca="1" si="434"/>
        <v/>
      </c>
    </row>
    <row r="4066" spans="1:10" x14ac:dyDescent="0.25">
      <c r="A4066" t="s">
        <v>655</v>
      </c>
      <c r="B4066" t="str">
        <f>ADDRESS(ROW('PAYG 1'!$C$23),COLUMN('PAYG 1'!$C$23),4)</f>
        <v>C23</v>
      </c>
      <c r="C4066" t="str">
        <f>ADDRESS(ROW('PAYG 1'!$D$23),COLUMN('PAYG 1'!$D$23),4)</f>
        <v>D23</v>
      </c>
      <c r="D4066" t="b" cm="1">
        <f t="array" aca="1" ref="D4066" ca="1">IF(INDIRECT("'"&amp;A4066&amp;"'!"&amp;B4066)="",FALSE,IF(INDIRECT("'"&amp;A4066&amp;"'!"&amp;B4066)&lt;0,TRUE,FALSE))</f>
        <v>0</v>
      </c>
      <c r="E4066" t="s">
        <v>434</v>
      </c>
      <c r="F4066" t="str">
        <f>INDEX(Lists!I:I,MATCH(Validation!E4066,Lists!G:G,0))</f>
        <v>Error</v>
      </c>
      <c r="G4066" t="str">
        <f>INDEX(Lists!H:H,MATCH(Validation!E4066,Lists!G:G,0))</f>
        <v>Amount may not be negative. Enter an amount greater than or equal to zero.</v>
      </c>
      <c r="H4066" s="16" t="str">
        <f t="shared" ca="1" si="432"/>
        <v/>
      </c>
      <c r="I4066" s="16" t="str">
        <f t="shared" ca="1" si="433"/>
        <v/>
      </c>
      <c r="J4066" s="17" t="str">
        <f t="shared" ca="1" si="434"/>
        <v/>
      </c>
    </row>
    <row r="4067" spans="1:10" x14ac:dyDescent="0.25">
      <c r="A4067" t="s">
        <v>656</v>
      </c>
      <c r="B4067" t="str">
        <f>ADDRESS(ROW('PAYG 1'!$C$23),COLUMN('PAYG 1'!$C$23),4)</f>
        <v>C23</v>
      </c>
      <c r="C4067" t="str">
        <f>ADDRESS(ROW('PAYG 1'!$D$23),COLUMN('PAYG 1'!$D$23),4)</f>
        <v>D23</v>
      </c>
      <c r="D4067" t="b" cm="1">
        <f t="array" aca="1" ref="D4067" ca="1">IF(INDIRECT("'"&amp;A4067&amp;"'!"&amp;B4067)="",FALSE,IF(INDIRECT("'"&amp;A4067&amp;"'!"&amp;B4067)&lt;0,TRUE,FALSE))</f>
        <v>0</v>
      </c>
      <c r="E4067" t="s">
        <v>434</v>
      </c>
      <c r="F4067" t="str">
        <f>INDEX(Lists!I:I,MATCH(Validation!E4067,Lists!G:G,0))</f>
        <v>Error</v>
      </c>
      <c r="G4067" t="str">
        <f>INDEX(Lists!H:H,MATCH(Validation!E4067,Lists!G:G,0))</f>
        <v>Amount may not be negative. Enter an amount greater than or equal to zero.</v>
      </c>
      <c r="H4067" s="16" t="str">
        <f t="shared" ca="1" si="432"/>
        <v/>
      </c>
      <c r="I4067" s="16" t="str">
        <f t="shared" ca="1" si="433"/>
        <v/>
      </c>
      <c r="J4067" s="17" t="str">
        <f t="shared" ca="1" si="434"/>
        <v/>
      </c>
    </row>
    <row r="4068" spans="1:10" x14ac:dyDescent="0.25">
      <c r="A4068" t="s">
        <v>657</v>
      </c>
      <c r="B4068" t="str">
        <f>ADDRESS(ROW('PAYG 1'!$C$23),COLUMN('PAYG 1'!$C$23),4)</f>
        <v>C23</v>
      </c>
      <c r="C4068" t="str">
        <f>ADDRESS(ROW('PAYG 1'!$D$23),COLUMN('PAYG 1'!$D$23),4)</f>
        <v>D23</v>
      </c>
      <c r="D4068" t="b" cm="1">
        <f t="array" aca="1" ref="D4068" ca="1">IF(INDIRECT("'"&amp;A4068&amp;"'!"&amp;B4068)="",FALSE,IF(INDIRECT("'"&amp;A4068&amp;"'!"&amp;B4068)&lt;0,TRUE,FALSE))</f>
        <v>0</v>
      </c>
      <c r="E4068" t="s">
        <v>434</v>
      </c>
      <c r="F4068" t="str">
        <f>INDEX(Lists!I:I,MATCH(Validation!E4068,Lists!G:G,0))</f>
        <v>Error</v>
      </c>
      <c r="G4068" t="str">
        <f>INDEX(Lists!H:H,MATCH(Validation!E4068,Lists!G:G,0))</f>
        <v>Amount may not be negative. Enter an amount greater than or equal to zero.</v>
      </c>
      <c r="H4068" s="16" t="str">
        <f t="shared" ca="1" si="432"/>
        <v/>
      </c>
      <c r="I4068" s="16" t="str">
        <f t="shared" ca="1" si="433"/>
        <v/>
      </c>
      <c r="J4068" s="17" t="str">
        <f t="shared" ca="1" si="434"/>
        <v/>
      </c>
    </row>
    <row r="4069" spans="1:10" x14ac:dyDescent="0.25">
      <c r="A4069" t="s">
        <v>658</v>
      </c>
      <c r="B4069" t="str">
        <f>ADDRESS(ROW('PAYG 1'!$C$23),COLUMN('PAYG 1'!$C$23),4)</f>
        <v>C23</v>
      </c>
      <c r="C4069" t="str">
        <f>ADDRESS(ROW('PAYG 1'!$D$23),COLUMN('PAYG 1'!$D$23),4)</f>
        <v>D23</v>
      </c>
      <c r="D4069" t="b" cm="1">
        <f t="array" aca="1" ref="D4069" ca="1">IF(INDIRECT("'"&amp;A4069&amp;"'!"&amp;B4069)="",FALSE,IF(INDIRECT("'"&amp;A4069&amp;"'!"&amp;B4069)&lt;0,TRUE,FALSE))</f>
        <v>0</v>
      </c>
      <c r="E4069" t="s">
        <v>434</v>
      </c>
      <c r="F4069" t="str">
        <f>INDEX(Lists!I:I,MATCH(Validation!E4069,Lists!G:G,0))</f>
        <v>Error</v>
      </c>
      <c r="G4069" t="str">
        <f>INDEX(Lists!H:H,MATCH(Validation!E4069,Lists!G:G,0))</f>
        <v>Amount may not be negative. Enter an amount greater than or equal to zero.</v>
      </c>
      <c r="H4069" s="16" t="str">
        <f t="shared" ca="1" si="432"/>
        <v/>
      </c>
      <c r="I4069" s="16" t="str">
        <f t="shared" ca="1" si="433"/>
        <v/>
      </c>
      <c r="J4069" s="17" t="str">
        <f t="shared" ca="1" si="434"/>
        <v/>
      </c>
    </row>
    <row r="4070" spans="1:10" x14ac:dyDescent="0.25">
      <c r="A4070" t="s">
        <v>659</v>
      </c>
      <c r="B4070" t="str">
        <f>ADDRESS(ROW('PAYG 1'!$C$23),COLUMN('PAYG 1'!$C$23),4)</f>
        <v>C23</v>
      </c>
      <c r="C4070" t="str">
        <f>ADDRESS(ROW('PAYG 1'!$D$23),COLUMN('PAYG 1'!$D$23),4)</f>
        <v>D23</v>
      </c>
      <c r="D4070" t="b" cm="1">
        <f t="array" aca="1" ref="D4070" ca="1">IF(INDIRECT("'"&amp;A4070&amp;"'!"&amp;B4070)="",FALSE,IF(INDIRECT("'"&amp;A4070&amp;"'!"&amp;B4070)&lt;0,TRUE,FALSE))</f>
        <v>0</v>
      </c>
      <c r="E4070" t="s">
        <v>434</v>
      </c>
      <c r="F4070" t="str">
        <f>INDEX(Lists!I:I,MATCH(Validation!E4070,Lists!G:G,0))</f>
        <v>Error</v>
      </c>
      <c r="G4070" t="str">
        <f>INDEX(Lists!H:H,MATCH(Validation!E4070,Lists!G:G,0))</f>
        <v>Amount may not be negative. Enter an amount greater than or equal to zero.</v>
      </c>
      <c r="H4070" s="16" t="str">
        <f t="shared" ca="1" si="432"/>
        <v/>
      </c>
      <c r="I4070" s="16" t="str">
        <f t="shared" ca="1" si="433"/>
        <v/>
      </c>
      <c r="J4070" s="17" t="str">
        <f t="shared" ca="1" si="434"/>
        <v/>
      </c>
    </row>
    <row r="4071" spans="1:10" x14ac:dyDescent="0.25">
      <c r="A4071" t="s">
        <v>660</v>
      </c>
      <c r="B4071" t="str">
        <f>ADDRESS(ROW('PAYG 1'!$C$23),COLUMN('PAYG 1'!$C$23),4)</f>
        <v>C23</v>
      </c>
      <c r="C4071" t="str">
        <f>ADDRESS(ROW('PAYG 1'!$D$23),COLUMN('PAYG 1'!$D$23),4)</f>
        <v>D23</v>
      </c>
      <c r="D4071" t="b" cm="1">
        <f t="array" aca="1" ref="D4071" ca="1">IF(INDIRECT("'"&amp;A4071&amp;"'!"&amp;B4071)="",FALSE,IF(INDIRECT("'"&amp;A4071&amp;"'!"&amp;B4071)&lt;0,TRUE,FALSE))</f>
        <v>0</v>
      </c>
      <c r="E4071" t="s">
        <v>434</v>
      </c>
      <c r="F4071" t="str">
        <f>INDEX(Lists!I:I,MATCH(Validation!E4071,Lists!G:G,0))</f>
        <v>Error</v>
      </c>
      <c r="G4071" t="str">
        <f>INDEX(Lists!H:H,MATCH(Validation!E4071,Lists!G:G,0))</f>
        <v>Amount may not be negative. Enter an amount greater than or equal to zero.</v>
      </c>
      <c r="H4071" s="16" t="str">
        <f t="shared" ca="1" si="432"/>
        <v/>
      </c>
      <c r="I4071" s="16" t="str">
        <f t="shared" ca="1" si="433"/>
        <v/>
      </c>
      <c r="J4071" s="17" t="str">
        <f t="shared" ca="1" si="434"/>
        <v/>
      </c>
    </row>
    <row r="4072" spans="1:10" x14ac:dyDescent="0.25">
      <c r="A4072" t="s">
        <v>661</v>
      </c>
      <c r="B4072" t="str">
        <f>ADDRESS(ROW('PAYG 1'!$C$23),COLUMN('PAYG 1'!$C$23),4)</f>
        <v>C23</v>
      </c>
      <c r="C4072" t="str">
        <f>ADDRESS(ROW('PAYG 1'!$D$23),COLUMN('PAYG 1'!$D$23),4)</f>
        <v>D23</v>
      </c>
      <c r="D4072" t="b" cm="1">
        <f t="array" aca="1" ref="D4072" ca="1">IF(INDIRECT("'"&amp;A4072&amp;"'!"&amp;B4072)="",FALSE,IF(INDIRECT("'"&amp;A4072&amp;"'!"&amp;B4072)&lt;0,TRUE,FALSE))</f>
        <v>0</v>
      </c>
      <c r="E4072" t="s">
        <v>434</v>
      </c>
      <c r="F4072" t="str">
        <f>INDEX(Lists!I:I,MATCH(Validation!E4072,Lists!G:G,0))</f>
        <v>Error</v>
      </c>
      <c r="G4072" t="str">
        <f>INDEX(Lists!H:H,MATCH(Validation!E4072,Lists!G:G,0))</f>
        <v>Amount may not be negative. Enter an amount greater than or equal to zero.</v>
      </c>
      <c r="H4072" s="16" t="str">
        <f t="shared" ca="1" si="432"/>
        <v/>
      </c>
      <c r="I4072" s="16" t="str">
        <f t="shared" ca="1" si="433"/>
        <v/>
      </c>
      <c r="J4072" s="17" t="str">
        <f t="shared" ca="1" si="434"/>
        <v/>
      </c>
    </row>
    <row r="4073" spans="1:10" x14ac:dyDescent="0.25">
      <c r="A4073" t="s">
        <v>662</v>
      </c>
      <c r="B4073" t="str">
        <f>ADDRESS(ROW('PAYG 1'!$C$23),COLUMN('PAYG 1'!$C$23),4)</f>
        <v>C23</v>
      </c>
      <c r="C4073" t="str">
        <f>ADDRESS(ROW('PAYG 1'!$D$23),COLUMN('PAYG 1'!$D$23),4)</f>
        <v>D23</v>
      </c>
      <c r="D4073" t="b" cm="1">
        <f t="array" aca="1" ref="D4073" ca="1">IF(INDIRECT("'"&amp;A4073&amp;"'!"&amp;B4073)="",FALSE,IF(INDIRECT("'"&amp;A4073&amp;"'!"&amp;B4073)&lt;0,TRUE,FALSE))</f>
        <v>0</v>
      </c>
      <c r="E4073" t="s">
        <v>434</v>
      </c>
      <c r="F4073" t="str">
        <f>INDEX(Lists!I:I,MATCH(Validation!E4073,Lists!G:G,0))</f>
        <v>Error</v>
      </c>
      <c r="G4073" t="str">
        <f>INDEX(Lists!H:H,MATCH(Validation!E4073,Lists!G:G,0))</f>
        <v>Amount may not be negative. Enter an amount greater than or equal to zero.</v>
      </c>
      <c r="H4073" s="16" t="str">
        <f t="shared" ca="1" si="432"/>
        <v/>
      </c>
      <c r="I4073" s="16" t="str">
        <f t="shared" ca="1" si="433"/>
        <v/>
      </c>
      <c r="J4073" s="17" t="str">
        <f t="shared" ca="1" si="434"/>
        <v/>
      </c>
    </row>
    <row r="4074" spans="1:10" x14ac:dyDescent="0.25">
      <c r="A4074" t="s">
        <v>663</v>
      </c>
      <c r="B4074" t="str">
        <f>ADDRESS(ROW('PAYG 1'!$C$23),COLUMN('PAYG 1'!$C$23),4)</f>
        <v>C23</v>
      </c>
      <c r="C4074" t="str">
        <f>ADDRESS(ROW('PAYG 1'!$D$23),COLUMN('PAYG 1'!$D$23),4)</f>
        <v>D23</v>
      </c>
      <c r="D4074" t="b" cm="1">
        <f t="array" aca="1" ref="D4074" ca="1">IF(INDIRECT("'"&amp;A4074&amp;"'!"&amp;B4074)="",FALSE,IF(INDIRECT("'"&amp;A4074&amp;"'!"&amp;B4074)&lt;0,TRUE,FALSE))</f>
        <v>0</v>
      </c>
      <c r="E4074" t="s">
        <v>434</v>
      </c>
      <c r="F4074" t="str">
        <f>INDEX(Lists!I:I,MATCH(Validation!E4074,Lists!G:G,0))</f>
        <v>Error</v>
      </c>
      <c r="G4074" t="str">
        <f>INDEX(Lists!H:H,MATCH(Validation!E4074,Lists!G:G,0))</f>
        <v>Amount may not be negative. Enter an amount greater than or equal to zero.</v>
      </c>
      <c r="H4074" s="16" t="str">
        <f t="shared" ca="1" si="432"/>
        <v/>
      </c>
      <c r="I4074" s="16" t="str">
        <f t="shared" ca="1" si="433"/>
        <v/>
      </c>
      <c r="J4074" s="17" t="str">
        <f t="shared" ca="1" si="434"/>
        <v/>
      </c>
    </row>
    <row r="4075" spans="1:10" x14ac:dyDescent="0.25">
      <c r="A4075" t="s">
        <v>664</v>
      </c>
      <c r="B4075" t="str">
        <f>ADDRESS(ROW('PAYG 1'!$C$23),COLUMN('PAYG 1'!$C$23),4)</f>
        <v>C23</v>
      </c>
      <c r="C4075" t="str">
        <f>ADDRESS(ROW('PAYG 1'!$D$23),COLUMN('PAYG 1'!$D$23),4)</f>
        <v>D23</v>
      </c>
      <c r="D4075" t="b" cm="1">
        <f t="array" aca="1" ref="D4075" ca="1">IF(INDIRECT("'"&amp;A4075&amp;"'!"&amp;B4075)="",FALSE,IF(INDIRECT("'"&amp;A4075&amp;"'!"&amp;B4075)&lt;0,TRUE,FALSE))</f>
        <v>0</v>
      </c>
      <c r="E4075" t="s">
        <v>434</v>
      </c>
      <c r="F4075" t="str">
        <f>INDEX(Lists!I:I,MATCH(Validation!E4075,Lists!G:G,0))</f>
        <v>Error</v>
      </c>
      <c r="G4075" t="str">
        <f>INDEX(Lists!H:H,MATCH(Validation!E4075,Lists!G:G,0))</f>
        <v>Amount may not be negative. Enter an amount greater than or equal to zero.</v>
      </c>
      <c r="H4075" s="16" t="str">
        <f t="shared" ca="1" si="432"/>
        <v/>
      </c>
      <c r="I4075" s="16" t="str">
        <f t="shared" ca="1" si="433"/>
        <v/>
      </c>
      <c r="J4075" s="17" t="str">
        <f t="shared" ca="1" si="434"/>
        <v/>
      </c>
    </row>
    <row r="4076" spans="1:10" x14ac:dyDescent="0.25">
      <c r="A4076" t="s">
        <v>203</v>
      </c>
      <c r="B4076" t="str">
        <f>ADDRESS(ROW('PAYG 1'!$C$23),COLUMN('PAYG 1'!$C$23),4)</f>
        <v>C23</v>
      </c>
      <c r="C4076" t="str">
        <f>ADDRESS(ROW('PAYG 1'!$D$23),COLUMN('PAYG 1'!$D$23),4)</f>
        <v>D23</v>
      </c>
      <c r="D4076" t="b" cm="1">
        <f t="array" aca="1" ref="D4076" ca="1">IF(INDIRECT("'"&amp;A4076&amp;"'!"&amp;B4076)="",FALSE,IF(TRUNC(INDIRECT("'"&amp;A4076&amp;"'!"&amp;B4076))=INDIRECT("'"&amp;A4076&amp;"'!"&amp;B4076),FALSE,TRUE))</f>
        <v>0</v>
      </c>
      <c r="E4076" t="s">
        <v>436</v>
      </c>
      <c r="F4076" t="str">
        <f>INDEX(Lists!I:I,MATCH(Validation!E4076,Lists!G:G,0))</f>
        <v>Error</v>
      </c>
      <c r="G4076" t="str">
        <f>INDEX(Lists!H:H,MATCH(Validation!E4076,Lists!G:G,0))</f>
        <v>Amount must be rounded to the nearest dollar.</v>
      </c>
      <c r="H4076" s="16" t="str">
        <f t="shared" ca="1" si="432"/>
        <v/>
      </c>
      <c r="I4076" s="16" t="str">
        <f t="shared" ca="1" si="433"/>
        <v/>
      </c>
      <c r="J4076" s="17" t="str">
        <f t="shared" ca="1" si="434"/>
        <v/>
      </c>
    </row>
    <row r="4077" spans="1:10" x14ac:dyDescent="0.25">
      <c r="A4077" t="s">
        <v>651</v>
      </c>
      <c r="B4077" t="str">
        <f>ADDRESS(ROW('PAYG 1'!$C$23),COLUMN('PAYG 1'!$C$23),4)</f>
        <v>C23</v>
      </c>
      <c r="C4077" t="str">
        <f>ADDRESS(ROW('PAYG 1'!$D$23),COLUMN('PAYG 1'!$D$23),4)</f>
        <v>D23</v>
      </c>
      <c r="D4077" t="b" cm="1">
        <f t="array" aca="1" ref="D4077" ca="1">IF(INDIRECT("'"&amp;A4077&amp;"'!"&amp;B4077)="",FALSE,IF(TRUNC(INDIRECT("'"&amp;A4077&amp;"'!"&amp;B4077))=INDIRECT("'"&amp;A4077&amp;"'!"&amp;B4077),FALSE,TRUE))</f>
        <v>0</v>
      </c>
      <c r="E4077" t="s">
        <v>436</v>
      </c>
      <c r="F4077" t="str">
        <f>INDEX(Lists!I:I,MATCH(Validation!E4077,Lists!G:G,0))</f>
        <v>Error</v>
      </c>
      <c r="G4077" t="str">
        <f>INDEX(Lists!H:H,MATCH(Validation!E4077,Lists!G:G,0))</f>
        <v>Amount must be rounded to the nearest dollar.</v>
      </c>
      <c r="H4077" s="16" t="str">
        <f t="shared" ca="1" si="432"/>
        <v/>
      </c>
      <c r="I4077" s="16" t="str">
        <f t="shared" ca="1" si="433"/>
        <v/>
      </c>
      <c r="J4077" s="17" t="str">
        <f t="shared" ca="1" si="434"/>
        <v/>
      </c>
    </row>
    <row r="4078" spans="1:10" x14ac:dyDescent="0.25">
      <c r="A4078" t="s">
        <v>652</v>
      </c>
      <c r="B4078" t="str">
        <f>ADDRESS(ROW('PAYG 1'!$C$23),COLUMN('PAYG 1'!$C$23),4)</f>
        <v>C23</v>
      </c>
      <c r="C4078" t="str">
        <f>ADDRESS(ROW('PAYG 1'!$D$23),COLUMN('PAYG 1'!$D$23),4)</f>
        <v>D23</v>
      </c>
      <c r="D4078" t="b" cm="1">
        <f t="array" aca="1" ref="D4078" ca="1">IF(INDIRECT("'"&amp;A4078&amp;"'!"&amp;B4078)="",FALSE,IF(TRUNC(INDIRECT("'"&amp;A4078&amp;"'!"&amp;B4078))=INDIRECT("'"&amp;A4078&amp;"'!"&amp;B4078),FALSE,TRUE))</f>
        <v>0</v>
      </c>
      <c r="E4078" t="s">
        <v>436</v>
      </c>
      <c r="F4078" t="str">
        <f>INDEX(Lists!I:I,MATCH(Validation!E4078,Lists!G:G,0))</f>
        <v>Error</v>
      </c>
      <c r="G4078" t="str">
        <f>INDEX(Lists!H:H,MATCH(Validation!E4078,Lists!G:G,0))</f>
        <v>Amount must be rounded to the nearest dollar.</v>
      </c>
      <c r="H4078" s="16" t="str">
        <f t="shared" ca="1" si="432"/>
        <v/>
      </c>
      <c r="I4078" s="16" t="str">
        <f t="shared" ca="1" si="433"/>
        <v/>
      </c>
      <c r="J4078" s="17" t="str">
        <f t="shared" ca="1" si="434"/>
        <v/>
      </c>
    </row>
    <row r="4079" spans="1:10" x14ac:dyDescent="0.25">
      <c r="A4079" t="s">
        <v>653</v>
      </c>
      <c r="B4079" t="str">
        <f>ADDRESS(ROW('PAYG 1'!$C$23),COLUMN('PAYG 1'!$C$23),4)</f>
        <v>C23</v>
      </c>
      <c r="C4079" t="str">
        <f>ADDRESS(ROW('PAYG 1'!$D$23),COLUMN('PAYG 1'!$D$23),4)</f>
        <v>D23</v>
      </c>
      <c r="D4079" t="b" cm="1">
        <f t="array" aca="1" ref="D4079" ca="1">IF(INDIRECT("'"&amp;A4079&amp;"'!"&amp;B4079)="",FALSE,IF(TRUNC(INDIRECT("'"&amp;A4079&amp;"'!"&amp;B4079))=INDIRECT("'"&amp;A4079&amp;"'!"&amp;B4079),FALSE,TRUE))</f>
        <v>0</v>
      </c>
      <c r="E4079" t="s">
        <v>436</v>
      </c>
      <c r="F4079" t="str">
        <f>INDEX(Lists!I:I,MATCH(Validation!E4079,Lists!G:G,0))</f>
        <v>Error</v>
      </c>
      <c r="G4079" t="str">
        <f>INDEX(Lists!H:H,MATCH(Validation!E4079,Lists!G:G,0))</f>
        <v>Amount must be rounded to the nearest dollar.</v>
      </c>
      <c r="H4079" s="16" t="str">
        <f t="shared" ca="1" si="432"/>
        <v/>
      </c>
      <c r="I4079" s="16" t="str">
        <f t="shared" ca="1" si="433"/>
        <v/>
      </c>
      <c r="J4079" s="17" t="str">
        <f t="shared" ca="1" si="434"/>
        <v/>
      </c>
    </row>
    <row r="4080" spans="1:10" x14ac:dyDescent="0.25">
      <c r="A4080" t="s">
        <v>654</v>
      </c>
      <c r="B4080" t="str">
        <f>ADDRESS(ROW('PAYG 1'!$C$23),COLUMN('PAYG 1'!$C$23),4)</f>
        <v>C23</v>
      </c>
      <c r="C4080" t="str">
        <f>ADDRESS(ROW('PAYG 1'!$D$23),COLUMN('PAYG 1'!$D$23),4)</f>
        <v>D23</v>
      </c>
      <c r="D4080" t="b" cm="1">
        <f t="array" aca="1" ref="D4080" ca="1">IF(INDIRECT("'"&amp;A4080&amp;"'!"&amp;B4080)="",FALSE,IF(TRUNC(INDIRECT("'"&amp;A4080&amp;"'!"&amp;B4080))=INDIRECT("'"&amp;A4080&amp;"'!"&amp;B4080),FALSE,TRUE))</f>
        <v>0</v>
      </c>
      <c r="E4080" t="s">
        <v>436</v>
      </c>
      <c r="F4080" t="str">
        <f>INDEX(Lists!I:I,MATCH(Validation!E4080,Lists!G:G,0))</f>
        <v>Error</v>
      </c>
      <c r="G4080" t="str">
        <f>INDEX(Lists!H:H,MATCH(Validation!E4080,Lists!G:G,0))</f>
        <v>Amount must be rounded to the nearest dollar.</v>
      </c>
      <c r="H4080" s="16" t="str">
        <f t="shared" ca="1" si="432"/>
        <v/>
      </c>
      <c r="I4080" s="16" t="str">
        <f t="shared" ca="1" si="433"/>
        <v/>
      </c>
      <c r="J4080" s="17" t="str">
        <f t="shared" ca="1" si="434"/>
        <v/>
      </c>
    </row>
    <row r="4081" spans="1:10" x14ac:dyDescent="0.25">
      <c r="A4081" t="s">
        <v>655</v>
      </c>
      <c r="B4081" t="str">
        <f>ADDRESS(ROW('PAYG 1'!$C$23),COLUMN('PAYG 1'!$C$23),4)</f>
        <v>C23</v>
      </c>
      <c r="C4081" t="str">
        <f>ADDRESS(ROW('PAYG 1'!$D$23),COLUMN('PAYG 1'!$D$23),4)</f>
        <v>D23</v>
      </c>
      <c r="D4081" t="b" cm="1">
        <f t="array" aca="1" ref="D4081" ca="1">IF(INDIRECT("'"&amp;A4081&amp;"'!"&amp;B4081)="",FALSE,IF(TRUNC(INDIRECT("'"&amp;A4081&amp;"'!"&amp;B4081))=INDIRECT("'"&amp;A4081&amp;"'!"&amp;B4081),FALSE,TRUE))</f>
        <v>0</v>
      </c>
      <c r="E4081" t="s">
        <v>436</v>
      </c>
      <c r="F4081" t="str">
        <f>INDEX(Lists!I:I,MATCH(Validation!E4081,Lists!G:G,0))</f>
        <v>Error</v>
      </c>
      <c r="G4081" t="str">
        <f>INDEX(Lists!H:H,MATCH(Validation!E4081,Lists!G:G,0))</f>
        <v>Amount must be rounded to the nearest dollar.</v>
      </c>
      <c r="H4081" s="16" t="str">
        <f t="shared" ca="1" si="432"/>
        <v/>
      </c>
      <c r="I4081" s="16" t="str">
        <f t="shared" ca="1" si="433"/>
        <v/>
      </c>
      <c r="J4081" s="17" t="str">
        <f t="shared" ca="1" si="434"/>
        <v/>
      </c>
    </row>
    <row r="4082" spans="1:10" x14ac:dyDescent="0.25">
      <c r="A4082" t="s">
        <v>656</v>
      </c>
      <c r="B4082" t="str">
        <f>ADDRESS(ROW('PAYG 1'!$C$23),COLUMN('PAYG 1'!$C$23),4)</f>
        <v>C23</v>
      </c>
      <c r="C4082" t="str">
        <f>ADDRESS(ROW('PAYG 1'!$D$23),COLUMN('PAYG 1'!$D$23),4)</f>
        <v>D23</v>
      </c>
      <c r="D4082" t="b" cm="1">
        <f t="array" aca="1" ref="D4082" ca="1">IF(INDIRECT("'"&amp;A4082&amp;"'!"&amp;B4082)="",FALSE,IF(TRUNC(INDIRECT("'"&amp;A4082&amp;"'!"&amp;B4082))=INDIRECT("'"&amp;A4082&amp;"'!"&amp;B4082),FALSE,TRUE))</f>
        <v>0</v>
      </c>
      <c r="E4082" t="s">
        <v>436</v>
      </c>
      <c r="F4082" t="str">
        <f>INDEX(Lists!I:I,MATCH(Validation!E4082,Lists!G:G,0))</f>
        <v>Error</v>
      </c>
      <c r="G4082" t="str">
        <f>INDEX(Lists!H:H,MATCH(Validation!E4082,Lists!G:G,0))</f>
        <v>Amount must be rounded to the nearest dollar.</v>
      </c>
      <c r="H4082" s="16" t="str">
        <f t="shared" ca="1" si="432"/>
        <v/>
      </c>
      <c r="I4082" s="16" t="str">
        <f t="shared" ca="1" si="433"/>
        <v/>
      </c>
      <c r="J4082" s="17" t="str">
        <f t="shared" ca="1" si="434"/>
        <v/>
      </c>
    </row>
    <row r="4083" spans="1:10" x14ac:dyDescent="0.25">
      <c r="A4083" t="s">
        <v>657</v>
      </c>
      <c r="B4083" t="str">
        <f>ADDRESS(ROW('PAYG 1'!$C$23),COLUMN('PAYG 1'!$C$23),4)</f>
        <v>C23</v>
      </c>
      <c r="C4083" t="str">
        <f>ADDRESS(ROW('PAYG 1'!$D$23),COLUMN('PAYG 1'!$D$23),4)</f>
        <v>D23</v>
      </c>
      <c r="D4083" t="b" cm="1">
        <f t="array" aca="1" ref="D4083" ca="1">IF(INDIRECT("'"&amp;A4083&amp;"'!"&amp;B4083)="",FALSE,IF(TRUNC(INDIRECT("'"&amp;A4083&amp;"'!"&amp;B4083))=INDIRECT("'"&amp;A4083&amp;"'!"&amp;B4083),FALSE,TRUE))</f>
        <v>0</v>
      </c>
      <c r="E4083" t="s">
        <v>436</v>
      </c>
      <c r="F4083" t="str">
        <f>INDEX(Lists!I:I,MATCH(Validation!E4083,Lists!G:G,0))</f>
        <v>Error</v>
      </c>
      <c r="G4083" t="str">
        <f>INDEX(Lists!H:H,MATCH(Validation!E4083,Lists!G:G,0))</f>
        <v>Amount must be rounded to the nearest dollar.</v>
      </c>
      <c r="H4083" s="16" t="str">
        <f t="shared" ca="1" si="432"/>
        <v/>
      </c>
      <c r="I4083" s="16" t="str">
        <f t="shared" ca="1" si="433"/>
        <v/>
      </c>
      <c r="J4083" s="17" t="str">
        <f t="shared" ca="1" si="434"/>
        <v/>
      </c>
    </row>
    <row r="4084" spans="1:10" x14ac:dyDescent="0.25">
      <c r="A4084" t="s">
        <v>658</v>
      </c>
      <c r="B4084" t="str">
        <f>ADDRESS(ROW('PAYG 1'!$C$23),COLUMN('PAYG 1'!$C$23),4)</f>
        <v>C23</v>
      </c>
      <c r="C4084" t="str">
        <f>ADDRESS(ROW('PAYG 1'!$D$23),COLUMN('PAYG 1'!$D$23),4)</f>
        <v>D23</v>
      </c>
      <c r="D4084" t="b" cm="1">
        <f t="array" aca="1" ref="D4084" ca="1">IF(INDIRECT("'"&amp;A4084&amp;"'!"&amp;B4084)="",FALSE,IF(TRUNC(INDIRECT("'"&amp;A4084&amp;"'!"&amp;B4084))=INDIRECT("'"&amp;A4084&amp;"'!"&amp;B4084),FALSE,TRUE))</f>
        <v>0</v>
      </c>
      <c r="E4084" t="s">
        <v>436</v>
      </c>
      <c r="F4084" t="str">
        <f>INDEX(Lists!I:I,MATCH(Validation!E4084,Lists!G:G,0))</f>
        <v>Error</v>
      </c>
      <c r="G4084" t="str">
        <f>INDEX(Lists!H:H,MATCH(Validation!E4084,Lists!G:G,0))</f>
        <v>Amount must be rounded to the nearest dollar.</v>
      </c>
      <c r="H4084" s="16" t="str">
        <f t="shared" ca="1" si="432"/>
        <v/>
      </c>
      <c r="I4084" s="16" t="str">
        <f t="shared" ca="1" si="433"/>
        <v/>
      </c>
      <c r="J4084" s="17" t="str">
        <f t="shared" ca="1" si="434"/>
        <v/>
      </c>
    </row>
    <row r="4085" spans="1:10" x14ac:dyDescent="0.25">
      <c r="A4085" t="s">
        <v>659</v>
      </c>
      <c r="B4085" t="str">
        <f>ADDRESS(ROW('PAYG 1'!$C$23),COLUMN('PAYG 1'!$C$23),4)</f>
        <v>C23</v>
      </c>
      <c r="C4085" t="str">
        <f>ADDRESS(ROW('PAYG 1'!$D$23),COLUMN('PAYG 1'!$D$23),4)</f>
        <v>D23</v>
      </c>
      <c r="D4085" t="b" cm="1">
        <f t="array" aca="1" ref="D4085" ca="1">IF(INDIRECT("'"&amp;A4085&amp;"'!"&amp;B4085)="",FALSE,IF(TRUNC(INDIRECT("'"&amp;A4085&amp;"'!"&amp;B4085))=INDIRECT("'"&amp;A4085&amp;"'!"&amp;B4085),FALSE,TRUE))</f>
        <v>0</v>
      </c>
      <c r="E4085" t="s">
        <v>436</v>
      </c>
      <c r="F4085" t="str">
        <f>INDEX(Lists!I:I,MATCH(Validation!E4085,Lists!G:G,0))</f>
        <v>Error</v>
      </c>
      <c r="G4085" t="str">
        <f>INDEX(Lists!H:H,MATCH(Validation!E4085,Lists!G:G,0))</f>
        <v>Amount must be rounded to the nearest dollar.</v>
      </c>
      <c r="H4085" s="16" t="str">
        <f t="shared" ca="1" si="432"/>
        <v/>
      </c>
      <c r="I4085" s="16" t="str">
        <f t="shared" ca="1" si="433"/>
        <v/>
      </c>
      <c r="J4085" s="17" t="str">
        <f t="shared" ca="1" si="434"/>
        <v/>
      </c>
    </row>
    <row r="4086" spans="1:10" x14ac:dyDescent="0.25">
      <c r="A4086" t="s">
        <v>660</v>
      </c>
      <c r="B4086" t="str">
        <f>ADDRESS(ROW('PAYG 1'!$C$23),COLUMN('PAYG 1'!$C$23),4)</f>
        <v>C23</v>
      </c>
      <c r="C4086" t="str">
        <f>ADDRESS(ROW('PAYG 1'!$D$23),COLUMN('PAYG 1'!$D$23),4)</f>
        <v>D23</v>
      </c>
      <c r="D4086" t="b" cm="1">
        <f t="array" aca="1" ref="D4086" ca="1">IF(INDIRECT("'"&amp;A4086&amp;"'!"&amp;B4086)="",FALSE,IF(TRUNC(INDIRECT("'"&amp;A4086&amp;"'!"&amp;B4086))=INDIRECT("'"&amp;A4086&amp;"'!"&amp;B4086),FALSE,TRUE))</f>
        <v>0</v>
      </c>
      <c r="E4086" t="s">
        <v>436</v>
      </c>
      <c r="F4086" t="str">
        <f>INDEX(Lists!I:I,MATCH(Validation!E4086,Lists!G:G,0))</f>
        <v>Error</v>
      </c>
      <c r="G4086" t="str">
        <f>INDEX(Lists!H:H,MATCH(Validation!E4086,Lists!G:G,0))</f>
        <v>Amount must be rounded to the nearest dollar.</v>
      </c>
      <c r="H4086" s="16" t="str">
        <f t="shared" ca="1" si="432"/>
        <v/>
      </c>
      <c r="I4086" s="16" t="str">
        <f t="shared" ca="1" si="433"/>
        <v/>
      </c>
      <c r="J4086" s="17" t="str">
        <f t="shared" ca="1" si="434"/>
        <v/>
      </c>
    </row>
    <row r="4087" spans="1:10" x14ac:dyDescent="0.25">
      <c r="A4087" t="s">
        <v>661</v>
      </c>
      <c r="B4087" t="str">
        <f>ADDRESS(ROW('PAYG 1'!$C$23),COLUMN('PAYG 1'!$C$23),4)</f>
        <v>C23</v>
      </c>
      <c r="C4087" t="str">
        <f>ADDRESS(ROW('PAYG 1'!$D$23),COLUMN('PAYG 1'!$D$23),4)</f>
        <v>D23</v>
      </c>
      <c r="D4087" t="b" cm="1">
        <f t="array" aca="1" ref="D4087" ca="1">IF(INDIRECT("'"&amp;A4087&amp;"'!"&amp;B4087)="",FALSE,IF(TRUNC(INDIRECT("'"&amp;A4087&amp;"'!"&amp;B4087))=INDIRECT("'"&amp;A4087&amp;"'!"&amp;B4087),FALSE,TRUE))</f>
        <v>0</v>
      </c>
      <c r="E4087" t="s">
        <v>436</v>
      </c>
      <c r="F4087" t="str">
        <f>INDEX(Lists!I:I,MATCH(Validation!E4087,Lists!G:G,0))</f>
        <v>Error</v>
      </c>
      <c r="G4087" t="str">
        <f>INDEX(Lists!H:H,MATCH(Validation!E4087,Lists!G:G,0))</f>
        <v>Amount must be rounded to the nearest dollar.</v>
      </c>
      <c r="H4087" s="16" t="str">
        <f t="shared" ca="1" si="432"/>
        <v/>
      </c>
      <c r="I4087" s="16" t="str">
        <f t="shared" ca="1" si="433"/>
        <v/>
      </c>
      <c r="J4087" s="17" t="str">
        <f t="shared" ca="1" si="434"/>
        <v/>
      </c>
    </row>
    <row r="4088" spans="1:10" x14ac:dyDescent="0.25">
      <c r="A4088" t="s">
        <v>662</v>
      </c>
      <c r="B4088" t="str">
        <f>ADDRESS(ROW('PAYG 1'!$C$23),COLUMN('PAYG 1'!$C$23),4)</f>
        <v>C23</v>
      </c>
      <c r="C4088" t="str">
        <f>ADDRESS(ROW('PAYG 1'!$D$23),COLUMN('PAYG 1'!$D$23),4)</f>
        <v>D23</v>
      </c>
      <c r="D4088" t="b" cm="1">
        <f t="array" aca="1" ref="D4088" ca="1">IF(INDIRECT("'"&amp;A4088&amp;"'!"&amp;B4088)="",FALSE,IF(TRUNC(INDIRECT("'"&amp;A4088&amp;"'!"&amp;B4088))=INDIRECT("'"&amp;A4088&amp;"'!"&amp;B4088),FALSE,TRUE))</f>
        <v>0</v>
      </c>
      <c r="E4088" t="s">
        <v>436</v>
      </c>
      <c r="F4088" t="str">
        <f>INDEX(Lists!I:I,MATCH(Validation!E4088,Lists!G:G,0))</f>
        <v>Error</v>
      </c>
      <c r="G4088" t="str">
        <f>INDEX(Lists!H:H,MATCH(Validation!E4088,Lists!G:G,0))</f>
        <v>Amount must be rounded to the nearest dollar.</v>
      </c>
      <c r="H4088" s="16" t="str">
        <f t="shared" ca="1" si="432"/>
        <v/>
      </c>
      <c r="I4088" s="16" t="str">
        <f t="shared" ca="1" si="433"/>
        <v/>
      </c>
      <c r="J4088" s="17" t="str">
        <f t="shared" ca="1" si="434"/>
        <v/>
      </c>
    </row>
    <row r="4089" spans="1:10" x14ac:dyDescent="0.25">
      <c r="A4089" t="s">
        <v>663</v>
      </c>
      <c r="B4089" t="str">
        <f>ADDRESS(ROW('PAYG 1'!$C$23),COLUMN('PAYG 1'!$C$23),4)</f>
        <v>C23</v>
      </c>
      <c r="C4089" t="str">
        <f>ADDRESS(ROW('PAYG 1'!$D$23),COLUMN('PAYG 1'!$D$23),4)</f>
        <v>D23</v>
      </c>
      <c r="D4089" t="b" cm="1">
        <f t="array" aca="1" ref="D4089" ca="1">IF(INDIRECT("'"&amp;A4089&amp;"'!"&amp;B4089)="",FALSE,IF(TRUNC(INDIRECT("'"&amp;A4089&amp;"'!"&amp;B4089))=INDIRECT("'"&amp;A4089&amp;"'!"&amp;B4089),FALSE,TRUE))</f>
        <v>0</v>
      </c>
      <c r="E4089" t="s">
        <v>436</v>
      </c>
      <c r="F4089" t="str">
        <f>INDEX(Lists!I:I,MATCH(Validation!E4089,Lists!G:G,0))</f>
        <v>Error</v>
      </c>
      <c r="G4089" t="str">
        <f>INDEX(Lists!H:H,MATCH(Validation!E4089,Lists!G:G,0))</f>
        <v>Amount must be rounded to the nearest dollar.</v>
      </c>
      <c r="H4089" s="16" t="str">
        <f t="shared" ca="1" si="432"/>
        <v/>
      </c>
      <c r="I4089" s="16" t="str">
        <f t="shared" ca="1" si="433"/>
        <v/>
      </c>
      <c r="J4089" s="17" t="str">
        <f t="shared" ca="1" si="434"/>
        <v/>
      </c>
    </row>
    <row r="4090" spans="1:10" x14ac:dyDescent="0.25">
      <c r="A4090" t="s">
        <v>664</v>
      </c>
      <c r="B4090" t="str">
        <f>ADDRESS(ROW('PAYG 1'!$C$23),COLUMN('PAYG 1'!$C$23),4)</f>
        <v>C23</v>
      </c>
      <c r="C4090" t="str">
        <f>ADDRESS(ROW('PAYG 1'!$D$23),COLUMN('PAYG 1'!$D$23),4)</f>
        <v>D23</v>
      </c>
      <c r="D4090" t="b" cm="1">
        <f t="array" aca="1" ref="D4090" ca="1">IF(INDIRECT("'"&amp;A4090&amp;"'!"&amp;B4090)="",FALSE,IF(TRUNC(INDIRECT("'"&amp;A4090&amp;"'!"&amp;B4090))=INDIRECT("'"&amp;A4090&amp;"'!"&amp;B4090),FALSE,TRUE))</f>
        <v>0</v>
      </c>
      <c r="E4090" t="s">
        <v>436</v>
      </c>
      <c r="F4090" t="str">
        <f>INDEX(Lists!I:I,MATCH(Validation!E4090,Lists!G:G,0))</f>
        <v>Error</v>
      </c>
      <c r="G4090" t="str">
        <f>INDEX(Lists!H:H,MATCH(Validation!E4090,Lists!G:G,0))</f>
        <v>Amount must be rounded to the nearest dollar.</v>
      </c>
      <c r="H4090" s="16" t="str">
        <f t="shared" ca="1" si="432"/>
        <v/>
      </c>
      <c r="I4090" s="16" t="str">
        <f t="shared" ca="1" si="433"/>
        <v/>
      </c>
      <c r="J4090" s="17" t="str">
        <f t="shared" ca="1" si="434"/>
        <v/>
      </c>
    </row>
    <row r="4091" spans="1:10" x14ac:dyDescent="0.25">
      <c r="A4091" t="s">
        <v>203</v>
      </c>
      <c r="B4091" t="str">
        <f>ADDRESS(ROW('PAYG 1'!$B$25),COLUMN('PAYG 1'!$B$25),4)</f>
        <v>B25</v>
      </c>
      <c r="C4091" t="str">
        <f>ADDRESS(ROW('PAYG 1'!$D$25),COLUMN('PAYG 1'!$D$25),4)</f>
        <v>D25</v>
      </c>
      <c r="D4091" t="b" cm="1">
        <f t="array" aca="1" ref="D4091" ca="1">IF(INDIRECT("'"&amp;A4091&amp;"'!"&amp;B4091)="",FALSE,IF(NOT(ISNUMBER(INDIRECT("'"&amp;A4091&amp;"'!"&amp;B4091))),TRUE,FALSE))</f>
        <v>0</v>
      </c>
      <c r="E4091" t="s">
        <v>435</v>
      </c>
      <c r="F4091" t="str">
        <f>INDEX(Lists!I:I,MATCH(Validation!E4091,Lists!G:G,0))</f>
        <v>Error</v>
      </c>
      <c r="G4091" t="str">
        <f>INDEX(Lists!H:H,MATCH(Validation!E4091,Lists!G:G,0))</f>
        <v>Enter an amount only. Do not enter text or spaces.</v>
      </c>
      <c r="H4091" s="25" t="str">
        <f t="shared" ca="1" si="429"/>
        <v/>
      </c>
      <c r="I4091" s="25" t="str">
        <f t="shared" ca="1" si="430"/>
        <v/>
      </c>
      <c r="J4091" s="26" t="str">
        <f t="shared" ca="1" si="431"/>
        <v/>
      </c>
    </row>
    <row r="4092" spans="1:10" x14ac:dyDescent="0.25">
      <c r="A4092" t="s">
        <v>651</v>
      </c>
      <c r="B4092" t="str">
        <f>ADDRESS(ROW('PAYG 1'!$B$25),COLUMN('PAYG 1'!$B$25),4)</f>
        <v>B25</v>
      </c>
      <c r="C4092" t="str">
        <f>ADDRESS(ROW('PAYG 1'!$D$25),COLUMN('PAYG 1'!$D$25),4)</f>
        <v>D25</v>
      </c>
      <c r="D4092" t="b" cm="1">
        <f t="array" aca="1" ref="D4092" ca="1">IF(INDIRECT("'"&amp;A4092&amp;"'!"&amp;B4092)="",FALSE,IF(NOT(ISNUMBER(INDIRECT("'"&amp;A4092&amp;"'!"&amp;B4092))),TRUE,FALSE))</f>
        <v>0</v>
      </c>
      <c r="E4092" t="s">
        <v>435</v>
      </c>
      <c r="F4092" t="str">
        <f>INDEX(Lists!I:I,MATCH(Validation!E4092,Lists!G:G,0))</f>
        <v>Error</v>
      </c>
      <c r="G4092" t="str">
        <f>INDEX(Lists!H:H,MATCH(Validation!E4092,Lists!G:G,0))</f>
        <v>Enter an amount only. Do not enter text or spaces.</v>
      </c>
      <c r="H4092" s="25" t="str">
        <f t="shared" ca="1" si="429"/>
        <v/>
      </c>
      <c r="I4092" s="25" t="str">
        <f t="shared" ca="1" si="430"/>
        <v/>
      </c>
      <c r="J4092" s="26" t="str">
        <f t="shared" ca="1" si="431"/>
        <v/>
      </c>
    </row>
    <row r="4093" spans="1:10" x14ac:dyDescent="0.25">
      <c r="A4093" t="s">
        <v>652</v>
      </c>
      <c r="B4093" t="str">
        <f>ADDRESS(ROW('PAYG 1'!$B$25),COLUMN('PAYG 1'!$B$25),4)</f>
        <v>B25</v>
      </c>
      <c r="C4093" t="str">
        <f>ADDRESS(ROW('PAYG 1'!$D$25),COLUMN('PAYG 1'!$D$25),4)</f>
        <v>D25</v>
      </c>
      <c r="D4093" t="b" cm="1">
        <f t="array" aca="1" ref="D4093" ca="1">IF(INDIRECT("'"&amp;A4093&amp;"'!"&amp;B4093)="",FALSE,IF(NOT(ISNUMBER(INDIRECT("'"&amp;A4093&amp;"'!"&amp;B4093))),TRUE,FALSE))</f>
        <v>0</v>
      </c>
      <c r="E4093" t="s">
        <v>435</v>
      </c>
      <c r="F4093" t="str">
        <f>INDEX(Lists!I:I,MATCH(Validation!E4093,Lists!G:G,0))</f>
        <v>Error</v>
      </c>
      <c r="G4093" t="str">
        <f>INDEX(Lists!H:H,MATCH(Validation!E4093,Lists!G:G,0))</f>
        <v>Enter an amount only. Do not enter text or spaces.</v>
      </c>
      <c r="H4093" s="25" t="str">
        <f t="shared" ca="1" si="429"/>
        <v/>
      </c>
      <c r="I4093" s="25" t="str">
        <f t="shared" ca="1" si="430"/>
        <v/>
      </c>
      <c r="J4093" s="26" t="str">
        <f t="shared" ca="1" si="431"/>
        <v/>
      </c>
    </row>
    <row r="4094" spans="1:10" x14ac:dyDescent="0.25">
      <c r="A4094" t="s">
        <v>653</v>
      </c>
      <c r="B4094" t="str">
        <f>ADDRESS(ROW('PAYG 1'!$B$25),COLUMN('PAYG 1'!$B$25),4)</f>
        <v>B25</v>
      </c>
      <c r="C4094" t="str">
        <f>ADDRESS(ROW('PAYG 1'!$D$25),COLUMN('PAYG 1'!$D$25),4)</f>
        <v>D25</v>
      </c>
      <c r="D4094" t="b" cm="1">
        <f t="array" aca="1" ref="D4094" ca="1">IF(INDIRECT("'"&amp;A4094&amp;"'!"&amp;B4094)="",FALSE,IF(NOT(ISNUMBER(INDIRECT("'"&amp;A4094&amp;"'!"&amp;B4094))),TRUE,FALSE))</f>
        <v>0</v>
      </c>
      <c r="E4094" t="s">
        <v>435</v>
      </c>
      <c r="F4094" t="str">
        <f>INDEX(Lists!I:I,MATCH(Validation!E4094,Lists!G:G,0))</f>
        <v>Error</v>
      </c>
      <c r="G4094" t="str">
        <f>INDEX(Lists!H:H,MATCH(Validation!E4094,Lists!G:G,0))</f>
        <v>Enter an amount only. Do not enter text or spaces.</v>
      </c>
      <c r="H4094" s="25" t="str">
        <f t="shared" ca="1" si="429"/>
        <v/>
      </c>
      <c r="I4094" s="25" t="str">
        <f t="shared" ca="1" si="430"/>
        <v/>
      </c>
      <c r="J4094" s="26" t="str">
        <f t="shared" ca="1" si="431"/>
        <v/>
      </c>
    </row>
    <row r="4095" spans="1:10" x14ac:dyDescent="0.25">
      <c r="A4095" t="s">
        <v>654</v>
      </c>
      <c r="B4095" t="str">
        <f>ADDRESS(ROW('PAYG 1'!$B$25),COLUMN('PAYG 1'!$B$25),4)</f>
        <v>B25</v>
      </c>
      <c r="C4095" t="str">
        <f>ADDRESS(ROW('PAYG 1'!$D$25),COLUMN('PAYG 1'!$D$25),4)</f>
        <v>D25</v>
      </c>
      <c r="D4095" t="b" cm="1">
        <f t="array" aca="1" ref="D4095" ca="1">IF(INDIRECT("'"&amp;A4095&amp;"'!"&amp;B4095)="",FALSE,IF(NOT(ISNUMBER(INDIRECT("'"&amp;A4095&amp;"'!"&amp;B4095))),TRUE,FALSE))</f>
        <v>0</v>
      </c>
      <c r="E4095" t="s">
        <v>435</v>
      </c>
      <c r="F4095" t="str">
        <f>INDEX(Lists!I:I,MATCH(Validation!E4095,Lists!G:G,0))</f>
        <v>Error</v>
      </c>
      <c r="G4095" t="str">
        <f>INDEX(Lists!H:H,MATCH(Validation!E4095,Lists!G:G,0))</f>
        <v>Enter an amount only. Do not enter text or spaces.</v>
      </c>
      <c r="H4095" s="25" t="str">
        <f t="shared" ca="1" si="429"/>
        <v/>
      </c>
      <c r="I4095" s="25" t="str">
        <f t="shared" ca="1" si="430"/>
        <v/>
      </c>
      <c r="J4095" s="26" t="str">
        <f t="shared" ca="1" si="431"/>
        <v/>
      </c>
    </row>
    <row r="4096" spans="1:10" x14ac:dyDescent="0.25">
      <c r="A4096" t="s">
        <v>655</v>
      </c>
      <c r="B4096" t="str">
        <f>ADDRESS(ROW('PAYG 1'!$B$25),COLUMN('PAYG 1'!$B$25),4)</f>
        <v>B25</v>
      </c>
      <c r="C4096" t="str">
        <f>ADDRESS(ROW('PAYG 1'!$D$25),COLUMN('PAYG 1'!$D$25),4)</f>
        <v>D25</v>
      </c>
      <c r="D4096" t="b" cm="1">
        <f t="array" aca="1" ref="D4096" ca="1">IF(INDIRECT("'"&amp;A4096&amp;"'!"&amp;B4096)="",FALSE,IF(NOT(ISNUMBER(INDIRECT("'"&amp;A4096&amp;"'!"&amp;B4096))),TRUE,FALSE))</f>
        <v>0</v>
      </c>
      <c r="E4096" t="s">
        <v>435</v>
      </c>
      <c r="F4096" t="str">
        <f>INDEX(Lists!I:I,MATCH(Validation!E4096,Lists!G:G,0))</f>
        <v>Error</v>
      </c>
      <c r="G4096" t="str">
        <f>INDEX(Lists!H:H,MATCH(Validation!E4096,Lists!G:G,0))</f>
        <v>Enter an amount only. Do not enter text or spaces.</v>
      </c>
      <c r="H4096" s="25" t="str">
        <f t="shared" ca="1" si="429"/>
        <v/>
      </c>
      <c r="I4096" s="25" t="str">
        <f t="shared" ca="1" si="430"/>
        <v/>
      </c>
      <c r="J4096" s="26" t="str">
        <f t="shared" ca="1" si="431"/>
        <v/>
      </c>
    </row>
    <row r="4097" spans="1:10" x14ac:dyDescent="0.25">
      <c r="A4097" t="s">
        <v>656</v>
      </c>
      <c r="B4097" t="str">
        <f>ADDRESS(ROW('PAYG 1'!$B$25),COLUMN('PAYG 1'!$B$25),4)</f>
        <v>B25</v>
      </c>
      <c r="C4097" t="str">
        <f>ADDRESS(ROW('PAYG 1'!$D$25),COLUMN('PAYG 1'!$D$25),4)</f>
        <v>D25</v>
      </c>
      <c r="D4097" t="b" cm="1">
        <f t="array" aca="1" ref="D4097" ca="1">IF(INDIRECT("'"&amp;A4097&amp;"'!"&amp;B4097)="",FALSE,IF(NOT(ISNUMBER(INDIRECT("'"&amp;A4097&amp;"'!"&amp;B4097))),TRUE,FALSE))</f>
        <v>0</v>
      </c>
      <c r="E4097" t="s">
        <v>435</v>
      </c>
      <c r="F4097" t="str">
        <f>INDEX(Lists!I:I,MATCH(Validation!E4097,Lists!G:G,0))</f>
        <v>Error</v>
      </c>
      <c r="G4097" t="str">
        <f>INDEX(Lists!H:H,MATCH(Validation!E4097,Lists!G:G,0))</f>
        <v>Enter an amount only. Do not enter text or spaces.</v>
      </c>
      <c r="H4097" s="25" t="str">
        <f t="shared" ca="1" si="429"/>
        <v/>
      </c>
      <c r="I4097" s="25" t="str">
        <f t="shared" ca="1" si="430"/>
        <v/>
      </c>
      <c r="J4097" s="26" t="str">
        <f t="shared" ca="1" si="431"/>
        <v/>
      </c>
    </row>
    <row r="4098" spans="1:10" x14ac:dyDescent="0.25">
      <c r="A4098" t="s">
        <v>657</v>
      </c>
      <c r="B4098" t="str">
        <f>ADDRESS(ROW('PAYG 1'!$B$25),COLUMN('PAYG 1'!$B$25),4)</f>
        <v>B25</v>
      </c>
      <c r="C4098" t="str">
        <f>ADDRESS(ROW('PAYG 1'!$D$25),COLUMN('PAYG 1'!$D$25),4)</f>
        <v>D25</v>
      </c>
      <c r="D4098" t="b" cm="1">
        <f t="array" aca="1" ref="D4098" ca="1">IF(INDIRECT("'"&amp;A4098&amp;"'!"&amp;B4098)="",FALSE,IF(NOT(ISNUMBER(INDIRECT("'"&amp;A4098&amp;"'!"&amp;B4098))),TRUE,FALSE))</f>
        <v>0</v>
      </c>
      <c r="E4098" t="s">
        <v>435</v>
      </c>
      <c r="F4098" t="str">
        <f>INDEX(Lists!I:I,MATCH(Validation!E4098,Lists!G:G,0))</f>
        <v>Error</v>
      </c>
      <c r="G4098" t="str">
        <f>INDEX(Lists!H:H,MATCH(Validation!E4098,Lists!G:G,0))</f>
        <v>Enter an amount only. Do not enter text or spaces.</v>
      </c>
      <c r="H4098" s="25" t="str">
        <f t="shared" ca="1" si="429"/>
        <v/>
      </c>
      <c r="I4098" s="25" t="str">
        <f t="shared" ca="1" si="430"/>
        <v/>
      </c>
      <c r="J4098" s="26" t="str">
        <f t="shared" ca="1" si="431"/>
        <v/>
      </c>
    </row>
    <row r="4099" spans="1:10" x14ac:dyDescent="0.25">
      <c r="A4099" t="s">
        <v>658</v>
      </c>
      <c r="B4099" t="str">
        <f>ADDRESS(ROW('PAYG 1'!$B$25),COLUMN('PAYG 1'!$B$25),4)</f>
        <v>B25</v>
      </c>
      <c r="C4099" t="str">
        <f>ADDRESS(ROW('PAYG 1'!$D$25),COLUMN('PAYG 1'!$D$25),4)</f>
        <v>D25</v>
      </c>
      <c r="D4099" t="b" cm="1">
        <f t="array" aca="1" ref="D4099" ca="1">IF(INDIRECT("'"&amp;A4099&amp;"'!"&amp;B4099)="",FALSE,IF(NOT(ISNUMBER(INDIRECT("'"&amp;A4099&amp;"'!"&amp;B4099))),TRUE,FALSE))</f>
        <v>0</v>
      </c>
      <c r="E4099" t="s">
        <v>435</v>
      </c>
      <c r="F4099" t="str">
        <f>INDEX(Lists!I:I,MATCH(Validation!E4099,Lists!G:G,0))</f>
        <v>Error</v>
      </c>
      <c r="G4099" t="str">
        <f>INDEX(Lists!H:H,MATCH(Validation!E4099,Lists!G:G,0))</f>
        <v>Enter an amount only. Do not enter text or spaces.</v>
      </c>
      <c r="H4099" s="25" t="str">
        <f t="shared" ca="1" si="429"/>
        <v/>
      </c>
      <c r="I4099" s="25" t="str">
        <f t="shared" ca="1" si="430"/>
        <v/>
      </c>
      <c r="J4099" s="26" t="str">
        <f t="shared" ca="1" si="431"/>
        <v/>
      </c>
    </row>
    <row r="4100" spans="1:10" x14ac:dyDescent="0.25">
      <c r="A4100" t="s">
        <v>659</v>
      </c>
      <c r="B4100" t="str">
        <f>ADDRESS(ROW('PAYG 1'!$B$25),COLUMN('PAYG 1'!$B$25),4)</f>
        <v>B25</v>
      </c>
      <c r="C4100" t="str">
        <f>ADDRESS(ROW('PAYG 1'!$D$25),COLUMN('PAYG 1'!$D$25),4)</f>
        <v>D25</v>
      </c>
      <c r="D4100" t="b" cm="1">
        <f t="array" aca="1" ref="D4100" ca="1">IF(INDIRECT("'"&amp;A4100&amp;"'!"&amp;B4100)="",FALSE,IF(NOT(ISNUMBER(INDIRECT("'"&amp;A4100&amp;"'!"&amp;B4100))),TRUE,FALSE))</f>
        <v>0</v>
      </c>
      <c r="E4100" t="s">
        <v>435</v>
      </c>
      <c r="F4100" t="str">
        <f>INDEX(Lists!I:I,MATCH(Validation!E4100,Lists!G:G,0))</f>
        <v>Error</v>
      </c>
      <c r="G4100" t="str">
        <f>INDEX(Lists!H:H,MATCH(Validation!E4100,Lists!G:G,0))</f>
        <v>Enter an amount only. Do not enter text or spaces.</v>
      </c>
      <c r="H4100" s="25" t="str">
        <f t="shared" ca="1" si="429"/>
        <v/>
      </c>
      <c r="I4100" s="25" t="str">
        <f t="shared" ca="1" si="430"/>
        <v/>
      </c>
      <c r="J4100" s="26" t="str">
        <f t="shared" ca="1" si="431"/>
        <v/>
      </c>
    </row>
    <row r="4101" spans="1:10" x14ac:dyDescent="0.25">
      <c r="A4101" t="s">
        <v>660</v>
      </c>
      <c r="B4101" t="str">
        <f>ADDRESS(ROW('PAYG 1'!$B$25),COLUMN('PAYG 1'!$B$25),4)</f>
        <v>B25</v>
      </c>
      <c r="C4101" t="str">
        <f>ADDRESS(ROW('PAYG 1'!$D$25),COLUMN('PAYG 1'!$D$25),4)</f>
        <v>D25</v>
      </c>
      <c r="D4101" t="b" cm="1">
        <f t="array" aca="1" ref="D4101" ca="1">IF(INDIRECT("'"&amp;A4101&amp;"'!"&amp;B4101)="",FALSE,IF(NOT(ISNUMBER(INDIRECT("'"&amp;A4101&amp;"'!"&amp;B4101))),TRUE,FALSE))</f>
        <v>0</v>
      </c>
      <c r="E4101" t="s">
        <v>435</v>
      </c>
      <c r="F4101" t="str">
        <f>INDEX(Lists!I:I,MATCH(Validation!E4101,Lists!G:G,0))</f>
        <v>Error</v>
      </c>
      <c r="G4101" t="str">
        <f>INDEX(Lists!H:H,MATCH(Validation!E4101,Lists!G:G,0))</f>
        <v>Enter an amount only. Do not enter text or spaces.</v>
      </c>
      <c r="H4101" s="25" t="str">
        <f t="shared" ca="1" si="429"/>
        <v/>
      </c>
      <c r="I4101" s="25" t="str">
        <f t="shared" ca="1" si="430"/>
        <v/>
      </c>
      <c r="J4101" s="26" t="str">
        <f t="shared" ca="1" si="431"/>
        <v/>
      </c>
    </row>
    <row r="4102" spans="1:10" x14ac:dyDescent="0.25">
      <c r="A4102" t="s">
        <v>661</v>
      </c>
      <c r="B4102" t="str">
        <f>ADDRESS(ROW('PAYG 1'!$B$25),COLUMN('PAYG 1'!$B$25),4)</f>
        <v>B25</v>
      </c>
      <c r="C4102" t="str">
        <f>ADDRESS(ROW('PAYG 1'!$D$25),COLUMN('PAYG 1'!$D$25),4)</f>
        <v>D25</v>
      </c>
      <c r="D4102" t="b" cm="1">
        <f t="array" aca="1" ref="D4102" ca="1">IF(INDIRECT("'"&amp;A4102&amp;"'!"&amp;B4102)="",FALSE,IF(NOT(ISNUMBER(INDIRECT("'"&amp;A4102&amp;"'!"&amp;B4102))),TRUE,FALSE))</f>
        <v>0</v>
      </c>
      <c r="E4102" t="s">
        <v>435</v>
      </c>
      <c r="F4102" t="str">
        <f>INDEX(Lists!I:I,MATCH(Validation!E4102,Lists!G:G,0))</f>
        <v>Error</v>
      </c>
      <c r="G4102" t="str">
        <f>INDEX(Lists!H:H,MATCH(Validation!E4102,Lists!G:G,0))</f>
        <v>Enter an amount only. Do not enter text or spaces.</v>
      </c>
      <c r="H4102" s="25" t="str">
        <f t="shared" ca="1" si="429"/>
        <v/>
      </c>
      <c r="I4102" s="25" t="str">
        <f t="shared" ca="1" si="430"/>
        <v/>
      </c>
      <c r="J4102" s="26" t="str">
        <f t="shared" ca="1" si="431"/>
        <v/>
      </c>
    </row>
    <row r="4103" spans="1:10" x14ac:dyDescent="0.25">
      <c r="A4103" t="s">
        <v>662</v>
      </c>
      <c r="B4103" t="str">
        <f>ADDRESS(ROW('PAYG 1'!$B$25),COLUMN('PAYG 1'!$B$25),4)</f>
        <v>B25</v>
      </c>
      <c r="C4103" t="str">
        <f>ADDRESS(ROW('PAYG 1'!$D$25),COLUMN('PAYG 1'!$D$25),4)</f>
        <v>D25</v>
      </c>
      <c r="D4103" t="b" cm="1">
        <f t="array" aca="1" ref="D4103" ca="1">IF(INDIRECT("'"&amp;A4103&amp;"'!"&amp;B4103)="",FALSE,IF(NOT(ISNUMBER(INDIRECT("'"&amp;A4103&amp;"'!"&amp;B4103))),TRUE,FALSE))</f>
        <v>0</v>
      </c>
      <c r="E4103" t="s">
        <v>435</v>
      </c>
      <c r="F4103" t="str">
        <f>INDEX(Lists!I:I,MATCH(Validation!E4103,Lists!G:G,0))</f>
        <v>Error</v>
      </c>
      <c r="G4103" t="str">
        <f>INDEX(Lists!H:H,MATCH(Validation!E4103,Lists!G:G,0))</f>
        <v>Enter an amount only. Do not enter text or spaces.</v>
      </c>
      <c r="H4103" s="25" t="str">
        <f t="shared" ca="1" si="429"/>
        <v/>
      </c>
      <c r="I4103" s="25" t="str">
        <f t="shared" ca="1" si="430"/>
        <v/>
      </c>
      <c r="J4103" s="26" t="str">
        <f t="shared" ca="1" si="431"/>
        <v/>
      </c>
    </row>
    <row r="4104" spans="1:10" x14ac:dyDescent="0.25">
      <c r="A4104" t="s">
        <v>663</v>
      </c>
      <c r="B4104" t="str">
        <f>ADDRESS(ROW('PAYG 1'!$B$25),COLUMN('PAYG 1'!$B$25),4)</f>
        <v>B25</v>
      </c>
      <c r="C4104" t="str">
        <f>ADDRESS(ROW('PAYG 1'!$D$25),COLUMN('PAYG 1'!$D$25),4)</f>
        <v>D25</v>
      </c>
      <c r="D4104" t="b" cm="1">
        <f t="array" aca="1" ref="D4104" ca="1">IF(INDIRECT("'"&amp;A4104&amp;"'!"&amp;B4104)="",FALSE,IF(NOT(ISNUMBER(INDIRECT("'"&amp;A4104&amp;"'!"&amp;B4104))),TRUE,FALSE))</f>
        <v>0</v>
      </c>
      <c r="E4104" t="s">
        <v>435</v>
      </c>
      <c r="F4104" t="str">
        <f>INDEX(Lists!I:I,MATCH(Validation!E4104,Lists!G:G,0))</f>
        <v>Error</v>
      </c>
      <c r="G4104" t="str">
        <f>INDEX(Lists!H:H,MATCH(Validation!E4104,Lists!G:G,0))</f>
        <v>Enter an amount only. Do not enter text or spaces.</v>
      </c>
      <c r="H4104" s="25" t="str">
        <f t="shared" ca="1" si="429"/>
        <v/>
      </c>
      <c r="I4104" s="25" t="str">
        <f t="shared" ca="1" si="430"/>
        <v/>
      </c>
      <c r="J4104" s="26" t="str">
        <f t="shared" ca="1" si="431"/>
        <v/>
      </c>
    </row>
    <row r="4105" spans="1:10" x14ac:dyDescent="0.25">
      <c r="A4105" t="s">
        <v>664</v>
      </c>
      <c r="B4105" t="str">
        <f>ADDRESS(ROW('PAYG 1'!$B$25),COLUMN('PAYG 1'!$B$25),4)</f>
        <v>B25</v>
      </c>
      <c r="C4105" t="str">
        <f>ADDRESS(ROW('PAYG 1'!$D$25),COLUMN('PAYG 1'!$D$25),4)</f>
        <v>D25</v>
      </c>
      <c r="D4105" t="b" cm="1">
        <f t="array" aca="1" ref="D4105" ca="1">IF(INDIRECT("'"&amp;A4105&amp;"'!"&amp;B4105)="",FALSE,IF(NOT(ISNUMBER(INDIRECT("'"&amp;A4105&amp;"'!"&amp;B4105))),TRUE,FALSE))</f>
        <v>0</v>
      </c>
      <c r="E4105" t="s">
        <v>435</v>
      </c>
      <c r="F4105" t="str">
        <f>INDEX(Lists!I:I,MATCH(Validation!E4105,Lists!G:G,0))</f>
        <v>Error</v>
      </c>
      <c r="G4105" t="str">
        <f>INDEX(Lists!H:H,MATCH(Validation!E4105,Lists!G:G,0))</f>
        <v>Enter an amount only. Do not enter text or spaces.</v>
      </c>
      <c r="H4105" s="25" t="str">
        <f t="shared" ca="1" si="429"/>
        <v/>
      </c>
      <c r="I4105" s="25" t="str">
        <f t="shared" ca="1" si="430"/>
        <v/>
      </c>
      <c r="J4105" s="26" t="str">
        <f t="shared" ca="1" si="431"/>
        <v/>
      </c>
    </row>
    <row r="4106" spans="1:10" x14ac:dyDescent="0.25">
      <c r="A4106" t="s">
        <v>203</v>
      </c>
      <c r="B4106" t="str">
        <f>ADDRESS(ROW('PAYG 1'!$B$25),COLUMN('PAYG 1'!$B$25),4)</f>
        <v>B25</v>
      </c>
      <c r="C4106" t="str">
        <f>ADDRESS(ROW('PAYG 1'!$D$25),COLUMN('PAYG 1'!$D$25),4)</f>
        <v>D25</v>
      </c>
      <c r="D4106" t="b" cm="1">
        <f t="array" aca="1" ref="D4106" ca="1">IF(INDIRECT("'"&amp;A4106&amp;"'!"&amp;B4106)="",FALSE,IF(INDIRECT("'"&amp;A4106&amp;"'!"&amp;B4106)&lt;0,TRUE,FALSE))</f>
        <v>0</v>
      </c>
      <c r="E4106" t="s">
        <v>434</v>
      </c>
      <c r="F4106" t="str">
        <f>INDEX(Lists!I:I,MATCH(Validation!E4106,Lists!G:G,0))</f>
        <v>Error</v>
      </c>
      <c r="G4106" t="str">
        <f>INDEX(Lists!H:H,MATCH(Validation!E4106,Lists!G:G,0))</f>
        <v>Amount may not be negative. Enter an amount greater than or equal to zero.</v>
      </c>
      <c r="H4106" s="25" t="str">
        <f t="shared" ca="1" si="429"/>
        <v/>
      </c>
      <c r="I4106" s="25" t="str">
        <f t="shared" ca="1" si="430"/>
        <v/>
      </c>
      <c r="J4106" s="26" t="str">
        <f t="shared" ca="1" si="431"/>
        <v/>
      </c>
    </row>
    <row r="4107" spans="1:10" x14ac:dyDescent="0.25">
      <c r="A4107" t="s">
        <v>651</v>
      </c>
      <c r="B4107" t="str">
        <f>ADDRESS(ROW('PAYG 1'!$B$25),COLUMN('PAYG 1'!$B$25),4)</f>
        <v>B25</v>
      </c>
      <c r="C4107" t="str">
        <f>ADDRESS(ROW('PAYG 1'!$D$25),COLUMN('PAYG 1'!$D$25),4)</f>
        <v>D25</v>
      </c>
      <c r="D4107" t="b" cm="1">
        <f t="array" aca="1" ref="D4107" ca="1">IF(INDIRECT("'"&amp;A4107&amp;"'!"&amp;B4107)="",FALSE,IF(INDIRECT("'"&amp;A4107&amp;"'!"&amp;B4107)&lt;0,TRUE,FALSE))</f>
        <v>0</v>
      </c>
      <c r="E4107" t="s">
        <v>434</v>
      </c>
      <c r="F4107" t="str">
        <f>INDEX(Lists!I:I,MATCH(Validation!E4107,Lists!G:G,0))</f>
        <v>Error</v>
      </c>
      <c r="G4107" t="str">
        <f>INDEX(Lists!H:H,MATCH(Validation!E4107,Lists!G:G,0))</f>
        <v>Amount may not be negative. Enter an amount greater than or equal to zero.</v>
      </c>
      <c r="H4107" s="25" t="str">
        <f t="shared" ca="1" si="429"/>
        <v/>
      </c>
      <c r="I4107" s="25" t="str">
        <f t="shared" ca="1" si="430"/>
        <v/>
      </c>
      <c r="J4107" s="26" t="str">
        <f t="shared" ca="1" si="431"/>
        <v/>
      </c>
    </row>
    <row r="4108" spans="1:10" x14ac:dyDescent="0.25">
      <c r="A4108" t="s">
        <v>652</v>
      </c>
      <c r="B4108" t="str">
        <f>ADDRESS(ROW('PAYG 1'!$B$25),COLUMN('PAYG 1'!$B$25),4)</f>
        <v>B25</v>
      </c>
      <c r="C4108" t="str">
        <f>ADDRESS(ROW('PAYG 1'!$D$25),COLUMN('PAYG 1'!$D$25),4)</f>
        <v>D25</v>
      </c>
      <c r="D4108" t="b" cm="1">
        <f t="array" aca="1" ref="D4108" ca="1">IF(INDIRECT("'"&amp;A4108&amp;"'!"&amp;B4108)="",FALSE,IF(INDIRECT("'"&amp;A4108&amp;"'!"&amp;B4108)&lt;0,TRUE,FALSE))</f>
        <v>0</v>
      </c>
      <c r="E4108" t="s">
        <v>434</v>
      </c>
      <c r="F4108" t="str">
        <f>INDEX(Lists!I:I,MATCH(Validation!E4108,Lists!G:G,0))</f>
        <v>Error</v>
      </c>
      <c r="G4108" t="str">
        <f>INDEX(Lists!H:H,MATCH(Validation!E4108,Lists!G:G,0))</f>
        <v>Amount may not be negative. Enter an amount greater than or equal to zero.</v>
      </c>
      <c r="H4108" s="25" t="str">
        <f t="shared" ca="1" si="429"/>
        <v/>
      </c>
      <c r="I4108" s="25" t="str">
        <f t="shared" ca="1" si="430"/>
        <v/>
      </c>
      <c r="J4108" s="26" t="str">
        <f t="shared" ca="1" si="431"/>
        <v/>
      </c>
    </row>
    <row r="4109" spans="1:10" x14ac:dyDescent="0.25">
      <c r="A4109" t="s">
        <v>653</v>
      </c>
      <c r="B4109" t="str">
        <f>ADDRESS(ROW('PAYG 1'!$B$25),COLUMN('PAYG 1'!$B$25),4)</f>
        <v>B25</v>
      </c>
      <c r="C4109" t="str">
        <f>ADDRESS(ROW('PAYG 1'!$D$25),COLUMN('PAYG 1'!$D$25),4)</f>
        <v>D25</v>
      </c>
      <c r="D4109" t="b" cm="1">
        <f t="array" aca="1" ref="D4109" ca="1">IF(INDIRECT("'"&amp;A4109&amp;"'!"&amp;B4109)="",FALSE,IF(INDIRECT("'"&amp;A4109&amp;"'!"&amp;B4109)&lt;0,TRUE,FALSE))</f>
        <v>0</v>
      </c>
      <c r="E4109" t="s">
        <v>434</v>
      </c>
      <c r="F4109" t="str">
        <f>INDEX(Lists!I:I,MATCH(Validation!E4109,Lists!G:G,0))</f>
        <v>Error</v>
      </c>
      <c r="G4109" t="str">
        <f>INDEX(Lists!H:H,MATCH(Validation!E4109,Lists!G:G,0))</f>
        <v>Amount may not be negative. Enter an amount greater than or equal to zero.</v>
      </c>
      <c r="H4109" s="25" t="str">
        <f t="shared" ca="1" si="429"/>
        <v/>
      </c>
      <c r="I4109" s="25" t="str">
        <f t="shared" ca="1" si="430"/>
        <v/>
      </c>
      <c r="J4109" s="26" t="str">
        <f t="shared" ca="1" si="431"/>
        <v/>
      </c>
    </row>
    <row r="4110" spans="1:10" x14ac:dyDescent="0.25">
      <c r="A4110" t="s">
        <v>654</v>
      </c>
      <c r="B4110" t="str">
        <f>ADDRESS(ROW('PAYG 1'!$B$25),COLUMN('PAYG 1'!$B$25),4)</f>
        <v>B25</v>
      </c>
      <c r="C4110" t="str">
        <f>ADDRESS(ROW('PAYG 1'!$D$25),COLUMN('PAYG 1'!$D$25),4)</f>
        <v>D25</v>
      </c>
      <c r="D4110" t="b" cm="1">
        <f t="array" aca="1" ref="D4110" ca="1">IF(INDIRECT("'"&amp;A4110&amp;"'!"&amp;B4110)="",FALSE,IF(INDIRECT("'"&amp;A4110&amp;"'!"&amp;B4110)&lt;0,TRUE,FALSE))</f>
        <v>0</v>
      </c>
      <c r="E4110" t="s">
        <v>434</v>
      </c>
      <c r="F4110" t="str">
        <f>INDEX(Lists!I:I,MATCH(Validation!E4110,Lists!G:G,0))</f>
        <v>Error</v>
      </c>
      <c r="G4110" t="str">
        <f>INDEX(Lists!H:H,MATCH(Validation!E4110,Lists!G:G,0))</f>
        <v>Amount may not be negative. Enter an amount greater than or equal to zero.</v>
      </c>
      <c r="H4110" s="25" t="str">
        <f t="shared" ref="H4110:H4169" ca="1" si="435">IFERROR(IF(OR(NOT(D4110),F4110&lt;&gt;"Error"),"",A4110&amp;CELL("address",INDIRECT(B4110))),"")</f>
        <v/>
      </c>
      <c r="I4110" s="25" t="str">
        <f t="shared" ref="I4110:I4169" ca="1" si="436">IFERROR(IF(NOT(D4110),"",A4110&amp;CELL("address",INDIRECT(C4110))),"")</f>
        <v/>
      </c>
      <c r="J4110" s="26" t="str">
        <f t="shared" ref="J4110:J4169" ca="1" si="437">IFERROR(IF(NOT(D4110),"",A4110),"")</f>
        <v/>
      </c>
    </row>
    <row r="4111" spans="1:10" x14ac:dyDescent="0.25">
      <c r="A4111" t="s">
        <v>655</v>
      </c>
      <c r="B4111" t="str">
        <f>ADDRESS(ROW('PAYG 1'!$B$25),COLUMN('PAYG 1'!$B$25),4)</f>
        <v>B25</v>
      </c>
      <c r="C4111" t="str">
        <f>ADDRESS(ROW('PAYG 1'!$D$25),COLUMN('PAYG 1'!$D$25),4)</f>
        <v>D25</v>
      </c>
      <c r="D4111" t="b" cm="1">
        <f t="array" aca="1" ref="D4111" ca="1">IF(INDIRECT("'"&amp;A4111&amp;"'!"&amp;B4111)="",FALSE,IF(INDIRECT("'"&amp;A4111&amp;"'!"&amp;B4111)&lt;0,TRUE,FALSE))</f>
        <v>0</v>
      </c>
      <c r="E4111" t="s">
        <v>434</v>
      </c>
      <c r="F4111" t="str">
        <f>INDEX(Lists!I:I,MATCH(Validation!E4111,Lists!G:G,0))</f>
        <v>Error</v>
      </c>
      <c r="G4111" t="str">
        <f>INDEX(Lists!H:H,MATCH(Validation!E4111,Lists!G:G,0))</f>
        <v>Amount may not be negative. Enter an amount greater than or equal to zero.</v>
      </c>
      <c r="H4111" s="25" t="str">
        <f t="shared" ca="1" si="435"/>
        <v/>
      </c>
      <c r="I4111" s="25" t="str">
        <f t="shared" ca="1" si="436"/>
        <v/>
      </c>
      <c r="J4111" s="26" t="str">
        <f t="shared" ca="1" si="437"/>
        <v/>
      </c>
    </row>
    <row r="4112" spans="1:10" x14ac:dyDescent="0.25">
      <c r="A4112" t="s">
        <v>656</v>
      </c>
      <c r="B4112" t="str">
        <f>ADDRESS(ROW('PAYG 1'!$B$25),COLUMN('PAYG 1'!$B$25),4)</f>
        <v>B25</v>
      </c>
      <c r="C4112" t="str">
        <f>ADDRESS(ROW('PAYG 1'!$D$25),COLUMN('PAYG 1'!$D$25),4)</f>
        <v>D25</v>
      </c>
      <c r="D4112" t="b" cm="1">
        <f t="array" aca="1" ref="D4112" ca="1">IF(INDIRECT("'"&amp;A4112&amp;"'!"&amp;B4112)="",FALSE,IF(INDIRECT("'"&amp;A4112&amp;"'!"&amp;B4112)&lt;0,TRUE,FALSE))</f>
        <v>0</v>
      </c>
      <c r="E4112" t="s">
        <v>434</v>
      </c>
      <c r="F4112" t="str">
        <f>INDEX(Lists!I:I,MATCH(Validation!E4112,Lists!G:G,0))</f>
        <v>Error</v>
      </c>
      <c r="G4112" t="str">
        <f>INDEX(Lists!H:H,MATCH(Validation!E4112,Lists!G:G,0))</f>
        <v>Amount may not be negative. Enter an amount greater than or equal to zero.</v>
      </c>
      <c r="H4112" s="25" t="str">
        <f t="shared" ca="1" si="435"/>
        <v/>
      </c>
      <c r="I4112" s="25" t="str">
        <f t="shared" ca="1" si="436"/>
        <v/>
      </c>
      <c r="J4112" s="26" t="str">
        <f t="shared" ca="1" si="437"/>
        <v/>
      </c>
    </row>
    <row r="4113" spans="1:10" x14ac:dyDescent="0.25">
      <c r="A4113" t="s">
        <v>657</v>
      </c>
      <c r="B4113" t="str">
        <f>ADDRESS(ROW('PAYG 1'!$B$25),COLUMN('PAYG 1'!$B$25),4)</f>
        <v>B25</v>
      </c>
      <c r="C4113" t="str">
        <f>ADDRESS(ROW('PAYG 1'!$D$25),COLUMN('PAYG 1'!$D$25),4)</f>
        <v>D25</v>
      </c>
      <c r="D4113" t="b" cm="1">
        <f t="array" aca="1" ref="D4113" ca="1">IF(INDIRECT("'"&amp;A4113&amp;"'!"&amp;B4113)="",FALSE,IF(INDIRECT("'"&amp;A4113&amp;"'!"&amp;B4113)&lt;0,TRUE,FALSE))</f>
        <v>0</v>
      </c>
      <c r="E4113" t="s">
        <v>434</v>
      </c>
      <c r="F4113" t="str">
        <f>INDEX(Lists!I:I,MATCH(Validation!E4113,Lists!G:G,0))</f>
        <v>Error</v>
      </c>
      <c r="G4113" t="str">
        <f>INDEX(Lists!H:H,MATCH(Validation!E4113,Lists!G:G,0))</f>
        <v>Amount may not be negative. Enter an amount greater than or equal to zero.</v>
      </c>
      <c r="H4113" s="25" t="str">
        <f t="shared" ca="1" si="435"/>
        <v/>
      </c>
      <c r="I4113" s="25" t="str">
        <f t="shared" ca="1" si="436"/>
        <v/>
      </c>
      <c r="J4113" s="26" t="str">
        <f t="shared" ca="1" si="437"/>
        <v/>
      </c>
    </row>
    <row r="4114" spans="1:10" x14ac:dyDescent="0.25">
      <c r="A4114" t="s">
        <v>658</v>
      </c>
      <c r="B4114" t="str">
        <f>ADDRESS(ROW('PAYG 1'!$B$25),COLUMN('PAYG 1'!$B$25),4)</f>
        <v>B25</v>
      </c>
      <c r="C4114" t="str">
        <f>ADDRESS(ROW('PAYG 1'!$D$25),COLUMN('PAYG 1'!$D$25),4)</f>
        <v>D25</v>
      </c>
      <c r="D4114" t="b" cm="1">
        <f t="array" aca="1" ref="D4114" ca="1">IF(INDIRECT("'"&amp;A4114&amp;"'!"&amp;B4114)="",FALSE,IF(INDIRECT("'"&amp;A4114&amp;"'!"&amp;B4114)&lt;0,TRUE,FALSE))</f>
        <v>0</v>
      </c>
      <c r="E4114" t="s">
        <v>434</v>
      </c>
      <c r="F4114" t="str">
        <f>INDEX(Lists!I:I,MATCH(Validation!E4114,Lists!G:G,0))</f>
        <v>Error</v>
      </c>
      <c r="G4114" t="str">
        <f>INDEX(Lists!H:H,MATCH(Validation!E4114,Lists!G:G,0))</f>
        <v>Amount may not be negative. Enter an amount greater than or equal to zero.</v>
      </c>
      <c r="H4114" s="25" t="str">
        <f t="shared" ca="1" si="435"/>
        <v/>
      </c>
      <c r="I4114" s="25" t="str">
        <f t="shared" ca="1" si="436"/>
        <v/>
      </c>
      <c r="J4114" s="26" t="str">
        <f t="shared" ca="1" si="437"/>
        <v/>
      </c>
    </row>
    <row r="4115" spans="1:10" x14ac:dyDescent="0.25">
      <c r="A4115" t="s">
        <v>659</v>
      </c>
      <c r="B4115" t="str">
        <f>ADDRESS(ROW('PAYG 1'!$B$25),COLUMN('PAYG 1'!$B$25),4)</f>
        <v>B25</v>
      </c>
      <c r="C4115" t="str">
        <f>ADDRESS(ROW('PAYG 1'!$D$25),COLUMN('PAYG 1'!$D$25),4)</f>
        <v>D25</v>
      </c>
      <c r="D4115" t="b" cm="1">
        <f t="array" aca="1" ref="D4115" ca="1">IF(INDIRECT("'"&amp;A4115&amp;"'!"&amp;B4115)="",FALSE,IF(INDIRECT("'"&amp;A4115&amp;"'!"&amp;B4115)&lt;0,TRUE,FALSE))</f>
        <v>0</v>
      </c>
      <c r="E4115" t="s">
        <v>434</v>
      </c>
      <c r="F4115" t="str">
        <f>INDEX(Lists!I:I,MATCH(Validation!E4115,Lists!G:G,0))</f>
        <v>Error</v>
      </c>
      <c r="G4115" t="str">
        <f>INDEX(Lists!H:H,MATCH(Validation!E4115,Lists!G:G,0))</f>
        <v>Amount may not be negative. Enter an amount greater than or equal to zero.</v>
      </c>
      <c r="H4115" s="25" t="str">
        <f t="shared" ca="1" si="435"/>
        <v/>
      </c>
      <c r="I4115" s="25" t="str">
        <f t="shared" ca="1" si="436"/>
        <v/>
      </c>
      <c r="J4115" s="26" t="str">
        <f t="shared" ca="1" si="437"/>
        <v/>
      </c>
    </row>
    <row r="4116" spans="1:10" x14ac:dyDescent="0.25">
      <c r="A4116" t="s">
        <v>660</v>
      </c>
      <c r="B4116" t="str">
        <f>ADDRESS(ROW('PAYG 1'!$B$25),COLUMN('PAYG 1'!$B$25),4)</f>
        <v>B25</v>
      </c>
      <c r="C4116" t="str">
        <f>ADDRESS(ROW('PAYG 1'!$D$25),COLUMN('PAYG 1'!$D$25),4)</f>
        <v>D25</v>
      </c>
      <c r="D4116" t="b" cm="1">
        <f t="array" aca="1" ref="D4116" ca="1">IF(INDIRECT("'"&amp;A4116&amp;"'!"&amp;B4116)="",FALSE,IF(INDIRECT("'"&amp;A4116&amp;"'!"&amp;B4116)&lt;0,TRUE,FALSE))</f>
        <v>0</v>
      </c>
      <c r="E4116" t="s">
        <v>434</v>
      </c>
      <c r="F4116" t="str">
        <f>INDEX(Lists!I:I,MATCH(Validation!E4116,Lists!G:G,0))</f>
        <v>Error</v>
      </c>
      <c r="G4116" t="str">
        <f>INDEX(Lists!H:H,MATCH(Validation!E4116,Lists!G:G,0))</f>
        <v>Amount may not be negative. Enter an amount greater than or equal to zero.</v>
      </c>
      <c r="H4116" s="25" t="str">
        <f t="shared" ca="1" si="435"/>
        <v/>
      </c>
      <c r="I4116" s="25" t="str">
        <f t="shared" ca="1" si="436"/>
        <v/>
      </c>
      <c r="J4116" s="26" t="str">
        <f t="shared" ca="1" si="437"/>
        <v/>
      </c>
    </row>
    <row r="4117" spans="1:10" x14ac:dyDescent="0.25">
      <c r="A4117" t="s">
        <v>661</v>
      </c>
      <c r="B4117" t="str">
        <f>ADDRESS(ROW('PAYG 1'!$B$25),COLUMN('PAYG 1'!$B$25),4)</f>
        <v>B25</v>
      </c>
      <c r="C4117" t="str">
        <f>ADDRESS(ROW('PAYG 1'!$D$25),COLUMN('PAYG 1'!$D$25),4)</f>
        <v>D25</v>
      </c>
      <c r="D4117" t="b" cm="1">
        <f t="array" aca="1" ref="D4117" ca="1">IF(INDIRECT("'"&amp;A4117&amp;"'!"&amp;B4117)="",FALSE,IF(INDIRECT("'"&amp;A4117&amp;"'!"&amp;B4117)&lt;0,TRUE,FALSE))</f>
        <v>0</v>
      </c>
      <c r="E4117" t="s">
        <v>434</v>
      </c>
      <c r="F4117" t="str">
        <f>INDEX(Lists!I:I,MATCH(Validation!E4117,Lists!G:G,0))</f>
        <v>Error</v>
      </c>
      <c r="G4117" t="str">
        <f>INDEX(Lists!H:H,MATCH(Validation!E4117,Lists!G:G,0))</f>
        <v>Amount may not be negative. Enter an amount greater than or equal to zero.</v>
      </c>
      <c r="H4117" s="25" t="str">
        <f t="shared" ca="1" si="435"/>
        <v/>
      </c>
      <c r="I4117" s="25" t="str">
        <f t="shared" ca="1" si="436"/>
        <v/>
      </c>
      <c r="J4117" s="26" t="str">
        <f t="shared" ca="1" si="437"/>
        <v/>
      </c>
    </row>
    <row r="4118" spans="1:10" x14ac:dyDescent="0.25">
      <c r="A4118" t="s">
        <v>662</v>
      </c>
      <c r="B4118" t="str">
        <f>ADDRESS(ROW('PAYG 1'!$B$25),COLUMN('PAYG 1'!$B$25),4)</f>
        <v>B25</v>
      </c>
      <c r="C4118" t="str">
        <f>ADDRESS(ROW('PAYG 1'!$D$25),COLUMN('PAYG 1'!$D$25),4)</f>
        <v>D25</v>
      </c>
      <c r="D4118" t="b" cm="1">
        <f t="array" aca="1" ref="D4118" ca="1">IF(INDIRECT("'"&amp;A4118&amp;"'!"&amp;B4118)="",FALSE,IF(INDIRECT("'"&amp;A4118&amp;"'!"&amp;B4118)&lt;0,TRUE,FALSE))</f>
        <v>0</v>
      </c>
      <c r="E4118" t="s">
        <v>434</v>
      </c>
      <c r="F4118" t="str">
        <f>INDEX(Lists!I:I,MATCH(Validation!E4118,Lists!G:G,0))</f>
        <v>Error</v>
      </c>
      <c r="G4118" t="str">
        <f>INDEX(Lists!H:H,MATCH(Validation!E4118,Lists!G:G,0))</f>
        <v>Amount may not be negative. Enter an amount greater than or equal to zero.</v>
      </c>
      <c r="H4118" s="25" t="str">
        <f t="shared" ca="1" si="435"/>
        <v/>
      </c>
      <c r="I4118" s="25" t="str">
        <f t="shared" ca="1" si="436"/>
        <v/>
      </c>
      <c r="J4118" s="26" t="str">
        <f t="shared" ca="1" si="437"/>
        <v/>
      </c>
    </row>
    <row r="4119" spans="1:10" x14ac:dyDescent="0.25">
      <c r="A4119" t="s">
        <v>663</v>
      </c>
      <c r="B4119" t="str">
        <f>ADDRESS(ROW('PAYG 1'!$B$25),COLUMN('PAYG 1'!$B$25),4)</f>
        <v>B25</v>
      </c>
      <c r="C4119" t="str">
        <f>ADDRESS(ROW('PAYG 1'!$D$25),COLUMN('PAYG 1'!$D$25),4)</f>
        <v>D25</v>
      </c>
      <c r="D4119" t="b" cm="1">
        <f t="array" aca="1" ref="D4119" ca="1">IF(INDIRECT("'"&amp;A4119&amp;"'!"&amp;B4119)="",FALSE,IF(INDIRECT("'"&amp;A4119&amp;"'!"&amp;B4119)&lt;0,TRUE,FALSE))</f>
        <v>0</v>
      </c>
      <c r="E4119" t="s">
        <v>434</v>
      </c>
      <c r="F4119" t="str">
        <f>INDEX(Lists!I:I,MATCH(Validation!E4119,Lists!G:G,0))</f>
        <v>Error</v>
      </c>
      <c r="G4119" t="str">
        <f>INDEX(Lists!H:H,MATCH(Validation!E4119,Lists!G:G,0))</f>
        <v>Amount may not be negative. Enter an amount greater than or equal to zero.</v>
      </c>
      <c r="H4119" s="25" t="str">
        <f t="shared" ca="1" si="435"/>
        <v/>
      </c>
      <c r="I4119" s="25" t="str">
        <f t="shared" ca="1" si="436"/>
        <v/>
      </c>
      <c r="J4119" s="26" t="str">
        <f t="shared" ca="1" si="437"/>
        <v/>
      </c>
    </row>
    <row r="4120" spans="1:10" x14ac:dyDescent="0.25">
      <c r="A4120" t="s">
        <v>664</v>
      </c>
      <c r="B4120" t="str">
        <f>ADDRESS(ROW('PAYG 1'!$B$25),COLUMN('PAYG 1'!$B$25),4)</f>
        <v>B25</v>
      </c>
      <c r="C4120" t="str">
        <f>ADDRESS(ROW('PAYG 1'!$D$25),COLUMN('PAYG 1'!$D$25),4)</f>
        <v>D25</v>
      </c>
      <c r="D4120" t="b" cm="1">
        <f t="array" aca="1" ref="D4120" ca="1">IF(INDIRECT("'"&amp;A4120&amp;"'!"&amp;B4120)="",FALSE,IF(INDIRECT("'"&amp;A4120&amp;"'!"&amp;B4120)&lt;0,TRUE,FALSE))</f>
        <v>0</v>
      </c>
      <c r="E4120" t="s">
        <v>434</v>
      </c>
      <c r="F4120" t="str">
        <f>INDEX(Lists!I:I,MATCH(Validation!E4120,Lists!G:G,0))</f>
        <v>Error</v>
      </c>
      <c r="G4120" t="str">
        <f>INDEX(Lists!H:H,MATCH(Validation!E4120,Lists!G:G,0))</f>
        <v>Amount may not be negative. Enter an amount greater than or equal to zero.</v>
      </c>
      <c r="H4120" s="25" t="str">
        <f t="shared" ca="1" si="435"/>
        <v/>
      </c>
      <c r="I4120" s="25" t="str">
        <f t="shared" ca="1" si="436"/>
        <v/>
      </c>
      <c r="J4120" s="26" t="str">
        <f t="shared" ca="1" si="437"/>
        <v/>
      </c>
    </row>
    <row r="4121" spans="1:10" x14ac:dyDescent="0.25">
      <c r="A4121" t="s">
        <v>203</v>
      </c>
      <c r="B4121" t="str">
        <f>ADDRESS(ROW('PAYG 1'!$B$25),COLUMN('PAYG 1'!$B$25),4)</f>
        <v>B25</v>
      </c>
      <c r="C4121" t="str">
        <f>ADDRESS(ROW('PAYG 1'!$D$25),COLUMN('PAYG 1'!$D$25),4)</f>
        <v>D25</v>
      </c>
      <c r="D4121" t="b" cm="1">
        <f t="array" aca="1" ref="D4121" ca="1">IF(INDIRECT("'"&amp;A4121&amp;"'!"&amp;B4121)="",FALSE,IF(TRUNC(INDIRECT("'"&amp;A4121&amp;"'!"&amp;B4121))=INDIRECT("'"&amp;A4121&amp;"'!"&amp;B4121),FALSE,TRUE))</f>
        <v>0</v>
      </c>
      <c r="E4121" t="s">
        <v>436</v>
      </c>
      <c r="F4121" t="str">
        <f>INDEX(Lists!I:I,MATCH(Validation!E4121,Lists!G:G,0))</f>
        <v>Error</v>
      </c>
      <c r="G4121" t="str">
        <f>INDEX(Lists!H:H,MATCH(Validation!E4121,Lists!G:G,0))</f>
        <v>Amount must be rounded to the nearest dollar.</v>
      </c>
      <c r="H4121" s="25" t="str">
        <f t="shared" ca="1" si="435"/>
        <v/>
      </c>
      <c r="I4121" s="25" t="str">
        <f t="shared" ca="1" si="436"/>
        <v/>
      </c>
      <c r="J4121" s="26" t="str">
        <f t="shared" ca="1" si="437"/>
        <v/>
      </c>
    </row>
    <row r="4122" spans="1:10" x14ac:dyDescent="0.25">
      <c r="A4122" t="s">
        <v>651</v>
      </c>
      <c r="B4122" t="str">
        <f>ADDRESS(ROW('PAYG 1'!$B$25),COLUMN('PAYG 1'!$B$25),4)</f>
        <v>B25</v>
      </c>
      <c r="C4122" t="str">
        <f>ADDRESS(ROW('PAYG 1'!$D$25),COLUMN('PAYG 1'!$D$25),4)</f>
        <v>D25</v>
      </c>
      <c r="D4122" t="b" cm="1">
        <f t="array" aca="1" ref="D4122" ca="1">IF(INDIRECT("'"&amp;A4122&amp;"'!"&amp;B4122)="",FALSE,IF(TRUNC(INDIRECT("'"&amp;A4122&amp;"'!"&amp;B4122))=INDIRECT("'"&amp;A4122&amp;"'!"&amp;B4122),FALSE,TRUE))</f>
        <v>0</v>
      </c>
      <c r="E4122" t="s">
        <v>436</v>
      </c>
      <c r="F4122" t="str">
        <f>INDEX(Lists!I:I,MATCH(Validation!E4122,Lists!G:G,0))</f>
        <v>Error</v>
      </c>
      <c r="G4122" t="str">
        <f>INDEX(Lists!H:H,MATCH(Validation!E4122,Lists!G:G,0))</f>
        <v>Amount must be rounded to the nearest dollar.</v>
      </c>
      <c r="H4122" s="25" t="str">
        <f t="shared" ca="1" si="435"/>
        <v/>
      </c>
      <c r="I4122" s="25" t="str">
        <f t="shared" ca="1" si="436"/>
        <v/>
      </c>
      <c r="J4122" s="26" t="str">
        <f t="shared" ca="1" si="437"/>
        <v/>
      </c>
    </row>
    <row r="4123" spans="1:10" x14ac:dyDescent="0.25">
      <c r="A4123" t="s">
        <v>652</v>
      </c>
      <c r="B4123" t="str">
        <f>ADDRESS(ROW('PAYG 1'!$B$25),COLUMN('PAYG 1'!$B$25),4)</f>
        <v>B25</v>
      </c>
      <c r="C4123" t="str">
        <f>ADDRESS(ROW('PAYG 1'!$D$25),COLUMN('PAYG 1'!$D$25),4)</f>
        <v>D25</v>
      </c>
      <c r="D4123" t="b" cm="1">
        <f t="array" aca="1" ref="D4123" ca="1">IF(INDIRECT("'"&amp;A4123&amp;"'!"&amp;B4123)="",FALSE,IF(TRUNC(INDIRECT("'"&amp;A4123&amp;"'!"&amp;B4123))=INDIRECT("'"&amp;A4123&amp;"'!"&amp;B4123),FALSE,TRUE))</f>
        <v>0</v>
      </c>
      <c r="E4123" t="s">
        <v>436</v>
      </c>
      <c r="F4123" t="str">
        <f>INDEX(Lists!I:I,MATCH(Validation!E4123,Lists!G:G,0))</f>
        <v>Error</v>
      </c>
      <c r="G4123" t="str">
        <f>INDEX(Lists!H:H,MATCH(Validation!E4123,Lists!G:G,0))</f>
        <v>Amount must be rounded to the nearest dollar.</v>
      </c>
      <c r="H4123" s="25" t="str">
        <f t="shared" ca="1" si="435"/>
        <v/>
      </c>
      <c r="I4123" s="25" t="str">
        <f t="shared" ca="1" si="436"/>
        <v/>
      </c>
      <c r="J4123" s="26" t="str">
        <f t="shared" ca="1" si="437"/>
        <v/>
      </c>
    </row>
    <row r="4124" spans="1:10" x14ac:dyDescent="0.25">
      <c r="A4124" t="s">
        <v>653</v>
      </c>
      <c r="B4124" t="str">
        <f>ADDRESS(ROW('PAYG 1'!$B$25),COLUMN('PAYG 1'!$B$25),4)</f>
        <v>B25</v>
      </c>
      <c r="C4124" t="str">
        <f>ADDRESS(ROW('PAYG 1'!$D$25),COLUMN('PAYG 1'!$D$25),4)</f>
        <v>D25</v>
      </c>
      <c r="D4124" t="b" cm="1">
        <f t="array" aca="1" ref="D4124" ca="1">IF(INDIRECT("'"&amp;A4124&amp;"'!"&amp;B4124)="",FALSE,IF(TRUNC(INDIRECT("'"&amp;A4124&amp;"'!"&amp;B4124))=INDIRECT("'"&amp;A4124&amp;"'!"&amp;B4124),FALSE,TRUE))</f>
        <v>0</v>
      </c>
      <c r="E4124" t="s">
        <v>436</v>
      </c>
      <c r="F4124" t="str">
        <f>INDEX(Lists!I:I,MATCH(Validation!E4124,Lists!G:G,0))</f>
        <v>Error</v>
      </c>
      <c r="G4124" t="str">
        <f>INDEX(Lists!H:H,MATCH(Validation!E4124,Lists!G:G,0))</f>
        <v>Amount must be rounded to the nearest dollar.</v>
      </c>
      <c r="H4124" s="25" t="str">
        <f t="shared" ca="1" si="435"/>
        <v/>
      </c>
      <c r="I4124" s="25" t="str">
        <f t="shared" ca="1" si="436"/>
        <v/>
      </c>
      <c r="J4124" s="26" t="str">
        <f t="shared" ca="1" si="437"/>
        <v/>
      </c>
    </row>
    <row r="4125" spans="1:10" x14ac:dyDescent="0.25">
      <c r="A4125" t="s">
        <v>654</v>
      </c>
      <c r="B4125" t="str">
        <f>ADDRESS(ROW('PAYG 1'!$B$25),COLUMN('PAYG 1'!$B$25),4)</f>
        <v>B25</v>
      </c>
      <c r="C4125" t="str">
        <f>ADDRESS(ROW('PAYG 1'!$D$25),COLUMN('PAYG 1'!$D$25),4)</f>
        <v>D25</v>
      </c>
      <c r="D4125" t="b" cm="1">
        <f t="array" aca="1" ref="D4125" ca="1">IF(INDIRECT("'"&amp;A4125&amp;"'!"&amp;B4125)="",FALSE,IF(TRUNC(INDIRECT("'"&amp;A4125&amp;"'!"&amp;B4125))=INDIRECT("'"&amp;A4125&amp;"'!"&amp;B4125),FALSE,TRUE))</f>
        <v>0</v>
      </c>
      <c r="E4125" t="s">
        <v>436</v>
      </c>
      <c r="F4125" t="str">
        <f>INDEX(Lists!I:I,MATCH(Validation!E4125,Lists!G:G,0))</f>
        <v>Error</v>
      </c>
      <c r="G4125" t="str">
        <f>INDEX(Lists!H:H,MATCH(Validation!E4125,Lists!G:G,0))</f>
        <v>Amount must be rounded to the nearest dollar.</v>
      </c>
      <c r="H4125" s="25" t="str">
        <f t="shared" ca="1" si="435"/>
        <v/>
      </c>
      <c r="I4125" s="25" t="str">
        <f t="shared" ca="1" si="436"/>
        <v/>
      </c>
      <c r="J4125" s="26" t="str">
        <f t="shared" ca="1" si="437"/>
        <v/>
      </c>
    </row>
    <row r="4126" spans="1:10" x14ac:dyDescent="0.25">
      <c r="A4126" t="s">
        <v>655</v>
      </c>
      <c r="B4126" t="str">
        <f>ADDRESS(ROW('PAYG 1'!$B$25),COLUMN('PAYG 1'!$B$25),4)</f>
        <v>B25</v>
      </c>
      <c r="C4126" t="str">
        <f>ADDRESS(ROW('PAYG 1'!$D$25),COLUMN('PAYG 1'!$D$25),4)</f>
        <v>D25</v>
      </c>
      <c r="D4126" t="b" cm="1">
        <f t="array" aca="1" ref="D4126" ca="1">IF(INDIRECT("'"&amp;A4126&amp;"'!"&amp;B4126)="",FALSE,IF(TRUNC(INDIRECT("'"&amp;A4126&amp;"'!"&amp;B4126))=INDIRECT("'"&amp;A4126&amp;"'!"&amp;B4126),FALSE,TRUE))</f>
        <v>0</v>
      </c>
      <c r="E4126" t="s">
        <v>436</v>
      </c>
      <c r="F4126" t="str">
        <f>INDEX(Lists!I:I,MATCH(Validation!E4126,Lists!G:G,0))</f>
        <v>Error</v>
      </c>
      <c r="G4126" t="str">
        <f>INDEX(Lists!H:H,MATCH(Validation!E4126,Lists!G:G,0))</f>
        <v>Amount must be rounded to the nearest dollar.</v>
      </c>
      <c r="H4126" s="25" t="str">
        <f t="shared" ca="1" si="435"/>
        <v/>
      </c>
      <c r="I4126" s="25" t="str">
        <f t="shared" ca="1" si="436"/>
        <v/>
      </c>
      <c r="J4126" s="26" t="str">
        <f t="shared" ca="1" si="437"/>
        <v/>
      </c>
    </row>
    <row r="4127" spans="1:10" x14ac:dyDescent="0.25">
      <c r="A4127" t="s">
        <v>656</v>
      </c>
      <c r="B4127" t="str">
        <f>ADDRESS(ROW('PAYG 1'!$B$25),COLUMN('PAYG 1'!$B$25),4)</f>
        <v>B25</v>
      </c>
      <c r="C4127" t="str">
        <f>ADDRESS(ROW('PAYG 1'!$D$25),COLUMN('PAYG 1'!$D$25),4)</f>
        <v>D25</v>
      </c>
      <c r="D4127" t="b" cm="1">
        <f t="array" aca="1" ref="D4127" ca="1">IF(INDIRECT("'"&amp;A4127&amp;"'!"&amp;B4127)="",FALSE,IF(TRUNC(INDIRECT("'"&amp;A4127&amp;"'!"&amp;B4127))=INDIRECT("'"&amp;A4127&amp;"'!"&amp;B4127),FALSE,TRUE))</f>
        <v>0</v>
      </c>
      <c r="E4127" t="s">
        <v>436</v>
      </c>
      <c r="F4127" t="str">
        <f>INDEX(Lists!I:I,MATCH(Validation!E4127,Lists!G:G,0))</f>
        <v>Error</v>
      </c>
      <c r="G4127" t="str">
        <f>INDEX(Lists!H:H,MATCH(Validation!E4127,Lists!G:G,0))</f>
        <v>Amount must be rounded to the nearest dollar.</v>
      </c>
      <c r="H4127" s="25" t="str">
        <f t="shared" ca="1" si="435"/>
        <v/>
      </c>
      <c r="I4127" s="25" t="str">
        <f t="shared" ca="1" si="436"/>
        <v/>
      </c>
      <c r="J4127" s="26" t="str">
        <f t="shared" ca="1" si="437"/>
        <v/>
      </c>
    </row>
    <row r="4128" spans="1:10" x14ac:dyDescent="0.25">
      <c r="A4128" t="s">
        <v>657</v>
      </c>
      <c r="B4128" t="str">
        <f>ADDRESS(ROW('PAYG 1'!$B$25),COLUMN('PAYG 1'!$B$25),4)</f>
        <v>B25</v>
      </c>
      <c r="C4128" t="str">
        <f>ADDRESS(ROW('PAYG 1'!$D$25),COLUMN('PAYG 1'!$D$25),4)</f>
        <v>D25</v>
      </c>
      <c r="D4128" t="b" cm="1">
        <f t="array" aca="1" ref="D4128" ca="1">IF(INDIRECT("'"&amp;A4128&amp;"'!"&amp;B4128)="",FALSE,IF(TRUNC(INDIRECT("'"&amp;A4128&amp;"'!"&amp;B4128))=INDIRECT("'"&amp;A4128&amp;"'!"&amp;B4128),FALSE,TRUE))</f>
        <v>0</v>
      </c>
      <c r="E4128" t="s">
        <v>436</v>
      </c>
      <c r="F4128" t="str">
        <f>INDEX(Lists!I:I,MATCH(Validation!E4128,Lists!G:G,0))</f>
        <v>Error</v>
      </c>
      <c r="G4128" t="str">
        <f>INDEX(Lists!H:H,MATCH(Validation!E4128,Lists!G:G,0))</f>
        <v>Amount must be rounded to the nearest dollar.</v>
      </c>
      <c r="H4128" s="25" t="str">
        <f t="shared" ca="1" si="435"/>
        <v/>
      </c>
      <c r="I4128" s="25" t="str">
        <f t="shared" ca="1" si="436"/>
        <v/>
      </c>
      <c r="J4128" s="26" t="str">
        <f t="shared" ca="1" si="437"/>
        <v/>
      </c>
    </row>
    <row r="4129" spans="1:10" x14ac:dyDescent="0.25">
      <c r="A4129" t="s">
        <v>658</v>
      </c>
      <c r="B4129" t="str">
        <f>ADDRESS(ROW('PAYG 1'!$B$25),COLUMN('PAYG 1'!$B$25),4)</f>
        <v>B25</v>
      </c>
      <c r="C4129" t="str">
        <f>ADDRESS(ROW('PAYG 1'!$D$25),COLUMN('PAYG 1'!$D$25),4)</f>
        <v>D25</v>
      </c>
      <c r="D4129" t="b" cm="1">
        <f t="array" aca="1" ref="D4129" ca="1">IF(INDIRECT("'"&amp;A4129&amp;"'!"&amp;B4129)="",FALSE,IF(TRUNC(INDIRECT("'"&amp;A4129&amp;"'!"&amp;B4129))=INDIRECT("'"&amp;A4129&amp;"'!"&amp;B4129),FALSE,TRUE))</f>
        <v>0</v>
      </c>
      <c r="E4129" t="s">
        <v>436</v>
      </c>
      <c r="F4129" t="str">
        <f>INDEX(Lists!I:I,MATCH(Validation!E4129,Lists!G:G,0))</f>
        <v>Error</v>
      </c>
      <c r="G4129" t="str">
        <f>INDEX(Lists!H:H,MATCH(Validation!E4129,Lists!G:G,0))</f>
        <v>Amount must be rounded to the nearest dollar.</v>
      </c>
      <c r="H4129" s="25" t="str">
        <f t="shared" ca="1" si="435"/>
        <v/>
      </c>
      <c r="I4129" s="25" t="str">
        <f t="shared" ca="1" si="436"/>
        <v/>
      </c>
      <c r="J4129" s="26" t="str">
        <f t="shared" ca="1" si="437"/>
        <v/>
      </c>
    </row>
    <row r="4130" spans="1:10" x14ac:dyDescent="0.25">
      <c r="A4130" t="s">
        <v>659</v>
      </c>
      <c r="B4130" t="str">
        <f>ADDRESS(ROW('PAYG 1'!$B$25),COLUMN('PAYG 1'!$B$25),4)</f>
        <v>B25</v>
      </c>
      <c r="C4130" t="str">
        <f>ADDRESS(ROW('PAYG 1'!$D$25),COLUMN('PAYG 1'!$D$25),4)</f>
        <v>D25</v>
      </c>
      <c r="D4130" t="b" cm="1">
        <f t="array" aca="1" ref="D4130" ca="1">IF(INDIRECT("'"&amp;A4130&amp;"'!"&amp;B4130)="",FALSE,IF(TRUNC(INDIRECT("'"&amp;A4130&amp;"'!"&amp;B4130))=INDIRECT("'"&amp;A4130&amp;"'!"&amp;B4130),FALSE,TRUE))</f>
        <v>0</v>
      </c>
      <c r="E4130" t="s">
        <v>436</v>
      </c>
      <c r="F4130" t="str">
        <f>INDEX(Lists!I:I,MATCH(Validation!E4130,Lists!G:G,0))</f>
        <v>Error</v>
      </c>
      <c r="G4130" t="str">
        <f>INDEX(Lists!H:H,MATCH(Validation!E4130,Lists!G:G,0))</f>
        <v>Amount must be rounded to the nearest dollar.</v>
      </c>
      <c r="H4130" s="25" t="str">
        <f t="shared" ca="1" si="435"/>
        <v/>
      </c>
      <c r="I4130" s="25" t="str">
        <f t="shared" ca="1" si="436"/>
        <v/>
      </c>
      <c r="J4130" s="26" t="str">
        <f t="shared" ca="1" si="437"/>
        <v/>
      </c>
    </row>
    <row r="4131" spans="1:10" x14ac:dyDescent="0.25">
      <c r="A4131" t="s">
        <v>660</v>
      </c>
      <c r="B4131" t="str">
        <f>ADDRESS(ROW('PAYG 1'!$B$25),COLUMN('PAYG 1'!$B$25),4)</f>
        <v>B25</v>
      </c>
      <c r="C4131" t="str">
        <f>ADDRESS(ROW('PAYG 1'!$D$25),COLUMN('PAYG 1'!$D$25),4)</f>
        <v>D25</v>
      </c>
      <c r="D4131" t="b" cm="1">
        <f t="array" aca="1" ref="D4131" ca="1">IF(INDIRECT("'"&amp;A4131&amp;"'!"&amp;B4131)="",FALSE,IF(TRUNC(INDIRECT("'"&amp;A4131&amp;"'!"&amp;B4131))=INDIRECT("'"&amp;A4131&amp;"'!"&amp;B4131),FALSE,TRUE))</f>
        <v>0</v>
      </c>
      <c r="E4131" t="s">
        <v>436</v>
      </c>
      <c r="F4131" t="str">
        <f>INDEX(Lists!I:I,MATCH(Validation!E4131,Lists!G:G,0))</f>
        <v>Error</v>
      </c>
      <c r="G4131" t="str">
        <f>INDEX(Lists!H:H,MATCH(Validation!E4131,Lists!G:G,0))</f>
        <v>Amount must be rounded to the nearest dollar.</v>
      </c>
      <c r="H4131" s="25" t="str">
        <f t="shared" ca="1" si="435"/>
        <v/>
      </c>
      <c r="I4131" s="25" t="str">
        <f t="shared" ca="1" si="436"/>
        <v/>
      </c>
      <c r="J4131" s="26" t="str">
        <f t="shared" ca="1" si="437"/>
        <v/>
      </c>
    </row>
    <row r="4132" spans="1:10" x14ac:dyDescent="0.25">
      <c r="A4132" t="s">
        <v>661</v>
      </c>
      <c r="B4132" t="str">
        <f>ADDRESS(ROW('PAYG 1'!$B$25),COLUMN('PAYG 1'!$B$25),4)</f>
        <v>B25</v>
      </c>
      <c r="C4132" t="str">
        <f>ADDRESS(ROW('PAYG 1'!$D$25),COLUMN('PAYG 1'!$D$25),4)</f>
        <v>D25</v>
      </c>
      <c r="D4132" t="b" cm="1">
        <f t="array" aca="1" ref="D4132" ca="1">IF(INDIRECT("'"&amp;A4132&amp;"'!"&amp;B4132)="",FALSE,IF(TRUNC(INDIRECT("'"&amp;A4132&amp;"'!"&amp;B4132))=INDIRECT("'"&amp;A4132&amp;"'!"&amp;B4132),FALSE,TRUE))</f>
        <v>0</v>
      </c>
      <c r="E4132" t="s">
        <v>436</v>
      </c>
      <c r="F4132" t="str">
        <f>INDEX(Lists!I:I,MATCH(Validation!E4132,Lists!G:G,0))</f>
        <v>Error</v>
      </c>
      <c r="G4132" t="str">
        <f>INDEX(Lists!H:H,MATCH(Validation!E4132,Lists!G:G,0))</f>
        <v>Amount must be rounded to the nearest dollar.</v>
      </c>
      <c r="H4132" s="25" t="str">
        <f t="shared" ca="1" si="435"/>
        <v/>
      </c>
      <c r="I4132" s="25" t="str">
        <f t="shared" ca="1" si="436"/>
        <v/>
      </c>
      <c r="J4132" s="26" t="str">
        <f t="shared" ca="1" si="437"/>
        <v/>
      </c>
    </row>
    <row r="4133" spans="1:10" x14ac:dyDescent="0.25">
      <c r="A4133" t="s">
        <v>662</v>
      </c>
      <c r="B4133" t="str">
        <f>ADDRESS(ROW('PAYG 1'!$B$25),COLUMN('PAYG 1'!$B$25),4)</f>
        <v>B25</v>
      </c>
      <c r="C4133" t="str">
        <f>ADDRESS(ROW('PAYG 1'!$D$25),COLUMN('PAYG 1'!$D$25),4)</f>
        <v>D25</v>
      </c>
      <c r="D4133" t="b" cm="1">
        <f t="array" aca="1" ref="D4133" ca="1">IF(INDIRECT("'"&amp;A4133&amp;"'!"&amp;B4133)="",FALSE,IF(TRUNC(INDIRECT("'"&amp;A4133&amp;"'!"&amp;B4133))=INDIRECT("'"&amp;A4133&amp;"'!"&amp;B4133),FALSE,TRUE))</f>
        <v>0</v>
      </c>
      <c r="E4133" t="s">
        <v>436</v>
      </c>
      <c r="F4133" t="str">
        <f>INDEX(Lists!I:I,MATCH(Validation!E4133,Lists!G:G,0))</f>
        <v>Error</v>
      </c>
      <c r="G4133" t="str">
        <f>INDEX(Lists!H:H,MATCH(Validation!E4133,Lists!G:G,0))</f>
        <v>Amount must be rounded to the nearest dollar.</v>
      </c>
      <c r="H4133" s="25" t="str">
        <f t="shared" ca="1" si="435"/>
        <v/>
      </c>
      <c r="I4133" s="25" t="str">
        <f t="shared" ca="1" si="436"/>
        <v/>
      </c>
      <c r="J4133" s="26" t="str">
        <f t="shared" ca="1" si="437"/>
        <v/>
      </c>
    </row>
    <row r="4134" spans="1:10" x14ac:dyDescent="0.25">
      <c r="A4134" t="s">
        <v>663</v>
      </c>
      <c r="B4134" t="str">
        <f>ADDRESS(ROW('PAYG 1'!$B$25),COLUMN('PAYG 1'!$B$25),4)</f>
        <v>B25</v>
      </c>
      <c r="C4134" t="str">
        <f>ADDRESS(ROW('PAYG 1'!$D$25),COLUMN('PAYG 1'!$D$25),4)</f>
        <v>D25</v>
      </c>
      <c r="D4134" t="b" cm="1">
        <f t="array" aca="1" ref="D4134" ca="1">IF(INDIRECT("'"&amp;A4134&amp;"'!"&amp;B4134)="",FALSE,IF(TRUNC(INDIRECT("'"&amp;A4134&amp;"'!"&amp;B4134))=INDIRECT("'"&amp;A4134&amp;"'!"&amp;B4134),FALSE,TRUE))</f>
        <v>0</v>
      </c>
      <c r="E4134" t="s">
        <v>436</v>
      </c>
      <c r="F4134" t="str">
        <f>INDEX(Lists!I:I,MATCH(Validation!E4134,Lists!G:G,0))</f>
        <v>Error</v>
      </c>
      <c r="G4134" t="str">
        <f>INDEX(Lists!H:H,MATCH(Validation!E4134,Lists!G:G,0))</f>
        <v>Amount must be rounded to the nearest dollar.</v>
      </c>
      <c r="H4134" s="25" t="str">
        <f t="shared" ca="1" si="435"/>
        <v/>
      </c>
      <c r="I4134" s="25" t="str">
        <f t="shared" ca="1" si="436"/>
        <v/>
      </c>
      <c r="J4134" s="26" t="str">
        <f t="shared" ca="1" si="437"/>
        <v/>
      </c>
    </row>
    <row r="4135" spans="1:10" x14ac:dyDescent="0.25">
      <c r="A4135" t="s">
        <v>664</v>
      </c>
      <c r="B4135" t="str">
        <f>ADDRESS(ROW('PAYG 1'!$B$25),COLUMN('PAYG 1'!$B$25),4)</f>
        <v>B25</v>
      </c>
      <c r="C4135" t="str">
        <f>ADDRESS(ROW('PAYG 1'!$D$25),COLUMN('PAYG 1'!$D$25),4)</f>
        <v>D25</v>
      </c>
      <c r="D4135" t="b" cm="1">
        <f t="array" aca="1" ref="D4135" ca="1">IF(INDIRECT("'"&amp;A4135&amp;"'!"&amp;B4135)="",FALSE,IF(TRUNC(INDIRECT("'"&amp;A4135&amp;"'!"&amp;B4135))=INDIRECT("'"&amp;A4135&amp;"'!"&amp;B4135),FALSE,TRUE))</f>
        <v>0</v>
      </c>
      <c r="E4135" t="s">
        <v>436</v>
      </c>
      <c r="F4135" t="str">
        <f>INDEX(Lists!I:I,MATCH(Validation!E4135,Lists!G:G,0))</f>
        <v>Error</v>
      </c>
      <c r="G4135" t="str">
        <f>INDEX(Lists!H:H,MATCH(Validation!E4135,Lists!G:G,0))</f>
        <v>Amount must be rounded to the nearest dollar.</v>
      </c>
      <c r="H4135" s="25" t="str">
        <f t="shared" ca="1" si="435"/>
        <v/>
      </c>
      <c r="I4135" s="25" t="str">
        <f t="shared" ca="1" si="436"/>
        <v/>
      </c>
      <c r="J4135" s="26" t="str">
        <f t="shared" ca="1" si="437"/>
        <v/>
      </c>
    </row>
    <row r="4136" spans="1:10" x14ac:dyDescent="0.25">
      <c r="A4136" t="s">
        <v>203</v>
      </c>
      <c r="B4136" t="str">
        <f>ADDRESS(ROW('PAYG 1'!$B$25),COLUMN('PAYG 1'!$B$25),4)</f>
        <v>B25</v>
      </c>
      <c r="C4136" t="str">
        <f>ADDRESS(ROW('PAYG 1'!$D$25),COLUMN('PAYG 1'!$D$25),4)</f>
        <v>D25</v>
      </c>
      <c r="D4136" t="b" cm="1">
        <f t="array" aca="1" ref="D4136" ca="1">IF(AND(NOT(ISBLANK('PAYG Input'!C$30)),INDIRECT("'"&amp;A4136&amp;"'!"&amp;B4136)&lt;&gt;'PAYG Input'!C$30),TRUE,FALSE)</f>
        <v>0</v>
      </c>
      <c r="E4136" t="s">
        <v>634</v>
      </c>
      <c r="F4136" t="str">
        <f>INDEX(Lists!I:I,MATCH(Validation!E4136,Lists!G:G,0))</f>
        <v>Alert</v>
      </c>
      <c r="G4136" t="str">
        <f>INDEX(Lists!H:H,MATCH(Validation!E4136,Lists!G:G,0))</f>
        <v>You have changed previously reported data. Explain in the comments box.</v>
      </c>
      <c r="H4136" s="25" t="str">
        <f t="shared" ca="1" si="435"/>
        <v/>
      </c>
      <c r="I4136" s="25" t="str">
        <f t="shared" ca="1" si="436"/>
        <v/>
      </c>
      <c r="J4136" s="26" t="str">
        <f t="shared" ca="1" si="437"/>
        <v/>
      </c>
    </row>
    <row r="4137" spans="1:10" x14ac:dyDescent="0.25">
      <c r="A4137" t="s">
        <v>651</v>
      </c>
      <c r="B4137" t="str">
        <f>ADDRESS(ROW('PAYG 1'!$B$25),COLUMN('PAYG 1'!$B$25),4)</f>
        <v>B25</v>
      </c>
      <c r="C4137" t="str">
        <f>ADDRESS(ROW('PAYG 1'!$D$25),COLUMN('PAYG 1'!$D$25),4)</f>
        <v>D25</v>
      </c>
      <c r="D4137" t="b" cm="1">
        <f t="array" aca="1" ref="D4137" ca="1">IF(AND(NOT(ISBLANK('PAYG Input'!D$30)),INDIRECT("'"&amp;A4137&amp;"'!"&amp;B4137)&lt;&gt;'PAYG Input'!D$30),TRUE,FALSE)</f>
        <v>0</v>
      </c>
      <c r="E4137" t="s">
        <v>634</v>
      </c>
      <c r="F4137" t="str">
        <f>INDEX(Lists!I:I,MATCH(Validation!E4137,Lists!G:G,0))</f>
        <v>Alert</v>
      </c>
      <c r="G4137" t="str">
        <f>INDEX(Lists!H:H,MATCH(Validation!E4137,Lists!G:G,0))</f>
        <v>You have changed previously reported data. Explain in the comments box.</v>
      </c>
      <c r="H4137" s="25" t="str">
        <f t="shared" ca="1" si="435"/>
        <v/>
      </c>
      <c r="I4137" s="25" t="str">
        <f t="shared" ca="1" si="436"/>
        <v/>
      </c>
      <c r="J4137" s="26" t="str">
        <f t="shared" ca="1" si="437"/>
        <v/>
      </c>
    </row>
    <row r="4138" spans="1:10" x14ac:dyDescent="0.25">
      <c r="A4138" t="s">
        <v>652</v>
      </c>
      <c r="B4138" t="str">
        <f>ADDRESS(ROW('PAYG 1'!$B$25),COLUMN('PAYG 1'!$B$25),4)</f>
        <v>B25</v>
      </c>
      <c r="C4138" t="str">
        <f>ADDRESS(ROW('PAYG 1'!$D$25),COLUMN('PAYG 1'!$D$25),4)</f>
        <v>D25</v>
      </c>
      <c r="D4138" t="b" cm="1">
        <f t="array" aca="1" ref="D4138" ca="1">IF(AND(NOT(ISBLANK('PAYG Input'!E$30)),INDIRECT("'"&amp;A4138&amp;"'!"&amp;B4138)&lt;&gt;'PAYG Input'!E$30),TRUE,FALSE)</f>
        <v>0</v>
      </c>
      <c r="E4138" t="s">
        <v>634</v>
      </c>
      <c r="F4138" t="str">
        <f>INDEX(Lists!I:I,MATCH(Validation!E4138,Lists!G:G,0))</f>
        <v>Alert</v>
      </c>
      <c r="G4138" t="str">
        <f>INDEX(Lists!H:H,MATCH(Validation!E4138,Lists!G:G,0))</f>
        <v>You have changed previously reported data. Explain in the comments box.</v>
      </c>
      <c r="H4138" s="25" t="str">
        <f t="shared" ca="1" si="435"/>
        <v/>
      </c>
      <c r="I4138" s="25" t="str">
        <f t="shared" ca="1" si="436"/>
        <v/>
      </c>
      <c r="J4138" s="26" t="str">
        <f t="shared" ca="1" si="437"/>
        <v/>
      </c>
    </row>
    <row r="4139" spans="1:10" x14ac:dyDescent="0.25">
      <c r="A4139" t="s">
        <v>653</v>
      </c>
      <c r="B4139" t="str">
        <f>ADDRESS(ROW('PAYG 1'!$B$25),COLUMN('PAYG 1'!$B$25),4)</f>
        <v>B25</v>
      </c>
      <c r="C4139" t="str">
        <f>ADDRESS(ROW('PAYG 1'!$D$25),COLUMN('PAYG 1'!$D$25),4)</f>
        <v>D25</v>
      </c>
      <c r="D4139" t="b" cm="1">
        <f t="array" aca="1" ref="D4139" ca="1">IF(AND(NOT(ISBLANK('PAYG Input'!F$30)),INDIRECT("'"&amp;A4139&amp;"'!"&amp;B4139)&lt;&gt;'PAYG Input'!F$30),TRUE,FALSE)</f>
        <v>0</v>
      </c>
      <c r="E4139" t="s">
        <v>634</v>
      </c>
      <c r="F4139" t="str">
        <f>INDEX(Lists!I:I,MATCH(Validation!E4139,Lists!G:G,0))</f>
        <v>Alert</v>
      </c>
      <c r="G4139" t="str">
        <f>INDEX(Lists!H:H,MATCH(Validation!E4139,Lists!G:G,0))</f>
        <v>You have changed previously reported data. Explain in the comments box.</v>
      </c>
      <c r="H4139" s="25" t="str">
        <f t="shared" ca="1" si="435"/>
        <v/>
      </c>
      <c r="I4139" s="25" t="str">
        <f t="shared" ca="1" si="436"/>
        <v/>
      </c>
      <c r="J4139" s="26" t="str">
        <f t="shared" ca="1" si="437"/>
        <v/>
      </c>
    </row>
    <row r="4140" spans="1:10" x14ac:dyDescent="0.25">
      <c r="A4140" t="s">
        <v>654</v>
      </c>
      <c r="B4140" t="str">
        <f>ADDRESS(ROW('PAYG 1'!$B$25),COLUMN('PAYG 1'!$B$25),4)</f>
        <v>B25</v>
      </c>
      <c r="C4140" t="str">
        <f>ADDRESS(ROW('PAYG 1'!$D$25),COLUMN('PAYG 1'!$D$25),4)</f>
        <v>D25</v>
      </c>
      <c r="D4140" t="b" cm="1">
        <f t="array" aca="1" ref="D4140" ca="1">IF(AND(NOT(ISBLANK('PAYG Input'!G$30)),INDIRECT("'"&amp;A4140&amp;"'!"&amp;B4140)&lt;&gt;'PAYG Input'!G$30),TRUE,FALSE)</f>
        <v>0</v>
      </c>
      <c r="E4140" t="s">
        <v>634</v>
      </c>
      <c r="F4140" t="str">
        <f>INDEX(Lists!I:I,MATCH(Validation!E4140,Lists!G:G,0))</f>
        <v>Alert</v>
      </c>
      <c r="G4140" t="str">
        <f>INDEX(Lists!H:H,MATCH(Validation!E4140,Lists!G:G,0))</f>
        <v>You have changed previously reported data. Explain in the comments box.</v>
      </c>
      <c r="H4140" s="25" t="str">
        <f t="shared" ca="1" si="435"/>
        <v/>
      </c>
      <c r="I4140" s="25" t="str">
        <f t="shared" ca="1" si="436"/>
        <v/>
      </c>
      <c r="J4140" s="26" t="str">
        <f t="shared" ca="1" si="437"/>
        <v/>
      </c>
    </row>
    <row r="4141" spans="1:10" x14ac:dyDescent="0.25">
      <c r="A4141" t="s">
        <v>655</v>
      </c>
      <c r="B4141" t="str">
        <f>ADDRESS(ROW('PAYG 1'!$B$25),COLUMN('PAYG 1'!$B$25),4)</f>
        <v>B25</v>
      </c>
      <c r="C4141" t="str">
        <f>ADDRESS(ROW('PAYG 1'!$D$25),COLUMN('PAYG 1'!$D$25),4)</f>
        <v>D25</v>
      </c>
      <c r="D4141" t="b" cm="1">
        <f t="array" aca="1" ref="D4141" ca="1">IF(AND(NOT(ISBLANK('PAYG Input'!H$30)),INDIRECT("'"&amp;A4141&amp;"'!"&amp;B4141)&lt;&gt;'PAYG Input'!H$30),TRUE,FALSE)</f>
        <v>0</v>
      </c>
      <c r="E4141" t="s">
        <v>634</v>
      </c>
      <c r="F4141" t="str">
        <f>INDEX(Lists!I:I,MATCH(Validation!E4141,Lists!G:G,0))</f>
        <v>Alert</v>
      </c>
      <c r="G4141" t="str">
        <f>INDEX(Lists!H:H,MATCH(Validation!E4141,Lists!G:G,0))</f>
        <v>You have changed previously reported data. Explain in the comments box.</v>
      </c>
      <c r="H4141" s="25" t="str">
        <f t="shared" ca="1" si="435"/>
        <v/>
      </c>
      <c r="I4141" s="25" t="str">
        <f t="shared" ca="1" si="436"/>
        <v/>
      </c>
      <c r="J4141" s="26" t="str">
        <f t="shared" ca="1" si="437"/>
        <v/>
      </c>
    </row>
    <row r="4142" spans="1:10" x14ac:dyDescent="0.25">
      <c r="A4142" t="s">
        <v>656</v>
      </c>
      <c r="B4142" t="str">
        <f>ADDRESS(ROW('PAYG 1'!$B$25),COLUMN('PAYG 1'!$B$25),4)</f>
        <v>B25</v>
      </c>
      <c r="C4142" t="str">
        <f>ADDRESS(ROW('PAYG 1'!$D$25),COLUMN('PAYG 1'!$D$25),4)</f>
        <v>D25</v>
      </c>
      <c r="D4142" t="b" cm="1">
        <f t="array" aca="1" ref="D4142" ca="1">IF(AND(NOT(ISBLANK('PAYG Input'!I$30)),INDIRECT("'"&amp;A4142&amp;"'!"&amp;B4142)&lt;&gt;'PAYG Input'!I$30),TRUE,FALSE)</f>
        <v>0</v>
      </c>
      <c r="E4142" t="s">
        <v>634</v>
      </c>
      <c r="F4142" t="str">
        <f>INDEX(Lists!I:I,MATCH(Validation!E4142,Lists!G:G,0))</f>
        <v>Alert</v>
      </c>
      <c r="G4142" t="str">
        <f>INDEX(Lists!H:H,MATCH(Validation!E4142,Lists!G:G,0))</f>
        <v>You have changed previously reported data. Explain in the comments box.</v>
      </c>
      <c r="H4142" s="25" t="str">
        <f t="shared" ca="1" si="435"/>
        <v/>
      </c>
      <c r="I4142" s="25" t="str">
        <f t="shared" ca="1" si="436"/>
        <v/>
      </c>
      <c r="J4142" s="26" t="str">
        <f t="shared" ca="1" si="437"/>
        <v/>
      </c>
    </row>
    <row r="4143" spans="1:10" x14ac:dyDescent="0.25">
      <c r="A4143" t="s">
        <v>657</v>
      </c>
      <c r="B4143" t="str">
        <f>ADDRESS(ROW('PAYG 1'!$B$25),COLUMN('PAYG 1'!$B$25),4)</f>
        <v>B25</v>
      </c>
      <c r="C4143" t="str">
        <f>ADDRESS(ROW('PAYG 1'!$D$25),COLUMN('PAYG 1'!$D$25),4)</f>
        <v>D25</v>
      </c>
      <c r="D4143" t="b" cm="1">
        <f t="array" aca="1" ref="D4143" ca="1">IF(AND(NOT(ISBLANK('PAYG Input'!J$30)),INDIRECT("'"&amp;A4143&amp;"'!"&amp;B4143)&lt;&gt;'PAYG Input'!J$30),TRUE,FALSE)</f>
        <v>0</v>
      </c>
      <c r="E4143" t="s">
        <v>634</v>
      </c>
      <c r="F4143" t="str">
        <f>INDEX(Lists!I:I,MATCH(Validation!E4143,Lists!G:G,0))</f>
        <v>Alert</v>
      </c>
      <c r="G4143" t="str">
        <f>INDEX(Lists!H:H,MATCH(Validation!E4143,Lists!G:G,0))</f>
        <v>You have changed previously reported data. Explain in the comments box.</v>
      </c>
      <c r="H4143" s="25" t="str">
        <f t="shared" ca="1" si="435"/>
        <v/>
      </c>
      <c r="I4143" s="25" t="str">
        <f t="shared" ca="1" si="436"/>
        <v/>
      </c>
      <c r="J4143" s="26" t="str">
        <f t="shared" ca="1" si="437"/>
        <v/>
      </c>
    </row>
    <row r="4144" spans="1:10" x14ac:dyDescent="0.25">
      <c r="A4144" t="s">
        <v>658</v>
      </c>
      <c r="B4144" t="str">
        <f>ADDRESS(ROW('PAYG 1'!$B$25),COLUMN('PAYG 1'!$B$25),4)</f>
        <v>B25</v>
      </c>
      <c r="C4144" t="str">
        <f>ADDRESS(ROW('PAYG 1'!$D$25),COLUMN('PAYG 1'!$D$25),4)</f>
        <v>D25</v>
      </c>
      <c r="D4144" t="b" cm="1">
        <f t="array" aca="1" ref="D4144" ca="1">IF(AND(NOT(ISBLANK('PAYG Input'!K$30)),INDIRECT("'"&amp;A4144&amp;"'!"&amp;B4144)&lt;&gt;'PAYG Input'!K$30),TRUE,FALSE)</f>
        <v>0</v>
      </c>
      <c r="E4144" t="s">
        <v>634</v>
      </c>
      <c r="F4144" t="str">
        <f>INDEX(Lists!I:I,MATCH(Validation!E4144,Lists!G:G,0))</f>
        <v>Alert</v>
      </c>
      <c r="G4144" t="str">
        <f>INDEX(Lists!H:H,MATCH(Validation!E4144,Lists!G:G,0))</f>
        <v>You have changed previously reported data. Explain in the comments box.</v>
      </c>
      <c r="H4144" s="25" t="str">
        <f t="shared" ca="1" si="435"/>
        <v/>
      </c>
      <c r="I4144" s="25" t="str">
        <f t="shared" ca="1" si="436"/>
        <v/>
      </c>
      <c r="J4144" s="26" t="str">
        <f t="shared" ca="1" si="437"/>
        <v/>
      </c>
    </row>
    <row r="4145" spans="1:10" x14ac:dyDescent="0.25">
      <c r="A4145" t="s">
        <v>659</v>
      </c>
      <c r="B4145" t="str">
        <f>ADDRESS(ROW('PAYG 1'!$B$25),COLUMN('PAYG 1'!$B$25),4)</f>
        <v>B25</v>
      </c>
      <c r="C4145" t="str">
        <f>ADDRESS(ROW('PAYG 1'!$D$25),COLUMN('PAYG 1'!$D$25),4)</f>
        <v>D25</v>
      </c>
      <c r="D4145" t="b" cm="1">
        <f t="array" aca="1" ref="D4145" ca="1">IF(AND(NOT(ISBLANK('PAYG Input'!L$30)),INDIRECT("'"&amp;A4145&amp;"'!"&amp;B4145)&lt;&gt;'PAYG Input'!L$30),TRUE,FALSE)</f>
        <v>0</v>
      </c>
      <c r="E4145" t="s">
        <v>634</v>
      </c>
      <c r="F4145" t="str">
        <f>INDEX(Lists!I:I,MATCH(Validation!E4145,Lists!G:G,0))</f>
        <v>Alert</v>
      </c>
      <c r="G4145" t="str">
        <f>INDEX(Lists!H:H,MATCH(Validation!E4145,Lists!G:G,0))</f>
        <v>You have changed previously reported data. Explain in the comments box.</v>
      </c>
      <c r="H4145" s="25" t="str">
        <f t="shared" ca="1" si="435"/>
        <v/>
      </c>
      <c r="I4145" s="25" t="str">
        <f t="shared" ca="1" si="436"/>
        <v/>
      </c>
      <c r="J4145" s="26" t="str">
        <f t="shared" ca="1" si="437"/>
        <v/>
      </c>
    </row>
    <row r="4146" spans="1:10" x14ac:dyDescent="0.25">
      <c r="A4146" t="s">
        <v>660</v>
      </c>
      <c r="B4146" t="str">
        <f>ADDRESS(ROW('PAYG 1'!$B$25),COLUMN('PAYG 1'!$B$25),4)</f>
        <v>B25</v>
      </c>
      <c r="C4146" t="str">
        <f>ADDRESS(ROW('PAYG 1'!$D$25),COLUMN('PAYG 1'!$D$25),4)</f>
        <v>D25</v>
      </c>
      <c r="D4146" t="b" cm="1">
        <f t="array" aca="1" ref="D4146" ca="1">IF(AND(NOT(ISBLANK('PAYG Input'!M$30)),INDIRECT("'"&amp;A4146&amp;"'!"&amp;B4146)&lt;&gt;'PAYG Input'!M$30),TRUE,FALSE)</f>
        <v>0</v>
      </c>
      <c r="E4146" t="s">
        <v>634</v>
      </c>
      <c r="F4146" t="str">
        <f>INDEX(Lists!I:I,MATCH(Validation!E4146,Lists!G:G,0))</f>
        <v>Alert</v>
      </c>
      <c r="G4146" t="str">
        <f>INDEX(Lists!H:H,MATCH(Validation!E4146,Lists!G:G,0))</f>
        <v>You have changed previously reported data. Explain in the comments box.</v>
      </c>
      <c r="H4146" s="25" t="str">
        <f t="shared" ca="1" si="435"/>
        <v/>
      </c>
      <c r="I4146" s="25" t="str">
        <f t="shared" ca="1" si="436"/>
        <v/>
      </c>
      <c r="J4146" s="26" t="str">
        <f t="shared" ca="1" si="437"/>
        <v/>
      </c>
    </row>
    <row r="4147" spans="1:10" x14ac:dyDescent="0.25">
      <c r="A4147" t="s">
        <v>661</v>
      </c>
      <c r="B4147" t="str">
        <f>ADDRESS(ROW('PAYG 1'!$B$25),COLUMN('PAYG 1'!$B$25),4)</f>
        <v>B25</v>
      </c>
      <c r="C4147" t="str">
        <f>ADDRESS(ROW('PAYG 1'!$D$25),COLUMN('PAYG 1'!$D$25),4)</f>
        <v>D25</v>
      </c>
      <c r="D4147" t="b" cm="1">
        <f t="array" aca="1" ref="D4147" ca="1">IF(AND(NOT(ISBLANK('PAYG Input'!N$30)),INDIRECT("'"&amp;A4147&amp;"'!"&amp;B4147)&lt;&gt;'PAYG Input'!N$30),TRUE,FALSE)</f>
        <v>0</v>
      </c>
      <c r="E4147" t="s">
        <v>634</v>
      </c>
      <c r="F4147" t="str">
        <f>INDEX(Lists!I:I,MATCH(Validation!E4147,Lists!G:G,0))</f>
        <v>Alert</v>
      </c>
      <c r="G4147" t="str">
        <f>INDEX(Lists!H:H,MATCH(Validation!E4147,Lists!G:G,0))</f>
        <v>You have changed previously reported data. Explain in the comments box.</v>
      </c>
      <c r="H4147" s="25" t="str">
        <f t="shared" ca="1" si="435"/>
        <v/>
      </c>
      <c r="I4147" s="25" t="str">
        <f t="shared" ca="1" si="436"/>
        <v/>
      </c>
      <c r="J4147" s="26" t="str">
        <f t="shared" ca="1" si="437"/>
        <v/>
      </c>
    </row>
    <row r="4148" spans="1:10" x14ac:dyDescent="0.25">
      <c r="A4148" t="s">
        <v>662</v>
      </c>
      <c r="B4148" t="str">
        <f>ADDRESS(ROW('PAYG 1'!$B$25),COLUMN('PAYG 1'!$B$25),4)</f>
        <v>B25</v>
      </c>
      <c r="C4148" t="str">
        <f>ADDRESS(ROW('PAYG 1'!$D$25),COLUMN('PAYG 1'!$D$25),4)</f>
        <v>D25</v>
      </c>
      <c r="D4148" t="b" cm="1">
        <f t="array" aca="1" ref="D4148" ca="1">IF(AND(NOT(ISBLANK('PAYG Input'!O$30)),INDIRECT("'"&amp;A4148&amp;"'!"&amp;B4148)&lt;&gt;'PAYG Input'!O$30),TRUE,FALSE)</f>
        <v>0</v>
      </c>
      <c r="E4148" t="s">
        <v>634</v>
      </c>
      <c r="F4148" t="str">
        <f>INDEX(Lists!I:I,MATCH(Validation!E4148,Lists!G:G,0))</f>
        <v>Alert</v>
      </c>
      <c r="G4148" t="str">
        <f>INDEX(Lists!H:H,MATCH(Validation!E4148,Lists!G:G,0))</f>
        <v>You have changed previously reported data. Explain in the comments box.</v>
      </c>
      <c r="H4148" s="25" t="str">
        <f t="shared" ca="1" si="435"/>
        <v/>
      </c>
      <c r="I4148" s="25" t="str">
        <f t="shared" ca="1" si="436"/>
        <v/>
      </c>
      <c r="J4148" s="26" t="str">
        <f t="shared" ca="1" si="437"/>
        <v/>
      </c>
    </row>
    <row r="4149" spans="1:10" x14ac:dyDescent="0.25">
      <c r="A4149" t="s">
        <v>663</v>
      </c>
      <c r="B4149" t="str">
        <f>ADDRESS(ROW('PAYG 1'!$B$25),COLUMN('PAYG 1'!$B$25),4)</f>
        <v>B25</v>
      </c>
      <c r="C4149" t="str">
        <f>ADDRESS(ROW('PAYG 1'!$D$25),COLUMN('PAYG 1'!$D$25),4)</f>
        <v>D25</v>
      </c>
      <c r="D4149" t="b" cm="1">
        <f t="array" aca="1" ref="D4149" ca="1">IF(AND(NOT(ISBLANK('PAYG Input'!P$30)),INDIRECT("'"&amp;A4149&amp;"'!"&amp;B4149)&lt;&gt;'PAYG Input'!P$30),TRUE,FALSE)</f>
        <v>0</v>
      </c>
      <c r="E4149" t="s">
        <v>634</v>
      </c>
      <c r="F4149" t="str">
        <f>INDEX(Lists!I:I,MATCH(Validation!E4149,Lists!G:G,0))</f>
        <v>Alert</v>
      </c>
      <c r="G4149" t="str">
        <f>INDEX(Lists!H:H,MATCH(Validation!E4149,Lists!G:G,0))</f>
        <v>You have changed previously reported data. Explain in the comments box.</v>
      </c>
      <c r="H4149" s="25" t="str">
        <f t="shared" ca="1" si="435"/>
        <v/>
      </c>
      <c r="I4149" s="25" t="str">
        <f t="shared" ca="1" si="436"/>
        <v/>
      </c>
      <c r="J4149" s="26" t="str">
        <f t="shared" ca="1" si="437"/>
        <v/>
      </c>
    </row>
    <row r="4150" spans="1:10" x14ac:dyDescent="0.25">
      <c r="A4150" t="s">
        <v>664</v>
      </c>
      <c r="B4150" t="str">
        <f>ADDRESS(ROW('PAYG 1'!$B$25),COLUMN('PAYG 1'!$B$25),4)</f>
        <v>B25</v>
      </c>
      <c r="C4150" t="str">
        <f>ADDRESS(ROW('PAYG 1'!$D$25),COLUMN('PAYG 1'!$D$25),4)</f>
        <v>D25</v>
      </c>
      <c r="D4150" t="b" cm="1">
        <f t="array" aca="1" ref="D4150" ca="1">IF(AND(NOT(ISBLANK('PAYG Input'!Q$30)),INDIRECT("'"&amp;A4150&amp;"'!"&amp;B4150)&lt;&gt;'PAYG Input'!Q$30),TRUE,FALSE)</f>
        <v>0</v>
      </c>
      <c r="E4150" t="s">
        <v>634</v>
      </c>
      <c r="F4150" t="str">
        <f>INDEX(Lists!I:I,MATCH(Validation!E4150,Lists!G:G,0))</f>
        <v>Alert</v>
      </c>
      <c r="G4150" t="str">
        <f>INDEX(Lists!H:H,MATCH(Validation!E4150,Lists!G:G,0))</f>
        <v>You have changed previously reported data. Explain in the comments box.</v>
      </c>
      <c r="H4150" s="25" t="str">
        <f t="shared" ca="1" si="435"/>
        <v/>
      </c>
      <c r="I4150" s="25" t="str">
        <f t="shared" ca="1" si="436"/>
        <v/>
      </c>
      <c r="J4150" s="26" t="str">
        <f t="shared" ca="1" si="437"/>
        <v/>
      </c>
    </row>
    <row r="4151" spans="1:10" x14ac:dyDescent="0.25">
      <c r="A4151" t="s">
        <v>203</v>
      </c>
      <c r="B4151" t="str">
        <f>ADDRESS(ROW('PAYG 1'!$C$25),COLUMN('PAYG 1'!$C$25),4)</f>
        <v>C25</v>
      </c>
      <c r="C4151" t="str">
        <f>ADDRESS(ROW('PAYG 1'!$D$25),COLUMN('PAYG 1'!$D$25),4)</f>
        <v>D25</v>
      </c>
      <c r="D4151" t="b" cm="1">
        <f t="array" aca="1" ref="D4151" ca="1">IF(INDIRECT("'"&amp;A4151&amp;"'!"&amp;B4151)="",FALSE,IF(NOT(ISNUMBER(INDIRECT("'"&amp;A4151&amp;"'!"&amp;B4151))),TRUE,FALSE))</f>
        <v>0</v>
      </c>
      <c r="E4151" t="s">
        <v>435</v>
      </c>
      <c r="F4151" t="str">
        <f>INDEX(Lists!I:I,MATCH(Validation!E4151,Lists!G:G,0))</f>
        <v>Error</v>
      </c>
      <c r="G4151" t="str">
        <f>INDEX(Lists!H:H,MATCH(Validation!E4151,Lists!G:G,0))</f>
        <v>Enter an amount only. Do not enter text or spaces.</v>
      </c>
      <c r="H4151" s="25" t="str">
        <f t="shared" ca="1" si="435"/>
        <v/>
      </c>
      <c r="I4151" s="25" t="str">
        <f t="shared" ca="1" si="436"/>
        <v/>
      </c>
      <c r="J4151" s="26" t="str">
        <f t="shared" ca="1" si="437"/>
        <v/>
      </c>
    </row>
    <row r="4152" spans="1:10" x14ac:dyDescent="0.25">
      <c r="A4152" t="s">
        <v>651</v>
      </c>
      <c r="B4152" t="str">
        <f>ADDRESS(ROW('PAYG 1'!$C$25),COLUMN('PAYG 1'!$C$25),4)</f>
        <v>C25</v>
      </c>
      <c r="C4152" t="str">
        <f>ADDRESS(ROW('PAYG 1'!$D$25),COLUMN('PAYG 1'!$D$25),4)</f>
        <v>D25</v>
      </c>
      <c r="D4152" t="b" cm="1">
        <f t="array" aca="1" ref="D4152" ca="1">IF(INDIRECT("'"&amp;A4152&amp;"'!"&amp;B4152)="",FALSE,IF(NOT(ISNUMBER(INDIRECT("'"&amp;A4152&amp;"'!"&amp;B4152))),TRUE,FALSE))</f>
        <v>0</v>
      </c>
      <c r="E4152" t="s">
        <v>435</v>
      </c>
      <c r="F4152" t="str">
        <f>INDEX(Lists!I:I,MATCH(Validation!E4152,Lists!G:G,0))</f>
        <v>Error</v>
      </c>
      <c r="G4152" t="str">
        <f>INDEX(Lists!H:H,MATCH(Validation!E4152,Lists!G:G,0))</f>
        <v>Enter an amount only. Do not enter text or spaces.</v>
      </c>
      <c r="H4152" s="25" t="str">
        <f t="shared" ca="1" si="435"/>
        <v/>
      </c>
      <c r="I4152" s="25" t="str">
        <f t="shared" ca="1" si="436"/>
        <v/>
      </c>
      <c r="J4152" s="26" t="str">
        <f t="shared" ca="1" si="437"/>
        <v/>
      </c>
    </row>
    <row r="4153" spans="1:10" x14ac:dyDescent="0.25">
      <c r="A4153" t="s">
        <v>652</v>
      </c>
      <c r="B4153" t="str">
        <f>ADDRESS(ROW('PAYG 1'!$C$25),COLUMN('PAYG 1'!$C$25),4)</f>
        <v>C25</v>
      </c>
      <c r="C4153" t="str">
        <f>ADDRESS(ROW('PAYG 1'!$D$25),COLUMN('PAYG 1'!$D$25),4)</f>
        <v>D25</v>
      </c>
      <c r="D4153" t="b" cm="1">
        <f t="array" aca="1" ref="D4153" ca="1">IF(INDIRECT("'"&amp;A4153&amp;"'!"&amp;B4153)="",FALSE,IF(NOT(ISNUMBER(INDIRECT("'"&amp;A4153&amp;"'!"&amp;B4153))),TRUE,FALSE))</f>
        <v>0</v>
      </c>
      <c r="E4153" t="s">
        <v>435</v>
      </c>
      <c r="F4153" t="str">
        <f>INDEX(Lists!I:I,MATCH(Validation!E4153,Lists!G:G,0))</f>
        <v>Error</v>
      </c>
      <c r="G4153" t="str">
        <f>INDEX(Lists!H:H,MATCH(Validation!E4153,Lists!G:G,0))</f>
        <v>Enter an amount only. Do not enter text or spaces.</v>
      </c>
      <c r="H4153" s="25" t="str">
        <f t="shared" ca="1" si="435"/>
        <v/>
      </c>
      <c r="I4153" s="25" t="str">
        <f t="shared" ca="1" si="436"/>
        <v/>
      </c>
      <c r="J4153" s="26" t="str">
        <f t="shared" ca="1" si="437"/>
        <v/>
      </c>
    </row>
    <row r="4154" spans="1:10" x14ac:dyDescent="0.25">
      <c r="A4154" t="s">
        <v>653</v>
      </c>
      <c r="B4154" t="str">
        <f>ADDRESS(ROW('PAYG 1'!$C$25),COLUMN('PAYG 1'!$C$25),4)</f>
        <v>C25</v>
      </c>
      <c r="C4154" t="str">
        <f>ADDRESS(ROW('PAYG 1'!$D$25),COLUMN('PAYG 1'!$D$25),4)</f>
        <v>D25</v>
      </c>
      <c r="D4154" t="b" cm="1">
        <f t="array" aca="1" ref="D4154" ca="1">IF(INDIRECT("'"&amp;A4154&amp;"'!"&amp;B4154)="",FALSE,IF(NOT(ISNUMBER(INDIRECT("'"&amp;A4154&amp;"'!"&amp;B4154))),TRUE,FALSE))</f>
        <v>0</v>
      </c>
      <c r="E4154" t="s">
        <v>435</v>
      </c>
      <c r="F4154" t="str">
        <f>INDEX(Lists!I:I,MATCH(Validation!E4154,Lists!G:G,0))</f>
        <v>Error</v>
      </c>
      <c r="G4154" t="str">
        <f>INDEX(Lists!H:H,MATCH(Validation!E4154,Lists!G:G,0))</f>
        <v>Enter an amount only. Do not enter text or spaces.</v>
      </c>
      <c r="H4154" s="25" t="str">
        <f t="shared" ca="1" si="435"/>
        <v/>
      </c>
      <c r="I4154" s="25" t="str">
        <f t="shared" ca="1" si="436"/>
        <v/>
      </c>
      <c r="J4154" s="26" t="str">
        <f t="shared" ca="1" si="437"/>
        <v/>
      </c>
    </row>
    <row r="4155" spans="1:10" x14ac:dyDescent="0.25">
      <c r="A4155" t="s">
        <v>654</v>
      </c>
      <c r="B4155" t="str">
        <f>ADDRESS(ROW('PAYG 1'!$C$25),COLUMN('PAYG 1'!$C$25),4)</f>
        <v>C25</v>
      </c>
      <c r="C4155" t="str">
        <f>ADDRESS(ROW('PAYG 1'!$D$25),COLUMN('PAYG 1'!$D$25),4)</f>
        <v>D25</v>
      </c>
      <c r="D4155" t="b" cm="1">
        <f t="array" aca="1" ref="D4155" ca="1">IF(INDIRECT("'"&amp;A4155&amp;"'!"&amp;B4155)="",FALSE,IF(NOT(ISNUMBER(INDIRECT("'"&amp;A4155&amp;"'!"&amp;B4155))),TRUE,FALSE))</f>
        <v>0</v>
      </c>
      <c r="E4155" t="s">
        <v>435</v>
      </c>
      <c r="F4155" t="str">
        <f>INDEX(Lists!I:I,MATCH(Validation!E4155,Lists!G:G,0))</f>
        <v>Error</v>
      </c>
      <c r="G4155" t="str">
        <f>INDEX(Lists!H:H,MATCH(Validation!E4155,Lists!G:G,0))</f>
        <v>Enter an amount only. Do not enter text or spaces.</v>
      </c>
      <c r="H4155" s="25" t="str">
        <f t="shared" ca="1" si="435"/>
        <v/>
      </c>
      <c r="I4155" s="25" t="str">
        <f t="shared" ca="1" si="436"/>
        <v/>
      </c>
      <c r="J4155" s="26" t="str">
        <f t="shared" ca="1" si="437"/>
        <v/>
      </c>
    </row>
    <row r="4156" spans="1:10" x14ac:dyDescent="0.25">
      <c r="A4156" t="s">
        <v>655</v>
      </c>
      <c r="B4156" t="str">
        <f>ADDRESS(ROW('PAYG 1'!$C$25),COLUMN('PAYG 1'!$C$25),4)</f>
        <v>C25</v>
      </c>
      <c r="C4156" t="str">
        <f>ADDRESS(ROW('PAYG 1'!$D$25),COLUMN('PAYG 1'!$D$25),4)</f>
        <v>D25</v>
      </c>
      <c r="D4156" t="b" cm="1">
        <f t="array" aca="1" ref="D4156" ca="1">IF(INDIRECT("'"&amp;A4156&amp;"'!"&amp;B4156)="",FALSE,IF(NOT(ISNUMBER(INDIRECT("'"&amp;A4156&amp;"'!"&amp;B4156))),TRUE,FALSE))</f>
        <v>0</v>
      </c>
      <c r="E4156" t="s">
        <v>435</v>
      </c>
      <c r="F4156" t="str">
        <f>INDEX(Lists!I:I,MATCH(Validation!E4156,Lists!G:G,0))</f>
        <v>Error</v>
      </c>
      <c r="G4156" t="str">
        <f>INDEX(Lists!H:H,MATCH(Validation!E4156,Lists!G:G,0))</f>
        <v>Enter an amount only. Do not enter text or spaces.</v>
      </c>
      <c r="H4156" s="25" t="str">
        <f t="shared" ca="1" si="435"/>
        <v/>
      </c>
      <c r="I4156" s="25" t="str">
        <f t="shared" ca="1" si="436"/>
        <v/>
      </c>
      <c r="J4156" s="26" t="str">
        <f t="shared" ca="1" si="437"/>
        <v/>
      </c>
    </row>
    <row r="4157" spans="1:10" x14ac:dyDescent="0.25">
      <c r="A4157" t="s">
        <v>656</v>
      </c>
      <c r="B4157" t="str">
        <f>ADDRESS(ROW('PAYG 1'!$C$25),COLUMN('PAYG 1'!$C$25),4)</f>
        <v>C25</v>
      </c>
      <c r="C4157" t="str">
        <f>ADDRESS(ROW('PAYG 1'!$D$25),COLUMN('PAYG 1'!$D$25),4)</f>
        <v>D25</v>
      </c>
      <c r="D4157" t="b" cm="1">
        <f t="array" aca="1" ref="D4157" ca="1">IF(INDIRECT("'"&amp;A4157&amp;"'!"&amp;B4157)="",FALSE,IF(NOT(ISNUMBER(INDIRECT("'"&amp;A4157&amp;"'!"&amp;B4157))),TRUE,FALSE))</f>
        <v>0</v>
      </c>
      <c r="E4157" t="s">
        <v>435</v>
      </c>
      <c r="F4157" t="str">
        <f>INDEX(Lists!I:I,MATCH(Validation!E4157,Lists!G:G,0))</f>
        <v>Error</v>
      </c>
      <c r="G4157" t="str">
        <f>INDEX(Lists!H:H,MATCH(Validation!E4157,Lists!G:G,0))</f>
        <v>Enter an amount only. Do not enter text or spaces.</v>
      </c>
      <c r="H4157" s="25" t="str">
        <f t="shared" ca="1" si="435"/>
        <v/>
      </c>
      <c r="I4157" s="25" t="str">
        <f t="shared" ca="1" si="436"/>
        <v/>
      </c>
      <c r="J4157" s="26" t="str">
        <f t="shared" ca="1" si="437"/>
        <v/>
      </c>
    </row>
    <row r="4158" spans="1:10" x14ac:dyDescent="0.25">
      <c r="A4158" t="s">
        <v>657</v>
      </c>
      <c r="B4158" t="str">
        <f>ADDRESS(ROW('PAYG 1'!$C$25),COLUMN('PAYG 1'!$C$25),4)</f>
        <v>C25</v>
      </c>
      <c r="C4158" t="str">
        <f>ADDRESS(ROW('PAYG 1'!$D$25),COLUMN('PAYG 1'!$D$25),4)</f>
        <v>D25</v>
      </c>
      <c r="D4158" t="b" cm="1">
        <f t="array" aca="1" ref="D4158" ca="1">IF(INDIRECT("'"&amp;A4158&amp;"'!"&amp;B4158)="",FALSE,IF(NOT(ISNUMBER(INDIRECT("'"&amp;A4158&amp;"'!"&amp;B4158))),TRUE,FALSE))</f>
        <v>0</v>
      </c>
      <c r="E4158" t="s">
        <v>435</v>
      </c>
      <c r="F4158" t="str">
        <f>INDEX(Lists!I:I,MATCH(Validation!E4158,Lists!G:G,0))</f>
        <v>Error</v>
      </c>
      <c r="G4158" t="str">
        <f>INDEX(Lists!H:H,MATCH(Validation!E4158,Lists!G:G,0))</f>
        <v>Enter an amount only. Do not enter text or spaces.</v>
      </c>
      <c r="H4158" s="25" t="str">
        <f t="shared" ca="1" si="435"/>
        <v/>
      </c>
      <c r="I4158" s="25" t="str">
        <f t="shared" ca="1" si="436"/>
        <v/>
      </c>
      <c r="J4158" s="26" t="str">
        <f t="shared" ca="1" si="437"/>
        <v/>
      </c>
    </row>
    <row r="4159" spans="1:10" x14ac:dyDescent="0.25">
      <c r="A4159" t="s">
        <v>658</v>
      </c>
      <c r="B4159" t="str">
        <f>ADDRESS(ROW('PAYG 1'!$C$25),COLUMN('PAYG 1'!$C$25),4)</f>
        <v>C25</v>
      </c>
      <c r="C4159" t="str">
        <f>ADDRESS(ROW('PAYG 1'!$D$25),COLUMN('PAYG 1'!$D$25),4)</f>
        <v>D25</v>
      </c>
      <c r="D4159" t="b" cm="1">
        <f t="array" aca="1" ref="D4159" ca="1">IF(INDIRECT("'"&amp;A4159&amp;"'!"&amp;B4159)="",FALSE,IF(NOT(ISNUMBER(INDIRECT("'"&amp;A4159&amp;"'!"&amp;B4159))),TRUE,FALSE))</f>
        <v>0</v>
      </c>
      <c r="E4159" t="s">
        <v>435</v>
      </c>
      <c r="F4159" t="str">
        <f>INDEX(Lists!I:I,MATCH(Validation!E4159,Lists!G:G,0))</f>
        <v>Error</v>
      </c>
      <c r="G4159" t="str">
        <f>INDEX(Lists!H:H,MATCH(Validation!E4159,Lists!G:G,0))</f>
        <v>Enter an amount only. Do not enter text or spaces.</v>
      </c>
      <c r="H4159" s="25" t="str">
        <f t="shared" ca="1" si="435"/>
        <v/>
      </c>
      <c r="I4159" s="25" t="str">
        <f t="shared" ca="1" si="436"/>
        <v/>
      </c>
      <c r="J4159" s="26" t="str">
        <f t="shared" ca="1" si="437"/>
        <v/>
      </c>
    </row>
    <row r="4160" spans="1:10" x14ac:dyDescent="0.25">
      <c r="A4160" t="s">
        <v>659</v>
      </c>
      <c r="B4160" t="str">
        <f>ADDRESS(ROW('PAYG 1'!$C$25),COLUMN('PAYG 1'!$C$25),4)</f>
        <v>C25</v>
      </c>
      <c r="C4160" t="str">
        <f>ADDRESS(ROW('PAYG 1'!$D$25),COLUMN('PAYG 1'!$D$25),4)</f>
        <v>D25</v>
      </c>
      <c r="D4160" t="b" cm="1">
        <f t="array" aca="1" ref="D4160" ca="1">IF(INDIRECT("'"&amp;A4160&amp;"'!"&amp;B4160)="",FALSE,IF(NOT(ISNUMBER(INDIRECT("'"&amp;A4160&amp;"'!"&amp;B4160))),TRUE,FALSE))</f>
        <v>0</v>
      </c>
      <c r="E4160" t="s">
        <v>435</v>
      </c>
      <c r="F4160" t="str">
        <f>INDEX(Lists!I:I,MATCH(Validation!E4160,Lists!G:G,0))</f>
        <v>Error</v>
      </c>
      <c r="G4160" t="str">
        <f>INDEX(Lists!H:H,MATCH(Validation!E4160,Lists!G:G,0))</f>
        <v>Enter an amount only. Do not enter text or spaces.</v>
      </c>
      <c r="H4160" s="25" t="str">
        <f t="shared" ca="1" si="435"/>
        <v/>
      </c>
      <c r="I4160" s="25" t="str">
        <f t="shared" ca="1" si="436"/>
        <v/>
      </c>
      <c r="J4160" s="26" t="str">
        <f t="shared" ca="1" si="437"/>
        <v/>
      </c>
    </row>
    <row r="4161" spans="1:10" x14ac:dyDescent="0.25">
      <c r="A4161" t="s">
        <v>660</v>
      </c>
      <c r="B4161" t="str">
        <f>ADDRESS(ROW('PAYG 1'!$C$25),COLUMN('PAYG 1'!$C$25),4)</f>
        <v>C25</v>
      </c>
      <c r="C4161" t="str">
        <f>ADDRESS(ROW('PAYG 1'!$D$25),COLUMN('PAYG 1'!$D$25),4)</f>
        <v>D25</v>
      </c>
      <c r="D4161" t="b" cm="1">
        <f t="array" aca="1" ref="D4161" ca="1">IF(INDIRECT("'"&amp;A4161&amp;"'!"&amp;B4161)="",FALSE,IF(NOT(ISNUMBER(INDIRECT("'"&amp;A4161&amp;"'!"&amp;B4161))),TRUE,FALSE))</f>
        <v>0</v>
      </c>
      <c r="E4161" t="s">
        <v>435</v>
      </c>
      <c r="F4161" t="str">
        <f>INDEX(Lists!I:I,MATCH(Validation!E4161,Lists!G:G,0))</f>
        <v>Error</v>
      </c>
      <c r="G4161" t="str">
        <f>INDEX(Lists!H:H,MATCH(Validation!E4161,Lists!G:G,0))</f>
        <v>Enter an amount only. Do not enter text or spaces.</v>
      </c>
      <c r="H4161" s="25" t="str">
        <f t="shared" ca="1" si="435"/>
        <v/>
      </c>
      <c r="I4161" s="25" t="str">
        <f t="shared" ca="1" si="436"/>
        <v/>
      </c>
      <c r="J4161" s="26" t="str">
        <f t="shared" ca="1" si="437"/>
        <v/>
      </c>
    </row>
    <row r="4162" spans="1:10" x14ac:dyDescent="0.25">
      <c r="A4162" t="s">
        <v>661</v>
      </c>
      <c r="B4162" t="str">
        <f>ADDRESS(ROW('PAYG 1'!$C$25),COLUMN('PAYG 1'!$C$25),4)</f>
        <v>C25</v>
      </c>
      <c r="C4162" t="str">
        <f>ADDRESS(ROW('PAYG 1'!$D$25),COLUMN('PAYG 1'!$D$25),4)</f>
        <v>D25</v>
      </c>
      <c r="D4162" t="b" cm="1">
        <f t="array" aca="1" ref="D4162" ca="1">IF(INDIRECT("'"&amp;A4162&amp;"'!"&amp;B4162)="",FALSE,IF(NOT(ISNUMBER(INDIRECT("'"&amp;A4162&amp;"'!"&amp;B4162))),TRUE,FALSE))</f>
        <v>0</v>
      </c>
      <c r="E4162" t="s">
        <v>435</v>
      </c>
      <c r="F4162" t="str">
        <f>INDEX(Lists!I:I,MATCH(Validation!E4162,Lists!G:G,0))</f>
        <v>Error</v>
      </c>
      <c r="G4162" t="str">
        <f>INDEX(Lists!H:H,MATCH(Validation!E4162,Lists!G:G,0))</f>
        <v>Enter an amount only. Do not enter text or spaces.</v>
      </c>
      <c r="H4162" s="25" t="str">
        <f t="shared" ca="1" si="435"/>
        <v/>
      </c>
      <c r="I4162" s="25" t="str">
        <f t="shared" ca="1" si="436"/>
        <v/>
      </c>
      <c r="J4162" s="26" t="str">
        <f t="shared" ca="1" si="437"/>
        <v/>
      </c>
    </row>
    <row r="4163" spans="1:10" x14ac:dyDescent="0.25">
      <c r="A4163" t="s">
        <v>662</v>
      </c>
      <c r="B4163" t="str">
        <f>ADDRESS(ROW('PAYG 1'!$C$25),COLUMN('PAYG 1'!$C$25),4)</f>
        <v>C25</v>
      </c>
      <c r="C4163" t="str">
        <f>ADDRESS(ROW('PAYG 1'!$D$25),COLUMN('PAYG 1'!$D$25),4)</f>
        <v>D25</v>
      </c>
      <c r="D4163" t="b" cm="1">
        <f t="array" aca="1" ref="D4163" ca="1">IF(INDIRECT("'"&amp;A4163&amp;"'!"&amp;B4163)="",FALSE,IF(NOT(ISNUMBER(INDIRECT("'"&amp;A4163&amp;"'!"&amp;B4163))),TRUE,FALSE))</f>
        <v>0</v>
      </c>
      <c r="E4163" t="s">
        <v>435</v>
      </c>
      <c r="F4163" t="str">
        <f>INDEX(Lists!I:I,MATCH(Validation!E4163,Lists!G:G,0))</f>
        <v>Error</v>
      </c>
      <c r="G4163" t="str">
        <f>INDEX(Lists!H:H,MATCH(Validation!E4163,Lists!G:G,0))</f>
        <v>Enter an amount only. Do not enter text or spaces.</v>
      </c>
      <c r="H4163" s="25" t="str">
        <f t="shared" ca="1" si="435"/>
        <v/>
      </c>
      <c r="I4163" s="25" t="str">
        <f t="shared" ca="1" si="436"/>
        <v/>
      </c>
      <c r="J4163" s="26" t="str">
        <f t="shared" ca="1" si="437"/>
        <v/>
      </c>
    </row>
    <row r="4164" spans="1:10" x14ac:dyDescent="0.25">
      <c r="A4164" t="s">
        <v>663</v>
      </c>
      <c r="B4164" t="str">
        <f>ADDRESS(ROW('PAYG 1'!$C$25),COLUMN('PAYG 1'!$C$25),4)</f>
        <v>C25</v>
      </c>
      <c r="C4164" t="str">
        <f>ADDRESS(ROW('PAYG 1'!$D$25),COLUMN('PAYG 1'!$D$25),4)</f>
        <v>D25</v>
      </c>
      <c r="D4164" t="b" cm="1">
        <f t="array" aca="1" ref="D4164" ca="1">IF(INDIRECT("'"&amp;A4164&amp;"'!"&amp;B4164)="",FALSE,IF(NOT(ISNUMBER(INDIRECT("'"&amp;A4164&amp;"'!"&amp;B4164))),TRUE,FALSE))</f>
        <v>0</v>
      </c>
      <c r="E4164" t="s">
        <v>435</v>
      </c>
      <c r="F4164" t="str">
        <f>INDEX(Lists!I:I,MATCH(Validation!E4164,Lists!G:G,0))</f>
        <v>Error</v>
      </c>
      <c r="G4164" t="str">
        <f>INDEX(Lists!H:H,MATCH(Validation!E4164,Lists!G:G,0))</f>
        <v>Enter an amount only. Do not enter text or spaces.</v>
      </c>
      <c r="H4164" s="25" t="str">
        <f t="shared" ca="1" si="435"/>
        <v/>
      </c>
      <c r="I4164" s="25" t="str">
        <f t="shared" ca="1" si="436"/>
        <v/>
      </c>
      <c r="J4164" s="26" t="str">
        <f t="shared" ca="1" si="437"/>
        <v/>
      </c>
    </row>
    <row r="4165" spans="1:10" x14ac:dyDescent="0.25">
      <c r="A4165" t="s">
        <v>664</v>
      </c>
      <c r="B4165" t="str">
        <f>ADDRESS(ROW('PAYG 1'!$C$25),COLUMN('PAYG 1'!$C$25),4)</f>
        <v>C25</v>
      </c>
      <c r="C4165" t="str">
        <f>ADDRESS(ROW('PAYG 1'!$D$25),COLUMN('PAYG 1'!$D$25),4)</f>
        <v>D25</v>
      </c>
      <c r="D4165" t="b" cm="1">
        <f t="array" aca="1" ref="D4165" ca="1">IF(INDIRECT("'"&amp;A4165&amp;"'!"&amp;B4165)="",FALSE,IF(NOT(ISNUMBER(INDIRECT("'"&amp;A4165&amp;"'!"&amp;B4165))),TRUE,FALSE))</f>
        <v>0</v>
      </c>
      <c r="E4165" t="s">
        <v>435</v>
      </c>
      <c r="F4165" t="str">
        <f>INDEX(Lists!I:I,MATCH(Validation!E4165,Lists!G:G,0))</f>
        <v>Error</v>
      </c>
      <c r="G4165" t="str">
        <f>INDEX(Lists!H:H,MATCH(Validation!E4165,Lists!G:G,0))</f>
        <v>Enter an amount only. Do not enter text or spaces.</v>
      </c>
      <c r="H4165" s="25" t="str">
        <f t="shared" ca="1" si="435"/>
        <v/>
      </c>
      <c r="I4165" s="25" t="str">
        <f t="shared" ca="1" si="436"/>
        <v/>
      </c>
      <c r="J4165" s="26" t="str">
        <f t="shared" ca="1" si="437"/>
        <v/>
      </c>
    </row>
    <row r="4166" spans="1:10" x14ac:dyDescent="0.25">
      <c r="A4166" t="s">
        <v>203</v>
      </c>
      <c r="B4166" t="str">
        <f>ADDRESS(ROW('PAYG 1'!$C$25),COLUMN('PAYG 1'!$C$25),4)</f>
        <v>C25</v>
      </c>
      <c r="C4166" t="str">
        <f>ADDRESS(ROW('PAYG 1'!$D$25),COLUMN('PAYG 1'!$D$25),4)</f>
        <v>D25</v>
      </c>
      <c r="D4166" t="b" cm="1">
        <f t="array" aca="1" ref="D4166" ca="1">IF(INDIRECT("'"&amp;A4166&amp;"'!"&amp;B4166)="",FALSE,IF(INDIRECT("'"&amp;A4166&amp;"'!"&amp;B4166)&lt;0,TRUE,FALSE))</f>
        <v>0</v>
      </c>
      <c r="E4166" t="s">
        <v>434</v>
      </c>
      <c r="F4166" t="str">
        <f>INDEX(Lists!I:I,MATCH(Validation!E4166,Lists!G:G,0))</f>
        <v>Error</v>
      </c>
      <c r="G4166" t="str">
        <f>INDEX(Lists!H:H,MATCH(Validation!E4166,Lists!G:G,0))</f>
        <v>Amount may not be negative. Enter an amount greater than or equal to zero.</v>
      </c>
      <c r="H4166" s="25" t="str">
        <f t="shared" ca="1" si="435"/>
        <v/>
      </c>
      <c r="I4166" s="25" t="str">
        <f t="shared" ca="1" si="436"/>
        <v/>
      </c>
      <c r="J4166" s="26" t="str">
        <f t="shared" ca="1" si="437"/>
        <v/>
      </c>
    </row>
    <row r="4167" spans="1:10" x14ac:dyDescent="0.25">
      <c r="A4167" t="s">
        <v>651</v>
      </c>
      <c r="B4167" t="str">
        <f>ADDRESS(ROW('PAYG 1'!$C$25),COLUMN('PAYG 1'!$C$25),4)</f>
        <v>C25</v>
      </c>
      <c r="C4167" t="str">
        <f>ADDRESS(ROW('PAYG 1'!$D$25),COLUMN('PAYG 1'!$D$25),4)</f>
        <v>D25</v>
      </c>
      <c r="D4167" t="b" cm="1">
        <f t="array" aca="1" ref="D4167" ca="1">IF(INDIRECT("'"&amp;A4167&amp;"'!"&amp;B4167)="",FALSE,IF(INDIRECT("'"&amp;A4167&amp;"'!"&amp;B4167)&lt;0,TRUE,FALSE))</f>
        <v>0</v>
      </c>
      <c r="E4167" t="s">
        <v>434</v>
      </c>
      <c r="F4167" t="str">
        <f>INDEX(Lists!I:I,MATCH(Validation!E4167,Lists!G:G,0))</f>
        <v>Error</v>
      </c>
      <c r="G4167" t="str">
        <f>INDEX(Lists!H:H,MATCH(Validation!E4167,Lists!G:G,0))</f>
        <v>Amount may not be negative. Enter an amount greater than or equal to zero.</v>
      </c>
      <c r="H4167" s="25" t="str">
        <f t="shared" ca="1" si="435"/>
        <v/>
      </c>
      <c r="I4167" s="25" t="str">
        <f t="shared" ca="1" si="436"/>
        <v/>
      </c>
      <c r="J4167" s="26" t="str">
        <f t="shared" ca="1" si="437"/>
        <v/>
      </c>
    </row>
    <row r="4168" spans="1:10" x14ac:dyDescent="0.25">
      <c r="A4168" t="s">
        <v>652</v>
      </c>
      <c r="B4168" t="str">
        <f>ADDRESS(ROW('PAYG 1'!$C$25),COLUMN('PAYG 1'!$C$25),4)</f>
        <v>C25</v>
      </c>
      <c r="C4168" t="str">
        <f>ADDRESS(ROW('PAYG 1'!$D$25),COLUMN('PAYG 1'!$D$25),4)</f>
        <v>D25</v>
      </c>
      <c r="D4168" t="b" cm="1">
        <f t="array" aca="1" ref="D4168" ca="1">IF(INDIRECT("'"&amp;A4168&amp;"'!"&amp;B4168)="",FALSE,IF(INDIRECT("'"&amp;A4168&amp;"'!"&amp;B4168)&lt;0,TRUE,FALSE))</f>
        <v>0</v>
      </c>
      <c r="E4168" t="s">
        <v>434</v>
      </c>
      <c r="F4168" t="str">
        <f>INDEX(Lists!I:I,MATCH(Validation!E4168,Lists!G:G,0))</f>
        <v>Error</v>
      </c>
      <c r="G4168" t="str">
        <f>INDEX(Lists!H:H,MATCH(Validation!E4168,Lists!G:G,0))</f>
        <v>Amount may not be negative. Enter an amount greater than or equal to zero.</v>
      </c>
      <c r="H4168" s="25" t="str">
        <f t="shared" ca="1" si="435"/>
        <v/>
      </c>
      <c r="I4168" s="25" t="str">
        <f t="shared" ca="1" si="436"/>
        <v/>
      </c>
      <c r="J4168" s="26" t="str">
        <f t="shared" ca="1" si="437"/>
        <v/>
      </c>
    </row>
    <row r="4169" spans="1:10" x14ac:dyDescent="0.25">
      <c r="A4169" t="s">
        <v>653</v>
      </c>
      <c r="B4169" t="str">
        <f>ADDRESS(ROW('PAYG 1'!$C$25),COLUMN('PAYG 1'!$C$25),4)</f>
        <v>C25</v>
      </c>
      <c r="C4169" t="str">
        <f>ADDRESS(ROW('PAYG 1'!$D$25),COLUMN('PAYG 1'!$D$25),4)</f>
        <v>D25</v>
      </c>
      <c r="D4169" t="b" cm="1">
        <f t="array" aca="1" ref="D4169" ca="1">IF(INDIRECT("'"&amp;A4169&amp;"'!"&amp;B4169)="",FALSE,IF(INDIRECT("'"&amp;A4169&amp;"'!"&amp;B4169)&lt;0,TRUE,FALSE))</f>
        <v>0</v>
      </c>
      <c r="E4169" t="s">
        <v>434</v>
      </c>
      <c r="F4169" t="str">
        <f>INDEX(Lists!I:I,MATCH(Validation!E4169,Lists!G:G,0))</f>
        <v>Error</v>
      </c>
      <c r="G4169" t="str">
        <f>INDEX(Lists!H:H,MATCH(Validation!E4169,Lists!G:G,0))</f>
        <v>Amount may not be negative. Enter an amount greater than or equal to zero.</v>
      </c>
      <c r="H4169" s="25" t="str">
        <f t="shared" ca="1" si="435"/>
        <v/>
      </c>
      <c r="I4169" s="25" t="str">
        <f t="shared" ca="1" si="436"/>
        <v/>
      </c>
      <c r="J4169" s="26" t="str">
        <f t="shared" ca="1" si="437"/>
        <v/>
      </c>
    </row>
    <row r="4170" spans="1:10" x14ac:dyDescent="0.25">
      <c r="A4170" t="s">
        <v>654</v>
      </c>
      <c r="B4170" t="str">
        <f>ADDRESS(ROW('PAYG 1'!$C$25),COLUMN('PAYG 1'!$C$25),4)</f>
        <v>C25</v>
      </c>
      <c r="C4170" t="str">
        <f>ADDRESS(ROW('PAYG 1'!$D$25),COLUMN('PAYG 1'!$D$25),4)</f>
        <v>D25</v>
      </c>
      <c r="D4170" t="b" cm="1">
        <f t="array" aca="1" ref="D4170" ca="1">IF(INDIRECT("'"&amp;A4170&amp;"'!"&amp;B4170)="",FALSE,IF(INDIRECT("'"&amp;A4170&amp;"'!"&amp;B4170)&lt;0,TRUE,FALSE))</f>
        <v>0</v>
      </c>
      <c r="E4170" t="s">
        <v>434</v>
      </c>
      <c r="F4170" t="str">
        <f>INDEX(Lists!I:I,MATCH(Validation!E4170,Lists!G:G,0))</f>
        <v>Error</v>
      </c>
      <c r="G4170" t="str">
        <f>INDEX(Lists!H:H,MATCH(Validation!E4170,Lists!G:G,0))</f>
        <v>Amount may not be negative. Enter an amount greater than or equal to zero.</v>
      </c>
      <c r="H4170" s="25" t="str">
        <f t="shared" ref="H4170:H4218" ca="1" si="438">IFERROR(IF(OR(NOT(D4170),F4170&lt;&gt;"Error"),"",A4170&amp;CELL("address",INDIRECT(B4170))),"")</f>
        <v/>
      </c>
      <c r="I4170" s="25" t="str">
        <f t="shared" ref="I4170:I4218" ca="1" si="439">IFERROR(IF(NOT(D4170),"",A4170&amp;CELL("address",INDIRECT(C4170))),"")</f>
        <v/>
      </c>
      <c r="J4170" s="26" t="str">
        <f t="shared" ref="J4170:J4218" ca="1" si="440">IFERROR(IF(NOT(D4170),"",A4170),"")</f>
        <v/>
      </c>
    </row>
    <row r="4171" spans="1:10" x14ac:dyDescent="0.25">
      <c r="A4171" t="s">
        <v>655</v>
      </c>
      <c r="B4171" t="str">
        <f>ADDRESS(ROW('PAYG 1'!$C$25),COLUMN('PAYG 1'!$C$25),4)</f>
        <v>C25</v>
      </c>
      <c r="C4171" t="str">
        <f>ADDRESS(ROW('PAYG 1'!$D$25),COLUMN('PAYG 1'!$D$25),4)</f>
        <v>D25</v>
      </c>
      <c r="D4171" t="b" cm="1">
        <f t="array" aca="1" ref="D4171" ca="1">IF(INDIRECT("'"&amp;A4171&amp;"'!"&amp;B4171)="",FALSE,IF(INDIRECT("'"&amp;A4171&amp;"'!"&amp;B4171)&lt;0,TRUE,FALSE))</f>
        <v>0</v>
      </c>
      <c r="E4171" t="s">
        <v>434</v>
      </c>
      <c r="F4171" t="str">
        <f>INDEX(Lists!I:I,MATCH(Validation!E4171,Lists!G:G,0))</f>
        <v>Error</v>
      </c>
      <c r="G4171" t="str">
        <f>INDEX(Lists!H:H,MATCH(Validation!E4171,Lists!G:G,0))</f>
        <v>Amount may not be negative. Enter an amount greater than or equal to zero.</v>
      </c>
      <c r="H4171" s="25" t="str">
        <f t="shared" ca="1" si="438"/>
        <v/>
      </c>
      <c r="I4171" s="25" t="str">
        <f t="shared" ca="1" si="439"/>
        <v/>
      </c>
      <c r="J4171" s="26" t="str">
        <f t="shared" ca="1" si="440"/>
        <v/>
      </c>
    </row>
    <row r="4172" spans="1:10" x14ac:dyDescent="0.25">
      <c r="A4172" t="s">
        <v>656</v>
      </c>
      <c r="B4172" t="str">
        <f>ADDRESS(ROW('PAYG 1'!$C$25),COLUMN('PAYG 1'!$C$25),4)</f>
        <v>C25</v>
      </c>
      <c r="C4172" t="str">
        <f>ADDRESS(ROW('PAYG 1'!$D$25),COLUMN('PAYG 1'!$D$25),4)</f>
        <v>D25</v>
      </c>
      <c r="D4172" t="b" cm="1">
        <f t="array" aca="1" ref="D4172" ca="1">IF(INDIRECT("'"&amp;A4172&amp;"'!"&amp;B4172)="",FALSE,IF(INDIRECT("'"&amp;A4172&amp;"'!"&amp;B4172)&lt;0,TRUE,FALSE))</f>
        <v>0</v>
      </c>
      <c r="E4172" t="s">
        <v>434</v>
      </c>
      <c r="F4172" t="str">
        <f>INDEX(Lists!I:I,MATCH(Validation!E4172,Lists!G:G,0))</f>
        <v>Error</v>
      </c>
      <c r="G4172" t="str">
        <f>INDEX(Lists!H:H,MATCH(Validation!E4172,Lists!G:G,0))</f>
        <v>Amount may not be negative. Enter an amount greater than or equal to zero.</v>
      </c>
      <c r="H4172" s="25" t="str">
        <f t="shared" ca="1" si="438"/>
        <v/>
      </c>
      <c r="I4172" s="25" t="str">
        <f t="shared" ca="1" si="439"/>
        <v/>
      </c>
      <c r="J4172" s="26" t="str">
        <f t="shared" ca="1" si="440"/>
        <v/>
      </c>
    </row>
    <row r="4173" spans="1:10" x14ac:dyDescent="0.25">
      <c r="A4173" t="s">
        <v>657</v>
      </c>
      <c r="B4173" t="str">
        <f>ADDRESS(ROW('PAYG 1'!$C$25),COLUMN('PAYG 1'!$C$25),4)</f>
        <v>C25</v>
      </c>
      <c r="C4173" t="str">
        <f>ADDRESS(ROW('PAYG 1'!$D$25),COLUMN('PAYG 1'!$D$25),4)</f>
        <v>D25</v>
      </c>
      <c r="D4173" t="b" cm="1">
        <f t="array" aca="1" ref="D4173" ca="1">IF(INDIRECT("'"&amp;A4173&amp;"'!"&amp;B4173)="",FALSE,IF(INDIRECT("'"&amp;A4173&amp;"'!"&amp;B4173)&lt;0,TRUE,FALSE))</f>
        <v>0</v>
      </c>
      <c r="E4173" t="s">
        <v>434</v>
      </c>
      <c r="F4173" t="str">
        <f>INDEX(Lists!I:I,MATCH(Validation!E4173,Lists!G:G,0))</f>
        <v>Error</v>
      </c>
      <c r="G4173" t="str">
        <f>INDEX(Lists!H:H,MATCH(Validation!E4173,Lists!G:G,0))</f>
        <v>Amount may not be negative. Enter an amount greater than or equal to zero.</v>
      </c>
      <c r="H4173" s="25" t="str">
        <f t="shared" ca="1" si="438"/>
        <v/>
      </c>
      <c r="I4173" s="25" t="str">
        <f t="shared" ca="1" si="439"/>
        <v/>
      </c>
      <c r="J4173" s="26" t="str">
        <f t="shared" ca="1" si="440"/>
        <v/>
      </c>
    </row>
    <row r="4174" spans="1:10" x14ac:dyDescent="0.25">
      <c r="A4174" t="s">
        <v>658</v>
      </c>
      <c r="B4174" t="str">
        <f>ADDRESS(ROW('PAYG 1'!$C$25),COLUMN('PAYG 1'!$C$25),4)</f>
        <v>C25</v>
      </c>
      <c r="C4174" t="str">
        <f>ADDRESS(ROW('PAYG 1'!$D$25),COLUMN('PAYG 1'!$D$25),4)</f>
        <v>D25</v>
      </c>
      <c r="D4174" t="b" cm="1">
        <f t="array" aca="1" ref="D4174" ca="1">IF(INDIRECT("'"&amp;A4174&amp;"'!"&amp;B4174)="",FALSE,IF(INDIRECT("'"&amp;A4174&amp;"'!"&amp;B4174)&lt;0,TRUE,FALSE))</f>
        <v>0</v>
      </c>
      <c r="E4174" t="s">
        <v>434</v>
      </c>
      <c r="F4174" t="str">
        <f>INDEX(Lists!I:I,MATCH(Validation!E4174,Lists!G:G,0))</f>
        <v>Error</v>
      </c>
      <c r="G4174" t="str">
        <f>INDEX(Lists!H:H,MATCH(Validation!E4174,Lists!G:G,0))</f>
        <v>Amount may not be negative. Enter an amount greater than or equal to zero.</v>
      </c>
      <c r="H4174" s="25" t="str">
        <f t="shared" ca="1" si="438"/>
        <v/>
      </c>
      <c r="I4174" s="25" t="str">
        <f t="shared" ca="1" si="439"/>
        <v/>
      </c>
      <c r="J4174" s="26" t="str">
        <f t="shared" ca="1" si="440"/>
        <v/>
      </c>
    </row>
    <row r="4175" spans="1:10" x14ac:dyDescent="0.25">
      <c r="A4175" t="s">
        <v>659</v>
      </c>
      <c r="B4175" t="str">
        <f>ADDRESS(ROW('PAYG 1'!$C$25),COLUMN('PAYG 1'!$C$25),4)</f>
        <v>C25</v>
      </c>
      <c r="C4175" t="str">
        <f>ADDRESS(ROW('PAYG 1'!$D$25),COLUMN('PAYG 1'!$D$25),4)</f>
        <v>D25</v>
      </c>
      <c r="D4175" t="b" cm="1">
        <f t="array" aca="1" ref="D4175" ca="1">IF(INDIRECT("'"&amp;A4175&amp;"'!"&amp;B4175)="",FALSE,IF(INDIRECT("'"&amp;A4175&amp;"'!"&amp;B4175)&lt;0,TRUE,FALSE))</f>
        <v>0</v>
      </c>
      <c r="E4175" t="s">
        <v>434</v>
      </c>
      <c r="F4175" t="str">
        <f>INDEX(Lists!I:I,MATCH(Validation!E4175,Lists!G:G,0))</f>
        <v>Error</v>
      </c>
      <c r="G4175" t="str">
        <f>INDEX(Lists!H:H,MATCH(Validation!E4175,Lists!G:G,0))</f>
        <v>Amount may not be negative. Enter an amount greater than or equal to zero.</v>
      </c>
      <c r="H4175" s="25" t="str">
        <f t="shared" ca="1" si="438"/>
        <v/>
      </c>
      <c r="I4175" s="25" t="str">
        <f t="shared" ca="1" si="439"/>
        <v/>
      </c>
      <c r="J4175" s="26" t="str">
        <f t="shared" ca="1" si="440"/>
        <v/>
      </c>
    </row>
    <row r="4176" spans="1:10" x14ac:dyDescent="0.25">
      <c r="A4176" t="s">
        <v>660</v>
      </c>
      <c r="B4176" t="str">
        <f>ADDRESS(ROW('PAYG 1'!$C$25),COLUMN('PAYG 1'!$C$25),4)</f>
        <v>C25</v>
      </c>
      <c r="C4176" t="str">
        <f>ADDRESS(ROW('PAYG 1'!$D$25),COLUMN('PAYG 1'!$D$25),4)</f>
        <v>D25</v>
      </c>
      <c r="D4176" t="b" cm="1">
        <f t="array" aca="1" ref="D4176" ca="1">IF(INDIRECT("'"&amp;A4176&amp;"'!"&amp;B4176)="",FALSE,IF(INDIRECT("'"&amp;A4176&amp;"'!"&amp;B4176)&lt;0,TRUE,FALSE))</f>
        <v>0</v>
      </c>
      <c r="E4176" t="s">
        <v>434</v>
      </c>
      <c r="F4176" t="str">
        <f>INDEX(Lists!I:I,MATCH(Validation!E4176,Lists!G:G,0))</f>
        <v>Error</v>
      </c>
      <c r="G4176" t="str">
        <f>INDEX(Lists!H:H,MATCH(Validation!E4176,Lists!G:G,0))</f>
        <v>Amount may not be negative. Enter an amount greater than or equal to zero.</v>
      </c>
      <c r="H4176" s="25" t="str">
        <f t="shared" ca="1" si="438"/>
        <v/>
      </c>
      <c r="I4176" s="25" t="str">
        <f t="shared" ca="1" si="439"/>
        <v/>
      </c>
      <c r="J4176" s="26" t="str">
        <f t="shared" ca="1" si="440"/>
        <v/>
      </c>
    </row>
    <row r="4177" spans="1:10" x14ac:dyDescent="0.25">
      <c r="A4177" t="s">
        <v>661</v>
      </c>
      <c r="B4177" t="str">
        <f>ADDRESS(ROW('PAYG 1'!$C$25),COLUMN('PAYG 1'!$C$25),4)</f>
        <v>C25</v>
      </c>
      <c r="C4177" t="str">
        <f>ADDRESS(ROW('PAYG 1'!$D$25),COLUMN('PAYG 1'!$D$25),4)</f>
        <v>D25</v>
      </c>
      <c r="D4177" t="b" cm="1">
        <f t="array" aca="1" ref="D4177" ca="1">IF(INDIRECT("'"&amp;A4177&amp;"'!"&amp;B4177)="",FALSE,IF(INDIRECT("'"&amp;A4177&amp;"'!"&amp;B4177)&lt;0,TRUE,FALSE))</f>
        <v>0</v>
      </c>
      <c r="E4177" t="s">
        <v>434</v>
      </c>
      <c r="F4177" t="str">
        <f>INDEX(Lists!I:I,MATCH(Validation!E4177,Lists!G:G,0))</f>
        <v>Error</v>
      </c>
      <c r="G4177" t="str">
        <f>INDEX(Lists!H:H,MATCH(Validation!E4177,Lists!G:G,0))</f>
        <v>Amount may not be negative. Enter an amount greater than or equal to zero.</v>
      </c>
      <c r="H4177" s="25" t="str">
        <f t="shared" ca="1" si="438"/>
        <v/>
      </c>
      <c r="I4177" s="25" t="str">
        <f t="shared" ca="1" si="439"/>
        <v/>
      </c>
      <c r="J4177" s="26" t="str">
        <f t="shared" ca="1" si="440"/>
        <v/>
      </c>
    </row>
    <row r="4178" spans="1:10" x14ac:dyDescent="0.25">
      <c r="A4178" t="s">
        <v>662</v>
      </c>
      <c r="B4178" t="str">
        <f>ADDRESS(ROW('PAYG 1'!$C$25),COLUMN('PAYG 1'!$C$25),4)</f>
        <v>C25</v>
      </c>
      <c r="C4178" t="str">
        <f>ADDRESS(ROW('PAYG 1'!$D$25),COLUMN('PAYG 1'!$D$25),4)</f>
        <v>D25</v>
      </c>
      <c r="D4178" t="b" cm="1">
        <f t="array" aca="1" ref="D4178" ca="1">IF(INDIRECT("'"&amp;A4178&amp;"'!"&amp;B4178)="",FALSE,IF(INDIRECT("'"&amp;A4178&amp;"'!"&amp;B4178)&lt;0,TRUE,FALSE))</f>
        <v>0</v>
      </c>
      <c r="E4178" t="s">
        <v>434</v>
      </c>
      <c r="F4178" t="str">
        <f>INDEX(Lists!I:I,MATCH(Validation!E4178,Lists!G:G,0))</f>
        <v>Error</v>
      </c>
      <c r="G4178" t="str">
        <f>INDEX(Lists!H:H,MATCH(Validation!E4178,Lists!G:G,0))</f>
        <v>Amount may not be negative. Enter an amount greater than or equal to zero.</v>
      </c>
      <c r="H4178" s="25" t="str">
        <f t="shared" ca="1" si="438"/>
        <v/>
      </c>
      <c r="I4178" s="25" t="str">
        <f t="shared" ca="1" si="439"/>
        <v/>
      </c>
      <c r="J4178" s="26" t="str">
        <f t="shared" ca="1" si="440"/>
        <v/>
      </c>
    </row>
    <row r="4179" spans="1:10" x14ac:dyDescent="0.25">
      <c r="A4179" t="s">
        <v>663</v>
      </c>
      <c r="B4179" t="str">
        <f>ADDRESS(ROW('PAYG 1'!$C$25),COLUMN('PAYG 1'!$C$25),4)</f>
        <v>C25</v>
      </c>
      <c r="C4179" t="str">
        <f>ADDRESS(ROW('PAYG 1'!$D$25),COLUMN('PAYG 1'!$D$25),4)</f>
        <v>D25</v>
      </c>
      <c r="D4179" t="b" cm="1">
        <f t="array" aca="1" ref="D4179" ca="1">IF(INDIRECT("'"&amp;A4179&amp;"'!"&amp;B4179)="",FALSE,IF(INDIRECT("'"&amp;A4179&amp;"'!"&amp;B4179)&lt;0,TRUE,FALSE))</f>
        <v>0</v>
      </c>
      <c r="E4179" t="s">
        <v>434</v>
      </c>
      <c r="F4179" t="str">
        <f>INDEX(Lists!I:I,MATCH(Validation!E4179,Lists!G:G,0))</f>
        <v>Error</v>
      </c>
      <c r="G4179" t="str">
        <f>INDEX(Lists!H:H,MATCH(Validation!E4179,Lists!G:G,0))</f>
        <v>Amount may not be negative. Enter an amount greater than or equal to zero.</v>
      </c>
      <c r="H4179" s="25" t="str">
        <f t="shared" ca="1" si="438"/>
        <v/>
      </c>
      <c r="I4179" s="25" t="str">
        <f t="shared" ca="1" si="439"/>
        <v/>
      </c>
      <c r="J4179" s="26" t="str">
        <f t="shared" ca="1" si="440"/>
        <v/>
      </c>
    </row>
    <row r="4180" spans="1:10" x14ac:dyDescent="0.25">
      <c r="A4180" t="s">
        <v>664</v>
      </c>
      <c r="B4180" t="str">
        <f>ADDRESS(ROW('PAYG 1'!$C$25),COLUMN('PAYG 1'!$C$25),4)</f>
        <v>C25</v>
      </c>
      <c r="C4180" t="str">
        <f>ADDRESS(ROW('PAYG 1'!$D$25),COLUMN('PAYG 1'!$D$25),4)</f>
        <v>D25</v>
      </c>
      <c r="D4180" t="b" cm="1">
        <f t="array" aca="1" ref="D4180" ca="1">IF(INDIRECT("'"&amp;A4180&amp;"'!"&amp;B4180)="",FALSE,IF(INDIRECT("'"&amp;A4180&amp;"'!"&amp;B4180)&lt;0,TRUE,FALSE))</f>
        <v>0</v>
      </c>
      <c r="E4180" t="s">
        <v>434</v>
      </c>
      <c r="F4180" t="str">
        <f>INDEX(Lists!I:I,MATCH(Validation!E4180,Lists!G:G,0))</f>
        <v>Error</v>
      </c>
      <c r="G4180" t="str">
        <f>INDEX(Lists!H:H,MATCH(Validation!E4180,Lists!G:G,0))</f>
        <v>Amount may not be negative. Enter an amount greater than or equal to zero.</v>
      </c>
      <c r="H4180" s="25" t="str">
        <f t="shared" ca="1" si="438"/>
        <v/>
      </c>
      <c r="I4180" s="25" t="str">
        <f t="shared" ca="1" si="439"/>
        <v/>
      </c>
      <c r="J4180" s="26" t="str">
        <f t="shared" ca="1" si="440"/>
        <v/>
      </c>
    </row>
    <row r="4181" spans="1:10" x14ac:dyDescent="0.25">
      <c r="A4181" t="s">
        <v>203</v>
      </c>
      <c r="B4181" t="str">
        <f>ADDRESS(ROW('PAYG 1'!$C$25),COLUMN('PAYG 1'!$C$25),4)</f>
        <v>C25</v>
      </c>
      <c r="C4181" t="str">
        <f>ADDRESS(ROW('PAYG 1'!$D$25),COLUMN('PAYG 1'!$D$25),4)</f>
        <v>D25</v>
      </c>
      <c r="D4181" t="b" cm="1">
        <f t="array" aca="1" ref="D4181" ca="1">IF(INDIRECT("'"&amp;A4181&amp;"'!"&amp;B4181)="",FALSE,IF(TRUNC(INDIRECT("'"&amp;A4181&amp;"'!"&amp;B4181))=INDIRECT("'"&amp;A4181&amp;"'!"&amp;B4181),FALSE,TRUE))</f>
        <v>0</v>
      </c>
      <c r="E4181" t="s">
        <v>436</v>
      </c>
      <c r="F4181" t="str">
        <f>INDEX(Lists!I:I,MATCH(Validation!E4181,Lists!G:G,0))</f>
        <v>Error</v>
      </c>
      <c r="G4181" t="str">
        <f>INDEX(Lists!H:H,MATCH(Validation!E4181,Lists!G:G,0))</f>
        <v>Amount must be rounded to the nearest dollar.</v>
      </c>
      <c r="H4181" s="25" t="str">
        <f t="shared" ca="1" si="438"/>
        <v/>
      </c>
      <c r="I4181" s="25" t="str">
        <f t="shared" ca="1" si="439"/>
        <v/>
      </c>
      <c r="J4181" s="26" t="str">
        <f t="shared" ca="1" si="440"/>
        <v/>
      </c>
    </row>
    <row r="4182" spans="1:10" x14ac:dyDescent="0.25">
      <c r="A4182" t="s">
        <v>651</v>
      </c>
      <c r="B4182" t="str">
        <f>ADDRESS(ROW('PAYG 1'!$C$25),COLUMN('PAYG 1'!$C$25),4)</f>
        <v>C25</v>
      </c>
      <c r="C4182" t="str">
        <f>ADDRESS(ROW('PAYG 1'!$D$25),COLUMN('PAYG 1'!$D$25),4)</f>
        <v>D25</v>
      </c>
      <c r="D4182" t="b" cm="1">
        <f t="array" aca="1" ref="D4182" ca="1">IF(INDIRECT("'"&amp;A4182&amp;"'!"&amp;B4182)="",FALSE,IF(TRUNC(INDIRECT("'"&amp;A4182&amp;"'!"&amp;B4182))=INDIRECT("'"&amp;A4182&amp;"'!"&amp;B4182),FALSE,TRUE))</f>
        <v>0</v>
      </c>
      <c r="E4182" t="s">
        <v>436</v>
      </c>
      <c r="F4182" t="str">
        <f>INDEX(Lists!I:I,MATCH(Validation!E4182,Lists!G:G,0))</f>
        <v>Error</v>
      </c>
      <c r="G4182" t="str">
        <f>INDEX(Lists!H:H,MATCH(Validation!E4182,Lists!G:G,0))</f>
        <v>Amount must be rounded to the nearest dollar.</v>
      </c>
      <c r="H4182" s="25" t="str">
        <f t="shared" ca="1" si="438"/>
        <v/>
      </c>
      <c r="I4182" s="25" t="str">
        <f t="shared" ca="1" si="439"/>
        <v/>
      </c>
      <c r="J4182" s="26" t="str">
        <f t="shared" ca="1" si="440"/>
        <v/>
      </c>
    </row>
    <row r="4183" spans="1:10" x14ac:dyDescent="0.25">
      <c r="A4183" t="s">
        <v>652</v>
      </c>
      <c r="B4183" t="str">
        <f>ADDRESS(ROW('PAYG 1'!$C$25),COLUMN('PAYG 1'!$C$25),4)</f>
        <v>C25</v>
      </c>
      <c r="C4183" t="str">
        <f>ADDRESS(ROW('PAYG 1'!$D$25),COLUMN('PAYG 1'!$D$25),4)</f>
        <v>D25</v>
      </c>
      <c r="D4183" t="b" cm="1">
        <f t="array" aca="1" ref="D4183" ca="1">IF(INDIRECT("'"&amp;A4183&amp;"'!"&amp;B4183)="",FALSE,IF(TRUNC(INDIRECT("'"&amp;A4183&amp;"'!"&amp;B4183))=INDIRECT("'"&amp;A4183&amp;"'!"&amp;B4183),FALSE,TRUE))</f>
        <v>0</v>
      </c>
      <c r="E4183" t="s">
        <v>436</v>
      </c>
      <c r="F4183" t="str">
        <f>INDEX(Lists!I:I,MATCH(Validation!E4183,Lists!G:G,0))</f>
        <v>Error</v>
      </c>
      <c r="G4183" t="str">
        <f>INDEX(Lists!H:H,MATCH(Validation!E4183,Lists!G:G,0))</f>
        <v>Amount must be rounded to the nearest dollar.</v>
      </c>
      <c r="H4183" s="25" t="str">
        <f t="shared" ca="1" si="438"/>
        <v/>
      </c>
      <c r="I4183" s="25" t="str">
        <f t="shared" ca="1" si="439"/>
        <v/>
      </c>
      <c r="J4183" s="26" t="str">
        <f t="shared" ca="1" si="440"/>
        <v/>
      </c>
    </row>
    <row r="4184" spans="1:10" x14ac:dyDescent="0.25">
      <c r="A4184" t="s">
        <v>653</v>
      </c>
      <c r="B4184" t="str">
        <f>ADDRESS(ROW('PAYG 1'!$C$25),COLUMN('PAYG 1'!$C$25),4)</f>
        <v>C25</v>
      </c>
      <c r="C4184" t="str">
        <f>ADDRESS(ROW('PAYG 1'!$D$25),COLUMN('PAYG 1'!$D$25),4)</f>
        <v>D25</v>
      </c>
      <c r="D4184" t="b" cm="1">
        <f t="array" aca="1" ref="D4184" ca="1">IF(INDIRECT("'"&amp;A4184&amp;"'!"&amp;B4184)="",FALSE,IF(TRUNC(INDIRECT("'"&amp;A4184&amp;"'!"&amp;B4184))=INDIRECT("'"&amp;A4184&amp;"'!"&amp;B4184),FALSE,TRUE))</f>
        <v>0</v>
      </c>
      <c r="E4184" t="s">
        <v>436</v>
      </c>
      <c r="F4184" t="str">
        <f>INDEX(Lists!I:I,MATCH(Validation!E4184,Lists!G:G,0))</f>
        <v>Error</v>
      </c>
      <c r="G4184" t="str">
        <f>INDEX(Lists!H:H,MATCH(Validation!E4184,Lists!G:G,0))</f>
        <v>Amount must be rounded to the nearest dollar.</v>
      </c>
      <c r="H4184" s="25" t="str">
        <f t="shared" ca="1" si="438"/>
        <v/>
      </c>
      <c r="I4184" s="25" t="str">
        <f t="shared" ca="1" si="439"/>
        <v/>
      </c>
      <c r="J4184" s="26" t="str">
        <f t="shared" ca="1" si="440"/>
        <v/>
      </c>
    </row>
    <row r="4185" spans="1:10" x14ac:dyDescent="0.25">
      <c r="A4185" t="s">
        <v>654</v>
      </c>
      <c r="B4185" t="str">
        <f>ADDRESS(ROW('PAYG 1'!$C$25),COLUMN('PAYG 1'!$C$25),4)</f>
        <v>C25</v>
      </c>
      <c r="C4185" t="str">
        <f>ADDRESS(ROW('PAYG 1'!$D$25),COLUMN('PAYG 1'!$D$25),4)</f>
        <v>D25</v>
      </c>
      <c r="D4185" t="b" cm="1">
        <f t="array" aca="1" ref="D4185" ca="1">IF(INDIRECT("'"&amp;A4185&amp;"'!"&amp;B4185)="",FALSE,IF(TRUNC(INDIRECT("'"&amp;A4185&amp;"'!"&amp;B4185))=INDIRECT("'"&amp;A4185&amp;"'!"&amp;B4185),FALSE,TRUE))</f>
        <v>0</v>
      </c>
      <c r="E4185" t="s">
        <v>436</v>
      </c>
      <c r="F4185" t="str">
        <f>INDEX(Lists!I:I,MATCH(Validation!E4185,Lists!G:G,0))</f>
        <v>Error</v>
      </c>
      <c r="G4185" t="str">
        <f>INDEX(Lists!H:H,MATCH(Validation!E4185,Lists!G:G,0))</f>
        <v>Amount must be rounded to the nearest dollar.</v>
      </c>
      <c r="H4185" s="25" t="str">
        <f t="shared" ca="1" si="438"/>
        <v/>
      </c>
      <c r="I4185" s="25" t="str">
        <f t="shared" ca="1" si="439"/>
        <v/>
      </c>
      <c r="J4185" s="26" t="str">
        <f t="shared" ca="1" si="440"/>
        <v/>
      </c>
    </row>
    <row r="4186" spans="1:10" x14ac:dyDescent="0.25">
      <c r="A4186" t="s">
        <v>655</v>
      </c>
      <c r="B4186" t="str">
        <f>ADDRESS(ROW('PAYG 1'!$C$25),COLUMN('PAYG 1'!$C$25),4)</f>
        <v>C25</v>
      </c>
      <c r="C4186" t="str">
        <f>ADDRESS(ROW('PAYG 1'!$D$25),COLUMN('PAYG 1'!$D$25),4)</f>
        <v>D25</v>
      </c>
      <c r="D4186" t="b" cm="1">
        <f t="array" aca="1" ref="D4186" ca="1">IF(INDIRECT("'"&amp;A4186&amp;"'!"&amp;B4186)="",FALSE,IF(TRUNC(INDIRECT("'"&amp;A4186&amp;"'!"&amp;B4186))=INDIRECT("'"&amp;A4186&amp;"'!"&amp;B4186),FALSE,TRUE))</f>
        <v>0</v>
      </c>
      <c r="E4186" t="s">
        <v>436</v>
      </c>
      <c r="F4186" t="str">
        <f>INDEX(Lists!I:I,MATCH(Validation!E4186,Lists!G:G,0))</f>
        <v>Error</v>
      </c>
      <c r="G4186" t="str">
        <f>INDEX(Lists!H:H,MATCH(Validation!E4186,Lists!G:G,0))</f>
        <v>Amount must be rounded to the nearest dollar.</v>
      </c>
      <c r="H4186" s="25" t="str">
        <f t="shared" ca="1" si="438"/>
        <v/>
      </c>
      <c r="I4186" s="25" t="str">
        <f t="shared" ca="1" si="439"/>
        <v/>
      </c>
      <c r="J4186" s="26" t="str">
        <f t="shared" ca="1" si="440"/>
        <v/>
      </c>
    </row>
    <row r="4187" spans="1:10" x14ac:dyDescent="0.25">
      <c r="A4187" t="s">
        <v>656</v>
      </c>
      <c r="B4187" t="str">
        <f>ADDRESS(ROW('PAYG 1'!$C$25),COLUMN('PAYG 1'!$C$25),4)</f>
        <v>C25</v>
      </c>
      <c r="C4187" t="str">
        <f>ADDRESS(ROW('PAYG 1'!$D$25),COLUMN('PAYG 1'!$D$25),4)</f>
        <v>D25</v>
      </c>
      <c r="D4187" t="b" cm="1">
        <f t="array" aca="1" ref="D4187" ca="1">IF(INDIRECT("'"&amp;A4187&amp;"'!"&amp;B4187)="",FALSE,IF(TRUNC(INDIRECT("'"&amp;A4187&amp;"'!"&amp;B4187))=INDIRECT("'"&amp;A4187&amp;"'!"&amp;B4187),FALSE,TRUE))</f>
        <v>0</v>
      </c>
      <c r="E4187" t="s">
        <v>436</v>
      </c>
      <c r="F4187" t="str">
        <f>INDEX(Lists!I:I,MATCH(Validation!E4187,Lists!G:G,0))</f>
        <v>Error</v>
      </c>
      <c r="G4187" t="str">
        <f>INDEX(Lists!H:H,MATCH(Validation!E4187,Lists!G:G,0))</f>
        <v>Amount must be rounded to the nearest dollar.</v>
      </c>
      <c r="H4187" s="25" t="str">
        <f t="shared" ca="1" si="438"/>
        <v/>
      </c>
      <c r="I4187" s="25" t="str">
        <f t="shared" ca="1" si="439"/>
        <v/>
      </c>
      <c r="J4187" s="26" t="str">
        <f t="shared" ca="1" si="440"/>
        <v/>
      </c>
    </row>
    <row r="4188" spans="1:10" x14ac:dyDescent="0.25">
      <c r="A4188" t="s">
        <v>657</v>
      </c>
      <c r="B4188" t="str">
        <f>ADDRESS(ROW('PAYG 1'!$C$25),COLUMN('PAYG 1'!$C$25),4)</f>
        <v>C25</v>
      </c>
      <c r="C4188" t="str">
        <f>ADDRESS(ROW('PAYG 1'!$D$25),COLUMN('PAYG 1'!$D$25),4)</f>
        <v>D25</v>
      </c>
      <c r="D4188" t="b" cm="1">
        <f t="array" aca="1" ref="D4188" ca="1">IF(INDIRECT("'"&amp;A4188&amp;"'!"&amp;B4188)="",FALSE,IF(TRUNC(INDIRECT("'"&amp;A4188&amp;"'!"&amp;B4188))=INDIRECT("'"&amp;A4188&amp;"'!"&amp;B4188),FALSE,TRUE))</f>
        <v>0</v>
      </c>
      <c r="E4188" t="s">
        <v>436</v>
      </c>
      <c r="F4188" t="str">
        <f>INDEX(Lists!I:I,MATCH(Validation!E4188,Lists!G:G,0))</f>
        <v>Error</v>
      </c>
      <c r="G4188" t="str">
        <f>INDEX(Lists!H:H,MATCH(Validation!E4188,Lists!G:G,0))</f>
        <v>Amount must be rounded to the nearest dollar.</v>
      </c>
      <c r="H4188" s="25" t="str">
        <f t="shared" ca="1" si="438"/>
        <v/>
      </c>
      <c r="I4188" s="25" t="str">
        <f t="shared" ca="1" si="439"/>
        <v/>
      </c>
      <c r="J4188" s="26" t="str">
        <f t="shared" ca="1" si="440"/>
        <v/>
      </c>
    </row>
    <row r="4189" spans="1:10" x14ac:dyDescent="0.25">
      <c r="A4189" t="s">
        <v>658</v>
      </c>
      <c r="B4189" t="str">
        <f>ADDRESS(ROW('PAYG 1'!$C$25),COLUMN('PAYG 1'!$C$25),4)</f>
        <v>C25</v>
      </c>
      <c r="C4189" t="str">
        <f>ADDRESS(ROW('PAYG 1'!$D$25),COLUMN('PAYG 1'!$D$25),4)</f>
        <v>D25</v>
      </c>
      <c r="D4189" t="b" cm="1">
        <f t="array" aca="1" ref="D4189" ca="1">IF(INDIRECT("'"&amp;A4189&amp;"'!"&amp;B4189)="",FALSE,IF(TRUNC(INDIRECT("'"&amp;A4189&amp;"'!"&amp;B4189))=INDIRECT("'"&amp;A4189&amp;"'!"&amp;B4189),FALSE,TRUE))</f>
        <v>0</v>
      </c>
      <c r="E4189" t="s">
        <v>436</v>
      </c>
      <c r="F4189" t="str">
        <f>INDEX(Lists!I:I,MATCH(Validation!E4189,Lists!G:G,0))</f>
        <v>Error</v>
      </c>
      <c r="G4189" t="str">
        <f>INDEX(Lists!H:H,MATCH(Validation!E4189,Lists!G:G,0))</f>
        <v>Amount must be rounded to the nearest dollar.</v>
      </c>
      <c r="H4189" s="25" t="str">
        <f t="shared" ca="1" si="438"/>
        <v/>
      </c>
      <c r="I4189" s="25" t="str">
        <f t="shared" ca="1" si="439"/>
        <v/>
      </c>
      <c r="J4189" s="26" t="str">
        <f t="shared" ca="1" si="440"/>
        <v/>
      </c>
    </row>
    <row r="4190" spans="1:10" x14ac:dyDescent="0.25">
      <c r="A4190" t="s">
        <v>659</v>
      </c>
      <c r="B4190" t="str">
        <f>ADDRESS(ROW('PAYG 1'!$C$25),COLUMN('PAYG 1'!$C$25),4)</f>
        <v>C25</v>
      </c>
      <c r="C4190" t="str">
        <f>ADDRESS(ROW('PAYG 1'!$D$25),COLUMN('PAYG 1'!$D$25),4)</f>
        <v>D25</v>
      </c>
      <c r="D4190" t="b" cm="1">
        <f t="array" aca="1" ref="D4190" ca="1">IF(INDIRECT("'"&amp;A4190&amp;"'!"&amp;B4190)="",FALSE,IF(TRUNC(INDIRECT("'"&amp;A4190&amp;"'!"&amp;B4190))=INDIRECT("'"&amp;A4190&amp;"'!"&amp;B4190),FALSE,TRUE))</f>
        <v>0</v>
      </c>
      <c r="E4190" t="s">
        <v>436</v>
      </c>
      <c r="F4190" t="str">
        <f>INDEX(Lists!I:I,MATCH(Validation!E4190,Lists!G:G,0))</f>
        <v>Error</v>
      </c>
      <c r="G4190" t="str">
        <f>INDEX(Lists!H:H,MATCH(Validation!E4190,Lists!G:G,0))</f>
        <v>Amount must be rounded to the nearest dollar.</v>
      </c>
      <c r="H4190" s="25" t="str">
        <f t="shared" ca="1" si="438"/>
        <v/>
      </c>
      <c r="I4190" s="25" t="str">
        <f t="shared" ca="1" si="439"/>
        <v/>
      </c>
      <c r="J4190" s="26" t="str">
        <f t="shared" ca="1" si="440"/>
        <v/>
      </c>
    </row>
    <row r="4191" spans="1:10" x14ac:dyDescent="0.25">
      <c r="A4191" t="s">
        <v>660</v>
      </c>
      <c r="B4191" t="str">
        <f>ADDRESS(ROW('PAYG 1'!$C$25),COLUMN('PAYG 1'!$C$25),4)</f>
        <v>C25</v>
      </c>
      <c r="C4191" t="str">
        <f>ADDRESS(ROW('PAYG 1'!$D$25),COLUMN('PAYG 1'!$D$25),4)</f>
        <v>D25</v>
      </c>
      <c r="D4191" t="b" cm="1">
        <f t="array" aca="1" ref="D4191" ca="1">IF(INDIRECT("'"&amp;A4191&amp;"'!"&amp;B4191)="",FALSE,IF(TRUNC(INDIRECT("'"&amp;A4191&amp;"'!"&amp;B4191))=INDIRECT("'"&amp;A4191&amp;"'!"&amp;B4191),FALSE,TRUE))</f>
        <v>0</v>
      </c>
      <c r="E4191" t="s">
        <v>436</v>
      </c>
      <c r="F4191" t="str">
        <f>INDEX(Lists!I:I,MATCH(Validation!E4191,Lists!G:G,0))</f>
        <v>Error</v>
      </c>
      <c r="G4191" t="str">
        <f>INDEX(Lists!H:H,MATCH(Validation!E4191,Lists!G:G,0))</f>
        <v>Amount must be rounded to the nearest dollar.</v>
      </c>
      <c r="H4191" s="25" t="str">
        <f t="shared" ca="1" si="438"/>
        <v/>
      </c>
      <c r="I4191" s="25" t="str">
        <f t="shared" ca="1" si="439"/>
        <v/>
      </c>
      <c r="J4191" s="26" t="str">
        <f t="shared" ca="1" si="440"/>
        <v/>
      </c>
    </row>
    <row r="4192" spans="1:10" x14ac:dyDescent="0.25">
      <c r="A4192" t="s">
        <v>661</v>
      </c>
      <c r="B4192" t="str">
        <f>ADDRESS(ROW('PAYG 1'!$C$25),COLUMN('PAYG 1'!$C$25),4)</f>
        <v>C25</v>
      </c>
      <c r="C4192" t="str">
        <f>ADDRESS(ROW('PAYG 1'!$D$25),COLUMN('PAYG 1'!$D$25),4)</f>
        <v>D25</v>
      </c>
      <c r="D4192" t="b" cm="1">
        <f t="array" aca="1" ref="D4192" ca="1">IF(INDIRECT("'"&amp;A4192&amp;"'!"&amp;B4192)="",FALSE,IF(TRUNC(INDIRECT("'"&amp;A4192&amp;"'!"&amp;B4192))=INDIRECT("'"&amp;A4192&amp;"'!"&amp;B4192),FALSE,TRUE))</f>
        <v>0</v>
      </c>
      <c r="E4192" t="s">
        <v>436</v>
      </c>
      <c r="F4192" t="str">
        <f>INDEX(Lists!I:I,MATCH(Validation!E4192,Lists!G:G,0))</f>
        <v>Error</v>
      </c>
      <c r="G4192" t="str">
        <f>INDEX(Lists!H:H,MATCH(Validation!E4192,Lists!G:G,0))</f>
        <v>Amount must be rounded to the nearest dollar.</v>
      </c>
      <c r="H4192" s="25" t="str">
        <f t="shared" ca="1" si="438"/>
        <v/>
      </c>
      <c r="I4192" s="25" t="str">
        <f t="shared" ca="1" si="439"/>
        <v/>
      </c>
      <c r="J4192" s="26" t="str">
        <f t="shared" ca="1" si="440"/>
        <v/>
      </c>
    </row>
    <row r="4193" spans="1:10" x14ac:dyDescent="0.25">
      <c r="A4193" t="s">
        <v>662</v>
      </c>
      <c r="B4193" t="str">
        <f>ADDRESS(ROW('PAYG 1'!$C$25),COLUMN('PAYG 1'!$C$25),4)</f>
        <v>C25</v>
      </c>
      <c r="C4193" t="str">
        <f>ADDRESS(ROW('PAYG 1'!$D$25),COLUMN('PAYG 1'!$D$25),4)</f>
        <v>D25</v>
      </c>
      <c r="D4193" t="b" cm="1">
        <f t="array" aca="1" ref="D4193" ca="1">IF(INDIRECT("'"&amp;A4193&amp;"'!"&amp;B4193)="",FALSE,IF(TRUNC(INDIRECT("'"&amp;A4193&amp;"'!"&amp;B4193))=INDIRECT("'"&amp;A4193&amp;"'!"&amp;B4193),FALSE,TRUE))</f>
        <v>0</v>
      </c>
      <c r="E4193" t="s">
        <v>436</v>
      </c>
      <c r="F4193" t="str">
        <f>INDEX(Lists!I:I,MATCH(Validation!E4193,Lists!G:G,0))</f>
        <v>Error</v>
      </c>
      <c r="G4193" t="str">
        <f>INDEX(Lists!H:H,MATCH(Validation!E4193,Lists!G:G,0))</f>
        <v>Amount must be rounded to the nearest dollar.</v>
      </c>
      <c r="H4193" s="25" t="str">
        <f t="shared" ca="1" si="438"/>
        <v/>
      </c>
      <c r="I4193" s="25" t="str">
        <f t="shared" ca="1" si="439"/>
        <v/>
      </c>
      <c r="J4193" s="26" t="str">
        <f t="shared" ca="1" si="440"/>
        <v/>
      </c>
    </row>
    <row r="4194" spans="1:10" x14ac:dyDescent="0.25">
      <c r="A4194" t="s">
        <v>663</v>
      </c>
      <c r="B4194" t="str">
        <f>ADDRESS(ROW('PAYG 1'!$C$25),COLUMN('PAYG 1'!$C$25),4)</f>
        <v>C25</v>
      </c>
      <c r="C4194" t="str">
        <f>ADDRESS(ROW('PAYG 1'!$D$25),COLUMN('PAYG 1'!$D$25),4)</f>
        <v>D25</v>
      </c>
      <c r="D4194" t="b" cm="1">
        <f t="array" aca="1" ref="D4194" ca="1">IF(INDIRECT("'"&amp;A4194&amp;"'!"&amp;B4194)="",FALSE,IF(TRUNC(INDIRECT("'"&amp;A4194&amp;"'!"&amp;B4194))=INDIRECT("'"&amp;A4194&amp;"'!"&amp;B4194),FALSE,TRUE))</f>
        <v>0</v>
      </c>
      <c r="E4194" t="s">
        <v>436</v>
      </c>
      <c r="F4194" t="str">
        <f>INDEX(Lists!I:I,MATCH(Validation!E4194,Lists!G:G,0))</f>
        <v>Error</v>
      </c>
      <c r="G4194" t="str">
        <f>INDEX(Lists!H:H,MATCH(Validation!E4194,Lists!G:G,0))</f>
        <v>Amount must be rounded to the nearest dollar.</v>
      </c>
      <c r="H4194" s="25" t="str">
        <f t="shared" ca="1" si="438"/>
        <v/>
      </c>
      <c r="I4194" s="25" t="str">
        <f t="shared" ca="1" si="439"/>
        <v/>
      </c>
      <c r="J4194" s="26" t="str">
        <f t="shared" ca="1" si="440"/>
        <v/>
      </c>
    </row>
    <row r="4195" spans="1:10" x14ac:dyDescent="0.25">
      <c r="A4195" t="s">
        <v>664</v>
      </c>
      <c r="B4195" t="str">
        <f>ADDRESS(ROW('PAYG 1'!$C$25),COLUMN('PAYG 1'!$C$25),4)</f>
        <v>C25</v>
      </c>
      <c r="C4195" t="str">
        <f>ADDRESS(ROW('PAYG 1'!$D$25),COLUMN('PAYG 1'!$D$25),4)</f>
        <v>D25</v>
      </c>
      <c r="D4195" t="b" cm="1">
        <f t="array" aca="1" ref="D4195" ca="1">IF(INDIRECT("'"&amp;A4195&amp;"'!"&amp;B4195)="",FALSE,IF(TRUNC(INDIRECT("'"&amp;A4195&amp;"'!"&amp;B4195))=INDIRECT("'"&amp;A4195&amp;"'!"&amp;B4195),FALSE,TRUE))</f>
        <v>0</v>
      </c>
      <c r="E4195" t="s">
        <v>436</v>
      </c>
      <c r="F4195" t="str">
        <f>INDEX(Lists!I:I,MATCH(Validation!E4195,Lists!G:G,0))</f>
        <v>Error</v>
      </c>
      <c r="G4195" t="str">
        <f>INDEX(Lists!H:H,MATCH(Validation!E4195,Lists!G:G,0))</f>
        <v>Amount must be rounded to the nearest dollar.</v>
      </c>
      <c r="H4195" s="25" t="str">
        <f t="shared" ca="1" si="438"/>
        <v/>
      </c>
      <c r="I4195" s="25" t="str">
        <f t="shared" ca="1" si="439"/>
        <v/>
      </c>
      <c r="J4195" s="26" t="str">
        <f t="shared" ca="1" si="440"/>
        <v/>
      </c>
    </row>
    <row r="4196" spans="1:10" x14ac:dyDescent="0.25">
      <c r="A4196" t="s">
        <v>203</v>
      </c>
      <c r="B4196" t="str">
        <f>ADDRESS(ROW('PAYG 1'!$B$26),COLUMN('PAYG 1'!$B$26),4)</f>
        <v>B26</v>
      </c>
      <c r="C4196" t="str">
        <f>ADDRESS(ROW('PAYG 1'!$D$26),COLUMN('PAYG 1'!$D$26),4)</f>
        <v>D26</v>
      </c>
      <c r="D4196" t="b" cm="1">
        <f t="array" aca="1" ref="D4196" ca="1">IF(INDIRECT("'"&amp;A4196&amp;"'!"&amp;B4196)="",FALSE,IF(NOT(ISNUMBER(INDIRECT("'"&amp;A4196&amp;"'!"&amp;B4196))),TRUE,FALSE))</f>
        <v>0</v>
      </c>
      <c r="E4196" t="s">
        <v>435</v>
      </c>
      <c r="F4196" t="str">
        <f>INDEX(Lists!I:I,MATCH(Validation!E4196,Lists!G:G,0))</f>
        <v>Error</v>
      </c>
      <c r="G4196" t="str">
        <f>INDEX(Lists!H:H,MATCH(Validation!E4196,Lists!G:G,0))</f>
        <v>Enter an amount only. Do not enter text or spaces.</v>
      </c>
      <c r="H4196" s="25" t="str">
        <f t="shared" ca="1" si="438"/>
        <v/>
      </c>
      <c r="I4196" s="25" t="str">
        <f t="shared" ca="1" si="439"/>
        <v/>
      </c>
      <c r="J4196" s="26" t="str">
        <f t="shared" ca="1" si="440"/>
        <v/>
      </c>
    </row>
    <row r="4197" spans="1:10" x14ac:dyDescent="0.25">
      <c r="A4197" t="s">
        <v>651</v>
      </c>
      <c r="B4197" t="str">
        <f>ADDRESS(ROW('PAYG 1'!$B$26),COLUMN('PAYG 1'!$B$26),4)</f>
        <v>B26</v>
      </c>
      <c r="C4197" t="str">
        <f>ADDRESS(ROW('PAYG 1'!$D$26),COLUMN('PAYG 1'!$D$26),4)</f>
        <v>D26</v>
      </c>
      <c r="D4197" t="b" cm="1">
        <f t="array" aca="1" ref="D4197" ca="1">IF(INDIRECT("'"&amp;A4197&amp;"'!"&amp;B4197)="",FALSE,IF(NOT(ISNUMBER(INDIRECT("'"&amp;A4197&amp;"'!"&amp;B4197))),TRUE,FALSE))</f>
        <v>0</v>
      </c>
      <c r="E4197" t="s">
        <v>435</v>
      </c>
      <c r="F4197" t="str">
        <f>INDEX(Lists!I:I,MATCH(Validation!E4197,Lists!G:G,0))</f>
        <v>Error</v>
      </c>
      <c r="G4197" t="str">
        <f>INDEX(Lists!H:H,MATCH(Validation!E4197,Lists!G:G,0))</f>
        <v>Enter an amount only. Do not enter text or spaces.</v>
      </c>
      <c r="H4197" s="25" t="str">
        <f t="shared" ca="1" si="438"/>
        <v/>
      </c>
      <c r="I4197" s="25" t="str">
        <f t="shared" ca="1" si="439"/>
        <v/>
      </c>
      <c r="J4197" s="26" t="str">
        <f t="shared" ca="1" si="440"/>
        <v/>
      </c>
    </row>
    <row r="4198" spans="1:10" x14ac:dyDescent="0.25">
      <c r="A4198" t="s">
        <v>652</v>
      </c>
      <c r="B4198" t="str">
        <f>ADDRESS(ROW('PAYG 1'!$B$26),COLUMN('PAYG 1'!$B$26),4)</f>
        <v>B26</v>
      </c>
      <c r="C4198" t="str">
        <f>ADDRESS(ROW('PAYG 1'!$D$26),COLUMN('PAYG 1'!$D$26),4)</f>
        <v>D26</v>
      </c>
      <c r="D4198" t="b" cm="1">
        <f t="array" aca="1" ref="D4198" ca="1">IF(INDIRECT("'"&amp;A4198&amp;"'!"&amp;B4198)="",FALSE,IF(NOT(ISNUMBER(INDIRECT("'"&amp;A4198&amp;"'!"&amp;B4198))),TRUE,FALSE))</f>
        <v>0</v>
      </c>
      <c r="E4198" t="s">
        <v>435</v>
      </c>
      <c r="F4198" t="str">
        <f>INDEX(Lists!I:I,MATCH(Validation!E4198,Lists!G:G,0))</f>
        <v>Error</v>
      </c>
      <c r="G4198" t="str">
        <f>INDEX(Lists!H:H,MATCH(Validation!E4198,Lists!G:G,0))</f>
        <v>Enter an amount only. Do not enter text or spaces.</v>
      </c>
      <c r="H4198" s="25" t="str">
        <f t="shared" ca="1" si="438"/>
        <v/>
      </c>
      <c r="I4198" s="25" t="str">
        <f t="shared" ca="1" si="439"/>
        <v/>
      </c>
      <c r="J4198" s="26" t="str">
        <f t="shared" ca="1" si="440"/>
        <v/>
      </c>
    </row>
    <row r="4199" spans="1:10" x14ac:dyDescent="0.25">
      <c r="A4199" t="s">
        <v>653</v>
      </c>
      <c r="B4199" t="str">
        <f>ADDRESS(ROW('PAYG 1'!$B$26),COLUMN('PAYG 1'!$B$26),4)</f>
        <v>B26</v>
      </c>
      <c r="C4199" t="str">
        <f>ADDRESS(ROW('PAYG 1'!$D$26),COLUMN('PAYG 1'!$D$26),4)</f>
        <v>D26</v>
      </c>
      <c r="D4199" t="b" cm="1">
        <f t="array" aca="1" ref="D4199" ca="1">IF(INDIRECT("'"&amp;A4199&amp;"'!"&amp;B4199)="",FALSE,IF(NOT(ISNUMBER(INDIRECT("'"&amp;A4199&amp;"'!"&amp;B4199))),TRUE,FALSE))</f>
        <v>0</v>
      </c>
      <c r="E4199" t="s">
        <v>435</v>
      </c>
      <c r="F4199" t="str">
        <f>INDEX(Lists!I:I,MATCH(Validation!E4199,Lists!G:G,0))</f>
        <v>Error</v>
      </c>
      <c r="G4199" t="str">
        <f>INDEX(Lists!H:H,MATCH(Validation!E4199,Lists!G:G,0))</f>
        <v>Enter an amount only. Do not enter text or spaces.</v>
      </c>
      <c r="H4199" s="25" t="str">
        <f t="shared" ca="1" si="438"/>
        <v/>
      </c>
      <c r="I4199" s="25" t="str">
        <f t="shared" ca="1" si="439"/>
        <v/>
      </c>
      <c r="J4199" s="26" t="str">
        <f t="shared" ca="1" si="440"/>
        <v/>
      </c>
    </row>
    <row r="4200" spans="1:10" x14ac:dyDescent="0.25">
      <c r="A4200" t="s">
        <v>654</v>
      </c>
      <c r="B4200" t="str">
        <f>ADDRESS(ROW('PAYG 1'!$B$26),COLUMN('PAYG 1'!$B$26),4)</f>
        <v>B26</v>
      </c>
      <c r="C4200" t="str">
        <f>ADDRESS(ROW('PAYG 1'!$D$26),COLUMN('PAYG 1'!$D$26),4)</f>
        <v>D26</v>
      </c>
      <c r="D4200" t="b" cm="1">
        <f t="array" aca="1" ref="D4200" ca="1">IF(INDIRECT("'"&amp;A4200&amp;"'!"&amp;B4200)="",FALSE,IF(NOT(ISNUMBER(INDIRECT("'"&amp;A4200&amp;"'!"&amp;B4200))),TRUE,FALSE))</f>
        <v>0</v>
      </c>
      <c r="E4200" t="s">
        <v>435</v>
      </c>
      <c r="F4200" t="str">
        <f>INDEX(Lists!I:I,MATCH(Validation!E4200,Lists!G:G,0))</f>
        <v>Error</v>
      </c>
      <c r="G4200" t="str">
        <f>INDEX(Lists!H:H,MATCH(Validation!E4200,Lists!G:G,0))</f>
        <v>Enter an amount only. Do not enter text or spaces.</v>
      </c>
      <c r="H4200" s="25" t="str">
        <f t="shared" ca="1" si="438"/>
        <v/>
      </c>
      <c r="I4200" s="25" t="str">
        <f t="shared" ca="1" si="439"/>
        <v/>
      </c>
      <c r="J4200" s="26" t="str">
        <f t="shared" ca="1" si="440"/>
        <v/>
      </c>
    </row>
    <row r="4201" spans="1:10" x14ac:dyDescent="0.25">
      <c r="A4201" t="s">
        <v>655</v>
      </c>
      <c r="B4201" t="str">
        <f>ADDRESS(ROW('PAYG 1'!$B$26),COLUMN('PAYG 1'!$B$26),4)</f>
        <v>B26</v>
      </c>
      <c r="C4201" t="str">
        <f>ADDRESS(ROW('PAYG 1'!$D$26),COLUMN('PAYG 1'!$D$26),4)</f>
        <v>D26</v>
      </c>
      <c r="D4201" t="b" cm="1">
        <f t="array" aca="1" ref="D4201" ca="1">IF(INDIRECT("'"&amp;A4201&amp;"'!"&amp;B4201)="",FALSE,IF(NOT(ISNUMBER(INDIRECT("'"&amp;A4201&amp;"'!"&amp;B4201))),TRUE,FALSE))</f>
        <v>0</v>
      </c>
      <c r="E4201" t="s">
        <v>435</v>
      </c>
      <c r="F4201" t="str">
        <f>INDEX(Lists!I:I,MATCH(Validation!E4201,Lists!G:G,0))</f>
        <v>Error</v>
      </c>
      <c r="G4201" t="str">
        <f>INDEX(Lists!H:H,MATCH(Validation!E4201,Lists!G:G,0))</f>
        <v>Enter an amount only. Do not enter text or spaces.</v>
      </c>
      <c r="H4201" s="25" t="str">
        <f t="shared" ca="1" si="438"/>
        <v/>
      </c>
      <c r="I4201" s="25" t="str">
        <f t="shared" ca="1" si="439"/>
        <v/>
      </c>
      <c r="J4201" s="26" t="str">
        <f t="shared" ca="1" si="440"/>
        <v/>
      </c>
    </row>
    <row r="4202" spans="1:10" x14ac:dyDescent="0.25">
      <c r="A4202" t="s">
        <v>656</v>
      </c>
      <c r="B4202" t="str">
        <f>ADDRESS(ROW('PAYG 1'!$B$26),COLUMN('PAYG 1'!$B$26),4)</f>
        <v>B26</v>
      </c>
      <c r="C4202" t="str">
        <f>ADDRESS(ROW('PAYG 1'!$D$26),COLUMN('PAYG 1'!$D$26),4)</f>
        <v>D26</v>
      </c>
      <c r="D4202" t="b" cm="1">
        <f t="array" aca="1" ref="D4202" ca="1">IF(INDIRECT("'"&amp;A4202&amp;"'!"&amp;B4202)="",FALSE,IF(NOT(ISNUMBER(INDIRECT("'"&amp;A4202&amp;"'!"&amp;B4202))),TRUE,FALSE))</f>
        <v>0</v>
      </c>
      <c r="E4202" t="s">
        <v>435</v>
      </c>
      <c r="F4202" t="str">
        <f>INDEX(Lists!I:I,MATCH(Validation!E4202,Lists!G:G,0))</f>
        <v>Error</v>
      </c>
      <c r="G4202" t="str">
        <f>INDEX(Lists!H:H,MATCH(Validation!E4202,Lists!G:G,0))</f>
        <v>Enter an amount only. Do not enter text or spaces.</v>
      </c>
      <c r="H4202" s="25" t="str">
        <f t="shared" ca="1" si="438"/>
        <v/>
      </c>
      <c r="I4202" s="25" t="str">
        <f t="shared" ca="1" si="439"/>
        <v/>
      </c>
      <c r="J4202" s="26" t="str">
        <f t="shared" ca="1" si="440"/>
        <v/>
      </c>
    </row>
    <row r="4203" spans="1:10" x14ac:dyDescent="0.25">
      <c r="A4203" t="s">
        <v>657</v>
      </c>
      <c r="B4203" t="str">
        <f>ADDRESS(ROW('PAYG 1'!$B$26),COLUMN('PAYG 1'!$B$26),4)</f>
        <v>B26</v>
      </c>
      <c r="C4203" t="str">
        <f>ADDRESS(ROW('PAYG 1'!$D$26),COLUMN('PAYG 1'!$D$26),4)</f>
        <v>D26</v>
      </c>
      <c r="D4203" t="b" cm="1">
        <f t="array" aca="1" ref="D4203" ca="1">IF(INDIRECT("'"&amp;A4203&amp;"'!"&amp;B4203)="",FALSE,IF(NOT(ISNUMBER(INDIRECT("'"&amp;A4203&amp;"'!"&amp;B4203))),TRUE,FALSE))</f>
        <v>0</v>
      </c>
      <c r="E4203" t="s">
        <v>435</v>
      </c>
      <c r="F4203" t="str">
        <f>INDEX(Lists!I:I,MATCH(Validation!E4203,Lists!G:G,0))</f>
        <v>Error</v>
      </c>
      <c r="G4203" t="str">
        <f>INDEX(Lists!H:H,MATCH(Validation!E4203,Lists!G:G,0))</f>
        <v>Enter an amount only. Do not enter text or spaces.</v>
      </c>
      <c r="H4203" s="25" t="str">
        <f t="shared" ca="1" si="438"/>
        <v/>
      </c>
      <c r="I4203" s="25" t="str">
        <f t="shared" ca="1" si="439"/>
        <v/>
      </c>
      <c r="J4203" s="26" t="str">
        <f t="shared" ca="1" si="440"/>
        <v/>
      </c>
    </row>
    <row r="4204" spans="1:10" x14ac:dyDescent="0.25">
      <c r="A4204" t="s">
        <v>658</v>
      </c>
      <c r="B4204" t="str">
        <f>ADDRESS(ROW('PAYG 1'!$B$26),COLUMN('PAYG 1'!$B$26),4)</f>
        <v>B26</v>
      </c>
      <c r="C4204" t="str">
        <f>ADDRESS(ROW('PAYG 1'!$D$26),COLUMN('PAYG 1'!$D$26),4)</f>
        <v>D26</v>
      </c>
      <c r="D4204" t="b" cm="1">
        <f t="array" aca="1" ref="D4204" ca="1">IF(INDIRECT("'"&amp;A4204&amp;"'!"&amp;B4204)="",FALSE,IF(NOT(ISNUMBER(INDIRECT("'"&amp;A4204&amp;"'!"&amp;B4204))),TRUE,FALSE))</f>
        <v>0</v>
      </c>
      <c r="E4204" t="s">
        <v>435</v>
      </c>
      <c r="F4204" t="str">
        <f>INDEX(Lists!I:I,MATCH(Validation!E4204,Lists!G:G,0))</f>
        <v>Error</v>
      </c>
      <c r="G4204" t="str">
        <f>INDEX(Lists!H:H,MATCH(Validation!E4204,Lists!G:G,0))</f>
        <v>Enter an amount only. Do not enter text or spaces.</v>
      </c>
      <c r="H4204" s="25" t="str">
        <f t="shared" ca="1" si="438"/>
        <v/>
      </c>
      <c r="I4204" s="25" t="str">
        <f t="shared" ca="1" si="439"/>
        <v/>
      </c>
      <c r="J4204" s="26" t="str">
        <f t="shared" ca="1" si="440"/>
        <v/>
      </c>
    </row>
    <row r="4205" spans="1:10" x14ac:dyDescent="0.25">
      <c r="A4205" t="s">
        <v>659</v>
      </c>
      <c r="B4205" t="str">
        <f>ADDRESS(ROW('PAYG 1'!$B$26),COLUMN('PAYG 1'!$B$26),4)</f>
        <v>B26</v>
      </c>
      <c r="C4205" t="str">
        <f>ADDRESS(ROW('PAYG 1'!$D$26),COLUMN('PAYG 1'!$D$26),4)</f>
        <v>D26</v>
      </c>
      <c r="D4205" t="b" cm="1">
        <f t="array" aca="1" ref="D4205" ca="1">IF(INDIRECT("'"&amp;A4205&amp;"'!"&amp;B4205)="",FALSE,IF(NOT(ISNUMBER(INDIRECT("'"&amp;A4205&amp;"'!"&amp;B4205))),TRUE,FALSE))</f>
        <v>0</v>
      </c>
      <c r="E4205" t="s">
        <v>435</v>
      </c>
      <c r="F4205" t="str">
        <f>INDEX(Lists!I:I,MATCH(Validation!E4205,Lists!G:G,0))</f>
        <v>Error</v>
      </c>
      <c r="G4205" t="str">
        <f>INDEX(Lists!H:H,MATCH(Validation!E4205,Lists!G:G,0))</f>
        <v>Enter an amount only. Do not enter text or spaces.</v>
      </c>
      <c r="H4205" s="25" t="str">
        <f t="shared" ca="1" si="438"/>
        <v/>
      </c>
      <c r="I4205" s="25" t="str">
        <f t="shared" ca="1" si="439"/>
        <v/>
      </c>
      <c r="J4205" s="26" t="str">
        <f t="shared" ca="1" si="440"/>
        <v/>
      </c>
    </row>
    <row r="4206" spans="1:10" x14ac:dyDescent="0.25">
      <c r="A4206" t="s">
        <v>660</v>
      </c>
      <c r="B4206" t="str">
        <f>ADDRESS(ROW('PAYG 1'!$B$26),COLUMN('PAYG 1'!$B$26),4)</f>
        <v>B26</v>
      </c>
      <c r="C4206" t="str">
        <f>ADDRESS(ROW('PAYG 1'!$D$26),COLUMN('PAYG 1'!$D$26),4)</f>
        <v>D26</v>
      </c>
      <c r="D4206" t="b" cm="1">
        <f t="array" aca="1" ref="D4206" ca="1">IF(INDIRECT("'"&amp;A4206&amp;"'!"&amp;B4206)="",FALSE,IF(NOT(ISNUMBER(INDIRECT("'"&amp;A4206&amp;"'!"&amp;B4206))),TRUE,FALSE))</f>
        <v>0</v>
      </c>
      <c r="E4206" t="s">
        <v>435</v>
      </c>
      <c r="F4206" t="str">
        <f>INDEX(Lists!I:I,MATCH(Validation!E4206,Lists!G:G,0))</f>
        <v>Error</v>
      </c>
      <c r="G4206" t="str">
        <f>INDEX(Lists!H:H,MATCH(Validation!E4206,Lists!G:G,0))</f>
        <v>Enter an amount only. Do not enter text or spaces.</v>
      </c>
      <c r="H4206" s="25" t="str">
        <f t="shared" ca="1" si="438"/>
        <v/>
      </c>
      <c r="I4206" s="25" t="str">
        <f t="shared" ca="1" si="439"/>
        <v/>
      </c>
      <c r="J4206" s="26" t="str">
        <f t="shared" ca="1" si="440"/>
        <v/>
      </c>
    </row>
    <row r="4207" spans="1:10" x14ac:dyDescent="0.25">
      <c r="A4207" t="s">
        <v>661</v>
      </c>
      <c r="B4207" t="str">
        <f>ADDRESS(ROW('PAYG 1'!$B$26),COLUMN('PAYG 1'!$B$26),4)</f>
        <v>B26</v>
      </c>
      <c r="C4207" t="str">
        <f>ADDRESS(ROW('PAYG 1'!$D$26),COLUMN('PAYG 1'!$D$26),4)</f>
        <v>D26</v>
      </c>
      <c r="D4207" t="b" cm="1">
        <f t="array" aca="1" ref="D4207" ca="1">IF(INDIRECT("'"&amp;A4207&amp;"'!"&amp;B4207)="",FALSE,IF(NOT(ISNUMBER(INDIRECT("'"&amp;A4207&amp;"'!"&amp;B4207))),TRUE,FALSE))</f>
        <v>0</v>
      </c>
      <c r="E4207" t="s">
        <v>435</v>
      </c>
      <c r="F4207" t="str">
        <f>INDEX(Lists!I:I,MATCH(Validation!E4207,Lists!G:G,0))</f>
        <v>Error</v>
      </c>
      <c r="G4207" t="str">
        <f>INDEX(Lists!H:H,MATCH(Validation!E4207,Lists!G:G,0))</f>
        <v>Enter an amount only. Do not enter text or spaces.</v>
      </c>
      <c r="H4207" s="25" t="str">
        <f t="shared" ca="1" si="438"/>
        <v/>
      </c>
      <c r="I4207" s="25" t="str">
        <f t="shared" ca="1" si="439"/>
        <v/>
      </c>
      <c r="J4207" s="26" t="str">
        <f t="shared" ca="1" si="440"/>
        <v/>
      </c>
    </row>
    <row r="4208" spans="1:10" x14ac:dyDescent="0.25">
      <c r="A4208" t="s">
        <v>662</v>
      </c>
      <c r="B4208" t="str">
        <f>ADDRESS(ROW('PAYG 1'!$B$26),COLUMN('PAYG 1'!$B$26),4)</f>
        <v>B26</v>
      </c>
      <c r="C4208" t="str">
        <f>ADDRESS(ROW('PAYG 1'!$D$26),COLUMN('PAYG 1'!$D$26),4)</f>
        <v>D26</v>
      </c>
      <c r="D4208" t="b" cm="1">
        <f t="array" aca="1" ref="D4208" ca="1">IF(INDIRECT("'"&amp;A4208&amp;"'!"&amp;B4208)="",FALSE,IF(NOT(ISNUMBER(INDIRECT("'"&amp;A4208&amp;"'!"&amp;B4208))),TRUE,FALSE))</f>
        <v>0</v>
      </c>
      <c r="E4208" t="s">
        <v>435</v>
      </c>
      <c r="F4208" t="str">
        <f>INDEX(Lists!I:I,MATCH(Validation!E4208,Lists!G:G,0))</f>
        <v>Error</v>
      </c>
      <c r="G4208" t="str">
        <f>INDEX(Lists!H:H,MATCH(Validation!E4208,Lists!G:G,0))</f>
        <v>Enter an amount only. Do not enter text or spaces.</v>
      </c>
      <c r="H4208" s="25" t="str">
        <f t="shared" ca="1" si="438"/>
        <v/>
      </c>
      <c r="I4208" s="25" t="str">
        <f t="shared" ca="1" si="439"/>
        <v/>
      </c>
      <c r="J4208" s="26" t="str">
        <f t="shared" ca="1" si="440"/>
        <v/>
      </c>
    </row>
    <row r="4209" spans="1:10" x14ac:dyDescent="0.25">
      <c r="A4209" t="s">
        <v>663</v>
      </c>
      <c r="B4209" t="str">
        <f>ADDRESS(ROW('PAYG 1'!$B$26),COLUMN('PAYG 1'!$B$26),4)</f>
        <v>B26</v>
      </c>
      <c r="C4209" t="str">
        <f>ADDRESS(ROW('PAYG 1'!$D$26),COLUMN('PAYG 1'!$D$26),4)</f>
        <v>D26</v>
      </c>
      <c r="D4209" t="b" cm="1">
        <f t="array" aca="1" ref="D4209" ca="1">IF(INDIRECT("'"&amp;A4209&amp;"'!"&amp;B4209)="",FALSE,IF(NOT(ISNUMBER(INDIRECT("'"&amp;A4209&amp;"'!"&amp;B4209))),TRUE,FALSE))</f>
        <v>0</v>
      </c>
      <c r="E4209" t="s">
        <v>435</v>
      </c>
      <c r="F4209" t="str">
        <f>INDEX(Lists!I:I,MATCH(Validation!E4209,Lists!G:G,0))</f>
        <v>Error</v>
      </c>
      <c r="G4209" t="str">
        <f>INDEX(Lists!H:H,MATCH(Validation!E4209,Lists!G:G,0))</f>
        <v>Enter an amount only. Do not enter text or spaces.</v>
      </c>
      <c r="H4209" s="25" t="str">
        <f t="shared" ca="1" si="438"/>
        <v/>
      </c>
      <c r="I4209" s="25" t="str">
        <f t="shared" ca="1" si="439"/>
        <v/>
      </c>
      <c r="J4209" s="26" t="str">
        <f t="shared" ca="1" si="440"/>
        <v/>
      </c>
    </row>
    <row r="4210" spans="1:10" x14ac:dyDescent="0.25">
      <c r="A4210" t="s">
        <v>664</v>
      </c>
      <c r="B4210" t="str">
        <f>ADDRESS(ROW('PAYG 1'!$B$26),COLUMN('PAYG 1'!$B$26),4)</f>
        <v>B26</v>
      </c>
      <c r="C4210" t="str">
        <f>ADDRESS(ROW('PAYG 1'!$D$26),COLUMN('PAYG 1'!$D$26),4)</f>
        <v>D26</v>
      </c>
      <c r="D4210" t="b" cm="1">
        <f t="array" aca="1" ref="D4210" ca="1">IF(INDIRECT("'"&amp;A4210&amp;"'!"&amp;B4210)="",FALSE,IF(NOT(ISNUMBER(INDIRECT("'"&amp;A4210&amp;"'!"&amp;B4210))),TRUE,FALSE))</f>
        <v>0</v>
      </c>
      <c r="E4210" t="s">
        <v>435</v>
      </c>
      <c r="F4210" t="str">
        <f>INDEX(Lists!I:I,MATCH(Validation!E4210,Lists!G:G,0))</f>
        <v>Error</v>
      </c>
      <c r="G4210" t="str">
        <f>INDEX(Lists!H:H,MATCH(Validation!E4210,Lists!G:G,0))</f>
        <v>Enter an amount only. Do not enter text or spaces.</v>
      </c>
      <c r="H4210" s="25" t="str">
        <f t="shared" ca="1" si="438"/>
        <v/>
      </c>
      <c r="I4210" s="25" t="str">
        <f t="shared" ca="1" si="439"/>
        <v/>
      </c>
      <c r="J4210" s="26" t="str">
        <f t="shared" ca="1" si="440"/>
        <v/>
      </c>
    </row>
    <row r="4211" spans="1:10" x14ac:dyDescent="0.25">
      <c r="A4211" t="s">
        <v>203</v>
      </c>
      <c r="B4211" t="str">
        <f>ADDRESS(ROW('PAYG 1'!$B$26),COLUMN('PAYG 1'!$B$26),4)</f>
        <v>B26</v>
      </c>
      <c r="C4211" t="str">
        <f>ADDRESS(ROW('PAYG 1'!$D$26),COLUMN('PAYG 1'!$D$26),4)</f>
        <v>D26</v>
      </c>
      <c r="D4211" t="b" cm="1">
        <f t="array" aca="1" ref="D4211" ca="1">IF(INDIRECT("'"&amp;A4211&amp;"'!"&amp;B4211)="",FALSE,IF(TRUNC(INDIRECT("'"&amp;A4211&amp;"'!"&amp;B4211))=INDIRECT("'"&amp;A4211&amp;"'!"&amp;B4211),FALSE,TRUE))</f>
        <v>0</v>
      </c>
      <c r="E4211" t="s">
        <v>436</v>
      </c>
      <c r="F4211" t="str">
        <f>INDEX(Lists!I:I,MATCH(Validation!E4211,Lists!G:G,0))</f>
        <v>Error</v>
      </c>
      <c r="G4211" t="str">
        <f>INDEX(Lists!H:H,MATCH(Validation!E4211,Lists!G:G,0))</f>
        <v>Amount must be rounded to the nearest dollar.</v>
      </c>
      <c r="H4211" s="25" t="str">
        <f t="shared" ca="1" si="438"/>
        <v/>
      </c>
      <c r="I4211" s="25" t="str">
        <f t="shared" ca="1" si="439"/>
        <v/>
      </c>
      <c r="J4211" s="26" t="str">
        <f t="shared" ca="1" si="440"/>
        <v/>
      </c>
    </row>
    <row r="4212" spans="1:10" x14ac:dyDescent="0.25">
      <c r="A4212" t="s">
        <v>651</v>
      </c>
      <c r="B4212" t="str">
        <f>ADDRESS(ROW('PAYG 1'!$B$26),COLUMN('PAYG 1'!$B$26),4)</f>
        <v>B26</v>
      </c>
      <c r="C4212" t="str">
        <f>ADDRESS(ROW('PAYG 1'!$D$26),COLUMN('PAYG 1'!$D$26),4)</f>
        <v>D26</v>
      </c>
      <c r="D4212" t="b" cm="1">
        <f t="array" aca="1" ref="D4212" ca="1">IF(INDIRECT("'"&amp;A4212&amp;"'!"&amp;B4212)="",FALSE,IF(TRUNC(INDIRECT("'"&amp;A4212&amp;"'!"&amp;B4212))=INDIRECT("'"&amp;A4212&amp;"'!"&amp;B4212),FALSE,TRUE))</f>
        <v>0</v>
      </c>
      <c r="E4212" t="s">
        <v>436</v>
      </c>
      <c r="F4212" t="str">
        <f>INDEX(Lists!I:I,MATCH(Validation!E4212,Lists!G:G,0))</f>
        <v>Error</v>
      </c>
      <c r="G4212" t="str">
        <f>INDEX(Lists!H:H,MATCH(Validation!E4212,Lists!G:G,0))</f>
        <v>Amount must be rounded to the nearest dollar.</v>
      </c>
      <c r="H4212" s="25" t="str">
        <f t="shared" ca="1" si="438"/>
        <v/>
      </c>
      <c r="I4212" s="25" t="str">
        <f t="shared" ca="1" si="439"/>
        <v/>
      </c>
      <c r="J4212" s="26" t="str">
        <f t="shared" ca="1" si="440"/>
        <v/>
      </c>
    </row>
    <row r="4213" spans="1:10" x14ac:dyDescent="0.25">
      <c r="A4213" t="s">
        <v>652</v>
      </c>
      <c r="B4213" t="str">
        <f>ADDRESS(ROW('PAYG 1'!$B$26),COLUMN('PAYG 1'!$B$26),4)</f>
        <v>B26</v>
      </c>
      <c r="C4213" t="str">
        <f>ADDRESS(ROW('PAYG 1'!$D$26),COLUMN('PAYG 1'!$D$26),4)</f>
        <v>D26</v>
      </c>
      <c r="D4213" t="b" cm="1">
        <f t="array" aca="1" ref="D4213" ca="1">IF(INDIRECT("'"&amp;A4213&amp;"'!"&amp;B4213)="",FALSE,IF(TRUNC(INDIRECT("'"&amp;A4213&amp;"'!"&amp;B4213))=INDIRECT("'"&amp;A4213&amp;"'!"&amp;B4213),FALSE,TRUE))</f>
        <v>0</v>
      </c>
      <c r="E4213" t="s">
        <v>436</v>
      </c>
      <c r="F4213" t="str">
        <f>INDEX(Lists!I:I,MATCH(Validation!E4213,Lists!G:G,0))</f>
        <v>Error</v>
      </c>
      <c r="G4213" t="str">
        <f>INDEX(Lists!H:H,MATCH(Validation!E4213,Lists!G:G,0))</f>
        <v>Amount must be rounded to the nearest dollar.</v>
      </c>
      <c r="H4213" s="25" t="str">
        <f t="shared" ca="1" si="438"/>
        <v/>
      </c>
      <c r="I4213" s="25" t="str">
        <f t="shared" ca="1" si="439"/>
        <v/>
      </c>
      <c r="J4213" s="26" t="str">
        <f t="shared" ca="1" si="440"/>
        <v/>
      </c>
    </row>
    <row r="4214" spans="1:10" x14ac:dyDescent="0.25">
      <c r="A4214" t="s">
        <v>653</v>
      </c>
      <c r="B4214" t="str">
        <f>ADDRESS(ROW('PAYG 1'!$B$26),COLUMN('PAYG 1'!$B$26),4)</f>
        <v>B26</v>
      </c>
      <c r="C4214" t="str">
        <f>ADDRESS(ROW('PAYG 1'!$D$26),COLUMN('PAYG 1'!$D$26),4)</f>
        <v>D26</v>
      </c>
      <c r="D4214" t="b" cm="1">
        <f t="array" aca="1" ref="D4214" ca="1">IF(INDIRECT("'"&amp;A4214&amp;"'!"&amp;B4214)="",FALSE,IF(TRUNC(INDIRECT("'"&amp;A4214&amp;"'!"&amp;B4214))=INDIRECT("'"&amp;A4214&amp;"'!"&amp;B4214),FALSE,TRUE))</f>
        <v>0</v>
      </c>
      <c r="E4214" t="s">
        <v>436</v>
      </c>
      <c r="F4214" t="str">
        <f>INDEX(Lists!I:I,MATCH(Validation!E4214,Lists!G:G,0))</f>
        <v>Error</v>
      </c>
      <c r="G4214" t="str">
        <f>INDEX(Lists!H:H,MATCH(Validation!E4214,Lists!G:G,0))</f>
        <v>Amount must be rounded to the nearest dollar.</v>
      </c>
      <c r="H4214" s="25" t="str">
        <f t="shared" ca="1" si="438"/>
        <v/>
      </c>
      <c r="I4214" s="25" t="str">
        <f t="shared" ca="1" si="439"/>
        <v/>
      </c>
      <c r="J4214" s="26" t="str">
        <f t="shared" ca="1" si="440"/>
        <v/>
      </c>
    </row>
    <row r="4215" spans="1:10" x14ac:dyDescent="0.25">
      <c r="A4215" t="s">
        <v>654</v>
      </c>
      <c r="B4215" t="str">
        <f>ADDRESS(ROW('PAYG 1'!$B$26),COLUMN('PAYG 1'!$B$26),4)</f>
        <v>B26</v>
      </c>
      <c r="C4215" t="str">
        <f>ADDRESS(ROW('PAYG 1'!$D$26),COLUMN('PAYG 1'!$D$26),4)</f>
        <v>D26</v>
      </c>
      <c r="D4215" t="b" cm="1">
        <f t="array" aca="1" ref="D4215" ca="1">IF(INDIRECT("'"&amp;A4215&amp;"'!"&amp;B4215)="",FALSE,IF(TRUNC(INDIRECT("'"&amp;A4215&amp;"'!"&amp;B4215))=INDIRECT("'"&amp;A4215&amp;"'!"&amp;B4215),FALSE,TRUE))</f>
        <v>0</v>
      </c>
      <c r="E4215" t="s">
        <v>436</v>
      </c>
      <c r="F4215" t="str">
        <f>INDEX(Lists!I:I,MATCH(Validation!E4215,Lists!G:G,0))</f>
        <v>Error</v>
      </c>
      <c r="G4215" t="str">
        <f>INDEX(Lists!H:H,MATCH(Validation!E4215,Lists!G:G,0))</f>
        <v>Amount must be rounded to the nearest dollar.</v>
      </c>
      <c r="H4215" s="25" t="str">
        <f t="shared" ca="1" si="438"/>
        <v/>
      </c>
      <c r="I4215" s="25" t="str">
        <f t="shared" ca="1" si="439"/>
        <v/>
      </c>
      <c r="J4215" s="26" t="str">
        <f t="shared" ca="1" si="440"/>
        <v/>
      </c>
    </row>
    <row r="4216" spans="1:10" x14ac:dyDescent="0.25">
      <c r="A4216" t="s">
        <v>655</v>
      </c>
      <c r="B4216" t="str">
        <f>ADDRESS(ROW('PAYG 1'!$B$26),COLUMN('PAYG 1'!$B$26),4)</f>
        <v>B26</v>
      </c>
      <c r="C4216" t="str">
        <f>ADDRESS(ROW('PAYG 1'!$D$26),COLUMN('PAYG 1'!$D$26),4)</f>
        <v>D26</v>
      </c>
      <c r="D4216" t="b" cm="1">
        <f t="array" aca="1" ref="D4216" ca="1">IF(INDIRECT("'"&amp;A4216&amp;"'!"&amp;B4216)="",FALSE,IF(TRUNC(INDIRECT("'"&amp;A4216&amp;"'!"&amp;B4216))=INDIRECT("'"&amp;A4216&amp;"'!"&amp;B4216),FALSE,TRUE))</f>
        <v>0</v>
      </c>
      <c r="E4216" t="s">
        <v>436</v>
      </c>
      <c r="F4216" t="str">
        <f>INDEX(Lists!I:I,MATCH(Validation!E4216,Lists!G:G,0))</f>
        <v>Error</v>
      </c>
      <c r="G4216" t="str">
        <f>INDEX(Lists!H:H,MATCH(Validation!E4216,Lists!G:G,0))</f>
        <v>Amount must be rounded to the nearest dollar.</v>
      </c>
      <c r="H4216" s="25" t="str">
        <f t="shared" ca="1" si="438"/>
        <v/>
      </c>
      <c r="I4216" s="25" t="str">
        <f t="shared" ca="1" si="439"/>
        <v/>
      </c>
      <c r="J4216" s="26" t="str">
        <f t="shared" ca="1" si="440"/>
        <v/>
      </c>
    </row>
    <row r="4217" spans="1:10" x14ac:dyDescent="0.25">
      <c r="A4217" t="s">
        <v>656</v>
      </c>
      <c r="B4217" t="str">
        <f>ADDRESS(ROW('PAYG 1'!$B$26),COLUMN('PAYG 1'!$B$26),4)</f>
        <v>B26</v>
      </c>
      <c r="C4217" t="str">
        <f>ADDRESS(ROW('PAYG 1'!$D$26),COLUMN('PAYG 1'!$D$26),4)</f>
        <v>D26</v>
      </c>
      <c r="D4217" t="b" cm="1">
        <f t="array" aca="1" ref="D4217" ca="1">IF(INDIRECT("'"&amp;A4217&amp;"'!"&amp;B4217)="",FALSE,IF(TRUNC(INDIRECT("'"&amp;A4217&amp;"'!"&amp;B4217))=INDIRECT("'"&amp;A4217&amp;"'!"&amp;B4217),FALSE,TRUE))</f>
        <v>0</v>
      </c>
      <c r="E4217" t="s">
        <v>436</v>
      </c>
      <c r="F4217" t="str">
        <f>INDEX(Lists!I:I,MATCH(Validation!E4217,Lists!G:G,0))</f>
        <v>Error</v>
      </c>
      <c r="G4217" t="str">
        <f>INDEX(Lists!H:H,MATCH(Validation!E4217,Lists!G:G,0))</f>
        <v>Amount must be rounded to the nearest dollar.</v>
      </c>
      <c r="H4217" s="25" t="str">
        <f t="shared" ca="1" si="438"/>
        <v/>
      </c>
      <c r="I4217" s="25" t="str">
        <f t="shared" ca="1" si="439"/>
        <v/>
      </c>
      <c r="J4217" s="26" t="str">
        <f t="shared" ca="1" si="440"/>
        <v/>
      </c>
    </row>
    <row r="4218" spans="1:10" x14ac:dyDescent="0.25">
      <c r="A4218" t="s">
        <v>657</v>
      </c>
      <c r="B4218" t="str">
        <f>ADDRESS(ROW('PAYG 1'!$B$26),COLUMN('PAYG 1'!$B$26),4)</f>
        <v>B26</v>
      </c>
      <c r="C4218" t="str">
        <f>ADDRESS(ROW('PAYG 1'!$D$26),COLUMN('PAYG 1'!$D$26),4)</f>
        <v>D26</v>
      </c>
      <c r="D4218" t="b" cm="1">
        <f t="array" aca="1" ref="D4218" ca="1">IF(INDIRECT("'"&amp;A4218&amp;"'!"&amp;B4218)="",FALSE,IF(TRUNC(INDIRECT("'"&amp;A4218&amp;"'!"&amp;B4218))=INDIRECT("'"&amp;A4218&amp;"'!"&amp;B4218),FALSE,TRUE))</f>
        <v>0</v>
      </c>
      <c r="E4218" t="s">
        <v>436</v>
      </c>
      <c r="F4218" t="str">
        <f>INDEX(Lists!I:I,MATCH(Validation!E4218,Lists!G:G,0))</f>
        <v>Error</v>
      </c>
      <c r="G4218" t="str">
        <f>INDEX(Lists!H:H,MATCH(Validation!E4218,Lists!G:G,0))</f>
        <v>Amount must be rounded to the nearest dollar.</v>
      </c>
      <c r="H4218" s="25" t="str">
        <f t="shared" ca="1" si="438"/>
        <v/>
      </c>
      <c r="I4218" s="25" t="str">
        <f t="shared" ca="1" si="439"/>
        <v/>
      </c>
      <c r="J4218" s="26" t="str">
        <f t="shared" ca="1" si="440"/>
        <v/>
      </c>
    </row>
    <row r="4219" spans="1:10" x14ac:dyDescent="0.25">
      <c r="A4219" t="s">
        <v>658</v>
      </c>
      <c r="B4219" t="str">
        <f>ADDRESS(ROW('PAYG 1'!$B$26),COLUMN('PAYG 1'!$B$26),4)</f>
        <v>B26</v>
      </c>
      <c r="C4219" t="str">
        <f>ADDRESS(ROW('PAYG 1'!$D$26),COLUMN('PAYG 1'!$D$26),4)</f>
        <v>D26</v>
      </c>
      <c r="D4219" t="b" cm="1">
        <f t="array" aca="1" ref="D4219" ca="1">IF(INDIRECT("'"&amp;A4219&amp;"'!"&amp;B4219)="",FALSE,IF(TRUNC(INDIRECT("'"&amp;A4219&amp;"'!"&amp;B4219))=INDIRECT("'"&amp;A4219&amp;"'!"&amp;B4219),FALSE,TRUE))</f>
        <v>0</v>
      </c>
      <c r="E4219" t="s">
        <v>436</v>
      </c>
      <c r="F4219" t="str">
        <f>INDEX(Lists!I:I,MATCH(Validation!E4219,Lists!G:G,0))</f>
        <v>Error</v>
      </c>
      <c r="G4219" t="str">
        <f>INDEX(Lists!H:H,MATCH(Validation!E4219,Lists!G:G,0))</f>
        <v>Amount must be rounded to the nearest dollar.</v>
      </c>
      <c r="H4219" s="25" t="str">
        <f t="shared" ref="H4219:H4263" ca="1" si="441">IFERROR(IF(OR(NOT(D4219),F4219&lt;&gt;"Error"),"",A4219&amp;CELL("address",INDIRECT(B4219))),"")</f>
        <v/>
      </c>
      <c r="I4219" s="25" t="str">
        <f t="shared" ref="I4219:I4263" ca="1" si="442">IFERROR(IF(NOT(D4219),"",A4219&amp;CELL("address",INDIRECT(C4219))),"")</f>
        <v/>
      </c>
      <c r="J4219" s="26" t="str">
        <f t="shared" ref="J4219:J4263" ca="1" si="443">IFERROR(IF(NOT(D4219),"",A4219),"")</f>
        <v/>
      </c>
    </row>
    <row r="4220" spans="1:10" x14ac:dyDescent="0.25">
      <c r="A4220" t="s">
        <v>659</v>
      </c>
      <c r="B4220" t="str">
        <f>ADDRESS(ROW('PAYG 1'!$B$26),COLUMN('PAYG 1'!$B$26),4)</f>
        <v>B26</v>
      </c>
      <c r="C4220" t="str">
        <f>ADDRESS(ROW('PAYG 1'!$D$26),COLUMN('PAYG 1'!$D$26),4)</f>
        <v>D26</v>
      </c>
      <c r="D4220" t="b" cm="1">
        <f t="array" aca="1" ref="D4220" ca="1">IF(INDIRECT("'"&amp;A4220&amp;"'!"&amp;B4220)="",FALSE,IF(TRUNC(INDIRECT("'"&amp;A4220&amp;"'!"&amp;B4220))=INDIRECT("'"&amp;A4220&amp;"'!"&amp;B4220),FALSE,TRUE))</f>
        <v>0</v>
      </c>
      <c r="E4220" t="s">
        <v>436</v>
      </c>
      <c r="F4220" t="str">
        <f>INDEX(Lists!I:I,MATCH(Validation!E4220,Lists!G:G,0))</f>
        <v>Error</v>
      </c>
      <c r="G4220" t="str">
        <f>INDEX(Lists!H:H,MATCH(Validation!E4220,Lists!G:G,0))</f>
        <v>Amount must be rounded to the nearest dollar.</v>
      </c>
      <c r="H4220" s="25" t="str">
        <f t="shared" ca="1" si="441"/>
        <v/>
      </c>
      <c r="I4220" s="25" t="str">
        <f t="shared" ca="1" si="442"/>
        <v/>
      </c>
      <c r="J4220" s="26" t="str">
        <f t="shared" ca="1" si="443"/>
        <v/>
      </c>
    </row>
    <row r="4221" spans="1:10" x14ac:dyDescent="0.25">
      <c r="A4221" t="s">
        <v>660</v>
      </c>
      <c r="B4221" t="str">
        <f>ADDRESS(ROW('PAYG 1'!$B$26),COLUMN('PAYG 1'!$B$26),4)</f>
        <v>B26</v>
      </c>
      <c r="C4221" t="str">
        <f>ADDRESS(ROW('PAYG 1'!$D$26),COLUMN('PAYG 1'!$D$26),4)</f>
        <v>D26</v>
      </c>
      <c r="D4221" t="b" cm="1">
        <f t="array" aca="1" ref="D4221" ca="1">IF(INDIRECT("'"&amp;A4221&amp;"'!"&amp;B4221)="",FALSE,IF(TRUNC(INDIRECT("'"&amp;A4221&amp;"'!"&amp;B4221))=INDIRECT("'"&amp;A4221&amp;"'!"&amp;B4221),FALSE,TRUE))</f>
        <v>0</v>
      </c>
      <c r="E4221" t="s">
        <v>436</v>
      </c>
      <c r="F4221" t="str">
        <f>INDEX(Lists!I:I,MATCH(Validation!E4221,Lists!G:G,0))</f>
        <v>Error</v>
      </c>
      <c r="G4221" t="str">
        <f>INDEX(Lists!H:H,MATCH(Validation!E4221,Lists!G:G,0))</f>
        <v>Amount must be rounded to the nearest dollar.</v>
      </c>
      <c r="H4221" s="25" t="str">
        <f t="shared" ca="1" si="441"/>
        <v/>
      </c>
      <c r="I4221" s="25" t="str">
        <f t="shared" ca="1" si="442"/>
        <v/>
      </c>
      <c r="J4221" s="26" t="str">
        <f t="shared" ca="1" si="443"/>
        <v/>
      </c>
    </row>
    <row r="4222" spans="1:10" x14ac:dyDescent="0.25">
      <c r="A4222" t="s">
        <v>661</v>
      </c>
      <c r="B4222" t="str">
        <f>ADDRESS(ROW('PAYG 1'!$B$26),COLUMN('PAYG 1'!$B$26),4)</f>
        <v>B26</v>
      </c>
      <c r="C4222" t="str">
        <f>ADDRESS(ROW('PAYG 1'!$D$26),COLUMN('PAYG 1'!$D$26),4)</f>
        <v>D26</v>
      </c>
      <c r="D4222" t="b" cm="1">
        <f t="array" aca="1" ref="D4222" ca="1">IF(INDIRECT("'"&amp;A4222&amp;"'!"&amp;B4222)="",FALSE,IF(TRUNC(INDIRECT("'"&amp;A4222&amp;"'!"&amp;B4222))=INDIRECT("'"&amp;A4222&amp;"'!"&amp;B4222),FALSE,TRUE))</f>
        <v>0</v>
      </c>
      <c r="E4222" t="s">
        <v>436</v>
      </c>
      <c r="F4222" t="str">
        <f>INDEX(Lists!I:I,MATCH(Validation!E4222,Lists!G:G,0))</f>
        <v>Error</v>
      </c>
      <c r="G4222" t="str">
        <f>INDEX(Lists!H:H,MATCH(Validation!E4222,Lists!G:G,0))</f>
        <v>Amount must be rounded to the nearest dollar.</v>
      </c>
      <c r="H4222" s="25" t="str">
        <f t="shared" ca="1" si="441"/>
        <v/>
      </c>
      <c r="I4222" s="25" t="str">
        <f t="shared" ca="1" si="442"/>
        <v/>
      </c>
      <c r="J4222" s="26" t="str">
        <f t="shared" ca="1" si="443"/>
        <v/>
      </c>
    </row>
    <row r="4223" spans="1:10" x14ac:dyDescent="0.25">
      <c r="A4223" t="s">
        <v>662</v>
      </c>
      <c r="B4223" t="str">
        <f>ADDRESS(ROW('PAYG 1'!$B$26),COLUMN('PAYG 1'!$B$26),4)</f>
        <v>B26</v>
      </c>
      <c r="C4223" t="str">
        <f>ADDRESS(ROW('PAYG 1'!$D$26),COLUMN('PAYG 1'!$D$26),4)</f>
        <v>D26</v>
      </c>
      <c r="D4223" t="b" cm="1">
        <f t="array" aca="1" ref="D4223" ca="1">IF(INDIRECT("'"&amp;A4223&amp;"'!"&amp;B4223)="",FALSE,IF(TRUNC(INDIRECT("'"&amp;A4223&amp;"'!"&amp;B4223))=INDIRECT("'"&amp;A4223&amp;"'!"&amp;B4223),FALSE,TRUE))</f>
        <v>0</v>
      </c>
      <c r="E4223" t="s">
        <v>436</v>
      </c>
      <c r="F4223" t="str">
        <f>INDEX(Lists!I:I,MATCH(Validation!E4223,Lists!G:G,0))</f>
        <v>Error</v>
      </c>
      <c r="G4223" t="str">
        <f>INDEX(Lists!H:H,MATCH(Validation!E4223,Lists!G:G,0))</f>
        <v>Amount must be rounded to the nearest dollar.</v>
      </c>
      <c r="H4223" s="25" t="str">
        <f t="shared" ca="1" si="441"/>
        <v/>
      </c>
      <c r="I4223" s="25" t="str">
        <f t="shared" ca="1" si="442"/>
        <v/>
      </c>
      <c r="J4223" s="26" t="str">
        <f t="shared" ca="1" si="443"/>
        <v/>
      </c>
    </row>
    <row r="4224" spans="1:10" x14ac:dyDescent="0.25">
      <c r="A4224" t="s">
        <v>663</v>
      </c>
      <c r="B4224" t="str">
        <f>ADDRESS(ROW('PAYG 1'!$B$26),COLUMN('PAYG 1'!$B$26),4)</f>
        <v>B26</v>
      </c>
      <c r="C4224" t="str">
        <f>ADDRESS(ROW('PAYG 1'!$D$26),COLUMN('PAYG 1'!$D$26),4)</f>
        <v>D26</v>
      </c>
      <c r="D4224" t="b" cm="1">
        <f t="array" aca="1" ref="D4224" ca="1">IF(INDIRECT("'"&amp;A4224&amp;"'!"&amp;B4224)="",FALSE,IF(TRUNC(INDIRECT("'"&amp;A4224&amp;"'!"&amp;B4224))=INDIRECT("'"&amp;A4224&amp;"'!"&amp;B4224),FALSE,TRUE))</f>
        <v>0</v>
      </c>
      <c r="E4224" t="s">
        <v>436</v>
      </c>
      <c r="F4224" t="str">
        <f>INDEX(Lists!I:I,MATCH(Validation!E4224,Lists!G:G,0))</f>
        <v>Error</v>
      </c>
      <c r="G4224" t="str">
        <f>INDEX(Lists!H:H,MATCH(Validation!E4224,Lists!G:G,0))</f>
        <v>Amount must be rounded to the nearest dollar.</v>
      </c>
      <c r="H4224" s="25" t="str">
        <f t="shared" ca="1" si="441"/>
        <v/>
      </c>
      <c r="I4224" s="25" t="str">
        <f t="shared" ca="1" si="442"/>
        <v/>
      </c>
      <c r="J4224" s="26" t="str">
        <f t="shared" ca="1" si="443"/>
        <v/>
      </c>
    </row>
    <row r="4225" spans="1:10" x14ac:dyDescent="0.25">
      <c r="A4225" t="s">
        <v>664</v>
      </c>
      <c r="B4225" t="str">
        <f>ADDRESS(ROW('PAYG 1'!$B$26),COLUMN('PAYG 1'!$B$26),4)</f>
        <v>B26</v>
      </c>
      <c r="C4225" t="str">
        <f>ADDRESS(ROW('PAYG 1'!$D$26),COLUMN('PAYG 1'!$D$26),4)</f>
        <v>D26</v>
      </c>
      <c r="D4225" t="b" cm="1">
        <f t="array" aca="1" ref="D4225" ca="1">IF(INDIRECT("'"&amp;A4225&amp;"'!"&amp;B4225)="",FALSE,IF(TRUNC(INDIRECT("'"&amp;A4225&amp;"'!"&amp;B4225))=INDIRECT("'"&amp;A4225&amp;"'!"&amp;B4225),FALSE,TRUE))</f>
        <v>0</v>
      </c>
      <c r="E4225" t="s">
        <v>436</v>
      </c>
      <c r="F4225" t="str">
        <f>INDEX(Lists!I:I,MATCH(Validation!E4225,Lists!G:G,0))</f>
        <v>Error</v>
      </c>
      <c r="G4225" t="str">
        <f>INDEX(Lists!H:H,MATCH(Validation!E4225,Lists!G:G,0))</f>
        <v>Amount must be rounded to the nearest dollar.</v>
      </c>
      <c r="H4225" s="25" t="str">
        <f t="shared" ca="1" si="441"/>
        <v/>
      </c>
      <c r="I4225" s="25" t="str">
        <f t="shared" ca="1" si="442"/>
        <v/>
      </c>
      <c r="J4225" s="26" t="str">
        <f t="shared" ca="1" si="443"/>
        <v/>
      </c>
    </row>
    <row r="4226" spans="1:10" x14ac:dyDescent="0.25">
      <c r="A4226" t="s">
        <v>203</v>
      </c>
      <c r="B4226" t="str">
        <f>ADDRESS(ROW('PAYG 1'!$B$26),COLUMN('PAYG 1'!$B$26),4)</f>
        <v>B26</v>
      </c>
      <c r="C4226" t="str">
        <f>ADDRESS(ROW('PAYG 1'!$D$26),COLUMN('PAYG 1'!$D$26),4)</f>
        <v>D26</v>
      </c>
      <c r="D4226" t="b" cm="1">
        <f t="array" aca="1" ref="D4226" ca="1">IF(AND(NOT(ISBLANK('PAYG Input'!C$32)),INDIRECT("'"&amp;A4226&amp;"'!"&amp;B4226)&lt;&gt;'PAYG Input'!C$32),TRUE,FALSE)</f>
        <v>0</v>
      </c>
      <c r="E4226" t="s">
        <v>634</v>
      </c>
      <c r="F4226" t="str">
        <f>INDEX(Lists!I:I,MATCH(Validation!E4226,Lists!G:G,0))</f>
        <v>Alert</v>
      </c>
      <c r="G4226" t="str">
        <f>INDEX(Lists!H:H,MATCH(Validation!E4226,Lists!G:G,0))</f>
        <v>You have changed previously reported data. Explain in the comments box.</v>
      </c>
      <c r="H4226" s="25" t="str">
        <f t="shared" ca="1" si="441"/>
        <v/>
      </c>
      <c r="I4226" s="25" t="str">
        <f t="shared" ca="1" si="442"/>
        <v/>
      </c>
      <c r="J4226" s="26" t="str">
        <f t="shared" ca="1" si="443"/>
        <v/>
      </c>
    </row>
    <row r="4227" spans="1:10" x14ac:dyDescent="0.25">
      <c r="A4227" t="s">
        <v>651</v>
      </c>
      <c r="B4227" t="str">
        <f>ADDRESS(ROW('PAYG 1'!$B$26),COLUMN('PAYG 1'!$B$26),4)</f>
        <v>B26</v>
      </c>
      <c r="C4227" t="str">
        <f>ADDRESS(ROW('PAYG 1'!$D$26),COLUMN('PAYG 1'!$D$26),4)</f>
        <v>D26</v>
      </c>
      <c r="D4227" t="b" cm="1">
        <f t="array" aca="1" ref="D4227" ca="1">IF(AND(NOT(ISBLANK('PAYG Input'!D$32)),INDIRECT("'"&amp;A4227&amp;"'!"&amp;B4227)&lt;&gt;'PAYG Input'!D$32),TRUE,FALSE)</f>
        <v>0</v>
      </c>
      <c r="E4227" t="s">
        <v>634</v>
      </c>
      <c r="F4227" t="str">
        <f>INDEX(Lists!I:I,MATCH(Validation!E4227,Lists!G:G,0))</f>
        <v>Alert</v>
      </c>
      <c r="G4227" t="str">
        <f>INDEX(Lists!H:H,MATCH(Validation!E4227,Lists!G:G,0))</f>
        <v>You have changed previously reported data. Explain in the comments box.</v>
      </c>
      <c r="H4227" s="25" t="str">
        <f t="shared" ca="1" si="441"/>
        <v/>
      </c>
      <c r="I4227" s="25" t="str">
        <f t="shared" ca="1" si="442"/>
        <v/>
      </c>
      <c r="J4227" s="26" t="str">
        <f t="shared" ca="1" si="443"/>
        <v/>
      </c>
    </row>
    <row r="4228" spans="1:10" x14ac:dyDescent="0.25">
      <c r="A4228" t="s">
        <v>652</v>
      </c>
      <c r="B4228" t="str">
        <f>ADDRESS(ROW('PAYG 1'!$B$26),COLUMN('PAYG 1'!$B$26),4)</f>
        <v>B26</v>
      </c>
      <c r="C4228" t="str">
        <f>ADDRESS(ROW('PAYG 1'!$D$26),COLUMN('PAYG 1'!$D$26),4)</f>
        <v>D26</v>
      </c>
      <c r="D4228" t="b" cm="1">
        <f t="array" aca="1" ref="D4228" ca="1">IF(AND(NOT(ISBLANK('PAYG Input'!E$32)),INDIRECT("'"&amp;A4228&amp;"'!"&amp;B4228)&lt;&gt;'PAYG Input'!E$32),TRUE,FALSE)</f>
        <v>0</v>
      </c>
      <c r="E4228" t="s">
        <v>634</v>
      </c>
      <c r="F4228" t="str">
        <f>INDEX(Lists!I:I,MATCH(Validation!E4228,Lists!G:G,0))</f>
        <v>Alert</v>
      </c>
      <c r="G4228" t="str">
        <f>INDEX(Lists!H:H,MATCH(Validation!E4228,Lists!G:G,0))</f>
        <v>You have changed previously reported data. Explain in the comments box.</v>
      </c>
      <c r="H4228" s="25" t="str">
        <f t="shared" ca="1" si="441"/>
        <v/>
      </c>
      <c r="I4228" s="25" t="str">
        <f t="shared" ca="1" si="442"/>
        <v/>
      </c>
      <c r="J4228" s="26" t="str">
        <f t="shared" ca="1" si="443"/>
        <v/>
      </c>
    </row>
    <row r="4229" spans="1:10" x14ac:dyDescent="0.25">
      <c r="A4229" t="s">
        <v>653</v>
      </c>
      <c r="B4229" t="str">
        <f>ADDRESS(ROW('PAYG 1'!$B$26),COLUMN('PAYG 1'!$B$26),4)</f>
        <v>B26</v>
      </c>
      <c r="C4229" t="str">
        <f>ADDRESS(ROW('PAYG 1'!$D$26),COLUMN('PAYG 1'!$D$26),4)</f>
        <v>D26</v>
      </c>
      <c r="D4229" t="b" cm="1">
        <f t="array" aca="1" ref="D4229" ca="1">IF(AND(NOT(ISBLANK('PAYG Input'!F$32)),INDIRECT("'"&amp;A4229&amp;"'!"&amp;B4229)&lt;&gt;'PAYG Input'!F$32),TRUE,FALSE)</f>
        <v>0</v>
      </c>
      <c r="E4229" t="s">
        <v>634</v>
      </c>
      <c r="F4229" t="str">
        <f>INDEX(Lists!I:I,MATCH(Validation!E4229,Lists!G:G,0))</f>
        <v>Alert</v>
      </c>
      <c r="G4229" t="str">
        <f>INDEX(Lists!H:H,MATCH(Validation!E4229,Lists!G:G,0))</f>
        <v>You have changed previously reported data. Explain in the comments box.</v>
      </c>
      <c r="H4229" s="25" t="str">
        <f t="shared" ca="1" si="441"/>
        <v/>
      </c>
      <c r="I4229" s="25" t="str">
        <f t="shared" ca="1" si="442"/>
        <v/>
      </c>
      <c r="J4229" s="26" t="str">
        <f t="shared" ca="1" si="443"/>
        <v/>
      </c>
    </row>
    <row r="4230" spans="1:10" x14ac:dyDescent="0.25">
      <c r="A4230" t="s">
        <v>654</v>
      </c>
      <c r="B4230" t="str">
        <f>ADDRESS(ROW('PAYG 1'!$B$26),COLUMN('PAYG 1'!$B$26),4)</f>
        <v>B26</v>
      </c>
      <c r="C4230" t="str">
        <f>ADDRESS(ROW('PAYG 1'!$D$26),COLUMN('PAYG 1'!$D$26),4)</f>
        <v>D26</v>
      </c>
      <c r="D4230" t="b" cm="1">
        <f t="array" aca="1" ref="D4230" ca="1">IF(AND(NOT(ISBLANK('PAYG Input'!G$32)),INDIRECT("'"&amp;A4230&amp;"'!"&amp;B4230)&lt;&gt;'PAYG Input'!G$32),TRUE,FALSE)</f>
        <v>0</v>
      </c>
      <c r="E4230" t="s">
        <v>634</v>
      </c>
      <c r="F4230" t="str">
        <f>INDEX(Lists!I:I,MATCH(Validation!E4230,Lists!G:G,0))</f>
        <v>Alert</v>
      </c>
      <c r="G4230" t="str">
        <f>INDEX(Lists!H:H,MATCH(Validation!E4230,Lists!G:G,0))</f>
        <v>You have changed previously reported data. Explain in the comments box.</v>
      </c>
      <c r="H4230" s="25" t="str">
        <f t="shared" ca="1" si="441"/>
        <v/>
      </c>
      <c r="I4230" s="25" t="str">
        <f t="shared" ca="1" si="442"/>
        <v/>
      </c>
      <c r="J4230" s="26" t="str">
        <f t="shared" ca="1" si="443"/>
        <v/>
      </c>
    </row>
    <row r="4231" spans="1:10" x14ac:dyDescent="0.25">
      <c r="A4231" t="s">
        <v>655</v>
      </c>
      <c r="B4231" t="str">
        <f>ADDRESS(ROW('PAYG 1'!$B$26),COLUMN('PAYG 1'!$B$26),4)</f>
        <v>B26</v>
      </c>
      <c r="C4231" t="str">
        <f>ADDRESS(ROW('PAYG 1'!$D$26),COLUMN('PAYG 1'!$D$26),4)</f>
        <v>D26</v>
      </c>
      <c r="D4231" t="b" cm="1">
        <f t="array" aca="1" ref="D4231" ca="1">IF(AND(NOT(ISBLANK('PAYG Input'!H$32)),INDIRECT("'"&amp;A4231&amp;"'!"&amp;B4231)&lt;&gt;'PAYG Input'!H$32),TRUE,FALSE)</f>
        <v>0</v>
      </c>
      <c r="E4231" t="s">
        <v>634</v>
      </c>
      <c r="F4231" t="str">
        <f>INDEX(Lists!I:I,MATCH(Validation!E4231,Lists!G:G,0))</f>
        <v>Alert</v>
      </c>
      <c r="G4231" t="str">
        <f>INDEX(Lists!H:H,MATCH(Validation!E4231,Lists!G:G,0))</f>
        <v>You have changed previously reported data. Explain in the comments box.</v>
      </c>
      <c r="H4231" s="25" t="str">
        <f t="shared" ca="1" si="441"/>
        <v/>
      </c>
      <c r="I4231" s="25" t="str">
        <f t="shared" ca="1" si="442"/>
        <v/>
      </c>
      <c r="J4231" s="26" t="str">
        <f t="shared" ca="1" si="443"/>
        <v/>
      </c>
    </row>
    <row r="4232" spans="1:10" x14ac:dyDescent="0.25">
      <c r="A4232" t="s">
        <v>656</v>
      </c>
      <c r="B4232" t="str">
        <f>ADDRESS(ROW('PAYG 1'!$B$26),COLUMN('PAYG 1'!$B$26),4)</f>
        <v>B26</v>
      </c>
      <c r="C4232" t="str">
        <f>ADDRESS(ROW('PAYG 1'!$D$26),COLUMN('PAYG 1'!$D$26),4)</f>
        <v>D26</v>
      </c>
      <c r="D4232" t="b" cm="1">
        <f t="array" aca="1" ref="D4232" ca="1">IF(AND(NOT(ISBLANK('PAYG Input'!I$32)),INDIRECT("'"&amp;A4232&amp;"'!"&amp;B4232)&lt;&gt;'PAYG Input'!I$32),TRUE,FALSE)</f>
        <v>0</v>
      </c>
      <c r="E4232" t="s">
        <v>634</v>
      </c>
      <c r="F4232" t="str">
        <f>INDEX(Lists!I:I,MATCH(Validation!E4232,Lists!G:G,0))</f>
        <v>Alert</v>
      </c>
      <c r="G4232" t="str">
        <f>INDEX(Lists!H:H,MATCH(Validation!E4232,Lists!G:G,0))</f>
        <v>You have changed previously reported data. Explain in the comments box.</v>
      </c>
      <c r="H4232" s="25" t="str">
        <f t="shared" ca="1" si="441"/>
        <v/>
      </c>
      <c r="I4232" s="25" t="str">
        <f t="shared" ca="1" si="442"/>
        <v/>
      </c>
      <c r="J4232" s="26" t="str">
        <f t="shared" ca="1" si="443"/>
        <v/>
      </c>
    </row>
    <row r="4233" spans="1:10" x14ac:dyDescent="0.25">
      <c r="A4233" t="s">
        <v>657</v>
      </c>
      <c r="B4233" t="str">
        <f>ADDRESS(ROW('PAYG 1'!$B$26),COLUMN('PAYG 1'!$B$26),4)</f>
        <v>B26</v>
      </c>
      <c r="C4233" t="str">
        <f>ADDRESS(ROW('PAYG 1'!$D$26),COLUMN('PAYG 1'!$D$26),4)</f>
        <v>D26</v>
      </c>
      <c r="D4233" t="b" cm="1">
        <f t="array" aca="1" ref="D4233" ca="1">IF(AND(NOT(ISBLANK('PAYG Input'!J$32)),INDIRECT("'"&amp;A4233&amp;"'!"&amp;B4233)&lt;&gt;'PAYG Input'!J$32),TRUE,FALSE)</f>
        <v>0</v>
      </c>
      <c r="E4233" t="s">
        <v>634</v>
      </c>
      <c r="F4233" t="str">
        <f>INDEX(Lists!I:I,MATCH(Validation!E4233,Lists!G:G,0))</f>
        <v>Alert</v>
      </c>
      <c r="G4233" t="str">
        <f>INDEX(Lists!H:H,MATCH(Validation!E4233,Lists!G:G,0))</f>
        <v>You have changed previously reported data. Explain in the comments box.</v>
      </c>
      <c r="H4233" s="25" t="str">
        <f t="shared" ca="1" si="441"/>
        <v/>
      </c>
      <c r="I4233" s="25" t="str">
        <f t="shared" ca="1" si="442"/>
        <v/>
      </c>
      <c r="J4233" s="26" t="str">
        <f t="shared" ca="1" si="443"/>
        <v/>
      </c>
    </row>
    <row r="4234" spans="1:10" x14ac:dyDescent="0.25">
      <c r="A4234" t="s">
        <v>658</v>
      </c>
      <c r="B4234" t="str">
        <f>ADDRESS(ROW('PAYG 1'!$B$26),COLUMN('PAYG 1'!$B$26),4)</f>
        <v>B26</v>
      </c>
      <c r="C4234" t="str">
        <f>ADDRESS(ROW('PAYG 1'!$D$26),COLUMN('PAYG 1'!$D$26),4)</f>
        <v>D26</v>
      </c>
      <c r="D4234" t="b" cm="1">
        <f t="array" aca="1" ref="D4234" ca="1">IF(AND(NOT(ISBLANK('PAYG Input'!K$32)),INDIRECT("'"&amp;A4234&amp;"'!"&amp;B4234)&lt;&gt;'PAYG Input'!K$32),TRUE,FALSE)</f>
        <v>0</v>
      </c>
      <c r="E4234" t="s">
        <v>634</v>
      </c>
      <c r="F4234" t="str">
        <f>INDEX(Lists!I:I,MATCH(Validation!E4234,Lists!G:G,0))</f>
        <v>Alert</v>
      </c>
      <c r="G4234" t="str">
        <f>INDEX(Lists!H:H,MATCH(Validation!E4234,Lists!G:G,0))</f>
        <v>You have changed previously reported data. Explain in the comments box.</v>
      </c>
      <c r="H4234" s="25" t="str">
        <f t="shared" ca="1" si="441"/>
        <v/>
      </c>
      <c r="I4234" s="25" t="str">
        <f t="shared" ca="1" si="442"/>
        <v/>
      </c>
      <c r="J4234" s="26" t="str">
        <f t="shared" ca="1" si="443"/>
        <v/>
      </c>
    </row>
    <row r="4235" spans="1:10" x14ac:dyDescent="0.25">
      <c r="A4235" t="s">
        <v>659</v>
      </c>
      <c r="B4235" t="str">
        <f>ADDRESS(ROW('PAYG 1'!$B$26),COLUMN('PAYG 1'!$B$26),4)</f>
        <v>B26</v>
      </c>
      <c r="C4235" t="str">
        <f>ADDRESS(ROW('PAYG 1'!$D$26),COLUMN('PAYG 1'!$D$26),4)</f>
        <v>D26</v>
      </c>
      <c r="D4235" t="b" cm="1">
        <f t="array" aca="1" ref="D4235" ca="1">IF(AND(NOT(ISBLANK('PAYG Input'!L$32)),INDIRECT("'"&amp;A4235&amp;"'!"&amp;B4235)&lt;&gt;'PAYG Input'!L$32),TRUE,FALSE)</f>
        <v>0</v>
      </c>
      <c r="E4235" t="s">
        <v>634</v>
      </c>
      <c r="F4235" t="str">
        <f>INDEX(Lists!I:I,MATCH(Validation!E4235,Lists!G:G,0))</f>
        <v>Alert</v>
      </c>
      <c r="G4235" t="str">
        <f>INDEX(Lists!H:H,MATCH(Validation!E4235,Lists!G:G,0))</f>
        <v>You have changed previously reported data. Explain in the comments box.</v>
      </c>
      <c r="H4235" s="25" t="str">
        <f t="shared" ca="1" si="441"/>
        <v/>
      </c>
      <c r="I4235" s="25" t="str">
        <f t="shared" ca="1" si="442"/>
        <v/>
      </c>
      <c r="J4235" s="26" t="str">
        <f t="shared" ca="1" si="443"/>
        <v/>
      </c>
    </row>
    <row r="4236" spans="1:10" x14ac:dyDescent="0.25">
      <c r="A4236" t="s">
        <v>660</v>
      </c>
      <c r="B4236" t="str">
        <f>ADDRESS(ROW('PAYG 1'!$B$26),COLUMN('PAYG 1'!$B$26),4)</f>
        <v>B26</v>
      </c>
      <c r="C4236" t="str">
        <f>ADDRESS(ROW('PAYG 1'!$D$26),COLUMN('PAYG 1'!$D$26),4)</f>
        <v>D26</v>
      </c>
      <c r="D4236" t="b" cm="1">
        <f t="array" aca="1" ref="D4236" ca="1">IF(AND(NOT(ISBLANK('PAYG Input'!M$32)),INDIRECT("'"&amp;A4236&amp;"'!"&amp;B4236)&lt;&gt;'PAYG Input'!M$32),TRUE,FALSE)</f>
        <v>0</v>
      </c>
      <c r="E4236" t="s">
        <v>634</v>
      </c>
      <c r="F4236" t="str">
        <f>INDEX(Lists!I:I,MATCH(Validation!E4236,Lists!G:G,0))</f>
        <v>Alert</v>
      </c>
      <c r="G4236" t="str">
        <f>INDEX(Lists!H:H,MATCH(Validation!E4236,Lists!G:G,0))</f>
        <v>You have changed previously reported data. Explain in the comments box.</v>
      </c>
      <c r="H4236" s="25" t="str">
        <f t="shared" ca="1" si="441"/>
        <v/>
      </c>
      <c r="I4236" s="25" t="str">
        <f t="shared" ca="1" si="442"/>
        <v/>
      </c>
      <c r="J4236" s="26" t="str">
        <f t="shared" ca="1" si="443"/>
        <v/>
      </c>
    </row>
    <row r="4237" spans="1:10" x14ac:dyDescent="0.25">
      <c r="A4237" t="s">
        <v>661</v>
      </c>
      <c r="B4237" t="str">
        <f>ADDRESS(ROW('PAYG 1'!$B$26),COLUMN('PAYG 1'!$B$26),4)</f>
        <v>B26</v>
      </c>
      <c r="C4237" t="str">
        <f>ADDRESS(ROW('PAYG 1'!$D$26),COLUMN('PAYG 1'!$D$26),4)</f>
        <v>D26</v>
      </c>
      <c r="D4237" t="b" cm="1">
        <f t="array" aca="1" ref="D4237" ca="1">IF(AND(NOT(ISBLANK('PAYG Input'!N$32)),INDIRECT("'"&amp;A4237&amp;"'!"&amp;B4237)&lt;&gt;'PAYG Input'!N$32),TRUE,FALSE)</f>
        <v>0</v>
      </c>
      <c r="E4237" t="s">
        <v>634</v>
      </c>
      <c r="F4237" t="str">
        <f>INDEX(Lists!I:I,MATCH(Validation!E4237,Lists!G:G,0))</f>
        <v>Alert</v>
      </c>
      <c r="G4237" t="str">
        <f>INDEX(Lists!H:H,MATCH(Validation!E4237,Lists!G:G,0))</f>
        <v>You have changed previously reported data. Explain in the comments box.</v>
      </c>
      <c r="H4237" s="25" t="str">
        <f t="shared" ca="1" si="441"/>
        <v/>
      </c>
      <c r="I4237" s="25" t="str">
        <f t="shared" ca="1" si="442"/>
        <v/>
      </c>
      <c r="J4237" s="26" t="str">
        <f t="shared" ca="1" si="443"/>
        <v/>
      </c>
    </row>
    <row r="4238" spans="1:10" x14ac:dyDescent="0.25">
      <c r="A4238" t="s">
        <v>662</v>
      </c>
      <c r="B4238" t="str">
        <f>ADDRESS(ROW('PAYG 1'!$B$26),COLUMN('PAYG 1'!$B$26),4)</f>
        <v>B26</v>
      </c>
      <c r="C4238" t="str">
        <f>ADDRESS(ROW('PAYG 1'!$D$26),COLUMN('PAYG 1'!$D$26),4)</f>
        <v>D26</v>
      </c>
      <c r="D4238" t="b" cm="1">
        <f t="array" aca="1" ref="D4238" ca="1">IF(AND(NOT(ISBLANK('PAYG Input'!O$32)),INDIRECT("'"&amp;A4238&amp;"'!"&amp;B4238)&lt;&gt;'PAYG Input'!O$32),TRUE,FALSE)</f>
        <v>0</v>
      </c>
      <c r="E4238" t="s">
        <v>634</v>
      </c>
      <c r="F4238" t="str">
        <f>INDEX(Lists!I:I,MATCH(Validation!E4238,Lists!G:G,0))</f>
        <v>Alert</v>
      </c>
      <c r="G4238" t="str">
        <f>INDEX(Lists!H:H,MATCH(Validation!E4238,Lists!G:G,0))</f>
        <v>You have changed previously reported data. Explain in the comments box.</v>
      </c>
      <c r="H4238" s="25" t="str">
        <f t="shared" ca="1" si="441"/>
        <v/>
      </c>
      <c r="I4238" s="25" t="str">
        <f t="shared" ca="1" si="442"/>
        <v/>
      </c>
      <c r="J4238" s="26" t="str">
        <f t="shared" ca="1" si="443"/>
        <v/>
      </c>
    </row>
    <row r="4239" spans="1:10" x14ac:dyDescent="0.25">
      <c r="A4239" t="s">
        <v>663</v>
      </c>
      <c r="B4239" t="str">
        <f>ADDRESS(ROW('PAYG 1'!$B$26),COLUMN('PAYG 1'!$B$26),4)</f>
        <v>B26</v>
      </c>
      <c r="C4239" t="str">
        <f>ADDRESS(ROW('PAYG 1'!$D$26),COLUMN('PAYG 1'!$D$26),4)</f>
        <v>D26</v>
      </c>
      <c r="D4239" t="b" cm="1">
        <f t="array" aca="1" ref="D4239" ca="1">IF(AND(NOT(ISBLANK('PAYG Input'!P$32)),INDIRECT("'"&amp;A4239&amp;"'!"&amp;B4239)&lt;&gt;'PAYG Input'!P$32),TRUE,FALSE)</f>
        <v>0</v>
      </c>
      <c r="E4239" t="s">
        <v>634</v>
      </c>
      <c r="F4239" t="str">
        <f>INDEX(Lists!I:I,MATCH(Validation!E4239,Lists!G:G,0))</f>
        <v>Alert</v>
      </c>
      <c r="G4239" t="str">
        <f>INDEX(Lists!H:H,MATCH(Validation!E4239,Lists!G:G,0))</f>
        <v>You have changed previously reported data. Explain in the comments box.</v>
      </c>
      <c r="H4239" s="25" t="str">
        <f t="shared" ca="1" si="441"/>
        <v/>
      </c>
      <c r="I4239" s="25" t="str">
        <f t="shared" ca="1" si="442"/>
        <v/>
      </c>
      <c r="J4239" s="26" t="str">
        <f t="shared" ca="1" si="443"/>
        <v/>
      </c>
    </row>
    <row r="4240" spans="1:10" x14ac:dyDescent="0.25">
      <c r="A4240" t="s">
        <v>664</v>
      </c>
      <c r="B4240" t="str">
        <f>ADDRESS(ROW('PAYG 1'!$B$26),COLUMN('PAYG 1'!$B$26),4)</f>
        <v>B26</v>
      </c>
      <c r="C4240" t="str">
        <f>ADDRESS(ROW('PAYG 1'!$D$26),COLUMN('PAYG 1'!$D$26),4)</f>
        <v>D26</v>
      </c>
      <c r="D4240" t="b" cm="1">
        <f t="array" aca="1" ref="D4240" ca="1">IF(AND(NOT(ISBLANK('PAYG Input'!Q$32)),INDIRECT("'"&amp;A4240&amp;"'!"&amp;B4240)&lt;&gt;'PAYG Input'!Q$32),TRUE,FALSE)</f>
        <v>0</v>
      </c>
      <c r="E4240" t="s">
        <v>634</v>
      </c>
      <c r="F4240" t="str">
        <f>INDEX(Lists!I:I,MATCH(Validation!E4240,Lists!G:G,0))</f>
        <v>Alert</v>
      </c>
      <c r="G4240" t="str">
        <f>INDEX(Lists!H:H,MATCH(Validation!E4240,Lists!G:G,0))</f>
        <v>You have changed previously reported data. Explain in the comments box.</v>
      </c>
      <c r="H4240" s="25" t="str">
        <f t="shared" ca="1" si="441"/>
        <v/>
      </c>
      <c r="I4240" s="25" t="str">
        <f t="shared" ca="1" si="442"/>
        <v/>
      </c>
      <c r="J4240" s="26" t="str">
        <f t="shared" ca="1" si="443"/>
        <v/>
      </c>
    </row>
    <row r="4241" spans="1:10" x14ac:dyDescent="0.25">
      <c r="A4241" t="s">
        <v>203</v>
      </c>
      <c r="B4241" t="str">
        <f>ADDRESS(ROW('PAYG 1'!$C$26),COLUMN('PAYG 1'!$C$26),4)</f>
        <v>C26</v>
      </c>
      <c r="C4241" t="str">
        <f>ADDRESS(ROW('PAYG 1'!$D$26),COLUMN('PAYG 1'!$D$26),4)</f>
        <v>D26</v>
      </c>
      <c r="D4241" t="b" cm="1">
        <f t="array" aca="1" ref="D4241" ca="1">IF(INDIRECT("'"&amp;A4241&amp;"'!"&amp;B4241)="",FALSE,IF(NOT(ISNUMBER(INDIRECT("'"&amp;A4241&amp;"'!"&amp;B4241))),TRUE,FALSE))</f>
        <v>0</v>
      </c>
      <c r="E4241" t="s">
        <v>435</v>
      </c>
      <c r="F4241" t="str">
        <f>INDEX(Lists!I:I,MATCH(Validation!E4241,Lists!G:G,0))</f>
        <v>Error</v>
      </c>
      <c r="G4241" t="str">
        <f>INDEX(Lists!H:H,MATCH(Validation!E4241,Lists!G:G,0))</f>
        <v>Enter an amount only. Do not enter text or spaces.</v>
      </c>
      <c r="H4241" s="25" t="str">
        <f t="shared" ca="1" si="441"/>
        <v/>
      </c>
      <c r="I4241" s="25" t="str">
        <f t="shared" ca="1" si="442"/>
        <v/>
      </c>
      <c r="J4241" s="26" t="str">
        <f t="shared" ca="1" si="443"/>
        <v/>
      </c>
    </row>
    <row r="4242" spans="1:10" x14ac:dyDescent="0.25">
      <c r="A4242" t="s">
        <v>651</v>
      </c>
      <c r="B4242" t="str">
        <f>ADDRESS(ROW('PAYG 1'!$C$26),COLUMN('PAYG 1'!$C$26),4)</f>
        <v>C26</v>
      </c>
      <c r="C4242" t="str">
        <f>ADDRESS(ROW('PAYG 1'!$D$26),COLUMN('PAYG 1'!$D$26),4)</f>
        <v>D26</v>
      </c>
      <c r="D4242" t="b" cm="1">
        <f t="array" aca="1" ref="D4242" ca="1">IF(INDIRECT("'"&amp;A4242&amp;"'!"&amp;B4242)="",FALSE,IF(NOT(ISNUMBER(INDIRECT("'"&amp;A4242&amp;"'!"&amp;B4242))),TRUE,FALSE))</f>
        <v>0</v>
      </c>
      <c r="E4242" t="s">
        <v>435</v>
      </c>
      <c r="F4242" t="str">
        <f>INDEX(Lists!I:I,MATCH(Validation!E4242,Lists!G:G,0))</f>
        <v>Error</v>
      </c>
      <c r="G4242" t="str">
        <f>INDEX(Lists!H:H,MATCH(Validation!E4242,Lists!G:G,0))</f>
        <v>Enter an amount only. Do not enter text or spaces.</v>
      </c>
      <c r="H4242" s="25" t="str">
        <f t="shared" ca="1" si="441"/>
        <v/>
      </c>
      <c r="I4242" s="25" t="str">
        <f t="shared" ca="1" si="442"/>
        <v/>
      </c>
      <c r="J4242" s="26" t="str">
        <f t="shared" ca="1" si="443"/>
        <v/>
      </c>
    </row>
    <row r="4243" spans="1:10" x14ac:dyDescent="0.25">
      <c r="A4243" t="s">
        <v>652</v>
      </c>
      <c r="B4243" t="str">
        <f>ADDRESS(ROW('PAYG 1'!$C$26),COLUMN('PAYG 1'!$C$26),4)</f>
        <v>C26</v>
      </c>
      <c r="C4243" t="str">
        <f>ADDRESS(ROW('PAYG 1'!$D$26),COLUMN('PAYG 1'!$D$26),4)</f>
        <v>D26</v>
      </c>
      <c r="D4243" t="b" cm="1">
        <f t="array" aca="1" ref="D4243" ca="1">IF(INDIRECT("'"&amp;A4243&amp;"'!"&amp;B4243)="",FALSE,IF(NOT(ISNUMBER(INDIRECT("'"&amp;A4243&amp;"'!"&amp;B4243))),TRUE,FALSE))</f>
        <v>0</v>
      </c>
      <c r="E4243" t="s">
        <v>435</v>
      </c>
      <c r="F4243" t="str">
        <f>INDEX(Lists!I:I,MATCH(Validation!E4243,Lists!G:G,0))</f>
        <v>Error</v>
      </c>
      <c r="G4243" t="str">
        <f>INDEX(Lists!H:H,MATCH(Validation!E4243,Lists!G:G,0))</f>
        <v>Enter an amount only. Do not enter text or spaces.</v>
      </c>
      <c r="H4243" s="25" t="str">
        <f t="shared" ca="1" si="441"/>
        <v/>
      </c>
      <c r="I4243" s="25" t="str">
        <f t="shared" ca="1" si="442"/>
        <v/>
      </c>
      <c r="J4243" s="26" t="str">
        <f t="shared" ca="1" si="443"/>
        <v/>
      </c>
    </row>
    <row r="4244" spans="1:10" x14ac:dyDescent="0.25">
      <c r="A4244" t="s">
        <v>653</v>
      </c>
      <c r="B4244" t="str">
        <f>ADDRESS(ROW('PAYG 1'!$C$26),COLUMN('PAYG 1'!$C$26),4)</f>
        <v>C26</v>
      </c>
      <c r="C4244" t="str">
        <f>ADDRESS(ROW('PAYG 1'!$D$26),COLUMN('PAYG 1'!$D$26),4)</f>
        <v>D26</v>
      </c>
      <c r="D4244" t="b" cm="1">
        <f t="array" aca="1" ref="D4244" ca="1">IF(INDIRECT("'"&amp;A4244&amp;"'!"&amp;B4244)="",FALSE,IF(NOT(ISNUMBER(INDIRECT("'"&amp;A4244&amp;"'!"&amp;B4244))),TRUE,FALSE))</f>
        <v>0</v>
      </c>
      <c r="E4244" t="s">
        <v>435</v>
      </c>
      <c r="F4244" t="str">
        <f>INDEX(Lists!I:I,MATCH(Validation!E4244,Lists!G:G,0))</f>
        <v>Error</v>
      </c>
      <c r="G4244" t="str">
        <f>INDEX(Lists!H:H,MATCH(Validation!E4244,Lists!G:G,0))</f>
        <v>Enter an amount only. Do not enter text or spaces.</v>
      </c>
      <c r="H4244" s="25" t="str">
        <f t="shared" ca="1" si="441"/>
        <v/>
      </c>
      <c r="I4244" s="25" t="str">
        <f t="shared" ca="1" si="442"/>
        <v/>
      </c>
      <c r="J4244" s="26" t="str">
        <f t="shared" ca="1" si="443"/>
        <v/>
      </c>
    </row>
    <row r="4245" spans="1:10" x14ac:dyDescent="0.25">
      <c r="A4245" t="s">
        <v>654</v>
      </c>
      <c r="B4245" t="str">
        <f>ADDRESS(ROW('PAYG 1'!$C$26),COLUMN('PAYG 1'!$C$26),4)</f>
        <v>C26</v>
      </c>
      <c r="C4245" t="str">
        <f>ADDRESS(ROW('PAYG 1'!$D$26),COLUMN('PAYG 1'!$D$26),4)</f>
        <v>D26</v>
      </c>
      <c r="D4245" t="b" cm="1">
        <f t="array" aca="1" ref="D4245" ca="1">IF(INDIRECT("'"&amp;A4245&amp;"'!"&amp;B4245)="",FALSE,IF(NOT(ISNUMBER(INDIRECT("'"&amp;A4245&amp;"'!"&amp;B4245))),TRUE,FALSE))</f>
        <v>0</v>
      </c>
      <c r="E4245" t="s">
        <v>435</v>
      </c>
      <c r="F4245" t="str">
        <f>INDEX(Lists!I:I,MATCH(Validation!E4245,Lists!G:G,0))</f>
        <v>Error</v>
      </c>
      <c r="G4245" t="str">
        <f>INDEX(Lists!H:H,MATCH(Validation!E4245,Lists!G:G,0))</f>
        <v>Enter an amount only. Do not enter text or spaces.</v>
      </c>
      <c r="H4245" s="25" t="str">
        <f t="shared" ca="1" si="441"/>
        <v/>
      </c>
      <c r="I4245" s="25" t="str">
        <f t="shared" ca="1" si="442"/>
        <v/>
      </c>
      <c r="J4245" s="26" t="str">
        <f t="shared" ca="1" si="443"/>
        <v/>
      </c>
    </row>
    <row r="4246" spans="1:10" x14ac:dyDescent="0.25">
      <c r="A4246" t="s">
        <v>655</v>
      </c>
      <c r="B4246" t="str">
        <f>ADDRESS(ROW('PAYG 1'!$C$26),COLUMN('PAYG 1'!$C$26),4)</f>
        <v>C26</v>
      </c>
      <c r="C4246" t="str">
        <f>ADDRESS(ROW('PAYG 1'!$D$26),COLUMN('PAYG 1'!$D$26),4)</f>
        <v>D26</v>
      </c>
      <c r="D4246" t="b" cm="1">
        <f t="array" aca="1" ref="D4246" ca="1">IF(INDIRECT("'"&amp;A4246&amp;"'!"&amp;B4246)="",FALSE,IF(NOT(ISNUMBER(INDIRECT("'"&amp;A4246&amp;"'!"&amp;B4246))),TRUE,FALSE))</f>
        <v>0</v>
      </c>
      <c r="E4246" t="s">
        <v>435</v>
      </c>
      <c r="F4246" t="str">
        <f>INDEX(Lists!I:I,MATCH(Validation!E4246,Lists!G:G,0))</f>
        <v>Error</v>
      </c>
      <c r="G4246" t="str">
        <f>INDEX(Lists!H:H,MATCH(Validation!E4246,Lists!G:G,0))</f>
        <v>Enter an amount only. Do not enter text or spaces.</v>
      </c>
      <c r="H4246" s="25" t="str">
        <f t="shared" ca="1" si="441"/>
        <v/>
      </c>
      <c r="I4246" s="25" t="str">
        <f t="shared" ca="1" si="442"/>
        <v/>
      </c>
      <c r="J4246" s="26" t="str">
        <f t="shared" ca="1" si="443"/>
        <v/>
      </c>
    </row>
    <row r="4247" spans="1:10" x14ac:dyDescent="0.25">
      <c r="A4247" t="s">
        <v>656</v>
      </c>
      <c r="B4247" t="str">
        <f>ADDRESS(ROW('PAYG 1'!$C$26),COLUMN('PAYG 1'!$C$26),4)</f>
        <v>C26</v>
      </c>
      <c r="C4247" t="str">
        <f>ADDRESS(ROW('PAYG 1'!$D$26),COLUMN('PAYG 1'!$D$26),4)</f>
        <v>D26</v>
      </c>
      <c r="D4247" t="b" cm="1">
        <f t="array" aca="1" ref="D4247" ca="1">IF(INDIRECT("'"&amp;A4247&amp;"'!"&amp;B4247)="",FALSE,IF(NOT(ISNUMBER(INDIRECT("'"&amp;A4247&amp;"'!"&amp;B4247))),TRUE,FALSE))</f>
        <v>0</v>
      </c>
      <c r="E4247" t="s">
        <v>435</v>
      </c>
      <c r="F4247" t="str">
        <f>INDEX(Lists!I:I,MATCH(Validation!E4247,Lists!G:G,0))</f>
        <v>Error</v>
      </c>
      <c r="G4247" t="str">
        <f>INDEX(Lists!H:H,MATCH(Validation!E4247,Lists!G:G,0))</f>
        <v>Enter an amount only. Do not enter text or spaces.</v>
      </c>
      <c r="H4247" s="25" t="str">
        <f t="shared" ca="1" si="441"/>
        <v/>
      </c>
      <c r="I4247" s="25" t="str">
        <f t="shared" ca="1" si="442"/>
        <v/>
      </c>
      <c r="J4247" s="26" t="str">
        <f t="shared" ca="1" si="443"/>
        <v/>
      </c>
    </row>
    <row r="4248" spans="1:10" x14ac:dyDescent="0.25">
      <c r="A4248" t="s">
        <v>657</v>
      </c>
      <c r="B4248" t="str">
        <f>ADDRESS(ROW('PAYG 1'!$C$26),COLUMN('PAYG 1'!$C$26),4)</f>
        <v>C26</v>
      </c>
      <c r="C4248" t="str">
        <f>ADDRESS(ROW('PAYG 1'!$D$26),COLUMN('PAYG 1'!$D$26),4)</f>
        <v>D26</v>
      </c>
      <c r="D4248" t="b" cm="1">
        <f t="array" aca="1" ref="D4248" ca="1">IF(INDIRECT("'"&amp;A4248&amp;"'!"&amp;B4248)="",FALSE,IF(NOT(ISNUMBER(INDIRECT("'"&amp;A4248&amp;"'!"&amp;B4248))),TRUE,FALSE))</f>
        <v>0</v>
      </c>
      <c r="E4248" t="s">
        <v>435</v>
      </c>
      <c r="F4248" t="str">
        <f>INDEX(Lists!I:I,MATCH(Validation!E4248,Lists!G:G,0))</f>
        <v>Error</v>
      </c>
      <c r="G4248" t="str">
        <f>INDEX(Lists!H:H,MATCH(Validation!E4248,Lists!G:G,0))</f>
        <v>Enter an amount only. Do not enter text or spaces.</v>
      </c>
      <c r="H4248" s="25" t="str">
        <f t="shared" ca="1" si="441"/>
        <v/>
      </c>
      <c r="I4248" s="25" t="str">
        <f t="shared" ca="1" si="442"/>
        <v/>
      </c>
      <c r="J4248" s="26" t="str">
        <f t="shared" ca="1" si="443"/>
        <v/>
      </c>
    </row>
    <row r="4249" spans="1:10" x14ac:dyDescent="0.25">
      <c r="A4249" t="s">
        <v>658</v>
      </c>
      <c r="B4249" t="str">
        <f>ADDRESS(ROW('PAYG 1'!$C$26),COLUMN('PAYG 1'!$C$26),4)</f>
        <v>C26</v>
      </c>
      <c r="C4249" t="str">
        <f>ADDRESS(ROW('PAYG 1'!$D$26),COLUMN('PAYG 1'!$D$26),4)</f>
        <v>D26</v>
      </c>
      <c r="D4249" t="b" cm="1">
        <f t="array" aca="1" ref="D4249" ca="1">IF(INDIRECT("'"&amp;A4249&amp;"'!"&amp;B4249)="",FALSE,IF(NOT(ISNUMBER(INDIRECT("'"&amp;A4249&amp;"'!"&amp;B4249))),TRUE,FALSE))</f>
        <v>0</v>
      </c>
      <c r="E4249" t="s">
        <v>435</v>
      </c>
      <c r="F4249" t="str">
        <f>INDEX(Lists!I:I,MATCH(Validation!E4249,Lists!G:G,0))</f>
        <v>Error</v>
      </c>
      <c r="G4249" t="str">
        <f>INDEX(Lists!H:H,MATCH(Validation!E4249,Lists!G:G,0))</f>
        <v>Enter an amount only. Do not enter text or spaces.</v>
      </c>
      <c r="H4249" s="25" t="str">
        <f t="shared" ca="1" si="441"/>
        <v/>
      </c>
      <c r="I4249" s="25" t="str">
        <f t="shared" ca="1" si="442"/>
        <v/>
      </c>
      <c r="J4249" s="26" t="str">
        <f t="shared" ca="1" si="443"/>
        <v/>
      </c>
    </row>
    <row r="4250" spans="1:10" x14ac:dyDescent="0.25">
      <c r="A4250" t="s">
        <v>659</v>
      </c>
      <c r="B4250" t="str">
        <f>ADDRESS(ROW('PAYG 1'!$C$26),COLUMN('PAYG 1'!$C$26),4)</f>
        <v>C26</v>
      </c>
      <c r="C4250" t="str">
        <f>ADDRESS(ROW('PAYG 1'!$D$26),COLUMN('PAYG 1'!$D$26),4)</f>
        <v>D26</v>
      </c>
      <c r="D4250" t="b" cm="1">
        <f t="array" aca="1" ref="D4250" ca="1">IF(INDIRECT("'"&amp;A4250&amp;"'!"&amp;B4250)="",FALSE,IF(NOT(ISNUMBER(INDIRECT("'"&amp;A4250&amp;"'!"&amp;B4250))),TRUE,FALSE))</f>
        <v>0</v>
      </c>
      <c r="E4250" t="s">
        <v>435</v>
      </c>
      <c r="F4250" t="str">
        <f>INDEX(Lists!I:I,MATCH(Validation!E4250,Lists!G:G,0))</f>
        <v>Error</v>
      </c>
      <c r="G4250" t="str">
        <f>INDEX(Lists!H:H,MATCH(Validation!E4250,Lists!G:G,0))</f>
        <v>Enter an amount only. Do not enter text or spaces.</v>
      </c>
      <c r="H4250" s="25" t="str">
        <f t="shared" ca="1" si="441"/>
        <v/>
      </c>
      <c r="I4250" s="25" t="str">
        <f t="shared" ca="1" si="442"/>
        <v/>
      </c>
      <c r="J4250" s="26" t="str">
        <f t="shared" ca="1" si="443"/>
        <v/>
      </c>
    </row>
    <row r="4251" spans="1:10" x14ac:dyDescent="0.25">
      <c r="A4251" t="s">
        <v>660</v>
      </c>
      <c r="B4251" t="str">
        <f>ADDRESS(ROW('PAYG 1'!$C$26),COLUMN('PAYG 1'!$C$26),4)</f>
        <v>C26</v>
      </c>
      <c r="C4251" t="str">
        <f>ADDRESS(ROW('PAYG 1'!$D$26),COLUMN('PAYG 1'!$D$26),4)</f>
        <v>D26</v>
      </c>
      <c r="D4251" t="b" cm="1">
        <f t="array" aca="1" ref="D4251" ca="1">IF(INDIRECT("'"&amp;A4251&amp;"'!"&amp;B4251)="",FALSE,IF(NOT(ISNUMBER(INDIRECT("'"&amp;A4251&amp;"'!"&amp;B4251))),TRUE,FALSE))</f>
        <v>0</v>
      </c>
      <c r="E4251" t="s">
        <v>435</v>
      </c>
      <c r="F4251" t="str">
        <f>INDEX(Lists!I:I,MATCH(Validation!E4251,Lists!G:G,0))</f>
        <v>Error</v>
      </c>
      <c r="G4251" t="str">
        <f>INDEX(Lists!H:H,MATCH(Validation!E4251,Lists!G:G,0))</f>
        <v>Enter an amount only. Do not enter text or spaces.</v>
      </c>
      <c r="H4251" s="25" t="str">
        <f t="shared" ca="1" si="441"/>
        <v/>
      </c>
      <c r="I4251" s="25" t="str">
        <f t="shared" ca="1" si="442"/>
        <v/>
      </c>
      <c r="J4251" s="26" t="str">
        <f t="shared" ca="1" si="443"/>
        <v/>
      </c>
    </row>
    <row r="4252" spans="1:10" x14ac:dyDescent="0.25">
      <c r="A4252" t="s">
        <v>661</v>
      </c>
      <c r="B4252" t="str">
        <f>ADDRESS(ROW('PAYG 1'!$C$26),COLUMN('PAYG 1'!$C$26),4)</f>
        <v>C26</v>
      </c>
      <c r="C4252" t="str">
        <f>ADDRESS(ROW('PAYG 1'!$D$26),COLUMN('PAYG 1'!$D$26),4)</f>
        <v>D26</v>
      </c>
      <c r="D4252" t="b" cm="1">
        <f t="array" aca="1" ref="D4252" ca="1">IF(INDIRECT("'"&amp;A4252&amp;"'!"&amp;B4252)="",FALSE,IF(NOT(ISNUMBER(INDIRECT("'"&amp;A4252&amp;"'!"&amp;B4252))),TRUE,FALSE))</f>
        <v>0</v>
      </c>
      <c r="E4252" t="s">
        <v>435</v>
      </c>
      <c r="F4252" t="str">
        <f>INDEX(Lists!I:I,MATCH(Validation!E4252,Lists!G:G,0))</f>
        <v>Error</v>
      </c>
      <c r="G4252" t="str">
        <f>INDEX(Lists!H:H,MATCH(Validation!E4252,Lists!G:G,0))</f>
        <v>Enter an amount only. Do not enter text or spaces.</v>
      </c>
      <c r="H4252" s="25" t="str">
        <f t="shared" ca="1" si="441"/>
        <v/>
      </c>
      <c r="I4252" s="25" t="str">
        <f t="shared" ca="1" si="442"/>
        <v/>
      </c>
      <c r="J4252" s="26" t="str">
        <f t="shared" ca="1" si="443"/>
        <v/>
      </c>
    </row>
    <row r="4253" spans="1:10" x14ac:dyDescent="0.25">
      <c r="A4253" t="s">
        <v>662</v>
      </c>
      <c r="B4253" t="str">
        <f>ADDRESS(ROW('PAYG 1'!$C$26),COLUMN('PAYG 1'!$C$26),4)</f>
        <v>C26</v>
      </c>
      <c r="C4253" t="str">
        <f>ADDRESS(ROW('PAYG 1'!$D$26),COLUMN('PAYG 1'!$D$26),4)</f>
        <v>D26</v>
      </c>
      <c r="D4253" t="b" cm="1">
        <f t="array" aca="1" ref="D4253" ca="1">IF(INDIRECT("'"&amp;A4253&amp;"'!"&amp;B4253)="",FALSE,IF(NOT(ISNUMBER(INDIRECT("'"&amp;A4253&amp;"'!"&amp;B4253))),TRUE,FALSE))</f>
        <v>0</v>
      </c>
      <c r="E4253" t="s">
        <v>435</v>
      </c>
      <c r="F4253" t="str">
        <f>INDEX(Lists!I:I,MATCH(Validation!E4253,Lists!G:G,0))</f>
        <v>Error</v>
      </c>
      <c r="G4253" t="str">
        <f>INDEX(Lists!H:H,MATCH(Validation!E4253,Lists!G:G,0))</f>
        <v>Enter an amount only. Do not enter text or spaces.</v>
      </c>
      <c r="H4253" s="25" t="str">
        <f t="shared" ca="1" si="441"/>
        <v/>
      </c>
      <c r="I4253" s="25" t="str">
        <f t="shared" ca="1" si="442"/>
        <v/>
      </c>
      <c r="J4253" s="26" t="str">
        <f t="shared" ca="1" si="443"/>
        <v/>
      </c>
    </row>
    <row r="4254" spans="1:10" x14ac:dyDescent="0.25">
      <c r="A4254" t="s">
        <v>663</v>
      </c>
      <c r="B4254" t="str">
        <f>ADDRESS(ROW('PAYG 1'!$C$26),COLUMN('PAYG 1'!$C$26),4)</f>
        <v>C26</v>
      </c>
      <c r="C4254" t="str">
        <f>ADDRESS(ROW('PAYG 1'!$D$26),COLUMN('PAYG 1'!$D$26),4)</f>
        <v>D26</v>
      </c>
      <c r="D4254" t="b" cm="1">
        <f t="array" aca="1" ref="D4254" ca="1">IF(INDIRECT("'"&amp;A4254&amp;"'!"&amp;B4254)="",FALSE,IF(NOT(ISNUMBER(INDIRECT("'"&amp;A4254&amp;"'!"&amp;B4254))),TRUE,FALSE))</f>
        <v>0</v>
      </c>
      <c r="E4254" t="s">
        <v>435</v>
      </c>
      <c r="F4254" t="str">
        <f>INDEX(Lists!I:I,MATCH(Validation!E4254,Lists!G:G,0))</f>
        <v>Error</v>
      </c>
      <c r="G4254" t="str">
        <f>INDEX(Lists!H:H,MATCH(Validation!E4254,Lists!G:G,0))</f>
        <v>Enter an amount only. Do not enter text or spaces.</v>
      </c>
      <c r="H4254" s="25" t="str">
        <f t="shared" ca="1" si="441"/>
        <v/>
      </c>
      <c r="I4254" s="25" t="str">
        <f t="shared" ca="1" si="442"/>
        <v/>
      </c>
      <c r="J4254" s="26" t="str">
        <f t="shared" ca="1" si="443"/>
        <v/>
      </c>
    </row>
    <row r="4255" spans="1:10" x14ac:dyDescent="0.25">
      <c r="A4255" t="s">
        <v>664</v>
      </c>
      <c r="B4255" t="str">
        <f>ADDRESS(ROW('PAYG 1'!$C$26),COLUMN('PAYG 1'!$C$26),4)</f>
        <v>C26</v>
      </c>
      <c r="C4255" t="str">
        <f>ADDRESS(ROW('PAYG 1'!$D$26),COLUMN('PAYG 1'!$D$26),4)</f>
        <v>D26</v>
      </c>
      <c r="D4255" t="b" cm="1">
        <f t="array" aca="1" ref="D4255" ca="1">IF(INDIRECT("'"&amp;A4255&amp;"'!"&amp;B4255)="",FALSE,IF(NOT(ISNUMBER(INDIRECT("'"&amp;A4255&amp;"'!"&amp;B4255))),TRUE,FALSE))</f>
        <v>0</v>
      </c>
      <c r="E4255" t="s">
        <v>435</v>
      </c>
      <c r="F4255" t="str">
        <f>INDEX(Lists!I:I,MATCH(Validation!E4255,Lists!G:G,0))</f>
        <v>Error</v>
      </c>
      <c r="G4255" t="str">
        <f>INDEX(Lists!H:H,MATCH(Validation!E4255,Lists!G:G,0))</f>
        <v>Enter an amount only. Do not enter text or spaces.</v>
      </c>
      <c r="H4255" s="25" t="str">
        <f t="shared" ca="1" si="441"/>
        <v/>
      </c>
      <c r="I4255" s="25" t="str">
        <f t="shared" ca="1" si="442"/>
        <v/>
      </c>
      <c r="J4255" s="26" t="str">
        <f t="shared" ca="1" si="443"/>
        <v/>
      </c>
    </row>
    <row r="4256" spans="1:10" x14ac:dyDescent="0.25">
      <c r="A4256" t="s">
        <v>203</v>
      </c>
      <c r="B4256" t="str">
        <f>ADDRESS(ROW('PAYG 1'!$C$26),COLUMN('PAYG 1'!$C$26),4)</f>
        <v>C26</v>
      </c>
      <c r="C4256" t="str">
        <f>ADDRESS(ROW('PAYG 1'!$D$26),COLUMN('PAYG 1'!$D$26),4)</f>
        <v>D26</v>
      </c>
      <c r="D4256" t="b" cm="1">
        <f t="array" aca="1" ref="D4256" ca="1">IF(INDIRECT("'"&amp;A4256&amp;"'!"&amp;B4256)="",FALSE,IF(TRUNC(INDIRECT("'"&amp;A4256&amp;"'!"&amp;B4256))=INDIRECT("'"&amp;A4256&amp;"'!"&amp;B4256),FALSE,TRUE))</f>
        <v>0</v>
      </c>
      <c r="E4256" t="s">
        <v>436</v>
      </c>
      <c r="F4256" t="str">
        <f>INDEX(Lists!I:I,MATCH(Validation!E4256,Lists!G:G,0))</f>
        <v>Error</v>
      </c>
      <c r="G4256" t="str">
        <f>INDEX(Lists!H:H,MATCH(Validation!E4256,Lists!G:G,0))</f>
        <v>Amount must be rounded to the nearest dollar.</v>
      </c>
      <c r="H4256" s="25" t="str">
        <f t="shared" ca="1" si="441"/>
        <v/>
      </c>
      <c r="I4256" s="25" t="str">
        <f t="shared" ca="1" si="442"/>
        <v/>
      </c>
      <c r="J4256" s="26" t="str">
        <f t="shared" ca="1" si="443"/>
        <v/>
      </c>
    </row>
    <row r="4257" spans="1:10" x14ac:dyDescent="0.25">
      <c r="A4257" t="s">
        <v>651</v>
      </c>
      <c r="B4257" t="str">
        <f>ADDRESS(ROW('PAYG 1'!$C$26),COLUMN('PAYG 1'!$C$26),4)</f>
        <v>C26</v>
      </c>
      <c r="C4257" t="str">
        <f>ADDRESS(ROW('PAYG 1'!$D$26),COLUMN('PAYG 1'!$D$26),4)</f>
        <v>D26</v>
      </c>
      <c r="D4257" t="b" cm="1">
        <f t="array" aca="1" ref="D4257" ca="1">IF(INDIRECT("'"&amp;A4257&amp;"'!"&amp;B4257)="",FALSE,IF(TRUNC(INDIRECT("'"&amp;A4257&amp;"'!"&amp;B4257))=INDIRECT("'"&amp;A4257&amp;"'!"&amp;B4257),FALSE,TRUE))</f>
        <v>0</v>
      </c>
      <c r="E4257" t="s">
        <v>436</v>
      </c>
      <c r="F4257" t="str">
        <f>INDEX(Lists!I:I,MATCH(Validation!E4257,Lists!G:G,0))</f>
        <v>Error</v>
      </c>
      <c r="G4257" t="str">
        <f>INDEX(Lists!H:H,MATCH(Validation!E4257,Lists!G:G,0))</f>
        <v>Amount must be rounded to the nearest dollar.</v>
      </c>
      <c r="H4257" s="25" t="str">
        <f t="shared" ca="1" si="441"/>
        <v/>
      </c>
      <c r="I4257" s="25" t="str">
        <f t="shared" ca="1" si="442"/>
        <v/>
      </c>
      <c r="J4257" s="26" t="str">
        <f t="shared" ca="1" si="443"/>
        <v/>
      </c>
    </row>
    <row r="4258" spans="1:10" x14ac:dyDescent="0.25">
      <c r="A4258" t="s">
        <v>652</v>
      </c>
      <c r="B4258" t="str">
        <f>ADDRESS(ROW('PAYG 1'!$C$26),COLUMN('PAYG 1'!$C$26),4)</f>
        <v>C26</v>
      </c>
      <c r="C4258" t="str">
        <f>ADDRESS(ROW('PAYG 1'!$D$26),COLUMN('PAYG 1'!$D$26),4)</f>
        <v>D26</v>
      </c>
      <c r="D4258" t="b" cm="1">
        <f t="array" aca="1" ref="D4258" ca="1">IF(INDIRECT("'"&amp;A4258&amp;"'!"&amp;B4258)="",FALSE,IF(TRUNC(INDIRECT("'"&amp;A4258&amp;"'!"&amp;B4258))=INDIRECT("'"&amp;A4258&amp;"'!"&amp;B4258),FALSE,TRUE))</f>
        <v>0</v>
      </c>
      <c r="E4258" t="s">
        <v>436</v>
      </c>
      <c r="F4258" t="str">
        <f>INDEX(Lists!I:I,MATCH(Validation!E4258,Lists!G:G,0))</f>
        <v>Error</v>
      </c>
      <c r="G4258" t="str">
        <f>INDEX(Lists!H:H,MATCH(Validation!E4258,Lists!G:G,0))</f>
        <v>Amount must be rounded to the nearest dollar.</v>
      </c>
      <c r="H4258" s="25" t="str">
        <f t="shared" ca="1" si="441"/>
        <v/>
      </c>
      <c r="I4258" s="25" t="str">
        <f t="shared" ca="1" si="442"/>
        <v/>
      </c>
      <c r="J4258" s="26" t="str">
        <f t="shared" ca="1" si="443"/>
        <v/>
      </c>
    </row>
    <row r="4259" spans="1:10" x14ac:dyDescent="0.25">
      <c r="A4259" t="s">
        <v>653</v>
      </c>
      <c r="B4259" t="str">
        <f>ADDRESS(ROW('PAYG 1'!$C$26),COLUMN('PAYG 1'!$C$26),4)</f>
        <v>C26</v>
      </c>
      <c r="C4259" t="str">
        <f>ADDRESS(ROW('PAYG 1'!$D$26),COLUMN('PAYG 1'!$D$26),4)</f>
        <v>D26</v>
      </c>
      <c r="D4259" t="b" cm="1">
        <f t="array" aca="1" ref="D4259" ca="1">IF(INDIRECT("'"&amp;A4259&amp;"'!"&amp;B4259)="",FALSE,IF(TRUNC(INDIRECT("'"&amp;A4259&amp;"'!"&amp;B4259))=INDIRECT("'"&amp;A4259&amp;"'!"&amp;B4259),FALSE,TRUE))</f>
        <v>0</v>
      </c>
      <c r="E4259" t="s">
        <v>436</v>
      </c>
      <c r="F4259" t="str">
        <f>INDEX(Lists!I:I,MATCH(Validation!E4259,Lists!G:G,0))</f>
        <v>Error</v>
      </c>
      <c r="G4259" t="str">
        <f>INDEX(Lists!H:H,MATCH(Validation!E4259,Lists!G:G,0))</f>
        <v>Amount must be rounded to the nearest dollar.</v>
      </c>
      <c r="H4259" s="25" t="str">
        <f t="shared" ca="1" si="441"/>
        <v/>
      </c>
      <c r="I4259" s="25" t="str">
        <f t="shared" ca="1" si="442"/>
        <v/>
      </c>
      <c r="J4259" s="26" t="str">
        <f t="shared" ca="1" si="443"/>
        <v/>
      </c>
    </row>
    <row r="4260" spans="1:10" x14ac:dyDescent="0.25">
      <c r="A4260" t="s">
        <v>654</v>
      </c>
      <c r="B4260" t="str">
        <f>ADDRESS(ROW('PAYG 1'!$C$26),COLUMN('PAYG 1'!$C$26),4)</f>
        <v>C26</v>
      </c>
      <c r="C4260" t="str">
        <f>ADDRESS(ROW('PAYG 1'!$D$26),COLUMN('PAYG 1'!$D$26),4)</f>
        <v>D26</v>
      </c>
      <c r="D4260" t="b" cm="1">
        <f t="array" aca="1" ref="D4260" ca="1">IF(INDIRECT("'"&amp;A4260&amp;"'!"&amp;B4260)="",FALSE,IF(TRUNC(INDIRECT("'"&amp;A4260&amp;"'!"&amp;B4260))=INDIRECT("'"&amp;A4260&amp;"'!"&amp;B4260),FALSE,TRUE))</f>
        <v>0</v>
      </c>
      <c r="E4260" t="s">
        <v>436</v>
      </c>
      <c r="F4260" t="str">
        <f>INDEX(Lists!I:I,MATCH(Validation!E4260,Lists!G:G,0))</f>
        <v>Error</v>
      </c>
      <c r="G4260" t="str">
        <f>INDEX(Lists!H:H,MATCH(Validation!E4260,Lists!G:G,0))</f>
        <v>Amount must be rounded to the nearest dollar.</v>
      </c>
      <c r="H4260" s="25" t="str">
        <f t="shared" ca="1" si="441"/>
        <v/>
      </c>
      <c r="I4260" s="25" t="str">
        <f t="shared" ca="1" si="442"/>
        <v/>
      </c>
      <c r="J4260" s="26" t="str">
        <f t="shared" ca="1" si="443"/>
        <v/>
      </c>
    </row>
    <row r="4261" spans="1:10" x14ac:dyDescent="0.25">
      <c r="A4261" t="s">
        <v>655</v>
      </c>
      <c r="B4261" t="str">
        <f>ADDRESS(ROW('PAYG 1'!$C$26),COLUMN('PAYG 1'!$C$26),4)</f>
        <v>C26</v>
      </c>
      <c r="C4261" t="str">
        <f>ADDRESS(ROW('PAYG 1'!$D$26),COLUMN('PAYG 1'!$D$26),4)</f>
        <v>D26</v>
      </c>
      <c r="D4261" t="b" cm="1">
        <f t="array" aca="1" ref="D4261" ca="1">IF(INDIRECT("'"&amp;A4261&amp;"'!"&amp;B4261)="",FALSE,IF(TRUNC(INDIRECT("'"&amp;A4261&amp;"'!"&amp;B4261))=INDIRECT("'"&amp;A4261&amp;"'!"&amp;B4261),FALSE,TRUE))</f>
        <v>0</v>
      </c>
      <c r="E4261" t="s">
        <v>436</v>
      </c>
      <c r="F4261" t="str">
        <f>INDEX(Lists!I:I,MATCH(Validation!E4261,Lists!G:G,0))</f>
        <v>Error</v>
      </c>
      <c r="G4261" t="str">
        <f>INDEX(Lists!H:H,MATCH(Validation!E4261,Lists!G:G,0))</f>
        <v>Amount must be rounded to the nearest dollar.</v>
      </c>
      <c r="H4261" s="25" t="str">
        <f t="shared" ca="1" si="441"/>
        <v/>
      </c>
      <c r="I4261" s="25" t="str">
        <f t="shared" ca="1" si="442"/>
        <v/>
      </c>
      <c r="J4261" s="26" t="str">
        <f t="shared" ca="1" si="443"/>
        <v/>
      </c>
    </row>
    <row r="4262" spans="1:10" x14ac:dyDescent="0.25">
      <c r="A4262" t="s">
        <v>656</v>
      </c>
      <c r="B4262" t="str">
        <f>ADDRESS(ROW('PAYG 1'!$C$26),COLUMN('PAYG 1'!$C$26),4)</f>
        <v>C26</v>
      </c>
      <c r="C4262" t="str">
        <f>ADDRESS(ROW('PAYG 1'!$D$26),COLUMN('PAYG 1'!$D$26),4)</f>
        <v>D26</v>
      </c>
      <c r="D4262" t="b" cm="1">
        <f t="array" aca="1" ref="D4262" ca="1">IF(INDIRECT("'"&amp;A4262&amp;"'!"&amp;B4262)="",FALSE,IF(TRUNC(INDIRECT("'"&amp;A4262&amp;"'!"&amp;B4262))=INDIRECT("'"&amp;A4262&amp;"'!"&amp;B4262),FALSE,TRUE))</f>
        <v>0</v>
      </c>
      <c r="E4262" t="s">
        <v>436</v>
      </c>
      <c r="F4262" t="str">
        <f>INDEX(Lists!I:I,MATCH(Validation!E4262,Lists!G:G,0))</f>
        <v>Error</v>
      </c>
      <c r="G4262" t="str">
        <f>INDEX(Lists!H:H,MATCH(Validation!E4262,Lists!G:G,0))</f>
        <v>Amount must be rounded to the nearest dollar.</v>
      </c>
      <c r="H4262" s="25" t="str">
        <f t="shared" ca="1" si="441"/>
        <v/>
      </c>
      <c r="I4262" s="25" t="str">
        <f t="shared" ca="1" si="442"/>
        <v/>
      </c>
      <c r="J4262" s="26" t="str">
        <f t="shared" ca="1" si="443"/>
        <v/>
      </c>
    </row>
    <row r="4263" spans="1:10" x14ac:dyDescent="0.25">
      <c r="A4263" t="s">
        <v>657</v>
      </c>
      <c r="B4263" t="str">
        <f>ADDRESS(ROW('PAYG 1'!$C$26),COLUMN('PAYG 1'!$C$26),4)</f>
        <v>C26</v>
      </c>
      <c r="C4263" t="str">
        <f>ADDRESS(ROW('PAYG 1'!$D$26),COLUMN('PAYG 1'!$D$26),4)</f>
        <v>D26</v>
      </c>
      <c r="D4263" t="b" cm="1">
        <f t="array" aca="1" ref="D4263" ca="1">IF(INDIRECT("'"&amp;A4263&amp;"'!"&amp;B4263)="",FALSE,IF(TRUNC(INDIRECT("'"&amp;A4263&amp;"'!"&amp;B4263))=INDIRECT("'"&amp;A4263&amp;"'!"&amp;B4263),FALSE,TRUE))</f>
        <v>0</v>
      </c>
      <c r="E4263" t="s">
        <v>436</v>
      </c>
      <c r="F4263" t="str">
        <f>INDEX(Lists!I:I,MATCH(Validation!E4263,Lists!G:G,0))</f>
        <v>Error</v>
      </c>
      <c r="G4263" t="str">
        <f>INDEX(Lists!H:H,MATCH(Validation!E4263,Lists!G:G,0))</f>
        <v>Amount must be rounded to the nearest dollar.</v>
      </c>
      <c r="H4263" s="25" t="str">
        <f t="shared" ca="1" si="441"/>
        <v/>
      </c>
      <c r="I4263" s="25" t="str">
        <f t="shared" ca="1" si="442"/>
        <v/>
      </c>
      <c r="J4263" s="26" t="str">
        <f t="shared" ca="1" si="443"/>
        <v/>
      </c>
    </row>
    <row r="4264" spans="1:10" x14ac:dyDescent="0.25">
      <c r="A4264" t="s">
        <v>658</v>
      </c>
      <c r="B4264" t="str">
        <f>ADDRESS(ROW('PAYG 1'!$C$26),COLUMN('PAYG 1'!$C$26),4)</f>
        <v>C26</v>
      </c>
      <c r="C4264" t="str">
        <f>ADDRESS(ROW('PAYG 1'!$D$26),COLUMN('PAYG 1'!$D$26),4)</f>
        <v>D26</v>
      </c>
      <c r="D4264" t="b" cm="1">
        <f t="array" aca="1" ref="D4264" ca="1">IF(INDIRECT("'"&amp;A4264&amp;"'!"&amp;B4264)="",FALSE,IF(TRUNC(INDIRECT("'"&amp;A4264&amp;"'!"&amp;B4264))=INDIRECT("'"&amp;A4264&amp;"'!"&amp;B4264),FALSE,TRUE))</f>
        <v>0</v>
      </c>
      <c r="E4264" t="s">
        <v>436</v>
      </c>
      <c r="F4264" t="str">
        <f>INDEX(Lists!I:I,MATCH(Validation!E4264,Lists!G:G,0))</f>
        <v>Error</v>
      </c>
      <c r="G4264" t="str">
        <f>INDEX(Lists!H:H,MATCH(Validation!E4264,Lists!G:G,0))</f>
        <v>Amount must be rounded to the nearest dollar.</v>
      </c>
      <c r="H4264" s="25" t="str">
        <f t="shared" ref="H4264:H4285" ca="1" si="444">IFERROR(IF(OR(NOT(D4264),F4264&lt;&gt;"Error"),"",A4264&amp;CELL("address",INDIRECT(B4264))),"")</f>
        <v/>
      </c>
      <c r="I4264" s="25" t="str">
        <f t="shared" ref="I4264:I4285" ca="1" si="445">IFERROR(IF(NOT(D4264),"",A4264&amp;CELL("address",INDIRECT(C4264))),"")</f>
        <v/>
      </c>
      <c r="J4264" s="26" t="str">
        <f t="shared" ref="J4264:J4285" ca="1" si="446">IFERROR(IF(NOT(D4264),"",A4264),"")</f>
        <v/>
      </c>
    </row>
    <row r="4265" spans="1:10" x14ac:dyDescent="0.25">
      <c r="A4265" t="s">
        <v>659</v>
      </c>
      <c r="B4265" t="str">
        <f>ADDRESS(ROW('PAYG 1'!$C$26),COLUMN('PAYG 1'!$C$26),4)</f>
        <v>C26</v>
      </c>
      <c r="C4265" t="str">
        <f>ADDRESS(ROW('PAYG 1'!$D$26),COLUMN('PAYG 1'!$D$26),4)</f>
        <v>D26</v>
      </c>
      <c r="D4265" t="b" cm="1">
        <f t="array" aca="1" ref="D4265" ca="1">IF(INDIRECT("'"&amp;A4265&amp;"'!"&amp;B4265)="",FALSE,IF(TRUNC(INDIRECT("'"&amp;A4265&amp;"'!"&amp;B4265))=INDIRECT("'"&amp;A4265&amp;"'!"&amp;B4265),FALSE,TRUE))</f>
        <v>0</v>
      </c>
      <c r="E4265" t="s">
        <v>436</v>
      </c>
      <c r="F4265" t="str">
        <f>INDEX(Lists!I:I,MATCH(Validation!E4265,Lists!G:G,0))</f>
        <v>Error</v>
      </c>
      <c r="G4265" t="str">
        <f>INDEX(Lists!H:H,MATCH(Validation!E4265,Lists!G:G,0))</f>
        <v>Amount must be rounded to the nearest dollar.</v>
      </c>
      <c r="H4265" s="25" t="str">
        <f t="shared" ca="1" si="444"/>
        <v/>
      </c>
      <c r="I4265" s="25" t="str">
        <f t="shared" ca="1" si="445"/>
        <v/>
      </c>
      <c r="J4265" s="26" t="str">
        <f t="shared" ca="1" si="446"/>
        <v/>
      </c>
    </row>
    <row r="4266" spans="1:10" x14ac:dyDescent="0.25">
      <c r="A4266" t="s">
        <v>660</v>
      </c>
      <c r="B4266" t="str">
        <f>ADDRESS(ROW('PAYG 1'!$C$26),COLUMN('PAYG 1'!$C$26),4)</f>
        <v>C26</v>
      </c>
      <c r="C4266" t="str">
        <f>ADDRESS(ROW('PAYG 1'!$D$26),COLUMN('PAYG 1'!$D$26),4)</f>
        <v>D26</v>
      </c>
      <c r="D4266" t="b" cm="1">
        <f t="array" aca="1" ref="D4266" ca="1">IF(INDIRECT("'"&amp;A4266&amp;"'!"&amp;B4266)="",FALSE,IF(TRUNC(INDIRECT("'"&amp;A4266&amp;"'!"&amp;B4266))=INDIRECT("'"&amp;A4266&amp;"'!"&amp;B4266),FALSE,TRUE))</f>
        <v>0</v>
      </c>
      <c r="E4266" t="s">
        <v>436</v>
      </c>
      <c r="F4266" t="str">
        <f>INDEX(Lists!I:I,MATCH(Validation!E4266,Lists!G:G,0))</f>
        <v>Error</v>
      </c>
      <c r="G4266" t="str">
        <f>INDEX(Lists!H:H,MATCH(Validation!E4266,Lists!G:G,0))</f>
        <v>Amount must be rounded to the nearest dollar.</v>
      </c>
      <c r="H4266" s="25" t="str">
        <f t="shared" ca="1" si="444"/>
        <v/>
      </c>
      <c r="I4266" s="25" t="str">
        <f t="shared" ca="1" si="445"/>
        <v/>
      </c>
      <c r="J4266" s="26" t="str">
        <f t="shared" ca="1" si="446"/>
        <v/>
      </c>
    </row>
    <row r="4267" spans="1:10" x14ac:dyDescent="0.25">
      <c r="A4267" t="s">
        <v>661</v>
      </c>
      <c r="B4267" t="str">
        <f>ADDRESS(ROW('PAYG 1'!$C$26),COLUMN('PAYG 1'!$C$26),4)</f>
        <v>C26</v>
      </c>
      <c r="C4267" t="str">
        <f>ADDRESS(ROW('PAYG 1'!$D$26),COLUMN('PAYG 1'!$D$26),4)</f>
        <v>D26</v>
      </c>
      <c r="D4267" t="b" cm="1">
        <f t="array" aca="1" ref="D4267" ca="1">IF(INDIRECT("'"&amp;A4267&amp;"'!"&amp;B4267)="",FALSE,IF(TRUNC(INDIRECT("'"&amp;A4267&amp;"'!"&amp;B4267))=INDIRECT("'"&amp;A4267&amp;"'!"&amp;B4267),FALSE,TRUE))</f>
        <v>0</v>
      </c>
      <c r="E4267" t="s">
        <v>436</v>
      </c>
      <c r="F4267" t="str">
        <f>INDEX(Lists!I:I,MATCH(Validation!E4267,Lists!G:G,0))</f>
        <v>Error</v>
      </c>
      <c r="G4267" t="str">
        <f>INDEX(Lists!H:H,MATCH(Validation!E4267,Lists!G:G,0))</f>
        <v>Amount must be rounded to the nearest dollar.</v>
      </c>
      <c r="H4267" s="25" t="str">
        <f t="shared" ca="1" si="444"/>
        <v/>
      </c>
      <c r="I4267" s="25" t="str">
        <f t="shared" ca="1" si="445"/>
        <v/>
      </c>
      <c r="J4267" s="26" t="str">
        <f t="shared" ca="1" si="446"/>
        <v/>
      </c>
    </row>
    <row r="4268" spans="1:10" x14ac:dyDescent="0.25">
      <c r="A4268" t="s">
        <v>662</v>
      </c>
      <c r="B4268" t="str">
        <f>ADDRESS(ROW('PAYG 1'!$C$26),COLUMN('PAYG 1'!$C$26),4)</f>
        <v>C26</v>
      </c>
      <c r="C4268" t="str">
        <f>ADDRESS(ROW('PAYG 1'!$D$26),COLUMN('PAYG 1'!$D$26),4)</f>
        <v>D26</v>
      </c>
      <c r="D4268" t="b" cm="1">
        <f t="array" aca="1" ref="D4268" ca="1">IF(INDIRECT("'"&amp;A4268&amp;"'!"&amp;B4268)="",FALSE,IF(TRUNC(INDIRECT("'"&amp;A4268&amp;"'!"&amp;B4268))=INDIRECT("'"&amp;A4268&amp;"'!"&amp;B4268),FALSE,TRUE))</f>
        <v>0</v>
      </c>
      <c r="E4268" t="s">
        <v>436</v>
      </c>
      <c r="F4268" t="str">
        <f>INDEX(Lists!I:I,MATCH(Validation!E4268,Lists!G:G,0))</f>
        <v>Error</v>
      </c>
      <c r="G4268" t="str">
        <f>INDEX(Lists!H:H,MATCH(Validation!E4268,Lists!G:G,0))</f>
        <v>Amount must be rounded to the nearest dollar.</v>
      </c>
      <c r="H4268" s="25" t="str">
        <f t="shared" ca="1" si="444"/>
        <v/>
      </c>
      <c r="I4268" s="25" t="str">
        <f t="shared" ca="1" si="445"/>
        <v/>
      </c>
      <c r="J4268" s="26" t="str">
        <f t="shared" ca="1" si="446"/>
        <v/>
      </c>
    </row>
    <row r="4269" spans="1:10" x14ac:dyDescent="0.25">
      <c r="A4269" t="s">
        <v>663</v>
      </c>
      <c r="B4269" t="str">
        <f>ADDRESS(ROW('PAYG 1'!$C$26),COLUMN('PAYG 1'!$C$26),4)</f>
        <v>C26</v>
      </c>
      <c r="C4269" t="str">
        <f>ADDRESS(ROW('PAYG 1'!$D$26),COLUMN('PAYG 1'!$D$26),4)</f>
        <v>D26</v>
      </c>
      <c r="D4269" t="b" cm="1">
        <f t="array" aca="1" ref="D4269" ca="1">IF(INDIRECT("'"&amp;A4269&amp;"'!"&amp;B4269)="",FALSE,IF(TRUNC(INDIRECT("'"&amp;A4269&amp;"'!"&amp;B4269))=INDIRECT("'"&amp;A4269&amp;"'!"&amp;B4269),FALSE,TRUE))</f>
        <v>0</v>
      </c>
      <c r="E4269" t="s">
        <v>436</v>
      </c>
      <c r="F4269" t="str">
        <f>INDEX(Lists!I:I,MATCH(Validation!E4269,Lists!G:G,0))</f>
        <v>Error</v>
      </c>
      <c r="G4269" t="str">
        <f>INDEX(Lists!H:H,MATCH(Validation!E4269,Lists!G:G,0))</f>
        <v>Amount must be rounded to the nearest dollar.</v>
      </c>
      <c r="H4269" s="25" t="str">
        <f t="shared" ca="1" si="444"/>
        <v/>
      </c>
      <c r="I4269" s="25" t="str">
        <f t="shared" ca="1" si="445"/>
        <v/>
      </c>
      <c r="J4269" s="26" t="str">
        <f t="shared" ca="1" si="446"/>
        <v/>
      </c>
    </row>
    <row r="4270" spans="1:10" x14ac:dyDescent="0.25">
      <c r="A4270" t="s">
        <v>664</v>
      </c>
      <c r="B4270" t="str">
        <f>ADDRESS(ROW('PAYG 1'!$C$26),COLUMN('PAYG 1'!$C$26),4)</f>
        <v>C26</v>
      </c>
      <c r="C4270" t="str">
        <f>ADDRESS(ROW('PAYG 1'!$D$26),COLUMN('PAYG 1'!$D$26),4)</f>
        <v>D26</v>
      </c>
      <c r="D4270" t="b" cm="1">
        <f t="array" aca="1" ref="D4270" ca="1">IF(INDIRECT("'"&amp;A4270&amp;"'!"&amp;B4270)="",FALSE,IF(TRUNC(INDIRECT("'"&amp;A4270&amp;"'!"&amp;B4270))=INDIRECT("'"&amp;A4270&amp;"'!"&amp;B4270),FALSE,TRUE))</f>
        <v>0</v>
      </c>
      <c r="E4270" t="s">
        <v>436</v>
      </c>
      <c r="F4270" t="str">
        <f>INDEX(Lists!I:I,MATCH(Validation!E4270,Lists!G:G,0))</f>
        <v>Error</v>
      </c>
      <c r="G4270" t="str">
        <f>INDEX(Lists!H:H,MATCH(Validation!E4270,Lists!G:G,0))</f>
        <v>Amount must be rounded to the nearest dollar.</v>
      </c>
      <c r="H4270" s="25" t="str">
        <f t="shared" ca="1" si="444"/>
        <v/>
      </c>
      <c r="I4270" s="25" t="str">
        <f t="shared" ca="1" si="445"/>
        <v/>
      </c>
      <c r="J4270" s="26" t="str">
        <f t="shared" ca="1" si="446"/>
        <v/>
      </c>
    </row>
    <row r="4271" spans="1:10" x14ac:dyDescent="0.25">
      <c r="A4271" t="s">
        <v>203</v>
      </c>
      <c r="B4271" t="str">
        <f>ADDRESS(ROW('PAYG 1'!$B$27),COLUMN('PAYG 1'!$B$27),4)</f>
        <v>B27</v>
      </c>
      <c r="C4271" t="str">
        <f>ADDRESS(ROW('PAYG 1'!$D$27),COLUMN('PAYG 1'!$D$27),4)</f>
        <v>D27</v>
      </c>
      <c r="D4271" t="b" cm="1">
        <f t="array" aca="1" ref="D4271" ca="1">IF(INDIRECT("'"&amp;A4271&amp;"'!"&amp;B4271)&lt;0,TRUE,FALSE)</f>
        <v>0</v>
      </c>
      <c r="E4271" t="s">
        <v>626</v>
      </c>
      <c r="F4271" t="str">
        <f>INDEX(Lists!I:I,MATCH(Validation!E4271,Lists!G:G,0))</f>
        <v>Error</v>
      </c>
      <c r="G4271" t="str">
        <f>INDEX(Lists!H:H,MATCH(Validation!E4271,Lists!G:G,0))</f>
        <v>Principal outstanding cannot be negative.</v>
      </c>
      <c r="H4271" s="25" t="str">
        <f t="shared" ca="1" si="444"/>
        <v/>
      </c>
      <c r="I4271" s="25" t="str">
        <f t="shared" ca="1" si="445"/>
        <v/>
      </c>
      <c r="J4271" s="26" t="str">
        <f t="shared" ca="1" si="446"/>
        <v/>
      </c>
    </row>
    <row r="4272" spans="1:10" x14ac:dyDescent="0.25">
      <c r="A4272" t="s">
        <v>651</v>
      </c>
      <c r="B4272" t="str">
        <f>ADDRESS(ROW('PAYG 1'!$B$27),COLUMN('PAYG 1'!$B$27),4)</f>
        <v>B27</v>
      </c>
      <c r="C4272" t="str">
        <f>ADDRESS(ROW('PAYG 1'!$D$27),COLUMN('PAYG 1'!$D$27),4)</f>
        <v>D27</v>
      </c>
      <c r="D4272" t="b" cm="1">
        <f t="array" aca="1" ref="D4272" ca="1">IF(INDIRECT("'"&amp;A4272&amp;"'!"&amp;B4272)&lt;0,TRUE,FALSE)</f>
        <v>0</v>
      </c>
      <c r="E4272" t="s">
        <v>626</v>
      </c>
      <c r="F4272" t="str">
        <f>INDEX(Lists!I:I,MATCH(Validation!E4272,Lists!G:G,0))</f>
        <v>Error</v>
      </c>
      <c r="G4272" t="str">
        <f>INDEX(Lists!H:H,MATCH(Validation!E4272,Lists!G:G,0))</f>
        <v>Principal outstanding cannot be negative.</v>
      </c>
      <c r="H4272" s="25" t="str">
        <f t="shared" ca="1" si="444"/>
        <v/>
      </c>
      <c r="I4272" s="25" t="str">
        <f t="shared" ca="1" si="445"/>
        <v/>
      </c>
      <c r="J4272" s="26" t="str">
        <f t="shared" ca="1" si="446"/>
        <v/>
      </c>
    </row>
    <row r="4273" spans="1:10" x14ac:dyDescent="0.25">
      <c r="A4273" t="s">
        <v>652</v>
      </c>
      <c r="B4273" t="str">
        <f>ADDRESS(ROW('PAYG 1'!$B$27),COLUMN('PAYG 1'!$B$27),4)</f>
        <v>B27</v>
      </c>
      <c r="C4273" t="str">
        <f>ADDRESS(ROW('PAYG 1'!$D$27),COLUMN('PAYG 1'!$D$27),4)</f>
        <v>D27</v>
      </c>
      <c r="D4273" t="b" cm="1">
        <f t="array" aca="1" ref="D4273" ca="1">IF(INDIRECT("'"&amp;A4273&amp;"'!"&amp;B4273)&lt;0,TRUE,FALSE)</f>
        <v>0</v>
      </c>
      <c r="E4273" t="s">
        <v>626</v>
      </c>
      <c r="F4273" t="str">
        <f>INDEX(Lists!I:I,MATCH(Validation!E4273,Lists!G:G,0))</f>
        <v>Error</v>
      </c>
      <c r="G4273" t="str">
        <f>INDEX(Lists!H:H,MATCH(Validation!E4273,Lists!G:G,0))</f>
        <v>Principal outstanding cannot be negative.</v>
      </c>
      <c r="H4273" s="25" t="str">
        <f t="shared" ca="1" si="444"/>
        <v/>
      </c>
      <c r="I4273" s="25" t="str">
        <f t="shared" ca="1" si="445"/>
        <v/>
      </c>
      <c r="J4273" s="26" t="str">
        <f t="shared" ca="1" si="446"/>
        <v/>
      </c>
    </row>
    <row r="4274" spans="1:10" x14ac:dyDescent="0.25">
      <c r="A4274" t="s">
        <v>653</v>
      </c>
      <c r="B4274" t="str">
        <f>ADDRESS(ROW('PAYG 1'!$B$27),COLUMN('PAYG 1'!$B$27),4)</f>
        <v>B27</v>
      </c>
      <c r="C4274" t="str">
        <f>ADDRESS(ROW('PAYG 1'!$D$27),COLUMN('PAYG 1'!$D$27),4)</f>
        <v>D27</v>
      </c>
      <c r="D4274" t="b" cm="1">
        <f t="array" aca="1" ref="D4274" ca="1">IF(INDIRECT("'"&amp;A4274&amp;"'!"&amp;B4274)&lt;0,TRUE,FALSE)</f>
        <v>0</v>
      </c>
      <c r="E4274" t="s">
        <v>626</v>
      </c>
      <c r="F4274" t="str">
        <f>INDEX(Lists!I:I,MATCH(Validation!E4274,Lists!G:G,0))</f>
        <v>Error</v>
      </c>
      <c r="G4274" t="str">
        <f>INDEX(Lists!H:H,MATCH(Validation!E4274,Lists!G:G,0))</f>
        <v>Principal outstanding cannot be negative.</v>
      </c>
      <c r="H4274" s="25" t="str">
        <f t="shared" ca="1" si="444"/>
        <v/>
      </c>
      <c r="I4274" s="25" t="str">
        <f t="shared" ca="1" si="445"/>
        <v/>
      </c>
      <c r="J4274" s="26" t="str">
        <f t="shared" ca="1" si="446"/>
        <v/>
      </c>
    </row>
    <row r="4275" spans="1:10" x14ac:dyDescent="0.25">
      <c r="A4275" t="s">
        <v>654</v>
      </c>
      <c r="B4275" t="str">
        <f>ADDRESS(ROW('PAYG 1'!$B$27),COLUMN('PAYG 1'!$B$27),4)</f>
        <v>B27</v>
      </c>
      <c r="C4275" t="str">
        <f>ADDRESS(ROW('PAYG 1'!$D$27),COLUMN('PAYG 1'!$D$27),4)</f>
        <v>D27</v>
      </c>
      <c r="D4275" t="b" cm="1">
        <f t="array" aca="1" ref="D4275" ca="1">IF(INDIRECT("'"&amp;A4275&amp;"'!"&amp;B4275)&lt;0,TRUE,FALSE)</f>
        <v>0</v>
      </c>
      <c r="E4275" t="s">
        <v>626</v>
      </c>
      <c r="F4275" t="str">
        <f>INDEX(Lists!I:I,MATCH(Validation!E4275,Lists!G:G,0))</f>
        <v>Error</v>
      </c>
      <c r="G4275" t="str">
        <f>INDEX(Lists!H:H,MATCH(Validation!E4275,Lists!G:G,0))</f>
        <v>Principal outstanding cannot be negative.</v>
      </c>
      <c r="H4275" s="25" t="str">
        <f t="shared" ca="1" si="444"/>
        <v/>
      </c>
      <c r="I4275" s="25" t="str">
        <f t="shared" ca="1" si="445"/>
        <v/>
      </c>
      <c r="J4275" s="26" t="str">
        <f t="shared" ca="1" si="446"/>
        <v/>
      </c>
    </row>
    <row r="4276" spans="1:10" x14ac:dyDescent="0.25">
      <c r="A4276" t="s">
        <v>655</v>
      </c>
      <c r="B4276" t="str">
        <f>ADDRESS(ROW('PAYG 1'!$B$27),COLUMN('PAYG 1'!$B$27),4)</f>
        <v>B27</v>
      </c>
      <c r="C4276" t="str">
        <f>ADDRESS(ROW('PAYG 1'!$D$27),COLUMN('PAYG 1'!$D$27),4)</f>
        <v>D27</v>
      </c>
      <c r="D4276" t="b" cm="1">
        <f t="array" aca="1" ref="D4276" ca="1">IF(INDIRECT("'"&amp;A4276&amp;"'!"&amp;B4276)&lt;0,TRUE,FALSE)</f>
        <v>0</v>
      </c>
      <c r="E4276" t="s">
        <v>626</v>
      </c>
      <c r="F4276" t="str">
        <f>INDEX(Lists!I:I,MATCH(Validation!E4276,Lists!G:G,0))</f>
        <v>Error</v>
      </c>
      <c r="G4276" t="str">
        <f>INDEX(Lists!H:H,MATCH(Validation!E4276,Lists!G:G,0))</f>
        <v>Principal outstanding cannot be negative.</v>
      </c>
      <c r="H4276" s="25" t="str">
        <f t="shared" ca="1" si="444"/>
        <v/>
      </c>
      <c r="I4276" s="25" t="str">
        <f t="shared" ca="1" si="445"/>
        <v/>
      </c>
      <c r="J4276" s="26" t="str">
        <f t="shared" ca="1" si="446"/>
        <v/>
      </c>
    </row>
    <row r="4277" spans="1:10" x14ac:dyDescent="0.25">
      <c r="A4277" t="s">
        <v>656</v>
      </c>
      <c r="B4277" t="str">
        <f>ADDRESS(ROW('PAYG 1'!$B$27),COLUMN('PAYG 1'!$B$27),4)</f>
        <v>B27</v>
      </c>
      <c r="C4277" t="str">
        <f>ADDRESS(ROW('PAYG 1'!$D$27),COLUMN('PAYG 1'!$D$27),4)</f>
        <v>D27</v>
      </c>
      <c r="D4277" t="b" cm="1">
        <f t="array" aca="1" ref="D4277" ca="1">IF(INDIRECT("'"&amp;A4277&amp;"'!"&amp;B4277)&lt;0,TRUE,FALSE)</f>
        <v>0</v>
      </c>
      <c r="E4277" t="s">
        <v>626</v>
      </c>
      <c r="F4277" t="str">
        <f>INDEX(Lists!I:I,MATCH(Validation!E4277,Lists!G:G,0))</f>
        <v>Error</v>
      </c>
      <c r="G4277" t="str">
        <f>INDEX(Lists!H:H,MATCH(Validation!E4277,Lists!G:G,0))</f>
        <v>Principal outstanding cannot be negative.</v>
      </c>
      <c r="H4277" s="25" t="str">
        <f t="shared" ca="1" si="444"/>
        <v/>
      </c>
      <c r="I4277" s="25" t="str">
        <f t="shared" ca="1" si="445"/>
        <v/>
      </c>
      <c r="J4277" s="26" t="str">
        <f t="shared" ca="1" si="446"/>
        <v/>
      </c>
    </row>
    <row r="4278" spans="1:10" x14ac:dyDescent="0.25">
      <c r="A4278" t="s">
        <v>657</v>
      </c>
      <c r="B4278" t="str">
        <f>ADDRESS(ROW('PAYG 1'!$B$27),COLUMN('PAYG 1'!$B$27),4)</f>
        <v>B27</v>
      </c>
      <c r="C4278" t="str">
        <f>ADDRESS(ROW('PAYG 1'!$D$27),COLUMN('PAYG 1'!$D$27),4)</f>
        <v>D27</v>
      </c>
      <c r="D4278" t="b" cm="1">
        <f t="array" aca="1" ref="D4278" ca="1">IF(INDIRECT("'"&amp;A4278&amp;"'!"&amp;B4278)&lt;0,TRUE,FALSE)</f>
        <v>0</v>
      </c>
      <c r="E4278" t="s">
        <v>626</v>
      </c>
      <c r="F4278" t="str">
        <f>INDEX(Lists!I:I,MATCH(Validation!E4278,Lists!G:G,0))</f>
        <v>Error</v>
      </c>
      <c r="G4278" t="str">
        <f>INDEX(Lists!H:H,MATCH(Validation!E4278,Lists!G:G,0))</f>
        <v>Principal outstanding cannot be negative.</v>
      </c>
      <c r="H4278" s="25" t="str">
        <f t="shared" ca="1" si="444"/>
        <v/>
      </c>
      <c r="I4278" s="25" t="str">
        <f t="shared" ca="1" si="445"/>
        <v/>
      </c>
      <c r="J4278" s="26" t="str">
        <f t="shared" ca="1" si="446"/>
        <v/>
      </c>
    </row>
    <row r="4279" spans="1:10" x14ac:dyDescent="0.25">
      <c r="A4279" t="s">
        <v>658</v>
      </c>
      <c r="B4279" t="str">
        <f>ADDRESS(ROW('PAYG 1'!$B$27),COLUMN('PAYG 1'!$B$27),4)</f>
        <v>B27</v>
      </c>
      <c r="C4279" t="str">
        <f>ADDRESS(ROW('PAYG 1'!$D$27),COLUMN('PAYG 1'!$D$27),4)</f>
        <v>D27</v>
      </c>
      <c r="D4279" t="b" cm="1">
        <f t="array" aca="1" ref="D4279" ca="1">IF(INDIRECT("'"&amp;A4279&amp;"'!"&amp;B4279)&lt;0,TRUE,FALSE)</f>
        <v>0</v>
      </c>
      <c r="E4279" t="s">
        <v>626</v>
      </c>
      <c r="F4279" t="str">
        <f>INDEX(Lists!I:I,MATCH(Validation!E4279,Lists!G:G,0))</f>
        <v>Error</v>
      </c>
      <c r="G4279" t="str">
        <f>INDEX(Lists!H:H,MATCH(Validation!E4279,Lists!G:G,0))</f>
        <v>Principal outstanding cannot be negative.</v>
      </c>
      <c r="H4279" s="25" t="str">
        <f t="shared" ca="1" si="444"/>
        <v/>
      </c>
      <c r="I4279" s="25" t="str">
        <f t="shared" ca="1" si="445"/>
        <v/>
      </c>
      <c r="J4279" s="26" t="str">
        <f t="shared" ca="1" si="446"/>
        <v/>
      </c>
    </row>
    <row r="4280" spans="1:10" x14ac:dyDescent="0.25">
      <c r="A4280" t="s">
        <v>659</v>
      </c>
      <c r="B4280" t="str">
        <f>ADDRESS(ROW('PAYG 1'!$B$27),COLUMN('PAYG 1'!$B$27),4)</f>
        <v>B27</v>
      </c>
      <c r="C4280" t="str">
        <f>ADDRESS(ROW('PAYG 1'!$D$27),COLUMN('PAYG 1'!$D$27),4)</f>
        <v>D27</v>
      </c>
      <c r="D4280" t="b" cm="1">
        <f t="array" aca="1" ref="D4280" ca="1">IF(INDIRECT("'"&amp;A4280&amp;"'!"&amp;B4280)&lt;0,TRUE,FALSE)</f>
        <v>0</v>
      </c>
      <c r="E4280" t="s">
        <v>626</v>
      </c>
      <c r="F4280" t="str">
        <f>INDEX(Lists!I:I,MATCH(Validation!E4280,Lists!G:G,0))</f>
        <v>Error</v>
      </c>
      <c r="G4280" t="str">
        <f>INDEX(Lists!H:H,MATCH(Validation!E4280,Lists!G:G,0))</f>
        <v>Principal outstanding cannot be negative.</v>
      </c>
      <c r="H4280" s="25" t="str">
        <f t="shared" ca="1" si="444"/>
        <v/>
      </c>
      <c r="I4280" s="25" t="str">
        <f t="shared" ca="1" si="445"/>
        <v/>
      </c>
      <c r="J4280" s="26" t="str">
        <f t="shared" ca="1" si="446"/>
        <v/>
      </c>
    </row>
    <row r="4281" spans="1:10" x14ac:dyDescent="0.25">
      <c r="A4281" t="s">
        <v>660</v>
      </c>
      <c r="B4281" t="str">
        <f>ADDRESS(ROW('PAYG 1'!$B$27),COLUMN('PAYG 1'!$B$27),4)</f>
        <v>B27</v>
      </c>
      <c r="C4281" t="str">
        <f>ADDRESS(ROW('PAYG 1'!$D$27),COLUMN('PAYG 1'!$D$27),4)</f>
        <v>D27</v>
      </c>
      <c r="D4281" t="b" cm="1">
        <f t="array" aca="1" ref="D4281" ca="1">IF(INDIRECT("'"&amp;A4281&amp;"'!"&amp;B4281)&lt;0,TRUE,FALSE)</f>
        <v>0</v>
      </c>
      <c r="E4281" t="s">
        <v>626</v>
      </c>
      <c r="F4281" t="str">
        <f>INDEX(Lists!I:I,MATCH(Validation!E4281,Lists!G:G,0))</f>
        <v>Error</v>
      </c>
      <c r="G4281" t="str">
        <f>INDEX(Lists!H:H,MATCH(Validation!E4281,Lists!G:G,0))</f>
        <v>Principal outstanding cannot be negative.</v>
      </c>
      <c r="H4281" s="25" t="str">
        <f t="shared" ca="1" si="444"/>
        <v/>
      </c>
      <c r="I4281" s="25" t="str">
        <f t="shared" ca="1" si="445"/>
        <v/>
      </c>
      <c r="J4281" s="26" t="str">
        <f t="shared" ca="1" si="446"/>
        <v/>
      </c>
    </row>
    <row r="4282" spans="1:10" x14ac:dyDescent="0.25">
      <c r="A4282" t="s">
        <v>661</v>
      </c>
      <c r="B4282" t="str">
        <f>ADDRESS(ROW('PAYG 1'!$B$27),COLUMN('PAYG 1'!$B$27),4)</f>
        <v>B27</v>
      </c>
      <c r="C4282" t="str">
        <f>ADDRESS(ROW('PAYG 1'!$D$27),COLUMN('PAYG 1'!$D$27),4)</f>
        <v>D27</v>
      </c>
      <c r="D4282" t="b" cm="1">
        <f t="array" aca="1" ref="D4282" ca="1">IF(INDIRECT("'"&amp;A4282&amp;"'!"&amp;B4282)&lt;0,TRUE,FALSE)</f>
        <v>0</v>
      </c>
      <c r="E4282" t="s">
        <v>626</v>
      </c>
      <c r="F4282" t="str">
        <f>INDEX(Lists!I:I,MATCH(Validation!E4282,Lists!G:G,0))</f>
        <v>Error</v>
      </c>
      <c r="G4282" t="str">
        <f>INDEX(Lists!H:H,MATCH(Validation!E4282,Lists!G:G,0))</f>
        <v>Principal outstanding cannot be negative.</v>
      </c>
      <c r="H4282" s="25" t="str">
        <f t="shared" ca="1" si="444"/>
        <v/>
      </c>
      <c r="I4282" s="25" t="str">
        <f t="shared" ca="1" si="445"/>
        <v/>
      </c>
      <c r="J4282" s="26" t="str">
        <f t="shared" ca="1" si="446"/>
        <v/>
      </c>
    </row>
    <row r="4283" spans="1:10" x14ac:dyDescent="0.25">
      <c r="A4283" t="s">
        <v>662</v>
      </c>
      <c r="B4283" t="str">
        <f>ADDRESS(ROW('PAYG 1'!$B$27),COLUMN('PAYG 1'!$B$27),4)</f>
        <v>B27</v>
      </c>
      <c r="C4283" t="str">
        <f>ADDRESS(ROW('PAYG 1'!$D$27),COLUMN('PAYG 1'!$D$27),4)</f>
        <v>D27</v>
      </c>
      <c r="D4283" t="b" cm="1">
        <f t="array" aca="1" ref="D4283" ca="1">IF(INDIRECT("'"&amp;A4283&amp;"'!"&amp;B4283)&lt;0,TRUE,FALSE)</f>
        <v>0</v>
      </c>
      <c r="E4283" t="s">
        <v>626</v>
      </c>
      <c r="F4283" t="str">
        <f>INDEX(Lists!I:I,MATCH(Validation!E4283,Lists!G:G,0))</f>
        <v>Error</v>
      </c>
      <c r="G4283" t="str">
        <f>INDEX(Lists!H:H,MATCH(Validation!E4283,Lists!G:G,0))</f>
        <v>Principal outstanding cannot be negative.</v>
      </c>
      <c r="H4283" s="25" t="str">
        <f t="shared" ca="1" si="444"/>
        <v/>
      </c>
      <c r="I4283" s="25" t="str">
        <f t="shared" ca="1" si="445"/>
        <v/>
      </c>
      <c r="J4283" s="26" t="str">
        <f t="shared" ca="1" si="446"/>
        <v/>
      </c>
    </row>
    <row r="4284" spans="1:10" x14ac:dyDescent="0.25">
      <c r="A4284" t="s">
        <v>663</v>
      </c>
      <c r="B4284" t="str">
        <f>ADDRESS(ROW('PAYG 1'!$B$27),COLUMN('PAYG 1'!$B$27),4)</f>
        <v>B27</v>
      </c>
      <c r="C4284" t="str">
        <f>ADDRESS(ROW('PAYG 1'!$D$27),COLUMN('PAYG 1'!$D$27),4)</f>
        <v>D27</v>
      </c>
      <c r="D4284" t="b" cm="1">
        <f t="array" aca="1" ref="D4284" ca="1">IF(INDIRECT("'"&amp;A4284&amp;"'!"&amp;B4284)&lt;0,TRUE,FALSE)</f>
        <v>0</v>
      </c>
      <c r="E4284" t="s">
        <v>626</v>
      </c>
      <c r="F4284" t="str">
        <f>INDEX(Lists!I:I,MATCH(Validation!E4284,Lists!G:G,0))</f>
        <v>Error</v>
      </c>
      <c r="G4284" t="str">
        <f>INDEX(Lists!H:H,MATCH(Validation!E4284,Lists!G:G,0))</f>
        <v>Principal outstanding cannot be negative.</v>
      </c>
      <c r="H4284" s="25" t="str">
        <f t="shared" ca="1" si="444"/>
        <v/>
      </c>
      <c r="I4284" s="25" t="str">
        <f t="shared" ca="1" si="445"/>
        <v/>
      </c>
      <c r="J4284" s="26" t="str">
        <f t="shared" ca="1" si="446"/>
        <v/>
      </c>
    </row>
    <row r="4285" spans="1:10" x14ac:dyDescent="0.25">
      <c r="A4285" t="s">
        <v>664</v>
      </c>
      <c r="B4285" t="str">
        <f>ADDRESS(ROW('PAYG 1'!$B$27),COLUMN('PAYG 1'!$B$27),4)</f>
        <v>B27</v>
      </c>
      <c r="C4285" t="str">
        <f>ADDRESS(ROW('PAYG 1'!$D$27),COLUMN('PAYG 1'!$D$27),4)</f>
        <v>D27</v>
      </c>
      <c r="D4285" t="b" cm="1">
        <f t="array" aca="1" ref="D4285" ca="1">IF(INDIRECT("'"&amp;A4285&amp;"'!"&amp;B4285)&lt;0,TRUE,FALSE)</f>
        <v>0</v>
      </c>
      <c r="E4285" t="s">
        <v>626</v>
      </c>
      <c r="F4285" t="str">
        <f>INDEX(Lists!I:I,MATCH(Validation!E4285,Lists!G:G,0))</f>
        <v>Error</v>
      </c>
      <c r="G4285" t="str">
        <f>INDEX(Lists!H:H,MATCH(Validation!E4285,Lists!G:G,0))</f>
        <v>Principal outstanding cannot be negative.</v>
      </c>
      <c r="H4285" s="25" t="str">
        <f t="shared" ca="1" si="444"/>
        <v/>
      </c>
      <c r="I4285" s="25" t="str">
        <f t="shared" ca="1" si="445"/>
        <v/>
      </c>
      <c r="J4285" s="26" t="str">
        <f t="shared" ca="1" si="446"/>
        <v/>
      </c>
    </row>
    <row r="4286" spans="1:10" x14ac:dyDescent="0.25">
      <c r="A4286" t="s">
        <v>203</v>
      </c>
      <c r="B4286" t="str">
        <f>ADDRESS(ROW('PAYG 1'!$C$27),COLUMN('PAYG 1'!$C$27),4)</f>
        <v>C27</v>
      </c>
      <c r="C4286" t="str">
        <f>ADDRESS(ROW('PAYG 1'!$D$27),COLUMN('PAYG 1'!$D$27),4)</f>
        <v>D27</v>
      </c>
      <c r="D4286" t="b" cm="1">
        <f t="array" aca="1" ref="D4286" ca="1">IF(INDIRECT("'"&amp;A4286&amp;"'!"&amp;B4286)&lt;0,TRUE,FALSE)</f>
        <v>0</v>
      </c>
      <c r="E4286" t="s">
        <v>626</v>
      </c>
      <c r="F4286" t="str">
        <f>INDEX(Lists!I:I,MATCH(Validation!E4286,Lists!G:G,0))</f>
        <v>Error</v>
      </c>
      <c r="G4286" t="str">
        <f>INDEX(Lists!H:H,MATCH(Validation!E4286,Lists!G:G,0))</f>
        <v>Principal outstanding cannot be negative.</v>
      </c>
      <c r="H4286" s="25" t="str">
        <f t="shared" ref="H4286:H4349" ca="1" si="447">IFERROR(IF(OR(NOT(D4286),F4286&lt;&gt;"Error"),"",A4286&amp;CELL("address",INDIRECT(B4286))),"")</f>
        <v/>
      </c>
      <c r="I4286" s="25" t="str">
        <f t="shared" ref="I4286:I4349" ca="1" si="448">IFERROR(IF(NOT(D4286),"",A4286&amp;CELL("address",INDIRECT(C4286))),"")</f>
        <v/>
      </c>
      <c r="J4286" s="26" t="str">
        <f t="shared" ref="J4286:J4349" ca="1" si="449">IFERROR(IF(NOT(D4286),"",A4286),"")</f>
        <v/>
      </c>
    </row>
    <row r="4287" spans="1:10" x14ac:dyDescent="0.25">
      <c r="A4287" t="s">
        <v>651</v>
      </c>
      <c r="B4287" t="str">
        <f>ADDRESS(ROW('PAYG 1'!$C$27),COLUMN('PAYG 1'!$C$27),4)</f>
        <v>C27</v>
      </c>
      <c r="C4287" t="str">
        <f>ADDRESS(ROW('PAYG 1'!$D$27),COLUMN('PAYG 1'!$D$27),4)</f>
        <v>D27</v>
      </c>
      <c r="D4287" t="b" cm="1">
        <f t="array" aca="1" ref="D4287" ca="1">IF(INDIRECT("'"&amp;A4287&amp;"'!"&amp;B4287)&lt;0,TRUE,FALSE)</f>
        <v>0</v>
      </c>
      <c r="E4287" t="s">
        <v>626</v>
      </c>
      <c r="F4287" t="str">
        <f>INDEX(Lists!I:I,MATCH(Validation!E4287,Lists!G:G,0))</f>
        <v>Error</v>
      </c>
      <c r="G4287" t="str">
        <f>INDEX(Lists!H:H,MATCH(Validation!E4287,Lists!G:G,0))</f>
        <v>Principal outstanding cannot be negative.</v>
      </c>
      <c r="H4287" s="25" t="str">
        <f t="shared" ca="1" si="447"/>
        <v/>
      </c>
      <c r="I4287" s="25" t="str">
        <f t="shared" ca="1" si="448"/>
        <v/>
      </c>
      <c r="J4287" s="26" t="str">
        <f t="shared" ca="1" si="449"/>
        <v/>
      </c>
    </row>
    <row r="4288" spans="1:10" x14ac:dyDescent="0.25">
      <c r="A4288" t="s">
        <v>652</v>
      </c>
      <c r="B4288" t="str">
        <f>ADDRESS(ROW('PAYG 1'!$C$27),COLUMN('PAYG 1'!$C$27),4)</f>
        <v>C27</v>
      </c>
      <c r="C4288" t="str">
        <f>ADDRESS(ROW('PAYG 1'!$D$27),COLUMN('PAYG 1'!$D$27),4)</f>
        <v>D27</v>
      </c>
      <c r="D4288" t="b" cm="1">
        <f t="array" aca="1" ref="D4288" ca="1">IF(INDIRECT("'"&amp;A4288&amp;"'!"&amp;B4288)&lt;0,TRUE,FALSE)</f>
        <v>0</v>
      </c>
      <c r="E4288" t="s">
        <v>626</v>
      </c>
      <c r="F4288" t="str">
        <f>INDEX(Lists!I:I,MATCH(Validation!E4288,Lists!G:G,0))</f>
        <v>Error</v>
      </c>
      <c r="G4288" t="str">
        <f>INDEX(Lists!H:H,MATCH(Validation!E4288,Lists!G:G,0))</f>
        <v>Principal outstanding cannot be negative.</v>
      </c>
      <c r="H4288" s="25" t="str">
        <f t="shared" ca="1" si="447"/>
        <v/>
      </c>
      <c r="I4288" s="25" t="str">
        <f t="shared" ca="1" si="448"/>
        <v/>
      </c>
      <c r="J4288" s="26" t="str">
        <f t="shared" ca="1" si="449"/>
        <v/>
      </c>
    </row>
    <row r="4289" spans="1:10" x14ac:dyDescent="0.25">
      <c r="A4289" t="s">
        <v>653</v>
      </c>
      <c r="B4289" t="str">
        <f>ADDRESS(ROW('PAYG 1'!$C$27),COLUMN('PAYG 1'!$C$27),4)</f>
        <v>C27</v>
      </c>
      <c r="C4289" t="str">
        <f>ADDRESS(ROW('PAYG 1'!$D$27),COLUMN('PAYG 1'!$D$27),4)</f>
        <v>D27</v>
      </c>
      <c r="D4289" t="b" cm="1">
        <f t="array" aca="1" ref="D4289" ca="1">IF(INDIRECT("'"&amp;A4289&amp;"'!"&amp;B4289)&lt;0,TRUE,FALSE)</f>
        <v>0</v>
      </c>
      <c r="E4289" t="s">
        <v>626</v>
      </c>
      <c r="F4289" t="str">
        <f>INDEX(Lists!I:I,MATCH(Validation!E4289,Lists!G:G,0))</f>
        <v>Error</v>
      </c>
      <c r="G4289" t="str">
        <f>INDEX(Lists!H:H,MATCH(Validation!E4289,Lists!G:G,0))</f>
        <v>Principal outstanding cannot be negative.</v>
      </c>
      <c r="H4289" s="25" t="str">
        <f t="shared" ca="1" si="447"/>
        <v/>
      </c>
      <c r="I4289" s="25" t="str">
        <f t="shared" ca="1" si="448"/>
        <v/>
      </c>
      <c r="J4289" s="26" t="str">
        <f t="shared" ca="1" si="449"/>
        <v/>
      </c>
    </row>
    <row r="4290" spans="1:10" x14ac:dyDescent="0.25">
      <c r="A4290" t="s">
        <v>654</v>
      </c>
      <c r="B4290" t="str">
        <f>ADDRESS(ROW('PAYG 1'!$C$27),COLUMN('PAYG 1'!$C$27),4)</f>
        <v>C27</v>
      </c>
      <c r="C4290" t="str">
        <f>ADDRESS(ROW('PAYG 1'!$D$27),COLUMN('PAYG 1'!$D$27),4)</f>
        <v>D27</v>
      </c>
      <c r="D4290" t="b" cm="1">
        <f t="array" aca="1" ref="D4290" ca="1">IF(INDIRECT("'"&amp;A4290&amp;"'!"&amp;B4290)&lt;0,TRUE,FALSE)</f>
        <v>0</v>
      </c>
      <c r="E4290" t="s">
        <v>626</v>
      </c>
      <c r="F4290" t="str">
        <f>INDEX(Lists!I:I,MATCH(Validation!E4290,Lists!G:G,0))</f>
        <v>Error</v>
      </c>
      <c r="G4290" t="str">
        <f>INDEX(Lists!H:H,MATCH(Validation!E4290,Lists!G:G,0))</f>
        <v>Principal outstanding cannot be negative.</v>
      </c>
      <c r="H4290" s="25" t="str">
        <f t="shared" ca="1" si="447"/>
        <v/>
      </c>
      <c r="I4290" s="25" t="str">
        <f t="shared" ca="1" si="448"/>
        <v/>
      </c>
      <c r="J4290" s="26" t="str">
        <f t="shared" ca="1" si="449"/>
        <v/>
      </c>
    </row>
    <row r="4291" spans="1:10" x14ac:dyDescent="0.25">
      <c r="A4291" t="s">
        <v>655</v>
      </c>
      <c r="B4291" t="str">
        <f>ADDRESS(ROW('PAYG 1'!$C$27),COLUMN('PAYG 1'!$C$27),4)</f>
        <v>C27</v>
      </c>
      <c r="C4291" t="str">
        <f>ADDRESS(ROW('PAYG 1'!$D$27),COLUMN('PAYG 1'!$D$27),4)</f>
        <v>D27</v>
      </c>
      <c r="D4291" t="b" cm="1">
        <f t="array" aca="1" ref="D4291" ca="1">IF(INDIRECT("'"&amp;A4291&amp;"'!"&amp;B4291)&lt;0,TRUE,FALSE)</f>
        <v>0</v>
      </c>
      <c r="E4291" t="s">
        <v>626</v>
      </c>
      <c r="F4291" t="str">
        <f>INDEX(Lists!I:I,MATCH(Validation!E4291,Lists!G:G,0))</f>
        <v>Error</v>
      </c>
      <c r="G4291" t="str">
        <f>INDEX(Lists!H:H,MATCH(Validation!E4291,Lists!G:G,0))</f>
        <v>Principal outstanding cannot be negative.</v>
      </c>
      <c r="H4291" s="25" t="str">
        <f t="shared" ca="1" si="447"/>
        <v/>
      </c>
      <c r="I4291" s="25" t="str">
        <f t="shared" ca="1" si="448"/>
        <v/>
      </c>
      <c r="J4291" s="26" t="str">
        <f t="shared" ca="1" si="449"/>
        <v/>
      </c>
    </row>
    <row r="4292" spans="1:10" x14ac:dyDescent="0.25">
      <c r="A4292" t="s">
        <v>656</v>
      </c>
      <c r="B4292" t="str">
        <f>ADDRESS(ROW('PAYG 1'!$C$27),COLUMN('PAYG 1'!$C$27),4)</f>
        <v>C27</v>
      </c>
      <c r="C4292" t="str">
        <f>ADDRESS(ROW('PAYG 1'!$D$27),COLUMN('PAYG 1'!$D$27),4)</f>
        <v>D27</v>
      </c>
      <c r="D4292" t="b" cm="1">
        <f t="array" aca="1" ref="D4292" ca="1">IF(INDIRECT("'"&amp;A4292&amp;"'!"&amp;B4292)&lt;0,TRUE,FALSE)</f>
        <v>0</v>
      </c>
      <c r="E4292" t="s">
        <v>626</v>
      </c>
      <c r="F4292" t="str">
        <f>INDEX(Lists!I:I,MATCH(Validation!E4292,Lists!G:G,0))</f>
        <v>Error</v>
      </c>
      <c r="G4292" t="str">
        <f>INDEX(Lists!H:H,MATCH(Validation!E4292,Lists!G:G,0))</f>
        <v>Principal outstanding cannot be negative.</v>
      </c>
      <c r="H4292" s="25" t="str">
        <f t="shared" ca="1" si="447"/>
        <v/>
      </c>
      <c r="I4292" s="25" t="str">
        <f t="shared" ca="1" si="448"/>
        <v/>
      </c>
      <c r="J4292" s="26" t="str">
        <f t="shared" ca="1" si="449"/>
        <v/>
      </c>
    </row>
    <row r="4293" spans="1:10" x14ac:dyDescent="0.25">
      <c r="A4293" t="s">
        <v>657</v>
      </c>
      <c r="B4293" t="str">
        <f>ADDRESS(ROW('PAYG 1'!$C$27),COLUMN('PAYG 1'!$C$27),4)</f>
        <v>C27</v>
      </c>
      <c r="C4293" t="str">
        <f>ADDRESS(ROW('PAYG 1'!$D$27),COLUMN('PAYG 1'!$D$27),4)</f>
        <v>D27</v>
      </c>
      <c r="D4293" t="b" cm="1">
        <f t="array" aca="1" ref="D4293" ca="1">IF(INDIRECT("'"&amp;A4293&amp;"'!"&amp;B4293)&lt;0,TRUE,FALSE)</f>
        <v>0</v>
      </c>
      <c r="E4293" t="s">
        <v>626</v>
      </c>
      <c r="F4293" t="str">
        <f>INDEX(Lists!I:I,MATCH(Validation!E4293,Lists!G:G,0))</f>
        <v>Error</v>
      </c>
      <c r="G4293" t="str">
        <f>INDEX(Lists!H:H,MATCH(Validation!E4293,Lists!G:G,0))</f>
        <v>Principal outstanding cannot be negative.</v>
      </c>
      <c r="H4293" s="25" t="str">
        <f t="shared" ca="1" si="447"/>
        <v/>
      </c>
      <c r="I4293" s="25" t="str">
        <f t="shared" ca="1" si="448"/>
        <v/>
      </c>
      <c r="J4293" s="26" t="str">
        <f t="shared" ca="1" si="449"/>
        <v/>
      </c>
    </row>
    <row r="4294" spans="1:10" x14ac:dyDescent="0.25">
      <c r="A4294" t="s">
        <v>658</v>
      </c>
      <c r="B4294" t="str">
        <f>ADDRESS(ROW('PAYG 1'!$C$27),COLUMN('PAYG 1'!$C$27),4)</f>
        <v>C27</v>
      </c>
      <c r="C4294" t="str">
        <f>ADDRESS(ROW('PAYG 1'!$D$27),COLUMN('PAYG 1'!$D$27),4)</f>
        <v>D27</v>
      </c>
      <c r="D4294" t="b" cm="1">
        <f t="array" aca="1" ref="D4294" ca="1">IF(INDIRECT("'"&amp;A4294&amp;"'!"&amp;B4294)&lt;0,TRUE,FALSE)</f>
        <v>0</v>
      </c>
      <c r="E4294" t="s">
        <v>626</v>
      </c>
      <c r="F4294" t="str">
        <f>INDEX(Lists!I:I,MATCH(Validation!E4294,Lists!G:G,0))</f>
        <v>Error</v>
      </c>
      <c r="G4294" t="str">
        <f>INDEX(Lists!H:H,MATCH(Validation!E4294,Lists!G:G,0))</f>
        <v>Principal outstanding cannot be negative.</v>
      </c>
      <c r="H4294" s="25" t="str">
        <f t="shared" ca="1" si="447"/>
        <v/>
      </c>
      <c r="I4294" s="25" t="str">
        <f t="shared" ca="1" si="448"/>
        <v/>
      </c>
      <c r="J4294" s="26" t="str">
        <f t="shared" ca="1" si="449"/>
        <v/>
      </c>
    </row>
    <row r="4295" spans="1:10" x14ac:dyDescent="0.25">
      <c r="A4295" t="s">
        <v>659</v>
      </c>
      <c r="B4295" t="str">
        <f>ADDRESS(ROW('PAYG 1'!$C$27),COLUMN('PAYG 1'!$C$27),4)</f>
        <v>C27</v>
      </c>
      <c r="C4295" t="str">
        <f>ADDRESS(ROW('PAYG 1'!$D$27),COLUMN('PAYG 1'!$D$27),4)</f>
        <v>D27</v>
      </c>
      <c r="D4295" t="b" cm="1">
        <f t="array" aca="1" ref="D4295" ca="1">IF(INDIRECT("'"&amp;A4295&amp;"'!"&amp;B4295)&lt;0,TRUE,FALSE)</f>
        <v>0</v>
      </c>
      <c r="E4295" t="s">
        <v>626</v>
      </c>
      <c r="F4295" t="str">
        <f>INDEX(Lists!I:I,MATCH(Validation!E4295,Lists!G:G,0))</f>
        <v>Error</v>
      </c>
      <c r="G4295" t="str">
        <f>INDEX(Lists!H:H,MATCH(Validation!E4295,Lists!G:G,0))</f>
        <v>Principal outstanding cannot be negative.</v>
      </c>
      <c r="H4295" s="25" t="str">
        <f t="shared" ca="1" si="447"/>
        <v/>
      </c>
      <c r="I4295" s="25" t="str">
        <f t="shared" ca="1" si="448"/>
        <v/>
      </c>
      <c r="J4295" s="26" t="str">
        <f t="shared" ca="1" si="449"/>
        <v/>
      </c>
    </row>
    <row r="4296" spans="1:10" x14ac:dyDescent="0.25">
      <c r="A4296" t="s">
        <v>660</v>
      </c>
      <c r="B4296" t="str">
        <f>ADDRESS(ROW('PAYG 1'!$C$27),COLUMN('PAYG 1'!$C$27),4)</f>
        <v>C27</v>
      </c>
      <c r="C4296" t="str">
        <f>ADDRESS(ROW('PAYG 1'!$D$27),COLUMN('PAYG 1'!$D$27),4)</f>
        <v>D27</v>
      </c>
      <c r="D4296" t="b" cm="1">
        <f t="array" aca="1" ref="D4296" ca="1">IF(INDIRECT("'"&amp;A4296&amp;"'!"&amp;B4296)&lt;0,TRUE,FALSE)</f>
        <v>0</v>
      </c>
      <c r="E4296" t="s">
        <v>626</v>
      </c>
      <c r="F4296" t="str">
        <f>INDEX(Lists!I:I,MATCH(Validation!E4296,Lists!G:G,0))</f>
        <v>Error</v>
      </c>
      <c r="G4296" t="str">
        <f>INDEX(Lists!H:H,MATCH(Validation!E4296,Lists!G:G,0))</f>
        <v>Principal outstanding cannot be negative.</v>
      </c>
      <c r="H4296" s="25" t="str">
        <f t="shared" ca="1" si="447"/>
        <v/>
      </c>
      <c r="I4296" s="25" t="str">
        <f t="shared" ca="1" si="448"/>
        <v/>
      </c>
      <c r="J4296" s="26" t="str">
        <f t="shared" ca="1" si="449"/>
        <v/>
      </c>
    </row>
    <row r="4297" spans="1:10" x14ac:dyDescent="0.25">
      <c r="A4297" t="s">
        <v>661</v>
      </c>
      <c r="B4297" t="str">
        <f>ADDRESS(ROW('PAYG 1'!$C$27),COLUMN('PAYG 1'!$C$27),4)</f>
        <v>C27</v>
      </c>
      <c r="C4297" t="str">
        <f>ADDRESS(ROW('PAYG 1'!$D$27),COLUMN('PAYG 1'!$D$27),4)</f>
        <v>D27</v>
      </c>
      <c r="D4297" t="b" cm="1">
        <f t="array" aca="1" ref="D4297" ca="1">IF(INDIRECT("'"&amp;A4297&amp;"'!"&amp;B4297)&lt;0,TRUE,FALSE)</f>
        <v>0</v>
      </c>
      <c r="E4297" t="s">
        <v>626</v>
      </c>
      <c r="F4297" t="str">
        <f>INDEX(Lists!I:I,MATCH(Validation!E4297,Lists!G:G,0))</f>
        <v>Error</v>
      </c>
      <c r="G4297" t="str">
        <f>INDEX(Lists!H:H,MATCH(Validation!E4297,Lists!G:G,0))</f>
        <v>Principal outstanding cannot be negative.</v>
      </c>
      <c r="H4297" s="25" t="str">
        <f t="shared" ca="1" si="447"/>
        <v/>
      </c>
      <c r="I4297" s="25" t="str">
        <f t="shared" ca="1" si="448"/>
        <v/>
      </c>
      <c r="J4297" s="26" t="str">
        <f t="shared" ca="1" si="449"/>
        <v/>
      </c>
    </row>
    <row r="4298" spans="1:10" x14ac:dyDescent="0.25">
      <c r="A4298" t="s">
        <v>662</v>
      </c>
      <c r="B4298" t="str">
        <f>ADDRESS(ROW('PAYG 1'!$C$27),COLUMN('PAYG 1'!$C$27),4)</f>
        <v>C27</v>
      </c>
      <c r="C4298" t="str">
        <f>ADDRESS(ROW('PAYG 1'!$D$27),COLUMN('PAYG 1'!$D$27),4)</f>
        <v>D27</v>
      </c>
      <c r="D4298" t="b" cm="1">
        <f t="array" aca="1" ref="D4298" ca="1">IF(INDIRECT("'"&amp;A4298&amp;"'!"&amp;B4298)&lt;0,TRUE,FALSE)</f>
        <v>0</v>
      </c>
      <c r="E4298" t="s">
        <v>626</v>
      </c>
      <c r="F4298" t="str">
        <f>INDEX(Lists!I:I,MATCH(Validation!E4298,Lists!G:G,0))</f>
        <v>Error</v>
      </c>
      <c r="G4298" t="str">
        <f>INDEX(Lists!H:H,MATCH(Validation!E4298,Lists!G:G,0))</f>
        <v>Principal outstanding cannot be negative.</v>
      </c>
      <c r="H4298" s="25" t="str">
        <f t="shared" ca="1" si="447"/>
        <v/>
      </c>
      <c r="I4298" s="25" t="str">
        <f t="shared" ca="1" si="448"/>
        <v/>
      </c>
      <c r="J4298" s="26" t="str">
        <f t="shared" ca="1" si="449"/>
        <v/>
      </c>
    </row>
    <row r="4299" spans="1:10" x14ac:dyDescent="0.25">
      <c r="A4299" t="s">
        <v>663</v>
      </c>
      <c r="B4299" t="str">
        <f>ADDRESS(ROW('PAYG 1'!$C$27),COLUMN('PAYG 1'!$C$27),4)</f>
        <v>C27</v>
      </c>
      <c r="C4299" t="str">
        <f>ADDRESS(ROW('PAYG 1'!$D$27),COLUMN('PAYG 1'!$D$27),4)</f>
        <v>D27</v>
      </c>
      <c r="D4299" t="b" cm="1">
        <f t="array" aca="1" ref="D4299" ca="1">IF(INDIRECT("'"&amp;A4299&amp;"'!"&amp;B4299)&lt;0,TRUE,FALSE)</f>
        <v>0</v>
      </c>
      <c r="E4299" t="s">
        <v>626</v>
      </c>
      <c r="F4299" t="str">
        <f>INDEX(Lists!I:I,MATCH(Validation!E4299,Lists!G:G,0))</f>
        <v>Error</v>
      </c>
      <c r="G4299" t="str">
        <f>INDEX(Lists!H:H,MATCH(Validation!E4299,Lists!G:G,0))</f>
        <v>Principal outstanding cannot be negative.</v>
      </c>
      <c r="H4299" s="25" t="str">
        <f t="shared" ca="1" si="447"/>
        <v/>
      </c>
      <c r="I4299" s="25" t="str">
        <f t="shared" ca="1" si="448"/>
        <v/>
      </c>
      <c r="J4299" s="26" t="str">
        <f t="shared" ca="1" si="449"/>
        <v/>
      </c>
    </row>
    <row r="4300" spans="1:10" x14ac:dyDescent="0.25">
      <c r="A4300" t="s">
        <v>664</v>
      </c>
      <c r="B4300" t="str">
        <f>ADDRESS(ROW('PAYG 1'!$C$27),COLUMN('PAYG 1'!$C$27),4)</f>
        <v>C27</v>
      </c>
      <c r="C4300" t="str">
        <f>ADDRESS(ROW('PAYG 1'!$D$27),COLUMN('PAYG 1'!$D$27),4)</f>
        <v>D27</v>
      </c>
      <c r="D4300" t="b" cm="1">
        <f t="array" aca="1" ref="D4300" ca="1">IF(INDIRECT("'"&amp;A4300&amp;"'!"&amp;B4300)&lt;0,TRUE,FALSE)</f>
        <v>0</v>
      </c>
      <c r="E4300" t="s">
        <v>626</v>
      </c>
      <c r="F4300" t="str">
        <f>INDEX(Lists!I:I,MATCH(Validation!E4300,Lists!G:G,0))</f>
        <v>Error</v>
      </c>
      <c r="G4300" t="str">
        <f>INDEX(Lists!H:H,MATCH(Validation!E4300,Lists!G:G,0))</f>
        <v>Principal outstanding cannot be negative.</v>
      </c>
      <c r="H4300" s="25" t="str">
        <f t="shared" ca="1" si="447"/>
        <v/>
      </c>
      <c r="I4300" s="25" t="str">
        <f t="shared" ca="1" si="448"/>
        <v/>
      </c>
      <c r="J4300" s="26" t="str">
        <f t="shared" ca="1" si="449"/>
        <v/>
      </c>
    </row>
    <row r="4301" spans="1:10" x14ac:dyDescent="0.25">
      <c r="A4301" t="s">
        <v>203</v>
      </c>
      <c r="B4301" t="str">
        <f>ADDRESS(ROW('PAYG 1'!$B$28),COLUMN('PAYG 1'!$B$28),4)</f>
        <v>B28</v>
      </c>
      <c r="C4301" t="str">
        <f>ADDRESS(ROW('PAYG 1'!$D$28),COLUMN('PAYG 1'!$D$28),4)</f>
        <v>D28</v>
      </c>
      <c r="D4301" t="b" cm="1">
        <f t="array" aca="1" ref="D4301" ca="1">IF(INDIRECT("'"&amp;A4301&amp;"'!"&amp;B4301)="",FALSE,IF(NOT(ISNUMBER(INDIRECT("'"&amp;A4301&amp;"'!"&amp;B4301))),TRUE,FALSE))</f>
        <v>0</v>
      </c>
      <c r="E4301" t="s">
        <v>435</v>
      </c>
      <c r="F4301" t="str">
        <f>INDEX(Lists!I:I,MATCH(Validation!E4301,Lists!G:G,0))</f>
        <v>Error</v>
      </c>
      <c r="G4301" t="str">
        <f>INDEX(Lists!H:H,MATCH(Validation!E4301,Lists!G:G,0))</f>
        <v>Enter an amount only. Do not enter text or spaces.</v>
      </c>
      <c r="H4301" s="25" t="str">
        <f t="shared" ca="1" si="447"/>
        <v/>
      </c>
      <c r="I4301" s="25" t="str">
        <f t="shared" ca="1" si="448"/>
        <v/>
      </c>
      <c r="J4301" s="26" t="str">
        <f t="shared" ca="1" si="449"/>
        <v/>
      </c>
    </row>
    <row r="4302" spans="1:10" x14ac:dyDescent="0.25">
      <c r="A4302" t="s">
        <v>651</v>
      </c>
      <c r="B4302" t="str">
        <f>ADDRESS(ROW('PAYG 1'!$B$28),COLUMN('PAYG 1'!$B$28),4)</f>
        <v>B28</v>
      </c>
      <c r="C4302" t="str">
        <f>ADDRESS(ROW('PAYG 1'!$D$28),COLUMN('PAYG 1'!$D$28),4)</f>
        <v>D28</v>
      </c>
      <c r="D4302" t="b" cm="1">
        <f t="array" aca="1" ref="D4302" ca="1">IF(INDIRECT("'"&amp;A4302&amp;"'!"&amp;B4302)="",FALSE,IF(NOT(ISNUMBER(INDIRECT("'"&amp;A4302&amp;"'!"&amp;B4302))),TRUE,FALSE))</f>
        <v>0</v>
      </c>
      <c r="E4302" t="s">
        <v>435</v>
      </c>
      <c r="F4302" t="str">
        <f>INDEX(Lists!I:I,MATCH(Validation!E4302,Lists!G:G,0))</f>
        <v>Error</v>
      </c>
      <c r="G4302" t="str">
        <f>INDEX(Lists!H:H,MATCH(Validation!E4302,Lists!G:G,0))</f>
        <v>Enter an amount only. Do not enter text or spaces.</v>
      </c>
      <c r="H4302" s="25" t="str">
        <f t="shared" ca="1" si="447"/>
        <v/>
      </c>
      <c r="I4302" s="25" t="str">
        <f t="shared" ca="1" si="448"/>
        <v/>
      </c>
      <c r="J4302" s="26" t="str">
        <f t="shared" ca="1" si="449"/>
        <v/>
      </c>
    </row>
    <row r="4303" spans="1:10" x14ac:dyDescent="0.25">
      <c r="A4303" t="s">
        <v>652</v>
      </c>
      <c r="B4303" t="str">
        <f>ADDRESS(ROW('PAYG 1'!$B$28),COLUMN('PAYG 1'!$B$28),4)</f>
        <v>B28</v>
      </c>
      <c r="C4303" t="str">
        <f>ADDRESS(ROW('PAYG 1'!$D$28),COLUMN('PAYG 1'!$D$28),4)</f>
        <v>D28</v>
      </c>
      <c r="D4303" t="b" cm="1">
        <f t="array" aca="1" ref="D4303" ca="1">IF(INDIRECT("'"&amp;A4303&amp;"'!"&amp;B4303)="",FALSE,IF(NOT(ISNUMBER(INDIRECT("'"&amp;A4303&amp;"'!"&amp;B4303))),TRUE,FALSE))</f>
        <v>0</v>
      </c>
      <c r="E4303" t="s">
        <v>435</v>
      </c>
      <c r="F4303" t="str">
        <f>INDEX(Lists!I:I,MATCH(Validation!E4303,Lists!G:G,0))</f>
        <v>Error</v>
      </c>
      <c r="G4303" t="str">
        <f>INDEX(Lists!H:H,MATCH(Validation!E4303,Lists!G:G,0))</f>
        <v>Enter an amount only. Do not enter text or spaces.</v>
      </c>
      <c r="H4303" s="25" t="str">
        <f t="shared" ca="1" si="447"/>
        <v/>
      </c>
      <c r="I4303" s="25" t="str">
        <f t="shared" ca="1" si="448"/>
        <v/>
      </c>
      <c r="J4303" s="26" t="str">
        <f t="shared" ca="1" si="449"/>
        <v/>
      </c>
    </row>
    <row r="4304" spans="1:10" x14ac:dyDescent="0.25">
      <c r="A4304" t="s">
        <v>653</v>
      </c>
      <c r="B4304" t="str">
        <f>ADDRESS(ROW('PAYG 1'!$B$28),COLUMN('PAYG 1'!$B$28),4)</f>
        <v>B28</v>
      </c>
      <c r="C4304" t="str">
        <f>ADDRESS(ROW('PAYG 1'!$D$28),COLUMN('PAYG 1'!$D$28),4)</f>
        <v>D28</v>
      </c>
      <c r="D4304" t="b" cm="1">
        <f t="array" aca="1" ref="D4304" ca="1">IF(INDIRECT("'"&amp;A4304&amp;"'!"&amp;B4304)="",FALSE,IF(NOT(ISNUMBER(INDIRECT("'"&amp;A4304&amp;"'!"&amp;B4304))),TRUE,FALSE))</f>
        <v>0</v>
      </c>
      <c r="E4304" t="s">
        <v>435</v>
      </c>
      <c r="F4304" t="str">
        <f>INDEX(Lists!I:I,MATCH(Validation!E4304,Lists!G:G,0))</f>
        <v>Error</v>
      </c>
      <c r="G4304" t="str">
        <f>INDEX(Lists!H:H,MATCH(Validation!E4304,Lists!G:G,0))</f>
        <v>Enter an amount only. Do not enter text or spaces.</v>
      </c>
      <c r="H4304" s="25" t="str">
        <f t="shared" ca="1" si="447"/>
        <v/>
      </c>
      <c r="I4304" s="25" t="str">
        <f t="shared" ca="1" si="448"/>
        <v/>
      </c>
      <c r="J4304" s="26" t="str">
        <f t="shared" ca="1" si="449"/>
        <v/>
      </c>
    </row>
    <row r="4305" spans="1:10" x14ac:dyDescent="0.25">
      <c r="A4305" t="s">
        <v>654</v>
      </c>
      <c r="B4305" t="str">
        <f>ADDRESS(ROW('PAYG 1'!$B$28),COLUMN('PAYG 1'!$B$28),4)</f>
        <v>B28</v>
      </c>
      <c r="C4305" t="str">
        <f>ADDRESS(ROW('PAYG 1'!$D$28),COLUMN('PAYG 1'!$D$28),4)</f>
        <v>D28</v>
      </c>
      <c r="D4305" t="b" cm="1">
        <f t="array" aca="1" ref="D4305" ca="1">IF(INDIRECT("'"&amp;A4305&amp;"'!"&amp;B4305)="",FALSE,IF(NOT(ISNUMBER(INDIRECT("'"&amp;A4305&amp;"'!"&amp;B4305))),TRUE,FALSE))</f>
        <v>0</v>
      </c>
      <c r="E4305" t="s">
        <v>435</v>
      </c>
      <c r="F4305" t="str">
        <f>INDEX(Lists!I:I,MATCH(Validation!E4305,Lists!G:G,0))</f>
        <v>Error</v>
      </c>
      <c r="G4305" t="str">
        <f>INDEX(Lists!H:H,MATCH(Validation!E4305,Lists!G:G,0))</f>
        <v>Enter an amount only. Do not enter text or spaces.</v>
      </c>
      <c r="H4305" s="25" t="str">
        <f t="shared" ca="1" si="447"/>
        <v/>
      </c>
      <c r="I4305" s="25" t="str">
        <f t="shared" ca="1" si="448"/>
        <v/>
      </c>
      <c r="J4305" s="26" t="str">
        <f t="shared" ca="1" si="449"/>
        <v/>
      </c>
    </row>
    <row r="4306" spans="1:10" x14ac:dyDescent="0.25">
      <c r="A4306" t="s">
        <v>655</v>
      </c>
      <c r="B4306" t="str">
        <f>ADDRESS(ROW('PAYG 1'!$B$28),COLUMN('PAYG 1'!$B$28),4)</f>
        <v>B28</v>
      </c>
      <c r="C4306" t="str">
        <f>ADDRESS(ROW('PAYG 1'!$D$28),COLUMN('PAYG 1'!$D$28),4)</f>
        <v>D28</v>
      </c>
      <c r="D4306" t="b" cm="1">
        <f t="array" aca="1" ref="D4306" ca="1">IF(INDIRECT("'"&amp;A4306&amp;"'!"&amp;B4306)="",FALSE,IF(NOT(ISNUMBER(INDIRECT("'"&amp;A4306&amp;"'!"&amp;B4306))),TRUE,FALSE))</f>
        <v>0</v>
      </c>
      <c r="E4306" t="s">
        <v>435</v>
      </c>
      <c r="F4306" t="str">
        <f>INDEX(Lists!I:I,MATCH(Validation!E4306,Lists!G:G,0))</f>
        <v>Error</v>
      </c>
      <c r="G4306" t="str">
        <f>INDEX(Lists!H:H,MATCH(Validation!E4306,Lists!G:G,0))</f>
        <v>Enter an amount only. Do not enter text or spaces.</v>
      </c>
      <c r="H4306" s="25" t="str">
        <f t="shared" ca="1" si="447"/>
        <v/>
      </c>
      <c r="I4306" s="25" t="str">
        <f t="shared" ca="1" si="448"/>
        <v/>
      </c>
      <c r="J4306" s="26" t="str">
        <f t="shared" ca="1" si="449"/>
        <v/>
      </c>
    </row>
    <row r="4307" spans="1:10" x14ac:dyDescent="0.25">
      <c r="A4307" t="s">
        <v>656</v>
      </c>
      <c r="B4307" t="str">
        <f>ADDRESS(ROW('PAYG 1'!$B$28),COLUMN('PAYG 1'!$B$28),4)</f>
        <v>B28</v>
      </c>
      <c r="C4307" t="str">
        <f>ADDRESS(ROW('PAYG 1'!$D$28),COLUMN('PAYG 1'!$D$28),4)</f>
        <v>D28</v>
      </c>
      <c r="D4307" t="b" cm="1">
        <f t="array" aca="1" ref="D4307" ca="1">IF(INDIRECT("'"&amp;A4307&amp;"'!"&amp;B4307)="",FALSE,IF(NOT(ISNUMBER(INDIRECT("'"&amp;A4307&amp;"'!"&amp;B4307))),TRUE,FALSE))</f>
        <v>0</v>
      </c>
      <c r="E4307" t="s">
        <v>435</v>
      </c>
      <c r="F4307" t="str">
        <f>INDEX(Lists!I:I,MATCH(Validation!E4307,Lists!G:G,0))</f>
        <v>Error</v>
      </c>
      <c r="G4307" t="str">
        <f>INDEX(Lists!H:H,MATCH(Validation!E4307,Lists!G:G,0))</f>
        <v>Enter an amount only. Do not enter text or spaces.</v>
      </c>
      <c r="H4307" s="25" t="str">
        <f t="shared" ca="1" si="447"/>
        <v/>
      </c>
      <c r="I4307" s="25" t="str">
        <f t="shared" ca="1" si="448"/>
        <v/>
      </c>
      <c r="J4307" s="26" t="str">
        <f t="shared" ca="1" si="449"/>
        <v/>
      </c>
    </row>
    <row r="4308" spans="1:10" x14ac:dyDescent="0.25">
      <c r="A4308" t="s">
        <v>657</v>
      </c>
      <c r="B4308" t="str">
        <f>ADDRESS(ROW('PAYG 1'!$B$28),COLUMN('PAYG 1'!$B$28),4)</f>
        <v>B28</v>
      </c>
      <c r="C4308" t="str">
        <f>ADDRESS(ROW('PAYG 1'!$D$28),COLUMN('PAYG 1'!$D$28),4)</f>
        <v>D28</v>
      </c>
      <c r="D4308" t="b" cm="1">
        <f t="array" aca="1" ref="D4308" ca="1">IF(INDIRECT("'"&amp;A4308&amp;"'!"&amp;B4308)="",FALSE,IF(NOT(ISNUMBER(INDIRECT("'"&amp;A4308&amp;"'!"&amp;B4308))),TRUE,FALSE))</f>
        <v>0</v>
      </c>
      <c r="E4308" t="s">
        <v>435</v>
      </c>
      <c r="F4308" t="str">
        <f>INDEX(Lists!I:I,MATCH(Validation!E4308,Lists!G:G,0))</f>
        <v>Error</v>
      </c>
      <c r="G4308" t="str">
        <f>INDEX(Lists!H:H,MATCH(Validation!E4308,Lists!G:G,0))</f>
        <v>Enter an amount only. Do not enter text or spaces.</v>
      </c>
      <c r="H4308" s="25" t="str">
        <f t="shared" ca="1" si="447"/>
        <v/>
      </c>
      <c r="I4308" s="25" t="str">
        <f t="shared" ca="1" si="448"/>
        <v/>
      </c>
      <c r="J4308" s="26" t="str">
        <f t="shared" ca="1" si="449"/>
        <v/>
      </c>
    </row>
    <row r="4309" spans="1:10" x14ac:dyDescent="0.25">
      <c r="A4309" t="s">
        <v>658</v>
      </c>
      <c r="B4309" t="str">
        <f>ADDRESS(ROW('PAYG 1'!$B$28),COLUMN('PAYG 1'!$B$28),4)</f>
        <v>B28</v>
      </c>
      <c r="C4309" t="str">
        <f>ADDRESS(ROW('PAYG 1'!$D$28),COLUMN('PAYG 1'!$D$28),4)</f>
        <v>D28</v>
      </c>
      <c r="D4309" t="b" cm="1">
        <f t="array" aca="1" ref="D4309" ca="1">IF(INDIRECT("'"&amp;A4309&amp;"'!"&amp;B4309)="",FALSE,IF(NOT(ISNUMBER(INDIRECT("'"&amp;A4309&amp;"'!"&amp;B4309))),TRUE,FALSE))</f>
        <v>0</v>
      </c>
      <c r="E4309" t="s">
        <v>435</v>
      </c>
      <c r="F4309" t="str">
        <f>INDEX(Lists!I:I,MATCH(Validation!E4309,Lists!G:G,0))</f>
        <v>Error</v>
      </c>
      <c r="G4309" t="str">
        <f>INDEX(Lists!H:H,MATCH(Validation!E4309,Lists!G:G,0))</f>
        <v>Enter an amount only. Do not enter text or spaces.</v>
      </c>
      <c r="H4309" s="25" t="str">
        <f t="shared" ca="1" si="447"/>
        <v/>
      </c>
      <c r="I4309" s="25" t="str">
        <f t="shared" ca="1" si="448"/>
        <v/>
      </c>
      <c r="J4309" s="26" t="str">
        <f t="shared" ca="1" si="449"/>
        <v/>
      </c>
    </row>
    <row r="4310" spans="1:10" x14ac:dyDescent="0.25">
      <c r="A4310" t="s">
        <v>659</v>
      </c>
      <c r="B4310" t="str">
        <f>ADDRESS(ROW('PAYG 1'!$B$28),COLUMN('PAYG 1'!$B$28),4)</f>
        <v>B28</v>
      </c>
      <c r="C4310" t="str">
        <f>ADDRESS(ROW('PAYG 1'!$D$28),COLUMN('PAYG 1'!$D$28),4)</f>
        <v>D28</v>
      </c>
      <c r="D4310" t="b" cm="1">
        <f t="array" aca="1" ref="D4310" ca="1">IF(INDIRECT("'"&amp;A4310&amp;"'!"&amp;B4310)="",FALSE,IF(NOT(ISNUMBER(INDIRECT("'"&amp;A4310&amp;"'!"&amp;B4310))),TRUE,FALSE))</f>
        <v>0</v>
      </c>
      <c r="E4310" t="s">
        <v>435</v>
      </c>
      <c r="F4310" t="str">
        <f>INDEX(Lists!I:I,MATCH(Validation!E4310,Lists!G:G,0))</f>
        <v>Error</v>
      </c>
      <c r="G4310" t="str">
        <f>INDEX(Lists!H:H,MATCH(Validation!E4310,Lists!G:G,0))</f>
        <v>Enter an amount only. Do not enter text or spaces.</v>
      </c>
      <c r="H4310" s="25" t="str">
        <f t="shared" ca="1" si="447"/>
        <v/>
      </c>
      <c r="I4310" s="25" t="str">
        <f t="shared" ca="1" si="448"/>
        <v/>
      </c>
      <c r="J4310" s="26" t="str">
        <f t="shared" ca="1" si="449"/>
        <v/>
      </c>
    </row>
    <row r="4311" spans="1:10" x14ac:dyDescent="0.25">
      <c r="A4311" t="s">
        <v>660</v>
      </c>
      <c r="B4311" t="str">
        <f>ADDRESS(ROW('PAYG 1'!$B$28),COLUMN('PAYG 1'!$B$28),4)</f>
        <v>B28</v>
      </c>
      <c r="C4311" t="str">
        <f>ADDRESS(ROW('PAYG 1'!$D$28),COLUMN('PAYG 1'!$D$28),4)</f>
        <v>D28</v>
      </c>
      <c r="D4311" t="b" cm="1">
        <f t="array" aca="1" ref="D4311" ca="1">IF(INDIRECT("'"&amp;A4311&amp;"'!"&amp;B4311)="",FALSE,IF(NOT(ISNUMBER(INDIRECT("'"&amp;A4311&amp;"'!"&amp;B4311))),TRUE,FALSE))</f>
        <v>0</v>
      </c>
      <c r="E4311" t="s">
        <v>435</v>
      </c>
      <c r="F4311" t="str">
        <f>INDEX(Lists!I:I,MATCH(Validation!E4311,Lists!G:G,0))</f>
        <v>Error</v>
      </c>
      <c r="G4311" t="str">
        <f>INDEX(Lists!H:H,MATCH(Validation!E4311,Lists!G:G,0))</f>
        <v>Enter an amount only. Do not enter text or spaces.</v>
      </c>
      <c r="H4311" s="25" t="str">
        <f t="shared" ca="1" si="447"/>
        <v/>
      </c>
      <c r="I4311" s="25" t="str">
        <f t="shared" ca="1" si="448"/>
        <v/>
      </c>
      <c r="J4311" s="26" t="str">
        <f t="shared" ca="1" si="449"/>
        <v/>
      </c>
    </row>
    <row r="4312" spans="1:10" x14ac:dyDescent="0.25">
      <c r="A4312" t="s">
        <v>661</v>
      </c>
      <c r="B4312" t="str">
        <f>ADDRESS(ROW('PAYG 1'!$B$28),COLUMN('PAYG 1'!$B$28),4)</f>
        <v>B28</v>
      </c>
      <c r="C4312" t="str">
        <f>ADDRESS(ROW('PAYG 1'!$D$28),COLUMN('PAYG 1'!$D$28),4)</f>
        <v>D28</v>
      </c>
      <c r="D4312" t="b" cm="1">
        <f t="array" aca="1" ref="D4312" ca="1">IF(INDIRECT("'"&amp;A4312&amp;"'!"&amp;B4312)="",FALSE,IF(NOT(ISNUMBER(INDIRECT("'"&amp;A4312&amp;"'!"&amp;B4312))),TRUE,FALSE))</f>
        <v>0</v>
      </c>
      <c r="E4312" t="s">
        <v>435</v>
      </c>
      <c r="F4312" t="str">
        <f>INDEX(Lists!I:I,MATCH(Validation!E4312,Lists!G:G,0))</f>
        <v>Error</v>
      </c>
      <c r="G4312" t="str">
        <f>INDEX(Lists!H:H,MATCH(Validation!E4312,Lists!G:G,0))</f>
        <v>Enter an amount only. Do not enter text or spaces.</v>
      </c>
      <c r="H4312" s="25" t="str">
        <f t="shared" ca="1" si="447"/>
        <v/>
      </c>
      <c r="I4312" s="25" t="str">
        <f t="shared" ca="1" si="448"/>
        <v/>
      </c>
      <c r="J4312" s="26" t="str">
        <f t="shared" ca="1" si="449"/>
        <v/>
      </c>
    </row>
    <row r="4313" spans="1:10" x14ac:dyDescent="0.25">
      <c r="A4313" t="s">
        <v>662</v>
      </c>
      <c r="B4313" t="str">
        <f>ADDRESS(ROW('PAYG 1'!$B$28),COLUMN('PAYG 1'!$B$28),4)</f>
        <v>B28</v>
      </c>
      <c r="C4313" t="str">
        <f>ADDRESS(ROW('PAYG 1'!$D$28),COLUMN('PAYG 1'!$D$28),4)</f>
        <v>D28</v>
      </c>
      <c r="D4313" t="b" cm="1">
        <f t="array" aca="1" ref="D4313" ca="1">IF(INDIRECT("'"&amp;A4313&amp;"'!"&amp;B4313)="",FALSE,IF(NOT(ISNUMBER(INDIRECT("'"&amp;A4313&amp;"'!"&amp;B4313))),TRUE,FALSE))</f>
        <v>0</v>
      </c>
      <c r="E4313" t="s">
        <v>435</v>
      </c>
      <c r="F4313" t="str">
        <f>INDEX(Lists!I:I,MATCH(Validation!E4313,Lists!G:G,0))</f>
        <v>Error</v>
      </c>
      <c r="G4313" t="str">
        <f>INDEX(Lists!H:H,MATCH(Validation!E4313,Lists!G:G,0))</f>
        <v>Enter an amount only. Do not enter text or spaces.</v>
      </c>
      <c r="H4313" s="25" t="str">
        <f t="shared" ca="1" si="447"/>
        <v/>
      </c>
      <c r="I4313" s="25" t="str">
        <f t="shared" ca="1" si="448"/>
        <v/>
      </c>
      <c r="J4313" s="26" t="str">
        <f t="shared" ca="1" si="449"/>
        <v/>
      </c>
    </row>
    <row r="4314" spans="1:10" x14ac:dyDescent="0.25">
      <c r="A4314" t="s">
        <v>663</v>
      </c>
      <c r="B4314" t="str">
        <f>ADDRESS(ROW('PAYG 1'!$B$28),COLUMN('PAYG 1'!$B$28),4)</f>
        <v>B28</v>
      </c>
      <c r="C4314" t="str">
        <f>ADDRESS(ROW('PAYG 1'!$D$28),COLUMN('PAYG 1'!$D$28),4)</f>
        <v>D28</v>
      </c>
      <c r="D4314" t="b" cm="1">
        <f t="array" aca="1" ref="D4314" ca="1">IF(INDIRECT("'"&amp;A4314&amp;"'!"&amp;B4314)="",FALSE,IF(NOT(ISNUMBER(INDIRECT("'"&amp;A4314&amp;"'!"&amp;B4314))),TRUE,FALSE))</f>
        <v>0</v>
      </c>
      <c r="E4314" t="s">
        <v>435</v>
      </c>
      <c r="F4314" t="str">
        <f>INDEX(Lists!I:I,MATCH(Validation!E4314,Lists!G:G,0))</f>
        <v>Error</v>
      </c>
      <c r="G4314" t="str">
        <f>INDEX(Lists!H:H,MATCH(Validation!E4314,Lists!G:G,0))</f>
        <v>Enter an amount only. Do not enter text or spaces.</v>
      </c>
      <c r="H4314" s="25" t="str">
        <f t="shared" ca="1" si="447"/>
        <v/>
      </c>
      <c r="I4314" s="25" t="str">
        <f t="shared" ca="1" si="448"/>
        <v/>
      </c>
      <c r="J4314" s="26" t="str">
        <f t="shared" ca="1" si="449"/>
        <v/>
      </c>
    </row>
    <row r="4315" spans="1:10" x14ac:dyDescent="0.25">
      <c r="A4315" t="s">
        <v>664</v>
      </c>
      <c r="B4315" t="str">
        <f>ADDRESS(ROW('PAYG 1'!$B$28),COLUMN('PAYG 1'!$B$28),4)</f>
        <v>B28</v>
      </c>
      <c r="C4315" t="str">
        <f>ADDRESS(ROW('PAYG 1'!$D$28),COLUMN('PAYG 1'!$D$28),4)</f>
        <v>D28</v>
      </c>
      <c r="D4315" t="b" cm="1">
        <f t="array" aca="1" ref="D4315" ca="1">IF(INDIRECT("'"&amp;A4315&amp;"'!"&amp;B4315)="",FALSE,IF(NOT(ISNUMBER(INDIRECT("'"&amp;A4315&amp;"'!"&amp;B4315))),TRUE,FALSE))</f>
        <v>0</v>
      </c>
      <c r="E4315" t="s">
        <v>435</v>
      </c>
      <c r="F4315" t="str">
        <f>INDEX(Lists!I:I,MATCH(Validation!E4315,Lists!G:G,0))</f>
        <v>Error</v>
      </c>
      <c r="G4315" t="str">
        <f>INDEX(Lists!H:H,MATCH(Validation!E4315,Lists!G:G,0))</f>
        <v>Enter an amount only. Do not enter text or spaces.</v>
      </c>
      <c r="H4315" s="25" t="str">
        <f t="shared" ca="1" si="447"/>
        <v/>
      </c>
      <c r="I4315" s="25" t="str">
        <f t="shared" ca="1" si="448"/>
        <v/>
      </c>
      <c r="J4315" s="26" t="str">
        <f t="shared" ca="1" si="449"/>
        <v/>
      </c>
    </row>
    <row r="4316" spans="1:10" x14ac:dyDescent="0.25">
      <c r="A4316" t="s">
        <v>203</v>
      </c>
      <c r="B4316" t="str">
        <f>ADDRESS(ROW('PAYG 1'!$B$28),COLUMN('PAYG 1'!$B$28),4)</f>
        <v>B28</v>
      </c>
      <c r="C4316" t="str">
        <f>ADDRESS(ROW('PAYG 1'!$D$28),COLUMN('PAYG 1'!$D$28),4)</f>
        <v>D28</v>
      </c>
      <c r="D4316" t="b" cm="1">
        <f t="array" aca="1" ref="D4316" ca="1">IF(INDIRECT("'"&amp;A4316&amp;"'!"&amp;B4316)="",FALSE,IF(INDIRECT("'"&amp;A4316&amp;"'!"&amp;B4316)&lt;0,TRUE,FALSE))</f>
        <v>0</v>
      </c>
      <c r="E4316" t="s">
        <v>434</v>
      </c>
      <c r="F4316" t="str">
        <f>INDEX(Lists!I:I,MATCH(Validation!E4316,Lists!G:G,0))</f>
        <v>Error</v>
      </c>
      <c r="G4316" t="str">
        <f>INDEX(Lists!H:H,MATCH(Validation!E4316,Lists!G:G,0))</f>
        <v>Amount may not be negative. Enter an amount greater than or equal to zero.</v>
      </c>
      <c r="H4316" s="25" t="str">
        <f t="shared" ca="1" si="447"/>
        <v/>
      </c>
      <c r="I4316" s="25" t="str">
        <f t="shared" ca="1" si="448"/>
        <v/>
      </c>
      <c r="J4316" s="26" t="str">
        <f t="shared" ca="1" si="449"/>
        <v/>
      </c>
    </row>
    <row r="4317" spans="1:10" x14ac:dyDescent="0.25">
      <c r="A4317" t="s">
        <v>651</v>
      </c>
      <c r="B4317" t="str">
        <f>ADDRESS(ROW('PAYG 1'!$B$28),COLUMN('PAYG 1'!$B$28),4)</f>
        <v>B28</v>
      </c>
      <c r="C4317" t="str">
        <f>ADDRESS(ROW('PAYG 1'!$D$28),COLUMN('PAYG 1'!$D$28),4)</f>
        <v>D28</v>
      </c>
      <c r="D4317" t="b" cm="1">
        <f t="array" aca="1" ref="D4317" ca="1">IF(INDIRECT("'"&amp;A4317&amp;"'!"&amp;B4317)="",FALSE,IF(INDIRECT("'"&amp;A4317&amp;"'!"&amp;B4317)&lt;0,TRUE,FALSE))</f>
        <v>0</v>
      </c>
      <c r="E4317" t="s">
        <v>434</v>
      </c>
      <c r="F4317" t="str">
        <f>INDEX(Lists!I:I,MATCH(Validation!E4317,Lists!G:G,0))</f>
        <v>Error</v>
      </c>
      <c r="G4317" t="str">
        <f>INDEX(Lists!H:H,MATCH(Validation!E4317,Lists!G:G,0))</f>
        <v>Amount may not be negative. Enter an amount greater than or equal to zero.</v>
      </c>
      <c r="H4317" s="25" t="str">
        <f t="shared" ca="1" si="447"/>
        <v/>
      </c>
      <c r="I4317" s="25" t="str">
        <f t="shared" ca="1" si="448"/>
        <v/>
      </c>
      <c r="J4317" s="26" t="str">
        <f t="shared" ca="1" si="449"/>
        <v/>
      </c>
    </row>
    <row r="4318" spans="1:10" x14ac:dyDescent="0.25">
      <c r="A4318" t="s">
        <v>652</v>
      </c>
      <c r="B4318" t="str">
        <f>ADDRESS(ROW('PAYG 1'!$B$28),COLUMN('PAYG 1'!$B$28),4)</f>
        <v>B28</v>
      </c>
      <c r="C4318" t="str">
        <f>ADDRESS(ROW('PAYG 1'!$D$28),COLUMN('PAYG 1'!$D$28),4)</f>
        <v>D28</v>
      </c>
      <c r="D4318" t="b" cm="1">
        <f t="array" aca="1" ref="D4318" ca="1">IF(INDIRECT("'"&amp;A4318&amp;"'!"&amp;B4318)="",FALSE,IF(INDIRECT("'"&amp;A4318&amp;"'!"&amp;B4318)&lt;0,TRUE,FALSE))</f>
        <v>0</v>
      </c>
      <c r="E4318" t="s">
        <v>434</v>
      </c>
      <c r="F4318" t="str">
        <f>INDEX(Lists!I:I,MATCH(Validation!E4318,Lists!G:G,0))</f>
        <v>Error</v>
      </c>
      <c r="G4318" t="str">
        <f>INDEX(Lists!H:H,MATCH(Validation!E4318,Lists!G:G,0))</f>
        <v>Amount may not be negative. Enter an amount greater than or equal to zero.</v>
      </c>
      <c r="H4318" s="25" t="str">
        <f t="shared" ca="1" si="447"/>
        <v/>
      </c>
      <c r="I4318" s="25" t="str">
        <f t="shared" ca="1" si="448"/>
        <v/>
      </c>
      <c r="J4318" s="26" t="str">
        <f t="shared" ca="1" si="449"/>
        <v/>
      </c>
    </row>
    <row r="4319" spans="1:10" x14ac:dyDescent="0.25">
      <c r="A4319" t="s">
        <v>653</v>
      </c>
      <c r="B4319" t="str">
        <f>ADDRESS(ROW('PAYG 1'!$B$28),COLUMN('PAYG 1'!$B$28),4)</f>
        <v>B28</v>
      </c>
      <c r="C4319" t="str">
        <f>ADDRESS(ROW('PAYG 1'!$D$28),COLUMN('PAYG 1'!$D$28),4)</f>
        <v>D28</v>
      </c>
      <c r="D4319" t="b" cm="1">
        <f t="array" aca="1" ref="D4319" ca="1">IF(INDIRECT("'"&amp;A4319&amp;"'!"&amp;B4319)="",FALSE,IF(INDIRECT("'"&amp;A4319&amp;"'!"&amp;B4319)&lt;0,TRUE,FALSE))</f>
        <v>0</v>
      </c>
      <c r="E4319" t="s">
        <v>434</v>
      </c>
      <c r="F4319" t="str">
        <f>INDEX(Lists!I:I,MATCH(Validation!E4319,Lists!G:G,0))</f>
        <v>Error</v>
      </c>
      <c r="G4319" t="str">
        <f>INDEX(Lists!H:H,MATCH(Validation!E4319,Lists!G:G,0))</f>
        <v>Amount may not be negative. Enter an amount greater than or equal to zero.</v>
      </c>
      <c r="H4319" s="25" t="str">
        <f t="shared" ca="1" si="447"/>
        <v/>
      </c>
      <c r="I4319" s="25" t="str">
        <f t="shared" ca="1" si="448"/>
        <v/>
      </c>
      <c r="J4319" s="26" t="str">
        <f t="shared" ca="1" si="449"/>
        <v/>
      </c>
    </row>
    <row r="4320" spans="1:10" x14ac:dyDescent="0.25">
      <c r="A4320" t="s">
        <v>654</v>
      </c>
      <c r="B4320" t="str">
        <f>ADDRESS(ROW('PAYG 1'!$B$28),COLUMN('PAYG 1'!$B$28),4)</f>
        <v>B28</v>
      </c>
      <c r="C4320" t="str">
        <f>ADDRESS(ROW('PAYG 1'!$D$28),COLUMN('PAYG 1'!$D$28),4)</f>
        <v>D28</v>
      </c>
      <c r="D4320" t="b" cm="1">
        <f t="array" aca="1" ref="D4320" ca="1">IF(INDIRECT("'"&amp;A4320&amp;"'!"&amp;B4320)="",FALSE,IF(INDIRECT("'"&amp;A4320&amp;"'!"&amp;B4320)&lt;0,TRUE,FALSE))</f>
        <v>0</v>
      </c>
      <c r="E4320" t="s">
        <v>434</v>
      </c>
      <c r="F4320" t="str">
        <f>INDEX(Lists!I:I,MATCH(Validation!E4320,Lists!G:G,0))</f>
        <v>Error</v>
      </c>
      <c r="G4320" t="str">
        <f>INDEX(Lists!H:H,MATCH(Validation!E4320,Lists!G:G,0))</f>
        <v>Amount may not be negative. Enter an amount greater than or equal to zero.</v>
      </c>
      <c r="H4320" s="25" t="str">
        <f t="shared" ca="1" si="447"/>
        <v/>
      </c>
      <c r="I4320" s="25" t="str">
        <f t="shared" ca="1" si="448"/>
        <v/>
      </c>
      <c r="J4320" s="26" t="str">
        <f t="shared" ca="1" si="449"/>
        <v/>
      </c>
    </row>
    <row r="4321" spans="1:10" x14ac:dyDescent="0.25">
      <c r="A4321" t="s">
        <v>655</v>
      </c>
      <c r="B4321" t="str">
        <f>ADDRESS(ROW('PAYG 1'!$B$28),COLUMN('PAYG 1'!$B$28),4)</f>
        <v>B28</v>
      </c>
      <c r="C4321" t="str">
        <f>ADDRESS(ROW('PAYG 1'!$D$28),COLUMN('PAYG 1'!$D$28),4)</f>
        <v>D28</v>
      </c>
      <c r="D4321" t="b" cm="1">
        <f t="array" aca="1" ref="D4321" ca="1">IF(INDIRECT("'"&amp;A4321&amp;"'!"&amp;B4321)="",FALSE,IF(INDIRECT("'"&amp;A4321&amp;"'!"&amp;B4321)&lt;0,TRUE,FALSE))</f>
        <v>0</v>
      </c>
      <c r="E4321" t="s">
        <v>434</v>
      </c>
      <c r="F4321" t="str">
        <f>INDEX(Lists!I:I,MATCH(Validation!E4321,Lists!G:G,0))</f>
        <v>Error</v>
      </c>
      <c r="G4321" t="str">
        <f>INDEX(Lists!H:H,MATCH(Validation!E4321,Lists!G:G,0))</f>
        <v>Amount may not be negative. Enter an amount greater than or equal to zero.</v>
      </c>
      <c r="H4321" s="25" t="str">
        <f t="shared" ca="1" si="447"/>
        <v/>
      </c>
      <c r="I4321" s="25" t="str">
        <f t="shared" ca="1" si="448"/>
        <v/>
      </c>
      <c r="J4321" s="26" t="str">
        <f t="shared" ca="1" si="449"/>
        <v/>
      </c>
    </row>
    <row r="4322" spans="1:10" x14ac:dyDescent="0.25">
      <c r="A4322" t="s">
        <v>656</v>
      </c>
      <c r="B4322" t="str">
        <f>ADDRESS(ROW('PAYG 1'!$B$28),COLUMN('PAYG 1'!$B$28),4)</f>
        <v>B28</v>
      </c>
      <c r="C4322" t="str">
        <f>ADDRESS(ROW('PAYG 1'!$D$28),COLUMN('PAYG 1'!$D$28),4)</f>
        <v>D28</v>
      </c>
      <c r="D4322" t="b" cm="1">
        <f t="array" aca="1" ref="D4322" ca="1">IF(INDIRECT("'"&amp;A4322&amp;"'!"&amp;B4322)="",FALSE,IF(INDIRECT("'"&amp;A4322&amp;"'!"&amp;B4322)&lt;0,TRUE,FALSE))</f>
        <v>0</v>
      </c>
      <c r="E4322" t="s">
        <v>434</v>
      </c>
      <c r="F4322" t="str">
        <f>INDEX(Lists!I:I,MATCH(Validation!E4322,Lists!G:G,0))</f>
        <v>Error</v>
      </c>
      <c r="G4322" t="str">
        <f>INDEX(Lists!H:H,MATCH(Validation!E4322,Lists!G:G,0))</f>
        <v>Amount may not be negative. Enter an amount greater than or equal to zero.</v>
      </c>
      <c r="H4322" s="25" t="str">
        <f t="shared" ca="1" si="447"/>
        <v/>
      </c>
      <c r="I4322" s="25" t="str">
        <f t="shared" ca="1" si="448"/>
        <v/>
      </c>
      <c r="J4322" s="26" t="str">
        <f t="shared" ca="1" si="449"/>
        <v/>
      </c>
    </row>
    <row r="4323" spans="1:10" x14ac:dyDescent="0.25">
      <c r="A4323" t="s">
        <v>657</v>
      </c>
      <c r="B4323" t="str">
        <f>ADDRESS(ROW('PAYG 1'!$B$28),COLUMN('PAYG 1'!$B$28),4)</f>
        <v>B28</v>
      </c>
      <c r="C4323" t="str">
        <f>ADDRESS(ROW('PAYG 1'!$D$28),COLUMN('PAYG 1'!$D$28),4)</f>
        <v>D28</v>
      </c>
      <c r="D4323" t="b" cm="1">
        <f t="array" aca="1" ref="D4323" ca="1">IF(INDIRECT("'"&amp;A4323&amp;"'!"&amp;B4323)="",FALSE,IF(INDIRECT("'"&amp;A4323&amp;"'!"&amp;B4323)&lt;0,TRUE,FALSE))</f>
        <v>0</v>
      </c>
      <c r="E4323" t="s">
        <v>434</v>
      </c>
      <c r="F4323" t="str">
        <f>INDEX(Lists!I:I,MATCH(Validation!E4323,Lists!G:G,0))</f>
        <v>Error</v>
      </c>
      <c r="G4323" t="str">
        <f>INDEX(Lists!H:H,MATCH(Validation!E4323,Lists!G:G,0))</f>
        <v>Amount may not be negative. Enter an amount greater than or equal to zero.</v>
      </c>
      <c r="H4323" s="25" t="str">
        <f t="shared" ca="1" si="447"/>
        <v/>
      </c>
      <c r="I4323" s="25" t="str">
        <f t="shared" ca="1" si="448"/>
        <v/>
      </c>
      <c r="J4323" s="26" t="str">
        <f t="shared" ca="1" si="449"/>
        <v/>
      </c>
    </row>
    <row r="4324" spans="1:10" x14ac:dyDescent="0.25">
      <c r="A4324" t="s">
        <v>658</v>
      </c>
      <c r="B4324" t="str">
        <f>ADDRESS(ROW('PAYG 1'!$B$28),COLUMN('PAYG 1'!$B$28),4)</f>
        <v>B28</v>
      </c>
      <c r="C4324" t="str">
        <f>ADDRESS(ROW('PAYG 1'!$D$28),COLUMN('PAYG 1'!$D$28),4)</f>
        <v>D28</v>
      </c>
      <c r="D4324" t="b" cm="1">
        <f t="array" aca="1" ref="D4324" ca="1">IF(INDIRECT("'"&amp;A4324&amp;"'!"&amp;B4324)="",FALSE,IF(INDIRECT("'"&amp;A4324&amp;"'!"&amp;B4324)&lt;0,TRUE,FALSE))</f>
        <v>0</v>
      </c>
      <c r="E4324" t="s">
        <v>434</v>
      </c>
      <c r="F4324" t="str">
        <f>INDEX(Lists!I:I,MATCH(Validation!E4324,Lists!G:G,0))</f>
        <v>Error</v>
      </c>
      <c r="G4324" t="str">
        <f>INDEX(Lists!H:H,MATCH(Validation!E4324,Lists!G:G,0))</f>
        <v>Amount may not be negative. Enter an amount greater than or equal to zero.</v>
      </c>
      <c r="H4324" s="25" t="str">
        <f t="shared" ca="1" si="447"/>
        <v/>
      </c>
      <c r="I4324" s="25" t="str">
        <f t="shared" ca="1" si="448"/>
        <v/>
      </c>
      <c r="J4324" s="26" t="str">
        <f t="shared" ca="1" si="449"/>
        <v/>
      </c>
    </row>
    <row r="4325" spans="1:10" x14ac:dyDescent="0.25">
      <c r="A4325" t="s">
        <v>659</v>
      </c>
      <c r="B4325" t="str">
        <f>ADDRESS(ROW('PAYG 1'!$B$28),COLUMN('PAYG 1'!$B$28),4)</f>
        <v>B28</v>
      </c>
      <c r="C4325" t="str">
        <f>ADDRESS(ROW('PAYG 1'!$D$28),COLUMN('PAYG 1'!$D$28),4)</f>
        <v>D28</v>
      </c>
      <c r="D4325" t="b" cm="1">
        <f t="array" aca="1" ref="D4325" ca="1">IF(INDIRECT("'"&amp;A4325&amp;"'!"&amp;B4325)="",FALSE,IF(INDIRECT("'"&amp;A4325&amp;"'!"&amp;B4325)&lt;0,TRUE,FALSE))</f>
        <v>0</v>
      </c>
      <c r="E4325" t="s">
        <v>434</v>
      </c>
      <c r="F4325" t="str">
        <f>INDEX(Lists!I:I,MATCH(Validation!E4325,Lists!G:G,0))</f>
        <v>Error</v>
      </c>
      <c r="G4325" t="str">
        <f>INDEX(Lists!H:H,MATCH(Validation!E4325,Lists!G:G,0))</f>
        <v>Amount may not be negative. Enter an amount greater than or equal to zero.</v>
      </c>
      <c r="H4325" s="25" t="str">
        <f t="shared" ca="1" si="447"/>
        <v/>
      </c>
      <c r="I4325" s="25" t="str">
        <f t="shared" ca="1" si="448"/>
        <v/>
      </c>
      <c r="J4325" s="26" t="str">
        <f t="shared" ca="1" si="449"/>
        <v/>
      </c>
    </row>
    <row r="4326" spans="1:10" x14ac:dyDescent="0.25">
      <c r="A4326" t="s">
        <v>660</v>
      </c>
      <c r="B4326" t="str">
        <f>ADDRESS(ROW('PAYG 1'!$B$28),COLUMN('PAYG 1'!$B$28),4)</f>
        <v>B28</v>
      </c>
      <c r="C4326" t="str">
        <f>ADDRESS(ROW('PAYG 1'!$D$28),COLUMN('PAYG 1'!$D$28),4)</f>
        <v>D28</v>
      </c>
      <c r="D4326" t="b" cm="1">
        <f t="array" aca="1" ref="D4326" ca="1">IF(INDIRECT("'"&amp;A4326&amp;"'!"&amp;B4326)="",FALSE,IF(INDIRECT("'"&amp;A4326&amp;"'!"&amp;B4326)&lt;0,TRUE,FALSE))</f>
        <v>0</v>
      </c>
      <c r="E4326" t="s">
        <v>434</v>
      </c>
      <c r="F4326" t="str">
        <f>INDEX(Lists!I:I,MATCH(Validation!E4326,Lists!G:G,0))</f>
        <v>Error</v>
      </c>
      <c r="G4326" t="str">
        <f>INDEX(Lists!H:H,MATCH(Validation!E4326,Lists!G:G,0))</f>
        <v>Amount may not be negative. Enter an amount greater than or equal to zero.</v>
      </c>
      <c r="H4326" s="25" t="str">
        <f t="shared" ca="1" si="447"/>
        <v/>
      </c>
      <c r="I4326" s="25" t="str">
        <f t="shared" ca="1" si="448"/>
        <v/>
      </c>
      <c r="J4326" s="26" t="str">
        <f t="shared" ca="1" si="449"/>
        <v/>
      </c>
    </row>
    <row r="4327" spans="1:10" x14ac:dyDescent="0.25">
      <c r="A4327" t="s">
        <v>661</v>
      </c>
      <c r="B4327" t="str">
        <f>ADDRESS(ROW('PAYG 1'!$B$28),COLUMN('PAYG 1'!$B$28),4)</f>
        <v>B28</v>
      </c>
      <c r="C4327" t="str">
        <f>ADDRESS(ROW('PAYG 1'!$D$28),COLUMN('PAYG 1'!$D$28),4)</f>
        <v>D28</v>
      </c>
      <c r="D4327" t="b" cm="1">
        <f t="array" aca="1" ref="D4327" ca="1">IF(INDIRECT("'"&amp;A4327&amp;"'!"&amp;B4327)="",FALSE,IF(INDIRECT("'"&amp;A4327&amp;"'!"&amp;B4327)&lt;0,TRUE,FALSE))</f>
        <v>0</v>
      </c>
      <c r="E4327" t="s">
        <v>434</v>
      </c>
      <c r="F4327" t="str">
        <f>INDEX(Lists!I:I,MATCH(Validation!E4327,Lists!G:G,0))</f>
        <v>Error</v>
      </c>
      <c r="G4327" t="str">
        <f>INDEX(Lists!H:H,MATCH(Validation!E4327,Lists!G:G,0))</f>
        <v>Amount may not be negative. Enter an amount greater than or equal to zero.</v>
      </c>
      <c r="H4327" s="25" t="str">
        <f t="shared" ca="1" si="447"/>
        <v/>
      </c>
      <c r="I4327" s="25" t="str">
        <f t="shared" ca="1" si="448"/>
        <v/>
      </c>
      <c r="J4327" s="26" t="str">
        <f t="shared" ca="1" si="449"/>
        <v/>
      </c>
    </row>
    <row r="4328" spans="1:10" x14ac:dyDescent="0.25">
      <c r="A4328" t="s">
        <v>662</v>
      </c>
      <c r="B4328" t="str">
        <f>ADDRESS(ROW('PAYG 1'!$B$28),COLUMN('PAYG 1'!$B$28),4)</f>
        <v>B28</v>
      </c>
      <c r="C4328" t="str">
        <f>ADDRESS(ROW('PAYG 1'!$D$28),COLUMN('PAYG 1'!$D$28),4)</f>
        <v>D28</v>
      </c>
      <c r="D4328" t="b" cm="1">
        <f t="array" aca="1" ref="D4328" ca="1">IF(INDIRECT("'"&amp;A4328&amp;"'!"&amp;B4328)="",FALSE,IF(INDIRECT("'"&amp;A4328&amp;"'!"&amp;B4328)&lt;0,TRUE,FALSE))</f>
        <v>0</v>
      </c>
      <c r="E4328" t="s">
        <v>434</v>
      </c>
      <c r="F4328" t="str">
        <f>INDEX(Lists!I:I,MATCH(Validation!E4328,Lists!G:G,0))</f>
        <v>Error</v>
      </c>
      <c r="G4328" t="str">
        <f>INDEX(Lists!H:H,MATCH(Validation!E4328,Lists!G:G,0))</f>
        <v>Amount may not be negative. Enter an amount greater than or equal to zero.</v>
      </c>
      <c r="H4328" s="25" t="str">
        <f t="shared" ca="1" si="447"/>
        <v/>
      </c>
      <c r="I4328" s="25" t="str">
        <f t="shared" ca="1" si="448"/>
        <v/>
      </c>
      <c r="J4328" s="26" t="str">
        <f t="shared" ca="1" si="449"/>
        <v/>
      </c>
    </row>
    <row r="4329" spans="1:10" x14ac:dyDescent="0.25">
      <c r="A4329" t="s">
        <v>663</v>
      </c>
      <c r="B4329" t="str">
        <f>ADDRESS(ROW('PAYG 1'!$B$28),COLUMN('PAYG 1'!$B$28),4)</f>
        <v>B28</v>
      </c>
      <c r="C4329" t="str">
        <f>ADDRESS(ROW('PAYG 1'!$D$28),COLUMN('PAYG 1'!$D$28),4)</f>
        <v>D28</v>
      </c>
      <c r="D4329" t="b" cm="1">
        <f t="array" aca="1" ref="D4329" ca="1">IF(INDIRECT("'"&amp;A4329&amp;"'!"&amp;B4329)="",FALSE,IF(INDIRECT("'"&amp;A4329&amp;"'!"&amp;B4329)&lt;0,TRUE,FALSE))</f>
        <v>0</v>
      </c>
      <c r="E4329" t="s">
        <v>434</v>
      </c>
      <c r="F4329" t="str">
        <f>INDEX(Lists!I:I,MATCH(Validation!E4329,Lists!G:G,0))</f>
        <v>Error</v>
      </c>
      <c r="G4329" t="str">
        <f>INDEX(Lists!H:H,MATCH(Validation!E4329,Lists!G:G,0))</f>
        <v>Amount may not be negative. Enter an amount greater than or equal to zero.</v>
      </c>
      <c r="H4329" s="25" t="str">
        <f t="shared" ca="1" si="447"/>
        <v/>
      </c>
      <c r="I4329" s="25" t="str">
        <f t="shared" ca="1" si="448"/>
        <v/>
      </c>
      <c r="J4329" s="26" t="str">
        <f t="shared" ca="1" si="449"/>
        <v/>
      </c>
    </row>
    <row r="4330" spans="1:10" x14ac:dyDescent="0.25">
      <c r="A4330" t="s">
        <v>664</v>
      </c>
      <c r="B4330" t="str">
        <f>ADDRESS(ROW('PAYG 1'!$B$28),COLUMN('PAYG 1'!$B$28),4)</f>
        <v>B28</v>
      </c>
      <c r="C4330" t="str">
        <f>ADDRESS(ROW('PAYG 1'!$D$28),COLUMN('PAYG 1'!$D$28),4)</f>
        <v>D28</v>
      </c>
      <c r="D4330" t="b" cm="1">
        <f t="array" aca="1" ref="D4330" ca="1">IF(INDIRECT("'"&amp;A4330&amp;"'!"&amp;B4330)="",FALSE,IF(INDIRECT("'"&amp;A4330&amp;"'!"&amp;B4330)&lt;0,TRUE,FALSE))</f>
        <v>0</v>
      </c>
      <c r="E4330" t="s">
        <v>434</v>
      </c>
      <c r="F4330" t="str">
        <f>INDEX(Lists!I:I,MATCH(Validation!E4330,Lists!G:G,0))</f>
        <v>Error</v>
      </c>
      <c r="G4330" t="str">
        <f>INDEX(Lists!H:H,MATCH(Validation!E4330,Lists!G:G,0))</f>
        <v>Amount may not be negative. Enter an amount greater than or equal to zero.</v>
      </c>
      <c r="H4330" s="25" t="str">
        <f t="shared" ca="1" si="447"/>
        <v/>
      </c>
      <c r="I4330" s="25" t="str">
        <f t="shared" ca="1" si="448"/>
        <v/>
      </c>
      <c r="J4330" s="26" t="str">
        <f t="shared" ca="1" si="449"/>
        <v/>
      </c>
    </row>
    <row r="4331" spans="1:10" x14ac:dyDescent="0.25">
      <c r="A4331" t="s">
        <v>203</v>
      </c>
      <c r="B4331" t="str">
        <f>ADDRESS(ROW('PAYG 1'!$B$28),COLUMN('PAYG 1'!$B$28),4)</f>
        <v>B28</v>
      </c>
      <c r="C4331" t="str">
        <f>ADDRESS(ROW('PAYG 1'!$D$28),COLUMN('PAYG 1'!$D$28),4)</f>
        <v>D28</v>
      </c>
      <c r="D4331" t="b" cm="1">
        <f t="array" aca="1" ref="D4331" ca="1">IF(INDIRECT("'"&amp;A4331&amp;"'!"&amp;B4331)="",FALSE,IF(TRUNC(INDIRECT("'"&amp;A4331&amp;"'!"&amp;B4331))=INDIRECT("'"&amp;A4331&amp;"'!"&amp;B4331),FALSE,TRUE))</f>
        <v>0</v>
      </c>
      <c r="E4331" t="s">
        <v>436</v>
      </c>
      <c r="F4331" t="str">
        <f>INDEX(Lists!I:I,MATCH(Validation!E4331,Lists!G:G,0))</f>
        <v>Error</v>
      </c>
      <c r="G4331" t="str">
        <f>INDEX(Lists!H:H,MATCH(Validation!E4331,Lists!G:G,0))</f>
        <v>Amount must be rounded to the nearest dollar.</v>
      </c>
      <c r="H4331" s="25" t="str">
        <f t="shared" ca="1" si="447"/>
        <v/>
      </c>
      <c r="I4331" s="25" t="str">
        <f t="shared" ca="1" si="448"/>
        <v/>
      </c>
      <c r="J4331" s="26" t="str">
        <f t="shared" ca="1" si="449"/>
        <v/>
      </c>
    </row>
    <row r="4332" spans="1:10" x14ac:dyDescent="0.25">
      <c r="A4332" t="s">
        <v>651</v>
      </c>
      <c r="B4332" t="str">
        <f>ADDRESS(ROW('PAYG 1'!$B$28),COLUMN('PAYG 1'!$B$28),4)</f>
        <v>B28</v>
      </c>
      <c r="C4332" t="str">
        <f>ADDRESS(ROW('PAYG 1'!$D$28),COLUMN('PAYG 1'!$D$28),4)</f>
        <v>D28</v>
      </c>
      <c r="D4332" t="b" cm="1">
        <f t="array" aca="1" ref="D4332" ca="1">IF(INDIRECT("'"&amp;A4332&amp;"'!"&amp;B4332)="",FALSE,IF(TRUNC(INDIRECT("'"&amp;A4332&amp;"'!"&amp;B4332))=INDIRECT("'"&amp;A4332&amp;"'!"&amp;B4332),FALSE,TRUE))</f>
        <v>0</v>
      </c>
      <c r="E4332" t="s">
        <v>436</v>
      </c>
      <c r="F4332" t="str">
        <f>INDEX(Lists!I:I,MATCH(Validation!E4332,Lists!G:G,0))</f>
        <v>Error</v>
      </c>
      <c r="G4332" t="str">
        <f>INDEX(Lists!H:H,MATCH(Validation!E4332,Lists!G:G,0))</f>
        <v>Amount must be rounded to the nearest dollar.</v>
      </c>
      <c r="H4332" s="25" t="str">
        <f t="shared" ca="1" si="447"/>
        <v/>
      </c>
      <c r="I4332" s="25" t="str">
        <f t="shared" ca="1" si="448"/>
        <v/>
      </c>
      <c r="J4332" s="26" t="str">
        <f t="shared" ca="1" si="449"/>
        <v/>
      </c>
    </row>
    <row r="4333" spans="1:10" x14ac:dyDescent="0.25">
      <c r="A4333" t="s">
        <v>652</v>
      </c>
      <c r="B4333" t="str">
        <f>ADDRESS(ROW('PAYG 1'!$B$28),COLUMN('PAYG 1'!$B$28),4)</f>
        <v>B28</v>
      </c>
      <c r="C4333" t="str">
        <f>ADDRESS(ROW('PAYG 1'!$D$28),COLUMN('PAYG 1'!$D$28),4)</f>
        <v>D28</v>
      </c>
      <c r="D4333" t="b" cm="1">
        <f t="array" aca="1" ref="D4333" ca="1">IF(INDIRECT("'"&amp;A4333&amp;"'!"&amp;B4333)="",FALSE,IF(TRUNC(INDIRECT("'"&amp;A4333&amp;"'!"&amp;B4333))=INDIRECT("'"&amp;A4333&amp;"'!"&amp;B4333),FALSE,TRUE))</f>
        <v>0</v>
      </c>
      <c r="E4333" t="s">
        <v>436</v>
      </c>
      <c r="F4333" t="str">
        <f>INDEX(Lists!I:I,MATCH(Validation!E4333,Lists!G:G,0))</f>
        <v>Error</v>
      </c>
      <c r="G4333" t="str">
        <f>INDEX(Lists!H:H,MATCH(Validation!E4333,Lists!G:G,0))</f>
        <v>Amount must be rounded to the nearest dollar.</v>
      </c>
      <c r="H4333" s="25" t="str">
        <f t="shared" ca="1" si="447"/>
        <v/>
      </c>
      <c r="I4333" s="25" t="str">
        <f t="shared" ca="1" si="448"/>
        <v/>
      </c>
      <c r="J4333" s="26" t="str">
        <f t="shared" ca="1" si="449"/>
        <v/>
      </c>
    </row>
    <row r="4334" spans="1:10" x14ac:dyDescent="0.25">
      <c r="A4334" t="s">
        <v>653</v>
      </c>
      <c r="B4334" t="str">
        <f>ADDRESS(ROW('PAYG 1'!$B$28),COLUMN('PAYG 1'!$B$28),4)</f>
        <v>B28</v>
      </c>
      <c r="C4334" t="str">
        <f>ADDRESS(ROW('PAYG 1'!$D$28),COLUMN('PAYG 1'!$D$28),4)</f>
        <v>D28</v>
      </c>
      <c r="D4334" t="b" cm="1">
        <f t="array" aca="1" ref="D4334" ca="1">IF(INDIRECT("'"&amp;A4334&amp;"'!"&amp;B4334)="",FALSE,IF(TRUNC(INDIRECT("'"&amp;A4334&amp;"'!"&amp;B4334))=INDIRECT("'"&amp;A4334&amp;"'!"&amp;B4334),FALSE,TRUE))</f>
        <v>0</v>
      </c>
      <c r="E4334" t="s">
        <v>436</v>
      </c>
      <c r="F4334" t="str">
        <f>INDEX(Lists!I:I,MATCH(Validation!E4334,Lists!G:G,0))</f>
        <v>Error</v>
      </c>
      <c r="G4334" t="str">
        <f>INDEX(Lists!H:H,MATCH(Validation!E4334,Lists!G:G,0))</f>
        <v>Amount must be rounded to the nearest dollar.</v>
      </c>
      <c r="H4334" s="25" t="str">
        <f t="shared" ca="1" si="447"/>
        <v/>
      </c>
      <c r="I4334" s="25" t="str">
        <f t="shared" ca="1" si="448"/>
        <v/>
      </c>
      <c r="J4334" s="26" t="str">
        <f t="shared" ca="1" si="449"/>
        <v/>
      </c>
    </row>
    <row r="4335" spans="1:10" x14ac:dyDescent="0.25">
      <c r="A4335" t="s">
        <v>654</v>
      </c>
      <c r="B4335" t="str">
        <f>ADDRESS(ROW('PAYG 1'!$B$28),COLUMN('PAYG 1'!$B$28),4)</f>
        <v>B28</v>
      </c>
      <c r="C4335" t="str">
        <f>ADDRESS(ROW('PAYG 1'!$D$28),COLUMN('PAYG 1'!$D$28),4)</f>
        <v>D28</v>
      </c>
      <c r="D4335" t="b" cm="1">
        <f t="array" aca="1" ref="D4335" ca="1">IF(INDIRECT("'"&amp;A4335&amp;"'!"&amp;B4335)="",FALSE,IF(TRUNC(INDIRECT("'"&amp;A4335&amp;"'!"&amp;B4335))=INDIRECT("'"&amp;A4335&amp;"'!"&amp;B4335),FALSE,TRUE))</f>
        <v>0</v>
      </c>
      <c r="E4335" t="s">
        <v>436</v>
      </c>
      <c r="F4335" t="str">
        <f>INDEX(Lists!I:I,MATCH(Validation!E4335,Lists!G:G,0))</f>
        <v>Error</v>
      </c>
      <c r="G4335" t="str">
        <f>INDEX(Lists!H:H,MATCH(Validation!E4335,Lists!G:G,0))</f>
        <v>Amount must be rounded to the nearest dollar.</v>
      </c>
      <c r="H4335" s="25" t="str">
        <f t="shared" ca="1" si="447"/>
        <v/>
      </c>
      <c r="I4335" s="25" t="str">
        <f t="shared" ca="1" si="448"/>
        <v/>
      </c>
      <c r="J4335" s="26" t="str">
        <f t="shared" ca="1" si="449"/>
        <v/>
      </c>
    </row>
    <row r="4336" spans="1:10" x14ac:dyDescent="0.25">
      <c r="A4336" t="s">
        <v>655</v>
      </c>
      <c r="B4336" t="str">
        <f>ADDRESS(ROW('PAYG 1'!$B$28),COLUMN('PAYG 1'!$B$28),4)</f>
        <v>B28</v>
      </c>
      <c r="C4336" t="str">
        <f>ADDRESS(ROW('PAYG 1'!$D$28),COLUMN('PAYG 1'!$D$28),4)</f>
        <v>D28</v>
      </c>
      <c r="D4336" t="b" cm="1">
        <f t="array" aca="1" ref="D4336" ca="1">IF(INDIRECT("'"&amp;A4336&amp;"'!"&amp;B4336)="",FALSE,IF(TRUNC(INDIRECT("'"&amp;A4336&amp;"'!"&amp;B4336))=INDIRECT("'"&amp;A4336&amp;"'!"&amp;B4336),FALSE,TRUE))</f>
        <v>0</v>
      </c>
      <c r="E4336" t="s">
        <v>436</v>
      </c>
      <c r="F4336" t="str">
        <f>INDEX(Lists!I:I,MATCH(Validation!E4336,Lists!G:G,0))</f>
        <v>Error</v>
      </c>
      <c r="G4336" t="str">
        <f>INDEX(Lists!H:H,MATCH(Validation!E4336,Lists!G:G,0))</f>
        <v>Amount must be rounded to the nearest dollar.</v>
      </c>
      <c r="H4336" s="25" t="str">
        <f t="shared" ca="1" si="447"/>
        <v/>
      </c>
      <c r="I4336" s="25" t="str">
        <f t="shared" ca="1" si="448"/>
        <v/>
      </c>
      <c r="J4336" s="26" t="str">
        <f t="shared" ca="1" si="449"/>
        <v/>
      </c>
    </row>
    <row r="4337" spans="1:10" x14ac:dyDescent="0.25">
      <c r="A4337" t="s">
        <v>656</v>
      </c>
      <c r="B4337" t="str">
        <f>ADDRESS(ROW('PAYG 1'!$B$28),COLUMN('PAYG 1'!$B$28),4)</f>
        <v>B28</v>
      </c>
      <c r="C4337" t="str">
        <f>ADDRESS(ROW('PAYG 1'!$D$28),COLUMN('PAYG 1'!$D$28),4)</f>
        <v>D28</v>
      </c>
      <c r="D4337" t="b" cm="1">
        <f t="array" aca="1" ref="D4337" ca="1">IF(INDIRECT("'"&amp;A4337&amp;"'!"&amp;B4337)="",FALSE,IF(TRUNC(INDIRECT("'"&amp;A4337&amp;"'!"&amp;B4337))=INDIRECT("'"&amp;A4337&amp;"'!"&amp;B4337),FALSE,TRUE))</f>
        <v>0</v>
      </c>
      <c r="E4337" t="s">
        <v>436</v>
      </c>
      <c r="F4337" t="str">
        <f>INDEX(Lists!I:I,MATCH(Validation!E4337,Lists!G:G,0))</f>
        <v>Error</v>
      </c>
      <c r="G4337" t="str">
        <f>INDEX(Lists!H:H,MATCH(Validation!E4337,Lists!G:G,0))</f>
        <v>Amount must be rounded to the nearest dollar.</v>
      </c>
      <c r="H4337" s="25" t="str">
        <f t="shared" ca="1" si="447"/>
        <v/>
      </c>
      <c r="I4337" s="25" t="str">
        <f t="shared" ca="1" si="448"/>
        <v/>
      </c>
      <c r="J4337" s="26" t="str">
        <f t="shared" ca="1" si="449"/>
        <v/>
      </c>
    </row>
    <row r="4338" spans="1:10" x14ac:dyDescent="0.25">
      <c r="A4338" t="s">
        <v>657</v>
      </c>
      <c r="B4338" t="str">
        <f>ADDRESS(ROW('PAYG 1'!$B$28),COLUMN('PAYG 1'!$B$28),4)</f>
        <v>B28</v>
      </c>
      <c r="C4338" t="str">
        <f>ADDRESS(ROW('PAYG 1'!$D$28),COLUMN('PAYG 1'!$D$28),4)</f>
        <v>D28</v>
      </c>
      <c r="D4338" t="b" cm="1">
        <f t="array" aca="1" ref="D4338" ca="1">IF(INDIRECT("'"&amp;A4338&amp;"'!"&amp;B4338)="",FALSE,IF(TRUNC(INDIRECT("'"&amp;A4338&amp;"'!"&amp;B4338))=INDIRECT("'"&amp;A4338&amp;"'!"&amp;B4338),FALSE,TRUE))</f>
        <v>0</v>
      </c>
      <c r="E4338" t="s">
        <v>436</v>
      </c>
      <c r="F4338" t="str">
        <f>INDEX(Lists!I:I,MATCH(Validation!E4338,Lists!G:G,0))</f>
        <v>Error</v>
      </c>
      <c r="G4338" t="str">
        <f>INDEX(Lists!H:H,MATCH(Validation!E4338,Lists!G:G,0))</f>
        <v>Amount must be rounded to the nearest dollar.</v>
      </c>
      <c r="H4338" s="25" t="str">
        <f t="shared" ca="1" si="447"/>
        <v/>
      </c>
      <c r="I4338" s="25" t="str">
        <f t="shared" ca="1" si="448"/>
        <v/>
      </c>
      <c r="J4338" s="26" t="str">
        <f t="shared" ca="1" si="449"/>
        <v/>
      </c>
    </row>
    <row r="4339" spans="1:10" x14ac:dyDescent="0.25">
      <c r="A4339" t="s">
        <v>658</v>
      </c>
      <c r="B4339" t="str">
        <f>ADDRESS(ROW('PAYG 1'!$B$28),COLUMN('PAYG 1'!$B$28),4)</f>
        <v>B28</v>
      </c>
      <c r="C4339" t="str">
        <f>ADDRESS(ROW('PAYG 1'!$D$28),COLUMN('PAYG 1'!$D$28),4)</f>
        <v>D28</v>
      </c>
      <c r="D4339" t="b" cm="1">
        <f t="array" aca="1" ref="D4339" ca="1">IF(INDIRECT("'"&amp;A4339&amp;"'!"&amp;B4339)="",FALSE,IF(TRUNC(INDIRECT("'"&amp;A4339&amp;"'!"&amp;B4339))=INDIRECT("'"&amp;A4339&amp;"'!"&amp;B4339),FALSE,TRUE))</f>
        <v>0</v>
      </c>
      <c r="E4339" t="s">
        <v>436</v>
      </c>
      <c r="F4339" t="str">
        <f>INDEX(Lists!I:I,MATCH(Validation!E4339,Lists!G:G,0))</f>
        <v>Error</v>
      </c>
      <c r="G4339" t="str">
        <f>INDEX(Lists!H:H,MATCH(Validation!E4339,Lists!G:G,0))</f>
        <v>Amount must be rounded to the nearest dollar.</v>
      </c>
      <c r="H4339" s="25" t="str">
        <f t="shared" ca="1" si="447"/>
        <v/>
      </c>
      <c r="I4339" s="25" t="str">
        <f t="shared" ca="1" si="448"/>
        <v/>
      </c>
      <c r="J4339" s="26" t="str">
        <f t="shared" ca="1" si="449"/>
        <v/>
      </c>
    </row>
    <row r="4340" spans="1:10" x14ac:dyDescent="0.25">
      <c r="A4340" t="s">
        <v>659</v>
      </c>
      <c r="B4340" t="str">
        <f>ADDRESS(ROW('PAYG 1'!$B$28),COLUMN('PAYG 1'!$B$28),4)</f>
        <v>B28</v>
      </c>
      <c r="C4340" t="str">
        <f>ADDRESS(ROW('PAYG 1'!$D$28),COLUMN('PAYG 1'!$D$28),4)</f>
        <v>D28</v>
      </c>
      <c r="D4340" t="b" cm="1">
        <f t="array" aca="1" ref="D4340" ca="1">IF(INDIRECT("'"&amp;A4340&amp;"'!"&amp;B4340)="",FALSE,IF(TRUNC(INDIRECT("'"&amp;A4340&amp;"'!"&amp;B4340))=INDIRECT("'"&amp;A4340&amp;"'!"&amp;B4340),FALSE,TRUE))</f>
        <v>0</v>
      </c>
      <c r="E4340" t="s">
        <v>436</v>
      </c>
      <c r="F4340" t="str">
        <f>INDEX(Lists!I:I,MATCH(Validation!E4340,Lists!G:G,0))</f>
        <v>Error</v>
      </c>
      <c r="G4340" t="str">
        <f>INDEX(Lists!H:H,MATCH(Validation!E4340,Lists!G:G,0))</f>
        <v>Amount must be rounded to the nearest dollar.</v>
      </c>
      <c r="H4340" s="25" t="str">
        <f t="shared" ca="1" si="447"/>
        <v/>
      </c>
      <c r="I4340" s="25" t="str">
        <f t="shared" ca="1" si="448"/>
        <v/>
      </c>
      <c r="J4340" s="26" t="str">
        <f t="shared" ca="1" si="449"/>
        <v/>
      </c>
    </row>
    <row r="4341" spans="1:10" x14ac:dyDescent="0.25">
      <c r="A4341" t="s">
        <v>660</v>
      </c>
      <c r="B4341" t="str">
        <f>ADDRESS(ROW('PAYG 1'!$B$28),COLUMN('PAYG 1'!$B$28),4)</f>
        <v>B28</v>
      </c>
      <c r="C4341" t="str">
        <f>ADDRESS(ROW('PAYG 1'!$D$28),COLUMN('PAYG 1'!$D$28),4)</f>
        <v>D28</v>
      </c>
      <c r="D4341" t="b" cm="1">
        <f t="array" aca="1" ref="D4341" ca="1">IF(INDIRECT("'"&amp;A4341&amp;"'!"&amp;B4341)="",FALSE,IF(TRUNC(INDIRECT("'"&amp;A4341&amp;"'!"&amp;B4341))=INDIRECT("'"&amp;A4341&amp;"'!"&amp;B4341),FALSE,TRUE))</f>
        <v>0</v>
      </c>
      <c r="E4341" t="s">
        <v>436</v>
      </c>
      <c r="F4341" t="str">
        <f>INDEX(Lists!I:I,MATCH(Validation!E4341,Lists!G:G,0))</f>
        <v>Error</v>
      </c>
      <c r="G4341" t="str">
        <f>INDEX(Lists!H:H,MATCH(Validation!E4341,Lists!G:G,0))</f>
        <v>Amount must be rounded to the nearest dollar.</v>
      </c>
      <c r="H4341" s="25" t="str">
        <f t="shared" ca="1" si="447"/>
        <v/>
      </c>
      <c r="I4341" s="25" t="str">
        <f t="shared" ca="1" si="448"/>
        <v/>
      </c>
      <c r="J4341" s="26" t="str">
        <f t="shared" ca="1" si="449"/>
        <v/>
      </c>
    </row>
    <row r="4342" spans="1:10" x14ac:dyDescent="0.25">
      <c r="A4342" t="s">
        <v>661</v>
      </c>
      <c r="B4342" t="str">
        <f>ADDRESS(ROW('PAYG 1'!$B$28),COLUMN('PAYG 1'!$B$28),4)</f>
        <v>B28</v>
      </c>
      <c r="C4342" t="str">
        <f>ADDRESS(ROW('PAYG 1'!$D$28),COLUMN('PAYG 1'!$D$28),4)</f>
        <v>D28</v>
      </c>
      <c r="D4342" t="b" cm="1">
        <f t="array" aca="1" ref="D4342" ca="1">IF(INDIRECT("'"&amp;A4342&amp;"'!"&amp;B4342)="",FALSE,IF(TRUNC(INDIRECT("'"&amp;A4342&amp;"'!"&amp;B4342))=INDIRECT("'"&amp;A4342&amp;"'!"&amp;B4342),FALSE,TRUE))</f>
        <v>0</v>
      </c>
      <c r="E4342" t="s">
        <v>436</v>
      </c>
      <c r="F4342" t="str">
        <f>INDEX(Lists!I:I,MATCH(Validation!E4342,Lists!G:G,0))</f>
        <v>Error</v>
      </c>
      <c r="G4342" t="str">
        <f>INDEX(Lists!H:H,MATCH(Validation!E4342,Lists!G:G,0))</f>
        <v>Amount must be rounded to the nearest dollar.</v>
      </c>
      <c r="H4342" s="25" t="str">
        <f t="shared" ca="1" si="447"/>
        <v/>
      </c>
      <c r="I4342" s="25" t="str">
        <f t="shared" ca="1" si="448"/>
        <v/>
      </c>
      <c r="J4342" s="26" t="str">
        <f t="shared" ca="1" si="449"/>
        <v/>
      </c>
    </row>
    <row r="4343" spans="1:10" x14ac:dyDescent="0.25">
      <c r="A4343" t="s">
        <v>662</v>
      </c>
      <c r="B4343" t="str">
        <f>ADDRESS(ROW('PAYG 1'!$B$28),COLUMN('PAYG 1'!$B$28),4)</f>
        <v>B28</v>
      </c>
      <c r="C4343" t="str">
        <f>ADDRESS(ROW('PAYG 1'!$D$28),COLUMN('PAYG 1'!$D$28),4)</f>
        <v>D28</v>
      </c>
      <c r="D4343" t="b" cm="1">
        <f t="array" aca="1" ref="D4343" ca="1">IF(INDIRECT("'"&amp;A4343&amp;"'!"&amp;B4343)="",FALSE,IF(TRUNC(INDIRECT("'"&amp;A4343&amp;"'!"&amp;B4343))=INDIRECT("'"&amp;A4343&amp;"'!"&amp;B4343),FALSE,TRUE))</f>
        <v>0</v>
      </c>
      <c r="E4343" t="s">
        <v>436</v>
      </c>
      <c r="F4343" t="str">
        <f>INDEX(Lists!I:I,MATCH(Validation!E4343,Lists!G:G,0))</f>
        <v>Error</v>
      </c>
      <c r="G4343" t="str">
        <f>INDEX(Lists!H:H,MATCH(Validation!E4343,Lists!G:G,0))</f>
        <v>Amount must be rounded to the nearest dollar.</v>
      </c>
      <c r="H4343" s="25" t="str">
        <f t="shared" ca="1" si="447"/>
        <v/>
      </c>
      <c r="I4343" s="25" t="str">
        <f t="shared" ca="1" si="448"/>
        <v/>
      </c>
      <c r="J4343" s="26" t="str">
        <f t="shared" ca="1" si="449"/>
        <v/>
      </c>
    </row>
    <row r="4344" spans="1:10" x14ac:dyDescent="0.25">
      <c r="A4344" t="s">
        <v>663</v>
      </c>
      <c r="B4344" t="str">
        <f>ADDRESS(ROW('PAYG 1'!$B$28),COLUMN('PAYG 1'!$B$28),4)</f>
        <v>B28</v>
      </c>
      <c r="C4344" t="str">
        <f>ADDRESS(ROW('PAYG 1'!$D$28),COLUMN('PAYG 1'!$D$28),4)</f>
        <v>D28</v>
      </c>
      <c r="D4344" t="b" cm="1">
        <f t="array" aca="1" ref="D4344" ca="1">IF(INDIRECT("'"&amp;A4344&amp;"'!"&amp;B4344)="",FALSE,IF(TRUNC(INDIRECT("'"&amp;A4344&amp;"'!"&amp;B4344))=INDIRECT("'"&amp;A4344&amp;"'!"&amp;B4344),FALSE,TRUE))</f>
        <v>0</v>
      </c>
      <c r="E4344" t="s">
        <v>436</v>
      </c>
      <c r="F4344" t="str">
        <f>INDEX(Lists!I:I,MATCH(Validation!E4344,Lists!G:G,0))</f>
        <v>Error</v>
      </c>
      <c r="G4344" t="str">
        <f>INDEX(Lists!H:H,MATCH(Validation!E4344,Lists!G:G,0))</f>
        <v>Amount must be rounded to the nearest dollar.</v>
      </c>
      <c r="H4344" s="25" t="str">
        <f t="shared" ca="1" si="447"/>
        <v/>
      </c>
      <c r="I4344" s="25" t="str">
        <f t="shared" ca="1" si="448"/>
        <v/>
      </c>
      <c r="J4344" s="26" t="str">
        <f t="shared" ca="1" si="449"/>
        <v/>
      </c>
    </row>
    <row r="4345" spans="1:10" x14ac:dyDescent="0.25">
      <c r="A4345" t="s">
        <v>664</v>
      </c>
      <c r="B4345" t="str">
        <f>ADDRESS(ROW('PAYG 1'!$B$28),COLUMN('PAYG 1'!$B$28),4)</f>
        <v>B28</v>
      </c>
      <c r="C4345" t="str">
        <f>ADDRESS(ROW('PAYG 1'!$D$28),COLUMN('PAYG 1'!$D$28),4)</f>
        <v>D28</v>
      </c>
      <c r="D4345" t="b" cm="1">
        <f t="array" aca="1" ref="D4345" ca="1">IF(INDIRECT("'"&amp;A4345&amp;"'!"&amp;B4345)="",FALSE,IF(TRUNC(INDIRECT("'"&amp;A4345&amp;"'!"&amp;B4345))=INDIRECT("'"&amp;A4345&amp;"'!"&amp;B4345),FALSE,TRUE))</f>
        <v>0</v>
      </c>
      <c r="E4345" t="s">
        <v>436</v>
      </c>
      <c r="F4345" t="str">
        <f>INDEX(Lists!I:I,MATCH(Validation!E4345,Lists!G:G,0))</f>
        <v>Error</v>
      </c>
      <c r="G4345" t="str">
        <f>INDEX(Lists!H:H,MATCH(Validation!E4345,Lists!G:G,0))</f>
        <v>Amount must be rounded to the nearest dollar.</v>
      </c>
      <c r="H4345" s="25" t="str">
        <f t="shared" ca="1" si="447"/>
        <v/>
      </c>
      <c r="I4345" s="25" t="str">
        <f t="shared" ca="1" si="448"/>
        <v/>
      </c>
      <c r="J4345" s="26" t="str">
        <f t="shared" ca="1" si="449"/>
        <v/>
      </c>
    </row>
    <row r="4346" spans="1:10" x14ac:dyDescent="0.25">
      <c r="A4346" t="s">
        <v>203</v>
      </c>
      <c r="B4346" t="str">
        <f>ADDRESS(ROW('PAYG 1'!$B$28),COLUMN('PAYG 1'!$B$28),4)</f>
        <v>B28</v>
      </c>
      <c r="C4346" t="str">
        <f>ADDRESS(ROW('PAYG 1'!$D$28),COLUMN('PAYG 1'!$D$28),4)</f>
        <v>D28</v>
      </c>
      <c r="D4346" t="b" cm="1">
        <f t="array" aca="1" ref="D4346" ca="1">IF(AND(NOT(ISBLANK('PAYG Input'!C$36)),INDIRECT("'"&amp;A4346&amp;"'!"&amp;B4346)&lt;&gt;'PAYG Input'!C$36),TRUE,FALSE)</f>
        <v>0</v>
      </c>
      <c r="E4346" t="s">
        <v>634</v>
      </c>
      <c r="F4346" t="str">
        <f>INDEX(Lists!I:I,MATCH(Validation!E4346,Lists!G:G,0))</f>
        <v>Alert</v>
      </c>
      <c r="G4346" t="str">
        <f>INDEX(Lists!H:H,MATCH(Validation!E4346,Lists!G:G,0))</f>
        <v>You have changed previously reported data. Explain in the comments box.</v>
      </c>
      <c r="H4346" s="25" t="str">
        <f t="shared" ca="1" si="447"/>
        <v/>
      </c>
      <c r="I4346" s="25" t="str">
        <f t="shared" ca="1" si="448"/>
        <v/>
      </c>
      <c r="J4346" s="26" t="str">
        <f t="shared" ca="1" si="449"/>
        <v/>
      </c>
    </row>
    <row r="4347" spans="1:10" x14ac:dyDescent="0.25">
      <c r="A4347" t="s">
        <v>651</v>
      </c>
      <c r="B4347" t="str">
        <f>ADDRESS(ROW('PAYG 1'!$B$28),COLUMN('PAYG 1'!$B$28),4)</f>
        <v>B28</v>
      </c>
      <c r="C4347" t="str">
        <f>ADDRESS(ROW('PAYG 1'!$D$28),COLUMN('PAYG 1'!$D$28),4)</f>
        <v>D28</v>
      </c>
      <c r="D4347" t="b" cm="1">
        <f t="array" aca="1" ref="D4347" ca="1">IF(AND(NOT(ISBLANK('PAYG Input'!D$36)),INDIRECT("'"&amp;A4347&amp;"'!"&amp;B4347)&lt;&gt;'PAYG Input'!D$36),TRUE,FALSE)</f>
        <v>0</v>
      </c>
      <c r="E4347" t="s">
        <v>634</v>
      </c>
      <c r="F4347" t="str">
        <f>INDEX(Lists!I:I,MATCH(Validation!E4347,Lists!G:G,0))</f>
        <v>Alert</v>
      </c>
      <c r="G4347" t="str">
        <f>INDEX(Lists!H:H,MATCH(Validation!E4347,Lists!G:G,0))</f>
        <v>You have changed previously reported data. Explain in the comments box.</v>
      </c>
      <c r="H4347" s="25" t="str">
        <f t="shared" ca="1" si="447"/>
        <v/>
      </c>
      <c r="I4347" s="25" t="str">
        <f t="shared" ca="1" si="448"/>
        <v/>
      </c>
      <c r="J4347" s="26" t="str">
        <f t="shared" ca="1" si="449"/>
        <v/>
      </c>
    </row>
    <row r="4348" spans="1:10" x14ac:dyDescent="0.25">
      <c r="A4348" t="s">
        <v>652</v>
      </c>
      <c r="B4348" t="str">
        <f>ADDRESS(ROW('PAYG 1'!$B$28),COLUMN('PAYG 1'!$B$28),4)</f>
        <v>B28</v>
      </c>
      <c r="C4348" t="str">
        <f>ADDRESS(ROW('PAYG 1'!$D$28),COLUMN('PAYG 1'!$D$28),4)</f>
        <v>D28</v>
      </c>
      <c r="D4348" t="b" cm="1">
        <f t="array" aca="1" ref="D4348" ca="1">IF(AND(NOT(ISBLANK('PAYG Input'!E$36)),INDIRECT("'"&amp;A4348&amp;"'!"&amp;B4348)&lt;&gt;'PAYG Input'!E$36),TRUE,FALSE)</f>
        <v>0</v>
      </c>
      <c r="E4348" t="s">
        <v>634</v>
      </c>
      <c r="F4348" t="str">
        <f>INDEX(Lists!I:I,MATCH(Validation!E4348,Lists!G:G,0))</f>
        <v>Alert</v>
      </c>
      <c r="G4348" t="str">
        <f>INDEX(Lists!H:H,MATCH(Validation!E4348,Lists!G:G,0))</f>
        <v>You have changed previously reported data. Explain in the comments box.</v>
      </c>
      <c r="H4348" s="25" t="str">
        <f t="shared" ca="1" si="447"/>
        <v/>
      </c>
      <c r="I4348" s="25" t="str">
        <f t="shared" ca="1" si="448"/>
        <v/>
      </c>
      <c r="J4348" s="26" t="str">
        <f t="shared" ca="1" si="449"/>
        <v/>
      </c>
    </row>
    <row r="4349" spans="1:10" x14ac:dyDescent="0.25">
      <c r="A4349" t="s">
        <v>653</v>
      </c>
      <c r="B4349" t="str">
        <f>ADDRESS(ROW('PAYG 1'!$B$28),COLUMN('PAYG 1'!$B$28),4)</f>
        <v>B28</v>
      </c>
      <c r="C4349" t="str">
        <f>ADDRESS(ROW('PAYG 1'!$D$28),COLUMN('PAYG 1'!$D$28),4)</f>
        <v>D28</v>
      </c>
      <c r="D4349" t="b" cm="1">
        <f t="array" aca="1" ref="D4349" ca="1">IF(AND(NOT(ISBLANK('PAYG Input'!F$36)),INDIRECT("'"&amp;A4349&amp;"'!"&amp;B4349)&lt;&gt;'PAYG Input'!F$36),TRUE,FALSE)</f>
        <v>0</v>
      </c>
      <c r="E4349" t="s">
        <v>634</v>
      </c>
      <c r="F4349" t="str">
        <f>INDEX(Lists!I:I,MATCH(Validation!E4349,Lists!G:G,0))</f>
        <v>Alert</v>
      </c>
      <c r="G4349" t="str">
        <f>INDEX(Lists!H:H,MATCH(Validation!E4349,Lists!G:G,0))</f>
        <v>You have changed previously reported data. Explain in the comments box.</v>
      </c>
      <c r="H4349" s="25" t="str">
        <f t="shared" ca="1" si="447"/>
        <v/>
      </c>
      <c r="I4349" s="25" t="str">
        <f t="shared" ca="1" si="448"/>
        <v/>
      </c>
      <c r="J4349" s="26" t="str">
        <f t="shared" ca="1" si="449"/>
        <v/>
      </c>
    </row>
    <row r="4350" spans="1:10" x14ac:dyDescent="0.25">
      <c r="A4350" t="s">
        <v>654</v>
      </c>
      <c r="B4350" t="str">
        <f>ADDRESS(ROW('PAYG 1'!$B$28),COLUMN('PAYG 1'!$B$28),4)</f>
        <v>B28</v>
      </c>
      <c r="C4350" t="str">
        <f>ADDRESS(ROW('PAYG 1'!$D$28),COLUMN('PAYG 1'!$D$28),4)</f>
        <v>D28</v>
      </c>
      <c r="D4350" t="b" cm="1">
        <f t="array" aca="1" ref="D4350" ca="1">IF(AND(NOT(ISBLANK('PAYG Input'!G$36)),INDIRECT("'"&amp;A4350&amp;"'!"&amp;B4350)&lt;&gt;'PAYG Input'!G$36),TRUE,FALSE)</f>
        <v>0</v>
      </c>
      <c r="E4350" t="s">
        <v>634</v>
      </c>
      <c r="F4350" t="str">
        <f>INDEX(Lists!I:I,MATCH(Validation!E4350,Lists!G:G,0))</f>
        <v>Alert</v>
      </c>
      <c r="G4350" t="str">
        <f>INDEX(Lists!H:H,MATCH(Validation!E4350,Lists!G:G,0))</f>
        <v>You have changed previously reported data. Explain in the comments box.</v>
      </c>
      <c r="H4350" s="25" t="str">
        <f t="shared" ref="H4350:H4360" ca="1" si="450">IFERROR(IF(OR(NOT(D4350),F4350&lt;&gt;"Error"),"",A4350&amp;CELL("address",INDIRECT(B4350))),"")</f>
        <v/>
      </c>
      <c r="I4350" s="25" t="str">
        <f t="shared" ref="I4350:I4360" ca="1" si="451">IFERROR(IF(NOT(D4350),"",A4350&amp;CELL("address",INDIRECT(C4350))),"")</f>
        <v/>
      </c>
      <c r="J4350" s="26" t="str">
        <f t="shared" ref="J4350:J4360" ca="1" si="452">IFERROR(IF(NOT(D4350),"",A4350),"")</f>
        <v/>
      </c>
    </row>
    <row r="4351" spans="1:10" x14ac:dyDescent="0.25">
      <c r="A4351" t="s">
        <v>655</v>
      </c>
      <c r="B4351" t="str">
        <f>ADDRESS(ROW('PAYG 1'!$B$28),COLUMN('PAYG 1'!$B$28),4)</f>
        <v>B28</v>
      </c>
      <c r="C4351" t="str">
        <f>ADDRESS(ROW('PAYG 1'!$D$28),COLUMN('PAYG 1'!$D$28),4)</f>
        <v>D28</v>
      </c>
      <c r="D4351" t="b" cm="1">
        <f t="array" aca="1" ref="D4351" ca="1">IF(AND(NOT(ISBLANK('PAYG Input'!H$36)),INDIRECT("'"&amp;A4351&amp;"'!"&amp;B4351)&lt;&gt;'PAYG Input'!H$36),TRUE,FALSE)</f>
        <v>0</v>
      </c>
      <c r="E4351" t="s">
        <v>634</v>
      </c>
      <c r="F4351" t="str">
        <f>INDEX(Lists!I:I,MATCH(Validation!E4351,Lists!G:G,0))</f>
        <v>Alert</v>
      </c>
      <c r="G4351" t="str">
        <f>INDEX(Lists!H:H,MATCH(Validation!E4351,Lists!G:G,0))</f>
        <v>You have changed previously reported data. Explain in the comments box.</v>
      </c>
      <c r="H4351" s="25" t="str">
        <f t="shared" ca="1" si="450"/>
        <v/>
      </c>
      <c r="I4351" s="25" t="str">
        <f t="shared" ca="1" si="451"/>
        <v/>
      </c>
      <c r="J4351" s="26" t="str">
        <f t="shared" ca="1" si="452"/>
        <v/>
      </c>
    </row>
    <row r="4352" spans="1:10" x14ac:dyDescent="0.25">
      <c r="A4352" t="s">
        <v>656</v>
      </c>
      <c r="B4352" t="str">
        <f>ADDRESS(ROW('PAYG 1'!$B$28),COLUMN('PAYG 1'!$B$28),4)</f>
        <v>B28</v>
      </c>
      <c r="C4352" t="str">
        <f>ADDRESS(ROW('PAYG 1'!$D$28),COLUMN('PAYG 1'!$D$28),4)</f>
        <v>D28</v>
      </c>
      <c r="D4352" t="b" cm="1">
        <f t="array" aca="1" ref="D4352" ca="1">IF(AND(NOT(ISBLANK('PAYG Input'!I$36)),INDIRECT("'"&amp;A4352&amp;"'!"&amp;B4352)&lt;&gt;'PAYG Input'!I$36),TRUE,FALSE)</f>
        <v>0</v>
      </c>
      <c r="E4352" t="s">
        <v>634</v>
      </c>
      <c r="F4352" t="str">
        <f>INDEX(Lists!I:I,MATCH(Validation!E4352,Lists!G:G,0))</f>
        <v>Alert</v>
      </c>
      <c r="G4352" t="str">
        <f>INDEX(Lists!H:H,MATCH(Validation!E4352,Lists!G:G,0))</f>
        <v>You have changed previously reported data. Explain in the comments box.</v>
      </c>
      <c r="H4352" s="25" t="str">
        <f t="shared" ca="1" si="450"/>
        <v/>
      </c>
      <c r="I4352" s="25" t="str">
        <f t="shared" ca="1" si="451"/>
        <v/>
      </c>
      <c r="J4352" s="26" t="str">
        <f t="shared" ca="1" si="452"/>
        <v/>
      </c>
    </row>
    <row r="4353" spans="1:10" x14ac:dyDescent="0.25">
      <c r="A4353" t="s">
        <v>657</v>
      </c>
      <c r="B4353" t="str">
        <f>ADDRESS(ROW('PAYG 1'!$B$28),COLUMN('PAYG 1'!$B$28),4)</f>
        <v>B28</v>
      </c>
      <c r="C4353" t="str">
        <f>ADDRESS(ROW('PAYG 1'!$D$28),COLUMN('PAYG 1'!$D$28),4)</f>
        <v>D28</v>
      </c>
      <c r="D4353" t="b" cm="1">
        <f t="array" aca="1" ref="D4353" ca="1">IF(AND(NOT(ISBLANK('PAYG Input'!J$36)),INDIRECT("'"&amp;A4353&amp;"'!"&amp;B4353)&lt;&gt;'PAYG Input'!J$36),TRUE,FALSE)</f>
        <v>0</v>
      </c>
      <c r="E4353" t="s">
        <v>634</v>
      </c>
      <c r="F4353" t="str">
        <f>INDEX(Lists!I:I,MATCH(Validation!E4353,Lists!G:G,0))</f>
        <v>Alert</v>
      </c>
      <c r="G4353" t="str">
        <f>INDEX(Lists!H:H,MATCH(Validation!E4353,Lists!G:G,0))</f>
        <v>You have changed previously reported data. Explain in the comments box.</v>
      </c>
      <c r="H4353" s="25" t="str">
        <f t="shared" ca="1" si="450"/>
        <v/>
      </c>
      <c r="I4353" s="25" t="str">
        <f t="shared" ca="1" si="451"/>
        <v/>
      </c>
      <c r="J4353" s="26" t="str">
        <f t="shared" ca="1" si="452"/>
        <v/>
      </c>
    </row>
    <row r="4354" spans="1:10" x14ac:dyDescent="0.25">
      <c r="A4354" t="s">
        <v>658</v>
      </c>
      <c r="B4354" t="str">
        <f>ADDRESS(ROW('PAYG 1'!$B$28),COLUMN('PAYG 1'!$B$28),4)</f>
        <v>B28</v>
      </c>
      <c r="C4354" t="str">
        <f>ADDRESS(ROW('PAYG 1'!$D$28),COLUMN('PAYG 1'!$D$28),4)</f>
        <v>D28</v>
      </c>
      <c r="D4354" t="b" cm="1">
        <f t="array" aca="1" ref="D4354" ca="1">IF(AND(NOT(ISBLANK('PAYG Input'!K$36)),INDIRECT("'"&amp;A4354&amp;"'!"&amp;B4354)&lt;&gt;'PAYG Input'!K$36),TRUE,FALSE)</f>
        <v>0</v>
      </c>
      <c r="E4354" t="s">
        <v>634</v>
      </c>
      <c r="F4354" t="str">
        <f>INDEX(Lists!I:I,MATCH(Validation!E4354,Lists!G:G,0))</f>
        <v>Alert</v>
      </c>
      <c r="G4354" t="str">
        <f>INDEX(Lists!H:H,MATCH(Validation!E4354,Lists!G:G,0))</f>
        <v>You have changed previously reported data. Explain in the comments box.</v>
      </c>
      <c r="H4354" s="25" t="str">
        <f t="shared" ca="1" si="450"/>
        <v/>
      </c>
      <c r="I4354" s="25" t="str">
        <f t="shared" ca="1" si="451"/>
        <v/>
      </c>
      <c r="J4354" s="26" t="str">
        <f t="shared" ca="1" si="452"/>
        <v/>
      </c>
    </row>
    <row r="4355" spans="1:10" x14ac:dyDescent="0.25">
      <c r="A4355" t="s">
        <v>659</v>
      </c>
      <c r="B4355" t="str">
        <f>ADDRESS(ROW('PAYG 1'!$B$28),COLUMN('PAYG 1'!$B$28),4)</f>
        <v>B28</v>
      </c>
      <c r="C4355" t="str">
        <f>ADDRESS(ROW('PAYG 1'!$D$28),COLUMN('PAYG 1'!$D$28),4)</f>
        <v>D28</v>
      </c>
      <c r="D4355" t="b" cm="1">
        <f t="array" aca="1" ref="D4355" ca="1">IF(AND(NOT(ISBLANK('PAYG Input'!L$36)),INDIRECT("'"&amp;A4355&amp;"'!"&amp;B4355)&lt;&gt;'PAYG Input'!L$36),TRUE,FALSE)</f>
        <v>0</v>
      </c>
      <c r="E4355" t="s">
        <v>634</v>
      </c>
      <c r="F4355" t="str">
        <f>INDEX(Lists!I:I,MATCH(Validation!E4355,Lists!G:G,0))</f>
        <v>Alert</v>
      </c>
      <c r="G4355" t="str">
        <f>INDEX(Lists!H:H,MATCH(Validation!E4355,Lists!G:G,0))</f>
        <v>You have changed previously reported data. Explain in the comments box.</v>
      </c>
      <c r="H4355" s="25" t="str">
        <f t="shared" ca="1" si="450"/>
        <v/>
      </c>
      <c r="I4355" s="25" t="str">
        <f t="shared" ca="1" si="451"/>
        <v/>
      </c>
      <c r="J4355" s="26" t="str">
        <f t="shared" ca="1" si="452"/>
        <v/>
      </c>
    </row>
    <row r="4356" spans="1:10" x14ac:dyDescent="0.25">
      <c r="A4356" t="s">
        <v>660</v>
      </c>
      <c r="B4356" t="str">
        <f>ADDRESS(ROW('PAYG 1'!$B$28),COLUMN('PAYG 1'!$B$28),4)</f>
        <v>B28</v>
      </c>
      <c r="C4356" t="str">
        <f>ADDRESS(ROW('PAYG 1'!$D$28),COLUMN('PAYG 1'!$D$28),4)</f>
        <v>D28</v>
      </c>
      <c r="D4356" t="b" cm="1">
        <f t="array" aca="1" ref="D4356" ca="1">IF(AND(NOT(ISBLANK('PAYG Input'!M$36)),INDIRECT("'"&amp;A4356&amp;"'!"&amp;B4356)&lt;&gt;'PAYG Input'!M$36),TRUE,FALSE)</f>
        <v>0</v>
      </c>
      <c r="E4356" t="s">
        <v>634</v>
      </c>
      <c r="F4356" t="str">
        <f>INDEX(Lists!I:I,MATCH(Validation!E4356,Lists!G:G,0))</f>
        <v>Alert</v>
      </c>
      <c r="G4356" t="str">
        <f>INDEX(Lists!H:H,MATCH(Validation!E4356,Lists!G:G,0))</f>
        <v>You have changed previously reported data. Explain in the comments box.</v>
      </c>
      <c r="H4356" s="25" t="str">
        <f t="shared" ca="1" si="450"/>
        <v/>
      </c>
      <c r="I4356" s="25" t="str">
        <f t="shared" ca="1" si="451"/>
        <v/>
      </c>
      <c r="J4356" s="26" t="str">
        <f t="shared" ca="1" si="452"/>
        <v/>
      </c>
    </row>
    <row r="4357" spans="1:10" x14ac:dyDescent="0.25">
      <c r="A4357" t="s">
        <v>661</v>
      </c>
      <c r="B4357" t="str">
        <f>ADDRESS(ROW('PAYG 1'!$B$28),COLUMN('PAYG 1'!$B$28),4)</f>
        <v>B28</v>
      </c>
      <c r="C4357" t="str">
        <f>ADDRESS(ROW('PAYG 1'!$D$28),COLUMN('PAYG 1'!$D$28),4)</f>
        <v>D28</v>
      </c>
      <c r="D4357" t="b" cm="1">
        <f t="array" aca="1" ref="D4357" ca="1">IF(AND(NOT(ISBLANK('PAYG Input'!N$36)),INDIRECT("'"&amp;A4357&amp;"'!"&amp;B4357)&lt;&gt;'PAYG Input'!N$36),TRUE,FALSE)</f>
        <v>0</v>
      </c>
      <c r="E4357" t="s">
        <v>634</v>
      </c>
      <c r="F4357" t="str">
        <f>INDEX(Lists!I:I,MATCH(Validation!E4357,Lists!G:G,0))</f>
        <v>Alert</v>
      </c>
      <c r="G4357" t="str">
        <f>INDEX(Lists!H:H,MATCH(Validation!E4357,Lists!G:G,0))</f>
        <v>You have changed previously reported data. Explain in the comments box.</v>
      </c>
      <c r="H4357" s="25" t="str">
        <f t="shared" ca="1" si="450"/>
        <v/>
      </c>
      <c r="I4357" s="25" t="str">
        <f t="shared" ca="1" si="451"/>
        <v/>
      </c>
      <c r="J4357" s="26" t="str">
        <f t="shared" ca="1" si="452"/>
        <v/>
      </c>
    </row>
    <row r="4358" spans="1:10" x14ac:dyDescent="0.25">
      <c r="A4358" t="s">
        <v>662</v>
      </c>
      <c r="B4358" t="str">
        <f>ADDRESS(ROW('PAYG 1'!$B$28),COLUMN('PAYG 1'!$B$28),4)</f>
        <v>B28</v>
      </c>
      <c r="C4358" t="str">
        <f>ADDRESS(ROW('PAYG 1'!$D$28),COLUMN('PAYG 1'!$D$28),4)</f>
        <v>D28</v>
      </c>
      <c r="D4358" t="b" cm="1">
        <f t="array" aca="1" ref="D4358" ca="1">IF(AND(NOT(ISBLANK('PAYG Input'!O$36)),INDIRECT("'"&amp;A4358&amp;"'!"&amp;B4358)&lt;&gt;'PAYG Input'!O$36),TRUE,FALSE)</f>
        <v>0</v>
      </c>
      <c r="E4358" t="s">
        <v>634</v>
      </c>
      <c r="F4358" t="str">
        <f>INDEX(Lists!I:I,MATCH(Validation!E4358,Lists!G:G,0))</f>
        <v>Alert</v>
      </c>
      <c r="G4358" t="str">
        <f>INDEX(Lists!H:H,MATCH(Validation!E4358,Lists!G:G,0))</f>
        <v>You have changed previously reported data. Explain in the comments box.</v>
      </c>
      <c r="H4358" s="25" t="str">
        <f t="shared" ca="1" si="450"/>
        <v/>
      </c>
      <c r="I4358" s="25" t="str">
        <f t="shared" ca="1" si="451"/>
        <v/>
      </c>
      <c r="J4358" s="26" t="str">
        <f t="shared" ca="1" si="452"/>
        <v/>
      </c>
    </row>
    <row r="4359" spans="1:10" x14ac:dyDescent="0.25">
      <c r="A4359" t="s">
        <v>663</v>
      </c>
      <c r="B4359" t="str">
        <f>ADDRESS(ROW('PAYG 1'!$B$28),COLUMN('PAYG 1'!$B$28),4)</f>
        <v>B28</v>
      </c>
      <c r="C4359" t="str">
        <f>ADDRESS(ROW('PAYG 1'!$D$28),COLUMN('PAYG 1'!$D$28),4)</f>
        <v>D28</v>
      </c>
      <c r="D4359" t="b" cm="1">
        <f t="array" aca="1" ref="D4359" ca="1">IF(AND(NOT(ISBLANK('PAYG Input'!P$36)),INDIRECT("'"&amp;A4359&amp;"'!"&amp;B4359)&lt;&gt;'PAYG Input'!P$36),TRUE,FALSE)</f>
        <v>0</v>
      </c>
      <c r="E4359" t="s">
        <v>634</v>
      </c>
      <c r="F4359" t="str">
        <f>INDEX(Lists!I:I,MATCH(Validation!E4359,Lists!G:G,0))</f>
        <v>Alert</v>
      </c>
      <c r="G4359" t="str">
        <f>INDEX(Lists!H:H,MATCH(Validation!E4359,Lists!G:G,0))</f>
        <v>You have changed previously reported data. Explain in the comments box.</v>
      </c>
      <c r="H4359" s="25" t="str">
        <f t="shared" ca="1" si="450"/>
        <v/>
      </c>
      <c r="I4359" s="25" t="str">
        <f t="shared" ca="1" si="451"/>
        <v/>
      </c>
      <c r="J4359" s="26" t="str">
        <f t="shared" ca="1" si="452"/>
        <v/>
      </c>
    </row>
    <row r="4360" spans="1:10" x14ac:dyDescent="0.25">
      <c r="A4360" t="s">
        <v>664</v>
      </c>
      <c r="B4360" t="str">
        <f>ADDRESS(ROW('PAYG 1'!$B$28),COLUMN('PAYG 1'!$B$28),4)</f>
        <v>B28</v>
      </c>
      <c r="C4360" t="str">
        <f>ADDRESS(ROW('PAYG 1'!$D$28),COLUMN('PAYG 1'!$D$28),4)</f>
        <v>D28</v>
      </c>
      <c r="D4360" t="b" cm="1">
        <f t="array" aca="1" ref="D4360" ca="1">IF(AND(NOT(ISBLANK('PAYG Input'!Q$36)),INDIRECT("'"&amp;A4360&amp;"'!"&amp;B4360)&lt;&gt;'PAYG Input'!Q$36),TRUE,FALSE)</f>
        <v>0</v>
      </c>
      <c r="E4360" t="s">
        <v>634</v>
      </c>
      <c r="F4360" t="str">
        <f>INDEX(Lists!I:I,MATCH(Validation!E4360,Lists!G:G,0))</f>
        <v>Alert</v>
      </c>
      <c r="G4360" t="str">
        <f>INDEX(Lists!H:H,MATCH(Validation!E4360,Lists!G:G,0))</f>
        <v>You have changed previously reported data. Explain in the comments box.</v>
      </c>
      <c r="H4360" s="25" t="str">
        <f t="shared" ca="1" si="450"/>
        <v/>
      </c>
      <c r="I4360" s="25" t="str">
        <f t="shared" ca="1" si="451"/>
        <v/>
      </c>
      <c r="J4360" s="26" t="str">
        <f t="shared" ca="1" si="452"/>
        <v/>
      </c>
    </row>
    <row r="4361" spans="1:10" x14ac:dyDescent="0.25">
      <c r="A4361" t="s">
        <v>203</v>
      </c>
      <c r="B4361" t="str">
        <f>ADDRESS(ROW('PAYG 1'!$C$28),COLUMN('PAYG 1'!$C$28),4)</f>
        <v>C28</v>
      </c>
      <c r="C4361" t="str">
        <f>ADDRESS(ROW('PAYG 1'!$D$28),COLUMN('PAYG 1'!$D$28),4)</f>
        <v>D28</v>
      </c>
      <c r="D4361" t="b" cm="1">
        <f t="array" aca="1" ref="D4361" ca="1">IF(INDIRECT("'"&amp;A4361&amp;"'!"&amp;B4361)="",FALSE,IF(NOT(ISNUMBER(INDIRECT("'"&amp;A4361&amp;"'!"&amp;B4361))),TRUE,FALSE))</f>
        <v>0</v>
      </c>
      <c r="E4361" t="s">
        <v>435</v>
      </c>
      <c r="F4361" t="str">
        <f>INDEX(Lists!I:I,MATCH(Validation!E4361,Lists!G:G,0))</f>
        <v>Error</v>
      </c>
      <c r="G4361" t="str">
        <f>INDEX(Lists!H:H,MATCH(Validation!E4361,Lists!G:G,0))</f>
        <v>Enter an amount only. Do not enter text or spaces.</v>
      </c>
      <c r="H4361" s="25" t="str">
        <f t="shared" ref="H4361:H4402" ca="1" si="453">IFERROR(IF(OR(NOT(D4361),F4361&lt;&gt;"Error"),"",A4361&amp;CELL("address",INDIRECT(B4361))),"")</f>
        <v/>
      </c>
      <c r="I4361" s="25" t="str">
        <f t="shared" ref="I4361:I4402" ca="1" si="454">IFERROR(IF(NOT(D4361),"",A4361&amp;CELL("address",INDIRECT(C4361))),"")</f>
        <v/>
      </c>
      <c r="J4361" s="26" t="str">
        <f t="shared" ref="J4361:J4402" ca="1" si="455">IFERROR(IF(NOT(D4361),"",A4361),"")</f>
        <v/>
      </c>
    </row>
    <row r="4362" spans="1:10" x14ac:dyDescent="0.25">
      <c r="A4362" t="s">
        <v>651</v>
      </c>
      <c r="B4362" t="str">
        <f>ADDRESS(ROW('PAYG 1'!$C$28),COLUMN('PAYG 1'!$C$28),4)</f>
        <v>C28</v>
      </c>
      <c r="C4362" t="str">
        <f>ADDRESS(ROW('PAYG 1'!$D$28),COLUMN('PAYG 1'!$D$28),4)</f>
        <v>D28</v>
      </c>
      <c r="D4362" t="b" cm="1">
        <f t="array" aca="1" ref="D4362" ca="1">IF(INDIRECT("'"&amp;A4362&amp;"'!"&amp;B4362)="",FALSE,IF(NOT(ISNUMBER(INDIRECT("'"&amp;A4362&amp;"'!"&amp;B4362))),TRUE,FALSE))</f>
        <v>0</v>
      </c>
      <c r="E4362" t="s">
        <v>435</v>
      </c>
      <c r="F4362" t="str">
        <f>INDEX(Lists!I:I,MATCH(Validation!E4362,Lists!G:G,0))</f>
        <v>Error</v>
      </c>
      <c r="G4362" t="str">
        <f>INDEX(Lists!H:H,MATCH(Validation!E4362,Lists!G:G,0))</f>
        <v>Enter an amount only. Do not enter text or spaces.</v>
      </c>
      <c r="H4362" s="25" t="str">
        <f t="shared" ca="1" si="453"/>
        <v/>
      </c>
      <c r="I4362" s="25" t="str">
        <f t="shared" ca="1" si="454"/>
        <v/>
      </c>
      <c r="J4362" s="26" t="str">
        <f t="shared" ca="1" si="455"/>
        <v/>
      </c>
    </row>
    <row r="4363" spans="1:10" x14ac:dyDescent="0.25">
      <c r="A4363" t="s">
        <v>652</v>
      </c>
      <c r="B4363" t="str">
        <f>ADDRESS(ROW('PAYG 1'!$C$28),COLUMN('PAYG 1'!$C$28),4)</f>
        <v>C28</v>
      </c>
      <c r="C4363" t="str">
        <f>ADDRESS(ROW('PAYG 1'!$D$28),COLUMN('PAYG 1'!$D$28),4)</f>
        <v>D28</v>
      </c>
      <c r="D4363" t="b" cm="1">
        <f t="array" aca="1" ref="D4363" ca="1">IF(INDIRECT("'"&amp;A4363&amp;"'!"&amp;B4363)="",FALSE,IF(NOT(ISNUMBER(INDIRECT("'"&amp;A4363&amp;"'!"&amp;B4363))),TRUE,FALSE))</f>
        <v>0</v>
      </c>
      <c r="E4363" t="s">
        <v>435</v>
      </c>
      <c r="F4363" t="str">
        <f>INDEX(Lists!I:I,MATCH(Validation!E4363,Lists!G:G,0))</f>
        <v>Error</v>
      </c>
      <c r="G4363" t="str">
        <f>INDEX(Lists!H:H,MATCH(Validation!E4363,Lists!G:G,0))</f>
        <v>Enter an amount only. Do not enter text or spaces.</v>
      </c>
      <c r="H4363" s="25" t="str">
        <f t="shared" ca="1" si="453"/>
        <v/>
      </c>
      <c r="I4363" s="25" t="str">
        <f t="shared" ca="1" si="454"/>
        <v/>
      </c>
      <c r="J4363" s="26" t="str">
        <f t="shared" ca="1" si="455"/>
        <v/>
      </c>
    </row>
    <row r="4364" spans="1:10" x14ac:dyDescent="0.25">
      <c r="A4364" t="s">
        <v>653</v>
      </c>
      <c r="B4364" t="str">
        <f>ADDRESS(ROW('PAYG 1'!$C$28),COLUMN('PAYG 1'!$C$28),4)</f>
        <v>C28</v>
      </c>
      <c r="C4364" t="str">
        <f>ADDRESS(ROW('PAYG 1'!$D$28),COLUMN('PAYG 1'!$D$28),4)</f>
        <v>D28</v>
      </c>
      <c r="D4364" t="b" cm="1">
        <f t="array" aca="1" ref="D4364" ca="1">IF(INDIRECT("'"&amp;A4364&amp;"'!"&amp;B4364)="",FALSE,IF(NOT(ISNUMBER(INDIRECT("'"&amp;A4364&amp;"'!"&amp;B4364))),TRUE,FALSE))</f>
        <v>0</v>
      </c>
      <c r="E4364" t="s">
        <v>435</v>
      </c>
      <c r="F4364" t="str">
        <f>INDEX(Lists!I:I,MATCH(Validation!E4364,Lists!G:G,0))</f>
        <v>Error</v>
      </c>
      <c r="G4364" t="str">
        <f>INDEX(Lists!H:H,MATCH(Validation!E4364,Lists!G:G,0))</f>
        <v>Enter an amount only. Do not enter text or spaces.</v>
      </c>
      <c r="H4364" s="25" t="str">
        <f t="shared" ca="1" si="453"/>
        <v/>
      </c>
      <c r="I4364" s="25" t="str">
        <f t="shared" ca="1" si="454"/>
        <v/>
      </c>
      <c r="J4364" s="26" t="str">
        <f t="shared" ca="1" si="455"/>
        <v/>
      </c>
    </row>
    <row r="4365" spans="1:10" x14ac:dyDescent="0.25">
      <c r="A4365" t="s">
        <v>654</v>
      </c>
      <c r="B4365" t="str">
        <f>ADDRESS(ROW('PAYG 1'!$C$28),COLUMN('PAYG 1'!$C$28),4)</f>
        <v>C28</v>
      </c>
      <c r="C4365" t="str">
        <f>ADDRESS(ROW('PAYG 1'!$D$28),COLUMN('PAYG 1'!$D$28),4)</f>
        <v>D28</v>
      </c>
      <c r="D4365" t="b" cm="1">
        <f t="array" aca="1" ref="D4365" ca="1">IF(INDIRECT("'"&amp;A4365&amp;"'!"&amp;B4365)="",FALSE,IF(NOT(ISNUMBER(INDIRECT("'"&amp;A4365&amp;"'!"&amp;B4365))),TRUE,FALSE))</f>
        <v>0</v>
      </c>
      <c r="E4365" t="s">
        <v>435</v>
      </c>
      <c r="F4365" t="str">
        <f>INDEX(Lists!I:I,MATCH(Validation!E4365,Lists!G:G,0))</f>
        <v>Error</v>
      </c>
      <c r="G4365" t="str">
        <f>INDEX(Lists!H:H,MATCH(Validation!E4365,Lists!G:G,0))</f>
        <v>Enter an amount only. Do not enter text or spaces.</v>
      </c>
      <c r="H4365" s="25" t="str">
        <f t="shared" ca="1" si="453"/>
        <v/>
      </c>
      <c r="I4365" s="25" t="str">
        <f t="shared" ca="1" si="454"/>
        <v/>
      </c>
      <c r="J4365" s="26" t="str">
        <f t="shared" ca="1" si="455"/>
        <v/>
      </c>
    </row>
    <row r="4366" spans="1:10" x14ac:dyDescent="0.25">
      <c r="A4366" t="s">
        <v>655</v>
      </c>
      <c r="B4366" t="str">
        <f>ADDRESS(ROW('PAYG 1'!$C$28),COLUMN('PAYG 1'!$C$28),4)</f>
        <v>C28</v>
      </c>
      <c r="C4366" t="str">
        <f>ADDRESS(ROW('PAYG 1'!$D$28),COLUMN('PAYG 1'!$D$28),4)</f>
        <v>D28</v>
      </c>
      <c r="D4366" t="b" cm="1">
        <f t="array" aca="1" ref="D4366" ca="1">IF(INDIRECT("'"&amp;A4366&amp;"'!"&amp;B4366)="",FALSE,IF(NOT(ISNUMBER(INDIRECT("'"&amp;A4366&amp;"'!"&amp;B4366))),TRUE,FALSE))</f>
        <v>0</v>
      </c>
      <c r="E4366" t="s">
        <v>435</v>
      </c>
      <c r="F4366" t="str">
        <f>INDEX(Lists!I:I,MATCH(Validation!E4366,Lists!G:G,0))</f>
        <v>Error</v>
      </c>
      <c r="G4366" t="str">
        <f>INDEX(Lists!H:H,MATCH(Validation!E4366,Lists!G:G,0))</f>
        <v>Enter an amount only. Do not enter text or spaces.</v>
      </c>
      <c r="H4366" s="25" t="str">
        <f t="shared" ca="1" si="453"/>
        <v/>
      </c>
      <c r="I4366" s="25" t="str">
        <f t="shared" ca="1" si="454"/>
        <v/>
      </c>
      <c r="J4366" s="26" t="str">
        <f t="shared" ca="1" si="455"/>
        <v/>
      </c>
    </row>
    <row r="4367" spans="1:10" x14ac:dyDescent="0.25">
      <c r="A4367" t="s">
        <v>656</v>
      </c>
      <c r="B4367" t="str">
        <f>ADDRESS(ROW('PAYG 1'!$C$28),COLUMN('PAYG 1'!$C$28),4)</f>
        <v>C28</v>
      </c>
      <c r="C4367" t="str">
        <f>ADDRESS(ROW('PAYG 1'!$D$28),COLUMN('PAYG 1'!$D$28),4)</f>
        <v>D28</v>
      </c>
      <c r="D4367" t="b" cm="1">
        <f t="array" aca="1" ref="D4367" ca="1">IF(INDIRECT("'"&amp;A4367&amp;"'!"&amp;B4367)="",FALSE,IF(NOT(ISNUMBER(INDIRECT("'"&amp;A4367&amp;"'!"&amp;B4367))),TRUE,FALSE))</f>
        <v>0</v>
      </c>
      <c r="E4367" t="s">
        <v>435</v>
      </c>
      <c r="F4367" t="str">
        <f>INDEX(Lists!I:I,MATCH(Validation!E4367,Lists!G:G,0))</f>
        <v>Error</v>
      </c>
      <c r="G4367" t="str">
        <f>INDEX(Lists!H:H,MATCH(Validation!E4367,Lists!G:G,0))</f>
        <v>Enter an amount only. Do not enter text or spaces.</v>
      </c>
      <c r="H4367" s="25" t="str">
        <f t="shared" ca="1" si="453"/>
        <v/>
      </c>
      <c r="I4367" s="25" t="str">
        <f t="shared" ca="1" si="454"/>
        <v/>
      </c>
      <c r="J4367" s="26" t="str">
        <f t="shared" ca="1" si="455"/>
        <v/>
      </c>
    </row>
    <row r="4368" spans="1:10" x14ac:dyDescent="0.25">
      <c r="A4368" t="s">
        <v>657</v>
      </c>
      <c r="B4368" t="str">
        <f>ADDRESS(ROW('PAYG 1'!$C$28),COLUMN('PAYG 1'!$C$28),4)</f>
        <v>C28</v>
      </c>
      <c r="C4368" t="str">
        <f>ADDRESS(ROW('PAYG 1'!$D$28),COLUMN('PAYG 1'!$D$28),4)</f>
        <v>D28</v>
      </c>
      <c r="D4368" t="b" cm="1">
        <f t="array" aca="1" ref="D4368" ca="1">IF(INDIRECT("'"&amp;A4368&amp;"'!"&amp;B4368)="",FALSE,IF(NOT(ISNUMBER(INDIRECT("'"&amp;A4368&amp;"'!"&amp;B4368))),TRUE,FALSE))</f>
        <v>0</v>
      </c>
      <c r="E4368" t="s">
        <v>435</v>
      </c>
      <c r="F4368" t="str">
        <f>INDEX(Lists!I:I,MATCH(Validation!E4368,Lists!G:G,0))</f>
        <v>Error</v>
      </c>
      <c r="G4368" t="str">
        <f>INDEX(Lists!H:H,MATCH(Validation!E4368,Lists!G:G,0))</f>
        <v>Enter an amount only. Do not enter text or spaces.</v>
      </c>
      <c r="H4368" s="25" t="str">
        <f t="shared" ca="1" si="453"/>
        <v/>
      </c>
      <c r="I4368" s="25" t="str">
        <f t="shared" ca="1" si="454"/>
        <v/>
      </c>
      <c r="J4368" s="26" t="str">
        <f t="shared" ca="1" si="455"/>
        <v/>
      </c>
    </row>
    <row r="4369" spans="1:10" x14ac:dyDescent="0.25">
      <c r="A4369" t="s">
        <v>658</v>
      </c>
      <c r="B4369" t="str">
        <f>ADDRESS(ROW('PAYG 1'!$C$28),COLUMN('PAYG 1'!$C$28),4)</f>
        <v>C28</v>
      </c>
      <c r="C4369" t="str">
        <f>ADDRESS(ROW('PAYG 1'!$D$28),COLUMN('PAYG 1'!$D$28),4)</f>
        <v>D28</v>
      </c>
      <c r="D4369" t="b" cm="1">
        <f t="array" aca="1" ref="D4369" ca="1">IF(INDIRECT("'"&amp;A4369&amp;"'!"&amp;B4369)="",FALSE,IF(NOT(ISNUMBER(INDIRECT("'"&amp;A4369&amp;"'!"&amp;B4369))),TRUE,FALSE))</f>
        <v>0</v>
      </c>
      <c r="E4369" t="s">
        <v>435</v>
      </c>
      <c r="F4369" t="str">
        <f>INDEX(Lists!I:I,MATCH(Validation!E4369,Lists!G:G,0))</f>
        <v>Error</v>
      </c>
      <c r="G4369" t="str">
        <f>INDEX(Lists!H:H,MATCH(Validation!E4369,Lists!G:G,0))</f>
        <v>Enter an amount only. Do not enter text or spaces.</v>
      </c>
      <c r="H4369" s="25" t="str">
        <f t="shared" ca="1" si="453"/>
        <v/>
      </c>
      <c r="I4369" s="25" t="str">
        <f t="shared" ca="1" si="454"/>
        <v/>
      </c>
      <c r="J4369" s="26" t="str">
        <f t="shared" ca="1" si="455"/>
        <v/>
      </c>
    </row>
    <row r="4370" spans="1:10" x14ac:dyDescent="0.25">
      <c r="A4370" t="s">
        <v>659</v>
      </c>
      <c r="B4370" t="str">
        <f>ADDRESS(ROW('PAYG 1'!$C$28),COLUMN('PAYG 1'!$C$28),4)</f>
        <v>C28</v>
      </c>
      <c r="C4370" t="str">
        <f>ADDRESS(ROW('PAYG 1'!$D$28),COLUMN('PAYG 1'!$D$28),4)</f>
        <v>D28</v>
      </c>
      <c r="D4370" t="b" cm="1">
        <f t="array" aca="1" ref="D4370" ca="1">IF(INDIRECT("'"&amp;A4370&amp;"'!"&amp;B4370)="",FALSE,IF(NOT(ISNUMBER(INDIRECT("'"&amp;A4370&amp;"'!"&amp;B4370))),TRUE,FALSE))</f>
        <v>0</v>
      </c>
      <c r="E4370" t="s">
        <v>435</v>
      </c>
      <c r="F4370" t="str">
        <f>INDEX(Lists!I:I,MATCH(Validation!E4370,Lists!G:G,0))</f>
        <v>Error</v>
      </c>
      <c r="G4370" t="str">
        <f>INDEX(Lists!H:H,MATCH(Validation!E4370,Lists!G:G,0))</f>
        <v>Enter an amount only. Do not enter text or spaces.</v>
      </c>
      <c r="H4370" s="25" t="str">
        <f t="shared" ca="1" si="453"/>
        <v/>
      </c>
      <c r="I4370" s="25" t="str">
        <f t="shared" ca="1" si="454"/>
        <v/>
      </c>
      <c r="J4370" s="26" t="str">
        <f t="shared" ca="1" si="455"/>
        <v/>
      </c>
    </row>
    <row r="4371" spans="1:10" x14ac:dyDescent="0.25">
      <c r="A4371" t="s">
        <v>660</v>
      </c>
      <c r="B4371" t="str">
        <f>ADDRESS(ROW('PAYG 1'!$C$28),COLUMN('PAYG 1'!$C$28),4)</f>
        <v>C28</v>
      </c>
      <c r="C4371" t="str">
        <f>ADDRESS(ROW('PAYG 1'!$D$28),COLUMN('PAYG 1'!$D$28),4)</f>
        <v>D28</v>
      </c>
      <c r="D4371" t="b" cm="1">
        <f t="array" aca="1" ref="D4371" ca="1">IF(INDIRECT("'"&amp;A4371&amp;"'!"&amp;B4371)="",FALSE,IF(NOT(ISNUMBER(INDIRECT("'"&amp;A4371&amp;"'!"&amp;B4371))),TRUE,FALSE))</f>
        <v>0</v>
      </c>
      <c r="E4371" t="s">
        <v>435</v>
      </c>
      <c r="F4371" t="str">
        <f>INDEX(Lists!I:I,MATCH(Validation!E4371,Lists!G:G,0))</f>
        <v>Error</v>
      </c>
      <c r="G4371" t="str">
        <f>INDEX(Lists!H:H,MATCH(Validation!E4371,Lists!G:G,0))</f>
        <v>Enter an amount only. Do not enter text or spaces.</v>
      </c>
      <c r="H4371" s="25" t="str">
        <f t="shared" ca="1" si="453"/>
        <v/>
      </c>
      <c r="I4371" s="25" t="str">
        <f t="shared" ca="1" si="454"/>
        <v/>
      </c>
      <c r="J4371" s="26" t="str">
        <f t="shared" ca="1" si="455"/>
        <v/>
      </c>
    </row>
    <row r="4372" spans="1:10" x14ac:dyDescent="0.25">
      <c r="A4372" t="s">
        <v>661</v>
      </c>
      <c r="B4372" t="str">
        <f>ADDRESS(ROW('PAYG 1'!$C$28),COLUMN('PAYG 1'!$C$28),4)</f>
        <v>C28</v>
      </c>
      <c r="C4372" t="str">
        <f>ADDRESS(ROW('PAYG 1'!$D$28),COLUMN('PAYG 1'!$D$28),4)</f>
        <v>D28</v>
      </c>
      <c r="D4372" t="b" cm="1">
        <f t="array" aca="1" ref="D4372" ca="1">IF(INDIRECT("'"&amp;A4372&amp;"'!"&amp;B4372)="",FALSE,IF(NOT(ISNUMBER(INDIRECT("'"&amp;A4372&amp;"'!"&amp;B4372))),TRUE,FALSE))</f>
        <v>0</v>
      </c>
      <c r="E4372" t="s">
        <v>435</v>
      </c>
      <c r="F4372" t="str">
        <f>INDEX(Lists!I:I,MATCH(Validation!E4372,Lists!G:G,0))</f>
        <v>Error</v>
      </c>
      <c r="G4372" t="str">
        <f>INDEX(Lists!H:H,MATCH(Validation!E4372,Lists!G:G,0))</f>
        <v>Enter an amount only. Do not enter text or spaces.</v>
      </c>
      <c r="H4372" s="25" t="str">
        <f t="shared" ca="1" si="453"/>
        <v/>
      </c>
      <c r="I4372" s="25" t="str">
        <f t="shared" ca="1" si="454"/>
        <v/>
      </c>
      <c r="J4372" s="26" t="str">
        <f t="shared" ca="1" si="455"/>
        <v/>
      </c>
    </row>
    <row r="4373" spans="1:10" x14ac:dyDescent="0.25">
      <c r="A4373" t="s">
        <v>662</v>
      </c>
      <c r="B4373" t="str">
        <f>ADDRESS(ROW('PAYG 1'!$C$28),COLUMN('PAYG 1'!$C$28),4)</f>
        <v>C28</v>
      </c>
      <c r="C4373" t="str">
        <f>ADDRESS(ROW('PAYG 1'!$D$28),COLUMN('PAYG 1'!$D$28),4)</f>
        <v>D28</v>
      </c>
      <c r="D4373" t="b" cm="1">
        <f t="array" aca="1" ref="D4373" ca="1">IF(INDIRECT("'"&amp;A4373&amp;"'!"&amp;B4373)="",FALSE,IF(NOT(ISNUMBER(INDIRECT("'"&amp;A4373&amp;"'!"&amp;B4373))),TRUE,FALSE))</f>
        <v>0</v>
      </c>
      <c r="E4373" t="s">
        <v>435</v>
      </c>
      <c r="F4373" t="str">
        <f>INDEX(Lists!I:I,MATCH(Validation!E4373,Lists!G:G,0))</f>
        <v>Error</v>
      </c>
      <c r="G4373" t="str">
        <f>INDEX(Lists!H:H,MATCH(Validation!E4373,Lists!G:G,0))</f>
        <v>Enter an amount only. Do not enter text or spaces.</v>
      </c>
      <c r="H4373" s="25" t="str">
        <f t="shared" ca="1" si="453"/>
        <v/>
      </c>
      <c r="I4373" s="25" t="str">
        <f t="shared" ca="1" si="454"/>
        <v/>
      </c>
      <c r="J4373" s="26" t="str">
        <f t="shared" ca="1" si="455"/>
        <v/>
      </c>
    </row>
    <row r="4374" spans="1:10" x14ac:dyDescent="0.25">
      <c r="A4374" t="s">
        <v>663</v>
      </c>
      <c r="B4374" t="str">
        <f>ADDRESS(ROW('PAYG 1'!$C$28),COLUMN('PAYG 1'!$C$28),4)</f>
        <v>C28</v>
      </c>
      <c r="C4374" t="str">
        <f>ADDRESS(ROW('PAYG 1'!$D$28),COLUMN('PAYG 1'!$D$28),4)</f>
        <v>D28</v>
      </c>
      <c r="D4374" t="b" cm="1">
        <f t="array" aca="1" ref="D4374" ca="1">IF(INDIRECT("'"&amp;A4374&amp;"'!"&amp;B4374)="",FALSE,IF(NOT(ISNUMBER(INDIRECT("'"&amp;A4374&amp;"'!"&amp;B4374))),TRUE,FALSE))</f>
        <v>0</v>
      </c>
      <c r="E4374" t="s">
        <v>435</v>
      </c>
      <c r="F4374" t="str">
        <f>INDEX(Lists!I:I,MATCH(Validation!E4374,Lists!G:G,0))</f>
        <v>Error</v>
      </c>
      <c r="G4374" t="str">
        <f>INDEX(Lists!H:H,MATCH(Validation!E4374,Lists!G:G,0))</f>
        <v>Enter an amount only. Do not enter text or spaces.</v>
      </c>
      <c r="H4374" s="25" t="str">
        <f t="shared" ca="1" si="453"/>
        <v/>
      </c>
      <c r="I4374" s="25" t="str">
        <f t="shared" ca="1" si="454"/>
        <v/>
      </c>
      <c r="J4374" s="26" t="str">
        <f t="shared" ca="1" si="455"/>
        <v/>
      </c>
    </row>
    <row r="4375" spans="1:10" x14ac:dyDescent="0.25">
      <c r="A4375" t="s">
        <v>664</v>
      </c>
      <c r="B4375" t="str">
        <f>ADDRESS(ROW('PAYG 1'!$C$28),COLUMN('PAYG 1'!$C$28),4)</f>
        <v>C28</v>
      </c>
      <c r="C4375" t="str">
        <f>ADDRESS(ROW('PAYG 1'!$D$28),COLUMN('PAYG 1'!$D$28),4)</f>
        <v>D28</v>
      </c>
      <c r="D4375" t="b" cm="1">
        <f t="array" aca="1" ref="D4375" ca="1">IF(INDIRECT("'"&amp;A4375&amp;"'!"&amp;B4375)="",FALSE,IF(NOT(ISNUMBER(INDIRECT("'"&amp;A4375&amp;"'!"&amp;B4375))),TRUE,FALSE))</f>
        <v>0</v>
      </c>
      <c r="E4375" t="s">
        <v>435</v>
      </c>
      <c r="F4375" t="str">
        <f>INDEX(Lists!I:I,MATCH(Validation!E4375,Lists!G:G,0))</f>
        <v>Error</v>
      </c>
      <c r="G4375" t="str">
        <f>INDEX(Lists!H:H,MATCH(Validation!E4375,Lists!G:G,0))</f>
        <v>Enter an amount only. Do not enter text or spaces.</v>
      </c>
      <c r="H4375" s="25" t="str">
        <f t="shared" ca="1" si="453"/>
        <v/>
      </c>
      <c r="I4375" s="25" t="str">
        <f t="shared" ca="1" si="454"/>
        <v/>
      </c>
      <c r="J4375" s="26" t="str">
        <f t="shared" ca="1" si="455"/>
        <v/>
      </c>
    </row>
    <row r="4376" spans="1:10" x14ac:dyDescent="0.25">
      <c r="A4376" t="s">
        <v>203</v>
      </c>
      <c r="B4376" t="str">
        <f>ADDRESS(ROW('PAYG 1'!$C$28),COLUMN('PAYG 1'!$C$28),4)</f>
        <v>C28</v>
      </c>
      <c r="C4376" t="str">
        <f>ADDRESS(ROW('PAYG 1'!$D$28),COLUMN('PAYG 1'!$D$28),4)</f>
        <v>D28</v>
      </c>
      <c r="D4376" t="b" cm="1">
        <f t="array" aca="1" ref="D4376" ca="1">IF(INDIRECT("'"&amp;A4376&amp;"'!"&amp;B4376)="",FALSE,IF(INDIRECT("'"&amp;A4376&amp;"'!"&amp;B4376)&lt;0,TRUE,FALSE))</f>
        <v>0</v>
      </c>
      <c r="E4376" t="s">
        <v>434</v>
      </c>
      <c r="F4376" t="str">
        <f>INDEX(Lists!I:I,MATCH(Validation!E4376,Lists!G:G,0))</f>
        <v>Error</v>
      </c>
      <c r="G4376" t="str">
        <f>INDEX(Lists!H:H,MATCH(Validation!E4376,Lists!G:G,0))</f>
        <v>Amount may not be negative. Enter an amount greater than or equal to zero.</v>
      </c>
      <c r="H4376" s="25" t="str">
        <f t="shared" ca="1" si="453"/>
        <v/>
      </c>
      <c r="I4376" s="25" t="str">
        <f t="shared" ca="1" si="454"/>
        <v/>
      </c>
      <c r="J4376" s="26" t="str">
        <f t="shared" ca="1" si="455"/>
        <v/>
      </c>
    </row>
    <row r="4377" spans="1:10" x14ac:dyDescent="0.25">
      <c r="A4377" t="s">
        <v>651</v>
      </c>
      <c r="B4377" t="str">
        <f>ADDRESS(ROW('PAYG 1'!$C$28),COLUMN('PAYG 1'!$C$28),4)</f>
        <v>C28</v>
      </c>
      <c r="C4377" t="str">
        <f>ADDRESS(ROW('PAYG 1'!$D$28),COLUMN('PAYG 1'!$D$28),4)</f>
        <v>D28</v>
      </c>
      <c r="D4377" t="b" cm="1">
        <f t="array" aca="1" ref="D4377" ca="1">IF(INDIRECT("'"&amp;A4377&amp;"'!"&amp;B4377)="",FALSE,IF(INDIRECT("'"&amp;A4377&amp;"'!"&amp;B4377)&lt;0,TRUE,FALSE))</f>
        <v>0</v>
      </c>
      <c r="E4377" t="s">
        <v>434</v>
      </c>
      <c r="F4377" t="str">
        <f>INDEX(Lists!I:I,MATCH(Validation!E4377,Lists!G:G,0))</f>
        <v>Error</v>
      </c>
      <c r="G4377" t="str">
        <f>INDEX(Lists!H:H,MATCH(Validation!E4377,Lists!G:G,0))</f>
        <v>Amount may not be negative. Enter an amount greater than or equal to zero.</v>
      </c>
      <c r="H4377" s="25" t="str">
        <f t="shared" ca="1" si="453"/>
        <v/>
      </c>
      <c r="I4377" s="25" t="str">
        <f t="shared" ca="1" si="454"/>
        <v/>
      </c>
      <c r="J4377" s="26" t="str">
        <f t="shared" ca="1" si="455"/>
        <v/>
      </c>
    </row>
    <row r="4378" spans="1:10" x14ac:dyDescent="0.25">
      <c r="A4378" t="s">
        <v>652</v>
      </c>
      <c r="B4378" t="str">
        <f>ADDRESS(ROW('PAYG 1'!$C$28),COLUMN('PAYG 1'!$C$28),4)</f>
        <v>C28</v>
      </c>
      <c r="C4378" t="str">
        <f>ADDRESS(ROW('PAYG 1'!$D$28),COLUMN('PAYG 1'!$D$28),4)</f>
        <v>D28</v>
      </c>
      <c r="D4378" t="b" cm="1">
        <f t="array" aca="1" ref="D4378" ca="1">IF(INDIRECT("'"&amp;A4378&amp;"'!"&amp;B4378)="",FALSE,IF(INDIRECT("'"&amp;A4378&amp;"'!"&amp;B4378)&lt;0,TRUE,FALSE))</f>
        <v>0</v>
      </c>
      <c r="E4378" t="s">
        <v>434</v>
      </c>
      <c r="F4378" t="str">
        <f>INDEX(Lists!I:I,MATCH(Validation!E4378,Lists!G:G,0))</f>
        <v>Error</v>
      </c>
      <c r="G4378" t="str">
        <f>INDEX(Lists!H:H,MATCH(Validation!E4378,Lists!G:G,0))</f>
        <v>Amount may not be negative. Enter an amount greater than or equal to zero.</v>
      </c>
      <c r="H4378" s="25" t="str">
        <f t="shared" ca="1" si="453"/>
        <v/>
      </c>
      <c r="I4378" s="25" t="str">
        <f t="shared" ca="1" si="454"/>
        <v/>
      </c>
      <c r="J4378" s="26" t="str">
        <f t="shared" ca="1" si="455"/>
        <v/>
      </c>
    </row>
    <row r="4379" spans="1:10" x14ac:dyDescent="0.25">
      <c r="A4379" t="s">
        <v>653</v>
      </c>
      <c r="B4379" t="str">
        <f>ADDRESS(ROW('PAYG 1'!$C$28),COLUMN('PAYG 1'!$C$28),4)</f>
        <v>C28</v>
      </c>
      <c r="C4379" t="str">
        <f>ADDRESS(ROW('PAYG 1'!$D$28),COLUMN('PAYG 1'!$D$28),4)</f>
        <v>D28</v>
      </c>
      <c r="D4379" t="b" cm="1">
        <f t="array" aca="1" ref="D4379" ca="1">IF(INDIRECT("'"&amp;A4379&amp;"'!"&amp;B4379)="",FALSE,IF(INDIRECT("'"&amp;A4379&amp;"'!"&amp;B4379)&lt;0,TRUE,FALSE))</f>
        <v>0</v>
      </c>
      <c r="E4379" t="s">
        <v>434</v>
      </c>
      <c r="F4379" t="str">
        <f>INDEX(Lists!I:I,MATCH(Validation!E4379,Lists!G:G,0))</f>
        <v>Error</v>
      </c>
      <c r="G4379" t="str">
        <f>INDEX(Lists!H:H,MATCH(Validation!E4379,Lists!G:G,0))</f>
        <v>Amount may not be negative. Enter an amount greater than or equal to zero.</v>
      </c>
      <c r="H4379" s="25" t="str">
        <f t="shared" ca="1" si="453"/>
        <v/>
      </c>
      <c r="I4379" s="25" t="str">
        <f t="shared" ca="1" si="454"/>
        <v/>
      </c>
      <c r="J4379" s="26" t="str">
        <f t="shared" ca="1" si="455"/>
        <v/>
      </c>
    </row>
    <row r="4380" spans="1:10" x14ac:dyDescent="0.25">
      <c r="A4380" t="s">
        <v>654</v>
      </c>
      <c r="B4380" t="str">
        <f>ADDRESS(ROW('PAYG 1'!$C$28),COLUMN('PAYG 1'!$C$28),4)</f>
        <v>C28</v>
      </c>
      <c r="C4380" t="str">
        <f>ADDRESS(ROW('PAYG 1'!$D$28),COLUMN('PAYG 1'!$D$28),4)</f>
        <v>D28</v>
      </c>
      <c r="D4380" t="b" cm="1">
        <f t="array" aca="1" ref="D4380" ca="1">IF(INDIRECT("'"&amp;A4380&amp;"'!"&amp;B4380)="",FALSE,IF(INDIRECT("'"&amp;A4380&amp;"'!"&amp;B4380)&lt;0,TRUE,FALSE))</f>
        <v>0</v>
      </c>
      <c r="E4380" t="s">
        <v>434</v>
      </c>
      <c r="F4380" t="str">
        <f>INDEX(Lists!I:I,MATCH(Validation!E4380,Lists!G:G,0))</f>
        <v>Error</v>
      </c>
      <c r="G4380" t="str">
        <f>INDEX(Lists!H:H,MATCH(Validation!E4380,Lists!G:G,0))</f>
        <v>Amount may not be negative. Enter an amount greater than or equal to zero.</v>
      </c>
      <c r="H4380" s="25" t="str">
        <f t="shared" ca="1" si="453"/>
        <v/>
      </c>
      <c r="I4380" s="25" t="str">
        <f t="shared" ca="1" si="454"/>
        <v/>
      </c>
      <c r="J4380" s="26" t="str">
        <f t="shared" ca="1" si="455"/>
        <v/>
      </c>
    </row>
    <row r="4381" spans="1:10" x14ac:dyDescent="0.25">
      <c r="A4381" t="s">
        <v>655</v>
      </c>
      <c r="B4381" t="str">
        <f>ADDRESS(ROW('PAYG 1'!$C$28),COLUMN('PAYG 1'!$C$28),4)</f>
        <v>C28</v>
      </c>
      <c r="C4381" t="str">
        <f>ADDRESS(ROW('PAYG 1'!$D$28),COLUMN('PAYG 1'!$D$28),4)</f>
        <v>D28</v>
      </c>
      <c r="D4381" t="b" cm="1">
        <f t="array" aca="1" ref="D4381" ca="1">IF(INDIRECT("'"&amp;A4381&amp;"'!"&amp;B4381)="",FALSE,IF(INDIRECT("'"&amp;A4381&amp;"'!"&amp;B4381)&lt;0,TRUE,FALSE))</f>
        <v>0</v>
      </c>
      <c r="E4381" t="s">
        <v>434</v>
      </c>
      <c r="F4381" t="str">
        <f>INDEX(Lists!I:I,MATCH(Validation!E4381,Lists!G:G,0))</f>
        <v>Error</v>
      </c>
      <c r="G4381" t="str">
        <f>INDEX(Lists!H:H,MATCH(Validation!E4381,Lists!G:G,0))</f>
        <v>Amount may not be negative. Enter an amount greater than or equal to zero.</v>
      </c>
      <c r="H4381" s="25" t="str">
        <f t="shared" ca="1" si="453"/>
        <v/>
      </c>
      <c r="I4381" s="25" t="str">
        <f t="shared" ca="1" si="454"/>
        <v/>
      </c>
      <c r="J4381" s="26" t="str">
        <f t="shared" ca="1" si="455"/>
        <v/>
      </c>
    </row>
    <row r="4382" spans="1:10" x14ac:dyDescent="0.25">
      <c r="A4382" t="s">
        <v>656</v>
      </c>
      <c r="B4382" t="str">
        <f>ADDRESS(ROW('PAYG 1'!$C$28),COLUMN('PAYG 1'!$C$28),4)</f>
        <v>C28</v>
      </c>
      <c r="C4382" t="str">
        <f>ADDRESS(ROW('PAYG 1'!$D$28),COLUMN('PAYG 1'!$D$28),4)</f>
        <v>D28</v>
      </c>
      <c r="D4382" t="b" cm="1">
        <f t="array" aca="1" ref="D4382" ca="1">IF(INDIRECT("'"&amp;A4382&amp;"'!"&amp;B4382)="",FALSE,IF(INDIRECT("'"&amp;A4382&amp;"'!"&amp;B4382)&lt;0,TRUE,FALSE))</f>
        <v>0</v>
      </c>
      <c r="E4382" t="s">
        <v>434</v>
      </c>
      <c r="F4382" t="str">
        <f>INDEX(Lists!I:I,MATCH(Validation!E4382,Lists!G:G,0))</f>
        <v>Error</v>
      </c>
      <c r="G4382" t="str">
        <f>INDEX(Lists!H:H,MATCH(Validation!E4382,Lists!G:G,0))</f>
        <v>Amount may not be negative. Enter an amount greater than or equal to zero.</v>
      </c>
      <c r="H4382" s="25" t="str">
        <f t="shared" ca="1" si="453"/>
        <v/>
      </c>
      <c r="I4382" s="25" t="str">
        <f t="shared" ca="1" si="454"/>
        <v/>
      </c>
      <c r="J4382" s="26" t="str">
        <f t="shared" ca="1" si="455"/>
        <v/>
      </c>
    </row>
    <row r="4383" spans="1:10" x14ac:dyDescent="0.25">
      <c r="A4383" t="s">
        <v>657</v>
      </c>
      <c r="B4383" t="str">
        <f>ADDRESS(ROW('PAYG 1'!$C$28),COLUMN('PAYG 1'!$C$28),4)</f>
        <v>C28</v>
      </c>
      <c r="C4383" t="str">
        <f>ADDRESS(ROW('PAYG 1'!$D$28),COLUMN('PAYG 1'!$D$28),4)</f>
        <v>D28</v>
      </c>
      <c r="D4383" t="b" cm="1">
        <f t="array" aca="1" ref="D4383" ca="1">IF(INDIRECT("'"&amp;A4383&amp;"'!"&amp;B4383)="",FALSE,IF(INDIRECT("'"&amp;A4383&amp;"'!"&amp;B4383)&lt;0,TRUE,FALSE))</f>
        <v>0</v>
      </c>
      <c r="E4383" t="s">
        <v>434</v>
      </c>
      <c r="F4383" t="str">
        <f>INDEX(Lists!I:I,MATCH(Validation!E4383,Lists!G:G,0))</f>
        <v>Error</v>
      </c>
      <c r="G4383" t="str">
        <f>INDEX(Lists!H:H,MATCH(Validation!E4383,Lists!G:G,0))</f>
        <v>Amount may not be negative. Enter an amount greater than or equal to zero.</v>
      </c>
      <c r="H4383" s="25" t="str">
        <f t="shared" ca="1" si="453"/>
        <v/>
      </c>
      <c r="I4383" s="25" t="str">
        <f t="shared" ca="1" si="454"/>
        <v/>
      </c>
      <c r="J4383" s="26" t="str">
        <f t="shared" ca="1" si="455"/>
        <v/>
      </c>
    </row>
    <row r="4384" spans="1:10" x14ac:dyDescent="0.25">
      <c r="A4384" t="s">
        <v>658</v>
      </c>
      <c r="B4384" t="str">
        <f>ADDRESS(ROW('PAYG 1'!$C$28),COLUMN('PAYG 1'!$C$28),4)</f>
        <v>C28</v>
      </c>
      <c r="C4384" t="str">
        <f>ADDRESS(ROW('PAYG 1'!$D$28),COLUMN('PAYG 1'!$D$28),4)</f>
        <v>D28</v>
      </c>
      <c r="D4384" t="b" cm="1">
        <f t="array" aca="1" ref="D4384" ca="1">IF(INDIRECT("'"&amp;A4384&amp;"'!"&amp;B4384)="",FALSE,IF(INDIRECT("'"&amp;A4384&amp;"'!"&amp;B4384)&lt;0,TRUE,FALSE))</f>
        <v>0</v>
      </c>
      <c r="E4384" t="s">
        <v>434</v>
      </c>
      <c r="F4384" t="str">
        <f>INDEX(Lists!I:I,MATCH(Validation!E4384,Lists!G:G,0))</f>
        <v>Error</v>
      </c>
      <c r="G4384" t="str">
        <f>INDEX(Lists!H:H,MATCH(Validation!E4384,Lists!G:G,0))</f>
        <v>Amount may not be negative. Enter an amount greater than or equal to zero.</v>
      </c>
      <c r="H4384" s="25" t="str">
        <f t="shared" ca="1" si="453"/>
        <v/>
      </c>
      <c r="I4384" s="25" t="str">
        <f t="shared" ca="1" si="454"/>
        <v/>
      </c>
      <c r="J4384" s="26" t="str">
        <f t="shared" ca="1" si="455"/>
        <v/>
      </c>
    </row>
    <row r="4385" spans="1:10" x14ac:dyDescent="0.25">
      <c r="A4385" t="s">
        <v>659</v>
      </c>
      <c r="B4385" t="str">
        <f>ADDRESS(ROW('PAYG 1'!$C$28),COLUMN('PAYG 1'!$C$28),4)</f>
        <v>C28</v>
      </c>
      <c r="C4385" t="str">
        <f>ADDRESS(ROW('PAYG 1'!$D$28),COLUMN('PAYG 1'!$D$28),4)</f>
        <v>D28</v>
      </c>
      <c r="D4385" t="b" cm="1">
        <f t="array" aca="1" ref="D4385" ca="1">IF(INDIRECT("'"&amp;A4385&amp;"'!"&amp;B4385)="",FALSE,IF(INDIRECT("'"&amp;A4385&amp;"'!"&amp;B4385)&lt;0,TRUE,FALSE))</f>
        <v>0</v>
      </c>
      <c r="E4385" t="s">
        <v>434</v>
      </c>
      <c r="F4385" t="str">
        <f>INDEX(Lists!I:I,MATCH(Validation!E4385,Lists!G:G,0))</f>
        <v>Error</v>
      </c>
      <c r="G4385" t="str">
        <f>INDEX(Lists!H:H,MATCH(Validation!E4385,Lists!G:G,0))</f>
        <v>Amount may not be negative. Enter an amount greater than or equal to zero.</v>
      </c>
      <c r="H4385" s="25" t="str">
        <f t="shared" ca="1" si="453"/>
        <v/>
      </c>
      <c r="I4385" s="25" t="str">
        <f t="shared" ca="1" si="454"/>
        <v/>
      </c>
      <c r="J4385" s="26" t="str">
        <f t="shared" ca="1" si="455"/>
        <v/>
      </c>
    </row>
    <row r="4386" spans="1:10" x14ac:dyDescent="0.25">
      <c r="A4386" t="s">
        <v>660</v>
      </c>
      <c r="B4386" t="str">
        <f>ADDRESS(ROW('PAYG 1'!$C$28),COLUMN('PAYG 1'!$C$28),4)</f>
        <v>C28</v>
      </c>
      <c r="C4386" t="str">
        <f>ADDRESS(ROW('PAYG 1'!$D$28),COLUMN('PAYG 1'!$D$28),4)</f>
        <v>D28</v>
      </c>
      <c r="D4386" t="b" cm="1">
        <f t="array" aca="1" ref="D4386" ca="1">IF(INDIRECT("'"&amp;A4386&amp;"'!"&amp;B4386)="",FALSE,IF(INDIRECT("'"&amp;A4386&amp;"'!"&amp;B4386)&lt;0,TRUE,FALSE))</f>
        <v>0</v>
      </c>
      <c r="E4386" t="s">
        <v>434</v>
      </c>
      <c r="F4386" t="str">
        <f>INDEX(Lists!I:I,MATCH(Validation!E4386,Lists!G:G,0))</f>
        <v>Error</v>
      </c>
      <c r="G4386" t="str">
        <f>INDEX(Lists!H:H,MATCH(Validation!E4386,Lists!G:G,0))</f>
        <v>Amount may not be negative. Enter an amount greater than or equal to zero.</v>
      </c>
      <c r="H4386" s="25" t="str">
        <f t="shared" ca="1" si="453"/>
        <v/>
      </c>
      <c r="I4386" s="25" t="str">
        <f t="shared" ca="1" si="454"/>
        <v/>
      </c>
      <c r="J4386" s="26" t="str">
        <f t="shared" ca="1" si="455"/>
        <v/>
      </c>
    </row>
    <row r="4387" spans="1:10" x14ac:dyDescent="0.25">
      <c r="A4387" t="s">
        <v>661</v>
      </c>
      <c r="B4387" t="str">
        <f>ADDRESS(ROW('PAYG 1'!$C$28),COLUMN('PAYG 1'!$C$28),4)</f>
        <v>C28</v>
      </c>
      <c r="C4387" t="str">
        <f>ADDRESS(ROW('PAYG 1'!$D$28),COLUMN('PAYG 1'!$D$28),4)</f>
        <v>D28</v>
      </c>
      <c r="D4387" t="b" cm="1">
        <f t="array" aca="1" ref="D4387" ca="1">IF(INDIRECT("'"&amp;A4387&amp;"'!"&amp;B4387)="",FALSE,IF(INDIRECT("'"&amp;A4387&amp;"'!"&amp;B4387)&lt;0,TRUE,FALSE))</f>
        <v>0</v>
      </c>
      <c r="E4387" t="s">
        <v>434</v>
      </c>
      <c r="F4387" t="str">
        <f>INDEX(Lists!I:I,MATCH(Validation!E4387,Lists!G:G,0))</f>
        <v>Error</v>
      </c>
      <c r="G4387" t="str">
        <f>INDEX(Lists!H:H,MATCH(Validation!E4387,Lists!G:G,0))</f>
        <v>Amount may not be negative. Enter an amount greater than or equal to zero.</v>
      </c>
      <c r="H4387" s="25" t="str">
        <f t="shared" ca="1" si="453"/>
        <v/>
      </c>
      <c r="I4387" s="25" t="str">
        <f t="shared" ca="1" si="454"/>
        <v/>
      </c>
      <c r="J4387" s="26" t="str">
        <f t="shared" ca="1" si="455"/>
        <v/>
      </c>
    </row>
    <row r="4388" spans="1:10" x14ac:dyDescent="0.25">
      <c r="A4388" t="s">
        <v>662</v>
      </c>
      <c r="B4388" t="str">
        <f>ADDRESS(ROW('PAYG 1'!$C$28),COLUMN('PAYG 1'!$C$28),4)</f>
        <v>C28</v>
      </c>
      <c r="C4388" t="str">
        <f>ADDRESS(ROW('PAYG 1'!$D$28),COLUMN('PAYG 1'!$D$28),4)</f>
        <v>D28</v>
      </c>
      <c r="D4388" t="b" cm="1">
        <f t="array" aca="1" ref="D4388" ca="1">IF(INDIRECT("'"&amp;A4388&amp;"'!"&amp;B4388)="",FALSE,IF(INDIRECT("'"&amp;A4388&amp;"'!"&amp;B4388)&lt;0,TRUE,FALSE))</f>
        <v>0</v>
      </c>
      <c r="E4388" t="s">
        <v>434</v>
      </c>
      <c r="F4388" t="str">
        <f>INDEX(Lists!I:I,MATCH(Validation!E4388,Lists!G:G,0))</f>
        <v>Error</v>
      </c>
      <c r="G4388" t="str">
        <f>INDEX(Lists!H:H,MATCH(Validation!E4388,Lists!G:G,0))</f>
        <v>Amount may not be negative. Enter an amount greater than or equal to zero.</v>
      </c>
      <c r="H4388" s="25" t="str">
        <f t="shared" ca="1" si="453"/>
        <v/>
      </c>
      <c r="I4388" s="25" t="str">
        <f t="shared" ca="1" si="454"/>
        <v/>
      </c>
      <c r="J4388" s="26" t="str">
        <f t="shared" ca="1" si="455"/>
        <v/>
      </c>
    </row>
    <row r="4389" spans="1:10" x14ac:dyDescent="0.25">
      <c r="A4389" t="s">
        <v>663</v>
      </c>
      <c r="B4389" t="str">
        <f>ADDRESS(ROW('PAYG 1'!$C$28),COLUMN('PAYG 1'!$C$28),4)</f>
        <v>C28</v>
      </c>
      <c r="C4389" t="str">
        <f>ADDRESS(ROW('PAYG 1'!$D$28),COLUMN('PAYG 1'!$D$28),4)</f>
        <v>D28</v>
      </c>
      <c r="D4389" t="b" cm="1">
        <f t="array" aca="1" ref="D4389" ca="1">IF(INDIRECT("'"&amp;A4389&amp;"'!"&amp;B4389)="",FALSE,IF(INDIRECT("'"&amp;A4389&amp;"'!"&amp;B4389)&lt;0,TRUE,FALSE))</f>
        <v>0</v>
      </c>
      <c r="E4389" t="s">
        <v>434</v>
      </c>
      <c r="F4389" t="str">
        <f>INDEX(Lists!I:I,MATCH(Validation!E4389,Lists!G:G,0))</f>
        <v>Error</v>
      </c>
      <c r="G4389" t="str">
        <f>INDEX(Lists!H:H,MATCH(Validation!E4389,Lists!G:G,0))</f>
        <v>Amount may not be negative. Enter an amount greater than or equal to zero.</v>
      </c>
      <c r="H4389" s="25" t="str">
        <f t="shared" ca="1" si="453"/>
        <v/>
      </c>
      <c r="I4389" s="25" t="str">
        <f t="shared" ca="1" si="454"/>
        <v/>
      </c>
      <c r="J4389" s="26" t="str">
        <f t="shared" ca="1" si="455"/>
        <v/>
      </c>
    </row>
    <row r="4390" spans="1:10" x14ac:dyDescent="0.25">
      <c r="A4390" t="s">
        <v>664</v>
      </c>
      <c r="B4390" t="str">
        <f>ADDRESS(ROW('PAYG 1'!$C$28),COLUMN('PAYG 1'!$C$28),4)</f>
        <v>C28</v>
      </c>
      <c r="C4390" t="str">
        <f>ADDRESS(ROW('PAYG 1'!$D$28),COLUMN('PAYG 1'!$D$28),4)</f>
        <v>D28</v>
      </c>
      <c r="D4390" t="b" cm="1">
        <f t="array" aca="1" ref="D4390" ca="1">IF(INDIRECT("'"&amp;A4390&amp;"'!"&amp;B4390)="",FALSE,IF(INDIRECT("'"&amp;A4390&amp;"'!"&amp;B4390)&lt;0,TRUE,FALSE))</f>
        <v>0</v>
      </c>
      <c r="E4390" t="s">
        <v>434</v>
      </c>
      <c r="F4390" t="str">
        <f>INDEX(Lists!I:I,MATCH(Validation!E4390,Lists!G:G,0))</f>
        <v>Error</v>
      </c>
      <c r="G4390" t="str">
        <f>INDEX(Lists!H:H,MATCH(Validation!E4390,Lists!G:G,0))</f>
        <v>Amount may not be negative. Enter an amount greater than or equal to zero.</v>
      </c>
      <c r="H4390" s="25" t="str">
        <f t="shared" ca="1" si="453"/>
        <v/>
      </c>
      <c r="I4390" s="25" t="str">
        <f t="shared" ca="1" si="454"/>
        <v/>
      </c>
      <c r="J4390" s="26" t="str">
        <f t="shared" ca="1" si="455"/>
        <v/>
      </c>
    </row>
    <row r="4391" spans="1:10" x14ac:dyDescent="0.25">
      <c r="A4391" t="s">
        <v>203</v>
      </c>
      <c r="B4391" t="str">
        <f>ADDRESS(ROW('PAYG 1'!$C$28),COLUMN('PAYG 1'!$C$28),4)</f>
        <v>C28</v>
      </c>
      <c r="C4391" t="str">
        <f>ADDRESS(ROW('PAYG 1'!$D$28),COLUMN('PAYG 1'!$D$28),4)</f>
        <v>D28</v>
      </c>
      <c r="D4391" t="b" cm="1">
        <f t="array" aca="1" ref="D4391" ca="1">IF(INDIRECT("'"&amp;A4391&amp;"'!"&amp;B4391)="",FALSE,IF(TRUNC(INDIRECT("'"&amp;A4391&amp;"'!"&amp;B4391))=INDIRECT("'"&amp;A4391&amp;"'!"&amp;B4391),FALSE,TRUE))</f>
        <v>0</v>
      </c>
      <c r="E4391" t="s">
        <v>436</v>
      </c>
      <c r="F4391" t="str">
        <f>INDEX(Lists!I:I,MATCH(Validation!E4391,Lists!G:G,0))</f>
        <v>Error</v>
      </c>
      <c r="G4391" t="str">
        <f>INDEX(Lists!H:H,MATCH(Validation!E4391,Lists!G:G,0))</f>
        <v>Amount must be rounded to the nearest dollar.</v>
      </c>
      <c r="H4391" s="25" t="str">
        <f t="shared" ca="1" si="453"/>
        <v/>
      </c>
      <c r="I4391" s="25" t="str">
        <f t="shared" ca="1" si="454"/>
        <v/>
      </c>
      <c r="J4391" s="26" t="str">
        <f t="shared" ca="1" si="455"/>
        <v/>
      </c>
    </row>
    <row r="4392" spans="1:10" x14ac:dyDescent="0.25">
      <c r="A4392" t="s">
        <v>651</v>
      </c>
      <c r="B4392" t="str">
        <f>ADDRESS(ROW('PAYG 1'!$C$28),COLUMN('PAYG 1'!$C$28),4)</f>
        <v>C28</v>
      </c>
      <c r="C4392" t="str">
        <f>ADDRESS(ROW('PAYG 1'!$D$28),COLUMN('PAYG 1'!$D$28),4)</f>
        <v>D28</v>
      </c>
      <c r="D4392" t="b" cm="1">
        <f t="array" aca="1" ref="D4392" ca="1">IF(INDIRECT("'"&amp;A4392&amp;"'!"&amp;B4392)="",FALSE,IF(TRUNC(INDIRECT("'"&amp;A4392&amp;"'!"&amp;B4392))=INDIRECT("'"&amp;A4392&amp;"'!"&amp;B4392),FALSE,TRUE))</f>
        <v>0</v>
      </c>
      <c r="E4392" t="s">
        <v>436</v>
      </c>
      <c r="F4392" t="str">
        <f>INDEX(Lists!I:I,MATCH(Validation!E4392,Lists!G:G,0))</f>
        <v>Error</v>
      </c>
      <c r="G4392" t="str">
        <f>INDEX(Lists!H:H,MATCH(Validation!E4392,Lists!G:G,0))</f>
        <v>Amount must be rounded to the nearest dollar.</v>
      </c>
      <c r="H4392" s="25" t="str">
        <f t="shared" ca="1" si="453"/>
        <v/>
      </c>
      <c r="I4392" s="25" t="str">
        <f t="shared" ca="1" si="454"/>
        <v/>
      </c>
      <c r="J4392" s="26" t="str">
        <f t="shared" ca="1" si="455"/>
        <v/>
      </c>
    </row>
    <row r="4393" spans="1:10" x14ac:dyDescent="0.25">
      <c r="A4393" t="s">
        <v>652</v>
      </c>
      <c r="B4393" t="str">
        <f>ADDRESS(ROW('PAYG 1'!$C$28),COLUMN('PAYG 1'!$C$28),4)</f>
        <v>C28</v>
      </c>
      <c r="C4393" t="str">
        <f>ADDRESS(ROW('PAYG 1'!$D$28),COLUMN('PAYG 1'!$D$28),4)</f>
        <v>D28</v>
      </c>
      <c r="D4393" t="b" cm="1">
        <f t="array" aca="1" ref="D4393" ca="1">IF(INDIRECT("'"&amp;A4393&amp;"'!"&amp;B4393)="",FALSE,IF(TRUNC(INDIRECT("'"&amp;A4393&amp;"'!"&amp;B4393))=INDIRECT("'"&amp;A4393&amp;"'!"&amp;B4393),FALSE,TRUE))</f>
        <v>0</v>
      </c>
      <c r="E4393" t="s">
        <v>436</v>
      </c>
      <c r="F4393" t="str">
        <f>INDEX(Lists!I:I,MATCH(Validation!E4393,Lists!G:G,0))</f>
        <v>Error</v>
      </c>
      <c r="G4393" t="str">
        <f>INDEX(Lists!H:H,MATCH(Validation!E4393,Lists!G:G,0))</f>
        <v>Amount must be rounded to the nearest dollar.</v>
      </c>
      <c r="H4393" s="25" t="str">
        <f t="shared" ca="1" si="453"/>
        <v/>
      </c>
      <c r="I4393" s="25" t="str">
        <f t="shared" ca="1" si="454"/>
        <v/>
      </c>
      <c r="J4393" s="26" t="str">
        <f t="shared" ca="1" si="455"/>
        <v/>
      </c>
    </row>
    <row r="4394" spans="1:10" x14ac:dyDescent="0.25">
      <c r="A4394" t="s">
        <v>653</v>
      </c>
      <c r="B4394" t="str">
        <f>ADDRESS(ROW('PAYG 1'!$C$28),COLUMN('PAYG 1'!$C$28),4)</f>
        <v>C28</v>
      </c>
      <c r="C4394" t="str">
        <f>ADDRESS(ROW('PAYG 1'!$D$28),COLUMN('PAYG 1'!$D$28),4)</f>
        <v>D28</v>
      </c>
      <c r="D4394" t="b" cm="1">
        <f t="array" aca="1" ref="D4394" ca="1">IF(INDIRECT("'"&amp;A4394&amp;"'!"&amp;B4394)="",FALSE,IF(TRUNC(INDIRECT("'"&amp;A4394&amp;"'!"&amp;B4394))=INDIRECT("'"&amp;A4394&amp;"'!"&amp;B4394),FALSE,TRUE))</f>
        <v>0</v>
      </c>
      <c r="E4394" t="s">
        <v>436</v>
      </c>
      <c r="F4394" t="str">
        <f>INDEX(Lists!I:I,MATCH(Validation!E4394,Lists!G:G,0))</f>
        <v>Error</v>
      </c>
      <c r="G4394" t="str">
        <f>INDEX(Lists!H:H,MATCH(Validation!E4394,Lists!G:G,0))</f>
        <v>Amount must be rounded to the nearest dollar.</v>
      </c>
      <c r="H4394" s="25" t="str">
        <f t="shared" ca="1" si="453"/>
        <v/>
      </c>
      <c r="I4394" s="25" t="str">
        <f t="shared" ca="1" si="454"/>
        <v/>
      </c>
      <c r="J4394" s="26" t="str">
        <f t="shared" ca="1" si="455"/>
        <v/>
      </c>
    </row>
    <row r="4395" spans="1:10" x14ac:dyDescent="0.25">
      <c r="A4395" t="s">
        <v>654</v>
      </c>
      <c r="B4395" t="str">
        <f>ADDRESS(ROW('PAYG 1'!$C$28),COLUMN('PAYG 1'!$C$28),4)</f>
        <v>C28</v>
      </c>
      <c r="C4395" t="str">
        <f>ADDRESS(ROW('PAYG 1'!$D$28),COLUMN('PAYG 1'!$D$28),4)</f>
        <v>D28</v>
      </c>
      <c r="D4395" t="b" cm="1">
        <f t="array" aca="1" ref="D4395" ca="1">IF(INDIRECT("'"&amp;A4395&amp;"'!"&amp;B4395)="",FALSE,IF(TRUNC(INDIRECT("'"&amp;A4395&amp;"'!"&amp;B4395))=INDIRECT("'"&amp;A4395&amp;"'!"&amp;B4395),FALSE,TRUE))</f>
        <v>0</v>
      </c>
      <c r="E4395" t="s">
        <v>436</v>
      </c>
      <c r="F4395" t="str">
        <f>INDEX(Lists!I:I,MATCH(Validation!E4395,Lists!G:G,0))</f>
        <v>Error</v>
      </c>
      <c r="G4395" t="str">
        <f>INDEX(Lists!H:H,MATCH(Validation!E4395,Lists!G:G,0))</f>
        <v>Amount must be rounded to the nearest dollar.</v>
      </c>
      <c r="H4395" s="25" t="str">
        <f t="shared" ca="1" si="453"/>
        <v/>
      </c>
      <c r="I4395" s="25" t="str">
        <f t="shared" ca="1" si="454"/>
        <v/>
      </c>
      <c r="J4395" s="26" t="str">
        <f t="shared" ca="1" si="455"/>
        <v/>
      </c>
    </row>
    <row r="4396" spans="1:10" x14ac:dyDescent="0.25">
      <c r="A4396" t="s">
        <v>655</v>
      </c>
      <c r="B4396" t="str">
        <f>ADDRESS(ROW('PAYG 1'!$C$28),COLUMN('PAYG 1'!$C$28),4)</f>
        <v>C28</v>
      </c>
      <c r="C4396" t="str">
        <f>ADDRESS(ROW('PAYG 1'!$D$28),COLUMN('PAYG 1'!$D$28),4)</f>
        <v>D28</v>
      </c>
      <c r="D4396" t="b" cm="1">
        <f t="array" aca="1" ref="D4396" ca="1">IF(INDIRECT("'"&amp;A4396&amp;"'!"&amp;B4396)="",FALSE,IF(TRUNC(INDIRECT("'"&amp;A4396&amp;"'!"&amp;B4396))=INDIRECT("'"&amp;A4396&amp;"'!"&amp;B4396),FALSE,TRUE))</f>
        <v>0</v>
      </c>
      <c r="E4396" t="s">
        <v>436</v>
      </c>
      <c r="F4396" t="str">
        <f>INDEX(Lists!I:I,MATCH(Validation!E4396,Lists!G:G,0))</f>
        <v>Error</v>
      </c>
      <c r="G4396" t="str">
        <f>INDEX(Lists!H:H,MATCH(Validation!E4396,Lists!G:G,0))</f>
        <v>Amount must be rounded to the nearest dollar.</v>
      </c>
      <c r="H4396" s="25" t="str">
        <f t="shared" ca="1" si="453"/>
        <v/>
      </c>
      <c r="I4396" s="25" t="str">
        <f t="shared" ca="1" si="454"/>
        <v/>
      </c>
      <c r="J4396" s="26" t="str">
        <f t="shared" ca="1" si="455"/>
        <v/>
      </c>
    </row>
    <row r="4397" spans="1:10" x14ac:dyDescent="0.25">
      <c r="A4397" t="s">
        <v>656</v>
      </c>
      <c r="B4397" t="str">
        <f>ADDRESS(ROW('PAYG 1'!$C$28),COLUMN('PAYG 1'!$C$28),4)</f>
        <v>C28</v>
      </c>
      <c r="C4397" t="str">
        <f>ADDRESS(ROW('PAYG 1'!$D$28),COLUMN('PAYG 1'!$D$28),4)</f>
        <v>D28</v>
      </c>
      <c r="D4397" t="b" cm="1">
        <f t="array" aca="1" ref="D4397" ca="1">IF(INDIRECT("'"&amp;A4397&amp;"'!"&amp;B4397)="",FALSE,IF(TRUNC(INDIRECT("'"&amp;A4397&amp;"'!"&amp;B4397))=INDIRECT("'"&amp;A4397&amp;"'!"&amp;B4397),FALSE,TRUE))</f>
        <v>0</v>
      </c>
      <c r="E4397" t="s">
        <v>436</v>
      </c>
      <c r="F4397" t="str">
        <f>INDEX(Lists!I:I,MATCH(Validation!E4397,Lists!G:G,0))</f>
        <v>Error</v>
      </c>
      <c r="G4397" t="str">
        <f>INDEX(Lists!H:H,MATCH(Validation!E4397,Lists!G:G,0))</f>
        <v>Amount must be rounded to the nearest dollar.</v>
      </c>
      <c r="H4397" s="25" t="str">
        <f t="shared" ca="1" si="453"/>
        <v/>
      </c>
      <c r="I4397" s="25" t="str">
        <f t="shared" ca="1" si="454"/>
        <v/>
      </c>
      <c r="J4397" s="26" t="str">
        <f t="shared" ca="1" si="455"/>
        <v/>
      </c>
    </row>
    <row r="4398" spans="1:10" x14ac:dyDescent="0.25">
      <c r="A4398" t="s">
        <v>657</v>
      </c>
      <c r="B4398" t="str">
        <f>ADDRESS(ROW('PAYG 1'!$C$28),COLUMN('PAYG 1'!$C$28),4)</f>
        <v>C28</v>
      </c>
      <c r="C4398" t="str">
        <f>ADDRESS(ROW('PAYG 1'!$D$28),COLUMN('PAYG 1'!$D$28),4)</f>
        <v>D28</v>
      </c>
      <c r="D4398" t="b" cm="1">
        <f t="array" aca="1" ref="D4398" ca="1">IF(INDIRECT("'"&amp;A4398&amp;"'!"&amp;B4398)="",FALSE,IF(TRUNC(INDIRECT("'"&amp;A4398&amp;"'!"&amp;B4398))=INDIRECT("'"&amp;A4398&amp;"'!"&amp;B4398),FALSE,TRUE))</f>
        <v>0</v>
      </c>
      <c r="E4398" t="s">
        <v>436</v>
      </c>
      <c r="F4398" t="str">
        <f>INDEX(Lists!I:I,MATCH(Validation!E4398,Lists!G:G,0))</f>
        <v>Error</v>
      </c>
      <c r="G4398" t="str">
        <f>INDEX(Lists!H:H,MATCH(Validation!E4398,Lists!G:G,0))</f>
        <v>Amount must be rounded to the nearest dollar.</v>
      </c>
      <c r="H4398" s="25" t="str">
        <f t="shared" ca="1" si="453"/>
        <v/>
      </c>
      <c r="I4398" s="25" t="str">
        <f t="shared" ca="1" si="454"/>
        <v/>
      </c>
      <c r="J4398" s="26" t="str">
        <f t="shared" ca="1" si="455"/>
        <v/>
      </c>
    </row>
    <row r="4399" spans="1:10" x14ac:dyDescent="0.25">
      <c r="A4399" t="s">
        <v>658</v>
      </c>
      <c r="B4399" t="str">
        <f>ADDRESS(ROW('PAYG 1'!$C$28),COLUMN('PAYG 1'!$C$28),4)</f>
        <v>C28</v>
      </c>
      <c r="C4399" t="str">
        <f>ADDRESS(ROW('PAYG 1'!$D$28),COLUMN('PAYG 1'!$D$28),4)</f>
        <v>D28</v>
      </c>
      <c r="D4399" t="b" cm="1">
        <f t="array" aca="1" ref="D4399" ca="1">IF(INDIRECT("'"&amp;A4399&amp;"'!"&amp;B4399)="",FALSE,IF(TRUNC(INDIRECT("'"&amp;A4399&amp;"'!"&amp;B4399))=INDIRECT("'"&amp;A4399&amp;"'!"&amp;B4399),FALSE,TRUE))</f>
        <v>0</v>
      </c>
      <c r="E4399" t="s">
        <v>436</v>
      </c>
      <c r="F4399" t="str">
        <f>INDEX(Lists!I:I,MATCH(Validation!E4399,Lists!G:G,0))</f>
        <v>Error</v>
      </c>
      <c r="G4399" t="str">
        <f>INDEX(Lists!H:H,MATCH(Validation!E4399,Lists!G:G,0))</f>
        <v>Amount must be rounded to the nearest dollar.</v>
      </c>
      <c r="H4399" s="25" t="str">
        <f t="shared" ca="1" si="453"/>
        <v/>
      </c>
      <c r="I4399" s="25" t="str">
        <f t="shared" ca="1" si="454"/>
        <v/>
      </c>
      <c r="J4399" s="26" t="str">
        <f t="shared" ca="1" si="455"/>
        <v/>
      </c>
    </row>
    <row r="4400" spans="1:10" x14ac:dyDescent="0.25">
      <c r="A4400" t="s">
        <v>659</v>
      </c>
      <c r="B4400" t="str">
        <f>ADDRESS(ROW('PAYG 1'!$C$28),COLUMN('PAYG 1'!$C$28),4)</f>
        <v>C28</v>
      </c>
      <c r="C4400" t="str">
        <f>ADDRESS(ROW('PAYG 1'!$D$28),COLUMN('PAYG 1'!$D$28),4)</f>
        <v>D28</v>
      </c>
      <c r="D4400" t="b" cm="1">
        <f t="array" aca="1" ref="D4400" ca="1">IF(INDIRECT("'"&amp;A4400&amp;"'!"&amp;B4400)="",FALSE,IF(TRUNC(INDIRECT("'"&amp;A4400&amp;"'!"&amp;B4400))=INDIRECT("'"&amp;A4400&amp;"'!"&amp;B4400),FALSE,TRUE))</f>
        <v>0</v>
      </c>
      <c r="E4400" t="s">
        <v>436</v>
      </c>
      <c r="F4400" t="str">
        <f>INDEX(Lists!I:I,MATCH(Validation!E4400,Lists!G:G,0))</f>
        <v>Error</v>
      </c>
      <c r="G4400" t="str">
        <f>INDEX(Lists!H:H,MATCH(Validation!E4400,Lists!G:G,0))</f>
        <v>Amount must be rounded to the nearest dollar.</v>
      </c>
      <c r="H4400" s="25" t="str">
        <f t="shared" ca="1" si="453"/>
        <v/>
      </c>
      <c r="I4400" s="25" t="str">
        <f t="shared" ca="1" si="454"/>
        <v/>
      </c>
      <c r="J4400" s="26" t="str">
        <f t="shared" ca="1" si="455"/>
        <v/>
      </c>
    </row>
    <row r="4401" spans="1:10" x14ac:dyDescent="0.25">
      <c r="A4401" t="s">
        <v>660</v>
      </c>
      <c r="B4401" t="str">
        <f>ADDRESS(ROW('PAYG 1'!$C$28),COLUMN('PAYG 1'!$C$28),4)</f>
        <v>C28</v>
      </c>
      <c r="C4401" t="str">
        <f>ADDRESS(ROW('PAYG 1'!$D$28),COLUMN('PAYG 1'!$D$28),4)</f>
        <v>D28</v>
      </c>
      <c r="D4401" t="b" cm="1">
        <f t="array" aca="1" ref="D4401" ca="1">IF(INDIRECT("'"&amp;A4401&amp;"'!"&amp;B4401)="",FALSE,IF(TRUNC(INDIRECT("'"&amp;A4401&amp;"'!"&amp;B4401))=INDIRECT("'"&amp;A4401&amp;"'!"&amp;B4401),FALSE,TRUE))</f>
        <v>0</v>
      </c>
      <c r="E4401" t="s">
        <v>436</v>
      </c>
      <c r="F4401" t="str">
        <f>INDEX(Lists!I:I,MATCH(Validation!E4401,Lists!G:G,0))</f>
        <v>Error</v>
      </c>
      <c r="G4401" t="str">
        <f>INDEX(Lists!H:H,MATCH(Validation!E4401,Lists!G:G,0))</f>
        <v>Amount must be rounded to the nearest dollar.</v>
      </c>
      <c r="H4401" s="25" t="str">
        <f t="shared" ca="1" si="453"/>
        <v/>
      </c>
      <c r="I4401" s="25" t="str">
        <f t="shared" ca="1" si="454"/>
        <v/>
      </c>
      <c r="J4401" s="26" t="str">
        <f t="shared" ca="1" si="455"/>
        <v/>
      </c>
    </row>
    <row r="4402" spans="1:10" x14ac:dyDescent="0.25">
      <c r="A4402" t="s">
        <v>661</v>
      </c>
      <c r="B4402" t="str">
        <f>ADDRESS(ROW('PAYG 1'!$C$28),COLUMN('PAYG 1'!$C$28),4)</f>
        <v>C28</v>
      </c>
      <c r="C4402" t="str">
        <f>ADDRESS(ROW('PAYG 1'!$D$28),COLUMN('PAYG 1'!$D$28),4)</f>
        <v>D28</v>
      </c>
      <c r="D4402" t="b" cm="1">
        <f t="array" aca="1" ref="D4402" ca="1">IF(INDIRECT("'"&amp;A4402&amp;"'!"&amp;B4402)="",FALSE,IF(TRUNC(INDIRECT("'"&amp;A4402&amp;"'!"&amp;B4402))=INDIRECT("'"&amp;A4402&amp;"'!"&amp;B4402),FALSE,TRUE))</f>
        <v>0</v>
      </c>
      <c r="E4402" t="s">
        <v>436</v>
      </c>
      <c r="F4402" t="str">
        <f>INDEX(Lists!I:I,MATCH(Validation!E4402,Lists!G:G,0))</f>
        <v>Error</v>
      </c>
      <c r="G4402" t="str">
        <f>INDEX(Lists!H:H,MATCH(Validation!E4402,Lists!G:G,0))</f>
        <v>Amount must be rounded to the nearest dollar.</v>
      </c>
      <c r="H4402" s="25" t="str">
        <f t="shared" ca="1" si="453"/>
        <v/>
      </c>
      <c r="I4402" s="25" t="str">
        <f t="shared" ca="1" si="454"/>
        <v/>
      </c>
      <c r="J4402" s="26" t="str">
        <f t="shared" ca="1" si="455"/>
        <v/>
      </c>
    </row>
    <row r="4403" spans="1:10" x14ac:dyDescent="0.25">
      <c r="A4403" t="s">
        <v>662</v>
      </c>
      <c r="B4403" t="str">
        <f>ADDRESS(ROW('PAYG 1'!$C$28),COLUMN('PAYG 1'!$C$28),4)</f>
        <v>C28</v>
      </c>
      <c r="C4403" t="str">
        <f>ADDRESS(ROW('PAYG 1'!$D$28),COLUMN('PAYG 1'!$D$28),4)</f>
        <v>D28</v>
      </c>
      <c r="D4403" t="b" cm="1">
        <f t="array" aca="1" ref="D4403" ca="1">IF(INDIRECT("'"&amp;A4403&amp;"'!"&amp;B4403)="",FALSE,IF(TRUNC(INDIRECT("'"&amp;A4403&amp;"'!"&amp;B4403))=INDIRECT("'"&amp;A4403&amp;"'!"&amp;B4403),FALSE,TRUE))</f>
        <v>0</v>
      </c>
      <c r="E4403" t="s">
        <v>436</v>
      </c>
      <c r="F4403" t="str">
        <f>INDEX(Lists!I:I,MATCH(Validation!E4403,Lists!G:G,0))</f>
        <v>Error</v>
      </c>
      <c r="G4403" t="str">
        <f>INDEX(Lists!H:H,MATCH(Validation!E4403,Lists!G:G,0))</f>
        <v>Amount must be rounded to the nearest dollar.</v>
      </c>
      <c r="H4403" s="25" t="str">
        <f t="shared" ref="H4403:H4465" ca="1" si="456">IFERROR(IF(OR(NOT(D4403),F4403&lt;&gt;"Error"),"",A4403&amp;CELL("address",INDIRECT(B4403))),"")</f>
        <v/>
      </c>
      <c r="I4403" s="25" t="str">
        <f t="shared" ref="I4403:I4465" ca="1" si="457">IFERROR(IF(NOT(D4403),"",A4403&amp;CELL("address",INDIRECT(C4403))),"")</f>
        <v/>
      </c>
      <c r="J4403" s="26" t="str">
        <f t="shared" ref="J4403:J4465" ca="1" si="458">IFERROR(IF(NOT(D4403),"",A4403),"")</f>
        <v/>
      </c>
    </row>
    <row r="4404" spans="1:10" x14ac:dyDescent="0.25">
      <c r="A4404" t="s">
        <v>663</v>
      </c>
      <c r="B4404" t="str">
        <f>ADDRESS(ROW('PAYG 1'!$C$28),COLUMN('PAYG 1'!$C$28),4)</f>
        <v>C28</v>
      </c>
      <c r="C4404" t="str">
        <f>ADDRESS(ROW('PAYG 1'!$D$28),COLUMN('PAYG 1'!$D$28),4)</f>
        <v>D28</v>
      </c>
      <c r="D4404" t="b" cm="1">
        <f t="array" aca="1" ref="D4404" ca="1">IF(INDIRECT("'"&amp;A4404&amp;"'!"&amp;B4404)="",FALSE,IF(TRUNC(INDIRECT("'"&amp;A4404&amp;"'!"&amp;B4404))=INDIRECT("'"&amp;A4404&amp;"'!"&amp;B4404),FALSE,TRUE))</f>
        <v>0</v>
      </c>
      <c r="E4404" t="s">
        <v>436</v>
      </c>
      <c r="F4404" t="str">
        <f>INDEX(Lists!I:I,MATCH(Validation!E4404,Lists!G:G,0))</f>
        <v>Error</v>
      </c>
      <c r="G4404" t="str">
        <f>INDEX(Lists!H:H,MATCH(Validation!E4404,Lists!G:G,0))</f>
        <v>Amount must be rounded to the nearest dollar.</v>
      </c>
      <c r="H4404" s="25" t="str">
        <f t="shared" ca="1" si="456"/>
        <v/>
      </c>
      <c r="I4404" s="25" t="str">
        <f t="shared" ca="1" si="457"/>
        <v/>
      </c>
      <c r="J4404" s="26" t="str">
        <f t="shared" ca="1" si="458"/>
        <v/>
      </c>
    </row>
    <row r="4405" spans="1:10" x14ac:dyDescent="0.25">
      <c r="A4405" t="s">
        <v>664</v>
      </c>
      <c r="B4405" t="str">
        <f>ADDRESS(ROW('PAYG 1'!$C$28),COLUMN('PAYG 1'!$C$28),4)</f>
        <v>C28</v>
      </c>
      <c r="C4405" t="str">
        <f>ADDRESS(ROW('PAYG 1'!$D$28),COLUMN('PAYG 1'!$D$28),4)</f>
        <v>D28</v>
      </c>
      <c r="D4405" t="b" cm="1">
        <f t="array" aca="1" ref="D4405" ca="1">IF(INDIRECT("'"&amp;A4405&amp;"'!"&amp;B4405)="",FALSE,IF(TRUNC(INDIRECT("'"&amp;A4405&amp;"'!"&amp;B4405))=INDIRECT("'"&amp;A4405&amp;"'!"&amp;B4405),FALSE,TRUE))</f>
        <v>0</v>
      </c>
      <c r="E4405" t="s">
        <v>436</v>
      </c>
      <c r="F4405" t="str">
        <f>INDEX(Lists!I:I,MATCH(Validation!E4405,Lists!G:G,0))</f>
        <v>Error</v>
      </c>
      <c r="G4405" t="str">
        <f>INDEX(Lists!H:H,MATCH(Validation!E4405,Lists!G:G,0))</f>
        <v>Amount must be rounded to the nearest dollar.</v>
      </c>
      <c r="H4405" s="25" t="str">
        <f t="shared" ca="1" si="456"/>
        <v/>
      </c>
      <c r="I4405" s="25" t="str">
        <f t="shared" ca="1" si="457"/>
        <v/>
      </c>
      <c r="J4405" s="26" t="str">
        <f t="shared" ca="1" si="458"/>
        <v/>
      </c>
    </row>
    <row r="4406" spans="1:10" x14ac:dyDescent="0.25">
      <c r="A4406" t="s">
        <v>203</v>
      </c>
      <c r="B4406" t="str">
        <f>ADDRESS(ROW('PAYG 1'!$B$29),COLUMN('PAYG 1'!$B$29),4)</f>
        <v>B29</v>
      </c>
      <c r="C4406" t="str">
        <f>ADDRESS(ROW('PAYG 1'!$D$29),COLUMN('PAYG 1'!$D$29),4)</f>
        <v>D29</v>
      </c>
      <c r="D4406" t="b" cm="1">
        <f t="array" aca="1" ref="D4406" ca="1">IF(INDIRECT("'"&amp;A4406&amp;"'!"&amp;B4406)="",FALSE,IF(NOT(ISNUMBER(INDIRECT("'"&amp;A4406&amp;"'!"&amp;B4406))),TRUE,FALSE))</f>
        <v>0</v>
      </c>
      <c r="E4406" t="s">
        <v>435</v>
      </c>
      <c r="F4406" t="str">
        <f>INDEX(Lists!I:I,MATCH(Validation!E4406,Lists!G:G,0))</f>
        <v>Error</v>
      </c>
      <c r="G4406" t="str">
        <f>INDEX(Lists!H:H,MATCH(Validation!E4406,Lists!G:G,0))</f>
        <v>Enter an amount only. Do not enter text or spaces.</v>
      </c>
      <c r="H4406" s="25" t="str">
        <f t="shared" ca="1" si="456"/>
        <v/>
      </c>
      <c r="I4406" s="25" t="str">
        <f t="shared" ca="1" si="457"/>
        <v/>
      </c>
      <c r="J4406" s="26" t="str">
        <f t="shared" ca="1" si="458"/>
        <v/>
      </c>
    </row>
    <row r="4407" spans="1:10" x14ac:dyDescent="0.25">
      <c r="A4407" t="s">
        <v>651</v>
      </c>
      <c r="B4407" t="str">
        <f>ADDRESS(ROW('PAYG 1'!$B$29),COLUMN('PAYG 1'!$B$29),4)</f>
        <v>B29</v>
      </c>
      <c r="C4407" t="str">
        <f>ADDRESS(ROW('PAYG 1'!$D$29),COLUMN('PAYG 1'!$D$29),4)</f>
        <v>D29</v>
      </c>
      <c r="D4407" t="b" cm="1">
        <f t="array" aca="1" ref="D4407" ca="1">IF(INDIRECT("'"&amp;A4407&amp;"'!"&amp;B4407)="",FALSE,IF(NOT(ISNUMBER(INDIRECT("'"&amp;A4407&amp;"'!"&amp;B4407))),TRUE,FALSE))</f>
        <v>0</v>
      </c>
      <c r="E4407" t="s">
        <v>435</v>
      </c>
      <c r="F4407" t="str">
        <f>INDEX(Lists!I:I,MATCH(Validation!E4407,Lists!G:G,0))</f>
        <v>Error</v>
      </c>
      <c r="G4407" t="str">
        <f>INDEX(Lists!H:H,MATCH(Validation!E4407,Lists!G:G,0))</f>
        <v>Enter an amount only. Do not enter text or spaces.</v>
      </c>
      <c r="H4407" s="25" t="str">
        <f t="shared" ca="1" si="456"/>
        <v/>
      </c>
      <c r="I4407" s="25" t="str">
        <f t="shared" ca="1" si="457"/>
        <v/>
      </c>
      <c r="J4407" s="26" t="str">
        <f t="shared" ca="1" si="458"/>
        <v/>
      </c>
    </row>
    <row r="4408" spans="1:10" x14ac:dyDescent="0.25">
      <c r="A4408" t="s">
        <v>652</v>
      </c>
      <c r="B4408" t="str">
        <f>ADDRESS(ROW('PAYG 1'!$B$29),COLUMN('PAYG 1'!$B$29),4)</f>
        <v>B29</v>
      </c>
      <c r="C4408" t="str">
        <f>ADDRESS(ROW('PAYG 1'!$D$29),COLUMN('PAYG 1'!$D$29),4)</f>
        <v>D29</v>
      </c>
      <c r="D4408" t="b" cm="1">
        <f t="array" aca="1" ref="D4408" ca="1">IF(INDIRECT("'"&amp;A4408&amp;"'!"&amp;B4408)="",FALSE,IF(NOT(ISNUMBER(INDIRECT("'"&amp;A4408&amp;"'!"&amp;B4408))),TRUE,FALSE))</f>
        <v>0</v>
      </c>
      <c r="E4408" t="s">
        <v>435</v>
      </c>
      <c r="F4408" t="str">
        <f>INDEX(Lists!I:I,MATCH(Validation!E4408,Lists!G:G,0))</f>
        <v>Error</v>
      </c>
      <c r="G4408" t="str">
        <f>INDEX(Lists!H:H,MATCH(Validation!E4408,Lists!G:G,0))</f>
        <v>Enter an amount only. Do not enter text or spaces.</v>
      </c>
      <c r="H4408" s="25" t="str">
        <f t="shared" ca="1" si="456"/>
        <v/>
      </c>
      <c r="I4408" s="25" t="str">
        <f t="shared" ca="1" si="457"/>
        <v/>
      </c>
      <c r="J4408" s="26" t="str">
        <f t="shared" ca="1" si="458"/>
        <v/>
      </c>
    </row>
    <row r="4409" spans="1:10" x14ac:dyDescent="0.25">
      <c r="A4409" t="s">
        <v>653</v>
      </c>
      <c r="B4409" t="str">
        <f>ADDRESS(ROW('PAYG 1'!$B$29),COLUMN('PAYG 1'!$B$29),4)</f>
        <v>B29</v>
      </c>
      <c r="C4409" t="str">
        <f>ADDRESS(ROW('PAYG 1'!$D$29),COLUMN('PAYG 1'!$D$29),4)</f>
        <v>D29</v>
      </c>
      <c r="D4409" t="b" cm="1">
        <f t="array" aca="1" ref="D4409" ca="1">IF(INDIRECT("'"&amp;A4409&amp;"'!"&amp;B4409)="",FALSE,IF(NOT(ISNUMBER(INDIRECT("'"&amp;A4409&amp;"'!"&amp;B4409))),TRUE,FALSE))</f>
        <v>0</v>
      </c>
      <c r="E4409" t="s">
        <v>435</v>
      </c>
      <c r="F4409" t="str">
        <f>INDEX(Lists!I:I,MATCH(Validation!E4409,Lists!G:G,0))</f>
        <v>Error</v>
      </c>
      <c r="G4409" t="str">
        <f>INDEX(Lists!H:H,MATCH(Validation!E4409,Lists!G:G,0))</f>
        <v>Enter an amount only. Do not enter text or spaces.</v>
      </c>
      <c r="H4409" s="25" t="str">
        <f t="shared" ca="1" si="456"/>
        <v/>
      </c>
      <c r="I4409" s="25" t="str">
        <f t="shared" ca="1" si="457"/>
        <v/>
      </c>
      <c r="J4409" s="26" t="str">
        <f t="shared" ca="1" si="458"/>
        <v/>
      </c>
    </row>
    <row r="4410" spans="1:10" x14ac:dyDescent="0.25">
      <c r="A4410" t="s">
        <v>654</v>
      </c>
      <c r="B4410" t="str">
        <f>ADDRESS(ROW('PAYG 1'!$B$29),COLUMN('PAYG 1'!$B$29),4)</f>
        <v>B29</v>
      </c>
      <c r="C4410" t="str">
        <f>ADDRESS(ROW('PAYG 1'!$D$29),COLUMN('PAYG 1'!$D$29),4)</f>
        <v>D29</v>
      </c>
      <c r="D4410" t="b" cm="1">
        <f t="array" aca="1" ref="D4410" ca="1">IF(INDIRECT("'"&amp;A4410&amp;"'!"&amp;B4410)="",FALSE,IF(NOT(ISNUMBER(INDIRECT("'"&amp;A4410&amp;"'!"&amp;B4410))),TRUE,FALSE))</f>
        <v>0</v>
      </c>
      <c r="E4410" t="s">
        <v>435</v>
      </c>
      <c r="F4410" t="str">
        <f>INDEX(Lists!I:I,MATCH(Validation!E4410,Lists!G:G,0))</f>
        <v>Error</v>
      </c>
      <c r="G4410" t="str">
        <f>INDEX(Lists!H:H,MATCH(Validation!E4410,Lists!G:G,0))</f>
        <v>Enter an amount only. Do not enter text or spaces.</v>
      </c>
      <c r="H4410" s="25" t="str">
        <f t="shared" ca="1" si="456"/>
        <v/>
      </c>
      <c r="I4410" s="25" t="str">
        <f t="shared" ca="1" si="457"/>
        <v/>
      </c>
      <c r="J4410" s="26" t="str">
        <f t="shared" ca="1" si="458"/>
        <v/>
      </c>
    </row>
    <row r="4411" spans="1:10" x14ac:dyDescent="0.25">
      <c r="A4411" t="s">
        <v>655</v>
      </c>
      <c r="B4411" t="str">
        <f>ADDRESS(ROW('PAYG 1'!$B$29),COLUMN('PAYG 1'!$B$29),4)</f>
        <v>B29</v>
      </c>
      <c r="C4411" t="str">
        <f>ADDRESS(ROW('PAYG 1'!$D$29),COLUMN('PAYG 1'!$D$29),4)</f>
        <v>D29</v>
      </c>
      <c r="D4411" t="b" cm="1">
        <f t="array" aca="1" ref="D4411" ca="1">IF(INDIRECT("'"&amp;A4411&amp;"'!"&amp;B4411)="",FALSE,IF(NOT(ISNUMBER(INDIRECT("'"&amp;A4411&amp;"'!"&amp;B4411))),TRUE,FALSE))</f>
        <v>0</v>
      </c>
      <c r="E4411" t="s">
        <v>435</v>
      </c>
      <c r="F4411" t="str">
        <f>INDEX(Lists!I:I,MATCH(Validation!E4411,Lists!G:G,0))</f>
        <v>Error</v>
      </c>
      <c r="G4411" t="str">
        <f>INDEX(Lists!H:H,MATCH(Validation!E4411,Lists!G:G,0))</f>
        <v>Enter an amount only. Do not enter text or spaces.</v>
      </c>
      <c r="H4411" s="25" t="str">
        <f t="shared" ca="1" si="456"/>
        <v/>
      </c>
      <c r="I4411" s="25" t="str">
        <f t="shared" ca="1" si="457"/>
        <v/>
      </c>
      <c r="J4411" s="26" t="str">
        <f t="shared" ca="1" si="458"/>
        <v/>
      </c>
    </row>
    <row r="4412" spans="1:10" x14ac:dyDescent="0.25">
      <c r="A4412" t="s">
        <v>656</v>
      </c>
      <c r="B4412" t="str">
        <f>ADDRESS(ROW('PAYG 1'!$B$29),COLUMN('PAYG 1'!$B$29),4)</f>
        <v>B29</v>
      </c>
      <c r="C4412" t="str">
        <f>ADDRESS(ROW('PAYG 1'!$D$29),COLUMN('PAYG 1'!$D$29),4)</f>
        <v>D29</v>
      </c>
      <c r="D4412" t="b" cm="1">
        <f t="array" aca="1" ref="D4412" ca="1">IF(INDIRECT("'"&amp;A4412&amp;"'!"&amp;B4412)="",FALSE,IF(NOT(ISNUMBER(INDIRECT("'"&amp;A4412&amp;"'!"&amp;B4412))),TRUE,FALSE))</f>
        <v>0</v>
      </c>
      <c r="E4412" t="s">
        <v>435</v>
      </c>
      <c r="F4412" t="str">
        <f>INDEX(Lists!I:I,MATCH(Validation!E4412,Lists!G:G,0))</f>
        <v>Error</v>
      </c>
      <c r="G4412" t="str">
        <f>INDEX(Lists!H:H,MATCH(Validation!E4412,Lists!G:G,0))</f>
        <v>Enter an amount only. Do not enter text or spaces.</v>
      </c>
      <c r="H4412" s="25" t="str">
        <f t="shared" ca="1" si="456"/>
        <v/>
      </c>
      <c r="I4412" s="25" t="str">
        <f t="shared" ca="1" si="457"/>
        <v/>
      </c>
      <c r="J4412" s="26" t="str">
        <f t="shared" ca="1" si="458"/>
        <v/>
      </c>
    </row>
    <row r="4413" spans="1:10" x14ac:dyDescent="0.25">
      <c r="A4413" t="s">
        <v>657</v>
      </c>
      <c r="B4413" t="str">
        <f>ADDRESS(ROW('PAYG 1'!$B$29),COLUMN('PAYG 1'!$B$29),4)</f>
        <v>B29</v>
      </c>
      <c r="C4413" t="str">
        <f>ADDRESS(ROW('PAYG 1'!$D$29),COLUMN('PAYG 1'!$D$29),4)</f>
        <v>D29</v>
      </c>
      <c r="D4413" t="b" cm="1">
        <f t="array" aca="1" ref="D4413" ca="1">IF(INDIRECT("'"&amp;A4413&amp;"'!"&amp;B4413)="",FALSE,IF(NOT(ISNUMBER(INDIRECT("'"&amp;A4413&amp;"'!"&amp;B4413))),TRUE,FALSE))</f>
        <v>0</v>
      </c>
      <c r="E4413" t="s">
        <v>435</v>
      </c>
      <c r="F4413" t="str">
        <f>INDEX(Lists!I:I,MATCH(Validation!E4413,Lists!G:G,0))</f>
        <v>Error</v>
      </c>
      <c r="G4413" t="str">
        <f>INDEX(Lists!H:H,MATCH(Validation!E4413,Lists!G:G,0))</f>
        <v>Enter an amount only. Do not enter text or spaces.</v>
      </c>
      <c r="H4413" s="25" t="str">
        <f t="shared" ca="1" si="456"/>
        <v/>
      </c>
      <c r="I4413" s="25" t="str">
        <f t="shared" ca="1" si="457"/>
        <v/>
      </c>
      <c r="J4413" s="26" t="str">
        <f t="shared" ca="1" si="458"/>
        <v/>
      </c>
    </row>
    <row r="4414" spans="1:10" x14ac:dyDescent="0.25">
      <c r="A4414" t="s">
        <v>658</v>
      </c>
      <c r="B4414" t="str">
        <f>ADDRESS(ROW('PAYG 1'!$B$29),COLUMN('PAYG 1'!$B$29),4)</f>
        <v>B29</v>
      </c>
      <c r="C4414" t="str">
        <f>ADDRESS(ROW('PAYG 1'!$D$29),COLUMN('PAYG 1'!$D$29),4)</f>
        <v>D29</v>
      </c>
      <c r="D4414" t="b" cm="1">
        <f t="array" aca="1" ref="D4414" ca="1">IF(INDIRECT("'"&amp;A4414&amp;"'!"&amp;B4414)="",FALSE,IF(NOT(ISNUMBER(INDIRECT("'"&amp;A4414&amp;"'!"&amp;B4414))),TRUE,FALSE))</f>
        <v>0</v>
      </c>
      <c r="E4414" t="s">
        <v>435</v>
      </c>
      <c r="F4414" t="str">
        <f>INDEX(Lists!I:I,MATCH(Validation!E4414,Lists!G:G,0))</f>
        <v>Error</v>
      </c>
      <c r="G4414" t="str">
        <f>INDEX(Lists!H:H,MATCH(Validation!E4414,Lists!G:G,0))</f>
        <v>Enter an amount only. Do not enter text or spaces.</v>
      </c>
      <c r="H4414" s="25" t="str">
        <f t="shared" ca="1" si="456"/>
        <v/>
      </c>
      <c r="I4414" s="25" t="str">
        <f t="shared" ca="1" si="457"/>
        <v/>
      </c>
      <c r="J4414" s="26" t="str">
        <f t="shared" ca="1" si="458"/>
        <v/>
      </c>
    </row>
    <row r="4415" spans="1:10" x14ac:dyDescent="0.25">
      <c r="A4415" t="s">
        <v>659</v>
      </c>
      <c r="B4415" t="str">
        <f>ADDRESS(ROW('PAYG 1'!$B$29),COLUMN('PAYG 1'!$B$29),4)</f>
        <v>B29</v>
      </c>
      <c r="C4415" t="str">
        <f>ADDRESS(ROW('PAYG 1'!$D$29),COLUMN('PAYG 1'!$D$29),4)</f>
        <v>D29</v>
      </c>
      <c r="D4415" t="b" cm="1">
        <f t="array" aca="1" ref="D4415" ca="1">IF(INDIRECT("'"&amp;A4415&amp;"'!"&amp;B4415)="",FALSE,IF(NOT(ISNUMBER(INDIRECT("'"&amp;A4415&amp;"'!"&amp;B4415))),TRUE,FALSE))</f>
        <v>0</v>
      </c>
      <c r="E4415" t="s">
        <v>435</v>
      </c>
      <c r="F4415" t="str">
        <f>INDEX(Lists!I:I,MATCH(Validation!E4415,Lists!G:G,0))</f>
        <v>Error</v>
      </c>
      <c r="G4415" t="str">
        <f>INDEX(Lists!H:H,MATCH(Validation!E4415,Lists!G:G,0))</f>
        <v>Enter an amount only. Do not enter text or spaces.</v>
      </c>
      <c r="H4415" s="25" t="str">
        <f t="shared" ca="1" si="456"/>
        <v/>
      </c>
      <c r="I4415" s="25" t="str">
        <f t="shared" ca="1" si="457"/>
        <v/>
      </c>
      <c r="J4415" s="26" t="str">
        <f t="shared" ca="1" si="458"/>
        <v/>
      </c>
    </row>
    <row r="4416" spans="1:10" x14ac:dyDescent="0.25">
      <c r="A4416" t="s">
        <v>660</v>
      </c>
      <c r="B4416" t="str">
        <f>ADDRESS(ROW('PAYG 1'!$B$29),COLUMN('PAYG 1'!$B$29),4)</f>
        <v>B29</v>
      </c>
      <c r="C4416" t="str">
        <f>ADDRESS(ROW('PAYG 1'!$D$29),COLUMN('PAYG 1'!$D$29),4)</f>
        <v>D29</v>
      </c>
      <c r="D4416" t="b" cm="1">
        <f t="array" aca="1" ref="D4416" ca="1">IF(INDIRECT("'"&amp;A4416&amp;"'!"&amp;B4416)="",FALSE,IF(NOT(ISNUMBER(INDIRECT("'"&amp;A4416&amp;"'!"&amp;B4416))),TRUE,FALSE))</f>
        <v>0</v>
      </c>
      <c r="E4416" t="s">
        <v>435</v>
      </c>
      <c r="F4416" t="str">
        <f>INDEX(Lists!I:I,MATCH(Validation!E4416,Lists!G:G,0))</f>
        <v>Error</v>
      </c>
      <c r="G4416" t="str">
        <f>INDEX(Lists!H:H,MATCH(Validation!E4416,Lists!G:G,0))</f>
        <v>Enter an amount only. Do not enter text or spaces.</v>
      </c>
      <c r="H4416" s="25" t="str">
        <f t="shared" ca="1" si="456"/>
        <v/>
      </c>
      <c r="I4416" s="25" t="str">
        <f t="shared" ca="1" si="457"/>
        <v/>
      </c>
      <c r="J4416" s="26" t="str">
        <f t="shared" ca="1" si="458"/>
        <v/>
      </c>
    </row>
    <row r="4417" spans="1:10" x14ac:dyDescent="0.25">
      <c r="A4417" t="s">
        <v>661</v>
      </c>
      <c r="B4417" t="str">
        <f>ADDRESS(ROW('PAYG 1'!$B$29),COLUMN('PAYG 1'!$B$29),4)</f>
        <v>B29</v>
      </c>
      <c r="C4417" t="str">
        <f>ADDRESS(ROW('PAYG 1'!$D$29),COLUMN('PAYG 1'!$D$29),4)</f>
        <v>D29</v>
      </c>
      <c r="D4417" t="b" cm="1">
        <f t="array" aca="1" ref="D4417" ca="1">IF(INDIRECT("'"&amp;A4417&amp;"'!"&amp;B4417)="",FALSE,IF(NOT(ISNUMBER(INDIRECT("'"&amp;A4417&amp;"'!"&amp;B4417))),TRUE,FALSE))</f>
        <v>0</v>
      </c>
      <c r="E4417" t="s">
        <v>435</v>
      </c>
      <c r="F4417" t="str">
        <f>INDEX(Lists!I:I,MATCH(Validation!E4417,Lists!G:G,0))</f>
        <v>Error</v>
      </c>
      <c r="G4417" t="str">
        <f>INDEX(Lists!H:H,MATCH(Validation!E4417,Lists!G:G,0))</f>
        <v>Enter an amount only. Do not enter text or spaces.</v>
      </c>
      <c r="H4417" s="25" t="str">
        <f t="shared" ca="1" si="456"/>
        <v/>
      </c>
      <c r="I4417" s="25" t="str">
        <f t="shared" ca="1" si="457"/>
        <v/>
      </c>
      <c r="J4417" s="26" t="str">
        <f t="shared" ca="1" si="458"/>
        <v/>
      </c>
    </row>
    <row r="4418" spans="1:10" x14ac:dyDescent="0.25">
      <c r="A4418" t="s">
        <v>662</v>
      </c>
      <c r="B4418" t="str">
        <f>ADDRESS(ROW('PAYG 1'!$B$29),COLUMN('PAYG 1'!$B$29),4)</f>
        <v>B29</v>
      </c>
      <c r="C4418" t="str">
        <f>ADDRESS(ROW('PAYG 1'!$D$29),COLUMN('PAYG 1'!$D$29),4)</f>
        <v>D29</v>
      </c>
      <c r="D4418" t="b" cm="1">
        <f t="array" aca="1" ref="D4418" ca="1">IF(INDIRECT("'"&amp;A4418&amp;"'!"&amp;B4418)="",FALSE,IF(NOT(ISNUMBER(INDIRECT("'"&amp;A4418&amp;"'!"&amp;B4418))),TRUE,FALSE))</f>
        <v>0</v>
      </c>
      <c r="E4418" t="s">
        <v>435</v>
      </c>
      <c r="F4418" t="str">
        <f>INDEX(Lists!I:I,MATCH(Validation!E4418,Lists!G:G,0))</f>
        <v>Error</v>
      </c>
      <c r="G4418" t="str">
        <f>INDEX(Lists!H:H,MATCH(Validation!E4418,Lists!G:G,0))</f>
        <v>Enter an amount only. Do not enter text or spaces.</v>
      </c>
      <c r="H4418" s="25" t="str">
        <f t="shared" ca="1" si="456"/>
        <v/>
      </c>
      <c r="I4418" s="25" t="str">
        <f t="shared" ca="1" si="457"/>
        <v/>
      </c>
      <c r="J4418" s="26" t="str">
        <f t="shared" ca="1" si="458"/>
        <v/>
      </c>
    </row>
    <row r="4419" spans="1:10" x14ac:dyDescent="0.25">
      <c r="A4419" t="s">
        <v>663</v>
      </c>
      <c r="B4419" t="str">
        <f>ADDRESS(ROW('PAYG 1'!$B$29),COLUMN('PAYG 1'!$B$29),4)</f>
        <v>B29</v>
      </c>
      <c r="C4419" t="str">
        <f>ADDRESS(ROW('PAYG 1'!$D$29),COLUMN('PAYG 1'!$D$29),4)</f>
        <v>D29</v>
      </c>
      <c r="D4419" t="b" cm="1">
        <f t="array" aca="1" ref="D4419" ca="1">IF(INDIRECT("'"&amp;A4419&amp;"'!"&amp;B4419)="",FALSE,IF(NOT(ISNUMBER(INDIRECT("'"&amp;A4419&amp;"'!"&amp;B4419))),TRUE,FALSE))</f>
        <v>0</v>
      </c>
      <c r="E4419" t="s">
        <v>435</v>
      </c>
      <c r="F4419" t="str">
        <f>INDEX(Lists!I:I,MATCH(Validation!E4419,Lists!G:G,0))</f>
        <v>Error</v>
      </c>
      <c r="G4419" t="str">
        <f>INDEX(Lists!H:H,MATCH(Validation!E4419,Lists!G:G,0))</f>
        <v>Enter an amount only. Do not enter text or spaces.</v>
      </c>
      <c r="H4419" s="25" t="str">
        <f t="shared" ca="1" si="456"/>
        <v/>
      </c>
      <c r="I4419" s="25" t="str">
        <f t="shared" ca="1" si="457"/>
        <v/>
      </c>
      <c r="J4419" s="26" t="str">
        <f t="shared" ca="1" si="458"/>
        <v/>
      </c>
    </row>
    <row r="4420" spans="1:10" x14ac:dyDescent="0.25">
      <c r="A4420" t="s">
        <v>664</v>
      </c>
      <c r="B4420" t="str">
        <f>ADDRESS(ROW('PAYG 1'!$B$29),COLUMN('PAYG 1'!$B$29),4)</f>
        <v>B29</v>
      </c>
      <c r="C4420" t="str">
        <f>ADDRESS(ROW('PAYG 1'!$D$29),COLUMN('PAYG 1'!$D$29),4)</f>
        <v>D29</v>
      </c>
      <c r="D4420" t="b" cm="1">
        <f t="array" aca="1" ref="D4420" ca="1">IF(INDIRECT("'"&amp;A4420&amp;"'!"&amp;B4420)="",FALSE,IF(NOT(ISNUMBER(INDIRECT("'"&amp;A4420&amp;"'!"&amp;B4420))),TRUE,FALSE))</f>
        <v>0</v>
      </c>
      <c r="E4420" t="s">
        <v>435</v>
      </c>
      <c r="F4420" t="str">
        <f>INDEX(Lists!I:I,MATCH(Validation!E4420,Lists!G:G,0))</f>
        <v>Error</v>
      </c>
      <c r="G4420" t="str">
        <f>INDEX(Lists!H:H,MATCH(Validation!E4420,Lists!G:G,0))</f>
        <v>Enter an amount only. Do not enter text or spaces.</v>
      </c>
      <c r="H4420" s="25" t="str">
        <f t="shared" ca="1" si="456"/>
        <v/>
      </c>
      <c r="I4420" s="25" t="str">
        <f t="shared" ca="1" si="457"/>
        <v/>
      </c>
      <c r="J4420" s="26" t="str">
        <f t="shared" ca="1" si="458"/>
        <v/>
      </c>
    </row>
    <row r="4421" spans="1:10" x14ac:dyDescent="0.25">
      <c r="A4421" t="s">
        <v>203</v>
      </c>
      <c r="B4421" t="str">
        <f>ADDRESS(ROW('PAYG 1'!$B$29),COLUMN('PAYG 1'!$B$29),4)</f>
        <v>B29</v>
      </c>
      <c r="C4421" t="str">
        <f>ADDRESS(ROW('PAYG 1'!$D$29),COLUMN('PAYG 1'!$D$29),4)</f>
        <v>D29</v>
      </c>
      <c r="D4421" t="b" cm="1">
        <f t="array" aca="1" ref="D4421" ca="1">IF(INDIRECT("'"&amp;A4421&amp;"'!"&amp;B4421)="",FALSE,IF(INDIRECT("'"&amp;A4421&amp;"'!"&amp;B4421)&lt;0,TRUE,FALSE))</f>
        <v>0</v>
      </c>
      <c r="E4421" t="s">
        <v>434</v>
      </c>
      <c r="F4421" t="str">
        <f>INDEX(Lists!I:I,MATCH(Validation!E4421,Lists!G:G,0))</f>
        <v>Error</v>
      </c>
      <c r="G4421" t="str">
        <f>INDEX(Lists!H:H,MATCH(Validation!E4421,Lists!G:G,0))</f>
        <v>Amount may not be negative. Enter an amount greater than or equal to zero.</v>
      </c>
      <c r="H4421" s="25" t="str">
        <f t="shared" ca="1" si="456"/>
        <v/>
      </c>
      <c r="I4421" s="25" t="str">
        <f t="shared" ca="1" si="457"/>
        <v/>
      </c>
      <c r="J4421" s="26" t="str">
        <f t="shared" ca="1" si="458"/>
        <v/>
      </c>
    </row>
    <row r="4422" spans="1:10" x14ac:dyDescent="0.25">
      <c r="A4422" t="s">
        <v>651</v>
      </c>
      <c r="B4422" t="str">
        <f>ADDRESS(ROW('PAYG 1'!$B$29),COLUMN('PAYG 1'!$B$29),4)</f>
        <v>B29</v>
      </c>
      <c r="C4422" t="str">
        <f>ADDRESS(ROW('PAYG 1'!$D$29),COLUMN('PAYG 1'!$D$29),4)</f>
        <v>D29</v>
      </c>
      <c r="D4422" t="b" cm="1">
        <f t="array" aca="1" ref="D4422" ca="1">IF(INDIRECT("'"&amp;A4422&amp;"'!"&amp;B4422)="",FALSE,IF(INDIRECT("'"&amp;A4422&amp;"'!"&amp;B4422)&lt;0,TRUE,FALSE))</f>
        <v>0</v>
      </c>
      <c r="E4422" t="s">
        <v>434</v>
      </c>
      <c r="F4422" t="str">
        <f>INDEX(Lists!I:I,MATCH(Validation!E4422,Lists!G:G,0))</f>
        <v>Error</v>
      </c>
      <c r="G4422" t="str">
        <f>INDEX(Lists!H:H,MATCH(Validation!E4422,Lists!G:G,0))</f>
        <v>Amount may not be negative. Enter an amount greater than or equal to zero.</v>
      </c>
      <c r="H4422" s="25" t="str">
        <f t="shared" ca="1" si="456"/>
        <v/>
      </c>
      <c r="I4422" s="25" t="str">
        <f t="shared" ca="1" si="457"/>
        <v/>
      </c>
      <c r="J4422" s="26" t="str">
        <f t="shared" ca="1" si="458"/>
        <v/>
      </c>
    </row>
    <row r="4423" spans="1:10" x14ac:dyDescent="0.25">
      <c r="A4423" t="s">
        <v>652</v>
      </c>
      <c r="B4423" t="str">
        <f>ADDRESS(ROW('PAYG 1'!$B$29),COLUMN('PAYG 1'!$B$29),4)</f>
        <v>B29</v>
      </c>
      <c r="C4423" t="str">
        <f>ADDRESS(ROW('PAYG 1'!$D$29),COLUMN('PAYG 1'!$D$29),4)</f>
        <v>D29</v>
      </c>
      <c r="D4423" t="b" cm="1">
        <f t="array" aca="1" ref="D4423" ca="1">IF(INDIRECT("'"&amp;A4423&amp;"'!"&amp;B4423)="",FALSE,IF(INDIRECT("'"&amp;A4423&amp;"'!"&amp;B4423)&lt;0,TRUE,FALSE))</f>
        <v>0</v>
      </c>
      <c r="E4423" t="s">
        <v>434</v>
      </c>
      <c r="F4423" t="str">
        <f>INDEX(Lists!I:I,MATCH(Validation!E4423,Lists!G:G,0))</f>
        <v>Error</v>
      </c>
      <c r="G4423" t="str">
        <f>INDEX(Lists!H:H,MATCH(Validation!E4423,Lists!G:G,0))</f>
        <v>Amount may not be negative. Enter an amount greater than or equal to zero.</v>
      </c>
      <c r="H4423" s="25" t="str">
        <f t="shared" ca="1" si="456"/>
        <v/>
      </c>
      <c r="I4423" s="25" t="str">
        <f t="shared" ca="1" si="457"/>
        <v/>
      </c>
      <c r="J4423" s="26" t="str">
        <f t="shared" ca="1" si="458"/>
        <v/>
      </c>
    </row>
    <row r="4424" spans="1:10" x14ac:dyDescent="0.25">
      <c r="A4424" t="s">
        <v>653</v>
      </c>
      <c r="B4424" t="str">
        <f>ADDRESS(ROW('PAYG 1'!$B$29),COLUMN('PAYG 1'!$B$29),4)</f>
        <v>B29</v>
      </c>
      <c r="C4424" t="str">
        <f>ADDRESS(ROW('PAYG 1'!$D$29),COLUMN('PAYG 1'!$D$29),4)</f>
        <v>D29</v>
      </c>
      <c r="D4424" t="b" cm="1">
        <f t="array" aca="1" ref="D4424" ca="1">IF(INDIRECT("'"&amp;A4424&amp;"'!"&amp;B4424)="",FALSE,IF(INDIRECT("'"&amp;A4424&amp;"'!"&amp;B4424)&lt;0,TRUE,FALSE))</f>
        <v>0</v>
      </c>
      <c r="E4424" t="s">
        <v>434</v>
      </c>
      <c r="F4424" t="str">
        <f>INDEX(Lists!I:I,MATCH(Validation!E4424,Lists!G:G,0))</f>
        <v>Error</v>
      </c>
      <c r="G4424" t="str">
        <f>INDEX(Lists!H:H,MATCH(Validation!E4424,Lists!G:G,0))</f>
        <v>Amount may not be negative. Enter an amount greater than or equal to zero.</v>
      </c>
      <c r="H4424" s="25" t="str">
        <f t="shared" ca="1" si="456"/>
        <v/>
      </c>
      <c r="I4424" s="25" t="str">
        <f t="shared" ca="1" si="457"/>
        <v/>
      </c>
      <c r="J4424" s="26" t="str">
        <f t="shared" ca="1" si="458"/>
        <v/>
      </c>
    </row>
    <row r="4425" spans="1:10" x14ac:dyDescent="0.25">
      <c r="A4425" t="s">
        <v>654</v>
      </c>
      <c r="B4425" t="str">
        <f>ADDRESS(ROW('PAYG 1'!$B$29),COLUMN('PAYG 1'!$B$29),4)</f>
        <v>B29</v>
      </c>
      <c r="C4425" t="str">
        <f>ADDRESS(ROW('PAYG 1'!$D$29),COLUMN('PAYG 1'!$D$29),4)</f>
        <v>D29</v>
      </c>
      <c r="D4425" t="b" cm="1">
        <f t="array" aca="1" ref="D4425" ca="1">IF(INDIRECT("'"&amp;A4425&amp;"'!"&amp;B4425)="",FALSE,IF(INDIRECT("'"&amp;A4425&amp;"'!"&amp;B4425)&lt;0,TRUE,FALSE))</f>
        <v>0</v>
      </c>
      <c r="E4425" t="s">
        <v>434</v>
      </c>
      <c r="F4425" t="str">
        <f>INDEX(Lists!I:I,MATCH(Validation!E4425,Lists!G:G,0))</f>
        <v>Error</v>
      </c>
      <c r="G4425" t="str">
        <f>INDEX(Lists!H:H,MATCH(Validation!E4425,Lists!G:G,0))</f>
        <v>Amount may not be negative. Enter an amount greater than or equal to zero.</v>
      </c>
      <c r="H4425" s="25" t="str">
        <f t="shared" ca="1" si="456"/>
        <v/>
      </c>
      <c r="I4425" s="25" t="str">
        <f t="shared" ca="1" si="457"/>
        <v/>
      </c>
      <c r="J4425" s="26" t="str">
        <f t="shared" ca="1" si="458"/>
        <v/>
      </c>
    </row>
    <row r="4426" spans="1:10" x14ac:dyDescent="0.25">
      <c r="A4426" t="s">
        <v>655</v>
      </c>
      <c r="B4426" t="str">
        <f>ADDRESS(ROW('PAYG 1'!$B$29),COLUMN('PAYG 1'!$B$29),4)</f>
        <v>B29</v>
      </c>
      <c r="C4426" t="str">
        <f>ADDRESS(ROW('PAYG 1'!$D$29),COLUMN('PAYG 1'!$D$29),4)</f>
        <v>D29</v>
      </c>
      <c r="D4426" t="b" cm="1">
        <f t="array" aca="1" ref="D4426" ca="1">IF(INDIRECT("'"&amp;A4426&amp;"'!"&amp;B4426)="",FALSE,IF(INDIRECT("'"&amp;A4426&amp;"'!"&amp;B4426)&lt;0,TRUE,FALSE))</f>
        <v>0</v>
      </c>
      <c r="E4426" t="s">
        <v>434</v>
      </c>
      <c r="F4426" t="str">
        <f>INDEX(Lists!I:I,MATCH(Validation!E4426,Lists!G:G,0))</f>
        <v>Error</v>
      </c>
      <c r="G4426" t="str">
        <f>INDEX(Lists!H:H,MATCH(Validation!E4426,Lists!G:G,0))</f>
        <v>Amount may not be negative. Enter an amount greater than or equal to zero.</v>
      </c>
      <c r="H4426" s="25" t="str">
        <f t="shared" ca="1" si="456"/>
        <v/>
      </c>
      <c r="I4426" s="25" t="str">
        <f t="shared" ca="1" si="457"/>
        <v/>
      </c>
      <c r="J4426" s="26" t="str">
        <f t="shared" ca="1" si="458"/>
        <v/>
      </c>
    </row>
    <row r="4427" spans="1:10" x14ac:dyDescent="0.25">
      <c r="A4427" t="s">
        <v>656</v>
      </c>
      <c r="B4427" t="str">
        <f>ADDRESS(ROW('PAYG 1'!$B$29),COLUMN('PAYG 1'!$B$29),4)</f>
        <v>B29</v>
      </c>
      <c r="C4427" t="str">
        <f>ADDRESS(ROW('PAYG 1'!$D$29),COLUMN('PAYG 1'!$D$29),4)</f>
        <v>D29</v>
      </c>
      <c r="D4427" t="b" cm="1">
        <f t="array" aca="1" ref="D4427" ca="1">IF(INDIRECT("'"&amp;A4427&amp;"'!"&amp;B4427)="",FALSE,IF(INDIRECT("'"&amp;A4427&amp;"'!"&amp;B4427)&lt;0,TRUE,FALSE))</f>
        <v>0</v>
      </c>
      <c r="E4427" t="s">
        <v>434</v>
      </c>
      <c r="F4427" t="str">
        <f>INDEX(Lists!I:I,MATCH(Validation!E4427,Lists!G:G,0))</f>
        <v>Error</v>
      </c>
      <c r="G4427" t="str">
        <f>INDEX(Lists!H:H,MATCH(Validation!E4427,Lists!G:G,0))</f>
        <v>Amount may not be negative. Enter an amount greater than or equal to zero.</v>
      </c>
      <c r="H4427" s="25" t="str">
        <f t="shared" ca="1" si="456"/>
        <v/>
      </c>
      <c r="I4427" s="25" t="str">
        <f t="shared" ca="1" si="457"/>
        <v/>
      </c>
      <c r="J4427" s="26" t="str">
        <f t="shared" ca="1" si="458"/>
        <v/>
      </c>
    </row>
    <row r="4428" spans="1:10" x14ac:dyDescent="0.25">
      <c r="A4428" t="s">
        <v>657</v>
      </c>
      <c r="B4428" t="str">
        <f>ADDRESS(ROW('PAYG 1'!$B$29),COLUMN('PAYG 1'!$B$29),4)</f>
        <v>B29</v>
      </c>
      <c r="C4428" t="str">
        <f>ADDRESS(ROW('PAYG 1'!$D$29),COLUMN('PAYG 1'!$D$29),4)</f>
        <v>D29</v>
      </c>
      <c r="D4428" t="b" cm="1">
        <f t="array" aca="1" ref="D4428" ca="1">IF(INDIRECT("'"&amp;A4428&amp;"'!"&amp;B4428)="",FALSE,IF(INDIRECT("'"&amp;A4428&amp;"'!"&amp;B4428)&lt;0,TRUE,FALSE))</f>
        <v>0</v>
      </c>
      <c r="E4428" t="s">
        <v>434</v>
      </c>
      <c r="F4428" t="str">
        <f>INDEX(Lists!I:I,MATCH(Validation!E4428,Lists!G:G,0))</f>
        <v>Error</v>
      </c>
      <c r="G4428" t="str">
        <f>INDEX(Lists!H:H,MATCH(Validation!E4428,Lists!G:G,0))</f>
        <v>Amount may not be negative. Enter an amount greater than or equal to zero.</v>
      </c>
      <c r="H4428" s="25" t="str">
        <f t="shared" ca="1" si="456"/>
        <v/>
      </c>
      <c r="I4428" s="25" t="str">
        <f t="shared" ca="1" si="457"/>
        <v/>
      </c>
      <c r="J4428" s="26" t="str">
        <f t="shared" ca="1" si="458"/>
        <v/>
      </c>
    </row>
    <row r="4429" spans="1:10" x14ac:dyDescent="0.25">
      <c r="A4429" t="s">
        <v>658</v>
      </c>
      <c r="B4429" t="str">
        <f>ADDRESS(ROW('PAYG 1'!$B$29),COLUMN('PAYG 1'!$B$29),4)</f>
        <v>B29</v>
      </c>
      <c r="C4429" t="str">
        <f>ADDRESS(ROW('PAYG 1'!$D$29),COLUMN('PAYG 1'!$D$29),4)</f>
        <v>D29</v>
      </c>
      <c r="D4429" t="b" cm="1">
        <f t="array" aca="1" ref="D4429" ca="1">IF(INDIRECT("'"&amp;A4429&amp;"'!"&amp;B4429)="",FALSE,IF(INDIRECT("'"&amp;A4429&amp;"'!"&amp;B4429)&lt;0,TRUE,FALSE))</f>
        <v>0</v>
      </c>
      <c r="E4429" t="s">
        <v>434</v>
      </c>
      <c r="F4429" t="str">
        <f>INDEX(Lists!I:I,MATCH(Validation!E4429,Lists!G:G,0))</f>
        <v>Error</v>
      </c>
      <c r="G4429" t="str">
        <f>INDEX(Lists!H:H,MATCH(Validation!E4429,Lists!G:G,0))</f>
        <v>Amount may not be negative. Enter an amount greater than or equal to zero.</v>
      </c>
      <c r="H4429" s="25" t="str">
        <f t="shared" ca="1" si="456"/>
        <v/>
      </c>
      <c r="I4429" s="25" t="str">
        <f t="shared" ca="1" si="457"/>
        <v/>
      </c>
      <c r="J4429" s="26" t="str">
        <f t="shared" ca="1" si="458"/>
        <v/>
      </c>
    </row>
    <row r="4430" spans="1:10" x14ac:dyDescent="0.25">
      <c r="A4430" t="s">
        <v>659</v>
      </c>
      <c r="B4430" t="str">
        <f>ADDRESS(ROW('PAYG 1'!$B$29),COLUMN('PAYG 1'!$B$29),4)</f>
        <v>B29</v>
      </c>
      <c r="C4430" t="str">
        <f>ADDRESS(ROW('PAYG 1'!$D$29),COLUMN('PAYG 1'!$D$29),4)</f>
        <v>D29</v>
      </c>
      <c r="D4430" t="b" cm="1">
        <f t="array" aca="1" ref="D4430" ca="1">IF(INDIRECT("'"&amp;A4430&amp;"'!"&amp;B4430)="",FALSE,IF(INDIRECT("'"&amp;A4430&amp;"'!"&amp;B4430)&lt;0,TRUE,FALSE))</f>
        <v>0</v>
      </c>
      <c r="E4430" t="s">
        <v>434</v>
      </c>
      <c r="F4430" t="str">
        <f>INDEX(Lists!I:I,MATCH(Validation!E4430,Lists!G:G,0))</f>
        <v>Error</v>
      </c>
      <c r="G4430" t="str">
        <f>INDEX(Lists!H:H,MATCH(Validation!E4430,Lists!G:G,0))</f>
        <v>Amount may not be negative. Enter an amount greater than or equal to zero.</v>
      </c>
      <c r="H4430" s="25" t="str">
        <f t="shared" ca="1" si="456"/>
        <v/>
      </c>
      <c r="I4430" s="25" t="str">
        <f t="shared" ca="1" si="457"/>
        <v/>
      </c>
      <c r="J4430" s="26" t="str">
        <f t="shared" ca="1" si="458"/>
        <v/>
      </c>
    </row>
    <row r="4431" spans="1:10" x14ac:dyDescent="0.25">
      <c r="A4431" t="s">
        <v>660</v>
      </c>
      <c r="B4431" t="str">
        <f>ADDRESS(ROW('PAYG 1'!$B$29),COLUMN('PAYG 1'!$B$29),4)</f>
        <v>B29</v>
      </c>
      <c r="C4431" t="str">
        <f>ADDRESS(ROW('PAYG 1'!$D$29),COLUMN('PAYG 1'!$D$29),4)</f>
        <v>D29</v>
      </c>
      <c r="D4431" t="b" cm="1">
        <f t="array" aca="1" ref="D4431" ca="1">IF(INDIRECT("'"&amp;A4431&amp;"'!"&amp;B4431)="",FALSE,IF(INDIRECT("'"&amp;A4431&amp;"'!"&amp;B4431)&lt;0,TRUE,FALSE))</f>
        <v>0</v>
      </c>
      <c r="E4431" t="s">
        <v>434</v>
      </c>
      <c r="F4431" t="str">
        <f>INDEX(Lists!I:I,MATCH(Validation!E4431,Lists!G:G,0))</f>
        <v>Error</v>
      </c>
      <c r="G4431" t="str">
        <f>INDEX(Lists!H:H,MATCH(Validation!E4431,Lists!G:G,0))</f>
        <v>Amount may not be negative. Enter an amount greater than or equal to zero.</v>
      </c>
      <c r="H4431" s="25" t="str">
        <f t="shared" ca="1" si="456"/>
        <v/>
      </c>
      <c r="I4431" s="25" t="str">
        <f t="shared" ca="1" si="457"/>
        <v/>
      </c>
      <c r="J4431" s="26" t="str">
        <f t="shared" ca="1" si="458"/>
        <v/>
      </c>
    </row>
    <row r="4432" spans="1:10" x14ac:dyDescent="0.25">
      <c r="A4432" t="s">
        <v>661</v>
      </c>
      <c r="B4432" t="str">
        <f>ADDRESS(ROW('PAYG 1'!$B$29),COLUMN('PAYG 1'!$B$29),4)</f>
        <v>B29</v>
      </c>
      <c r="C4432" t="str">
        <f>ADDRESS(ROW('PAYG 1'!$D$29),COLUMN('PAYG 1'!$D$29),4)</f>
        <v>D29</v>
      </c>
      <c r="D4432" t="b" cm="1">
        <f t="array" aca="1" ref="D4432" ca="1">IF(INDIRECT("'"&amp;A4432&amp;"'!"&amp;B4432)="",FALSE,IF(INDIRECT("'"&amp;A4432&amp;"'!"&amp;B4432)&lt;0,TRUE,FALSE))</f>
        <v>0</v>
      </c>
      <c r="E4432" t="s">
        <v>434</v>
      </c>
      <c r="F4432" t="str">
        <f>INDEX(Lists!I:I,MATCH(Validation!E4432,Lists!G:G,0))</f>
        <v>Error</v>
      </c>
      <c r="G4432" t="str">
        <f>INDEX(Lists!H:H,MATCH(Validation!E4432,Lists!G:G,0))</f>
        <v>Amount may not be negative. Enter an amount greater than or equal to zero.</v>
      </c>
      <c r="H4432" s="25" t="str">
        <f t="shared" ca="1" si="456"/>
        <v/>
      </c>
      <c r="I4432" s="25" t="str">
        <f t="shared" ca="1" si="457"/>
        <v/>
      </c>
      <c r="J4432" s="26" t="str">
        <f t="shared" ca="1" si="458"/>
        <v/>
      </c>
    </row>
    <row r="4433" spans="1:10" x14ac:dyDescent="0.25">
      <c r="A4433" t="s">
        <v>662</v>
      </c>
      <c r="B4433" t="str">
        <f>ADDRESS(ROW('PAYG 1'!$B$29),COLUMN('PAYG 1'!$B$29),4)</f>
        <v>B29</v>
      </c>
      <c r="C4433" t="str">
        <f>ADDRESS(ROW('PAYG 1'!$D$29),COLUMN('PAYG 1'!$D$29),4)</f>
        <v>D29</v>
      </c>
      <c r="D4433" t="b" cm="1">
        <f t="array" aca="1" ref="D4433" ca="1">IF(INDIRECT("'"&amp;A4433&amp;"'!"&amp;B4433)="",FALSE,IF(INDIRECT("'"&amp;A4433&amp;"'!"&amp;B4433)&lt;0,TRUE,FALSE))</f>
        <v>0</v>
      </c>
      <c r="E4433" t="s">
        <v>434</v>
      </c>
      <c r="F4433" t="str">
        <f>INDEX(Lists!I:I,MATCH(Validation!E4433,Lists!G:G,0))</f>
        <v>Error</v>
      </c>
      <c r="G4433" t="str">
        <f>INDEX(Lists!H:H,MATCH(Validation!E4433,Lists!G:G,0))</f>
        <v>Amount may not be negative. Enter an amount greater than or equal to zero.</v>
      </c>
      <c r="H4433" s="25" t="str">
        <f t="shared" ca="1" si="456"/>
        <v/>
      </c>
      <c r="I4433" s="25" t="str">
        <f t="shared" ca="1" si="457"/>
        <v/>
      </c>
      <c r="J4433" s="26" t="str">
        <f t="shared" ca="1" si="458"/>
        <v/>
      </c>
    </row>
    <row r="4434" spans="1:10" x14ac:dyDescent="0.25">
      <c r="A4434" t="s">
        <v>663</v>
      </c>
      <c r="B4434" t="str">
        <f>ADDRESS(ROW('PAYG 1'!$B$29),COLUMN('PAYG 1'!$B$29),4)</f>
        <v>B29</v>
      </c>
      <c r="C4434" t="str">
        <f>ADDRESS(ROW('PAYG 1'!$D$29),COLUMN('PAYG 1'!$D$29),4)</f>
        <v>D29</v>
      </c>
      <c r="D4434" t="b" cm="1">
        <f t="array" aca="1" ref="D4434" ca="1">IF(INDIRECT("'"&amp;A4434&amp;"'!"&amp;B4434)="",FALSE,IF(INDIRECT("'"&amp;A4434&amp;"'!"&amp;B4434)&lt;0,TRUE,FALSE))</f>
        <v>0</v>
      </c>
      <c r="E4434" t="s">
        <v>434</v>
      </c>
      <c r="F4434" t="str">
        <f>INDEX(Lists!I:I,MATCH(Validation!E4434,Lists!G:G,0))</f>
        <v>Error</v>
      </c>
      <c r="G4434" t="str">
        <f>INDEX(Lists!H:H,MATCH(Validation!E4434,Lists!G:G,0))</f>
        <v>Amount may not be negative. Enter an amount greater than or equal to zero.</v>
      </c>
      <c r="H4434" s="25" t="str">
        <f t="shared" ca="1" si="456"/>
        <v/>
      </c>
      <c r="I4434" s="25" t="str">
        <f t="shared" ca="1" si="457"/>
        <v/>
      </c>
      <c r="J4434" s="26" t="str">
        <f t="shared" ca="1" si="458"/>
        <v/>
      </c>
    </row>
    <row r="4435" spans="1:10" x14ac:dyDescent="0.25">
      <c r="A4435" t="s">
        <v>664</v>
      </c>
      <c r="B4435" t="str">
        <f>ADDRESS(ROW('PAYG 1'!$B$29),COLUMN('PAYG 1'!$B$29),4)</f>
        <v>B29</v>
      </c>
      <c r="C4435" t="str">
        <f>ADDRESS(ROW('PAYG 1'!$D$29),COLUMN('PAYG 1'!$D$29),4)</f>
        <v>D29</v>
      </c>
      <c r="D4435" t="b" cm="1">
        <f t="array" aca="1" ref="D4435" ca="1">IF(INDIRECT("'"&amp;A4435&amp;"'!"&amp;B4435)="",FALSE,IF(INDIRECT("'"&amp;A4435&amp;"'!"&amp;B4435)&lt;0,TRUE,FALSE))</f>
        <v>0</v>
      </c>
      <c r="E4435" t="s">
        <v>434</v>
      </c>
      <c r="F4435" t="str">
        <f>INDEX(Lists!I:I,MATCH(Validation!E4435,Lists!G:G,0))</f>
        <v>Error</v>
      </c>
      <c r="G4435" t="str">
        <f>INDEX(Lists!H:H,MATCH(Validation!E4435,Lists!G:G,0))</f>
        <v>Amount may not be negative. Enter an amount greater than or equal to zero.</v>
      </c>
      <c r="H4435" s="25" t="str">
        <f t="shared" ca="1" si="456"/>
        <v/>
      </c>
      <c r="I4435" s="25" t="str">
        <f t="shared" ca="1" si="457"/>
        <v/>
      </c>
      <c r="J4435" s="26" t="str">
        <f t="shared" ca="1" si="458"/>
        <v/>
      </c>
    </row>
    <row r="4436" spans="1:10" x14ac:dyDescent="0.25">
      <c r="A4436" t="s">
        <v>203</v>
      </c>
      <c r="B4436" t="str">
        <f>ADDRESS(ROW('PAYG 1'!$B$29),COLUMN('PAYG 1'!$B$29),4)</f>
        <v>B29</v>
      </c>
      <c r="C4436" t="str">
        <f>ADDRESS(ROW('PAYG 1'!$D$29),COLUMN('PAYG 1'!$D$29),4)</f>
        <v>D29</v>
      </c>
      <c r="D4436" t="b" cm="1">
        <f t="array" aca="1" ref="D4436" ca="1">IF(INDIRECT("'"&amp;A4436&amp;"'!"&amp;B4436)="",FALSE,IF(TRUNC(INDIRECT("'"&amp;A4436&amp;"'!"&amp;B4436))=INDIRECT("'"&amp;A4436&amp;"'!"&amp;B4436),FALSE,TRUE))</f>
        <v>0</v>
      </c>
      <c r="E4436" t="s">
        <v>436</v>
      </c>
      <c r="F4436" t="str">
        <f>INDEX(Lists!I:I,MATCH(Validation!E4436,Lists!G:G,0))</f>
        <v>Error</v>
      </c>
      <c r="G4436" t="str">
        <f>INDEX(Lists!H:H,MATCH(Validation!E4436,Lists!G:G,0))</f>
        <v>Amount must be rounded to the nearest dollar.</v>
      </c>
      <c r="H4436" s="25" t="str">
        <f t="shared" ca="1" si="456"/>
        <v/>
      </c>
      <c r="I4436" s="25" t="str">
        <f t="shared" ca="1" si="457"/>
        <v/>
      </c>
      <c r="J4436" s="26" t="str">
        <f t="shared" ca="1" si="458"/>
        <v/>
      </c>
    </row>
    <row r="4437" spans="1:10" x14ac:dyDescent="0.25">
      <c r="A4437" t="s">
        <v>651</v>
      </c>
      <c r="B4437" t="str">
        <f>ADDRESS(ROW('PAYG 1'!$B$29),COLUMN('PAYG 1'!$B$29),4)</f>
        <v>B29</v>
      </c>
      <c r="C4437" t="str">
        <f>ADDRESS(ROW('PAYG 1'!$D$29),COLUMN('PAYG 1'!$D$29),4)</f>
        <v>D29</v>
      </c>
      <c r="D4437" t="b" cm="1">
        <f t="array" aca="1" ref="D4437" ca="1">IF(INDIRECT("'"&amp;A4437&amp;"'!"&amp;B4437)="",FALSE,IF(TRUNC(INDIRECT("'"&amp;A4437&amp;"'!"&amp;B4437))=INDIRECT("'"&amp;A4437&amp;"'!"&amp;B4437),FALSE,TRUE))</f>
        <v>0</v>
      </c>
      <c r="E4437" t="s">
        <v>436</v>
      </c>
      <c r="F4437" t="str">
        <f>INDEX(Lists!I:I,MATCH(Validation!E4437,Lists!G:G,0))</f>
        <v>Error</v>
      </c>
      <c r="G4437" t="str">
        <f>INDEX(Lists!H:H,MATCH(Validation!E4437,Lists!G:G,0))</f>
        <v>Amount must be rounded to the nearest dollar.</v>
      </c>
      <c r="H4437" s="25" t="str">
        <f t="shared" ca="1" si="456"/>
        <v/>
      </c>
      <c r="I4437" s="25" t="str">
        <f t="shared" ca="1" si="457"/>
        <v/>
      </c>
      <c r="J4437" s="26" t="str">
        <f t="shared" ca="1" si="458"/>
        <v/>
      </c>
    </row>
    <row r="4438" spans="1:10" x14ac:dyDescent="0.25">
      <c r="A4438" t="s">
        <v>652</v>
      </c>
      <c r="B4438" t="str">
        <f>ADDRESS(ROW('PAYG 1'!$B$29),COLUMN('PAYG 1'!$B$29),4)</f>
        <v>B29</v>
      </c>
      <c r="C4438" t="str">
        <f>ADDRESS(ROW('PAYG 1'!$D$29),COLUMN('PAYG 1'!$D$29),4)</f>
        <v>D29</v>
      </c>
      <c r="D4438" t="b" cm="1">
        <f t="array" aca="1" ref="D4438" ca="1">IF(INDIRECT("'"&amp;A4438&amp;"'!"&amp;B4438)="",FALSE,IF(TRUNC(INDIRECT("'"&amp;A4438&amp;"'!"&amp;B4438))=INDIRECT("'"&amp;A4438&amp;"'!"&amp;B4438),FALSE,TRUE))</f>
        <v>0</v>
      </c>
      <c r="E4438" t="s">
        <v>436</v>
      </c>
      <c r="F4438" t="str">
        <f>INDEX(Lists!I:I,MATCH(Validation!E4438,Lists!G:G,0))</f>
        <v>Error</v>
      </c>
      <c r="G4438" t="str">
        <f>INDEX(Lists!H:H,MATCH(Validation!E4438,Lists!G:G,0))</f>
        <v>Amount must be rounded to the nearest dollar.</v>
      </c>
      <c r="H4438" s="25" t="str">
        <f t="shared" ca="1" si="456"/>
        <v/>
      </c>
      <c r="I4438" s="25" t="str">
        <f t="shared" ca="1" si="457"/>
        <v/>
      </c>
      <c r="J4438" s="26" t="str">
        <f t="shared" ca="1" si="458"/>
        <v/>
      </c>
    </row>
    <row r="4439" spans="1:10" x14ac:dyDescent="0.25">
      <c r="A4439" t="s">
        <v>653</v>
      </c>
      <c r="B4439" t="str">
        <f>ADDRESS(ROW('PAYG 1'!$B$29),COLUMN('PAYG 1'!$B$29),4)</f>
        <v>B29</v>
      </c>
      <c r="C4439" t="str">
        <f>ADDRESS(ROW('PAYG 1'!$D$29),COLUMN('PAYG 1'!$D$29),4)</f>
        <v>D29</v>
      </c>
      <c r="D4439" t="b" cm="1">
        <f t="array" aca="1" ref="D4439" ca="1">IF(INDIRECT("'"&amp;A4439&amp;"'!"&amp;B4439)="",FALSE,IF(TRUNC(INDIRECT("'"&amp;A4439&amp;"'!"&amp;B4439))=INDIRECT("'"&amp;A4439&amp;"'!"&amp;B4439),FALSE,TRUE))</f>
        <v>0</v>
      </c>
      <c r="E4439" t="s">
        <v>436</v>
      </c>
      <c r="F4439" t="str">
        <f>INDEX(Lists!I:I,MATCH(Validation!E4439,Lists!G:G,0))</f>
        <v>Error</v>
      </c>
      <c r="G4439" t="str">
        <f>INDEX(Lists!H:H,MATCH(Validation!E4439,Lists!G:G,0))</f>
        <v>Amount must be rounded to the nearest dollar.</v>
      </c>
      <c r="H4439" s="25" t="str">
        <f t="shared" ca="1" si="456"/>
        <v/>
      </c>
      <c r="I4439" s="25" t="str">
        <f t="shared" ca="1" si="457"/>
        <v/>
      </c>
      <c r="J4439" s="26" t="str">
        <f t="shared" ca="1" si="458"/>
        <v/>
      </c>
    </row>
    <row r="4440" spans="1:10" x14ac:dyDescent="0.25">
      <c r="A4440" t="s">
        <v>654</v>
      </c>
      <c r="B4440" t="str">
        <f>ADDRESS(ROW('PAYG 1'!$B$29),COLUMN('PAYG 1'!$B$29),4)</f>
        <v>B29</v>
      </c>
      <c r="C4440" t="str">
        <f>ADDRESS(ROW('PAYG 1'!$D$29),COLUMN('PAYG 1'!$D$29),4)</f>
        <v>D29</v>
      </c>
      <c r="D4440" t="b" cm="1">
        <f t="array" aca="1" ref="D4440" ca="1">IF(INDIRECT("'"&amp;A4440&amp;"'!"&amp;B4440)="",FALSE,IF(TRUNC(INDIRECT("'"&amp;A4440&amp;"'!"&amp;B4440))=INDIRECT("'"&amp;A4440&amp;"'!"&amp;B4440),FALSE,TRUE))</f>
        <v>0</v>
      </c>
      <c r="E4440" t="s">
        <v>436</v>
      </c>
      <c r="F4440" t="str">
        <f>INDEX(Lists!I:I,MATCH(Validation!E4440,Lists!G:G,0))</f>
        <v>Error</v>
      </c>
      <c r="G4440" t="str">
        <f>INDEX(Lists!H:H,MATCH(Validation!E4440,Lists!G:G,0))</f>
        <v>Amount must be rounded to the nearest dollar.</v>
      </c>
      <c r="H4440" s="25" t="str">
        <f t="shared" ca="1" si="456"/>
        <v/>
      </c>
      <c r="I4440" s="25" t="str">
        <f t="shared" ca="1" si="457"/>
        <v/>
      </c>
      <c r="J4440" s="26" t="str">
        <f t="shared" ca="1" si="458"/>
        <v/>
      </c>
    </row>
    <row r="4441" spans="1:10" x14ac:dyDescent="0.25">
      <c r="A4441" t="s">
        <v>655</v>
      </c>
      <c r="B4441" t="str">
        <f>ADDRESS(ROW('PAYG 1'!$B$29),COLUMN('PAYG 1'!$B$29),4)</f>
        <v>B29</v>
      </c>
      <c r="C4441" t="str">
        <f>ADDRESS(ROW('PAYG 1'!$D$29),COLUMN('PAYG 1'!$D$29),4)</f>
        <v>D29</v>
      </c>
      <c r="D4441" t="b" cm="1">
        <f t="array" aca="1" ref="D4441" ca="1">IF(INDIRECT("'"&amp;A4441&amp;"'!"&amp;B4441)="",FALSE,IF(TRUNC(INDIRECT("'"&amp;A4441&amp;"'!"&amp;B4441))=INDIRECT("'"&amp;A4441&amp;"'!"&amp;B4441),FALSE,TRUE))</f>
        <v>0</v>
      </c>
      <c r="E4441" t="s">
        <v>436</v>
      </c>
      <c r="F4441" t="str">
        <f>INDEX(Lists!I:I,MATCH(Validation!E4441,Lists!G:G,0))</f>
        <v>Error</v>
      </c>
      <c r="G4441" t="str">
        <f>INDEX(Lists!H:H,MATCH(Validation!E4441,Lists!G:G,0))</f>
        <v>Amount must be rounded to the nearest dollar.</v>
      </c>
      <c r="H4441" s="25" t="str">
        <f t="shared" ca="1" si="456"/>
        <v/>
      </c>
      <c r="I4441" s="25" t="str">
        <f t="shared" ca="1" si="457"/>
        <v/>
      </c>
      <c r="J4441" s="26" t="str">
        <f t="shared" ca="1" si="458"/>
        <v/>
      </c>
    </row>
    <row r="4442" spans="1:10" x14ac:dyDescent="0.25">
      <c r="A4442" t="s">
        <v>656</v>
      </c>
      <c r="B4442" t="str">
        <f>ADDRESS(ROW('PAYG 1'!$B$29),COLUMN('PAYG 1'!$B$29),4)</f>
        <v>B29</v>
      </c>
      <c r="C4442" t="str">
        <f>ADDRESS(ROW('PAYG 1'!$D$29),COLUMN('PAYG 1'!$D$29),4)</f>
        <v>D29</v>
      </c>
      <c r="D4442" t="b" cm="1">
        <f t="array" aca="1" ref="D4442" ca="1">IF(INDIRECT("'"&amp;A4442&amp;"'!"&amp;B4442)="",FALSE,IF(TRUNC(INDIRECT("'"&amp;A4442&amp;"'!"&amp;B4442))=INDIRECT("'"&amp;A4442&amp;"'!"&amp;B4442),FALSE,TRUE))</f>
        <v>0</v>
      </c>
      <c r="E4442" t="s">
        <v>436</v>
      </c>
      <c r="F4442" t="str">
        <f>INDEX(Lists!I:I,MATCH(Validation!E4442,Lists!G:G,0))</f>
        <v>Error</v>
      </c>
      <c r="G4442" t="str">
        <f>INDEX(Lists!H:H,MATCH(Validation!E4442,Lists!G:G,0))</f>
        <v>Amount must be rounded to the nearest dollar.</v>
      </c>
      <c r="H4442" s="25" t="str">
        <f t="shared" ca="1" si="456"/>
        <v/>
      </c>
      <c r="I4442" s="25" t="str">
        <f t="shared" ca="1" si="457"/>
        <v/>
      </c>
      <c r="J4442" s="26" t="str">
        <f t="shared" ca="1" si="458"/>
        <v/>
      </c>
    </row>
    <row r="4443" spans="1:10" x14ac:dyDescent="0.25">
      <c r="A4443" t="s">
        <v>657</v>
      </c>
      <c r="B4443" t="str">
        <f>ADDRESS(ROW('PAYG 1'!$B$29),COLUMN('PAYG 1'!$B$29),4)</f>
        <v>B29</v>
      </c>
      <c r="C4443" t="str">
        <f>ADDRESS(ROW('PAYG 1'!$D$29),COLUMN('PAYG 1'!$D$29),4)</f>
        <v>D29</v>
      </c>
      <c r="D4443" t="b" cm="1">
        <f t="array" aca="1" ref="D4443" ca="1">IF(INDIRECT("'"&amp;A4443&amp;"'!"&amp;B4443)="",FALSE,IF(TRUNC(INDIRECT("'"&amp;A4443&amp;"'!"&amp;B4443))=INDIRECT("'"&amp;A4443&amp;"'!"&amp;B4443),FALSE,TRUE))</f>
        <v>0</v>
      </c>
      <c r="E4443" t="s">
        <v>436</v>
      </c>
      <c r="F4443" t="str">
        <f>INDEX(Lists!I:I,MATCH(Validation!E4443,Lists!G:G,0))</f>
        <v>Error</v>
      </c>
      <c r="G4443" t="str">
        <f>INDEX(Lists!H:H,MATCH(Validation!E4443,Lists!G:G,0))</f>
        <v>Amount must be rounded to the nearest dollar.</v>
      </c>
      <c r="H4443" s="25" t="str">
        <f t="shared" ca="1" si="456"/>
        <v/>
      </c>
      <c r="I4443" s="25" t="str">
        <f t="shared" ca="1" si="457"/>
        <v/>
      </c>
      <c r="J4443" s="26" t="str">
        <f t="shared" ca="1" si="458"/>
        <v/>
      </c>
    </row>
    <row r="4444" spans="1:10" x14ac:dyDescent="0.25">
      <c r="A4444" t="s">
        <v>658</v>
      </c>
      <c r="B4444" t="str">
        <f>ADDRESS(ROW('PAYG 1'!$B$29),COLUMN('PAYG 1'!$B$29),4)</f>
        <v>B29</v>
      </c>
      <c r="C4444" t="str">
        <f>ADDRESS(ROW('PAYG 1'!$D$29),COLUMN('PAYG 1'!$D$29),4)</f>
        <v>D29</v>
      </c>
      <c r="D4444" t="b" cm="1">
        <f t="array" aca="1" ref="D4444" ca="1">IF(INDIRECT("'"&amp;A4444&amp;"'!"&amp;B4444)="",FALSE,IF(TRUNC(INDIRECT("'"&amp;A4444&amp;"'!"&amp;B4444))=INDIRECT("'"&amp;A4444&amp;"'!"&amp;B4444),FALSE,TRUE))</f>
        <v>0</v>
      </c>
      <c r="E4444" t="s">
        <v>436</v>
      </c>
      <c r="F4444" t="str">
        <f>INDEX(Lists!I:I,MATCH(Validation!E4444,Lists!G:G,0))</f>
        <v>Error</v>
      </c>
      <c r="G4444" t="str">
        <f>INDEX(Lists!H:H,MATCH(Validation!E4444,Lists!G:G,0))</f>
        <v>Amount must be rounded to the nearest dollar.</v>
      </c>
      <c r="H4444" s="25" t="str">
        <f t="shared" ca="1" si="456"/>
        <v/>
      </c>
      <c r="I4444" s="25" t="str">
        <f t="shared" ca="1" si="457"/>
        <v/>
      </c>
      <c r="J4444" s="26" t="str">
        <f t="shared" ca="1" si="458"/>
        <v/>
      </c>
    </row>
    <row r="4445" spans="1:10" x14ac:dyDescent="0.25">
      <c r="A4445" t="s">
        <v>659</v>
      </c>
      <c r="B4445" t="str">
        <f>ADDRESS(ROW('PAYG 1'!$B$29),COLUMN('PAYG 1'!$B$29),4)</f>
        <v>B29</v>
      </c>
      <c r="C4445" t="str">
        <f>ADDRESS(ROW('PAYG 1'!$D$29),COLUMN('PAYG 1'!$D$29),4)</f>
        <v>D29</v>
      </c>
      <c r="D4445" t="b" cm="1">
        <f t="array" aca="1" ref="D4445" ca="1">IF(INDIRECT("'"&amp;A4445&amp;"'!"&amp;B4445)="",FALSE,IF(TRUNC(INDIRECT("'"&amp;A4445&amp;"'!"&amp;B4445))=INDIRECT("'"&amp;A4445&amp;"'!"&amp;B4445),FALSE,TRUE))</f>
        <v>0</v>
      </c>
      <c r="E4445" t="s">
        <v>436</v>
      </c>
      <c r="F4445" t="str">
        <f>INDEX(Lists!I:I,MATCH(Validation!E4445,Lists!G:G,0))</f>
        <v>Error</v>
      </c>
      <c r="G4445" t="str">
        <f>INDEX(Lists!H:H,MATCH(Validation!E4445,Lists!G:G,0))</f>
        <v>Amount must be rounded to the nearest dollar.</v>
      </c>
      <c r="H4445" s="25" t="str">
        <f t="shared" ca="1" si="456"/>
        <v/>
      </c>
      <c r="I4445" s="25" t="str">
        <f t="shared" ca="1" si="457"/>
        <v/>
      </c>
      <c r="J4445" s="26" t="str">
        <f t="shared" ca="1" si="458"/>
        <v/>
      </c>
    </row>
    <row r="4446" spans="1:10" x14ac:dyDescent="0.25">
      <c r="A4446" t="s">
        <v>660</v>
      </c>
      <c r="B4446" t="str">
        <f>ADDRESS(ROW('PAYG 1'!$B$29),COLUMN('PAYG 1'!$B$29),4)</f>
        <v>B29</v>
      </c>
      <c r="C4446" t="str">
        <f>ADDRESS(ROW('PAYG 1'!$D$29),COLUMN('PAYG 1'!$D$29),4)</f>
        <v>D29</v>
      </c>
      <c r="D4446" t="b" cm="1">
        <f t="array" aca="1" ref="D4446" ca="1">IF(INDIRECT("'"&amp;A4446&amp;"'!"&amp;B4446)="",FALSE,IF(TRUNC(INDIRECT("'"&amp;A4446&amp;"'!"&amp;B4446))=INDIRECT("'"&amp;A4446&amp;"'!"&amp;B4446),FALSE,TRUE))</f>
        <v>0</v>
      </c>
      <c r="E4446" t="s">
        <v>436</v>
      </c>
      <c r="F4446" t="str">
        <f>INDEX(Lists!I:I,MATCH(Validation!E4446,Lists!G:G,0))</f>
        <v>Error</v>
      </c>
      <c r="G4446" t="str">
        <f>INDEX(Lists!H:H,MATCH(Validation!E4446,Lists!G:G,0))</f>
        <v>Amount must be rounded to the nearest dollar.</v>
      </c>
      <c r="H4446" s="25" t="str">
        <f t="shared" ca="1" si="456"/>
        <v/>
      </c>
      <c r="I4446" s="25" t="str">
        <f t="shared" ca="1" si="457"/>
        <v/>
      </c>
      <c r="J4446" s="26" t="str">
        <f t="shared" ca="1" si="458"/>
        <v/>
      </c>
    </row>
    <row r="4447" spans="1:10" x14ac:dyDescent="0.25">
      <c r="A4447" t="s">
        <v>661</v>
      </c>
      <c r="B4447" t="str">
        <f>ADDRESS(ROW('PAYG 1'!$B$29),COLUMN('PAYG 1'!$B$29),4)</f>
        <v>B29</v>
      </c>
      <c r="C4447" t="str">
        <f>ADDRESS(ROW('PAYG 1'!$D$29),COLUMN('PAYG 1'!$D$29),4)</f>
        <v>D29</v>
      </c>
      <c r="D4447" t="b" cm="1">
        <f t="array" aca="1" ref="D4447" ca="1">IF(INDIRECT("'"&amp;A4447&amp;"'!"&amp;B4447)="",FALSE,IF(TRUNC(INDIRECT("'"&amp;A4447&amp;"'!"&amp;B4447))=INDIRECT("'"&amp;A4447&amp;"'!"&amp;B4447),FALSE,TRUE))</f>
        <v>0</v>
      </c>
      <c r="E4447" t="s">
        <v>436</v>
      </c>
      <c r="F4447" t="str">
        <f>INDEX(Lists!I:I,MATCH(Validation!E4447,Lists!G:G,0))</f>
        <v>Error</v>
      </c>
      <c r="G4447" t="str">
        <f>INDEX(Lists!H:H,MATCH(Validation!E4447,Lists!G:G,0))</f>
        <v>Amount must be rounded to the nearest dollar.</v>
      </c>
      <c r="H4447" s="25" t="str">
        <f t="shared" ca="1" si="456"/>
        <v/>
      </c>
      <c r="I4447" s="25" t="str">
        <f t="shared" ca="1" si="457"/>
        <v/>
      </c>
      <c r="J4447" s="26" t="str">
        <f t="shared" ca="1" si="458"/>
        <v/>
      </c>
    </row>
    <row r="4448" spans="1:10" x14ac:dyDescent="0.25">
      <c r="A4448" t="s">
        <v>662</v>
      </c>
      <c r="B4448" t="str">
        <f>ADDRESS(ROW('PAYG 1'!$B$29),COLUMN('PAYG 1'!$B$29),4)</f>
        <v>B29</v>
      </c>
      <c r="C4448" t="str">
        <f>ADDRESS(ROW('PAYG 1'!$D$29),COLUMN('PAYG 1'!$D$29),4)</f>
        <v>D29</v>
      </c>
      <c r="D4448" t="b" cm="1">
        <f t="array" aca="1" ref="D4448" ca="1">IF(INDIRECT("'"&amp;A4448&amp;"'!"&amp;B4448)="",FALSE,IF(TRUNC(INDIRECT("'"&amp;A4448&amp;"'!"&amp;B4448))=INDIRECT("'"&amp;A4448&amp;"'!"&amp;B4448),FALSE,TRUE))</f>
        <v>0</v>
      </c>
      <c r="E4448" t="s">
        <v>436</v>
      </c>
      <c r="F4448" t="str">
        <f>INDEX(Lists!I:I,MATCH(Validation!E4448,Lists!G:G,0))</f>
        <v>Error</v>
      </c>
      <c r="G4448" t="str">
        <f>INDEX(Lists!H:H,MATCH(Validation!E4448,Lists!G:G,0))</f>
        <v>Amount must be rounded to the nearest dollar.</v>
      </c>
      <c r="H4448" s="25" t="str">
        <f t="shared" ca="1" si="456"/>
        <v/>
      </c>
      <c r="I4448" s="25" t="str">
        <f t="shared" ca="1" si="457"/>
        <v/>
      </c>
      <c r="J4448" s="26" t="str">
        <f t="shared" ca="1" si="458"/>
        <v/>
      </c>
    </row>
    <row r="4449" spans="1:10" x14ac:dyDescent="0.25">
      <c r="A4449" t="s">
        <v>663</v>
      </c>
      <c r="B4449" t="str">
        <f>ADDRESS(ROW('PAYG 1'!$B$29),COLUMN('PAYG 1'!$B$29),4)</f>
        <v>B29</v>
      </c>
      <c r="C4449" t="str">
        <f>ADDRESS(ROW('PAYG 1'!$D$29),COLUMN('PAYG 1'!$D$29),4)</f>
        <v>D29</v>
      </c>
      <c r="D4449" t="b" cm="1">
        <f t="array" aca="1" ref="D4449" ca="1">IF(INDIRECT("'"&amp;A4449&amp;"'!"&amp;B4449)="",FALSE,IF(TRUNC(INDIRECT("'"&amp;A4449&amp;"'!"&amp;B4449))=INDIRECT("'"&amp;A4449&amp;"'!"&amp;B4449),FALSE,TRUE))</f>
        <v>0</v>
      </c>
      <c r="E4449" t="s">
        <v>436</v>
      </c>
      <c r="F4449" t="str">
        <f>INDEX(Lists!I:I,MATCH(Validation!E4449,Lists!G:G,0))</f>
        <v>Error</v>
      </c>
      <c r="G4449" t="str">
        <f>INDEX(Lists!H:H,MATCH(Validation!E4449,Lists!G:G,0))</f>
        <v>Amount must be rounded to the nearest dollar.</v>
      </c>
      <c r="H4449" s="25" t="str">
        <f t="shared" ca="1" si="456"/>
        <v/>
      </c>
      <c r="I4449" s="25" t="str">
        <f t="shared" ca="1" si="457"/>
        <v/>
      </c>
      <c r="J4449" s="26" t="str">
        <f t="shared" ca="1" si="458"/>
        <v/>
      </c>
    </row>
    <row r="4450" spans="1:10" x14ac:dyDescent="0.25">
      <c r="A4450" t="s">
        <v>664</v>
      </c>
      <c r="B4450" t="str">
        <f>ADDRESS(ROW('PAYG 1'!$B$29),COLUMN('PAYG 1'!$B$29),4)</f>
        <v>B29</v>
      </c>
      <c r="C4450" t="str">
        <f>ADDRESS(ROW('PAYG 1'!$D$29),COLUMN('PAYG 1'!$D$29),4)</f>
        <v>D29</v>
      </c>
      <c r="D4450" t="b" cm="1">
        <f t="array" aca="1" ref="D4450" ca="1">IF(INDIRECT("'"&amp;A4450&amp;"'!"&amp;B4450)="",FALSE,IF(TRUNC(INDIRECT("'"&amp;A4450&amp;"'!"&amp;B4450))=INDIRECT("'"&amp;A4450&amp;"'!"&amp;B4450),FALSE,TRUE))</f>
        <v>0</v>
      </c>
      <c r="E4450" t="s">
        <v>436</v>
      </c>
      <c r="F4450" t="str">
        <f>INDEX(Lists!I:I,MATCH(Validation!E4450,Lists!G:G,0))</f>
        <v>Error</v>
      </c>
      <c r="G4450" t="str">
        <f>INDEX(Lists!H:H,MATCH(Validation!E4450,Lists!G:G,0))</f>
        <v>Amount must be rounded to the nearest dollar.</v>
      </c>
      <c r="H4450" s="25" t="str">
        <f t="shared" ca="1" si="456"/>
        <v/>
      </c>
      <c r="I4450" s="25" t="str">
        <f t="shared" ca="1" si="457"/>
        <v/>
      </c>
      <c r="J4450" s="26" t="str">
        <f t="shared" ca="1" si="458"/>
        <v/>
      </c>
    </row>
    <row r="4451" spans="1:10" x14ac:dyDescent="0.25">
      <c r="A4451" t="s">
        <v>203</v>
      </c>
      <c r="B4451" t="str">
        <f>ADDRESS(ROW('PAYG 1'!$B$29),COLUMN('PAYG 1'!$B$29),4)</f>
        <v>B29</v>
      </c>
      <c r="C4451" t="str">
        <f>ADDRESS(ROW('PAYG 1'!$D$29),COLUMN('PAYG 1'!$D$29),4)</f>
        <v>D29</v>
      </c>
      <c r="D4451" t="b" cm="1">
        <f t="array" aca="1" ref="D4451" ca="1">IF(AND(NOT(ISBLANK('PAYG Input'!C$38)),INDIRECT("'"&amp;A4451&amp;"'!"&amp;B4451)&lt;&gt;'PAYG Input'!C$38),TRUE,FALSE)</f>
        <v>0</v>
      </c>
      <c r="E4451" t="s">
        <v>634</v>
      </c>
      <c r="F4451" t="str">
        <f>INDEX(Lists!I:I,MATCH(Validation!E4451,Lists!G:G,0))</f>
        <v>Alert</v>
      </c>
      <c r="G4451" t="str">
        <f>INDEX(Lists!H:H,MATCH(Validation!E4451,Lists!G:G,0))</f>
        <v>You have changed previously reported data. Explain in the comments box.</v>
      </c>
      <c r="H4451" s="25" t="str">
        <f t="shared" ca="1" si="456"/>
        <v/>
      </c>
      <c r="I4451" s="25" t="str">
        <f t="shared" ca="1" si="457"/>
        <v/>
      </c>
      <c r="J4451" s="26" t="str">
        <f t="shared" ca="1" si="458"/>
        <v/>
      </c>
    </row>
    <row r="4452" spans="1:10" x14ac:dyDescent="0.25">
      <c r="A4452" t="s">
        <v>651</v>
      </c>
      <c r="B4452" t="str">
        <f>ADDRESS(ROW('PAYG 1'!$B$29),COLUMN('PAYG 1'!$B$29),4)</f>
        <v>B29</v>
      </c>
      <c r="C4452" t="str">
        <f>ADDRESS(ROW('PAYG 1'!$D$29),COLUMN('PAYG 1'!$D$29),4)</f>
        <v>D29</v>
      </c>
      <c r="D4452" t="b" cm="1">
        <f t="array" aca="1" ref="D4452" ca="1">IF(AND(NOT(ISBLANK('PAYG Input'!D$38)),INDIRECT("'"&amp;A4452&amp;"'!"&amp;B4452)&lt;&gt;'PAYG Input'!D$38),TRUE,FALSE)</f>
        <v>0</v>
      </c>
      <c r="E4452" t="s">
        <v>634</v>
      </c>
      <c r="F4452" t="str">
        <f>INDEX(Lists!I:I,MATCH(Validation!E4452,Lists!G:G,0))</f>
        <v>Alert</v>
      </c>
      <c r="G4452" t="str">
        <f>INDEX(Lists!H:H,MATCH(Validation!E4452,Lists!G:G,0))</f>
        <v>You have changed previously reported data. Explain in the comments box.</v>
      </c>
      <c r="H4452" s="25" t="str">
        <f t="shared" ca="1" si="456"/>
        <v/>
      </c>
      <c r="I4452" s="25" t="str">
        <f t="shared" ca="1" si="457"/>
        <v/>
      </c>
      <c r="J4452" s="26" t="str">
        <f t="shared" ca="1" si="458"/>
        <v/>
      </c>
    </row>
    <row r="4453" spans="1:10" x14ac:dyDescent="0.25">
      <c r="A4453" t="s">
        <v>652</v>
      </c>
      <c r="B4453" t="str">
        <f>ADDRESS(ROW('PAYG 1'!$B$29),COLUMN('PAYG 1'!$B$29),4)</f>
        <v>B29</v>
      </c>
      <c r="C4453" t="str">
        <f>ADDRESS(ROW('PAYG 1'!$D$29),COLUMN('PAYG 1'!$D$29),4)</f>
        <v>D29</v>
      </c>
      <c r="D4453" t="b" cm="1">
        <f t="array" aca="1" ref="D4453" ca="1">IF(AND(NOT(ISBLANK('PAYG Input'!E$38)),INDIRECT("'"&amp;A4453&amp;"'!"&amp;B4453)&lt;&gt;'PAYG Input'!E$38),TRUE,FALSE)</f>
        <v>0</v>
      </c>
      <c r="E4453" t="s">
        <v>634</v>
      </c>
      <c r="F4453" t="str">
        <f>INDEX(Lists!I:I,MATCH(Validation!E4453,Lists!G:G,0))</f>
        <v>Alert</v>
      </c>
      <c r="G4453" t="str">
        <f>INDEX(Lists!H:H,MATCH(Validation!E4453,Lists!G:G,0))</f>
        <v>You have changed previously reported data. Explain in the comments box.</v>
      </c>
      <c r="H4453" s="25" t="str">
        <f t="shared" ca="1" si="456"/>
        <v/>
      </c>
      <c r="I4453" s="25" t="str">
        <f t="shared" ca="1" si="457"/>
        <v/>
      </c>
      <c r="J4453" s="26" t="str">
        <f t="shared" ca="1" si="458"/>
        <v/>
      </c>
    </row>
    <row r="4454" spans="1:10" x14ac:dyDescent="0.25">
      <c r="A4454" t="s">
        <v>653</v>
      </c>
      <c r="B4454" t="str">
        <f>ADDRESS(ROW('PAYG 1'!$B$29),COLUMN('PAYG 1'!$B$29),4)</f>
        <v>B29</v>
      </c>
      <c r="C4454" t="str">
        <f>ADDRESS(ROW('PAYG 1'!$D$29),COLUMN('PAYG 1'!$D$29),4)</f>
        <v>D29</v>
      </c>
      <c r="D4454" t="b" cm="1">
        <f t="array" aca="1" ref="D4454" ca="1">IF(AND(NOT(ISBLANK('PAYG Input'!F$38)),INDIRECT("'"&amp;A4454&amp;"'!"&amp;B4454)&lt;&gt;'PAYG Input'!F$38),TRUE,FALSE)</f>
        <v>0</v>
      </c>
      <c r="E4454" t="s">
        <v>634</v>
      </c>
      <c r="F4454" t="str">
        <f>INDEX(Lists!I:I,MATCH(Validation!E4454,Lists!G:G,0))</f>
        <v>Alert</v>
      </c>
      <c r="G4454" t="str">
        <f>INDEX(Lists!H:H,MATCH(Validation!E4454,Lists!G:G,0))</f>
        <v>You have changed previously reported data. Explain in the comments box.</v>
      </c>
      <c r="H4454" s="25" t="str">
        <f t="shared" ca="1" si="456"/>
        <v/>
      </c>
      <c r="I4454" s="25" t="str">
        <f t="shared" ca="1" si="457"/>
        <v/>
      </c>
      <c r="J4454" s="26" t="str">
        <f t="shared" ca="1" si="458"/>
        <v/>
      </c>
    </row>
    <row r="4455" spans="1:10" x14ac:dyDescent="0.25">
      <c r="A4455" t="s">
        <v>654</v>
      </c>
      <c r="B4455" t="str">
        <f>ADDRESS(ROW('PAYG 1'!$B$29),COLUMN('PAYG 1'!$B$29),4)</f>
        <v>B29</v>
      </c>
      <c r="C4455" t="str">
        <f>ADDRESS(ROW('PAYG 1'!$D$29),COLUMN('PAYG 1'!$D$29),4)</f>
        <v>D29</v>
      </c>
      <c r="D4455" t="b" cm="1">
        <f t="array" aca="1" ref="D4455" ca="1">IF(AND(NOT(ISBLANK('PAYG Input'!G$38)),INDIRECT("'"&amp;A4455&amp;"'!"&amp;B4455)&lt;&gt;'PAYG Input'!G$38),TRUE,FALSE)</f>
        <v>0</v>
      </c>
      <c r="E4455" t="s">
        <v>634</v>
      </c>
      <c r="F4455" t="str">
        <f>INDEX(Lists!I:I,MATCH(Validation!E4455,Lists!G:G,0))</f>
        <v>Alert</v>
      </c>
      <c r="G4455" t="str">
        <f>INDEX(Lists!H:H,MATCH(Validation!E4455,Lists!G:G,0))</f>
        <v>You have changed previously reported data. Explain in the comments box.</v>
      </c>
      <c r="H4455" s="25" t="str">
        <f t="shared" ca="1" si="456"/>
        <v/>
      </c>
      <c r="I4455" s="25" t="str">
        <f t="shared" ca="1" si="457"/>
        <v/>
      </c>
      <c r="J4455" s="26" t="str">
        <f t="shared" ca="1" si="458"/>
        <v/>
      </c>
    </row>
    <row r="4456" spans="1:10" x14ac:dyDescent="0.25">
      <c r="A4456" t="s">
        <v>655</v>
      </c>
      <c r="B4456" t="str">
        <f>ADDRESS(ROW('PAYG 1'!$B$29),COLUMN('PAYG 1'!$B$29),4)</f>
        <v>B29</v>
      </c>
      <c r="C4456" t="str">
        <f>ADDRESS(ROW('PAYG 1'!$D$29),COLUMN('PAYG 1'!$D$29),4)</f>
        <v>D29</v>
      </c>
      <c r="D4456" t="b" cm="1">
        <f t="array" aca="1" ref="D4456" ca="1">IF(AND(NOT(ISBLANK('PAYG Input'!H$38)),INDIRECT("'"&amp;A4456&amp;"'!"&amp;B4456)&lt;&gt;'PAYG Input'!H$38),TRUE,FALSE)</f>
        <v>0</v>
      </c>
      <c r="E4456" t="s">
        <v>634</v>
      </c>
      <c r="F4456" t="str">
        <f>INDEX(Lists!I:I,MATCH(Validation!E4456,Lists!G:G,0))</f>
        <v>Alert</v>
      </c>
      <c r="G4456" t="str">
        <f>INDEX(Lists!H:H,MATCH(Validation!E4456,Lists!G:G,0))</f>
        <v>You have changed previously reported data. Explain in the comments box.</v>
      </c>
      <c r="H4456" s="25" t="str">
        <f t="shared" ca="1" si="456"/>
        <v/>
      </c>
      <c r="I4456" s="25" t="str">
        <f t="shared" ca="1" si="457"/>
        <v/>
      </c>
      <c r="J4456" s="26" t="str">
        <f t="shared" ca="1" si="458"/>
        <v/>
      </c>
    </row>
    <row r="4457" spans="1:10" x14ac:dyDescent="0.25">
      <c r="A4457" t="s">
        <v>656</v>
      </c>
      <c r="B4457" t="str">
        <f>ADDRESS(ROW('PAYG 1'!$B$29),COLUMN('PAYG 1'!$B$29),4)</f>
        <v>B29</v>
      </c>
      <c r="C4457" t="str">
        <f>ADDRESS(ROW('PAYG 1'!$D$29),COLUMN('PAYG 1'!$D$29),4)</f>
        <v>D29</v>
      </c>
      <c r="D4457" t="b" cm="1">
        <f t="array" aca="1" ref="D4457" ca="1">IF(AND(NOT(ISBLANK('PAYG Input'!I$38)),INDIRECT("'"&amp;A4457&amp;"'!"&amp;B4457)&lt;&gt;'PAYG Input'!I$38),TRUE,FALSE)</f>
        <v>0</v>
      </c>
      <c r="E4457" t="s">
        <v>634</v>
      </c>
      <c r="F4457" t="str">
        <f>INDEX(Lists!I:I,MATCH(Validation!E4457,Lists!G:G,0))</f>
        <v>Alert</v>
      </c>
      <c r="G4457" t="str">
        <f>INDEX(Lists!H:H,MATCH(Validation!E4457,Lists!G:G,0))</f>
        <v>You have changed previously reported data. Explain in the comments box.</v>
      </c>
      <c r="H4457" s="25" t="str">
        <f t="shared" ca="1" si="456"/>
        <v/>
      </c>
      <c r="I4457" s="25" t="str">
        <f t="shared" ca="1" si="457"/>
        <v/>
      </c>
      <c r="J4457" s="26" t="str">
        <f t="shared" ca="1" si="458"/>
        <v/>
      </c>
    </row>
    <row r="4458" spans="1:10" x14ac:dyDescent="0.25">
      <c r="A4458" t="s">
        <v>657</v>
      </c>
      <c r="B4458" t="str">
        <f>ADDRESS(ROW('PAYG 1'!$B$29),COLUMN('PAYG 1'!$B$29),4)</f>
        <v>B29</v>
      </c>
      <c r="C4458" t="str">
        <f>ADDRESS(ROW('PAYG 1'!$D$29),COLUMN('PAYG 1'!$D$29),4)</f>
        <v>D29</v>
      </c>
      <c r="D4458" t="b" cm="1">
        <f t="array" aca="1" ref="D4458" ca="1">IF(AND(NOT(ISBLANK('PAYG Input'!J$38)),INDIRECT("'"&amp;A4458&amp;"'!"&amp;B4458)&lt;&gt;'PAYG Input'!J$38),TRUE,FALSE)</f>
        <v>0</v>
      </c>
      <c r="E4458" t="s">
        <v>634</v>
      </c>
      <c r="F4458" t="str">
        <f>INDEX(Lists!I:I,MATCH(Validation!E4458,Lists!G:G,0))</f>
        <v>Alert</v>
      </c>
      <c r="G4458" t="str">
        <f>INDEX(Lists!H:H,MATCH(Validation!E4458,Lists!G:G,0))</f>
        <v>You have changed previously reported data. Explain in the comments box.</v>
      </c>
      <c r="H4458" s="25" t="str">
        <f t="shared" ca="1" si="456"/>
        <v/>
      </c>
      <c r="I4458" s="25" t="str">
        <f t="shared" ca="1" si="457"/>
        <v/>
      </c>
      <c r="J4458" s="26" t="str">
        <f t="shared" ca="1" si="458"/>
        <v/>
      </c>
    </row>
    <row r="4459" spans="1:10" x14ac:dyDescent="0.25">
      <c r="A4459" t="s">
        <v>658</v>
      </c>
      <c r="B4459" t="str">
        <f>ADDRESS(ROW('PAYG 1'!$B$29),COLUMN('PAYG 1'!$B$29),4)</f>
        <v>B29</v>
      </c>
      <c r="C4459" t="str">
        <f>ADDRESS(ROW('PAYG 1'!$D$29),COLUMN('PAYG 1'!$D$29),4)</f>
        <v>D29</v>
      </c>
      <c r="D4459" t="b" cm="1">
        <f t="array" aca="1" ref="D4459" ca="1">IF(AND(NOT(ISBLANK('PAYG Input'!K$38)),INDIRECT("'"&amp;A4459&amp;"'!"&amp;B4459)&lt;&gt;'PAYG Input'!K$38),TRUE,FALSE)</f>
        <v>0</v>
      </c>
      <c r="E4459" t="s">
        <v>634</v>
      </c>
      <c r="F4459" t="str">
        <f>INDEX(Lists!I:I,MATCH(Validation!E4459,Lists!G:G,0))</f>
        <v>Alert</v>
      </c>
      <c r="G4459" t="str">
        <f>INDEX(Lists!H:H,MATCH(Validation!E4459,Lists!G:G,0))</f>
        <v>You have changed previously reported data. Explain in the comments box.</v>
      </c>
      <c r="H4459" s="25" t="str">
        <f t="shared" ca="1" si="456"/>
        <v/>
      </c>
      <c r="I4459" s="25" t="str">
        <f t="shared" ca="1" si="457"/>
        <v/>
      </c>
      <c r="J4459" s="26" t="str">
        <f t="shared" ca="1" si="458"/>
        <v/>
      </c>
    </row>
    <row r="4460" spans="1:10" x14ac:dyDescent="0.25">
      <c r="A4460" t="s">
        <v>659</v>
      </c>
      <c r="B4460" t="str">
        <f>ADDRESS(ROW('PAYG 1'!$B$29),COLUMN('PAYG 1'!$B$29),4)</f>
        <v>B29</v>
      </c>
      <c r="C4460" t="str">
        <f>ADDRESS(ROW('PAYG 1'!$D$29),COLUMN('PAYG 1'!$D$29),4)</f>
        <v>D29</v>
      </c>
      <c r="D4460" t="b" cm="1">
        <f t="array" aca="1" ref="D4460" ca="1">IF(AND(NOT(ISBLANK('PAYG Input'!L$38)),INDIRECT("'"&amp;A4460&amp;"'!"&amp;B4460)&lt;&gt;'PAYG Input'!L$38),TRUE,FALSE)</f>
        <v>0</v>
      </c>
      <c r="E4460" t="s">
        <v>634</v>
      </c>
      <c r="F4460" t="str">
        <f>INDEX(Lists!I:I,MATCH(Validation!E4460,Lists!G:G,0))</f>
        <v>Alert</v>
      </c>
      <c r="G4460" t="str">
        <f>INDEX(Lists!H:H,MATCH(Validation!E4460,Lists!G:G,0))</f>
        <v>You have changed previously reported data. Explain in the comments box.</v>
      </c>
      <c r="H4460" s="25" t="str">
        <f t="shared" ca="1" si="456"/>
        <v/>
      </c>
      <c r="I4460" s="25" t="str">
        <f t="shared" ca="1" si="457"/>
        <v/>
      </c>
      <c r="J4460" s="26" t="str">
        <f t="shared" ca="1" si="458"/>
        <v/>
      </c>
    </row>
    <row r="4461" spans="1:10" x14ac:dyDescent="0.25">
      <c r="A4461" t="s">
        <v>660</v>
      </c>
      <c r="B4461" t="str">
        <f>ADDRESS(ROW('PAYG 1'!$B$29),COLUMN('PAYG 1'!$B$29),4)</f>
        <v>B29</v>
      </c>
      <c r="C4461" t="str">
        <f>ADDRESS(ROW('PAYG 1'!$D$29),COLUMN('PAYG 1'!$D$29),4)</f>
        <v>D29</v>
      </c>
      <c r="D4461" t="b" cm="1">
        <f t="array" aca="1" ref="D4461" ca="1">IF(AND(NOT(ISBLANK('PAYG Input'!M$38)),INDIRECT("'"&amp;A4461&amp;"'!"&amp;B4461)&lt;&gt;'PAYG Input'!M$38),TRUE,FALSE)</f>
        <v>0</v>
      </c>
      <c r="E4461" t="s">
        <v>634</v>
      </c>
      <c r="F4461" t="str">
        <f>INDEX(Lists!I:I,MATCH(Validation!E4461,Lists!G:G,0))</f>
        <v>Alert</v>
      </c>
      <c r="G4461" t="str">
        <f>INDEX(Lists!H:H,MATCH(Validation!E4461,Lists!G:G,0))</f>
        <v>You have changed previously reported data. Explain in the comments box.</v>
      </c>
      <c r="H4461" s="25" t="str">
        <f t="shared" ca="1" si="456"/>
        <v/>
      </c>
      <c r="I4461" s="25" t="str">
        <f t="shared" ca="1" si="457"/>
        <v/>
      </c>
      <c r="J4461" s="26" t="str">
        <f t="shared" ca="1" si="458"/>
        <v/>
      </c>
    </row>
    <row r="4462" spans="1:10" x14ac:dyDescent="0.25">
      <c r="A4462" t="s">
        <v>661</v>
      </c>
      <c r="B4462" t="str">
        <f>ADDRESS(ROW('PAYG 1'!$B$29),COLUMN('PAYG 1'!$B$29),4)</f>
        <v>B29</v>
      </c>
      <c r="C4462" t="str">
        <f>ADDRESS(ROW('PAYG 1'!$D$29),COLUMN('PAYG 1'!$D$29),4)</f>
        <v>D29</v>
      </c>
      <c r="D4462" t="b" cm="1">
        <f t="array" aca="1" ref="D4462" ca="1">IF(AND(NOT(ISBLANK('PAYG Input'!N$38)),INDIRECT("'"&amp;A4462&amp;"'!"&amp;B4462)&lt;&gt;'PAYG Input'!N$38),TRUE,FALSE)</f>
        <v>0</v>
      </c>
      <c r="E4462" t="s">
        <v>634</v>
      </c>
      <c r="F4462" t="str">
        <f>INDEX(Lists!I:I,MATCH(Validation!E4462,Lists!G:G,0))</f>
        <v>Alert</v>
      </c>
      <c r="G4462" t="str">
        <f>INDEX(Lists!H:H,MATCH(Validation!E4462,Lists!G:G,0))</f>
        <v>You have changed previously reported data. Explain in the comments box.</v>
      </c>
      <c r="H4462" s="25" t="str">
        <f t="shared" ca="1" si="456"/>
        <v/>
      </c>
      <c r="I4462" s="25" t="str">
        <f t="shared" ca="1" si="457"/>
        <v/>
      </c>
      <c r="J4462" s="26" t="str">
        <f t="shared" ca="1" si="458"/>
        <v/>
      </c>
    </row>
    <row r="4463" spans="1:10" x14ac:dyDescent="0.25">
      <c r="A4463" t="s">
        <v>662</v>
      </c>
      <c r="B4463" t="str">
        <f>ADDRESS(ROW('PAYG 1'!$B$29),COLUMN('PAYG 1'!$B$29),4)</f>
        <v>B29</v>
      </c>
      <c r="C4463" t="str">
        <f>ADDRESS(ROW('PAYG 1'!$D$29),COLUMN('PAYG 1'!$D$29),4)</f>
        <v>D29</v>
      </c>
      <c r="D4463" t="b" cm="1">
        <f t="array" aca="1" ref="D4463" ca="1">IF(AND(NOT(ISBLANK('PAYG Input'!O$38)),INDIRECT("'"&amp;A4463&amp;"'!"&amp;B4463)&lt;&gt;'PAYG Input'!O$38),TRUE,FALSE)</f>
        <v>0</v>
      </c>
      <c r="E4463" t="s">
        <v>634</v>
      </c>
      <c r="F4463" t="str">
        <f>INDEX(Lists!I:I,MATCH(Validation!E4463,Lists!G:G,0))</f>
        <v>Alert</v>
      </c>
      <c r="G4463" t="str">
        <f>INDEX(Lists!H:H,MATCH(Validation!E4463,Lists!G:G,0))</f>
        <v>You have changed previously reported data. Explain in the comments box.</v>
      </c>
      <c r="H4463" s="25" t="str">
        <f t="shared" ca="1" si="456"/>
        <v/>
      </c>
      <c r="I4463" s="25" t="str">
        <f t="shared" ca="1" si="457"/>
        <v/>
      </c>
      <c r="J4463" s="26" t="str">
        <f t="shared" ca="1" si="458"/>
        <v/>
      </c>
    </row>
    <row r="4464" spans="1:10" x14ac:dyDescent="0.25">
      <c r="A4464" t="s">
        <v>663</v>
      </c>
      <c r="B4464" t="str">
        <f>ADDRESS(ROW('PAYG 1'!$B$29),COLUMN('PAYG 1'!$B$29),4)</f>
        <v>B29</v>
      </c>
      <c r="C4464" t="str">
        <f>ADDRESS(ROW('PAYG 1'!$D$29),COLUMN('PAYG 1'!$D$29),4)</f>
        <v>D29</v>
      </c>
      <c r="D4464" t="b" cm="1">
        <f t="array" aca="1" ref="D4464" ca="1">IF(AND(NOT(ISBLANK('PAYG Input'!P$38)),INDIRECT("'"&amp;A4464&amp;"'!"&amp;B4464)&lt;&gt;'PAYG Input'!P$38),TRUE,FALSE)</f>
        <v>0</v>
      </c>
      <c r="E4464" t="s">
        <v>634</v>
      </c>
      <c r="F4464" t="str">
        <f>INDEX(Lists!I:I,MATCH(Validation!E4464,Lists!G:G,0))</f>
        <v>Alert</v>
      </c>
      <c r="G4464" t="str">
        <f>INDEX(Lists!H:H,MATCH(Validation!E4464,Lists!G:G,0))</f>
        <v>You have changed previously reported data. Explain in the comments box.</v>
      </c>
      <c r="H4464" s="25" t="str">
        <f t="shared" ca="1" si="456"/>
        <v/>
      </c>
      <c r="I4464" s="25" t="str">
        <f t="shared" ca="1" si="457"/>
        <v/>
      </c>
      <c r="J4464" s="26" t="str">
        <f t="shared" ca="1" si="458"/>
        <v/>
      </c>
    </row>
    <row r="4465" spans="1:10" x14ac:dyDescent="0.25">
      <c r="A4465" t="s">
        <v>664</v>
      </c>
      <c r="B4465" t="str">
        <f>ADDRESS(ROW('PAYG 1'!$B$29),COLUMN('PAYG 1'!$B$29),4)</f>
        <v>B29</v>
      </c>
      <c r="C4465" t="str">
        <f>ADDRESS(ROW('PAYG 1'!$D$29),COLUMN('PAYG 1'!$D$29),4)</f>
        <v>D29</v>
      </c>
      <c r="D4465" t="b" cm="1">
        <f t="array" aca="1" ref="D4465" ca="1">IF(AND(NOT(ISBLANK('PAYG Input'!Q$38)),INDIRECT("'"&amp;A4465&amp;"'!"&amp;B4465)&lt;&gt;'PAYG Input'!Q$38),TRUE,FALSE)</f>
        <v>0</v>
      </c>
      <c r="E4465" t="s">
        <v>634</v>
      </c>
      <c r="F4465" t="str">
        <f>INDEX(Lists!I:I,MATCH(Validation!E4465,Lists!G:G,0))</f>
        <v>Alert</v>
      </c>
      <c r="G4465" t="str">
        <f>INDEX(Lists!H:H,MATCH(Validation!E4465,Lists!G:G,0))</f>
        <v>You have changed previously reported data. Explain in the comments box.</v>
      </c>
      <c r="H4465" s="25" t="str">
        <f t="shared" ca="1" si="456"/>
        <v/>
      </c>
      <c r="I4465" s="25" t="str">
        <f t="shared" ca="1" si="457"/>
        <v/>
      </c>
      <c r="J4465" s="26" t="str">
        <f t="shared" ca="1" si="458"/>
        <v/>
      </c>
    </row>
    <row r="4466" spans="1:10" x14ac:dyDescent="0.25">
      <c r="A4466" t="s">
        <v>203</v>
      </c>
      <c r="B4466" t="str">
        <f>ADDRESS(ROW('PAYG 1'!$C$29),COLUMN('PAYG 1'!$C$29),4)</f>
        <v>C29</v>
      </c>
      <c r="C4466" t="str">
        <f>ADDRESS(ROW('PAYG 1'!$D$29),COLUMN('PAYG 1'!$D$29),4)</f>
        <v>D29</v>
      </c>
      <c r="D4466" t="b" cm="1">
        <f t="array" aca="1" ref="D4466" ca="1">IF(INDIRECT("'"&amp;A4466&amp;"'!"&amp;B4466)="",FALSE,IF(NOT(ISNUMBER(INDIRECT("'"&amp;A4466&amp;"'!"&amp;B4466))),TRUE,FALSE))</f>
        <v>0</v>
      </c>
      <c r="E4466" t="s">
        <v>435</v>
      </c>
      <c r="F4466" t="str">
        <f>INDEX(Lists!I:I,MATCH(Validation!E4466,Lists!G:G,0))</f>
        <v>Error</v>
      </c>
      <c r="G4466" t="str">
        <f>INDEX(Lists!H:H,MATCH(Validation!E4466,Lists!G:G,0))</f>
        <v>Enter an amount only. Do not enter text or spaces.</v>
      </c>
      <c r="H4466" s="25" t="str">
        <f t="shared" ref="H4466:H4510" ca="1" si="459">IFERROR(IF(OR(NOT(D4466),F4466&lt;&gt;"Error"),"",A4466&amp;CELL("address",INDIRECT(B4466))),"")</f>
        <v/>
      </c>
      <c r="I4466" s="25" t="str">
        <f t="shared" ref="I4466:I4510" ca="1" si="460">IFERROR(IF(NOT(D4466),"",A4466&amp;CELL("address",INDIRECT(C4466))),"")</f>
        <v/>
      </c>
      <c r="J4466" s="26" t="str">
        <f t="shared" ref="J4466:J4510" ca="1" si="461">IFERROR(IF(NOT(D4466),"",A4466),"")</f>
        <v/>
      </c>
    </row>
    <row r="4467" spans="1:10" x14ac:dyDescent="0.25">
      <c r="A4467" t="s">
        <v>651</v>
      </c>
      <c r="B4467" t="str">
        <f>ADDRESS(ROW('PAYG 1'!$C$29),COLUMN('PAYG 1'!$C$29),4)</f>
        <v>C29</v>
      </c>
      <c r="C4467" t="str">
        <f>ADDRESS(ROW('PAYG 1'!$D$29),COLUMN('PAYG 1'!$D$29),4)</f>
        <v>D29</v>
      </c>
      <c r="D4467" t="b" cm="1">
        <f t="array" aca="1" ref="D4467" ca="1">IF(INDIRECT("'"&amp;A4467&amp;"'!"&amp;B4467)="",FALSE,IF(NOT(ISNUMBER(INDIRECT("'"&amp;A4467&amp;"'!"&amp;B4467))),TRUE,FALSE))</f>
        <v>0</v>
      </c>
      <c r="E4467" t="s">
        <v>435</v>
      </c>
      <c r="F4467" t="str">
        <f>INDEX(Lists!I:I,MATCH(Validation!E4467,Lists!G:G,0))</f>
        <v>Error</v>
      </c>
      <c r="G4467" t="str">
        <f>INDEX(Lists!H:H,MATCH(Validation!E4467,Lists!G:G,0))</f>
        <v>Enter an amount only. Do not enter text or spaces.</v>
      </c>
      <c r="H4467" s="25" t="str">
        <f t="shared" ca="1" si="459"/>
        <v/>
      </c>
      <c r="I4467" s="25" t="str">
        <f t="shared" ca="1" si="460"/>
        <v/>
      </c>
      <c r="J4467" s="26" t="str">
        <f t="shared" ca="1" si="461"/>
        <v/>
      </c>
    </row>
    <row r="4468" spans="1:10" x14ac:dyDescent="0.25">
      <c r="A4468" t="s">
        <v>652</v>
      </c>
      <c r="B4468" t="str">
        <f>ADDRESS(ROW('PAYG 1'!$C$29),COLUMN('PAYG 1'!$C$29),4)</f>
        <v>C29</v>
      </c>
      <c r="C4468" t="str">
        <f>ADDRESS(ROW('PAYG 1'!$D$29),COLUMN('PAYG 1'!$D$29),4)</f>
        <v>D29</v>
      </c>
      <c r="D4468" t="b" cm="1">
        <f t="array" aca="1" ref="D4468" ca="1">IF(INDIRECT("'"&amp;A4468&amp;"'!"&amp;B4468)="",FALSE,IF(NOT(ISNUMBER(INDIRECT("'"&amp;A4468&amp;"'!"&amp;B4468))),TRUE,FALSE))</f>
        <v>0</v>
      </c>
      <c r="E4468" t="s">
        <v>435</v>
      </c>
      <c r="F4468" t="str">
        <f>INDEX(Lists!I:I,MATCH(Validation!E4468,Lists!G:G,0))</f>
        <v>Error</v>
      </c>
      <c r="G4468" t="str">
        <f>INDEX(Lists!H:H,MATCH(Validation!E4468,Lists!G:G,0))</f>
        <v>Enter an amount only. Do not enter text or spaces.</v>
      </c>
      <c r="H4468" s="25" t="str">
        <f t="shared" ca="1" si="459"/>
        <v/>
      </c>
      <c r="I4468" s="25" t="str">
        <f t="shared" ca="1" si="460"/>
        <v/>
      </c>
      <c r="J4468" s="26" t="str">
        <f t="shared" ca="1" si="461"/>
        <v/>
      </c>
    </row>
    <row r="4469" spans="1:10" x14ac:dyDescent="0.25">
      <c r="A4469" t="s">
        <v>653</v>
      </c>
      <c r="B4469" t="str">
        <f>ADDRESS(ROW('PAYG 1'!$C$29),COLUMN('PAYG 1'!$C$29),4)</f>
        <v>C29</v>
      </c>
      <c r="C4469" t="str">
        <f>ADDRESS(ROW('PAYG 1'!$D$29),COLUMN('PAYG 1'!$D$29),4)</f>
        <v>D29</v>
      </c>
      <c r="D4469" t="b" cm="1">
        <f t="array" aca="1" ref="D4469" ca="1">IF(INDIRECT("'"&amp;A4469&amp;"'!"&amp;B4469)="",FALSE,IF(NOT(ISNUMBER(INDIRECT("'"&amp;A4469&amp;"'!"&amp;B4469))),TRUE,FALSE))</f>
        <v>0</v>
      </c>
      <c r="E4469" t="s">
        <v>435</v>
      </c>
      <c r="F4469" t="str">
        <f>INDEX(Lists!I:I,MATCH(Validation!E4469,Lists!G:G,0))</f>
        <v>Error</v>
      </c>
      <c r="G4469" t="str">
        <f>INDEX(Lists!H:H,MATCH(Validation!E4469,Lists!G:G,0))</f>
        <v>Enter an amount only. Do not enter text or spaces.</v>
      </c>
      <c r="H4469" s="25" t="str">
        <f t="shared" ca="1" si="459"/>
        <v/>
      </c>
      <c r="I4469" s="25" t="str">
        <f t="shared" ca="1" si="460"/>
        <v/>
      </c>
      <c r="J4469" s="26" t="str">
        <f t="shared" ca="1" si="461"/>
        <v/>
      </c>
    </row>
    <row r="4470" spans="1:10" x14ac:dyDescent="0.25">
      <c r="A4470" t="s">
        <v>654</v>
      </c>
      <c r="B4470" t="str">
        <f>ADDRESS(ROW('PAYG 1'!$C$29),COLUMN('PAYG 1'!$C$29),4)</f>
        <v>C29</v>
      </c>
      <c r="C4470" t="str">
        <f>ADDRESS(ROW('PAYG 1'!$D$29),COLUMN('PAYG 1'!$D$29),4)</f>
        <v>D29</v>
      </c>
      <c r="D4470" t="b" cm="1">
        <f t="array" aca="1" ref="D4470" ca="1">IF(INDIRECT("'"&amp;A4470&amp;"'!"&amp;B4470)="",FALSE,IF(NOT(ISNUMBER(INDIRECT("'"&amp;A4470&amp;"'!"&amp;B4470))),TRUE,FALSE))</f>
        <v>0</v>
      </c>
      <c r="E4470" t="s">
        <v>435</v>
      </c>
      <c r="F4470" t="str">
        <f>INDEX(Lists!I:I,MATCH(Validation!E4470,Lists!G:G,0))</f>
        <v>Error</v>
      </c>
      <c r="G4470" t="str">
        <f>INDEX(Lists!H:H,MATCH(Validation!E4470,Lists!G:G,0))</f>
        <v>Enter an amount only. Do not enter text or spaces.</v>
      </c>
      <c r="H4470" s="25" t="str">
        <f t="shared" ca="1" si="459"/>
        <v/>
      </c>
      <c r="I4470" s="25" t="str">
        <f t="shared" ca="1" si="460"/>
        <v/>
      </c>
      <c r="J4470" s="26" t="str">
        <f t="shared" ca="1" si="461"/>
        <v/>
      </c>
    </row>
    <row r="4471" spans="1:10" x14ac:dyDescent="0.25">
      <c r="A4471" t="s">
        <v>655</v>
      </c>
      <c r="B4471" t="str">
        <f>ADDRESS(ROW('PAYG 1'!$C$29),COLUMN('PAYG 1'!$C$29),4)</f>
        <v>C29</v>
      </c>
      <c r="C4471" t="str">
        <f>ADDRESS(ROW('PAYG 1'!$D$29),COLUMN('PAYG 1'!$D$29),4)</f>
        <v>D29</v>
      </c>
      <c r="D4471" t="b" cm="1">
        <f t="array" aca="1" ref="D4471" ca="1">IF(INDIRECT("'"&amp;A4471&amp;"'!"&amp;B4471)="",FALSE,IF(NOT(ISNUMBER(INDIRECT("'"&amp;A4471&amp;"'!"&amp;B4471))),TRUE,FALSE))</f>
        <v>0</v>
      </c>
      <c r="E4471" t="s">
        <v>435</v>
      </c>
      <c r="F4471" t="str">
        <f>INDEX(Lists!I:I,MATCH(Validation!E4471,Lists!G:G,0))</f>
        <v>Error</v>
      </c>
      <c r="G4471" t="str">
        <f>INDEX(Lists!H:H,MATCH(Validation!E4471,Lists!G:G,0))</f>
        <v>Enter an amount only. Do not enter text or spaces.</v>
      </c>
      <c r="H4471" s="25" t="str">
        <f t="shared" ca="1" si="459"/>
        <v/>
      </c>
      <c r="I4471" s="25" t="str">
        <f t="shared" ca="1" si="460"/>
        <v/>
      </c>
      <c r="J4471" s="26" t="str">
        <f t="shared" ca="1" si="461"/>
        <v/>
      </c>
    </row>
    <row r="4472" spans="1:10" x14ac:dyDescent="0.25">
      <c r="A4472" t="s">
        <v>656</v>
      </c>
      <c r="B4472" t="str">
        <f>ADDRESS(ROW('PAYG 1'!$C$29),COLUMN('PAYG 1'!$C$29),4)</f>
        <v>C29</v>
      </c>
      <c r="C4472" t="str">
        <f>ADDRESS(ROW('PAYG 1'!$D$29),COLUMN('PAYG 1'!$D$29),4)</f>
        <v>D29</v>
      </c>
      <c r="D4472" t="b" cm="1">
        <f t="array" aca="1" ref="D4472" ca="1">IF(INDIRECT("'"&amp;A4472&amp;"'!"&amp;B4472)="",FALSE,IF(NOT(ISNUMBER(INDIRECT("'"&amp;A4472&amp;"'!"&amp;B4472))),TRUE,FALSE))</f>
        <v>0</v>
      </c>
      <c r="E4472" t="s">
        <v>435</v>
      </c>
      <c r="F4472" t="str">
        <f>INDEX(Lists!I:I,MATCH(Validation!E4472,Lists!G:G,0))</f>
        <v>Error</v>
      </c>
      <c r="G4472" t="str">
        <f>INDEX(Lists!H:H,MATCH(Validation!E4472,Lists!G:G,0))</f>
        <v>Enter an amount only. Do not enter text or spaces.</v>
      </c>
      <c r="H4472" s="25" t="str">
        <f t="shared" ca="1" si="459"/>
        <v/>
      </c>
      <c r="I4472" s="25" t="str">
        <f t="shared" ca="1" si="460"/>
        <v/>
      </c>
      <c r="J4472" s="26" t="str">
        <f t="shared" ca="1" si="461"/>
        <v/>
      </c>
    </row>
    <row r="4473" spans="1:10" x14ac:dyDescent="0.25">
      <c r="A4473" t="s">
        <v>657</v>
      </c>
      <c r="B4473" t="str">
        <f>ADDRESS(ROW('PAYG 1'!$C$29),COLUMN('PAYG 1'!$C$29),4)</f>
        <v>C29</v>
      </c>
      <c r="C4473" t="str">
        <f>ADDRESS(ROW('PAYG 1'!$D$29),COLUMN('PAYG 1'!$D$29),4)</f>
        <v>D29</v>
      </c>
      <c r="D4473" t="b" cm="1">
        <f t="array" aca="1" ref="D4473" ca="1">IF(INDIRECT("'"&amp;A4473&amp;"'!"&amp;B4473)="",FALSE,IF(NOT(ISNUMBER(INDIRECT("'"&amp;A4473&amp;"'!"&amp;B4473))),TRUE,FALSE))</f>
        <v>0</v>
      </c>
      <c r="E4473" t="s">
        <v>435</v>
      </c>
      <c r="F4473" t="str">
        <f>INDEX(Lists!I:I,MATCH(Validation!E4473,Lists!G:G,0))</f>
        <v>Error</v>
      </c>
      <c r="G4473" t="str">
        <f>INDEX(Lists!H:H,MATCH(Validation!E4473,Lists!G:G,0))</f>
        <v>Enter an amount only. Do not enter text or spaces.</v>
      </c>
      <c r="H4473" s="25" t="str">
        <f t="shared" ca="1" si="459"/>
        <v/>
      </c>
      <c r="I4473" s="25" t="str">
        <f t="shared" ca="1" si="460"/>
        <v/>
      </c>
      <c r="J4473" s="26" t="str">
        <f t="shared" ca="1" si="461"/>
        <v/>
      </c>
    </row>
    <row r="4474" spans="1:10" x14ac:dyDescent="0.25">
      <c r="A4474" t="s">
        <v>658</v>
      </c>
      <c r="B4474" t="str">
        <f>ADDRESS(ROW('PAYG 1'!$C$29),COLUMN('PAYG 1'!$C$29),4)</f>
        <v>C29</v>
      </c>
      <c r="C4474" t="str">
        <f>ADDRESS(ROW('PAYG 1'!$D$29),COLUMN('PAYG 1'!$D$29),4)</f>
        <v>D29</v>
      </c>
      <c r="D4474" t="b" cm="1">
        <f t="array" aca="1" ref="D4474" ca="1">IF(INDIRECT("'"&amp;A4474&amp;"'!"&amp;B4474)="",FALSE,IF(NOT(ISNUMBER(INDIRECT("'"&amp;A4474&amp;"'!"&amp;B4474))),TRUE,FALSE))</f>
        <v>0</v>
      </c>
      <c r="E4474" t="s">
        <v>435</v>
      </c>
      <c r="F4474" t="str">
        <f>INDEX(Lists!I:I,MATCH(Validation!E4474,Lists!G:G,0))</f>
        <v>Error</v>
      </c>
      <c r="G4474" t="str">
        <f>INDEX(Lists!H:H,MATCH(Validation!E4474,Lists!G:G,0))</f>
        <v>Enter an amount only. Do not enter text or spaces.</v>
      </c>
      <c r="H4474" s="25" t="str">
        <f t="shared" ca="1" si="459"/>
        <v/>
      </c>
      <c r="I4474" s="25" t="str">
        <f t="shared" ca="1" si="460"/>
        <v/>
      </c>
      <c r="J4474" s="26" t="str">
        <f t="shared" ca="1" si="461"/>
        <v/>
      </c>
    </row>
    <row r="4475" spans="1:10" x14ac:dyDescent="0.25">
      <c r="A4475" t="s">
        <v>659</v>
      </c>
      <c r="B4475" t="str">
        <f>ADDRESS(ROW('PAYG 1'!$C$29),COLUMN('PAYG 1'!$C$29),4)</f>
        <v>C29</v>
      </c>
      <c r="C4475" t="str">
        <f>ADDRESS(ROW('PAYG 1'!$D$29),COLUMN('PAYG 1'!$D$29),4)</f>
        <v>D29</v>
      </c>
      <c r="D4475" t="b" cm="1">
        <f t="array" aca="1" ref="D4475" ca="1">IF(INDIRECT("'"&amp;A4475&amp;"'!"&amp;B4475)="",FALSE,IF(NOT(ISNUMBER(INDIRECT("'"&amp;A4475&amp;"'!"&amp;B4475))),TRUE,FALSE))</f>
        <v>0</v>
      </c>
      <c r="E4475" t="s">
        <v>435</v>
      </c>
      <c r="F4475" t="str">
        <f>INDEX(Lists!I:I,MATCH(Validation!E4475,Lists!G:G,0))</f>
        <v>Error</v>
      </c>
      <c r="G4475" t="str">
        <f>INDEX(Lists!H:H,MATCH(Validation!E4475,Lists!G:G,0))</f>
        <v>Enter an amount only. Do not enter text or spaces.</v>
      </c>
      <c r="H4475" s="25" t="str">
        <f t="shared" ca="1" si="459"/>
        <v/>
      </c>
      <c r="I4475" s="25" t="str">
        <f t="shared" ca="1" si="460"/>
        <v/>
      </c>
      <c r="J4475" s="26" t="str">
        <f t="shared" ca="1" si="461"/>
        <v/>
      </c>
    </row>
    <row r="4476" spans="1:10" x14ac:dyDescent="0.25">
      <c r="A4476" t="s">
        <v>660</v>
      </c>
      <c r="B4476" t="str">
        <f>ADDRESS(ROW('PAYG 1'!$C$29),COLUMN('PAYG 1'!$C$29),4)</f>
        <v>C29</v>
      </c>
      <c r="C4476" t="str">
        <f>ADDRESS(ROW('PAYG 1'!$D$29),COLUMN('PAYG 1'!$D$29),4)</f>
        <v>D29</v>
      </c>
      <c r="D4476" t="b" cm="1">
        <f t="array" aca="1" ref="D4476" ca="1">IF(INDIRECT("'"&amp;A4476&amp;"'!"&amp;B4476)="",FALSE,IF(NOT(ISNUMBER(INDIRECT("'"&amp;A4476&amp;"'!"&amp;B4476))),TRUE,FALSE))</f>
        <v>0</v>
      </c>
      <c r="E4476" t="s">
        <v>435</v>
      </c>
      <c r="F4476" t="str">
        <f>INDEX(Lists!I:I,MATCH(Validation!E4476,Lists!G:G,0))</f>
        <v>Error</v>
      </c>
      <c r="G4476" t="str">
        <f>INDEX(Lists!H:H,MATCH(Validation!E4476,Lists!G:G,0))</f>
        <v>Enter an amount only. Do not enter text or spaces.</v>
      </c>
      <c r="H4476" s="25" t="str">
        <f t="shared" ca="1" si="459"/>
        <v/>
      </c>
      <c r="I4476" s="25" t="str">
        <f t="shared" ca="1" si="460"/>
        <v/>
      </c>
      <c r="J4476" s="26" t="str">
        <f t="shared" ca="1" si="461"/>
        <v/>
      </c>
    </row>
    <row r="4477" spans="1:10" x14ac:dyDescent="0.25">
      <c r="A4477" t="s">
        <v>661</v>
      </c>
      <c r="B4477" t="str">
        <f>ADDRESS(ROW('PAYG 1'!$C$29),COLUMN('PAYG 1'!$C$29),4)</f>
        <v>C29</v>
      </c>
      <c r="C4477" t="str">
        <f>ADDRESS(ROW('PAYG 1'!$D$29),COLUMN('PAYG 1'!$D$29),4)</f>
        <v>D29</v>
      </c>
      <c r="D4477" t="b" cm="1">
        <f t="array" aca="1" ref="D4477" ca="1">IF(INDIRECT("'"&amp;A4477&amp;"'!"&amp;B4477)="",FALSE,IF(NOT(ISNUMBER(INDIRECT("'"&amp;A4477&amp;"'!"&amp;B4477))),TRUE,FALSE))</f>
        <v>0</v>
      </c>
      <c r="E4477" t="s">
        <v>435</v>
      </c>
      <c r="F4477" t="str">
        <f>INDEX(Lists!I:I,MATCH(Validation!E4477,Lists!G:G,0))</f>
        <v>Error</v>
      </c>
      <c r="G4477" t="str">
        <f>INDEX(Lists!H:H,MATCH(Validation!E4477,Lists!G:G,0))</f>
        <v>Enter an amount only. Do not enter text or spaces.</v>
      </c>
      <c r="H4477" s="25" t="str">
        <f t="shared" ca="1" si="459"/>
        <v/>
      </c>
      <c r="I4477" s="25" t="str">
        <f t="shared" ca="1" si="460"/>
        <v/>
      </c>
      <c r="J4477" s="26" t="str">
        <f t="shared" ca="1" si="461"/>
        <v/>
      </c>
    </row>
    <row r="4478" spans="1:10" x14ac:dyDescent="0.25">
      <c r="A4478" t="s">
        <v>662</v>
      </c>
      <c r="B4478" t="str">
        <f>ADDRESS(ROW('PAYG 1'!$C$29),COLUMN('PAYG 1'!$C$29),4)</f>
        <v>C29</v>
      </c>
      <c r="C4478" t="str">
        <f>ADDRESS(ROW('PAYG 1'!$D$29),COLUMN('PAYG 1'!$D$29),4)</f>
        <v>D29</v>
      </c>
      <c r="D4478" t="b" cm="1">
        <f t="array" aca="1" ref="D4478" ca="1">IF(INDIRECT("'"&amp;A4478&amp;"'!"&amp;B4478)="",FALSE,IF(NOT(ISNUMBER(INDIRECT("'"&amp;A4478&amp;"'!"&amp;B4478))),TRUE,FALSE))</f>
        <v>0</v>
      </c>
      <c r="E4478" t="s">
        <v>435</v>
      </c>
      <c r="F4478" t="str">
        <f>INDEX(Lists!I:I,MATCH(Validation!E4478,Lists!G:G,0))</f>
        <v>Error</v>
      </c>
      <c r="G4478" t="str">
        <f>INDEX(Lists!H:H,MATCH(Validation!E4478,Lists!G:G,0))</f>
        <v>Enter an amount only. Do not enter text or spaces.</v>
      </c>
      <c r="H4478" s="25" t="str">
        <f t="shared" ca="1" si="459"/>
        <v/>
      </c>
      <c r="I4478" s="25" t="str">
        <f t="shared" ca="1" si="460"/>
        <v/>
      </c>
      <c r="J4478" s="26" t="str">
        <f t="shared" ca="1" si="461"/>
        <v/>
      </c>
    </row>
    <row r="4479" spans="1:10" x14ac:dyDescent="0.25">
      <c r="A4479" t="s">
        <v>663</v>
      </c>
      <c r="B4479" t="str">
        <f>ADDRESS(ROW('PAYG 1'!$C$29),COLUMN('PAYG 1'!$C$29),4)</f>
        <v>C29</v>
      </c>
      <c r="C4479" t="str">
        <f>ADDRESS(ROW('PAYG 1'!$D$29),COLUMN('PAYG 1'!$D$29),4)</f>
        <v>D29</v>
      </c>
      <c r="D4479" t="b" cm="1">
        <f t="array" aca="1" ref="D4479" ca="1">IF(INDIRECT("'"&amp;A4479&amp;"'!"&amp;B4479)="",FALSE,IF(NOT(ISNUMBER(INDIRECT("'"&amp;A4479&amp;"'!"&amp;B4479))),TRUE,FALSE))</f>
        <v>0</v>
      </c>
      <c r="E4479" t="s">
        <v>435</v>
      </c>
      <c r="F4479" t="str">
        <f>INDEX(Lists!I:I,MATCH(Validation!E4479,Lists!G:G,0))</f>
        <v>Error</v>
      </c>
      <c r="G4479" t="str">
        <f>INDEX(Lists!H:H,MATCH(Validation!E4479,Lists!G:G,0))</f>
        <v>Enter an amount only. Do not enter text or spaces.</v>
      </c>
      <c r="H4479" s="25" t="str">
        <f t="shared" ca="1" si="459"/>
        <v/>
      </c>
      <c r="I4479" s="25" t="str">
        <f t="shared" ca="1" si="460"/>
        <v/>
      </c>
      <c r="J4479" s="26" t="str">
        <f t="shared" ca="1" si="461"/>
        <v/>
      </c>
    </row>
    <row r="4480" spans="1:10" x14ac:dyDescent="0.25">
      <c r="A4480" t="s">
        <v>664</v>
      </c>
      <c r="B4480" t="str">
        <f>ADDRESS(ROW('PAYG 1'!$C$29),COLUMN('PAYG 1'!$C$29),4)</f>
        <v>C29</v>
      </c>
      <c r="C4480" t="str">
        <f>ADDRESS(ROW('PAYG 1'!$D$29),COLUMN('PAYG 1'!$D$29),4)</f>
        <v>D29</v>
      </c>
      <c r="D4480" t="b" cm="1">
        <f t="array" aca="1" ref="D4480" ca="1">IF(INDIRECT("'"&amp;A4480&amp;"'!"&amp;B4480)="",FALSE,IF(NOT(ISNUMBER(INDIRECT("'"&amp;A4480&amp;"'!"&amp;B4480))),TRUE,FALSE))</f>
        <v>0</v>
      </c>
      <c r="E4480" t="s">
        <v>435</v>
      </c>
      <c r="F4480" t="str">
        <f>INDEX(Lists!I:I,MATCH(Validation!E4480,Lists!G:G,0))</f>
        <v>Error</v>
      </c>
      <c r="G4480" t="str">
        <f>INDEX(Lists!H:H,MATCH(Validation!E4480,Lists!G:G,0))</f>
        <v>Enter an amount only. Do not enter text or spaces.</v>
      </c>
      <c r="H4480" s="25" t="str">
        <f t="shared" ca="1" si="459"/>
        <v/>
      </c>
      <c r="I4480" s="25" t="str">
        <f t="shared" ca="1" si="460"/>
        <v/>
      </c>
      <c r="J4480" s="26" t="str">
        <f t="shared" ca="1" si="461"/>
        <v/>
      </c>
    </row>
    <row r="4481" spans="1:10" x14ac:dyDescent="0.25">
      <c r="A4481" t="s">
        <v>203</v>
      </c>
      <c r="B4481" t="str">
        <f>ADDRESS(ROW('PAYG 1'!$C$29),COLUMN('PAYG 1'!$C$29),4)</f>
        <v>C29</v>
      </c>
      <c r="C4481" t="str">
        <f>ADDRESS(ROW('PAYG 1'!$D$29),COLUMN('PAYG 1'!$D$29),4)</f>
        <v>D29</v>
      </c>
      <c r="D4481" t="b" cm="1">
        <f t="array" aca="1" ref="D4481" ca="1">IF(INDIRECT("'"&amp;A4481&amp;"'!"&amp;B4481)="",FALSE,IF(INDIRECT("'"&amp;A4481&amp;"'!"&amp;B4481)&lt;0,TRUE,FALSE))</f>
        <v>0</v>
      </c>
      <c r="E4481" t="s">
        <v>434</v>
      </c>
      <c r="F4481" t="str">
        <f>INDEX(Lists!I:I,MATCH(Validation!E4481,Lists!G:G,0))</f>
        <v>Error</v>
      </c>
      <c r="G4481" t="str">
        <f>INDEX(Lists!H:H,MATCH(Validation!E4481,Lists!G:G,0))</f>
        <v>Amount may not be negative. Enter an amount greater than or equal to zero.</v>
      </c>
      <c r="H4481" s="25" t="str">
        <f t="shared" ca="1" si="459"/>
        <v/>
      </c>
      <c r="I4481" s="25" t="str">
        <f t="shared" ca="1" si="460"/>
        <v/>
      </c>
      <c r="J4481" s="26" t="str">
        <f t="shared" ca="1" si="461"/>
        <v/>
      </c>
    </row>
    <row r="4482" spans="1:10" x14ac:dyDescent="0.25">
      <c r="A4482" t="s">
        <v>651</v>
      </c>
      <c r="B4482" t="str">
        <f>ADDRESS(ROW('PAYG 1'!$C$29),COLUMN('PAYG 1'!$C$29),4)</f>
        <v>C29</v>
      </c>
      <c r="C4482" t="str">
        <f>ADDRESS(ROW('PAYG 1'!$D$29),COLUMN('PAYG 1'!$D$29),4)</f>
        <v>D29</v>
      </c>
      <c r="D4482" t="b" cm="1">
        <f t="array" aca="1" ref="D4482" ca="1">IF(INDIRECT("'"&amp;A4482&amp;"'!"&amp;B4482)="",FALSE,IF(INDIRECT("'"&amp;A4482&amp;"'!"&amp;B4482)&lt;0,TRUE,FALSE))</f>
        <v>0</v>
      </c>
      <c r="E4482" t="s">
        <v>434</v>
      </c>
      <c r="F4482" t="str">
        <f>INDEX(Lists!I:I,MATCH(Validation!E4482,Lists!G:G,0))</f>
        <v>Error</v>
      </c>
      <c r="G4482" t="str">
        <f>INDEX(Lists!H:H,MATCH(Validation!E4482,Lists!G:G,0))</f>
        <v>Amount may not be negative. Enter an amount greater than or equal to zero.</v>
      </c>
      <c r="H4482" s="25" t="str">
        <f t="shared" ca="1" si="459"/>
        <v/>
      </c>
      <c r="I4482" s="25" t="str">
        <f t="shared" ca="1" si="460"/>
        <v/>
      </c>
      <c r="J4482" s="26" t="str">
        <f t="shared" ca="1" si="461"/>
        <v/>
      </c>
    </row>
    <row r="4483" spans="1:10" x14ac:dyDescent="0.25">
      <c r="A4483" t="s">
        <v>652</v>
      </c>
      <c r="B4483" t="str">
        <f>ADDRESS(ROW('PAYG 1'!$C$29),COLUMN('PAYG 1'!$C$29),4)</f>
        <v>C29</v>
      </c>
      <c r="C4483" t="str">
        <f>ADDRESS(ROW('PAYG 1'!$D$29),COLUMN('PAYG 1'!$D$29),4)</f>
        <v>D29</v>
      </c>
      <c r="D4483" t="b" cm="1">
        <f t="array" aca="1" ref="D4483" ca="1">IF(INDIRECT("'"&amp;A4483&amp;"'!"&amp;B4483)="",FALSE,IF(INDIRECT("'"&amp;A4483&amp;"'!"&amp;B4483)&lt;0,TRUE,FALSE))</f>
        <v>0</v>
      </c>
      <c r="E4483" t="s">
        <v>434</v>
      </c>
      <c r="F4483" t="str">
        <f>INDEX(Lists!I:I,MATCH(Validation!E4483,Lists!G:G,0))</f>
        <v>Error</v>
      </c>
      <c r="G4483" t="str">
        <f>INDEX(Lists!H:H,MATCH(Validation!E4483,Lists!G:G,0))</f>
        <v>Amount may not be negative. Enter an amount greater than or equal to zero.</v>
      </c>
      <c r="H4483" s="25" t="str">
        <f t="shared" ca="1" si="459"/>
        <v/>
      </c>
      <c r="I4483" s="25" t="str">
        <f t="shared" ca="1" si="460"/>
        <v/>
      </c>
      <c r="J4483" s="26" t="str">
        <f t="shared" ca="1" si="461"/>
        <v/>
      </c>
    </row>
    <row r="4484" spans="1:10" x14ac:dyDescent="0.25">
      <c r="A4484" t="s">
        <v>653</v>
      </c>
      <c r="B4484" t="str">
        <f>ADDRESS(ROW('PAYG 1'!$C$29),COLUMN('PAYG 1'!$C$29),4)</f>
        <v>C29</v>
      </c>
      <c r="C4484" t="str">
        <f>ADDRESS(ROW('PAYG 1'!$D$29),COLUMN('PAYG 1'!$D$29),4)</f>
        <v>D29</v>
      </c>
      <c r="D4484" t="b" cm="1">
        <f t="array" aca="1" ref="D4484" ca="1">IF(INDIRECT("'"&amp;A4484&amp;"'!"&amp;B4484)="",FALSE,IF(INDIRECT("'"&amp;A4484&amp;"'!"&amp;B4484)&lt;0,TRUE,FALSE))</f>
        <v>0</v>
      </c>
      <c r="E4484" t="s">
        <v>434</v>
      </c>
      <c r="F4484" t="str">
        <f>INDEX(Lists!I:I,MATCH(Validation!E4484,Lists!G:G,0))</f>
        <v>Error</v>
      </c>
      <c r="G4484" t="str">
        <f>INDEX(Lists!H:H,MATCH(Validation!E4484,Lists!G:G,0))</f>
        <v>Amount may not be negative. Enter an amount greater than or equal to zero.</v>
      </c>
      <c r="H4484" s="25" t="str">
        <f t="shared" ca="1" si="459"/>
        <v/>
      </c>
      <c r="I4484" s="25" t="str">
        <f t="shared" ca="1" si="460"/>
        <v/>
      </c>
      <c r="J4484" s="26" t="str">
        <f t="shared" ca="1" si="461"/>
        <v/>
      </c>
    </row>
    <row r="4485" spans="1:10" x14ac:dyDescent="0.25">
      <c r="A4485" t="s">
        <v>654</v>
      </c>
      <c r="B4485" t="str">
        <f>ADDRESS(ROW('PAYG 1'!$C$29),COLUMN('PAYG 1'!$C$29),4)</f>
        <v>C29</v>
      </c>
      <c r="C4485" t="str">
        <f>ADDRESS(ROW('PAYG 1'!$D$29),COLUMN('PAYG 1'!$D$29),4)</f>
        <v>D29</v>
      </c>
      <c r="D4485" t="b" cm="1">
        <f t="array" aca="1" ref="D4485" ca="1">IF(INDIRECT("'"&amp;A4485&amp;"'!"&amp;B4485)="",FALSE,IF(INDIRECT("'"&amp;A4485&amp;"'!"&amp;B4485)&lt;0,TRUE,FALSE))</f>
        <v>0</v>
      </c>
      <c r="E4485" t="s">
        <v>434</v>
      </c>
      <c r="F4485" t="str">
        <f>INDEX(Lists!I:I,MATCH(Validation!E4485,Lists!G:G,0))</f>
        <v>Error</v>
      </c>
      <c r="G4485" t="str">
        <f>INDEX(Lists!H:H,MATCH(Validation!E4485,Lists!G:G,0))</f>
        <v>Amount may not be negative. Enter an amount greater than or equal to zero.</v>
      </c>
      <c r="H4485" s="25" t="str">
        <f t="shared" ca="1" si="459"/>
        <v/>
      </c>
      <c r="I4485" s="25" t="str">
        <f t="shared" ca="1" si="460"/>
        <v/>
      </c>
      <c r="J4485" s="26" t="str">
        <f t="shared" ca="1" si="461"/>
        <v/>
      </c>
    </row>
    <row r="4486" spans="1:10" x14ac:dyDescent="0.25">
      <c r="A4486" t="s">
        <v>655</v>
      </c>
      <c r="B4486" t="str">
        <f>ADDRESS(ROW('PAYG 1'!$C$29),COLUMN('PAYG 1'!$C$29),4)</f>
        <v>C29</v>
      </c>
      <c r="C4486" t="str">
        <f>ADDRESS(ROW('PAYG 1'!$D$29),COLUMN('PAYG 1'!$D$29),4)</f>
        <v>D29</v>
      </c>
      <c r="D4486" t="b" cm="1">
        <f t="array" aca="1" ref="D4486" ca="1">IF(INDIRECT("'"&amp;A4486&amp;"'!"&amp;B4486)="",FALSE,IF(INDIRECT("'"&amp;A4486&amp;"'!"&amp;B4486)&lt;0,TRUE,FALSE))</f>
        <v>0</v>
      </c>
      <c r="E4486" t="s">
        <v>434</v>
      </c>
      <c r="F4486" t="str">
        <f>INDEX(Lists!I:I,MATCH(Validation!E4486,Lists!G:G,0))</f>
        <v>Error</v>
      </c>
      <c r="G4486" t="str">
        <f>INDEX(Lists!H:H,MATCH(Validation!E4486,Lists!G:G,0))</f>
        <v>Amount may not be negative. Enter an amount greater than or equal to zero.</v>
      </c>
      <c r="H4486" s="25" t="str">
        <f t="shared" ca="1" si="459"/>
        <v/>
      </c>
      <c r="I4486" s="25" t="str">
        <f t="shared" ca="1" si="460"/>
        <v/>
      </c>
      <c r="J4486" s="26" t="str">
        <f t="shared" ca="1" si="461"/>
        <v/>
      </c>
    </row>
    <row r="4487" spans="1:10" x14ac:dyDescent="0.25">
      <c r="A4487" t="s">
        <v>656</v>
      </c>
      <c r="B4487" t="str">
        <f>ADDRESS(ROW('PAYG 1'!$C$29),COLUMN('PAYG 1'!$C$29),4)</f>
        <v>C29</v>
      </c>
      <c r="C4487" t="str">
        <f>ADDRESS(ROW('PAYG 1'!$D$29),COLUMN('PAYG 1'!$D$29),4)</f>
        <v>D29</v>
      </c>
      <c r="D4487" t="b" cm="1">
        <f t="array" aca="1" ref="D4487" ca="1">IF(INDIRECT("'"&amp;A4487&amp;"'!"&amp;B4487)="",FALSE,IF(INDIRECT("'"&amp;A4487&amp;"'!"&amp;B4487)&lt;0,TRUE,FALSE))</f>
        <v>0</v>
      </c>
      <c r="E4487" t="s">
        <v>434</v>
      </c>
      <c r="F4487" t="str">
        <f>INDEX(Lists!I:I,MATCH(Validation!E4487,Lists!G:G,0))</f>
        <v>Error</v>
      </c>
      <c r="G4487" t="str">
        <f>INDEX(Lists!H:H,MATCH(Validation!E4487,Lists!G:G,0))</f>
        <v>Amount may not be negative. Enter an amount greater than or equal to zero.</v>
      </c>
      <c r="H4487" s="25" t="str">
        <f t="shared" ca="1" si="459"/>
        <v/>
      </c>
      <c r="I4487" s="25" t="str">
        <f t="shared" ca="1" si="460"/>
        <v/>
      </c>
      <c r="J4487" s="26" t="str">
        <f t="shared" ca="1" si="461"/>
        <v/>
      </c>
    </row>
    <row r="4488" spans="1:10" x14ac:dyDescent="0.25">
      <c r="A4488" t="s">
        <v>657</v>
      </c>
      <c r="B4488" t="str">
        <f>ADDRESS(ROW('PAYG 1'!$C$29),COLUMN('PAYG 1'!$C$29),4)</f>
        <v>C29</v>
      </c>
      <c r="C4488" t="str">
        <f>ADDRESS(ROW('PAYG 1'!$D$29),COLUMN('PAYG 1'!$D$29),4)</f>
        <v>D29</v>
      </c>
      <c r="D4488" t="b" cm="1">
        <f t="array" aca="1" ref="D4488" ca="1">IF(INDIRECT("'"&amp;A4488&amp;"'!"&amp;B4488)="",FALSE,IF(INDIRECT("'"&amp;A4488&amp;"'!"&amp;B4488)&lt;0,TRUE,FALSE))</f>
        <v>0</v>
      </c>
      <c r="E4488" t="s">
        <v>434</v>
      </c>
      <c r="F4488" t="str">
        <f>INDEX(Lists!I:I,MATCH(Validation!E4488,Lists!G:G,0))</f>
        <v>Error</v>
      </c>
      <c r="G4488" t="str">
        <f>INDEX(Lists!H:H,MATCH(Validation!E4488,Lists!G:G,0))</f>
        <v>Amount may not be negative. Enter an amount greater than or equal to zero.</v>
      </c>
      <c r="H4488" s="25" t="str">
        <f t="shared" ca="1" si="459"/>
        <v/>
      </c>
      <c r="I4488" s="25" t="str">
        <f t="shared" ca="1" si="460"/>
        <v/>
      </c>
      <c r="J4488" s="26" t="str">
        <f t="shared" ca="1" si="461"/>
        <v/>
      </c>
    </row>
    <row r="4489" spans="1:10" x14ac:dyDescent="0.25">
      <c r="A4489" t="s">
        <v>658</v>
      </c>
      <c r="B4489" t="str">
        <f>ADDRESS(ROW('PAYG 1'!$C$29),COLUMN('PAYG 1'!$C$29),4)</f>
        <v>C29</v>
      </c>
      <c r="C4489" t="str">
        <f>ADDRESS(ROW('PAYG 1'!$D$29),COLUMN('PAYG 1'!$D$29),4)</f>
        <v>D29</v>
      </c>
      <c r="D4489" t="b" cm="1">
        <f t="array" aca="1" ref="D4489" ca="1">IF(INDIRECT("'"&amp;A4489&amp;"'!"&amp;B4489)="",FALSE,IF(INDIRECT("'"&amp;A4489&amp;"'!"&amp;B4489)&lt;0,TRUE,FALSE))</f>
        <v>0</v>
      </c>
      <c r="E4489" t="s">
        <v>434</v>
      </c>
      <c r="F4489" t="str">
        <f>INDEX(Lists!I:I,MATCH(Validation!E4489,Lists!G:G,0))</f>
        <v>Error</v>
      </c>
      <c r="G4489" t="str">
        <f>INDEX(Lists!H:H,MATCH(Validation!E4489,Lists!G:G,0))</f>
        <v>Amount may not be negative. Enter an amount greater than or equal to zero.</v>
      </c>
      <c r="H4489" s="25" t="str">
        <f t="shared" ca="1" si="459"/>
        <v/>
      </c>
      <c r="I4489" s="25" t="str">
        <f t="shared" ca="1" si="460"/>
        <v/>
      </c>
      <c r="J4489" s="26" t="str">
        <f t="shared" ca="1" si="461"/>
        <v/>
      </c>
    </row>
    <row r="4490" spans="1:10" x14ac:dyDescent="0.25">
      <c r="A4490" t="s">
        <v>659</v>
      </c>
      <c r="B4490" t="str">
        <f>ADDRESS(ROW('PAYG 1'!$C$29),COLUMN('PAYG 1'!$C$29),4)</f>
        <v>C29</v>
      </c>
      <c r="C4490" t="str">
        <f>ADDRESS(ROW('PAYG 1'!$D$29),COLUMN('PAYG 1'!$D$29),4)</f>
        <v>D29</v>
      </c>
      <c r="D4490" t="b" cm="1">
        <f t="array" aca="1" ref="D4490" ca="1">IF(INDIRECT("'"&amp;A4490&amp;"'!"&amp;B4490)="",FALSE,IF(INDIRECT("'"&amp;A4490&amp;"'!"&amp;B4490)&lt;0,TRUE,FALSE))</f>
        <v>0</v>
      </c>
      <c r="E4490" t="s">
        <v>434</v>
      </c>
      <c r="F4490" t="str">
        <f>INDEX(Lists!I:I,MATCH(Validation!E4490,Lists!G:G,0))</f>
        <v>Error</v>
      </c>
      <c r="G4490" t="str">
        <f>INDEX(Lists!H:H,MATCH(Validation!E4490,Lists!G:G,0))</f>
        <v>Amount may not be negative. Enter an amount greater than or equal to zero.</v>
      </c>
      <c r="H4490" s="25" t="str">
        <f t="shared" ca="1" si="459"/>
        <v/>
      </c>
      <c r="I4490" s="25" t="str">
        <f t="shared" ca="1" si="460"/>
        <v/>
      </c>
      <c r="J4490" s="26" t="str">
        <f t="shared" ca="1" si="461"/>
        <v/>
      </c>
    </row>
    <row r="4491" spans="1:10" x14ac:dyDescent="0.25">
      <c r="A4491" t="s">
        <v>660</v>
      </c>
      <c r="B4491" t="str">
        <f>ADDRESS(ROW('PAYG 1'!$C$29),COLUMN('PAYG 1'!$C$29),4)</f>
        <v>C29</v>
      </c>
      <c r="C4491" t="str">
        <f>ADDRESS(ROW('PAYG 1'!$D$29),COLUMN('PAYG 1'!$D$29),4)</f>
        <v>D29</v>
      </c>
      <c r="D4491" t="b" cm="1">
        <f t="array" aca="1" ref="D4491" ca="1">IF(INDIRECT("'"&amp;A4491&amp;"'!"&amp;B4491)="",FALSE,IF(INDIRECT("'"&amp;A4491&amp;"'!"&amp;B4491)&lt;0,TRUE,FALSE))</f>
        <v>0</v>
      </c>
      <c r="E4491" t="s">
        <v>434</v>
      </c>
      <c r="F4491" t="str">
        <f>INDEX(Lists!I:I,MATCH(Validation!E4491,Lists!G:G,0))</f>
        <v>Error</v>
      </c>
      <c r="G4491" t="str">
        <f>INDEX(Lists!H:H,MATCH(Validation!E4491,Lists!G:G,0))</f>
        <v>Amount may not be negative. Enter an amount greater than or equal to zero.</v>
      </c>
      <c r="H4491" s="25" t="str">
        <f t="shared" ca="1" si="459"/>
        <v/>
      </c>
      <c r="I4491" s="25" t="str">
        <f t="shared" ca="1" si="460"/>
        <v/>
      </c>
      <c r="J4491" s="26" t="str">
        <f t="shared" ca="1" si="461"/>
        <v/>
      </c>
    </row>
    <row r="4492" spans="1:10" x14ac:dyDescent="0.25">
      <c r="A4492" t="s">
        <v>661</v>
      </c>
      <c r="B4492" t="str">
        <f>ADDRESS(ROW('PAYG 1'!$C$29),COLUMN('PAYG 1'!$C$29),4)</f>
        <v>C29</v>
      </c>
      <c r="C4492" t="str">
        <f>ADDRESS(ROW('PAYG 1'!$D$29),COLUMN('PAYG 1'!$D$29),4)</f>
        <v>D29</v>
      </c>
      <c r="D4492" t="b" cm="1">
        <f t="array" aca="1" ref="D4492" ca="1">IF(INDIRECT("'"&amp;A4492&amp;"'!"&amp;B4492)="",FALSE,IF(INDIRECT("'"&amp;A4492&amp;"'!"&amp;B4492)&lt;0,TRUE,FALSE))</f>
        <v>0</v>
      </c>
      <c r="E4492" t="s">
        <v>434</v>
      </c>
      <c r="F4492" t="str">
        <f>INDEX(Lists!I:I,MATCH(Validation!E4492,Lists!G:G,0))</f>
        <v>Error</v>
      </c>
      <c r="G4492" t="str">
        <f>INDEX(Lists!H:H,MATCH(Validation!E4492,Lists!G:G,0))</f>
        <v>Amount may not be negative. Enter an amount greater than or equal to zero.</v>
      </c>
      <c r="H4492" s="25" t="str">
        <f t="shared" ca="1" si="459"/>
        <v/>
      </c>
      <c r="I4492" s="25" t="str">
        <f t="shared" ca="1" si="460"/>
        <v/>
      </c>
      <c r="J4492" s="26" t="str">
        <f t="shared" ca="1" si="461"/>
        <v/>
      </c>
    </row>
    <row r="4493" spans="1:10" x14ac:dyDescent="0.25">
      <c r="A4493" t="s">
        <v>662</v>
      </c>
      <c r="B4493" t="str">
        <f>ADDRESS(ROW('PAYG 1'!$C$29),COLUMN('PAYG 1'!$C$29),4)</f>
        <v>C29</v>
      </c>
      <c r="C4493" t="str">
        <f>ADDRESS(ROW('PAYG 1'!$D$29),COLUMN('PAYG 1'!$D$29),4)</f>
        <v>D29</v>
      </c>
      <c r="D4493" t="b" cm="1">
        <f t="array" aca="1" ref="D4493" ca="1">IF(INDIRECT("'"&amp;A4493&amp;"'!"&amp;B4493)="",FALSE,IF(INDIRECT("'"&amp;A4493&amp;"'!"&amp;B4493)&lt;0,TRUE,FALSE))</f>
        <v>0</v>
      </c>
      <c r="E4493" t="s">
        <v>434</v>
      </c>
      <c r="F4493" t="str">
        <f>INDEX(Lists!I:I,MATCH(Validation!E4493,Lists!G:G,0))</f>
        <v>Error</v>
      </c>
      <c r="G4493" t="str">
        <f>INDEX(Lists!H:H,MATCH(Validation!E4493,Lists!G:G,0))</f>
        <v>Amount may not be negative. Enter an amount greater than or equal to zero.</v>
      </c>
      <c r="H4493" s="25" t="str">
        <f t="shared" ca="1" si="459"/>
        <v/>
      </c>
      <c r="I4493" s="25" t="str">
        <f t="shared" ca="1" si="460"/>
        <v/>
      </c>
      <c r="J4493" s="26" t="str">
        <f t="shared" ca="1" si="461"/>
        <v/>
      </c>
    </row>
    <row r="4494" spans="1:10" x14ac:dyDescent="0.25">
      <c r="A4494" t="s">
        <v>663</v>
      </c>
      <c r="B4494" t="str">
        <f>ADDRESS(ROW('PAYG 1'!$C$29),COLUMN('PAYG 1'!$C$29),4)</f>
        <v>C29</v>
      </c>
      <c r="C4494" t="str">
        <f>ADDRESS(ROW('PAYG 1'!$D$29),COLUMN('PAYG 1'!$D$29),4)</f>
        <v>D29</v>
      </c>
      <c r="D4494" t="b" cm="1">
        <f t="array" aca="1" ref="D4494" ca="1">IF(INDIRECT("'"&amp;A4494&amp;"'!"&amp;B4494)="",FALSE,IF(INDIRECT("'"&amp;A4494&amp;"'!"&amp;B4494)&lt;0,TRUE,FALSE))</f>
        <v>0</v>
      </c>
      <c r="E4494" t="s">
        <v>434</v>
      </c>
      <c r="F4494" t="str">
        <f>INDEX(Lists!I:I,MATCH(Validation!E4494,Lists!G:G,0))</f>
        <v>Error</v>
      </c>
      <c r="G4494" t="str">
        <f>INDEX(Lists!H:H,MATCH(Validation!E4494,Lists!G:G,0))</f>
        <v>Amount may not be negative. Enter an amount greater than or equal to zero.</v>
      </c>
      <c r="H4494" s="25" t="str">
        <f t="shared" ca="1" si="459"/>
        <v/>
      </c>
      <c r="I4494" s="25" t="str">
        <f t="shared" ca="1" si="460"/>
        <v/>
      </c>
      <c r="J4494" s="26" t="str">
        <f t="shared" ca="1" si="461"/>
        <v/>
      </c>
    </row>
    <row r="4495" spans="1:10" x14ac:dyDescent="0.25">
      <c r="A4495" t="s">
        <v>664</v>
      </c>
      <c r="B4495" t="str">
        <f>ADDRESS(ROW('PAYG 1'!$C$29),COLUMN('PAYG 1'!$C$29),4)</f>
        <v>C29</v>
      </c>
      <c r="C4495" t="str">
        <f>ADDRESS(ROW('PAYG 1'!$D$29),COLUMN('PAYG 1'!$D$29),4)</f>
        <v>D29</v>
      </c>
      <c r="D4495" t="b" cm="1">
        <f t="array" aca="1" ref="D4495" ca="1">IF(INDIRECT("'"&amp;A4495&amp;"'!"&amp;B4495)="",FALSE,IF(INDIRECT("'"&amp;A4495&amp;"'!"&amp;B4495)&lt;0,TRUE,FALSE))</f>
        <v>0</v>
      </c>
      <c r="E4495" t="s">
        <v>434</v>
      </c>
      <c r="F4495" t="str">
        <f>INDEX(Lists!I:I,MATCH(Validation!E4495,Lists!G:G,0))</f>
        <v>Error</v>
      </c>
      <c r="G4495" t="str">
        <f>INDEX(Lists!H:H,MATCH(Validation!E4495,Lists!G:G,0))</f>
        <v>Amount may not be negative. Enter an amount greater than or equal to zero.</v>
      </c>
      <c r="H4495" s="25" t="str">
        <f t="shared" ca="1" si="459"/>
        <v/>
      </c>
      <c r="I4495" s="25" t="str">
        <f t="shared" ca="1" si="460"/>
        <v/>
      </c>
      <c r="J4495" s="26" t="str">
        <f t="shared" ca="1" si="461"/>
        <v/>
      </c>
    </row>
    <row r="4496" spans="1:10" x14ac:dyDescent="0.25">
      <c r="A4496" t="s">
        <v>203</v>
      </c>
      <c r="B4496" t="str">
        <f>ADDRESS(ROW('PAYG 1'!$C$29),COLUMN('PAYG 1'!$C$29),4)</f>
        <v>C29</v>
      </c>
      <c r="C4496" t="str">
        <f>ADDRESS(ROW('PAYG 1'!$D$29),COLUMN('PAYG 1'!$D$29),4)</f>
        <v>D29</v>
      </c>
      <c r="D4496" t="b" cm="1">
        <f t="array" aca="1" ref="D4496" ca="1">IF(INDIRECT("'"&amp;A4496&amp;"'!"&amp;B4496)="",FALSE,IF(TRUNC(INDIRECT("'"&amp;A4496&amp;"'!"&amp;B4496))=INDIRECT("'"&amp;A4496&amp;"'!"&amp;B4496),FALSE,TRUE))</f>
        <v>0</v>
      </c>
      <c r="E4496" t="s">
        <v>436</v>
      </c>
      <c r="F4496" t="str">
        <f>INDEX(Lists!I:I,MATCH(Validation!E4496,Lists!G:G,0))</f>
        <v>Error</v>
      </c>
      <c r="G4496" t="str">
        <f>INDEX(Lists!H:H,MATCH(Validation!E4496,Lists!G:G,0))</f>
        <v>Amount must be rounded to the nearest dollar.</v>
      </c>
      <c r="H4496" s="25" t="str">
        <f t="shared" ca="1" si="459"/>
        <v/>
      </c>
      <c r="I4496" s="25" t="str">
        <f t="shared" ca="1" si="460"/>
        <v/>
      </c>
      <c r="J4496" s="26" t="str">
        <f t="shared" ca="1" si="461"/>
        <v/>
      </c>
    </row>
    <row r="4497" spans="1:10" x14ac:dyDescent="0.25">
      <c r="A4497" t="s">
        <v>651</v>
      </c>
      <c r="B4497" t="str">
        <f>ADDRESS(ROW('PAYG 1'!$C$29),COLUMN('PAYG 1'!$C$29),4)</f>
        <v>C29</v>
      </c>
      <c r="C4497" t="str">
        <f>ADDRESS(ROW('PAYG 1'!$D$29),COLUMN('PAYG 1'!$D$29),4)</f>
        <v>D29</v>
      </c>
      <c r="D4497" t="b" cm="1">
        <f t="array" aca="1" ref="D4497" ca="1">IF(INDIRECT("'"&amp;A4497&amp;"'!"&amp;B4497)="",FALSE,IF(TRUNC(INDIRECT("'"&amp;A4497&amp;"'!"&amp;B4497))=INDIRECT("'"&amp;A4497&amp;"'!"&amp;B4497),FALSE,TRUE))</f>
        <v>0</v>
      </c>
      <c r="E4497" t="s">
        <v>436</v>
      </c>
      <c r="F4497" t="str">
        <f>INDEX(Lists!I:I,MATCH(Validation!E4497,Lists!G:G,0))</f>
        <v>Error</v>
      </c>
      <c r="G4497" t="str">
        <f>INDEX(Lists!H:H,MATCH(Validation!E4497,Lists!G:G,0))</f>
        <v>Amount must be rounded to the nearest dollar.</v>
      </c>
      <c r="H4497" s="25" t="str">
        <f t="shared" ca="1" si="459"/>
        <v/>
      </c>
      <c r="I4497" s="25" t="str">
        <f t="shared" ca="1" si="460"/>
        <v/>
      </c>
      <c r="J4497" s="26" t="str">
        <f t="shared" ca="1" si="461"/>
        <v/>
      </c>
    </row>
    <row r="4498" spans="1:10" x14ac:dyDescent="0.25">
      <c r="A4498" t="s">
        <v>652</v>
      </c>
      <c r="B4498" t="str">
        <f>ADDRESS(ROW('PAYG 1'!$C$29),COLUMN('PAYG 1'!$C$29),4)</f>
        <v>C29</v>
      </c>
      <c r="C4498" t="str">
        <f>ADDRESS(ROW('PAYG 1'!$D$29),COLUMN('PAYG 1'!$D$29),4)</f>
        <v>D29</v>
      </c>
      <c r="D4498" t="b" cm="1">
        <f t="array" aca="1" ref="D4498" ca="1">IF(INDIRECT("'"&amp;A4498&amp;"'!"&amp;B4498)="",FALSE,IF(TRUNC(INDIRECT("'"&amp;A4498&amp;"'!"&amp;B4498))=INDIRECT("'"&amp;A4498&amp;"'!"&amp;B4498),FALSE,TRUE))</f>
        <v>0</v>
      </c>
      <c r="E4498" t="s">
        <v>436</v>
      </c>
      <c r="F4498" t="str">
        <f>INDEX(Lists!I:I,MATCH(Validation!E4498,Lists!G:G,0))</f>
        <v>Error</v>
      </c>
      <c r="G4498" t="str">
        <f>INDEX(Lists!H:H,MATCH(Validation!E4498,Lists!G:G,0))</f>
        <v>Amount must be rounded to the nearest dollar.</v>
      </c>
      <c r="H4498" s="25" t="str">
        <f t="shared" ca="1" si="459"/>
        <v/>
      </c>
      <c r="I4498" s="25" t="str">
        <f t="shared" ca="1" si="460"/>
        <v/>
      </c>
      <c r="J4498" s="26" t="str">
        <f t="shared" ca="1" si="461"/>
        <v/>
      </c>
    </row>
    <row r="4499" spans="1:10" x14ac:dyDescent="0.25">
      <c r="A4499" t="s">
        <v>653</v>
      </c>
      <c r="B4499" t="str">
        <f>ADDRESS(ROW('PAYG 1'!$C$29),COLUMN('PAYG 1'!$C$29),4)</f>
        <v>C29</v>
      </c>
      <c r="C4499" t="str">
        <f>ADDRESS(ROW('PAYG 1'!$D$29),COLUMN('PAYG 1'!$D$29),4)</f>
        <v>D29</v>
      </c>
      <c r="D4499" t="b" cm="1">
        <f t="array" aca="1" ref="D4499" ca="1">IF(INDIRECT("'"&amp;A4499&amp;"'!"&amp;B4499)="",FALSE,IF(TRUNC(INDIRECT("'"&amp;A4499&amp;"'!"&amp;B4499))=INDIRECT("'"&amp;A4499&amp;"'!"&amp;B4499),FALSE,TRUE))</f>
        <v>0</v>
      </c>
      <c r="E4499" t="s">
        <v>436</v>
      </c>
      <c r="F4499" t="str">
        <f>INDEX(Lists!I:I,MATCH(Validation!E4499,Lists!G:G,0))</f>
        <v>Error</v>
      </c>
      <c r="G4499" t="str">
        <f>INDEX(Lists!H:H,MATCH(Validation!E4499,Lists!G:G,0))</f>
        <v>Amount must be rounded to the nearest dollar.</v>
      </c>
      <c r="H4499" s="25" t="str">
        <f t="shared" ca="1" si="459"/>
        <v/>
      </c>
      <c r="I4499" s="25" t="str">
        <f t="shared" ca="1" si="460"/>
        <v/>
      </c>
      <c r="J4499" s="26" t="str">
        <f t="shared" ca="1" si="461"/>
        <v/>
      </c>
    </row>
    <row r="4500" spans="1:10" x14ac:dyDescent="0.25">
      <c r="A4500" t="s">
        <v>654</v>
      </c>
      <c r="B4500" t="str">
        <f>ADDRESS(ROW('PAYG 1'!$C$29),COLUMN('PAYG 1'!$C$29),4)</f>
        <v>C29</v>
      </c>
      <c r="C4500" t="str">
        <f>ADDRESS(ROW('PAYG 1'!$D$29),COLUMN('PAYG 1'!$D$29),4)</f>
        <v>D29</v>
      </c>
      <c r="D4500" t="b" cm="1">
        <f t="array" aca="1" ref="D4500" ca="1">IF(INDIRECT("'"&amp;A4500&amp;"'!"&amp;B4500)="",FALSE,IF(TRUNC(INDIRECT("'"&amp;A4500&amp;"'!"&amp;B4500))=INDIRECT("'"&amp;A4500&amp;"'!"&amp;B4500),FALSE,TRUE))</f>
        <v>0</v>
      </c>
      <c r="E4500" t="s">
        <v>436</v>
      </c>
      <c r="F4500" t="str">
        <f>INDEX(Lists!I:I,MATCH(Validation!E4500,Lists!G:G,0))</f>
        <v>Error</v>
      </c>
      <c r="G4500" t="str">
        <f>INDEX(Lists!H:H,MATCH(Validation!E4500,Lists!G:G,0))</f>
        <v>Amount must be rounded to the nearest dollar.</v>
      </c>
      <c r="H4500" s="25" t="str">
        <f t="shared" ca="1" si="459"/>
        <v/>
      </c>
      <c r="I4500" s="25" t="str">
        <f t="shared" ca="1" si="460"/>
        <v/>
      </c>
      <c r="J4500" s="26" t="str">
        <f t="shared" ca="1" si="461"/>
        <v/>
      </c>
    </row>
    <row r="4501" spans="1:10" x14ac:dyDescent="0.25">
      <c r="A4501" t="s">
        <v>655</v>
      </c>
      <c r="B4501" t="str">
        <f>ADDRESS(ROW('PAYG 1'!$C$29),COLUMN('PAYG 1'!$C$29),4)</f>
        <v>C29</v>
      </c>
      <c r="C4501" t="str">
        <f>ADDRESS(ROW('PAYG 1'!$D$29),COLUMN('PAYG 1'!$D$29),4)</f>
        <v>D29</v>
      </c>
      <c r="D4501" t="b" cm="1">
        <f t="array" aca="1" ref="D4501" ca="1">IF(INDIRECT("'"&amp;A4501&amp;"'!"&amp;B4501)="",FALSE,IF(TRUNC(INDIRECT("'"&amp;A4501&amp;"'!"&amp;B4501))=INDIRECT("'"&amp;A4501&amp;"'!"&amp;B4501),FALSE,TRUE))</f>
        <v>0</v>
      </c>
      <c r="E4501" t="s">
        <v>436</v>
      </c>
      <c r="F4501" t="str">
        <f>INDEX(Lists!I:I,MATCH(Validation!E4501,Lists!G:G,0))</f>
        <v>Error</v>
      </c>
      <c r="G4501" t="str">
        <f>INDEX(Lists!H:H,MATCH(Validation!E4501,Lists!G:G,0))</f>
        <v>Amount must be rounded to the nearest dollar.</v>
      </c>
      <c r="H4501" s="25" t="str">
        <f t="shared" ca="1" si="459"/>
        <v/>
      </c>
      <c r="I4501" s="25" t="str">
        <f t="shared" ca="1" si="460"/>
        <v/>
      </c>
      <c r="J4501" s="26" t="str">
        <f t="shared" ca="1" si="461"/>
        <v/>
      </c>
    </row>
    <row r="4502" spans="1:10" x14ac:dyDescent="0.25">
      <c r="A4502" t="s">
        <v>656</v>
      </c>
      <c r="B4502" t="str">
        <f>ADDRESS(ROW('PAYG 1'!$C$29),COLUMN('PAYG 1'!$C$29),4)</f>
        <v>C29</v>
      </c>
      <c r="C4502" t="str">
        <f>ADDRESS(ROW('PAYG 1'!$D$29),COLUMN('PAYG 1'!$D$29),4)</f>
        <v>D29</v>
      </c>
      <c r="D4502" t="b" cm="1">
        <f t="array" aca="1" ref="D4502" ca="1">IF(INDIRECT("'"&amp;A4502&amp;"'!"&amp;B4502)="",FALSE,IF(TRUNC(INDIRECT("'"&amp;A4502&amp;"'!"&amp;B4502))=INDIRECT("'"&amp;A4502&amp;"'!"&amp;B4502),FALSE,TRUE))</f>
        <v>0</v>
      </c>
      <c r="E4502" t="s">
        <v>436</v>
      </c>
      <c r="F4502" t="str">
        <f>INDEX(Lists!I:I,MATCH(Validation!E4502,Lists!G:G,0))</f>
        <v>Error</v>
      </c>
      <c r="G4502" t="str">
        <f>INDEX(Lists!H:H,MATCH(Validation!E4502,Lists!G:G,0))</f>
        <v>Amount must be rounded to the nearest dollar.</v>
      </c>
      <c r="H4502" s="25" t="str">
        <f t="shared" ca="1" si="459"/>
        <v/>
      </c>
      <c r="I4502" s="25" t="str">
        <f t="shared" ca="1" si="460"/>
        <v/>
      </c>
      <c r="J4502" s="26" t="str">
        <f t="shared" ca="1" si="461"/>
        <v/>
      </c>
    </row>
    <row r="4503" spans="1:10" x14ac:dyDescent="0.25">
      <c r="A4503" t="s">
        <v>657</v>
      </c>
      <c r="B4503" t="str">
        <f>ADDRESS(ROW('PAYG 1'!$C$29),COLUMN('PAYG 1'!$C$29),4)</f>
        <v>C29</v>
      </c>
      <c r="C4503" t="str">
        <f>ADDRESS(ROW('PAYG 1'!$D$29),COLUMN('PAYG 1'!$D$29),4)</f>
        <v>D29</v>
      </c>
      <c r="D4503" t="b" cm="1">
        <f t="array" aca="1" ref="D4503" ca="1">IF(INDIRECT("'"&amp;A4503&amp;"'!"&amp;B4503)="",FALSE,IF(TRUNC(INDIRECT("'"&amp;A4503&amp;"'!"&amp;B4503))=INDIRECT("'"&amp;A4503&amp;"'!"&amp;B4503),FALSE,TRUE))</f>
        <v>0</v>
      </c>
      <c r="E4503" t="s">
        <v>436</v>
      </c>
      <c r="F4503" t="str">
        <f>INDEX(Lists!I:I,MATCH(Validation!E4503,Lists!G:G,0))</f>
        <v>Error</v>
      </c>
      <c r="G4503" t="str">
        <f>INDEX(Lists!H:H,MATCH(Validation!E4503,Lists!G:G,0))</f>
        <v>Amount must be rounded to the nearest dollar.</v>
      </c>
      <c r="H4503" s="25" t="str">
        <f t="shared" ca="1" si="459"/>
        <v/>
      </c>
      <c r="I4503" s="25" t="str">
        <f t="shared" ca="1" si="460"/>
        <v/>
      </c>
      <c r="J4503" s="26" t="str">
        <f t="shared" ca="1" si="461"/>
        <v/>
      </c>
    </row>
    <row r="4504" spans="1:10" x14ac:dyDescent="0.25">
      <c r="A4504" t="s">
        <v>658</v>
      </c>
      <c r="B4504" t="str">
        <f>ADDRESS(ROW('PAYG 1'!$C$29),COLUMN('PAYG 1'!$C$29),4)</f>
        <v>C29</v>
      </c>
      <c r="C4504" t="str">
        <f>ADDRESS(ROW('PAYG 1'!$D$29),COLUMN('PAYG 1'!$D$29),4)</f>
        <v>D29</v>
      </c>
      <c r="D4504" t="b" cm="1">
        <f t="array" aca="1" ref="D4504" ca="1">IF(INDIRECT("'"&amp;A4504&amp;"'!"&amp;B4504)="",FALSE,IF(TRUNC(INDIRECT("'"&amp;A4504&amp;"'!"&amp;B4504))=INDIRECT("'"&amp;A4504&amp;"'!"&amp;B4504),FALSE,TRUE))</f>
        <v>0</v>
      </c>
      <c r="E4504" t="s">
        <v>436</v>
      </c>
      <c r="F4504" t="str">
        <f>INDEX(Lists!I:I,MATCH(Validation!E4504,Lists!G:G,0))</f>
        <v>Error</v>
      </c>
      <c r="G4504" t="str">
        <f>INDEX(Lists!H:H,MATCH(Validation!E4504,Lists!G:G,0))</f>
        <v>Amount must be rounded to the nearest dollar.</v>
      </c>
      <c r="H4504" s="25" t="str">
        <f t="shared" ca="1" si="459"/>
        <v/>
      </c>
      <c r="I4504" s="25" t="str">
        <f t="shared" ca="1" si="460"/>
        <v/>
      </c>
      <c r="J4504" s="26" t="str">
        <f t="shared" ca="1" si="461"/>
        <v/>
      </c>
    </row>
    <row r="4505" spans="1:10" x14ac:dyDescent="0.25">
      <c r="A4505" t="s">
        <v>659</v>
      </c>
      <c r="B4505" t="str">
        <f>ADDRESS(ROW('PAYG 1'!$C$29),COLUMN('PAYG 1'!$C$29),4)</f>
        <v>C29</v>
      </c>
      <c r="C4505" t="str">
        <f>ADDRESS(ROW('PAYG 1'!$D$29),COLUMN('PAYG 1'!$D$29),4)</f>
        <v>D29</v>
      </c>
      <c r="D4505" t="b" cm="1">
        <f t="array" aca="1" ref="D4505" ca="1">IF(INDIRECT("'"&amp;A4505&amp;"'!"&amp;B4505)="",FALSE,IF(TRUNC(INDIRECT("'"&amp;A4505&amp;"'!"&amp;B4505))=INDIRECT("'"&amp;A4505&amp;"'!"&amp;B4505),FALSE,TRUE))</f>
        <v>0</v>
      </c>
      <c r="E4505" t="s">
        <v>436</v>
      </c>
      <c r="F4505" t="str">
        <f>INDEX(Lists!I:I,MATCH(Validation!E4505,Lists!G:G,0))</f>
        <v>Error</v>
      </c>
      <c r="G4505" t="str">
        <f>INDEX(Lists!H:H,MATCH(Validation!E4505,Lists!G:G,0))</f>
        <v>Amount must be rounded to the nearest dollar.</v>
      </c>
      <c r="H4505" s="25" t="str">
        <f t="shared" ca="1" si="459"/>
        <v/>
      </c>
      <c r="I4505" s="25" t="str">
        <f t="shared" ca="1" si="460"/>
        <v/>
      </c>
      <c r="J4505" s="26" t="str">
        <f t="shared" ca="1" si="461"/>
        <v/>
      </c>
    </row>
    <row r="4506" spans="1:10" x14ac:dyDescent="0.25">
      <c r="A4506" t="s">
        <v>660</v>
      </c>
      <c r="B4506" t="str">
        <f>ADDRESS(ROW('PAYG 1'!$C$29),COLUMN('PAYG 1'!$C$29),4)</f>
        <v>C29</v>
      </c>
      <c r="C4506" t="str">
        <f>ADDRESS(ROW('PAYG 1'!$D$29),COLUMN('PAYG 1'!$D$29),4)</f>
        <v>D29</v>
      </c>
      <c r="D4506" t="b" cm="1">
        <f t="array" aca="1" ref="D4506" ca="1">IF(INDIRECT("'"&amp;A4506&amp;"'!"&amp;B4506)="",FALSE,IF(TRUNC(INDIRECT("'"&amp;A4506&amp;"'!"&amp;B4506))=INDIRECT("'"&amp;A4506&amp;"'!"&amp;B4506),FALSE,TRUE))</f>
        <v>0</v>
      </c>
      <c r="E4506" t="s">
        <v>436</v>
      </c>
      <c r="F4506" t="str">
        <f>INDEX(Lists!I:I,MATCH(Validation!E4506,Lists!G:G,0))</f>
        <v>Error</v>
      </c>
      <c r="G4506" t="str">
        <f>INDEX(Lists!H:H,MATCH(Validation!E4506,Lists!G:G,0))</f>
        <v>Amount must be rounded to the nearest dollar.</v>
      </c>
      <c r="H4506" s="25" t="str">
        <f t="shared" ca="1" si="459"/>
        <v/>
      </c>
      <c r="I4506" s="25" t="str">
        <f t="shared" ca="1" si="460"/>
        <v/>
      </c>
      <c r="J4506" s="26" t="str">
        <f t="shared" ca="1" si="461"/>
        <v/>
      </c>
    </row>
    <row r="4507" spans="1:10" x14ac:dyDescent="0.25">
      <c r="A4507" t="s">
        <v>661</v>
      </c>
      <c r="B4507" t="str">
        <f>ADDRESS(ROW('PAYG 1'!$C$29),COLUMN('PAYG 1'!$C$29),4)</f>
        <v>C29</v>
      </c>
      <c r="C4507" t="str">
        <f>ADDRESS(ROW('PAYG 1'!$D$29),COLUMN('PAYG 1'!$D$29),4)</f>
        <v>D29</v>
      </c>
      <c r="D4507" t="b" cm="1">
        <f t="array" aca="1" ref="D4507" ca="1">IF(INDIRECT("'"&amp;A4507&amp;"'!"&amp;B4507)="",FALSE,IF(TRUNC(INDIRECT("'"&amp;A4507&amp;"'!"&amp;B4507))=INDIRECT("'"&amp;A4507&amp;"'!"&amp;B4507),FALSE,TRUE))</f>
        <v>0</v>
      </c>
      <c r="E4507" t="s">
        <v>436</v>
      </c>
      <c r="F4507" t="str">
        <f>INDEX(Lists!I:I,MATCH(Validation!E4507,Lists!G:G,0))</f>
        <v>Error</v>
      </c>
      <c r="G4507" t="str">
        <f>INDEX(Lists!H:H,MATCH(Validation!E4507,Lists!G:G,0))</f>
        <v>Amount must be rounded to the nearest dollar.</v>
      </c>
      <c r="H4507" s="25" t="str">
        <f t="shared" ca="1" si="459"/>
        <v/>
      </c>
      <c r="I4507" s="25" t="str">
        <f t="shared" ca="1" si="460"/>
        <v/>
      </c>
      <c r="J4507" s="26" t="str">
        <f t="shared" ca="1" si="461"/>
        <v/>
      </c>
    </row>
    <row r="4508" spans="1:10" x14ac:dyDescent="0.25">
      <c r="A4508" t="s">
        <v>662</v>
      </c>
      <c r="B4508" t="str">
        <f>ADDRESS(ROW('PAYG 1'!$C$29),COLUMN('PAYG 1'!$C$29),4)</f>
        <v>C29</v>
      </c>
      <c r="C4508" t="str">
        <f>ADDRESS(ROW('PAYG 1'!$D$29),COLUMN('PAYG 1'!$D$29),4)</f>
        <v>D29</v>
      </c>
      <c r="D4508" t="b" cm="1">
        <f t="array" aca="1" ref="D4508" ca="1">IF(INDIRECT("'"&amp;A4508&amp;"'!"&amp;B4508)="",FALSE,IF(TRUNC(INDIRECT("'"&amp;A4508&amp;"'!"&amp;B4508))=INDIRECT("'"&amp;A4508&amp;"'!"&amp;B4508),FALSE,TRUE))</f>
        <v>0</v>
      </c>
      <c r="E4508" t="s">
        <v>436</v>
      </c>
      <c r="F4508" t="str">
        <f>INDEX(Lists!I:I,MATCH(Validation!E4508,Lists!G:G,0))</f>
        <v>Error</v>
      </c>
      <c r="G4508" t="str">
        <f>INDEX(Lists!H:H,MATCH(Validation!E4508,Lists!G:G,0))</f>
        <v>Amount must be rounded to the nearest dollar.</v>
      </c>
      <c r="H4508" s="25" t="str">
        <f t="shared" ca="1" si="459"/>
        <v/>
      </c>
      <c r="I4508" s="25" t="str">
        <f t="shared" ca="1" si="460"/>
        <v/>
      </c>
      <c r="J4508" s="26" t="str">
        <f t="shared" ca="1" si="461"/>
        <v/>
      </c>
    </row>
    <row r="4509" spans="1:10" x14ac:dyDescent="0.25">
      <c r="A4509" t="s">
        <v>663</v>
      </c>
      <c r="B4509" t="str">
        <f>ADDRESS(ROW('PAYG 1'!$C$29),COLUMN('PAYG 1'!$C$29),4)</f>
        <v>C29</v>
      </c>
      <c r="C4509" t="str">
        <f>ADDRESS(ROW('PAYG 1'!$D$29),COLUMN('PAYG 1'!$D$29),4)</f>
        <v>D29</v>
      </c>
      <c r="D4509" t="b" cm="1">
        <f t="array" aca="1" ref="D4509" ca="1">IF(INDIRECT("'"&amp;A4509&amp;"'!"&amp;B4509)="",FALSE,IF(TRUNC(INDIRECT("'"&amp;A4509&amp;"'!"&amp;B4509))=INDIRECT("'"&amp;A4509&amp;"'!"&amp;B4509),FALSE,TRUE))</f>
        <v>0</v>
      </c>
      <c r="E4509" t="s">
        <v>436</v>
      </c>
      <c r="F4509" t="str">
        <f>INDEX(Lists!I:I,MATCH(Validation!E4509,Lists!G:G,0))</f>
        <v>Error</v>
      </c>
      <c r="G4509" t="str">
        <f>INDEX(Lists!H:H,MATCH(Validation!E4509,Lists!G:G,0))</f>
        <v>Amount must be rounded to the nearest dollar.</v>
      </c>
      <c r="H4509" s="25" t="str">
        <f t="shared" ca="1" si="459"/>
        <v/>
      </c>
      <c r="I4509" s="25" t="str">
        <f t="shared" ca="1" si="460"/>
        <v/>
      </c>
      <c r="J4509" s="26" t="str">
        <f t="shared" ca="1" si="461"/>
        <v/>
      </c>
    </row>
    <row r="4510" spans="1:10" x14ac:dyDescent="0.25">
      <c r="A4510" t="s">
        <v>664</v>
      </c>
      <c r="B4510" t="str">
        <f>ADDRESS(ROW('PAYG 1'!$C$29),COLUMN('PAYG 1'!$C$29),4)</f>
        <v>C29</v>
      </c>
      <c r="C4510" t="str">
        <f>ADDRESS(ROW('PAYG 1'!$D$29),COLUMN('PAYG 1'!$D$29),4)</f>
        <v>D29</v>
      </c>
      <c r="D4510" t="b" cm="1">
        <f t="array" aca="1" ref="D4510" ca="1">IF(INDIRECT("'"&amp;A4510&amp;"'!"&amp;B4510)="",FALSE,IF(TRUNC(INDIRECT("'"&amp;A4510&amp;"'!"&amp;B4510))=INDIRECT("'"&amp;A4510&amp;"'!"&amp;B4510),FALSE,TRUE))</f>
        <v>0</v>
      </c>
      <c r="E4510" t="s">
        <v>436</v>
      </c>
      <c r="F4510" t="str">
        <f>INDEX(Lists!I:I,MATCH(Validation!E4510,Lists!G:G,0))</f>
        <v>Error</v>
      </c>
      <c r="G4510" t="str">
        <f>INDEX(Lists!H:H,MATCH(Validation!E4510,Lists!G:G,0))</f>
        <v>Amount must be rounded to the nearest dollar.</v>
      </c>
      <c r="H4510" s="25" t="str">
        <f t="shared" ca="1" si="459"/>
        <v/>
      </c>
      <c r="I4510" s="25" t="str">
        <f t="shared" ca="1" si="460"/>
        <v/>
      </c>
      <c r="J4510" s="26" t="str">
        <f t="shared" ca="1" si="461"/>
        <v/>
      </c>
    </row>
    <row r="4511" spans="1:10" x14ac:dyDescent="0.25">
      <c r="A4511" t="s">
        <v>203</v>
      </c>
      <c r="B4511" t="str">
        <f>ADDRESS(ROW('PAYG 1'!$B$31),COLUMN('PAYG 1'!$B$31),4)</f>
        <v>B31</v>
      </c>
      <c r="C4511" t="str">
        <f>ADDRESS(ROW('PAYG 1'!$D$31),COLUMN('PAYG 1'!$D$31),4)</f>
        <v>D31</v>
      </c>
      <c r="D4511" t="b" cm="1">
        <f t="array" aca="1" ref="D4511" ca="1">IF(INDIRECT("'"&amp;A4511&amp;"'!"&amp;B4511)="",FALSE,IF(NOT(ISNUMBER(INDIRECT("'"&amp;A4511&amp;"'!"&amp;B4511))),TRUE,FALSE))</f>
        <v>0</v>
      </c>
      <c r="E4511" t="s">
        <v>435</v>
      </c>
      <c r="F4511" t="str">
        <f>INDEX(Lists!I:I,MATCH(Validation!E4511,Lists!G:G,0))</f>
        <v>Error</v>
      </c>
      <c r="G4511" t="str">
        <f>INDEX(Lists!H:H,MATCH(Validation!E4511,Lists!G:G,0))</f>
        <v>Enter an amount only. Do not enter text or spaces.</v>
      </c>
      <c r="H4511" s="25" t="str">
        <f t="shared" ref="H4511:H4542" ca="1" si="462">IFERROR(IF(OR(NOT(D4511),F4511&lt;&gt;"Error"),"",A4511&amp;CELL("address",INDIRECT(B4511))),"")</f>
        <v/>
      </c>
      <c r="I4511" s="25" t="str">
        <f t="shared" ref="I4511:I4542" ca="1" si="463">IFERROR(IF(NOT(D4511),"",A4511&amp;CELL("address",INDIRECT(C4511))),"")</f>
        <v/>
      </c>
      <c r="J4511" s="26" t="str">
        <f t="shared" ref="J4511:J4542" ca="1" si="464">IFERROR(IF(NOT(D4511),"",A4511),"")</f>
        <v/>
      </c>
    </row>
    <row r="4512" spans="1:10" x14ac:dyDescent="0.25">
      <c r="A4512" t="s">
        <v>651</v>
      </c>
      <c r="B4512" t="str">
        <f>ADDRESS(ROW('PAYG 1'!$B$31),COLUMN('PAYG 1'!$B$31),4)</f>
        <v>B31</v>
      </c>
      <c r="C4512" t="str">
        <f>ADDRESS(ROW('PAYG 1'!$D$31),COLUMN('PAYG 1'!$D$31),4)</f>
        <v>D31</v>
      </c>
      <c r="D4512" t="b" cm="1">
        <f t="array" aca="1" ref="D4512" ca="1">IF(INDIRECT("'"&amp;A4512&amp;"'!"&amp;B4512)="",FALSE,IF(NOT(ISNUMBER(INDIRECT("'"&amp;A4512&amp;"'!"&amp;B4512))),TRUE,FALSE))</f>
        <v>0</v>
      </c>
      <c r="E4512" t="s">
        <v>435</v>
      </c>
      <c r="F4512" t="str">
        <f>INDEX(Lists!I:I,MATCH(Validation!E4512,Lists!G:G,0))</f>
        <v>Error</v>
      </c>
      <c r="G4512" t="str">
        <f>INDEX(Lists!H:H,MATCH(Validation!E4512,Lists!G:G,0))</f>
        <v>Enter an amount only. Do not enter text or spaces.</v>
      </c>
      <c r="H4512" s="25" t="str">
        <f t="shared" ca="1" si="462"/>
        <v/>
      </c>
      <c r="I4512" s="25" t="str">
        <f t="shared" ca="1" si="463"/>
        <v/>
      </c>
      <c r="J4512" s="26" t="str">
        <f t="shared" ca="1" si="464"/>
        <v/>
      </c>
    </row>
    <row r="4513" spans="1:10" x14ac:dyDescent="0.25">
      <c r="A4513" t="s">
        <v>652</v>
      </c>
      <c r="B4513" t="str">
        <f>ADDRESS(ROW('PAYG 1'!$B$31),COLUMN('PAYG 1'!$B$31),4)</f>
        <v>B31</v>
      </c>
      <c r="C4513" t="str">
        <f>ADDRESS(ROW('PAYG 1'!$D$31),COLUMN('PAYG 1'!$D$31),4)</f>
        <v>D31</v>
      </c>
      <c r="D4513" t="b" cm="1">
        <f t="array" aca="1" ref="D4513" ca="1">IF(INDIRECT("'"&amp;A4513&amp;"'!"&amp;B4513)="",FALSE,IF(NOT(ISNUMBER(INDIRECT("'"&amp;A4513&amp;"'!"&amp;B4513))),TRUE,FALSE))</f>
        <v>0</v>
      </c>
      <c r="E4513" t="s">
        <v>435</v>
      </c>
      <c r="F4513" t="str">
        <f>INDEX(Lists!I:I,MATCH(Validation!E4513,Lists!G:G,0))</f>
        <v>Error</v>
      </c>
      <c r="G4513" t="str">
        <f>INDEX(Lists!H:H,MATCH(Validation!E4513,Lists!G:G,0))</f>
        <v>Enter an amount only. Do not enter text or spaces.</v>
      </c>
      <c r="H4513" s="25" t="str">
        <f t="shared" ca="1" si="462"/>
        <v/>
      </c>
      <c r="I4513" s="25" t="str">
        <f t="shared" ca="1" si="463"/>
        <v/>
      </c>
      <c r="J4513" s="26" t="str">
        <f t="shared" ca="1" si="464"/>
        <v/>
      </c>
    </row>
    <row r="4514" spans="1:10" x14ac:dyDescent="0.25">
      <c r="A4514" t="s">
        <v>653</v>
      </c>
      <c r="B4514" t="str">
        <f>ADDRESS(ROW('PAYG 1'!$B$31),COLUMN('PAYG 1'!$B$31),4)</f>
        <v>B31</v>
      </c>
      <c r="C4514" t="str">
        <f>ADDRESS(ROW('PAYG 1'!$D$31),COLUMN('PAYG 1'!$D$31),4)</f>
        <v>D31</v>
      </c>
      <c r="D4514" t="b" cm="1">
        <f t="array" aca="1" ref="D4514" ca="1">IF(INDIRECT("'"&amp;A4514&amp;"'!"&amp;B4514)="",FALSE,IF(NOT(ISNUMBER(INDIRECT("'"&amp;A4514&amp;"'!"&amp;B4514))),TRUE,FALSE))</f>
        <v>0</v>
      </c>
      <c r="E4514" t="s">
        <v>435</v>
      </c>
      <c r="F4514" t="str">
        <f>INDEX(Lists!I:I,MATCH(Validation!E4514,Lists!G:G,0))</f>
        <v>Error</v>
      </c>
      <c r="G4514" t="str">
        <f>INDEX(Lists!H:H,MATCH(Validation!E4514,Lists!G:G,0))</f>
        <v>Enter an amount only. Do not enter text or spaces.</v>
      </c>
      <c r="H4514" s="25" t="str">
        <f t="shared" ca="1" si="462"/>
        <v/>
      </c>
      <c r="I4514" s="25" t="str">
        <f t="shared" ca="1" si="463"/>
        <v/>
      </c>
      <c r="J4514" s="26" t="str">
        <f t="shared" ca="1" si="464"/>
        <v/>
      </c>
    </row>
    <row r="4515" spans="1:10" x14ac:dyDescent="0.25">
      <c r="A4515" t="s">
        <v>654</v>
      </c>
      <c r="B4515" t="str">
        <f>ADDRESS(ROW('PAYG 1'!$B$31),COLUMN('PAYG 1'!$B$31),4)</f>
        <v>B31</v>
      </c>
      <c r="C4515" t="str">
        <f>ADDRESS(ROW('PAYG 1'!$D$31),COLUMN('PAYG 1'!$D$31),4)</f>
        <v>D31</v>
      </c>
      <c r="D4515" t="b" cm="1">
        <f t="array" aca="1" ref="D4515" ca="1">IF(INDIRECT("'"&amp;A4515&amp;"'!"&amp;B4515)="",FALSE,IF(NOT(ISNUMBER(INDIRECT("'"&amp;A4515&amp;"'!"&amp;B4515))),TRUE,FALSE))</f>
        <v>0</v>
      </c>
      <c r="E4515" t="s">
        <v>435</v>
      </c>
      <c r="F4515" t="str">
        <f>INDEX(Lists!I:I,MATCH(Validation!E4515,Lists!G:G,0))</f>
        <v>Error</v>
      </c>
      <c r="G4515" t="str">
        <f>INDEX(Lists!H:H,MATCH(Validation!E4515,Lists!G:G,0))</f>
        <v>Enter an amount only. Do not enter text or spaces.</v>
      </c>
      <c r="H4515" s="25" t="str">
        <f t="shared" ca="1" si="462"/>
        <v/>
      </c>
      <c r="I4515" s="25" t="str">
        <f t="shared" ca="1" si="463"/>
        <v/>
      </c>
      <c r="J4515" s="26" t="str">
        <f t="shared" ca="1" si="464"/>
        <v/>
      </c>
    </row>
    <row r="4516" spans="1:10" x14ac:dyDescent="0.25">
      <c r="A4516" t="s">
        <v>655</v>
      </c>
      <c r="B4516" t="str">
        <f>ADDRESS(ROW('PAYG 1'!$B$31),COLUMN('PAYG 1'!$B$31),4)</f>
        <v>B31</v>
      </c>
      <c r="C4516" t="str">
        <f>ADDRESS(ROW('PAYG 1'!$D$31),COLUMN('PAYG 1'!$D$31),4)</f>
        <v>D31</v>
      </c>
      <c r="D4516" t="b" cm="1">
        <f t="array" aca="1" ref="D4516" ca="1">IF(INDIRECT("'"&amp;A4516&amp;"'!"&amp;B4516)="",FALSE,IF(NOT(ISNUMBER(INDIRECT("'"&amp;A4516&amp;"'!"&amp;B4516))),TRUE,FALSE))</f>
        <v>0</v>
      </c>
      <c r="E4516" t="s">
        <v>435</v>
      </c>
      <c r="F4516" t="str">
        <f>INDEX(Lists!I:I,MATCH(Validation!E4516,Lists!G:G,0))</f>
        <v>Error</v>
      </c>
      <c r="G4516" t="str">
        <f>INDEX(Lists!H:H,MATCH(Validation!E4516,Lists!G:G,0))</f>
        <v>Enter an amount only. Do not enter text or spaces.</v>
      </c>
      <c r="H4516" s="25" t="str">
        <f t="shared" ca="1" si="462"/>
        <v/>
      </c>
      <c r="I4516" s="25" t="str">
        <f t="shared" ca="1" si="463"/>
        <v/>
      </c>
      <c r="J4516" s="26" t="str">
        <f t="shared" ca="1" si="464"/>
        <v/>
      </c>
    </row>
    <row r="4517" spans="1:10" x14ac:dyDescent="0.25">
      <c r="A4517" t="s">
        <v>656</v>
      </c>
      <c r="B4517" t="str">
        <f>ADDRESS(ROW('PAYG 1'!$B$31),COLUMN('PAYG 1'!$B$31),4)</f>
        <v>B31</v>
      </c>
      <c r="C4517" t="str">
        <f>ADDRESS(ROW('PAYG 1'!$D$31),COLUMN('PAYG 1'!$D$31),4)</f>
        <v>D31</v>
      </c>
      <c r="D4517" t="b" cm="1">
        <f t="array" aca="1" ref="D4517" ca="1">IF(INDIRECT("'"&amp;A4517&amp;"'!"&amp;B4517)="",FALSE,IF(NOT(ISNUMBER(INDIRECT("'"&amp;A4517&amp;"'!"&amp;B4517))),TRUE,FALSE))</f>
        <v>0</v>
      </c>
      <c r="E4517" t="s">
        <v>435</v>
      </c>
      <c r="F4517" t="str">
        <f>INDEX(Lists!I:I,MATCH(Validation!E4517,Lists!G:G,0))</f>
        <v>Error</v>
      </c>
      <c r="G4517" t="str">
        <f>INDEX(Lists!H:H,MATCH(Validation!E4517,Lists!G:G,0))</f>
        <v>Enter an amount only. Do not enter text or spaces.</v>
      </c>
      <c r="H4517" s="25" t="str">
        <f t="shared" ca="1" si="462"/>
        <v/>
      </c>
      <c r="I4517" s="25" t="str">
        <f t="shared" ca="1" si="463"/>
        <v/>
      </c>
      <c r="J4517" s="26" t="str">
        <f t="shared" ca="1" si="464"/>
        <v/>
      </c>
    </row>
    <row r="4518" spans="1:10" x14ac:dyDescent="0.25">
      <c r="A4518" t="s">
        <v>657</v>
      </c>
      <c r="B4518" t="str">
        <f>ADDRESS(ROW('PAYG 1'!$B$31),COLUMN('PAYG 1'!$B$31),4)</f>
        <v>B31</v>
      </c>
      <c r="C4518" t="str">
        <f>ADDRESS(ROW('PAYG 1'!$D$31),COLUMN('PAYG 1'!$D$31),4)</f>
        <v>D31</v>
      </c>
      <c r="D4518" t="b" cm="1">
        <f t="array" aca="1" ref="D4518" ca="1">IF(INDIRECT("'"&amp;A4518&amp;"'!"&amp;B4518)="",FALSE,IF(NOT(ISNUMBER(INDIRECT("'"&amp;A4518&amp;"'!"&amp;B4518))),TRUE,FALSE))</f>
        <v>0</v>
      </c>
      <c r="E4518" t="s">
        <v>435</v>
      </c>
      <c r="F4518" t="str">
        <f>INDEX(Lists!I:I,MATCH(Validation!E4518,Lists!G:G,0))</f>
        <v>Error</v>
      </c>
      <c r="G4518" t="str">
        <f>INDEX(Lists!H:H,MATCH(Validation!E4518,Lists!G:G,0))</f>
        <v>Enter an amount only. Do not enter text or spaces.</v>
      </c>
      <c r="H4518" s="25" t="str">
        <f t="shared" ca="1" si="462"/>
        <v/>
      </c>
      <c r="I4518" s="25" t="str">
        <f t="shared" ca="1" si="463"/>
        <v/>
      </c>
      <c r="J4518" s="26" t="str">
        <f t="shared" ca="1" si="464"/>
        <v/>
      </c>
    </row>
    <row r="4519" spans="1:10" x14ac:dyDescent="0.25">
      <c r="A4519" t="s">
        <v>658</v>
      </c>
      <c r="B4519" t="str">
        <f>ADDRESS(ROW('PAYG 1'!$B$31),COLUMN('PAYG 1'!$B$31),4)</f>
        <v>B31</v>
      </c>
      <c r="C4519" t="str">
        <f>ADDRESS(ROW('PAYG 1'!$D$31),COLUMN('PAYG 1'!$D$31),4)</f>
        <v>D31</v>
      </c>
      <c r="D4519" t="b" cm="1">
        <f t="array" aca="1" ref="D4519" ca="1">IF(INDIRECT("'"&amp;A4519&amp;"'!"&amp;B4519)="",FALSE,IF(NOT(ISNUMBER(INDIRECT("'"&amp;A4519&amp;"'!"&amp;B4519))),TRUE,FALSE))</f>
        <v>0</v>
      </c>
      <c r="E4519" t="s">
        <v>435</v>
      </c>
      <c r="F4519" t="str">
        <f>INDEX(Lists!I:I,MATCH(Validation!E4519,Lists!G:G,0))</f>
        <v>Error</v>
      </c>
      <c r="G4519" t="str">
        <f>INDEX(Lists!H:H,MATCH(Validation!E4519,Lists!G:G,0))</f>
        <v>Enter an amount only. Do not enter text or spaces.</v>
      </c>
      <c r="H4519" s="25" t="str">
        <f t="shared" ca="1" si="462"/>
        <v/>
      </c>
      <c r="I4519" s="25" t="str">
        <f t="shared" ca="1" si="463"/>
        <v/>
      </c>
      <c r="J4519" s="26" t="str">
        <f t="shared" ca="1" si="464"/>
        <v/>
      </c>
    </row>
    <row r="4520" spans="1:10" x14ac:dyDescent="0.25">
      <c r="A4520" t="s">
        <v>659</v>
      </c>
      <c r="B4520" t="str">
        <f>ADDRESS(ROW('PAYG 1'!$B$31),COLUMN('PAYG 1'!$B$31),4)</f>
        <v>B31</v>
      </c>
      <c r="C4520" t="str">
        <f>ADDRESS(ROW('PAYG 1'!$D$31),COLUMN('PAYG 1'!$D$31),4)</f>
        <v>D31</v>
      </c>
      <c r="D4520" t="b" cm="1">
        <f t="array" aca="1" ref="D4520" ca="1">IF(INDIRECT("'"&amp;A4520&amp;"'!"&amp;B4520)="",FALSE,IF(NOT(ISNUMBER(INDIRECT("'"&amp;A4520&amp;"'!"&amp;B4520))),TRUE,FALSE))</f>
        <v>0</v>
      </c>
      <c r="E4520" t="s">
        <v>435</v>
      </c>
      <c r="F4520" t="str">
        <f>INDEX(Lists!I:I,MATCH(Validation!E4520,Lists!G:G,0))</f>
        <v>Error</v>
      </c>
      <c r="G4520" t="str">
        <f>INDEX(Lists!H:H,MATCH(Validation!E4520,Lists!G:G,0))</f>
        <v>Enter an amount only. Do not enter text or spaces.</v>
      </c>
      <c r="H4520" s="25" t="str">
        <f t="shared" ca="1" si="462"/>
        <v/>
      </c>
      <c r="I4520" s="25" t="str">
        <f t="shared" ca="1" si="463"/>
        <v/>
      </c>
      <c r="J4520" s="26" t="str">
        <f t="shared" ca="1" si="464"/>
        <v/>
      </c>
    </row>
    <row r="4521" spans="1:10" x14ac:dyDescent="0.25">
      <c r="A4521" t="s">
        <v>660</v>
      </c>
      <c r="B4521" t="str">
        <f>ADDRESS(ROW('PAYG 1'!$B$31),COLUMN('PAYG 1'!$B$31),4)</f>
        <v>B31</v>
      </c>
      <c r="C4521" t="str">
        <f>ADDRESS(ROW('PAYG 1'!$D$31),COLUMN('PAYG 1'!$D$31),4)</f>
        <v>D31</v>
      </c>
      <c r="D4521" t="b" cm="1">
        <f t="array" aca="1" ref="D4521" ca="1">IF(INDIRECT("'"&amp;A4521&amp;"'!"&amp;B4521)="",FALSE,IF(NOT(ISNUMBER(INDIRECT("'"&amp;A4521&amp;"'!"&amp;B4521))),TRUE,FALSE))</f>
        <v>0</v>
      </c>
      <c r="E4521" t="s">
        <v>435</v>
      </c>
      <c r="F4521" t="str">
        <f>INDEX(Lists!I:I,MATCH(Validation!E4521,Lists!G:G,0))</f>
        <v>Error</v>
      </c>
      <c r="G4521" t="str">
        <f>INDEX(Lists!H:H,MATCH(Validation!E4521,Lists!G:G,0))</f>
        <v>Enter an amount only. Do not enter text or spaces.</v>
      </c>
      <c r="H4521" s="25" t="str">
        <f t="shared" ca="1" si="462"/>
        <v/>
      </c>
      <c r="I4521" s="25" t="str">
        <f t="shared" ca="1" si="463"/>
        <v/>
      </c>
      <c r="J4521" s="26" t="str">
        <f t="shared" ca="1" si="464"/>
        <v/>
      </c>
    </row>
    <row r="4522" spans="1:10" x14ac:dyDescent="0.25">
      <c r="A4522" t="s">
        <v>661</v>
      </c>
      <c r="B4522" t="str">
        <f>ADDRESS(ROW('PAYG 1'!$B$31),COLUMN('PAYG 1'!$B$31),4)</f>
        <v>B31</v>
      </c>
      <c r="C4522" t="str">
        <f>ADDRESS(ROW('PAYG 1'!$D$31),COLUMN('PAYG 1'!$D$31),4)</f>
        <v>D31</v>
      </c>
      <c r="D4522" t="b" cm="1">
        <f t="array" aca="1" ref="D4522" ca="1">IF(INDIRECT("'"&amp;A4522&amp;"'!"&amp;B4522)="",FALSE,IF(NOT(ISNUMBER(INDIRECT("'"&amp;A4522&amp;"'!"&amp;B4522))),TRUE,FALSE))</f>
        <v>0</v>
      </c>
      <c r="E4522" t="s">
        <v>435</v>
      </c>
      <c r="F4522" t="str">
        <f>INDEX(Lists!I:I,MATCH(Validation!E4522,Lists!G:G,0))</f>
        <v>Error</v>
      </c>
      <c r="G4522" t="str">
        <f>INDEX(Lists!H:H,MATCH(Validation!E4522,Lists!G:G,0))</f>
        <v>Enter an amount only. Do not enter text or spaces.</v>
      </c>
      <c r="H4522" s="25" t="str">
        <f t="shared" ca="1" si="462"/>
        <v/>
      </c>
      <c r="I4522" s="25" t="str">
        <f t="shared" ca="1" si="463"/>
        <v/>
      </c>
      <c r="J4522" s="26" t="str">
        <f t="shared" ca="1" si="464"/>
        <v/>
      </c>
    </row>
    <row r="4523" spans="1:10" x14ac:dyDescent="0.25">
      <c r="A4523" t="s">
        <v>662</v>
      </c>
      <c r="B4523" t="str">
        <f>ADDRESS(ROW('PAYG 1'!$B$31),COLUMN('PAYG 1'!$B$31),4)</f>
        <v>B31</v>
      </c>
      <c r="C4523" t="str">
        <f>ADDRESS(ROW('PAYG 1'!$D$31),COLUMN('PAYG 1'!$D$31),4)</f>
        <v>D31</v>
      </c>
      <c r="D4523" t="b" cm="1">
        <f t="array" aca="1" ref="D4523" ca="1">IF(INDIRECT("'"&amp;A4523&amp;"'!"&amp;B4523)="",FALSE,IF(NOT(ISNUMBER(INDIRECT("'"&amp;A4523&amp;"'!"&amp;B4523))),TRUE,FALSE))</f>
        <v>0</v>
      </c>
      <c r="E4523" t="s">
        <v>435</v>
      </c>
      <c r="F4523" t="str">
        <f>INDEX(Lists!I:I,MATCH(Validation!E4523,Lists!G:G,0))</f>
        <v>Error</v>
      </c>
      <c r="G4523" t="str">
        <f>INDEX(Lists!H:H,MATCH(Validation!E4523,Lists!G:G,0))</f>
        <v>Enter an amount only. Do not enter text or spaces.</v>
      </c>
      <c r="H4523" s="25" t="str">
        <f t="shared" ca="1" si="462"/>
        <v/>
      </c>
      <c r="I4523" s="25" t="str">
        <f t="shared" ca="1" si="463"/>
        <v/>
      </c>
      <c r="J4523" s="26" t="str">
        <f t="shared" ca="1" si="464"/>
        <v/>
      </c>
    </row>
    <row r="4524" spans="1:10" x14ac:dyDescent="0.25">
      <c r="A4524" t="s">
        <v>663</v>
      </c>
      <c r="B4524" t="str">
        <f>ADDRESS(ROW('PAYG 1'!$B$31),COLUMN('PAYG 1'!$B$31),4)</f>
        <v>B31</v>
      </c>
      <c r="C4524" t="str">
        <f>ADDRESS(ROW('PAYG 1'!$D$31),COLUMN('PAYG 1'!$D$31),4)</f>
        <v>D31</v>
      </c>
      <c r="D4524" t="b" cm="1">
        <f t="array" aca="1" ref="D4524" ca="1">IF(INDIRECT("'"&amp;A4524&amp;"'!"&amp;B4524)="",FALSE,IF(NOT(ISNUMBER(INDIRECT("'"&amp;A4524&amp;"'!"&amp;B4524))),TRUE,FALSE))</f>
        <v>0</v>
      </c>
      <c r="E4524" t="s">
        <v>435</v>
      </c>
      <c r="F4524" t="str">
        <f>INDEX(Lists!I:I,MATCH(Validation!E4524,Lists!G:G,0))</f>
        <v>Error</v>
      </c>
      <c r="G4524" t="str">
        <f>INDEX(Lists!H:H,MATCH(Validation!E4524,Lists!G:G,0))</f>
        <v>Enter an amount only. Do not enter text or spaces.</v>
      </c>
      <c r="H4524" s="25" t="str">
        <f t="shared" ca="1" si="462"/>
        <v/>
      </c>
      <c r="I4524" s="25" t="str">
        <f t="shared" ca="1" si="463"/>
        <v/>
      </c>
      <c r="J4524" s="26" t="str">
        <f t="shared" ca="1" si="464"/>
        <v/>
      </c>
    </row>
    <row r="4525" spans="1:10" x14ac:dyDescent="0.25">
      <c r="A4525" t="s">
        <v>664</v>
      </c>
      <c r="B4525" t="str">
        <f>ADDRESS(ROW('PAYG 1'!$B$31),COLUMN('PAYG 1'!$B$31),4)</f>
        <v>B31</v>
      </c>
      <c r="C4525" t="str">
        <f>ADDRESS(ROW('PAYG 1'!$D$31),COLUMN('PAYG 1'!$D$31),4)</f>
        <v>D31</v>
      </c>
      <c r="D4525" t="b" cm="1">
        <f t="array" aca="1" ref="D4525" ca="1">IF(INDIRECT("'"&amp;A4525&amp;"'!"&amp;B4525)="",FALSE,IF(NOT(ISNUMBER(INDIRECT("'"&amp;A4525&amp;"'!"&amp;B4525))),TRUE,FALSE))</f>
        <v>0</v>
      </c>
      <c r="E4525" t="s">
        <v>435</v>
      </c>
      <c r="F4525" t="str">
        <f>INDEX(Lists!I:I,MATCH(Validation!E4525,Lists!G:G,0))</f>
        <v>Error</v>
      </c>
      <c r="G4525" t="str">
        <f>INDEX(Lists!H:H,MATCH(Validation!E4525,Lists!G:G,0))</f>
        <v>Enter an amount only. Do not enter text or spaces.</v>
      </c>
      <c r="H4525" s="25" t="str">
        <f t="shared" ca="1" si="462"/>
        <v/>
      </c>
      <c r="I4525" s="25" t="str">
        <f t="shared" ca="1" si="463"/>
        <v/>
      </c>
      <c r="J4525" s="26" t="str">
        <f t="shared" ca="1" si="464"/>
        <v/>
      </c>
    </row>
    <row r="4526" spans="1:10" x14ac:dyDescent="0.25">
      <c r="A4526" t="s">
        <v>203</v>
      </c>
      <c r="B4526" t="str">
        <f>ADDRESS(ROW('PAYG 1'!$B$31),COLUMN('PAYG 1'!$B$31),4)</f>
        <v>B31</v>
      </c>
      <c r="C4526" t="str">
        <f>ADDRESS(ROW('PAYG 1'!$D$31),COLUMN('PAYG 1'!$D$31),4)</f>
        <v>D31</v>
      </c>
      <c r="D4526" t="b" cm="1">
        <f t="array" aca="1" ref="D4526" ca="1">IF(INDIRECT("'"&amp;A4526&amp;"'!"&amp;B4526)="",FALSE,IF(INDIRECT("'"&amp;A4526&amp;"'!"&amp;B4526)&lt;0,TRUE,FALSE))</f>
        <v>0</v>
      </c>
      <c r="E4526" t="s">
        <v>434</v>
      </c>
      <c r="F4526" t="str">
        <f>INDEX(Lists!I:I,MATCH(Validation!E4526,Lists!G:G,0))</f>
        <v>Error</v>
      </c>
      <c r="G4526" t="str">
        <f>INDEX(Lists!H:H,MATCH(Validation!E4526,Lists!G:G,0))</f>
        <v>Amount may not be negative. Enter an amount greater than or equal to zero.</v>
      </c>
      <c r="H4526" s="25" t="str">
        <f t="shared" ca="1" si="462"/>
        <v/>
      </c>
      <c r="I4526" s="25" t="str">
        <f t="shared" ca="1" si="463"/>
        <v/>
      </c>
      <c r="J4526" s="26" t="str">
        <f t="shared" ca="1" si="464"/>
        <v/>
      </c>
    </row>
    <row r="4527" spans="1:10" x14ac:dyDescent="0.25">
      <c r="A4527" t="s">
        <v>651</v>
      </c>
      <c r="B4527" t="str">
        <f>ADDRESS(ROW('PAYG 1'!$B$31),COLUMN('PAYG 1'!$B$31),4)</f>
        <v>B31</v>
      </c>
      <c r="C4527" t="str">
        <f>ADDRESS(ROW('PAYG 1'!$D$31),COLUMN('PAYG 1'!$D$31),4)</f>
        <v>D31</v>
      </c>
      <c r="D4527" t="b" cm="1">
        <f t="array" aca="1" ref="D4527" ca="1">IF(INDIRECT("'"&amp;A4527&amp;"'!"&amp;B4527)="",FALSE,IF(INDIRECT("'"&amp;A4527&amp;"'!"&amp;B4527)&lt;0,TRUE,FALSE))</f>
        <v>0</v>
      </c>
      <c r="E4527" t="s">
        <v>434</v>
      </c>
      <c r="F4527" t="str">
        <f>INDEX(Lists!I:I,MATCH(Validation!E4527,Lists!G:G,0))</f>
        <v>Error</v>
      </c>
      <c r="G4527" t="str">
        <f>INDEX(Lists!H:H,MATCH(Validation!E4527,Lists!G:G,0))</f>
        <v>Amount may not be negative. Enter an amount greater than or equal to zero.</v>
      </c>
      <c r="H4527" s="25" t="str">
        <f t="shared" ca="1" si="462"/>
        <v/>
      </c>
      <c r="I4527" s="25" t="str">
        <f t="shared" ca="1" si="463"/>
        <v/>
      </c>
      <c r="J4527" s="26" t="str">
        <f t="shared" ca="1" si="464"/>
        <v/>
      </c>
    </row>
    <row r="4528" spans="1:10" x14ac:dyDescent="0.25">
      <c r="A4528" t="s">
        <v>652</v>
      </c>
      <c r="B4528" t="str">
        <f>ADDRESS(ROW('PAYG 1'!$B$31),COLUMN('PAYG 1'!$B$31),4)</f>
        <v>B31</v>
      </c>
      <c r="C4528" t="str">
        <f>ADDRESS(ROW('PAYG 1'!$D$31),COLUMN('PAYG 1'!$D$31),4)</f>
        <v>D31</v>
      </c>
      <c r="D4528" t="b" cm="1">
        <f t="array" aca="1" ref="D4528" ca="1">IF(INDIRECT("'"&amp;A4528&amp;"'!"&amp;B4528)="",FALSE,IF(INDIRECT("'"&amp;A4528&amp;"'!"&amp;B4528)&lt;0,TRUE,FALSE))</f>
        <v>0</v>
      </c>
      <c r="E4528" t="s">
        <v>434</v>
      </c>
      <c r="F4528" t="str">
        <f>INDEX(Lists!I:I,MATCH(Validation!E4528,Lists!G:G,0))</f>
        <v>Error</v>
      </c>
      <c r="G4528" t="str">
        <f>INDEX(Lists!H:H,MATCH(Validation!E4528,Lists!G:G,0))</f>
        <v>Amount may not be negative. Enter an amount greater than or equal to zero.</v>
      </c>
      <c r="H4528" s="25" t="str">
        <f t="shared" ca="1" si="462"/>
        <v/>
      </c>
      <c r="I4528" s="25" t="str">
        <f t="shared" ca="1" si="463"/>
        <v/>
      </c>
      <c r="J4528" s="26" t="str">
        <f t="shared" ca="1" si="464"/>
        <v/>
      </c>
    </row>
    <row r="4529" spans="1:10" x14ac:dyDescent="0.25">
      <c r="A4529" t="s">
        <v>653</v>
      </c>
      <c r="B4529" t="str">
        <f>ADDRESS(ROW('PAYG 1'!$B$31),COLUMN('PAYG 1'!$B$31),4)</f>
        <v>B31</v>
      </c>
      <c r="C4529" t="str">
        <f>ADDRESS(ROW('PAYG 1'!$D$31),COLUMN('PAYG 1'!$D$31),4)</f>
        <v>D31</v>
      </c>
      <c r="D4529" t="b" cm="1">
        <f t="array" aca="1" ref="D4529" ca="1">IF(INDIRECT("'"&amp;A4529&amp;"'!"&amp;B4529)="",FALSE,IF(INDIRECT("'"&amp;A4529&amp;"'!"&amp;B4529)&lt;0,TRUE,FALSE))</f>
        <v>0</v>
      </c>
      <c r="E4529" t="s">
        <v>434</v>
      </c>
      <c r="F4529" t="str">
        <f>INDEX(Lists!I:I,MATCH(Validation!E4529,Lists!G:G,0))</f>
        <v>Error</v>
      </c>
      <c r="G4529" t="str">
        <f>INDEX(Lists!H:H,MATCH(Validation!E4529,Lists!G:G,0))</f>
        <v>Amount may not be negative. Enter an amount greater than or equal to zero.</v>
      </c>
      <c r="H4529" s="25" t="str">
        <f t="shared" ca="1" si="462"/>
        <v/>
      </c>
      <c r="I4529" s="25" t="str">
        <f t="shared" ca="1" si="463"/>
        <v/>
      </c>
      <c r="J4529" s="26" t="str">
        <f t="shared" ca="1" si="464"/>
        <v/>
      </c>
    </row>
    <row r="4530" spans="1:10" x14ac:dyDescent="0.25">
      <c r="A4530" t="s">
        <v>654</v>
      </c>
      <c r="B4530" t="str">
        <f>ADDRESS(ROW('PAYG 1'!$B$31),COLUMN('PAYG 1'!$B$31),4)</f>
        <v>B31</v>
      </c>
      <c r="C4530" t="str">
        <f>ADDRESS(ROW('PAYG 1'!$D$31),COLUMN('PAYG 1'!$D$31),4)</f>
        <v>D31</v>
      </c>
      <c r="D4530" t="b" cm="1">
        <f t="array" aca="1" ref="D4530" ca="1">IF(INDIRECT("'"&amp;A4530&amp;"'!"&amp;B4530)="",FALSE,IF(INDIRECT("'"&amp;A4530&amp;"'!"&amp;B4530)&lt;0,TRUE,FALSE))</f>
        <v>0</v>
      </c>
      <c r="E4530" t="s">
        <v>434</v>
      </c>
      <c r="F4530" t="str">
        <f>INDEX(Lists!I:I,MATCH(Validation!E4530,Lists!G:G,0))</f>
        <v>Error</v>
      </c>
      <c r="G4530" t="str">
        <f>INDEX(Lists!H:H,MATCH(Validation!E4530,Lists!G:G,0))</f>
        <v>Amount may not be negative. Enter an amount greater than or equal to zero.</v>
      </c>
      <c r="H4530" s="25" t="str">
        <f t="shared" ca="1" si="462"/>
        <v/>
      </c>
      <c r="I4530" s="25" t="str">
        <f t="shared" ca="1" si="463"/>
        <v/>
      </c>
      <c r="J4530" s="26" t="str">
        <f t="shared" ca="1" si="464"/>
        <v/>
      </c>
    </row>
    <row r="4531" spans="1:10" x14ac:dyDescent="0.25">
      <c r="A4531" t="s">
        <v>655</v>
      </c>
      <c r="B4531" t="str">
        <f>ADDRESS(ROW('PAYG 1'!$B$31),COLUMN('PAYG 1'!$B$31),4)</f>
        <v>B31</v>
      </c>
      <c r="C4531" t="str">
        <f>ADDRESS(ROW('PAYG 1'!$D$31),COLUMN('PAYG 1'!$D$31),4)</f>
        <v>D31</v>
      </c>
      <c r="D4531" t="b" cm="1">
        <f t="array" aca="1" ref="D4531" ca="1">IF(INDIRECT("'"&amp;A4531&amp;"'!"&amp;B4531)="",FALSE,IF(INDIRECT("'"&amp;A4531&amp;"'!"&amp;B4531)&lt;0,TRUE,FALSE))</f>
        <v>0</v>
      </c>
      <c r="E4531" t="s">
        <v>434</v>
      </c>
      <c r="F4531" t="str">
        <f>INDEX(Lists!I:I,MATCH(Validation!E4531,Lists!G:G,0))</f>
        <v>Error</v>
      </c>
      <c r="G4531" t="str">
        <f>INDEX(Lists!H:H,MATCH(Validation!E4531,Lists!G:G,0))</f>
        <v>Amount may not be negative. Enter an amount greater than or equal to zero.</v>
      </c>
      <c r="H4531" s="25" t="str">
        <f t="shared" ca="1" si="462"/>
        <v/>
      </c>
      <c r="I4531" s="25" t="str">
        <f t="shared" ca="1" si="463"/>
        <v/>
      </c>
      <c r="J4531" s="26" t="str">
        <f t="shared" ca="1" si="464"/>
        <v/>
      </c>
    </row>
    <row r="4532" spans="1:10" x14ac:dyDescent="0.25">
      <c r="A4532" t="s">
        <v>656</v>
      </c>
      <c r="B4532" t="str">
        <f>ADDRESS(ROW('PAYG 1'!$B$31),COLUMN('PAYG 1'!$B$31),4)</f>
        <v>B31</v>
      </c>
      <c r="C4532" t="str">
        <f>ADDRESS(ROW('PAYG 1'!$D$31),COLUMN('PAYG 1'!$D$31),4)</f>
        <v>D31</v>
      </c>
      <c r="D4532" t="b" cm="1">
        <f t="array" aca="1" ref="D4532" ca="1">IF(INDIRECT("'"&amp;A4532&amp;"'!"&amp;B4532)="",FALSE,IF(INDIRECT("'"&amp;A4532&amp;"'!"&amp;B4532)&lt;0,TRUE,FALSE))</f>
        <v>0</v>
      </c>
      <c r="E4532" t="s">
        <v>434</v>
      </c>
      <c r="F4532" t="str">
        <f>INDEX(Lists!I:I,MATCH(Validation!E4532,Lists!G:G,0))</f>
        <v>Error</v>
      </c>
      <c r="G4532" t="str">
        <f>INDEX(Lists!H:H,MATCH(Validation!E4532,Lists!G:G,0))</f>
        <v>Amount may not be negative. Enter an amount greater than or equal to zero.</v>
      </c>
      <c r="H4532" s="25" t="str">
        <f t="shared" ca="1" si="462"/>
        <v/>
      </c>
      <c r="I4532" s="25" t="str">
        <f t="shared" ca="1" si="463"/>
        <v/>
      </c>
      <c r="J4532" s="26" t="str">
        <f t="shared" ca="1" si="464"/>
        <v/>
      </c>
    </row>
    <row r="4533" spans="1:10" x14ac:dyDescent="0.25">
      <c r="A4533" t="s">
        <v>657</v>
      </c>
      <c r="B4533" t="str">
        <f>ADDRESS(ROW('PAYG 1'!$B$31),COLUMN('PAYG 1'!$B$31),4)</f>
        <v>B31</v>
      </c>
      <c r="C4533" t="str">
        <f>ADDRESS(ROW('PAYG 1'!$D$31),COLUMN('PAYG 1'!$D$31),4)</f>
        <v>D31</v>
      </c>
      <c r="D4533" t="b" cm="1">
        <f t="array" aca="1" ref="D4533" ca="1">IF(INDIRECT("'"&amp;A4533&amp;"'!"&amp;B4533)="",FALSE,IF(INDIRECT("'"&amp;A4533&amp;"'!"&amp;B4533)&lt;0,TRUE,FALSE))</f>
        <v>0</v>
      </c>
      <c r="E4533" t="s">
        <v>434</v>
      </c>
      <c r="F4533" t="str">
        <f>INDEX(Lists!I:I,MATCH(Validation!E4533,Lists!G:G,0))</f>
        <v>Error</v>
      </c>
      <c r="G4533" t="str">
        <f>INDEX(Lists!H:H,MATCH(Validation!E4533,Lists!G:G,0))</f>
        <v>Amount may not be negative. Enter an amount greater than or equal to zero.</v>
      </c>
      <c r="H4533" s="25" t="str">
        <f t="shared" ca="1" si="462"/>
        <v/>
      </c>
      <c r="I4533" s="25" t="str">
        <f t="shared" ca="1" si="463"/>
        <v/>
      </c>
      <c r="J4533" s="26" t="str">
        <f t="shared" ca="1" si="464"/>
        <v/>
      </c>
    </row>
    <row r="4534" spans="1:10" x14ac:dyDescent="0.25">
      <c r="A4534" t="s">
        <v>658</v>
      </c>
      <c r="B4534" t="str">
        <f>ADDRESS(ROW('PAYG 1'!$B$31),COLUMN('PAYG 1'!$B$31),4)</f>
        <v>B31</v>
      </c>
      <c r="C4534" t="str">
        <f>ADDRESS(ROW('PAYG 1'!$D$31),COLUMN('PAYG 1'!$D$31),4)</f>
        <v>D31</v>
      </c>
      <c r="D4534" t="b" cm="1">
        <f t="array" aca="1" ref="D4534" ca="1">IF(INDIRECT("'"&amp;A4534&amp;"'!"&amp;B4534)="",FALSE,IF(INDIRECT("'"&amp;A4534&amp;"'!"&amp;B4534)&lt;0,TRUE,FALSE))</f>
        <v>0</v>
      </c>
      <c r="E4534" t="s">
        <v>434</v>
      </c>
      <c r="F4534" t="str">
        <f>INDEX(Lists!I:I,MATCH(Validation!E4534,Lists!G:G,0))</f>
        <v>Error</v>
      </c>
      <c r="G4534" t="str">
        <f>INDEX(Lists!H:H,MATCH(Validation!E4534,Lists!G:G,0))</f>
        <v>Amount may not be negative. Enter an amount greater than or equal to zero.</v>
      </c>
      <c r="H4534" s="25" t="str">
        <f t="shared" ca="1" si="462"/>
        <v/>
      </c>
      <c r="I4534" s="25" t="str">
        <f t="shared" ca="1" si="463"/>
        <v/>
      </c>
      <c r="J4534" s="26" t="str">
        <f t="shared" ca="1" si="464"/>
        <v/>
      </c>
    </row>
    <row r="4535" spans="1:10" x14ac:dyDescent="0.25">
      <c r="A4535" t="s">
        <v>659</v>
      </c>
      <c r="B4535" t="str">
        <f>ADDRESS(ROW('PAYG 1'!$B$31),COLUMN('PAYG 1'!$B$31),4)</f>
        <v>B31</v>
      </c>
      <c r="C4535" t="str">
        <f>ADDRESS(ROW('PAYG 1'!$D$31),COLUMN('PAYG 1'!$D$31),4)</f>
        <v>D31</v>
      </c>
      <c r="D4535" t="b" cm="1">
        <f t="array" aca="1" ref="D4535" ca="1">IF(INDIRECT("'"&amp;A4535&amp;"'!"&amp;B4535)="",FALSE,IF(INDIRECT("'"&amp;A4535&amp;"'!"&amp;B4535)&lt;0,TRUE,FALSE))</f>
        <v>0</v>
      </c>
      <c r="E4535" t="s">
        <v>434</v>
      </c>
      <c r="F4535" t="str">
        <f>INDEX(Lists!I:I,MATCH(Validation!E4535,Lists!G:G,0))</f>
        <v>Error</v>
      </c>
      <c r="G4535" t="str">
        <f>INDEX(Lists!H:H,MATCH(Validation!E4535,Lists!G:G,0))</f>
        <v>Amount may not be negative. Enter an amount greater than or equal to zero.</v>
      </c>
      <c r="H4535" s="25" t="str">
        <f t="shared" ca="1" si="462"/>
        <v/>
      </c>
      <c r="I4535" s="25" t="str">
        <f t="shared" ca="1" si="463"/>
        <v/>
      </c>
      <c r="J4535" s="26" t="str">
        <f t="shared" ca="1" si="464"/>
        <v/>
      </c>
    </row>
    <row r="4536" spans="1:10" x14ac:dyDescent="0.25">
      <c r="A4536" t="s">
        <v>660</v>
      </c>
      <c r="B4536" t="str">
        <f>ADDRESS(ROW('PAYG 1'!$B$31),COLUMN('PAYG 1'!$B$31),4)</f>
        <v>B31</v>
      </c>
      <c r="C4536" t="str">
        <f>ADDRESS(ROW('PAYG 1'!$D$31),COLUMN('PAYG 1'!$D$31),4)</f>
        <v>D31</v>
      </c>
      <c r="D4536" t="b" cm="1">
        <f t="array" aca="1" ref="D4536" ca="1">IF(INDIRECT("'"&amp;A4536&amp;"'!"&amp;B4536)="",FALSE,IF(INDIRECT("'"&amp;A4536&amp;"'!"&amp;B4536)&lt;0,TRUE,FALSE))</f>
        <v>0</v>
      </c>
      <c r="E4536" t="s">
        <v>434</v>
      </c>
      <c r="F4536" t="str">
        <f>INDEX(Lists!I:I,MATCH(Validation!E4536,Lists!G:G,0))</f>
        <v>Error</v>
      </c>
      <c r="G4536" t="str">
        <f>INDEX(Lists!H:H,MATCH(Validation!E4536,Lists!G:G,0))</f>
        <v>Amount may not be negative. Enter an amount greater than or equal to zero.</v>
      </c>
      <c r="H4536" s="25" t="str">
        <f t="shared" ca="1" si="462"/>
        <v/>
      </c>
      <c r="I4536" s="25" t="str">
        <f t="shared" ca="1" si="463"/>
        <v/>
      </c>
      <c r="J4536" s="26" t="str">
        <f t="shared" ca="1" si="464"/>
        <v/>
      </c>
    </row>
    <row r="4537" spans="1:10" x14ac:dyDescent="0.25">
      <c r="A4537" t="s">
        <v>661</v>
      </c>
      <c r="B4537" t="str">
        <f>ADDRESS(ROW('PAYG 1'!$B$31),COLUMN('PAYG 1'!$B$31),4)</f>
        <v>B31</v>
      </c>
      <c r="C4537" t="str">
        <f>ADDRESS(ROW('PAYG 1'!$D$31),COLUMN('PAYG 1'!$D$31),4)</f>
        <v>D31</v>
      </c>
      <c r="D4537" t="b" cm="1">
        <f t="array" aca="1" ref="D4537" ca="1">IF(INDIRECT("'"&amp;A4537&amp;"'!"&amp;B4537)="",FALSE,IF(INDIRECT("'"&amp;A4537&amp;"'!"&amp;B4537)&lt;0,TRUE,FALSE))</f>
        <v>0</v>
      </c>
      <c r="E4537" t="s">
        <v>434</v>
      </c>
      <c r="F4537" t="str">
        <f>INDEX(Lists!I:I,MATCH(Validation!E4537,Lists!G:G,0))</f>
        <v>Error</v>
      </c>
      <c r="G4537" t="str">
        <f>INDEX(Lists!H:H,MATCH(Validation!E4537,Lists!G:G,0))</f>
        <v>Amount may not be negative. Enter an amount greater than or equal to zero.</v>
      </c>
      <c r="H4537" s="25" t="str">
        <f t="shared" ca="1" si="462"/>
        <v/>
      </c>
      <c r="I4537" s="25" t="str">
        <f t="shared" ca="1" si="463"/>
        <v/>
      </c>
      <c r="J4537" s="26" t="str">
        <f t="shared" ca="1" si="464"/>
        <v/>
      </c>
    </row>
    <row r="4538" spans="1:10" x14ac:dyDescent="0.25">
      <c r="A4538" t="s">
        <v>662</v>
      </c>
      <c r="B4538" t="str">
        <f>ADDRESS(ROW('PAYG 1'!$B$31),COLUMN('PAYG 1'!$B$31),4)</f>
        <v>B31</v>
      </c>
      <c r="C4538" t="str">
        <f>ADDRESS(ROW('PAYG 1'!$D$31),COLUMN('PAYG 1'!$D$31),4)</f>
        <v>D31</v>
      </c>
      <c r="D4538" t="b" cm="1">
        <f t="array" aca="1" ref="D4538" ca="1">IF(INDIRECT("'"&amp;A4538&amp;"'!"&amp;B4538)="",FALSE,IF(INDIRECT("'"&amp;A4538&amp;"'!"&amp;B4538)&lt;0,TRUE,FALSE))</f>
        <v>0</v>
      </c>
      <c r="E4538" t="s">
        <v>434</v>
      </c>
      <c r="F4538" t="str">
        <f>INDEX(Lists!I:I,MATCH(Validation!E4538,Lists!G:G,0))</f>
        <v>Error</v>
      </c>
      <c r="G4538" t="str">
        <f>INDEX(Lists!H:H,MATCH(Validation!E4538,Lists!G:G,0))</f>
        <v>Amount may not be negative. Enter an amount greater than or equal to zero.</v>
      </c>
      <c r="H4538" s="25" t="str">
        <f t="shared" ca="1" si="462"/>
        <v/>
      </c>
      <c r="I4538" s="25" t="str">
        <f t="shared" ca="1" si="463"/>
        <v/>
      </c>
      <c r="J4538" s="26" t="str">
        <f t="shared" ca="1" si="464"/>
        <v/>
      </c>
    </row>
    <row r="4539" spans="1:10" x14ac:dyDescent="0.25">
      <c r="A4539" t="s">
        <v>663</v>
      </c>
      <c r="B4539" t="str">
        <f>ADDRESS(ROW('PAYG 1'!$B$31),COLUMN('PAYG 1'!$B$31),4)</f>
        <v>B31</v>
      </c>
      <c r="C4539" t="str">
        <f>ADDRESS(ROW('PAYG 1'!$D$31),COLUMN('PAYG 1'!$D$31),4)</f>
        <v>D31</v>
      </c>
      <c r="D4539" t="b" cm="1">
        <f t="array" aca="1" ref="D4539" ca="1">IF(INDIRECT("'"&amp;A4539&amp;"'!"&amp;B4539)="",FALSE,IF(INDIRECT("'"&amp;A4539&amp;"'!"&amp;B4539)&lt;0,TRUE,FALSE))</f>
        <v>0</v>
      </c>
      <c r="E4539" t="s">
        <v>434</v>
      </c>
      <c r="F4539" t="str">
        <f>INDEX(Lists!I:I,MATCH(Validation!E4539,Lists!G:G,0))</f>
        <v>Error</v>
      </c>
      <c r="G4539" t="str">
        <f>INDEX(Lists!H:H,MATCH(Validation!E4539,Lists!G:G,0))</f>
        <v>Amount may not be negative. Enter an amount greater than or equal to zero.</v>
      </c>
      <c r="H4539" s="25" t="str">
        <f t="shared" ca="1" si="462"/>
        <v/>
      </c>
      <c r="I4539" s="25" t="str">
        <f t="shared" ca="1" si="463"/>
        <v/>
      </c>
      <c r="J4539" s="26" t="str">
        <f t="shared" ca="1" si="464"/>
        <v/>
      </c>
    </row>
    <row r="4540" spans="1:10" x14ac:dyDescent="0.25">
      <c r="A4540" t="s">
        <v>664</v>
      </c>
      <c r="B4540" t="str">
        <f>ADDRESS(ROW('PAYG 1'!$B$31),COLUMN('PAYG 1'!$B$31),4)</f>
        <v>B31</v>
      </c>
      <c r="C4540" t="str">
        <f>ADDRESS(ROW('PAYG 1'!$D$31),COLUMN('PAYG 1'!$D$31),4)</f>
        <v>D31</v>
      </c>
      <c r="D4540" t="b" cm="1">
        <f t="array" aca="1" ref="D4540" ca="1">IF(INDIRECT("'"&amp;A4540&amp;"'!"&amp;B4540)="",FALSE,IF(INDIRECT("'"&amp;A4540&amp;"'!"&amp;B4540)&lt;0,TRUE,FALSE))</f>
        <v>0</v>
      </c>
      <c r="E4540" t="s">
        <v>434</v>
      </c>
      <c r="F4540" t="str">
        <f>INDEX(Lists!I:I,MATCH(Validation!E4540,Lists!G:G,0))</f>
        <v>Error</v>
      </c>
      <c r="G4540" t="str">
        <f>INDEX(Lists!H:H,MATCH(Validation!E4540,Lists!G:G,0))</f>
        <v>Amount may not be negative. Enter an amount greater than or equal to zero.</v>
      </c>
      <c r="H4540" s="25" t="str">
        <f t="shared" ca="1" si="462"/>
        <v/>
      </c>
      <c r="I4540" s="25" t="str">
        <f t="shared" ca="1" si="463"/>
        <v/>
      </c>
      <c r="J4540" s="26" t="str">
        <f t="shared" ca="1" si="464"/>
        <v/>
      </c>
    </row>
    <row r="4541" spans="1:10" x14ac:dyDescent="0.25">
      <c r="A4541" t="s">
        <v>203</v>
      </c>
      <c r="B4541" t="str">
        <f>ADDRESS(ROW('PAYG 1'!$B$31),COLUMN('PAYG 1'!$B$31),4)</f>
        <v>B31</v>
      </c>
      <c r="C4541" t="str">
        <f>ADDRESS(ROW('PAYG 1'!$D$31),COLUMN('PAYG 1'!$D$31),4)</f>
        <v>D31</v>
      </c>
      <c r="D4541" t="b" cm="1">
        <f t="array" aca="1" ref="D4541" ca="1">IF(INDIRECT("'"&amp;A4541&amp;"'!"&amp;B4541)="",FALSE,IF(TRUNC(INDIRECT("'"&amp;A4541&amp;"'!"&amp;B4541))=INDIRECT("'"&amp;A4541&amp;"'!"&amp;B4541),FALSE,TRUE))</f>
        <v>0</v>
      </c>
      <c r="E4541" t="s">
        <v>436</v>
      </c>
      <c r="F4541" t="str">
        <f>INDEX(Lists!I:I,MATCH(Validation!E4541,Lists!G:G,0))</f>
        <v>Error</v>
      </c>
      <c r="G4541" t="str">
        <f>INDEX(Lists!H:H,MATCH(Validation!E4541,Lists!G:G,0))</f>
        <v>Amount must be rounded to the nearest dollar.</v>
      </c>
      <c r="H4541" s="25" t="str">
        <f t="shared" ca="1" si="462"/>
        <v/>
      </c>
      <c r="I4541" s="25" t="str">
        <f t="shared" ca="1" si="463"/>
        <v/>
      </c>
      <c r="J4541" s="26" t="str">
        <f t="shared" ca="1" si="464"/>
        <v/>
      </c>
    </row>
    <row r="4542" spans="1:10" x14ac:dyDescent="0.25">
      <c r="A4542" t="s">
        <v>651</v>
      </c>
      <c r="B4542" t="str">
        <f>ADDRESS(ROW('PAYG 1'!$B$31),COLUMN('PAYG 1'!$B$31),4)</f>
        <v>B31</v>
      </c>
      <c r="C4542" t="str">
        <f>ADDRESS(ROW('PAYG 1'!$D$31),COLUMN('PAYG 1'!$D$31),4)</f>
        <v>D31</v>
      </c>
      <c r="D4542" t="b" cm="1">
        <f t="array" aca="1" ref="D4542" ca="1">IF(INDIRECT("'"&amp;A4542&amp;"'!"&amp;B4542)="",FALSE,IF(TRUNC(INDIRECT("'"&amp;A4542&amp;"'!"&amp;B4542))=INDIRECT("'"&amp;A4542&amp;"'!"&amp;B4542),FALSE,TRUE))</f>
        <v>0</v>
      </c>
      <c r="E4542" t="s">
        <v>436</v>
      </c>
      <c r="F4542" t="str">
        <f>INDEX(Lists!I:I,MATCH(Validation!E4542,Lists!G:G,0))</f>
        <v>Error</v>
      </c>
      <c r="G4542" t="str">
        <f>INDEX(Lists!H:H,MATCH(Validation!E4542,Lists!G:G,0))</f>
        <v>Amount must be rounded to the nearest dollar.</v>
      </c>
      <c r="H4542" s="25" t="str">
        <f t="shared" ca="1" si="462"/>
        <v/>
      </c>
      <c r="I4542" s="25" t="str">
        <f t="shared" ca="1" si="463"/>
        <v/>
      </c>
      <c r="J4542" s="26" t="str">
        <f t="shared" ca="1" si="464"/>
        <v/>
      </c>
    </row>
    <row r="4543" spans="1:10" x14ac:dyDescent="0.25">
      <c r="A4543" t="s">
        <v>652</v>
      </c>
      <c r="B4543" t="str">
        <f>ADDRESS(ROW('PAYG 1'!$B$31),COLUMN('PAYG 1'!$B$31),4)</f>
        <v>B31</v>
      </c>
      <c r="C4543" t="str">
        <f>ADDRESS(ROW('PAYG 1'!$D$31),COLUMN('PAYG 1'!$D$31),4)</f>
        <v>D31</v>
      </c>
      <c r="D4543" t="b" cm="1">
        <f t="array" aca="1" ref="D4543" ca="1">IF(INDIRECT("'"&amp;A4543&amp;"'!"&amp;B4543)="",FALSE,IF(TRUNC(INDIRECT("'"&amp;A4543&amp;"'!"&amp;B4543))=INDIRECT("'"&amp;A4543&amp;"'!"&amp;B4543),FALSE,TRUE))</f>
        <v>0</v>
      </c>
      <c r="E4543" t="s">
        <v>436</v>
      </c>
      <c r="F4543" t="str">
        <f>INDEX(Lists!I:I,MATCH(Validation!E4543,Lists!G:G,0))</f>
        <v>Error</v>
      </c>
      <c r="G4543" t="str">
        <f>INDEX(Lists!H:H,MATCH(Validation!E4543,Lists!G:G,0))</f>
        <v>Amount must be rounded to the nearest dollar.</v>
      </c>
      <c r="H4543" s="25" t="str">
        <f t="shared" ref="H4543:H4570" ca="1" si="465">IFERROR(IF(OR(NOT(D4543),F4543&lt;&gt;"Error"),"",A4543&amp;CELL("address",INDIRECT(B4543))),"")</f>
        <v/>
      </c>
      <c r="I4543" s="25" t="str">
        <f t="shared" ref="I4543:I4570" ca="1" si="466">IFERROR(IF(NOT(D4543),"",A4543&amp;CELL("address",INDIRECT(C4543))),"")</f>
        <v/>
      </c>
      <c r="J4543" s="26" t="str">
        <f t="shared" ref="J4543:J4570" ca="1" si="467">IFERROR(IF(NOT(D4543),"",A4543),"")</f>
        <v/>
      </c>
    </row>
    <row r="4544" spans="1:10" x14ac:dyDescent="0.25">
      <c r="A4544" t="s">
        <v>653</v>
      </c>
      <c r="B4544" t="str">
        <f>ADDRESS(ROW('PAYG 1'!$B$31),COLUMN('PAYG 1'!$B$31),4)</f>
        <v>B31</v>
      </c>
      <c r="C4544" t="str">
        <f>ADDRESS(ROW('PAYG 1'!$D$31),COLUMN('PAYG 1'!$D$31),4)</f>
        <v>D31</v>
      </c>
      <c r="D4544" t="b" cm="1">
        <f t="array" aca="1" ref="D4544" ca="1">IF(INDIRECT("'"&amp;A4544&amp;"'!"&amp;B4544)="",FALSE,IF(TRUNC(INDIRECT("'"&amp;A4544&amp;"'!"&amp;B4544))=INDIRECT("'"&amp;A4544&amp;"'!"&amp;B4544),FALSE,TRUE))</f>
        <v>0</v>
      </c>
      <c r="E4544" t="s">
        <v>436</v>
      </c>
      <c r="F4544" t="str">
        <f>INDEX(Lists!I:I,MATCH(Validation!E4544,Lists!G:G,0))</f>
        <v>Error</v>
      </c>
      <c r="G4544" t="str">
        <f>INDEX(Lists!H:H,MATCH(Validation!E4544,Lists!G:G,0))</f>
        <v>Amount must be rounded to the nearest dollar.</v>
      </c>
      <c r="H4544" s="25" t="str">
        <f t="shared" ca="1" si="465"/>
        <v/>
      </c>
      <c r="I4544" s="25" t="str">
        <f t="shared" ca="1" si="466"/>
        <v/>
      </c>
      <c r="J4544" s="26" t="str">
        <f t="shared" ca="1" si="467"/>
        <v/>
      </c>
    </row>
    <row r="4545" spans="1:10" x14ac:dyDescent="0.25">
      <c r="A4545" t="s">
        <v>654</v>
      </c>
      <c r="B4545" t="str">
        <f>ADDRESS(ROW('PAYG 1'!$B$31),COLUMN('PAYG 1'!$B$31),4)</f>
        <v>B31</v>
      </c>
      <c r="C4545" t="str">
        <f>ADDRESS(ROW('PAYG 1'!$D$31),COLUMN('PAYG 1'!$D$31),4)</f>
        <v>D31</v>
      </c>
      <c r="D4545" t="b" cm="1">
        <f t="array" aca="1" ref="D4545" ca="1">IF(INDIRECT("'"&amp;A4545&amp;"'!"&amp;B4545)="",FALSE,IF(TRUNC(INDIRECT("'"&amp;A4545&amp;"'!"&amp;B4545))=INDIRECT("'"&amp;A4545&amp;"'!"&amp;B4545),FALSE,TRUE))</f>
        <v>0</v>
      </c>
      <c r="E4545" t="s">
        <v>436</v>
      </c>
      <c r="F4545" t="str">
        <f>INDEX(Lists!I:I,MATCH(Validation!E4545,Lists!G:G,0))</f>
        <v>Error</v>
      </c>
      <c r="G4545" t="str">
        <f>INDEX(Lists!H:H,MATCH(Validation!E4545,Lists!G:G,0))</f>
        <v>Amount must be rounded to the nearest dollar.</v>
      </c>
      <c r="H4545" s="25" t="str">
        <f t="shared" ca="1" si="465"/>
        <v/>
      </c>
      <c r="I4545" s="25" t="str">
        <f t="shared" ca="1" si="466"/>
        <v/>
      </c>
      <c r="J4545" s="26" t="str">
        <f t="shared" ca="1" si="467"/>
        <v/>
      </c>
    </row>
    <row r="4546" spans="1:10" x14ac:dyDescent="0.25">
      <c r="A4546" t="s">
        <v>655</v>
      </c>
      <c r="B4546" t="str">
        <f>ADDRESS(ROW('PAYG 1'!$B$31),COLUMN('PAYG 1'!$B$31),4)</f>
        <v>B31</v>
      </c>
      <c r="C4546" t="str">
        <f>ADDRESS(ROW('PAYG 1'!$D$31),COLUMN('PAYG 1'!$D$31),4)</f>
        <v>D31</v>
      </c>
      <c r="D4546" t="b" cm="1">
        <f t="array" aca="1" ref="D4546" ca="1">IF(INDIRECT("'"&amp;A4546&amp;"'!"&amp;B4546)="",FALSE,IF(TRUNC(INDIRECT("'"&amp;A4546&amp;"'!"&amp;B4546))=INDIRECT("'"&amp;A4546&amp;"'!"&amp;B4546),FALSE,TRUE))</f>
        <v>0</v>
      </c>
      <c r="E4546" t="s">
        <v>436</v>
      </c>
      <c r="F4546" t="str">
        <f>INDEX(Lists!I:I,MATCH(Validation!E4546,Lists!G:G,0))</f>
        <v>Error</v>
      </c>
      <c r="G4546" t="str">
        <f>INDEX(Lists!H:H,MATCH(Validation!E4546,Lists!G:G,0))</f>
        <v>Amount must be rounded to the nearest dollar.</v>
      </c>
      <c r="H4546" s="25" t="str">
        <f t="shared" ca="1" si="465"/>
        <v/>
      </c>
      <c r="I4546" s="25" t="str">
        <f t="shared" ca="1" si="466"/>
        <v/>
      </c>
      <c r="J4546" s="26" t="str">
        <f t="shared" ca="1" si="467"/>
        <v/>
      </c>
    </row>
    <row r="4547" spans="1:10" x14ac:dyDescent="0.25">
      <c r="A4547" t="s">
        <v>656</v>
      </c>
      <c r="B4547" t="str">
        <f>ADDRESS(ROW('PAYG 1'!$B$31),COLUMN('PAYG 1'!$B$31),4)</f>
        <v>B31</v>
      </c>
      <c r="C4547" t="str">
        <f>ADDRESS(ROW('PAYG 1'!$D$31),COLUMN('PAYG 1'!$D$31),4)</f>
        <v>D31</v>
      </c>
      <c r="D4547" t="b" cm="1">
        <f t="array" aca="1" ref="D4547" ca="1">IF(INDIRECT("'"&amp;A4547&amp;"'!"&amp;B4547)="",FALSE,IF(TRUNC(INDIRECT("'"&amp;A4547&amp;"'!"&amp;B4547))=INDIRECT("'"&amp;A4547&amp;"'!"&amp;B4547),FALSE,TRUE))</f>
        <v>0</v>
      </c>
      <c r="E4547" t="s">
        <v>436</v>
      </c>
      <c r="F4547" t="str">
        <f>INDEX(Lists!I:I,MATCH(Validation!E4547,Lists!G:G,0))</f>
        <v>Error</v>
      </c>
      <c r="G4547" t="str">
        <f>INDEX(Lists!H:H,MATCH(Validation!E4547,Lists!G:G,0))</f>
        <v>Amount must be rounded to the nearest dollar.</v>
      </c>
      <c r="H4547" s="25" t="str">
        <f t="shared" ca="1" si="465"/>
        <v/>
      </c>
      <c r="I4547" s="25" t="str">
        <f t="shared" ca="1" si="466"/>
        <v/>
      </c>
      <c r="J4547" s="26" t="str">
        <f t="shared" ca="1" si="467"/>
        <v/>
      </c>
    </row>
    <row r="4548" spans="1:10" x14ac:dyDescent="0.25">
      <c r="A4548" t="s">
        <v>657</v>
      </c>
      <c r="B4548" t="str">
        <f>ADDRESS(ROW('PAYG 1'!$B$31),COLUMN('PAYG 1'!$B$31),4)</f>
        <v>B31</v>
      </c>
      <c r="C4548" t="str">
        <f>ADDRESS(ROW('PAYG 1'!$D$31),COLUMN('PAYG 1'!$D$31),4)</f>
        <v>D31</v>
      </c>
      <c r="D4548" t="b" cm="1">
        <f t="array" aca="1" ref="D4548" ca="1">IF(INDIRECT("'"&amp;A4548&amp;"'!"&amp;B4548)="",FALSE,IF(TRUNC(INDIRECT("'"&amp;A4548&amp;"'!"&amp;B4548))=INDIRECT("'"&amp;A4548&amp;"'!"&amp;B4548),FALSE,TRUE))</f>
        <v>0</v>
      </c>
      <c r="E4548" t="s">
        <v>436</v>
      </c>
      <c r="F4548" t="str">
        <f>INDEX(Lists!I:I,MATCH(Validation!E4548,Lists!G:G,0))</f>
        <v>Error</v>
      </c>
      <c r="G4548" t="str">
        <f>INDEX(Lists!H:H,MATCH(Validation!E4548,Lists!G:G,0))</f>
        <v>Amount must be rounded to the nearest dollar.</v>
      </c>
      <c r="H4548" s="25" t="str">
        <f t="shared" ca="1" si="465"/>
        <v/>
      </c>
      <c r="I4548" s="25" t="str">
        <f t="shared" ca="1" si="466"/>
        <v/>
      </c>
      <c r="J4548" s="26" t="str">
        <f t="shared" ca="1" si="467"/>
        <v/>
      </c>
    </row>
    <row r="4549" spans="1:10" x14ac:dyDescent="0.25">
      <c r="A4549" t="s">
        <v>658</v>
      </c>
      <c r="B4549" t="str">
        <f>ADDRESS(ROW('PAYG 1'!$B$31),COLUMN('PAYG 1'!$B$31),4)</f>
        <v>B31</v>
      </c>
      <c r="C4549" t="str">
        <f>ADDRESS(ROW('PAYG 1'!$D$31),COLUMN('PAYG 1'!$D$31),4)</f>
        <v>D31</v>
      </c>
      <c r="D4549" t="b" cm="1">
        <f t="array" aca="1" ref="D4549" ca="1">IF(INDIRECT("'"&amp;A4549&amp;"'!"&amp;B4549)="",FALSE,IF(TRUNC(INDIRECT("'"&amp;A4549&amp;"'!"&amp;B4549))=INDIRECT("'"&amp;A4549&amp;"'!"&amp;B4549),FALSE,TRUE))</f>
        <v>0</v>
      </c>
      <c r="E4549" t="s">
        <v>436</v>
      </c>
      <c r="F4549" t="str">
        <f>INDEX(Lists!I:I,MATCH(Validation!E4549,Lists!G:G,0))</f>
        <v>Error</v>
      </c>
      <c r="G4549" t="str">
        <f>INDEX(Lists!H:H,MATCH(Validation!E4549,Lists!G:G,0))</f>
        <v>Amount must be rounded to the nearest dollar.</v>
      </c>
      <c r="H4549" s="25" t="str">
        <f t="shared" ca="1" si="465"/>
        <v/>
      </c>
      <c r="I4549" s="25" t="str">
        <f t="shared" ca="1" si="466"/>
        <v/>
      </c>
      <c r="J4549" s="26" t="str">
        <f t="shared" ca="1" si="467"/>
        <v/>
      </c>
    </row>
    <row r="4550" spans="1:10" x14ac:dyDescent="0.25">
      <c r="A4550" t="s">
        <v>659</v>
      </c>
      <c r="B4550" t="str">
        <f>ADDRESS(ROW('PAYG 1'!$B$31),COLUMN('PAYG 1'!$B$31),4)</f>
        <v>B31</v>
      </c>
      <c r="C4550" t="str">
        <f>ADDRESS(ROW('PAYG 1'!$D$31),COLUMN('PAYG 1'!$D$31),4)</f>
        <v>D31</v>
      </c>
      <c r="D4550" t="b" cm="1">
        <f t="array" aca="1" ref="D4550" ca="1">IF(INDIRECT("'"&amp;A4550&amp;"'!"&amp;B4550)="",FALSE,IF(TRUNC(INDIRECT("'"&amp;A4550&amp;"'!"&amp;B4550))=INDIRECT("'"&amp;A4550&amp;"'!"&amp;B4550),FALSE,TRUE))</f>
        <v>0</v>
      </c>
      <c r="E4550" t="s">
        <v>436</v>
      </c>
      <c r="F4550" t="str">
        <f>INDEX(Lists!I:I,MATCH(Validation!E4550,Lists!G:G,0))</f>
        <v>Error</v>
      </c>
      <c r="G4550" t="str">
        <f>INDEX(Lists!H:H,MATCH(Validation!E4550,Lists!G:G,0))</f>
        <v>Amount must be rounded to the nearest dollar.</v>
      </c>
      <c r="H4550" s="25" t="str">
        <f t="shared" ca="1" si="465"/>
        <v/>
      </c>
      <c r="I4550" s="25" t="str">
        <f t="shared" ca="1" si="466"/>
        <v/>
      </c>
      <c r="J4550" s="26" t="str">
        <f t="shared" ca="1" si="467"/>
        <v/>
      </c>
    </row>
    <row r="4551" spans="1:10" x14ac:dyDescent="0.25">
      <c r="A4551" t="s">
        <v>660</v>
      </c>
      <c r="B4551" t="str">
        <f>ADDRESS(ROW('PAYG 1'!$B$31),COLUMN('PAYG 1'!$B$31),4)</f>
        <v>B31</v>
      </c>
      <c r="C4551" t="str">
        <f>ADDRESS(ROW('PAYG 1'!$D$31),COLUMN('PAYG 1'!$D$31),4)</f>
        <v>D31</v>
      </c>
      <c r="D4551" t="b" cm="1">
        <f t="array" aca="1" ref="D4551" ca="1">IF(INDIRECT("'"&amp;A4551&amp;"'!"&amp;B4551)="",FALSE,IF(TRUNC(INDIRECT("'"&amp;A4551&amp;"'!"&amp;B4551))=INDIRECT("'"&amp;A4551&amp;"'!"&amp;B4551),FALSE,TRUE))</f>
        <v>0</v>
      </c>
      <c r="E4551" t="s">
        <v>436</v>
      </c>
      <c r="F4551" t="str">
        <f>INDEX(Lists!I:I,MATCH(Validation!E4551,Lists!G:G,0))</f>
        <v>Error</v>
      </c>
      <c r="G4551" t="str">
        <f>INDEX(Lists!H:H,MATCH(Validation!E4551,Lists!G:G,0))</f>
        <v>Amount must be rounded to the nearest dollar.</v>
      </c>
      <c r="H4551" s="25" t="str">
        <f t="shared" ca="1" si="465"/>
        <v/>
      </c>
      <c r="I4551" s="25" t="str">
        <f t="shared" ca="1" si="466"/>
        <v/>
      </c>
      <c r="J4551" s="26" t="str">
        <f t="shared" ca="1" si="467"/>
        <v/>
      </c>
    </row>
    <row r="4552" spans="1:10" x14ac:dyDescent="0.25">
      <c r="A4552" t="s">
        <v>661</v>
      </c>
      <c r="B4552" t="str">
        <f>ADDRESS(ROW('PAYG 1'!$B$31),COLUMN('PAYG 1'!$B$31),4)</f>
        <v>B31</v>
      </c>
      <c r="C4552" t="str">
        <f>ADDRESS(ROW('PAYG 1'!$D$31),COLUMN('PAYG 1'!$D$31),4)</f>
        <v>D31</v>
      </c>
      <c r="D4552" t="b" cm="1">
        <f t="array" aca="1" ref="D4552" ca="1">IF(INDIRECT("'"&amp;A4552&amp;"'!"&amp;B4552)="",FALSE,IF(TRUNC(INDIRECT("'"&amp;A4552&amp;"'!"&amp;B4552))=INDIRECT("'"&amp;A4552&amp;"'!"&amp;B4552),FALSE,TRUE))</f>
        <v>0</v>
      </c>
      <c r="E4552" t="s">
        <v>436</v>
      </c>
      <c r="F4552" t="str">
        <f>INDEX(Lists!I:I,MATCH(Validation!E4552,Lists!G:G,0))</f>
        <v>Error</v>
      </c>
      <c r="G4552" t="str">
        <f>INDEX(Lists!H:H,MATCH(Validation!E4552,Lists!G:G,0))</f>
        <v>Amount must be rounded to the nearest dollar.</v>
      </c>
      <c r="H4552" s="25" t="str">
        <f t="shared" ca="1" si="465"/>
        <v/>
      </c>
      <c r="I4552" s="25" t="str">
        <f t="shared" ca="1" si="466"/>
        <v/>
      </c>
      <c r="J4552" s="26" t="str">
        <f t="shared" ca="1" si="467"/>
        <v/>
      </c>
    </row>
    <row r="4553" spans="1:10" x14ac:dyDescent="0.25">
      <c r="A4553" t="s">
        <v>662</v>
      </c>
      <c r="B4553" t="str">
        <f>ADDRESS(ROW('PAYG 1'!$B$31),COLUMN('PAYG 1'!$B$31),4)</f>
        <v>B31</v>
      </c>
      <c r="C4553" t="str">
        <f>ADDRESS(ROW('PAYG 1'!$D$31),COLUMN('PAYG 1'!$D$31),4)</f>
        <v>D31</v>
      </c>
      <c r="D4553" t="b" cm="1">
        <f t="array" aca="1" ref="D4553" ca="1">IF(INDIRECT("'"&amp;A4553&amp;"'!"&amp;B4553)="",FALSE,IF(TRUNC(INDIRECT("'"&amp;A4553&amp;"'!"&amp;B4553))=INDIRECT("'"&amp;A4553&amp;"'!"&amp;B4553),FALSE,TRUE))</f>
        <v>0</v>
      </c>
      <c r="E4553" t="s">
        <v>436</v>
      </c>
      <c r="F4553" t="str">
        <f>INDEX(Lists!I:I,MATCH(Validation!E4553,Lists!G:G,0))</f>
        <v>Error</v>
      </c>
      <c r="G4553" t="str">
        <f>INDEX(Lists!H:H,MATCH(Validation!E4553,Lists!G:G,0))</f>
        <v>Amount must be rounded to the nearest dollar.</v>
      </c>
      <c r="H4553" s="25" t="str">
        <f t="shared" ca="1" si="465"/>
        <v/>
      </c>
      <c r="I4553" s="25" t="str">
        <f t="shared" ca="1" si="466"/>
        <v/>
      </c>
      <c r="J4553" s="26" t="str">
        <f t="shared" ca="1" si="467"/>
        <v/>
      </c>
    </row>
    <row r="4554" spans="1:10" x14ac:dyDescent="0.25">
      <c r="A4554" t="s">
        <v>663</v>
      </c>
      <c r="B4554" t="str">
        <f>ADDRESS(ROW('PAYG 1'!$B$31),COLUMN('PAYG 1'!$B$31),4)</f>
        <v>B31</v>
      </c>
      <c r="C4554" t="str">
        <f>ADDRESS(ROW('PAYG 1'!$D$31),COLUMN('PAYG 1'!$D$31),4)</f>
        <v>D31</v>
      </c>
      <c r="D4554" t="b" cm="1">
        <f t="array" aca="1" ref="D4554" ca="1">IF(INDIRECT("'"&amp;A4554&amp;"'!"&amp;B4554)="",FALSE,IF(TRUNC(INDIRECT("'"&amp;A4554&amp;"'!"&amp;B4554))=INDIRECT("'"&amp;A4554&amp;"'!"&amp;B4554),FALSE,TRUE))</f>
        <v>0</v>
      </c>
      <c r="E4554" t="s">
        <v>436</v>
      </c>
      <c r="F4554" t="str">
        <f>INDEX(Lists!I:I,MATCH(Validation!E4554,Lists!G:G,0))</f>
        <v>Error</v>
      </c>
      <c r="G4554" t="str">
        <f>INDEX(Lists!H:H,MATCH(Validation!E4554,Lists!G:G,0))</f>
        <v>Amount must be rounded to the nearest dollar.</v>
      </c>
      <c r="H4554" s="25" t="str">
        <f t="shared" ca="1" si="465"/>
        <v/>
      </c>
      <c r="I4554" s="25" t="str">
        <f t="shared" ca="1" si="466"/>
        <v/>
      </c>
      <c r="J4554" s="26" t="str">
        <f t="shared" ca="1" si="467"/>
        <v/>
      </c>
    </row>
    <row r="4555" spans="1:10" x14ac:dyDescent="0.25">
      <c r="A4555" t="s">
        <v>664</v>
      </c>
      <c r="B4555" t="str">
        <f>ADDRESS(ROW('PAYG 1'!$B$31),COLUMN('PAYG 1'!$B$31),4)</f>
        <v>B31</v>
      </c>
      <c r="C4555" t="str">
        <f>ADDRESS(ROW('PAYG 1'!$D$31),COLUMN('PAYG 1'!$D$31),4)</f>
        <v>D31</v>
      </c>
      <c r="D4555" t="b" cm="1">
        <f t="array" aca="1" ref="D4555" ca="1">IF(INDIRECT("'"&amp;A4555&amp;"'!"&amp;B4555)="",FALSE,IF(TRUNC(INDIRECT("'"&amp;A4555&amp;"'!"&amp;B4555))=INDIRECT("'"&amp;A4555&amp;"'!"&amp;B4555),FALSE,TRUE))</f>
        <v>0</v>
      </c>
      <c r="E4555" t="s">
        <v>436</v>
      </c>
      <c r="F4555" t="str">
        <f>INDEX(Lists!I:I,MATCH(Validation!E4555,Lists!G:G,0))</f>
        <v>Error</v>
      </c>
      <c r="G4555" t="str">
        <f>INDEX(Lists!H:H,MATCH(Validation!E4555,Lists!G:G,0))</f>
        <v>Amount must be rounded to the nearest dollar.</v>
      </c>
      <c r="H4555" s="25" t="str">
        <f t="shared" ca="1" si="465"/>
        <v/>
      </c>
      <c r="I4555" s="25" t="str">
        <f t="shared" ca="1" si="466"/>
        <v/>
      </c>
      <c r="J4555" s="26" t="str">
        <f t="shared" ca="1" si="467"/>
        <v/>
      </c>
    </row>
    <row r="4556" spans="1:10" x14ac:dyDescent="0.25">
      <c r="A4556" t="s">
        <v>203</v>
      </c>
      <c r="B4556" t="str">
        <f>ADDRESS(ROW('PAYG 1'!$B$31),COLUMN('PAYG 1'!$B$31),4)</f>
        <v>B31</v>
      </c>
      <c r="C4556" t="str">
        <f>ADDRESS(ROW('PAYG 1'!$D$31),COLUMN('PAYG 1'!$D$31),4)</f>
        <v>D31</v>
      </c>
      <c r="D4556" t="b" cm="1">
        <f t="array" aca="1" ref="D4556" ca="1">IF(INDIRECT("'"&amp;A4556&amp;"'!"&amp;B4556)="",FALSE,IF(INDIRECT("'"&amp;A4556&amp;"'!"&amp;B4556)&gt;'PAYG 1'!B$27,TRUE,FALSE))</f>
        <v>0</v>
      </c>
      <c r="E4556" t="s">
        <v>628</v>
      </c>
      <c r="F4556" t="str">
        <f>INDEX(Lists!I:I,MATCH(Validation!E4556,Lists!G:G,0))</f>
        <v>Error</v>
      </c>
      <c r="G4556" t="str">
        <f>INDEX(Lists!H:H,MATCH(Validation!E4556,Lists!G:G,0))</f>
        <v>Principal due cannot exceed principal outstanding.</v>
      </c>
      <c r="H4556" s="25" t="str">
        <f t="shared" ca="1" si="465"/>
        <v/>
      </c>
      <c r="I4556" s="25" t="str">
        <f t="shared" ca="1" si="466"/>
        <v/>
      </c>
      <c r="J4556" s="26" t="str">
        <f t="shared" ca="1" si="467"/>
        <v/>
      </c>
    </row>
    <row r="4557" spans="1:10" x14ac:dyDescent="0.25">
      <c r="A4557" t="s">
        <v>651</v>
      </c>
      <c r="B4557" t="str">
        <f>ADDRESS(ROW('PAYG 1'!$B$31),COLUMN('PAYG 1'!$B$31),4)</f>
        <v>B31</v>
      </c>
      <c r="C4557" t="str">
        <f>ADDRESS(ROW('PAYG 1'!$D$31),COLUMN('PAYG 1'!$D$31),4)</f>
        <v>D31</v>
      </c>
      <c r="D4557" t="b" cm="1">
        <f t="array" aca="1" ref="D4557" ca="1">IF(INDIRECT("'"&amp;A4557&amp;"'!"&amp;B4557)="",FALSE,IF(INDIRECT("'"&amp;A4557&amp;"'!"&amp;B4557)&gt;'PAYG 2'!B$27,TRUE,FALSE))</f>
        <v>0</v>
      </c>
      <c r="E4557" t="s">
        <v>628</v>
      </c>
      <c r="F4557" t="str">
        <f>INDEX(Lists!I:I,MATCH(Validation!E4557,Lists!G:G,0))</f>
        <v>Error</v>
      </c>
      <c r="G4557" t="str">
        <f>INDEX(Lists!H:H,MATCH(Validation!E4557,Lists!G:G,0))</f>
        <v>Principal due cannot exceed principal outstanding.</v>
      </c>
      <c r="H4557" s="25" t="str">
        <f t="shared" ca="1" si="465"/>
        <v/>
      </c>
      <c r="I4557" s="25" t="str">
        <f t="shared" ca="1" si="466"/>
        <v/>
      </c>
      <c r="J4557" s="26" t="str">
        <f t="shared" ca="1" si="467"/>
        <v/>
      </c>
    </row>
    <row r="4558" spans="1:10" x14ac:dyDescent="0.25">
      <c r="A4558" t="s">
        <v>652</v>
      </c>
      <c r="B4558" t="str">
        <f>ADDRESS(ROW('PAYG 1'!$B$31),COLUMN('PAYG 1'!$B$31),4)</f>
        <v>B31</v>
      </c>
      <c r="C4558" t="str">
        <f>ADDRESS(ROW('PAYG 1'!$D$31),COLUMN('PAYG 1'!$D$31),4)</f>
        <v>D31</v>
      </c>
      <c r="D4558" t="b" cm="1">
        <f t="array" aca="1" ref="D4558" ca="1">IF(INDIRECT("'"&amp;A4558&amp;"'!"&amp;B4558)="",FALSE,IF(INDIRECT("'"&amp;A4558&amp;"'!"&amp;B4558)&gt;'PAYG 3'!B$27,TRUE,FALSE))</f>
        <v>0</v>
      </c>
      <c r="E4558" t="s">
        <v>628</v>
      </c>
      <c r="F4558" t="str">
        <f>INDEX(Lists!I:I,MATCH(Validation!E4558,Lists!G:G,0))</f>
        <v>Error</v>
      </c>
      <c r="G4558" t="str">
        <f>INDEX(Lists!H:H,MATCH(Validation!E4558,Lists!G:G,0))</f>
        <v>Principal due cannot exceed principal outstanding.</v>
      </c>
      <c r="H4558" s="25" t="str">
        <f t="shared" ca="1" si="465"/>
        <v/>
      </c>
      <c r="I4558" s="25" t="str">
        <f t="shared" ca="1" si="466"/>
        <v/>
      </c>
      <c r="J4558" s="26" t="str">
        <f t="shared" ca="1" si="467"/>
        <v/>
      </c>
    </row>
    <row r="4559" spans="1:10" x14ac:dyDescent="0.25">
      <c r="A4559" t="s">
        <v>653</v>
      </c>
      <c r="B4559" t="str">
        <f>ADDRESS(ROW('PAYG 1'!$B$31),COLUMN('PAYG 1'!$B$31),4)</f>
        <v>B31</v>
      </c>
      <c r="C4559" t="str">
        <f>ADDRESS(ROW('PAYG 1'!$D$31),COLUMN('PAYG 1'!$D$31),4)</f>
        <v>D31</v>
      </c>
      <c r="D4559" t="b" cm="1">
        <f t="array" aca="1" ref="D4559" ca="1">IF(INDIRECT("'"&amp;A4559&amp;"'!"&amp;B4559)="",FALSE,IF(INDIRECT("'"&amp;A4559&amp;"'!"&amp;B4559)&gt;'PAYG 4'!B$27,TRUE,FALSE))</f>
        <v>0</v>
      </c>
      <c r="E4559" t="s">
        <v>628</v>
      </c>
      <c r="F4559" t="str">
        <f>INDEX(Lists!I:I,MATCH(Validation!E4559,Lists!G:G,0))</f>
        <v>Error</v>
      </c>
      <c r="G4559" t="str">
        <f>INDEX(Lists!H:H,MATCH(Validation!E4559,Lists!G:G,0))</f>
        <v>Principal due cannot exceed principal outstanding.</v>
      </c>
      <c r="H4559" s="25" t="str">
        <f t="shared" ca="1" si="465"/>
        <v/>
      </c>
      <c r="I4559" s="25" t="str">
        <f t="shared" ca="1" si="466"/>
        <v/>
      </c>
      <c r="J4559" s="26" t="str">
        <f t="shared" ca="1" si="467"/>
        <v/>
      </c>
    </row>
    <row r="4560" spans="1:10" x14ac:dyDescent="0.25">
      <c r="A4560" t="s">
        <v>654</v>
      </c>
      <c r="B4560" t="str">
        <f>ADDRESS(ROW('PAYG 1'!$B$31),COLUMN('PAYG 1'!$B$31),4)</f>
        <v>B31</v>
      </c>
      <c r="C4560" t="str">
        <f>ADDRESS(ROW('PAYG 1'!$D$31),COLUMN('PAYG 1'!$D$31),4)</f>
        <v>D31</v>
      </c>
      <c r="D4560" t="b" cm="1">
        <f t="array" aca="1" ref="D4560" ca="1">IF(INDIRECT("'"&amp;A4560&amp;"'!"&amp;B4560)="",FALSE,IF(INDIRECT("'"&amp;A4560&amp;"'!"&amp;B4560)&gt;'PAYG 5'!B$27,TRUE,FALSE))</f>
        <v>0</v>
      </c>
      <c r="E4560" t="s">
        <v>628</v>
      </c>
      <c r="F4560" t="str">
        <f>INDEX(Lists!I:I,MATCH(Validation!E4560,Lists!G:G,0))</f>
        <v>Error</v>
      </c>
      <c r="G4560" t="str">
        <f>INDEX(Lists!H:H,MATCH(Validation!E4560,Lists!G:G,0))</f>
        <v>Principal due cannot exceed principal outstanding.</v>
      </c>
      <c r="H4560" s="25" t="str">
        <f t="shared" ca="1" si="465"/>
        <v/>
      </c>
      <c r="I4560" s="25" t="str">
        <f t="shared" ca="1" si="466"/>
        <v/>
      </c>
      <c r="J4560" s="26" t="str">
        <f t="shared" ca="1" si="467"/>
        <v/>
      </c>
    </row>
    <row r="4561" spans="1:10" x14ac:dyDescent="0.25">
      <c r="A4561" t="s">
        <v>655</v>
      </c>
      <c r="B4561" t="str">
        <f>ADDRESS(ROW('PAYG 1'!$B$31),COLUMN('PAYG 1'!$B$31),4)</f>
        <v>B31</v>
      </c>
      <c r="C4561" t="str">
        <f>ADDRESS(ROW('PAYG 1'!$D$31),COLUMN('PAYG 1'!$D$31),4)</f>
        <v>D31</v>
      </c>
      <c r="D4561" t="b" cm="1">
        <f t="array" aca="1" ref="D4561" ca="1">IF(INDIRECT("'"&amp;A4561&amp;"'!"&amp;B4561)="",FALSE,IF(INDIRECT("'"&amp;A4561&amp;"'!"&amp;B4561)&gt;'PAYG 6'!B$27,TRUE,FALSE))</f>
        <v>0</v>
      </c>
      <c r="E4561" t="s">
        <v>628</v>
      </c>
      <c r="F4561" t="str">
        <f>INDEX(Lists!I:I,MATCH(Validation!E4561,Lists!G:G,0))</f>
        <v>Error</v>
      </c>
      <c r="G4561" t="str">
        <f>INDEX(Lists!H:H,MATCH(Validation!E4561,Lists!G:G,0))</f>
        <v>Principal due cannot exceed principal outstanding.</v>
      </c>
      <c r="H4561" s="25" t="str">
        <f t="shared" ca="1" si="465"/>
        <v/>
      </c>
      <c r="I4561" s="25" t="str">
        <f t="shared" ca="1" si="466"/>
        <v/>
      </c>
      <c r="J4561" s="26" t="str">
        <f t="shared" ca="1" si="467"/>
        <v/>
      </c>
    </row>
    <row r="4562" spans="1:10" x14ac:dyDescent="0.25">
      <c r="A4562" t="s">
        <v>656</v>
      </c>
      <c r="B4562" t="str">
        <f>ADDRESS(ROW('PAYG 1'!$B$31),COLUMN('PAYG 1'!$B$31),4)</f>
        <v>B31</v>
      </c>
      <c r="C4562" t="str">
        <f>ADDRESS(ROW('PAYG 1'!$D$31),COLUMN('PAYG 1'!$D$31),4)</f>
        <v>D31</v>
      </c>
      <c r="D4562" t="b" cm="1">
        <f t="array" aca="1" ref="D4562" ca="1">IF(INDIRECT("'"&amp;A4562&amp;"'!"&amp;B4562)="",FALSE,IF(INDIRECT("'"&amp;A4562&amp;"'!"&amp;B4562)&gt;'PAYG 7'!B$27,TRUE,FALSE))</f>
        <v>0</v>
      </c>
      <c r="E4562" t="s">
        <v>628</v>
      </c>
      <c r="F4562" t="str">
        <f>INDEX(Lists!I:I,MATCH(Validation!E4562,Lists!G:G,0))</f>
        <v>Error</v>
      </c>
      <c r="G4562" t="str">
        <f>INDEX(Lists!H:H,MATCH(Validation!E4562,Lists!G:G,0))</f>
        <v>Principal due cannot exceed principal outstanding.</v>
      </c>
      <c r="H4562" s="25" t="str">
        <f t="shared" ca="1" si="465"/>
        <v/>
      </c>
      <c r="I4562" s="25" t="str">
        <f t="shared" ca="1" si="466"/>
        <v/>
      </c>
      <c r="J4562" s="26" t="str">
        <f t="shared" ca="1" si="467"/>
        <v/>
      </c>
    </row>
    <row r="4563" spans="1:10" x14ac:dyDescent="0.25">
      <c r="A4563" t="s">
        <v>657</v>
      </c>
      <c r="B4563" t="str">
        <f>ADDRESS(ROW('PAYG 1'!$B$31),COLUMN('PAYG 1'!$B$31),4)</f>
        <v>B31</v>
      </c>
      <c r="C4563" t="str">
        <f>ADDRESS(ROW('PAYG 1'!$D$31),COLUMN('PAYG 1'!$D$31),4)</f>
        <v>D31</v>
      </c>
      <c r="D4563" t="b" cm="1">
        <f t="array" aca="1" ref="D4563" ca="1">IF(INDIRECT("'"&amp;A4563&amp;"'!"&amp;B4563)="",FALSE,IF(INDIRECT("'"&amp;A4563&amp;"'!"&amp;B4563)&gt;'PAYG 8'!B$27,TRUE,FALSE))</f>
        <v>0</v>
      </c>
      <c r="E4563" t="s">
        <v>628</v>
      </c>
      <c r="F4563" t="str">
        <f>INDEX(Lists!I:I,MATCH(Validation!E4563,Lists!G:G,0))</f>
        <v>Error</v>
      </c>
      <c r="G4563" t="str">
        <f>INDEX(Lists!H:H,MATCH(Validation!E4563,Lists!G:G,0))</f>
        <v>Principal due cannot exceed principal outstanding.</v>
      </c>
      <c r="H4563" s="25" t="str">
        <f t="shared" ca="1" si="465"/>
        <v/>
      </c>
      <c r="I4563" s="25" t="str">
        <f t="shared" ca="1" si="466"/>
        <v/>
      </c>
      <c r="J4563" s="26" t="str">
        <f t="shared" ca="1" si="467"/>
        <v/>
      </c>
    </row>
    <row r="4564" spans="1:10" x14ac:dyDescent="0.25">
      <c r="A4564" t="s">
        <v>658</v>
      </c>
      <c r="B4564" t="str">
        <f>ADDRESS(ROW('PAYG 1'!$B$31),COLUMN('PAYG 1'!$B$31),4)</f>
        <v>B31</v>
      </c>
      <c r="C4564" t="str">
        <f>ADDRESS(ROW('PAYG 1'!$D$31),COLUMN('PAYG 1'!$D$31),4)</f>
        <v>D31</v>
      </c>
      <c r="D4564" t="b" cm="1">
        <f t="array" aca="1" ref="D4564" ca="1">IF(INDIRECT("'"&amp;A4564&amp;"'!"&amp;B4564)="",FALSE,IF(INDIRECT("'"&amp;A4564&amp;"'!"&amp;B4564)&gt;'PAYG 9'!B$27,TRUE,FALSE))</f>
        <v>0</v>
      </c>
      <c r="E4564" t="s">
        <v>628</v>
      </c>
      <c r="F4564" t="str">
        <f>INDEX(Lists!I:I,MATCH(Validation!E4564,Lists!G:G,0))</f>
        <v>Error</v>
      </c>
      <c r="G4564" t="str">
        <f>INDEX(Lists!H:H,MATCH(Validation!E4564,Lists!G:G,0))</f>
        <v>Principal due cannot exceed principal outstanding.</v>
      </c>
      <c r="H4564" s="25" t="str">
        <f t="shared" ca="1" si="465"/>
        <v/>
      </c>
      <c r="I4564" s="25" t="str">
        <f t="shared" ca="1" si="466"/>
        <v/>
      </c>
      <c r="J4564" s="26" t="str">
        <f t="shared" ca="1" si="467"/>
        <v/>
      </c>
    </row>
    <row r="4565" spans="1:10" x14ac:dyDescent="0.25">
      <c r="A4565" t="s">
        <v>659</v>
      </c>
      <c r="B4565" t="str">
        <f>ADDRESS(ROW('PAYG 1'!$B$31),COLUMN('PAYG 1'!$B$31),4)</f>
        <v>B31</v>
      </c>
      <c r="C4565" t="str">
        <f>ADDRESS(ROW('PAYG 1'!$D$31),COLUMN('PAYG 1'!$D$31),4)</f>
        <v>D31</v>
      </c>
      <c r="D4565" t="b" cm="1">
        <f t="array" aca="1" ref="D4565" ca="1">IF(INDIRECT("'"&amp;A4565&amp;"'!"&amp;B4565)="",FALSE,IF(INDIRECT("'"&amp;A4565&amp;"'!"&amp;B4565)&gt;'PAYG 10'!B$27,TRUE,FALSE))</f>
        <v>0</v>
      </c>
      <c r="E4565" t="s">
        <v>628</v>
      </c>
      <c r="F4565" t="str">
        <f>INDEX(Lists!I:I,MATCH(Validation!E4565,Lists!G:G,0))</f>
        <v>Error</v>
      </c>
      <c r="G4565" t="str">
        <f>INDEX(Lists!H:H,MATCH(Validation!E4565,Lists!G:G,0))</f>
        <v>Principal due cannot exceed principal outstanding.</v>
      </c>
      <c r="H4565" s="25" t="str">
        <f t="shared" ca="1" si="465"/>
        <v/>
      </c>
      <c r="I4565" s="25" t="str">
        <f t="shared" ca="1" si="466"/>
        <v/>
      </c>
      <c r="J4565" s="26" t="str">
        <f t="shared" ca="1" si="467"/>
        <v/>
      </c>
    </row>
    <row r="4566" spans="1:10" x14ac:dyDescent="0.25">
      <c r="A4566" t="s">
        <v>660</v>
      </c>
      <c r="B4566" t="str">
        <f>ADDRESS(ROW('PAYG 1'!$B$31),COLUMN('PAYG 1'!$B$31),4)</f>
        <v>B31</v>
      </c>
      <c r="C4566" t="str">
        <f>ADDRESS(ROW('PAYG 1'!$D$31),COLUMN('PAYG 1'!$D$31),4)</f>
        <v>D31</v>
      </c>
      <c r="D4566" t="b" cm="1">
        <f t="array" aca="1" ref="D4566" ca="1">IF(INDIRECT("'"&amp;A4566&amp;"'!"&amp;B4566)="",FALSE,IF(INDIRECT("'"&amp;A4566&amp;"'!"&amp;B4566)&gt;'PAYG 11'!B$27,TRUE,FALSE))</f>
        <v>0</v>
      </c>
      <c r="E4566" t="s">
        <v>628</v>
      </c>
      <c r="F4566" t="str">
        <f>INDEX(Lists!I:I,MATCH(Validation!E4566,Lists!G:G,0))</f>
        <v>Error</v>
      </c>
      <c r="G4566" t="str">
        <f>INDEX(Lists!H:H,MATCH(Validation!E4566,Lists!G:G,0))</f>
        <v>Principal due cannot exceed principal outstanding.</v>
      </c>
      <c r="H4566" s="25" t="str">
        <f t="shared" ca="1" si="465"/>
        <v/>
      </c>
      <c r="I4566" s="25" t="str">
        <f t="shared" ca="1" si="466"/>
        <v/>
      </c>
      <c r="J4566" s="26" t="str">
        <f t="shared" ca="1" si="467"/>
        <v/>
      </c>
    </row>
    <row r="4567" spans="1:10" x14ac:dyDescent="0.25">
      <c r="A4567" t="s">
        <v>661</v>
      </c>
      <c r="B4567" t="str">
        <f>ADDRESS(ROW('PAYG 1'!$B$31),COLUMN('PAYG 1'!$B$31),4)</f>
        <v>B31</v>
      </c>
      <c r="C4567" t="str">
        <f>ADDRESS(ROW('PAYG 1'!$D$31),COLUMN('PAYG 1'!$D$31),4)</f>
        <v>D31</v>
      </c>
      <c r="D4567" t="b" cm="1">
        <f t="array" aca="1" ref="D4567" ca="1">IF(INDIRECT("'"&amp;A4567&amp;"'!"&amp;B4567)="",FALSE,IF(INDIRECT("'"&amp;A4567&amp;"'!"&amp;B4567)&gt;'PAYG 12'!B$27,TRUE,FALSE))</f>
        <v>0</v>
      </c>
      <c r="E4567" t="s">
        <v>628</v>
      </c>
      <c r="F4567" t="str">
        <f>INDEX(Lists!I:I,MATCH(Validation!E4567,Lists!G:G,0))</f>
        <v>Error</v>
      </c>
      <c r="G4567" t="str">
        <f>INDEX(Lists!H:H,MATCH(Validation!E4567,Lists!G:G,0))</f>
        <v>Principal due cannot exceed principal outstanding.</v>
      </c>
      <c r="H4567" s="25" t="str">
        <f t="shared" ca="1" si="465"/>
        <v/>
      </c>
      <c r="I4567" s="25" t="str">
        <f t="shared" ca="1" si="466"/>
        <v/>
      </c>
      <c r="J4567" s="26" t="str">
        <f t="shared" ca="1" si="467"/>
        <v/>
      </c>
    </row>
    <row r="4568" spans="1:10" x14ac:dyDescent="0.25">
      <c r="A4568" t="s">
        <v>662</v>
      </c>
      <c r="B4568" t="str">
        <f>ADDRESS(ROW('PAYG 1'!$B$31),COLUMN('PAYG 1'!$B$31),4)</f>
        <v>B31</v>
      </c>
      <c r="C4568" t="str">
        <f>ADDRESS(ROW('PAYG 1'!$D$31),COLUMN('PAYG 1'!$D$31),4)</f>
        <v>D31</v>
      </c>
      <c r="D4568" t="b" cm="1">
        <f t="array" aca="1" ref="D4568" ca="1">IF(INDIRECT("'"&amp;A4568&amp;"'!"&amp;B4568)="",FALSE,IF(INDIRECT("'"&amp;A4568&amp;"'!"&amp;B4568)&gt;'PAYG 13'!B$27,TRUE,FALSE))</f>
        <v>0</v>
      </c>
      <c r="E4568" t="s">
        <v>628</v>
      </c>
      <c r="F4568" t="str">
        <f>INDEX(Lists!I:I,MATCH(Validation!E4568,Lists!G:G,0))</f>
        <v>Error</v>
      </c>
      <c r="G4568" t="str">
        <f>INDEX(Lists!H:H,MATCH(Validation!E4568,Lists!G:G,0))</f>
        <v>Principal due cannot exceed principal outstanding.</v>
      </c>
      <c r="H4568" s="25" t="str">
        <f t="shared" ca="1" si="465"/>
        <v/>
      </c>
      <c r="I4568" s="25" t="str">
        <f t="shared" ca="1" si="466"/>
        <v/>
      </c>
      <c r="J4568" s="26" t="str">
        <f t="shared" ca="1" si="467"/>
        <v/>
      </c>
    </row>
    <row r="4569" spans="1:10" x14ac:dyDescent="0.25">
      <c r="A4569" t="s">
        <v>663</v>
      </c>
      <c r="B4569" t="str">
        <f>ADDRESS(ROW('PAYG 1'!$B$31),COLUMN('PAYG 1'!$B$31),4)</f>
        <v>B31</v>
      </c>
      <c r="C4569" t="str">
        <f>ADDRESS(ROW('PAYG 1'!$D$31),COLUMN('PAYG 1'!$D$31),4)</f>
        <v>D31</v>
      </c>
      <c r="D4569" t="b" cm="1">
        <f t="array" aca="1" ref="D4569" ca="1">IF(INDIRECT("'"&amp;A4569&amp;"'!"&amp;B4569)="",FALSE,IF(INDIRECT("'"&amp;A4569&amp;"'!"&amp;B4569)&gt;'PAYG 14'!B$27,TRUE,FALSE))</f>
        <v>0</v>
      </c>
      <c r="E4569" t="s">
        <v>628</v>
      </c>
      <c r="F4569" t="str">
        <f>INDEX(Lists!I:I,MATCH(Validation!E4569,Lists!G:G,0))</f>
        <v>Error</v>
      </c>
      <c r="G4569" t="str">
        <f>INDEX(Lists!H:H,MATCH(Validation!E4569,Lists!G:G,0))</f>
        <v>Principal due cannot exceed principal outstanding.</v>
      </c>
      <c r="H4569" s="25" t="str">
        <f t="shared" ca="1" si="465"/>
        <v/>
      </c>
      <c r="I4569" s="25" t="str">
        <f t="shared" ca="1" si="466"/>
        <v/>
      </c>
      <c r="J4569" s="26" t="str">
        <f t="shared" ca="1" si="467"/>
        <v/>
      </c>
    </row>
    <row r="4570" spans="1:10" x14ac:dyDescent="0.25">
      <c r="A4570" t="s">
        <v>664</v>
      </c>
      <c r="B4570" t="str">
        <f>ADDRESS(ROW('PAYG 1'!$B$31),COLUMN('PAYG 1'!$B$31),4)</f>
        <v>B31</v>
      </c>
      <c r="C4570" t="str">
        <f>ADDRESS(ROW('PAYG 1'!$D$31),COLUMN('PAYG 1'!$D$31),4)</f>
        <v>D31</v>
      </c>
      <c r="D4570" t="b" cm="1">
        <f t="array" aca="1" ref="D4570" ca="1">IF(INDIRECT("'"&amp;A4570&amp;"'!"&amp;B4570)="",FALSE,IF(INDIRECT("'"&amp;A4570&amp;"'!"&amp;B4570)&gt;'PAYG 15'!B$27,TRUE,FALSE))</f>
        <v>0</v>
      </c>
      <c r="E4570" t="s">
        <v>628</v>
      </c>
      <c r="F4570" t="str">
        <f>INDEX(Lists!I:I,MATCH(Validation!E4570,Lists!G:G,0))</f>
        <v>Error</v>
      </c>
      <c r="G4570" t="str">
        <f>INDEX(Lists!H:H,MATCH(Validation!E4570,Lists!G:G,0))</f>
        <v>Principal due cannot exceed principal outstanding.</v>
      </c>
      <c r="H4570" s="25" t="str">
        <f t="shared" ca="1" si="465"/>
        <v/>
      </c>
      <c r="I4570" s="25" t="str">
        <f t="shared" ca="1" si="466"/>
        <v/>
      </c>
      <c r="J4570" s="26" t="str">
        <f t="shared" ca="1" si="467"/>
        <v/>
      </c>
    </row>
    <row r="4571" spans="1:10" x14ac:dyDescent="0.25">
      <c r="A4571" t="s">
        <v>203</v>
      </c>
      <c r="B4571" t="str">
        <f>ADDRESS(ROW('PAYG 1'!$B$32),COLUMN('PAYG 1'!$B$32),4)</f>
        <v>B32</v>
      </c>
      <c r="C4571" t="str">
        <f>ADDRESS(ROW('PAYG 1'!$D$32),COLUMN('PAYG 1'!$D$32),4)</f>
        <v>D32</v>
      </c>
      <c r="D4571" t="b" cm="1">
        <f t="array" aca="1" ref="D4571" ca="1">IF(INDIRECT("'"&amp;A4571&amp;"'!"&amp;B4571)="",FALSE,IF(NOT(ISNUMBER(INDIRECT("'"&amp;A4571&amp;"'!"&amp;B4571))),TRUE,FALSE))</f>
        <v>0</v>
      </c>
      <c r="E4571" t="s">
        <v>435</v>
      </c>
      <c r="F4571" t="str">
        <f>INDEX(Lists!I:I,MATCH(Validation!E4571,Lists!G:G,0))</f>
        <v>Error</v>
      </c>
      <c r="G4571" t="str">
        <f>INDEX(Lists!H:H,MATCH(Validation!E4571,Lists!G:G,0))</f>
        <v>Enter an amount only. Do not enter text or spaces.</v>
      </c>
      <c r="H4571" s="25" t="str">
        <f t="shared" ref="H4571:H4634" ca="1" si="468">IFERROR(IF(OR(NOT(D4571),F4571&lt;&gt;"Error"),"",A4571&amp;CELL("address",INDIRECT(B4571))),"")</f>
        <v/>
      </c>
      <c r="I4571" s="25" t="str">
        <f t="shared" ref="I4571:I4634" ca="1" si="469">IFERROR(IF(NOT(D4571),"",A4571&amp;CELL("address",INDIRECT(C4571))),"")</f>
        <v/>
      </c>
      <c r="J4571" s="26" t="str">
        <f t="shared" ref="J4571:J4634" ca="1" si="470">IFERROR(IF(NOT(D4571),"",A4571),"")</f>
        <v/>
      </c>
    </row>
    <row r="4572" spans="1:10" x14ac:dyDescent="0.25">
      <c r="A4572" t="s">
        <v>651</v>
      </c>
      <c r="B4572" t="str">
        <f>ADDRESS(ROW('PAYG 1'!$B$32),COLUMN('PAYG 1'!$B$32),4)</f>
        <v>B32</v>
      </c>
      <c r="C4572" t="str">
        <f>ADDRESS(ROW('PAYG 1'!$D$32),COLUMN('PAYG 1'!$D$32),4)</f>
        <v>D32</v>
      </c>
      <c r="D4572" t="b" cm="1">
        <f t="array" aca="1" ref="D4572" ca="1">IF(INDIRECT("'"&amp;A4572&amp;"'!"&amp;B4572)="",FALSE,IF(NOT(ISNUMBER(INDIRECT("'"&amp;A4572&amp;"'!"&amp;B4572))),TRUE,FALSE))</f>
        <v>0</v>
      </c>
      <c r="E4572" t="s">
        <v>435</v>
      </c>
      <c r="F4572" t="str">
        <f>INDEX(Lists!I:I,MATCH(Validation!E4572,Lists!G:G,0))</f>
        <v>Error</v>
      </c>
      <c r="G4572" t="str">
        <f>INDEX(Lists!H:H,MATCH(Validation!E4572,Lists!G:G,0))</f>
        <v>Enter an amount only. Do not enter text or spaces.</v>
      </c>
      <c r="H4572" s="25" t="str">
        <f t="shared" ca="1" si="468"/>
        <v/>
      </c>
      <c r="I4572" s="25" t="str">
        <f t="shared" ca="1" si="469"/>
        <v/>
      </c>
      <c r="J4572" s="26" t="str">
        <f t="shared" ca="1" si="470"/>
        <v/>
      </c>
    </row>
    <row r="4573" spans="1:10" x14ac:dyDescent="0.25">
      <c r="A4573" t="s">
        <v>652</v>
      </c>
      <c r="B4573" t="str">
        <f>ADDRESS(ROW('PAYG 1'!$B$32),COLUMN('PAYG 1'!$B$32),4)</f>
        <v>B32</v>
      </c>
      <c r="C4573" t="str">
        <f>ADDRESS(ROW('PAYG 1'!$D$32),COLUMN('PAYG 1'!$D$32),4)</f>
        <v>D32</v>
      </c>
      <c r="D4573" t="b" cm="1">
        <f t="array" aca="1" ref="D4573" ca="1">IF(INDIRECT("'"&amp;A4573&amp;"'!"&amp;B4573)="",FALSE,IF(NOT(ISNUMBER(INDIRECT("'"&amp;A4573&amp;"'!"&amp;B4573))),TRUE,FALSE))</f>
        <v>0</v>
      </c>
      <c r="E4573" t="s">
        <v>435</v>
      </c>
      <c r="F4573" t="str">
        <f>INDEX(Lists!I:I,MATCH(Validation!E4573,Lists!G:G,0))</f>
        <v>Error</v>
      </c>
      <c r="G4573" t="str">
        <f>INDEX(Lists!H:H,MATCH(Validation!E4573,Lists!G:G,0))</f>
        <v>Enter an amount only. Do not enter text or spaces.</v>
      </c>
      <c r="H4573" s="25" t="str">
        <f t="shared" ca="1" si="468"/>
        <v/>
      </c>
      <c r="I4573" s="25" t="str">
        <f t="shared" ca="1" si="469"/>
        <v/>
      </c>
      <c r="J4573" s="26" t="str">
        <f t="shared" ca="1" si="470"/>
        <v/>
      </c>
    </row>
    <row r="4574" spans="1:10" x14ac:dyDescent="0.25">
      <c r="A4574" t="s">
        <v>653</v>
      </c>
      <c r="B4574" t="str">
        <f>ADDRESS(ROW('PAYG 1'!$B$32),COLUMN('PAYG 1'!$B$32),4)</f>
        <v>B32</v>
      </c>
      <c r="C4574" t="str">
        <f>ADDRESS(ROW('PAYG 1'!$D$32),COLUMN('PAYG 1'!$D$32),4)</f>
        <v>D32</v>
      </c>
      <c r="D4574" t="b" cm="1">
        <f t="array" aca="1" ref="D4574" ca="1">IF(INDIRECT("'"&amp;A4574&amp;"'!"&amp;B4574)="",FALSE,IF(NOT(ISNUMBER(INDIRECT("'"&amp;A4574&amp;"'!"&amp;B4574))),TRUE,FALSE))</f>
        <v>0</v>
      </c>
      <c r="E4574" t="s">
        <v>435</v>
      </c>
      <c r="F4574" t="str">
        <f>INDEX(Lists!I:I,MATCH(Validation!E4574,Lists!G:G,0))</f>
        <v>Error</v>
      </c>
      <c r="G4574" t="str">
        <f>INDEX(Lists!H:H,MATCH(Validation!E4574,Lists!G:G,0))</f>
        <v>Enter an amount only. Do not enter text or spaces.</v>
      </c>
      <c r="H4574" s="25" t="str">
        <f t="shared" ca="1" si="468"/>
        <v/>
      </c>
      <c r="I4574" s="25" t="str">
        <f t="shared" ca="1" si="469"/>
        <v/>
      </c>
      <c r="J4574" s="26" t="str">
        <f t="shared" ca="1" si="470"/>
        <v/>
      </c>
    </row>
    <row r="4575" spans="1:10" x14ac:dyDescent="0.25">
      <c r="A4575" t="s">
        <v>654</v>
      </c>
      <c r="B4575" t="str">
        <f>ADDRESS(ROW('PAYG 1'!$B$32),COLUMN('PAYG 1'!$B$32),4)</f>
        <v>B32</v>
      </c>
      <c r="C4575" t="str">
        <f>ADDRESS(ROW('PAYG 1'!$D$32),COLUMN('PAYG 1'!$D$32),4)</f>
        <v>D32</v>
      </c>
      <c r="D4575" t="b" cm="1">
        <f t="array" aca="1" ref="D4575" ca="1">IF(INDIRECT("'"&amp;A4575&amp;"'!"&amp;B4575)="",FALSE,IF(NOT(ISNUMBER(INDIRECT("'"&amp;A4575&amp;"'!"&amp;B4575))),TRUE,FALSE))</f>
        <v>0</v>
      </c>
      <c r="E4575" t="s">
        <v>435</v>
      </c>
      <c r="F4575" t="str">
        <f>INDEX(Lists!I:I,MATCH(Validation!E4575,Lists!G:G,0))</f>
        <v>Error</v>
      </c>
      <c r="G4575" t="str">
        <f>INDEX(Lists!H:H,MATCH(Validation!E4575,Lists!G:G,0))</f>
        <v>Enter an amount only. Do not enter text or spaces.</v>
      </c>
      <c r="H4575" s="25" t="str">
        <f t="shared" ca="1" si="468"/>
        <v/>
      </c>
      <c r="I4575" s="25" t="str">
        <f t="shared" ca="1" si="469"/>
        <v/>
      </c>
      <c r="J4575" s="26" t="str">
        <f t="shared" ca="1" si="470"/>
        <v/>
      </c>
    </row>
    <row r="4576" spans="1:10" x14ac:dyDescent="0.25">
      <c r="A4576" t="s">
        <v>655</v>
      </c>
      <c r="B4576" t="str">
        <f>ADDRESS(ROW('PAYG 1'!$B$32),COLUMN('PAYG 1'!$B$32),4)</f>
        <v>B32</v>
      </c>
      <c r="C4576" t="str">
        <f>ADDRESS(ROW('PAYG 1'!$D$32),COLUMN('PAYG 1'!$D$32),4)</f>
        <v>D32</v>
      </c>
      <c r="D4576" t="b" cm="1">
        <f t="array" aca="1" ref="D4576" ca="1">IF(INDIRECT("'"&amp;A4576&amp;"'!"&amp;B4576)="",FALSE,IF(NOT(ISNUMBER(INDIRECT("'"&amp;A4576&amp;"'!"&amp;B4576))),TRUE,FALSE))</f>
        <v>0</v>
      </c>
      <c r="E4576" t="s">
        <v>435</v>
      </c>
      <c r="F4576" t="str">
        <f>INDEX(Lists!I:I,MATCH(Validation!E4576,Lists!G:G,0))</f>
        <v>Error</v>
      </c>
      <c r="G4576" t="str">
        <f>INDEX(Lists!H:H,MATCH(Validation!E4576,Lists!G:G,0))</f>
        <v>Enter an amount only. Do not enter text or spaces.</v>
      </c>
      <c r="H4576" s="25" t="str">
        <f t="shared" ca="1" si="468"/>
        <v/>
      </c>
      <c r="I4576" s="25" t="str">
        <f t="shared" ca="1" si="469"/>
        <v/>
      </c>
      <c r="J4576" s="26" t="str">
        <f t="shared" ca="1" si="470"/>
        <v/>
      </c>
    </row>
    <row r="4577" spans="1:10" x14ac:dyDescent="0.25">
      <c r="A4577" t="s">
        <v>656</v>
      </c>
      <c r="B4577" t="str">
        <f>ADDRESS(ROW('PAYG 1'!$B$32),COLUMN('PAYG 1'!$B$32),4)</f>
        <v>B32</v>
      </c>
      <c r="C4577" t="str">
        <f>ADDRESS(ROW('PAYG 1'!$D$32),COLUMN('PAYG 1'!$D$32),4)</f>
        <v>D32</v>
      </c>
      <c r="D4577" t="b" cm="1">
        <f t="array" aca="1" ref="D4577" ca="1">IF(INDIRECT("'"&amp;A4577&amp;"'!"&amp;B4577)="",FALSE,IF(NOT(ISNUMBER(INDIRECT("'"&amp;A4577&amp;"'!"&amp;B4577))),TRUE,FALSE))</f>
        <v>0</v>
      </c>
      <c r="E4577" t="s">
        <v>435</v>
      </c>
      <c r="F4577" t="str">
        <f>INDEX(Lists!I:I,MATCH(Validation!E4577,Lists!G:G,0))</f>
        <v>Error</v>
      </c>
      <c r="G4577" t="str">
        <f>INDEX(Lists!H:H,MATCH(Validation!E4577,Lists!G:G,0))</f>
        <v>Enter an amount only. Do not enter text or spaces.</v>
      </c>
      <c r="H4577" s="25" t="str">
        <f t="shared" ca="1" si="468"/>
        <v/>
      </c>
      <c r="I4577" s="25" t="str">
        <f t="shared" ca="1" si="469"/>
        <v/>
      </c>
      <c r="J4577" s="26" t="str">
        <f t="shared" ca="1" si="470"/>
        <v/>
      </c>
    </row>
    <row r="4578" spans="1:10" x14ac:dyDescent="0.25">
      <c r="A4578" t="s">
        <v>657</v>
      </c>
      <c r="B4578" t="str">
        <f>ADDRESS(ROW('PAYG 1'!$B$32),COLUMN('PAYG 1'!$B$32),4)</f>
        <v>B32</v>
      </c>
      <c r="C4578" t="str">
        <f>ADDRESS(ROW('PAYG 1'!$D$32),COLUMN('PAYG 1'!$D$32),4)</f>
        <v>D32</v>
      </c>
      <c r="D4578" t="b" cm="1">
        <f t="array" aca="1" ref="D4578" ca="1">IF(INDIRECT("'"&amp;A4578&amp;"'!"&amp;B4578)="",FALSE,IF(NOT(ISNUMBER(INDIRECT("'"&amp;A4578&amp;"'!"&amp;B4578))),TRUE,FALSE))</f>
        <v>0</v>
      </c>
      <c r="E4578" t="s">
        <v>435</v>
      </c>
      <c r="F4578" t="str">
        <f>INDEX(Lists!I:I,MATCH(Validation!E4578,Lists!G:G,0))</f>
        <v>Error</v>
      </c>
      <c r="G4578" t="str">
        <f>INDEX(Lists!H:H,MATCH(Validation!E4578,Lists!G:G,0))</f>
        <v>Enter an amount only. Do not enter text or spaces.</v>
      </c>
      <c r="H4578" s="25" t="str">
        <f t="shared" ca="1" si="468"/>
        <v/>
      </c>
      <c r="I4578" s="25" t="str">
        <f t="shared" ca="1" si="469"/>
        <v/>
      </c>
      <c r="J4578" s="26" t="str">
        <f t="shared" ca="1" si="470"/>
        <v/>
      </c>
    </row>
    <row r="4579" spans="1:10" x14ac:dyDescent="0.25">
      <c r="A4579" t="s">
        <v>658</v>
      </c>
      <c r="B4579" t="str">
        <f>ADDRESS(ROW('PAYG 1'!$B$32),COLUMN('PAYG 1'!$B$32),4)</f>
        <v>B32</v>
      </c>
      <c r="C4579" t="str">
        <f>ADDRESS(ROW('PAYG 1'!$D$32),COLUMN('PAYG 1'!$D$32),4)</f>
        <v>D32</v>
      </c>
      <c r="D4579" t="b" cm="1">
        <f t="array" aca="1" ref="D4579" ca="1">IF(INDIRECT("'"&amp;A4579&amp;"'!"&amp;B4579)="",FALSE,IF(NOT(ISNUMBER(INDIRECT("'"&amp;A4579&amp;"'!"&amp;B4579))),TRUE,FALSE))</f>
        <v>0</v>
      </c>
      <c r="E4579" t="s">
        <v>435</v>
      </c>
      <c r="F4579" t="str">
        <f>INDEX(Lists!I:I,MATCH(Validation!E4579,Lists!G:G,0))</f>
        <v>Error</v>
      </c>
      <c r="G4579" t="str">
        <f>INDEX(Lists!H:H,MATCH(Validation!E4579,Lists!G:G,0))</f>
        <v>Enter an amount only. Do not enter text or spaces.</v>
      </c>
      <c r="H4579" s="25" t="str">
        <f t="shared" ca="1" si="468"/>
        <v/>
      </c>
      <c r="I4579" s="25" t="str">
        <f t="shared" ca="1" si="469"/>
        <v/>
      </c>
      <c r="J4579" s="26" t="str">
        <f t="shared" ca="1" si="470"/>
        <v/>
      </c>
    </row>
    <row r="4580" spans="1:10" x14ac:dyDescent="0.25">
      <c r="A4580" t="s">
        <v>659</v>
      </c>
      <c r="B4580" t="str">
        <f>ADDRESS(ROW('PAYG 1'!$B$32),COLUMN('PAYG 1'!$B$32),4)</f>
        <v>B32</v>
      </c>
      <c r="C4580" t="str">
        <f>ADDRESS(ROW('PAYG 1'!$D$32),COLUMN('PAYG 1'!$D$32),4)</f>
        <v>D32</v>
      </c>
      <c r="D4580" t="b" cm="1">
        <f t="array" aca="1" ref="D4580" ca="1">IF(INDIRECT("'"&amp;A4580&amp;"'!"&amp;B4580)="",FALSE,IF(NOT(ISNUMBER(INDIRECT("'"&amp;A4580&amp;"'!"&amp;B4580))),TRUE,FALSE))</f>
        <v>0</v>
      </c>
      <c r="E4580" t="s">
        <v>435</v>
      </c>
      <c r="F4580" t="str">
        <f>INDEX(Lists!I:I,MATCH(Validation!E4580,Lists!G:G,0))</f>
        <v>Error</v>
      </c>
      <c r="G4580" t="str">
        <f>INDEX(Lists!H:H,MATCH(Validation!E4580,Lists!G:G,0))</f>
        <v>Enter an amount only. Do not enter text or spaces.</v>
      </c>
      <c r="H4580" s="25" t="str">
        <f t="shared" ca="1" si="468"/>
        <v/>
      </c>
      <c r="I4580" s="25" t="str">
        <f t="shared" ca="1" si="469"/>
        <v/>
      </c>
      <c r="J4580" s="26" t="str">
        <f t="shared" ca="1" si="470"/>
        <v/>
      </c>
    </row>
    <row r="4581" spans="1:10" x14ac:dyDescent="0.25">
      <c r="A4581" t="s">
        <v>660</v>
      </c>
      <c r="B4581" t="str">
        <f>ADDRESS(ROW('PAYG 1'!$B$32),COLUMN('PAYG 1'!$B$32),4)</f>
        <v>B32</v>
      </c>
      <c r="C4581" t="str">
        <f>ADDRESS(ROW('PAYG 1'!$D$32),COLUMN('PAYG 1'!$D$32),4)</f>
        <v>D32</v>
      </c>
      <c r="D4581" t="b" cm="1">
        <f t="array" aca="1" ref="D4581" ca="1">IF(INDIRECT("'"&amp;A4581&amp;"'!"&amp;B4581)="",FALSE,IF(NOT(ISNUMBER(INDIRECT("'"&amp;A4581&amp;"'!"&amp;B4581))),TRUE,FALSE))</f>
        <v>0</v>
      </c>
      <c r="E4581" t="s">
        <v>435</v>
      </c>
      <c r="F4581" t="str">
        <f>INDEX(Lists!I:I,MATCH(Validation!E4581,Lists!G:G,0))</f>
        <v>Error</v>
      </c>
      <c r="G4581" t="str">
        <f>INDEX(Lists!H:H,MATCH(Validation!E4581,Lists!G:G,0))</f>
        <v>Enter an amount only. Do not enter text or spaces.</v>
      </c>
      <c r="H4581" s="25" t="str">
        <f t="shared" ca="1" si="468"/>
        <v/>
      </c>
      <c r="I4581" s="25" t="str">
        <f t="shared" ca="1" si="469"/>
        <v/>
      </c>
      <c r="J4581" s="26" t="str">
        <f t="shared" ca="1" si="470"/>
        <v/>
      </c>
    </row>
    <row r="4582" spans="1:10" x14ac:dyDescent="0.25">
      <c r="A4582" t="s">
        <v>661</v>
      </c>
      <c r="B4582" t="str">
        <f>ADDRESS(ROW('PAYG 1'!$B$32),COLUMN('PAYG 1'!$B$32),4)</f>
        <v>B32</v>
      </c>
      <c r="C4582" t="str">
        <f>ADDRESS(ROW('PAYG 1'!$D$32),COLUMN('PAYG 1'!$D$32),4)</f>
        <v>D32</v>
      </c>
      <c r="D4582" t="b" cm="1">
        <f t="array" aca="1" ref="D4582" ca="1">IF(INDIRECT("'"&amp;A4582&amp;"'!"&amp;B4582)="",FALSE,IF(NOT(ISNUMBER(INDIRECT("'"&amp;A4582&amp;"'!"&amp;B4582))),TRUE,FALSE))</f>
        <v>0</v>
      </c>
      <c r="E4582" t="s">
        <v>435</v>
      </c>
      <c r="F4582" t="str">
        <f>INDEX(Lists!I:I,MATCH(Validation!E4582,Lists!G:G,0))</f>
        <v>Error</v>
      </c>
      <c r="G4582" t="str">
        <f>INDEX(Lists!H:H,MATCH(Validation!E4582,Lists!G:G,0))</f>
        <v>Enter an amount only. Do not enter text or spaces.</v>
      </c>
      <c r="H4582" s="25" t="str">
        <f t="shared" ca="1" si="468"/>
        <v/>
      </c>
      <c r="I4582" s="25" t="str">
        <f t="shared" ca="1" si="469"/>
        <v/>
      </c>
      <c r="J4582" s="26" t="str">
        <f t="shared" ca="1" si="470"/>
        <v/>
      </c>
    </row>
    <row r="4583" spans="1:10" x14ac:dyDescent="0.25">
      <c r="A4583" t="s">
        <v>662</v>
      </c>
      <c r="B4583" t="str">
        <f>ADDRESS(ROW('PAYG 1'!$B$32),COLUMN('PAYG 1'!$B$32),4)</f>
        <v>B32</v>
      </c>
      <c r="C4583" t="str">
        <f>ADDRESS(ROW('PAYG 1'!$D$32),COLUMN('PAYG 1'!$D$32),4)</f>
        <v>D32</v>
      </c>
      <c r="D4583" t="b" cm="1">
        <f t="array" aca="1" ref="D4583" ca="1">IF(INDIRECT("'"&amp;A4583&amp;"'!"&amp;B4583)="",FALSE,IF(NOT(ISNUMBER(INDIRECT("'"&amp;A4583&amp;"'!"&amp;B4583))),TRUE,FALSE))</f>
        <v>0</v>
      </c>
      <c r="E4583" t="s">
        <v>435</v>
      </c>
      <c r="F4583" t="str">
        <f>INDEX(Lists!I:I,MATCH(Validation!E4583,Lists!G:G,0))</f>
        <v>Error</v>
      </c>
      <c r="G4583" t="str">
        <f>INDEX(Lists!H:H,MATCH(Validation!E4583,Lists!G:G,0))</f>
        <v>Enter an amount only. Do not enter text or spaces.</v>
      </c>
      <c r="H4583" s="25" t="str">
        <f t="shared" ca="1" si="468"/>
        <v/>
      </c>
      <c r="I4583" s="25" t="str">
        <f t="shared" ca="1" si="469"/>
        <v/>
      </c>
      <c r="J4583" s="26" t="str">
        <f t="shared" ca="1" si="470"/>
        <v/>
      </c>
    </row>
    <row r="4584" spans="1:10" x14ac:dyDescent="0.25">
      <c r="A4584" t="s">
        <v>663</v>
      </c>
      <c r="B4584" t="str">
        <f>ADDRESS(ROW('PAYG 1'!$B$32),COLUMN('PAYG 1'!$B$32),4)</f>
        <v>B32</v>
      </c>
      <c r="C4584" t="str">
        <f>ADDRESS(ROW('PAYG 1'!$D$32),COLUMN('PAYG 1'!$D$32),4)</f>
        <v>D32</v>
      </c>
      <c r="D4584" t="b" cm="1">
        <f t="array" aca="1" ref="D4584" ca="1">IF(INDIRECT("'"&amp;A4584&amp;"'!"&amp;B4584)="",FALSE,IF(NOT(ISNUMBER(INDIRECT("'"&amp;A4584&amp;"'!"&amp;B4584))),TRUE,FALSE))</f>
        <v>0</v>
      </c>
      <c r="E4584" t="s">
        <v>435</v>
      </c>
      <c r="F4584" t="str">
        <f>INDEX(Lists!I:I,MATCH(Validation!E4584,Lists!G:G,0))</f>
        <v>Error</v>
      </c>
      <c r="G4584" t="str">
        <f>INDEX(Lists!H:H,MATCH(Validation!E4584,Lists!G:G,0))</f>
        <v>Enter an amount only. Do not enter text or spaces.</v>
      </c>
      <c r="H4584" s="25" t="str">
        <f t="shared" ca="1" si="468"/>
        <v/>
      </c>
      <c r="I4584" s="25" t="str">
        <f t="shared" ca="1" si="469"/>
        <v/>
      </c>
      <c r="J4584" s="26" t="str">
        <f t="shared" ca="1" si="470"/>
        <v/>
      </c>
    </row>
    <row r="4585" spans="1:10" x14ac:dyDescent="0.25">
      <c r="A4585" t="s">
        <v>664</v>
      </c>
      <c r="B4585" t="str">
        <f>ADDRESS(ROW('PAYG 1'!$B$32),COLUMN('PAYG 1'!$B$32),4)</f>
        <v>B32</v>
      </c>
      <c r="C4585" t="str">
        <f>ADDRESS(ROW('PAYG 1'!$D$32),COLUMN('PAYG 1'!$D$32),4)</f>
        <v>D32</v>
      </c>
      <c r="D4585" t="b" cm="1">
        <f t="array" aca="1" ref="D4585" ca="1">IF(INDIRECT("'"&amp;A4585&amp;"'!"&amp;B4585)="",FALSE,IF(NOT(ISNUMBER(INDIRECT("'"&amp;A4585&amp;"'!"&amp;B4585))),TRUE,FALSE))</f>
        <v>0</v>
      </c>
      <c r="E4585" t="s">
        <v>435</v>
      </c>
      <c r="F4585" t="str">
        <f>INDEX(Lists!I:I,MATCH(Validation!E4585,Lists!G:G,0))</f>
        <v>Error</v>
      </c>
      <c r="G4585" t="str">
        <f>INDEX(Lists!H:H,MATCH(Validation!E4585,Lists!G:G,0))</f>
        <v>Enter an amount only. Do not enter text or spaces.</v>
      </c>
      <c r="H4585" s="25" t="str">
        <f t="shared" ca="1" si="468"/>
        <v/>
      </c>
      <c r="I4585" s="25" t="str">
        <f t="shared" ca="1" si="469"/>
        <v/>
      </c>
      <c r="J4585" s="26" t="str">
        <f t="shared" ca="1" si="470"/>
        <v/>
      </c>
    </row>
    <row r="4586" spans="1:10" x14ac:dyDescent="0.25">
      <c r="A4586" t="s">
        <v>203</v>
      </c>
      <c r="B4586" t="str">
        <f>ADDRESS(ROW('PAYG 1'!$B$32),COLUMN('PAYG 1'!$B$32),4)</f>
        <v>B32</v>
      </c>
      <c r="C4586" t="str">
        <f>ADDRESS(ROW('PAYG 1'!$D$32),COLUMN('PAYG 1'!$D$32),4)</f>
        <v>D32</v>
      </c>
      <c r="D4586" t="b" cm="1">
        <f t="array" aca="1" ref="D4586" ca="1">IF(INDIRECT("'"&amp;A4586&amp;"'!"&amp;B4586)="",FALSE,IF(INDIRECT("'"&amp;A4586&amp;"'!"&amp;B4586)&lt;0,TRUE,FALSE))</f>
        <v>0</v>
      </c>
      <c r="E4586" t="s">
        <v>434</v>
      </c>
      <c r="F4586" t="str">
        <f>INDEX(Lists!I:I,MATCH(Validation!E4586,Lists!G:G,0))</f>
        <v>Error</v>
      </c>
      <c r="G4586" t="str">
        <f>INDEX(Lists!H:H,MATCH(Validation!E4586,Lists!G:G,0))</f>
        <v>Amount may not be negative. Enter an amount greater than or equal to zero.</v>
      </c>
      <c r="H4586" s="25" t="str">
        <f t="shared" ca="1" si="468"/>
        <v/>
      </c>
      <c r="I4586" s="25" t="str">
        <f t="shared" ca="1" si="469"/>
        <v/>
      </c>
      <c r="J4586" s="26" t="str">
        <f t="shared" ca="1" si="470"/>
        <v/>
      </c>
    </row>
    <row r="4587" spans="1:10" x14ac:dyDescent="0.25">
      <c r="A4587" t="s">
        <v>651</v>
      </c>
      <c r="B4587" t="str">
        <f>ADDRESS(ROW('PAYG 1'!$B$32),COLUMN('PAYG 1'!$B$32),4)</f>
        <v>B32</v>
      </c>
      <c r="C4587" t="str">
        <f>ADDRESS(ROW('PAYG 1'!$D$32),COLUMN('PAYG 1'!$D$32),4)</f>
        <v>D32</v>
      </c>
      <c r="D4587" t="b" cm="1">
        <f t="array" aca="1" ref="D4587" ca="1">IF(INDIRECT("'"&amp;A4587&amp;"'!"&amp;B4587)="",FALSE,IF(INDIRECT("'"&amp;A4587&amp;"'!"&amp;B4587)&lt;0,TRUE,FALSE))</f>
        <v>0</v>
      </c>
      <c r="E4587" t="s">
        <v>434</v>
      </c>
      <c r="F4587" t="str">
        <f>INDEX(Lists!I:I,MATCH(Validation!E4587,Lists!G:G,0))</f>
        <v>Error</v>
      </c>
      <c r="G4587" t="str">
        <f>INDEX(Lists!H:H,MATCH(Validation!E4587,Lists!G:G,0))</f>
        <v>Amount may not be negative. Enter an amount greater than or equal to zero.</v>
      </c>
      <c r="H4587" s="25" t="str">
        <f t="shared" ca="1" si="468"/>
        <v/>
      </c>
      <c r="I4587" s="25" t="str">
        <f t="shared" ca="1" si="469"/>
        <v/>
      </c>
      <c r="J4587" s="26" t="str">
        <f t="shared" ca="1" si="470"/>
        <v/>
      </c>
    </row>
    <row r="4588" spans="1:10" x14ac:dyDescent="0.25">
      <c r="A4588" t="s">
        <v>652</v>
      </c>
      <c r="B4588" t="str">
        <f>ADDRESS(ROW('PAYG 1'!$B$32),COLUMN('PAYG 1'!$B$32),4)</f>
        <v>B32</v>
      </c>
      <c r="C4588" t="str">
        <f>ADDRESS(ROW('PAYG 1'!$D$32),COLUMN('PAYG 1'!$D$32),4)</f>
        <v>D32</v>
      </c>
      <c r="D4588" t="b" cm="1">
        <f t="array" aca="1" ref="D4588" ca="1">IF(INDIRECT("'"&amp;A4588&amp;"'!"&amp;B4588)="",FALSE,IF(INDIRECT("'"&amp;A4588&amp;"'!"&amp;B4588)&lt;0,TRUE,FALSE))</f>
        <v>0</v>
      </c>
      <c r="E4588" t="s">
        <v>434</v>
      </c>
      <c r="F4588" t="str">
        <f>INDEX(Lists!I:I,MATCH(Validation!E4588,Lists!G:G,0))</f>
        <v>Error</v>
      </c>
      <c r="G4588" t="str">
        <f>INDEX(Lists!H:H,MATCH(Validation!E4588,Lists!G:G,0))</f>
        <v>Amount may not be negative. Enter an amount greater than or equal to zero.</v>
      </c>
      <c r="H4588" s="25" t="str">
        <f t="shared" ca="1" si="468"/>
        <v/>
      </c>
      <c r="I4588" s="25" t="str">
        <f t="shared" ca="1" si="469"/>
        <v/>
      </c>
      <c r="J4588" s="26" t="str">
        <f t="shared" ca="1" si="470"/>
        <v/>
      </c>
    </row>
    <row r="4589" spans="1:10" x14ac:dyDescent="0.25">
      <c r="A4589" t="s">
        <v>653</v>
      </c>
      <c r="B4589" t="str">
        <f>ADDRESS(ROW('PAYG 1'!$B$32),COLUMN('PAYG 1'!$B$32),4)</f>
        <v>B32</v>
      </c>
      <c r="C4589" t="str">
        <f>ADDRESS(ROW('PAYG 1'!$D$32),COLUMN('PAYG 1'!$D$32),4)</f>
        <v>D32</v>
      </c>
      <c r="D4589" t="b" cm="1">
        <f t="array" aca="1" ref="D4589" ca="1">IF(INDIRECT("'"&amp;A4589&amp;"'!"&amp;B4589)="",FALSE,IF(INDIRECT("'"&amp;A4589&amp;"'!"&amp;B4589)&lt;0,TRUE,FALSE))</f>
        <v>0</v>
      </c>
      <c r="E4589" t="s">
        <v>434</v>
      </c>
      <c r="F4589" t="str">
        <f>INDEX(Lists!I:I,MATCH(Validation!E4589,Lists!G:G,0))</f>
        <v>Error</v>
      </c>
      <c r="G4589" t="str">
        <f>INDEX(Lists!H:H,MATCH(Validation!E4589,Lists!G:G,0))</f>
        <v>Amount may not be negative. Enter an amount greater than or equal to zero.</v>
      </c>
      <c r="H4589" s="25" t="str">
        <f t="shared" ca="1" si="468"/>
        <v/>
      </c>
      <c r="I4589" s="25" t="str">
        <f t="shared" ca="1" si="469"/>
        <v/>
      </c>
      <c r="J4589" s="26" t="str">
        <f t="shared" ca="1" si="470"/>
        <v/>
      </c>
    </row>
    <row r="4590" spans="1:10" x14ac:dyDescent="0.25">
      <c r="A4590" t="s">
        <v>654</v>
      </c>
      <c r="B4590" t="str">
        <f>ADDRESS(ROW('PAYG 1'!$B$32),COLUMN('PAYG 1'!$B$32),4)</f>
        <v>B32</v>
      </c>
      <c r="C4590" t="str">
        <f>ADDRESS(ROW('PAYG 1'!$D$32),COLUMN('PAYG 1'!$D$32),4)</f>
        <v>D32</v>
      </c>
      <c r="D4590" t="b" cm="1">
        <f t="array" aca="1" ref="D4590" ca="1">IF(INDIRECT("'"&amp;A4590&amp;"'!"&amp;B4590)="",FALSE,IF(INDIRECT("'"&amp;A4590&amp;"'!"&amp;B4590)&lt;0,TRUE,FALSE))</f>
        <v>0</v>
      </c>
      <c r="E4590" t="s">
        <v>434</v>
      </c>
      <c r="F4590" t="str">
        <f>INDEX(Lists!I:I,MATCH(Validation!E4590,Lists!G:G,0))</f>
        <v>Error</v>
      </c>
      <c r="G4590" t="str">
        <f>INDEX(Lists!H:H,MATCH(Validation!E4590,Lists!G:G,0))</f>
        <v>Amount may not be negative. Enter an amount greater than or equal to zero.</v>
      </c>
      <c r="H4590" s="25" t="str">
        <f t="shared" ca="1" si="468"/>
        <v/>
      </c>
      <c r="I4590" s="25" t="str">
        <f t="shared" ca="1" si="469"/>
        <v/>
      </c>
      <c r="J4590" s="26" t="str">
        <f t="shared" ca="1" si="470"/>
        <v/>
      </c>
    </row>
    <row r="4591" spans="1:10" x14ac:dyDescent="0.25">
      <c r="A4591" t="s">
        <v>655</v>
      </c>
      <c r="B4591" t="str">
        <f>ADDRESS(ROW('PAYG 1'!$B$32),COLUMN('PAYG 1'!$B$32),4)</f>
        <v>B32</v>
      </c>
      <c r="C4591" t="str">
        <f>ADDRESS(ROW('PAYG 1'!$D$32),COLUMN('PAYG 1'!$D$32),4)</f>
        <v>D32</v>
      </c>
      <c r="D4591" t="b" cm="1">
        <f t="array" aca="1" ref="D4591" ca="1">IF(INDIRECT("'"&amp;A4591&amp;"'!"&amp;B4591)="",FALSE,IF(INDIRECT("'"&amp;A4591&amp;"'!"&amp;B4591)&lt;0,TRUE,FALSE))</f>
        <v>0</v>
      </c>
      <c r="E4591" t="s">
        <v>434</v>
      </c>
      <c r="F4591" t="str">
        <f>INDEX(Lists!I:I,MATCH(Validation!E4591,Lists!G:G,0))</f>
        <v>Error</v>
      </c>
      <c r="G4591" t="str">
        <f>INDEX(Lists!H:H,MATCH(Validation!E4591,Lists!G:G,0))</f>
        <v>Amount may not be negative. Enter an amount greater than or equal to zero.</v>
      </c>
      <c r="H4591" s="25" t="str">
        <f t="shared" ca="1" si="468"/>
        <v/>
      </c>
      <c r="I4591" s="25" t="str">
        <f t="shared" ca="1" si="469"/>
        <v/>
      </c>
      <c r="J4591" s="26" t="str">
        <f t="shared" ca="1" si="470"/>
        <v/>
      </c>
    </row>
    <row r="4592" spans="1:10" x14ac:dyDescent="0.25">
      <c r="A4592" t="s">
        <v>656</v>
      </c>
      <c r="B4592" t="str">
        <f>ADDRESS(ROW('PAYG 1'!$B$32),COLUMN('PAYG 1'!$B$32),4)</f>
        <v>B32</v>
      </c>
      <c r="C4592" t="str">
        <f>ADDRESS(ROW('PAYG 1'!$D$32),COLUMN('PAYG 1'!$D$32),4)</f>
        <v>D32</v>
      </c>
      <c r="D4592" t="b" cm="1">
        <f t="array" aca="1" ref="D4592" ca="1">IF(INDIRECT("'"&amp;A4592&amp;"'!"&amp;B4592)="",FALSE,IF(INDIRECT("'"&amp;A4592&amp;"'!"&amp;B4592)&lt;0,TRUE,FALSE))</f>
        <v>0</v>
      </c>
      <c r="E4592" t="s">
        <v>434</v>
      </c>
      <c r="F4592" t="str">
        <f>INDEX(Lists!I:I,MATCH(Validation!E4592,Lists!G:G,0))</f>
        <v>Error</v>
      </c>
      <c r="G4592" t="str">
        <f>INDEX(Lists!H:H,MATCH(Validation!E4592,Lists!G:G,0))</f>
        <v>Amount may not be negative. Enter an amount greater than or equal to zero.</v>
      </c>
      <c r="H4592" s="25" t="str">
        <f t="shared" ca="1" si="468"/>
        <v/>
      </c>
      <c r="I4592" s="25" t="str">
        <f t="shared" ca="1" si="469"/>
        <v/>
      </c>
      <c r="J4592" s="26" t="str">
        <f t="shared" ca="1" si="470"/>
        <v/>
      </c>
    </row>
    <row r="4593" spans="1:10" x14ac:dyDescent="0.25">
      <c r="A4593" t="s">
        <v>657</v>
      </c>
      <c r="B4593" t="str">
        <f>ADDRESS(ROW('PAYG 1'!$B$32),COLUMN('PAYG 1'!$B$32),4)</f>
        <v>B32</v>
      </c>
      <c r="C4593" t="str">
        <f>ADDRESS(ROW('PAYG 1'!$D$32),COLUMN('PAYG 1'!$D$32),4)</f>
        <v>D32</v>
      </c>
      <c r="D4593" t="b" cm="1">
        <f t="array" aca="1" ref="D4593" ca="1">IF(INDIRECT("'"&amp;A4593&amp;"'!"&amp;B4593)="",FALSE,IF(INDIRECT("'"&amp;A4593&amp;"'!"&amp;B4593)&lt;0,TRUE,FALSE))</f>
        <v>0</v>
      </c>
      <c r="E4593" t="s">
        <v>434</v>
      </c>
      <c r="F4593" t="str">
        <f>INDEX(Lists!I:I,MATCH(Validation!E4593,Lists!G:G,0))</f>
        <v>Error</v>
      </c>
      <c r="G4593" t="str">
        <f>INDEX(Lists!H:H,MATCH(Validation!E4593,Lists!G:G,0))</f>
        <v>Amount may not be negative. Enter an amount greater than or equal to zero.</v>
      </c>
      <c r="H4593" s="25" t="str">
        <f t="shared" ca="1" si="468"/>
        <v/>
      </c>
      <c r="I4593" s="25" t="str">
        <f t="shared" ca="1" si="469"/>
        <v/>
      </c>
      <c r="J4593" s="26" t="str">
        <f t="shared" ca="1" si="470"/>
        <v/>
      </c>
    </row>
    <row r="4594" spans="1:10" x14ac:dyDescent="0.25">
      <c r="A4594" t="s">
        <v>658</v>
      </c>
      <c r="B4594" t="str">
        <f>ADDRESS(ROW('PAYG 1'!$B$32),COLUMN('PAYG 1'!$B$32),4)</f>
        <v>B32</v>
      </c>
      <c r="C4594" t="str">
        <f>ADDRESS(ROW('PAYG 1'!$D$32),COLUMN('PAYG 1'!$D$32),4)</f>
        <v>D32</v>
      </c>
      <c r="D4594" t="b" cm="1">
        <f t="array" aca="1" ref="D4594" ca="1">IF(INDIRECT("'"&amp;A4594&amp;"'!"&amp;B4594)="",FALSE,IF(INDIRECT("'"&amp;A4594&amp;"'!"&amp;B4594)&lt;0,TRUE,FALSE))</f>
        <v>0</v>
      </c>
      <c r="E4594" t="s">
        <v>434</v>
      </c>
      <c r="F4594" t="str">
        <f>INDEX(Lists!I:I,MATCH(Validation!E4594,Lists!G:G,0))</f>
        <v>Error</v>
      </c>
      <c r="G4594" t="str">
        <f>INDEX(Lists!H:H,MATCH(Validation!E4594,Lists!G:G,0))</f>
        <v>Amount may not be negative. Enter an amount greater than or equal to zero.</v>
      </c>
      <c r="H4594" s="25" t="str">
        <f t="shared" ca="1" si="468"/>
        <v/>
      </c>
      <c r="I4594" s="25" t="str">
        <f t="shared" ca="1" si="469"/>
        <v/>
      </c>
      <c r="J4594" s="26" t="str">
        <f t="shared" ca="1" si="470"/>
        <v/>
      </c>
    </row>
    <row r="4595" spans="1:10" x14ac:dyDescent="0.25">
      <c r="A4595" t="s">
        <v>659</v>
      </c>
      <c r="B4595" t="str">
        <f>ADDRESS(ROW('PAYG 1'!$B$32),COLUMN('PAYG 1'!$B$32),4)</f>
        <v>B32</v>
      </c>
      <c r="C4595" t="str">
        <f>ADDRESS(ROW('PAYG 1'!$D$32),COLUMN('PAYG 1'!$D$32),4)</f>
        <v>D32</v>
      </c>
      <c r="D4595" t="b" cm="1">
        <f t="array" aca="1" ref="D4595" ca="1">IF(INDIRECT("'"&amp;A4595&amp;"'!"&amp;B4595)="",FALSE,IF(INDIRECT("'"&amp;A4595&amp;"'!"&amp;B4595)&lt;0,TRUE,FALSE))</f>
        <v>0</v>
      </c>
      <c r="E4595" t="s">
        <v>434</v>
      </c>
      <c r="F4595" t="str">
        <f>INDEX(Lists!I:I,MATCH(Validation!E4595,Lists!G:G,0))</f>
        <v>Error</v>
      </c>
      <c r="G4595" t="str">
        <f>INDEX(Lists!H:H,MATCH(Validation!E4595,Lists!G:G,0))</f>
        <v>Amount may not be negative. Enter an amount greater than or equal to zero.</v>
      </c>
      <c r="H4595" s="25" t="str">
        <f t="shared" ca="1" si="468"/>
        <v/>
      </c>
      <c r="I4595" s="25" t="str">
        <f t="shared" ca="1" si="469"/>
        <v/>
      </c>
      <c r="J4595" s="26" t="str">
        <f t="shared" ca="1" si="470"/>
        <v/>
      </c>
    </row>
    <row r="4596" spans="1:10" x14ac:dyDescent="0.25">
      <c r="A4596" t="s">
        <v>660</v>
      </c>
      <c r="B4596" t="str">
        <f>ADDRESS(ROW('PAYG 1'!$B$32),COLUMN('PAYG 1'!$B$32),4)</f>
        <v>B32</v>
      </c>
      <c r="C4596" t="str">
        <f>ADDRESS(ROW('PAYG 1'!$D$32),COLUMN('PAYG 1'!$D$32),4)</f>
        <v>D32</v>
      </c>
      <c r="D4596" t="b" cm="1">
        <f t="array" aca="1" ref="D4596" ca="1">IF(INDIRECT("'"&amp;A4596&amp;"'!"&amp;B4596)="",FALSE,IF(INDIRECT("'"&amp;A4596&amp;"'!"&amp;B4596)&lt;0,TRUE,FALSE))</f>
        <v>0</v>
      </c>
      <c r="E4596" t="s">
        <v>434</v>
      </c>
      <c r="F4596" t="str">
        <f>INDEX(Lists!I:I,MATCH(Validation!E4596,Lists!G:G,0))</f>
        <v>Error</v>
      </c>
      <c r="G4596" t="str">
        <f>INDEX(Lists!H:H,MATCH(Validation!E4596,Lists!G:G,0))</f>
        <v>Amount may not be negative. Enter an amount greater than or equal to zero.</v>
      </c>
      <c r="H4596" s="25" t="str">
        <f t="shared" ca="1" si="468"/>
        <v/>
      </c>
      <c r="I4596" s="25" t="str">
        <f t="shared" ca="1" si="469"/>
        <v/>
      </c>
      <c r="J4596" s="26" t="str">
        <f t="shared" ca="1" si="470"/>
        <v/>
      </c>
    </row>
    <row r="4597" spans="1:10" x14ac:dyDescent="0.25">
      <c r="A4597" t="s">
        <v>661</v>
      </c>
      <c r="B4597" t="str">
        <f>ADDRESS(ROW('PAYG 1'!$B$32),COLUMN('PAYG 1'!$B$32),4)</f>
        <v>B32</v>
      </c>
      <c r="C4597" t="str">
        <f>ADDRESS(ROW('PAYG 1'!$D$32),COLUMN('PAYG 1'!$D$32),4)</f>
        <v>D32</v>
      </c>
      <c r="D4597" t="b" cm="1">
        <f t="array" aca="1" ref="D4597" ca="1">IF(INDIRECT("'"&amp;A4597&amp;"'!"&amp;B4597)="",FALSE,IF(INDIRECT("'"&amp;A4597&amp;"'!"&amp;B4597)&lt;0,TRUE,FALSE))</f>
        <v>0</v>
      </c>
      <c r="E4597" t="s">
        <v>434</v>
      </c>
      <c r="F4597" t="str">
        <f>INDEX(Lists!I:I,MATCH(Validation!E4597,Lists!G:G,0))</f>
        <v>Error</v>
      </c>
      <c r="G4597" t="str">
        <f>INDEX(Lists!H:H,MATCH(Validation!E4597,Lists!G:G,0))</f>
        <v>Amount may not be negative. Enter an amount greater than or equal to zero.</v>
      </c>
      <c r="H4597" s="25" t="str">
        <f t="shared" ca="1" si="468"/>
        <v/>
      </c>
      <c r="I4597" s="25" t="str">
        <f t="shared" ca="1" si="469"/>
        <v/>
      </c>
      <c r="J4597" s="26" t="str">
        <f t="shared" ca="1" si="470"/>
        <v/>
      </c>
    </row>
    <row r="4598" spans="1:10" x14ac:dyDescent="0.25">
      <c r="A4598" t="s">
        <v>662</v>
      </c>
      <c r="B4598" t="str">
        <f>ADDRESS(ROW('PAYG 1'!$B$32),COLUMN('PAYG 1'!$B$32),4)</f>
        <v>B32</v>
      </c>
      <c r="C4598" t="str">
        <f>ADDRESS(ROW('PAYG 1'!$D$32),COLUMN('PAYG 1'!$D$32),4)</f>
        <v>D32</v>
      </c>
      <c r="D4598" t="b" cm="1">
        <f t="array" aca="1" ref="D4598" ca="1">IF(INDIRECT("'"&amp;A4598&amp;"'!"&amp;B4598)="",FALSE,IF(INDIRECT("'"&amp;A4598&amp;"'!"&amp;B4598)&lt;0,TRUE,FALSE))</f>
        <v>0</v>
      </c>
      <c r="E4598" t="s">
        <v>434</v>
      </c>
      <c r="F4598" t="str">
        <f>INDEX(Lists!I:I,MATCH(Validation!E4598,Lists!G:G,0))</f>
        <v>Error</v>
      </c>
      <c r="G4598" t="str">
        <f>INDEX(Lists!H:H,MATCH(Validation!E4598,Lists!G:G,0))</f>
        <v>Amount may not be negative. Enter an amount greater than or equal to zero.</v>
      </c>
      <c r="H4598" s="25" t="str">
        <f t="shared" ca="1" si="468"/>
        <v/>
      </c>
      <c r="I4598" s="25" t="str">
        <f t="shared" ca="1" si="469"/>
        <v/>
      </c>
      <c r="J4598" s="26" t="str">
        <f t="shared" ca="1" si="470"/>
        <v/>
      </c>
    </row>
    <row r="4599" spans="1:10" x14ac:dyDescent="0.25">
      <c r="A4599" t="s">
        <v>663</v>
      </c>
      <c r="B4599" t="str">
        <f>ADDRESS(ROW('PAYG 1'!$B$32),COLUMN('PAYG 1'!$B$32),4)</f>
        <v>B32</v>
      </c>
      <c r="C4599" t="str">
        <f>ADDRESS(ROW('PAYG 1'!$D$32),COLUMN('PAYG 1'!$D$32),4)</f>
        <v>D32</v>
      </c>
      <c r="D4599" t="b" cm="1">
        <f t="array" aca="1" ref="D4599" ca="1">IF(INDIRECT("'"&amp;A4599&amp;"'!"&amp;B4599)="",FALSE,IF(INDIRECT("'"&amp;A4599&amp;"'!"&amp;B4599)&lt;0,TRUE,FALSE))</f>
        <v>0</v>
      </c>
      <c r="E4599" t="s">
        <v>434</v>
      </c>
      <c r="F4599" t="str">
        <f>INDEX(Lists!I:I,MATCH(Validation!E4599,Lists!G:G,0))</f>
        <v>Error</v>
      </c>
      <c r="G4599" t="str">
        <f>INDEX(Lists!H:H,MATCH(Validation!E4599,Lists!G:G,0))</f>
        <v>Amount may not be negative. Enter an amount greater than or equal to zero.</v>
      </c>
      <c r="H4599" s="25" t="str">
        <f t="shared" ca="1" si="468"/>
        <v/>
      </c>
      <c r="I4599" s="25" t="str">
        <f t="shared" ca="1" si="469"/>
        <v/>
      </c>
      <c r="J4599" s="26" t="str">
        <f t="shared" ca="1" si="470"/>
        <v/>
      </c>
    </row>
    <row r="4600" spans="1:10" x14ac:dyDescent="0.25">
      <c r="A4600" t="s">
        <v>664</v>
      </c>
      <c r="B4600" t="str">
        <f>ADDRESS(ROW('PAYG 1'!$B$32),COLUMN('PAYG 1'!$B$32),4)</f>
        <v>B32</v>
      </c>
      <c r="C4600" t="str">
        <f>ADDRESS(ROW('PAYG 1'!$D$32),COLUMN('PAYG 1'!$D$32),4)</f>
        <v>D32</v>
      </c>
      <c r="D4600" t="b" cm="1">
        <f t="array" aca="1" ref="D4600" ca="1">IF(INDIRECT("'"&amp;A4600&amp;"'!"&amp;B4600)="",FALSE,IF(INDIRECT("'"&amp;A4600&amp;"'!"&amp;B4600)&lt;0,TRUE,FALSE))</f>
        <v>0</v>
      </c>
      <c r="E4600" t="s">
        <v>434</v>
      </c>
      <c r="F4600" t="str">
        <f>INDEX(Lists!I:I,MATCH(Validation!E4600,Lists!G:G,0))</f>
        <v>Error</v>
      </c>
      <c r="G4600" t="str">
        <f>INDEX(Lists!H:H,MATCH(Validation!E4600,Lists!G:G,0))</f>
        <v>Amount may not be negative. Enter an amount greater than or equal to zero.</v>
      </c>
      <c r="H4600" s="25" t="str">
        <f t="shared" ca="1" si="468"/>
        <v/>
      </c>
      <c r="I4600" s="25" t="str">
        <f t="shared" ca="1" si="469"/>
        <v/>
      </c>
      <c r="J4600" s="26" t="str">
        <f t="shared" ca="1" si="470"/>
        <v/>
      </c>
    </row>
    <row r="4601" spans="1:10" x14ac:dyDescent="0.25">
      <c r="A4601" t="s">
        <v>203</v>
      </c>
      <c r="B4601" t="str">
        <f>ADDRESS(ROW('PAYG 1'!$B$32),COLUMN('PAYG 1'!$B$32),4)</f>
        <v>B32</v>
      </c>
      <c r="C4601" t="str">
        <f>ADDRESS(ROW('PAYG 1'!$D$32),COLUMN('PAYG 1'!$D$32),4)</f>
        <v>D32</v>
      </c>
      <c r="D4601" t="b" cm="1">
        <f t="array" aca="1" ref="D4601" ca="1">IF(INDIRECT("'"&amp;A4601&amp;"'!"&amp;B4601)="",FALSE,IF(TRUNC(INDIRECT("'"&amp;A4601&amp;"'!"&amp;B4601))=INDIRECT("'"&amp;A4601&amp;"'!"&amp;B4601),FALSE,TRUE))</f>
        <v>0</v>
      </c>
      <c r="E4601" t="s">
        <v>436</v>
      </c>
      <c r="F4601" t="str">
        <f>INDEX(Lists!I:I,MATCH(Validation!E4601,Lists!G:G,0))</f>
        <v>Error</v>
      </c>
      <c r="G4601" t="str">
        <f>INDEX(Lists!H:H,MATCH(Validation!E4601,Lists!G:G,0))</f>
        <v>Amount must be rounded to the nearest dollar.</v>
      </c>
      <c r="H4601" s="25" t="str">
        <f t="shared" ca="1" si="468"/>
        <v/>
      </c>
      <c r="I4601" s="25" t="str">
        <f t="shared" ca="1" si="469"/>
        <v/>
      </c>
      <c r="J4601" s="26" t="str">
        <f t="shared" ca="1" si="470"/>
        <v/>
      </c>
    </row>
    <row r="4602" spans="1:10" x14ac:dyDescent="0.25">
      <c r="A4602" t="s">
        <v>651</v>
      </c>
      <c r="B4602" t="str">
        <f>ADDRESS(ROW('PAYG 1'!$B$32),COLUMN('PAYG 1'!$B$32),4)</f>
        <v>B32</v>
      </c>
      <c r="C4602" t="str">
        <f>ADDRESS(ROW('PAYG 1'!$D$32),COLUMN('PAYG 1'!$D$32),4)</f>
        <v>D32</v>
      </c>
      <c r="D4602" t="b" cm="1">
        <f t="array" aca="1" ref="D4602" ca="1">IF(INDIRECT("'"&amp;A4602&amp;"'!"&amp;B4602)="",FALSE,IF(TRUNC(INDIRECT("'"&amp;A4602&amp;"'!"&amp;B4602))=INDIRECT("'"&amp;A4602&amp;"'!"&amp;B4602),FALSE,TRUE))</f>
        <v>0</v>
      </c>
      <c r="E4602" t="s">
        <v>436</v>
      </c>
      <c r="F4602" t="str">
        <f>INDEX(Lists!I:I,MATCH(Validation!E4602,Lists!G:G,0))</f>
        <v>Error</v>
      </c>
      <c r="G4602" t="str">
        <f>INDEX(Lists!H:H,MATCH(Validation!E4602,Lists!G:G,0))</f>
        <v>Amount must be rounded to the nearest dollar.</v>
      </c>
      <c r="H4602" s="25" t="str">
        <f t="shared" ca="1" si="468"/>
        <v/>
      </c>
      <c r="I4602" s="25" t="str">
        <f t="shared" ca="1" si="469"/>
        <v/>
      </c>
      <c r="J4602" s="26" t="str">
        <f t="shared" ca="1" si="470"/>
        <v/>
      </c>
    </row>
    <row r="4603" spans="1:10" x14ac:dyDescent="0.25">
      <c r="A4603" t="s">
        <v>652</v>
      </c>
      <c r="B4603" t="str">
        <f>ADDRESS(ROW('PAYG 1'!$B$32),COLUMN('PAYG 1'!$B$32),4)</f>
        <v>B32</v>
      </c>
      <c r="C4603" t="str">
        <f>ADDRESS(ROW('PAYG 1'!$D$32),COLUMN('PAYG 1'!$D$32),4)</f>
        <v>D32</v>
      </c>
      <c r="D4603" t="b" cm="1">
        <f t="array" aca="1" ref="D4603" ca="1">IF(INDIRECT("'"&amp;A4603&amp;"'!"&amp;B4603)="",FALSE,IF(TRUNC(INDIRECT("'"&amp;A4603&amp;"'!"&amp;B4603))=INDIRECT("'"&amp;A4603&amp;"'!"&amp;B4603),FALSE,TRUE))</f>
        <v>0</v>
      </c>
      <c r="E4603" t="s">
        <v>436</v>
      </c>
      <c r="F4603" t="str">
        <f>INDEX(Lists!I:I,MATCH(Validation!E4603,Lists!G:G,0))</f>
        <v>Error</v>
      </c>
      <c r="G4603" t="str">
        <f>INDEX(Lists!H:H,MATCH(Validation!E4603,Lists!G:G,0))</f>
        <v>Amount must be rounded to the nearest dollar.</v>
      </c>
      <c r="H4603" s="25" t="str">
        <f t="shared" ca="1" si="468"/>
        <v/>
      </c>
      <c r="I4603" s="25" t="str">
        <f t="shared" ca="1" si="469"/>
        <v/>
      </c>
      <c r="J4603" s="26" t="str">
        <f t="shared" ca="1" si="470"/>
        <v/>
      </c>
    </row>
    <row r="4604" spans="1:10" x14ac:dyDescent="0.25">
      <c r="A4604" t="s">
        <v>653</v>
      </c>
      <c r="B4604" t="str">
        <f>ADDRESS(ROW('PAYG 1'!$B$32),COLUMN('PAYG 1'!$B$32),4)</f>
        <v>B32</v>
      </c>
      <c r="C4604" t="str">
        <f>ADDRESS(ROW('PAYG 1'!$D$32),COLUMN('PAYG 1'!$D$32),4)</f>
        <v>D32</v>
      </c>
      <c r="D4604" t="b" cm="1">
        <f t="array" aca="1" ref="D4604" ca="1">IF(INDIRECT("'"&amp;A4604&amp;"'!"&amp;B4604)="",FALSE,IF(TRUNC(INDIRECT("'"&amp;A4604&amp;"'!"&amp;B4604))=INDIRECT("'"&amp;A4604&amp;"'!"&amp;B4604),FALSE,TRUE))</f>
        <v>0</v>
      </c>
      <c r="E4604" t="s">
        <v>436</v>
      </c>
      <c r="F4604" t="str">
        <f>INDEX(Lists!I:I,MATCH(Validation!E4604,Lists!G:G,0))</f>
        <v>Error</v>
      </c>
      <c r="G4604" t="str">
        <f>INDEX(Lists!H:H,MATCH(Validation!E4604,Lists!G:G,0))</f>
        <v>Amount must be rounded to the nearest dollar.</v>
      </c>
      <c r="H4604" s="25" t="str">
        <f t="shared" ca="1" si="468"/>
        <v/>
      </c>
      <c r="I4604" s="25" t="str">
        <f t="shared" ca="1" si="469"/>
        <v/>
      </c>
      <c r="J4604" s="26" t="str">
        <f t="shared" ca="1" si="470"/>
        <v/>
      </c>
    </row>
    <row r="4605" spans="1:10" x14ac:dyDescent="0.25">
      <c r="A4605" t="s">
        <v>654</v>
      </c>
      <c r="B4605" t="str">
        <f>ADDRESS(ROW('PAYG 1'!$B$32),COLUMN('PAYG 1'!$B$32),4)</f>
        <v>B32</v>
      </c>
      <c r="C4605" t="str">
        <f>ADDRESS(ROW('PAYG 1'!$D$32),COLUMN('PAYG 1'!$D$32),4)</f>
        <v>D32</v>
      </c>
      <c r="D4605" t="b" cm="1">
        <f t="array" aca="1" ref="D4605" ca="1">IF(INDIRECT("'"&amp;A4605&amp;"'!"&amp;B4605)="",FALSE,IF(TRUNC(INDIRECT("'"&amp;A4605&amp;"'!"&amp;B4605))=INDIRECT("'"&amp;A4605&amp;"'!"&amp;B4605),FALSE,TRUE))</f>
        <v>0</v>
      </c>
      <c r="E4605" t="s">
        <v>436</v>
      </c>
      <c r="F4605" t="str">
        <f>INDEX(Lists!I:I,MATCH(Validation!E4605,Lists!G:G,0))</f>
        <v>Error</v>
      </c>
      <c r="G4605" t="str">
        <f>INDEX(Lists!H:H,MATCH(Validation!E4605,Lists!G:G,0))</f>
        <v>Amount must be rounded to the nearest dollar.</v>
      </c>
      <c r="H4605" s="25" t="str">
        <f t="shared" ca="1" si="468"/>
        <v/>
      </c>
      <c r="I4605" s="25" t="str">
        <f t="shared" ca="1" si="469"/>
        <v/>
      </c>
      <c r="J4605" s="26" t="str">
        <f t="shared" ca="1" si="470"/>
        <v/>
      </c>
    </row>
    <row r="4606" spans="1:10" x14ac:dyDescent="0.25">
      <c r="A4606" t="s">
        <v>655</v>
      </c>
      <c r="B4606" t="str">
        <f>ADDRESS(ROW('PAYG 1'!$B$32),COLUMN('PAYG 1'!$B$32),4)</f>
        <v>B32</v>
      </c>
      <c r="C4606" t="str">
        <f>ADDRESS(ROW('PAYG 1'!$D$32),COLUMN('PAYG 1'!$D$32),4)</f>
        <v>D32</v>
      </c>
      <c r="D4606" t="b" cm="1">
        <f t="array" aca="1" ref="D4606" ca="1">IF(INDIRECT("'"&amp;A4606&amp;"'!"&amp;B4606)="",FALSE,IF(TRUNC(INDIRECT("'"&amp;A4606&amp;"'!"&amp;B4606))=INDIRECT("'"&amp;A4606&amp;"'!"&amp;B4606),FALSE,TRUE))</f>
        <v>0</v>
      </c>
      <c r="E4606" t="s">
        <v>436</v>
      </c>
      <c r="F4606" t="str">
        <f>INDEX(Lists!I:I,MATCH(Validation!E4606,Lists!G:G,0))</f>
        <v>Error</v>
      </c>
      <c r="G4606" t="str">
        <f>INDEX(Lists!H:H,MATCH(Validation!E4606,Lists!G:G,0))</f>
        <v>Amount must be rounded to the nearest dollar.</v>
      </c>
      <c r="H4606" s="25" t="str">
        <f t="shared" ca="1" si="468"/>
        <v/>
      </c>
      <c r="I4606" s="25" t="str">
        <f t="shared" ca="1" si="469"/>
        <v/>
      </c>
      <c r="J4606" s="26" t="str">
        <f t="shared" ca="1" si="470"/>
        <v/>
      </c>
    </row>
    <row r="4607" spans="1:10" x14ac:dyDescent="0.25">
      <c r="A4607" t="s">
        <v>656</v>
      </c>
      <c r="B4607" t="str">
        <f>ADDRESS(ROW('PAYG 1'!$B$32),COLUMN('PAYG 1'!$B$32),4)</f>
        <v>B32</v>
      </c>
      <c r="C4607" t="str">
        <f>ADDRESS(ROW('PAYG 1'!$D$32),COLUMN('PAYG 1'!$D$32),4)</f>
        <v>D32</v>
      </c>
      <c r="D4607" t="b" cm="1">
        <f t="array" aca="1" ref="D4607" ca="1">IF(INDIRECT("'"&amp;A4607&amp;"'!"&amp;B4607)="",FALSE,IF(TRUNC(INDIRECT("'"&amp;A4607&amp;"'!"&amp;B4607))=INDIRECT("'"&amp;A4607&amp;"'!"&amp;B4607),FALSE,TRUE))</f>
        <v>0</v>
      </c>
      <c r="E4607" t="s">
        <v>436</v>
      </c>
      <c r="F4607" t="str">
        <f>INDEX(Lists!I:I,MATCH(Validation!E4607,Lists!G:G,0))</f>
        <v>Error</v>
      </c>
      <c r="G4607" t="str">
        <f>INDEX(Lists!H:H,MATCH(Validation!E4607,Lists!G:G,0))</f>
        <v>Amount must be rounded to the nearest dollar.</v>
      </c>
      <c r="H4607" s="25" t="str">
        <f t="shared" ca="1" si="468"/>
        <v/>
      </c>
      <c r="I4607" s="25" t="str">
        <f t="shared" ca="1" si="469"/>
        <v/>
      </c>
      <c r="J4607" s="26" t="str">
        <f t="shared" ca="1" si="470"/>
        <v/>
      </c>
    </row>
    <row r="4608" spans="1:10" x14ac:dyDescent="0.25">
      <c r="A4608" t="s">
        <v>657</v>
      </c>
      <c r="B4608" t="str">
        <f>ADDRESS(ROW('PAYG 1'!$B$32),COLUMN('PAYG 1'!$B$32),4)</f>
        <v>B32</v>
      </c>
      <c r="C4608" t="str">
        <f>ADDRESS(ROW('PAYG 1'!$D$32),COLUMN('PAYG 1'!$D$32),4)</f>
        <v>D32</v>
      </c>
      <c r="D4608" t="b" cm="1">
        <f t="array" aca="1" ref="D4608" ca="1">IF(INDIRECT("'"&amp;A4608&amp;"'!"&amp;B4608)="",FALSE,IF(TRUNC(INDIRECT("'"&amp;A4608&amp;"'!"&amp;B4608))=INDIRECT("'"&amp;A4608&amp;"'!"&amp;B4608),FALSE,TRUE))</f>
        <v>0</v>
      </c>
      <c r="E4608" t="s">
        <v>436</v>
      </c>
      <c r="F4608" t="str">
        <f>INDEX(Lists!I:I,MATCH(Validation!E4608,Lists!G:G,0))</f>
        <v>Error</v>
      </c>
      <c r="G4608" t="str">
        <f>INDEX(Lists!H:H,MATCH(Validation!E4608,Lists!G:G,0))</f>
        <v>Amount must be rounded to the nearest dollar.</v>
      </c>
      <c r="H4608" s="25" t="str">
        <f t="shared" ca="1" si="468"/>
        <v/>
      </c>
      <c r="I4608" s="25" t="str">
        <f t="shared" ca="1" si="469"/>
        <v/>
      </c>
      <c r="J4608" s="26" t="str">
        <f t="shared" ca="1" si="470"/>
        <v/>
      </c>
    </row>
    <row r="4609" spans="1:10" x14ac:dyDescent="0.25">
      <c r="A4609" t="s">
        <v>658</v>
      </c>
      <c r="B4609" t="str">
        <f>ADDRESS(ROW('PAYG 1'!$B$32),COLUMN('PAYG 1'!$B$32),4)</f>
        <v>B32</v>
      </c>
      <c r="C4609" t="str">
        <f>ADDRESS(ROW('PAYG 1'!$D$32),COLUMN('PAYG 1'!$D$32),4)</f>
        <v>D32</v>
      </c>
      <c r="D4609" t="b" cm="1">
        <f t="array" aca="1" ref="D4609" ca="1">IF(INDIRECT("'"&amp;A4609&amp;"'!"&amp;B4609)="",FALSE,IF(TRUNC(INDIRECT("'"&amp;A4609&amp;"'!"&amp;B4609))=INDIRECT("'"&amp;A4609&amp;"'!"&amp;B4609),FALSE,TRUE))</f>
        <v>0</v>
      </c>
      <c r="E4609" t="s">
        <v>436</v>
      </c>
      <c r="F4609" t="str">
        <f>INDEX(Lists!I:I,MATCH(Validation!E4609,Lists!G:G,0))</f>
        <v>Error</v>
      </c>
      <c r="G4609" t="str">
        <f>INDEX(Lists!H:H,MATCH(Validation!E4609,Lists!G:G,0))</f>
        <v>Amount must be rounded to the nearest dollar.</v>
      </c>
      <c r="H4609" s="25" t="str">
        <f t="shared" ca="1" si="468"/>
        <v/>
      </c>
      <c r="I4609" s="25" t="str">
        <f t="shared" ca="1" si="469"/>
        <v/>
      </c>
      <c r="J4609" s="26" t="str">
        <f t="shared" ca="1" si="470"/>
        <v/>
      </c>
    </row>
    <row r="4610" spans="1:10" x14ac:dyDescent="0.25">
      <c r="A4610" t="s">
        <v>659</v>
      </c>
      <c r="B4610" t="str">
        <f>ADDRESS(ROW('PAYG 1'!$B$32),COLUMN('PAYG 1'!$B$32),4)</f>
        <v>B32</v>
      </c>
      <c r="C4610" t="str">
        <f>ADDRESS(ROW('PAYG 1'!$D$32),COLUMN('PAYG 1'!$D$32),4)</f>
        <v>D32</v>
      </c>
      <c r="D4610" t="b" cm="1">
        <f t="array" aca="1" ref="D4610" ca="1">IF(INDIRECT("'"&amp;A4610&amp;"'!"&amp;B4610)="",FALSE,IF(TRUNC(INDIRECT("'"&amp;A4610&amp;"'!"&amp;B4610))=INDIRECT("'"&amp;A4610&amp;"'!"&amp;B4610),FALSE,TRUE))</f>
        <v>0</v>
      </c>
      <c r="E4610" t="s">
        <v>436</v>
      </c>
      <c r="F4610" t="str">
        <f>INDEX(Lists!I:I,MATCH(Validation!E4610,Lists!G:G,0))</f>
        <v>Error</v>
      </c>
      <c r="G4610" t="str">
        <f>INDEX(Lists!H:H,MATCH(Validation!E4610,Lists!G:G,0))</f>
        <v>Amount must be rounded to the nearest dollar.</v>
      </c>
      <c r="H4610" s="25" t="str">
        <f t="shared" ca="1" si="468"/>
        <v/>
      </c>
      <c r="I4610" s="25" t="str">
        <f t="shared" ca="1" si="469"/>
        <v/>
      </c>
      <c r="J4610" s="26" t="str">
        <f t="shared" ca="1" si="470"/>
        <v/>
      </c>
    </row>
    <row r="4611" spans="1:10" x14ac:dyDescent="0.25">
      <c r="A4611" t="s">
        <v>660</v>
      </c>
      <c r="B4611" t="str">
        <f>ADDRESS(ROW('PAYG 1'!$B$32),COLUMN('PAYG 1'!$B$32),4)</f>
        <v>B32</v>
      </c>
      <c r="C4611" t="str">
        <f>ADDRESS(ROW('PAYG 1'!$D$32),COLUMN('PAYG 1'!$D$32),4)</f>
        <v>D32</v>
      </c>
      <c r="D4611" t="b" cm="1">
        <f t="array" aca="1" ref="D4611" ca="1">IF(INDIRECT("'"&amp;A4611&amp;"'!"&amp;B4611)="",FALSE,IF(TRUNC(INDIRECT("'"&amp;A4611&amp;"'!"&amp;B4611))=INDIRECT("'"&amp;A4611&amp;"'!"&amp;B4611),FALSE,TRUE))</f>
        <v>0</v>
      </c>
      <c r="E4611" t="s">
        <v>436</v>
      </c>
      <c r="F4611" t="str">
        <f>INDEX(Lists!I:I,MATCH(Validation!E4611,Lists!G:G,0))</f>
        <v>Error</v>
      </c>
      <c r="G4611" t="str">
        <f>INDEX(Lists!H:H,MATCH(Validation!E4611,Lists!G:G,0))</f>
        <v>Amount must be rounded to the nearest dollar.</v>
      </c>
      <c r="H4611" s="25" t="str">
        <f t="shared" ca="1" si="468"/>
        <v/>
      </c>
      <c r="I4611" s="25" t="str">
        <f t="shared" ca="1" si="469"/>
        <v/>
      </c>
      <c r="J4611" s="26" t="str">
        <f t="shared" ca="1" si="470"/>
        <v/>
      </c>
    </row>
    <row r="4612" spans="1:10" x14ac:dyDescent="0.25">
      <c r="A4612" t="s">
        <v>661</v>
      </c>
      <c r="B4612" t="str">
        <f>ADDRESS(ROW('PAYG 1'!$B$32),COLUMN('PAYG 1'!$B$32),4)</f>
        <v>B32</v>
      </c>
      <c r="C4612" t="str">
        <f>ADDRESS(ROW('PAYG 1'!$D$32),COLUMN('PAYG 1'!$D$32),4)</f>
        <v>D32</v>
      </c>
      <c r="D4612" t="b" cm="1">
        <f t="array" aca="1" ref="D4612" ca="1">IF(INDIRECT("'"&amp;A4612&amp;"'!"&amp;B4612)="",FALSE,IF(TRUNC(INDIRECT("'"&amp;A4612&amp;"'!"&amp;B4612))=INDIRECT("'"&amp;A4612&amp;"'!"&amp;B4612),FALSE,TRUE))</f>
        <v>0</v>
      </c>
      <c r="E4612" t="s">
        <v>436</v>
      </c>
      <c r="F4612" t="str">
        <f>INDEX(Lists!I:I,MATCH(Validation!E4612,Lists!G:G,0))</f>
        <v>Error</v>
      </c>
      <c r="G4612" t="str">
        <f>INDEX(Lists!H:H,MATCH(Validation!E4612,Lists!G:G,0))</f>
        <v>Amount must be rounded to the nearest dollar.</v>
      </c>
      <c r="H4612" s="25" t="str">
        <f t="shared" ca="1" si="468"/>
        <v/>
      </c>
      <c r="I4612" s="25" t="str">
        <f t="shared" ca="1" si="469"/>
        <v/>
      </c>
      <c r="J4612" s="26" t="str">
        <f t="shared" ca="1" si="470"/>
        <v/>
      </c>
    </row>
    <row r="4613" spans="1:10" x14ac:dyDescent="0.25">
      <c r="A4613" t="s">
        <v>662</v>
      </c>
      <c r="B4613" t="str">
        <f>ADDRESS(ROW('PAYG 1'!$B$32),COLUMN('PAYG 1'!$B$32),4)</f>
        <v>B32</v>
      </c>
      <c r="C4613" t="str">
        <f>ADDRESS(ROW('PAYG 1'!$D$32),COLUMN('PAYG 1'!$D$32),4)</f>
        <v>D32</v>
      </c>
      <c r="D4613" t="b" cm="1">
        <f t="array" aca="1" ref="D4613" ca="1">IF(INDIRECT("'"&amp;A4613&amp;"'!"&amp;B4613)="",FALSE,IF(TRUNC(INDIRECT("'"&amp;A4613&amp;"'!"&amp;B4613))=INDIRECT("'"&amp;A4613&amp;"'!"&amp;B4613),FALSE,TRUE))</f>
        <v>0</v>
      </c>
      <c r="E4613" t="s">
        <v>436</v>
      </c>
      <c r="F4613" t="str">
        <f>INDEX(Lists!I:I,MATCH(Validation!E4613,Lists!G:G,0))</f>
        <v>Error</v>
      </c>
      <c r="G4613" t="str">
        <f>INDEX(Lists!H:H,MATCH(Validation!E4613,Lists!G:G,0))</f>
        <v>Amount must be rounded to the nearest dollar.</v>
      </c>
      <c r="H4613" s="25" t="str">
        <f t="shared" ca="1" si="468"/>
        <v/>
      </c>
      <c r="I4613" s="25" t="str">
        <f t="shared" ca="1" si="469"/>
        <v/>
      </c>
      <c r="J4613" s="26" t="str">
        <f t="shared" ca="1" si="470"/>
        <v/>
      </c>
    </row>
    <row r="4614" spans="1:10" x14ac:dyDescent="0.25">
      <c r="A4614" t="s">
        <v>663</v>
      </c>
      <c r="B4614" t="str">
        <f>ADDRESS(ROW('PAYG 1'!$B$32),COLUMN('PAYG 1'!$B$32),4)</f>
        <v>B32</v>
      </c>
      <c r="C4614" t="str">
        <f>ADDRESS(ROW('PAYG 1'!$D$32),COLUMN('PAYG 1'!$D$32),4)</f>
        <v>D32</v>
      </c>
      <c r="D4614" t="b" cm="1">
        <f t="array" aca="1" ref="D4614" ca="1">IF(INDIRECT("'"&amp;A4614&amp;"'!"&amp;B4614)="",FALSE,IF(TRUNC(INDIRECT("'"&amp;A4614&amp;"'!"&amp;B4614))=INDIRECT("'"&amp;A4614&amp;"'!"&amp;B4614),FALSE,TRUE))</f>
        <v>0</v>
      </c>
      <c r="E4614" t="s">
        <v>436</v>
      </c>
      <c r="F4614" t="str">
        <f>INDEX(Lists!I:I,MATCH(Validation!E4614,Lists!G:G,0))</f>
        <v>Error</v>
      </c>
      <c r="G4614" t="str">
        <f>INDEX(Lists!H:H,MATCH(Validation!E4614,Lists!G:G,0))</f>
        <v>Amount must be rounded to the nearest dollar.</v>
      </c>
      <c r="H4614" s="25" t="str">
        <f t="shared" ca="1" si="468"/>
        <v/>
      </c>
      <c r="I4614" s="25" t="str">
        <f t="shared" ca="1" si="469"/>
        <v/>
      </c>
      <c r="J4614" s="26" t="str">
        <f t="shared" ca="1" si="470"/>
        <v/>
      </c>
    </row>
    <row r="4615" spans="1:10" x14ac:dyDescent="0.25">
      <c r="A4615" t="s">
        <v>664</v>
      </c>
      <c r="B4615" t="str">
        <f>ADDRESS(ROW('PAYG 1'!$B$32),COLUMN('PAYG 1'!$B$32),4)</f>
        <v>B32</v>
      </c>
      <c r="C4615" t="str">
        <f>ADDRESS(ROW('PAYG 1'!$D$32),COLUMN('PAYG 1'!$D$32),4)</f>
        <v>D32</v>
      </c>
      <c r="D4615" t="b" cm="1">
        <f t="array" aca="1" ref="D4615" ca="1">IF(INDIRECT("'"&amp;A4615&amp;"'!"&amp;B4615)="",FALSE,IF(TRUNC(INDIRECT("'"&amp;A4615&amp;"'!"&amp;B4615))=INDIRECT("'"&amp;A4615&amp;"'!"&amp;B4615),FALSE,TRUE))</f>
        <v>0</v>
      </c>
      <c r="E4615" t="s">
        <v>436</v>
      </c>
      <c r="F4615" t="str">
        <f>INDEX(Lists!I:I,MATCH(Validation!E4615,Lists!G:G,0))</f>
        <v>Error</v>
      </c>
      <c r="G4615" t="str">
        <f>INDEX(Lists!H:H,MATCH(Validation!E4615,Lists!G:G,0))</f>
        <v>Amount must be rounded to the nearest dollar.</v>
      </c>
      <c r="H4615" s="25" t="str">
        <f t="shared" ca="1" si="468"/>
        <v/>
      </c>
      <c r="I4615" s="25" t="str">
        <f t="shared" ca="1" si="469"/>
        <v/>
      </c>
      <c r="J4615" s="26" t="str">
        <f t="shared" ca="1" si="470"/>
        <v/>
      </c>
    </row>
    <row r="4616" spans="1:10" x14ac:dyDescent="0.25">
      <c r="A4616" t="s">
        <v>203</v>
      </c>
      <c r="B4616" t="str">
        <f>ADDRESS(ROW('PAYG 1'!$A$34),COLUMN('PAYG 1'!$A$34),4)</f>
        <v>A34</v>
      </c>
      <c r="C4616" t="str">
        <f>ADDRESS(ROW('PAYG 1'!$D$33),COLUMN('PAYG 1'!$D$33),4)</f>
        <v>D33</v>
      </c>
      <c r="D4616" t="b" cm="1">
        <f t="array" aca="1" ref="D4616" ca="1">IF(ISBLANK(INDIRECT("'"&amp;A4616&amp;"'!"&amp;B4616)),FALSE,IF(LEN(TRIM(CLEAN(INDIRECT("'"&amp;A4616&amp;"'!"&amp;B4616))))&lt;15,TRUE,FALSE))</f>
        <v>0</v>
      </c>
      <c r="E4616" t="s">
        <v>635</v>
      </c>
      <c r="F4616" t="str">
        <f>INDEX(Lists!I:I,MATCH(Validation!E4616,Lists!G:G,0))</f>
        <v>Error</v>
      </c>
      <c r="G4616" t="str">
        <f>INDEX(Lists!H:H,MATCH(Validation!E4616,Lists!G:G,0))</f>
        <v>Insufficient information. Please provide a longer comment.</v>
      </c>
      <c r="H4616" s="25" t="str">
        <f t="shared" ca="1" si="468"/>
        <v/>
      </c>
      <c r="I4616" s="25" t="str">
        <f t="shared" ca="1" si="469"/>
        <v/>
      </c>
      <c r="J4616" s="26" t="str">
        <f t="shared" ca="1" si="470"/>
        <v/>
      </c>
    </row>
    <row r="4617" spans="1:10" x14ac:dyDescent="0.25">
      <c r="A4617" t="s">
        <v>651</v>
      </c>
      <c r="B4617" t="str">
        <f>ADDRESS(ROW('PAYG 1'!$A$34),COLUMN('PAYG 1'!$A$34),4)</f>
        <v>A34</v>
      </c>
      <c r="C4617" t="str">
        <f>ADDRESS(ROW('PAYG 1'!$D$33),COLUMN('PAYG 1'!$D$33),4)</f>
        <v>D33</v>
      </c>
      <c r="D4617" t="b" cm="1">
        <f t="array" aca="1" ref="D4617" ca="1">IF(ISBLANK(INDIRECT("'"&amp;A4617&amp;"'!"&amp;B4617)),FALSE,IF(LEN(TRIM(CLEAN(INDIRECT("'"&amp;A4617&amp;"'!"&amp;B4617))))&lt;15,TRUE,FALSE))</f>
        <v>0</v>
      </c>
      <c r="E4617" t="s">
        <v>635</v>
      </c>
      <c r="F4617" t="str">
        <f>INDEX(Lists!I:I,MATCH(Validation!E4617,Lists!G:G,0))</f>
        <v>Error</v>
      </c>
      <c r="G4617" t="str">
        <f>INDEX(Lists!H:H,MATCH(Validation!E4617,Lists!G:G,0))</f>
        <v>Insufficient information. Please provide a longer comment.</v>
      </c>
      <c r="H4617" s="25" t="str">
        <f t="shared" ca="1" si="468"/>
        <v/>
      </c>
      <c r="I4617" s="25" t="str">
        <f t="shared" ca="1" si="469"/>
        <v/>
      </c>
      <c r="J4617" s="26" t="str">
        <f t="shared" ca="1" si="470"/>
        <v/>
      </c>
    </row>
    <row r="4618" spans="1:10" x14ac:dyDescent="0.25">
      <c r="A4618" t="s">
        <v>652</v>
      </c>
      <c r="B4618" t="str">
        <f>ADDRESS(ROW('PAYG 1'!$A$34),COLUMN('PAYG 1'!$A$34),4)</f>
        <v>A34</v>
      </c>
      <c r="C4618" t="str">
        <f>ADDRESS(ROW('PAYG 1'!$D$33),COLUMN('PAYG 1'!$D$33),4)</f>
        <v>D33</v>
      </c>
      <c r="D4618" t="b" cm="1">
        <f t="array" aca="1" ref="D4618" ca="1">IF(ISBLANK(INDIRECT("'"&amp;A4618&amp;"'!"&amp;B4618)),FALSE,IF(LEN(TRIM(CLEAN(INDIRECT("'"&amp;A4618&amp;"'!"&amp;B4618))))&lt;15,TRUE,FALSE))</f>
        <v>0</v>
      </c>
      <c r="E4618" t="s">
        <v>635</v>
      </c>
      <c r="F4618" t="str">
        <f>INDEX(Lists!I:I,MATCH(Validation!E4618,Lists!G:G,0))</f>
        <v>Error</v>
      </c>
      <c r="G4618" t="str">
        <f>INDEX(Lists!H:H,MATCH(Validation!E4618,Lists!G:G,0))</f>
        <v>Insufficient information. Please provide a longer comment.</v>
      </c>
      <c r="H4618" s="25" t="str">
        <f t="shared" ca="1" si="468"/>
        <v/>
      </c>
      <c r="I4618" s="25" t="str">
        <f t="shared" ca="1" si="469"/>
        <v/>
      </c>
      <c r="J4618" s="26" t="str">
        <f t="shared" ca="1" si="470"/>
        <v/>
      </c>
    </row>
    <row r="4619" spans="1:10" x14ac:dyDescent="0.25">
      <c r="A4619" t="s">
        <v>653</v>
      </c>
      <c r="B4619" t="str">
        <f>ADDRESS(ROW('PAYG 1'!$A$34),COLUMN('PAYG 1'!$A$34),4)</f>
        <v>A34</v>
      </c>
      <c r="C4619" t="str">
        <f>ADDRESS(ROW('PAYG 1'!$D$33),COLUMN('PAYG 1'!$D$33),4)</f>
        <v>D33</v>
      </c>
      <c r="D4619" t="b" cm="1">
        <f t="array" aca="1" ref="D4619" ca="1">IF(ISBLANK(INDIRECT("'"&amp;A4619&amp;"'!"&amp;B4619)),FALSE,IF(LEN(TRIM(CLEAN(INDIRECT("'"&amp;A4619&amp;"'!"&amp;B4619))))&lt;15,TRUE,FALSE))</f>
        <v>0</v>
      </c>
      <c r="E4619" t="s">
        <v>635</v>
      </c>
      <c r="F4619" t="str">
        <f>INDEX(Lists!I:I,MATCH(Validation!E4619,Lists!G:G,0))</f>
        <v>Error</v>
      </c>
      <c r="G4619" t="str">
        <f>INDEX(Lists!H:H,MATCH(Validation!E4619,Lists!G:G,0))</f>
        <v>Insufficient information. Please provide a longer comment.</v>
      </c>
      <c r="H4619" s="25" t="str">
        <f t="shared" ca="1" si="468"/>
        <v/>
      </c>
      <c r="I4619" s="25" t="str">
        <f t="shared" ca="1" si="469"/>
        <v/>
      </c>
      <c r="J4619" s="26" t="str">
        <f t="shared" ca="1" si="470"/>
        <v/>
      </c>
    </row>
    <row r="4620" spans="1:10" x14ac:dyDescent="0.25">
      <c r="A4620" t="s">
        <v>654</v>
      </c>
      <c r="B4620" t="str">
        <f>ADDRESS(ROW('PAYG 1'!$A$34),COLUMN('PAYG 1'!$A$34),4)</f>
        <v>A34</v>
      </c>
      <c r="C4620" t="str">
        <f>ADDRESS(ROW('PAYG 1'!$D$33),COLUMN('PAYG 1'!$D$33),4)</f>
        <v>D33</v>
      </c>
      <c r="D4620" t="b" cm="1">
        <f t="array" aca="1" ref="D4620" ca="1">IF(ISBLANK(INDIRECT("'"&amp;A4620&amp;"'!"&amp;B4620)),FALSE,IF(LEN(TRIM(CLEAN(INDIRECT("'"&amp;A4620&amp;"'!"&amp;B4620))))&lt;15,TRUE,FALSE))</f>
        <v>0</v>
      </c>
      <c r="E4620" t="s">
        <v>635</v>
      </c>
      <c r="F4620" t="str">
        <f>INDEX(Lists!I:I,MATCH(Validation!E4620,Lists!G:G,0))</f>
        <v>Error</v>
      </c>
      <c r="G4620" t="str">
        <f>INDEX(Lists!H:H,MATCH(Validation!E4620,Lists!G:G,0))</f>
        <v>Insufficient information. Please provide a longer comment.</v>
      </c>
      <c r="H4620" s="25" t="str">
        <f t="shared" ca="1" si="468"/>
        <v/>
      </c>
      <c r="I4620" s="25" t="str">
        <f t="shared" ca="1" si="469"/>
        <v/>
      </c>
      <c r="J4620" s="26" t="str">
        <f t="shared" ca="1" si="470"/>
        <v/>
      </c>
    </row>
    <row r="4621" spans="1:10" x14ac:dyDescent="0.25">
      <c r="A4621" t="s">
        <v>655</v>
      </c>
      <c r="B4621" t="str">
        <f>ADDRESS(ROW('PAYG 1'!$A$34),COLUMN('PAYG 1'!$A$34),4)</f>
        <v>A34</v>
      </c>
      <c r="C4621" t="str">
        <f>ADDRESS(ROW('PAYG 1'!$D$33),COLUMN('PAYG 1'!$D$33),4)</f>
        <v>D33</v>
      </c>
      <c r="D4621" t="b" cm="1">
        <f t="array" aca="1" ref="D4621" ca="1">IF(ISBLANK(INDIRECT("'"&amp;A4621&amp;"'!"&amp;B4621)),FALSE,IF(LEN(TRIM(CLEAN(INDIRECT("'"&amp;A4621&amp;"'!"&amp;B4621))))&lt;15,TRUE,FALSE))</f>
        <v>0</v>
      </c>
      <c r="E4621" t="s">
        <v>635</v>
      </c>
      <c r="F4621" t="str">
        <f>INDEX(Lists!I:I,MATCH(Validation!E4621,Lists!G:G,0))</f>
        <v>Error</v>
      </c>
      <c r="G4621" t="str">
        <f>INDEX(Lists!H:H,MATCH(Validation!E4621,Lists!G:G,0))</f>
        <v>Insufficient information. Please provide a longer comment.</v>
      </c>
      <c r="H4621" s="25" t="str">
        <f t="shared" ca="1" si="468"/>
        <v/>
      </c>
      <c r="I4621" s="25" t="str">
        <f t="shared" ca="1" si="469"/>
        <v/>
      </c>
      <c r="J4621" s="26" t="str">
        <f t="shared" ca="1" si="470"/>
        <v/>
      </c>
    </row>
    <row r="4622" spans="1:10" x14ac:dyDescent="0.25">
      <c r="A4622" t="s">
        <v>656</v>
      </c>
      <c r="B4622" t="str">
        <f>ADDRESS(ROW('PAYG 1'!$A$34),COLUMN('PAYG 1'!$A$34),4)</f>
        <v>A34</v>
      </c>
      <c r="C4622" t="str">
        <f>ADDRESS(ROW('PAYG 1'!$D$33),COLUMN('PAYG 1'!$D$33),4)</f>
        <v>D33</v>
      </c>
      <c r="D4622" t="b" cm="1">
        <f t="array" aca="1" ref="D4622" ca="1">IF(ISBLANK(INDIRECT("'"&amp;A4622&amp;"'!"&amp;B4622)),FALSE,IF(LEN(TRIM(CLEAN(INDIRECT("'"&amp;A4622&amp;"'!"&amp;B4622))))&lt;15,TRUE,FALSE))</f>
        <v>0</v>
      </c>
      <c r="E4622" t="s">
        <v>635</v>
      </c>
      <c r="F4622" t="str">
        <f>INDEX(Lists!I:I,MATCH(Validation!E4622,Lists!G:G,0))</f>
        <v>Error</v>
      </c>
      <c r="G4622" t="str">
        <f>INDEX(Lists!H:H,MATCH(Validation!E4622,Lists!G:G,0))</f>
        <v>Insufficient information. Please provide a longer comment.</v>
      </c>
      <c r="H4622" s="25" t="str">
        <f t="shared" ca="1" si="468"/>
        <v/>
      </c>
      <c r="I4622" s="25" t="str">
        <f t="shared" ca="1" si="469"/>
        <v/>
      </c>
      <c r="J4622" s="26" t="str">
        <f t="shared" ca="1" si="470"/>
        <v/>
      </c>
    </row>
    <row r="4623" spans="1:10" x14ac:dyDescent="0.25">
      <c r="A4623" t="s">
        <v>657</v>
      </c>
      <c r="B4623" t="str">
        <f>ADDRESS(ROW('PAYG 1'!$A$34),COLUMN('PAYG 1'!$A$34),4)</f>
        <v>A34</v>
      </c>
      <c r="C4623" t="str">
        <f>ADDRESS(ROW('PAYG 1'!$D$33),COLUMN('PAYG 1'!$D$33),4)</f>
        <v>D33</v>
      </c>
      <c r="D4623" t="b" cm="1">
        <f t="array" aca="1" ref="D4623" ca="1">IF(ISBLANK(INDIRECT("'"&amp;A4623&amp;"'!"&amp;B4623)),FALSE,IF(LEN(TRIM(CLEAN(INDIRECT("'"&amp;A4623&amp;"'!"&amp;B4623))))&lt;15,TRUE,FALSE))</f>
        <v>0</v>
      </c>
      <c r="E4623" t="s">
        <v>635</v>
      </c>
      <c r="F4623" t="str">
        <f>INDEX(Lists!I:I,MATCH(Validation!E4623,Lists!G:G,0))</f>
        <v>Error</v>
      </c>
      <c r="G4623" t="str">
        <f>INDEX(Lists!H:H,MATCH(Validation!E4623,Lists!G:G,0))</f>
        <v>Insufficient information. Please provide a longer comment.</v>
      </c>
      <c r="H4623" s="25" t="str">
        <f t="shared" ca="1" si="468"/>
        <v/>
      </c>
      <c r="I4623" s="25" t="str">
        <f t="shared" ca="1" si="469"/>
        <v/>
      </c>
      <c r="J4623" s="26" t="str">
        <f t="shared" ca="1" si="470"/>
        <v/>
      </c>
    </row>
    <row r="4624" spans="1:10" x14ac:dyDescent="0.25">
      <c r="A4624" t="s">
        <v>658</v>
      </c>
      <c r="B4624" t="str">
        <f>ADDRESS(ROW('PAYG 1'!$A$34),COLUMN('PAYG 1'!$A$34),4)</f>
        <v>A34</v>
      </c>
      <c r="C4624" t="str">
        <f>ADDRESS(ROW('PAYG 1'!$D$33),COLUMN('PAYG 1'!$D$33),4)</f>
        <v>D33</v>
      </c>
      <c r="D4624" t="b" cm="1">
        <f t="array" aca="1" ref="D4624" ca="1">IF(ISBLANK(INDIRECT("'"&amp;A4624&amp;"'!"&amp;B4624)),FALSE,IF(LEN(TRIM(CLEAN(INDIRECT("'"&amp;A4624&amp;"'!"&amp;B4624))))&lt;15,TRUE,FALSE))</f>
        <v>0</v>
      </c>
      <c r="E4624" t="s">
        <v>635</v>
      </c>
      <c r="F4624" t="str">
        <f>INDEX(Lists!I:I,MATCH(Validation!E4624,Lists!G:G,0))</f>
        <v>Error</v>
      </c>
      <c r="G4624" t="str">
        <f>INDEX(Lists!H:H,MATCH(Validation!E4624,Lists!G:G,0))</f>
        <v>Insufficient information. Please provide a longer comment.</v>
      </c>
      <c r="H4624" s="25" t="str">
        <f t="shared" ca="1" si="468"/>
        <v/>
      </c>
      <c r="I4624" s="25" t="str">
        <f t="shared" ca="1" si="469"/>
        <v/>
      </c>
      <c r="J4624" s="26" t="str">
        <f t="shared" ca="1" si="470"/>
        <v/>
      </c>
    </row>
    <row r="4625" spans="1:10" x14ac:dyDescent="0.25">
      <c r="A4625" t="s">
        <v>659</v>
      </c>
      <c r="B4625" t="str">
        <f>ADDRESS(ROW('PAYG 1'!$A$34),COLUMN('PAYG 1'!$A$34),4)</f>
        <v>A34</v>
      </c>
      <c r="C4625" t="str">
        <f>ADDRESS(ROW('PAYG 1'!$D$33),COLUMN('PAYG 1'!$D$33),4)</f>
        <v>D33</v>
      </c>
      <c r="D4625" t="b" cm="1">
        <f t="array" aca="1" ref="D4625" ca="1">IF(ISBLANK(INDIRECT("'"&amp;A4625&amp;"'!"&amp;B4625)),FALSE,IF(LEN(TRIM(CLEAN(INDIRECT("'"&amp;A4625&amp;"'!"&amp;B4625))))&lt;15,TRUE,FALSE))</f>
        <v>0</v>
      </c>
      <c r="E4625" t="s">
        <v>635</v>
      </c>
      <c r="F4625" t="str">
        <f>INDEX(Lists!I:I,MATCH(Validation!E4625,Lists!G:G,0))</f>
        <v>Error</v>
      </c>
      <c r="G4625" t="str">
        <f>INDEX(Lists!H:H,MATCH(Validation!E4625,Lists!G:G,0))</f>
        <v>Insufficient information. Please provide a longer comment.</v>
      </c>
      <c r="H4625" s="25" t="str">
        <f t="shared" ca="1" si="468"/>
        <v/>
      </c>
      <c r="I4625" s="25" t="str">
        <f t="shared" ca="1" si="469"/>
        <v/>
      </c>
      <c r="J4625" s="26" t="str">
        <f t="shared" ca="1" si="470"/>
        <v/>
      </c>
    </row>
    <row r="4626" spans="1:10" x14ac:dyDescent="0.25">
      <c r="A4626" t="s">
        <v>660</v>
      </c>
      <c r="B4626" t="str">
        <f>ADDRESS(ROW('PAYG 1'!$A$34),COLUMN('PAYG 1'!$A$34),4)</f>
        <v>A34</v>
      </c>
      <c r="C4626" t="str">
        <f>ADDRESS(ROW('PAYG 1'!$D$33),COLUMN('PAYG 1'!$D$33),4)</f>
        <v>D33</v>
      </c>
      <c r="D4626" t="b" cm="1">
        <f t="array" aca="1" ref="D4626" ca="1">IF(ISBLANK(INDIRECT("'"&amp;A4626&amp;"'!"&amp;B4626)),FALSE,IF(LEN(TRIM(CLEAN(INDIRECT("'"&amp;A4626&amp;"'!"&amp;B4626))))&lt;15,TRUE,FALSE))</f>
        <v>0</v>
      </c>
      <c r="E4626" t="s">
        <v>635</v>
      </c>
      <c r="F4626" t="str">
        <f>INDEX(Lists!I:I,MATCH(Validation!E4626,Lists!G:G,0))</f>
        <v>Error</v>
      </c>
      <c r="G4626" t="str">
        <f>INDEX(Lists!H:H,MATCH(Validation!E4626,Lists!G:G,0))</f>
        <v>Insufficient information. Please provide a longer comment.</v>
      </c>
      <c r="H4626" s="25" t="str">
        <f t="shared" ca="1" si="468"/>
        <v/>
      </c>
      <c r="I4626" s="25" t="str">
        <f t="shared" ca="1" si="469"/>
        <v/>
      </c>
      <c r="J4626" s="26" t="str">
        <f t="shared" ca="1" si="470"/>
        <v/>
      </c>
    </row>
    <row r="4627" spans="1:10" x14ac:dyDescent="0.25">
      <c r="A4627" t="s">
        <v>661</v>
      </c>
      <c r="B4627" t="str">
        <f>ADDRESS(ROW('PAYG 1'!$A$34),COLUMN('PAYG 1'!$A$34),4)</f>
        <v>A34</v>
      </c>
      <c r="C4627" t="str">
        <f>ADDRESS(ROW('PAYG 1'!$D$33),COLUMN('PAYG 1'!$D$33),4)</f>
        <v>D33</v>
      </c>
      <c r="D4627" t="b" cm="1">
        <f t="array" aca="1" ref="D4627" ca="1">IF(ISBLANK(INDIRECT("'"&amp;A4627&amp;"'!"&amp;B4627)),FALSE,IF(LEN(TRIM(CLEAN(INDIRECT("'"&amp;A4627&amp;"'!"&amp;B4627))))&lt;15,TRUE,FALSE))</f>
        <v>0</v>
      </c>
      <c r="E4627" t="s">
        <v>635</v>
      </c>
      <c r="F4627" t="str">
        <f>INDEX(Lists!I:I,MATCH(Validation!E4627,Lists!G:G,0))</f>
        <v>Error</v>
      </c>
      <c r="G4627" t="str">
        <f>INDEX(Lists!H:H,MATCH(Validation!E4627,Lists!G:G,0))</f>
        <v>Insufficient information. Please provide a longer comment.</v>
      </c>
      <c r="H4627" s="25" t="str">
        <f t="shared" ca="1" si="468"/>
        <v/>
      </c>
      <c r="I4627" s="25" t="str">
        <f t="shared" ca="1" si="469"/>
        <v/>
      </c>
      <c r="J4627" s="26" t="str">
        <f t="shared" ca="1" si="470"/>
        <v/>
      </c>
    </row>
    <row r="4628" spans="1:10" x14ac:dyDescent="0.25">
      <c r="A4628" t="s">
        <v>662</v>
      </c>
      <c r="B4628" t="str">
        <f>ADDRESS(ROW('PAYG 1'!$A$34),COLUMN('PAYG 1'!$A$34),4)</f>
        <v>A34</v>
      </c>
      <c r="C4628" t="str">
        <f>ADDRESS(ROW('PAYG 1'!$D$33),COLUMN('PAYG 1'!$D$33),4)</f>
        <v>D33</v>
      </c>
      <c r="D4628" t="b" cm="1">
        <f t="array" aca="1" ref="D4628" ca="1">IF(ISBLANK(INDIRECT("'"&amp;A4628&amp;"'!"&amp;B4628)),FALSE,IF(LEN(TRIM(CLEAN(INDIRECT("'"&amp;A4628&amp;"'!"&amp;B4628))))&lt;15,TRUE,FALSE))</f>
        <v>0</v>
      </c>
      <c r="E4628" t="s">
        <v>635</v>
      </c>
      <c r="F4628" t="str">
        <f>INDEX(Lists!I:I,MATCH(Validation!E4628,Lists!G:G,0))</f>
        <v>Error</v>
      </c>
      <c r="G4628" t="str">
        <f>INDEX(Lists!H:H,MATCH(Validation!E4628,Lists!G:G,0))</f>
        <v>Insufficient information. Please provide a longer comment.</v>
      </c>
      <c r="H4628" s="25" t="str">
        <f t="shared" ca="1" si="468"/>
        <v/>
      </c>
      <c r="I4628" s="25" t="str">
        <f t="shared" ca="1" si="469"/>
        <v/>
      </c>
      <c r="J4628" s="26" t="str">
        <f t="shared" ca="1" si="470"/>
        <v/>
      </c>
    </row>
    <row r="4629" spans="1:10" x14ac:dyDescent="0.25">
      <c r="A4629" t="s">
        <v>663</v>
      </c>
      <c r="B4629" t="str">
        <f>ADDRESS(ROW('PAYG 1'!$A$34),COLUMN('PAYG 1'!$A$34),4)</f>
        <v>A34</v>
      </c>
      <c r="C4629" t="str">
        <f>ADDRESS(ROW('PAYG 1'!$D$33),COLUMN('PAYG 1'!$D$33),4)</f>
        <v>D33</v>
      </c>
      <c r="D4629" t="b" cm="1">
        <f t="array" aca="1" ref="D4629" ca="1">IF(ISBLANK(INDIRECT("'"&amp;A4629&amp;"'!"&amp;B4629)),FALSE,IF(LEN(TRIM(CLEAN(INDIRECT("'"&amp;A4629&amp;"'!"&amp;B4629))))&lt;15,TRUE,FALSE))</f>
        <v>0</v>
      </c>
      <c r="E4629" t="s">
        <v>635</v>
      </c>
      <c r="F4629" t="str">
        <f>INDEX(Lists!I:I,MATCH(Validation!E4629,Lists!G:G,0))</f>
        <v>Error</v>
      </c>
      <c r="G4629" t="str">
        <f>INDEX(Lists!H:H,MATCH(Validation!E4629,Lists!G:G,0))</f>
        <v>Insufficient information. Please provide a longer comment.</v>
      </c>
      <c r="H4629" s="25" t="str">
        <f t="shared" ca="1" si="468"/>
        <v/>
      </c>
      <c r="I4629" s="25" t="str">
        <f t="shared" ca="1" si="469"/>
        <v/>
      </c>
      <c r="J4629" s="26" t="str">
        <f t="shared" ca="1" si="470"/>
        <v/>
      </c>
    </row>
    <row r="4630" spans="1:10" x14ac:dyDescent="0.25">
      <c r="A4630" t="s">
        <v>664</v>
      </c>
      <c r="B4630" t="str">
        <f>ADDRESS(ROW('PAYG 1'!$A$34),COLUMN('PAYG 1'!$A$34),4)</f>
        <v>A34</v>
      </c>
      <c r="C4630" t="str">
        <f>ADDRESS(ROW('PAYG 1'!$D$33),COLUMN('PAYG 1'!$D$33),4)</f>
        <v>D33</v>
      </c>
      <c r="D4630" t="b" cm="1">
        <f t="array" aca="1" ref="D4630" ca="1">IF(ISBLANK(INDIRECT("'"&amp;A4630&amp;"'!"&amp;B4630)),FALSE,IF(LEN(TRIM(CLEAN(INDIRECT("'"&amp;A4630&amp;"'!"&amp;B4630))))&lt;15,TRUE,FALSE))</f>
        <v>0</v>
      </c>
      <c r="E4630" t="s">
        <v>635</v>
      </c>
      <c r="F4630" t="str">
        <f>INDEX(Lists!I:I,MATCH(Validation!E4630,Lists!G:G,0))</f>
        <v>Error</v>
      </c>
      <c r="G4630" t="str">
        <f>INDEX(Lists!H:H,MATCH(Validation!E4630,Lists!G:G,0))</f>
        <v>Insufficient information. Please provide a longer comment.</v>
      </c>
      <c r="H4630" s="25" t="str">
        <f t="shared" ca="1" si="468"/>
        <v/>
      </c>
      <c r="I4630" s="25" t="str">
        <f t="shared" ca="1" si="469"/>
        <v/>
      </c>
      <c r="J4630" s="26" t="str">
        <f t="shared" ca="1" si="470"/>
        <v/>
      </c>
    </row>
    <row r="4631" spans="1:10" x14ac:dyDescent="0.25">
      <c r="A4631" t="s">
        <v>203</v>
      </c>
      <c r="B4631" t="str">
        <f>ADDRESS(ROW('PAYG 1'!$A$34),COLUMN('PAYG 1'!$A$34),4)</f>
        <v>A34</v>
      </c>
      <c r="C4631" t="str">
        <f>ADDRESS(ROW('PAYG 1'!$D$33),COLUMN('PAYG 1'!$D$33),4)</f>
        <v>D33</v>
      </c>
      <c r="D4631" t="b" cm="1">
        <f t="array" aca="1" ref="D4631" ca="1">IF(LEN(INDIRECT("'"&amp;A4631&amp;"'!"&amp;B4631))&gt;500,TRUE,FALSE)</f>
        <v>0</v>
      </c>
      <c r="E4631" t="s">
        <v>636</v>
      </c>
      <c r="F4631" t="str">
        <f>INDEX(Lists!I:I,MATCH(Validation!E4631,Lists!G:G,0))</f>
        <v>Error</v>
      </c>
      <c r="G4631" t="str">
        <f>INDEX(Lists!H:H,MATCH(Validation!E4631,Lists!G:G,0))</f>
        <v>Comments cannot exceed 500 characters. (Limit length. Send email to further explain.)</v>
      </c>
      <c r="H4631" s="25" t="str">
        <f t="shared" ca="1" si="468"/>
        <v/>
      </c>
      <c r="I4631" s="25" t="str">
        <f t="shared" ca="1" si="469"/>
        <v/>
      </c>
      <c r="J4631" s="26" t="str">
        <f t="shared" ca="1" si="470"/>
        <v/>
      </c>
    </row>
    <row r="4632" spans="1:10" x14ac:dyDescent="0.25">
      <c r="A4632" t="s">
        <v>651</v>
      </c>
      <c r="B4632" t="str">
        <f>ADDRESS(ROW('PAYG 1'!$A$34),COLUMN('PAYG 1'!$A$34),4)</f>
        <v>A34</v>
      </c>
      <c r="C4632" t="str">
        <f>ADDRESS(ROW('PAYG 1'!$D$33),COLUMN('PAYG 1'!$D$33),4)</f>
        <v>D33</v>
      </c>
      <c r="D4632" t="b" cm="1">
        <f t="array" aca="1" ref="D4632" ca="1">IF(LEN(INDIRECT("'"&amp;A4632&amp;"'!"&amp;B4632))&gt;500,TRUE,FALSE)</f>
        <v>0</v>
      </c>
      <c r="E4632" t="s">
        <v>636</v>
      </c>
      <c r="F4632" t="str">
        <f>INDEX(Lists!I:I,MATCH(Validation!E4632,Lists!G:G,0))</f>
        <v>Error</v>
      </c>
      <c r="G4632" t="str">
        <f>INDEX(Lists!H:H,MATCH(Validation!E4632,Lists!G:G,0))</f>
        <v>Comments cannot exceed 500 characters. (Limit length. Send email to further explain.)</v>
      </c>
      <c r="H4632" s="25" t="str">
        <f t="shared" ca="1" si="468"/>
        <v/>
      </c>
      <c r="I4632" s="25" t="str">
        <f t="shared" ca="1" si="469"/>
        <v/>
      </c>
      <c r="J4632" s="26" t="str">
        <f t="shared" ca="1" si="470"/>
        <v/>
      </c>
    </row>
    <row r="4633" spans="1:10" x14ac:dyDescent="0.25">
      <c r="A4633" t="s">
        <v>652</v>
      </c>
      <c r="B4633" t="str">
        <f>ADDRESS(ROW('PAYG 1'!$A$34),COLUMN('PAYG 1'!$A$34),4)</f>
        <v>A34</v>
      </c>
      <c r="C4633" t="str">
        <f>ADDRESS(ROW('PAYG 1'!$D$33),COLUMN('PAYG 1'!$D$33),4)</f>
        <v>D33</v>
      </c>
      <c r="D4633" t="b" cm="1">
        <f t="array" aca="1" ref="D4633" ca="1">IF(LEN(INDIRECT("'"&amp;A4633&amp;"'!"&amp;B4633))&gt;500,TRUE,FALSE)</f>
        <v>0</v>
      </c>
      <c r="E4633" t="s">
        <v>636</v>
      </c>
      <c r="F4633" t="str">
        <f>INDEX(Lists!I:I,MATCH(Validation!E4633,Lists!G:G,0))</f>
        <v>Error</v>
      </c>
      <c r="G4633" t="str">
        <f>INDEX(Lists!H:H,MATCH(Validation!E4633,Lists!G:G,0))</f>
        <v>Comments cannot exceed 500 characters. (Limit length. Send email to further explain.)</v>
      </c>
      <c r="H4633" s="25" t="str">
        <f t="shared" ca="1" si="468"/>
        <v/>
      </c>
      <c r="I4633" s="25" t="str">
        <f t="shared" ca="1" si="469"/>
        <v/>
      </c>
      <c r="J4633" s="26" t="str">
        <f t="shared" ca="1" si="470"/>
        <v/>
      </c>
    </row>
    <row r="4634" spans="1:10" x14ac:dyDescent="0.25">
      <c r="A4634" t="s">
        <v>653</v>
      </c>
      <c r="B4634" t="str">
        <f>ADDRESS(ROW('PAYG 1'!$A$34),COLUMN('PAYG 1'!$A$34),4)</f>
        <v>A34</v>
      </c>
      <c r="C4634" t="str">
        <f>ADDRESS(ROW('PAYG 1'!$D$33),COLUMN('PAYG 1'!$D$33),4)</f>
        <v>D33</v>
      </c>
      <c r="D4634" t="b" cm="1">
        <f t="array" aca="1" ref="D4634" ca="1">IF(LEN(INDIRECT("'"&amp;A4634&amp;"'!"&amp;B4634))&gt;500,TRUE,FALSE)</f>
        <v>0</v>
      </c>
      <c r="E4634" t="s">
        <v>636</v>
      </c>
      <c r="F4634" t="str">
        <f>INDEX(Lists!I:I,MATCH(Validation!E4634,Lists!G:G,0))</f>
        <v>Error</v>
      </c>
      <c r="G4634" t="str">
        <f>INDEX(Lists!H:H,MATCH(Validation!E4634,Lists!G:G,0))</f>
        <v>Comments cannot exceed 500 characters. (Limit length. Send email to further explain.)</v>
      </c>
      <c r="H4634" s="25" t="str">
        <f t="shared" ca="1" si="468"/>
        <v/>
      </c>
      <c r="I4634" s="25" t="str">
        <f t="shared" ca="1" si="469"/>
        <v/>
      </c>
      <c r="J4634" s="26" t="str">
        <f t="shared" ca="1" si="470"/>
        <v/>
      </c>
    </row>
    <row r="4635" spans="1:10" x14ac:dyDescent="0.25">
      <c r="A4635" t="s">
        <v>654</v>
      </c>
      <c r="B4635" t="str">
        <f>ADDRESS(ROW('PAYG 1'!$A$34),COLUMN('PAYG 1'!$A$34),4)</f>
        <v>A34</v>
      </c>
      <c r="C4635" t="str">
        <f>ADDRESS(ROW('PAYG 1'!$D$33),COLUMN('PAYG 1'!$D$33),4)</f>
        <v>D33</v>
      </c>
      <c r="D4635" t="b" cm="1">
        <f t="array" aca="1" ref="D4635" ca="1">IF(LEN(INDIRECT("'"&amp;A4635&amp;"'!"&amp;B4635))&gt;500,TRUE,FALSE)</f>
        <v>0</v>
      </c>
      <c r="E4635" t="s">
        <v>636</v>
      </c>
      <c r="F4635" t="str">
        <f>INDEX(Lists!I:I,MATCH(Validation!E4635,Lists!G:G,0))</f>
        <v>Error</v>
      </c>
      <c r="G4635" t="str">
        <f>INDEX(Lists!H:H,MATCH(Validation!E4635,Lists!G:G,0))</f>
        <v>Comments cannot exceed 500 characters. (Limit length. Send email to further explain.)</v>
      </c>
      <c r="H4635" s="25" t="str">
        <f t="shared" ref="H4635:H4652" ca="1" si="471">IFERROR(IF(OR(NOT(D4635),F4635&lt;&gt;"Error"),"",A4635&amp;CELL("address",INDIRECT(B4635))),"")</f>
        <v/>
      </c>
      <c r="I4635" s="25" t="str">
        <f t="shared" ref="I4635:I4652" ca="1" si="472">IFERROR(IF(NOT(D4635),"",A4635&amp;CELL("address",INDIRECT(C4635))),"")</f>
        <v/>
      </c>
      <c r="J4635" s="26" t="str">
        <f t="shared" ref="J4635:J4652" ca="1" si="473">IFERROR(IF(NOT(D4635),"",A4635),"")</f>
        <v/>
      </c>
    </row>
    <row r="4636" spans="1:10" x14ac:dyDescent="0.25">
      <c r="A4636" t="s">
        <v>655</v>
      </c>
      <c r="B4636" t="str">
        <f>ADDRESS(ROW('PAYG 1'!$A$34),COLUMN('PAYG 1'!$A$34),4)</f>
        <v>A34</v>
      </c>
      <c r="C4636" t="str">
        <f>ADDRESS(ROW('PAYG 1'!$D$33),COLUMN('PAYG 1'!$D$33),4)</f>
        <v>D33</v>
      </c>
      <c r="D4636" t="b" cm="1">
        <f t="array" aca="1" ref="D4636" ca="1">IF(LEN(INDIRECT("'"&amp;A4636&amp;"'!"&amp;B4636))&gt;500,TRUE,FALSE)</f>
        <v>0</v>
      </c>
      <c r="E4636" t="s">
        <v>636</v>
      </c>
      <c r="F4636" t="str">
        <f>INDEX(Lists!I:I,MATCH(Validation!E4636,Lists!G:G,0))</f>
        <v>Error</v>
      </c>
      <c r="G4636" t="str">
        <f>INDEX(Lists!H:H,MATCH(Validation!E4636,Lists!G:G,0))</f>
        <v>Comments cannot exceed 500 characters. (Limit length. Send email to further explain.)</v>
      </c>
      <c r="H4636" s="25" t="str">
        <f t="shared" ca="1" si="471"/>
        <v/>
      </c>
      <c r="I4636" s="25" t="str">
        <f t="shared" ca="1" si="472"/>
        <v/>
      </c>
      <c r="J4636" s="26" t="str">
        <f t="shared" ca="1" si="473"/>
        <v/>
      </c>
    </row>
    <row r="4637" spans="1:10" x14ac:dyDescent="0.25">
      <c r="A4637" t="s">
        <v>656</v>
      </c>
      <c r="B4637" t="str">
        <f>ADDRESS(ROW('PAYG 1'!$A$34),COLUMN('PAYG 1'!$A$34),4)</f>
        <v>A34</v>
      </c>
      <c r="C4637" t="str">
        <f>ADDRESS(ROW('PAYG 1'!$D$33),COLUMN('PAYG 1'!$D$33),4)</f>
        <v>D33</v>
      </c>
      <c r="D4637" t="b" cm="1">
        <f t="array" aca="1" ref="D4637" ca="1">IF(LEN(INDIRECT("'"&amp;A4637&amp;"'!"&amp;B4637))&gt;500,TRUE,FALSE)</f>
        <v>0</v>
      </c>
      <c r="E4637" t="s">
        <v>636</v>
      </c>
      <c r="F4637" t="str">
        <f>INDEX(Lists!I:I,MATCH(Validation!E4637,Lists!G:G,0))</f>
        <v>Error</v>
      </c>
      <c r="G4637" t="str">
        <f>INDEX(Lists!H:H,MATCH(Validation!E4637,Lists!G:G,0))</f>
        <v>Comments cannot exceed 500 characters. (Limit length. Send email to further explain.)</v>
      </c>
      <c r="H4637" s="25" t="str">
        <f t="shared" ca="1" si="471"/>
        <v/>
      </c>
      <c r="I4637" s="25" t="str">
        <f t="shared" ca="1" si="472"/>
        <v/>
      </c>
      <c r="J4637" s="26" t="str">
        <f t="shared" ca="1" si="473"/>
        <v/>
      </c>
    </row>
    <row r="4638" spans="1:10" x14ac:dyDescent="0.25">
      <c r="A4638" t="s">
        <v>657</v>
      </c>
      <c r="B4638" t="str">
        <f>ADDRESS(ROW('PAYG 1'!$A$34),COLUMN('PAYG 1'!$A$34),4)</f>
        <v>A34</v>
      </c>
      <c r="C4638" t="str">
        <f>ADDRESS(ROW('PAYG 1'!$D$33),COLUMN('PAYG 1'!$D$33),4)</f>
        <v>D33</v>
      </c>
      <c r="D4638" t="b" cm="1">
        <f t="array" aca="1" ref="D4638" ca="1">IF(LEN(INDIRECT("'"&amp;A4638&amp;"'!"&amp;B4638))&gt;500,TRUE,FALSE)</f>
        <v>0</v>
      </c>
      <c r="E4638" t="s">
        <v>636</v>
      </c>
      <c r="F4638" t="str">
        <f>INDEX(Lists!I:I,MATCH(Validation!E4638,Lists!G:G,0))</f>
        <v>Error</v>
      </c>
      <c r="G4638" t="str">
        <f>INDEX(Lists!H:H,MATCH(Validation!E4638,Lists!G:G,0))</f>
        <v>Comments cannot exceed 500 characters. (Limit length. Send email to further explain.)</v>
      </c>
      <c r="H4638" s="25" t="str">
        <f t="shared" ca="1" si="471"/>
        <v/>
      </c>
      <c r="I4638" s="25" t="str">
        <f t="shared" ca="1" si="472"/>
        <v/>
      </c>
      <c r="J4638" s="26" t="str">
        <f t="shared" ca="1" si="473"/>
        <v/>
      </c>
    </row>
    <row r="4639" spans="1:10" x14ac:dyDescent="0.25">
      <c r="A4639" t="s">
        <v>658</v>
      </c>
      <c r="B4639" t="str">
        <f>ADDRESS(ROW('PAYG 1'!$A$34),COLUMN('PAYG 1'!$A$34),4)</f>
        <v>A34</v>
      </c>
      <c r="C4639" t="str">
        <f>ADDRESS(ROW('PAYG 1'!$D$33),COLUMN('PAYG 1'!$D$33),4)</f>
        <v>D33</v>
      </c>
      <c r="D4639" t="b" cm="1">
        <f t="array" aca="1" ref="D4639" ca="1">IF(LEN(INDIRECT("'"&amp;A4639&amp;"'!"&amp;B4639))&gt;500,TRUE,FALSE)</f>
        <v>0</v>
      </c>
      <c r="E4639" t="s">
        <v>636</v>
      </c>
      <c r="F4639" t="str">
        <f>INDEX(Lists!I:I,MATCH(Validation!E4639,Lists!G:G,0))</f>
        <v>Error</v>
      </c>
      <c r="G4639" t="str">
        <f>INDEX(Lists!H:H,MATCH(Validation!E4639,Lists!G:G,0))</f>
        <v>Comments cannot exceed 500 characters. (Limit length. Send email to further explain.)</v>
      </c>
      <c r="H4639" s="25" t="str">
        <f t="shared" ca="1" si="471"/>
        <v/>
      </c>
      <c r="I4639" s="25" t="str">
        <f t="shared" ca="1" si="472"/>
        <v/>
      </c>
      <c r="J4639" s="26" t="str">
        <f t="shared" ca="1" si="473"/>
        <v/>
      </c>
    </row>
    <row r="4640" spans="1:10" x14ac:dyDescent="0.25">
      <c r="A4640" t="s">
        <v>659</v>
      </c>
      <c r="B4640" t="str">
        <f>ADDRESS(ROW('PAYG 1'!$A$34),COLUMN('PAYG 1'!$A$34),4)</f>
        <v>A34</v>
      </c>
      <c r="C4640" t="str">
        <f>ADDRESS(ROW('PAYG 1'!$D$33),COLUMN('PAYG 1'!$D$33),4)</f>
        <v>D33</v>
      </c>
      <c r="D4640" t="b" cm="1">
        <f t="array" aca="1" ref="D4640" ca="1">IF(LEN(INDIRECT("'"&amp;A4640&amp;"'!"&amp;B4640))&gt;500,TRUE,FALSE)</f>
        <v>0</v>
      </c>
      <c r="E4640" t="s">
        <v>636</v>
      </c>
      <c r="F4640" t="str">
        <f>INDEX(Lists!I:I,MATCH(Validation!E4640,Lists!G:G,0))</f>
        <v>Error</v>
      </c>
      <c r="G4640" t="str">
        <f>INDEX(Lists!H:H,MATCH(Validation!E4640,Lists!G:G,0))</f>
        <v>Comments cannot exceed 500 characters. (Limit length. Send email to further explain.)</v>
      </c>
      <c r="H4640" s="25" t="str">
        <f t="shared" ca="1" si="471"/>
        <v/>
      </c>
      <c r="I4640" s="25" t="str">
        <f t="shared" ca="1" si="472"/>
        <v/>
      </c>
      <c r="J4640" s="26" t="str">
        <f t="shared" ca="1" si="473"/>
        <v/>
      </c>
    </row>
    <row r="4641" spans="1:10" x14ac:dyDescent="0.25">
      <c r="A4641" t="s">
        <v>660</v>
      </c>
      <c r="B4641" t="str">
        <f>ADDRESS(ROW('PAYG 1'!$A$34),COLUMN('PAYG 1'!$A$34),4)</f>
        <v>A34</v>
      </c>
      <c r="C4641" t="str">
        <f>ADDRESS(ROW('PAYG 1'!$D$33),COLUMN('PAYG 1'!$D$33),4)</f>
        <v>D33</v>
      </c>
      <c r="D4641" t="b" cm="1">
        <f t="array" aca="1" ref="D4641" ca="1">IF(LEN(INDIRECT("'"&amp;A4641&amp;"'!"&amp;B4641))&gt;500,TRUE,FALSE)</f>
        <v>0</v>
      </c>
      <c r="E4641" t="s">
        <v>636</v>
      </c>
      <c r="F4641" t="str">
        <f>INDEX(Lists!I:I,MATCH(Validation!E4641,Lists!G:G,0))</f>
        <v>Error</v>
      </c>
      <c r="G4641" t="str">
        <f>INDEX(Lists!H:H,MATCH(Validation!E4641,Lists!G:G,0))</f>
        <v>Comments cannot exceed 500 characters. (Limit length. Send email to further explain.)</v>
      </c>
      <c r="H4641" s="25" t="str">
        <f t="shared" ca="1" si="471"/>
        <v/>
      </c>
      <c r="I4641" s="25" t="str">
        <f t="shared" ca="1" si="472"/>
        <v/>
      </c>
      <c r="J4641" s="26" t="str">
        <f t="shared" ca="1" si="473"/>
        <v/>
      </c>
    </row>
    <row r="4642" spans="1:10" x14ac:dyDescent="0.25">
      <c r="A4642" t="s">
        <v>661</v>
      </c>
      <c r="B4642" t="str">
        <f>ADDRESS(ROW('PAYG 1'!$A$34),COLUMN('PAYG 1'!$A$34),4)</f>
        <v>A34</v>
      </c>
      <c r="C4642" t="str">
        <f>ADDRESS(ROW('PAYG 1'!$D$33),COLUMN('PAYG 1'!$D$33),4)</f>
        <v>D33</v>
      </c>
      <c r="D4642" t="b" cm="1">
        <f t="array" aca="1" ref="D4642" ca="1">IF(LEN(INDIRECT("'"&amp;A4642&amp;"'!"&amp;B4642))&gt;500,TRUE,FALSE)</f>
        <v>0</v>
      </c>
      <c r="E4642" t="s">
        <v>636</v>
      </c>
      <c r="F4642" t="str">
        <f>INDEX(Lists!I:I,MATCH(Validation!E4642,Lists!G:G,0))</f>
        <v>Error</v>
      </c>
      <c r="G4642" t="str">
        <f>INDEX(Lists!H:H,MATCH(Validation!E4642,Lists!G:G,0))</f>
        <v>Comments cannot exceed 500 characters. (Limit length. Send email to further explain.)</v>
      </c>
      <c r="H4642" s="25" t="str">
        <f t="shared" ca="1" si="471"/>
        <v/>
      </c>
      <c r="I4642" s="25" t="str">
        <f t="shared" ca="1" si="472"/>
        <v/>
      </c>
      <c r="J4642" s="26" t="str">
        <f t="shared" ca="1" si="473"/>
        <v/>
      </c>
    </row>
    <row r="4643" spans="1:10" x14ac:dyDescent="0.25">
      <c r="A4643" t="s">
        <v>662</v>
      </c>
      <c r="B4643" t="str">
        <f>ADDRESS(ROW('PAYG 1'!$A$34),COLUMN('PAYG 1'!$A$34),4)</f>
        <v>A34</v>
      </c>
      <c r="C4643" t="str">
        <f>ADDRESS(ROW('PAYG 1'!$D$33),COLUMN('PAYG 1'!$D$33),4)</f>
        <v>D33</v>
      </c>
      <c r="D4643" t="b" cm="1">
        <f t="array" aca="1" ref="D4643" ca="1">IF(LEN(INDIRECT("'"&amp;A4643&amp;"'!"&amp;B4643))&gt;500,TRUE,FALSE)</f>
        <v>0</v>
      </c>
      <c r="E4643" t="s">
        <v>636</v>
      </c>
      <c r="F4643" t="str">
        <f>INDEX(Lists!I:I,MATCH(Validation!E4643,Lists!G:G,0))</f>
        <v>Error</v>
      </c>
      <c r="G4643" t="str">
        <f>INDEX(Lists!H:H,MATCH(Validation!E4643,Lists!G:G,0))</f>
        <v>Comments cannot exceed 500 characters. (Limit length. Send email to further explain.)</v>
      </c>
      <c r="H4643" s="25" t="str">
        <f t="shared" ca="1" si="471"/>
        <v/>
      </c>
      <c r="I4643" s="25" t="str">
        <f t="shared" ca="1" si="472"/>
        <v/>
      </c>
      <c r="J4643" s="26" t="str">
        <f t="shared" ca="1" si="473"/>
        <v/>
      </c>
    </row>
    <row r="4644" spans="1:10" x14ac:dyDescent="0.25">
      <c r="A4644" t="s">
        <v>663</v>
      </c>
      <c r="B4644" t="str">
        <f>ADDRESS(ROW('PAYG 1'!$A$34),COLUMN('PAYG 1'!$A$34),4)</f>
        <v>A34</v>
      </c>
      <c r="C4644" t="str">
        <f>ADDRESS(ROW('PAYG 1'!$D$33),COLUMN('PAYG 1'!$D$33),4)</f>
        <v>D33</v>
      </c>
      <c r="D4644" t="b" cm="1">
        <f t="array" aca="1" ref="D4644" ca="1">IF(LEN(INDIRECT("'"&amp;A4644&amp;"'!"&amp;B4644))&gt;500,TRUE,FALSE)</f>
        <v>0</v>
      </c>
      <c r="E4644" t="s">
        <v>636</v>
      </c>
      <c r="F4644" t="str">
        <f>INDEX(Lists!I:I,MATCH(Validation!E4644,Lists!G:G,0))</f>
        <v>Error</v>
      </c>
      <c r="G4644" t="str">
        <f>INDEX(Lists!H:H,MATCH(Validation!E4644,Lists!G:G,0))</f>
        <v>Comments cannot exceed 500 characters. (Limit length. Send email to further explain.)</v>
      </c>
      <c r="H4644" s="25" t="str">
        <f t="shared" ca="1" si="471"/>
        <v/>
      </c>
      <c r="I4644" s="25" t="str">
        <f t="shared" ca="1" si="472"/>
        <v/>
      </c>
      <c r="J4644" s="26" t="str">
        <f t="shared" ca="1" si="473"/>
        <v/>
      </c>
    </row>
    <row r="4645" spans="1:10" x14ac:dyDescent="0.25">
      <c r="A4645" t="s">
        <v>664</v>
      </c>
      <c r="B4645" t="str">
        <f>ADDRESS(ROW('PAYG 1'!$A$34),COLUMN('PAYG 1'!$A$34),4)</f>
        <v>A34</v>
      </c>
      <c r="C4645" t="str">
        <f>ADDRESS(ROW('PAYG 1'!$D$33),COLUMN('PAYG 1'!$D$33),4)</f>
        <v>D33</v>
      </c>
      <c r="D4645" t="b" cm="1">
        <f t="array" aca="1" ref="D4645" ca="1">IF(LEN(INDIRECT("'"&amp;A4645&amp;"'!"&amp;B4645))&gt;500,TRUE,FALSE)</f>
        <v>0</v>
      </c>
      <c r="E4645" t="s">
        <v>636</v>
      </c>
      <c r="F4645" t="str">
        <f>INDEX(Lists!I:I,MATCH(Validation!E4645,Lists!G:G,0))</f>
        <v>Error</v>
      </c>
      <c r="G4645" t="str">
        <f>INDEX(Lists!H:H,MATCH(Validation!E4645,Lists!G:G,0))</f>
        <v>Comments cannot exceed 500 characters. (Limit length. Send email to further explain.)</v>
      </c>
      <c r="H4645" s="25" t="str">
        <f t="shared" ca="1" si="471"/>
        <v/>
      </c>
      <c r="I4645" s="25" t="str">
        <f t="shared" ca="1" si="472"/>
        <v/>
      </c>
      <c r="J4645" s="26" t="str">
        <f t="shared" ca="1" si="473"/>
        <v/>
      </c>
    </row>
    <row r="4646" spans="1:10" x14ac:dyDescent="0.25">
      <c r="A4646" t="s">
        <v>110</v>
      </c>
      <c r="B4646" t="str">
        <f>ADDRESS(ROW(TIF_InterfundLoan_InterfundLoanInd_Entry),COLUMN(TIF_InterfundLoan_InterfundLoanInd_Entry),4)</f>
        <v>B6</v>
      </c>
      <c r="C4646" t="str">
        <f>ADDRESS(ROW(Loans!$C$6),COLUMN(Loans!$C$6),4)</f>
        <v>C6</v>
      </c>
      <c r="D4646" s="18" t="b">
        <f>IF(TIF_InterfundLoan_InterfundLoanInd_Entry="Select One",TRUE,FALSE)</f>
        <v>0</v>
      </c>
      <c r="E4646" t="s">
        <v>73</v>
      </c>
      <c r="F4646" t="str">
        <f>INDEX(Lists!I:I,MATCH(Validation!E4646,Lists!G:G,0))</f>
        <v>Error</v>
      </c>
      <c r="G4646" t="str">
        <f>INDEX(Lists!H:H,MATCH(Validation!E4646,Lists!G:G,0))</f>
        <v>You must select Yes or No.</v>
      </c>
      <c r="H4646" s="16" t="str">
        <f t="shared" ca="1" si="471"/>
        <v/>
      </c>
      <c r="I4646" s="16" t="str">
        <f t="shared" ca="1" si="472"/>
        <v/>
      </c>
      <c r="J4646" s="17" t="str">
        <f t="shared" si="473"/>
        <v/>
      </c>
    </row>
    <row r="4647" spans="1:10" x14ac:dyDescent="0.25">
      <c r="A4647" t="s">
        <v>110</v>
      </c>
      <c r="B4647" t="str">
        <f>ADDRESS(ROW(TIF_InterfundLoan_InterfundLoanInd_Entry),COLUMN(TIF_InterfundLoan_InterfundLoanInd_Entry),4)</f>
        <v>B6</v>
      </c>
      <c r="C4647" t="str">
        <f>ADDRESS(ROW(Loans!$C$6),COLUMN(Loans!$C$6),4)</f>
        <v>C6</v>
      </c>
      <c r="D4647" s="18" t="b">
        <f>IF(AND(TIF_InterfundLoan_InterfundLoanInd_Input=TRUE,TIF_InterfundLoan_InterfundLoanInd_Entry="No"),TRUE,FALSE)</f>
        <v>0</v>
      </c>
      <c r="E4647" t="s">
        <v>491</v>
      </c>
      <c r="F4647" t="str">
        <f>INDEX(Lists!I:I,MATCH(Validation!E4647,Lists!G:G,0))</f>
        <v>Error</v>
      </c>
      <c r="G4647" t="str">
        <f>INDEX(Lists!H:H,MATCH(Validation!E4647,Lists!G:G,0))</f>
        <v>Yes was previously reported and must be selected. Contact TIF Division to change.</v>
      </c>
      <c r="H4647" s="16" t="str">
        <f t="shared" ca="1" si="471"/>
        <v/>
      </c>
      <c r="I4647" s="16" t="str">
        <f t="shared" ca="1" si="472"/>
        <v/>
      </c>
      <c r="J4647" s="17" t="str">
        <f t="shared" si="473"/>
        <v/>
      </c>
    </row>
    <row r="4648" spans="1:10" x14ac:dyDescent="0.25">
      <c r="A4648" t="s">
        <v>110</v>
      </c>
      <c r="B4648" t="str">
        <f>ADDRESS(ROW(TIF_InterfundLoan_InterfundLoanInd_Entry),COLUMN(TIF_InterfundLoan_InterfundLoanInd_Entry),4)</f>
        <v>B6</v>
      </c>
      <c r="C4648" t="str">
        <f>ADDRESS(ROW(Loans!$C$6),COLUMN(Loans!$C$6),4)</f>
        <v>C6</v>
      </c>
      <c r="D4648" s="18" t="b">
        <f>IF(AND(TIF_InterfundLoan_InterfundLoanInd_Entry="Yes",'Loan 1'!B7="Select One"),TRUE,FALSE)</f>
        <v>0</v>
      </c>
      <c r="E4648" t="s">
        <v>912</v>
      </c>
      <c r="F4648" t="str">
        <f>INDEX(Lists!I:I,MATCH(Validation!E4648,Lists!G:G,0))</f>
        <v>Error</v>
      </c>
      <c r="G4648" t="str">
        <f>INDEX(Lists!H:H,MATCH(Validation!E4648,Lists!G:G,0))</f>
        <v>If Yes, you must report at least one Loan below.</v>
      </c>
      <c r="H4648" s="16" t="str">
        <f t="shared" ca="1" si="471"/>
        <v/>
      </c>
      <c r="I4648" s="16" t="str">
        <f t="shared" ca="1" si="472"/>
        <v/>
      </c>
      <c r="J4648" s="17" t="str">
        <f t="shared" si="473"/>
        <v/>
      </c>
    </row>
    <row r="4649" spans="1:10" x14ac:dyDescent="0.25">
      <c r="A4649" t="s">
        <v>110</v>
      </c>
      <c r="B4649" t="str">
        <f>ADDRESS(ROW(TIF_InterfundLoan_InterfundLoanInd_Entry),COLUMN(TIF_InterfundLoan_InterfundLoanInd_Entry),4)</f>
        <v>B6</v>
      </c>
      <c r="C4649" t="str">
        <f>ADDRESS(ROW(Loans!$C$6),COLUMN(Loans!$C$6),4)</f>
        <v>C6</v>
      </c>
      <c r="D4649" s="18" t="b">
        <f>IF(AND(TIF_InterfundLoan_InterfundLoanInd_Entry="No",'Loan 1'!B7&lt;&gt;"Select One"),TRUE,FALSE)</f>
        <v>0</v>
      </c>
      <c r="E4649" t="s">
        <v>914</v>
      </c>
      <c r="F4649" t="str">
        <f>INDEX(Lists!I:I,MATCH(Validation!E4649,Lists!G:G,0))</f>
        <v>Error</v>
      </c>
      <c r="G4649" t="str">
        <f>INDEX(Lists!H:H,MATCH(Validation!E4649,Lists!G:G,0))</f>
        <v>You must answer Yes to report Loan information below.</v>
      </c>
      <c r="H4649" s="16" t="str">
        <f t="shared" ca="1" si="471"/>
        <v/>
      </c>
      <c r="I4649" s="16" t="str">
        <f t="shared" ca="1" si="472"/>
        <v/>
      </c>
      <c r="J4649" s="17" t="str">
        <f t="shared" si="473"/>
        <v/>
      </c>
    </row>
    <row r="4650" spans="1:10" x14ac:dyDescent="0.25">
      <c r="A4650" t="s">
        <v>110</v>
      </c>
      <c r="B4650" t="str">
        <f>ADDRESS(ROW(TIF_InterfundLoan_InterfundLoanInd_Entry),COLUMN(TIF_InterfundLoan_InterfundLoanInd_Entry),4)</f>
        <v>B6</v>
      </c>
      <c r="C4650" t="str">
        <f>ADDRESS(ROW(Loans!$C$6),COLUMN(Loans!$C$6),4)</f>
        <v>C6</v>
      </c>
      <c r="D4650" s="18" t="b">
        <f>IF(TIF_InterfundLoan_InterfundLoanInd_Entry="No",TRUE,FALSE)</f>
        <v>0</v>
      </c>
      <c r="E4650" t="s">
        <v>577</v>
      </c>
      <c r="F4650" t="str">
        <f>INDEX(Lists!I:I,MATCH(Validation!E4650,Lists!G:G,0))</f>
        <v>Information</v>
      </c>
      <c r="G4650" t="str">
        <f>INDEX(Lists!H:H,MATCH(Validation!E4650,Lists!G:G,0))</f>
        <v>If No, skip the remainder of this tab and continue to the next tab.</v>
      </c>
      <c r="H4650" s="16" t="str">
        <f t="shared" ca="1" si="471"/>
        <v/>
      </c>
      <c r="I4650" s="16" t="str">
        <f t="shared" ca="1" si="472"/>
        <v/>
      </c>
      <c r="J4650" s="17" t="str">
        <f t="shared" si="473"/>
        <v/>
      </c>
    </row>
    <row r="4651" spans="1:10" x14ac:dyDescent="0.25">
      <c r="A4651" t="s">
        <v>110</v>
      </c>
      <c r="B4651" t="str">
        <f>ADDRESS(ROW(TIF_DistrictYear_UserCommentsLoans),COLUMN(TIF_DistrictYear_UserCommentsLoans),4)</f>
        <v>A24</v>
      </c>
      <c r="C4651" t="str">
        <f>ADDRESS(ROW(Loans!C$23),COLUMN(Loans!C$23),4)</f>
        <v>C23</v>
      </c>
      <c r="D4651" t="b" cm="1">
        <f t="array" aca="1" ref="D4651" ca="1">IF(ISBLANK(INDIRECT("'"&amp;A4651&amp;"'!"&amp;B4651)),FALSE,IF(LEN(TRIM(CLEAN(INDIRECT("'"&amp;A4651&amp;"'!"&amp;B4651))))&lt;15,TRUE,FALSE))</f>
        <v>0</v>
      </c>
      <c r="E4651" t="s">
        <v>635</v>
      </c>
      <c r="F4651" t="str">
        <f>INDEX(Lists!I:I,MATCH(Validation!E4651,Lists!G:G,0))</f>
        <v>Error</v>
      </c>
      <c r="G4651" t="str">
        <f>INDEX(Lists!H:H,MATCH(Validation!E4651,Lists!G:G,0))</f>
        <v>Insufficient information. Please provide a longer comment.</v>
      </c>
      <c r="H4651" s="25" t="str">
        <f t="shared" ca="1" si="471"/>
        <v/>
      </c>
      <c r="I4651" s="25" t="str">
        <f t="shared" ca="1" si="472"/>
        <v/>
      </c>
      <c r="J4651" s="26" t="str">
        <f t="shared" ca="1" si="473"/>
        <v/>
      </c>
    </row>
    <row r="4652" spans="1:10" x14ac:dyDescent="0.25">
      <c r="A4652" t="s">
        <v>110</v>
      </c>
      <c r="B4652" t="str">
        <f>ADDRESS(ROW(TIF_DistrictYear_UserCommentsLoans),COLUMN(TIF_DistrictYear_UserCommentsLoans),4)</f>
        <v>A24</v>
      </c>
      <c r="C4652" t="str">
        <f>ADDRESS(ROW(Loans!C$23),COLUMN(Loans!C$23),4)</f>
        <v>C23</v>
      </c>
      <c r="D4652" t="b" cm="1">
        <f t="array" aca="1" ref="D4652" ca="1">IF(LEN(INDIRECT("'"&amp;A4652&amp;"'!"&amp;B4652))&gt;500,TRUE,FALSE)</f>
        <v>0</v>
      </c>
      <c r="E4652" t="s">
        <v>636</v>
      </c>
      <c r="F4652" t="str">
        <f>INDEX(Lists!I:I,MATCH(Validation!E4652,Lists!G:G,0))</f>
        <v>Error</v>
      </c>
      <c r="G4652" t="str">
        <f>INDEX(Lists!H:H,MATCH(Validation!E4652,Lists!G:G,0))</f>
        <v>Comments cannot exceed 500 characters. (Limit length. Send email to further explain.)</v>
      </c>
      <c r="H4652" s="25" t="str">
        <f t="shared" ca="1" si="471"/>
        <v/>
      </c>
      <c r="I4652" s="25" t="str">
        <f t="shared" ca="1" si="472"/>
        <v/>
      </c>
      <c r="J4652" s="26" t="str">
        <f t="shared" ca="1" si="473"/>
        <v/>
      </c>
    </row>
    <row r="4653" spans="1:10" x14ac:dyDescent="0.25">
      <c r="A4653" t="s">
        <v>205</v>
      </c>
      <c r="B4653" t="str">
        <f>ADDRESS(ROW('Loan 1'!$B$6),COLUMN('Loan 1'!$B$6),4)</f>
        <v>B6</v>
      </c>
      <c r="C4653" t="str">
        <f>ADDRESS(ROW('Loan 1'!$D$6),COLUMN('Loan 1'!$D$6),4)</f>
        <v>D6</v>
      </c>
      <c r="D4653" s="41" t="b">
        <f>IF('Loan 1'!B$7&lt;&gt;Lists!$AH$1,IF((COUNTIF('Loan 1'!B$10:B$13,"")+COUNTIF('Loan 1'!B$15,"")+COUNTIF('Loan 1'!B$19:B$28,"")+COUNTIF('Loan 1'!C$19:C$28,"")+COUNTIF('Loan 1'!B$31:B$32,"")+COUNTIF('Loan 1'!C$31:C$32,"")+COUNTIF('Loan 1'!B$34:B$37,"")+COUNTIF('Loan 1'!C$34:C$37,"")+COUNTIF('Loan 1'!B$39:B$41,"")+COUNTIF('Loan 1'!C$39:C$41,"")+COUNTBLANK('Loan 1'!B$43:B$44))&gt;0,TRUE,FALSE))</f>
        <v>1</v>
      </c>
      <c r="E4653" t="s">
        <v>632</v>
      </c>
      <c r="F4653" t="str">
        <f>INDEX(Lists!I:I,MATCH(Validation!E4653,Lists!G:G,0))</f>
        <v>Error</v>
      </c>
      <c r="G4653" t="str">
        <f>INDEX(Lists!H:H,MATCH(Validation!E4653,Lists!G:G,0))</f>
        <v xml:space="preserve">Complete entry of all rows on this tab. (Enter zero when appropriate.) </v>
      </c>
      <c r="H4653" s="16" t="str">
        <f ca="1">IFERROR(IF(OR(NOT(D4653),F4653&lt;&gt;"Error"),"",A4653&amp;CELL("address",INDIRECT(B4653))),"")</f>
        <v>Loan 1$B$6</v>
      </c>
      <c r="I4653" s="16" t="str">
        <f ca="1">IFERROR(IF(NOT(D4653),"",A4653&amp;CELL("address",INDIRECT(C4653))),"")</f>
        <v>Loan 1$D$6</v>
      </c>
      <c r="J4653" s="17" t="str">
        <f>IFERROR(IF(NOT(D4653),"",A4653),"")</f>
        <v>Loan 1</v>
      </c>
    </row>
    <row r="4654" spans="1:10" x14ac:dyDescent="0.25">
      <c r="A4654" t="s">
        <v>932</v>
      </c>
      <c r="B4654" t="str">
        <f>ADDRESS(ROW('Loan 1'!$B$6),COLUMN('Loan 1'!$B$6),4)</f>
        <v>B6</v>
      </c>
      <c r="C4654" t="str">
        <f>ADDRESS(ROW('Loan 1'!$D$6),COLUMN('Loan 1'!$D$6),4)</f>
        <v>D6</v>
      </c>
      <c r="D4654" s="41" t="b">
        <f>IF('Loan 2'!B$7&lt;&gt;Lists!$AH$1,IF((COUNTIF('Loan 2'!B$10:B$13,"")+COUNTIF('Loan 2'!B$15,"")+COUNTIF('Loan 2'!B$19:B$28,"")+COUNTIF('Loan 2'!C$19:C$28,"")+COUNTIF('Loan 2'!B$31:B$32,"")+COUNTIF('Loan 2'!C$31:C$32,"")+COUNTIF('Loan 2'!B$34:B$37,"")+COUNTIF('Loan 2'!C$34:C$37,"")+COUNTIF('Loan 2'!B$39:B$41,"")+COUNTIF('Loan 2'!C$39:C$41,"")+COUNTBLANK('Loan 2'!B$43:B$44))&gt;0,TRUE,FALSE))</f>
        <v>0</v>
      </c>
      <c r="E4654" t="s">
        <v>632</v>
      </c>
      <c r="F4654" t="str">
        <f>INDEX(Lists!I:I,MATCH(Validation!E4654,Lists!G:G,0))</f>
        <v>Error</v>
      </c>
      <c r="G4654" t="str">
        <f>INDEX(Lists!H:H,MATCH(Validation!E4654,Lists!G:G,0))</f>
        <v xml:space="preserve">Complete entry of all rows on this tab. (Enter zero when appropriate.) </v>
      </c>
      <c r="H4654" s="16" t="str">
        <f t="shared" ref="H4654:H4667" ca="1" si="474">IFERROR(IF(OR(NOT(D4654),F4654&lt;&gt;"Error"),"",A4654&amp;CELL("address",INDIRECT(B4654))),"")</f>
        <v/>
      </c>
      <c r="I4654" s="16" t="str">
        <f t="shared" ref="I4654:I4667" ca="1" si="475">IFERROR(IF(NOT(D4654),"",A4654&amp;CELL("address",INDIRECT(C4654))),"")</f>
        <v/>
      </c>
      <c r="J4654" s="17" t="str">
        <f t="shared" ref="J4654:J4667" si="476">IFERROR(IF(NOT(D4654),"",A4654),"")</f>
        <v/>
      </c>
    </row>
    <row r="4655" spans="1:10" x14ac:dyDescent="0.25">
      <c r="A4655" t="s">
        <v>933</v>
      </c>
      <c r="B4655" t="str">
        <f>ADDRESS(ROW('Loan 1'!$B$6),COLUMN('Loan 1'!$B$6),4)</f>
        <v>B6</v>
      </c>
      <c r="C4655" t="str">
        <f>ADDRESS(ROW('Loan 1'!$D$6),COLUMN('Loan 1'!$D$6),4)</f>
        <v>D6</v>
      </c>
      <c r="D4655" s="41" t="b">
        <f>IF('Loan 3'!B$7&lt;&gt;Lists!$AH$1,IF((COUNTIF('Loan 3'!B$10:B$13,"")+COUNTIF('Loan 3'!B$15,"")+COUNTIF('Loan 3'!B$19:B$28,"")+COUNTIF('Loan 3'!C$19:C$28,"")+COUNTIF('Loan 3'!B$31:B$32,"")+COUNTIF('Loan 3'!C$31:C$32,"")+COUNTIF('Loan 3'!B$34:B$37,"")+COUNTIF('Loan 3'!C$34:C$37,"")+COUNTIF('Loan 3'!B$39:B$41,"")+COUNTIF('Loan 3'!C$39:C$41,"")+COUNTBLANK('Loan 3'!B$43:B$44))&gt;0,TRUE,FALSE))</f>
        <v>0</v>
      </c>
      <c r="E4655" t="s">
        <v>632</v>
      </c>
      <c r="F4655" t="str">
        <f>INDEX(Lists!I:I,MATCH(Validation!E4655,Lists!G:G,0))</f>
        <v>Error</v>
      </c>
      <c r="G4655" t="str">
        <f>INDEX(Lists!H:H,MATCH(Validation!E4655,Lists!G:G,0))</f>
        <v xml:space="preserve">Complete entry of all rows on this tab. (Enter zero when appropriate.) </v>
      </c>
      <c r="H4655" s="16" t="str">
        <f t="shared" ca="1" si="474"/>
        <v/>
      </c>
      <c r="I4655" s="16" t="str">
        <f t="shared" ca="1" si="475"/>
        <v/>
      </c>
      <c r="J4655" s="17" t="str">
        <f t="shared" si="476"/>
        <v/>
      </c>
    </row>
    <row r="4656" spans="1:10" x14ac:dyDescent="0.25">
      <c r="A4656" t="s">
        <v>934</v>
      </c>
      <c r="B4656" t="str">
        <f>ADDRESS(ROW('Loan 1'!$B$6),COLUMN('Loan 1'!$B$6),4)</f>
        <v>B6</v>
      </c>
      <c r="C4656" t="str">
        <f>ADDRESS(ROW('Loan 1'!$D$6),COLUMN('Loan 1'!$D$6),4)</f>
        <v>D6</v>
      </c>
      <c r="D4656" s="41" t="b">
        <f>IF('Loan 4'!B$7&lt;&gt;Lists!$AH$1,IF((COUNTIF('Loan 4'!B$10:B$13,"")+COUNTIF('Loan 4'!B$15,"")+COUNTIF('Loan 4'!B$19:B$28,"")+COUNTIF('Loan 4'!C$19:C$28,"")+COUNTIF('Loan 4'!B$31:B$32,"")+COUNTIF('Loan 4'!C$31:C$32,"")+COUNTIF('Loan 4'!B$34:B$37,"")+COUNTIF('Loan 4'!C$34:C$37,"")+COUNTIF('Loan 4'!B$39:B$41,"")+COUNTIF('Loan 4'!C$39:C$41,"")+COUNTBLANK('Loan 4'!B$43:B$44))&gt;0,TRUE,FALSE))</f>
        <v>0</v>
      </c>
      <c r="E4656" t="s">
        <v>632</v>
      </c>
      <c r="F4656" t="str">
        <f>INDEX(Lists!I:I,MATCH(Validation!E4656,Lists!G:G,0))</f>
        <v>Error</v>
      </c>
      <c r="G4656" t="str">
        <f>INDEX(Lists!H:H,MATCH(Validation!E4656,Lists!G:G,0))</f>
        <v xml:space="preserve">Complete entry of all rows on this tab. (Enter zero when appropriate.) </v>
      </c>
      <c r="H4656" s="16" t="str">
        <f t="shared" ca="1" si="474"/>
        <v/>
      </c>
      <c r="I4656" s="16" t="str">
        <f t="shared" ca="1" si="475"/>
        <v/>
      </c>
      <c r="J4656" s="17" t="str">
        <f t="shared" si="476"/>
        <v/>
      </c>
    </row>
    <row r="4657" spans="1:10" x14ac:dyDescent="0.25">
      <c r="A4657" t="s">
        <v>935</v>
      </c>
      <c r="B4657" t="str">
        <f>ADDRESS(ROW('Loan 1'!$B$6),COLUMN('Loan 1'!$B$6),4)</f>
        <v>B6</v>
      </c>
      <c r="C4657" t="str">
        <f>ADDRESS(ROW('Loan 1'!$D$6),COLUMN('Loan 1'!$D$6),4)</f>
        <v>D6</v>
      </c>
      <c r="D4657" s="41" t="b">
        <f>IF('Loan 5'!B$7&lt;&gt;Lists!$AH$1,IF((COUNTIF('Loan 5'!B$10:B$13,"")+COUNTIF('Loan 5'!B$15,"")+COUNTIF('Loan 5'!B$19:B$28,"")+COUNTIF('Loan 5'!C$19:C$28,"")+COUNTIF('Loan 5'!B$31:B$32,"")+COUNTIF('Loan 5'!C$31:C$32,"")+COUNTIF('Loan 5'!B$34:B$37,"")+COUNTIF('Loan 5'!C$34:C$37,"")+COUNTIF('Loan 5'!B$39:B$41,"")+COUNTIF('Loan 5'!C$39:C$41,"")+COUNTBLANK('Loan 5'!B$43:B$44))&gt;0,TRUE,FALSE))</f>
        <v>0</v>
      </c>
      <c r="E4657" t="s">
        <v>632</v>
      </c>
      <c r="F4657" t="str">
        <f>INDEX(Lists!I:I,MATCH(Validation!E4657,Lists!G:G,0))</f>
        <v>Error</v>
      </c>
      <c r="G4657" t="str">
        <f>INDEX(Lists!H:H,MATCH(Validation!E4657,Lists!G:G,0))</f>
        <v xml:space="preserve">Complete entry of all rows on this tab. (Enter zero when appropriate.) </v>
      </c>
      <c r="H4657" s="16" t="str">
        <f t="shared" ca="1" si="474"/>
        <v/>
      </c>
      <c r="I4657" s="16" t="str">
        <f t="shared" ca="1" si="475"/>
        <v/>
      </c>
      <c r="J4657" s="17" t="str">
        <f t="shared" si="476"/>
        <v/>
      </c>
    </row>
    <row r="4658" spans="1:10" x14ac:dyDescent="0.25">
      <c r="A4658" t="s">
        <v>936</v>
      </c>
      <c r="B4658" t="str">
        <f>ADDRESS(ROW('Loan 1'!$B$6),COLUMN('Loan 1'!$B$6),4)</f>
        <v>B6</v>
      </c>
      <c r="C4658" t="str">
        <f>ADDRESS(ROW('Loan 1'!$D$6),COLUMN('Loan 1'!$D$6),4)</f>
        <v>D6</v>
      </c>
      <c r="D4658" s="41" t="b">
        <f>IF('Loan 6'!B$7&lt;&gt;Lists!$AH$1,IF((COUNTIF('Loan 6'!B$10:B$13,"")+COUNTIF('Loan 6'!B$15,"")+COUNTIF('Loan 6'!B$19:B$28,"")+COUNTIF('Loan 6'!C$19:C$28,"")+COUNTIF('Loan 6'!B$31:B$32,"")+COUNTIF('Loan 6'!C$31:C$32,"")+COUNTIF('Loan 6'!B$34:B$37,"")+COUNTIF('Loan 6'!C$34:C$37,"")+COUNTIF('Loan 6'!B$39:B$41,"")+COUNTIF('Loan 6'!C$39:C$41,"")+COUNTBLANK('Loan 6'!B$43:B$44))&gt;0,TRUE,FALSE))</f>
        <v>0</v>
      </c>
      <c r="E4658" t="s">
        <v>632</v>
      </c>
      <c r="F4658" t="str">
        <f>INDEX(Lists!I:I,MATCH(Validation!E4658,Lists!G:G,0))</f>
        <v>Error</v>
      </c>
      <c r="G4658" t="str">
        <f>INDEX(Lists!H:H,MATCH(Validation!E4658,Lists!G:G,0))</f>
        <v xml:space="preserve">Complete entry of all rows on this tab. (Enter zero when appropriate.) </v>
      </c>
      <c r="H4658" s="16" t="str">
        <f t="shared" ca="1" si="474"/>
        <v/>
      </c>
      <c r="I4658" s="16" t="str">
        <f t="shared" ca="1" si="475"/>
        <v/>
      </c>
      <c r="J4658" s="17" t="str">
        <f t="shared" si="476"/>
        <v/>
      </c>
    </row>
    <row r="4659" spans="1:10" x14ac:dyDescent="0.25">
      <c r="A4659" t="s">
        <v>937</v>
      </c>
      <c r="B4659" t="str">
        <f>ADDRESS(ROW('Loan 1'!$B$6),COLUMN('Loan 1'!$B$6),4)</f>
        <v>B6</v>
      </c>
      <c r="C4659" t="str">
        <f>ADDRESS(ROW('Loan 1'!$D$6),COLUMN('Loan 1'!$D$6),4)</f>
        <v>D6</v>
      </c>
      <c r="D4659" s="41" t="b">
        <f>IF('Loan 7'!B$7&lt;&gt;Lists!$AH$1,IF((COUNTIF('Loan 7'!B$10:B$13,"")+COUNTIF('Loan 7'!B$15,"")+COUNTIF('Loan 7'!B$19:B$28,"")+COUNTIF('Loan 7'!C$19:C$28,"")+COUNTIF('Loan 7'!B$31:B$32,"")+COUNTIF('Loan 7'!C$31:C$32,"")+COUNTIF('Loan 7'!B$34:B$37,"")+COUNTIF('Loan 7'!C$34:C$37,"")+COUNTIF('Loan 7'!B$39:B$41,"")+COUNTIF('Loan 7'!C$39:C$41,"")+COUNTBLANK('Loan 7'!B$43:B$44))&gt;0,TRUE,FALSE))</f>
        <v>0</v>
      </c>
      <c r="E4659" t="s">
        <v>632</v>
      </c>
      <c r="F4659" t="str">
        <f>INDEX(Lists!I:I,MATCH(Validation!E4659,Lists!G:G,0))</f>
        <v>Error</v>
      </c>
      <c r="G4659" t="str">
        <f>INDEX(Lists!H:H,MATCH(Validation!E4659,Lists!G:G,0))</f>
        <v xml:space="preserve">Complete entry of all rows on this tab. (Enter zero when appropriate.) </v>
      </c>
      <c r="H4659" s="16" t="str">
        <f t="shared" ca="1" si="474"/>
        <v/>
      </c>
      <c r="I4659" s="16" t="str">
        <f t="shared" ca="1" si="475"/>
        <v/>
      </c>
      <c r="J4659" s="17" t="str">
        <f t="shared" si="476"/>
        <v/>
      </c>
    </row>
    <row r="4660" spans="1:10" x14ac:dyDescent="0.25">
      <c r="A4660" t="s">
        <v>938</v>
      </c>
      <c r="B4660" t="str">
        <f>ADDRESS(ROW('Loan 1'!$B$6),COLUMN('Loan 1'!$B$6),4)</f>
        <v>B6</v>
      </c>
      <c r="C4660" t="str">
        <f>ADDRESS(ROW('Loan 1'!$D$6),COLUMN('Loan 1'!$D$6),4)</f>
        <v>D6</v>
      </c>
      <c r="D4660" s="41" t="b">
        <f>IF('Loan 8'!B$7&lt;&gt;Lists!$AH$1,IF((COUNTIF('Loan 8'!B$10:B$13,"")+COUNTIF('Loan 8'!B$15,"")+COUNTIF('Loan 8'!B$19:B$28,"")+COUNTIF('Loan 8'!C$19:C$28,"")+COUNTIF('Loan 8'!B$31:B$32,"")+COUNTIF('Loan 8'!C$31:C$32,"")+COUNTIF('Loan 8'!B$34:B$37,"")+COUNTIF('Loan 8'!C$34:C$37,"")+COUNTIF('Loan 8'!B$39:B$41,"")+COUNTIF('Loan 8'!C$39:C$41,"")+COUNTBLANK('Loan 8'!B$43:B$44))&gt;0,TRUE,FALSE))</f>
        <v>0</v>
      </c>
      <c r="E4660" t="s">
        <v>632</v>
      </c>
      <c r="F4660" t="str">
        <f>INDEX(Lists!I:I,MATCH(Validation!E4660,Lists!G:G,0))</f>
        <v>Error</v>
      </c>
      <c r="G4660" t="str">
        <f>INDEX(Lists!H:H,MATCH(Validation!E4660,Lists!G:G,0))</f>
        <v xml:space="preserve">Complete entry of all rows on this tab. (Enter zero when appropriate.) </v>
      </c>
      <c r="H4660" s="16" t="str">
        <f t="shared" ca="1" si="474"/>
        <v/>
      </c>
      <c r="I4660" s="16" t="str">
        <f t="shared" ca="1" si="475"/>
        <v/>
      </c>
      <c r="J4660" s="17" t="str">
        <f t="shared" si="476"/>
        <v/>
      </c>
    </row>
    <row r="4661" spans="1:10" x14ac:dyDescent="0.25">
      <c r="A4661" t="s">
        <v>939</v>
      </c>
      <c r="B4661" t="str">
        <f>ADDRESS(ROW('Loan 1'!$B$6),COLUMN('Loan 1'!$B$6),4)</f>
        <v>B6</v>
      </c>
      <c r="C4661" t="str">
        <f>ADDRESS(ROW('Loan 1'!$D$6),COLUMN('Loan 1'!$D$6),4)</f>
        <v>D6</v>
      </c>
      <c r="D4661" s="41" t="b">
        <f>IF('Loan 9'!B$7&lt;&gt;Lists!$AH$1,IF((COUNTIF('Loan 9'!B$10:B$13,"")+COUNTIF('Loan 9'!B$15,"")+COUNTIF('Loan 9'!B$19:B$28,"")+COUNTIF('Loan 9'!C$19:C$28,"")+COUNTIF('Loan 9'!B$31:B$32,"")+COUNTIF('Loan 9'!C$31:C$32,"")+COUNTIF('Loan 9'!B$34:B$37,"")+COUNTIF('Loan 9'!C$34:C$37,"")+COUNTIF('Loan 9'!B$39:B$41,"")+COUNTIF('Loan 9'!C$39:C$41,"")+COUNTBLANK('Loan 9'!B$43:B$44))&gt;0,TRUE,FALSE))</f>
        <v>0</v>
      </c>
      <c r="E4661" t="s">
        <v>632</v>
      </c>
      <c r="F4661" t="str">
        <f>INDEX(Lists!I:I,MATCH(Validation!E4661,Lists!G:G,0))</f>
        <v>Error</v>
      </c>
      <c r="G4661" t="str">
        <f>INDEX(Lists!H:H,MATCH(Validation!E4661,Lists!G:G,0))</f>
        <v xml:space="preserve">Complete entry of all rows on this tab. (Enter zero when appropriate.) </v>
      </c>
      <c r="H4661" s="16" t="str">
        <f t="shared" ca="1" si="474"/>
        <v/>
      </c>
      <c r="I4661" s="16" t="str">
        <f t="shared" ca="1" si="475"/>
        <v/>
      </c>
      <c r="J4661" s="17" t="str">
        <f t="shared" si="476"/>
        <v/>
      </c>
    </row>
    <row r="4662" spans="1:10" x14ac:dyDescent="0.25">
      <c r="A4662" t="s">
        <v>940</v>
      </c>
      <c r="B4662" t="str">
        <f>ADDRESS(ROW('Loan 1'!$B$6),COLUMN('Loan 1'!$B$6),4)</f>
        <v>B6</v>
      </c>
      <c r="C4662" t="str">
        <f>ADDRESS(ROW('Loan 1'!$D$6),COLUMN('Loan 1'!$D$6),4)</f>
        <v>D6</v>
      </c>
      <c r="D4662" s="41" t="b">
        <f>IF('Loan 10'!B$7&lt;&gt;Lists!$AH$1,IF((COUNTIF('Loan 10'!B$10:B$13,"")+COUNTIF('Loan 10'!B$15,"")+COUNTIF('Loan 10'!B$19:B$28,"")+COUNTIF('Loan 10'!C$19:C$28,"")+COUNTIF('Loan 10'!B$31:B$32,"")+COUNTIF('Loan 10'!C$31:C$32,"")+COUNTIF('Loan 10'!B$34:B$37,"")+COUNTIF('Loan 10'!C$34:C$37,"")+COUNTIF('Loan 10'!B$39:B$41,"")+COUNTIF('Loan 10'!C$39:C$41,"")+COUNTBLANK('Loan 10'!B$43:B$44))&gt;0,TRUE,FALSE))</f>
        <v>0</v>
      </c>
      <c r="E4662" t="s">
        <v>632</v>
      </c>
      <c r="F4662" t="str">
        <f>INDEX(Lists!I:I,MATCH(Validation!E4662,Lists!G:G,0))</f>
        <v>Error</v>
      </c>
      <c r="G4662" t="str">
        <f>INDEX(Lists!H:H,MATCH(Validation!E4662,Lists!G:G,0))</f>
        <v xml:space="preserve">Complete entry of all rows on this tab. (Enter zero when appropriate.) </v>
      </c>
      <c r="H4662" s="16" t="str">
        <f t="shared" ca="1" si="474"/>
        <v/>
      </c>
      <c r="I4662" s="16" t="str">
        <f t="shared" ca="1" si="475"/>
        <v/>
      </c>
      <c r="J4662" s="17" t="str">
        <f t="shared" si="476"/>
        <v/>
      </c>
    </row>
    <row r="4663" spans="1:10" x14ac:dyDescent="0.25">
      <c r="A4663" t="s">
        <v>941</v>
      </c>
      <c r="B4663" t="str">
        <f>ADDRESS(ROW('Loan 1'!$B$6),COLUMN('Loan 1'!$B$6),4)</f>
        <v>B6</v>
      </c>
      <c r="C4663" t="str">
        <f>ADDRESS(ROW('Loan 1'!$D$6),COLUMN('Loan 1'!$D$6),4)</f>
        <v>D6</v>
      </c>
      <c r="D4663" s="41" t="b">
        <f>IF('Loan 11'!B$7&lt;&gt;Lists!$AH$1,IF((COUNTIF('Loan 11'!B$10:B$13,"")+COUNTIF('Loan 11'!B$15,"")+COUNTIF('Loan 11'!B$19:B$28,"")+COUNTIF('Loan 11'!C$19:C$28,"")+COUNTIF('Loan 11'!B$31:B$32,"")+COUNTIF('Loan 11'!C$31:C$32,"")+COUNTIF('Loan 11'!B$34:B$37,"")+COUNTIF('Loan 11'!C$34:C$37,"")+COUNTIF('Loan 11'!B$39:B$41,"")+COUNTIF('Loan 11'!C$39:C$41,"")+COUNTBLANK('Loan 11'!B$43:B$44))&gt;0,TRUE,FALSE))</f>
        <v>0</v>
      </c>
      <c r="E4663" t="s">
        <v>632</v>
      </c>
      <c r="F4663" t="str">
        <f>INDEX(Lists!I:I,MATCH(Validation!E4663,Lists!G:G,0))</f>
        <v>Error</v>
      </c>
      <c r="G4663" t="str">
        <f>INDEX(Lists!H:H,MATCH(Validation!E4663,Lists!G:G,0))</f>
        <v xml:space="preserve">Complete entry of all rows on this tab. (Enter zero when appropriate.) </v>
      </c>
      <c r="H4663" s="16" t="str">
        <f t="shared" ca="1" si="474"/>
        <v/>
      </c>
      <c r="I4663" s="16" t="str">
        <f t="shared" ca="1" si="475"/>
        <v/>
      </c>
      <c r="J4663" s="17" t="str">
        <f t="shared" si="476"/>
        <v/>
      </c>
    </row>
    <row r="4664" spans="1:10" x14ac:dyDescent="0.25">
      <c r="A4664" t="s">
        <v>942</v>
      </c>
      <c r="B4664" t="str">
        <f>ADDRESS(ROW('Loan 1'!$B$6),COLUMN('Loan 1'!$B$6),4)</f>
        <v>B6</v>
      </c>
      <c r="C4664" t="str">
        <f>ADDRESS(ROW('Loan 1'!$D$6),COLUMN('Loan 1'!$D$6),4)</f>
        <v>D6</v>
      </c>
      <c r="D4664" s="41" t="b">
        <f>IF('Loan 12'!B$7&lt;&gt;Lists!$AH$1,IF((COUNTIF('Loan 12'!B$10:B$13,"")+COUNTIF('Loan 12'!B$15,"")+COUNTIF('Loan 12'!B$19:B$28,"")+COUNTIF('Loan 12'!C$19:C$28,"")+COUNTIF('Loan 12'!B$31:B$32,"")+COUNTIF('Loan 12'!C$31:C$32,"")+COUNTIF('Loan 12'!B$34:B$37,"")+COUNTIF('Loan 12'!C$34:C$37,"")+COUNTIF('Loan 12'!B$39:B$41,"")+COUNTIF('Loan 12'!C$39:C$41,"")+COUNTBLANK('Loan 12'!B$43:B$44))&gt;0,TRUE,FALSE))</f>
        <v>0</v>
      </c>
      <c r="E4664" t="s">
        <v>632</v>
      </c>
      <c r="F4664" t="str">
        <f>INDEX(Lists!I:I,MATCH(Validation!E4664,Lists!G:G,0))</f>
        <v>Error</v>
      </c>
      <c r="G4664" t="str">
        <f>INDEX(Lists!H:H,MATCH(Validation!E4664,Lists!G:G,0))</f>
        <v xml:space="preserve">Complete entry of all rows on this tab. (Enter zero when appropriate.) </v>
      </c>
      <c r="H4664" s="16" t="str">
        <f t="shared" ca="1" si="474"/>
        <v/>
      </c>
      <c r="I4664" s="16" t="str">
        <f t="shared" ca="1" si="475"/>
        <v/>
      </c>
      <c r="J4664" s="17" t="str">
        <f t="shared" si="476"/>
        <v/>
      </c>
    </row>
    <row r="4665" spans="1:10" x14ac:dyDescent="0.25">
      <c r="A4665" t="s">
        <v>943</v>
      </c>
      <c r="B4665" t="str">
        <f>ADDRESS(ROW('Loan 1'!$B$6),COLUMN('Loan 1'!$B$6),4)</f>
        <v>B6</v>
      </c>
      <c r="C4665" t="str">
        <f>ADDRESS(ROW('Loan 1'!$D$6),COLUMN('Loan 1'!$D$6),4)</f>
        <v>D6</v>
      </c>
      <c r="D4665" s="41" t="b">
        <f>IF('Loan 13'!B$7&lt;&gt;Lists!$AH$1,IF((COUNTIF('Loan 13'!B$10:B$13,"")+COUNTIF('Loan 13'!B$15,"")+COUNTIF('Loan 13'!B$19:B$28,"")+COUNTIF('Loan 13'!C$19:C$28,"")+COUNTIF('Loan 13'!B$31:B$32,"")+COUNTIF('Loan 13'!C$31:C$32,"")+COUNTIF('Loan 13'!B$34:B$37,"")+COUNTIF('Loan 13'!C$34:C$37,"")+COUNTIF('Loan 13'!B$39:B$41,"")+COUNTIF('Loan 13'!C$39:C$41,"")+COUNTBLANK('Loan 13'!B$43:B$44))&gt;0,TRUE,FALSE))</f>
        <v>0</v>
      </c>
      <c r="E4665" t="s">
        <v>632</v>
      </c>
      <c r="F4665" t="str">
        <f>INDEX(Lists!I:I,MATCH(Validation!E4665,Lists!G:G,0))</f>
        <v>Error</v>
      </c>
      <c r="G4665" t="str">
        <f>INDEX(Lists!H:H,MATCH(Validation!E4665,Lists!G:G,0))</f>
        <v xml:space="preserve">Complete entry of all rows on this tab. (Enter zero when appropriate.) </v>
      </c>
      <c r="H4665" s="16" t="str">
        <f t="shared" ca="1" si="474"/>
        <v/>
      </c>
      <c r="I4665" s="16" t="str">
        <f t="shared" ca="1" si="475"/>
        <v/>
      </c>
      <c r="J4665" s="17" t="str">
        <f t="shared" si="476"/>
        <v/>
      </c>
    </row>
    <row r="4666" spans="1:10" x14ac:dyDescent="0.25">
      <c r="A4666" t="s">
        <v>944</v>
      </c>
      <c r="B4666" t="str">
        <f>ADDRESS(ROW('Loan 1'!$B$6),COLUMN('Loan 1'!$B$6),4)</f>
        <v>B6</v>
      </c>
      <c r="C4666" t="str">
        <f>ADDRESS(ROW('Loan 1'!$D$6),COLUMN('Loan 1'!$D$6),4)</f>
        <v>D6</v>
      </c>
      <c r="D4666" s="41" t="b">
        <f>IF('Loan 14'!B$7&lt;&gt;Lists!$AH$1,IF((COUNTIF('Loan 14'!B$10:B$13,"")+COUNTIF('Loan 14'!B$15,"")+COUNTIF('Loan 14'!B$19:B$28,"")+COUNTIF('Loan 14'!C$19:C$28,"")+COUNTIF('Loan 14'!B$31:B$32,"")+COUNTIF('Loan 14'!C$31:C$32,"")+COUNTIF('Loan 14'!B$34:B$37,"")+COUNTIF('Loan 14'!C$34:C$37,"")+COUNTIF('Loan 14'!B$39:B$41,"")+COUNTIF('Loan 14'!C$39:C$41,"")+COUNTBLANK('Loan 14'!B$43:B$44))&gt;0,TRUE,FALSE))</f>
        <v>0</v>
      </c>
      <c r="E4666" t="s">
        <v>632</v>
      </c>
      <c r="F4666" t="str">
        <f>INDEX(Lists!I:I,MATCH(Validation!E4666,Lists!G:G,0))</f>
        <v>Error</v>
      </c>
      <c r="G4666" t="str">
        <f>INDEX(Lists!H:H,MATCH(Validation!E4666,Lists!G:G,0))</f>
        <v xml:space="preserve">Complete entry of all rows on this tab. (Enter zero when appropriate.) </v>
      </c>
      <c r="H4666" s="16" t="str">
        <f t="shared" ca="1" si="474"/>
        <v/>
      </c>
      <c r="I4666" s="16" t="str">
        <f t="shared" ca="1" si="475"/>
        <v/>
      </c>
      <c r="J4666" s="17" t="str">
        <f t="shared" si="476"/>
        <v/>
      </c>
    </row>
    <row r="4667" spans="1:10" x14ac:dyDescent="0.25">
      <c r="A4667" t="s">
        <v>945</v>
      </c>
      <c r="B4667" t="str">
        <f>ADDRESS(ROW('Loan 1'!$B$6),COLUMN('Loan 1'!$B$6),4)</f>
        <v>B6</v>
      </c>
      <c r="C4667" t="str">
        <f>ADDRESS(ROW('Loan 1'!$D$6),COLUMN('Loan 1'!$D$6),4)</f>
        <v>D6</v>
      </c>
      <c r="D4667" s="41" t="b">
        <f>IF('Loan 15'!B$7&lt;&gt;Lists!$AH$1,IF((COUNTIF('Loan 15'!B$10:B$13,"")+COUNTIF('Loan 15'!B$15,"")+COUNTIF('Loan 15'!B$19:B$28,"")+COUNTIF('Loan 15'!C$19:C$28,"")+COUNTIF('Loan 15'!B$31:B$32,"")+COUNTIF('Loan 15'!C$31:C$32,"")+COUNTIF('Loan 15'!B$34:B$37,"")+COUNTIF('Loan 15'!C$34:C$37,"")+COUNTIF('Loan 15'!B$39:B$41,"")+COUNTIF('Loan 15'!C$39:C$41,"")+COUNTBLANK('Loan 15'!B$43:B$44))&gt;0,TRUE,FALSE))</f>
        <v>0</v>
      </c>
      <c r="E4667" t="s">
        <v>632</v>
      </c>
      <c r="F4667" t="str">
        <f>INDEX(Lists!I:I,MATCH(Validation!E4667,Lists!G:G,0))</f>
        <v>Error</v>
      </c>
      <c r="G4667" t="str">
        <f>INDEX(Lists!H:H,MATCH(Validation!E4667,Lists!G:G,0))</f>
        <v xml:space="preserve">Complete entry of all rows on this tab. (Enter zero when appropriate.) </v>
      </c>
      <c r="H4667" s="16" t="str">
        <f t="shared" ca="1" si="474"/>
        <v/>
      </c>
      <c r="I4667" s="16" t="str">
        <f t="shared" ca="1" si="475"/>
        <v/>
      </c>
      <c r="J4667" s="17" t="str">
        <f t="shared" si="476"/>
        <v/>
      </c>
    </row>
    <row r="4668" spans="1:10" x14ac:dyDescent="0.25">
      <c r="A4668" t="s">
        <v>205</v>
      </c>
      <c r="B4668" t="str">
        <f>ADDRESS(ROW('Loan 1'!$B$8),COLUMN('Loan 1'!$B$8),4)</f>
        <v>B8</v>
      </c>
      <c r="C4668" t="str">
        <f>ADDRESS(ROW('Loan 1'!$D$8),COLUMN('Loan 1'!$D$8),4)</f>
        <v>D8</v>
      </c>
      <c r="D4668" t="b" cm="1">
        <f t="array" aca="1" ref="D4668" ca="1">IF(AND(INDIRECT("'"&amp;A4668&amp;"'!"&amp;B4668)&lt;&gt;Lists!$AJ$1,INDIRECT("'"&amp;A4668&amp;"'!B$7")=Lists!$AH$1),TRUE,FALSE)</f>
        <v>0</v>
      </c>
      <c r="E4668" t="s">
        <v>918</v>
      </c>
      <c r="F4668" t="str">
        <f>INDEX(Lists!I:I,MATCH(Validation!E4668,Lists!G:G,0))</f>
        <v>Error</v>
      </c>
      <c r="G4668" t="str">
        <f>INDEX(Lists!H:H,MATCH(Validation!E4668,Lists!G:G,0))</f>
        <v>You must select the Interfund Loan Type First.</v>
      </c>
      <c r="H4668" s="16" t="str">
        <f t="shared" ref="H4668:H4682" ca="1" si="477">IFERROR(IF(OR(NOT(D4668),F4668&lt;&gt;"Error"),"",A4668&amp;CELL("address",INDIRECT(B4668))),"")</f>
        <v/>
      </c>
      <c r="I4668" s="16" t="str">
        <f t="shared" ref="I4668:I4682" ca="1" si="478">IFERROR(IF(NOT(D4668),"",A4668&amp;CELL("address",INDIRECT(C4668))),"")</f>
        <v/>
      </c>
      <c r="J4668" s="17" t="str">
        <f t="shared" ref="J4668:J4682" ca="1" si="479">IFERROR(IF(NOT(D4668),"",A4668),"")</f>
        <v/>
      </c>
    </row>
    <row r="4669" spans="1:10" x14ac:dyDescent="0.25">
      <c r="A4669" t="s">
        <v>932</v>
      </c>
      <c r="B4669" t="str">
        <f>ADDRESS(ROW('Loan 1'!$B$8),COLUMN('Loan 1'!$B$8),4)</f>
        <v>B8</v>
      </c>
      <c r="C4669" t="str">
        <f>ADDRESS(ROW('Loan 1'!$D$8),COLUMN('Loan 1'!$D$8),4)</f>
        <v>D8</v>
      </c>
      <c r="D4669" t="b" cm="1">
        <f t="array" aca="1" ref="D4669" ca="1">IF(AND(INDIRECT("'"&amp;A4669&amp;"'!"&amp;B4669)&lt;&gt;Lists!$AJ$1,INDIRECT("'"&amp;A4669&amp;"'!B$7")=Lists!$AH$1),TRUE,FALSE)</f>
        <v>0</v>
      </c>
      <c r="E4669" t="s">
        <v>918</v>
      </c>
      <c r="F4669" t="str">
        <f>INDEX(Lists!I:I,MATCH(Validation!E4669,Lists!G:G,0))</f>
        <v>Error</v>
      </c>
      <c r="G4669" t="str">
        <f>INDEX(Lists!H:H,MATCH(Validation!E4669,Lists!G:G,0))</f>
        <v>You must select the Interfund Loan Type First.</v>
      </c>
      <c r="H4669" s="16" t="str">
        <f t="shared" ca="1" si="477"/>
        <v/>
      </c>
      <c r="I4669" s="16" t="str">
        <f t="shared" ca="1" si="478"/>
        <v/>
      </c>
      <c r="J4669" s="17" t="str">
        <f t="shared" ca="1" si="479"/>
        <v/>
      </c>
    </row>
    <row r="4670" spans="1:10" x14ac:dyDescent="0.25">
      <c r="A4670" t="s">
        <v>933</v>
      </c>
      <c r="B4670" t="str">
        <f>ADDRESS(ROW('Loan 1'!$B$8),COLUMN('Loan 1'!$B$8),4)</f>
        <v>B8</v>
      </c>
      <c r="C4670" t="str">
        <f>ADDRESS(ROW('Loan 1'!$D$8),COLUMN('Loan 1'!$D$8),4)</f>
        <v>D8</v>
      </c>
      <c r="D4670" t="b" cm="1">
        <f t="array" aca="1" ref="D4670" ca="1">IF(AND(INDIRECT("'"&amp;A4670&amp;"'!"&amp;B4670)&lt;&gt;Lists!$AJ$1,INDIRECT("'"&amp;A4670&amp;"'!B$7")=Lists!$AH$1),TRUE,FALSE)</f>
        <v>0</v>
      </c>
      <c r="E4670" t="s">
        <v>918</v>
      </c>
      <c r="F4670" t="str">
        <f>INDEX(Lists!I:I,MATCH(Validation!E4670,Lists!G:G,0))</f>
        <v>Error</v>
      </c>
      <c r="G4670" t="str">
        <f>INDEX(Lists!H:H,MATCH(Validation!E4670,Lists!G:G,0))</f>
        <v>You must select the Interfund Loan Type First.</v>
      </c>
      <c r="H4670" s="16" t="str">
        <f t="shared" ca="1" si="477"/>
        <v/>
      </c>
      <c r="I4670" s="16" t="str">
        <f t="shared" ca="1" si="478"/>
        <v/>
      </c>
      <c r="J4670" s="17" t="str">
        <f t="shared" ca="1" si="479"/>
        <v/>
      </c>
    </row>
    <row r="4671" spans="1:10" x14ac:dyDescent="0.25">
      <c r="A4671" t="s">
        <v>934</v>
      </c>
      <c r="B4671" t="str">
        <f>ADDRESS(ROW('Loan 1'!$B$8),COLUMN('Loan 1'!$B$8),4)</f>
        <v>B8</v>
      </c>
      <c r="C4671" t="str">
        <f>ADDRESS(ROW('Loan 1'!$D$8),COLUMN('Loan 1'!$D$8),4)</f>
        <v>D8</v>
      </c>
      <c r="D4671" t="b" cm="1">
        <f t="array" aca="1" ref="D4671" ca="1">IF(AND(INDIRECT("'"&amp;A4671&amp;"'!"&amp;B4671)&lt;&gt;Lists!$AJ$1,INDIRECT("'"&amp;A4671&amp;"'!B$7")=Lists!$AH$1),TRUE,FALSE)</f>
        <v>0</v>
      </c>
      <c r="E4671" t="s">
        <v>918</v>
      </c>
      <c r="F4671" t="str">
        <f>INDEX(Lists!I:I,MATCH(Validation!E4671,Lists!G:G,0))</f>
        <v>Error</v>
      </c>
      <c r="G4671" t="str">
        <f>INDEX(Lists!H:H,MATCH(Validation!E4671,Lists!G:G,0))</f>
        <v>You must select the Interfund Loan Type First.</v>
      </c>
      <c r="H4671" s="16" t="str">
        <f t="shared" ca="1" si="477"/>
        <v/>
      </c>
      <c r="I4671" s="16" t="str">
        <f t="shared" ca="1" si="478"/>
        <v/>
      </c>
      <c r="J4671" s="17" t="str">
        <f t="shared" ca="1" si="479"/>
        <v/>
      </c>
    </row>
    <row r="4672" spans="1:10" x14ac:dyDescent="0.25">
      <c r="A4672" t="s">
        <v>935</v>
      </c>
      <c r="B4672" t="str">
        <f>ADDRESS(ROW('Loan 1'!$B$8),COLUMN('Loan 1'!$B$8),4)</f>
        <v>B8</v>
      </c>
      <c r="C4672" t="str">
        <f>ADDRESS(ROW('Loan 1'!$D$8),COLUMN('Loan 1'!$D$8),4)</f>
        <v>D8</v>
      </c>
      <c r="D4672" t="b" cm="1">
        <f t="array" aca="1" ref="D4672" ca="1">IF(AND(INDIRECT("'"&amp;A4672&amp;"'!"&amp;B4672)&lt;&gt;Lists!$AJ$1,INDIRECT("'"&amp;A4672&amp;"'!B$7")=Lists!$AH$1),TRUE,FALSE)</f>
        <v>0</v>
      </c>
      <c r="E4672" t="s">
        <v>918</v>
      </c>
      <c r="F4672" t="str">
        <f>INDEX(Lists!I:I,MATCH(Validation!E4672,Lists!G:G,0))</f>
        <v>Error</v>
      </c>
      <c r="G4672" t="str">
        <f>INDEX(Lists!H:H,MATCH(Validation!E4672,Lists!G:G,0))</f>
        <v>You must select the Interfund Loan Type First.</v>
      </c>
      <c r="H4672" s="16" t="str">
        <f t="shared" ca="1" si="477"/>
        <v/>
      </c>
      <c r="I4672" s="16" t="str">
        <f t="shared" ca="1" si="478"/>
        <v/>
      </c>
      <c r="J4672" s="17" t="str">
        <f t="shared" ca="1" si="479"/>
        <v/>
      </c>
    </row>
    <row r="4673" spans="1:10" x14ac:dyDescent="0.25">
      <c r="A4673" t="s">
        <v>936</v>
      </c>
      <c r="B4673" t="str">
        <f>ADDRESS(ROW('Loan 1'!$B$8),COLUMN('Loan 1'!$B$8),4)</f>
        <v>B8</v>
      </c>
      <c r="C4673" t="str">
        <f>ADDRESS(ROW('Loan 1'!$D$8),COLUMN('Loan 1'!$D$8),4)</f>
        <v>D8</v>
      </c>
      <c r="D4673" t="b" cm="1">
        <f t="array" aca="1" ref="D4673" ca="1">IF(AND(INDIRECT("'"&amp;A4673&amp;"'!"&amp;B4673)&lt;&gt;Lists!$AJ$1,INDIRECT("'"&amp;A4673&amp;"'!B$7")=Lists!$AH$1),TRUE,FALSE)</f>
        <v>0</v>
      </c>
      <c r="E4673" t="s">
        <v>918</v>
      </c>
      <c r="F4673" t="str">
        <f>INDEX(Lists!I:I,MATCH(Validation!E4673,Lists!G:G,0))</f>
        <v>Error</v>
      </c>
      <c r="G4673" t="str">
        <f>INDEX(Lists!H:H,MATCH(Validation!E4673,Lists!G:G,0))</f>
        <v>You must select the Interfund Loan Type First.</v>
      </c>
      <c r="H4673" s="16" t="str">
        <f t="shared" ca="1" si="477"/>
        <v/>
      </c>
      <c r="I4673" s="16" t="str">
        <f t="shared" ca="1" si="478"/>
        <v/>
      </c>
      <c r="J4673" s="17" t="str">
        <f t="shared" ca="1" si="479"/>
        <v/>
      </c>
    </row>
    <row r="4674" spans="1:10" x14ac:dyDescent="0.25">
      <c r="A4674" t="s">
        <v>937</v>
      </c>
      <c r="B4674" t="str">
        <f>ADDRESS(ROW('Loan 1'!$B$8),COLUMN('Loan 1'!$B$8),4)</f>
        <v>B8</v>
      </c>
      <c r="C4674" t="str">
        <f>ADDRESS(ROW('Loan 1'!$D$8),COLUMN('Loan 1'!$D$8),4)</f>
        <v>D8</v>
      </c>
      <c r="D4674" t="b" cm="1">
        <f t="array" aca="1" ref="D4674" ca="1">IF(AND(INDIRECT("'"&amp;A4674&amp;"'!"&amp;B4674)&lt;&gt;Lists!$AJ$1,INDIRECT("'"&amp;A4674&amp;"'!B$7")=Lists!$AH$1),TRUE,FALSE)</f>
        <v>0</v>
      </c>
      <c r="E4674" t="s">
        <v>918</v>
      </c>
      <c r="F4674" t="str">
        <f>INDEX(Lists!I:I,MATCH(Validation!E4674,Lists!G:G,0))</f>
        <v>Error</v>
      </c>
      <c r="G4674" t="str">
        <f>INDEX(Lists!H:H,MATCH(Validation!E4674,Lists!G:G,0))</f>
        <v>You must select the Interfund Loan Type First.</v>
      </c>
      <c r="H4674" s="16" t="str">
        <f t="shared" ca="1" si="477"/>
        <v/>
      </c>
      <c r="I4674" s="16" t="str">
        <f t="shared" ca="1" si="478"/>
        <v/>
      </c>
      <c r="J4674" s="17" t="str">
        <f t="shared" ca="1" si="479"/>
        <v/>
      </c>
    </row>
    <row r="4675" spans="1:10" x14ac:dyDescent="0.25">
      <c r="A4675" t="s">
        <v>938</v>
      </c>
      <c r="B4675" t="str">
        <f>ADDRESS(ROW('Loan 1'!$B$8),COLUMN('Loan 1'!$B$8),4)</f>
        <v>B8</v>
      </c>
      <c r="C4675" t="str">
        <f>ADDRESS(ROW('Loan 1'!$D$8),COLUMN('Loan 1'!$D$8),4)</f>
        <v>D8</v>
      </c>
      <c r="D4675" t="b" cm="1">
        <f t="array" aca="1" ref="D4675" ca="1">IF(AND(INDIRECT("'"&amp;A4675&amp;"'!"&amp;B4675)&lt;&gt;Lists!$AJ$1,INDIRECT("'"&amp;A4675&amp;"'!B$7")=Lists!$AH$1),TRUE,FALSE)</f>
        <v>0</v>
      </c>
      <c r="E4675" t="s">
        <v>918</v>
      </c>
      <c r="F4675" t="str">
        <f>INDEX(Lists!I:I,MATCH(Validation!E4675,Lists!G:G,0))</f>
        <v>Error</v>
      </c>
      <c r="G4675" t="str">
        <f>INDEX(Lists!H:H,MATCH(Validation!E4675,Lists!G:G,0))</f>
        <v>You must select the Interfund Loan Type First.</v>
      </c>
      <c r="H4675" s="16" t="str">
        <f t="shared" ca="1" si="477"/>
        <v/>
      </c>
      <c r="I4675" s="16" t="str">
        <f t="shared" ca="1" si="478"/>
        <v/>
      </c>
      <c r="J4675" s="17" t="str">
        <f t="shared" ca="1" si="479"/>
        <v/>
      </c>
    </row>
    <row r="4676" spans="1:10" x14ac:dyDescent="0.25">
      <c r="A4676" t="s">
        <v>939</v>
      </c>
      <c r="B4676" t="str">
        <f>ADDRESS(ROW('Loan 1'!$B$8),COLUMN('Loan 1'!$B$8),4)</f>
        <v>B8</v>
      </c>
      <c r="C4676" t="str">
        <f>ADDRESS(ROW('Loan 1'!$D$8),COLUMN('Loan 1'!$D$8),4)</f>
        <v>D8</v>
      </c>
      <c r="D4676" t="b" cm="1">
        <f t="array" aca="1" ref="D4676" ca="1">IF(AND(INDIRECT("'"&amp;A4676&amp;"'!"&amp;B4676)&lt;&gt;Lists!$AJ$1,INDIRECT("'"&amp;A4676&amp;"'!B$7")=Lists!$AH$1),TRUE,FALSE)</f>
        <v>0</v>
      </c>
      <c r="E4676" t="s">
        <v>918</v>
      </c>
      <c r="F4676" t="str">
        <f>INDEX(Lists!I:I,MATCH(Validation!E4676,Lists!G:G,0))</f>
        <v>Error</v>
      </c>
      <c r="G4676" t="str">
        <f>INDEX(Lists!H:H,MATCH(Validation!E4676,Lists!G:G,0))</f>
        <v>You must select the Interfund Loan Type First.</v>
      </c>
      <c r="H4676" s="16" t="str">
        <f t="shared" ca="1" si="477"/>
        <v/>
      </c>
      <c r="I4676" s="16" t="str">
        <f t="shared" ca="1" si="478"/>
        <v/>
      </c>
      <c r="J4676" s="17" t="str">
        <f t="shared" ca="1" si="479"/>
        <v/>
      </c>
    </row>
    <row r="4677" spans="1:10" x14ac:dyDescent="0.25">
      <c r="A4677" t="s">
        <v>940</v>
      </c>
      <c r="B4677" t="str">
        <f>ADDRESS(ROW('Loan 1'!$B$8),COLUMN('Loan 1'!$B$8),4)</f>
        <v>B8</v>
      </c>
      <c r="C4677" t="str">
        <f>ADDRESS(ROW('Loan 1'!$D$8),COLUMN('Loan 1'!$D$8),4)</f>
        <v>D8</v>
      </c>
      <c r="D4677" t="b" cm="1">
        <f t="array" aca="1" ref="D4677" ca="1">IF(AND(INDIRECT("'"&amp;A4677&amp;"'!"&amp;B4677)&lt;&gt;Lists!$AJ$1,INDIRECT("'"&amp;A4677&amp;"'!B$7")=Lists!$AH$1),TRUE,FALSE)</f>
        <v>0</v>
      </c>
      <c r="E4677" t="s">
        <v>918</v>
      </c>
      <c r="F4677" t="str">
        <f>INDEX(Lists!I:I,MATCH(Validation!E4677,Lists!G:G,0))</f>
        <v>Error</v>
      </c>
      <c r="G4677" t="str">
        <f>INDEX(Lists!H:H,MATCH(Validation!E4677,Lists!G:G,0))</f>
        <v>You must select the Interfund Loan Type First.</v>
      </c>
      <c r="H4677" s="16" t="str">
        <f t="shared" ca="1" si="477"/>
        <v/>
      </c>
      <c r="I4677" s="16" t="str">
        <f t="shared" ca="1" si="478"/>
        <v/>
      </c>
      <c r="J4677" s="17" t="str">
        <f t="shared" ca="1" si="479"/>
        <v/>
      </c>
    </row>
    <row r="4678" spans="1:10" x14ac:dyDescent="0.25">
      <c r="A4678" t="s">
        <v>941</v>
      </c>
      <c r="B4678" t="str">
        <f>ADDRESS(ROW('Loan 1'!$B$8),COLUMN('Loan 1'!$B$8),4)</f>
        <v>B8</v>
      </c>
      <c r="C4678" t="str">
        <f>ADDRESS(ROW('Loan 1'!$D$8),COLUMN('Loan 1'!$D$8),4)</f>
        <v>D8</v>
      </c>
      <c r="D4678" t="b" cm="1">
        <f t="array" aca="1" ref="D4678" ca="1">IF(AND(INDIRECT("'"&amp;A4678&amp;"'!"&amp;B4678)&lt;&gt;Lists!$AJ$1,INDIRECT("'"&amp;A4678&amp;"'!B$7")=Lists!$AH$1),TRUE,FALSE)</f>
        <v>0</v>
      </c>
      <c r="E4678" t="s">
        <v>918</v>
      </c>
      <c r="F4678" t="str">
        <f>INDEX(Lists!I:I,MATCH(Validation!E4678,Lists!G:G,0))</f>
        <v>Error</v>
      </c>
      <c r="G4678" t="str">
        <f>INDEX(Lists!H:H,MATCH(Validation!E4678,Lists!G:G,0))</f>
        <v>You must select the Interfund Loan Type First.</v>
      </c>
      <c r="H4678" s="16" t="str">
        <f t="shared" ca="1" si="477"/>
        <v/>
      </c>
      <c r="I4678" s="16" t="str">
        <f t="shared" ca="1" si="478"/>
        <v/>
      </c>
      <c r="J4678" s="17" t="str">
        <f t="shared" ca="1" si="479"/>
        <v/>
      </c>
    </row>
    <row r="4679" spans="1:10" x14ac:dyDescent="0.25">
      <c r="A4679" t="s">
        <v>942</v>
      </c>
      <c r="B4679" t="str">
        <f>ADDRESS(ROW('Loan 1'!$B$8),COLUMN('Loan 1'!$B$8),4)</f>
        <v>B8</v>
      </c>
      <c r="C4679" t="str">
        <f>ADDRESS(ROW('Loan 1'!$D$8),COLUMN('Loan 1'!$D$8),4)</f>
        <v>D8</v>
      </c>
      <c r="D4679" t="b" cm="1">
        <f t="array" aca="1" ref="D4679" ca="1">IF(AND(INDIRECT("'"&amp;A4679&amp;"'!"&amp;B4679)&lt;&gt;Lists!$AJ$1,INDIRECT("'"&amp;A4679&amp;"'!B$7")=Lists!$AH$1),TRUE,FALSE)</f>
        <v>0</v>
      </c>
      <c r="E4679" t="s">
        <v>918</v>
      </c>
      <c r="F4679" t="str">
        <f>INDEX(Lists!I:I,MATCH(Validation!E4679,Lists!G:G,0))</f>
        <v>Error</v>
      </c>
      <c r="G4679" t="str">
        <f>INDEX(Lists!H:H,MATCH(Validation!E4679,Lists!G:G,0))</f>
        <v>You must select the Interfund Loan Type First.</v>
      </c>
      <c r="H4679" s="16" t="str">
        <f t="shared" ca="1" si="477"/>
        <v/>
      </c>
      <c r="I4679" s="16" t="str">
        <f t="shared" ca="1" si="478"/>
        <v/>
      </c>
      <c r="J4679" s="17" t="str">
        <f t="shared" ca="1" si="479"/>
        <v/>
      </c>
    </row>
    <row r="4680" spans="1:10" x14ac:dyDescent="0.25">
      <c r="A4680" t="s">
        <v>943</v>
      </c>
      <c r="B4680" t="str">
        <f>ADDRESS(ROW('Loan 1'!$B$8),COLUMN('Loan 1'!$B$8),4)</f>
        <v>B8</v>
      </c>
      <c r="C4680" t="str">
        <f>ADDRESS(ROW('Loan 1'!$D$8),COLUMN('Loan 1'!$D$8),4)</f>
        <v>D8</v>
      </c>
      <c r="D4680" t="b" cm="1">
        <f t="array" aca="1" ref="D4680" ca="1">IF(AND(INDIRECT("'"&amp;A4680&amp;"'!"&amp;B4680)&lt;&gt;Lists!$AJ$1,INDIRECT("'"&amp;A4680&amp;"'!B$7")=Lists!$AH$1),TRUE,FALSE)</f>
        <v>0</v>
      </c>
      <c r="E4680" t="s">
        <v>918</v>
      </c>
      <c r="F4680" t="str">
        <f>INDEX(Lists!I:I,MATCH(Validation!E4680,Lists!G:G,0))</f>
        <v>Error</v>
      </c>
      <c r="G4680" t="str">
        <f>INDEX(Lists!H:H,MATCH(Validation!E4680,Lists!G:G,0))</f>
        <v>You must select the Interfund Loan Type First.</v>
      </c>
      <c r="H4680" s="16" t="str">
        <f t="shared" ca="1" si="477"/>
        <v/>
      </c>
      <c r="I4680" s="16" t="str">
        <f t="shared" ca="1" si="478"/>
        <v/>
      </c>
      <c r="J4680" s="17" t="str">
        <f t="shared" ca="1" si="479"/>
        <v/>
      </c>
    </row>
    <row r="4681" spans="1:10" x14ac:dyDescent="0.25">
      <c r="A4681" t="s">
        <v>944</v>
      </c>
      <c r="B4681" t="str">
        <f>ADDRESS(ROW('Loan 1'!$B$8),COLUMN('Loan 1'!$B$8),4)</f>
        <v>B8</v>
      </c>
      <c r="C4681" t="str">
        <f>ADDRESS(ROW('Loan 1'!$D$8),COLUMN('Loan 1'!$D$8),4)</f>
        <v>D8</v>
      </c>
      <c r="D4681" t="b" cm="1">
        <f t="array" aca="1" ref="D4681" ca="1">IF(AND(INDIRECT("'"&amp;A4681&amp;"'!"&amp;B4681)&lt;&gt;Lists!$AJ$1,INDIRECT("'"&amp;A4681&amp;"'!B$7")=Lists!$AH$1),TRUE,FALSE)</f>
        <v>0</v>
      </c>
      <c r="E4681" t="s">
        <v>918</v>
      </c>
      <c r="F4681" t="str">
        <f>INDEX(Lists!I:I,MATCH(Validation!E4681,Lists!G:G,0))</f>
        <v>Error</v>
      </c>
      <c r="G4681" t="str">
        <f>INDEX(Lists!H:H,MATCH(Validation!E4681,Lists!G:G,0))</f>
        <v>You must select the Interfund Loan Type First.</v>
      </c>
      <c r="H4681" s="16" t="str">
        <f t="shared" ca="1" si="477"/>
        <v/>
      </c>
      <c r="I4681" s="16" t="str">
        <f t="shared" ca="1" si="478"/>
        <v/>
      </c>
      <c r="J4681" s="17" t="str">
        <f t="shared" ca="1" si="479"/>
        <v/>
      </c>
    </row>
    <row r="4682" spans="1:10" x14ac:dyDescent="0.25">
      <c r="A4682" t="s">
        <v>945</v>
      </c>
      <c r="B4682" t="str">
        <f>ADDRESS(ROW('Loan 1'!$B$8),COLUMN('Loan 1'!$B$8),4)</f>
        <v>B8</v>
      </c>
      <c r="C4682" t="str">
        <f>ADDRESS(ROW('Loan 1'!$D$8),COLUMN('Loan 1'!$D$8),4)</f>
        <v>D8</v>
      </c>
      <c r="D4682" t="b" cm="1">
        <f t="array" aca="1" ref="D4682" ca="1">IF(AND(INDIRECT("'"&amp;A4682&amp;"'!"&amp;B4682)&lt;&gt;Lists!$AJ$1,INDIRECT("'"&amp;A4682&amp;"'!B$7")=Lists!$AH$1),TRUE,FALSE)</f>
        <v>0</v>
      </c>
      <c r="E4682" t="s">
        <v>918</v>
      </c>
      <c r="F4682" t="str">
        <f>INDEX(Lists!I:I,MATCH(Validation!E4682,Lists!G:G,0))</f>
        <v>Error</v>
      </c>
      <c r="G4682" t="str">
        <f>INDEX(Lists!H:H,MATCH(Validation!E4682,Lists!G:G,0))</f>
        <v>You must select the Interfund Loan Type First.</v>
      </c>
      <c r="H4682" s="16" t="str">
        <f t="shared" ca="1" si="477"/>
        <v/>
      </c>
      <c r="I4682" s="16" t="str">
        <f t="shared" ca="1" si="478"/>
        <v/>
      </c>
      <c r="J4682" s="17" t="str">
        <f t="shared" ca="1" si="479"/>
        <v/>
      </c>
    </row>
    <row r="4683" spans="1:10" x14ac:dyDescent="0.25">
      <c r="A4683" t="s">
        <v>205</v>
      </c>
      <c r="B4683" t="str">
        <f>ADDRESS(ROW('Loan 1'!$B$8),COLUMN('Loan 1'!$B$8),4)</f>
        <v>B8</v>
      </c>
      <c r="C4683" t="str">
        <f>ADDRESS(ROW('Loan 1'!$D$8),COLUMN('Loan 1'!$D$8),4)</f>
        <v>D8</v>
      </c>
      <c r="D4683" t="b" cm="1">
        <f t="array" aca="1" ref="D4683" ca="1">IF(AND(INDIRECT("'"&amp;A4683&amp;"'!$B$7")=Lists!$AH$2,INDIRECT("'"&amp;A4683&amp;"'!"&amp;B4683)=Lists!$AJ$1),TRUE,FALSE)</f>
        <v>0</v>
      </c>
      <c r="E4683" t="s">
        <v>64</v>
      </c>
      <c r="F4683" t="str">
        <f>INDEX(Lists!I:I,MATCH(Validation!E4683,Lists!G:G,0))</f>
        <v>Error</v>
      </c>
      <c r="G4683" t="str">
        <f>INDEX(Lists!H:H,MATCH(Validation!E4683,Lists!G:G,0))</f>
        <v>You must make a selection from the dropdown list.</v>
      </c>
      <c r="H4683" s="16" t="str">
        <f t="shared" ref="H4683:H4697" ca="1" si="480">IFERROR(IF(OR(NOT(D4683),F4683&lt;&gt;"Error"),"",A4683&amp;CELL("address",INDIRECT(B4683))),"")</f>
        <v/>
      </c>
      <c r="I4683" s="16" t="str">
        <f t="shared" ref="I4683:I4697" ca="1" si="481">IFERROR(IF(NOT(D4683),"",A4683&amp;CELL("address",INDIRECT(C4683))),"")</f>
        <v/>
      </c>
      <c r="J4683" s="17" t="str">
        <f t="shared" ref="J4683:J4697" ca="1" si="482">IFERROR(IF(NOT(D4683),"",A4683),"")</f>
        <v/>
      </c>
    </row>
    <row r="4684" spans="1:10" x14ac:dyDescent="0.25">
      <c r="A4684" t="s">
        <v>932</v>
      </c>
      <c r="B4684" t="str">
        <f>ADDRESS(ROW('Loan 1'!$B$8),COLUMN('Loan 1'!$B$8),4)</f>
        <v>B8</v>
      </c>
      <c r="C4684" t="str">
        <f>ADDRESS(ROW('Loan 1'!$D$8),COLUMN('Loan 1'!$D$8),4)</f>
        <v>D8</v>
      </c>
      <c r="D4684" t="b" cm="1">
        <f t="array" aca="1" ref="D4684" ca="1">IF(AND(INDIRECT("'"&amp;A4684&amp;"'!$B$7")=Lists!$AH$2,INDIRECT("'"&amp;A4684&amp;"'!"&amp;B4684)=Lists!$AJ$1),TRUE,FALSE)</f>
        <v>0</v>
      </c>
      <c r="E4684" t="s">
        <v>64</v>
      </c>
      <c r="F4684" t="str">
        <f>INDEX(Lists!I:I,MATCH(Validation!E4684,Lists!G:G,0))</f>
        <v>Error</v>
      </c>
      <c r="G4684" t="str">
        <f>INDEX(Lists!H:H,MATCH(Validation!E4684,Lists!G:G,0))</f>
        <v>You must make a selection from the dropdown list.</v>
      </c>
      <c r="H4684" s="16" t="str">
        <f t="shared" ca="1" si="480"/>
        <v/>
      </c>
      <c r="I4684" s="16" t="str">
        <f t="shared" ca="1" si="481"/>
        <v/>
      </c>
      <c r="J4684" s="17" t="str">
        <f t="shared" ca="1" si="482"/>
        <v/>
      </c>
    </row>
    <row r="4685" spans="1:10" x14ac:dyDescent="0.25">
      <c r="A4685" t="s">
        <v>933</v>
      </c>
      <c r="B4685" t="str">
        <f>ADDRESS(ROW('Loan 1'!$B$8),COLUMN('Loan 1'!$B$8),4)</f>
        <v>B8</v>
      </c>
      <c r="C4685" t="str">
        <f>ADDRESS(ROW('Loan 1'!$D$8),COLUMN('Loan 1'!$D$8),4)</f>
        <v>D8</v>
      </c>
      <c r="D4685" t="b" cm="1">
        <f t="array" aca="1" ref="D4685" ca="1">IF(AND(INDIRECT("'"&amp;A4685&amp;"'!$B$7")=Lists!$AH$2,INDIRECT("'"&amp;A4685&amp;"'!"&amp;B4685)=Lists!$AJ$1),TRUE,FALSE)</f>
        <v>0</v>
      </c>
      <c r="E4685" t="s">
        <v>64</v>
      </c>
      <c r="F4685" t="str">
        <f>INDEX(Lists!I:I,MATCH(Validation!E4685,Lists!G:G,0))</f>
        <v>Error</v>
      </c>
      <c r="G4685" t="str">
        <f>INDEX(Lists!H:H,MATCH(Validation!E4685,Lists!G:G,0))</f>
        <v>You must make a selection from the dropdown list.</v>
      </c>
      <c r="H4685" s="16" t="str">
        <f t="shared" ca="1" si="480"/>
        <v/>
      </c>
      <c r="I4685" s="16" t="str">
        <f t="shared" ca="1" si="481"/>
        <v/>
      </c>
      <c r="J4685" s="17" t="str">
        <f t="shared" ca="1" si="482"/>
        <v/>
      </c>
    </row>
    <row r="4686" spans="1:10" x14ac:dyDescent="0.25">
      <c r="A4686" t="s">
        <v>934</v>
      </c>
      <c r="B4686" t="str">
        <f>ADDRESS(ROW('Loan 1'!$B$8),COLUMN('Loan 1'!$B$8),4)</f>
        <v>B8</v>
      </c>
      <c r="C4686" t="str">
        <f>ADDRESS(ROW('Loan 1'!$D$8),COLUMN('Loan 1'!$D$8),4)</f>
        <v>D8</v>
      </c>
      <c r="D4686" t="b" cm="1">
        <f t="array" aca="1" ref="D4686" ca="1">IF(AND(INDIRECT("'"&amp;A4686&amp;"'!$B$7")=Lists!$AH$2,INDIRECT("'"&amp;A4686&amp;"'!"&amp;B4686)=Lists!$AJ$1),TRUE,FALSE)</f>
        <v>0</v>
      </c>
      <c r="E4686" t="s">
        <v>64</v>
      </c>
      <c r="F4686" t="str">
        <f>INDEX(Lists!I:I,MATCH(Validation!E4686,Lists!G:G,0))</f>
        <v>Error</v>
      </c>
      <c r="G4686" t="str">
        <f>INDEX(Lists!H:H,MATCH(Validation!E4686,Lists!G:G,0))</f>
        <v>You must make a selection from the dropdown list.</v>
      </c>
      <c r="H4686" s="16" t="str">
        <f t="shared" ca="1" si="480"/>
        <v/>
      </c>
      <c r="I4686" s="16" t="str">
        <f t="shared" ca="1" si="481"/>
        <v/>
      </c>
      <c r="J4686" s="17" t="str">
        <f t="shared" ca="1" si="482"/>
        <v/>
      </c>
    </row>
    <row r="4687" spans="1:10" x14ac:dyDescent="0.25">
      <c r="A4687" t="s">
        <v>935</v>
      </c>
      <c r="B4687" t="str">
        <f>ADDRESS(ROW('Loan 1'!$B$8),COLUMN('Loan 1'!$B$8),4)</f>
        <v>B8</v>
      </c>
      <c r="C4687" t="str">
        <f>ADDRESS(ROW('Loan 1'!$D$8),COLUMN('Loan 1'!$D$8),4)</f>
        <v>D8</v>
      </c>
      <c r="D4687" t="b" cm="1">
        <f t="array" aca="1" ref="D4687" ca="1">IF(AND(INDIRECT("'"&amp;A4687&amp;"'!$B$7")=Lists!$AH$2,INDIRECT("'"&amp;A4687&amp;"'!"&amp;B4687)=Lists!$AJ$1),TRUE,FALSE)</f>
        <v>0</v>
      </c>
      <c r="E4687" t="s">
        <v>64</v>
      </c>
      <c r="F4687" t="str">
        <f>INDEX(Lists!I:I,MATCH(Validation!E4687,Lists!G:G,0))</f>
        <v>Error</v>
      </c>
      <c r="G4687" t="str">
        <f>INDEX(Lists!H:H,MATCH(Validation!E4687,Lists!G:G,0))</f>
        <v>You must make a selection from the dropdown list.</v>
      </c>
      <c r="H4687" s="16" t="str">
        <f t="shared" ca="1" si="480"/>
        <v/>
      </c>
      <c r="I4687" s="16" t="str">
        <f t="shared" ca="1" si="481"/>
        <v/>
      </c>
      <c r="J4687" s="17" t="str">
        <f t="shared" ca="1" si="482"/>
        <v/>
      </c>
    </row>
    <row r="4688" spans="1:10" x14ac:dyDescent="0.25">
      <c r="A4688" t="s">
        <v>936</v>
      </c>
      <c r="B4688" t="str">
        <f>ADDRESS(ROW('Loan 1'!$B$8),COLUMN('Loan 1'!$B$8),4)</f>
        <v>B8</v>
      </c>
      <c r="C4688" t="str">
        <f>ADDRESS(ROW('Loan 1'!$D$8),COLUMN('Loan 1'!$D$8),4)</f>
        <v>D8</v>
      </c>
      <c r="D4688" t="b" cm="1">
        <f t="array" aca="1" ref="D4688" ca="1">IF(AND(INDIRECT("'"&amp;A4688&amp;"'!$B$7")=Lists!$AH$2,INDIRECT("'"&amp;A4688&amp;"'!"&amp;B4688)=Lists!$AJ$1),TRUE,FALSE)</f>
        <v>0</v>
      </c>
      <c r="E4688" t="s">
        <v>64</v>
      </c>
      <c r="F4688" t="str">
        <f>INDEX(Lists!I:I,MATCH(Validation!E4688,Lists!G:G,0))</f>
        <v>Error</v>
      </c>
      <c r="G4688" t="str">
        <f>INDEX(Lists!H:H,MATCH(Validation!E4688,Lists!G:G,0))</f>
        <v>You must make a selection from the dropdown list.</v>
      </c>
      <c r="H4688" s="16" t="str">
        <f t="shared" ca="1" si="480"/>
        <v/>
      </c>
      <c r="I4688" s="16" t="str">
        <f t="shared" ca="1" si="481"/>
        <v/>
      </c>
      <c r="J4688" s="17" t="str">
        <f t="shared" ca="1" si="482"/>
        <v/>
      </c>
    </row>
    <row r="4689" spans="1:10" x14ac:dyDescent="0.25">
      <c r="A4689" t="s">
        <v>937</v>
      </c>
      <c r="B4689" t="str">
        <f>ADDRESS(ROW('Loan 1'!$B$8),COLUMN('Loan 1'!$B$8),4)</f>
        <v>B8</v>
      </c>
      <c r="C4689" t="str">
        <f>ADDRESS(ROW('Loan 1'!$D$8),COLUMN('Loan 1'!$D$8),4)</f>
        <v>D8</v>
      </c>
      <c r="D4689" t="b" cm="1">
        <f t="array" aca="1" ref="D4689" ca="1">IF(AND(INDIRECT("'"&amp;A4689&amp;"'!$B$7")=Lists!$AH$2,INDIRECT("'"&amp;A4689&amp;"'!"&amp;B4689)=Lists!$AJ$1),TRUE,FALSE)</f>
        <v>0</v>
      </c>
      <c r="E4689" t="s">
        <v>64</v>
      </c>
      <c r="F4689" t="str">
        <f>INDEX(Lists!I:I,MATCH(Validation!E4689,Lists!G:G,0))</f>
        <v>Error</v>
      </c>
      <c r="G4689" t="str">
        <f>INDEX(Lists!H:H,MATCH(Validation!E4689,Lists!G:G,0))</f>
        <v>You must make a selection from the dropdown list.</v>
      </c>
      <c r="H4689" s="16" t="str">
        <f t="shared" ca="1" si="480"/>
        <v/>
      </c>
      <c r="I4689" s="16" t="str">
        <f t="shared" ca="1" si="481"/>
        <v/>
      </c>
      <c r="J4689" s="17" t="str">
        <f t="shared" ca="1" si="482"/>
        <v/>
      </c>
    </row>
    <row r="4690" spans="1:10" x14ac:dyDescent="0.25">
      <c r="A4690" t="s">
        <v>938</v>
      </c>
      <c r="B4690" t="str">
        <f>ADDRESS(ROW('Loan 1'!$B$8),COLUMN('Loan 1'!$B$8),4)</f>
        <v>B8</v>
      </c>
      <c r="C4690" t="str">
        <f>ADDRESS(ROW('Loan 1'!$D$8),COLUMN('Loan 1'!$D$8),4)</f>
        <v>D8</v>
      </c>
      <c r="D4690" t="b" cm="1">
        <f t="array" aca="1" ref="D4690" ca="1">IF(AND(INDIRECT("'"&amp;A4690&amp;"'!$B$7")=Lists!$AH$2,INDIRECT("'"&amp;A4690&amp;"'!"&amp;B4690)=Lists!$AJ$1),TRUE,FALSE)</f>
        <v>0</v>
      </c>
      <c r="E4690" t="s">
        <v>64</v>
      </c>
      <c r="F4690" t="str">
        <f>INDEX(Lists!I:I,MATCH(Validation!E4690,Lists!G:G,0))</f>
        <v>Error</v>
      </c>
      <c r="G4690" t="str">
        <f>INDEX(Lists!H:H,MATCH(Validation!E4690,Lists!G:G,0))</f>
        <v>You must make a selection from the dropdown list.</v>
      </c>
      <c r="H4690" s="16" t="str">
        <f t="shared" ca="1" si="480"/>
        <v/>
      </c>
      <c r="I4690" s="16" t="str">
        <f t="shared" ca="1" si="481"/>
        <v/>
      </c>
      <c r="J4690" s="17" t="str">
        <f t="shared" ca="1" si="482"/>
        <v/>
      </c>
    </row>
    <row r="4691" spans="1:10" x14ac:dyDescent="0.25">
      <c r="A4691" t="s">
        <v>939</v>
      </c>
      <c r="B4691" t="str">
        <f>ADDRESS(ROW('Loan 1'!$B$8),COLUMN('Loan 1'!$B$8),4)</f>
        <v>B8</v>
      </c>
      <c r="C4691" t="str">
        <f>ADDRESS(ROW('Loan 1'!$D$8),COLUMN('Loan 1'!$D$8),4)</f>
        <v>D8</v>
      </c>
      <c r="D4691" t="b" cm="1">
        <f t="array" aca="1" ref="D4691" ca="1">IF(AND(INDIRECT("'"&amp;A4691&amp;"'!$B$7")=Lists!$AH$2,INDIRECT("'"&amp;A4691&amp;"'!"&amp;B4691)=Lists!$AJ$1),TRUE,FALSE)</f>
        <v>0</v>
      </c>
      <c r="E4691" t="s">
        <v>64</v>
      </c>
      <c r="F4691" t="str">
        <f>INDEX(Lists!I:I,MATCH(Validation!E4691,Lists!G:G,0))</f>
        <v>Error</v>
      </c>
      <c r="G4691" t="str">
        <f>INDEX(Lists!H:H,MATCH(Validation!E4691,Lists!G:G,0))</f>
        <v>You must make a selection from the dropdown list.</v>
      </c>
      <c r="H4691" s="16" t="str">
        <f t="shared" ca="1" si="480"/>
        <v/>
      </c>
      <c r="I4691" s="16" t="str">
        <f t="shared" ca="1" si="481"/>
        <v/>
      </c>
      <c r="J4691" s="17" t="str">
        <f t="shared" ca="1" si="482"/>
        <v/>
      </c>
    </row>
    <row r="4692" spans="1:10" x14ac:dyDescent="0.25">
      <c r="A4692" t="s">
        <v>940</v>
      </c>
      <c r="B4692" t="str">
        <f>ADDRESS(ROW('Loan 1'!$B$8),COLUMN('Loan 1'!$B$8),4)</f>
        <v>B8</v>
      </c>
      <c r="C4692" t="str">
        <f>ADDRESS(ROW('Loan 1'!$D$8),COLUMN('Loan 1'!$D$8),4)</f>
        <v>D8</v>
      </c>
      <c r="D4692" t="b" cm="1">
        <f t="array" aca="1" ref="D4692" ca="1">IF(AND(INDIRECT("'"&amp;A4692&amp;"'!$B$7")=Lists!$AH$2,INDIRECT("'"&amp;A4692&amp;"'!"&amp;B4692)=Lists!$AJ$1),TRUE,FALSE)</f>
        <v>0</v>
      </c>
      <c r="E4692" t="s">
        <v>64</v>
      </c>
      <c r="F4692" t="str">
        <f>INDEX(Lists!I:I,MATCH(Validation!E4692,Lists!G:G,0))</f>
        <v>Error</v>
      </c>
      <c r="G4692" t="str">
        <f>INDEX(Lists!H:H,MATCH(Validation!E4692,Lists!G:G,0))</f>
        <v>You must make a selection from the dropdown list.</v>
      </c>
      <c r="H4692" s="16" t="str">
        <f t="shared" ca="1" si="480"/>
        <v/>
      </c>
      <c r="I4692" s="16" t="str">
        <f t="shared" ca="1" si="481"/>
        <v/>
      </c>
      <c r="J4692" s="17" t="str">
        <f t="shared" ca="1" si="482"/>
        <v/>
      </c>
    </row>
    <row r="4693" spans="1:10" x14ac:dyDescent="0.25">
      <c r="A4693" t="s">
        <v>941</v>
      </c>
      <c r="B4693" t="str">
        <f>ADDRESS(ROW('Loan 1'!$B$8),COLUMN('Loan 1'!$B$8),4)</f>
        <v>B8</v>
      </c>
      <c r="C4693" t="str">
        <f>ADDRESS(ROW('Loan 1'!$D$8),COLUMN('Loan 1'!$D$8),4)</f>
        <v>D8</v>
      </c>
      <c r="D4693" t="b" cm="1">
        <f t="array" aca="1" ref="D4693" ca="1">IF(AND(INDIRECT("'"&amp;A4693&amp;"'!$B$7")=Lists!$AH$2,INDIRECT("'"&amp;A4693&amp;"'!"&amp;B4693)=Lists!$AJ$1),TRUE,FALSE)</f>
        <v>0</v>
      </c>
      <c r="E4693" t="s">
        <v>64</v>
      </c>
      <c r="F4693" t="str">
        <f>INDEX(Lists!I:I,MATCH(Validation!E4693,Lists!G:G,0))</f>
        <v>Error</v>
      </c>
      <c r="G4693" t="str">
        <f>INDEX(Lists!H:H,MATCH(Validation!E4693,Lists!G:G,0))</f>
        <v>You must make a selection from the dropdown list.</v>
      </c>
      <c r="H4693" s="16" t="str">
        <f t="shared" ca="1" si="480"/>
        <v/>
      </c>
      <c r="I4693" s="16" t="str">
        <f t="shared" ca="1" si="481"/>
        <v/>
      </c>
      <c r="J4693" s="17" t="str">
        <f t="shared" ca="1" si="482"/>
        <v/>
      </c>
    </row>
    <row r="4694" spans="1:10" x14ac:dyDescent="0.25">
      <c r="A4694" t="s">
        <v>942</v>
      </c>
      <c r="B4694" t="str">
        <f>ADDRESS(ROW('Loan 1'!$B$8),COLUMN('Loan 1'!$B$8),4)</f>
        <v>B8</v>
      </c>
      <c r="C4694" t="str">
        <f>ADDRESS(ROW('Loan 1'!$D$8),COLUMN('Loan 1'!$D$8),4)</f>
        <v>D8</v>
      </c>
      <c r="D4694" t="b" cm="1">
        <f t="array" aca="1" ref="D4694" ca="1">IF(AND(INDIRECT("'"&amp;A4694&amp;"'!$B$7")=Lists!$AH$2,INDIRECT("'"&amp;A4694&amp;"'!"&amp;B4694)=Lists!$AJ$1),TRUE,FALSE)</f>
        <v>0</v>
      </c>
      <c r="E4694" t="s">
        <v>64</v>
      </c>
      <c r="F4694" t="str">
        <f>INDEX(Lists!I:I,MATCH(Validation!E4694,Lists!G:G,0))</f>
        <v>Error</v>
      </c>
      <c r="G4694" t="str">
        <f>INDEX(Lists!H:H,MATCH(Validation!E4694,Lists!G:G,0))</f>
        <v>You must make a selection from the dropdown list.</v>
      </c>
      <c r="H4694" s="16" t="str">
        <f t="shared" ca="1" si="480"/>
        <v/>
      </c>
      <c r="I4694" s="16" t="str">
        <f t="shared" ca="1" si="481"/>
        <v/>
      </c>
      <c r="J4694" s="17" t="str">
        <f t="shared" ca="1" si="482"/>
        <v/>
      </c>
    </row>
    <row r="4695" spans="1:10" x14ac:dyDescent="0.25">
      <c r="A4695" t="s">
        <v>943</v>
      </c>
      <c r="B4695" t="str">
        <f>ADDRESS(ROW('Loan 1'!$B$8),COLUMN('Loan 1'!$B$8),4)</f>
        <v>B8</v>
      </c>
      <c r="C4695" t="str">
        <f>ADDRESS(ROW('Loan 1'!$D$8),COLUMN('Loan 1'!$D$8),4)</f>
        <v>D8</v>
      </c>
      <c r="D4695" t="b" cm="1">
        <f t="array" aca="1" ref="D4695" ca="1">IF(AND(INDIRECT("'"&amp;A4695&amp;"'!$B$7")=Lists!$AH$2,INDIRECT("'"&amp;A4695&amp;"'!"&amp;B4695)=Lists!$AJ$1),TRUE,FALSE)</f>
        <v>0</v>
      </c>
      <c r="E4695" t="s">
        <v>64</v>
      </c>
      <c r="F4695" t="str">
        <f>INDEX(Lists!I:I,MATCH(Validation!E4695,Lists!G:G,0))</f>
        <v>Error</v>
      </c>
      <c r="G4695" t="str">
        <f>INDEX(Lists!H:H,MATCH(Validation!E4695,Lists!G:G,0))</f>
        <v>You must make a selection from the dropdown list.</v>
      </c>
      <c r="H4695" s="16" t="str">
        <f t="shared" ca="1" si="480"/>
        <v/>
      </c>
      <c r="I4695" s="16" t="str">
        <f t="shared" ca="1" si="481"/>
        <v/>
      </c>
      <c r="J4695" s="17" t="str">
        <f t="shared" ca="1" si="482"/>
        <v/>
      </c>
    </row>
    <row r="4696" spans="1:10" x14ac:dyDescent="0.25">
      <c r="A4696" t="s">
        <v>944</v>
      </c>
      <c r="B4696" t="str">
        <f>ADDRESS(ROW('Loan 1'!$B$8),COLUMN('Loan 1'!$B$8),4)</f>
        <v>B8</v>
      </c>
      <c r="C4696" t="str">
        <f>ADDRESS(ROW('Loan 1'!$D$8),COLUMN('Loan 1'!$D$8),4)</f>
        <v>D8</v>
      </c>
      <c r="D4696" t="b" cm="1">
        <f t="array" aca="1" ref="D4696" ca="1">IF(AND(INDIRECT("'"&amp;A4696&amp;"'!$B$7")=Lists!$AH$2,INDIRECT("'"&amp;A4696&amp;"'!"&amp;B4696)=Lists!$AJ$1),TRUE,FALSE)</f>
        <v>0</v>
      </c>
      <c r="E4696" t="s">
        <v>64</v>
      </c>
      <c r="F4696" t="str">
        <f>INDEX(Lists!I:I,MATCH(Validation!E4696,Lists!G:G,0))</f>
        <v>Error</v>
      </c>
      <c r="G4696" t="str">
        <f>INDEX(Lists!H:H,MATCH(Validation!E4696,Lists!G:G,0))</f>
        <v>You must make a selection from the dropdown list.</v>
      </c>
      <c r="H4696" s="16" t="str">
        <f t="shared" ca="1" si="480"/>
        <v/>
      </c>
      <c r="I4696" s="16" t="str">
        <f t="shared" ca="1" si="481"/>
        <v/>
      </c>
      <c r="J4696" s="17" t="str">
        <f t="shared" ca="1" si="482"/>
        <v/>
      </c>
    </row>
    <row r="4697" spans="1:10" x14ac:dyDescent="0.25">
      <c r="A4697" t="s">
        <v>945</v>
      </c>
      <c r="B4697" t="str">
        <f>ADDRESS(ROW('Loan 1'!$B$8),COLUMN('Loan 1'!$B$8),4)</f>
        <v>B8</v>
      </c>
      <c r="C4697" t="str">
        <f>ADDRESS(ROW('Loan 1'!$D$8),COLUMN('Loan 1'!$D$8),4)</f>
        <v>D8</v>
      </c>
      <c r="D4697" t="b" cm="1">
        <f t="array" aca="1" ref="D4697" ca="1">IF(AND(INDIRECT("'"&amp;A4697&amp;"'!$B$7")=Lists!$AH$2,INDIRECT("'"&amp;A4697&amp;"'!"&amp;B4697)=Lists!$AJ$1),TRUE,FALSE)</f>
        <v>0</v>
      </c>
      <c r="E4697" t="s">
        <v>64</v>
      </c>
      <c r="F4697" t="str">
        <f>INDEX(Lists!I:I,MATCH(Validation!E4697,Lists!G:G,0))</f>
        <v>Error</v>
      </c>
      <c r="G4697" t="str">
        <f>INDEX(Lists!H:H,MATCH(Validation!E4697,Lists!G:G,0))</f>
        <v>You must make a selection from the dropdown list.</v>
      </c>
      <c r="H4697" s="16" t="str">
        <f t="shared" ca="1" si="480"/>
        <v/>
      </c>
      <c r="I4697" s="16" t="str">
        <f t="shared" ca="1" si="481"/>
        <v/>
      </c>
      <c r="J4697" s="17" t="str">
        <f t="shared" ca="1" si="482"/>
        <v/>
      </c>
    </row>
    <row r="4698" spans="1:10" x14ac:dyDescent="0.25">
      <c r="A4698" t="s">
        <v>205</v>
      </c>
      <c r="B4698" t="str">
        <f>ADDRESS(ROW('Loan 1'!$B$8),COLUMN('Loan 1'!$B$8),4)</f>
        <v>B8</v>
      </c>
      <c r="C4698" t="str">
        <f>ADDRESS(ROW('Loan 1'!$D$8),COLUMN('Loan 1'!$D$8),4)</f>
        <v>D8</v>
      </c>
      <c r="D4698" t="b" cm="1">
        <f t="array" aca="1" ref="D4698" ca="1">IF(AND(INDIRECT("'"&amp;A4698&amp;"'!"&amp;B4698)&lt;&gt;Lists!$AJ$1,INDIRECT("'"&amp;A4698&amp;"'!$B$7")=Lists!$AH$3),TRUE,FALSE)</f>
        <v>0</v>
      </c>
      <c r="E4698" t="s">
        <v>920</v>
      </c>
      <c r="F4698" t="str">
        <f>INDEX(Lists!I:I,MATCH(Validation!E4698,Lists!G:G,0))</f>
        <v>Error</v>
      </c>
      <c r="G4698" t="str">
        <f>INDEX(Lists!H:H,MATCH(Validation!E4698,Lists!G:G,0))</f>
        <v>Skip this line for this loan type. Enter a Non-TIF fund/account on next line instead.</v>
      </c>
      <c r="H4698" s="16" t="str">
        <f t="shared" ref="H4698:H4712" ca="1" si="483">IFERROR(IF(OR(NOT(D4698),F4698&lt;&gt;"Error"),"",A4698&amp;CELL("address",INDIRECT(B4698))),"")</f>
        <v/>
      </c>
      <c r="I4698" s="16" t="str">
        <f t="shared" ref="I4698:I4712" ca="1" si="484">IFERROR(IF(NOT(D4698),"",A4698&amp;CELL("address",INDIRECT(C4698))),"")</f>
        <v/>
      </c>
      <c r="J4698" s="17" t="str">
        <f t="shared" ref="J4698:J4712" ca="1" si="485">IFERROR(IF(NOT(D4698),"",A4698),"")</f>
        <v/>
      </c>
    </row>
    <row r="4699" spans="1:10" x14ac:dyDescent="0.25">
      <c r="A4699" t="s">
        <v>932</v>
      </c>
      <c r="B4699" t="str">
        <f>ADDRESS(ROW('Loan 1'!$B$8),COLUMN('Loan 1'!$B$8),4)</f>
        <v>B8</v>
      </c>
      <c r="C4699" t="str">
        <f>ADDRESS(ROW('Loan 1'!$D$8),COLUMN('Loan 1'!$D$8),4)</f>
        <v>D8</v>
      </c>
      <c r="D4699" t="b" cm="1">
        <f t="array" aca="1" ref="D4699" ca="1">IF(AND(INDIRECT("'"&amp;A4699&amp;"'!"&amp;B4699)&lt;&gt;Lists!$AJ$1,INDIRECT("'"&amp;A4699&amp;"'!$B$7")=Lists!$AH$3),TRUE,FALSE)</f>
        <v>0</v>
      </c>
      <c r="E4699" t="s">
        <v>920</v>
      </c>
      <c r="F4699" t="str">
        <f>INDEX(Lists!I:I,MATCH(Validation!E4699,Lists!G:G,0))</f>
        <v>Error</v>
      </c>
      <c r="G4699" t="str">
        <f>INDEX(Lists!H:H,MATCH(Validation!E4699,Lists!G:G,0))</f>
        <v>Skip this line for this loan type. Enter a Non-TIF fund/account on next line instead.</v>
      </c>
      <c r="H4699" s="16" t="str">
        <f t="shared" ca="1" si="483"/>
        <v/>
      </c>
      <c r="I4699" s="16" t="str">
        <f t="shared" ca="1" si="484"/>
        <v/>
      </c>
      <c r="J4699" s="17" t="str">
        <f t="shared" ca="1" si="485"/>
        <v/>
      </c>
    </row>
    <row r="4700" spans="1:10" x14ac:dyDescent="0.25">
      <c r="A4700" t="s">
        <v>933</v>
      </c>
      <c r="B4700" t="str">
        <f>ADDRESS(ROW('Loan 1'!$B$8),COLUMN('Loan 1'!$B$8),4)</f>
        <v>B8</v>
      </c>
      <c r="C4700" t="str">
        <f>ADDRESS(ROW('Loan 1'!$D$8),COLUMN('Loan 1'!$D$8),4)</f>
        <v>D8</v>
      </c>
      <c r="D4700" t="b" cm="1">
        <f t="array" aca="1" ref="D4700" ca="1">IF(AND(INDIRECT("'"&amp;A4700&amp;"'!"&amp;B4700)&lt;&gt;Lists!$AJ$1,INDIRECT("'"&amp;A4700&amp;"'!$B$7")=Lists!$AH$3),TRUE,FALSE)</f>
        <v>0</v>
      </c>
      <c r="E4700" t="s">
        <v>920</v>
      </c>
      <c r="F4700" t="str">
        <f>INDEX(Lists!I:I,MATCH(Validation!E4700,Lists!G:G,0))</f>
        <v>Error</v>
      </c>
      <c r="G4700" t="str">
        <f>INDEX(Lists!H:H,MATCH(Validation!E4700,Lists!G:G,0))</f>
        <v>Skip this line for this loan type. Enter a Non-TIF fund/account on next line instead.</v>
      </c>
      <c r="H4700" s="16" t="str">
        <f t="shared" ca="1" si="483"/>
        <v/>
      </c>
      <c r="I4700" s="16" t="str">
        <f t="shared" ca="1" si="484"/>
        <v/>
      </c>
      <c r="J4700" s="17" t="str">
        <f t="shared" ca="1" si="485"/>
        <v/>
      </c>
    </row>
    <row r="4701" spans="1:10" x14ac:dyDescent="0.25">
      <c r="A4701" t="s">
        <v>934</v>
      </c>
      <c r="B4701" t="str">
        <f>ADDRESS(ROW('Loan 1'!$B$8),COLUMN('Loan 1'!$B$8),4)</f>
        <v>B8</v>
      </c>
      <c r="C4701" t="str">
        <f>ADDRESS(ROW('Loan 1'!$D$8),COLUMN('Loan 1'!$D$8),4)</f>
        <v>D8</v>
      </c>
      <c r="D4701" t="b" cm="1">
        <f t="array" aca="1" ref="D4701" ca="1">IF(AND(INDIRECT("'"&amp;A4701&amp;"'!"&amp;B4701)&lt;&gt;Lists!$AJ$1,INDIRECT("'"&amp;A4701&amp;"'!$B$7")=Lists!$AH$3),TRUE,FALSE)</f>
        <v>0</v>
      </c>
      <c r="E4701" t="s">
        <v>920</v>
      </c>
      <c r="F4701" t="str">
        <f>INDEX(Lists!I:I,MATCH(Validation!E4701,Lists!G:G,0))</f>
        <v>Error</v>
      </c>
      <c r="G4701" t="str">
        <f>INDEX(Lists!H:H,MATCH(Validation!E4701,Lists!G:G,0))</f>
        <v>Skip this line for this loan type. Enter a Non-TIF fund/account on next line instead.</v>
      </c>
      <c r="H4701" s="16" t="str">
        <f t="shared" ca="1" si="483"/>
        <v/>
      </c>
      <c r="I4701" s="16" t="str">
        <f t="shared" ca="1" si="484"/>
        <v/>
      </c>
      <c r="J4701" s="17" t="str">
        <f t="shared" ca="1" si="485"/>
        <v/>
      </c>
    </row>
    <row r="4702" spans="1:10" x14ac:dyDescent="0.25">
      <c r="A4702" t="s">
        <v>935</v>
      </c>
      <c r="B4702" t="str">
        <f>ADDRESS(ROW('Loan 1'!$B$8),COLUMN('Loan 1'!$B$8),4)</f>
        <v>B8</v>
      </c>
      <c r="C4702" t="str">
        <f>ADDRESS(ROW('Loan 1'!$D$8),COLUMN('Loan 1'!$D$8),4)</f>
        <v>D8</v>
      </c>
      <c r="D4702" t="b" cm="1">
        <f t="array" aca="1" ref="D4702" ca="1">IF(AND(INDIRECT("'"&amp;A4702&amp;"'!"&amp;B4702)&lt;&gt;Lists!$AJ$1,INDIRECT("'"&amp;A4702&amp;"'!$B$7")=Lists!$AH$3),TRUE,FALSE)</f>
        <v>0</v>
      </c>
      <c r="E4702" t="s">
        <v>920</v>
      </c>
      <c r="F4702" t="str">
        <f>INDEX(Lists!I:I,MATCH(Validation!E4702,Lists!G:G,0))</f>
        <v>Error</v>
      </c>
      <c r="G4702" t="str">
        <f>INDEX(Lists!H:H,MATCH(Validation!E4702,Lists!G:G,0))</f>
        <v>Skip this line for this loan type. Enter a Non-TIF fund/account on next line instead.</v>
      </c>
      <c r="H4702" s="16" t="str">
        <f t="shared" ca="1" si="483"/>
        <v/>
      </c>
      <c r="I4702" s="16" t="str">
        <f t="shared" ca="1" si="484"/>
        <v/>
      </c>
      <c r="J4702" s="17" t="str">
        <f t="shared" ca="1" si="485"/>
        <v/>
      </c>
    </row>
    <row r="4703" spans="1:10" x14ac:dyDescent="0.25">
      <c r="A4703" t="s">
        <v>936</v>
      </c>
      <c r="B4703" t="str">
        <f>ADDRESS(ROW('Loan 1'!$B$8),COLUMN('Loan 1'!$B$8),4)</f>
        <v>B8</v>
      </c>
      <c r="C4703" t="str">
        <f>ADDRESS(ROW('Loan 1'!$D$8),COLUMN('Loan 1'!$D$8),4)</f>
        <v>D8</v>
      </c>
      <c r="D4703" t="b" cm="1">
        <f t="array" aca="1" ref="D4703" ca="1">IF(AND(INDIRECT("'"&amp;A4703&amp;"'!"&amp;B4703)&lt;&gt;Lists!$AJ$1,INDIRECT("'"&amp;A4703&amp;"'!$B$7")=Lists!$AH$3),TRUE,FALSE)</f>
        <v>0</v>
      </c>
      <c r="E4703" t="s">
        <v>920</v>
      </c>
      <c r="F4703" t="str">
        <f>INDEX(Lists!I:I,MATCH(Validation!E4703,Lists!G:G,0))</f>
        <v>Error</v>
      </c>
      <c r="G4703" t="str">
        <f>INDEX(Lists!H:H,MATCH(Validation!E4703,Lists!G:G,0))</f>
        <v>Skip this line for this loan type. Enter a Non-TIF fund/account on next line instead.</v>
      </c>
      <c r="H4703" s="16" t="str">
        <f t="shared" ca="1" si="483"/>
        <v/>
      </c>
      <c r="I4703" s="16" t="str">
        <f t="shared" ca="1" si="484"/>
        <v/>
      </c>
      <c r="J4703" s="17" t="str">
        <f t="shared" ca="1" si="485"/>
        <v/>
      </c>
    </row>
    <row r="4704" spans="1:10" x14ac:dyDescent="0.25">
      <c r="A4704" t="s">
        <v>937</v>
      </c>
      <c r="B4704" t="str">
        <f>ADDRESS(ROW('Loan 1'!$B$8),COLUMN('Loan 1'!$B$8),4)</f>
        <v>B8</v>
      </c>
      <c r="C4704" t="str">
        <f>ADDRESS(ROW('Loan 1'!$D$8),COLUMN('Loan 1'!$D$8),4)</f>
        <v>D8</v>
      </c>
      <c r="D4704" t="b" cm="1">
        <f t="array" aca="1" ref="D4704" ca="1">IF(AND(INDIRECT("'"&amp;A4704&amp;"'!"&amp;B4704)&lt;&gt;Lists!$AJ$1,INDIRECT("'"&amp;A4704&amp;"'!$B$7")=Lists!$AH$3),TRUE,FALSE)</f>
        <v>0</v>
      </c>
      <c r="E4704" t="s">
        <v>920</v>
      </c>
      <c r="F4704" t="str">
        <f>INDEX(Lists!I:I,MATCH(Validation!E4704,Lists!G:G,0))</f>
        <v>Error</v>
      </c>
      <c r="G4704" t="str">
        <f>INDEX(Lists!H:H,MATCH(Validation!E4704,Lists!G:G,0))</f>
        <v>Skip this line for this loan type. Enter a Non-TIF fund/account on next line instead.</v>
      </c>
      <c r="H4704" s="16" t="str">
        <f t="shared" ca="1" si="483"/>
        <v/>
      </c>
      <c r="I4704" s="16" t="str">
        <f t="shared" ca="1" si="484"/>
        <v/>
      </c>
      <c r="J4704" s="17" t="str">
        <f t="shared" ca="1" si="485"/>
        <v/>
      </c>
    </row>
    <row r="4705" spans="1:10" x14ac:dyDescent="0.25">
      <c r="A4705" t="s">
        <v>938</v>
      </c>
      <c r="B4705" t="str">
        <f>ADDRESS(ROW('Loan 1'!$B$8),COLUMN('Loan 1'!$B$8),4)</f>
        <v>B8</v>
      </c>
      <c r="C4705" t="str">
        <f>ADDRESS(ROW('Loan 1'!$D$8),COLUMN('Loan 1'!$D$8),4)</f>
        <v>D8</v>
      </c>
      <c r="D4705" t="b" cm="1">
        <f t="array" aca="1" ref="D4705" ca="1">IF(AND(INDIRECT("'"&amp;A4705&amp;"'!"&amp;B4705)&lt;&gt;Lists!$AJ$1,INDIRECT("'"&amp;A4705&amp;"'!$B$7")=Lists!$AH$3),TRUE,FALSE)</f>
        <v>0</v>
      </c>
      <c r="E4705" t="s">
        <v>920</v>
      </c>
      <c r="F4705" t="str">
        <f>INDEX(Lists!I:I,MATCH(Validation!E4705,Lists!G:G,0))</f>
        <v>Error</v>
      </c>
      <c r="G4705" t="str">
        <f>INDEX(Lists!H:H,MATCH(Validation!E4705,Lists!G:G,0))</f>
        <v>Skip this line for this loan type. Enter a Non-TIF fund/account on next line instead.</v>
      </c>
      <c r="H4705" s="16" t="str">
        <f t="shared" ca="1" si="483"/>
        <v/>
      </c>
      <c r="I4705" s="16" t="str">
        <f t="shared" ca="1" si="484"/>
        <v/>
      </c>
      <c r="J4705" s="17" t="str">
        <f t="shared" ca="1" si="485"/>
        <v/>
      </c>
    </row>
    <row r="4706" spans="1:10" x14ac:dyDescent="0.25">
      <c r="A4706" t="s">
        <v>939</v>
      </c>
      <c r="B4706" t="str">
        <f>ADDRESS(ROW('Loan 1'!$B$8),COLUMN('Loan 1'!$B$8),4)</f>
        <v>B8</v>
      </c>
      <c r="C4706" t="str">
        <f>ADDRESS(ROW('Loan 1'!$D$8),COLUMN('Loan 1'!$D$8),4)</f>
        <v>D8</v>
      </c>
      <c r="D4706" t="b" cm="1">
        <f t="array" aca="1" ref="D4706" ca="1">IF(AND(INDIRECT("'"&amp;A4706&amp;"'!"&amp;B4706)&lt;&gt;Lists!$AJ$1,INDIRECT("'"&amp;A4706&amp;"'!$B$7")=Lists!$AH$3),TRUE,FALSE)</f>
        <v>0</v>
      </c>
      <c r="E4706" t="s">
        <v>920</v>
      </c>
      <c r="F4706" t="str">
        <f>INDEX(Lists!I:I,MATCH(Validation!E4706,Lists!G:G,0))</f>
        <v>Error</v>
      </c>
      <c r="G4706" t="str">
        <f>INDEX(Lists!H:H,MATCH(Validation!E4706,Lists!G:G,0))</f>
        <v>Skip this line for this loan type. Enter a Non-TIF fund/account on next line instead.</v>
      </c>
      <c r="H4706" s="16" t="str">
        <f t="shared" ca="1" si="483"/>
        <v/>
      </c>
      <c r="I4706" s="16" t="str">
        <f t="shared" ca="1" si="484"/>
        <v/>
      </c>
      <c r="J4706" s="17" t="str">
        <f t="shared" ca="1" si="485"/>
        <v/>
      </c>
    </row>
    <row r="4707" spans="1:10" x14ac:dyDescent="0.25">
      <c r="A4707" t="s">
        <v>940</v>
      </c>
      <c r="B4707" t="str">
        <f>ADDRESS(ROW('Loan 1'!$B$8),COLUMN('Loan 1'!$B$8),4)</f>
        <v>B8</v>
      </c>
      <c r="C4707" t="str">
        <f>ADDRESS(ROW('Loan 1'!$D$8),COLUMN('Loan 1'!$D$8),4)</f>
        <v>D8</v>
      </c>
      <c r="D4707" t="b" cm="1">
        <f t="array" aca="1" ref="D4707" ca="1">IF(AND(INDIRECT("'"&amp;A4707&amp;"'!"&amp;B4707)&lt;&gt;Lists!$AJ$1,INDIRECT("'"&amp;A4707&amp;"'!$B$7")=Lists!$AH$3),TRUE,FALSE)</f>
        <v>0</v>
      </c>
      <c r="E4707" t="s">
        <v>920</v>
      </c>
      <c r="F4707" t="str">
        <f>INDEX(Lists!I:I,MATCH(Validation!E4707,Lists!G:G,0))</f>
        <v>Error</v>
      </c>
      <c r="G4707" t="str">
        <f>INDEX(Lists!H:H,MATCH(Validation!E4707,Lists!G:G,0))</f>
        <v>Skip this line for this loan type. Enter a Non-TIF fund/account on next line instead.</v>
      </c>
      <c r="H4707" s="16" t="str">
        <f t="shared" ca="1" si="483"/>
        <v/>
      </c>
      <c r="I4707" s="16" t="str">
        <f t="shared" ca="1" si="484"/>
        <v/>
      </c>
      <c r="J4707" s="17" t="str">
        <f t="shared" ca="1" si="485"/>
        <v/>
      </c>
    </row>
    <row r="4708" spans="1:10" x14ac:dyDescent="0.25">
      <c r="A4708" t="s">
        <v>941</v>
      </c>
      <c r="B4708" t="str">
        <f>ADDRESS(ROW('Loan 1'!$B$8),COLUMN('Loan 1'!$B$8),4)</f>
        <v>B8</v>
      </c>
      <c r="C4708" t="str">
        <f>ADDRESS(ROW('Loan 1'!$D$8),COLUMN('Loan 1'!$D$8),4)</f>
        <v>D8</v>
      </c>
      <c r="D4708" t="b" cm="1">
        <f t="array" aca="1" ref="D4708" ca="1">IF(AND(INDIRECT("'"&amp;A4708&amp;"'!"&amp;B4708)&lt;&gt;Lists!$AJ$1,INDIRECT("'"&amp;A4708&amp;"'!$B$7")=Lists!$AH$3),TRUE,FALSE)</f>
        <v>0</v>
      </c>
      <c r="E4708" t="s">
        <v>920</v>
      </c>
      <c r="F4708" t="str">
        <f>INDEX(Lists!I:I,MATCH(Validation!E4708,Lists!G:G,0))</f>
        <v>Error</v>
      </c>
      <c r="G4708" t="str">
        <f>INDEX(Lists!H:H,MATCH(Validation!E4708,Lists!G:G,0))</f>
        <v>Skip this line for this loan type. Enter a Non-TIF fund/account on next line instead.</v>
      </c>
      <c r="H4708" s="16" t="str">
        <f t="shared" ca="1" si="483"/>
        <v/>
      </c>
      <c r="I4708" s="16" t="str">
        <f t="shared" ca="1" si="484"/>
        <v/>
      </c>
      <c r="J4708" s="17" t="str">
        <f t="shared" ca="1" si="485"/>
        <v/>
      </c>
    </row>
    <row r="4709" spans="1:10" x14ac:dyDescent="0.25">
      <c r="A4709" t="s">
        <v>942</v>
      </c>
      <c r="B4709" t="str">
        <f>ADDRESS(ROW('Loan 1'!$B$8),COLUMN('Loan 1'!$B$8),4)</f>
        <v>B8</v>
      </c>
      <c r="C4709" t="str">
        <f>ADDRESS(ROW('Loan 1'!$D$8),COLUMN('Loan 1'!$D$8),4)</f>
        <v>D8</v>
      </c>
      <c r="D4709" t="b" cm="1">
        <f t="array" aca="1" ref="D4709" ca="1">IF(AND(INDIRECT("'"&amp;A4709&amp;"'!"&amp;B4709)&lt;&gt;Lists!$AJ$1,INDIRECT("'"&amp;A4709&amp;"'!$B$7")=Lists!$AH$3),TRUE,FALSE)</f>
        <v>0</v>
      </c>
      <c r="E4709" t="s">
        <v>920</v>
      </c>
      <c r="F4709" t="str">
        <f>INDEX(Lists!I:I,MATCH(Validation!E4709,Lists!G:G,0))</f>
        <v>Error</v>
      </c>
      <c r="G4709" t="str">
        <f>INDEX(Lists!H:H,MATCH(Validation!E4709,Lists!G:G,0))</f>
        <v>Skip this line for this loan type. Enter a Non-TIF fund/account on next line instead.</v>
      </c>
      <c r="H4709" s="16" t="str">
        <f t="shared" ca="1" si="483"/>
        <v/>
      </c>
      <c r="I4709" s="16" t="str">
        <f t="shared" ca="1" si="484"/>
        <v/>
      </c>
      <c r="J4709" s="17" t="str">
        <f t="shared" ca="1" si="485"/>
        <v/>
      </c>
    </row>
    <row r="4710" spans="1:10" x14ac:dyDescent="0.25">
      <c r="A4710" t="s">
        <v>943</v>
      </c>
      <c r="B4710" t="str">
        <f>ADDRESS(ROW('Loan 1'!$B$8),COLUMN('Loan 1'!$B$8),4)</f>
        <v>B8</v>
      </c>
      <c r="C4710" t="str">
        <f>ADDRESS(ROW('Loan 1'!$D$8),COLUMN('Loan 1'!$D$8),4)</f>
        <v>D8</v>
      </c>
      <c r="D4710" t="b" cm="1">
        <f t="array" aca="1" ref="D4710" ca="1">IF(AND(INDIRECT("'"&amp;A4710&amp;"'!"&amp;B4710)&lt;&gt;Lists!$AJ$1,INDIRECT("'"&amp;A4710&amp;"'!$B$7")=Lists!$AH$3),TRUE,FALSE)</f>
        <v>0</v>
      </c>
      <c r="E4710" t="s">
        <v>920</v>
      </c>
      <c r="F4710" t="str">
        <f>INDEX(Lists!I:I,MATCH(Validation!E4710,Lists!G:G,0))</f>
        <v>Error</v>
      </c>
      <c r="G4710" t="str">
        <f>INDEX(Lists!H:H,MATCH(Validation!E4710,Lists!G:G,0))</f>
        <v>Skip this line for this loan type. Enter a Non-TIF fund/account on next line instead.</v>
      </c>
      <c r="H4710" s="16" t="str">
        <f t="shared" ca="1" si="483"/>
        <v/>
      </c>
      <c r="I4710" s="16" t="str">
        <f t="shared" ca="1" si="484"/>
        <v/>
      </c>
      <c r="J4710" s="17" t="str">
        <f t="shared" ca="1" si="485"/>
        <v/>
      </c>
    </row>
    <row r="4711" spans="1:10" x14ac:dyDescent="0.25">
      <c r="A4711" t="s">
        <v>944</v>
      </c>
      <c r="B4711" t="str">
        <f>ADDRESS(ROW('Loan 1'!$B$8),COLUMN('Loan 1'!$B$8),4)</f>
        <v>B8</v>
      </c>
      <c r="C4711" t="str">
        <f>ADDRESS(ROW('Loan 1'!$D$8),COLUMN('Loan 1'!$D$8),4)</f>
        <v>D8</v>
      </c>
      <c r="D4711" t="b" cm="1">
        <f t="array" aca="1" ref="D4711" ca="1">IF(AND(INDIRECT("'"&amp;A4711&amp;"'!"&amp;B4711)&lt;&gt;Lists!$AJ$1,INDIRECT("'"&amp;A4711&amp;"'!$B$7")=Lists!$AH$3),TRUE,FALSE)</f>
        <v>0</v>
      </c>
      <c r="E4711" t="s">
        <v>920</v>
      </c>
      <c r="F4711" t="str">
        <f>INDEX(Lists!I:I,MATCH(Validation!E4711,Lists!G:G,0))</f>
        <v>Error</v>
      </c>
      <c r="G4711" t="str">
        <f>INDEX(Lists!H:H,MATCH(Validation!E4711,Lists!G:G,0))</f>
        <v>Skip this line for this loan type. Enter a Non-TIF fund/account on next line instead.</v>
      </c>
      <c r="H4711" s="16" t="str">
        <f t="shared" ca="1" si="483"/>
        <v/>
      </c>
      <c r="I4711" s="16" t="str">
        <f t="shared" ca="1" si="484"/>
        <v/>
      </c>
      <c r="J4711" s="17" t="str">
        <f t="shared" ca="1" si="485"/>
        <v/>
      </c>
    </row>
    <row r="4712" spans="1:10" x14ac:dyDescent="0.25">
      <c r="A4712" t="s">
        <v>945</v>
      </c>
      <c r="B4712" t="str">
        <f>ADDRESS(ROW('Loan 1'!$B$8),COLUMN('Loan 1'!$B$8),4)</f>
        <v>B8</v>
      </c>
      <c r="C4712" t="str">
        <f>ADDRESS(ROW('Loan 1'!$D$8),COLUMN('Loan 1'!$D$8),4)</f>
        <v>D8</v>
      </c>
      <c r="D4712" t="b" cm="1">
        <f t="array" aca="1" ref="D4712" ca="1">IF(AND(INDIRECT("'"&amp;A4712&amp;"'!"&amp;B4712)&lt;&gt;Lists!$AJ$1,INDIRECT("'"&amp;A4712&amp;"'!$B$7")=Lists!$AH$3),TRUE,FALSE)</f>
        <v>0</v>
      </c>
      <c r="E4712" t="s">
        <v>920</v>
      </c>
      <c r="F4712" t="str">
        <f>INDEX(Lists!I:I,MATCH(Validation!E4712,Lists!G:G,0))</f>
        <v>Error</v>
      </c>
      <c r="G4712" t="str">
        <f>INDEX(Lists!H:H,MATCH(Validation!E4712,Lists!G:G,0))</f>
        <v>Skip this line for this loan type. Enter a Non-TIF fund/account on next line instead.</v>
      </c>
      <c r="H4712" s="16" t="str">
        <f t="shared" ca="1" si="483"/>
        <v/>
      </c>
      <c r="I4712" s="16" t="str">
        <f t="shared" ca="1" si="484"/>
        <v/>
      </c>
      <c r="J4712" s="17" t="str">
        <f t="shared" ca="1" si="485"/>
        <v/>
      </c>
    </row>
    <row r="4713" spans="1:10" x14ac:dyDescent="0.25">
      <c r="A4713" t="s">
        <v>205</v>
      </c>
      <c r="B4713" t="str">
        <f>ADDRESS(ROW('Loan 1'!$B$8),COLUMN('Loan 1'!$B$8),4)</f>
        <v>B8</v>
      </c>
      <c r="C4713" t="str">
        <f>ADDRESS(ROW('Loan 1'!$D$8),COLUMN('Loan 1'!$D$8),4)</f>
        <v>D8</v>
      </c>
      <c r="D4713" t="b" cm="1">
        <f t="array" aca="1" ref="D4713" ca="1">IF(INDIRECT("'"&amp;A4713&amp;"'!$B$7")=Lists!$AH$3,TRUE,FALSE)</f>
        <v>1</v>
      </c>
      <c r="E4713" t="s">
        <v>924</v>
      </c>
      <c r="F4713" t="str">
        <f>INDEX(Lists!I:I,MATCH(Validation!E4713,Lists!G:G,0))</f>
        <v>Information</v>
      </c>
      <c r="G4713" t="str">
        <f>INDEX(Lists!H:H,MATCH(Validation!E4713,Lists!G:G,0))</f>
        <v>Skip this line for this loan type. Enter a Non-TIF fund/account on next line instead.</v>
      </c>
      <c r="H4713" s="16" t="str">
        <f t="shared" ref="H4713:H4727" ca="1" si="486">IFERROR(IF(OR(NOT(D4713),F4713&lt;&gt;"Error"),"",A4713&amp;CELL("address",INDIRECT(B4713))),"")</f>
        <v/>
      </c>
      <c r="I4713" s="16" t="str">
        <f t="shared" ref="I4713:I4727" ca="1" si="487">IFERROR(IF(NOT(D4713),"",A4713&amp;CELL("address",INDIRECT(C4713))),"")</f>
        <v>Loan 1$D$8</v>
      </c>
      <c r="J4713" s="17" t="str">
        <f t="shared" ref="J4713:J4727" ca="1" si="488">IFERROR(IF(NOT(D4713),"",A4713),"")</f>
        <v>Loan 1</v>
      </c>
    </row>
    <row r="4714" spans="1:10" x14ac:dyDescent="0.25">
      <c r="A4714" t="s">
        <v>932</v>
      </c>
      <c r="B4714" t="str">
        <f>ADDRESS(ROW('Loan 1'!$B$8),COLUMN('Loan 1'!$B$8),4)</f>
        <v>B8</v>
      </c>
      <c r="C4714" t="str">
        <f>ADDRESS(ROW('Loan 1'!$D$8),COLUMN('Loan 1'!$D$8),4)</f>
        <v>D8</v>
      </c>
      <c r="D4714" t="b" cm="1">
        <f t="array" aca="1" ref="D4714" ca="1">IF(INDIRECT("'"&amp;A4714&amp;"'!$B$7")=Lists!$AH$3,TRUE,FALSE)</f>
        <v>0</v>
      </c>
      <c r="E4714" t="s">
        <v>924</v>
      </c>
      <c r="F4714" t="str">
        <f>INDEX(Lists!I:I,MATCH(Validation!E4714,Lists!G:G,0))</f>
        <v>Information</v>
      </c>
      <c r="G4714" t="str">
        <f>INDEX(Lists!H:H,MATCH(Validation!E4714,Lists!G:G,0))</f>
        <v>Skip this line for this loan type. Enter a Non-TIF fund/account on next line instead.</v>
      </c>
      <c r="H4714" s="16" t="str">
        <f t="shared" ca="1" si="486"/>
        <v/>
      </c>
      <c r="I4714" s="16" t="str">
        <f t="shared" ca="1" si="487"/>
        <v/>
      </c>
      <c r="J4714" s="17" t="str">
        <f t="shared" ca="1" si="488"/>
        <v/>
      </c>
    </row>
    <row r="4715" spans="1:10" x14ac:dyDescent="0.25">
      <c r="A4715" t="s">
        <v>933</v>
      </c>
      <c r="B4715" t="str">
        <f>ADDRESS(ROW('Loan 1'!$B$8),COLUMN('Loan 1'!$B$8),4)</f>
        <v>B8</v>
      </c>
      <c r="C4715" t="str">
        <f>ADDRESS(ROW('Loan 1'!$D$8),COLUMN('Loan 1'!$D$8),4)</f>
        <v>D8</v>
      </c>
      <c r="D4715" t="b" cm="1">
        <f t="array" aca="1" ref="D4715" ca="1">IF(INDIRECT("'"&amp;A4715&amp;"'!$B$7")=Lists!$AH$3,TRUE,FALSE)</f>
        <v>0</v>
      </c>
      <c r="E4715" t="s">
        <v>924</v>
      </c>
      <c r="F4715" t="str">
        <f>INDEX(Lists!I:I,MATCH(Validation!E4715,Lists!G:G,0))</f>
        <v>Information</v>
      </c>
      <c r="G4715" t="str">
        <f>INDEX(Lists!H:H,MATCH(Validation!E4715,Lists!G:G,0))</f>
        <v>Skip this line for this loan type. Enter a Non-TIF fund/account on next line instead.</v>
      </c>
      <c r="H4715" s="16" t="str">
        <f t="shared" ca="1" si="486"/>
        <v/>
      </c>
      <c r="I4715" s="16" t="str">
        <f t="shared" ca="1" si="487"/>
        <v/>
      </c>
      <c r="J4715" s="17" t="str">
        <f t="shared" ca="1" si="488"/>
        <v/>
      </c>
    </row>
    <row r="4716" spans="1:10" x14ac:dyDescent="0.25">
      <c r="A4716" t="s">
        <v>934</v>
      </c>
      <c r="B4716" t="str">
        <f>ADDRESS(ROW('Loan 1'!$B$8),COLUMN('Loan 1'!$B$8),4)</f>
        <v>B8</v>
      </c>
      <c r="C4716" t="str">
        <f>ADDRESS(ROW('Loan 1'!$D$8),COLUMN('Loan 1'!$D$8),4)</f>
        <v>D8</v>
      </c>
      <c r="D4716" t="b" cm="1">
        <f t="array" aca="1" ref="D4716" ca="1">IF(INDIRECT("'"&amp;A4716&amp;"'!$B$7")=Lists!$AH$3,TRUE,FALSE)</f>
        <v>0</v>
      </c>
      <c r="E4716" t="s">
        <v>924</v>
      </c>
      <c r="F4716" t="str">
        <f>INDEX(Lists!I:I,MATCH(Validation!E4716,Lists!G:G,0))</f>
        <v>Information</v>
      </c>
      <c r="G4716" t="str">
        <f>INDEX(Lists!H:H,MATCH(Validation!E4716,Lists!G:G,0))</f>
        <v>Skip this line for this loan type. Enter a Non-TIF fund/account on next line instead.</v>
      </c>
      <c r="H4716" s="16" t="str">
        <f t="shared" ca="1" si="486"/>
        <v/>
      </c>
      <c r="I4716" s="16" t="str">
        <f t="shared" ca="1" si="487"/>
        <v/>
      </c>
      <c r="J4716" s="17" t="str">
        <f t="shared" ca="1" si="488"/>
        <v/>
      </c>
    </row>
    <row r="4717" spans="1:10" x14ac:dyDescent="0.25">
      <c r="A4717" t="s">
        <v>935</v>
      </c>
      <c r="B4717" t="str">
        <f>ADDRESS(ROW('Loan 1'!$B$8),COLUMN('Loan 1'!$B$8),4)</f>
        <v>B8</v>
      </c>
      <c r="C4717" t="str">
        <f>ADDRESS(ROW('Loan 1'!$D$8),COLUMN('Loan 1'!$D$8),4)</f>
        <v>D8</v>
      </c>
      <c r="D4717" t="b" cm="1">
        <f t="array" aca="1" ref="D4717" ca="1">IF(INDIRECT("'"&amp;A4717&amp;"'!$B$7")=Lists!$AH$3,TRUE,FALSE)</f>
        <v>0</v>
      </c>
      <c r="E4717" t="s">
        <v>924</v>
      </c>
      <c r="F4717" t="str">
        <f>INDEX(Lists!I:I,MATCH(Validation!E4717,Lists!G:G,0))</f>
        <v>Information</v>
      </c>
      <c r="G4717" t="str">
        <f>INDEX(Lists!H:H,MATCH(Validation!E4717,Lists!G:G,0))</f>
        <v>Skip this line for this loan type. Enter a Non-TIF fund/account on next line instead.</v>
      </c>
      <c r="H4717" s="16" t="str">
        <f t="shared" ca="1" si="486"/>
        <v/>
      </c>
      <c r="I4717" s="16" t="str">
        <f t="shared" ca="1" si="487"/>
        <v/>
      </c>
      <c r="J4717" s="17" t="str">
        <f t="shared" ca="1" si="488"/>
        <v/>
      </c>
    </row>
    <row r="4718" spans="1:10" x14ac:dyDescent="0.25">
      <c r="A4718" t="s">
        <v>936</v>
      </c>
      <c r="B4718" t="str">
        <f>ADDRESS(ROW('Loan 1'!$B$8),COLUMN('Loan 1'!$B$8),4)</f>
        <v>B8</v>
      </c>
      <c r="C4718" t="str">
        <f>ADDRESS(ROW('Loan 1'!$D$8),COLUMN('Loan 1'!$D$8),4)</f>
        <v>D8</v>
      </c>
      <c r="D4718" t="b" cm="1">
        <f t="array" aca="1" ref="D4718" ca="1">IF(INDIRECT("'"&amp;A4718&amp;"'!$B$7")=Lists!$AH$3,TRUE,FALSE)</f>
        <v>0</v>
      </c>
      <c r="E4718" t="s">
        <v>924</v>
      </c>
      <c r="F4718" t="str">
        <f>INDEX(Lists!I:I,MATCH(Validation!E4718,Lists!G:G,0))</f>
        <v>Information</v>
      </c>
      <c r="G4718" t="str">
        <f>INDEX(Lists!H:H,MATCH(Validation!E4718,Lists!G:G,0))</f>
        <v>Skip this line for this loan type. Enter a Non-TIF fund/account on next line instead.</v>
      </c>
      <c r="H4718" s="16" t="str">
        <f t="shared" ca="1" si="486"/>
        <v/>
      </c>
      <c r="I4718" s="16" t="str">
        <f t="shared" ca="1" si="487"/>
        <v/>
      </c>
      <c r="J4718" s="17" t="str">
        <f t="shared" ca="1" si="488"/>
        <v/>
      </c>
    </row>
    <row r="4719" spans="1:10" x14ac:dyDescent="0.25">
      <c r="A4719" t="s">
        <v>937</v>
      </c>
      <c r="B4719" t="str">
        <f>ADDRESS(ROW('Loan 1'!$B$8),COLUMN('Loan 1'!$B$8),4)</f>
        <v>B8</v>
      </c>
      <c r="C4719" t="str">
        <f>ADDRESS(ROW('Loan 1'!$D$8),COLUMN('Loan 1'!$D$8),4)</f>
        <v>D8</v>
      </c>
      <c r="D4719" t="b" cm="1">
        <f t="array" aca="1" ref="D4719" ca="1">IF(INDIRECT("'"&amp;A4719&amp;"'!$B$7")=Lists!$AH$3,TRUE,FALSE)</f>
        <v>0</v>
      </c>
      <c r="E4719" t="s">
        <v>924</v>
      </c>
      <c r="F4719" t="str">
        <f>INDEX(Lists!I:I,MATCH(Validation!E4719,Lists!G:G,0))</f>
        <v>Information</v>
      </c>
      <c r="G4719" t="str">
        <f>INDEX(Lists!H:H,MATCH(Validation!E4719,Lists!G:G,0))</f>
        <v>Skip this line for this loan type. Enter a Non-TIF fund/account on next line instead.</v>
      </c>
      <c r="H4719" s="16" t="str">
        <f t="shared" ca="1" si="486"/>
        <v/>
      </c>
      <c r="I4719" s="16" t="str">
        <f t="shared" ca="1" si="487"/>
        <v/>
      </c>
      <c r="J4719" s="17" t="str">
        <f t="shared" ca="1" si="488"/>
        <v/>
      </c>
    </row>
    <row r="4720" spans="1:10" x14ac:dyDescent="0.25">
      <c r="A4720" t="s">
        <v>938</v>
      </c>
      <c r="B4720" t="str">
        <f>ADDRESS(ROW('Loan 1'!$B$8),COLUMN('Loan 1'!$B$8),4)</f>
        <v>B8</v>
      </c>
      <c r="C4720" t="str">
        <f>ADDRESS(ROW('Loan 1'!$D$8),COLUMN('Loan 1'!$D$8),4)</f>
        <v>D8</v>
      </c>
      <c r="D4720" t="b" cm="1">
        <f t="array" aca="1" ref="D4720" ca="1">IF(INDIRECT("'"&amp;A4720&amp;"'!$B$7")=Lists!$AH$3,TRUE,FALSE)</f>
        <v>0</v>
      </c>
      <c r="E4720" t="s">
        <v>924</v>
      </c>
      <c r="F4720" t="str">
        <f>INDEX(Lists!I:I,MATCH(Validation!E4720,Lists!G:G,0))</f>
        <v>Information</v>
      </c>
      <c r="G4720" t="str">
        <f>INDEX(Lists!H:H,MATCH(Validation!E4720,Lists!G:G,0))</f>
        <v>Skip this line for this loan type. Enter a Non-TIF fund/account on next line instead.</v>
      </c>
      <c r="H4720" s="16" t="str">
        <f t="shared" ca="1" si="486"/>
        <v/>
      </c>
      <c r="I4720" s="16" t="str">
        <f t="shared" ca="1" si="487"/>
        <v/>
      </c>
      <c r="J4720" s="17" t="str">
        <f t="shared" ca="1" si="488"/>
        <v/>
      </c>
    </row>
    <row r="4721" spans="1:10" x14ac:dyDescent="0.25">
      <c r="A4721" t="s">
        <v>939</v>
      </c>
      <c r="B4721" t="str">
        <f>ADDRESS(ROW('Loan 1'!$B$8),COLUMN('Loan 1'!$B$8),4)</f>
        <v>B8</v>
      </c>
      <c r="C4721" t="str">
        <f>ADDRESS(ROW('Loan 1'!$D$8),COLUMN('Loan 1'!$D$8),4)</f>
        <v>D8</v>
      </c>
      <c r="D4721" t="b" cm="1">
        <f t="array" aca="1" ref="D4721" ca="1">IF(INDIRECT("'"&amp;A4721&amp;"'!$B$7")=Lists!$AH$3,TRUE,FALSE)</f>
        <v>0</v>
      </c>
      <c r="E4721" t="s">
        <v>924</v>
      </c>
      <c r="F4721" t="str">
        <f>INDEX(Lists!I:I,MATCH(Validation!E4721,Lists!G:G,0))</f>
        <v>Information</v>
      </c>
      <c r="G4721" t="str">
        <f>INDEX(Lists!H:H,MATCH(Validation!E4721,Lists!G:G,0))</f>
        <v>Skip this line for this loan type. Enter a Non-TIF fund/account on next line instead.</v>
      </c>
      <c r="H4721" s="16" t="str">
        <f t="shared" ca="1" si="486"/>
        <v/>
      </c>
      <c r="I4721" s="16" t="str">
        <f t="shared" ca="1" si="487"/>
        <v/>
      </c>
      <c r="J4721" s="17" t="str">
        <f t="shared" ca="1" si="488"/>
        <v/>
      </c>
    </row>
    <row r="4722" spans="1:10" x14ac:dyDescent="0.25">
      <c r="A4722" t="s">
        <v>940</v>
      </c>
      <c r="B4722" t="str">
        <f>ADDRESS(ROW('Loan 1'!$B$8),COLUMN('Loan 1'!$B$8),4)</f>
        <v>B8</v>
      </c>
      <c r="C4722" t="str">
        <f>ADDRESS(ROW('Loan 1'!$D$8),COLUMN('Loan 1'!$D$8),4)</f>
        <v>D8</v>
      </c>
      <c r="D4722" t="b" cm="1">
        <f t="array" aca="1" ref="D4722" ca="1">IF(INDIRECT("'"&amp;A4722&amp;"'!$B$7")=Lists!$AH$3,TRUE,FALSE)</f>
        <v>0</v>
      </c>
      <c r="E4722" t="s">
        <v>924</v>
      </c>
      <c r="F4722" t="str">
        <f>INDEX(Lists!I:I,MATCH(Validation!E4722,Lists!G:G,0))</f>
        <v>Information</v>
      </c>
      <c r="G4722" t="str">
        <f>INDEX(Lists!H:H,MATCH(Validation!E4722,Lists!G:G,0))</f>
        <v>Skip this line for this loan type. Enter a Non-TIF fund/account on next line instead.</v>
      </c>
      <c r="H4722" s="16" t="str">
        <f t="shared" ca="1" si="486"/>
        <v/>
      </c>
      <c r="I4722" s="16" t="str">
        <f t="shared" ca="1" si="487"/>
        <v/>
      </c>
      <c r="J4722" s="17" t="str">
        <f t="shared" ca="1" si="488"/>
        <v/>
      </c>
    </row>
    <row r="4723" spans="1:10" x14ac:dyDescent="0.25">
      <c r="A4723" t="s">
        <v>941</v>
      </c>
      <c r="B4723" t="str">
        <f>ADDRESS(ROW('Loan 1'!$B$8),COLUMN('Loan 1'!$B$8),4)</f>
        <v>B8</v>
      </c>
      <c r="C4723" t="str">
        <f>ADDRESS(ROW('Loan 1'!$D$8),COLUMN('Loan 1'!$D$8),4)</f>
        <v>D8</v>
      </c>
      <c r="D4723" t="b" cm="1">
        <f t="array" aca="1" ref="D4723" ca="1">IF(INDIRECT("'"&amp;A4723&amp;"'!$B$7")=Lists!$AH$3,TRUE,FALSE)</f>
        <v>0</v>
      </c>
      <c r="E4723" t="s">
        <v>924</v>
      </c>
      <c r="F4723" t="str">
        <f>INDEX(Lists!I:I,MATCH(Validation!E4723,Lists!G:G,0))</f>
        <v>Information</v>
      </c>
      <c r="G4723" t="str">
        <f>INDEX(Lists!H:H,MATCH(Validation!E4723,Lists!G:G,0))</f>
        <v>Skip this line for this loan type. Enter a Non-TIF fund/account on next line instead.</v>
      </c>
      <c r="H4723" s="16" t="str">
        <f t="shared" ca="1" si="486"/>
        <v/>
      </c>
      <c r="I4723" s="16" t="str">
        <f t="shared" ca="1" si="487"/>
        <v/>
      </c>
      <c r="J4723" s="17" t="str">
        <f t="shared" ca="1" si="488"/>
        <v/>
      </c>
    </row>
    <row r="4724" spans="1:10" x14ac:dyDescent="0.25">
      <c r="A4724" t="s">
        <v>942</v>
      </c>
      <c r="B4724" t="str">
        <f>ADDRESS(ROW('Loan 1'!$B$8),COLUMN('Loan 1'!$B$8),4)</f>
        <v>B8</v>
      </c>
      <c r="C4724" t="str">
        <f>ADDRESS(ROW('Loan 1'!$D$8),COLUMN('Loan 1'!$D$8),4)</f>
        <v>D8</v>
      </c>
      <c r="D4724" t="b" cm="1">
        <f t="array" aca="1" ref="D4724" ca="1">IF(INDIRECT("'"&amp;A4724&amp;"'!$B$7")=Lists!$AH$3,TRUE,FALSE)</f>
        <v>0</v>
      </c>
      <c r="E4724" t="s">
        <v>924</v>
      </c>
      <c r="F4724" t="str">
        <f>INDEX(Lists!I:I,MATCH(Validation!E4724,Lists!G:G,0))</f>
        <v>Information</v>
      </c>
      <c r="G4724" t="str">
        <f>INDEX(Lists!H:H,MATCH(Validation!E4724,Lists!G:G,0))</f>
        <v>Skip this line for this loan type. Enter a Non-TIF fund/account on next line instead.</v>
      </c>
      <c r="H4724" s="16" t="str">
        <f t="shared" ca="1" si="486"/>
        <v/>
      </c>
      <c r="I4724" s="16" t="str">
        <f t="shared" ca="1" si="487"/>
        <v/>
      </c>
      <c r="J4724" s="17" t="str">
        <f t="shared" ca="1" si="488"/>
        <v/>
      </c>
    </row>
    <row r="4725" spans="1:10" x14ac:dyDescent="0.25">
      <c r="A4725" t="s">
        <v>943</v>
      </c>
      <c r="B4725" t="str">
        <f>ADDRESS(ROW('Loan 1'!$B$8),COLUMN('Loan 1'!$B$8),4)</f>
        <v>B8</v>
      </c>
      <c r="C4725" t="str">
        <f>ADDRESS(ROW('Loan 1'!$D$8),COLUMN('Loan 1'!$D$8),4)</f>
        <v>D8</v>
      </c>
      <c r="D4725" t="b" cm="1">
        <f t="array" aca="1" ref="D4725" ca="1">IF(INDIRECT("'"&amp;A4725&amp;"'!$B$7")=Lists!$AH$3,TRUE,FALSE)</f>
        <v>0</v>
      </c>
      <c r="E4725" t="s">
        <v>924</v>
      </c>
      <c r="F4725" t="str">
        <f>INDEX(Lists!I:I,MATCH(Validation!E4725,Lists!G:G,0))</f>
        <v>Information</v>
      </c>
      <c r="G4725" t="str">
        <f>INDEX(Lists!H:H,MATCH(Validation!E4725,Lists!G:G,0))</f>
        <v>Skip this line for this loan type. Enter a Non-TIF fund/account on next line instead.</v>
      </c>
      <c r="H4725" s="16" t="str">
        <f t="shared" ca="1" si="486"/>
        <v/>
      </c>
      <c r="I4725" s="16" t="str">
        <f t="shared" ca="1" si="487"/>
        <v/>
      </c>
      <c r="J4725" s="17" t="str">
        <f t="shared" ca="1" si="488"/>
        <v/>
      </c>
    </row>
    <row r="4726" spans="1:10" x14ac:dyDescent="0.25">
      <c r="A4726" t="s">
        <v>944</v>
      </c>
      <c r="B4726" t="str">
        <f>ADDRESS(ROW('Loan 1'!$B$8),COLUMN('Loan 1'!$B$8),4)</f>
        <v>B8</v>
      </c>
      <c r="C4726" t="str">
        <f>ADDRESS(ROW('Loan 1'!$D$8),COLUMN('Loan 1'!$D$8),4)</f>
        <v>D8</v>
      </c>
      <c r="D4726" t="b" cm="1">
        <f t="array" aca="1" ref="D4726" ca="1">IF(INDIRECT("'"&amp;A4726&amp;"'!$B$7")=Lists!$AH$3,TRUE,FALSE)</f>
        <v>0</v>
      </c>
      <c r="E4726" t="s">
        <v>924</v>
      </c>
      <c r="F4726" t="str">
        <f>INDEX(Lists!I:I,MATCH(Validation!E4726,Lists!G:G,0))</f>
        <v>Information</v>
      </c>
      <c r="G4726" t="str">
        <f>INDEX(Lists!H:H,MATCH(Validation!E4726,Lists!G:G,0))</f>
        <v>Skip this line for this loan type. Enter a Non-TIF fund/account on next line instead.</v>
      </c>
      <c r="H4726" s="16" t="str">
        <f t="shared" ca="1" si="486"/>
        <v/>
      </c>
      <c r="I4726" s="16" t="str">
        <f t="shared" ca="1" si="487"/>
        <v/>
      </c>
      <c r="J4726" s="17" t="str">
        <f t="shared" ca="1" si="488"/>
        <v/>
      </c>
    </row>
    <row r="4727" spans="1:10" x14ac:dyDescent="0.25">
      <c r="A4727" t="s">
        <v>945</v>
      </c>
      <c r="B4727" t="str">
        <f>ADDRESS(ROW('Loan 1'!$B$8),COLUMN('Loan 1'!$B$8),4)</f>
        <v>B8</v>
      </c>
      <c r="C4727" t="str">
        <f>ADDRESS(ROW('Loan 1'!$D$8),COLUMN('Loan 1'!$D$8),4)</f>
        <v>D8</v>
      </c>
      <c r="D4727" t="b" cm="1">
        <f t="array" aca="1" ref="D4727" ca="1">IF(INDIRECT("'"&amp;A4727&amp;"'!$B$7")=Lists!$AH$3,TRUE,FALSE)</f>
        <v>0</v>
      </c>
      <c r="E4727" t="s">
        <v>924</v>
      </c>
      <c r="F4727" t="str">
        <f>INDEX(Lists!I:I,MATCH(Validation!E4727,Lists!G:G,0))</f>
        <v>Information</v>
      </c>
      <c r="G4727" t="str">
        <f>INDEX(Lists!H:H,MATCH(Validation!E4727,Lists!G:G,0))</f>
        <v>Skip this line for this loan type. Enter a Non-TIF fund/account on next line instead.</v>
      </c>
      <c r="H4727" s="16" t="str">
        <f t="shared" ca="1" si="486"/>
        <v/>
      </c>
      <c r="I4727" s="16" t="str">
        <f t="shared" ca="1" si="487"/>
        <v/>
      </c>
      <c r="J4727" s="17" t="str">
        <f t="shared" ca="1" si="488"/>
        <v/>
      </c>
    </row>
    <row r="4728" spans="1:10" x14ac:dyDescent="0.25">
      <c r="A4728" t="s">
        <v>205</v>
      </c>
      <c r="B4728" t="str">
        <f>ADDRESS(ROW('Loan 1'!$B$9),COLUMN('Loan 1'!$B$9),4)</f>
        <v>B9</v>
      </c>
      <c r="C4728" t="str">
        <f>ADDRESS(ROW('Loan 1'!$D$9),COLUMN('Loan 1'!$D$9),4)</f>
        <v>D9</v>
      </c>
      <c r="D4728" t="b" cm="1">
        <f t="array" aca="1" ref="D4728" ca="1">IF(AND(INDIRECT("'"&amp;A4728&amp;"'!$B$7")=Lists!$AH$3,OR(INDIRECT("'"&amp;A4728&amp;"'!"&amp;B4728)="",ISBLANK(INDIRECT("'"&amp;A4728&amp;"'!"&amp;B4728)))),TRUE,FALSE)</f>
        <v>0</v>
      </c>
      <c r="E4728" t="s">
        <v>495</v>
      </c>
      <c r="F4728" t="str">
        <f>INDEX(Lists!I:I,MATCH(Validation!E4728,Lists!G:G,0))</f>
        <v>Error</v>
      </c>
      <c r="G4728" t="str">
        <f>INDEX(Lists!H:H,MATCH(Validation!E4728,Lists!G:G,0))</f>
        <v>Entry required.</v>
      </c>
      <c r="H4728" s="16" t="str">
        <f ca="1">IFERROR(IF(OR(NOT(D4728),F4728&lt;&gt;"Error"),"",A4728&amp;CELL("address",INDIRECT(B4728))),"")</f>
        <v/>
      </c>
      <c r="I4728" s="16" t="str">
        <f ca="1">IFERROR(IF(NOT(D4728),"",A4728&amp;CELL("address",INDIRECT(C4728))),"")</f>
        <v/>
      </c>
      <c r="J4728" s="17" t="str">
        <f ca="1">IFERROR(IF(NOT(D4728),"",A4728),"")</f>
        <v/>
      </c>
    </row>
    <row r="4729" spans="1:10" x14ac:dyDescent="0.25">
      <c r="A4729" t="s">
        <v>932</v>
      </c>
      <c r="B4729" t="str">
        <f>ADDRESS(ROW('Loan 1'!$B$9),COLUMN('Loan 1'!$B$9),4)</f>
        <v>B9</v>
      </c>
      <c r="C4729" t="str">
        <f>ADDRESS(ROW('Loan 1'!$D$9),COLUMN('Loan 1'!$D$9),4)</f>
        <v>D9</v>
      </c>
      <c r="D4729" t="b" cm="1">
        <f t="array" aca="1" ref="D4729" ca="1">IF(AND(INDIRECT("'"&amp;A4729&amp;"'!$B$7")=Lists!$AH$3,OR(INDIRECT("'"&amp;A4729&amp;"'!"&amp;B4729)="",ISBLANK(INDIRECT("'"&amp;A4729&amp;"'!"&amp;B4729)))),TRUE,FALSE)</f>
        <v>0</v>
      </c>
      <c r="E4729" t="s">
        <v>495</v>
      </c>
      <c r="F4729" t="str">
        <f>INDEX(Lists!I:I,MATCH(Validation!E4729,Lists!G:G,0))</f>
        <v>Error</v>
      </c>
      <c r="G4729" t="str">
        <f>INDEX(Lists!H:H,MATCH(Validation!E4729,Lists!G:G,0))</f>
        <v>Entry required.</v>
      </c>
      <c r="H4729" s="16" t="str">
        <f t="shared" ref="H4729:H4742" ca="1" si="489">IFERROR(IF(OR(NOT(D4729),F4729&lt;&gt;"Error"),"",A4729&amp;CELL("address",INDIRECT(B4729))),"")</f>
        <v/>
      </c>
      <c r="I4729" s="16" t="str">
        <f t="shared" ref="I4729:I4742" ca="1" si="490">IFERROR(IF(NOT(D4729),"",A4729&amp;CELL("address",INDIRECT(C4729))),"")</f>
        <v/>
      </c>
      <c r="J4729" s="17" t="str">
        <f t="shared" ref="J4729:J4742" ca="1" si="491">IFERROR(IF(NOT(D4729),"",A4729),"")</f>
        <v/>
      </c>
    </row>
    <row r="4730" spans="1:10" x14ac:dyDescent="0.25">
      <c r="A4730" t="s">
        <v>933</v>
      </c>
      <c r="B4730" t="str">
        <f>ADDRESS(ROW('Loan 1'!$B$9),COLUMN('Loan 1'!$B$9),4)</f>
        <v>B9</v>
      </c>
      <c r="C4730" t="str">
        <f>ADDRESS(ROW('Loan 1'!$D$9),COLUMN('Loan 1'!$D$9),4)</f>
        <v>D9</v>
      </c>
      <c r="D4730" t="b" cm="1">
        <f t="array" aca="1" ref="D4730" ca="1">IF(AND(INDIRECT("'"&amp;A4730&amp;"'!$B$7")=Lists!$AH$3,OR(INDIRECT("'"&amp;A4730&amp;"'!"&amp;B4730)="",ISBLANK(INDIRECT("'"&amp;A4730&amp;"'!"&amp;B4730)))),TRUE,FALSE)</f>
        <v>0</v>
      </c>
      <c r="E4730" t="s">
        <v>495</v>
      </c>
      <c r="F4730" t="str">
        <f>INDEX(Lists!I:I,MATCH(Validation!E4730,Lists!G:G,0))</f>
        <v>Error</v>
      </c>
      <c r="G4730" t="str">
        <f>INDEX(Lists!H:H,MATCH(Validation!E4730,Lists!G:G,0))</f>
        <v>Entry required.</v>
      </c>
      <c r="H4730" s="16" t="str">
        <f t="shared" ca="1" si="489"/>
        <v/>
      </c>
      <c r="I4730" s="16" t="str">
        <f t="shared" ca="1" si="490"/>
        <v/>
      </c>
      <c r="J4730" s="17" t="str">
        <f t="shared" ca="1" si="491"/>
        <v/>
      </c>
    </row>
    <row r="4731" spans="1:10" x14ac:dyDescent="0.25">
      <c r="A4731" t="s">
        <v>934</v>
      </c>
      <c r="B4731" t="str">
        <f>ADDRESS(ROW('Loan 1'!$B$9),COLUMN('Loan 1'!$B$9),4)</f>
        <v>B9</v>
      </c>
      <c r="C4731" t="str">
        <f>ADDRESS(ROW('Loan 1'!$D$9),COLUMN('Loan 1'!$D$9),4)</f>
        <v>D9</v>
      </c>
      <c r="D4731" t="b" cm="1">
        <f t="array" aca="1" ref="D4731" ca="1">IF(AND(INDIRECT("'"&amp;A4731&amp;"'!$B$7")=Lists!$AH$3,OR(INDIRECT("'"&amp;A4731&amp;"'!"&amp;B4731)="",ISBLANK(INDIRECT("'"&amp;A4731&amp;"'!"&amp;B4731)))),TRUE,FALSE)</f>
        <v>0</v>
      </c>
      <c r="E4731" t="s">
        <v>495</v>
      </c>
      <c r="F4731" t="str">
        <f>INDEX(Lists!I:I,MATCH(Validation!E4731,Lists!G:G,0))</f>
        <v>Error</v>
      </c>
      <c r="G4731" t="str">
        <f>INDEX(Lists!H:H,MATCH(Validation!E4731,Lists!G:G,0))</f>
        <v>Entry required.</v>
      </c>
      <c r="H4731" s="16" t="str">
        <f t="shared" ca="1" si="489"/>
        <v/>
      </c>
      <c r="I4731" s="16" t="str">
        <f t="shared" ca="1" si="490"/>
        <v/>
      </c>
      <c r="J4731" s="17" t="str">
        <f t="shared" ca="1" si="491"/>
        <v/>
      </c>
    </row>
    <row r="4732" spans="1:10" x14ac:dyDescent="0.25">
      <c r="A4732" t="s">
        <v>935</v>
      </c>
      <c r="B4732" t="str">
        <f>ADDRESS(ROW('Loan 1'!$B$9),COLUMN('Loan 1'!$B$9),4)</f>
        <v>B9</v>
      </c>
      <c r="C4732" t="str">
        <f>ADDRESS(ROW('Loan 1'!$D$9),COLUMN('Loan 1'!$D$9),4)</f>
        <v>D9</v>
      </c>
      <c r="D4732" t="b" cm="1">
        <f t="array" aca="1" ref="D4732" ca="1">IF(AND(INDIRECT("'"&amp;A4732&amp;"'!$B$7")=Lists!$AH$3,OR(INDIRECT("'"&amp;A4732&amp;"'!"&amp;B4732)="",ISBLANK(INDIRECT("'"&amp;A4732&amp;"'!"&amp;B4732)))),TRUE,FALSE)</f>
        <v>0</v>
      </c>
      <c r="E4732" t="s">
        <v>495</v>
      </c>
      <c r="F4732" t="str">
        <f>INDEX(Lists!I:I,MATCH(Validation!E4732,Lists!G:G,0))</f>
        <v>Error</v>
      </c>
      <c r="G4732" t="str">
        <f>INDEX(Lists!H:H,MATCH(Validation!E4732,Lists!G:G,0))</f>
        <v>Entry required.</v>
      </c>
      <c r="H4732" s="16" t="str">
        <f t="shared" ca="1" si="489"/>
        <v/>
      </c>
      <c r="I4732" s="16" t="str">
        <f t="shared" ca="1" si="490"/>
        <v/>
      </c>
      <c r="J4732" s="17" t="str">
        <f t="shared" ca="1" si="491"/>
        <v/>
      </c>
    </row>
    <row r="4733" spans="1:10" x14ac:dyDescent="0.25">
      <c r="A4733" t="s">
        <v>936</v>
      </c>
      <c r="B4733" t="str">
        <f>ADDRESS(ROW('Loan 1'!$B$9),COLUMN('Loan 1'!$B$9),4)</f>
        <v>B9</v>
      </c>
      <c r="C4733" t="str">
        <f>ADDRESS(ROW('Loan 1'!$D$9),COLUMN('Loan 1'!$D$9),4)</f>
        <v>D9</v>
      </c>
      <c r="D4733" t="b" cm="1">
        <f t="array" aca="1" ref="D4733" ca="1">IF(AND(INDIRECT("'"&amp;A4733&amp;"'!$B$7")=Lists!$AH$3,OR(INDIRECT("'"&amp;A4733&amp;"'!"&amp;B4733)="",ISBLANK(INDIRECT("'"&amp;A4733&amp;"'!"&amp;B4733)))),TRUE,FALSE)</f>
        <v>0</v>
      </c>
      <c r="E4733" t="s">
        <v>495</v>
      </c>
      <c r="F4733" t="str">
        <f>INDEX(Lists!I:I,MATCH(Validation!E4733,Lists!G:G,0))</f>
        <v>Error</v>
      </c>
      <c r="G4733" t="str">
        <f>INDEX(Lists!H:H,MATCH(Validation!E4733,Lists!G:G,0))</f>
        <v>Entry required.</v>
      </c>
      <c r="H4733" s="16" t="str">
        <f t="shared" ca="1" si="489"/>
        <v/>
      </c>
      <c r="I4733" s="16" t="str">
        <f t="shared" ca="1" si="490"/>
        <v/>
      </c>
      <c r="J4733" s="17" t="str">
        <f t="shared" ca="1" si="491"/>
        <v/>
      </c>
    </row>
    <row r="4734" spans="1:10" x14ac:dyDescent="0.25">
      <c r="A4734" t="s">
        <v>937</v>
      </c>
      <c r="B4734" t="str">
        <f>ADDRESS(ROW('Loan 1'!$B$9),COLUMN('Loan 1'!$B$9),4)</f>
        <v>B9</v>
      </c>
      <c r="C4734" t="str">
        <f>ADDRESS(ROW('Loan 1'!$D$9),COLUMN('Loan 1'!$D$9),4)</f>
        <v>D9</v>
      </c>
      <c r="D4734" t="b" cm="1">
        <f t="array" aca="1" ref="D4734" ca="1">IF(AND(INDIRECT("'"&amp;A4734&amp;"'!$B$7")=Lists!$AH$3,OR(INDIRECT("'"&amp;A4734&amp;"'!"&amp;B4734)="",ISBLANK(INDIRECT("'"&amp;A4734&amp;"'!"&amp;B4734)))),TRUE,FALSE)</f>
        <v>0</v>
      </c>
      <c r="E4734" t="s">
        <v>495</v>
      </c>
      <c r="F4734" t="str">
        <f>INDEX(Lists!I:I,MATCH(Validation!E4734,Lists!G:G,0))</f>
        <v>Error</v>
      </c>
      <c r="G4734" t="str">
        <f>INDEX(Lists!H:H,MATCH(Validation!E4734,Lists!G:G,0))</f>
        <v>Entry required.</v>
      </c>
      <c r="H4734" s="16" t="str">
        <f t="shared" ca="1" si="489"/>
        <v/>
      </c>
      <c r="I4734" s="16" t="str">
        <f t="shared" ca="1" si="490"/>
        <v/>
      </c>
      <c r="J4734" s="17" t="str">
        <f t="shared" ca="1" si="491"/>
        <v/>
      </c>
    </row>
    <row r="4735" spans="1:10" x14ac:dyDescent="0.25">
      <c r="A4735" t="s">
        <v>938</v>
      </c>
      <c r="B4735" t="str">
        <f>ADDRESS(ROW('Loan 1'!$B$9),COLUMN('Loan 1'!$B$9),4)</f>
        <v>B9</v>
      </c>
      <c r="C4735" t="str">
        <f>ADDRESS(ROW('Loan 1'!$D$9),COLUMN('Loan 1'!$D$9),4)</f>
        <v>D9</v>
      </c>
      <c r="D4735" t="b" cm="1">
        <f t="array" aca="1" ref="D4735" ca="1">IF(AND(INDIRECT("'"&amp;A4735&amp;"'!$B$7")=Lists!$AH$3,OR(INDIRECT("'"&amp;A4735&amp;"'!"&amp;B4735)="",ISBLANK(INDIRECT("'"&amp;A4735&amp;"'!"&amp;B4735)))),TRUE,FALSE)</f>
        <v>0</v>
      </c>
      <c r="E4735" t="s">
        <v>495</v>
      </c>
      <c r="F4735" t="str">
        <f>INDEX(Lists!I:I,MATCH(Validation!E4735,Lists!G:G,0))</f>
        <v>Error</v>
      </c>
      <c r="G4735" t="str">
        <f>INDEX(Lists!H:H,MATCH(Validation!E4735,Lists!G:G,0))</f>
        <v>Entry required.</v>
      </c>
      <c r="H4735" s="16" t="str">
        <f t="shared" ca="1" si="489"/>
        <v/>
      </c>
      <c r="I4735" s="16" t="str">
        <f t="shared" ca="1" si="490"/>
        <v/>
      </c>
      <c r="J4735" s="17" t="str">
        <f t="shared" ca="1" si="491"/>
        <v/>
      </c>
    </row>
    <row r="4736" spans="1:10" x14ac:dyDescent="0.25">
      <c r="A4736" t="s">
        <v>939</v>
      </c>
      <c r="B4736" t="str">
        <f>ADDRESS(ROW('Loan 1'!$B$9),COLUMN('Loan 1'!$B$9),4)</f>
        <v>B9</v>
      </c>
      <c r="C4736" t="str">
        <f>ADDRESS(ROW('Loan 1'!$D$9),COLUMN('Loan 1'!$D$9),4)</f>
        <v>D9</v>
      </c>
      <c r="D4736" t="b" cm="1">
        <f t="array" aca="1" ref="D4736" ca="1">IF(AND(INDIRECT("'"&amp;A4736&amp;"'!$B$7")=Lists!$AH$3,OR(INDIRECT("'"&amp;A4736&amp;"'!"&amp;B4736)="",ISBLANK(INDIRECT("'"&amp;A4736&amp;"'!"&amp;B4736)))),TRUE,FALSE)</f>
        <v>0</v>
      </c>
      <c r="E4736" t="s">
        <v>495</v>
      </c>
      <c r="F4736" t="str">
        <f>INDEX(Lists!I:I,MATCH(Validation!E4736,Lists!G:G,0))</f>
        <v>Error</v>
      </c>
      <c r="G4736" t="str">
        <f>INDEX(Lists!H:H,MATCH(Validation!E4736,Lists!G:G,0))</f>
        <v>Entry required.</v>
      </c>
      <c r="H4736" s="16" t="str">
        <f t="shared" ca="1" si="489"/>
        <v/>
      </c>
      <c r="I4736" s="16" t="str">
        <f t="shared" ca="1" si="490"/>
        <v/>
      </c>
      <c r="J4736" s="17" t="str">
        <f t="shared" ca="1" si="491"/>
        <v/>
      </c>
    </row>
    <row r="4737" spans="1:10" x14ac:dyDescent="0.25">
      <c r="A4737" t="s">
        <v>940</v>
      </c>
      <c r="B4737" t="str">
        <f>ADDRESS(ROW('Loan 1'!$B$9),COLUMN('Loan 1'!$B$9),4)</f>
        <v>B9</v>
      </c>
      <c r="C4737" t="str">
        <f>ADDRESS(ROW('Loan 1'!$D$9),COLUMN('Loan 1'!$D$9),4)</f>
        <v>D9</v>
      </c>
      <c r="D4737" t="b" cm="1">
        <f t="array" aca="1" ref="D4737" ca="1">IF(AND(INDIRECT("'"&amp;A4737&amp;"'!$B$7")=Lists!$AH$3,OR(INDIRECT("'"&amp;A4737&amp;"'!"&amp;B4737)="",ISBLANK(INDIRECT("'"&amp;A4737&amp;"'!"&amp;B4737)))),TRUE,FALSE)</f>
        <v>0</v>
      </c>
      <c r="E4737" t="s">
        <v>495</v>
      </c>
      <c r="F4737" t="str">
        <f>INDEX(Lists!I:I,MATCH(Validation!E4737,Lists!G:G,0))</f>
        <v>Error</v>
      </c>
      <c r="G4737" t="str">
        <f>INDEX(Lists!H:H,MATCH(Validation!E4737,Lists!G:G,0))</f>
        <v>Entry required.</v>
      </c>
      <c r="H4737" s="16" t="str">
        <f t="shared" ca="1" si="489"/>
        <v/>
      </c>
      <c r="I4737" s="16" t="str">
        <f t="shared" ca="1" si="490"/>
        <v/>
      </c>
      <c r="J4737" s="17" t="str">
        <f t="shared" ca="1" si="491"/>
        <v/>
      </c>
    </row>
    <row r="4738" spans="1:10" x14ac:dyDescent="0.25">
      <c r="A4738" t="s">
        <v>941</v>
      </c>
      <c r="B4738" t="str">
        <f>ADDRESS(ROW('Loan 1'!$B$9),COLUMN('Loan 1'!$B$9),4)</f>
        <v>B9</v>
      </c>
      <c r="C4738" t="str">
        <f>ADDRESS(ROW('Loan 1'!$D$9),COLUMN('Loan 1'!$D$9),4)</f>
        <v>D9</v>
      </c>
      <c r="D4738" t="b" cm="1">
        <f t="array" aca="1" ref="D4738" ca="1">IF(AND(INDIRECT("'"&amp;A4738&amp;"'!$B$7")=Lists!$AH$3,OR(INDIRECT("'"&amp;A4738&amp;"'!"&amp;B4738)="",ISBLANK(INDIRECT("'"&amp;A4738&amp;"'!"&amp;B4738)))),TRUE,FALSE)</f>
        <v>0</v>
      </c>
      <c r="E4738" t="s">
        <v>495</v>
      </c>
      <c r="F4738" t="str">
        <f>INDEX(Lists!I:I,MATCH(Validation!E4738,Lists!G:G,0))</f>
        <v>Error</v>
      </c>
      <c r="G4738" t="str">
        <f>INDEX(Lists!H:H,MATCH(Validation!E4738,Lists!G:G,0))</f>
        <v>Entry required.</v>
      </c>
      <c r="H4738" s="16" t="str">
        <f t="shared" ca="1" si="489"/>
        <v/>
      </c>
      <c r="I4738" s="16" t="str">
        <f t="shared" ca="1" si="490"/>
        <v/>
      </c>
      <c r="J4738" s="17" t="str">
        <f t="shared" ca="1" si="491"/>
        <v/>
      </c>
    </row>
    <row r="4739" spans="1:10" x14ac:dyDescent="0.25">
      <c r="A4739" t="s">
        <v>942</v>
      </c>
      <c r="B4739" t="str">
        <f>ADDRESS(ROW('Loan 1'!$B$9),COLUMN('Loan 1'!$B$9),4)</f>
        <v>B9</v>
      </c>
      <c r="C4739" t="str">
        <f>ADDRESS(ROW('Loan 1'!$D$9),COLUMN('Loan 1'!$D$9),4)</f>
        <v>D9</v>
      </c>
      <c r="D4739" t="b" cm="1">
        <f t="array" aca="1" ref="D4739" ca="1">IF(AND(INDIRECT("'"&amp;A4739&amp;"'!$B$7")=Lists!$AH$3,OR(INDIRECT("'"&amp;A4739&amp;"'!"&amp;B4739)="",ISBLANK(INDIRECT("'"&amp;A4739&amp;"'!"&amp;B4739)))),TRUE,FALSE)</f>
        <v>0</v>
      </c>
      <c r="E4739" t="s">
        <v>495</v>
      </c>
      <c r="F4739" t="str">
        <f>INDEX(Lists!I:I,MATCH(Validation!E4739,Lists!G:G,0))</f>
        <v>Error</v>
      </c>
      <c r="G4739" t="str">
        <f>INDEX(Lists!H:H,MATCH(Validation!E4739,Lists!G:G,0))</f>
        <v>Entry required.</v>
      </c>
      <c r="H4739" s="16" t="str">
        <f t="shared" ca="1" si="489"/>
        <v/>
      </c>
      <c r="I4739" s="16" t="str">
        <f t="shared" ca="1" si="490"/>
        <v/>
      </c>
      <c r="J4739" s="17" t="str">
        <f t="shared" ca="1" si="491"/>
        <v/>
      </c>
    </row>
    <row r="4740" spans="1:10" x14ac:dyDescent="0.25">
      <c r="A4740" t="s">
        <v>943</v>
      </c>
      <c r="B4740" t="str">
        <f>ADDRESS(ROW('Loan 1'!$B$9),COLUMN('Loan 1'!$B$9),4)</f>
        <v>B9</v>
      </c>
      <c r="C4740" t="str">
        <f>ADDRESS(ROW('Loan 1'!$D$9),COLUMN('Loan 1'!$D$9),4)</f>
        <v>D9</v>
      </c>
      <c r="D4740" t="b" cm="1">
        <f t="array" aca="1" ref="D4740" ca="1">IF(AND(INDIRECT("'"&amp;A4740&amp;"'!$B$7")=Lists!$AH$3,OR(INDIRECT("'"&amp;A4740&amp;"'!"&amp;B4740)="",ISBLANK(INDIRECT("'"&amp;A4740&amp;"'!"&amp;B4740)))),TRUE,FALSE)</f>
        <v>0</v>
      </c>
      <c r="E4740" t="s">
        <v>495</v>
      </c>
      <c r="F4740" t="str">
        <f>INDEX(Lists!I:I,MATCH(Validation!E4740,Lists!G:G,0))</f>
        <v>Error</v>
      </c>
      <c r="G4740" t="str">
        <f>INDEX(Lists!H:H,MATCH(Validation!E4740,Lists!G:G,0))</f>
        <v>Entry required.</v>
      </c>
      <c r="H4740" s="16" t="str">
        <f t="shared" ca="1" si="489"/>
        <v/>
      </c>
      <c r="I4740" s="16" t="str">
        <f t="shared" ca="1" si="490"/>
        <v/>
      </c>
      <c r="J4740" s="17" t="str">
        <f t="shared" ca="1" si="491"/>
        <v/>
      </c>
    </row>
    <row r="4741" spans="1:10" x14ac:dyDescent="0.25">
      <c r="A4741" t="s">
        <v>944</v>
      </c>
      <c r="B4741" t="str">
        <f>ADDRESS(ROW('Loan 1'!$B$9),COLUMN('Loan 1'!$B$9),4)</f>
        <v>B9</v>
      </c>
      <c r="C4741" t="str">
        <f>ADDRESS(ROW('Loan 1'!$D$9),COLUMN('Loan 1'!$D$9),4)</f>
        <v>D9</v>
      </c>
      <c r="D4741" t="b" cm="1">
        <f t="array" aca="1" ref="D4741" ca="1">IF(AND(INDIRECT("'"&amp;A4741&amp;"'!$B$7")=Lists!$AH$3,OR(INDIRECT("'"&amp;A4741&amp;"'!"&amp;B4741)="",ISBLANK(INDIRECT("'"&amp;A4741&amp;"'!"&amp;B4741)))),TRUE,FALSE)</f>
        <v>0</v>
      </c>
      <c r="E4741" t="s">
        <v>495</v>
      </c>
      <c r="F4741" t="str">
        <f>INDEX(Lists!I:I,MATCH(Validation!E4741,Lists!G:G,0))</f>
        <v>Error</v>
      </c>
      <c r="G4741" t="str">
        <f>INDEX(Lists!H:H,MATCH(Validation!E4741,Lists!G:G,0))</f>
        <v>Entry required.</v>
      </c>
      <c r="H4741" s="16" t="str">
        <f t="shared" ca="1" si="489"/>
        <v/>
      </c>
      <c r="I4741" s="16" t="str">
        <f t="shared" ca="1" si="490"/>
        <v/>
      </c>
      <c r="J4741" s="17" t="str">
        <f t="shared" ca="1" si="491"/>
        <v/>
      </c>
    </row>
    <row r="4742" spans="1:10" x14ac:dyDescent="0.25">
      <c r="A4742" t="s">
        <v>945</v>
      </c>
      <c r="B4742" t="str">
        <f>ADDRESS(ROW('Loan 1'!$B$9),COLUMN('Loan 1'!$B$9),4)</f>
        <v>B9</v>
      </c>
      <c r="C4742" t="str">
        <f>ADDRESS(ROW('Loan 1'!$D$9),COLUMN('Loan 1'!$D$9),4)</f>
        <v>D9</v>
      </c>
      <c r="D4742" t="b" cm="1">
        <f t="array" aca="1" ref="D4742" ca="1">IF(AND(INDIRECT("'"&amp;A4742&amp;"'!$B$7")=Lists!$AH$3,OR(INDIRECT("'"&amp;A4742&amp;"'!"&amp;B4742)="",ISBLANK(INDIRECT("'"&amp;A4742&amp;"'!"&amp;B4742)))),TRUE,FALSE)</f>
        <v>0</v>
      </c>
      <c r="E4742" t="s">
        <v>495</v>
      </c>
      <c r="F4742" t="str">
        <f>INDEX(Lists!I:I,MATCH(Validation!E4742,Lists!G:G,0))</f>
        <v>Error</v>
      </c>
      <c r="G4742" t="str">
        <f>INDEX(Lists!H:H,MATCH(Validation!E4742,Lists!G:G,0))</f>
        <v>Entry required.</v>
      </c>
      <c r="H4742" s="16" t="str">
        <f t="shared" ca="1" si="489"/>
        <v/>
      </c>
      <c r="I4742" s="16" t="str">
        <f t="shared" ca="1" si="490"/>
        <v/>
      </c>
      <c r="J4742" s="17" t="str">
        <f t="shared" ca="1" si="491"/>
        <v/>
      </c>
    </row>
    <row r="4743" spans="1:10" x14ac:dyDescent="0.25">
      <c r="A4743" t="s">
        <v>205</v>
      </c>
      <c r="B4743" t="str">
        <f>ADDRESS(ROW('Loan 1'!$B$9),COLUMN('Loan 1'!$B$9),4)</f>
        <v>B9</v>
      </c>
      <c r="C4743" t="str">
        <f>ADDRESS(ROW('Loan 1'!$D$9),COLUMN('Loan 1'!$D$9),4)</f>
        <v>D9</v>
      </c>
      <c r="D4743" t="b" cm="1">
        <f t="array" aca="1" ref="D4743" ca="1">IF(AND(INDIRECT("'"&amp;A4743&amp;"'!$B$7")=Lists!$AH$2,INDIRECT("'"&amp;A4743&amp;"'!"&amp;B4743)&lt;&gt;""),TRUE,FALSE)</f>
        <v>0</v>
      </c>
      <c r="E4743" t="s">
        <v>922</v>
      </c>
      <c r="F4743" t="str">
        <f>INDEX(Lists!I:I,MATCH(Validation!E4743,Lists!G:G,0))</f>
        <v>Error</v>
      </c>
      <c r="G4743" t="str">
        <f>INDEX(Lists!H:H,MATCH(Validation!E4743,Lists!G:G,0))</f>
        <v>Skip this line for this loan type. Select a district on prior line instead.</v>
      </c>
      <c r="H4743" s="16" t="str">
        <f ca="1">IFERROR(IF(OR(NOT(D4743),F4743&lt;&gt;"Error"),"",A4743&amp;CELL("address",INDIRECT(B4743))),"")</f>
        <v/>
      </c>
      <c r="I4743" s="16" t="str">
        <f ca="1">IFERROR(IF(NOT(D4743),"",A4743&amp;CELL("address",INDIRECT(C4743))),"")</f>
        <v/>
      </c>
      <c r="J4743" s="17" t="str">
        <f ca="1">IFERROR(IF(NOT(D4743),"",A4743),"")</f>
        <v/>
      </c>
    </row>
    <row r="4744" spans="1:10" x14ac:dyDescent="0.25">
      <c r="A4744" t="s">
        <v>932</v>
      </c>
      <c r="B4744" t="str">
        <f>ADDRESS(ROW('Loan 1'!$B$9),COLUMN('Loan 1'!$B$9),4)</f>
        <v>B9</v>
      </c>
      <c r="C4744" t="str">
        <f>ADDRESS(ROW('Loan 1'!$D$9),COLUMN('Loan 1'!$D$9),4)</f>
        <v>D9</v>
      </c>
      <c r="D4744" t="b" cm="1">
        <f t="array" aca="1" ref="D4744" ca="1">IF(AND(INDIRECT("'"&amp;A4744&amp;"'!$B$7")=Lists!$AH$2,INDIRECT("'"&amp;A4744&amp;"'!"&amp;B4744)&lt;&gt;""),TRUE,FALSE)</f>
        <v>0</v>
      </c>
      <c r="E4744" t="s">
        <v>922</v>
      </c>
      <c r="F4744" t="str">
        <f>INDEX(Lists!I:I,MATCH(Validation!E4744,Lists!G:G,0))</f>
        <v>Error</v>
      </c>
      <c r="G4744" t="str">
        <f>INDEX(Lists!H:H,MATCH(Validation!E4744,Lists!G:G,0))</f>
        <v>Skip this line for this loan type. Select a district on prior line instead.</v>
      </c>
      <c r="H4744" s="16" t="str">
        <f t="shared" ref="H4744:H4757" ca="1" si="492">IFERROR(IF(OR(NOT(D4744),F4744&lt;&gt;"Error"),"",A4744&amp;CELL("address",INDIRECT(B4744))),"")</f>
        <v/>
      </c>
      <c r="I4744" s="16" t="str">
        <f t="shared" ref="I4744:I4757" ca="1" si="493">IFERROR(IF(NOT(D4744),"",A4744&amp;CELL("address",INDIRECT(C4744))),"")</f>
        <v/>
      </c>
      <c r="J4744" s="17" t="str">
        <f t="shared" ref="J4744:J4757" ca="1" si="494">IFERROR(IF(NOT(D4744),"",A4744),"")</f>
        <v/>
      </c>
    </row>
    <row r="4745" spans="1:10" x14ac:dyDescent="0.25">
      <c r="A4745" t="s">
        <v>933</v>
      </c>
      <c r="B4745" t="str">
        <f>ADDRESS(ROW('Loan 1'!$B$9),COLUMN('Loan 1'!$B$9),4)</f>
        <v>B9</v>
      </c>
      <c r="C4745" t="str">
        <f>ADDRESS(ROW('Loan 1'!$D$9),COLUMN('Loan 1'!$D$9),4)</f>
        <v>D9</v>
      </c>
      <c r="D4745" t="b" cm="1">
        <f t="array" aca="1" ref="D4745" ca="1">IF(AND(INDIRECT("'"&amp;A4745&amp;"'!$B$7")=Lists!$AH$2,INDIRECT("'"&amp;A4745&amp;"'!"&amp;B4745)&lt;&gt;""),TRUE,FALSE)</f>
        <v>0</v>
      </c>
      <c r="E4745" t="s">
        <v>922</v>
      </c>
      <c r="F4745" t="str">
        <f>INDEX(Lists!I:I,MATCH(Validation!E4745,Lists!G:G,0))</f>
        <v>Error</v>
      </c>
      <c r="G4745" t="str">
        <f>INDEX(Lists!H:H,MATCH(Validation!E4745,Lists!G:G,0))</f>
        <v>Skip this line for this loan type. Select a district on prior line instead.</v>
      </c>
      <c r="H4745" s="16" t="str">
        <f t="shared" ca="1" si="492"/>
        <v/>
      </c>
      <c r="I4745" s="16" t="str">
        <f t="shared" ca="1" si="493"/>
        <v/>
      </c>
      <c r="J4745" s="17" t="str">
        <f t="shared" ca="1" si="494"/>
        <v/>
      </c>
    </row>
    <row r="4746" spans="1:10" x14ac:dyDescent="0.25">
      <c r="A4746" t="s">
        <v>934</v>
      </c>
      <c r="B4746" t="str">
        <f>ADDRESS(ROW('Loan 1'!$B$9),COLUMN('Loan 1'!$B$9),4)</f>
        <v>B9</v>
      </c>
      <c r="C4746" t="str">
        <f>ADDRESS(ROW('Loan 1'!$D$9),COLUMN('Loan 1'!$D$9),4)</f>
        <v>D9</v>
      </c>
      <c r="D4746" t="b" cm="1">
        <f t="array" aca="1" ref="D4746" ca="1">IF(AND(INDIRECT("'"&amp;A4746&amp;"'!$B$7")=Lists!$AH$2,INDIRECT("'"&amp;A4746&amp;"'!"&amp;B4746)&lt;&gt;""),TRUE,FALSE)</f>
        <v>0</v>
      </c>
      <c r="E4746" t="s">
        <v>922</v>
      </c>
      <c r="F4746" t="str">
        <f>INDEX(Lists!I:I,MATCH(Validation!E4746,Lists!G:G,0))</f>
        <v>Error</v>
      </c>
      <c r="G4746" t="str">
        <f>INDEX(Lists!H:H,MATCH(Validation!E4746,Lists!G:G,0))</f>
        <v>Skip this line for this loan type. Select a district on prior line instead.</v>
      </c>
      <c r="H4746" s="16" t="str">
        <f t="shared" ca="1" si="492"/>
        <v/>
      </c>
      <c r="I4746" s="16" t="str">
        <f t="shared" ca="1" si="493"/>
        <v/>
      </c>
      <c r="J4746" s="17" t="str">
        <f t="shared" ca="1" si="494"/>
        <v/>
      </c>
    </row>
    <row r="4747" spans="1:10" x14ac:dyDescent="0.25">
      <c r="A4747" t="s">
        <v>935</v>
      </c>
      <c r="B4747" t="str">
        <f>ADDRESS(ROW('Loan 1'!$B$9),COLUMN('Loan 1'!$B$9),4)</f>
        <v>B9</v>
      </c>
      <c r="C4747" t="str">
        <f>ADDRESS(ROW('Loan 1'!$D$9),COLUMN('Loan 1'!$D$9),4)</f>
        <v>D9</v>
      </c>
      <c r="D4747" t="b" cm="1">
        <f t="array" aca="1" ref="D4747" ca="1">IF(AND(INDIRECT("'"&amp;A4747&amp;"'!$B$7")=Lists!$AH$2,INDIRECT("'"&amp;A4747&amp;"'!"&amp;B4747)&lt;&gt;""),TRUE,FALSE)</f>
        <v>0</v>
      </c>
      <c r="E4747" t="s">
        <v>922</v>
      </c>
      <c r="F4747" t="str">
        <f>INDEX(Lists!I:I,MATCH(Validation!E4747,Lists!G:G,0))</f>
        <v>Error</v>
      </c>
      <c r="G4747" t="str">
        <f>INDEX(Lists!H:H,MATCH(Validation!E4747,Lists!G:G,0))</f>
        <v>Skip this line for this loan type. Select a district on prior line instead.</v>
      </c>
      <c r="H4747" s="16" t="str">
        <f t="shared" ca="1" si="492"/>
        <v/>
      </c>
      <c r="I4747" s="16" t="str">
        <f t="shared" ca="1" si="493"/>
        <v/>
      </c>
      <c r="J4747" s="17" t="str">
        <f t="shared" ca="1" si="494"/>
        <v/>
      </c>
    </row>
    <row r="4748" spans="1:10" x14ac:dyDescent="0.25">
      <c r="A4748" t="s">
        <v>936</v>
      </c>
      <c r="B4748" t="str">
        <f>ADDRESS(ROW('Loan 1'!$B$9),COLUMN('Loan 1'!$B$9),4)</f>
        <v>B9</v>
      </c>
      <c r="C4748" t="str">
        <f>ADDRESS(ROW('Loan 1'!$D$9),COLUMN('Loan 1'!$D$9),4)</f>
        <v>D9</v>
      </c>
      <c r="D4748" t="b" cm="1">
        <f t="array" aca="1" ref="D4748" ca="1">IF(AND(INDIRECT("'"&amp;A4748&amp;"'!$B$7")=Lists!$AH$2,INDIRECT("'"&amp;A4748&amp;"'!"&amp;B4748)&lt;&gt;""),TRUE,FALSE)</f>
        <v>0</v>
      </c>
      <c r="E4748" t="s">
        <v>922</v>
      </c>
      <c r="F4748" t="str">
        <f>INDEX(Lists!I:I,MATCH(Validation!E4748,Lists!G:G,0))</f>
        <v>Error</v>
      </c>
      <c r="G4748" t="str">
        <f>INDEX(Lists!H:H,MATCH(Validation!E4748,Lists!G:G,0))</f>
        <v>Skip this line for this loan type. Select a district on prior line instead.</v>
      </c>
      <c r="H4748" s="16" t="str">
        <f t="shared" ca="1" si="492"/>
        <v/>
      </c>
      <c r="I4748" s="16" t="str">
        <f t="shared" ca="1" si="493"/>
        <v/>
      </c>
      <c r="J4748" s="17" t="str">
        <f t="shared" ca="1" si="494"/>
        <v/>
      </c>
    </row>
    <row r="4749" spans="1:10" x14ac:dyDescent="0.25">
      <c r="A4749" t="s">
        <v>937</v>
      </c>
      <c r="B4749" t="str">
        <f>ADDRESS(ROW('Loan 1'!$B$9),COLUMN('Loan 1'!$B$9),4)</f>
        <v>B9</v>
      </c>
      <c r="C4749" t="str">
        <f>ADDRESS(ROW('Loan 1'!$D$9),COLUMN('Loan 1'!$D$9),4)</f>
        <v>D9</v>
      </c>
      <c r="D4749" t="b" cm="1">
        <f t="array" aca="1" ref="D4749" ca="1">IF(AND(INDIRECT("'"&amp;A4749&amp;"'!$B$7")=Lists!$AH$2,INDIRECT("'"&amp;A4749&amp;"'!"&amp;B4749)&lt;&gt;""),TRUE,FALSE)</f>
        <v>0</v>
      </c>
      <c r="E4749" t="s">
        <v>922</v>
      </c>
      <c r="F4749" t="str">
        <f>INDEX(Lists!I:I,MATCH(Validation!E4749,Lists!G:G,0))</f>
        <v>Error</v>
      </c>
      <c r="G4749" t="str">
        <f>INDEX(Lists!H:H,MATCH(Validation!E4749,Lists!G:G,0))</f>
        <v>Skip this line for this loan type. Select a district on prior line instead.</v>
      </c>
      <c r="H4749" s="16" t="str">
        <f t="shared" ca="1" si="492"/>
        <v/>
      </c>
      <c r="I4749" s="16" t="str">
        <f t="shared" ca="1" si="493"/>
        <v/>
      </c>
      <c r="J4749" s="17" t="str">
        <f t="shared" ca="1" si="494"/>
        <v/>
      </c>
    </row>
    <row r="4750" spans="1:10" x14ac:dyDescent="0.25">
      <c r="A4750" t="s">
        <v>938</v>
      </c>
      <c r="B4750" t="str">
        <f>ADDRESS(ROW('Loan 1'!$B$9),COLUMN('Loan 1'!$B$9),4)</f>
        <v>B9</v>
      </c>
      <c r="C4750" t="str">
        <f>ADDRESS(ROW('Loan 1'!$D$9),COLUMN('Loan 1'!$D$9),4)</f>
        <v>D9</v>
      </c>
      <c r="D4750" t="b" cm="1">
        <f t="array" aca="1" ref="D4750" ca="1">IF(AND(INDIRECT("'"&amp;A4750&amp;"'!$B$7")=Lists!$AH$2,INDIRECT("'"&amp;A4750&amp;"'!"&amp;B4750)&lt;&gt;""),TRUE,FALSE)</f>
        <v>0</v>
      </c>
      <c r="E4750" t="s">
        <v>922</v>
      </c>
      <c r="F4750" t="str">
        <f>INDEX(Lists!I:I,MATCH(Validation!E4750,Lists!G:G,0))</f>
        <v>Error</v>
      </c>
      <c r="G4750" t="str">
        <f>INDEX(Lists!H:H,MATCH(Validation!E4750,Lists!G:G,0))</f>
        <v>Skip this line for this loan type. Select a district on prior line instead.</v>
      </c>
      <c r="H4750" s="16" t="str">
        <f t="shared" ca="1" si="492"/>
        <v/>
      </c>
      <c r="I4750" s="16" t="str">
        <f t="shared" ca="1" si="493"/>
        <v/>
      </c>
      <c r="J4750" s="17" t="str">
        <f t="shared" ca="1" si="494"/>
        <v/>
      </c>
    </row>
    <row r="4751" spans="1:10" x14ac:dyDescent="0.25">
      <c r="A4751" t="s">
        <v>939</v>
      </c>
      <c r="B4751" t="str">
        <f>ADDRESS(ROW('Loan 1'!$B$9),COLUMN('Loan 1'!$B$9),4)</f>
        <v>B9</v>
      </c>
      <c r="C4751" t="str">
        <f>ADDRESS(ROW('Loan 1'!$D$9),COLUMN('Loan 1'!$D$9),4)</f>
        <v>D9</v>
      </c>
      <c r="D4751" t="b" cm="1">
        <f t="array" aca="1" ref="D4751" ca="1">IF(AND(INDIRECT("'"&amp;A4751&amp;"'!$B$7")=Lists!$AH$2,INDIRECT("'"&amp;A4751&amp;"'!"&amp;B4751)&lt;&gt;""),TRUE,FALSE)</f>
        <v>0</v>
      </c>
      <c r="E4751" t="s">
        <v>922</v>
      </c>
      <c r="F4751" t="str">
        <f>INDEX(Lists!I:I,MATCH(Validation!E4751,Lists!G:G,0))</f>
        <v>Error</v>
      </c>
      <c r="G4751" t="str">
        <f>INDEX(Lists!H:H,MATCH(Validation!E4751,Lists!G:G,0))</f>
        <v>Skip this line for this loan type. Select a district on prior line instead.</v>
      </c>
      <c r="H4751" s="16" t="str">
        <f t="shared" ca="1" si="492"/>
        <v/>
      </c>
      <c r="I4751" s="16" t="str">
        <f t="shared" ca="1" si="493"/>
        <v/>
      </c>
      <c r="J4751" s="17" t="str">
        <f t="shared" ca="1" si="494"/>
        <v/>
      </c>
    </row>
    <row r="4752" spans="1:10" x14ac:dyDescent="0.25">
      <c r="A4752" t="s">
        <v>940</v>
      </c>
      <c r="B4752" t="str">
        <f>ADDRESS(ROW('Loan 1'!$B$9),COLUMN('Loan 1'!$B$9),4)</f>
        <v>B9</v>
      </c>
      <c r="C4752" t="str">
        <f>ADDRESS(ROW('Loan 1'!$D$9),COLUMN('Loan 1'!$D$9),4)</f>
        <v>D9</v>
      </c>
      <c r="D4752" t="b" cm="1">
        <f t="array" aca="1" ref="D4752" ca="1">IF(AND(INDIRECT("'"&amp;A4752&amp;"'!$B$7")=Lists!$AH$2,INDIRECT("'"&amp;A4752&amp;"'!"&amp;B4752)&lt;&gt;""),TRUE,FALSE)</f>
        <v>0</v>
      </c>
      <c r="E4752" t="s">
        <v>922</v>
      </c>
      <c r="F4752" t="str">
        <f>INDEX(Lists!I:I,MATCH(Validation!E4752,Lists!G:G,0))</f>
        <v>Error</v>
      </c>
      <c r="G4752" t="str">
        <f>INDEX(Lists!H:H,MATCH(Validation!E4752,Lists!G:G,0))</f>
        <v>Skip this line for this loan type. Select a district on prior line instead.</v>
      </c>
      <c r="H4752" s="16" t="str">
        <f t="shared" ca="1" si="492"/>
        <v/>
      </c>
      <c r="I4752" s="16" t="str">
        <f t="shared" ca="1" si="493"/>
        <v/>
      </c>
      <c r="J4752" s="17" t="str">
        <f t="shared" ca="1" si="494"/>
        <v/>
      </c>
    </row>
    <row r="4753" spans="1:10" x14ac:dyDescent="0.25">
      <c r="A4753" t="s">
        <v>941</v>
      </c>
      <c r="B4753" t="str">
        <f>ADDRESS(ROW('Loan 1'!$B$9),COLUMN('Loan 1'!$B$9),4)</f>
        <v>B9</v>
      </c>
      <c r="C4753" t="str">
        <f>ADDRESS(ROW('Loan 1'!$D$9),COLUMN('Loan 1'!$D$9),4)</f>
        <v>D9</v>
      </c>
      <c r="D4753" t="b" cm="1">
        <f t="array" aca="1" ref="D4753" ca="1">IF(AND(INDIRECT("'"&amp;A4753&amp;"'!$B$7")=Lists!$AH$2,INDIRECT("'"&amp;A4753&amp;"'!"&amp;B4753)&lt;&gt;""),TRUE,FALSE)</f>
        <v>0</v>
      </c>
      <c r="E4753" t="s">
        <v>922</v>
      </c>
      <c r="F4753" t="str">
        <f>INDEX(Lists!I:I,MATCH(Validation!E4753,Lists!G:G,0))</f>
        <v>Error</v>
      </c>
      <c r="G4753" t="str">
        <f>INDEX(Lists!H:H,MATCH(Validation!E4753,Lists!G:G,0))</f>
        <v>Skip this line for this loan type. Select a district on prior line instead.</v>
      </c>
      <c r="H4753" s="16" t="str">
        <f t="shared" ca="1" si="492"/>
        <v/>
      </c>
      <c r="I4753" s="16" t="str">
        <f t="shared" ca="1" si="493"/>
        <v/>
      </c>
      <c r="J4753" s="17" t="str">
        <f t="shared" ca="1" si="494"/>
        <v/>
      </c>
    </row>
    <row r="4754" spans="1:10" x14ac:dyDescent="0.25">
      <c r="A4754" t="s">
        <v>942</v>
      </c>
      <c r="B4754" t="str">
        <f>ADDRESS(ROW('Loan 1'!$B$9),COLUMN('Loan 1'!$B$9),4)</f>
        <v>B9</v>
      </c>
      <c r="C4754" t="str">
        <f>ADDRESS(ROW('Loan 1'!$D$9),COLUMN('Loan 1'!$D$9),4)</f>
        <v>D9</v>
      </c>
      <c r="D4754" t="b" cm="1">
        <f t="array" aca="1" ref="D4754" ca="1">IF(AND(INDIRECT("'"&amp;A4754&amp;"'!$B$7")=Lists!$AH$2,INDIRECT("'"&amp;A4754&amp;"'!"&amp;B4754)&lt;&gt;""),TRUE,FALSE)</f>
        <v>0</v>
      </c>
      <c r="E4754" t="s">
        <v>922</v>
      </c>
      <c r="F4754" t="str">
        <f>INDEX(Lists!I:I,MATCH(Validation!E4754,Lists!G:G,0))</f>
        <v>Error</v>
      </c>
      <c r="G4754" t="str">
        <f>INDEX(Lists!H:H,MATCH(Validation!E4754,Lists!G:G,0))</f>
        <v>Skip this line for this loan type. Select a district on prior line instead.</v>
      </c>
      <c r="H4754" s="16" t="str">
        <f t="shared" ca="1" si="492"/>
        <v/>
      </c>
      <c r="I4754" s="16" t="str">
        <f t="shared" ca="1" si="493"/>
        <v/>
      </c>
      <c r="J4754" s="17" t="str">
        <f t="shared" ca="1" si="494"/>
        <v/>
      </c>
    </row>
    <row r="4755" spans="1:10" x14ac:dyDescent="0.25">
      <c r="A4755" t="s">
        <v>943</v>
      </c>
      <c r="B4755" t="str">
        <f>ADDRESS(ROW('Loan 1'!$B$9),COLUMN('Loan 1'!$B$9),4)</f>
        <v>B9</v>
      </c>
      <c r="C4755" t="str">
        <f>ADDRESS(ROW('Loan 1'!$D$9),COLUMN('Loan 1'!$D$9),4)</f>
        <v>D9</v>
      </c>
      <c r="D4755" t="b" cm="1">
        <f t="array" aca="1" ref="D4755" ca="1">IF(AND(INDIRECT("'"&amp;A4755&amp;"'!$B$7")=Lists!$AH$2,INDIRECT("'"&amp;A4755&amp;"'!"&amp;B4755)&lt;&gt;""),TRUE,FALSE)</f>
        <v>0</v>
      </c>
      <c r="E4755" t="s">
        <v>922</v>
      </c>
      <c r="F4755" t="str">
        <f>INDEX(Lists!I:I,MATCH(Validation!E4755,Lists!G:G,0))</f>
        <v>Error</v>
      </c>
      <c r="G4755" t="str">
        <f>INDEX(Lists!H:H,MATCH(Validation!E4755,Lists!G:G,0))</f>
        <v>Skip this line for this loan type. Select a district on prior line instead.</v>
      </c>
      <c r="H4755" s="16" t="str">
        <f t="shared" ca="1" si="492"/>
        <v/>
      </c>
      <c r="I4755" s="16" t="str">
        <f t="shared" ca="1" si="493"/>
        <v/>
      </c>
      <c r="J4755" s="17" t="str">
        <f t="shared" ca="1" si="494"/>
        <v/>
      </c>
    </row>
    <row r="4756" spans="1:10" x14ac:dyDescent="0.25">
      <c r="A4756" t="s">
        <v>944</v>
      </c>
      <c r="B4756" t="str">
        <f>ADDRESS(ROW('Loan 1'!$B$9),COLUMN('Loan 1'!$B$9),4)</f>
        <v>B9</v>
      </c>
      <c r="C4756" t="str">
        <f>ADDRESS(ROW('Loan 1'!$D$9),COLUMN('Loan 1'!$D$9),4)</f>
        <v>D9</v>
      </c>
      <c r="D4756" t="b" cm="1">
        <f t="array" aca="1" ref="D4756" ca="1">IF(AND(INDIRECT("'"&amp;A4756&amp;"'!$B$7")=Lists!$AH$2,INDIRECT("'"&amp;A4756&amp;"'!"&amp;B4756)&lt;&gt;""),TRUE,FALSE)</f>
        <v>0</v>
      </c>
      <c r="E4756" t="s">
        <v>922</v>
      </c>
      <c r="F4756" t="str">
        <f>INDEX(Lists!I:I,MATCH(Validation!E4756,Lists!G:G,0))</f>
        <v>Error</v>
      </c>
      <c r="G4756" t="str">
        <f>INDEX(Lists!H:H,MATCH(Validation!E4756,Lists!G:G,0))</f>
        <v>Skip this line for this loan type. Select a district on prior line instead.</v>
      </c>
      <c r="H4756" s="16" t="str">
        <f t="shared" ca="1" si="492"/>
        <v/>
      </c>
      <c r="I4756" s="16" t="str">
        <f t="shared" ca="1" si="493"/>
        <v/>
      </c>
      <c r="J4756" s="17" t="str">
        <f t="shared" ca="1" si="494"/>
        <v/>
      </c>
    </row>
    <row r="4757" spans="1:10" x14ac:dyDescent="0.25">
      <c r="A4757" t="s">
        <v>945</v>
      </c>
      <c r="B4757" t="str">
        <f>ADDRESS(ROW('Loan 1'!$B$9),COLUMN('Loan 1'!$B$9),4)</f>
        <v>B9</v>
      </c>
      <c r="C4757" t="str">
        <f>ADDRESS(ROW('Loan 1'!$D$9),COLUMN('Loan 1'!$D$9),4)</f>
        <v>D9</v>
      </c>
      <c r="D4757" t="b" cm="1">
        <f t="array" aca="1" ref="D4757" ca="1">IF(AND(INDIRECT("'"&amp;A4757&amp;"'!$B$7")=Lists!$AH$2,INDIRECT("'"&amp;A4757&amp;"'!"&amp;B4757)&lt;&gt;""),TRUE,FALSE)</f>
        <v>0</v>
      </c>
      <c r="E4757" t="s">
        <v>922</v>
      </c>
      <c r="F4757" t="str">
        <f>INDEX(Lists!I:I,MATCH(Validation!E4757,Lists!G:G,0))</f>
        <v>Error</v>
      </c>
      <c r="G4757" t="str">
        <f>INDEX(Lists!H:H,MATCH(Validation!E4757,Lists!G:G,0))</f>
        <v>Skip this line for this loan type. Select a district on prior line instead.</v>
      </c>
      <c r="H4757" s="16" t="str">
        <f t="shared" ca="1" si="492"/>
        <v/>
      </c>
      <c r="I4757" s="16" t="str">
        <f t="shared" ca="1" si="493"/>
        <v/>
      </c>
      <c r="J4757" s="17" t="str">
        <f t="shared" ca="1" si="494"/>
        <v/>
      </c>
    </row>
    <row r="4758" spans="1:10" x14ac:dyDescent="0.25">
      <c r="A4758" t="s">
        <v>205</v>
      </c>
      <c r="B4758" t="str">
        <f>ADDRESS(ROW('Loan 1'!$B$9),COLUMN('Loan 1'!$B$9),4)</f>
        <v>B9</v>
      </c>
      <c r="C4758" t="str">
        <f>ADDRESS(ROW('Loan 1'!$D$9),COLUMN('Loan 1'!$D$9),4)</f>
        <v>D9</v>
      </c>
      <c r="D4758" t="b" cm="1">
        <f t="array" aca="1" ref="D4758" ca="1">IF(INDIRECT("'"&amp;A4758&amp;"'!$B$7")=Lists!$AH$2,TRUE,FALSE)</f>
        <v>0</v>
      </c>
      <c r="E4758" t="s">
        <v>925</v>
      </c>
      <c r="F4758" t="str">
        <f>INDEX(Lists!I:I,MATCH(Validation!E4758,Lists!G:G,0))</f>
        <v>Information</v>
      </c>
      <c r="G4758" t="str">
        <f>INDEX(Lists!H:H,MATCH(Validation!E4758,Lists!G:G,0))</f>
        <v>Skip this line for this loan type. Select a district on prior line instead.</v>
      </c>
      <c r="H4758" s="16" t="str">
        <f t="shared" ref="H4758:H4772" ca="1" si="495">IFERROR(IF(OR(NOT(D4758),F4758&lt;&gt;"Error"),"",A4758&amp;CELL("address",INDIRECT(B4758))),"")</f>
        <v/>
      </c>
      <c r="I4758" s="16" t="str">
        <f t="shared" ref="I4758:I4772" ca="1" si="496">IFERROR(IF(NOT(D4758),"",A4758&amp;CELL("address",INDIRECT(C4758))),"")</f>
        <v/>
      </c>
      <c r="J4758" s="17" t="str">
        <f t="shared" ref="J4758:J4772" ca="1" si="497">IFERROR(IF(NOT(D4758),"",A4758),"")</f>
        <v/>
      </c>
    </row>
    <row r="4759" spans="1:10" x14ac:dyDescent="0.25">
      <c r="A4759" t="s">
        <v>932</v>
      </c>
      <c r="B4759" t="str">
        <f>ADDRESS(ROW('Loan 1'!$B$9),COLUMN('Loan 1'!$B$9),4)</f>
        <v>B9</v>
      </c>
      <c r="C4759" t="str">
        <f>ADDRESS(ROW('Loan 1'!$D$9),COLUMN('Loan 1'!$D$9),4)</f>
        <v>D9</v>
      </c>
      <c r="D4759" t="b" cm="1">
        <f t="array" aca="1" ref="D4759" ca="1">IF(INDIRECT("'"&amp;A4759&amp;"'!$B$7")=Lists!$AH$2,TRUE,FALSE)</f>
        <v>0</v>
      </c>
      <c r="E4759" t="s">
        <v>925</v>
      </c>
      <c r="F4759" t="str">
        <f>INDEX(Lists!I:I,MATCH(Validation!E4759,Lists!G:G,0))</f>
        <v>Information</v>
      </c>
      <c r="G4759" t="str">
        <f>INDEX(Lists!H:H,MATCH(Validation!E4759,Lists!G:G,0))</f>
        <v>Skip this line for this loan type. Select a district on prior line instead.</v>
      </c>
      <c r="H4759" s="16" t="str">
        <f t="shared" ca="1" si="495"/>
        <v/>
      </c>
      <c r="I4759" s="16" t="str">
        <f t="shared" ca="1" si="496"/>
        <v/>
      </c>
      <c r="J4759" s="17" t="str">
        <f t="shared" ca="1" si="497"/>
        <v/>
      </c>
    </row>
    <row r="4760" spans="1:10" x14ac:dyDescent="0.25">
      <c r="A4760" t="s">
        <v>933</v>
      </c>
      <c r="B4760" t="str">
        <f>ADDRESS(ROW('Loan 1'!$B$9),COLUMN('Loan 1'!$B$9),4)</f>
        <v>B9</v>
      </c>
      <c r="C4760" t="str">
        <f>ADDRESS(ROW('Loan 1'!$D$9),COLUMN('Loan 1'!$D$9),4)</f>
        <v>D9</v>
      </c>
      <c r="D4760" t="b" cm="1">
        <f t="array" aca="1" ref="D4760" ca="1">IF(INDIRECT("'"&amp;A4760&amp;"'!$B$7")=Lists!$AH$2,TRUE,FALSE)</f>
        <v>0</v>
      </c>
      <c r="E4760" t="s">
        <v>925</v>
      </c>
      <c r="F4760" t="str">
        <f>INDEX(Lists!I:I,MATCH(Validation!E4760,Lists!G:G,0))</f>
        <v>Information</v>
      </c>
      <c r="G4760" t="str">
        <f>INDEX(Lists!H:H,MATCH(Validation!E4760,Lists!G:G,0))</f>
        <v>Skip this line for this loan type. Select a district on prior line instead.</v>
      </c>
      <c r="H4760" s="16" t="str">
        <f t="shared" ca="1" si="495"/>
        <v/>
      </c>
      <c r="I4760" s="16" t="str">
        <f t="shared" ca="1" si="496"/>
        <v/>
      </c>
      <c r="J4760" s="17" t="str">
        <f t="shared" ca="1" si="497"/>
        <v/>
      </c>
    </row>
    <row r="4761" spans="1:10" x14ac:dyDescent="0.25">
      <c r="A4761" t="s">
        <v>934</v>
      </c>
      <c r="B4761" t="str">
        <f>ADDRESS(ROW('Loan 1'!$B$9),COLUMN('Loan 1'!$B$9),4)</f>
        <v>B9</v>
      </c>
      <c r="C4761" t="str">
        <f>ADDRESS(ROW('Loan 1'!$D$9),COLUMN('Loan 1'!$D$9),4)</f>
        <v>D9</v>
      </c>
      <c r="D4761" t="b" cm="1">
        <f t="array" aca="1" ref="D4761" ca="1">IF(INDIRECT("'"&amp;A4761&amp;"'!$B$7")=Lists!$AH$2,TRUE,FALSE)</f>
        <v>0</v>
      </c>
      <c r="E4761" t="s">
        <v>925</v>
      </c>
      <c r="F4761" t="str">
        <f>INDEX(Lists!I:I,MATCH(Validation!E4761,Lists!G:G,0))</f>
        <v>Information</v>
      </c>
      <c r="G4761" t="str">
        <f>INDEX(Lists!H:H,MATCH(Validation!E4761,Lists!G:G,0))</f>
        <v>Skip this line for this loan type. Select a district on prior line instead.</v>
      </c>
      <c r="H4761" s="16" t="str">
        <f t="shared" ca="1" si="495"/>
        <v/>
      </c>
      <c r="I4761" s="16" t="str">
        <f t="shared" ca="1" si="496"/>
        <v/>
      </c>
      <c r="J4761" s="17" t="str">
        <f t="shared" ca="1" si="497"/>
        <v/>
      </c>
    </row>
    <row r="4762" spans="1:10" x14ac:dyDescent="0.25">
      <c r="A4762" t="s">
        <v>935</v>
      </c>
      <c r="B4762" t="str">
        <f>ADDRESS(ROW('Loan 1'!$B$9),COLUMN('Loan 1'!$B$9),4)</f>
        <v>B9</v>
      </c>
      <c r="C4762" t="str">
        <f>ADDRESS(ROW('Loan 1'!$D$9),COLUMN('Loan 1'!$D$9),4)</f>
        <v>D9</v>
      </c>
      <c r="D4762" t="b" cm="1">
        <f t="array" aca="1" ref="D4762" ca="1">IF(INDIRECT("'"&amp;A4762&amp;"'!$B$7")=Lists!$AH$2,TRUE,FALSE)</f>
        <v>0</v>
      </c>
      <c r="E4762" t="s">
        <v>925</v>
      </c>
      <c r="F4762" t="str">
        <f>INDEX(Lists!I:I,MATCH(Validation!E4762,Lists!G:G,0))</f>
        <v>Information</v>
      </c>
      <c r="G4762" t="str">
        <f>INDEX(Lists!H:H,MATCH(Validation!E4762,Lists!G:G,0))</f>
        <v>Skip this line for this loan type. Select a district on prior line instead.</v>
      </c>
      <c r="H4762" s="16" t="str">
        <f t="shared" ca="1" si="495"/>
        <v/>
      </c>
      <c r="I4762" s="16" t="str">
        <f t="shared" ca="1" si="496"/>
        <v/>
      </c>
      <c r="J4762" s="17" t="str">
        <f t="shared" ca="1" si="497"/>
        <v/>
      </c>
    </row>
    <row r="4763" spans="1:10" x14ac:dyDescent="0.25">
      <c r="A4763" t="s">
        <v>936</v>
      </c>
      <c r="B4763" t="str">
        <f>ADDRESS(ROW('Loan 1'!$B$9),COLUMN('Loan 1'!$B$9),4)</f>
        <v>B9</v>
      </c>
      <c r="C4763" t="str">
        <f>ADDRESS(ROW('Loan 1'!$D$9),COLUMN('Loan 1'!$D$9),4)</f>
        <v>D9</v>
      </c>
      <c r="D4763" t="b" cm="1">
        <f t="array" aca="1" ref="D4763" ca="1">IF(INDIRECT("'"&amp;A4763&amp;"'!$B$7")=Lists!$AH$2,TRUE,FALSE)</f>
        <v>0</v>
      </c>
      <c r="E4763" t="s">
        <v>925</v>
      </c>
      <c r="F4763" t="str">
        <f>INDEX(Lists!I:I,MATCH(Validation!E4763,Lists!G:G,0))</f>
        <v>Information</v>
      </c>
      <c r="G4763" t="str">
        <f>INDEX(Lists!H:H,MATCH(Validation!E4763,Lists!G:G,0))</f>
        <v>Skip this line for this loan type. Select a district on prior line instead.</v>
      </c>
      <c r="H4763" s="16" t="str">
        <f t="shared" ca="1" si="495"/>
        <v/>
      </c>
      <c r="I4763" s="16" t="str">
        <f t="shared" ca="1" si="496"/>
        <v/>
      </c>
      <c r="J4763" s="17" t="str">
        <f t="shared" ca="1" si="497"/>
        <v/>
      </c>
    </row>
    <row r="4764" spans="1:10" x14ac:dyDescent="0.25">
      <c r="A4764" t="s">
        <v>937</v>
      </c>
      <c r="B4764" t="str">
        <f>ADDRESS(ROW('Loan 1'!$B$9),COLUMN('Loan 1'!$B$9),4)</f>
        <v>B9</v>
      </c>
      <c r="C4764" t="str">
        <f>ADDRESS(ROW('Loan 1'!$D$9),COLUMN('Loan 1'!$D$9),4)</f>
        <v>D9</v>
      </c>
      <c r="D4764" t="b" cm="1">
        <f t="array" aca="1" ref="D4764" ca="1">IF(INDIRECT("'"&amp;A4764&amp;"'!$B$7")=Lists!$AH$2,TRUE,FALSE)</f>
        <v>0</v>
      </c>
      <c r="E4764" t="s">
        <v>925</v>
      </c>
      <c r="F4764" t="str">
        <f>INDEX(Lists!I:I,MATCH(Validation!E4764,Lists!G:G,0))</f>
        <v>Information</v>
      </c>
      <c r="G4764" t="str">
        <f>INDEX(Lists!H:H,MATCH(Validation!E4764,Lists!G:G,0))</f>
        <v>Skip this line for this loan type. Select a district on prior line instead.</v>
      </c>
      <c r="H4764" s="16" t="str">
        <f t="shared" ca="1" si="495"/>
        <v/>
      </c>
      <c r="I4764" s="16" t="str">
        <f t="shared" ca="1" si="496"/>
        <v/>
      </c>
      <c r="J4764" s="17" t="str">
        <f t="shared" ca="1" si="497"/>
        <v/>
      </c>
    </row>
    <row r="4765" spans="1:10" x14ac:dyDescent="0.25">
      <c r="A4765" t="s">
        <v>938</v>
      </c>
      <c r="B4765" t="str">
        <f>ADDRESS(ROW('Loan 1'!$B$9),COLUMN('Loan 1'!$B$9),4)</f>
        <v>B9</v>
      </c>
      <c r="C4765" t="str">
        <f>ADDRESS(ROW('Loan 1'!$D$9),COLUMN('Loan 1'!$D$9),4)</f>
        <v>D9</v>
      </c>
      <c r="D4765" t="b" cm="1">
        <f t="array" aca="1" ref="D4765" ca="1">IF(INDIRECT("'"&amp;A4765&amp;"'!$B$7")=Lists!$AH$2,TRUE,FALSE)</f>
        <v>0</v>
      </c>
      <c r="E4765" t="s">
        <v>925</v>
      </c>
      <c r="F4765" t="str">
        <f>INDEX(Lists!I:I,MATCH(Validation!E4765,Lists!G:G,0))</f>
        <v>Information</v>
      </c>
      <c r="G4765" t="str">
        <f>INDEX(Lists!H:H,MATCH(Validation!E4765,Lists!G:G,0))</f>
        <v>Skip this line for this loan type. Select a district on prior line instead.</v>
      </c>
      <c r="H4765" s="16" t="str">
        <f t="shared" ca="1" si="495"/>
        <v/>
      </c>
      <c r="I4765" s="16" t="str">
        <f t="shared" ca="1" si="496"/>
        <v/>
      </c>
      <c r="J4765" s="17" t="str">
        <f t="shared" ca="1" si="497"/>
        <v/>
      </c>
    </row>
    <row r="4766" spans="1:10" x14ac:dyDescent="0.25">
      <c r="A4766" t="s">
        <v>939</v>
      </c>
      <c r="B4766" t="str">
        <f>ADDRESS(ROW('Loan 1'!$B$9),COLUMN('Loan 1'!$B$9),4)</f>
        <v>B9</v>
      </c>
      <c r="C4766" t="str">
        <f>ADDRESS(ROW('Loan 1'!$D$9),COLUMN('Loan 1'!$D$9),4)</f>
        <v>D9</v>
      </c>
      <c r="D4766" t="b" cm="1">
        <f t="array" aca="1" ref="D4766" ca="1">IF(INDIRECT("'"&amp;A4766&amp;"'!$B$7")=Lists!$AH$2,TRUE,FALSE)</f>
        <v>0</v>
      </c>
      <c r="E4766" t="s">
        <v>925</v>
      </c>
      <c r="F4766" t="str">
        <f>INDEX(Lists!I:I,MATCH(Validation!E4766,Lists!G:G,0))</f>
        <v>Information</v>
      </c>
      <c r="G4766" t="str">
        <f>INDEX(Lists!H:H,MATCH(Validation!E4766,Lists!G:G,0))</f>
        <v>Skip this line for this loan type. Select a district on prior line instead.</v>
      </c>
      <c r="H4766" s="16" t="str">
        <f t="shared" ca="1" si="495"/>
        <v/>
      </c>
      <c r="I4766" s="16" t="str">
        <f t="shared" ca="1" si="496"/>
        <v/>
      </c>
      <c r="J4766" s="17" t="str">
        <f t="shared" ca="1" si="497"/>
        <v/>
      </c>
    </row>
    <row r="4767" spans="1:10" x14ac:dyDescent="0.25">
      <c r="A4767" t="s">
        <v>940</v>
      </c>
      <c r="B4767" t="str">
        <f>ADDRESS(ROW('Loan 1'!$B$9),COLUMN('Loan 1'!$B$9),4)</f>
        <v>B9</v>
      </c>
      <c r="C4767" t="str">
        <f>ADDRESS(ROW('Loan 1'!$D$9),COLUMN('Loan 1'!$D$9),4)</f>
        <v>D9</v>
      </c>
      <c r="D4767" t="b" cm="1">
        <f t="array" aca="1" ref="D4767" ca="1">IF(INDIRECT("'"&amp;A4767&amp;"'!$B$7")=Lists!$AH$2,TRUE,FALSE)</f>
        <v>0</v>
      </c>
      <c r="E4767" t="s">
        <v>925</v>
      </c>
      <c r="F4767" t="str">
        <f>INDEX(Lists!I:I,MATCH(Validation!E4767,Lists!G:G,0))</f>
        <v>Information</v>
      </c>
      <c r="G4767" t="str">
        <f>INDEX(Lists!H:H,MATCH(Validation!E4767,Lists!G:G,0))</f>
        <v>Skip this line for this loan type. Select a district on prior line instead.</v>
      </c>
      <c r="H4767" s="16" t="str">
        <f t="shared" ca="1" si="495"/>
        <v/>
      </c>
      <c r="I4767" s="16" t="str">
        <f t="shared" ca="1" si="496"/>
        <v/>
      </c>
      <c r="J4767" s="17" t="str">
        <f t="shared" ca="1" si="497"/>
        <v/>
      </c>
    </row>
    <row r="4768" spans="1:10" x14ac:dyDescent="0.25">
      <c r="A4768" t="s">
        <v>941</v>
      </c>
      <c r="B4768" t="str">
        <f>ADDRESS(ROW('Loan 1'!$B$9),COLUMN('Loan 1'!$B$9),4)</f>
        <v>B9</v>
      </c>
      <c r="C4768" t="str">
        <f>ADDRESS(ROW('Loan 1'!$D$9),COLUMN('Loan 1'!$D$9),4)</f>
        <v>D9</v>
      </c>
      <c r="D4768" t="b" cm="1">
        <f t="array" aca="1" ref="D4768" ca="1">IF(INDIRECT("'"&amp;A4768&amp;"'!$B$7")=Lists!$AH$2,TRUE,FALSE)</f>
        <v>0</v>
      </c>
      <c r="E4768" t="s">
        <v>925</v>
      </c>
      <c r="F4768" t="str">
        <f>INDEX(Lists!I:I,MATCH(Validation!E4768,Lists!G:G,0))</f>
        <v>Information</v>
      </c>
      <c r="G4768" t="str">
        <f>INDEX(Lists!H:H,MATCH(Validation!E4768,Lists!G:G,0))</f>
        <v>Skip this line for this loan type. Select a district on prior line instead.</v>
      </c>
      <c r="H4768" s="16" t="str">
        <f t="shared" ca="1" si="495"/>
        <v/>
      </c>
      <c r="I4768" s="16" t="str">
        <f t="shared" ca="1" si="496"/>
        <v/>
      </c>
      <c r="J4768" s="17" t="str">
        <f t="shared" ca="1" si="497"/>
        <v/>
      </c>
    </row>
    <row r="4769" spans="1:10" x14ac:dyDescent="0.25">
      <c r="A4769" t="s">
        <v>942</v>
      </c>
      <c r="B4769" t="str">
        <f>ADDRESS(ROW('Loan 1'!$B$9),COLUMN('Loan 1'!$B$9),4)</f>
        <v>B9</v>
      </c>
      <c r="C4769" t="str">
        <f>ADDRESS(ROW('Loan 1'!$D$9),COLUMN('Loan 1'!$D$9),4)</f>
        <v>D9</v>
      </c>
      <c r="D4769" t="b" cm="1">
        <f t="array" aca="1" ref="D4769" ca="1">IF(INDIRECT("'"&amp;A4769&amp;"'!$B$7")=Lists!$AH$2,TRUE,FALSE)</f>
        <v>0</v>
      </c>
      <c r="E4769" t="s">
        <v>925</v>
      </c>
      <c r="F4769" t="str">
        <f>INDEX(Lists!I:I,MATCH(Validation!E4769,Lists!G:G,0))</f>
        <v>Information</v>
      </c>
      <c r="G4769" t="str">
        <f>INDEX(Lists!H:H,MATCH(Validation!E4769,Lists!G:G,0))</f>
        <v>Skip this line for this loan type. Select a district on prior line instead.</v>
      </c>
      <c r="H4769" s="16" t="str">
        <f t="shared" ca="1" si="495"/>
        <v/>
      </c>
      <c r="I4769" s="16" t="str">
        <f t="shared" ca="1" si="496"/>
        <v/>
      </c>
      <c r="J4769" s="17" t="str">
        <f t="shared" ca="1" si="497"/>
        <v/>
      </c>
    </row>
    <row r="4770" spans="1:10" x14ac:dyDescent="0.25">
      <c r="A4770" t="s">
        <v>943</v>
      </c>
      <c r="B4770" t="str">
        <f>ADDRESS(ROW('Loan 1'!$B$9),COLUMN('Loan 1'!$B$9),4)</f>
        <v>B9</v>
      </c>
      <c r="C4770" t="str">
        <f>ADDRESS(ROW('Loan 1'!$D$9),COLUMN('Loan 1'!$D$9),4)</f>
        <v>D9</v>
      </c>
      <c r="D4770" t="b" cm="1">
        <f t="array" aca="1" ref="D4770" ca="1">IF(INDIRECT("'"&amp;A4770&amp;"'!$B$7")=Lists!$AH$2,TRUE,FALSE)</f>
        <v>0</v>
      </c>
      <c r="E4770" t="s">
        <v>925</v>
      </c>
      <c r="F4770" t="str">
        <f>INDEX(Lists!I:I,MATCH(Validation!E4770,Lists!G:G,0))</f>
        <v>Information</v>
      </c>
      <c r="G4770" t="str">
        <f>INDEX(Lists!H:H,MATCH(Validation!E4770,Lists!G:G,0))</f>
        <v>Skip this line for this loan type. Select a district on prior line instead.</v>
      </c>
      <c r="H4770" s="16" t="str">
        <f t="shared" ca="1" si="495"/>
        <v/>
      </c>
      <c r="I4770" s="16" t="str">
        <f t="shared" ca="1" si="496"/>
        <v/>
      </c>
      <c r="J4770" s="17" t="str">
        <f t="shared" ca="1" si="497"/>
        <v/>
      </c>
    </row>
    <row r="4771" spans="1:10" x14ac:dyDescent="0.25">
      <c r="A4771" t="s">
        <v>944</v>
      </c>
      <c r="B4771" t="str">
        <f>ADDRESS(ROW('Loan 1'!$B$9),COLUMN('Loan 1'!$B$9),4)</f>
        <v>B9</v>
      </c>
      <c r="C4771" t="str">
        <f>ADDRESS(ROW('Loan 1'!$D$9),COLUMN('Loan 1'!$D$9),4)</f>
        <v>D9</v>
      </c>
      <c r="D4771" t="b" cm="1">
        <f t="array" aca="1" ref="D4771" ca="1">IF(INDIRECT("'"&amp;A4771&amp;"'!$B$7")=Lists!$AH$2,TRUE,FALSE)</f>
        <v>0</v>
      </c>
      <c r="E4771" t="s">
        <v>925</v>
      </c>
      <c r="F4771" t="str">
        <f>INDEX(Lists!I:I,MATCH(Validation!E4771,Lists!G:G,0))</f>
        <v>Information</v>
      </c>
      <c r="G4771" t="str">
        <f>INDEX(Lists!H:H,MATCH(Validation!E4771,Lists!G:G,0))</f>
        <v>Skip this line for this loan type. Select a district on prior line instead.</v>
      </c>
      <c r="H4771" s="16" t="str">
        <f t="shared" ca="1" si="495"/>
        <v/>
      </c>
      <c r="I4771" s="16" t="str">
        <f t="shared" ca="1" si="496"/>
        <v/>
      </c>
      <c r="J4771" s="17" t="str">
        <f t="shared" ca="1" si="497"/>
        <v/>
      </c>
    </row>
    <row r="4772" spans="1:10" x14ac:dyDescent="0.25">
      <c r="A4772" t="s">
        <v>945</v>
      </c>
      <c r="B4772" t="str">
        <f>ADDRESS(ROW('Loan 1'!$B$9),COLUMN('Loan 1'!$B$9),4)</f>
        <v>B9</v>
      </c>
      <c r="C4772" t="str">
        <f>ADDRESS(ROW('Loan 1'!$D$9),COLUMN('Loan 1'!$D$9),4)</f>
        <v>D9</v>
      </c>
      <c r="D4772" t="b" cm="1">
        <f t="array" aca="1" ref="D4772" ca="1">IF(INDIRECT("'"&amp;A4772&amp;"'!$B$7")=Lists!$AH$2,TRUE,FALSE)</f>
        <v>0</v>
      </c>
      <c r="E4772" t="s">
        <v>925</v>
      </c>
      <c r="F4772" t="str">
        <f>INDEX(Lists!I:I,MATCH(Validation!E4772,Lists!G:G,0))</f>
        <v>Information</v>
      </c>
      <c r="G4772" t="str">
        <f>INDEX(Lists!H:H,MATCH(Validation!E4772,Lists!G:G,0))</f>
        <v>Skip this line for this loan type. Select a district on prior line instead.</v>
      </c>
      <c r="H4772" s="16" t="str">
        <f t="shared" ca="1" si="495"/>
        <v/>
      </c>
      <c r="I4772" s="16" t="str">
        <f t="shared" ca="1" si="496"/>
        <v/>
      </c>
      <c r="J4772" s="17" t="str">
        <f t="shared" ca="1" si="497"/>
        <v/>
      </c>
    </row>
    <row r="4773" spans="1:10" x14ac:dyDescent="0.25">
      <c r="A4773" t="s">
        <v>205</v>
      </c>
      <c r="B4773" t="str">
        <f>ADDRESS(ROW('Loan 1'!$B$9),COLUMN('Loan 1'!$B$9),4)</f>
        <v>B9</v>
      </c>
      <c r="C4773" t="str">
        <f>ADDRESS(ROW('Loan 1'!$D$9),COLUMN('Loan 1'!$D$9),4)</f>
        <v>D9</v>
      </c>
      <c r="D4773" t="b" cm="1">
        <f t="array" aca="1" ref="D4773" ca="1">IF(INDIRECT("'"&amp;A4773&amp;"'!"&amp;B4773)="",FALSE,IF(LEN(INDIRECT("'"&amp;A4773&amp;"'!"&amp;B4773))=LEN(TRIM(CLEAN(INDIRECT("'"&amp;A4773&amp;"'!"&amp;B4773)))),FALSE,TRUE))</f>
        <v>0</v>
      </c>
      <c r="E4773" t="s">
        <v>588</v>
      </c>
      <c r="F4773" t="str">
        <f>INDEX(Lists!I:I,MATCH(Validation!E4773,Lists!G:G,0))</f>
        <v>Error</v>
      </c>
      <c r="G4773" t="str">
        <f>INDEX(Lists!H:H,MATCH(Validation!E4773,Lists!G:G,0))</f>
        <v>Do not use leading, trailing, or double spaces. Delete and re-enter.</v>
      </c>
      <c r="H4773" s="16" t="str">
        <f t="shared" ref="H4773:H4953" ca="1" si="498">IFERROR(IF(OR(NOT(D4773),F4773&lt;&gt;"Error"),"",A4773&amp;CELL("address",INDIRECT(B4773))),"")</f>
        <v/>
      </c>
      <c r="I4773" s="16" t="str">
        <f t="shared" ref="I4773:I4953" ca="1" si="499">IFERROR(IF(NOT(D4773),"",A4773&amp;CELL("address",INDIRECT(C4773))),"")</f>
        <v/>
      </c>
      <c r="J4773" s="17" t="str">
        <f t="shared" ref="J4773:J4953" ca="1" si="500">IFERROR(IF(NOT(D4773),"",A4773),"")</f>
        <v/>
      </c>
    </row>
    <row r="4774" spans="1:10" x14ac:dyDescent="0.25">
      <c r="A4774" t="s">
        <v>932</v>
      </c>
      <c r="B4774" t="str">
        <f>ADDRESS(ROW('Loan 1'!$B$9),COLUMN('Loan 1'!$B$9),4)</f>
        <v>B9</v>
      </c>
      <c r="C4774" t="str">
        <f>ADDRESS(ROW('Loan 1'!$D$9),COLUMN('Loan 1'!$D$9),4)</f>
        <v>D9</v>
      </c>
      <c r="D4774" t="b" cm="1">
        <f t="array" aca="1" ref="D4774" ca="1">IF(INDIRECT("'"&amp;A4774&amp;"'!"&amp;B4774)="",FALSE,IF(LEN(INDIRECT("'"&amp;A4774&amp;"'!"&amp;B4774))=LEN(TRIM(CLEAN(INDIRECT("'"&amp;A4774&amp;"'!"&amp;B4774)))),FALSE,TRUE))</f>
        <v>0</v>
      </c>
      <c r="E4774" t="s">
        <v>588</v>
      </c>
      <c r="F4774" t="str">
        <f>INDEX(Lists!I:I,MATCH(Validation!E4774,Lists!G:G,0))</f>
        <v>Error</v>
      </c>
      <c r="G4774" t="str">
        <f>INDEX(Lists!H:H,MATCH(Validation!E4774,Lists!G:G,0))</f>
        <v>Do not use leading, trailing, or double spaces. Delete and re-enter.</v>
      </c>
      <c r="H4774" s="16" t="str">
        <f t="shared" ca="1" si="498"/>
        <v/>
      </c>
      <c r="I4774" s="16" t="str">
        <f t="shared" ca="1" si="499"/>
        <v/>
      </c>
      <c r="J4774" s="17" t="str">
        <f t="shared" ca="1" si="500"/>
        <v/>
      </c>
    </row>
    <row r="4775" spans="1:10" x14ac:dyDescent="0.25">
      <c r="A4775" t="s">
        <v>933</v>
      </c>
      <c r="B4775" t="str">
        <f>ADDRESS(ROW('Loan 1'!$B$9),COLUMN('Loan 1'!$B$9),4)</f>
        <v>B9</v>
      </c>
      <c r="C4775" t="str">
        <f>ADDRESS(ROW('Loan 1'!$D$9),COLUMN('Loan 1'!$D$9),4)</f>
        <v>D9</v>
      </c>
      <c r="D4775" t="b" cm="1">
        <f t="array" aca="1" ref="D4775" ca="1">IF(INDIRECT("'"&amp;A4775&amp;"'!"&amp;B4775)="",FALSE,IF(LEN(INDIRECT("'"&amp;A4775&amp;"'!"&amp;B4775))=LEN(TRIM(CLEAN(INDIRECT("'"&amp;A4775&amp;"'!"&amp;B4775)))),FALSE,TRUE))</f>
        <v>0</v>
      </c>
      <c r="E4775" t="s">
        <v>588</v>
      </c>
      <c r="F4775" t="str">
        <f>INDEX(Lists!I:I,MATCH(Validation!E4775,Lists!G:G,0))</f>
        <v>Error</v>
      </c>
      <c r="G4775" t="str">
        <f>INDEX(Lists!H:H,MATCH(Validation!E4775,Lists!G:G,0))</f>
        <v>Do not use leading, trailing, or double spaces. Delete and re-enter.</v>
      </c>
      <c r="H4775" s="16" t="str">
        <f t="shared" ca="1" si="498"/>
        <v/>
      </c>
      <c r="I4775" s="16" t="str">
        <f t="shared" ca="1" si="499"/>
        <v/>
      </c>
      <c r="J4775" s="17" t="str">
        <f t="shared" ca="1" si="500"/>
        <v/>
      </c>
    </row>
    <row r="4776" spans="1:10" x14ac:dyDescent="0.25">
      <c r="A4776" t="s">
        <v>934</v>
      </c>
      <c r="B4776" t="str">
        <f>ADDRESS(ROW('Loan 1'!$B$9),COLUMN('Loan 1'!$B$9),4)</f>
        <v>B9</v>
      </c>
      <c r="C4776" t="str">
        <f>ADDRESS(ROW('Loan 1'!$D$9),COLUMN('Loan 1'!$D$9),4)</f>
        <v>D9</v>
      </c>
      <c r="D4776" t="b" cm="1">
        <f t="array" aca="1" ref="D4776" ca="1">IF(INDIRECT("'"&amp;A4776&amp;"'!"&amp;B4776)="",FALSE,IF(LEN(INDIRECT("'"&amp;A4776&amp;"'!"&amp;B4776))=LEN(TRIM(CLEAN(INDIRECT("'"&amp;A4776&amp;"'!"&amp;B4776)))),FALSE,TRUE))</f>
        <v>0</v>
      </c>
      <c r="E4776" t="s">
        <v>588</v>
      </c>
      <c r="F4776" t="str">
        <f>INDEX(Lists!I:I,MATCH(Validation!E4776,Lists!G:G,0))</f>
        <v>Error</v>
      </c>
      <c r="G4776" t="str">
        <f>INDEX(Lists!H:H,MATCH(Validation!E4776,Lists!G:G,0))</f>
        <v>Do not use leading, trailing, or double spaces. Delete and re-enter.</v>
      </c>
      <c r="H4776" s="16" t="str">
        <f t="shared" ca="1" si="498"/>
        <v/>
      </c>
      <c r="I4776" s="16" t="str">
        <f t="shared" ca="1" si="499"/>
        <v/>
      </c>
      <c r="J4776" s="17" t="str">
        <f t="shared" ca="1" si="500"/>
        <v/>
      </c>
    </row>
    <row r="4777" spans="1:10" x14ac:dyDescent="0.25">
      <c r="A4777" t="s">
        <v>935</v>
      </c>
      <c r="B4777" t="str">
        <f>ADDRESS(ROW('Loan 1'!$B$9),COLUMN('Loan 1'!$B$9),4)</f>
        <v>B9</v>
      </c>
      <c r="C4777" t="str">
        <f>ADDRESS(ROW('Loan 1'!$D$9),COLUMN('Loan 1'!$D$9),4)</f>
        <v>D9</v>
      </c>
      <c r="D4777" t="b" cm="1">
        <f t="array" aca="1" ref="D4777" ca="1">IF(INDIRECT("'"&amp;A4777&amp;"'!"&amp;B4777)="",FALSE,IF(LEN(INDIRECT("'"&amp;A4777&amp;"'!"&amp;B4777))=LEN(TRIM(CLEAN(INDIRECT("'"&amp;A4777&amp;"'!"&amp;B4777)))),FALSE,TRUE))</f>
        <v>0</v>
      </c>
      <c r="E4777" t="s">
        <v>588</v>
      </c>
      <c r="F4777" t="str">
        <f>INDEX(Lists!I:I,MATCH(Validation!E4777,Lists!G:G,0))</f>
        <v>Error</v>
      </c>
      <c r="G4777" t="str">
        <f>INDEX(Lists!H:H,MATCH(Validation!E4777,Lists!G:G,0))</f>
        <v>Do not use leading, trailing, or double spaces. Delete and re-enter.</v>
      </c>
      <c r="H4777" s="16" t="str">
        <f t="shared" ca="1" si="498"/>
        <v/>
      </c>
      <c r="I4777" s="16" t="str">
        <f t="shared" ca="1" si="499"/>
        <v/>
      </c>
      <c r="J4777" s="17" t="str">
        <f t="shared" ca="1" si="500"/>
        <v/>
      </c>
    </row>
    <row r="4778" spans="1:10" x14ac:dyDescent="0.25">
      <c r="A4778" t="s">
        <v>936</v>
      </c>
      <c r="B4778" t="str">
        <f>ADDRESS(ROW('Loan 1'!$B$9),COLUMN('Loan 1'!$B$9),4)</f>
        <v>B9</v>
      </c>
      <c r="C4778" t="str">
        <f>ADDRESS(ROW('Loan 1'!$D$9),COLUMN('Loan 1'!$D$9),4)</f>
        <v>D9</v>
      </c>
      <c r="D4778" t="b" cm="1">
        <f t="array" aca="1" ref="D4778" ca="1">IF(INDIRECT("'"&amp;A4778&amp;"'!"&amp;B4778)="",FALSE,IF(LEN(INDIRECT("'"&amp;A4778&amp;"'!"&amp;B4778))=LEN(TRIM(CLEAN(INDIRECT("'"&amp;A4778&amp;"'!"&amp;B4778)))),FALSE,TRUE))</f>
        <v>0</v>
      </c>
      <c r="E4778" t="s">
        <v>588</v>
      </c>
      <c r="F4778" t="str">
        <f>INDEX(Lists!I:I,MATCH(Validation!E4778,Lists!G:G,0))</f>
        <v>Error</v>
      </c>
      <c r="G4778" t="str">
        <f>INDEX(Lists!H:H,MATCH(Validation!E4778,Lists!G:G,0))</f>
        <v>Do not use leading, trailing, or double spaces. Delete and re-enter.</v>
      </c>
      <c r="H4778" s="16" t="str">
        <f t="shared" ca="1" si="498"/>
        <v/>
      </c>
      <c r="I4778" s="16" t="str">
        <f t="shared" ca="1" si="499"/>
        <v/>
      </c>
      <c r="J4778" s="17" t="str">
        <f t="shared" ca="1" si="500"/>
        <v/>
      </c>
    </row>
    <row r="4779" spans="1:10" x14ac:dyDescent="0.25">
      <c r="A4779" t="s">
        <v>937</v>
      </c>
      <c r="B4779" t="str">
        <f>ADDRESS(ROW('Loan 1'!$B$9),COLUMN('Loan 1'!$B$9),4)</f>
        <v>B9</v>
      </c>
      <c r="C4779" t="str">
        <f>ADDRESS(ROW('Loan 1'!$D$9),COLUMN('Loan 1'!$D$9),4)</f>
        <v>D9</v>
      </c>
      <c r="D4779" t="b" cm="1">
        <f t="array" aca="1" ref="D4779" ca="1">IF(INDIRECT("'"&amp;A4779&amp;"'!"&amp;B4779)="",FALSE,IF(LEN(INDIRECT("'"&amp;A4779&amp;"'!"&amp;B4779))=LEN(TRIM(CLEAN(INDIRECT("'"&amp;A4779&amp;"'!"&amp;B4779)))),FALSE,TRUE))</f>
        <v>0</v>
      </c>
      <c r="E4779" t="s">
        <v>588</v>
      </c>
      <c r="F4779" t="str">
        <f>INDEX(Lists!I:I,MATCH(Validation!E4779,Lists!G:G,0))</f>
        <v>Error</v>
      </c>
      <c r="G4779" t="str">
        <f>INDEX(Lists!H:H,MATCH(Validation!E4779,Lists!G:G,0))</f>
        <v>Do not use leading, trailing, or double spaces. Delete and re-enter.</v>
      </c>
      <c r="H4779" s="16" t="str">
        <f t="shared" ca="1" si="498"/>
        <v/>
      </c>
      <c r="I4779" s="16" t="str">
        <f t="shared" ca="1" si="499"/>
        <v/>
      </c>
      <c r="J4779" s="17" t="str">
        <f t="shared" ca="1" si="500"/>
        <v/>
      </c>
    </row>
    <row r="4780" spans="1:10" x14ac:dyDescent="0.25">
      <c r="A4780" t="s">
        <v>938</v>
      </c>
      <c r="B4780" t="str">
        <f>ADDRESS(ROW('Loan 1'!$B$9),COLUMN('Loan 1'!$B$9),4)</f>
        <v>B9</v>
      </c>
      <c r="C4780" t="str">
        <f>ADDRESS(ROW('Loan 1'!$D$9),COLUMN('Loan 1'!$D$9),4)</f>
        <v>D9</v>
      </c>
      <c r="D4780" t="b" cm="1">
        <f t="array" aca="1" ref="D4780" ca="1">IF(INDIRECT("'"&amp;A4780&amp;"'!"&amp;B4780)="",FALSE,IF(LEN(INDIRECT("'"&amp;A4780&amp;"'!"&amp;B4780))=LEN(TRIM(CLEAN(INDIRECT("'"&amp;A4780&amp;"'!"&amp;B4780)))),FALSE,TRUE))</f>
        <v>0</v>
      </c>
      <c r="E4780" t="s">
        <v>588</v>
      </c>
      <c r="F4780" t="str">
        <f>INDEX(Lists!I:I,MATCH(Validation!E4780,Lists!G:G,0))</f>
        <v>Error</v>
      </c>
      <c r="G4780" t="str">
        <f>INDEX(Lists!H:H,MATCH(Validation!E4780,Lists!G:G,0))</f>
        <v>Do not use leading, trailing, or double spaces. Delete and re-enter.</v>
      </c>
      <c r="H4780" s="16" t="str">
        <f t="shared" ca="1" si="498"/>
        <v/>
      </c>
      <c r="I4780" s="16" t="str">
        <f t="shared" ca="1" si="499"/>
        <v/>
      </c>
      <c r="J4780" s="17" t="str">
        <f t="shared" ca="1" si="500"/>
        <v/>
      </c>
    </row>
    <row r="4781" spans="1:10" x14ac:dyDescent="0.25">
      <c r="A4781" t="s">
        <v>939</v>
      </c>
      <c r="B4781" t="str">
        <f>ADDRESS(ROW('Loan 1'!$B$9),COLUMN('Loan 1'!$B$9),4)</f>
        <v>B9</v>
      </c>
      <c r="C4781" t="str">
        <f>ADDRESS(ROW('Loan 1'!$D$9),COLUMN('Loan 1'!$D$9),4)</f>
        <v>D9</v>
      </c>
      <c r="D4781" t="b" cm="1">
        <f t="array" aca="1" ref="D4781" ca="1">IF(INDIRECT("'"&amp;A4781&amp;"'!"&amp;B4781)="",FALSE,IF(LEN(INDIRECT("'"&amp;A4781&amp;"'!"&amp;B4781))=LEN(TRIM(CLEAN(INDIRECT("'"&amp;A4781&amp;"'!"&amp;B4781)))),FALSE,TRUE))</f>
        <v>0</v>
      </c>
      <c r="E4781" t="s">
        <v>588</v>
      </c>
      <c r="F4781" t="str">
        <f>INDEX(Lists!I:I,MATCH(Validation!E4781,Lists!G:G,0))</f>
        <v>Error</v>
      </c>
      <c r="G4781" t="str">
        <f>INDEX(Lists!H:H,MATCH(Validation!E4781,Lists!G:G,0))</f>
        <v>Do not use leading, trailing, or double spaces. Delete and re-enter.</v>
      </c>
      <c r="H4781" s="16" t="str">
        <f t="shared" ca="1" si="498"/>
        <v/>
      </c>
      <c r="I4781" s="16" t="str">
        <f t="shared" ca="1" si="499"/>
        <v/>
      </c>
      <c r="J4781" s="17" t="str">
        <f t="shared" ca="1" si="500"/>
        <v/>
      </c>
    </row>
    <row r="4782" spans="1:10" x14ac:dyDescent="0.25">
      <c r="A4782" t="s">
        <v>940</v>
      </c>
      <c r="B4782" t="str">
        <f>ADDRESS(ROW('Loan 1'!$B$9),COLUMN('Loan 1'!$B$9),4)</f>
        <v>B9</v>
      </c>
      <c r="C4782" t="str">
        <f>ADDRESS(ROW('Loan 1'!$D$9),COLUMN('Loan 1'!$D$9),4)</f>
        <v>D9</v>
      </c>
      <c r="D4782" t="b" cm="1">
        <f t="array" aca="1" ref="D4782" ca="1">IF(INDIRECT("'"&amp;A4782&amp;"'!"&amp;B4782)="",FALSE,IF(LEN(INDIRECT("'"&amp;A4782&amp;"'!"&amp;B4782))=LEN(TRIM(CLEAN(INDIRECT("'"&amp;A4782&amp;"'!"&amp;B4782)))),FALSE,TRUE))</f>
        <v>0</v>
      </c>
      <c r="E4782" t="s">
        <v>588</v>
      </c>
      <c r="F4782" t="str">
        <f>INDEX(Lists!I:I,MATCH(Validation!E4782,Lists!G:G,0))</f>
        <v>Error</v>
      </c>
      <c r="G4782" t="str">
        <f>INDEX(Lists!H:H,MATCH(Validation!E4782,Lists!G:G,0))</f>
        <v>Do not use leading, trailing, or double spaces. Delete and re-enter.</v>
      </c>
      <c r="H4782" s="16" t="str">
        <f t="shared" ca="1" si="498"/>
        <v/>
      </c>
      <c r="I4782" s="16" t="str">
        <f t="shared" ca="1" si="499"/>
        <v/>
      </c>
      <c r="J4782" s="17" t="str">
        <f t="shared" ca="1" si="500"/>
        <v/>
      </c>
    </row>
    <row r="4783" spans="1:10" x14ac:dyDescent="0.25">
      <c r="A4783" t="s">
        <v>941</v>
      </c>
      <c r="B4783" t="str">
        <f>ADDRESS(ROW('Loan 1'!$B$9),COLUMN('Loan 1'!$B$9),4)</f>
        <v>B9</v>
      </c>
      <c r="C4783" t="str">
        <f>ADDRESS(ROW('Loan 1'!$D$9),COLUMN('Loan 1'!$D$9),4)</f>
        <v>D9</v>
      </c>
      <c r="D4783" t="b" cm="1">
        <f t="array" aca="1" ref="D4783" ca="1">IF(INDIRECT("'"&amp;A4783&amp;"'!"&amp;B4783)="",FALSE,IF(LEN(INDIRECT("'"&amp;A4783&amp;"'!"&amp;B4783))=LEN(TRIM(CLEAN(INDIRECT("'"&amp;A4783&amp;"'!"&amp;B4783)))),FALSE,TRUE))</f>
        <v>0</v>
      </c>
      <c r="E4783" t="s">
        <v>588</v>
      </c>
      <c r="F4783" t="str">
        <f>INDEX(Lists!I:I,MATCH(Validation!E4783,Lists!G:G,0))</f>
        <v>Error</v>
      </c>
      <c r="G4783" t="str">
        <f>INDEX(Lists!H:H,MATCH(Validation!E4783,Lists!G:G,0))</f>
        <v>Do not use leading, trailing, or double spaces. Delete and re-enter.</v>
      </c>
      <c r="H4783" s="16" t="str">
        <f t="shared" ca="1" si="498"/>
        <v/>
      </c>
      <c r="I4783" s="16" t="str">
        <f t="shared" ca="1" si="499"/>
        <v/>
      </c>
      <c r="J4783" s="17" t="str">
        <f t="shared" ca="1" si="500"/>
        <v/>
      </c>
    </row>
    <row r="4784" spans="1:10" x14ac:dyDescent="0.25">
      <c r="A4784" t="s">
        <v>942</v>
      </c>
      <c r="B4784" t="str">
        <f>ADDRESS(ROW('Loan 1'!$B$9),COLUMN('Loan 1'!$B$9),4)</f>
        <v>B9</v>
      </c>
      <c r="C4784" t="str">
        <f>ADDRESS(ROW('Loan 1'!$D$9),COLUMN('Loan 1'!$D$9),4)</f>
        <v>D9</v>
      </c>
      <c r="D4784" t="b" cm="1">
        <f t="array" aca="1" ref="D4784" ca="1">IF(INDIRECT("'"&amp;A4784&amp;"'!"&amp;B4784)="",FALSE,IF(LEN(INDIRECT("'"&amp;A4784&amp;"'!"&amp;B4784))=LEN(TRIM(CLEAN(INDIRECT("'"&amp;A4784&amp;"'!"&amp;B4784)))),FALSE,TRUE))</f>
        <v>0</v>
      </c>
      <c r="E4784" t="s">
        <v>588</v>
      </c>
      <c r="F4784" t="str">
        <f>INDEX(Lists!I:I,MATCH(Validation!E4784,Lists!G:G,0))</f>
        <v>Error</v>
      </c>
      <c r="G4784" t="str">
        <f>INDEX(Lists!H:H,MATCH(Validation!E4784,Lists!G:G,0))</f>
        <v>Do not use leading, trailing, or double spaces. Delete and re-enter.</v>
      </c>
      <c r="H4784" s="16" t="str">
        <f t="shared" ca="1" si="498"/>
        <v/>
      </c>
      <c r="I4784" s="16" t="str">
        <f t="shared" ca="1" si="499"/>
        <v/>
      </c>
      <c r="J4784" s="17" t="str">
        <f t="shared" ca="1" si="500"/>
        <v/>
      </c>
    </row>
    <row r="4785" spans="1:10" x14ac:dyDescent="0.25">
      <c r="A4785" t="s">
        <v>943</v>
      </c>
      <c r="B4785" t="str">
        <f>ADDRESS(ROW('Loan 1'!$B$9),COLUMN('Loan 1'!$B$9),4)</f>
        <v>B9</v>
      </c>
      <c r="C4785" t="str">
        <f>ADDRESS(ROW('Loan 1'!$D$9),COLUMN('Loan 1'!$D$9),4)</f>
        <v>D9</v>
      </c>
      <c r="D4785" t="b" cm="1">
        <f t="array" aca="1" ref="D4785" ca="1">IF(INDIRECT("'"&amp;A4785&amp;"'!"&amp;B4785)="",FALSE,IF(LEN(INDIRECT("'"&amp;A4785&amp;"'!"&amp;B4785))=LEN(TRIM(CLEAN(INDIRECT("'"&amp;A4785&amp;"'!"&amp;B4785)))),FALSE,TRUE))</f>
        <v>0</v>
      </c>
      <c r="E4785" t="s">
        <v>588</v>
      </c>
      <c r="F4785" t="str">
        <f>INDEX(Lists!I:I,MATCH(Validation!E4785,Lists!G:G,0))</f>
        <v>Error</v>
      </c>
      <c r="G4785" t="str">
        <f>INDEX(Lists!H:H,MATCH(Validation!E4785,Lists!G:G,0))</f>
        <v>Do not use leading, trailing, or double spaces. Delete and re-enter.</v>
      </c>
      <c r="H4785" s="16" t="str">
        <f t="shared" ca="1" si="498"/>
        <v/>
      </c>
      <c r="I4785" s="16" t="str">
        <f t="shared" ca="1" si="499"/>
        <v/>
      </c>
      <c r="J4785" s="17" t="str">
        <f t="shared" ca="1" si="500"/>
        <v/>
      </c>
    </row>
    <row r="4786" spans="1:10" x14ac:dyDescent="0.25">
      <c r="A4786" t="s">
        <v>944</v>
      </c>
      <c r="B4786" t="str">
        <f>ADDRESS(ROW('Loan 1'!$B$9),COLUMN('Loan 1'!$B$9),4)</f>
        <v>B9</v>
      </c>
      <c r="C4786" t="str">
        <f>ADDRESS(ROW('Loan 1'!$D$9),COLUMN('Loan 1'!$D$9),4)</f>
        <v>D9</v>
      </c>
      <c r="D4786" t="b" cm="1">
        <f t="array" aca="1" ref="D4786" ca="1">IF(INDIRECT("'"&amp;A4786&amp;"'!"&amp;B4786)="",FALSE,IF(LEN(INDIRECT("'"&amp;A4786&amp;"'!"&amp;B4786))=LEN(TRIM(CLEAN(INDIRECT("'"&amp;A4786&amp;"'!"&amp;B4786)))),FALSE,TRUE))</f>
        <v>0</v>
      </c>
      <c r="E4786" t="s">
        <v>588</v>
      </c>
      <c r="F4786" t="str">
        <f>INDEX(Lists!I:I,MATCH(Validation!E4786,Lists!G:G,0))</f>
        <v>Error</v>
      </c>
      <c r="G4786" t="str">
        <f>INDEX(Lists!H:H,MATCH(Validation!E4786,Lists!G:G,0))</f>
        <v>Do not use leading, trailing, or double spaces. Delete and re-enter.</v>
      </c>
      <c r="H4786" s="16" t="str">
        <f t="shared" ca="1" si="498"/>
        <v/>
      </c>
      <c r="I4786" s="16" t="str">
        <f t="shared" ca="1" si="499"/>
        <v/>
      </c>
      <c r="J4786" s="17" t="str">
        <f t="shared" ca="1" si="500"/>
        <v/>
      </c>
    </row>
    <row r="4787" spans="1:10" x14ac:dyDescent="0.25">
      <c r="A4787" t="s">
        <v>945</v>
      </c>
      <c r="B4787" t="str">
        <f>ADDRESS(ROW('Loan 1'!$B$9),COLUMN('Loan 1'!$B$9),4)</f>
        <v>B9</v>
      </c>
      <c r="C4787" t="str">
        <f>ADDRESS(ROW('Loan 1'!$D$9),COLUMN('Loan 1'!$D$9),4)</f>
        <v>D9</v>
      </c>
      <c r="D4787" t="b" cm="1">
        <f t="array" aca="1" ref="D4787" ca="1">IF(INDIRECT("'"&amp;A4787&amp;"'!"&amp;B4787)="",FALSE,IF(LEN(INDIRECT("'"&amp;A4787&amp;"'!"&amp;B4787))=LEN(TRIM(CLEAN(INDIRECT("'"&amp;A4787&amp;"'!"&amp;B4787)))),FALSE,TRUE))</f>
        <v>0</v>
      </c>
      <c r="E4787" t="s">
        <v>588</v>
      </c>
      <c r="F4787" t="str">
        <f>INDEX(Lists!I:I,MATCH(Validation!E4787,Lists!G:G,0))</f>
        <v>Error</v>
      </c>
      <c r="G4787" t="str">
        <f>INDEX(Lists!H:H,MATCH(Validation!E4787,Lists!G:G,0))</f>
        <v>Do not use leading, trailing, or double spaces. Delete and re-enter.</v>
      </c>
      <c r="H4787" s="16" t="str">
        <f t="shared" ca="1" si="498"/>
        <v/>
      </c>
      <c r="I4787" s="16" t="str">
        <f t="shared" ca="1" si="499"/>
        <v/>
      </c>
      <c r="J4787" s="17" t="str">
        <f t="shared" ca="1" si="500"/>
        <v/>
      </c>
    </row>
    <row r="4788" spans="1:10" x14ac:dyDescent="0.25">
      <c r="A4788" t="s">
        <v>205</v>
      </c>
      <c r="B4788" t="str">
        <f>ADDRESS(ROW('Loan 1'!$B$9),COLUMN('Loan 1'!$B$9),4)</f>
        <v>B9</v>
      </c>
      <c r="C4788" t="str">
        <f>ADDRESS(ROW('Loan 1'!$D$9),COLUMN('Loan 1'!$D$9),4)</f>
        <v>D9</v>
      </c>
      <c r="D4788" t="b" cm="1">
        <f t="array" aca="1" ref="D4788" ca="1">IF(LEN(INDIRECT("'"&amp;A4788&amp;"'!"&amp;B4788))&gt;50,TRUE,FALSE)</f>
        <v>0</v>
      </c>
      <c r="E4788" t="s">
        <v>926</v>
      </c>
      <c r="F4788" t="str">
        <f>INDEX(Lists!I:I,MATCH(Validation!E4788,Lists!G:G,0))</f>
        <v>Error</v>
      </c>
      <c r="G4788" t="str">
        <f>INDEX(Lists!H:H,MATCH(Validation!E4788,Lists!G:G,0))</f>
        <v>Entry cannot exceed 50 characters. Please re-enter.</v>
      </c>
      <c r="H4788" s="16" t="str">
        <f t="shared" ca="1" si="498"/>
        <v/>
      </c>
      <c r="I4788" s="16" t="str">
        <f t="shared" ca="1" si="499"/>
        <v/>
      </c>
      <c r="J4788" s="17" t="str">
        <f t="shared" ca="1" si="500"/>
        <v/>
      </c>
    </row>
    <row r="4789" spans="1:10" x14ac:dyDescent="0.25">
      <c r="A4789" t="s">
        <v>932</v>
      </c>
      <c r="B4789" t="str">
        <f>ADDRESS(ROW('Loan 1'!$B$9),COLUMN('Loan 1'!$B$9),4)</f>
        <v>B9</v>
      </c>
      <c r="C4789" t="str">
        <f>ADDRESS(ROW('Loan 1'!$D$9),COLUMN('Loan 1'!$D$9),4)</f>
        <v>D9</v>
      </c>
      <c r="D4789" t="b" cm="1">
        <f t="array" aca="1" ref="D4789" ca="1">IF(LEN(INDIRECT("'"&amp;A4789&amp;"'!"&amp;B4789))&gt;50,TRUE,FALSE)</f>
        <v>0</v>
      </c>
      <c r="E4789" t="s">
        <v>926</v>
      </c>
      <c r="F4789" t="str">
        <f>INDEX(Lists!I:I,MATCH(Validation!E4789,Lists!G:G,0))</f>
        <v>Error</v>
      </c>
      <c r="G4789" t="str">
        <f>INDEX(Lists!H:H,MATCH(Validation!E4789,Lists!G:G,0))</f>
        <v>Entry cannot exceed 50 characters. Please re-enter.</v>
      </c>
      <c r="H4789" s="16" t="str">
        <f t="shared" ref="H4789:H4802" ca="1" si="501">IFERROR(IF(OR(NOT(D4789),F4789&lt;&gt;"Error"),"",A4789&amp;CELL("address",INDIRECT(B4789))),"")</f>
        <v/>
      </c>
      <c r="I4789" s="16" t="str">
        <f t="shared" ref="I4789:I4802" ca="1" si="502">IFERROR(IF(NOT(D4789),"",A4789&amp;CELL("address",INDIRECT(C4789))),"")</f>
        <v/>
      </c>
      <c r="J4789" s="17" t="str">
        <f t="shared" ref="J4789:J4802" ca="1" si="503">IFERROR(IF(NOT(D4789),"",A4789),"")</f>
        <v/>
      </c>
    </row>
    <row r="4790" spans="1:10" x14ac:dyDescent="0.25">
      <c r="A4790" t="s">
        <v>933</v>
      </c>
      <c r="B4790" t="str">
        <f>ADDRESS(ROW('Loan 1'!$B$9),COLUMN('Loan 1'!$B$9),4)</f>
        <v>B9</v>
      </c>
      <c r="C4790" t="str">
        <f>ADDRESS(ROW('Loan 1'!$D$9),COLUMN('Loan 1'!$D$9),4)</f>
        <v>D9</v>
      </c>
      <c r="D4790" t="b" cm="1">
        <f t="array" aca="1" ref="D4790" ca="1">IF(LEN(INDIRECT("'"&amp;A4790&amp;"'!"&amp;B4790))&gt;50,TRUE,FALSE)</f>
        <v>0</v>
      </c>
      <c r="E4790" t="s">
        <v>926</v>
      </c>
      <c r="F4790" t="str">
        <f>INDEX(Lists!I:I,MATCH(Validation!E4790,Lists!G:G,0))</f>
        <v>Error</v>
      </c>
      <c r="G4790" t="str">
        <f>INDEX(Lists!H:H,MATCH(Validation!E4790,Lists!G:G,0))</f>
        <v>Entry cannot exceed 50 characters. Please re-enter.</v>
      </c>
      <c r="H4790" s="16" t="str">
        <f t="shared" ca="1" si="501"/>
        <v/>
      </c>
      <c r="I4790" s="16" t="str">
        <f t="shared" ca="1" si="502"/>
        <v/>
      </c>
      <c r="J4790" s="17" t="str">
        <f t="shared" ca="1" si="503"/>
        <v/>
      </c>
    </row>
    <row r="4791" spans="1:10" x14ac:dyDescent="0.25">
      <c r="A4791" t="s">
        <v>934</v>
      </c>
      <c r="B4791" t="str">
        <f>ADDRESS(ROW('Loan 1'!$B$9),COLUMN('Loan 1'!$B$9),4)</f>
        <v>B9</v>
      </c>
      <c r="C4791" t="str">
        <f>ADDRESS(ROW('Loan 1'!$D$9),COLUMN('Loan 1'!$D$9),4)</f>
        <v>D9</v>
      </c>
      <c r="D4791" t="b" cm="1">
        <f t="array" aca="1" ref="D4791" ca="1">IF(LEN(INDIRECT("'"&amp;A4791&amp;"'!"&amp;B4791))&gt;50,TRUE,FALSE)</f>
        <v>0</v>
      </c>
      <c r="E4791" t="s">
        <v>926</v>
      </c>
      <c r="F4791" t="str">
        <f>INDEX(Lists!I:I,MATCH(Validation!E4791,Lists!G:G,0))</f>
        <v>Error</v>
      </c>
      <c r="G4791" t="str">
        <f>INDEX(Lists!H:H,MATCH(Validation!E4791,Lists!G:G,0))</f>
        <v>Entry cannot exceed 50 characters. Please re-enter.</v>
      </c>
      <c r="H4791" s="16" t="str">
        <f t="shared" ca="1" si="501"/>
        <v/>
      </c>
      <c r="I4791" s="16" t="str">
        <f t="shared" ca="1" si="502"/>
        <v/>
      </c>
      <c r="J4791" s="17" t="str">
        <f t="shared" ca="1" si="503"/>
        <v/>
      </c>
    </row>
    <row r="4792" spans="1:10" x14ac:dyDescent="0.25">
      <c r="A4792" t="s">
        <v>935</v>
      </c>
      <c r="B4792" t="str">
        <f>ADDRESS(ROW('Loan 1'!$B$9),COLUMN('Loan 1'!$B$9),4)</f>
        <v>B9</v>
      </c>
      <c r="C4792" t="str">
        <f>ADDRESS(ROW('Loan 1'!$D$9),COLUMN('Loan 1'!$D$9),4)</f>
        <v>D9</v>
      </c>
      <c r="D4792" t="b" cm="1">
        <f t="array" aca="1" ref="D4792" ca="1">IF(LEN(INDIRECT("'"&amp;A4792&amp;"'!"&amp;B4792))&gt;50,TRUE,FALSE)</f>
        <v>0</v>
      </c>
      <c r="E4792" t="s">
        <v>926</v>
      </c>
      <c r="F4792" t="str">
        <f>INDEX(Lists!I:I,MATCH(Validation!E4792,Lists!G:G,0))</f>
        <v>Error</v>
      </c>
      <c r="G4792" t="str">
        <f>INDEX(Lists!H:H,MATCH(Validation!E4792,Lists!G:G,0))</f>
        <v>Entry cannot exceed 50 characters. Please re-enter.</v>
      </c>
      <c r="H4792" s="16" t="str">
        <f t="shared" ca="1" si="501"/>
        <v/>
      </c>
      <c r="I4792" s="16" t="str">
        <f t="shared" ca="1" si="502"/>
        <v/>
      </c>
      <c r="J4792" s="17" t="str">
        <f t="shared" ca="1" si="503"/>
        <v/>
      </c>
    </row>
    <row r="4793" spans="1:10" x14ac:dyDescent="0.25">
      <c r="A4793" t="s">
        <v>936</v>
      </c>
      <c r="B4793" t="str">
        <f>ADDRESS(ROW('Loan 1'!$B$9),COLUMN('Loan 1'!$B$9),4)</f>
        <v>B9</v>
      </c>
      <c r="C4793" t="str">
        <f>ADDRESS(ROW('Loan 1'!$D$9),COLUMN('Loan 1'!$D$9),4)</f>
        <v>D9</v>
      </c>
      <c r="D4793" t="b" cm="1">
        <f t="array" aca="1" ref="D4793" ca="1">IF(LEN(INDIRECT("'"&amp;A4793&amp;"'!"&amp;B4793))&gt;50,TRUE,FALSE)</f>
        <v>0</v>
      </c>
      <c r="E4793" t="s">
        <v>926</v>
      </c>
      <c r="F4793" t="str">
        <f>INDEX(Lists!I:I,MATCH(Validation!E4793,Lists!G:G,0))</f>
        <v>Error</v>
      </c>
      <c r="G4793" t="str">
        <f>INDEX(Lists!H:H,MATCH(Validation!E4793,Lists!G:G,0))</f>
        <v>Entry cannot exceed 50 characters. Please re-enter.</v>
      </c>
      <c r="H4793" s="16" t="str">
        <f t="shared" ca="1" si="501"/>
        <v/>
      </c>
      <c r="I4793" s="16" t="str">
        <f t="shared" ca="1" si="502"/>
        <v/>
      </c>
      <c r="J4793" s="17" t="str">
        <f t="shared" ca="1" si="503"/>
        <v/>
      </c>
    </row>
    <row r="4794" spans="1:10" x14ac:dyDescent="0.25">
      <c r="A4794" t="s">
        <v>937</v>
      </c>
      <c r="B4794" t="str">
        <f>ADDRESS(ROW('Loan 1'!$B$9),COLUMN('Loan 1'!$B$9),4)</f>
        <v>B9</v>
      </c>
      <c r="C4794" t="str">
        <f>ADDRESS(ROW('Loan 1'!$D$9),COLUMN('Loan 1'!$D$9),4)</f>
        <v>D9</v>
      </c>
      <c r="D4794" t="b" cm="1">
        <f t="array" aca="1" ref="D4794" ca="1">IF(LEN(INDIRECT("'"&amp;A4794&amp;"'!"&amp;B4794))&gt;50,TRUE,FALSE)</f>
        <v>0</v>
      </c>
      <c r="E4794" t="s">
        <v>926</v>
      </c>
      <c r="F4794" t="str">
        <f>INDEX(Lists!I:I,MATCH(Validation!E4794,Lists!G:G,0))</f>
        <v>Error</v>
      </c>
      <c r="G4794" t="str">
        <f>INDEX(Lists!H:H,MATCH(Validation!E4794,Lists!G:G,0))</f>
        <v>Entry cannot exceed 50 characters. Please re-enter.</v>
      </c>
      <c r="H4794" s="16" t="str">
        <f t="shared" ca="1" si="501"/>
        <v/>
      </c>
      <c r="I4794" s="16" t="str">
        <f t="shared" ca="1" si="502"/>
        <v/>
      </c>
      <c r="J4794" s="17" t="str">
        <f t="shared" ca="1" si="503"/>
        <v/>
      </c>
    </row>
    <row r="4795" spans="1:10" x14ac:dyDescent="0.25">
      <c r="A4795" t="s">
        <v>938</v>
      </c>
      <c r="B4795" t="str">
        <f>ADDRESS(ROW('Loan 1'!$B$9),COLUMN('Loan 1'!$B$9),4)</f>
        <v>B9</v>
      </c>
      <c r="C4795" t="str">
        <f>ADDRESS(ROW('Loan 1'!$D$9),COLUMN('Loan 1'!$D$9),4)</f>
        <v>D9</v>
      </c>
      <c r="D4795" t="b" cm="1">
        <f t="array" aca="1" ref="D4795" ca="1">IF(LEN(INDIRECT("'"&amp;A4795&amp;"'!"&amp;B4795))&gt;50,TRUE,FALSE)</f>
        <v>0</v>
      </c>
      <c r="E4795" t="s">
        <v>926</v>
      </c>
      <c r="F4795" t="str">
        <f>INDEX(Lists!I:I,MATCH(Validation!E4795,Lists!G:G,0))</f>
        <v>Error</v>
      </c>
      <c r="G4795" t="str">
        <f>INDEX(Lists!H:H,MATCH(Validation!E4795,Lists!G:G,0))</f>
        <v>Entry cannot exceed 50 characters. Please re-enter.</v>
      </c>
      <c r="H4795" s="16" t="str">
        <f t="shared" ca="1" si="501"/>
        <v/>
      </c>
      <c r="I4795" s="16" t="str">
        <f t="shared" ca="1" si="502"/>
        <v/>
      </c>
      <c r="J4795" s="17" t="str">
        <f t="shared" ca="1" si="503"/>
        <v/>
      </c>
    </row>
    <row r="4796" spans="1:10" x14ac:dyDescent="0.25">
      <c r="A4796" t="s">
        <v>939</v>
      </c>
      <c r="B4796" t="str">
        <f>ADDRESS(ROW('Loan 1'!$B$9),COLUMN('Loan 1'!$B$9),4)</f>
        <v>B9</v>
      </c>
      <c r="C4796" t="str">
        <f>ADDRESS(ROW('Loan 1'!$D$9),COLUMN('Loan 1'!$D$9),4)</f>
        <v>D9</v>
      </c>
      <c r="D4796" t="b" cm="1">
        <f t="array" aca="1" ref="D4796" ca="1">IF(LEN(INDIRECT("'"&amp;A4796&amp;"'!"&amp;B4796))&gt;50,TRUE,FALSE)</f>
        <v>0</v>
      </c>
      <c r="E4796" t="s">
        <v>926</v>
      </c>
      <c r="F4796" t="str">
        <f>INDEX(Lists!I:I,MATCH(Validation!E4796,Lists!G:G,0))</f>
        <v>Error</v>
      </c>
      <c r="G4796" t="str">
        <f>INDEX(Lists!H:H,MATCH(Validation!E4796,Lists!G:G,0))</f>
        <v>Entry cannot exceed 50 characters. Please re-enter.</v>
      </c>
      <c r="H4796" s="16" t="str">
        <f t="shared" ca="1" si="501"/>
        <v/>
      </c>
      <c r="I4796" s="16" t="str">
        <f t="shared" ca="1" si="502"/>
        <v/>
      </c>
      <c r="J4796" s="17" t="str">
        <f t="shared" ca="1" si="503"/>
        <v/>
      </c>
    </row>
    <row r="4797" spans="1:10" x14ac:dyDescent="0.25">
      <c r="A4797" t="s">
        <v>940</v>
      </c>
      <c r="B4797" t="str">
        <f>ADDRESS(ROW('Loan 1'!$B$9),COLUMN('Loan 1'!$B$9),4)</f>
        <v>B9</v>
      </c>
      <c r="C4797" t="str">
        <f>ADDRESS(ROW('Loan 1'!$D$9),COLUMN('Loan 1'!$D$9),4)</f>
        <v>D9</v>
      </c>
      <c r="D4797" t="b" cm="1">
        <f t="array" aca="1" ref="D4797" ca="1">IF(LEN(INDIRECT("'"&amp;A4797&amp;"'!"&amp;B4797))&gt;50,TRUE,FALSE)</f>
        <v>0</v>
      </c>
      <c r="E4797" t="s">
        <v>926</v>
      </c>
      <c r="F4797" t="str">
        <f>INDEX(Lists!I:I,MATCH(Validation!E4797,Lists!G:G,0))</f>
        <v>Error</v>
      </c>
      <c r="G4797" t="str">
        <f>INDEX(Lists!H:H,MATCH(Validation!E4797,Lists!G:G,0))</f>
        <v>Entry cannot exceed 50 characters. Please re-enter.</v>
      </c>
      <c r="H4797" s="16" t="str">
        <f t="shared" ca="1" si="501"/>
        <v/>
      </c>
      <c r="I4797" s="16" t="str">
        <f t="shared" ca="1" si="502"/>
        <v/>
      </c>
      <c r="J4797" s="17" t="str">
        <f t="shared" ca="1" si="503"/>
        <v/>
      </c>
    </row>
    <row r="4798" spans="1:10" x14ac:dyDescent="0.25">
      <c r="A4798" t="s">
        <v>941</v>
      </c>
      <c r="B4798" t="str">
        <f>ADDRESS(ROW('Loan 1'!$B$9),COLUMN('Loan 1'!$B$9),4)</f>
        <v>B9</v>
      </c>
      <c r="C4798" t="str">
        <f>ADDRESS(ROW('Loan 1'!$D$9),COLUMN('Loan 1'!$D$9),4)</f>
        <v>D9</v>
      </c>
      <c r="D4798" t="b" cm="1">
        <f t="array" aca="1" ref="D4798" ca="1">IF(LEN(INDIRECT("'"&amp;A4798&amp;"'!"&amp;B4798))&gt;50,TRUE,FALSE)</f>
        <v>0</v>
      </c>
      <c r="E4798" t="s">
        <v>926</v>
      </c>
      <c r="F4798" t="str">
        <f>INDEX(Lists!I:I,MATCH(Validation!E4798,Lists!G:G,0))</f>
        <v>Error</v>
      </c>
      <c r="G4798" t="str">
        <f>INDEX(Lists!H:H,MATCH(Validation!E4798,Lists!G:G,0))</f>
        <v>Entry cannot exceed 50 characters. Please re-enter.</v>
      </c>
      <c r="H4798" s="16" t="str">
        <f t="shared" ca="1" si="501"/>
        <v/>
      </c>
      <c r="I4798" s="16" t="str">
        <f t="shared" ca="1" si="502"/>
        <v/>
      </c>
      <c r="J4798" s="17" t="str">
        <f t="shared" ca="1" si="503"/>
        <v/>
      </c>
    </row>
    <row r="4799" spans="1:10" x14ac:dyDescent="0.25">
      <c r="A4799" t="s">
        <v>942</v>
      </c>
      <c r="B4799" t="str">
        <f>ADDRESS(ROW('Loan 1'!$B$9),COLUMN('Loan 1'!$B$9),4)</f>
        <v>B9</v>
      </c>
      <c r="C4799" t="str">
        <f>ADDRESS(ROW('Loan 1'!$D$9),COLUMN('Loan 1'!$D$9),4)</f>
        <v>D9</v>
      </c>
      <c r="D4799" t="b" cm="1">
        <f t="array" aca="1" ref="D4799" ca="1">IF(LEN(INDIRECT("'"&amp;A4799&amp;"'!"&amp;B4799))&gt;50,TRUE,FALSE)</f>
        <v>0</v>
      </c>
      <c r="E4799" t="s">
        <v>926</v>
      </c>
      <c r="F4799" t="str">
        <f>INDEX(Lists!I:I,MATCH(Validation!E4799,Lists!G:G,0))</f>
        <v>Error</v>
      </c>
      <c r="G4799" t="str">
        <f>INDEX(Lists!H:H,MATCH(Validation!E4799,Lists!G:G,0))</f>
        <v>Entry cannot exceed 50 characters. Please re-enter.</v>
      </c>
      <c r="H4799" s="16" t="str">
        <f t="shared" ca="1" si="501"/>
        <v/>
      </c>
      <c r="I4799" s="16" t="str">
        <f t="shared" ca="1" si="502"/>
        <v/>
      </c>
      <c r="J4799" s="17" t="str">
        <f t="shared" ca="1" si="503"/>
        <v/>
      </c>
    </row>
    <row r="4800" spans="1:10" x14ac:dyDescent="0.25">
      <c r="A4800" t="s">
        <v>943</v>
      </c>
      <c r="B4800" t="str">
        <f>ADDRESS(ROW('Loan 1'!$B$9),COLUMN('Loan 1'!$B$9),4)</f>
        <v>B9</v>
      </c>
      <c r="C4800" t="str">
        <f>ADDRESS(ROW('Loan 1'!$D$9),COLUMN('Loan 1'!$D$9),4)</f>
        <v>D9</v>
      </c>
      <c r="D4800" t="b" cm="1">
        <f t="array" aca="1" ref="D4800" ca="1">IF(LEN(INDIRECT("'"&amp;A4800&amp;"'!"&amp;B4800))&gt;50,TRUE,FALSE)</f>
        <v>0</v>
      </c>
      <c r="E4800" t="s">
        <v>926</v>
      </c>
      <c r="F4800" t="str">
        <f>INDEX(Lists!I:I,MATCH(Validation!E4800,Lists!G:G,0))</f>
        <v>Error</v>
      </c>
      <c r="G4800" t="str">
        <f>INDEX(Lists!H:H,MATCH(Validation!E4800,Lists!G:G,0))</f>
        <v>Entry cannot exceed 50 characters. Please re-enter.</v>
      </c>
      <c r="H4800" s="16" t="str">
        <f t="shared" ca="1" si="501"/>
        <v/>
      </c>
      <c r="I4800" s="16" t="str">
        <f t="shared" ca="1" si="502"/>
        <v/>
      </c>
      <c r="J4800" s="17" t="str">
        <f t="shared" ca="1" si="503"/>
        <v/>
      </c>
    </row>
    <row r="4801" spans="1:10" x14ac:dyDescent="0.25">
      <c r="A4801" t="s">
        <v>944</v>
      </c>
      <c r="B4801" t="str">
        <f>ADDRESS(ROW('Loan 1'!$B$9),COLUMN('Loan 1'!$B$9),4)</f>
        <v>B9</v>
      </c>
      <c r="C4801" t="str">
        <f>ADDRESS(ROW('Loan 1'!$D$9),COLUMN('Loan 1'!$D$9),4)</f>
        <v>D9</v>
      </c>
      <c r="D4801" t="b" cm="1">
        <f t="array" aca="1" ref="D4801" ca="1">IF(LEN(INDIRECT("'"&amp;A4801&amp;"'!"&amp;B4801))&gt;50,TRUE,FALSE)</f>
        <v>0</v>
      </c>
      <c r="E4801" t="s">
        <v>926</v>
      </c>
      <c r="F4801" t="str">
        <f>INDEX(Lists!I:I,MATCH(Validation!E4801,Lists!G:G,0))</f>
        <v>Error</v>
      </c>
      <c r="G4801" t="str">
        <f>INDEX(Lists!H:H,MATCH(Validation!E4801,Lists!G:G,0))</f>
        <v>Entry cannot exceed 50 characters. Please re-enter.</v>
      </c>
      <c r="H4801" s="16" t="str">
        <f t="shared" ca="1" si="501"/>
        <v/>
      </c>
      <c r="I4801" s="16" t="str">
        <f t="shared" ca="1" si="502"/>
        <v/>
      </c>
      <c r="J4801" s="17" t="str">
        <f t="shared" ca="1" si="503"/>
        <v/>
      </c>
    </row>
    <row r="4802" spans="1:10" x14ac:dyDescent="0.25">
      <c r="A4802" t="s">
        <v>945</v>
      </c>
      <c r="B4802" t="str">
        <f>ADDRESS(ROW('Loan 1'!$B$9),COLUMN('Loan 1'!$B$9),4)</f>
        <v>B9</v>
      </c>
      <c r="C4802" t="str">
        <f>ADDRESS(ROW('Loan 1'!$D$9),COLUMN('Loan 1'!$D$9),4)</f>
        <v>D9</v>
      </c>
      <c r="D4802" t="b" cm="1">
        <f t="array" aca="1" ref="D4802" ca="1">IF(LEN(INDIRECT("'"&amp;A4802&amp;"'!"&amp;B4802))&gt;50,TRUE,FALSE)</f>
        <v>0</v>
      </c>
      <c r="E4802" t="s">
        <v>926</v>
      </c>
      <c r="F4802" t="str">
        <f>INDEX(Lists!I:I,MATCH(Validation!E4802,Lists!G:G,0))</f>
        <v>Error</v>
      </c>
      <c r="G4802" t="str">
        <f>INDEX(Lists!H:H,MATCH(Validation!E4802,Lists!G:G,0))</f>
        <v>Entry cannot exceed 50 characters. Please re-enter.</v>
      </c>
      <c r="H4802" s="16" t="str">
        <f t="shared" ca="1" si="501"/>
        <v/>
      </c>
      <c r="I4802" s="16" t="str">
        <f t="shared" ca="1" si="502"/>
        <v/>
      </c>
      <c r="J4802" s="17" t="str">
        <f t="shared" ca="1" si="503"/>
        <v/>
      </c>
    </row>
    <row r="4803" spans="1:10" x14ac:dyDescent="0.25">
      <c r="A4803" t="s">
        <v>205</v>
      </c>
      <c r="B4803" t="str">
        <f>ADDRESS(ROW('Loan 1'!$B$10),COLUMN('Loan 1'!$B$10),4)</f>
        <v>B10</v>
      </c>
      <c r="C4803" t="str">
        <f>ADDRESS(ROW('Loan 1'!$D$10),COLUMN('Loan 1'!$D$10),4)</f>
        <v>D10</v>
      </c>
      <c r="D4803" t="b" cm="1">
        <f t="array" aca="1" ref="D4803" ca="1">IF(INDIRECT("'"&amp;A4803&amp;"'!"&amp;B4803)="",FALSE,ISERROR(DATE(INDIRECT("'"&amp;A4803&amp;"'!"&amp;B4803),,)))</f>
        <v>0</v>
      </c>
      <c r="E4803" t="s">
        <v>498</v>
      </c>
      <c r="F4803" t="str">
        <f>INDEX(Lists!I:I,MATCH(Validation!E4803,Lists!G:G,0))</f>
        <v>Error</v>
      </c>
      <c r="G4803" t="str">
        <f>INDEX(Lists!H:H,MATCH(Validation!E4803,Lists!G:G,0))</f>
        <v>Enter a date only (MM/DD/YYYY). Do not enter text, spaces, or amounts.</v>
      </c>
      <c r="H4803" s="16" t="str">
        <f t="shared" ca="1" si="498"/>
        <v/>
      </c>
      <c r="I4803" s="16" t="str">
        <f t="shared" ca="1" si="499"/>
        <v/>
      </c>
      <c r="J4803" s="17" t="str">
        <f t="shared" ca="1" si="500"/>
        <v/>
      </c>
    </row>
    <row r="4804" spans="1:10" x14ac:dyDescent="0.25">
      <c r="A4804" t="s">
        <v>932</v>
      </c>
      <c r="B4804" t="str">
        <f>ADDRESS(ROW('Loan 1'!$B$10),COLUMN('Loan 1'!$B$10),4)</f>
        <v>B10</v>
      </c>
      <c r="C4804" t="str">
        <f>ADDRESS(ROW('Loan 1'!$D$10),COLUMN('Loan 1'!$D$10),4)</f>
        <v>D10</v>
      </c>
      <c r="D4804" t="b" cm="1">
        <f t="array" aca="1" ref="D4804" ca="1">IF(INDIRECT("'"&amp;A4804&amp;"'!"&amp;B4804)="",FALSE,ISERROR(DATE(INDIRECT("'"&amp;A4804&amp;"'!"&amp;B4804),,)))</f>
        <v>0</v>
      </c>
      <c r="E4804" t="s">
        <v>498</v>
      </c>
      <c r="F4804" t="str">
        <f>INDEX(Lists!I:I,MATCH(Validation!E4804,Lists!G:G,0))</f>
        <v>Error</v>
      </c>
      <c r="G4804" t="str">
        <f>INDEX(Lists!H:H,MATCH(Validation!E4804,Lists!G:G,0))</f>
        <v>Enter a date only (MM/DD/YYYY). Do not enter text, spaces, or amounts.</v>
      </c>
      <c r="H4804" s="16" t="str">
        <f t="shared" ca="1" si="498"/>
        <v/>
      </c>
      <c r="I4804" s="16" t="str">
        <f t="shared" ca="1" si="499"/>
        <v/>
      </c>
      <c r="J4804" s="17" t="str">
        <f t="shared" ca="1" si="500"/>
        <v/>
      </c>
    </row>
    <row r="4805" spans="1:10" x14ac:dyDescent="0.25">
      <c r="A4805" t="s">
        <v>933</v>
      </c>
      <c r="B4805" t="str">
        <f>ADDRESS(ROW('Loan 1'!$B$10),COLUMN('Loan 1'!$B$10),4)</f>
        <v>B10</v>
      </c>
      <c r="C4805" t="str">
        <f>ADDRESS(ROW('Loan 1'!$D$10),COLUMN('Loan 1'!$D$10),4)</f>
        <v>D10</v>
      </c>
      <c r="D4805" t="b" cm="1">
        <f t="array" aca="1" ref="D4805" ca="1">IF(INDIRECT("'"&amp;A4805&amp;"'!"&amp;B4805)="",FALSE,ISERROR(DATE(INDIRECT("'"&amp;A4805&amp;"'!"&amp;B4805),,)))</f>
        <v>0</v>
      </c>
      <c r="E4805" t="s">
        <v>498</v>
      </c>
      <c r="F4805" t="str">
        <f>INDEX(Lists!I:I,MATCH(Validation!E4805,Lists!G:G,0))</f>
        <v>Error</v>
      </c>
      <c r="G4805" t="str">
        <f>INDEX(Lists!H:H,MATCH(Validation!E4805,Lists!G:G,0))</f>
        <v>Enter a date only (MM/DD/YYYY). Do not enter text, spaces, or amounts.</v>
      </c>
      <c r="H4805" s="16" t="str">
        <f t="shared" ca="1" si="498"/>
        <v/>
      </c>
      <c r="I4805" s="16" t="str">
        <f t="shared" ca="1" si="499"/>
        <v/>
      </c>
      <c r="J4805" s="17" t="str">
        <f t="shared" ca="1" si="500"/>
        <v/>
      </c>
    </row>
    <row r="4806" spans="1:10" x14ac:dyDescent="0.25">
      <c r="A4806" t="s">
        <v>934</v>
      </c>
      <c r="B4806" t="str">
        <f>ADDRESS(ROW('Loan 1'!$B$10),COLUMN('Loan 1'!$B$10),4)</f>
        <v>B10</v>
      </c>
      <c r="C4806" t="str">
        <f>ADDRESS(ROW('Loan 1'!$D$10),COLUMN('Loan 1'!$D$10),4)</f>
        <v>D10</v>
      </c>
      <c r="D4806" t="b" cm="1">
        <f t="array" aca="1" ref="D4806" ca="1">IF(INDIRECT("'"&amp;A4806&amp;"'!"&amp;B4806)="",FALSE,ISERROR(DATE(INDIRECT("'"&amp;A4806&amp;"'!"&amp;B4806),,)))</f>
        <v>0</v>
      </c>
      <c r="E4806" t="s">
        <v>498</v>
      </c>
      <c r="F4806" t="str">
        <f>INDEX(Lists!I:I,MATCH(Validation!E4806,Lists!G:G,0))</f>
        <v>Error</v>
      </c>
      <c r="G4806" t="str">
        <f>INDEX(Lists!H:H,MATCH(Validation!E4806,Lists!G:G,0))</f>
        <v>Enter a date only (MM/DD/YYYY). Do not enter text, spaces, or amounts.</v>
      </c>
      <c r="H4806" s="16" t="str">
        <f t="shared" ca="1" si="498"/>
        <v/>
      </c>
      <c r="I4806" s="16" t="str">
        <f t="shared" ca="1" si="499"/>
        <v/>
      </c>
      <c r="J4806" s="17" t="str">
        <f t="shared" ca="1" si="500"/>
        <v/>
      </c>
    </row>
    <row r="4807" spans="1:10" x14ac:dyDescent="0.25">
      <c r="A4807" t="s">
        <v>935</v>
      </c>
      <c r="B4807" t="str">
        <f>ADDRESS(ROW('Loan 1'!$B$10),COLUMN('Loan 1'!$B$10),4)</f>
        <v>B10</v>
      </c>
      <c r="C4807" t="str">
        <f>ADDRESS(ROW('Loan 1'!$D$10),COLUMN('Loan 1'!$D$10),4)</f>
        <v>D10</v>
      </c>
      <c r="D4807" t="b" cm="1">
        <f t="array" aca="1" ref="D4807" ca="1">IF(INDIRECT("'"&amp;A4807&amp;"'!"&amp;B4807)="",FALSE,ISERROR(DATE(INDIRECT("'"&amp;A4807&amp;"'!"&amp;B4807),,)))</f>
        <v>0</v>
      </c>
      <c r="E4807" t="s">
        <v>498</v>
      </c>
      <c r="F4807" t="str">
        <f>INDEX(Lists!I:I,MATCH(Validation!E4807,Lists!G:G,0))</f>
        <v>Error</v>
      </c>
      <c r="G4807" t="str">
        <f>INDEX(Lists!H:H,MATCH(Validation!E4807,Lists!G:G,0))</f>
        <v>Enter a date only (MM/DD/YYYY). Do not enter text, spaces, or amounts.</v>
      </c>
      <c r="H4807" s="16" t="str">
        <f t="shared" ca="1" si="498"/>
        <v/>
      </c>
      <c r="I4807" s="16" t="str">
        <f t="shared" ca="1" si="499"/>
        <v/>
      </c>
      <c r="J4807" s="17" t="str">
        <f t="shared" ca="1" si="500"/>
        <v/>
      </c>
    </row>
    <row r="4808" spans="1:10" x14ac:dyDescent="0.25">
      <c r="A4808" t="s">
        <v>936</v>
      </c>
      <c r="B4808" t="str">
        <f>ADDRESS(ROW('Loan 1'!$B$10),COLUMN('Loan 1'!$B$10),4)</f>
        <v>B10</v>
      </c>
      <c r="C4808" t="str">
        <f>ADDRESS(ROW('Loan 1'!$D$10),COLUMN('Loan 1'!$D$10),4)</f>
        <v>D10</v>
      </c>
      <c r="D4808" t="b" cm="1">
        <f t="array" aca="1" ref="D4808" ca="1">IF(INDIRECT("'"&amp;A4808&amp;"'!"&amp;B4808)="",FALSE,ISERROR(DATE(INDIRECT("'"&amp;A4808&amp;"'!"&amp;B4808),,)))</f>
        <v>0</v>
      </c>
      <c r="E4808" t="s">
        <v>498</v>
      </c>
      <c r="F4808" t="str">
        <f>INDEX(Lists!I:I,MATCH(Validation!E4808,Lists!G:G,0))</f>
        <v>Error</v>
      </c>
      <c r="G4808" t="str">
        <f>INDEX(Lists!H:H,MATCH(Validation!E4808,Lists!G:G,0))</f>
        <v>Enter a date only (MM/DD/YYYY). Do not enter text, spaces, or amounts.</v>
      </c>
      <c r="H4808" s="16" t="str">
        <f t="shared" ca="1" si="498"/>
        <v/>
      </c>
      <c r="I4808" s="16" t="str">
        <f t="shared" ca="1" si="499"/>
        <v/>
      </c>
      <c r="J4808" s="17" t="str">
        <f t="shared" ca="1" si="500"/>
        <v/>
      </c>
    </row>
    <row r="4809" spans="1:10" x14ac:dyDescent="0.25">
      <c r="A4809" t="s">
        <v>937</v>
      </c>
      <c r="B4809" t="str">
        <f>ADDRESS(ROW('Loan 1'!$B$10),COLUMN('Loan 1'!$B$10),4)</f>
        <v>B10</v>
      </c>
      <c r="C4809" t="str">
        <f>ADDRESS(ROW('Loan 1'!$D$10),COLUMN('Loan 1'!$D$10),4)</f>
        <v>D10</v>
      </c>
      <c r="D4809" t="b" cm="1">
        <f t="array" aca="1" ref="D4809" ca="1">IF(INDIRECT("'"&amp;A4809&amp;"'!"&amp;B4809)="",FALSE,ISERROR(DATE(INDIRECT("'"&amp;A4809&amp;"'!"&amp;B4809),,)))</f>
        <v>0</v>
      </c>
      <c r="E4809" t="s">
        <v>498</v>
      </c>
      <c r="F4809" t="str">
        <f>INDEX(Lists!I:I,MATCH(Validation!E4809,Lists!G:G,0))</f>
        <v>Error</v>
      </c>
      <c r="G4809" t="str">
        <f>INDEX(Lists!H:H,MATCH(Validation!E4809,Lists!G:G,0))</f>
        <v>Enter a date only (MM/DD/YYYY). Do not enter text, spaces, or amounts.</v>
      </c>
      <c r="H4809" s="16" t="str">
        <f t="shared" ca="1" si="498"/>
        <v/>
      </c>
      <c r="I4809" s="16" t="str">
        <f t="shared" ca="1" si="499"/>
        <v/>
      </c>
      <c r="J4809" s="17" t="str">
        <f t="shared" ca="1" si="500"/>
        <v/>
      </c>
    </row>
    <row r="4810" spans="1:10" x14ac:dyDescent="0.25">
      <c r="A4810" t="s">
        <v>938</v>
      </c>
      <c r="B4810" t="str">
        <f>ADDRESS(ROW('Loan 1'!$B$10),COLUMN('Loan 1'!$B$10),4)</f>
        <v>B10</v>
      </c>
      <c r="C4810" t="str">
        <f>ADDRESS(ROW('Loan 1'!$D$10),COLUMN('Loan 1'!$D$10),4)</f>
        <v>D10</v>
      </c>
      <c r="D4810" t="b" cm="1">
        <f t="array" aca="1" ref="D4810" ca="1">IF(INDIRECT("'"&amp;A4810&amp;"'!"&amp;B4810)="",FALSE,ISERROR(DATE(INDIRECT("'"&amp;A4810&amp;"'!"&amp;B4810),,)))</f>
        <v>0</v>
      </c>
      <c r="E4810" t="s">
        <v>498</v>
      </c>
      <c r="F4810" t="str">
        <f>INDEX(Lists!I:I,MATCH(Validation!E4810,Lists!G:G,0))</f>
        <v>Error</v>
      </c>
      <c r="G4810" t="str">
        <f>INDEX(Lists!H:H,MATCH(Validation!E4810,Lists!G:G,0))</f>
        <v>Enter a date only (MM/DD/YYYY). Do not enter text, spaces, or amounts.</v>
      </c>
      <c r="H4810" s="16" t="str">
        <f t="shared" ca="1" si="498"/>
        <v/>
      </c>
      <c r="I4810" s="16" t="str">
        <f t="shared" ca="1" si="499"/>
        <v/>
      </c>
      <c r="J4810" s="17" t="str">
        <f t="shared" ca="1" si="500"/>
        <v/>
      </c>
    </row>
    <row r="4811" spans="1:10" x14ac:dyDescent="0.25">
      <c r="A4811" t="s">
        <v>939</v>
      </c>
      <c r="B4811" t="str">
        <f>ADDRESS(ROW('Loan 1'!$B$10),COLUMN('Loan 1'!$B$10),4)</f>
        <v>B10</v>
      </c>
      <c r="C4811" t="str">
        <f>ADDRESS(ROW('Loan 1'!$D$10),COLUMN('Loan 1'!$D$10),4)</f>
        <v>D10</v>
      </c>
      <c r="D4811" t="b" cm="1">
        <f t="array" aca="1" ref="D4811" ca="1">IF(INDIRECT("'"&amp;A4811&amp;"'!"&amp;B4811)="",FALSE,ISERROR(DATE(INDIRECT("'"&amp;A4811&amp;"'!"&amp;B4811),,)))</f>
        <v>0</v>
      </c>
      <c r="E4811" t="s">
        <v>498</v>
      </c>
      <c r="F4811" t="str">
        <f>INDEX(Lists!I:I,MATCH(Validation!E4811,Lists!G:G,0))</f>
        <v>Error</v>
      </c>
      <c r="G4811" t="str">
        <f>INDEX(Lists!H:H,MATCH(Validation!E4811,Lists!G:G,0))</f>
        <v>Enter a date only (MM/DD/YYYY). Do not enter text, spaces, or amounts.</v>
      </c>
      <c r="H4811" s="16" t="str">
        <f t="shared" ca="1" si="498"/>
        <v/>
      </c>
      <c r="I4811" s="16" t="str">
        <f t="shared" ca="1" si="499"/>
        <v/>
      </c>
      <c r="J4811" s="17" t="str">
        <f t="shared" ca="1" si="500"/>
        <v/>
      </c>
    </row>
    <row r="4812" spans="1:10" x14ac:dyDescent="0.25">
      <c r="A4812" t="s">
        <v>940</v>
      </c>
      <c r="B4812" t="str">
        <f>ADDRESS(ROW('Loan 1'!$B$10),COLUMN('Loan 1'!$B$10),4)</f>
        <v>B10</v>
      </c>
      <c r="C4812" t="str">
        <f>ADDRESS(ROW('Loan 1'!$D$10),COLUMN('Loan 1'!$D$10),4)</f>
        <v>D10</v>
      </c>
      <c r="D4812" t="b" cm="1">
        <f t="array" aca="1" ref="D4812" ca="1">IF(INDIRECT("'"&amp;A4812&amp;"'!"&amp;B4812)="",FALSE,ISERROR(DATE(INDIRECT("'"&amp;A4812&amp;"'!"&amp;B4812),,)))</f>
        <v>0</v>
      </c>
      <c r="E4812" t="s">
        <v>498</v>
      </c>
      <c r="F4812" t="str">
        <f>INDEX(Lists!I:I,MATCH(Validation!E4812,Lists!G:G,0))</f>
        <v>Error</v>
      </c>
      <c r="G4812" t="str">
        <f>INDEX(Lists!H:H,MATCH(Validation!E4812,Lists!G:G,0))</f>
        <v>Enter a date only (MM/DD/YYYY). Do not enter text, spaces, or amounts.</v>
      </c>
      <c r="H4812" s="16" t="str">
        <f t="shared" ca="1" si="498"/>
        <v/>
      </c>
      <c r="I4812" s="16" t="str">
        <f t="shared" ca="1" si="499"/>
        <v/>
      </c>
      <c r="J4812" s="17" t="str">
        <f t="shared" ca="1" si="500"/>
        <v/>
      </c>
    </row>
    <row r="4813" spans="1:10" x14ac:dyDescent="0.25">
      <c r="A4813" t="s">
        <v>941</v>
      </c>
      <c r="B4813" t="str">
        <f>ADDRESS(ROW('Loan 1'!$B$10),COLUMN('Loan 1'!$B$10),4)</f>
        <v>B10</v>
      </c>
      <c r="C4813" t="str">
        <f>ADDRESS(ROW('Loan 1'!$D$10),COLUMN('Loan 1'!$D$10),4)</f>
        <v>D10</v>
      </c>
      <c r="D4813" t="b" cm="1">
        <f t="array" aca="1" ref="D4813" ca="1">IF(INDIRECT("'"&amp;A4813&amp;"'!"&amp;B4813)="",FALSE,ISERROR(DATE(INDIRECT("'"&amp;A4813&amp;"'!"&amp;B4813),,)))</f>
        <v>0</v>
      </c>
      <c r="E4813" t="s">
        <v>498</v>
      </c>
      <c r="F4813" t="str">
        <f>INDEX(Lists!I:I,MATCH(Validation!E4813,Lists!G:G,0))</f>
        <v>Error</v>
      </c>
      <c r="G4813" t="str">
        <f>INDEX(Lists!H:H,MATCH(Validation!E4813,Lists!G:G,0))</f>
        <v>Enter a date only (MM/DD/YYYY). Do not enter text, spaces, or amounts.</v>
      </c>
      <c r="H4813" s="16" t="str">
        <f t="shared" ca="1" si="498"/>
        <v/>
      </c>
      <c r="I4813" s="16" t="str">
        <f t="shared" ca="1" si="499"/>
        <v/>
      </c>
      <c r="J4813" s="17" t="str">
        <f t="shared" ca="1" si="500"/>
        <v/>
      </c>
    </row>
    <row r="4814" spans="1:10" x14ac:dyDescent="0.25">
      <c r="A4814" t="s">
        <v>942</v>
      </c>
      <c r="B4814" t="str">
        <f>ADDRESS(ROW('Loan 1'!$B$10),COLUMN('Loan 1'!$B$10),4)</f>
        <v>B10</v>
      </c>
      <c r="C4814" t="str">
        <f>ADDRESS(ROW('Loan 1'!$D$10),COLUMN('Loan 1'!$D$10),4)</f>
        <v>D10</v>
      </c>
      <c r="D4814" t="b" cm="1">
        <f t="array" aca="1" ref="D4814" ca="1">IF(INDIRECT("'"&amp;A4814&amp;"'!"&amp;B4814)="",FALSE,ISERROR(DATE(INDIRECT("'"&amp;A4814&amp;"'!"&amp;B4814),,)))</f>
        <v>0</v>
      </c>
      <c r="E4814" t="s">
        <v>498</v>
      </c>
      <c r="F4814" t="str">
        <f>INDEX(Lists!I:I,MATCH(Validation!E4814,Lists!G:G,0))</f>
        <v>Error</v>
      </c>
      <c r="G4814" t="str">
        <f>INDEX(Lists!H:H,MATCH(Validation!E4814,Lists!G:G,0))</f>
        <v>Enter a date only (MM/DD/YYYY). Do not enter text, spaces, or amounts.</v>
      </c>
      <c r="H4814" s="16" t="str">
        <f t="shared" ca="1" si="498"/>
        <v/>
      </c>
      <c r="I4814" s="16" t="str">
        <f t="shared" ca="1" si="499"/>
        <v/>
      </c>
      <c r="J4814" s="17" t="str">
        <f t="shared" ca="1" si="500"/>
        <v/>
      </c>
    </row>
    <row r="4815" spans="1:10" x14ac:dyDescent="0.25">
      <c r="A4815" t="s">
        <v>943</v>
      </c>
      <c r="B4815" t="str">
        <f>ADDRESS(ROW('Loan 1'!$B$10),COLUMN('Loan 1'!$B$10),4)</f>
        <v>B10</v>
      </c>
      <c r="C4815" t="str">
        <f>ADDRESS(ROW('Loan 1'!$D$10),COLUMN('Loan 1'!$D$10),4)</f>
        <v>D10</v>
      </c>
      <c r="D4815" t="b" cm="1">
        <f t="array" aca="1" ref="D4815" ca="1">IF(INDIRECT("'"&amp;A4815&amp;"'!"&amp;B4815)="",FALSE,ISERROR(DATE(INDIRECT("'"&amp;A4815&amp;"'!"&amp;B4815),,)))</f>
        <v>0</v>
      </c>
      <c r="E4815" t="s">
        <v>498</v>
      </c>
      <c r="F4815" t="str">
        <f>INDEX(Lists!I:I,MATCH(Validation!E4815,Lists!G:G,0))</f>
        <v>Error</v>
      </c>
      <c r="G4815" t="str">
        <f>INDEX(Lists!H:H,MATCH(Validation!E4815,Lists!G:G,0))</f>
        <v>Enter a date only (MM/DD/YYYY). Do not enter text, spaces, or amounts.</v>
      </c>
      <c r="H4815" s="16" t="str">
        <f t="shared" ca="1" si="498"/>
        <v/>
      </c>
      <c r="I4815" s="16" t="str">
        <f t="shared" ca="1" si="499"/>
        <v/>
      </c>
      <c r="J4815" s="17" t="str">
        <f t="shared" ca="1" si="500"/>
        <v/>
      </c>
    </row>
    <row r="4816" spans="1:10" x14ac:dyDescent="0.25">
      <c r="A4816" t="s">
        <v>944</v>
      </c>
      <c r="B4816" t="str">
        <f>ADDRESS(ROW('Loan 1'!$B$10),COLUMN('Loan 1'!$B$10),4)</f>
        <v>B10</v>
      </c>
      <c r="C4816" t="str">
        <f>ADDRESS(ROW('Loan 1'!$D$10),COLUMN('Loan 1'!$D$10),4)</f>
        <v>D10</v>
      </c>
      <c r="D4816" t="b" cm="1">
        <f t="array" aca="1" ref="D4816" ca="1">IF(INDIRECT("'"&amp;A4816&amp;"'!"&amp;B4816)="",FALSE,ISERROR(DATE(INDIRECT("'"&amp;A4816&amp;"'!"&amp;B4816),,)))</f>
        <v>0</v>
      </c>
      <c r="E4816" t="s">
        <v>498</v>
      </c>
      <c r="F4816" t="str">
        <f>INDEX(Lists!I:I,MATCH(Validation!E4816,Lists!G:G,0))</f>
        <v>Error</v>
      </c>
      <c r="G4816" t="str">
        <f>INDEX(Lists!H:H,MATCH(Validation!E4816,Lists!G:G,0))</f>
        <v>Enter a date only (MM/DD/YYYY). Do not enter text, spaces, or amounts.</v>
      </c>
      <c r="H4816" s="16" t="str">
        <f t="shared" ca="1" si="498"/>
        <v/>
      </c>
      <c r="I4816" s="16" t="str">
        <f t="shared" ca="1" si="499"/>
        <v/>
      </c>
      <c r="J4816" s="17" t="str">
        <f t="shared" ca="1" si="500"/>
        <v/>
      </c>
    </row>
    <row r="4817" spans="1:10" x14ac:dyDescent="0.25">
      <c r="A4817" t="s">
        <v>945</v>
      </c>
      <c r="B4817" t="str">
        <f>ADDRESS(ROW('Loan 1'!$B$10),COLUMN('Loan 1'!$B$10),4)</f>
        <v>B10</v>
      </c>
      <c r="C4817" t="str">
        <f>ADDRESS(ROW('Loan 1'!$D$10),COLUMN('Loan 1'!$D$10),4)</f>
        <v>D10</v>
      </c>
      <c r="D4817" t="b" cm="1">
        <f t="array" aca="1" ref="D4817" ca="1">IF(INDIRECT("'"&amp;A4817&amp;"'!"&amp;B4817)="",FALSE,ISERROR(DATE(INDIRECT("'"&amp;A4817&amp;"'!"&amp;B4817),,)))</f>
        <v>0</v>
      </c>
      <c r="E4817" t="s">
        <v>498</v>
      </c>
      <c r="F4817" t="str">
        <f>INDEX(Lists!I:I,MATCH(Validation!E4817,Lists!G:G,0))</f>
        <v>Error</v>
      </c>
      <c r="G4817" t="str">
        <f>INDEX(Lists!H:H,MATCH(Validation!E4817,Lists!G:G,0))</f>
        <v>Enter a date only (MM/DD/YYYY). Do not enter text, spaces, or amounts.</v>
      </c>
      <c r="H4817" s="16" t="str">
        <f t="shared" ca="1" si="498"/>
        <v/>
      </c>
      <c r="I4817" s="16" t="str">
        <f t="shared" ca="1" si="499"/>
        <v/>
      </c>
      <c r="J4817" s="17" t="str">
        <f t="shared" ca="1" si="500"/>
        <v/>
      </c>
    </row>
    <row r="4818" spans="1:10" x14ac:dyDescent="0.25">
      <c r="A4818" t="s">
        <v>205</v>
      </c>
      <c r="B4818" t="str">
        <f>ADDRESS(ROW('Loan 1'!$B$10),COLUMN('Loan 1'!$B$10),4)</f>
        <v>B10</v>
      </c>
      <c r="C4818" t="str">
        <f>ADDRESS(ROW('Loan 1'!$D$10),COLUMN('Loan 1'!$D$10),4)</f>
        <v>D10</v>
      </c>
      <c r="D4818" t="b" cm="1">
        <f t="array" aca="1" ref="D4818" ca="1">IF(INDIRECT("'"&amp;A4818&amp;"'!"&amp;B4818)="",FALSE,IF(INDIRECT("'"&amp;A4818&amp;"'!"&amp;B4818)&gt;DATE(1969,12,31),FALSE,TRUE))</f>
        <v>0</v>
      </c>
      <c r="E4818" t="s">
        <v>928</v>
      </c>
      <c r="F4818" t="str">
        <f>INDEX(Lists!I:I,MATCH(Validation!E4818,Lists!G:G,0))</f>
        <v>Error</v>
      </c>
      <c r="G4818" t="str">
        <f>INDEX(Lists!H:H,MATCH(Validation!E4818,Lists!G:G,0))</f>
        <v>Date must be on or after January 1, 1970.</v>
      </c>
      <c r="H4818" s="16" t="str">
        <f t="shared" ca="1" si="498"/>
        <v/>
      </c>
      <c r="I4818" s="16" t="str">
        <f t="shared" ca="1" si="499"/>
        <v/>
      </c>
      <c r="J4818" s="17" t="str">
        <f t="shared" ca="1" si="500"/>
        <v/>
      </c>
    </row>
    <row r="4819" spans="1:10" x14ac:dyDescent="0.25">
      <c r="A4819" t="s">
        <v>932</v>
      </c>
      <c r="B4819" t="str">
        <f>ADDRESS(ROW('Loan 1'!$B$10),COLUMN('Loan 1'!$B$10),4)</f>
        <v>B10</v>
      </c>
      <c r="C4819" t="str">
        <f>ADDRESS(ROW('Loan 1'!$D$10),COLUMN('Loan 1'!$D$10),4)</f>
        <v>D10</v>
      </c>
      <c r="D4819" t="b" cm="1">
        <f t="array" aca="1" ref="D4819" ca="1">IF(INDIRECT("'"&amp;A4819&amp;"'!"&amp;B4819)="",FALSE,IF(INDIRECT("'"&amp;A4819&amp;"'!"&amp;B4819)&gt;DATE(1969,12,31),FALSE,TRUE))</f>
        <v>0</v>
      </c>
      <c r="E4819" t="s">
        <v>928</v>
      </c>
      <c r="F4819" t="str">
        <f>INDEX(Lists!I:I,MATCH(Validation!E4819,Lists!G:G,0))</f>
        <v>Error</v>
      </c>
      <c r="G4819" t="str">
        <f>INDEX(Lists!H:H,MATCH(Validation!E4819,Lists!G:G,0))</f>
        <v>Date must be on or after January 1, 1970.</v>
      </c>
      <c r="H4819" s="16" t="str">
        <f t="shared" ref="H4819:H4832" ca="1" si="504">IFERROR(IF(OR(NOT(D4819),F4819&lt;&gt;"Error"),"",A4819&amp;CELL("address",INDIRECT(B4819))),"")</f>
        <v/>
      </c>
      <c r="I4819" s="16" t="str">
        <f t="shared" ref="I4819:I4832" ca="1" si="505">IFERROR(IF(NOT(D4819),"",A4819&amp;CELL("address",INDIRECT(C4819))),"")</f>
        <v/>
      </c>
      <c r="J4819" s="17" t="str">
        <f t="shared" ref="J4819:J4832" ca="1" si="506">IFERROR(IF(NOT(D4819),"",A4819),"")</f>
        <v/>
      </c>
    </row>
    <row r="4820" spans="1:10" x14ac:dyDescent="0.25">
      <c r="A4820" t="s">
        <v>933</v>
      </c>
      <c r="B4820" t="str">
        <f>ADDRESS(ROW('Loan 1'!$B$10),COLUMN('Loan 1'!$B$10),4)</f>
        <v>B10</v>
      </c>
      <c r="C4820" t="str">
        <f>ADDRESS(ROW('Loan 1'!$D$10),COLUMN('Loan 1'!$D$10),4)</f>
        <v>D10</v>
      </c>
      <c r="D4820" t="b" cm="1">
        <f t="array" aca="1" ref="D4820" ca="1">IF(INDIRECT("'"&amp;A4820&amp;"'!"&amp;B4820)="",FALSE,IF(INDIRECT("'"&amp;A4820&amp;"'!"&amp;B4820)&gt;DATE(1969,12,31),FALSE,TRUE))</f>
        <v>0</v>
      </c>
      <c r="E4820" t="s">
        <v>928</v>
      </c>
      <c r="F4820" t="str">
        <f>INDEX(Lists!I:I,MATCH(Validation!E4820,Lists!G:G,0))</f>
        <v>Error</v>
      </c>
      <c r="G4820" t="str">
        <f>INDEX(Lists!H:H,MATCH(Validation!E4820,Lists!G:G,0))</f>
        <v>Date must be on or after January 1, 1970.</v>
      </c>
      <c r="H4820" s="16" t="str">
        <f t="shared" ca="1" si="504"/>
        <v/>
      </c>
      <c r="I4820" s="16" t="str">
        <f t="shared" ca="1" si="505"/>
        <v/>
      </c>
      <c r="J4820" s="17" t="str">
        <f t="shared" ca="1" si="506"/>
        <v/>
      </c>
    </row>
    <row r="4821" spans="1:10" x14ac:dyDescent="0.25">
      <c r="A4821" t="s">
        <v>934</v>
      </c>
      <c r="B4821" t="str">
        <f>ADDRESS(ROW('Loan 1'!$B$10),COLUMN('Loan 1'!$B$10),4)</f>
        <v>B10</v>
      </c>
      <c r="C4821" t="str">
        <f>ADDRESS(ROW('Loan 1'!$D$10),COLUMN('Loan 1'!$D$10),4)</f>
        <v>D10</v>
      </c>
      <c r="D4821" t="b" cm="1">
        <f t="array" aca="1" ref="D4821" ca="1">IF(INDIRECT("'"&amp;A4821&amp;"'!"&amp;B4821)="",FALSE,IF(INDIRECT("'"&amp;A4821&amp;"'!"&amp;B4821)&gt;DATE(1969,12,31),FALSE,TRUE))</f>
        <v>0</v>
      </c>
      <c r="E4821" t="s">
        <v>928</v>
      </c>
      <c r="F4821" t="str">
        <f>INDEX(Lists!I:I,MATCH(Validation!E4821,Lists!G:G,0))</f>
        <v>Error</v>
      </c>
      <c r="G4821" t="str">
        <f>INDEX(Lists!H:H,MATCH(Validation!E4821,Lists!G:G,0))</f>
        <v>Date must be on or after January 1, 1970.</v>
      </c>
      <c r="H4821" s="16" t="str">
        <f t="shared" ca="1" si="504"/>
        <v/>
      </c>
      <c r="I4821" s="16" t="str">
        <f t="shared" ca="1" si="505"/>
        <v/>
      </c>
      <c r="J4821" s="17" t="str">
        <f t="shared" ca="1" si="506"/>
        <v/>
      </c>
    </row>
    <row r="4822" spans="1:10" x14ac:dyDescent="0.25">
      <c r="A4822" t="s">
        <v>935</v>
      </c>
      <c r="B4822" t="str">
        <f>ADDRESS(ROW('Loan 1'!$B$10),COLUMN('Loan 1'!$B$10),4)</f>
        <v>B10</v>
      </c>
      <c r="C4822" t="str">
        <f>ADDRESS(ROW('Loan 1'!$D$10),COLUMN('Loan 1'!$D$10),4)</f>
        <v>D10</v>
      </c>
      <c r="D4822" t="b" cm="1">
        <f t="array" aca="1" ref="D4822" ca="1">IF(INDIRECT("'"&amp;A4822&amp;"'!"&amp;B4822)="",FALSE,IF(INDIRECT("'"&amp;A4822&amp;"'!"&amp;B4822)&gt;DATE(1969,12,31),FALSE,TRUE))</f>
        <v>0</v>
      </c>
      <c r="E4822" t="s">
        <v>928</v>
      </c>
      <c r="F4822" t="str">
        <f>INDEX(Lists!I:I,MATCH(Validation!E4822,Lists!G:G,0))</f>
        <v>Error</v>
      </c>
      <c r="G4822" t="str">
        <f>INDEX(Lists!H:H,MATCH(Validation!E4822,Lists!G:G,0))</f>
        <v>Date must be on or after January 1, 1970.</v>
      </c>
      <c r="H4822" s="16" t="str">
        <f t="shared" ca="1" si="504"/>
        <v/>
      </c>
      <c r="I4822" s="16" t="str">
        <f t="shared" ca="1" si="505"/>
        <v/>
      </c>
      <c r="J4822" s="17" t="str">
        <f t="shared" ca="1" si="506"/>
        <v/>
      </c>
    </row>
    <row r="4823" spans="1:10" x14ac:dyDescent="0.25">
      <c r="A4823" t="s">
        <v>936</v>
      </c>
      <c r="B4823" t="str">
        <f>ADDRESS(ROW('Loan 1'!$B$10),COLUMN('Loan 1'!$B$10),4)</f>
        <v>B10</v>
      </c>
      <c r="C4823" t="str">
        <f>ADDRESS(ROW('Loan 1'!$D$10),COLUMN('Loan 1'!$D$10),4)</f>
        <v>D10</v>
      </c>
      <c r="D4823" t="b" cm="1">
        <f t="array" aca="1" ref="D4823" ca="1">IF(INDIRECT("'"&amp;A4823&amp;"'!"&amp;B4823)="",FALSE,IF(INDIRECT("'"&amp;A4823&amp;"'!"&amp;B4823)&gt;DATE(1969,12,31),FALSE,TRUE))</f>
        <v>0</v>
      </c>
      <c r="E4823" t="s">
        <v>928</v>
      </c>
      <c r="F4823" t="str">
        <f>INDEX(Lists!I:I,MATCH(Validation!E4823,Lists!G:G,0))</f>
        <v>Error</v>
      </c>
      <c r="G4823" t="str">
        <f>INDEX(Lists!H:H,MATCH(Validation!E4823,Lists!G:G,0))</f>
        <v>Date must be on or after January 1, 1970.</v>
      </c>
      <c r="H4823" s="16" t="str">
        <f t="shared" ca="1" si="504"/>
        <v/>
      </c>
      <c r="I4823" s="16" t="str">
        <f t="shared" ca="1" si="505"/>
        <v/>
      </c>
      <c r="J4823" s="17" t="str">
        <f t="shared" ca="1" si="506"/>
        <v/>
      </c>
    </row>
    <row r="4824" spans="1:10" x14ac:dyDescent="0.25">
      <c r="A4824" t="s">
        <v>937</v>
      </c>
      <c r="B4824" t="str">
        <f>ADDRESS(ROW('Loan 1'!$B$10),COLUMN('Loan 1'!$B$10),4)</f>
        <v>B10</v>
      </c>
      <c r="C4824" t="str">
        <f>ADDRESS(ROW('Loan 1'!$D$10),COLUMN('Loan 1'!$D$10),4)</f>
        <v>D10</v>
      </c>
      <c r="D4824" t="b" cm="1">
        <f t="array" aca="1" ref="D4824" ca="1">IF(INDIRECT("'"&amp;A4824&amp;"'!"&amp;B4824)="",FALSE,IF(INDIRECT("'"&amp;A4824&amp;"'!"&amp;B4824)&gt;DATE(1969,12,31),FALSE,TRUE))</f>
        <v>0</v>
      </c>
      <c r="E4824" t="s">
        <v>928</v>
      </c>
      <c r="F4824" t="str">
        <f>INDEX(Lists!I:I,MATCH(Validation!E4824,Lists!G:G,0))</f>
        <v>Error</v>
      </c>
      <c r="G4824" t="str">
        <f>INDEX(Lists!H:H,MATCH(Validation!E4824,Lists!G:G,0))</f>
        <v>Date must be on or after January 1, 1970.</v>
      </c>
      <c r="H4824" s="16" t="str">
        <f t="shared" ca="1" si="504"/>
        <v/>
      </c>
      <c r="I4824" s="16" t="str">
        <f t="shared" ca="1" si="505"/>
        <v/>
      </c>
      <c r="J4824" s="17" t="str">
        <f t="shared" ca="1" si="506"/>
        <v/>
      </c>
    </row>
    <row r="4825" spans="1:10" x14ac:dyDescent="0.25">
      <c r="A4825" t="s">
        <v>938</v>
      </c>
      <c r="B4825" t="str">
        <f>ADDRESS(ROW('Loan 1'!$B$10),COLUMN('Loan 1'!$B$10),4)</f>
        <v>B10</v>
      </c>
      <c r="C4825" t="str">
        <f>ADDRESS(ROW('Loan 1'!$D$10),COLUMN('Loan 1'!$D$10),4)</f>
        <v>D10</v>
      </c>
      <c r="D4825" t="b" cm="1">
        <f t="array" aca="1" ref="D4825" ca="1">IF(INDIRECT("'"&amp;A4825&amp;"'!"&amp;B4825)="",FALSE,IF(INDIRECT("'"&amp;A4825&amp;"'!"&amp;B4825)&gt;DATE(1969,12,31),FALSE,TRUE))</f>
        <v>0</v>
      </c>
      <c r="E4825" t="s">
        <v>928</v>
      </c>
      <c r="F4825" t="str">
        <f>INDEX(Lists!I:I,MATCH(Validation!E4825,Lists!G:G,0))</f>
        <v>Error</v>
      </c>
      <c r="G4825" t="str">
        <f>INDEX(Lists!H:H,MATCH(Validation!E4825,Lists!G:G,0))</f>
        <v>Date must be on or after January 1, 1970.</v>
      </c>
      <c r="H4825" s="16" t="str">
        <f t="shared" ca="1" si="504"/>
        <v/>
      </c>
      <c r="I4825" s="16" t="str">
        <f t="shared" ca="1" si="505"/>
        <v/>
      </c>
      <c r="J4825" s="17" t="str">
        <f t="shared" ca="1" si="506"/>
        <v/>
      </c>
    </row>
    <row r="4826" spans="1:10" x14ac:dyDescent="0.25">
      <c r="A4826" t="s">
        <v>939</v>
      </c>
      <c r="B4826" t="str">
        <f>ADDRESS(ROW('Loan 1'!$B$10),COLUMN('Loan 1'!$B$10),4)</f>
        <v>B10</v>
      </c>
      <c r="C4826" t="str">
        <f>ADDRESS(ROW('Loan 1'!$D$10),COLUMN('Loan 1'!$D$10),4)</f>
        <v>D10</v>
      </c>
      <c r="D4826" t="b" cm="1">
        <f t="array" aca="1" ref="D4826" ca="1">IF(INDIRECT("'"&amp;A4826&amp;"'!"&amp;B4826)="",FALSE,IF(INDIRECT("'"&amp;A4826&amp;"'!"&amp;B4826)&gt;DATE(1969,12,31),FALSE,TRUE))</f>
        <v>0</v>
      </c>
      <c r="E4826" t="s">
        <v>928</v>
      </c>
      <c r="F4826" t="str">
        <f>INDEX(Lists!I:I,MATCH(Validation!E4826,Lists!G:G,0))</f>
        <v>Error</v>
      </c>
      <c r="G4826" t="str">
        <f>INDEX(Lists!H:H,MATCH(Validation!E4826,Lists!G:G,0))</f>
        <v>Date must be on or after January 1, 1970.</v>
      </c>
      <c r="H4826" s="16" t="str">
        <f t="shared" ca="1" si="504"/>
        <v/>
      </c>
      <c r="I4826" s="16" t="str">
        <f t="shared" ca="1" si="505"/>
        <v/>
      </c>
      <c r="J4826" s="17" t="str">
        <f t="shared" ca="1" si="506"/>
        <v/>
      </c>
    </row>
    <row r="4827" spans="1:10" x14ac:dyDescent="0.25">
      <c r="A4827" t="s">
        <v>940</v>
      </c>
      <c r="B4827" t="str">
        <f>ADDRESS(ROW('Loan 1'!$B$10),COLUMN('Loan 1'!$B$10),4)</f>
        <v>B10</v>
      </c>
      <c r="C4827" t="str">
        <f>ADDRESS(ROW('Loan 1'!$D$10),COLUMN('Loan 1'!$D$10),4)</f>
        <v>D10</v>
      </c>
      <c r="D4827" t="b" cm="1">
        <f t="array" aca="1" ref="D4827" ca="1">IF(INDIRECT("'"&amp;A4827&amp;"'!"&amp;B4827)="",FALSE,IF(INDIRECT("'"&amp;A4827&amp;"'!"&amp;B4827)&gt;DATE(1969,12,31),FALSE,TRUE))</f>
        <v>0</v>
      </c>
      <c r="E4827" t="s">
        <v>928</v>
      </c>
      <c r="F4827" t="str">
        <f>INDEX(Lists!I:I,MATCH(Validation!E4827,Lists!G:G,0))</f>
        <v>Error</v>
      </c>
      <c r="G4827" t="str">
        <f>INDEX(Lists!H:H,MATCH(Validation!E4827,Lists!G:G,0))</f>
        <v>Date must be on or after January 1, 1970.</v>
      </c>
      <c r="H4827" s="16" t="str">
        <f t="shared" ca="1" si="504"/>
        <v/>
      </c>
      <c r="I4827" s="16" t="str">
        <f t="shared" ca="1" si="505"/>
        <v/>
      </c>
      <c r="J4827" s="17" t="str">
        <f t="shared" ca="1" si="506"/>
        <v/>
      </c>
    </row>
    <row r="4828" spans="1:10" x14ac:dyDescent="0.25">
      <c r="A4828" t="s">
        <v>941</v>
      </c>
      <c r="B4828" t="str">
        <f>ADDRESS(ROW('Loan 1'!$B$10),COLUMN('Loan 1'!$B$10),4)</f>
        <v>B10</v>
      </c>
      <c r="C4828" t="str">
        <f>ADDRESS(ROW('Loan 1'!$D$10),COLUMN('Loan 1'!$D$10),4)</f>
        <v>D10</v>
      </c>
      <c r="D4828" t="b" cm="1">
        <f t="array" aca="1" ref="D4828" ca="1">IF(INDIRECT("'"&amp;A4828&amp;"'!"&amp;B4828)="",FALSE,IF(INDIRECT("'"&amp;A4828&amp;"'!"&amp;B4828)&gt;DATE(1969,12,31),FALSE,TRUE))</f>
        <v>0</v>
      </c>
      <c r="E4828" t="s">
        <v>928</v>
      </c>
      <c r="F4828" t="str">
        <f>INDEX(Lists!I:I,MATCH(Validation!E4828,Lists!G:G,0))</f>
        <v>Error</v>
      </c>
      <c r="G4828" t="str">
        <f>INDEX(Lists!H:H,MATCH(Validation!E4828,Lists!G:G,0))</f>
        <v>Date must be on or after January 1, 1970.</v>
      </c>
      <c r="H4828" s="16" t="str">
        <f t="shared" ca="1" si="504"/>
        <v/>
      </c>
      <c r="I4828" s="16" t="str">
        <f t="shared" ca="1" si="505"/>
        <v/>
      </c>
      <c r="J4828" s="17" t="str">
        <f t="shared" ca="1" si="506"/>
        <v/>
      </c>
    </row>
    <row r="4829" spans="1:10" x14ac:dyDescent="0.25">
      <c r="A4829" t="s">
        <v>942</v>
      </c>
      <c r="B4829" t="str">
        <f>ADDRESS(ROW('Loan 1'!$B$10),COLUMN('Loan 1'!$B$10),4)</f>
        <v>B10</v>
      </c>
      <c r="C4829" t="str">
        <f>ADDRESS(ROW('Loan 1'!$D$10),COLUMN('Loan 1'!$D$10),4)</f>
        <v>D10</v>
      </c>
      <c r="D4829" t="b" cm="1">
        <f t="array" aca="1" ref="D4829" ca="1">IF(INDIRECT("'"&amp;A4829&amp;"'!"&amp;B4829)="",FALSE,IF(INDIRECT("'"&amp;A4829&amp;"'!"&amp;B4829)&gt;DATE(1969,12,31),FALSE,TRUE))</f>
        <v>0</v>
      </c>
      <c r="E4829" t="s">
        <v>928</v>
      </c>
      <c r="F4829" t="str">
        <f>INDEX(Lists!I:I,MATCH(Validation!E4829,Lists!G:G,0))</f>
        <v>Error</v>
      </c>
      <c r="G4829" t="str">
        <f>INDEX(Lists!H:H,MATCH(Validation!E4829,Lists!G:G,0))</f>
        <v>Date must be on or after January 1, 1970.</v>
      </c>
      <c r="H4829" s="16" t="str">
        <f t="shared" ca="1" si="504"/>
        <v/>
      </c>
      <c r="I4829" s="16" t="str">
        <f t="shared" ca="1" si="505"/>
        <v/>
      </c>
      <c r="J4829" s="17" t="str">
        <f t="shared" ca="1" si="506"/>
        <v/>
      </c>
    </row>
    <row r="4830" spans="1:10" x14ac:dyDescent="0.25">
      <c r="A4830" t="s">
        <v>943</v>
      </c>
      <c r="B4830" t="str">
        <f>ADDRESS(ROW('Loan 1'!$B$10),COLUMN('Loan 1'!$B$10),4)</f>
        <v>B10</v>
      </c>
      <c r="C4830" t="str">
        <f>ADDRESS(ROW('Loan 1'!$D$10),COLUMN('Loan 1'!$D$10),4)</f>
        <v>D10</v>
      </c>
      <c r="D4830" t="b" cm="1">
        <f t="array" aca="1" ref="D4830" ca="1">IF(INDIRECT("'"&amp;A4830&amp;"'!"&amp;B4830)="",FALSE,IF(INDIRECT("'"&amp;A4830&amp;"'!"&amp;B4830)&gt;DATE(1969,12,31),FALSE,TRUE))</f>
        <v>0</v>
      </c>
      <c r="E4830" t="s">
        <v>928</v>
      </c>
      <c r="F4830" t="str">
        <f>INDEX(Lists!I:I,MATCH(Validation!E4830,Lists!G:G,0))</f>
        <v>Error</v>
      </c>
      <c r="G4830" t="str">
        <f>INDEX(Lists!H:H,MATCH(Validation!E4830,Lists!G:G,0))</f>
        <v>Date must be on or after January 1, 1970.</v>
      </c>
      <c r="H4830" s="16" t="str">
        <f t="shared" ca="1" si="504"/>
        <v/>
      </c>
      <c r="I4830" s="16" t="str">
        <f t="shared" ca="1" si="505"/>
        <v/>
      </c>
      <c r="J4830" s="17" t="str">
        <f t="shared" ca="1" si="506"/>
        <v/>
      </c>
    </row>
    <row r="4831" spans="1:10" x14ac:dyDescent="0.25">
      <c r="A4831" t="s">
        <v>944</v>
      </c>
      <c r="B4831" t="str">
        <f>ADDRESS(ROW('Loan 1'!$B$10),COLUMN('Loan 1'!$B$10),4)</f>
        <v>B10</v>
      </c>
      <c r="C4831" t="str">
        <f>ADDRESS(ROW('Loan 1'!$D$10),COLUMN('Loan 1'!$D$10),4)</f>
        <v>D10</v>
      </c>
      <c r="D4831" t="b" cm="1">
        <f t="array" aca="1" ref="D4831" ca="1">IF(INDIRECT("'"&amp;A4831&amp;"'!"&amp;B4831)="",FALSE,IF(INDIRECT("'"&amp;A4831&amp;"'!"&amp;B4831)&gt;DATE(1969,12,31),FALSE,TRUE))</f>
        <v>0</v>
      </c>
      <c r="E4831" t="s">
        <v>928</v>
      </c>
      <c r="F4831" t="str">
        <f>INDEX(Lists!I:I,MATCH(Validation!E4831,Lists!G:G,0))</f>
        <v>Error</v>
      </c>
      <c r="G4831" t="str">
        <f>INDEX(Lists!H:H,MATCH(Validation!E4831,Lists!G:G,0))</f>
        <v>Date must be on or after January 1, 1970.</v>
      </c>
      <c r="H4831" s="16" t="str">
        <f t="shared" ca="1" si="504"/>
        <v/>
      </c>
      <c r="I4831" s="16" t="str">
        <f t="shared" ca="1" si="505"/>
        <v/>
      </c>
      <c r="J4831" s="17" t="str">
        <f t="shared" ca="1" si="506"/>
        <v/>
      </c>
    </row>
    <row r="4832" spans="1:10" x14ac:dyDescent="0.25">
      <c r="A4832" t="s">
        <v>945</v>
      </c>
      <c r="B4832" t="str">
        <f>ADDRESS(ROW('Loan 1'!$B$10),COLUMN('Loan 1'!$B$10),4)</f>
        <v>B10</v>
      </c>
      <c r="C4832" t="str">
        <f>ADDRESS(ROW('Loan 1'!$D$10),COLUMN('Loan 1'!$D$10),4)</f>
        <v>D10</v>
      </c>
      <c r="D4832" t="b" cm="1">
        <f t="array" aca="1" ref="D4832" ca="1">IF(INDIRECT("'"&amp;A4832&amp;"'!"&amp;B4832)="",FALSE,IF(INDIRECT("'"&amp;A4832&amp;"'!"&amp;B4832)&gt;DATE(1969,12,31),FALSE,TRUE))</f>
        <v>0</v>
      </c>
      <c r="E4832" t="s">
        <v>928</v>
      </c>
      <c r="F4832" t="str">
        <f>INDEX(Lists!I:I,MATCH(Validation!E4832,Lists!G:G,0))</f>
        <v>Error</v>
      </c>
      <c r="G4832" t="str">
        <f>INDEX(Lists!H:H,MATCH(Validation!E4832,Lists!G:G,0))</f>
        <v>Date must be on or after January 1, 1970.</v>
      </c>
      <c r="H4832" s="16" t="str">
        <f t="shared" ca="1" si="504"/>
        <v/>
      </c>
      <c r="I4832" s="16" t="str">
        <f t="shared" ca="1" si="505"/>
        <v/>
      </c>
      <c r="J4832" s="17" t="str">
        <f t="shared" ca="1" si="506"/>
        <v/>
      </c>
    </row>
    <row r="4833" spans="1:10" x14ac:dyDescent="0.25">
      <c r="A4833" t="s">
        <v>205</v>
      </c>
      <c r="B4833" t="str">
        <f>ADDRESS(ROW('Loan 1'!$B$10),COLUMN('Loan 1'!$B$10),4)</f>
        <v>B10</v>
      </c>
      <c r="C4833" t="str">
        <f>ADDRESS(ROW('Loan 1'!$D$10),COLUMN('Loan 1'!$D$10),4)</f>
        <v>D10</v>
      </c>
      <c r="D4833" t="b" cm="1">
        <f t="array" aca="1" ref="D4833" ca="1">IF(INDIRECT("'"&amp;A4833&amp;"'!"&amp;B4833)="",FALSE,IF(INDIRECT("'"&amp;A4833&amp;"'!"&amp;B4833)&gt;DATE(Year_DestinationYearID,12,31),TRUE,FALSE))</f>
        <v>0</v>
      </c>
      <c r="E4833" t="s">
        <v>608</v>
      </c>
      <c r="F4833" t="str">
        <f>INDEX(Lists!I:I,MATCH(Validation!E4833,Lists!G:G,0))</f>
        <v>Error</v>
      </c>
      <c r="G4833" t="str">
        <f>INDEX(Lists!H:H,MATCH(Validation!E4833,Lists!G:G,0))</f>
        <v>Issue date must be on or before December 31, 2024.</v>
      </c>
      <c r="H4833" s="16" t="str">
        <f t="shared" ca="1" si="498"/>
        <v/>
      </c>
      <c r="I4833" s="16" t="str">
        <f t="shared" ca="1" si="499"/>
        <v/>
      </c>
      <c r="J4833" s="17" t="str">
        <f t="shared" ca="1" si="500"/>
        <v/>
      </c>
    </row>
    <row r="4834" spans="1:10" x14ac:dyDescent="0.25">
      <c r="A4834" t="s">
        <v>932</v>
      </c>
      <c r="B4834" t="str">
        <f>ADDRESS(ROW('Loan 1'!$B$10),COLUMN('Loan 1'!$B$10),4)</f>
        <v>B10</v>
      </c>
      <c r="C4834" t="str">
        <f>ADDRESS(ROW('Loan 1'!$D$10),COLUMN('Loan 1'!$D$10),4)</f>
        <v>D10</v>
      </c>
      <c r="D4834" t="b" cm="1">
        <f t="array" aca="1" ref="D4834" ca="1">IF(INDIRECT("'"&amp;A4834&amp;"'!"&amp;B4834)="",FALSE,IF(INDIRECT("'"&amp;A4834&amp;"'!"&amp;B4834)&gt;DATE(Year_DestinationYearID,12,31),TRUE,FALSE))</f>
        <v>0</v>
      </c>
      <c r="E4834" t="s">
        <v>608</v>
      </c>
      <c r="F4834" t="str">
        <f>INDEX(Lists!I:I,MATCH(Validation!E4834,Lists!G:G,0))</f>
        <v>Error</v>
      </c>
      <c r="G4834" t="str">
        <f>INDEX(Lists!H:H,MATCH(Validation!E4834,Lists!G:G,0))</f>
        <v>Issue date must be on or before December 31, 2024.</v>
      </c>
      <c r="H4834" s="16" t="str">
        <f t="shared" ca="1" si="498"/>
        <v/>
      </c>
      <c r="I4834" s="16" t="str">
        <f t="shared" ca="1" si="499"/>
        <v/>
      </c>
      <c r="J4834" s="17" t="str">
        <f t="shared" ca="1" si="500"/>
        <v/>
      </c>
    </row>
    <row r="4835" spans="1:10" x14ac:dyDescent="0.25">
      <c r="A4835" t="s">
        <v>933</v>
      </c>
      <c r="B4835" t="str">
        <f>ADDRESS(ROW('Loan 1'!$B$10),COLUMN('Loan 1'!$B$10),4)</f>
        <v>B10</v>
      </c>
      <c r="C4835" t="str">
        <f>ADDRESS(ROW('Loan 1'!$D$10),COLUMN('Loan 1'!$D$10),4)</f>
        <v>D10</v>
      </c>
      <c r="D4835" t="b" cm="1">
        <f t="array" aca="1" ref="D4835" ca="1">IF(INDIRECT("'"&amp;A4835&amp;"'!"&amp;B4835)="",FALSE,IF(INDIRECT("'"&amp;A4835&amp;"'!"&amp;B4835)&gt;DATE(Year_DestinationYearID,12,31),TRUE,FALSE))</f>
        <v>0</v>
      </c>
      <c r="E4835" t="s">
        <v>608</v>
      </c>
      <c r="F4835" t="str">
        <f>INDEX(Lists!I:I,MATCH(Validation!E4835,Lists!G:G,0))</f>
        <v>Error</v>
      </c>
      <c r="G4835" t="str">
        <f>INDEX(Lists!H:H,MATCH(Validation!E4835,Lists!G:G,0))</f>
        <v>Issue date must be on or before December 31, 2024.</v>
      </c>
      <c r="H4835" s="16" t="str">
        <f t="shared" ca="1" si="498"/>
        <v/>
      </c>
      <c r="I4835" s="16" t="str">
        <f t="shared" ca="1" si="499"/>
        <v/>
      </c>
      <c r="J4835" s="17" t="str">
        <f t="shared" ca="1" si="500"/>
        <v/>
      </c>
    </row>
    <row r="4836" spans="1:10" x14ac:dyDescent="0.25">
      <c r="A4836" t="s">
        <v>934</v>
      </c>
      <c r="B4836" t="str">
        <f>ADDRESS(ROW('Loan 1'!$B$10),COLUMN('Loan 1'!$B$10),4)</f>
        <v>B10</v>
      </c>
      <c r="C4836" t="str">
        <f>ADDRESS(ROW('Loan 1'!$D$10),COLUMN('Loan 1'!$D$10),4)</f>
        <v>D10</v>
      </c>
      <c r="D4836" t="b" cm="1">
        <f t="array" aca="1" ref="D4836" ca="1">IF(INDIRECT("'"&amp;A4836&amp;"'!"&amp;B4836)="",FALSE,IF(INDIRECT("'"&amp;A4836&amp;"'!"&amp;B4836)&gt;DATE(Year_DestinationYearID,12,31),TRUE,FALSE))</f>
        <v>0</v>
      </c>
      <c r="E4836" t="s">
        <v>608</v>
      </c>
      <c r="F4836" t="str">
        <f>INDEX(Lists!I:I,MATCH(Validation!E4836,Lists!G:G,0))</f>
        <v>Error</v>
      </c>
      <c r="G4836" t="str">
        <f>INDEX(Lists!H:H,MATCH(Validation!E4836,Lists!G:G,0))</f>
        <v>Issue date must be on or before December 31, 2024.</v>
      </c>
      <c r="H4836" s="16" t="str">
        <f t="shared" ca="1" si="498"/>
        <v/>
      </c>
      <c r="I4836" s="16" t="str">
        <f t="shared" ca="1" si="499"/>
        <v/>
      </c>
      <c r="J4836" s="17" t="str">
        <f t="shared" ca="1" si="500"/>
        <v/>
      </c>
    </row>
    <row r="4837" spans="1:10" x14ac:dyDescent="0.25">
      <c r="A4837" t="s">
        <v>935</v>
      </c>
      <c r="B4837" t="str">
        <f>ADDRESS(ROW('Loan 1'!$B$10),COLUMN('Loan 1'!$B$10),4)</f>
        <v>B10</v>
      </c>
      <c r="C4837" t="str">
        <f>ADDRESS(ROW('Loan 1'!$D$10),COLUMN('Loan 1'!$D$10),4)</f>
        <v>D10</v>
      </c>
      <c r="D4837" t="b" cm="1">
        <f t="array" aca="1" ref="D4837" ca="1">IF(INDIRECT("'"&amp;A4837&amp;"'!"&amp;B4837)="",FALSE,IF(INDIRECT("'"&amp;A4837&amp;"'!"&amp;B4837)&gt;DATE(Year_DestinationYearID,12,31),TRUE,FALSE))</f>
        <v>0</v>
      </c>
      <c r="E4837" t="s">
        <v>608</v>
      </c>
      <c r="F4837" t="str">
        <f>INDEX(Lists!I:I,MATCH(Validation!E4837,Lists!G:G,0))</f>
        <v>Error</v>
      </c>
      <c r="G4837" t="str">
        <f>INDEX(Lists!H:H,MATCH(Validation!E4837,Lists!G:G,0))</f>
        <v>Issue date must be on or before December 31, 2024.</v>
      </c>
      <c r="H4837" s="16" t="str">
        <f t="shared" ca="1" si="498"/>
        <v/>
      </c>
      <c r="I4837" s="16" t="str">
        <f t="shared" ca="1" si="499"/>
        <v/>
      </c>
      <c r="J4837" s="17" t="str">
        <f t="shared" ca="1" si="500"/>
        <v/>
      </c>
    </row>
    <row r="4838" spans="1:10" x14ac:dyDescent="0.25">
      <c r="A4838" t="s">
        <v>936</v>
      </c>
      <c r="B4838" t="str">
        <f>ADDRESS(ROW('Loan 1'!$B$10),COLUMN('Loan 1'!$B$10),4)</f>
        <v>B10</v>
      </c>
      <c r="C4838" t="str">
        <f>ADDRESS(ROW('Loan 1'!$D$10),COLUMN('Loan 1'!$D$10),4)</f>
        <v>D10</v>
      </c>
      <c r="D4838" t="b" cm="1">
        <f t="array" aca="1" ref="D4838" ca="1">IF(INDIRECT("'"&amp;A4838&amp;"'!"&amp;B4838)="",FALSE,IF(INDIRECT("'"&amp;A4838&amp;"'!"&amp;B4838)&gt;DATE(Year_DestinationYearID,12,31),TRUE,FALSE))</f>
        <v>0</v>
      </c>
      <c r="E4838" t="s">
        <v>608</v>
      </c>
      <c r="F4838" t="str">
        <f>INDEX(Lists!I:I,MATCH(Validation!E4838,Lists!G:G,0))</f>
        <v>Error</v>
      </c>
      <c r="G4838" t="str">
        <f>INDEX(Lists!H:H,MATCH(Validation!E4838,Lists!G:G,0))</f>
        <v>Issue date must be on or before December 31, 2024.</v>
      </c>
      <c r="H4838" s="16" t="str">
        <f t="shared" ca="1" si="498"/>
        <v/>
      </c>
      <c r="I4838" s="16" t="str">
        <f t="shared" ca="1" si="499"/>
        <v/>
      </c>
      <c r="J4838" s="17" t="str">
        <f t="shared" ca="1" si="500"/>
        <v/>
      </c>
    </row>
    <row r="4839" spans="1:10" x14ac:dyDescent="0.25">
      <c r="A4839" t="s">
        <v>937</v>
      </c>
      <c r="B4839" t="str">
        <f>ADDRESS(ROW('Loan 1'!$B$10),COLUMN('Loan 1'!$B$10),4)</f>
        <v>B10</v>
      </c>
      <c r="C4839" t="str">
        <f>ADDRESS(ROW('Loan 1'!$D$10),COLUMN('Loan 1'!$D$10),4)</f>
        <v>D10</v>
      </c>
      <c r="D4839" t="b" cm="1">
        <f t="array" aca="1" ref="D4839" ca="1">IF(INDIRECT("'"&amp;A4839&amp;"'!"&amp;B4839)="",FALSE,IF(INDIRECT("'"&amp;A4839&amp;"'!"&amp;B4839)&gt;DATE(Year_DestinationYearID,12,31),TRUE,FALSE))</f>
        <v>0</v>
      </c>
      <c r="E4839" t="s">
        <v>608</v>
      </c>
      <c r="F4839" t="str">
        <f>INDEX(Lists!I:I,MATCH(Validation!E4839,Lists!G:G,0))</f>
        <v>Error</v>
      </c>
      <c r="G4839" t="str">
        <f>INDEX(Lists!H:H,MATCH(Validation!E4839,Lists!G:G,0))</f>
        <v>Issue date must be on or before December 31, 2024.</v>
      </c>
      <c r="H4839" s="16" t="str">
        <f t="shared" ca="1" si="498"/>
        <v/>
      </c>
      <c r="I4839" s="16" t="str">
        <f t="shared" ca="1" si="499"/>
        <v/>
      </c>
      <c r="J4839" s="17" t="str">
        <f t="shared" ca="1" si="500"/>
        <v/>
      </c>
    </row>
    <row r="4840" spans="1:10" x14ac:dyDescent="0.25">
      <c r="A4840" t="s">
        <v>938</v>
      </c>
      <c r="B4840" t="str">
        <f>ADDRESS(ROW('Loan 1'!$B$10),COLUMN('Loan 1'!$B$10),4)</f>
        <v>B10</v>
      </c>
      <c r="C4840" t="str">
        <f>ADDRESS(ROW('Loan 1'!$D$10),COLUMN('Loan 1'!$D$10),4)</f>
        <v>D10</v>
      </c>
      <c r="D4840" t="b" cm="1">
        <f t="array" aca="1" ref="D4840" ca="1">IF(INDIRECT("'"&amp;A4840&amp;"'!"&amp;B4840)="",FALSE,IF(INDIRECT("'"&amp;A4840&amp;"'!"&amp;B4840)&gt;DATE(Year_DestinationYearID,12,31),TRUE,FALSE))</f>
        <v>0</v>
      </c>
      <c r="E4840" t="s">
        <v>608</v>
      </c>
      <c r="F4840" t="str">
        <f>INDEX(Lists!I:I,MATCH(Validation!E4840,Lists!G:G,0))</f>
        <v>Error</v>
      </c>
      <c r="G4840" t="str">
        <f>INDEX(Lists!H:H,MATCH(Validation!E4840,Lists!G:G,0))</f>
        <v>Issue date must be on or before December 31, 2024.</v>
      </c>
      <c r="H4840" s="16" t="str">
        <f t="shared" ca="1" si="498"/>
        <v/>
      </c>
      <c r="I4840" s="16" t="str">
        <f t="shared" ca="1" si="499"/>
        <v/>
      </c>
      <c r="J4840" s="17" t="str">
        <f t="shared" ca="1" si="500"/>
        <v/>
      </c>
    </row>
    <row r="4841" spans="1:10" x14ac:dyDescent="0.25">
      <c r="A4841" t="s">
        <v>939</v>
      </c>
      <c r="B4841" t="str">
        <f>ADDRESS(ROW('Loan 1'!$B$10),COLUMN('Loan 1'!$B$10),4)</f>
        <v>B10</v>
      </c>
      <c r="C4841" t="str">
        <f>ADDRESS(ROW('Loan 1'!$D$10),COLUMN('Loan 1'!$D$10),4)</f>
        <v>D10</v>
      </c>
      <c r="D4841" t="b" cm="1">
        <f t="array" aca="1" ref="D4841" ca="1">IF(INDIRECT("'"&amp;A4841&amp;"'!"&amp;B4841)="",FALSE,IF(INDIRECT("'"&amp;A4841&amp;"'!"&amp;B4841)&gt;DATE(Year_DestinationYearID,12,31),TRUE,FALSE))</f>
        <v>0</v>
      </c>
      <c r="E4841" t="s">
        <v>608</v>
      </c>
      <c r="F4841" t="str">
        <f>INDEX(Lists!I:I,MATCH(Validation!E4841,Lists!G:G,0))</f>
        <v>Error</v>
      </c>
      <c r="G4841" t="str">
        <f>INDEX(Lists!H:H,MATCH(Validation!E4841,Lists!G:G,0))</f>
        <v>Issue date must be on or before December 31, 2024.</v>
      </c>
      <c r="H4841" s="16" t="str">
        <f t="shared" ca="1" si="498"/>
        <v/>
      </c>
      <c r="I4841" s="16" t="str">
        <f t="shared" ca="1" si="499"/>
        <v/>
      </c>
      <c r="J4841" s="17" t="str">
        <f t="shared" ca="1" si="500"/>
        <v/>
      </c>
    </row>
    <row r="4842" spans="1:10" x14ac:dyDescent="0.25">
      <c r="A4842" t="s">
        <v>940</v>
      </c>
      <c r="B4842" t="str">
        <f>ADDRESS(ROW('Loan 1'!$B$10),COLUMN('Loan 1'!$B$10),4)</f>
        <v>B10</v>
      </c>
      <c r="C4842" t="str">
        <f>ADDRESS(ROW('Loan 1'!$D$10),COLUMN('Loan 1'!$D$10),4)</f>
        <v>D10</v>
      </c>
      <c r="D4842" t="b" cm="1">
        <f t="array" aca="1" ref="D4842" ca="1">IF(INDIRECT("'"&amp;A4842&amp;"'!"&amp;B4842)="",FALSE,IF(INDIRECT("'"&amp;A4842&amp;"'!"&amp;B4842)&gt;DATE(Year_DestinationYearID,12,31),TRUE,FALSE))</f>
        <v>0</v>
      </c>
      <c r="E4842" t="s">
        <v>608</v>
      </c>
      <c r="F4842" t="str">
        <f>INDEX(Lists!I:I,MATCH(Validation!E4842,Lists!G:G,0))</f>
        <v>Error</v>
      </c>
      <c r="G4842" t="str">
        <f>INDEX(Lists!H:H,MATCH(Validation!E4842,Lists!G:G,0))</f>
        <v>Issue date must be on or before December 31, 2024.</v>
      </c>
      <c r="H4842" s="16" t="str">
        <f t="shared" ca="1" si="498"/>
        <v/>
      </c>
      <c r="I4842" s="16" t="str">
        <f t="shared" ca="1" si="499"/>
        <v/>
      </c>
      <c r="J4842" s="17" t="str">
        <f t="shared" ca="1" si="500"/>
        <v/>
      </c>
    </row>
    <row r="4843" spans="1:10" x14ac:dyDescent="0.25">
      <c r="A4843" t="s">
        <v>941</v>
      </c>
      <c r="B4843" t="str">
        <f>ADDRESS(ROW('Loan 1'!$B$10),COLUMN('Loan 1'!$B$10),4)</f>
        <v>B10</v>
      </c>
      <c r="C4843" t="str">
        <f>ADDRESS(ROW('Loan 1'!$D$10),COLUMN('Loan 1'!$D$10),4)</f>
        <v>D10</v>
      </c>
      <c r="D4843" t="b" cm="1">
        <f t="array" aca="1" ref="D4843" ca="1">IF(INDIRECT("'"&amp;A4843&amp;"'!"&amp;B4843)="",FALSE,IF(INDIRECT("'"&amp;A4843&amp;"'!"&amp;B4843)&gt;DATE(Year_DestinationYearID,12,31),TRUE,FALSE))</f>
        <v>0</v>
      </c>
      <c r="E4843" t="s">
        <v>608</v>
      </c>
      <c r="F4843" t="str">
        <f>INDEX(Lists!I:I,MATCH(Validation!E4843,Lists!G:G,0))</f>
        <v>Error</v>
      </c>
      <c r="G4843" t="str">
        <f>INDEX(Lists!H:H,MATCH(Validation!E4843,Lists!G:G,0))</f>
        <v>Issue date must be on or before December 31, 2024.</v>
      </c>
      <c r="H4843" s="16" t="str">
        <f t="shared" ca="1" si="498"/>
        <v/>
      </c>
      <c r="I4843" s="16" t="str">
        <f t="shared" ca="1" si="499"/>
        <v/>
      </c>
      <c r="J4843" s="17" t="str">
        <f t="shared" ca="1" si="500"/>
        <v/>
      </c>
    </row>
    <row r="4844" spans="1:10" x14ac:dyDescent="0.25">
      <c r="A4844" t="s">
        <v>942</v>
      </c>
      <c r="B4844" t="str">
        <f>ADDRESS(ROW('Loan 1'!$B$10),COLUMN('Loan 1'!$B$10),4)</f>
        <v>B10</v>
      </c>
      <c r="C4844" t="str">
        <f>ADDRESS(ROW('Loan 1'!$D$10),COLUMN('Loan 1'!$D$10),4)</f>
        <v>D10</v>
      </c>
      <c r="D4844" t="b" cm="1">
        <f t="array" aca="1" ref="D4844" ca="1">IF(INDIRECT("'"&amp;A4844&amp;"'!"&amp;B4844)="",FALSE,IF(INDIRECT("'"&amp;A4844&amp;"'!"&amp;B4844)&gt;DATE(Year_DestinationYearID,12,31),TRUE,FALSE))</f>
        <v>0</v>
      </c>
      <c r="E4844" t="s">
        <v>608</v>
      </c>
      <c r="F4844" t="str">
        <f>INDEX(Lists!I:I,MATCH(Validation!E4844,Lists!G:G,0))</f>
        <v>Error</v>
      </c>
      <c r="G4844" t="str">
        <f>INDEX(Lists!H:H,MATCH(Validation!E4844,Lists!G:G,0))</f>
        <v>Issue date must be on or before December 31, 2024.</v>
      </c>
      <c r="H4844" s="16" t="str">
        <f t="shared" ca="1" si="498"/>
        <v/>
      </c>
      <c r="I4844" s="16" t="str">
        <f t="shared" ca="1" si="499"/>
        <v/>
      </c>
      <c r="J4844" s="17" t="str">
        <f t="shared" ca="1" si="500"/>
        <v/>
      </c>
    </row>
    <row r="4845" spans="1:10" x14ac:dyDescent="0.25">
      <c r="A4845" t="s">
        <v>943</v>
      </c>
      <c r="B4845" t="str">
        <f>ADDRESS(ROW('Loan 1'!$B$10),COLUMN('Loan 1'!$B$10),4)</f>
        <v>B10</v>
      </c>
      <c r="C4845" t="str">
        <f>ADDRESS(ROW('Loan 1'!$D$10),COLUMN('Loan 1'!$D$10),4)</f>
        <v>D10</v>
      </c>
      <c r="D4845" t="b" cm="1">
        <f t="array" aca="1" ref="D4845" ca="1">IF(INDIRECT("'"&amp;A4845&amp;"'!"&amp;B4845)="",FALSE,IF(INDIRECT("'"&amp;A4845&amp;"'!"&amp;B4845)&gt;DATE(Year_DestinationYearID,12,31),TRUE,FALSE))</f>
        <v>0</v>
      </c>
      <c r="E4845" t="s">
        <v>608</v>
      </c>
      <c r="F4845" t="str">
        <f>INDEX(Lists!I:I,MATCH(Validation!E4845,Lists!G:G,0))</f>
        <v>Error</v>
      </c>
      <c r="G4845" t="str">
        <f>INDEX(Lists!H:H,MATCH(Validation!E4845,Lists!G:G,0))</f>
        <v>Issue date must be on or before December 31, 2024.</v>
      </c>
      <c r="H4845" s="16" t="str">
        <f t="shared" ca="1" si="498"/>
        <v/>
      </c>
      <c r="I4845" s="16" t="str">
        <f t="shared" ca="1" si="499"/>
        <v/>
      </c>
      <c r="J4845" s="17" t="str">
        <f t="shared" ca="1" si="500"/>
        <v/>
      </c>
    </row>
    <row r="4846" spans="1:10" x14ac:dyDescent="0.25">
      <c r="A4846" t="s">
        <v>944</v>
      </c>
      <c r="B4846" t="str">
        <f>ADDRESS(ROW('Loan 1'!$B$10),COLUMN('Loan 1'!$B$10),4)</f>
        <v>B10</v>
      </c>
      <c r="C4846" t="str">
        <f>ADDRESS(ROW('Loan 1'!$D$10),COLUMN('Loan 1'!$D$10),4)</f>
        <v>D10</v>
      </c>
      <c r="D4846" t="b" cm="1">
        <f t="array" aca="1" ref="D4846" ca="1">IF(INDIRECT("'"&amp;A4846&amp;"'!"&amp;B4846)="",FALSE,IF(INDIRECT("'"&amp;A4846&amp;"'!"&amp;B4846)&gt;DATE(Year_DestinationYearID,12,31),TRUE,FALSE))</f>
        <v>0</v>
      </c>
      <c r="E4846" t="s">
        <v>608</v>
      </c>
      <c r="F4846" t="str">
        <f>INDEX(Lists!I:I,MATCH(Validation!E4846,Lists!G:G,0))</f>
        <v>Error</v>
      </c>
      <c r="G4846" t="str">
        <f>INDEX(Lists!H:H,MATCH(Validation!E4846,Lists!G:G,0))</f>
        <v>Issue date must be on or before December 31, 2024.</v>
      </c>
      <c r="H4846" s="16" t="str">
        <f t="shared" ca="1" si="498"/>
        <v/>
      </c>
      <c r="I4846" s="16" t="str">
        <f t="shared" ca="1" si="499"/>
        <v/>
      </c>
      <c r="J4846" s="17" t="str">
        <f t="shared" ca="1" si="500"/>
        <v/>
      </c>
    </row>
    <row r="4847" spans="1:10" x14ac:dyDescent="0.25">
      <c r="A4847" t="s">
        <v>945</v>
      </c>
      <c r="B4847" t="str">
        <f>ADDRESS(ROW('Loan 1'!$B$10),COLUMN('Loan 1'!$B$10),4)</f>
        <v>B10</v>
      </c>
      <c r="C4847" t="str">
        <f>ADDRESS(ROW('Loan 1'!$D$10),COLUMN('Loan 1'!$D$10),4)</f>
        <v>D10</v>
      </c>
      <c r="D4847" t="b" cm="1">
        <f t="array" aca="1" ref="D4847" ca="1">IF(INDIRECT("'"&amp;A4847&amp;"'!"&amp;B4847)="",FALSE,IF(INDIRECT("'"&amp;A4847&amp;"'!"&amp;B4847)&gt;DATE(Year_DestinationYearID,12,31),TRUE,FALSE))</f>
        <v>0</v>
      </c>
      <c r="E4847" t="s">
        <v>608</v>
      </c>
      <c r="F4847" t="str">
        <f>INDEX(Lists!I:I,MATCH(Validation!E4847,Lists!G:G,0))</f>
        <v>Error</v>
      </c>
      <c r="G4847" t="str">
        <f>INDEX(Lists!H:H,MATCH(Validation!E4847,Lists!G:G,0))</f>
        <v>Issue date must be on or before December 31, 2024.</v>
      </c>
      <c r="H4847" s="16" t="str">
        <f t="shared" ca="1" si="498"/>
        <v/>
      </c>
      <c r="I4847" s="16" t="str">
        <f t="shared" ca="1" si="499"/>
        <v/>
      </c>
      <c r="J4847" s="17" t="str">
        <f t="shared" ca="1" si="500"/>
        <v/>
      </c>
    </row>
    <row r="4848" spans="1:10" x14ac:dyDescent="0.25">
      <c r="A4848" t="s">
        <v>205</v>
      </c>
      <c r="B4848" t="str">
        <f>ADDRESS(ROW('Loan 1'!$B$11),COLUMN('Loan 1'!$B$11),4)</f>
        <v>B11</v>
      </c>
      <c r="C4848" t="str">
        <f>ADDRESS(ROW('Loan 1'!$D$11),COLUMN('Loan 1'!$D$11),4)</f>
        <v>D11</v>
      </c>
      <c r="D4848" t="b" cm="1">
        <f t="array" aca="1" ref="D4848" ca="1">IF(INDIRECT("'"&amp;A4848&amp;"'!"&amp;B4848)="",FALSE,ISERROR(DATE(INDIRECT("'"&amp;A4848&amp;"'!"&amp;B4848),,)))</f>
        <v>0</v>
      </c>
      <c r="E4848" t="s">
        <v>498</v>
      </c>
      <c r="F4848" t="str">
        <f>INDEX(Lists!I:I,MATCH(Validation!E4848,Lists!G:G,0))</f>
        <v>Error</v>
      </c>
      <c r="G4848" t="str">
        <f>INDEX(Lists!H:H,MATCH(Validation!E4848,Lists!G:G,0))</f>
        <v>Enter a date only (MM/DD/YYYY). Do not enter text, spaces, or amounts.</v>
      </c>
      <c r="H4848" s="16" t="str">
        <f t="shared" ca="1" si="498"/>
        <v/>
      </c>
      <c r="I4848" s="16" t="str">
        <f t="shared" ca="1" si="499"/>
        <v/>
      </c>
      <c r="J4848" s="17" t="str">
        <f t="shared" ca="1" si="500"/>
        <v/>
      </c>
    </row>
    <row r="4849" spans="1:10" x14ac:dyDescent="0.25">
      <c r="A4849" t="s">
        <v>932</v>
      </c>
      <c r="B4849" t="str">
        <f>ADDRESS(ROW('Loan 1'!$B$11),COLUMN('Loan 1'!$B$11),4)</f>
        <v>B11</v>
      </c>
      <c r="C4849" t="str">
        <f>ADDRESS(ROW('Loan 1'!$D$11),COLUMN('Loan 1'!$D$11),4)</f>
        <v>D11</v>
      </c>
      <c r="D4849" t="b" cm="1">
        <f t="array" aca="1" ref="D4849" ca="1">IF(INDIRECT("'"&amp;A4849&amp;"'!"&amp;B4849)="",FALSE,ISERROR(DATE(INDIRECT("'"&amp;A4849&amp;"'!"&amp;B4849),,)))</f>
        <v>0</v>
      </c>
      <c r="E4849" t="s">
        <v>498</v>
      </c>
      <c r="F4849" t="str">
        <f>INDEX(Lists!I:I,MATCH(Validation!E4849,Lists!G:G,0))</f>
        <v>Error</v>
      </c>
      <c r="G4849" t="str">
        <f>INDEX(Lists!H:H,MATCH(Validation!E4849,Lists!G:G,0))</f>
        <v>Enter a date only (MM/DD/YYYY). Do not enter text, spaces, or amounts.</v>
      </c>
      <c r="H4849" s="16" t="str">
        <f t="shared" ref="H4849:H4862" ca="1" si="507">IFERROR(IF(OR(NOT(D4849),F4849&lt;&gt;"Error"),"",A4849&amp;CELL("address",INDIRECT(B4849))),"")</f>
        <v/>
      </c>
      <c r="I4849" s="16" t="str">
        <f t="shared" ref="I4849:I4862" ca="1" si="508">IFERROR(IF(NOT(D4849),"",A4849&amp;CELL("address",INDIRECT(C4849))),"")</f>
        <v/>
      </c>
      <c r="J4849" s="17" t="str">
        <f t="shared" ref="J4849:J4862" ca="1" si="509">IFERROR(IF(NOT(D4849),"",A4849),"")</f>
        <v/>
      </c>
    </row>
    <row r="4850" spans="1:10" x14ac:dyDescent="0.25">
      <c r="A4850" t="s">
        <v>933</v>
      </c>
      <c r="B4850" t="str">
        <f>ADDRESS(ROW('Loan 1'!$B$11),COLUMN('Loan 1'!$B$11),4)</f>
        <v>B11</v>
      </c>
      <c r="C4850" t="str">
        <f>ADDRESS(ROW('Loan 1'!$D$11),COLUMN('Loan 1'!$D$11),4)</f>
        <v>D11</v>
      </c>
      <c r="D4850" t="b" cm="1">
        <f t="array" aca="1" ref="D4850" ca="1">IF(INDIRECT("'"&amp;A4850&amp;"'!"&amp;B4850)="",FALSE,ISERROR(DATE(INDIRECT("'"&amp;A4850&amp;"'!"&amp;B4850),,)))</f>
        <v>0</v>
      </c>
      <c r="E4850" t="s">
        <v>498</v>
      </c>
      <c r="F4850" t="str">
        <f>INDEX(Lists!I:I,MATCH(Validation!E4850,Lists!G:G,0))</f>
        <v>Error</v>
      </c>
      <c r="G4850" t="str">
        <f>INDEX(Lists!H:H,MATCH(Validation!E4850,Lists!G:G,0))</f>
        <v>Enter a date only (MM/DD/YYYY). Do not enter text, spaces, or amounts.</v>
      </c>
      <c r="H4850" s="16" t="str">
        <f t="shared" ca="1" si="507"/>
        <v/>
      </c>
      <c r="I4850" s="16" t="str">
        <f t="shared" ca="1" si="508"/>
        <v/>
      </c>
      <c r="J4850" s="17" t="str">
        <f t="shared" ca="1" si="509"/>
        <v/>
      </c>
    </row>
    <row r="4851" spans="1:10" x14ac:dyDescent="0.25">
      <c r="A4851" t="s">
        <v>934</v>
      </c>
      <c r="B4851" t="str">
        <f>ADDRESS(ROW('Loan 1'!$B$11),COLUMN('Loan 1'!$B$11),4)</f>
        <v>B11</v>
      </c>
      <c r="C4851" t="str">
        <f>ADDRESS(ROW('Loan 1'!$D$11),COLUMN('Loan 1'!$D$11),4)</f>
        <v>D11</v>
      </c>
      <c r="D4851" t="b" cm="1">
        <f t="array" aca="1" ref="D4851" ca="1">IF(INDIRECT("'"&amp;A4851&amp;"'!"&amp;B4851)="",FALSE,ISERROR(DATE(INDIRECT("'"&amp;A4851&amp;"'!"&amp;B4851),,)))</f>
        <v>0</v>
      </c>
      <c r="E4851" t="s">
        <v>498</v>
      </c>
      <c r="F4851" t="str">
        <f>INDEX(Lists!I:I,MATCH(Validation!E4851,Lists!G:G,0))</f>
        <v>Error</v>
      </c>
      <c r="G4851" t="str">
        <f>INDEX(Lists!H:H,MATCH(Validation!E4851,Lists!G:G,0))</f>
        <v>Enter a date only (MM/DD/YYYY). Do not enter text, spaces, or amounts.</v>
      </c>
      <c r="H4851" s="16" t="str">
        <f t="shared" ca="1" si="507"/>
        <v/>
      </c>
      <c r="I4851" s="16" t="str">
        <f t="shared" ca="1" si="508"/>
        <v/>
      </c>
      <c r="J4851" s="17" t="str">
        <f t="shared" ca="1" si="509"/>
        <v/>
      </c>
    </row>
    <row r="4852" spans="1:10" x14ac:dyDescent="0.25">
      <c r="A4852" t="s">
        <v>935</v>
      </c>
      <c r="B4852" t="str">
        <f>ADDRESS(ROW('Loan 1'!$B$11),COLUMN('Loan 1'!$B$11),4)</f>
        <v>B11</v>
      </c>
      <c r="C4852" t="str">
        <f>ADDRESS(ROW('Loan 1'!$D$11),COLUMN('Loan 1'!$D$11),4)</f>
        <v>D11</v>
      </c>
      <c r="D4852" t="b" cm="1">
        <f t="array" aca="1" ref="D4852" ca="1">IF(INDIRECT("'"&amp;A4852&amp;"'!"&amp;B4852)="",FALSE,ISERROR(DATE(INDIRECT("'"&amp;A4852&amp;"'!"&amp;B4852),,)))</f>
        <v>0</v>
      </c>
      <c r="E4852" t="s">
        <v>498</v>
      </c>
      <c r="F4852" t="str">
        <f>INDEX(Lists!I:I,MATCH(Validation!E4852,Lists!G:G,0))</f>
        <v>Error</v>
      </c>
      <c r="G4852" t="str">
        <f>INDEX(Lists!H:H,MATCH(Validation!E4852,Lists!G:G,0))</f>
        <v>Enter a date only (MM/DD/YYYY). Do not enter text, spaces, or amounts.</v>
      </c>
      <c r="H4852" s="16" t="str">
        <f t="shared" ca="1" si="507"/>
        <v/>
      </c>
      <c r="I4852" s="16" t="str">
        <f t="shared" ca="1" si="508"/>
        <v/>
      </c>
      <c r="J4852" s="17" t="str">
        <f t="shared" ca="1" si="509"/>
        <v/>
      </c>
    </row>
    <row r="4853" spans="1:10" x14ac:dyDescent="0.25">
      <c r="A4853" t="s">
        <v>936</v>
      </c>
      <c r="B4853" t="str">
        <f>ADDRESS(ROW('Loan 1'!$B$11),COLUMN('Loan 1'!$B$11),4)</f>
        <v>B11</v>
      </c>
      <c r="C4853" t="str">
        <f>ADDRESS(ROW('Loan 1'!$D$11),COLUMN('Loan 1'!$D$11),4)</f>
        <v>D11</v>
      </c>
      <c r="D4853" t="b" cm="1">
        <f t="array" aca="1" ref="D4853" ca="1">IF(INDIRECT("'"&amp;A4853&amp;"'!"&amp;B4853)="",FALSE,ISERROR(DATE(INDIRECT("'"&amp;A4853&amp;"'!"&amp;B4853),,)))</f>
        <v>0</v>
      </c>
      <c r="E4853" t="s">
        <v>498</v>
      </c>
      <c r="F4853" t="str">
        <f>INDEX(Lists!I:I,MATCH(Validation!E4853,Lists!G:G,0))</f>
        <v>Error</v>
      </c>
      <c r="G4853" t="str">
        <f>INDEX(Lists!H:H,MATCH(Validation!E4853,Lists!G:G,0))</f>
        <v>Enter a date only (MM/DD/YYYY). Do not enter text, spaces, or amounts.</v>
      </c>
      <c r="H4853" s="16" t="str">
        <f t="shared" ca="1" si="507"/>
        <v/>
      </c>
      <c r="I4853" s="16" t="str">
        <f t="shared" ca="1" si="508"/>
        <v/>
      </c>
      <c r="J4853" s="17" t="str">
        <f t="shared" ca="1" si="509"/>
        <v/>
      </c>
    </row>
    <row r="4854" spans="1:10" x14ac:dyDescent="0.25">
      <c r="A4854" t="s">
        <v>937</v>
      </c>
      <c r="B4854" t="str">
        <f>ADDRESS(ROW('Loan 1'!$B$11),COLUMN('Loan 1'!$B$11),4)</f>
        <v>B11</v>
      </c>
      <c r="C4854" t="str">
        <f>ADDRESS(ROW('Loan 1'!$D$11),COLUMN('Loan 1'!$D$11),4)</f>
        <v>D11</v>
      </c>
      <c r="D4854" t="b" cm="1">
        <f t="array" aca="1" ref="D4854" ca="1">IF(INDIRECT("'"&amp;A4854&amp;"'!"&amp;B4854)="",FALSE,ISERROR(DATE(INDIRECT("'"&amp;A4854&amp;"'!"&amp;B4854),,)))</f>
        <v>0</v>
      </c>
      <c r="E4854" t="s">
        <v>498</v>
      </c>
      <c r="F4854" t="str">
        <f>INDEX(Lists!I:I,MATCH(Validation!E4854,Lists!G:G,0))</f>
        <v>Error</v>
      </c>
      <c r="G4854" t="str">
        <f>INDEX(Lists!H:H,MATCH(Validation!E4854,Lists!G:G,0))</f>
        <v>Enter a date only (MM/DD/YYYY). Do not enter text, spaces, or amounts.</v>
      </c>
      <c r="H4854" s="16" t="str">
        <f t="shared" ca="1" si="507"/>
        <v/>
      </c>
      <c r="I4854" s="16" t="str">
        <f t="shared" ca="1" si="508"/>
        <v/>
      </c>
      <c r="J4854" s="17" t="str">
        <f t="shared" ca="1" si="509"/>
        <v/>
      </c>
    </row>
    <row r="4855" spans="1:10" x14ac:dyDescent="0.25">
      <c r="A4855" t="s">
        <v>938</v>
      </c>
      <c r="B4855" t="str">
        <f>ADDRESS(ROW('Loan 1'!$B$11),COLUMN('Loan 1'!$B$11),4)</f>
        <v>B11</v>
      </c>
      <c r="C4855" t="str">
        <f>ADDRESS(ROW('Loan 1'!$D$11),COLUMN('Loan 1'!$D$11),4)</f>
        <v>D11</v>
      </c>
      <c r="D4855" t="b" cm="1">
        <f t="array" aca="1" ref="D4855" ca="1">IF(INDIRECT("'"&amp;A4855&amp;"'!"&amp;B4855)="",FALSE,ISERROR(DATE(INDIRECT("'"&amp;A4855&amp;"'!"&amp;B4855),,)))</f>
        <v>0</v>
      </c>
      <c r="E4855" t="s">
        <v>498</v>
      </c>
      <c r="F4855" t="str">
        <f>INDEX(Lists!I:I,MATCH(Validation!E4855,Lists!G:G,0))</f>
        <v>Error</v>
      </c>
      <c r="G4855" t="str">
        <f>INDEX(Lists!H:H,MATCH(Validation!E4855,Lists!G:G,0))</f>
        <v>Enter a date only (MM/DD/YYYY). Do not enter text, spaces, or amounts.</v>
      </c>
      <c r="H4855" s="16" t="str">
        <f t="shared" ca="1" si="507"/>
        <v/>
      </c>
      <c r="I4855" s="16" t="str">
        <f t="shared" ca="1" si="508"/>
        <v/>
      </c>
      <c r="J4855" s="17" t="str">
        <f t="shared" ca="1" si="509"/>
        <v/>
      </c>
    </row>
    <row r="4856" spans="1:10" x14ac:dyDescent="0.25">
      <c r="A4856" t="s">
        <v>939</v>
      </c>
      <c r="B4856" t="str">
        <f>ADDRESS(ROW('Loan 1'!$B$11),COLUMN('Loan 1'!$B$11),4)</f>
        <v>B11</v>
      </c>
      <c r="C4856" t="str">
        <f>ADDRESS(ROW('Loan 1'!$D$11),COLUMN('Loan 1'!$D$11),4)</f>
        <v>D11</v>
      </c>
      <c r="D4856" t="b" cm="1">
        <f t="array" aca="1" ref="D4856" ca="1">IF(INDIRECT("'"&amp;A4856&amp;"'!"&amp;B4856)="",FALSE,ISERROR(DATE(INDIRECT("'"&amp;A4856&amp;"'!"&amp;B4856),,)))</f>
        <v>0</v>
      </c>
      <c r="E4856" t="s">
        <v>498</v>
      </c>
      <c r="F4856" t="str">
        <f>INDEX(Lists!I:I,MATCH(Validation!E4856,Lists!G:G,0))</f>
        <v>Error</v>
      </c>
      <c r="G4856" t="str">
        <f>INDEX(Lists!H:H,MATCH(Validation!E4856,Lists!G:G,0))</f>
        <v>Enter a date only (MM/DD/YYYY). Do not enter text, spaces, or amounts.</v>
      </c>
      <c r="H4856" s="16" t="str">
        <f t="shared" ca="1" si="507"/>
        <v/>
      </c>
      <c r="I4856" s="16" t="str">
        <f t="shared" ca="1" si="508"/>
        <v/>
      </c>
      <c r="J4856" s="17" t="str">
        <f t="shared" ca="1" si="509"/>
        <v/>
      </c>
    </row>
    <row r="4857" spans="1:10" x14ac:dyDescent="0.25">
      <c r="A4857" t="s">
        <v>940</v>
      </c>
      <c r="B4857" t="str">
        <f>ADDRESS(ROW('Loan 1'!$B$11),COLUMN('Loan 1'!$B$11),4)</f>
        <v>B11</v>
      </c>
      <c r="C4857" t="str">
        <f>ADDRESS(ROW('Loan 1'!$D$11),COLUMN('Loan 1'!$D$11),4)</f>
        <v>D11</v>
      </c>
      <c r="D4857" t="b" cm="1">
        <f t="array" aca="1" ref="D4857" ca="1">IF(INDIRECT("'"&amp;A4857&amp;"'!"&amp;B4857)="",FALSE,ISERROR(DATE(INDIRECT("'"&amp;A4857&amp;"'!"&amp;B4857),,)))</f>
        <v>0</v>
      </c>
      <c r="E4857" t="s">
        <v>498</v>
      </c>
      <c r="F4857" t="str">
        <f>INDEX(Lists!I:I,MATCH(Validation!E4857,Lists!G:G,0))</f>
        <v>Error</v>
      </c>
      <c r="G4857" t="str">
        <f>INDEX(Lists!H:H,MATCH(Validation!E4857,Lists!G:G,0))</f>
        <v>Enter a date only (MM/DD/YYYY). Do not enter text, spaces, or amounts.</v>
      </c>
      <c r="H4857" s="16" t="str">
        <f t="shared" ca="1" si="507"/>
        <v/>
      </c>
      <c r="I4857" s="16" t="str">
        <f t="shared" ca="1" si="508"/>
        <v/>
      </c>
      <c r="J4857" s="17" t="str">
        <f t="shared" ca="1" si="509"/>
        <v/>
      </c>
    </row>
    <row r="4858" spans="1:10" x14ac:dyDescent="0.25">
      <c r="A4858" t="s">
        <v>941</v>
      </c>
      <c r="B4858" t="str">
        <f>ADDRESS(ROW('Loan 1'!$B$11),COLUMN('Loan 1'!$B$11),4)</f>
        <v>B11</v>
      </c>
      <c r="C4858" t="str">
        <f>ADDRESS(ROW('Loan 1'!$D$11),COLUMN('Loan 1'!$D$11),4)</f>
        <v>D11</v>
      </c>
      <c r="D4858" t="b" cm="1">
        <f t="array" aca="1" ref="D4858" ca="1">IF(INDIRECT("'"&amp;A4858&amp;"'!"&amp;B4858)="",FALSE,ISERROR(DATE(INDIRECT("'"&amp;A4858&amp;"'!"&amp;B4858),,)))</f>
        <v>0</v>
      </c>
      <c r="E4858" t="s">
        <v>498</v>
      </c>
      <c r="F4858" t="str">
        <f>INDEX(Lists!I:I,MATCH(Validation!E4858,Lists!G:G,0))</f>
        <v>Error</v>
      </c>
      <c r="G4858" t="str">
        <f>INDEX(Lists!H:H,MATCH(Validation!E4858,Lists!G:G,0))</f>
        <v>Enter a date only (MM/DD/YYYY). Do not enter text, spaces, or amounts.</v>
      </c>
      <c r="H4858" s="16" t="str">
        <f t="shared" ca="1" si="507"/>
        <v/>
      </c>
      <c r="I4858" s="16" t="str">
        <f t="shared" ca="1" si="508"/>
        <v/>
      </c>
      <c r="J4858" s="17" t="str">
        <f t="shared" ca="1" si="509"/>
        <v/>
      </c>
    </row>
    <row r="4859" spans="1:10" x14ac:dyDescent="0.25">
      <c r="A4859" t="s">
        <v>942</v>
      </c>
      <c r="B4859" t="str">
        <f>ADDRESS(ROW('Loan 1'!$B$11),COLUMN('Loan 1'!$B$11),4)</f>
        <v>B11</v>
      </c>
      <c r="C4859" t="str">
        <f>ADDRESS(ROW('Loan 1'!$D$11),COLUMN('Loan 1'!$D$11),4)</f>
        <v>D11</v>
      </c>
      <c r="D4859" t="b" cm="1">
        <f t="array" aca="1" ref="D4859" ca="1">IF(INDIRECT("'"&amp;A4859&amp;"'!"&amp;B4859)="",FALSE,ISERROR(DATE(INDIRECT("'"&amp;A4859&amp;"'!"&amp;B4859),,)))</f>
        <v>0</v>
      </c>
      <c r="E4859" t="s">
        <v>498</v>
      </c>
      <c r="F4859" t="str">
        <f>INDEX(Lists!I:I,MATCH(Validation!E4859,Lists!G:G,0))</f>
        <v>Error</v>
      </c>
      <c r="G4859" t="str">
        <f>INDEX(Lists!H:H,MATCH(Validation!E4859,Lists!G:G,0))</f>
        <v>Enter a date only (MM/DD/YYYY). Do not enter text, spaces, or amounts.</v>
      </c>
      <c r="H4859" s="16" t="str">
        <f t="shared" ca="1" si="507"/>
        <v/>
      </c>
      <c r="I4859" s="16" t="str">
        <f t="shared" ca="1" si="508"/>
        <v/>
      </c>
      <c r="J4859" s="17" t="str">
        <f t="shared" ca="1" si="509"/>
        <v/>
      </c>
    </row>
    <row r="4860" spans="1:10" x14ac:dyDescent="0.25">
      <c r="A4860" t="s">
        <v>943</v>
      </c>
      <c r="B4860" t="str">
        <f>ADDRESS(ROW('Loan 1'!$B$11),COLUMN('Loan 1'!$B$11),4)</f>
        <v>B11</v>
      </c>
      <c r="C4860" t="str">
        <f>ADDRESS(ROW('Loan 1'!$D$11),COLUMN('Loan 1'!$D$11),4)</f>
        <v>D11</v>
      </c>
      <c r="D4860" t="b" cm="1">
        <f t="array" aca="1" ref="D4860" ca="1">IF(INDIRECT("'"&amp;A4860&amp;"'!"&amp;B4860)="",FALSE,ISERROR(DATE(INDIRECT("'"&amp;A4860&amp;"'!"&amp;B4860),,)))</f>
        <v>0</v>
      </c>
      <c r="E4860" t="s">
        <v>498</v>
      </c>
      <c r="F4860" t="str">
        <f>INDEX(Lists!I:I,MATCH(Validation!E4860,Lists!G:G,0))</f>
        <v>Error</v>
      </c>
      <c r="G4860" t="str">
        <f>INDEX(Lists!H:H,MATCH(Validation!E4860,Lists!G:G,0))</f>
        <v>Enter a date only (MM/DD/YYYY). Do not enter text, spaces, or amounts.</v>
      </c>
      <c r="H4860" s="16" t="str">
        <f t="shared" ca="1" si="507"/>
        <v/>
      </c>
      <c r="I4860" s="16" t="str">
        <f t="shared" ca="1" si="508"/>
        <v/>
      </c>
      <c r="J4860" s="17" t="str">
        <f t="shared" ca="1" si="509"/>
        <v/>
      </c>
    </row>
    <row r="4861" spans="1:10" x14ac:dyDescent="0.25">
      <c r="A4861" t="s">
        <v>944</v>
      </c>
      <c r="B4861" t="str">
        <f>ADDRESS(ROW('Loan 1'!$B$11),COLUMN('Loan 1'!$B$11),4)</f>
        <v>B11</v>
      </c>
      <c r="C4861" t="str">
        <f>ADDRESS(ROW('Loan 1'!$D$11),COLUMN('Loan 1'!$D$11),4)</f>
        <v>D11</v>
      </c>
      <c r="D4861" t="b" cm="1">
        <f t="array" aca="1" ref="D4861" ca="1">IF(INDIRECT("'"&amp;A4861&amp;"'!"&amp;B4861)="",FALSE,ISERROR(DATE(INDIRECT("'"&amp;A4861&amp;"'!"&amp;B4861),,)))</f>
        <v>0</v>
      </c>
      <c r="E4861" t="s">
        <v>498</v>
      </c>
      <c r="F4861" t="str">
        <f>INDEX(Lists!I:I,MATCH(Validation!E4861,Lists!G:G,0))</f>
        <v>Error</v>
      </c>
      <c r="G4861" t="str">
        <f>INDEX(Lists!H:H,MATCH(Validation!E4861,Lists!G:G,0))</f>
        <v>Enter a date only (MM/DD/YYYY). Do not enter text, spaces, or amounts.</v>
      </c>
      <c r="H4861" s="16" t="str">
        <f t="shared" ca="1" si="507"/>
        <v/>
      </c>
      <c r="I4861" s="16" t="str">
        <f t="shared" ca="1" si="508"/>
        <v/>
      </c>
      <c r="J4861" s="17" t="str">
        <f t="shared" ca="1" si="509"/>
        <v/>
      </c>
    </row>
    <row r="4862" spans="1:10" x14ac:dyDescent="0.25">
      <c r="A4862" t="s">
        <v>945</v>
      </c>
      <c r="B4862" t="str">
        <f>ADDRESS(ROW('Loan 1'!$B$11),COLUMN('Loan 1'!$B$11),4)</f>
        <v>B11</v>
      </c>
      <c r="C4862" t="str">
        <f>ADDRESS(ROW('Loan 1'!$D$11),COLUMN('Loan 1'!$D$11),4)</f>
        <v>D11</v>
      </c>
      <c r="D4862" t="b" cm="1">
        <f t="array" aca="1" ref="D4862" ca="1">IF(INDIRECT("'"&amp;A4862&amp;"'!"&amp;B4862)="",FALSE,ISERROR(DATE(INDIRECT("'"&amp;A4862&amp;"'!"&amp;B4862),,)))</f>
        <v>0</v>
      </c>
      <c r="E4862" t="s">
        <v>498</v>
      </c>
      <c r="F4862" t="str">
        <f>INDEX(Lists!I:I,MATCH(Validation!E4862,Lists!G:G,0))</f>
        <v>Error</v>
      </c>
      <c r="G4862" t="str">
        <f>INDEX(Lists!H:H,MATCH(Validation!E4862,Lists!G:G,0))</f>
        <v>Enter a date only (MM/DD/YYYY). Do not enter text, spaces, or amounts.</v>
      </c>
      <c r="H4862" s="16" t="str">
        <f t="shared" ca="1" si="507"/>
        <v/>
      </c>
      <c r="I4862" s="16" t="str">
        <f t="shared" ca="1" si="508"/>
        <v/>
      </c>
      <c r="J4862" s="17" t="str">
        <f t="shared" ca="1" si="509"/>
        <v/>
      </c>
    </row>
    <row r="4863" spans="1:10" x14ac:dyDescent="0.25">
      <c r="A4863" t="s">
        <v>205</v>
      </c>
      <c r="B4863" t="str">
        <f>ADDRESS(ROW('Loan 1'!$B$11),COLUMN('Loan 1'!$B$11),4)</f>
        <v>B11</v>
      </c>
      <c r="C4863" t="str">
        <f>ADDRESS(ROW('Loan 1'!$D$11),COLUMN('Loan 1'!$D$11),4)</f>
        <v>D11</v>
      </c>
      <c r="D4863" t="b" cm="1">
        <f t="array" aca="1" ref="D4863" ca="1">IF(INDIRECT("'"&amp;A4863&amp;"'!"&amp;B4863)="",FALSE,IF(INDIRECT("'"&amp;A4863&amp;"'!B$10")="",TRUE,FALSE))</f>
        <v>0</v>
      </c>
      <c r="E4863" t="s">
        <v>611</v>
      </c>
      <c r="F4863" t="str">
        <f>INDEX(Lists!I:I,MATCH(Validation!E4863,Lists!G:G,0))</f>
        <v>Error</v>
      </c>
      <c r="G4863" t="str">
        <f>INDEX(Lists!H:H,MATCH(Validation!E4863,Lists!G:G,0))</f>
        <v>Enter the issue date first.</v>
      </c>
      <c r="H4863" s="16" t="str">
        <f ca="1">IFERROR(IF(OR(NOT(D4863),F4863&lt;&gt;"Error"),"",A4863&amp;CELL("address",INDIRECT(B4863))),"")</f>
        <v/>
      </c>
      <c r="I4863" s="16" t="str">
        <f ca="1">IFERROR(IF(NOT(D4863),"",A4863&amp;CELL("address",INDIRECT(C4863))),"")</f>
        <v/>
      </c>
      <c r="J4863" s="17" t="str">
        <f ca="1">IFERROR(IF(NOT(D4863),"",A4863),"")</f>
        <v/>
      </c>
    </row>
    <row r="4864" spans="1:10" x14ac:dyDescent="0.25">
      <c r="A4864" t="s">
        <v>932</v>
      </c>
      <c r="B4864" t="str">
        <f>ADDRESS(ROW('Loan 1'!$B$11),COLUMN('Loan 1'!$B$11),4)</f>
        <v>B11</v>
      </c>
      <c r="C4864" t="str">
        <f>ADDRESS(ROW('Loan 1'!$D$11),COLUMN('Loan 1'!$D$11),4)</f>
        <v>D11</v>
      </c>
      <c r="D4864" t="b" cm="1">
        <f t="array" aca="1" ref="D4864" ca="1">IF(INDIRECT("'"&amp;A4864&amp;"'!"&amp;B4864)="",FALSE,IF(INDIRECT("'"&amp;A4864&amp;"'!B$10")="",TRUE,FALSE))</f>
        <v>0</v>
      </c>
      <c r="E4864" t="s">
        <v>611</v>
      </c>
      <c r="F4864" t="str">
        <f>INDEX(Lists!I:I,MATCH(Validation!E4864,Lists!G:G,0))</f>
        <v>Error</v>
      </c>
      <c r="G4864" t="str">
        <f>INDEX(Lists!H:H,MATCH(Validation!E4864,Lists!G:G,0))</f>
        <v>Enter the issue date first.</v>
      </c>
      <c r="H4864" s="16" t="str">
        <f t="shared" ref="H4864:H4877" ca="1" si="510">IFERROR(IF(OR(NOT(D4864),F4864&lt;&gt;"Error"),"",A4864&amp;CELL("address",INDIRECT(B4864))),"")</f>
        <v/>
      </c>
      <c r="I4864" s="16" t="str">
        <f t="shared" ref="I4864:I4877" ca="1" si="511">IFERROR(IF(NOT(D4864),"",A4864&amp;CELL("address",INDIRECT(C4864))),"")</f>
        <v/>
      </c>
      <c r="J4864" s="17" t="str">
        <f t="shared" ref="J4864:J4877" ca="1" si="512">IFERROR(IF(NOT(D4864),"",A4864),"")</f>
        <v/>
      </c>
    </row>
    <row r="4865" spans="1:10" x14ac:dyDescent="0.25">
      <c r="A4865" t="s">
        <v>933</v>
      </c>
      <c r="B4865" t="str">
        <f>ADDRESS(ROW('Loan 1'!$B$11),COLUMN('Loan 1'!$B$11),4)</f>
        <v>B11</v>
      </c>
      <c r="C4865" t="str">
        <f>ADDRESS(ROW('Loan 1'!$D$11),COLUMN('Loan 1'!$D$11),4)</f>
        <v>D11</v>
      </c>
      <c r="D4865" t="b" cm="1">
        <f t="array" aca="1" ref="D4865" ca="1">IF(INDIRECT("'"&amp;A4865&amp;"'!"&amp;B4865)="",FALSE,IF(INDIRECT("'"&amp;A4865&amp;"'!B$10")="",TRUE,FALSE))</f>
        <v>0</v>
      </c>
      <c r="E4865" t="s">
        <v>611</v>
      </c>
      <c r="F4865" t="str">
        <f>INDEX(Lists!I:I,MATCH(Validation!E4865,Lists!G:G,0))</f>
        <v>Error</v>
      </c>
      <c r="G4865" t="str">
        <f>INDEX(Lists!H:H,MATCH(Validation!E4865,Lists!G:G,0))</f>
        <v>Enter the issue date first.</v>
      </c>
      <c r="H4865" s="16" t="str">
        <f t="shared" ca="1" si="510"/>
        <v/>
      </c>
      <c r="I4865" s="16" t="str">
        <f t="shared" ca="1" si="511"/>
        <v/>
      </c>
      <c r="J4865" s="17" t="str">
        <f t="shared" ca="1" si="512"/>
        <v/>
      </c>
    </row>
    <row r="4866" spans="1:10" x14ac:dyDescent="0.25">
      <c r="A4866" t="s">
        <v>934</v>
      </c>
      <c r="B4866" t="str">
        <f>ADDRESS(ROW('Loan 1'!$B$11),COLUMN('Loan 1'!$B$11),4)</f>
        <v>B11</v>
      </c>
      <c r="C4866" t="str">
        <f>ADDRESS(ROW('Loan 1'!$D$11),COLUMN('Loan 1'!$D$11),4)</f>
        <v>D11</v>
      </c>
      <c r="D4866" t="b" cm="1">
        <f t="array" aca="1" ref="D4866" ca="1">IF(INDIRECT("'"&amp;A4866&amp;"'!"&amp;B4866)="",FALSE,IF(INDIRECT("'"&amp;A4866&amp;"'!B$10")="",TRUE,FALSE))</f>
        <v>0</v>
      </c>
      <c r="E4866" t="s">
        <v>611</v>
      </c>
      <c r="F4866" t="str">
        <f>INDEX(Lists!I:I,MATCH(Validation!E4866,Lists!G:G,0))</f>
        <v>Error</v>
      </c>
      <c r="G4866" t="str">
        <f>INDEX(Lists!H:H,MATCH(Validation!E4866,Lists!G:G,0))</f>
        <v>Enter the issue date first.</v>
      </c>
      <c r="H4866" s="16" t="str">
        <f t="shared" ca="1" si="510"/>
        <v/>
      </c>
      <c r="I4866" s="16" t="str">
        <f t="shared" ca="1" si="511"/>
        <v/>
      </c>
      <c r="J4866" s="17" t="str">
        <f t="shared" ca="1" si="512"/>
        <v/>
      </c>
    </row>
    <row r="4867" spans="1:10" x14ac:dyDescent="0.25">
      <c r="A4867" t="s">
        <v>935</v>
      </c>
      <c r="B4867" t="str">
        <f>ADDRESS(ROW('Loan 1'!$B$11),COLUMN('Loan 1'!$B$11),4)</f>
        <v>B11</v>
      </c>
      <c r="C4867" t="str">
        <f>ADDRESS(ROW('Loan 1'!$D$11),COLUMN('Loan 1'!$D$11),4)</f>
        <v>D11</v>
      </c>
      <c r="D4867" t="b" cm="1">
        <f t="array" aca="1" ref="D4867" ca="1">IF(INDIRECT("'"&amp;A4867&amp;"'!"&amp;B4867)="",FALSE,IF(INDIRECT("'"&amp;A4867&amp;"'!B$10")="",TRUE,FALSE))</f>
        <v>0</v>
      </c>
      <c r="E4867" t="s">
        <v>611</v>
      </c>
      <c r="F4867" t="str">
        <f>INDEX(Lists!I:I,MATCH(Validation!E4867,Lists!G:G,0))</f>
        <v>Error</v>
      </c>
      <c r="G4867" t="str">
        <f>INDEX(Lists!H:H,MATCH(Validation!E4867,Lists!G:G,0))</f>
        <v>Enter the issue date first.</v>
      </c>
      <c r="H4867" s="16" t="str">
        <f t="shared" ca="1" si="510"/>
        <v/>
      </c>
      <c r="I4867" s="16" t="str">
        <f t="shared" ca="1" si="511"/>
        <v/>
      </c>
      <c r="J4867" s="17" t="str">
        <f t="shared" ca="1" si="512"/>
        <v/>
      </c>
    </row>
    <row r="4868" spans="1:10" x14ac:dyDescent="0.25">
      <c r="A4868" t="s">
        <v>936</v>
      </c>
      <c r="B4868" t="str">
        <f>ADDRESS(ROW('Loan 1'!$B$11),COLUMN('Loan 1'!$B$11),4)</f>
        <v>B11</v>
      </c>
      <c r="C4868" t="str">
        <f>ADDRESS(ROW('Loan 1'!$D$11),COLUMN('Loan 1'!$D$11),4)</f>
        <v>D11</v>
      </c>
      <c r="D4868" t="b" cm="1">
        <f t="array" aca="1" ref="D4868" ca="1">IF(INDIRECT("'"&amp;A4868&amp;"'!"&amp;B4868)="",FALSE,IF(INDIRECT("'"&amp;A4868&amp;"'!B$10")="",TRUE,FALSE))</f>
        <v>0</v>
      </c>
      <c r="E4868" t="s">
        <v>611</v>
      </c>
      <c r="F4868" t="str">
        <f>INDEX(Lists!I:I,MATCH(Validation!E4868,Lists!G:G,0))</f>
        <v>Error</v>
      </c>
      <c r="G4868" t="str">
        <f>INDEX(Lists!H:H,MATCH(Validation!E4868,Lists!G:G,0))</f>
        <v>Enter the issue date first.</v>
      </c>
      <c r="H4868" s="16" t="str">
        <f t="shared" ca="1" si="510"/>
        <v/>
      </c>
      <c r="I4868" s="16" t="str">
        <f t="shared" ca="1" si="511"/>
        <v/>
      </c>
      <c r="J4868" s="17" t="str">
        <f t="shared" ca="1" si="512"/>
        <v/>
      </c>
    </row>
    <row r="4869" spans="1:10" x14ac:dyDescent="0.25">
      <c r="A4869" t="s">
        <v>937</v>
      </c>
      <c r="B4869" t="str">
        <f>ADDRESS(ROW('Loan 1'!$B$11),COLUMN('Loan 1'!$B$11),4)</f>
        <v>B11</v>
      </c>
      <c r="C4869" t="str">
        <f>ADDRESS(ROW('Loan 1'!$D$11),COLUMN('Loan 1'!$D$11),4)</f>
        <v>D11</v>
      </c>
      <c r="D4869" t="b" cm="1">
        <f t="array" aca="1" ref="D4869" ca="1">IF(INDIRECT("'"&amp;A4869&amp;"'!"&amp;B4869)="",FALSE,IF(INDIRECT("'"&amp;A4869&amp;"'!B$10")="",TRUE,FALSE))</f>
        <v>0</v>
      </c>
      <c r="E4869" t="s">
        <v>611</v>
      </c>
      <c r="F4869" t="str">
        <f>INDEX(Lists!I:I,MATCH(Validation!E4869,Lists!G:G,0))</f>
        <v>Error</v>
      </c>
      <c r="G4869" t="str">
        <f>INDEX(Lists!H:H,MATCH(Validation!E4869,Lists!G:G,0))</f>
        <v>Enter the issue date first.</v>
      </c>
      <c r="H4869" s="16" t="str">
        <f t="shared" ca="1" si="510"/>
        <v/>
      </c>
      <c r="I4869" s="16" t="str">
        <f t="shared" ca="1" si="511"/>
        <v/>
      </c>
      <c r="J4869" s="17" t="str">
        <f t="shared" ca="1" si="512"/>
        <v/>
      </c>
    </row>
    <row r="4870" spans="1:10" x14ac:dyDescent="0.25">
      <c r="A4870" t="s">
        <v>938</v>
      </c>
      <c r="B4870" t="str">
        <f>ADDRESS(ROW('Loan 1'!$B$11),COLUMN('Loan 1'!$B$11),4)</f>
        <v>B11</v>
      </c>
      <c r="C4870" t="str">
        <f>ADDRESS(ROW('Loan 1'!$D$11),COLUMN('Loan 1'!$D$11),4)</f>
        <v>D11</v>
      </c>
      <c r="D4870" t="b" cm="1">
        <f t="array" aca="1" ref="D4870" ca="1">IF(INDIRECT("'"&amp;A4870&amp;"'!"&amp;B4870)="",FALSE,IF(INDIRECT("'"&amp;A4870&amp;"'!B$10")="",TRUE,FALSE))</f>
        <v>0</v>
      </c>
      <c r="E4870" t="s">
        <v>611</v>
      </c>
      <c r="F4870" t="str">
        <f>INDEX(Lists!I:I,MATCH(Validation!E4870,Lists!G:G,0))</f>
        <v>Error</v>
      </c>
      <c r="G4870" t="str">
        <f>INDEX(Lists!H:H,MATCH(Validation!E4870,Lists!G:G,0))</f>
        <v>Enter the issue date first.</v>
      </c>
      <c r="H4870" s="16" t="str">
        <f t="shared" ca="1" si="510"/>
        <v/>
      </c>
      <c r="I4870" s="16" t="str">
        <f t="shared" ca="1" si="511"/>
        <v/>
      </c>
      <c r="J4870" s="17" t="str">
        <f t="shared" ca="1" si="512"/>
        <v/>
      </c>
    </row>
    <row r="4871" spans="1:10" x14ac:dyDescent="0.25">
      <c r="A4871" t="s">
        <v>939</v>
      </c>
      <c r="B4871" t="str">
        <f>ADDRESS(ROW('Loan 1'!$B$11),COLUMN('Loan 1'!$B$11),4)</f>
        <v>B11</v>
      </c>
      <c r="C4871" t="str">
        <f>ADDRESS(ROW('Loan 1'!$D$11),COLUMN('Loan 1'!$D$11),4)</f>
        <v>D11</v>
      </c>
      <c r="D4871" t="b" cm="1">
        <f t="array" aca="1" ref="D4871" ca="1">IF(INDIRECT("'"&amp;A4871&amp;"'!"&amp;B4871)="",FALSE,IF(INDIRECT("'"&amp;A4871&amp;"'!B$10")="",TRUE,FALSE))</f>
        <v>0</v>
      </c>
      <c r="E4871" t="s">
        <v>611</v>
      </c>
      <c r="F4871" t="str">
        <f>INDEX(Lists!I:I,MATCH(Validation!E4871,Lists!G:G,0))</f>
        <v>Error</v>
      </c>
      <c r="G4871" t="str">
        <f>INDEX(Lists!H:H,MATCH(Validation!E4871,Lists!G:G,0))</f>
        <v>Enter the issue date first.</v>
      </c>
      <c r="H4871" s="16" t="str">
        <f t="shared" ca="1" si="510"/>
        <v/>
      </c>
      <c r="I4871" s="16" t="str">
        <f t="shared" ca="1" si="511"/>
        <v/>
      </c>
      <c r="J4871" s="17" t="str">
        <f t="shared" ca="1" si="512"/>
        <v/>
      </c>
    </row>
    <row r="4872" spans="1:10" x14ac:dyDescent="0.25">
      <c r="A4872" t="s">
        <v>940</v>
      </c>
      <c r="B4872" t="str">
        <f>ADDRESS(ROW('Loan 1'!$B$11),COLUMN('Loan 1'!$B$11),4)</f>
        <v>B11</v>
      </c>
      <c r="C4872" t="str">
        <f>ADDRESS(ROW('Loan 1'!$D$11),COLUMN('Loan 1'!$D$11),4)</f>
        <v>D11</v>
      </c>
      <c r="D4872" t="b" cm="1">
        <f t="array" aca="1" ref="D4872" ca="1">IF(INDIRECT("'"&amp;A4872&amp;"'!"&amp;B4872)="",FALSE,IF(INDIRECT("'"&amp;A4872&amp;"'!B$10")="",TRUE,FALSE))</f>
        <v>0</v>
      </c>
      <c r="E4872" t="s">
        <v>611</v>
      </c>
      <c r="F4872" t="str">
        <f>INDEX(Lists!I:I,MATCH(Validation!E4872,Lists!G:G,0))</f>
        <v>Error</v>
      </c>
      <c r="G4872" t="str">
        <f>INDEX(Lists!H:H,MATCH(Validation!E4872,Lists!G:G,0))</f>
        <v>Enter the issue date first.</v>
      </c>
      <c r="H4872" s="16" t="str">
        <f t="shared" ca="1" si="510"/>
        <v/>
      </c>
      <c r="I4872" s="16" t="str">
        <f t="shared" ca="1" si="511"/>
        <v/>
      </c>
      <c r="J4872" s="17" t="str">
        <f t="shared" ca="1" si="512"/>
        <v/>
      </c>
    </row>
    <row r="4873" spans="1:10" x14ac:dyDescent="0.25">
      <c r="A4873" t="s">
        <v>941</v>
      </c>
      <c r="B4873" t="str">
        <f>ADDRESS(ROW('Loan 1'!$B$11),COLUMN('Loan 1'!$B$11),4)</f>
        <v>B11</v>
      </c>
      <c r="C4873" t="str">
        <f>ADDRESS(ROW('Loan 1'!$D$11),COLUMN('Loan 1'!$D$11),4)</f>
        <v>D11</v>
      </c>
      <c r="D4873" t="b" cm="1">
        <f t="array" aca="1" ref="D4873" ca="1">IF(INDIRECT("'"&amp;A4873&amp;"'!"&amp;B4873)="",FALSE,IF(INDIRECT("'"&amp;A4873&amp;"'!B$10")="",TRUE,FALSE))</f>
        <v>0</v>
      </c>
      <c r="E4873" t="s">
        <v>611</v>
      </c>
      <c r="F4873" t="str">
        <f>INDEX(Lists!I:I,MATCH(Validation!E4873,Lists!G:G,0))</f>
        <v>Error</v>
      </c>
      <c r="G4873" t="str">
        <f>INDEX(Lists!H:H,MATCH(Validation!E4873,Lists!G:G,0))</f>
        <v>Enter the issue date first.</v>
      </c>
      <c r="H4873" s="16" t="str">
        <f t="shared" ca="1" si="510"/>
        <v/>
      </c>
      <c r="I4873" s="16" t="str">
        <f t="shared" ca="1" si="511"/>
        <v/>
      </c>
      <c r="J4873" s="17" t="str">
        <f t="shared" ca="1" si="512"/>
        <v/>
      </c>
    </row>
    <row r="4874" spans="1:10" x14ac:dyDescent="0.25">
      <c r="A4874" t="s">
        <v>942</v>
      </c>
      <c r="B4874" t="str">
        <f>ADDRESS(ROW('Loan 1'!$B$11),COLUMN('Loan 1'!$B$11),4)</f>
        <v>B11</v>
      </c>
      <c r="C4874" t="str">
        <f>ADDRESS(ROW('Loan 1'!$D$11),COLUMN('Loan 1'!$D$11),4)</f>
        <v>D11</v>
      </c>
      <c r="D4874" t="b" cm="1">
        <f t="array" aca="1" ref="D4874" ca="1">IF(INDIRECT("'"&amp;A4874&amp;"'!"&amp;B4874)="",FALSE,IF(INDIRECT("'"&amp;A4874&amp;"'!B$10")="",TRUE,FALSE))</f>
        <v>0</v>
      </c>
      <c r="E4874" t="s">
        <v>611</v>
      </c>
      <c r="F4874" t="str">
        <f>INDEX(Lists!I:I,MATCH(Validation!E4874,Lists!G:G,0))</f>
        <v>Error</v>
      </c>
      <c r="G4874" t="str">
        <f>INDEX(Lists!H:H,MATCH(Validation!E4874,Lists!G:G,0))</f>
        <v>Enter the issue date first.</v>
      </c>
      <c r="H4874" s="16" t="str">
        <f t="shared" ca="1" si="510"/>
        <v/>
      </c>
      <c r="I4874" s="16" t="str">
        <f t="shared" ca="1" si="511"/>
        <v/>
      </c>
      <c r="J4874" s="17" t="str">
        <f t="shared" ca="1" si="512"/>
        <v/>
      </c>
    </row>
    <row r="4875" spans="1:10" x14ac:dyDescent="0.25">
      <c r="A4875" t="s">
        <v>943</v>
      </c>
      <c r="B4875" t="str">
        <f>ADDRESS(ROW('Loan 1'!$B$11),COLUMN('Loan 1'!$B$11),4)</f>
        <v>B11</v>
      </c>
      <c r="C4875" t="str">
        <f>ADDRESS(ROW('Loan 1'!$D$11),COLUMN('Loan 1'!$D$11),4)</f>
        <v>D11</v>
      </c>
      <c r="D4875" t="b" cm="1">
        <f t="array" aca="1" ref="D4875" ca="1">IF(INDIRECT("'"&amp;A4875&amp;"'!"&amp;B4875)="",FALSE,IF(INDIRECT("'"&amp;A4875&amp;"'!B$10")="",TRUE,FALSE))</f>
        <v>0</v>
      </c>
      <c r="E4875" t="s">
        <v>611</v>
      </c>
      <c r="F4875" t="str">
        <f>INDEX(Lists!I:I,MATCH(Validation!E4875,Lists!G:G,0))</f>
        <v>Error</v>
      </c>
      <c r="G4875" t="str">
        <f>INDEX(Lists!H:H,MATCH(Validation!E4875,Lists!G:G,0))</f>
        <v>Enter the issue date first.</v>
      </c>
      <c r="H4875" s="16" t="str">
        <f t="shared" ca="1" si="510"/>
        <v/>
      </c>
      <c r="I4875" s="16" t="str">
        <f t="shared" ca="1" si="511"/>
        <v/>
      </c>
      <c r="J4875" s="17" t="str">
        <f t="shared" ca="1" si="512"/>
        <v/>
      </c>
    </row>
    <row r="4876" spans="1:10" x14ac:dyDescent="0.25">
      <c r="A4876" t="s">
        <v>944</v>
      </c>
      <c r="B4876" t="str">
        <f>ADDRESS(ROW('Loan 1'!$B$11),COLUMN('Loan 1'!$B$11),4)</f>
        <v>B11</v>
      </c>
      <c r="C4876" t="str">
        <f>ADDRESS(ROW('Loan 1'!$D$11),COLUMN('Loan 1'!$D$11),4)</f>
        <v>D11</v>
      </c>
      <c r="D4876" t="b" cm="1">
        <f t="array" aca="1" ref="D4876" ca="1">IF(INDIRECT("'"&amp;A4876&amp;"'!"&amp;B4876)="",FALSE,IF(INDIRECT("'"&amp;A4876&amp;"'!B$10")="",TRUE,FALSE))</f>
        <v>0</v>
      </c>
      <c r="E4876" t="s">
        <v>611</v>
      </c>
      <c r="F4876" t="str">
        <f>INDEX(Lists!I:I,MATCH(Validation!E4876,Lists!G:G,0))</f>
        <v>Error</v>
      </c>
      <c r="G4876" t="str">
        <f>INDEX(Lists!H:H,MATCH(Validation!E4876,Lists!G:G,0))</f>
        <v>Enter the issue date first.</v>
      </c>
      <c r="H4876" s="16" t="str">
        <f t="shared" ca="1" si="510"/>
        <v/>
      </c>
      <c r="I4876" s="16" t="str">
        <f t="shared" ca="1" si="511"/>
        <v/>
      </c>
      <c r="J4876" s="17" t="str">
        <f t="shared" ca="1" si="512"/>
        <v/>
      </c>
    </row>
    <row r="4877" spans="1:10" x14ac:dyDescent="0.25">
      <c r="A4877" t="s">
        <v>945</v>
      </c>
      <c r="B4877" t="str">
        <f>ADDRESS(ROW('Loan 1'!$B$11),COLUMN('Loan 1'!$B$11),4)</f>
        <v>B11</v>
      </c>
      <c r="C4877" t="str">
        <f>ADDRESS(ROW('Loan 1'!$D$11),COLUMN('Loan 1'!$D$11),4)</f>
        <v>D11</v>
      </c>
      <c r="D4877" t="b" cm="1">
        <f t="array" aca="1" ref="D4877" ca="1">IF(INDIRECT("'"&amp;A4877&amp;"'!"&amp;B4877)="",FALSE,IF(INDIRECT("'"&amp;A4877&amp;"'!B$10")="",TRUE,FALSE))</f>
        <v>0</v>
      </c>
      <c r="E4877" t="s">
        <v>611</v>
      </c>
      <c r="F4877" t="str">
        <f>INDEX(Lists!I:I,MATCH(Validation!E4877,Lists!G:G,0))</f>
        <v>Error</v>
      </c>
      <c r="G4877" t="str">
        <f>INDEX(Lists!H:H,MATCH(Validation!E4877,Lists!G:G,0))</f>
        <v>Enter the issue date first.</v>
      </c>
      <c r="H4877" s="16" t="str">
        <f t="shared" ca="1" si="510"/>
        <v/>
      </c>
      <c r="I4877" s="16" t="str">
        <f t="shared" ca="1" si="511"/>
        <v/>
      </c>
      <c r="J4877" s="17" t="str">
        <f t="shared" ca="1" si="512"/>
        <v/>
      </c>
    </row>
    <row r="4878" spans="1:10" x14ac:dyDescent="0.25">
      <c r="A4878" t="s">
        <v>205</v>
      </c>
      <c r="B4878" t="str">
        <f>ADDRESS(ROW('Loan 1'!$B$11),COLUMN('Loan 1'!$B$11),4)</f>
        <v>B11</v>
      </c>
      <c r="C4878" t="str">
        <f>ADDRESS(ROW('Loan 1'!$D$11),COLUMN('Loan 1'!$D$11),4)</f>
        <v>D11</v>
      </c>
      <c r="D4878" t="b" cm="1">
        <f t="array" aca="1" ref="D4878" ca="1">IF(INDIRECT("'"&amp;A4878&amp;"'!"&amp;B4878)="",FALSE,IF(INDIRECT("'"&amp;A4878&amp;"'!"&amp;B4878)&lt;=INDIRECT("'"&amp;A4878&amp;"'!B$10"),TRUE,FALSE))</f>
        <v>0</v>
      </c>
      <c r="E4878" t="s">
        <v>613</v>
      </c>
      <c r="F4878" t="str">
        <f>INDEX(Lists!I:I,MATCH(Validation!E4878,Lists!G:G,0))</f>
        <v>Error</v>
      </c>
      <c r="G4878" t="str">
        <f>INDEX(Lists!H:H,MATCH(Validation!E4878,Lists!G:G,0))</f>
        <v>Final maturity date must be after the issue date.</v>
      </c>
      <c r="H4878" s="16" t="str">
        <f t="shared" ca="1" si="498"/>
        <v/>
      </c>
      <c r="I4878" s="16" t="str">
        <f t="shared" ca="1" si="499"/>
        <v/>
      </c>
      <c r="J4878" s="17" t="str">
        <f t="shared" ca="1" si="500"/>
        <v/>
      </c>
    </row>
    <row r="4879" spans="1:10" x14ac:dyDescent="0.25">
      <c r="A4879" t="s">
        <v>932</v>
      </c>
      <c r="B4879" t="str">
        <f>ADDRESS(ROW('Loan 1'!$B$11),COLUMN('Loan 1'!$B$11),4)</f>
        <v>B11</v>
      </c>
      <c r="C4879" t="str">
        <f>ADDRESS(ROW('Loan 1'!$D$11),COLUMN('Loan 1'!$D$11),4)</f>
        <v>D11</v>
      </c>
      <c r="D4879" t="b" cm="1">
        <f t="array" aca="1" ref="D4879" ca="1">IF(INDIRECT("'"&amp;A4879&amp;"'!"&amp;B4879)="",FALSE,IF(INDIRECT("'"&amp;A4879&amp;"'!"&amp;B4879)&lt;=INDIRECT("'"&amp;A4879&amp;"'!B$10"),TRUE,FALSE))</f>
        <v>0</v>
      </c>
      <c r="E4879" t="s">
        <v>613</v>
      </c>
      <c r="F4879" t="str">
        <f>INDEX(Lists!I:I,MATCH(Validation!E4879,Lists!G:G,0))</f>
        <v>Error</v>
      </c>
      <c r="G4879" t="str">
        <f>INDEX(Lists!H:H,MATCH(Validation!E4879,Lists!G:G,0))</f>
        <v>Final maturity date must be after the issue date.</v>
      </c>
      <c r="H4879" s="16" t="str">
        <f t="shared" ca="1" si="498"/>
        <v/>
      </c>
      <c r="I4879" s="16" t="str">
        <f t="shared" ca="1" si="499"/>
        <v/>
      </c>
      <c r="J4879" s="17" t="str">
        <f t="shared" ca="1" si="500"/>
        <v/>
      </c>
    </row>
    <row r="4880" spans="1:10" x14ac:dyDescent="0.25">
      <c r="A4880" t="s">
        <v>933</v>
      </c>
      <c r="B4880" t="str">
        <f>ADDRESS(ROW('Loan 1'!$B$11),COLUMN('Loan 1'!$B$11),4)</f>
        <v>B11</v>
      </c>
      <c r="C4880" t="str">
        <f>ADDRESS(ROW('Loan 1'!$D$11),COLUMN('Loan 1'!$D$11),4)</f>
        <v>D11</v>
      </c>
      <c r="D4880" t="b" cm="1">
        <f t="array" aca="1" ref="D4880" ca="1">IF(INDIRECT("'"&amp;A4880&amp;"'!"&amp;B4880)="",FALSE,IF(INDIRECT("'"&amp;A4880&amp;"'!"&amp;B4880)&lt;=INDIRECT("'"&amp;A4880&amp;"'!B$10"),TRUE,FALSE))</f>
        <v>0</v>
      </c>
      <c r="E4880" t="s">
        <v>613</v>
      </c>
      <c r="F4880" t="str">
        <f>INDEX(Lists!I:I,MATCH(Validation!E4880,Lists!G:G,0))</f>
        <v>Error</v>
      </c>
      <c r="G4880" t="str">
        <f>INDEX(Lists!H:H,MATCH(Validation!E4880,Lists!G:G,0))</f>
        <v>Final maturity date must be after the issue date.</v>
      </c>
      <c r="H4880" s="16" t="str">
        <f t="shared" ca="1" si="498"/>
        <v/>
      </c>
      <c r="I4880" s="16" t="str">
        <f t="shared" ca="1" si="499"/>
        <v/>
      </c>
      <c r="J4880" s="17" t="str">
        <f t="shared" ca="1" si="500"/>
        <v/>
      </c>
    </row>
    <row r="4881" spans="1:10" x14ac:dyDescent="0.25">
      <c r="A4881" t="s">
        <v>934</v>
      </c>
      <c r="B4881" t="str">
        <f>ADDRESS(ROW('Loan 1'!$B$11),COLUMN('Loan 1'!$B$11),4)</f>
        <v>B11</v>
      </c>
      <c r="C4881" t="str">
        <f>ADDRESS(ROW('Loan 1'!$D$11),COLUMN('Loan 1'!$D$11),4)</f>
        <v>D11</v>
      </c>
      <c r="D4881" t="b" cm="1">
        <f t="array" aca="1" ref="D4881" ca="1">IF(INDIRECT("'"&amp;A4881&amp;"'!"&amp;B4881)="",FALSE,IF(INDIRECT("'"&amp;A4881&amp;"'!"&amp;B4881)&lt;=INDIRECT("'"&amp;A4881&amp;"'!B$10"),TRUE,FALSE))</f>
        <v>0</v>
      </c>
      <c r="E4881" t="s">
        <v>613</v>
      </c>
      <c r="F4881" t="str">
        <f>INDEX(Lists!I:I,MATCH(Validation!E4881,Lists!G:G,0))</f>
        <v>Error</v>
      </c>
      <c r="G4881" t="str">
        <f>INDEX(Lists!H:H,MATCH(Validation!E4881,Lists!G:G,0))</f>
        <v>Final maturity date must be after the issue date.</v>
      </c>
      <c r="H4881" s="16" t="str">
        <f t="shared" ca="1" si="498"/>
        <v/>
      </c>
      <c r="I4881" s="16" t="str">
        <f t="shared" ca="1" si="499"/>
        <v/>
      </c>
      <c r="J4881" s="17" t="str">
        <f t="shared" ca="1" si="500"/>
        <v/>
      </c>
    </row>
    <row r="4882" spans="1:10" x14ac:dyDescent="0.25">
      <c r="A4882" t="s">
        <v>935</v>
      </c>
      <c r="B4882" t="str">
        <f>ADDRESS(ROW('Loan 1'!$B$11),COLUMN('Loan 1'!$B$11),4)</f>
        <v>B11</v>
      </c>
      <c r="C4882" t="str">
        <f>ADDRESS(ROW('Loan 1'!$D$11),COLUMN('Loan 1'!$D$11),4)</f>
        <v>D11</v>
      </c>
      <c r="D4882" t="b" cm="1">
        <f t="array" aca="1" ref="D4882" ca="1">IF(INDIRECT("'"&amp;A4882&amp;"'!"&amp;B4882)="",FALSE,IF(INDIRECT("'"&amp;A4882&amp;"'!"&amp;B4882)&lt;=INDIRECT("'"&amp;A4882&amp;"'!B$10"),TRUE,FALSE))</f>
        <v>0</v>
      </c>
      <c r="E4882" t="s">
        <v>613</v>
      </c>
      <c r="F4882" t="str">
        <f>INDEX(Lists!I:I,MATCH(Validation!E4882,Lists!G:G,0))</f>
        <v>Error</v>
      </c>
      <c r="G4882" t="str">
        <f>INDEX(Lists!H:H,MATCH(Validation!E4882,Lists!G:G,0))</f>
        <v>Final maturity date must be after the issue date.</v>
      </c>
      <c r="H4882" s="16" t="str">
        <f t="shared" ca="1" si="498"/>
        <v/>
      </c>
      <c r="I4882" s="16" t="str">
        <f t="shared" ca="1" si="499"/>
        <v/>
      </c>
      <c r="J4882" s="17" t="str">
        <f t="shared" ca="1" si="500"/>
        <v/>
      </c>
    </row>
    <row r="4883" spans="1:10" x14ac:dyDescent="0.25">
      <c r="A4883" t="s">
        <v>936</v>
      </c>
      <c r="B4883" t="str">
        <f>ADDRESS(ROW('Loan 1'!$B$11),COLUMN('Loan 1'!$B$11),4)</f>
        <v>B11</v>
      </c>
      <c r="C4883" t="str">
        <f>ADDRESS(ROW('Loan 1'!$D$11),COLUMN('Loan 1'!$D$11),4)</f>
        <v>D11</v>
      </c>
      <c r="D4883" t="b" cm="1">
        <f t="array" aca="1" ref="D4883" ca="1">IF(INDIRECT("'"&amp;A4883&amp;"'!"&amp;B4883)="",FALSE,IF(INDIRECT("'"&amp;A4883&amp;"'!"&amp;B4883)&lt;=INDIRECT("'"&amp;A4883&amp;"'!B$10"),TRUE,FALSE))</f>
        <v>0</v>
      </c>
      <c r="E4883" t="s">
        <v>613</v>
      </c>
      <c r="F4883" t="str">
        <f>INDEX(Lists!I:I,MATCH(Validation!E4883,Lists!G:G,0))</f>
        <v>Error</v>
      </c>
      <c r="G4883" t="str">
        <f>INDEX(Lists!H:H,MATCH(Validation!E4883,Lists!G:G,0))</f>
        <v>Final maturity date must be after the issue date.</v>
      </c>
      <c r="H4883" s="16" t="str">
        <f t="shared" ca="1" si="498"/>
        <v/>
      </c>
      <c r="I4883" s="16" t="str">
        <f t="shared" ca="1" si="499"/>
        <v/>
      </c>
      <c r="J4883" s="17" t="str">
        <f t="shared" ca="1" si="500"/>
        <v/>
      </c>
    </row>
    <row r="4884" spans="1:10" x14ac:dyDescent="0.25">
      <c r="A4884" t="s">
        <v>937</v>
      </c>
      <c r="B4884" t="str">
        <f>ADDRESS(ROW('Loan 1'!$B$11),COLUMN('Loan 1'!$B$11),4)</f>
        <v>B11</v>
      </c>
      <c r="C4884" t="str">
        <f>ADDRESS(ROW('Loan 1'!$D$11),COLUMN('Loan 1'!$D$11),4)</f>
        <v>D11</v>
      </c>
      <c r="D4884" t="b" cm="1">
        <f t="array" aca="1" ref="D4884" ca="1">IF(INDIRECT("'"&amp;A4884&amp;"'!"&amp;B4884)="",FALSE,IF(INDIRECT("'"&amp;A4884&amp;"'!"&amp;B4884)&lt;=INDIRECT("'"&amp;A4884&amp;"'!B$10"),TRUE,FALSE))</f>
        <v>0</v>
      </c>
      <c r="E4884" t="s">
        <v>613</v>
      </c>
      <c r="F4884" t="str">
        <f>INDEX(Lists!I:I,MATCH(Validation!E4884,Lists!G:G,0))</f>
        <v>Error</v>
      </c>
      <c r="G4884" t="str">
        <f>INDEX(Lists!H:H,MATCH(Validation!E4884,Lists!G:G,0))</f>
        <v>Final maturity date must be after the issue date.</v>
      </c>
      <c r="H4884" s="16" t="str">
        <f t="shared" ca="1" si="498"/>
        <v/>
      </c>
      <c r="I4884" s="16" t="str">
        <f t="shared" ca="1" si="499"/>
        <v/>
      </c>
      <c r="J4884" s="17" t="str">
        <f t="shared" ca="1" si="500"/>
        <v/>
      </c>
    </row>
    <row r="4885" spans="1:10" x14ac:dyDescent="0.25">
      <c r="A4885" t="s">
        <v>938</v>
      </c>
      <c r="B4885" t="str">
        <f>ADDRESS(ROW('Loan 1'!$B$11),COLUMN('Loan 1'!$B$11),4)</f>
        <v>B11</v>
      </c>
      <c r="C4885" t="str">
        <f>ADDRESS(ROW('Loan 1'!$D$11),COLUMN('Loan 1'!$D$11),4)</f>
        <v>D11</v>
      </c>
      <c r="D4885" t="b" cm="1">
        <f t="array" aca="1" ref="D4885" ca="1">IF(INDIRECT("'"&amp;A4885&amp;"'!"&amp;B4885)="",FALSE,IF(INDIRECT("'"&amp;A4885&amp;"'!"&amp;B4885)&lt;=INDIRECT("'"&amp;A4885&amp;"'!B$10"),TRUE,FALSE))</f>
        <v>0</v>
      </c>
      <c r="E4885" t="s">
        <v>613</v>
      </c>
      <c r="F4885" t="str">
        <f>INDEX(Lists!I:I,MATCH(Validation!E4885,Lists!G:G,0))</f>
        <v>Error</v>
      </c>
      <c r="G4885" t="str">
        <f>INDEX(Lists!H:H,MATCH(Validation!E4885,Lists!G:G,0))</f>
        <v>Final maturity date must be after the issue date.</v>
      </c>
      <c r="H4885" s="16" t="str">
        <f t="shared" ca="1" si="498"/>
        <v/>
      </c>
      <c r="I4885" s="16" t="str">
        <f t="shared" ca="1" si="499"/>
        <v/>
      </c>
      <c r="J4885" s="17" t="str">
        <f t="shared" ca="1" si="500"/>
        <v/>
      </c>
    </row>
    <row r="4886" spans="1:10" x14ac:dyDescent="0.25">
      <c r="A4886" t="s">
        <v>939</v>
      </c>
      <c r="B4886" t="str">
        <f>ADDRESS(ROW('Loan 1'!$B$11),COLUMN('Loan 1'!$B$11),4)</f>
        <v>B11</v>
      </c>
      <c r="C4886" t="str">
        <f>ADDRESS(ROW('Loan 1'!$D$11),COLUMN('Loan 1'!$D$11),4)</f>
        <v>D11</v>
      </c>
      <c r="D4886" t="b" cm="1">
        <f t="array" aca="1" ref="D4886" ca="1">IF(INDIRECT("'"&amp;A4886&amp;"'!"&amp;B4886)="",FALSE,IF(INDIRECT("'"&amp;A4886&amp;"'!"&amp;B4886)&lt;=INDIRECT("'"&amp;A4886&amp;"'!B$10"),TRUE,FALSE))</f>
        <v>0</v>
      </c>
      <c r="E4886" t="s">
        <v>613</v>
      </c>
      <c r="F4886" t="str">
        <f>INDEX(Lists!I:I,MATCH(Validation!E4886,Lists!G:G,0))</f>
        <v>Error</v>
      </c>
      <c r="G4886" t="str">
        <f>INDEX(Lists!H:H,MATCH(Validation!E4886,Lists!G:G,0))</f>
        <v>Final maturity date must be after the issue date.</v>
      </c>
      <c r="H4886" s="16" t="str">
        <f t="shared" ca="1" si="498"/>
        <v/>
      </c>
      <c r="I4886" s="16" t="str">
        <f t="shared" ca="1" si="499"/>
        <v/>
      </c>
      <c r="J4886" s="17" t="str">
        <f t="shared" ca="1" si="500"/>
        <v/>
      </c>
    </row>
    <row r="4887" spans="1:10" x14ac:dyDescent="0.25">
      <c r="A4887" t="s">
        <v>940</v>
      </c>
      <c r="B4887" t="str">
        <f>ADDRESS(ROW('Loan 1'!$B$11),COLUMN('Loan 1'!$B$11),4)</f>
        <v>B11</v>
      </c>
      <c r="C4887" t="str">
        <f>ADDRESS(ROW('Loan 1'!$D$11),COLUMN('Loan 1'!$D$11),4)</f>
        <v>D11</v>
      </c>
      <c r="D4887" t="b" cm="1">
        <f t="array" aca="1" ref="D4887" ca="1">IF(INDIRECT("'"&amp;A4887&amp;"'!"&amp;B4887)="",FALSE,IF(INDIRECT("'"&amp;A4887&amp;"'!"&amp;B4887)&lt;=INDIRECT("'"&amp;A4887&amp;"'!B$10"),TRUE,FALSE))</f>
        <v>0</v>
      </c>
      <c r="E4887" t="s">
        <v>613</v>
      </c>
      <c r="F4887" t="str">
        <f>INDEX(Lists!I:I,MATCH(Validation!E4887,Lists!G:G,0))</f>
        <v>Error</v>
      </c>
      <c r="G4887" t="str">
        <f>INDEX(Lists!H:H,MATCH(Validation!E4887,Lists!G:G,0))</f>
        <v>Final maturity date must be after the issue date.</v>
      </c>
      <c r="H4887" s="16" t="str">
        <f t="shared" ca="1" si="498"/>
        <v/>
      </c>
      <c r="I4887" s="16" t="str">
        <f t="shared" ca="1" si="499"/>
        <v/>
      </c>
      <c r="J4887" s="17" t="str">
        <f t="shared" ca="1" si="500"/>
        <v/>
      </c>
    </row>
    <row r="4888" spans="1:10" x14ac:dyDescent="0.25">
      <c r="A4888" t="s">
        <v>941</v>
      </c>
      <c r="B4888" t="str">
        <f>ADDRESS(ROW('Loan 1'!$B$11),COLUMN('Loan 1'!$B$11),4)</f>
        <v>B11</v>
      </c>
      <c r="C4888" t="str">
        <f>ADDRESS(ROW('Loan 1'!$D$11),COLUMN('Loan 1'!$D$11),4)</f>
        <v>D11</v>
      </c>
      <c r="D4888" t="b" cm="1">
        <f t="array" aca="1" ref="D4888" ca="1">IF(INDIRECT("'"&amp;A4888&amp;"'!"&amp;B4888)="",FALSE,IF(INDIRECT("'"&amp;A4888&amp;"'!"&amp;B4888)&lt;=INDIRECT("'"&amp;A4888&amp;"'!B$10"),TRUE,FALSE))</f>
        <v>0</v>
      </c>
      <c r="E4888" t="s">
        <v>613</v>
      </c>
      <c r="F4888" t="str">
        <f>INDEX(Lists!I:I,MATCH(Validation!E4888,Lists!G:G,0))</f>
        <v>Error</v>
      </c>
      <c r="G4888" t="str">
        <f>INDEX(Lists!H:H,MATCH(Validation!E4888,Lists!G:G,0))</f>
        <v>Final maturity date must be after the issue date.</v>
      </c>
      <c r="H4888" s="16" t="str">
        <f t="shared" ca="1" si="498"/>
        <v/>
      </c>
      <c r="I4888" s="16" t="str">
        <f t="shared" ca="1" si="499"/>
        <v/>
      </c>
      <c r="J4888" s="17" t="str">
        <f t="shared" ca="1" si="500"/>
        <v/>
      </c>
    </row>
    <row r="4889" spans="1:10" x14ac:dyDescent="0.25">
      <c r="A4889" t="s">
        <v>942</v>
      </c>
      <c r="B4889" t="str">
        <f>ADDRESS(ROW('Loan 1'!$B$11),COLUMN('Loan 1'!$B$11),4)</f>
        <v>B11</v>
      </c>
      <c r="C4889" t="str">
        <f>ADDRESS(ROW('Loan 1'!$D$11),COLUMN('Loan 1'!$D$11),4)</f>
        <v>D11</v>
      </c>
      <c r="D4889" t="b" cm="1">
        <f t="array" aca="1" ref="D4889" ca="1">IF(INDIRECT("'"&amp;A4889&amp;"'!"&amp;B4889)="",FALSE,IF(INDIRECT("'"&amp;A4889&amp;"'!"&amp;B4889)&lt;=INDIRECT("'"&amp;A4889&amp;"'!B$10"),TRUE,FALSE))</f>
        <v>0</v>
      </c>
      <c r="E4889" t="s">
        <v>613</v>
      </c>
      <c r="F4889" t="str">
        <f>INDEX(Lists!I:I,MATCH(Validation!E4889,Lists!G:G,0))</f>
        <v>Error</v>
      </c>
      <c r="G4889" t="str">
        <f>INDEX(Lists!H:H,MATCH(Validation!E4889,Lists!G:G,0))</f>
        <v>Final maturity date must be after the issue date.</v>
      </c>
      <c r="H4889" s="16" t="str">
        <f t="shared" ca="1" si="498"/>
        <v/>
      </c>
      <c r="I4889" s="16" t="str">
        <f t="shared" ca="1" si="499"/>
        <v/>
      </c>
      <c r="J4889" s="17" t="str">
        <f t="shared" ca="1" si="500"/>
        <v/>
      </c>
    </row>
    <row r="4890" spans="1:10" x14ac:dyDescent="0.25">
      <c r="A4890" t="s">
        <v>943</v>
      </c>
      <c r="B4890" t="str">
        <f>ADDRESS(ROW('Loan 1'!$B$11),COLUMN('Loan 1'!$B$11),4)</f>
        <v>B11</v>
      </c>
      <c r="C4890" t="str">
        <f>ADDRESS(ROW('Loan 1'!$D$11),COLUMN('Loan 1'!$D$11),4)</f>
        <v>D11</v>
      </c>
      <c r="D4890" t="b" cm="1">
        <f t="array" aca="1" ref="D4890" ca="1">IF(INDIRECT("'"&amp;A4890&amp;"'!"&amp;B4890)="",FALSE,IF(INDIRECT("'"&amp;A4890&amp;"'!"&amp;B4890)&lt;=INDIRECT("'"&amp;A4890&amp;"'!B$10"),TRUE,FALSE))</f>
        <v>0</v>
      </c>
      <c r="E4890" t="s">
        <v>613</v>
      </c>
      <c r="F4890" t="str">
        <f>INDEX(Lists!I:I,MATCH(Validation!E4890,Lists!G:G,0))</f>
        <v>Error</v>
      </c>
      <c r="G4890" t="str">
        <f>INDEX(Lists!H:H,MATCH(Validation!E4890,Lists!G:G,0))</f>
        <v>Final maturity date must be after the issue date.</v>
      </c>
      <c r="H4890" s="16" t="str">
        <f t="shared" ca="1" si="498"/>
        <v/>
      </c>
      <c r="I4890" s="16" t="str">
        <f t="shared" ca="1" si="499"/>
        <v/>
      </c>
      <c r="J4890" s="17" t="str">
        <f t="shared" ca="1" si="500"/>
        <v/>
      </c>
    </row>
    <row r="4891" spans="1:10" x14ac:dyDescent="0.25">
      <c r="A4891" t="s">
        <v>944</v>
      </c>
      <c r="B4891" t="str">
        <f>ADDRESS(ROW('Loan 1'!$B$11),COLUMN('Loan 1'!$B$11),4)</f>
        <v>B11</v>
      </c>
      <c r="C4891" t="str">
        <f>ADDRESS(ROW('Loan 1'!$D$11),COLUMN('Loan 1'!$D$11),4)</f>
        <v>D11</v>
      </c>
      <c r="D4891" t="b" cm="1">
        <f t="array" aca="1" ref="D4891" ca="1">IF(INDIRECT("'"&amp;A4891&amp;"'!"&amp;B4891)="",FALSE,IF(INDIRECT("'"&amp;A4891&amp;"'!"&amp;B4891)&lt;=INDIRECT("'"&amp;A4891&amp;"'!B$10"),TRUE,FALSE))</f>
        <v>0</v>
      </c>
      <c r="E4891" t="s">
        <v>613</v>
      </c>
      <c r="F4891" t="str">
        <f>INDEX(Lists!I:I,MATCH(Validation!E4891,Lists!G:G,0))</f>
        <v>Error</v>
      </c>
      <c r="G4891" t="str">
        <f>INDEX(Lists!H:H,MATCH(Validation!E4891,Lists!G:G,0))</f>
        <v>Final maturity date must be after the issue date.</v>
      </c>
      <c r="H4891" s="16" t="str">
        <f t="shared" ca="1" si="498"/>
        <v/>
      </c>
      <c r="I4891" s="16" t="str">
        <f t="shared" ca="1" si="499"/>
        <v/>
      </c>
      <c r="J4891" s="17" t="str">
        <f t="shared" ca="1" si="500"/>
        <v/>
      </c>
    </row>
    <row r="4892" spans="1:10" x14ac:dyDescent="0.25">
      <c r="A4892" t="s">
        <v>945</v>
      </c>
      <c r="B4892" t="str">
        <f>ADDRESS(ROW('Loan 1'!$B$11),COLUMN('Loan 1'!$B$11),4)</f>
        <v>B11</v>
      </c>
      <c r="C4892" t="str">
        <f>ADDRESS(ROW('Loan 1'!$D$11),COLUMN('Loan 1'!$D$11),4)</f>
        <v>D11</v>
      </c>
      <c r="D4892" t="b" cm="1">
        <f t="array" aca="1" ref="D4892" ca="1">IF(INDIRECT("'"&amp;A4892&amp;"'!"&amp;B4892)="",FALSE,IF(INDIRECT("'"&amp;A4892&amp;"'!"&amp;B4892)&lt;=INDIRECT("'"&amp;A4892&amp;"'!B$10"),TRUE,FALSE))</f>
        <v>0</v>
      </c>
      <c r="E4892" t="s">
        <v>613</v>
      </c>
      <c r="F4892" t="str">
        <f>INDEX(Lists!I:I,MATCH(Validation!E4892,Lists!G:G,0))</f>
        <v>Error</v>
      </c>
      <c r="G4892" t="str">
        <f>INDEX(Lists!H:H,MATCH(Validation!E4892,Lists!G:G,0))</f>
        <v>Final maturity date must be after the issue date.</v>
      </c>
      <c r="H4892" s="16" t="str">
        <f t="shared" ca="1" si="498"/>
        <v/>
      </c>
      <c r="I4892" s="16" t="str">
        <f t="shared" ca="1" si="499"/>
        <v/>
      </c>
      <c r="J4892" s="17" t="str">
        <f t="shared" ca="1" si="500"/>
        <v/>
      </c>
    </row>
    <row r="4893" spans="1:10" x14ac:dyDescent="0.25">
      <c r="A4893" t="s">
        <v>205</v>
      </c>
      <c r="B4893" t="str">
        <f>ADDRESS(ROW('Loan 1'!$B$11),COLUMN('Loan 1'!$B$11),4)</f>
        <v>B11</v>
      </c>
      <c r="C4893" t="str">
        <f>ADDRESS(ROW('Loan 1'!$D$11),COLUMN('Loan 1'!$D$11),4)</f>
        <v>D11</v>
      </c>
      <c r="D4893" t="b" cm="1">
        <f t="array" aca="1" ref="D4893" ca="1">IF(INDIRECT("'"&amp;A4893&amp;"'!"&amp;B4893)="",FALSE,IF(YEAR(INDIRECT("'"&amp;A4893&amp;"'!"&amp;B4893))&gt;YEAR(INDIRECT("'"&amp;A4893&amp;"'!B$10"))+30,TRUE,FALSE))</f>
        <v>0</v>
      </c>
      <c r="E4893" t="s">
        <v>614</v>
      </c>
      <c r="F4893" t="str">
        <f>INDEX(Lists!I:I,MATCH(Validation!E4893,Lists!G:G,0))</f>
        <v>Alert</v>
      </c>
      <c r="G4893" t="str">
        <f>INDEX(Lists!H:H,MATCH(Validation!E4893,Lists!G:G,0))</f>
        <v>Final maturity date exceeds a typical length. Correct entry or explain in comments box.</v>
      </c>
      <c r="H4893" s="16" t="str">
        <f t="shared" ca="1" si="498"/>
        <v/>
      </c>
      <c r="I4893" s="16" t="str">
        <f t="shared" ca="1" si="499"/>
        <v/>
      </c>
      <c r="J4893" s="17" t="str">
        <f t="shared" ca="1" si="500"/>
        <v/>
      </c>
    </row>
    <row r="4894" spans="1:10" x14ac:dyDescent="0.25">
      <c r="A4894" t="s">
        <v>932</v>
      </c>
      <c r="B4894" t="str">
        <f>ADDRESS(ROW('Loan 1'!$B$11),COLUMN('Loan 1'!$B$11),4)</f>
        <v>B11</v>
      </c>
      <c r="C4894" t="str">
        <f>ADDRESS(ROW('Loan 1'!$D$11),COLUMN('Loan 1'!$D$11),4)</f>
        <v>D11</v>
      </c>
      <c r="D4894" t="b" cm="1">
        <f t="array" aca="1" ref="D4894" ca="1">IF(INDIRECT("'"&amp;A4894&amp;"'!"&amp;B4894)="",FALSE,IF(YEAR(INDIRECT("'"&amp;A4894&amp;"'!"&amp;B4894))&gt;YEAR(INDIRECT("'"&amp;A4894&amp;"'!B$10"))+30,TRUE,FALSE))</f>
        <v>0</v>
      </c>
      <c r="E4894" t="s">
        <v>614</v>
      </c>
      <c r="F4894" t="str">
        <f>INDEX(Lists!I:I,MATCH(Validation!E4894,Lists!G:G,0))</f>
        <v>Alert</v>
      </c>
      <c r="G4894" t="str">
        <f>INDEX(Lists!H:H,MATCH(Validation!E4894,Lists!G:G,0))</f>
        <v>Final maturity date exceeds a typical length. Correct entry or explain in comments box.</v>
      </c>
      <c r="H4894" s="16" t="str">
        <f t="shared" ref="H4894:H4907" ca="1" si="513">IFERROR(IF(OR(NOT(D4894),F4894&lt;&gt;"Error"),"",A4894&amp;CELL("address",INDIRECT(B4894))),"")</f>
        <v/>
      </c>
      <c r="I4894" s="16" t="str">
        <f t="shared" ref="I4894:I4907" ca="1" si="514">IFERROR(IF(NOT(D4894),"",A4894&amp;CELL("address",INDIRECT(C4894))),"")</f>
        <v/>
      </c>
      <c r="J4894" s="17" t="str">
        <f t="shared" ref="J4894:J4907" ca="1" si="515">IFERROR(IF(NOT(D4894),"",A4894),"")</f>
        <v/>
      </c>
    </row>
    <row r="4895" spans="1:10" x14ac:dyDescent="0.25">
      <c r="A4895" t="s">
        <v>933</v>
      </c>
      <c r="B4895" t="str">
        <f>ADDRESS(ROW('Loan 1'!$B$11),COLUMN('Loan 1'!$B$11),4)</f>
        <v>B11</v>
      </c>
      <c r="C4895" t="str">
        <f>ADDRESS(ROW('Loan 1'!$D$11),COLUMN('Loan 1'!$D$11),4)</f>
        <v>D11</v>
      </c>
      <c r="D4895" t="b" cm="1">
        <f t="array" aca="1" ref="D4895" ca="1">IF(INDIRECT("'"&amp;A4895&amp;"'!"&amp;B4895)="",FALSE,IF(YEAR(INDIRECT("'"&amp;A4895&amp;"'!"&amp;B4895))&gt;YEAR(INDIRECT("'"&amp;A4895&amp;"'!B$10"))+30,TRUE,FALSE))</f>
        <v>0</v>
      </c>
      <c r="E4895" t="s">
        <v>614</v>
      </c>
      <c r="F4895" t="str">
        <f>INDEX(Lists!I:I,MATCH(Validation!E4895,Lists!G:G,0))</f>
        <v>Alert</v>
      </c>
      <c r="G4895" t="str">
        <f>INDEX(Lists!H:H,MATCH(Validation!E4895,Lists!G:G,0))</f>
        <v>Final maturity date exceeds a typical length. Correct entry or explain in comments box.</v>
      </c>
      <c r="H4895" s="16" t="str">
        <f t="shared" ca="1" si="513"/>
        <v/>
      </c>
      <c r="I4895" s="16" t="str">
        <f t="shared" ca="1" si="514"/>
        <v/>
      </c>
      <c r="J4895" s="17" t="str">
        <f t="shared" ca="1" si="515"/>
        <v/>
      </c>
    </row>
    <row r="4896" spans="1:10" x14ac:dyDescent="0.25">
      <c r="A4896" t="s">
        <v>934</v>
      </c>
      <c r="B4896" t="str">
        <f>ADDRESS(ROW('Loan 1'!$B$11),COLUMN('Loan 1'!$B$11),4)</f>
        <v>B11</v>
      </c>
      <c r="C4896" t="str">
        <f>ADDRESS(ROW('Loan 1'!$D$11),COLUMN('Loan 1'!$D$11),4)</f>
        <v>D11</v>
      </c>
      <c r="D4896" t="b" cm="1">
        <f t="array" aca="1" ref="D4896" ca="1">IF(INDIRECT("'"&amp;A4896&amp;"'!"&amp;B4896)="",FALSE,IF(YEAR(INDIRECT("'"&amp;A4896&amp;"'!"&amp;B4896))&gt;YEAR(INDIRECT("'"&amp;A4896&amp;"'!B$10"))+30,TRUE,FALSE))</f>
        <v>0</v>
      </c>
      <c r="E4896" t="s">
        <v>614</v>
      </c>
      <c r="F4896" t="str">
        <f>INDEX(Lists!I:I,MATCH(Validation!E4896,Lists!G:G,0))</f>
        <v>Alert</v>
      </c>
      <c r="G4896" t="str">
        <f>INDEX(Lists!H:H,MATCH(Validation!E4896,Lists!G:G,0))</f>
        <v>Final maturity date exceeds a typical length. Correct entry or explain in comments box.</v>
      </c>
      <c r="H4896" s="16" t="str">
        <f t="shared" ca="1" si="513"/>
        <v/>
      </c>
      <c r="I4896" s="16" t="str">
        <f t="shared" ca="1" si="514"/>
        <v/>
      </c>
      <c r="J4896" s="17" t="str">
        <f t="shared" ca="1" si="515"/>
        <v/>
      </c>
    </row>
    <row r="4897" spans="1:10" x14ac:dyDescent="0.25">
      <c r="A4897" t="s">
        <v>935</v>
      </c>
      <c r="B4897" t="str">
        <f>ADDRESS(ROW('Loan 1'!$B$11),COLUMN('Loan 1'!$B$11),4)</f>
        <v>B11</v>
      </c>
      <c r="C4897" t="str">
        <f>ADDRESS(ROW('Loan 1'!$D$11),COLUMN('Loan 1'!$D$11),4)</f>
        <v>D11</v>
      </c>
      <c r="D4897" t="b" cm="1">
        <f t="array" aca="1" ref="D4897" ca="1">IF(INDIRECT("'"&amp;A4897&amp;"'!"&amp;B4897)="",FALSE,IF(YEAR(INDIRECT("'"&amp;A4897&amp;"'!"&amp;B4897))&gt;YEAR(INDIRECT("'"&amp;A4897&amp;"'!B$10"))+30,TRUE,FALSE))</f>
        <v>0</v>
      </c>
      <c r="E4897" t="s">
        <v>614</v>
      </c>
      <c r="F4897" t="str">
        <f>INDEX(Lists!I:I,MATCH(Validation!E4897,Lists!G:G,0))</f>
        <v>Alert</v>
      </c>
      <c r="G4897" t="str">
        <f>INDEX(Lists!H:H,MATCH(Validation!E4897,Lists!G:G,0))</f>
        <v>Final maturity date exceeds a typical length. Correct entry or explain in comments box.</v>
      </c>
      <c r="H4897" s="16" t="str">
        <f t="shared" ca="1" si="513"/>
        <v/>
      </c>
      <c r="I4897" s="16" t="str">
        <f t="shared" ca="1" si="514"/>
        <v/>
      </c>
      <c r="J4897" s="17" t="str">
        <f t="shared" ca="1" si="515"/>
        <v/>
      </c>
    </row>
    <row r="4898" spans="1:10" x14ac:dyDescent="0.25">
      <c r="A4898" t="s">
        <v>936</v>
      </c>
      <c r="B4898" t="str">
        <f>ADDRESS(ROW('Loan 1'!$B$11),COLUMN('Loan 1'!$B$11),4)</f>
        <v>B11</v>
      </c>
      <c r="C4898" t="str">
        <f>ADDRESS(ROW('Loan 1'!$D$11),COLUMN('Loan 1'!$D$11),4)</f>
        <v>D11</v>
      </c>
      <c r="D4898" t="b" cm="1">
        <f t="array" aca="1" ref="D4898" ca="1">IF(INDIRECT("'"&amp;A4898&amp;"'!"&amp;B4898)="",FALSE,IF(YEAR(INDIRECT("'"&amp;A4898&amp;"'!"&amp;B4898))&gt;YEAR(INDIRECT("'"&amp;A4898&amp;"'!B$10"))+30,TRUE,FALSE))</f>
        <v>0</v>
      </c>
      <c r="E4898" t="s">
        <v>614</v>
      </c>
      <c r="F4898" t="str">
        <f>INDEX(Lists!I:I,MATCH(Validation!E4898,Lists!G:G,0))</f>
        <v>Alert</v>
      </c>
      <c r="G4898" t="str">
        <f>INDEX(Lists!H:H,MATCH(Validation!E4898,Lists!G:G,0))</f>
        <v>Final maturity date exceeds a typical length. Correct entry or explain in comments box.</v>
      </c>
      <c r="H4898" s="16" t="str">
        <f t="shared" ca="1" si="513"/>
        <v/>
      </c>
      <c r="I4898" s="16" t="str">
        <f t="shared" ca="1" si="514"/>
        <v/>
      </c>
      <c r="J4898" s="17" t="str">
        <f t="shared" ca="1" si="515"/>
        <v/>
      </c>
    </row>
    <row r="4899" spans="1:10" x14ac:dyDescent="0.25">
      <c r="A4899" t="s">
        <v>937</v>
      </c>
      <c r="B4899" t="str">
        <f>ADDRESS(ROW('Loan 1'!$B$11),COLUMN('Loan 1'!$B$11),4)</f>
        <v>B11</v>
      </c>
      <c r="C4899" t="str">
        <f>ADDRESS(ROW('Loan 1'!$D$11),COLUMN('Loan 1'!$D$11),4)</f>
        <v>D11</v>
      </c>
      <c r="D4899" t="b" cm="1">
        <f t="array" aca="1" ref="D4899" ca="1">IF(INDIRECT("'"&amp;A4899&amp;"'!"&amp;B4899)="",FALSE,IF(YEAR(INDIRECT("'"&amp;A4899&amp;"'!"&amp;B4899))&gt;YEAR(INDIRECT("'"&amp;A4899&amp;"'!B$10"))+30,TRUE,FALSE))</f>
        <v>0</v>
      </c>
      <c r="E4899" t="s">
        <v>614</v>
      </c>
      <c r="F4899" t="str">
        <f>INDEX(Lists!I:I,MATCH(Validation!E4899,Lists!G:G,0))</f>
        <v>Alert</v>
      </c>
      <c r="G4899" t="str">
        <f>INDEX(Lists!H:H,MATCH(Validation!E4899,Lists!G:G,0))</f>
        <v>Final maturity date exceeds a typical length. Correct entry or explain in comments box.</v>
      </c>
      <c r="H4899" s="16" t="str">
        <f t="shared" ca="1" si="513"/>
        <v/>
      </c>
      <c r="I4899" s="16" t="str">
        <f t="shared" ca="1" si="514"/>
        <v/>
      </c>
      <c r="J4899" s="17" t="str">
        <f t="shared" ca="1" si="515"/>
        <v/>
      </c>
    </row>
    <row r="4900" spans="1:10" x14ac:dyDescent="0.25">
      <c r="A4900" t="s">
        <v>938</v>
      </c>
      <c r="B4900" t="str">
        <f>ADDRESS(ROW('Loan 1'!$B$11),COLUMN('Loan 1'!$B$11),4)</f>
        <v>B11</v>
      </c>
      <c r="C4900" t="str">
        <f>ADDRESS(ROW('Loan 1'!$D$11),COLUMN('Loan 1'!$D$11),4)</f>
        <v>D11</v>
      </c>
      <c r="D4900" t="b" cm="1">
        <f t="array" aca="1" ref="D4900" ca="1">IF(INDIRECT("'"&amp;A4900&amp;"'!"&amp;B4900)="",FALSE,IF(YEAR(INDIRECT("'"&amp;A4900&amp;"'!"&amp;B4900))&gt;YEAR(INDIRECT("'"&amp;A4900&amp;"'!B$10"))+30,TRUE,FALSE))</f>
        <v>0</v>
      </c>
      <c r="E4900" t="s">
        <v>614</v>
      </c>
      <c r="F4900" t="str">
        <f>INDEX(Lists!I:I,MATCH(Validation!E4900,Lists!G:G,0))</f>
        <v>Alert</v>
      </c>
      <c r="G4900" t="str">
        <f>INDEX(Lists!H:H,MATCH(Validation!E4900,Lists!G:G,0))</f>
        <v>Final maturity date exceeds a typical length. Correct entry or explain in comments box.</v>
      </c>
      <c r="H4900" s="16" t="str">
        <f t="shared" ca="1" si="513"/>
        <v/>
      </c>
      <c r="I4900" s="16" t="str">
        <f t="shared" ca="1" si="514"/>
        <v/>
      </c>
      <c r="J4900" s="17" t="str">
        <f t="shared" ca="1" si="515"/>
        <v/>
      </c>
    </row>
    <row r="4901" spans="1:10" x14ac:dyDescent="0.25">
      <c r="A4901" t="s">
        <v>939</v>
      </c>
      <c r="B4901" t="str">
        <f>ADDRESS(ROW('Loan 1'!$B$11),COLUMN('Loan 1'!$B$11),4)</f>
        <v>B11</v>
      </c>
      <c r="C4901" t="str">
        <f>ADDRESS(ROW('Loan 1'!$D$11),COLUMN('Loan 1'!$D$11),4)</f>
        <v>D11</v>
      </c>
      <c r="D4901" t="b" cm="1">
        <f t="array" aca="1" ref="D4901" ca="1">IF(INDIRECT("'"&amp;A4901&amp;"'!"&amp;B4901)="",FALSE,IF(YEAR(INDIRECT("'"&amp;A4901&amp;"'!"&amp;B4901))&gt;YEAR(INDIRECT("'"&amp;A4901&amp;"'!B$10"))+30,TRUE,FALSE))</f>
        <v>0</v>
      </c>
      <c r="E4901" t="s">
        <v>614</v>
      </c>
      <c r="F4901" t="str">
        <f>INDEX(Lists!I:I,MATCH(Validation!E4901,Lists!G:G,0))</f>
        <v>Alert</v>
      </c>
      <c r="G4901" t="str">
        <f>INDEX(Lists!H:H,MATCH(Validation!E4901,Lists!G:G,0))</f>
        <v>Final maturity date exceeds a typical length. Correct entry or explain in comments box.</v>
      </c>
      <c r="H4901" s="16" t="str">
        <f t="shared" ca="1" si="513"/>
        <v/>
      </c>
      <c r="I4901" s="16" t="str">
        <f t="shared" ca="1" si="514"/>
        <v/>
      </c>
      <c r="J4901" s="17" t="str">
        <f t="shared" ca="1" si="515"/>
        <v/>
      </c>
    </row>
    <row r="4902" spans="1:10" x14ac:dyDescent="0.25">
      <c r="A4902" t="s">
        <v>940</v>
      </c>
      <c r="B4902" t="str">
        <f>ADDRESS(ROW('Loan 1'!$B$11),COLUMN('Loan 1'!$B$11),4)</f>
        <v>B11</v>
      </c>
      <c r="C4902" t="str">
        <f>ADDRESS(ROW('Loan 1'!$D$11),COLUMN('Loan 1'!$D$11),4)</f>
        <v>D11</v>
      </c>
      <c r="D4902" t="b" cm="1">
        <f t="array" aca="1" ref="D4902" ca="1">IF(INDIRECT("'"&amp;A4902&amp;"'!"&amp;B4902)="",FALSE,IF(YEAR(INDIRECT("'"&amp;A4902&amp;"'!"&amp;B4902))&gt;YEAR(INDIRECT("'"&amp;A4902&amp;"'!B$10"))+30,TRUE,FALSE))</f>
        <v>0</v>
      </c>
      <c r="E4902" t="s">
        <v>614</v>
      </c>
      <c r="F4902" t="str">
        <f>INDEX(Lists!I:I,MATCH(Validation!E4902,Lists!G:G,0))</f>
        <v>Alert</v>
      </c>
      <c r="G4902" t="str">
        <f>INDEX(Lists!H:H,MATCH(Validation!E4902,Lists!G:G,0))</f>
        <v>Final maturity date exceeds a typical length. Correct entry or explain in comments box.</v>
      </c>
      <c r="H4902" s="16" t="str">
        <f t="shared" ca="1" si="513"/>
        <v/>
      </c>
      <c r="I4902" s="16" t="str">
        <f t="shared" ca="1" si="514"/>
        <v/>
      </c>
      <c r="J4902" s="17" t="str">
        <f t="shared" ca="1" si="515"/>
        <v/>
      </c>
    </row>
    <row r="4903" spans="1:10" x14ac:dyDescent="0.25">
      <c r="A4903" t="s">
        <v>941</v>
      </c>
      <c r="B4903" t="str">
        <f>ADDRESS(ROW('Loan 1'!$B$11),COLUMN('Loan 1'!$B$11),4)</f>
        <v>B11</v>
      </c>
      <c r="C4903" t="str">
        <f>ADDRESS(ROW('Loan 1'!$D$11),COLUMN('Loan 1'!$D$11),4)</f>
        <v>D11</v>
      </c>
      <c r="D4903" t="b" cm="1">
        <f t="array" aca="1" ref="D4903" ca="1">IF(INDIRECT("'"&amp;A4903&amp;"'!"&amp;B4903)="",FALSE,IF(YEAR(INDIRECT("'"&amp;A4903&amp;"'!"&amp;B4903))&gt;YEAR(INDIRECT("'"&amp;A4903&amp;"'!B$10"))+30,TRUE,FALSE))</f>
        <v>0</v>
      </c>
      <c r="E4903" t="s">
        <v>614</v>
      </c>
      <c r="F4903" t="str">
        <f>INDEX(Lists!I:I,MATCH(Validation!E4903,Lists!G:G,0))</f>
        <v>Alert</v>
      </c>
      <c r="G4903" t="str">
        <f>INDEX(Lists!H:H,MATCH(Validation!E4903,Lists!G:G,0))</f>
        <v>Final maturity date exceeds a typical length. Correct entry or explain in comments box.</v>
      </c>
      <c r="H4903" s="16" t="str">
        <f t="shared" ca="1" si="513"/>
        <v/>
      </c>
      <c r="I4903" s="16" t="str">
        <f t="shared" ca="1" si="514"/>
        <v/>
      </c>
      <c r="J4903" s="17" t="str">
        <f t="shared" ca="1" si="515"/>
        <v/>
      </c>
    </row>
    <row r="4904" spans="1:10" x14ac:dyDescent="0.25">
      <c r="A4904" t="s">
        <v>942</v>
      </c>
      <c r="B4904" t="str">
        <f>ADDRESS(ROW('Loan 1'!$B$11),COLUMN('Loan 1'!$B$11),4)</f>
        <v>B11</v>
      </c>
      <c r="C4904" t="str">
        <f>ADDRESS(ROW('Loan 1'!$D$11),COLUMN('Loan 1'!$D$11),4)</f>
        <v>D11</v>
      </c>
      <c r="D4904" t="b" cm="1">
        <f t="array" aca="1" ref="D4904" ca="1">IF(INDIRECT("'"&amp;A4904&amp;"'!"&amp;B4904)="",FALSE,IF(YEAR(INDIRECT("'"&amp;A4904&amp;"'!"&amp;B4904))&gt;YEAR(INDIRECT("'"&amp;A4904&amp;"'!B$10"))+30,TRUE,FALSE))</f>
        <v>0</v>
      </c>
      <c r="E4904" t="s">
        <v>614</v>
      </c>
      <c r="F4904" t="str">
        <f>INDEX(Lists!I:I,MATCH(Validation!E4904,Lists!G:G,0))</f>
        <v>Alert</v>
      </c>
      <c r="G4904" t="str">
        <f>INDEX(Lists!H:H,MATCH(Validation!E4904,Lists!G:G,0))</f>
        <v>Final maturity date exceeds a typical length. Correct entry or explain in comments box.</v>
      </c>
      <c r="H4904" s="16" t="str">
        <f t="shared" ca="1" si="513"/>
        <v/>
      </c>
      <c r="I4904" s="16" t="str">
        <f t="shared" ca="1" si="514"/>
        <v/>
      </c>
      <c r="J4904" s="17" t="str">
        <f t="shared" ca="1" si="515"/>
        <v/>
      </c>
    </row>
    <row r="4905" spans="1:10" x14ac:dyDescent="0.25">
      <c r="A4905" t="s">
        <v>943</v>
      </c>
      <c r="B4905" t="str">
        <f>ADDRESS(ROW('Loan 1'!$B$11),COLUMN('Loan 1'!$B$11),4)</f>
        <v>B11</v>
      </c>
      <c r="C4905" t="str">
        <f>ADDRESS(ROW('Loan 1'!$D$11),COLUMN('Loan 1'!$D$11),4)</f>
        <v>D11</v>
      </c>
      <c r="D4905" t="b" cm="1">
        <f t="array" aca="1" ref="D4905" ca="1">IF(INDIRECT("'"&amp;A4905&amp;"'!"&amp;B4905)="",FALSE,IF(YEAR(INDIRECT("'"&amp;A4905&amp;"'!"&amp;B4905))&gt;YEAR(INDIRECT("'"&amp;A4905&amp;"'!B$10"))+30,TRUE,FALSE))</f>
        <v>0</v>
      </c>
      <c r="E4905" t="s">
        <v>614</v>
      </c>
      <c r="F4905" t="str">
        <f>INDEX(Lists!I:I,MATCH(Validation!E4905,Lists!G:G,0))</f>
        <v>Alert</v>
      </c>
      <c r="G4905" t="str">
        <f>INDEX(Lists!H:H,MATCH(Validation!E4905,Lists!G:G,0))</f>
        <v>Final maturity date exceeds a typical length. Correct entry or explain in comments box.</v>
      </c>
      <c r="H4905" s="16" t="str">
        <f t="shared" ca="1" si="513"/>
        <v/>
      </c>
      <c r="I4905" s="16" t="str">
        <f t="shared" ca="1" si="514"/>
        <v/>
      </c>
      <c r="J4905" s="17" t="str">
        <f t="shared" ca="1" si="515"/>
        <v/>
      </c>
    </row>
    <row r="4906" spans="1:10" x14ac:dyDescent="0.25">
      <c r="A4906" t="s">
        <v>944</v>
      </c>
      <c r="B4906" t="str">
        <f>ADDRESS(ROW('Loan 1'!$B$11),COLUMN('Loan 1'!$B$11),4)</f>
        <v>B11</v>
      </c>
      <c r="C4906" t="str">
        <f>ADDRESS(ROW('Loan 1'!$D$11),COLUMN('Loan 1'!$D$11),4)</f>
        <v>D11</v>
      </c>
      <c r="D4906" t="b" cm="1">
        <f t="array" aca="1" ref="D4906" ca="1">IF(INDIRECT("'"&amp;A4906&amp;"'!"&amp;B4906)="",FALSE,IF(YEAR(INDIRECT("'"&amp;A4906&amp;"'!"&amp;B4906))&gt;YEAR(INDIRECT("'"&amp;A4906&amp;"'!B$10"))+30,TRUE,FALSE))</f>
        <v>0</v>
      </c>
      <c r="E4906" t="s">
        <v>614</v>
      </c>
      <c r="F4906" t="str">
        <f>INDEX(Lists!I:I,MATCH(Validation!E4906,Lists!G:G,0))</f>
        <v>Alert</v>
      </c>
      <c r="G4906" t="str">
        <f>INDEX(Lists!H:H,MATCH(Validation!E4906,Lists!G:G,0))</f>
        <v>Final maturity date exceeds a typical length. Correct entry or explain in comments box.</v>
      </c>
      <c r="H4906" s="16" t="str">
        <f t="shared" ca="1" si="513"/>
        <v/>
      </c>
      <c r="I4906" s="16" t="str">
        <f t="shared" ca="1" si="514"/>
        <v/>
      </c>
      <c r="J4906" s="17" t="str">
        <f t="shared" ca="1" si="515"/>
        <v/>
      </c>
    </row>
    <row r="4907" spans="1:10" x14ac:dyDescent="0.25">
      <c r="A4907" t="s">
        <v>945</v>
      </c>
      <c r="B4907" t="str">
        <f>ADDRESS(ROW('Loan 1'!$B$11),COLUMN('Loan 1'!$B$11),4)</f>
        <v>B11</v>
      </c>
      <c r="C4907" t="str">
        <f>ADDRESS(ROW('Loan 1'!$D$11),COLUMN('Loan 1'!$D$11),4)</f>
        <v>D11</v>
      </c>
      <c r="D4907" t="b" cm="1">
        <f t="array" aca="1" ref="D4907" ca="1">IF(INDIRECT("'"&amp;A4907&amp;"'!"&amp;B4907)="",FALSE,IF(YEAR(INDIRECT("'"&amp;A4907&amp;"'!"&amp;B4907))&gt;YEAR(INDIRECT("'"&amp;A4907&amp;"'!B$10"))+30,TRUE,FALSE))</f>
        <v>0</v>
      </c>
      <c r="E4907" t="s">
        <v>614</v>
      </c>
      <c r="F4907" t="str">
        <f>INDEX(Lists!I:I,MATCH(Validation!E4907,Lists!G:G,0))</f>
        <v>Alert</v>
      </c>
      <c r="G4907" t="str">
        <f>INDEX(Lists!H:H,MATCH(Validation!E4907,Lists!G:G,0))</f>
        <v>Final maturity date exceeds a typical length. Correct entry or explain in comments box.</v>
      </c>
      <c r="H4907" s="16" t="str">
        <f t="shared" ca="1" si="513"/>
        <v/>
      </c>
      <c r="I4907" s="16" t="str">
        <f t="shared" ca="1" si="514"/>
        <v/>
      </c>
      <c r="J4907" s="17" t="str">
        <f t="shared" ca="1" si="515"/>
        <v/>
      </c>
    </row>
    <row r="4908" spans="1:10" x14ac:dyDescent="0.25">
      <c r="A4908" t="s">
        <v>205</v>
      </c>
      <c r="B4908" t="str">
        <f>ADDRESS(ROW('Loan 1'!$B$12),COLUMN('Loan 1'!$B$12),4)</f>
        <v>B12</v>
      </c>
      <c r="C4908" t="str">
        <f>ADDRESS(ROW('Loan 1'!$D$12),COLUMN('Loan 1'!$D$12),4)</f>
        <v>D12</v>
      </c>
      <c r="D4908" t="b" cm="1">
        <f t="array" aca="1" ref="D4908" ca="1">IF(INDIRECT("'"&amp;A4908&amp;"'!"&amp;B4908)="",FALSE,IF(NOT(ISNUMBER(INDIRECT("'"&amp;A4908&amp;"'!"&amp;B4908))),TRUE,FALSE))</f>
        <v>0</v>
      </c>
      <c r="E4908" t="s">
        <v>435</v>
      </c>
      <c r="F4908" t="str">
        <f>INDEX(Lists!I:I,MATCH(Validation!E4908,Lists!G:G,0))</f>
        <v>Error</v>
      </c>
      <c r="G4908" t="str">
        <f>INDEX(Lists!H:H,MATCH(Validation!E4908,Lists!G:G,0))</f>
        <v>Enter an amount only. Do not enter text or spaces.</v>
      </c>
      <c r="H4908" s="16" t="str">
        <f t="shared" ca="1" si="498"/>
        <v/>
      </c>
      <c r="I4908" s="16" t="str">
        <f t="shared" ca="1" si="499"/>
        <v/>
      </c>
      <c r="J4908" s="17" t="str">
        <f t="shared" ca="1" si="500"/>
        <v/>
      </c>
    </row>
    <row r="4909" spans="1:10" x14ac:dyDescent="0.25">
      <c r="A4909" t="s">
        <v>932</v>
      </c>
      <c r="B4909" t="str">
        <f>ADDRESS(ROW('Loan 1'!$B$12),COLUMN('Loan 1'!$B$12),4)</f>
        <v>B12</v>
      </c>
      <c r="C4909" t="str">
        <f>ADDRESS(ROW('Loan 1'!$D$12),COLUMN('Loan 1'!$D$12),4)</f>
        <v>D12</v>
      </c>
      <c r="D4909" t="b" cm="1">
        <f t="array" aca="1" ref="D4909" ca="1">IF(INDIRECT("'"&amp;A4909&amp;"'!"&amp;B4909)="",FALSE,IF(NOT(ISNUMBER(INDIRECT("'"&amp;A4909&amp;"'!"&amp;B4909))),TRUE,FALSE))</f>
        <v>0</v>
      </c>
      <c r="E4909" t="s">
        <v>435</v>
      </c>
      <c r="F4909" t="str">
        <f>INDEX(Lists!I:I,MATCH(Validation!E4909,Lists!G:G,0))</f>
        <v>Error</v>
      </c>
      <c r="G4909" t="str">
        <f>INDEX(Lists!H:H,MATCH(Validation!E4909,Lists!G:G,0))</f>
        <v>Enter an amount only. Do not enter text or spaces.</v>
      </c>
      <c r="H4909" s="16" t="str">
        <f t="shared" ca="1" si="498"/>
        <v/>
      </c>
      <c r="I4909" s="16" t="str">
        <f t="shared" ca="1" si="499"/>
        <v/>
      </c>
      <c r="J4909" s="17" t="str">
        <f t="shared" ca="1" si="500"/>
        <v/>
      </c>
    </row>
    <row r="4910" spans="1:10" x14ac:dyDescent="0.25">
      <c r="A4910" t="s">
        <v>933</v>
      </c>
      <c r="B4910" t="str">
        <f>ADDRESS(ROW('Loan 1'!$B$12),COLUMN('Loan 1'!$B$12),4)</f>
        <v>B12</v>
      </c>
      <c r="C4910" t="str">
        <f>ADDRESS(ROW('Loan 1'!$D$12),COLUMN('Loan 1'!$D$12),4)</f>
        <v>D12</v>
      </c>
      <c r="D4910" t="b" cm="1">
        <f t="array" aca="1" ref="D4910" ca="1">IF(INDIRECT("'"&amp;A4910&amp;"'!"&amp;B4910)="",FALSE,IF(NOT(ISNUMBER(INDIRECT("'"&amp;A4910&amp;"'!"&amp;B4910))),TRUE,FALSE))</f>
        <v>0</v>
      </c>
      <c r="E4910" t="s">
        <v>435</v>
      </c>
      <c r="F4910" t="str">
        <f>INDEX(Lists!I:I,MATCH(Validation!E4910,Lists!G:G,0))</f>
        <v>Error</v>
      </c>
      <c r="G4910" t="str">
        <f>INDEX(Lists!H:H,MATCH(Validation!E4910,Lists!G:G,0))</f>
        <v>Enter an amount only. Do not enter text or spaces.</v>
      </c>
      <c r="H4910" s="16" t="str">
        <f t="shared" ca="1" si="498"/>
        <v/>
      </c>
      <c r="I4910" s="16" t="str">
        <f t="shared" ca="1" si="499"/>
        <v/>
      </c>
      <c r="J4910" s="17" t="str">
        <f t="shared" ca="1" si="500"/>
        <v/>
      </c>
    </row>
    <row r="4911" spans="1:10" x14ac:dyDescent="0.25">
      <c r="A4911" t="s">
        <v>934</v>
      </c>
      <c r="B4911" t="str">
        <f>ADDRESS(ROW('Loan 1'!$B$12),COLUMN('Loan 1'!$B$12),4)</f>
        <v>B12</v>
      </c>
      <c r="C4911" t="str">
        <f>ADDRESS(ROW('Loan 1'!$D$12),COLUMN('Loan 1'!$D$12),4)</f>
        <v>D12</v>
      </c>
      <c r="D4911" t="b" cm="1">
        <f t="array" aca="1" ref="D4911" ca="1">IF(INDIRECT("'"&amp;A4911&amp;"'!"&amp;B4911)="",FALSE,IF(NOT(ISNUMBER(INDIRECT("'"&amp;A4911&amp;"'!"&amp;B4911))),TRUE,FALSE))</f>
        <v>0</v>
      </c>
      <c r="E4911" t="s">
        <v>435</v>
      </c>
      <c r="F4911" t="str">
        <f>INDEX(Lists!I:I,MATCH(Validation!E4911,Lists!G:G,0))</f>
        <v>Error</v>
      </c>
      <c r="G4911" t="str">
        <f>INDEX(Lists!H:H,MATCH(Validation!E4911,Lists!G:G,0))</f>
        <v>Enter an amount only. Do not enter text or spaces.</v>
      </c>
      <c r="H4911" s="16" t="str">
        <f t="shared" ca="1" si="498"/>
        <v/>
      </c>
      <c r="I4911" s="16" t="str">
        <f t="shared" ca="1" si="499"/>
        <v/>
      </c>
      <c r="J4911" s="17" t="str">
        <f t="shared" ca="1" si="500"/>
        <v/>
      </c>
    </row>
    <row r="4912" spans="1:10" x14ac:dyDescent="0.25">
      <c r="A4912" t="s">
        <v>935</v>
      </c>
      <c r="B4912" t="str">
        <f>ADDRESS(ROW('Loan 1'!$B$12),COLUMN('Loan 1'!$B$12),4)</f>
        <v>B12</v>
      </c>
      <c r="C4912" t="str">
        <f>ADDRESS(ROW('Loan 1'!$D$12),COLUMN('Loan 1'!$D$12),4)</f>
        <v>D12</v>
      </c>
      <c r="D4912" t="b" cm="1">
        <f t="array" aca="1" ref="D4912" ca="1">IF(INDIRECT("'"&amp;A4912&amp;"'!"&amp;B4912)="",FALSE,IF(NOT(ISNUMBER(INDIRECT("'"&amp;A4912&amp;"'!"&amp;B4912))),TRUE,FALSE))</f>
        <v>0</v>
      </c>
      <c r="E4912" t="s">
        <v>435</v>
      </c>
      <c r="F4912" t="str">
        <f>INDEX(Lists!I:I,MATCH(Validation!E4912,Lists!G:G,0))</f>
        <v>Error</v>
      </c>
      <c r="G4912" t="str">
        <f>INDEX(Lists!H:H,MATCH(Validation!E4912,Lists!G:G,0))</f>
        <v>Enter an amount only. Do not enter text or spaces.</v>
      </c>
      <c r="H4912" s="16" t="str">
        <f t="shared" ca="1" si="498"/>
        <v/>
      </c>
      <c r="I4912" s="16" t="str">
        <f t="shared" ca="1" si="499"/>
        <v/>
      </c>
      <c r="J4912" s="17" t="str">
        <f t="shared" ca="1" si="500"/>
        <v/>
      </c>
    </row>
    <row r="4913" spans="1:10" x14ac:dyDescent="0.25">
      <c r="A4913" t="s">
        <v>936</v>
      </c>
      <c r="B4913" t="str">
        <f>ADDRESS(ROW('Loan 1'!$B$12),COLUMN('Loan 1'!$B$12),4)</f>
        <v>B12</v>
      </c>
      <c r="C4913" t="str">
        <f>ADDRESS(ROW('Loan 1'!$D$12),COLUMN('Loan 1'!$D$12),4)</f>
        <v>D12</v>
      </c>
      <c r="D4913" t="b" cm="1">
        <f t="array" aca="1" ref="D4913" ca="1">IF(INDIRECT("'"&amp;A4913&amp;"'!"&amp;B4913)="",FALSE,IF(NOT(ISNUMBER(INDIRECT("'"&amp;A4913&amp;"'!"&amp;B4913))),TRUE,FALSE))</f>
        <v>0</v>
      </c>
      <c r="E4913" t="s">
        <v>435</v>
      </c>
      <c r="F4913" t="str">
        <f>INDEX(Lists!I:I,MATCH(Validation!E4913,Lists!G:G,0))</f>
        <v>Error</v>
      </c>
      <c r="G4913" t="str">
        <f>INDEX(Lists!H:H,MATCH(Validation!E4913,Lists!G:G,0))</f>
        <v>Enter an amount only. Do not enter text or spaces.</v>
      </c>
      <c r="H4913" s="16" t="str">
        <f t="shared" ca="1" si="498"/>
        <v/>
      </c>
      <c r="I4913" s="16" t="str">
        <f t="shared" ca="1" si="499"/>
        <v/>
      </c>
      <c r="J4913" s="17" t="str">
        <f t="shared" ca="1" si="500"/>
        <v/>
      </c>
    </row>
    <row r="4914" spans="1:10" x14ac:dyDescent="0.25">
      <c r="A4914" t="s">
        <v>937</v>
      </c>
      <c r="B4914" t="str">
        <f>ADDRESS(ROW('Loan 1'!$B$12),COLUMN('Loan 1'!$B$12),4)</f>
        <v>B12</v>
      </c>
      <c r="C4914" t="str">
        <f>ADDRESS(ROW('Loan 1'!$D$12),COLUMN('Loan 1'!$D$12),4)</f>
        <v>D12</v>
      </c>
      <c r="D4914" t="b" cm="1">
        <f t="array" aca="1" ref="D4914" ca="1">IF(INDIRECT("'"&amp;A4914&amp;"'!"&amp;B4914)="",FALSE,IF(NOT(ISNUMBER(INDIRECT("'"&amp;A4914&amp;"'!"&amp;B4914))),TRUE,FALSE))</f>
        <v>0</v>
      </c>
      <c r="E4914" t="s">
        <v>435</v>
      </c>
      <c r="F4914" t="str">
        <f>INDEX(Lists!I:I,MATCH(Validation!E4914,Lists!G:G,0))</f>
        <v>Error</v>
      </c>
      <c r="G4914" t="str">
        <f>INDEX(Lists!H:H,MATCH(Validation!E4914,Lists!G:G,0))</f>
        <v>Enter an amount only. Do not enter text or spaces.</v>
      </c>
      <c r="H4914" s="16" t="str">
        <f t="shared" ca="1" si="498"/>
        <v/>
      </c>
      <c r="I4914" s="16" t="str">
        <f t="shared" ca="1" si="499"/>
        <v/>
      </c>
      <c r="J4914" s="17" t="str">
        <f t="shared" ca="1" si="500"/>
        <v/>
      </c>
    </row>
    <row r="4915" spans="1:10" x14ac:dyDescent="0.25">
      <c r="A4915" t="s">
        <v>938</v>
      </c>
      <c r="B4915" t="str">
        <f>ADDRESS(ROW('Loan 1'!$B$12),COLUMN('Loan 1'!$B$12),4)</f>
        <v>B12</v>
      </c>
      <c r="C4915" t="str">
        <f>ADDRESS(ROW('Loan 1'!$D$12),COLUMN('Loan 1'!$D$12),4)</f>
        <v>D12</v>
      </c>
      <c r="D4915" t="b" cm="1">
        <f t="array" aca="1" ref="D4915" ca="1">IF(INDIRECT("'"&amp;A4915&amp;"'!"&amp;B4915)="",FALSE,IF(NOT(ISNUMBER(INDIRECT("'"&amp;A4915&amp;"'!"&amp;B4915))),TRUE,FALSE))</f>
        <v>0</v>
      </c>
      <c r="E4915" t="s">
        <v>435</v>
      </c>
      <c r="F4915" t="str">
        <f>INDEX(Lists!I:I,MATCH(Validation!E4915,Lists!G:G,0))</f>
        <v>Error</v>
      </c>
      <c r="G4915" t="str">
        <f>INDEX(Lists!H:H,MATCH(Validation!E4915,Lists!G:G,0))</f>
        <v>Enter an amount only. Do not enter text or spaces.</v>
      </c>
      <c r="H4915" s="16" t="str">
        <f t="shared" ca="1" si="498"/>
        <v/>
      </c>
      <c r="I4915" s="16" t="str">
        <f t="shared" ca="1" si="499"/>
        <v/>
      </c>
      <c r="J4915" s="17" t="str">
        <f t="shared" ca="1" si="500"/>
        <v/>
      </c>
    </row>
    <row r="4916" spans="1:10" x14ac:dyDescent="0.25">
      <c r="A4916" t="s">
        <v>939</v>
      </c>
      <c r="B4916" t="str">
        <f>ADDRESS(ROW('Loan 1'!$B$12),COLUMN('Loan 1'!$B$12),4)</f>
        <v>B12</v>
      </c>
      <c r="C4916" t="str">
        <f>ADDRESS(ROW('Loan 1'!$D$12),COLUMN('Loan 1'!$D$12),4)</f>
        <v>D12</v>
      </c>
      <c r="D4916" t="b" cm="1">
        <f t="array" aca="1" ref="D4916" ca="1">IF(INDIRECT("'"&amp;A4916&amp;"'!"&amp;B4916)="",FALSE,IF(NOT(ISNUMBER(INDIRECT("'"&amp;A4916&amp;"'!"&amp;B4916))),TRUE,FALSE))</f>
        <v>0</v>
      </c>
      <c r="E4916" t="s">
        <v>435</v>
      </c>
      <c r="F4916" t="str">
        <f>INDEX(Lists!I:I,MATCH(Validation!E4916,Lists!G:G,0))</f>
        <v>Error</v>
      </c>
      <c r="G4916" t="str">
        <f>INDEX(Lists!H:H,MATCH(Validation!E4916,Lists!G:G,0))</f>
        <v>Enter an amount only. Do not enter text or spaces.</v>
      </c>
      <c r="H4916" s="16" t="str">
        <f t="shared" ca="1" si="498"/>
        <v/>
      </c>
      <c r="I4916" s="16" t="str">
        <f t="shared" ca="1" si="499"/>
        <v/>
      </c>
      <c r="J4916" s="17" t="str">
        <f t="shared" ca="1" si="500"/>
        <v/>
      </c>
    </row>
    <row r="4917" spans="1:10" x14ac:dyDescent="0.25">
      <c r="A4917" t="s">
        <v>940</v>
      </c>
      <c r="B4917" t="str">
        <f>ADDRESS(ROW('Loan 1'!$B$12),COLUMN('Loan 1'!$B$12),4)</f>
        <v>B12</v>
      </c>
      <c r="C4917" t="str">
        <f>ADDRESS(ROW('Loan 1'!$D$12),COLUMN('Loan 1'!$D$12),4)</f>
        <v>D12</v>
      </c>
      <c r="D4917" t="b" cm="1">
        <f t="array" aca="1" ref="D4917" ca="1">IF(INDIRECT("'"&amp;A4917&amp;"'!"&amp;B4917)="",FALSE,IF(NOT(ISNUMBER(INDIRECT("'"&amp;A4917&amp;"'!"&amp;B4917))),TRUE,FALSE))</f>
        <v>0</v>
      </c>
      <c r="E4917" t="s">
        <v>435</v>
      </c>
      <c r="F4917" t="str">
        <f>INDEX(Lists!I:I,MATCH(Validation!E4917,Lists!G:G,0))</f>
        <v>Error</v>
      </c>
      <c r="G4917" t="str">
        <f>INDEX(Lists!H:H,MATCH(Validation!E4917,Lists!G:G,0))</f>
        <v>Enter an amount only. Do not enter text or spaces.</v>
      </c>
      <c r="H4917" s="16" t="str">
        <f t="shared" ca="1" si="498"/>
        <v/>
      </c>
      <c r="I4917" s="16" t="str">
        <f t="shared" ca="1" si="499"/>
        <v/>
      </c>
      <c r="J4917" s="17" t="str">
        <f t="shared" ca="1" si="500"/>
        <v/>
      </c>
    </row>
    <row r="4918" spans="1:10" x14ac:dyDescent="0.25">
      <c r="A4918" t="s">
        <v>941</v>
      </c>
      <c r="B4918" t="str">
        <f>ADDRESS(ROW('Loan 1'!$B$12),COLUMN('Loan 1'!$B$12),4)</f>
        <v>B12</v>
      </c>
      <c r="C4918" t="str">
        <f>ADDRESS(ROW('Loan 1'!$D$12),COLUMN('Loan 1'!$D$12),4)</f>
        <v>D12</v>
      </c>
      <c r="D4918" t="b" cm="1">
        <f t="array" aca="1" ref="D4918" ca="1">IF(INDIRECT("'"&amp;A4918&amp;"'!"&amp;B4918)="",FALSE,IF(NOT(ISNUMBER(INDIRECT("'"&amp;A4918&amp;"'!"&amp;B4918))),TRUE,FALSE))</f>
        <v>0</v>
      </c>
      <c r="E4918" t="s">
        <v>435</v>
      </c>
      <c r="F4918" t="str">
        <f>INDEX(Lists!I:I,MATCH(Validation!E4918,Lists!G:G,0))</f>
        <v>Error</v>
      </c>
      <c r="G4918" t="str">
        <f>INDEX(Lists!H:H,MATCH(Validation!E4918,Lists!G:G,0))</f>
        <v>Enter an amount only. Do not enter text or spaces.</v>
      </c>
      <c r="H4918" s="16" t="str">
        <f t="shared" ca="1" si="498"/>
        <v/>
      </c>
      <c r="I4918" s="16" t="str">
        <f t="shared" ca="1" si="499"/>
        <v/>
      </c>
      <c r="J4918" s="17" t="str">
        <f t="shared" ca="1" si="500"/>
        <v/>
      </c>
    </row>
    <row r="4919" spans="1:10" x14ac:dyDescent="0.25">
      <c r="A4919" t="s">
        <v>942</v>
      </c>
      <c r="B4919" t="str">
        <f>ADDRESS(ROW('Loan 1'!$B$12),COLUMN('Loan 1'!$B$12),4)</f>
        <v>B12</v>
      </c>
      <c r="C4919" t="str">
        <f>ADDRESS(ROW('Loan 1'!$D$12),COLUMN('Loan 1'!$D$12),4)</f>
        <v>D12</v>
      </c>
      <c r="D4919" t="b" cm="1">
        <f t="array" aca="1" ref="D4919" ca="1">IF(INDIRECT("'"&amp;A4919&amp;"'!"&amp;B4919)="",FALSE,IF(NOT(ISNUMBER(INDIRECT("'"&amp;A4919&amp;"'!"&amp;B4919))),TRUE,FALSE))</f>
        <v>0</v>
      </c>
      <c r="E4919" t="s">
        <v>435</v>
      </c>
      <c r="F4919" t="str">
        <f>INDEX(Lists!I:I,MATCH(Validation!E4919,Lists!G:G,0))</f>
        <v>Error</v>
      </c>
      <c r="G4919" t="str">
        <f>INDEX(Lists!H:H,MATCH(Validation!E4919,Lists!G:G,0))</f>
        <v>Enter an amount only. Do not enter text or spaces.</v>
      </c>
      <c r="H4919" s="16" t="str">
        <f t="shared" ca="1" si="498"/>
        <v/>
      </c>
      <c r="I4919" s="16" t="str">
        <f t="shared" ca="1" si="499"/>
        <v/>
      </c>
      <c r="J4919" s="17" t="str">
        <f t="shared" ca="1" si="500"/>
        <v/>
      </c>
    </row>
    <row r="4920" spans="1:10" x14ac:dyDescent="0.25">
      <c r="A4920" t="s">
        <v>943</v>
      </c>
      <c r="B4920" t="str">
        <f>ADDRESS(ROW('Loan 1'!$B$12),COLUMN('Loan 1'!$B$12),4)</f>
        <v>B12</v>
      </c>
      <c r="C4920" t="str">
        <f>ADDRESS(ROW('Loan 1'!$D$12),COLUMN('Loan 1'!$D$12),4)</f>
        <v>D12</v>
      </c>
      <c r="D4920" t="b" cm="1">
        <f t="array" aca="1" ref="D4920" ca="1">IF(INDIRECT("'"&amp;A4920&amp;"'!"&amp;B4920)="",FALSE,IF(NOT(ISNUMBER(INDIRECT("'"&amp;A4920&amp;"'!"&amp;B4920))),TRUE,FALSE))</f>
        <v>0</v>
      </c>
      <c r="E4920" t="s">
        <v>435</v>
      </c>
      <c r="F4920" t="str">
        <f>INDEX(Lists!I:I,MATCH(Validation!E4920,Lists!G:G,0))</f>
        <v>Error</v>
      </c>
      <c r="G4920" t="str">
        <f>INDEX(Lists!H:H,MATCH(Validation!E4920,Lists!G:G,0))</f>
        <v>Enter an amount only. Do not enter text or spaces.</v>
      </c>
      <c r="H4920" s="16" t="str">
        <f t="shared" ca="1" si="498"/>
        <v/>
      </c>
      <c r="I4920" s="16" t="str">
        <f t="shared" ca="1" si="499"/>
        <v/>
      </c>
      <c r="J4920" s="17" t="str">
        <f t="shared" ca="1" si="500"/>
        <v/>
      </c>
    </row>
    <row r="4921" spans="1:10" x14ac:dyDescent="0.25">
      <c r="A4921" t="s">
        <v>944</v>
      </c>
      <c r="B4921" t="str">
        <f>ADDRESS(ROW('Loan 1'!$B$12),COLUMN('Loan 1'!$B$12),4)</f>
        <v>B12</v>
      </c>
      <c r="C4921" t="str">
        <f>ADDRESS(ROW('Loan 1'!$D$12),COLUMN('Loan 1'!$D$12),4)</f>
        <v>D12</v>
      </c>
      <c r="D4921" t="b" cm="1">
        <f t="array" aca="1" ref="D4921" ca="1">IF(INDIRECT("'"&amp;A4921&amp;"'!"&amp;B4921)="",FALSE,IF(NOT(ISNUMBER(INDIRECT("'"&amp;A4921&amp;"'!"&amp;B4921))),TRUE,FALSE))</f>
        <v>0</v>
      </c>
      <c r="E4921" t="s">
        <v>435</v>
      </c>
      <c r="F4921" t="str">
        <f>INDEX(Lists!I:I,MATCH(Validation!E4921,Lists!G:G,0))</f>
        <v>Error</v>
      </c>
      <c r="G4921" t="str">
        <f>INDEX(Lists!H:H,MATCH(Validation!E4921,Lists!G:G,0))</f>
        <v>Enter an amount only. Do not enter text or spaces.</v>
      </c>
      <c r="H4921" s="16" t="str">
        <f t="shared" ca="1" si="498"/>
        <v/>
      </c>
      <c r="I4921" s="16" t="str">
        <f t="shared" ca="1" si="499"/>
        <v/>
      </c>
      <c r="J4921" s="17" t="str">
        <f t="shared" ca="1" si="500"/>
        <v/>
      </c>
    </row>
    <row r="4922" spans="1:10" x14ac:dyDescent="0.25">
      <c r="A4922" t="s">
        <v>945</v>
      </c>
      <c r="B4922" t="str">
        <f>ADDRESS(ROW('Loan 1'!$B$12),COLUMN('Loan 1'!$B$12),4)</f>
        <v>B12</v>
      </c>
      <c r="C4922" t="str">
        <f>ADDRESS(ROW('Loan 1'!$D$12),COLUMN('Loan 1'!$D$12),4)</f>
        <v>D12</v>
      </c>
      <c r="D4922" t="b" cm="1">
        <f t="array" aca="1" ref="D4922" ca="1">IF(INDIRECT("'"&amp;A4922&amp;"'!"&amp;B4922)="",FALSE,IF(NOT(ISNUMBER(INDIRECT("'"&amp;A4922&amp;"'!"&amp;B4922))),TRUE,FALSE))</f>
        <v>0</v>
      </c>
      <c r="E4922" t="s">
        <v>435</v>
      </c>
      <c r="F4922" t="str">
        <f>INDEX(Lists!I:I,MATCH(Validation!E4922,Lists!G:G,0))</f>
        <v>Error</v>
      </c>
      <c r="G4922" t="str">
        <f>INDEX(Lists!H:H,MATCH(Validation!E4922,Lists!G:G,0))</f>
        <v>Enter an amount only. Do not enter text or spaces.</v>
      </c>
      <c r="H4922" s="16" t="str">
        <f t="shared" ca="1" si="498"/>
        <v/>
      </c>
      <c r="I4922" s="16" t="str">
        <f t="shared" ca="1" si="499"/>
        <v/>
      </c>
      <c r="J4922" s="17" t="str">
        <f t="shared" ca="1" si="500"/>
        <v/>
      </c>
    </row>
    <row r="4923" spans="1:10" x14ac:dyDescent="0.25">
      <c r="A4923" t="s">
        <v>205</v>
      </c>
      <c r="B4923" t="str">
        <f>ADDRESS(ROW('Loan 1'!$B$12),COLUMN('Loan 1'!$B$12),4)</f>
        <v>B12</v>
      </c>
      <c r="C4923" t="str">
        <f>ADDRESS(ROW('Loan 1'!$D$12),COLUMN('Loan 1'!$D$12),4)</f>
        <v>D12</v>
      </c>
      <c r="D4923" t="b" cm="1">
        <f t="array" aca="1" ref="D4923" ca="1">IF(INDIRECT("'"&amp;A4923&amp;"'!"&amp;B4923)="",FALSE,IF(INDIRECT("'"&amp;A4923&amp;"'!"&amp;B4923)&lt;0,TRUE,FALSE))</f>
        <v>0</v>
      </c>
      <c r="E4923" t="s">
        <v>760</v>
      </c>
      <c r="F4923" t="str">
        <f>INDEX(Lists!I:I,MATCH(Validation!E4923,Lists!G:G,0))</f>
        <v>Error</v>
      </c>
      <c r="G4923" t="str">
        <f>INDEX(Lists!H:H,MATCH(Validation!E4923,Lists!G:G,0))</f>
        <v>Low interest rate must be greater than or equal to zero.</v>
      </c>
      <c r="H4923" s="16" t="str">
        <f t="shared" ca="1" si="498"/>
        <v/>
      </c>
      <c r="I4923" s="16" t="str">
        <f t="shared" ca="1" si="499"/>
        <v/>
      </c>
      <c r="J4923" s="17" t="str">
        <f t="shared" ca="1" si="500"/>
        <v/>
      </c>
    </row>
    <row r="4924" spans="1:10" x14ac:dyDescent="0.25">
      <c r="A4924" t="s">
        <v>932</v>
      </c>
      <c r="B4924" t="str">
        <f>ADDRESS(ROW('Loan 1'!$B$12),COLUMN('Loan 1'!$B$12),4)</f>
        <v>B12</v>
      </c>
      <c r="C4924" t="str">
        <f>ADDRESS(ROW('Loan 1'!$D$12),COLUMN('Loan 1'!$D$12),4)</f>
        <v>D12</v>
      </c>
      <c r="D4924" t="b" cm="1">
        <f t="array" aca="1" ref="D4924" ca="1">IF(INDIRECT("'"&amp;A4924&amp;"'!"&amp;B4924)="",FALSE,IF(INDIRECT("'"&amp;A4924&amp;"'!"&amp;B4924)&lt;0,TRUE,FALSE))</f>
        <v>0</v>
      </c>
      <c r="E4924" t="s">
        <v>760</v>
      </c>
      <c r="F4924" t="str">
        <f>INDEX(Lists!I:I,MATCH(Validation!E4924,Lists!G:G,0))</f>
        <v>Error</v>
      </c>
      <c r="G4924" t="str">
        <f>INDEX(Lists!H:H,MATCH(Validation!E4924,Lists!G:G,0))</f>
        <v>Low interest rate must be greater than or equal to zero.</v>
      </c>
      <c r="H4924" s="16" t="str">
        <f t="shared" ref="H4924:H4937" ca="1" si="516">IFERROR(IF(OR(NOT(D4924),F4924&lt;&gt;"Error"),"",A4924&amp;CELL("address",INDIRECT(B4924))),"")</f>
        <v/>
      </c>
      <c r="I4924" s="16" t="str">
        <f t="shared" ref="I4924:I4937" ca="1" si="517">IFERROR(IF(NOT(D4924),"",A4924&amp;CELL("address",INDIRECT(C4924))),"")</f>
        <v/>
      </c>
      <c r="J4924" s="17" t="str">
        <f t="shared" ref="J4924:J4937" ca="1" si="518">IFERROR(IF(NOT(D4924),"",A4924),"")</f>
        <v/>
      </c>
    </row>
    <row r="4925" spans="1:10" x14ac:dyDescent="0.25">
      <c r="A4925" t="s">
        <v>933</v>
      </c>
      <c r="B4925" t="str">
        <f>ADDRESS(ROW('Loan 1'!$B$12),COLUMN('Loan 1'!$B$12),4)</f>
        <v>B12</v>
      </c>
      <c r="C4925" t="str">
        <f>ADDRESS(ROW('Loan 1'!$D$12),COLUMN('Loan 1'!$D$12),4)</f>
        <v>D12</v>
      </c>
      <c r="D4925" t="b" cm="1">
        <f t="array" aca="1" ref="D4925" ca="1">IF(INDIRECT("'"&amp;A4925&amp;"'!"&amp;B4925)="",FALSE,IF(INDIRECT("'"&amp;A4925&amp;"'!"&amp;B4925)&lt;0,TRUE,FALSE))</f>
        <v>0</v>
      </c>
      <c r="E4925" t="s">
        <v>760</v>
      </c>
      <c r="F4925" t="str">
        <f>INDEX(Lists!I:I,MATCH(Validation!E4925,Lists!G:G,0))</f>
        <v>Error</v>
      </c>
      <c r="G4925" t="str">
        <f>INDEX(Lists!H:H,MATCH(Validation!E4925,Lists!G:G,0))</f>
        <v>Low interest rate must be greater than or equal to zero.</v>
      </c>
      <c r="H4925" s="16" t="str">
        <f t="shared" ca="1" si="516"/>
        <v/>
      </c>
      <c r="I4925" s="16" t="str">
        <f t="shared" ca="1" si="517"/>
        <v/>
      </c>
      <c r="J4925" s="17" t="str">
        <f t="shared" ca="1" si="518"/>
        <v/>
      </c>
    </row>
    <row r="4926" spans="1:10" x14ac:dyDescent="0.25">
      <c r="A4926" t="s">
        <v>934</v>
      </c>
      <c r="B4926" t="str">
        <f>ADDRESS(ROW('Loan 1'!$B$12),COLUMN('Loan 1'!$B$12),4)</f>
        <v>B12</v>
      </c>
      <c r="C4926" t="str">
        <f>ADDRESS(ROW('Loan 1'!$D$12),COLUMN('Loan 1'!$D$12),4)</f>
        <v>D12</v>
      </c>
      <c r="D4926" t="b" cm="1">
        <f t="array" aca="1" ref="D4926" ca="1">IF(INDIRECT("'"&amp;A4926&amp;"'!"&amp;B4926)="",FALSE,IF(INDIRECT("'"&amp;A4926&amp;"'!"&amp;B4926)&lt;0,TRUE,FALSE))</f>
        <v>0</v>
      </c>
      <c r="E4926" t="s">
        <v>760</v>
      </c>
      <c r="F4926" t="str">
        <f>INDEX(Lists!I:I,MATCH(Validation!E4926,Lists!G:G,0))</f>
        <v>Error</v>
      </c>
      <c r="G4926" t="str">
        <f>INDEX(Lists!H:H,MATCH(Validation!E4926,Lists!G:G,0))</f>
        <v>Low interest rate must be greater than or equal to zero.</v>
      </c>
      <c r="H4926" s="16" t="str">
        <f t="shared" ca="1" si="516"/>
        <v/>
      </c>
      <c r="I4926" s="16" t="str">
        <f t="shared" ca="1" si="517"/>
        <v/>
      </c>
      <c r="J4926" s="17" t="str">
        <f t="shared" ca="1" si="518"/>
        <v/>
      </c>
    </row>
    <row r="4927" spans="1:10" x14ac:dyDescent="0.25">
      <c r="A4927" t="s">
        <v>935</v>
      </c>
      <c r="B4927" t="str">
        <f>ADDRESS(ROW('Loan 1'!$B$12),COLUMN('Loan 1'!$B$12),4)</f>
        <v>B12</v>
      </c>
      <c r="C4927" t="str">
        <f>ADDRESS(ROW('Loan 1'!$D$12),COLUMN('Loan 1'!$D$12),4)</f>
        <v>D12</v>
      </c>
      <c r="D4927" t="b" cm="1">
        <f t="array" aca="1" ref="D4927" ca="1">IF(INDIRECT("'"&amp;A4927&amp;"'!"&amp;B4927)="",FALSE,IF(INDIRECT("'"&amp;A4927&amp;"'!"&amp;B4927)&lt;0,TRUE,FALSE))</f>
        <v>0</v>
      </c>
      <c r="E4927" t="s">
        <v>760</v>
      </c>
      <c r="F4927" t="str">
        <f>INDEX(Lists!I:I,MATCH(Validation!E4927,Lists!G:G,0))</f>
        <v>Error</v>
      </c>
      <c r="G4927" t="str">
        <f>INDEX(Lists!H:H,MATCH(Validation!E4927,Lists!G:G,0))</f>
        <v>Low interest rate must be greater than or equal to zero.</v>
      </c>
      <c r="H4927" s="16" t="str">
        <f t="shared" ca="1" si="516"/>
        <v/>
      </c>
      <c r="I4927" s="16" t="str">
        <f t="shared" ca="1" si="517"/>
        <v/>
      </c>
      <c r="J4927" s="17" t="str">
        <f t="shared" ca="1" si="518"/>
        <v/>
      </c>
    </row>
    <row r="4928" spans="1:10" x14ac:dyDescent="0.25">
      <c r="A4928" t="s">
        <v>936</v>
      </c>
      <c r="B4928" t="str">
        <f>ADDRESS(ROW('Loan 1'!$B$12),COLUMN('Loan 1'!$B$12),4)</f>
        <v>B12</v>
      </c>
      <c r="C4928" t="str">
        <f>ADDRESS(ROW('Loan 1'!$D$12),COLUMN('Loan 1'!$D$12),4)</f>
        <v>D12</v>
      </c>
      <c r="D4928" t="b" cm="1">
        <f t="array" aca="1" ref="D4928" ca="1">IF(INDIRECT("'"&amp;A4928&amp;"'!"&amp;B4928)="",FALSE,IF(INDIRECT("'"&amp;A4928&amp;"'!"&amp;B4928)&lt;0,TRUE,FALSE))</f>
        <v>0</v>
      </c>
      <c r="E4928" t="s">
        <v>760</v>
      </c>
      <c r="F4928" t="str">
        <f>INDEX(Lists!I:I,MATCH(Validation!E4928,Lists!G:G,0))</f>
        <v>Error</v>
      </c>
      <c r="G4928" t="str">
        <f>INDEX(Lists!H:H,MATCH(Validation!E4928,Lists!G:G,0))</f>
        <v>Low interest rate must be greater than or equal to zero.</v>
      </c>
      <c r="H4928" s="16" t="str">
        <f t="shared" ca="1" si="516"/>
        <v/>
      </c>
      <c r="I4928" s="16" t="str">
        <f t="shared" ca="1" si="517"/>
        <v/>
      </c>
      <c r="J4928" s="17" t="str">
        <f t="shared" ca="1" si="518"/>
        <v/>
      </c>
    </row>
    <row r="4929" spans="1:10" x14ac:dyDescent="0.25">
      <c r="A4929" t="s">
        <v>937</v>
      </c>
      <c r="B4929" t="str">
        <f>ADDRESS(ROW('Loan 1'!$B$12),COLUMN('Loan 1'!$B$12),4)</f>
        <v>B12</v>
      </c>
      <c r="C4929" t="str">
        <f>ADDRESS(ROW('Loan 1'!$D$12),COLUMN('Loan 1'!$D$12),4)</f>
        <v>D12</v>
      </c>
      <c r="D4929" t="b" cm="1">
        <f t="array" aca="1" ref="D4929" ca="1">IF(INDIRECT("'"&amp;A4929&amp;"'!"&amp;B4929)="",FALSE,IF(INDIRECT("'"&amp;A4929&amp;"'!"&amp;B4929)&lt;0,TRUE,FALSE))</f>
        <v>0</v>
      </c>
      <c r="E4929" t="s">
        <v>760</v>
      </c>
      <c r="F4929" t="str">
        <f>INDEX(Lists!I:I,MATCH(Validation!E4929,Lists!G:G,0))</f>
        <v>Error</v>
      </c>
      <c r="G4929" t="str">
        <f>INDEX(Lists!H:H,MATCH(Validation!E4929,Lists!G:G,0))</f>
        <v>Low interest rate must be greater than or equal to zero.</v>
      </c>
      <c r="H4929" s="16" t="str">
        <f t="shared" ca="1" si="516"/>
        <v/>
      </c>
      <c r="I4929" s="16" t="str">
        <f t="shared" ca="1" si="517"/>
        <v/>
      </c>
      <c r="J4929" s="17" t="str">
        <f t="shared" ca="1" si="518"/>
        <v/>
      </c>
    </row>
    <row r="4930" spans="1:10" x14ac:dyDescent="0.25">
      <c r="A4930" t="s">
        <v>938</v>
      </c>
      <c r="B4930" t="str">
        <f>ADDRESS(ROW('Loan 1'!$B$12),COLUMN('Loan 1'!$B$12),4)</f>
        <v>B12</v>
      </c>
      <c r="C4930" t="str">
        <f>ADDRESS(ROW('Loan 1'!$D$12),COLUMN('Loan 1'!$D$12),4)</f>
        <v>D12</v>
      </c>
      <c r="D4930" t="b" cm="1">
        <f t="array" aca="1" ref="D4930" ca="1">IF(INDIRECT("'"&amp;A4930&amp;"'!"&amp;B4930)="",FALSE,IF(INDIRECT("'"&amp;A4930&amp;"'!"&amp;B4930)&lt;0,TRUE,FALSE))</f>
        <v>0</v>
      </c>
      <c r="E4930" t="s">
        <v>760</v>
      </c>
      <c r="F4930" t="str">
        <f>INDEX(Lists!I:I,MATCH(Validation!E4930,Lists!G:G,0))</f>
        <v>Error</v>
      </c>
      <c r="G4930" t="str">
        <f>INDEX(Lists!H:H,MATCH(Validation!E4930,Lists!G:G,0))</f>
        <v>Low interest rate must be greater than or equal to zero.</v>
      </c>
      <c r="H4930" s="16" t="str">
        <f t="shared" ca="1" si="516"/>
        <v/>
      </c>
      <c r="I4930" s="16" t="str">
        <f t="shared" ca="1" si="517"/>
        <v/>
      </c>
      <c r="J4930" s="17" t="str">
        <f t="shared" ca="1" si="518"/>
        <v/>
      </c>
    </row>
    <row r="4931" spans="1:10" x14ac:dyDescent="0.25">
      <c r="A4931" t="s">
        <v>939</v>
      </c>
      <c r="B4931" t="str">
        <f>ADDRESS(ROW('Loan 1'!$B$12),COLUMN('Loan 1'!$B$12),4)</f>
        <v>B12</v>
      </c>
      <c r="C4931" t="str">
        <f>ADDRESS(ROW('Loan 1'!$D$12),COLUMN('Loan 1'!$D$12),4)</f>
        <v>D12</v>
      </c>
      <c r="D4931" t="b" cm="1">
        <f t="array" aca="1" ref="D4931" ca="1">IF(INDIRECT("'"&amp;A4931&amp;"'!"&amp;B4931)="",FALSE,IF(INDIRECT("'"&amp;A4931&amp;"'!"&amp;B4931)&lt;0,TRUE,FALSE))</f>
        <v>0</v>
      </c>
      <c r="E4931" t="s">
        <v>760</v>
      </c>
      <c r="F4931" t="str">
        <f>INDEX(Lists!I:I,MATCH(Validation!E4931,Lists!G:G,0))</f>
        <v>Error</v>
      </c>
      <c r="G4931" t="str">
        <f>INDEX(Lists!H:H,MATCH(Validation!E4931,Lists!G:G,0))</f>
        <v>Low interest rate must be greater than or equal to zero.</v>
      </c>
      <c r="H4931" s="16" t="str">
        <f t="shared" ca="1" si="516"/>
        <v/>
      </c>
      <c r="I4931" s="16" t="str">
        <f t="shared" ca="1" si="517"/>
        <v/>
      </c>
      <c r="J4931" s="17" t="str">
        <f t="shared" ca="1" si="518"/>
        <v/>
      </c>
    </row>
    <row r="4932" spans="1:10" x14ac:dyDescent="0.25">
      <c r="A4932" t="s">
        <v>940</v>
      </c>
      <c r="B4932" t="str">
        <f>ADDRESS(ROW('Loan 1'!$B$12),COLUMN('Loan 1'!$B$12),4)</f>
        <v>B12</v>
      </c>
      <c r="C4932" t="str">
        <f>ADDRESS(ROW('Loan 1'!$D$12),COLUMN('Loan 1'!$D$12),4)</f>
        <v>D12</v>
      </c>
      <c r="D4932" t="b" cm="1">
        <f t="array" aca="1" ref="D4932" ca="1">IF(INDIRECT("'"&amp;A4932&amp;"'!"&amp;B4932)="",FALSE,IF(INDIRECT("'"&amp;A4932&amp;"'!"&amp;B4932)&lt;0,TRUE,FALSE))</f>
        <v>0</v>
      </c>
      <c r="E4932" t="s">
        <v>760</v>
      </c>
      <c r="F4932" t="str">
        <f>INDEX(Lists!I:I,MATCH(Validation!E4932,Lists!G:G,0))</f>
        <v>Error</v>
      </c>
      <c r="G4932" t="str">
        <f>INDEX(Lists!H:H,MATCH(Validation!E4932,Lists!G:G,0))</f>
        <v>Low interest rate must be greater than or equal to zero.</v>
      </c>
      <c r="H4932" s="16" t="str">
        <f t="shared" ca="1" si="516"/>
        <v/>
      </c>
      <c r="I4932" s="16" t="str">
        <f t="shared" ca="1" si="517"/>
        <v/>
      </c>
      <c r="J4932" s="17" t="str">
        <f t="shared" ca="1" si="518"/>
        <v/>
      </c>
    </row>
    <row r="4933" spans="1:10" x14ac:dyDescent="0.25">
      <c r="A4933" t="s">
        <v>941</v>
      </c>
      <c r="B4933" t="str">
        <f>ADDRESS(ROW('Loan 1'!$B$12),COLUMN('Loan 1'!$B$12),4)</f>
        <v>B12</v>
      </c>
      <c r="C4933" t="str">
        <f>ADDRESS(ROW('Loan 1'!$D$12),COLUMN('Loan 1'!$D$12),4)</f>
        <v>D12</v>
      </c>
      <c r="D4933" t="b" cm="1">
        <f t="array" aca="1" ref="D4933" ca="1">IF(INDIRECT("'"&amp;A4933&amp;"'!"&amp;B4933)="",FALSE,IF(INDIRECT("'"&amp;A4933&amp;"'!"&amp;B4933)&lt;0,TRUE,FALSE))</f>
        <v>0</v>
      </c>
      <c r="E4933" t="s">
        <v>760</v>
      </c>
      <c r="F4933" t="str">
        <f>INDEX(Lists!I:I,MATCH(Validation!E4933,Lists!G:G,0))</f>
        <v>Error</v>
      </c>
      <c r="G4933" t="str">
        <f>INDEX(Lists!H:H,MATCH(Validation!E4933,Lists!G:G,0))</f>
        <v>Low interest rate must be greater than or equal to zero.</v>
      </c>
      <c r="H4933" s="16" t="str">
        <f t="shared" ca="1" si="516"/>
        <v/>
      </c>
      <c r="I4933" s="16" t="str">
        <f t="shared" ca="1" si="517"/>
        <v/>
      </c>
      <c r="J4933" s="17" t="str">
        <f t="shared" ca="1" si="518"/>
        <v/>
      </c>
    </row>
    <row r="4934" spans="1:10" x14ac:dyDescent="0.25">
      <c r="A4934" t="s">
        <v>942</v>
      </c>
      <c r="B4934" t="str">
        <f>ADDRESS(ROW('Loan 1'!$B$12),COLUMN('Loan 1'!$B$12),4)</f>
        <v>B12</v>
      </c>
      <c r="C4934" t="str">
        <f>ADDRESS(ROW('Loan 1'!$D$12),COLUMN('Loan 1'!$D$12),4)</f>
        <v>D12</v>
      </c>
      <c r="D4934" t="b" cm="1">
        <f t="array" aca="1" ref="D4934" ca="1">IF(INDIRECT("'"&amp;A4934&amp;"'!"&amp;B4934)="",FALSE,IF(INDIRECT("'"&amp;A4934&amp;"'!"&amp;B4934)&lt;0,TRUE,FALSE))</f>
        <v>0</v>
      </c>
      <c r="E4934" t="s">
        <v>760</v>
      </c>
      <c r="F4934" t="str">
        <f>INDEX(Lists!I:I,MATCH(Validation!E4934,Lists!G:G,0))</f>
        <v>Error</v>
      </c>
      <c r="G4934" t="str">
        <f>INDEX(Lists!H:H,MATCH(Validation!E4934,Lists!G:G,0))</f>
        <v>Low interest rate must be greater than or equal to zero.</v>
      </c>
      <c r="H4934" s="16" t="str">
        <f t="shared" ca="1" si="516"/>
        <v/>
      </c>
      <c r="I4934" s="16" t="str">
        <f t="shared" ca="1" si="517"/>
        <v/>
      </c>
      <c r="J4934" s="17" t="str">
        <f t="shared" ca="1" si="518"/>
        <v/>
      </c>
    </row>
    <row r="4935" spans="1:10" x14ac:dyDescent="0.25">
      <c r="A4935" t="s">
        <v>943</v>
      </c>
      <c r="B4935" t="str">
        <f>ADDRESS(ROW('Loan 1'!$B$12),COLUMN('Loan 1'!$B$12),4)</f>
        <v>B12</v>
      </c>
      <c r="C4935" t="str">
        <f>ADDRESS(ROW('Loan 1'!$D$12),COLUMN('Loan 1'!$D$12),4)</f>
        <v>D12</v>
      </c>
      <c r="D4935" t="b" cm="1">
        <f t="array" aca="1" ref="D4935" ca="1">IF(INDIRECT("'"&amp;A4935&amp;"'!"&amp;B4935)="",FALSE,IF(INDIRECT("'"&amp;A4935&amp;"'!"&amp;B4935)&lt;0,TRUE,FALSE))</f>
        <v>0</v>
      </c>
      <c r="E4935" t="s">
        <v>760</v>
      </c>
      <c r="F4935" t="str">
        <f>INDEX(Lists!I:I,MATCH(Validation!E4935,Lists!G:G,0))</f>
        <v>Error</v>
      </c>
      <c r="G4935" t="str">
        <f>INDEX(Lists!H:H,MATCH(Validation!E4935,Lists!G:G,0))</f>
        <v>Low interest rate must be greater than or equal to zero.</v>
      </c>
      <c r="H4935" s="16" t="str">
        <f t="shared" ca="1" si="516"/>
        <v/>
      </c>
      <c r="I4935" s="16" t="str">
        <f t="shared" ca="1" si="517"/>
        <v/>
      </c>
      <c r="J4935" s="17" t="str">
        <f t="shared" ca="1" si="518"/>
        <v/>
      </c>
    </row>
    <row r="4936" spans="1:10" x14ac:dyDescent="0.25">
      <c r="A4936" t="s">
        <v>944</v>
      </c>
      <c r="B4936" t="str">
        <f>ADDRESS(ROW('Loan 1'!$B$12),COLUMN('Loan 1'!$B$12),4)</f>
        <v>B12</v>
      </c>
      <c r="C4936" t="str">
        <f>ADDRESS(ROW('Loan 1'!$D$12),COLUMN('Loan 1'!$D$12),4)</f>
        <v>D12</v>
      </c>
      <c r="D4936" t="b" cm="1">
        <f t="array" aca="1" ref="D4936" ca="1">IF(INDIRECT("'"&amp;A4936&amp;"'!"&amp;B4936)="",FALSE,IF(INDIRECT("'"&amp;A4936&amp;"'!"&amp;B4936)&lt;0,TRUE,FALSE))</f>
        <v>0</v>
      </c>
      <c r="E4936" t="s">
        <v>760</v>
      </c>
      <c r="F4936" t="str">
        <f>INDEX(Lists!I:I,MATCH(Validation!E4936,Lists!G:G,0))</f>
        <v>Error</v>
      </c>
      <c r="G4936" t="str">
        <f>INDEX(Lists!H:H,MATCH(Validation!E4936,Lists!G:G,0))</f>
        <v>Low interest rate must be greater than or equal to zero.</v>
      </c>
      <c r="H4936" s="16" t="str">
        <f t="shared" ca="1" si="516"/>
        <v/>
      </c>
      <c r="I4936" s="16" t="str">
        <f t="shared" ca="1" si="517"/>
        <v/>
      </c>
      <c r="J4936" s="17" t="str">
        <f t="shared" ca="1" si="518"/>
        <v/>
      </c>
    </row>
    <row r="4937" spans="1:10" x14ac:dyDescent="0.25">
      <c r="A4937" t="s">
        <v>945</v>
      </c>
      <c r="B4937" t="str">
        <f>ADDRESS(ROW('Loan 1'!$B$12),COLUMN('Loan 1'!$B$12),4)</f>
        <v>B12</v>
      </c>
      <c r="C4937" t="str">
        <f>ADDRESS(ROW('Loan 1'!$D$12),COLUMN('Loan 1'!$D$12),4)</f>
        <v>D12</v>
      </c>
      <c r="D4937" t="b" cm="1">
        <f t="array" aca="1" ref="D4937" ca="1">IF(INDIRECT("'"&amp;A4937&amp;"'!"&amp;B4937)="",FALSE,IF(INDIRECT("'"&amp;A4937&amp;"'!"&amp;B4937)&lt;0,TRUE,FALSE))</f>
        <v>0</v>
      </c>
      <c r="E4937" t="s">
        <v>760</v>
      </c>
      <c r="F4937" t="str">
        <f>INDEX(Lists!I:I,MATCH(Validation!E4937,Lists!G:G,0))</f>
        <v>Error</v>
      </c>
      <c r="G4937" t="str">
        <f>INDEX(Lists!H:H,MATCH(Validation!E4937,Lists!G:G,0))</f>
        <v>Low interest rate must be greater than or equal to zero.</v>
      </c>
      <c r="H4937" s="16" t="str">
        <f t="shared" ca="1" si="516"/>
        <v/>
      </c>
      <c r="I4937" s="16" t="str">
        <f t="shared" ca="1" si="517"/>
        <v/>
      </c>
      <c r="J4937" s="17" t="str">
        <f t="shared" ca="1" si="518"/>
        <v/>
      </c>
    </row>
    <row r="4938" spans="1:10" x14ac:dyDescent="0.25">
      <c r="A4938" t="s">
        <v>205</v>
      </c>
      <c r="B4938" t="str">
        <f>ADDRESS(ROW('Loan 1'!$B$12),COLUMN('Loan 1'!$B$12),4)</f>
        <v>B12</v>
      </c>
      <c r="C4938" t="str">
        <f>ADDRESS(ROW('Loan 1'!$D$12),COLUMN('Loan 1'!$D$12),4)</f>
        <v>D12</v>
      </c>
      <c r="D4938" t="b" cm="1">
        <f t="array" aca="1" ref="D4938" ca="1">IF(INDIRECT("'"&amp;A4938&amp;"'!"&amp;B4938)="",FALSE,IF(INDIRECT("'"&amp;A4938&amp;"'!"&amp;B4938)&gt;9,TRUE,FALSE))</f>
        <v>0</v>
      </c>
      <c r="E4938" t="s">
        <v>707</v>
      </c>
      <c r="F4938" t="str">
        <f>INDEX(Lists!I:I,MATCH(Validation!E4938,Lists!G:G,0))</f>
        <v>Alert</v>
      </c>
      <c r="G4938" t="str">
        <f>INDEX(Lists!H:H,MATCH(Validation!E4938,Lists!G:G,0))</f>
        <v>Low interest rate exceeds typical rates. Correct entry or explain in comments box.</v>
      </c>
      <c r="H4938" s="16" t="str">
        <f t="shared" ca="1" si="498"/>
        <v/>
      </c>
      <c r="I4938" s="16" t="str">
        <f t="shared" ca="1" si="499"/>
        <v/>
      </c>
      <c r="J4938" s="17" t="str">
        <f t="shared" ca="1" si="500"/>
        <v/>
      </c>
    </row>
    <row r="4939" spans="1:10" x14ac:dyDescent="0.25">
      <c r="A4939" t="s">
        <v>932</v>
      </c>
      <c r="B4939" t="str">
        <f>ADDRESS(ROW('Loan 1'!$B$12),COLUMN('Loan 1'!$B$12),4)</f>
        <v>B12</v>
      </c>
      <c r="C4939" t="str">
        <f>ADDRESS(ROW('Loan 1'!$D$12),COLUMN('Loan 1'!$D$12),4)</f>
        <v>D12</v>
      </c>
      <c r="D4939" t="b" cm="1">
        <f t="array" aca="1" ref="D4939" ca="1">IF(INDIRECT("'"&amp;A4939&amp;"'!"&amp;B4939)="",FALSE,IF(INDIRECT("'"&amp;A4939&amp;"'!"&amp;B4939)&gt;9,TRUE,FALSE))</f>
        <v>0</v>
      </c>
      <c r="E4939" t="s">
        <v>707</v>
      </c>
      <c r="F4939" t="str">
        <f>INDEX(Lists!I:I,MATCH(Validation!E4939,Lists!G:G,0))</f>
        <v>Alert</v>
      </c>
      <c r="G4939" t="str">
        <f>INDEX(Lists!H:H,MATCH(Validation!E4939,Lists!G:G,0))</f>
        <v>Low interest rate exceeds typical rates. Correct entry or explain in comments box.</v>
      </c>
      <c r="H4939" s="16" t="str">
        <f t="shared" ca="1" si="498"/>
        <v/>
      </c>
      <c r="I4939" s="16" t="str">
        <f t="shared" ca="1" si="499"/>
        <v/>
      </c>
      <c r="J4939" s="17" t="str">
        <f t="shared" ca="1" si="500"/>
        <v/>
      </c>
    </row>
    <row r="4940" spans="1:10" x14ac:dyDescent="0.25">
      <c r="A4940" t="s">
        <v>933</v>
      </c>
      <c r="B4940" t="str">
        <f>ADDRESS(ROW('Loan 1'!$B$12),COLUMN('Loan 1'!$B$12),4)</f>
        <v>B12</v>
      </c>
      <c r="C4940" t="str">
        <f>ADDRESS(ROW('Loan 1'!$D$12),COLUMN('Loan 1'!$D$12),4)</f>
        <v>D12</v>
      </c>
      <c r="D4940" t="b" cm="1">
        <f t="array" aca="1" ref="D4940" ca="1">IF(INDIRECT("'"&amp;A4940&amp;"'!"&amp;B4940)="",FALSE,IF(INDIRECT("'"&amp;A4940&amp;"'!"&amp;B4940)&gt;9,TRUE,FALSE))</f>
        <v>0</v>
      </c>
      <c r="E4940" t="s">
        <v>707</v>
      </c>
      <c r="F4940" t="str">
        <f>INDEX(Lists!I:I,MATCH(Validation!E4940,Lists!G:G,0))</f>
        <v>Alert</v>
      </c>
      <c r="G4940" t="str">
        <f>INDEX(Lists!H:H,MATCH(Validation!E4940,Lists!G:G,0))</f>
        <v>Low interest rate exceeds typical rates. Correct entry or explain in comments box.</v>
      </c>
      <c r="H4940" s="16" t="str">
        <f t="shared" ca="1" si="498"/>
        <v/>
      </c>
      <c r="I4940" s="16" t="str">
        <f t="shared" ca="1" si="499"/>
        <v/>
      </c>
      <c r="J4940" s="17" t="str">
        <f t="shared" ca="1" si="500"/>
        <v/>
      </c>
    </row>
    <row r="4941" spans="1:10" x14ac:dyDescent="0.25">
      <c r="A4941" t="s">
        <v>934</v>
      </c>
      <c r="B4941" t="str">
        <f>ADDRESS(ROW('Loan 1'!$B$12),COLUMN('Loan 1'!$B$12),4)</f>
        <v>B12</v>
      </c>
      <c r="C4941" t="str">
        <f>ADDRESS(ROW('Loan 1'!$D$12),COLUMN('Loan 1'!$D$12),4)</f>
        <v>D12</v>
      </c>
      <c r="D4941" t="b" cm="1">
        <f t="array" aca="1" ref="D4941" ca="1">IF(INDIRECT("'"&amp;A4941&amp;"'!"&amp;B4941)="",FALSE,IF(INDIRECT("'"&amp;A4941&amp;"'!"&amp;B4941)&gt;9,TRUE,FALSE))</f>
        <v>0</v>
      </c>
      <c r="E4941" t="s">
        <v>707</v>
      </c>
      <c r="F4941" t="str">
        <f>INDEX(Lists!I:I,MATCH(Validation!E4941,Lists!G:G,0))</f>
        <v>Alert</v>
      </c>
      <c r="G4941" t="str">
        <f>INDEX(Lists!H:H,MATCH(Validation!E4941,Lists!G:G,0))</f>
        <v>Low interest rate exceeds typical rates. Correct entry or explain in comments box.</v>
      </c>
      <c r="H4941" s="16" t="str">
        <f t="shared" ca="1" si="498"/>
        <v/>
      </c>
      <c r="I4941" s="16" t="str">
        <f t="shared" ca="1" si="499"/>
        <v/>
      </c>
      <c r="J4941" s="17" t="str">
        <f t="shared" ca="1" si="500"/>
        <v/>
      </c>
    </row>
    <row r="4942" spans="1:10" x14ac:dyDescent="0.25">
      <c r="A4942" t="s">
        <v>935</v>
      </c>
      <c r="B4942" t="str">
        <f>ADDRESS(ROW('Loan 1'!$B$12),COLUMN('Loan 1'!$B$12),4)</f>
        <v>B12</v>
      </c>
      <c r="C4942" t="str">
        <f>ADDRESS(ROW('Loan 1'!$D$12),COLUMN('Loan 1'!$D$12),4)</f>
        <v>D12</v>
      </c>
      <c r="D4942" t="b" cm="1">
        <f t="array" aca="1" ref="D4942" ca="1">IF(INDIRECT("'"&amp;A4942&amp;"'!"&amp;B4942)="",FALSE,IF(INDIRECT("'"&amp;A4942&amp;"'!"&amp;B4942)&gt;9,TRUE,FALSE))</f>
        <v>0</v>
      </c>
      <c r="E4942" t="s">
        <v>707</v>
      </c>
      <c r="F4942" t="str">
        <f>INDEX(Lists!I:I,MATCH(Validation!E4942,Lists!G:G,0))</f>
        <v>Alert</v>
      </c>
      <c r="G4942" t="str">
        <f>INDEX(Lists!H:H,MATCH(Validation!E4942,Lists!G:G,0))</f>
        <v>Low interest rate exceeds typical rates. Correct entry or explain in comments box.</v>
      </c>
      <c r="H4942" s="16" t="str">
        <f t="shared" ca="1" si="498"/>
        <v/>
      </c>
      <c r="I4942" s="16" t="str">
        <f t="shared" ca="1" si="499"/>
        <v/>
      </c>
      <c r="J4942" s="17" t="str">
        <f t="shared" ca="1" si="500"/>
        <v/>
      </c>
    </row>
    <row r="4943" spans="1:10" x14ac:dyDescent="0.25">
      <c r="A4943" t="s">
        <v>936</v>
      </c>
      <c r="B4943" t="str">
        <f>ADDRESS(ROW('Loan 1'!$B$12),COLUMN('Loan 1'!$B$12),4)</f>
        <v>B12</v>
      </c>
      <c r="C4943" t="str">
        <f>ADDRESS(ROW('Loan 1'!$D$12),COLUMN('Loan 1'!$D$12),4)</f>
        <v>D12</v>
      </c>
      <c r="D4943" t="b" cm="1">
        <f t="array" aca="1" ref="D4943" ca="1">IF(INDIRECT("'"&amp;A4943&amp;"'!"&amp;B4943)="",FALSE,IF(INDIRECT("'"&amp;A4943&amp;"'!"&amp;B4943)&gt;9,TRUE,FALSE))</f>
        <v>0</v>
      </c>
      <c r="E4943" t="s">
        <v>707</v>
      </c>
      <c r="F4943" t="str">
        <f>INDEX(Lists!I:I,MATCH(Validation!E4943,Lists!G:G,0))</f>
        <v>Alert</v>
      </c>
      <c r="G4943" t="str">
        <f>INDEX(Lists!H:H,MATCH(Validation!E4943,Lists!G:G,0))</f>
        <v>Low interest rate exceeds typical rates. Correct entry or explain in comments box.</v>
      </c>
      <c r="H4943" s="16" t="str">
        <f t="shared" ca="1" si="498"/>
        <v/>
      </c>
      <c r="I4943" s="16" t="str">
        <f t="shared" ca="1" si="499"/>
        <v/>
      </c>
      <c r="J4943" s="17" t="str">
        <f t="shared" ca="1" si="500"/>
        <v/>
      </c>
    </row>
    <row r="4944" spans="1:10" x14ac:dyDescent="0.25">
      <c r="A4944" t="s">
        <v>937</v>
      </c>
      <c r="B4944" t="str">
        <f>ADDRESS(ROW('Loan 1'!$B$12),COLUMN('Loan 1'!$B$12),4)</f>
        <v>B12</v>
      </c>
      <c r="C4944" t="str">
        <f>ADDRESS(ROW('Loan 1'!$D$12),COLUMN('Loan 1'!$D$12),4)</f>
        <v>D12</v>
      </c>
      <c r="D4944" t="b" cm="1">
        <f t="array" aca="1" ref="D4944" ca="1">IF(INDIRECT("'"&amp;A4944&amp;"'!"&amp;B4944)="",FALSE,IF(INDIRECT("'"&amp;A4944&amp;"'!"&amp;B4944)&gt;9,TRUE,FALSE))</f>
        <v>0</v>
      </c>
      <c r="E4944" t="s">
        <v>707</v>
      </c>
      <c r="F4944" t="str">
        <f>INDEX(Lists!I:I,MATCH(Validation!E4944,Lists!G:G,0))</f>
        <v>Alert</v>
      </c>
      <c r="G4944" t="str">
        <f>INDEX(Lists!H:H,MATCH(Validation!E4944,Lists!G:G,0))</f>
        <v>Low interest rate exceeds typical rates. Correct entry or explain in comments box.</v>
      </c>
      <c r="H4944" s="16" t="str">
        <f t="shared" ca="1" si="498"/>
        <v/>
      </c>
      <c r="I4944" s="16" t="str">
        <f t="shared" ca="1" si="499"/>
        <v/>
      </c>
      <c r="J4944" s="17" t="str">
        <f t="shared" ca="1" si="500"/>
        <v/>
      </c>
    </row>
    <row r="4945" spans="1:10" x14ac:dyDescent="0.25">
      <c r="A4945" t="s">
        <v>938</v>
      </c>
      <c r="B4945" t="str">
        <f>ADDRESS(ROW('Loan 1'!$B$12),COLUMN('Loan 1'!$B$12),4)</f>
        <v>B12</v>
      </c>
      <c r="C4945" t="str">
        <f>ADDRESS(ROW('Loan 1'!$D$12),COLUMN('Loan 1'!$D$12),4)</f>
        <v>D12</v>
      </c>
      <c r="D4945" t="b" cm="1">
        <f t="array" aca="1" ref="D4945" ca="1">IF(INDIRECT("'"&amp;A4945&amp;"'!"&amp;B4945)="",FALSE,IF(INDIRECT("'"&amp;A4945&amp;"'!"&amp;B4945)&gt;9,TRUE,FALSE))</f>
        <v>0</v>
      </c>
      <c r="E4945" t="s">
        <v>707</v>
      </c>
      <c r="F4945" t="str">
        <f>INDEX(Lists!I:I,MATCH(Validation!E4945,Lists!G:G,0))</f>
        <v>Alert</v>
      </c>
      <c r="G4945" t="str">
        <f>INDEX(Lists!H:H,MATCH(Validation!E4945,Lists!G:G,0))</f>
        <v>Low interest rate exceeds typical rates. Correct entry or explain in comments box.</v>
      </c>
      <c r="H4945" s="16" t="str">
        <f t="shared" ca="1" si="498"/>
        <v/>
      </c>
      <c r="I4945" s="16" t="str">
        <f t="shared" ca="1" si="499"/>
        <v/>
      </c>
      <c r="J4945" s="17" t="str">
        <f t="shared" ca="1" si="500"/>
        <v/>
      </c>
    </row>
    <row r="4946" spans="1:10" x14ac:dyDescent="0.25">
      <c r="A4946" t="s">
        <v>939</v>
      </c>
      <c r="B4946" t="str">
        <f>ADDRESS(ROW('Loan 1'!$B$12),COLUMN('Loan 1'!$B$12),4)</f>
        <v>B12</v>
      </c>
      <c r="C4946" t="str">
        <f>ADDRESS(ROW('Loan 1'!$D$12),COLUMN('Loan 1'!$D$12),4)</f>
        <v>D12</v>
      </c>
      <c r="D4946" t="b" cm="1">
        <f t="array" aca="1" ref="D4946" ca="1">IF(INDIRECT("'"&amp;A4946&amp;"'!"&amp;B4946)="",FALSE,IF(INDIRECT("'"&amp;A4946&amp;"'!"&amp;B4946)&gt;9,TRUE,FALSE))</f>
        <v>0</v>
      </c>
      <c r="E4946" t="s">
        <v>707</v>
      </c>
      <c r="F4946" t="str">
        <f>INDEX(Lists!I:I,MATCH(Validation!E4946,Lists!G:G,0))</f>
        <v>Alert</v>
      </c>
      <c r="G4946" t="str">
        <f>INDEX(Lists!H:H,MATCH(Validation!E4946,Lists!G:G,0))</f>
        <v>Low interest rate exceeds typical rates. Correct entry or explain in comments box.</v>
      </c>
      <c r="H4946" s="16" t="str">
        <f t="shared" ca="1" si="498"/>
        <v/>
      </c>
      <c r="I4946" s="16" t="str">
        <f t="shared" ca="1" si="499"/>
        <v/>
      </c>
      <c r="J4946" s="17" t="str">
        <f t="shared" ca="1" si="500"/>
        <v/>
      </c>
    </row>
    <row r="4947" spans="1:10" x14ac:dyDescent="0.25">
      <c r="A4947" t="s">
        <v>940</v>
      </c>
      <c r="B4947" t="str">
        <f>ADDRESS(ROW('Loan 1'!$B$12),COLUMN('Loan 1'!$B$12),4)</f>
        <v>B12</v>
      </c>
      <c r="C4947" t="str">
        <f>ADDRESS(ROW('Loan 1'!$D$12),COLUMN('Loan 1'!$D$12),4)</f>
        <v>D12</v>
      </c>
      <c r="D4947" t="b" cm="1">
        <f t="array" aca="1" ref="D4947" ca="1">IF(INDIRECT("'"&amp;A4947&amp;"'!"&amp;B4947)="",FALSE,IF(INDIRECT("'"&amp;A4947&amp;"'!"&amp;B4947)&gt;9,TRUE,FALSE))</f>
        <v>0</v>
      </c>
      <c r="E4947" t="s">
        <v>707</v>
      </c>
      <c r="F4947" t="str">
        <f>INDEX(Lists!I:I,MATCH(Validation!E4947,Lists!G:G,0))</f>
        <v>Alert</v>
      </c>
      <c r="G4947" t="str">
        <f>INDEX(Lists!H:H,MATCH(Validation!E4947,Lists!G:G,0))</f>
        <v>Low interest rate exceeds typical rates. Correct entry or explain in comments box.</v>
      </c>
      <c r="H4947" s="16" t="str">
        <f t="shared" ca="1" si="498"/>
        <v/>
      </c>
      <c r="I4947" s="16" t="str">
        <f t="shared" ca="1" si="499"/>
        <v/>
      </c>
      <c r="J4947" s="17" t="str">
        <f t="shared" ca="1" si="500"/>
        <v/>
      </c>
    </row>
    <row r="4948" spans="1:10" x14ac:dyDescent="0.25">
      <c r="A4948" t="s">
        <v>941</v>
      </c>
      <c r="B4948" t="str">
        <f>ADDRESS(ROW('Loan 1'!$B$12),COLUMN('Loan 1'!$B$12),4)</f>
        <v>B12</v>
      </c>
      <c r="C4948" t="str">
        <f>ADDRESS(ROW('Loan 1'!$D$12),COLUMN('Loan 1'!$D$12),4)</f>
        <v>D12</v>
      </c>
      <c r="D4948" t="b" cm="1">
        <f t="array" aca="1" ref="D4948" ca="1">IF(INDIRECT("'"&amp;A4948&amp;"'!"&amp;B4948)="",FALSE,IF(INDIRECT("'"&amp;A4948&amp;"'!"&amp;B4948)&gt;9,TRUE,FALSE))</f>
        <v>0</v>
      </c>
      <c r="E4948" t="s">
        <v>707</v>
      </c>
      <c r="F4948" t="str">
        <f>INDEX(Lists!I:I,MATCH(Validation!E4948,Lists!G:G,0))</f>
        <v>Alert</v>
      </c>
      <c r="G4948" t="str">
        <f>INDEX(Lists!H:H,MATCH(Validation!E4948,Lists!G:G,0))</f>
        <v>Low interest rate exceeds typical rates. Correct entry or explain in comments box.</v>
      </c>
      <c r="H4948" s="16" t="str">
        <f t="shared" ca="1" si="498"/>
        <v/>
      </c>
      <c r="I4948" s="16" t="str">
        <f t="shared" ca="1" si="499"/>
        <v/>
      </c>
      <c r="J4948" s="17" t="str">
        <f t="shared" ca="1" si="500"/>
        <v/>
      </c>
    </row>
    <row r="4949" spans="1:10" x14ac:dyDescent="0.25">
      <c r="A4949" t="s">
        <v>942</v>
      </c>
      <c r="B4949" t="str">
        <f>ADDRESS(ROW('Loan 1'!$B$12),COLUMN('Loan 1'!$B$12),4)</f>
        <v>B12</v>
      </c>
      <c r="C4949" t="str">
        <f>ADDRESS(ROW('Loan 1'!$D$12),COLUMN('Loan 1'!$D$12),4)</f>
        <v>D12</v>
      </c>
      <c r="D4949" t="b" cm="1">
        <f t="array" aca="1" ref="D4949" ca="1">IF(INDIRECT("'"&amp;A4949&amp;"'!"&amp;B4949)="",FALSE,IF(INDIRECT("'"&amp;A4949&amp;"'!"&amp;B4949)&gt;9,TRUE,FALSE))</f>
        <v>0</v>
      </c>
      <c r="E4949" t="s">
        <v>707</v>
      </c>
      <c r="F4949" t="str">
        <f>INDEX(Lists!I:I,MATCH(Validation!E4949,Lists!G:G,0))</f>
        <v>Alert</v>
      </c>
      <c r="G4949" t="str">
        <f>INDEX(Lists!H:H,MATCH(Validation!E4949,Lists!G:G,0))</f>
        <v>Low interest rate exceeds typical rates. Correct entry or explain in comments box.</v>
      </c>
      <c r="H4949" s="16" t="str">
        <f t="shared" ca="1" si="498"/>
        <v/>
      </c>
      <c r="I4949" s="16" t="str">
        <f t="shared" ca="1" si="499"/>
        <v/>
      </c>
      <c r="J4949" s="17" t="str">
        <f t="shared" ca="1" si="500"/>
        <v/>
      </c>
    </row>
    <row r="4950" spans="1:10" x14ac:dyDescent="0.25">
      <c r="A4950" t="s">
        <v>943</v>
      </c>
      <c r="B4950" t="str">
        <f>ADDRESS(ROW('Loan 1'!$B$12),COLUMN('Loan 1'!$B$12),4)</f>
        <v>B12</v>
      </c>
      <c r="C4950" t="str">
        <f>ADDRESS(ROW('Loan 1'!$D$12),COLUMN('Loan 1'!$D$12),4)</f>
        <v>D12</v>
      </c>
      <c r="D4950" t="b" cm="1">
        <f t="array" aca="1" ref="D4950" ca="1">IF(INDIRECT("'"&amp;A4950&amp;"'!"&amp;B4950)="",FALSE,IF(INDIRECT("'"&amp;A4950&amp;"'!"&amp;B4950)&gt;9,TRUE,FALSE))</f>
        <v>0</v>
      </c>
      <c r="E4950" t="s">
        <v>707</v>
      </c>
      <c r="F4950" t="str">
        <f>INDEX(Lists!I:I,MATCH(Validation!E4950,Lists!G:G,0))</f>
        <v>Alert</v>
      </c>
      <c r="G4950" t="str">
        <f>INDEX(Lists!H:H,MATCH(Validation!E4950,Lists!G:G,0))</f>
        <v>Low interest rate exceeds typical rates. Correct entry or explain in comments box.</v>
      </c>
      <c r="H4950" s="16" t="str">
        <f t="shared" ca="1" si="498"/>
        <v/>
      </c>
      <c r="I4950" s="16" t="str">
        <f t="shared" ca="1" si="499"/>
        <v/>
      </c>
      <c r="J4950" s="17" t="str">
        <f t="shared" ca="1" si="500"/>
        <v/>
      </c>
    </row>
    <row r="4951" spans="1:10" x14ac:dyDescent="0.25">
      <c r="A4951" t="s">
        <v>944</v>
      </c>
      <c r="B4951" t="str">
        <f>ADDRESS(ROW('Loan 1'!$B$12),COLUMN('Loan 1'!$B$12),4)</f>
        <v>B12</v>
      </c>
      <c r="C4951" t="str">
        <f>ADDRESS(ROW('Loan 1'!$D$12),COLUMN('Loan 1'!$D$12),4)</f>
        <v>D12</v>
      </c>
      <c r="D4951" t="b" cm="1">
        <f t="array" aca="1" ref="D4951" ca="1">IF(INDIRECT("'"&amp;A4951&amp;"'!"&amp;B4951)="",FALSE,IF(INDIRECT("'"&amp;A4951&amp;"'!"&amp;B4951)&gt;9,TRUE,FALSE))</f>
        <v>0</v>
      </c>
      <c r="E4951" t="s">
        <v>707</v>
      </c>
      <c r="F4951" t="str">
        <f>INDEX(Lists!I:I,MATCH(Validation!E4951,Lists!G:G,0))</f>
        <v>Alert</v>
      </c>
      <c r="G4951" t="str">
        <f>INDEX(Lists!H:H,MATCH(Validation!E4951,Lists!G:G,0))</f>
        <v>Low interest rate exceeds typical rates. Correct entry or explain in comments box.</v>
      </c>
      <c r="H4951" s="16" t="str">
        <f t="shared" ca="1" si="498"/>
        <v/>
      </c>
      <c r="I4951" s="16" t="str">
        <f t="shared" ca="1" si="499"/>
        <v/>
      </c>
      <c r="J4951" s="17" t="str">
        <f t="shared" ca="1" si="500"/>
        <v/>
      </c>
    </row>
    <row r="4952" spans="1:10" x14ac:dyDescent="0.25">
      <c r="A4952" t="s">
        <v>945</v>
      </c>
      <c r="B4952" t="str">
        <f>ADDRESS(ROW('Loan 1'!$B$12),COLUMN('Loan 1'!$B$12),4)</f>
        <v>B12</v>
      </c>
      <c r="C4952" t="str">
        <f>ADDRESS(ROW('Loan 1'!$D$12),COLUMN('Loan 1'!$D$12),4)</f>
        <v>D12</v>
      </c>
      <c r="D4952" t="b" cm="1">
        <f t="array" aca="1" ref="D4952" ca="1">IF(INDIRECT("'"&amp;A4952&amp;"'!"&amp;B4952)="",FALSE,IF(INDIRECT("'"&amp;A4952&amp;"'!"&amp;B4952)&gt;9,TRUE,FALSE))</f>
        <v>0</v>
      </c>
      <c r="E4952" t="s">
        <v>707</v>
      </c>
      <c r="F4952" t="str">
        <f>INDEX(Lists!I:I,MATCH(Validation!E4952,Lists!G:G,0))</f>
        <v>Alert</v>
      </c>
      <c r="G4952" t="str">
        <f>INDEX(Lists!H:H,MATCH(Validation!E4952,Lists!G:G,0))</f>
        <v>Low interest rate exceeds typical rates. Correct entry or explain in comments box.</v>
      </c>
      <c r="H4952" s="16" t="str">
        <f t="shared" ca="1" si="498"/>
        <v/>
      </c>
      <c r="I4952" s="16" t="str">
        <f t="shared" ca="1" si="499"/>
        <v/>
      </c>
      <c r="J4952" s="17" t="str">
        <f t="shared" ca="1" si="500"/>
        <v/>
      </c>
    </row>
    <row r="4953" spans="1:10" x14ac:dyDescent="0.25">
      <c r="A4953" t="s">
        <v>205</v>
      </c>
      <c r="B4953" t="str">
        <f>ADDRESS(ROW('Loan 1'!$B$12),COLUMN('Loan 1'!$B$12),4)</f>
        <v>B12</v>
      </c>
      <c r="C4953" t="str">
        <f>ADDRESS(ROW('Loan 1'!$D$12),COLUMN('Loan 1'!$D$12),4)</f>
        <v>D12</v>
      </c>
      <c r="D4953" t="b" cm="1">
        <f t="array" aca="1" ref="D4953" ca="1">IF(INDIRECT("'"&amp;A4953&amp;"'!"&amp;B4953)="",FALSE,IF(TRUNC(INDIRECT("'"&amp;A4953&amp;"'!"&amp;B4953),3)=INDIRECT("'"&amp;A4953&amp;"'!"&amp;B4953),FALSE,TRUE))</f>
        <v>0</v>
      </c>
      <c r="E4953" t="s">
        <v>616</v>
      </c>
      <c r="F4953" t="str">
        <f>INDEX(Lists!I:I,MATCH(Validation!E4953,Lists!G:G,0))</f>
        <v>Error</v>
      </c>
      <c r="G4953" t="str">
        <f>INDEX(Lists!H:H,MATCH(Validation!E4953,Lists!G:G,0))</f>
        <v>Interest rate cannot have more than three decimals.</v>
      </c>
      <c r="H4953" s="16" t="str">
        <f t="shared" ca="1" si="498"/>
        <v/>
      </c>
      <c r="I4953" s="16" t="str">
        <f t="shared" ca="1" si="499"/>
        <v/>
      </c>
      <c r="J4953" s="17" t="str">
        <f t="shared" ca="1" si="500"/>
        <v/>
      </c>
    </row>
    <row r="4954" spans="1:10" x14ac:dyDescent="0.25">
      <c r="A4954" t="s">
        <v>932</v>
      </c>
      <c r="B4954" t="str">
        <f>ADDRESS(ROW('Loan 1'!$B$12),COLUMN('Loan 1'!$B$12),4)</f>
        <v>B12</v>
      </c>
      <c r="C4954" t="str">
        <f>ADDRESS(ROW('Loan 1'!$D$12),COLUMN('Loan 1'!$D$12),4)</f>
        <v>D12</v>
      </c>
      <c r="D4954" t="b" cm="1">
        <f t="array" aca="1" ref="D4954" ca="1">IF(INDIRECT("'"&amp;A4954&amp;"'!"&amp;B4954)="",FALSE,IF(TRUNC(INDIRECT("'"&amp;A4954&amp;"'!"&amp;B4954),3)=INDIRECT("'"&amp;A4954&amp;"'!"&amp;B4954),FALSE,TRUE))</f>
        <v>0</v>
      </c>
      <c r="E4954" t="s">
        <v>616</v>
      </c>
      <c r="F4954" t="str">
        <f>INDEX(Lists!I:I,MATCH(Validation!E4954,Lists!G:G,0))</f>
        <v>Error</v>
      </c>
      <c r="G4954" t="str">
        <f>INDEX(Lists!H:H,MATCH(Validation!E4954,Lists!G:G,0))</f>
        <v>Interest rate cannot have more than three decimals.</v>
      </c>
      <c r="H4954" s="16" t="str">
        <f t="shared" ref="H4954:H4967" ca="1" si="519">IFERROR(IF(OR(NOT(D4954),F4954&lt;&gt;"Error"),"",A4954&amp;CELL("address",INDIRECT(B4954))),"")</f>
        <v/>
      </c>
      <c r="I4954" s="16" t="str">
        <f t="shared" ref="I4954:I4967" ca="1" si="520">IFERROR(IF(NOT(D4954),"",A4954&amp;CELL("address",INDIRECT(C4954))),"")</f>
        <v/>
      </c>
      <c r="J4954" s="17" t="str">
        <f t="shared" ref="J4954:J4967" ca="1" si="521">IFERROR(IF(NOT(D4954),"",A4954),"")</f>
        <v/>
      </c>
    </row>
    <row r="4955" spans="1:10" x14ac:dyDescent="0.25">
      <c r="A4955" t="s">
        <v>933</v>
      </c>
      <c r="B4955" t="str">
        <f>ADDRESS(ROW('Loan 1'!$B$12),COLUMN('Loan 1'!$B$12),4)</f>
        <v>B12</v>
      </c>
      <c r="C4955" t="str">
        <f>ADDRESS(ROW('Loan 1'!$D$12),COLUMN('Loan 1'!$D$12),4)</f>
        <v>D12</v>
      </c>
      <c r="D4955" t="b" cm="1">
        <f t="array" aca="1" ref="D4955" ca="1">IF(INDIRECT("'"&amp;A4955&amp;"'!"&amp;B4955)="",FALSE,IF(TRUNC(INDIRECT("'"&amp;A4955&amp;"'!"&amp;B4955),3)=INDIRECT("'"&amp;A4955&amp;"'!"&amp;B4955),FALSE,TRUE))</f>
        <v>0</v>
      </c>
      <c r="E4955" t="s">
        <v>616</v>
      </c>
      <c r="F4955" t="str">
        <f>INDEX(Lists!I:I,MATCH(Validation!E4955,Lists!G:G,0))</f>
        <v>Error</v>
      </c>
      <c r="G4955" t="str">
        <f>INDEX(Lists!H:H,MATCH(Validation!E4955,Lists!G:G,0))</f>
        <v>Interest rate cannot have more than three decimals.</v>
      </c>
      <c r="H4955" s="16" t="str">
        <f t="shared" ca="1" si="519"/>
        <v/>
      </c>
      <c r="I4955" s="16" t="str">
        <f t="shared" ca="1" si="520"/>
        <v/>
      </c>
      <c r="J4955" s="17" t="str">
        <f t="shared" ca="1" si="521"/>
        <v/>
      </c>
    </row>
    <row r="4956" spans="1:10" x14ac:dyDescent="0.25">
      <c r="A4956" t="s">
        <v>934</v>
      </c>
      <c r="B4956" t="str">
        <f>ADDRESS(ROW('Loan 1'!$B$12),COLUMN('Loan 1'!$B$12),4)</f>
        <v>B12</v>
      </c>
      <c r="C4956" t="str">
        <f>ADDRESS(ROW('Loan 1'!$D$12),COLUMN('Loan 1'!$D$12),4)</f>
        <v>D12</v>
      </c>
      <c r="D4956" t="b" cm="1">
        <f t="array" aca="1" ref="D4956" ca="1">IF(INDIRECT("'"&amp;A4956&amp;"'!"&amp;B4956)="",FALSE,IF(TRUNC(INDIRECT("'"&amp;A4956&amp;"'!"&amp;B4956),3)=INDIRECT("'"&amp;A4956&amp;"'!"&amp;B4956),FALSE,TRUE))</f>
        <v>0</v>
      </c>
      <c r="E4956" t="s">
        <v>616</v>
      </c>
      <c r="F4956" t="str">
        <f>INDEX(Lists!I:I,MATCH(Validation!E4956,Lists!G:G,0))</f>
        <v>Error</v>
      </c>
      <c r="G4956" t="str">
        <f>INDEX(Lists!H:H,MATCH(Validation!E4956,Lists!G:G,0))</f>
        <v>Interest rate cannot have more than three decimals.</v>
      </c>
      <c r="H4956" s="16" t="str">
        <f t="shared" ca="1" si="519"/>
        <v/>
      </c>
      <c r="I4956" s="16" t="str">
        <f t="shared" ca="1" si="520"/>
        <v/>
      </c>
      <c r="J4956" s="17" t="str">
        <f t="shared" ca="1" si="521"/>
        <v/>
      </c>
    </row>
    <row r="4957" spans="1:10" x14ac:dyDescent="0.25">
      <c r="A4957" t="s">
        <v>935</v>
      </c>
      <c r="B4957" t="str">
        <f>ADDRESS(ROW('Loan 1'!$B$12),COLUMN('Loan 1'!$B$12),4)</f>
        <v>B12</v>
      </c>
      <c r="C4957" t="str">
        <f>ADDRESS(ROW('Loan 1'!$D$12),COLUMN('Loan 1'!$D$12),4)</f>
        <v>D12</v>
      </c>
      <c r="D4957" t="b" cm="1">
        <f t="array" aca="1" ref="D4957" ca="1">IF(INDIRECT("'"&amp;A4957&amp;"'!"&amp;B4957)="",FALSE,IF(TRUNC(INDIRECT("'"&amp;A4957&amp;"'!"&amp;B4957),3)=INDIRECT("'"&amp;A4957&amp;"'!"&amp;B4957),FALSE,TRUE))</f>
        <v>0</v>
      </c>
      <c r="E4957" t="s">
        <v>616</v>
      </c>
      <c r="F4957" t="str">
        <f>INDEX(Lists!I:I,MATCH(Validation!E4957,Lists!G:G,0))</f>
        <v>Error</v>
      </c>
      <c r="G4957" t="str">
        <f>INDEX(Lists!H:H,MATCH(Validation!E4957,Lists!G:G,0))</f>
        <v>Interest rate cannot have more than three decimals.</v>
      </c>
      <c r="H4957" s="16" t="str">
        <f t="shared" ca="1" si="519"/>
        <v/>
      </c>
      <c r="I4957" s="16" t="str">
        <f t="shared" ca="1" si="520"/>
        <v/>
      </c>
      <c r="J4957" s="17" t="str">
        <f t="shared" ca="1" si="521"/>
        <v/>
      </c>
    </row>
    <row r="4958" spans="1:10" x14ac:dyDescent="0.25">
      <c r="A4958" t="s">
        <v>936</v>
      </c>
      <c r="B4958" t="str">
        <f>ADDRESS(ROW('Loan 1'!$B$12),COLUMN('Loan 1'!$B$12),4)</f>
        <v>B12</v>
      </c>
      <c r="C4958" t="str">
        <f>ADDRESS(ROW('Loan 1'!$D$12),COLUMN('Loan 1'!$D$12),4)</f>
        <v>D12</v>
      </c>
      <c r="D4958" t="b" cm="1">
        <f t="array" aca="1" ref="D4958" ca="1">IF(INDIRECT("'"&amp;A4958&amp;"'!"&amp;B4958)="",FALSE,IF(TRUNC(INDIRECT("'"&amp;A4958&amp;"'!"&amp;B4958),3)=INDIRECT("'"&amp;A4958&amp;"'!"&amp;B4958),FALSE,TRUE))</f>
        <v>0</v>
      </c>
      <c r="E4958" t="s">
        <v>616</v>
      </c>
      <c r="F4958" t="str">
        <f>INDEX(Lists!I:I,MATCH(Validation!E4958,Lists!G:G,0))</f>
        <v>Error</v>
      </c>
      <c r="G4958" t="str">
        <f>INDEX(Lists!H:H,MATCH(Validation!E4958,Lists!G:G,0))</f>
        <v>Interest rate cannot have more than three decimals.</v>
      </c>
      <c r="H4958" s="16" t="str">
        <f t="shared" ca="1" si="519"/>
        <v/>
      </c>
      <c r="I4958" s="16" t="str">
        <f t="shared" ca="1" si="520"/>
        <v/>
      </c>
      <c r="J4958" s="17" t="str">
        <f t="shared" ca="1" si="521"/>
        <v/>
      </c>
    </row>
    <row r="4959" spans="1:10" x14ac:dyDescent="0.25">
      <c r="A4959" t="s">
        <v>937</v>
      </c>
      <c r="B4959" t="str">
        <f>ADDRESS(ROW('Loan 1'!$B$12),COLUMN('Loan 1'!$B$12),4)</f>
        <v>B12</v>
      </c>
      <c r="C4959" t="str">
        <f>ADDRESS(ROW('Loan 1'!$D$12),COLUMN('Loan 1'!$D$12),4)</f>
        <v>D12</v>
      </c>
      <c r="D4959" t="b" cm="1">
        <f t="array" aca="1" ref="D4959" ca="1">IF(INDIRECT("'"&amp;A4959&amp;"'!"&amp;B4959)="",FALSE,IF(TRUNC(INDIRECT("'"&amp;A4959&amp;"'!"&amp;B4959),3)=INDIRECT("'"&amp;A4959&amp;"'!"&amp;B4959),FALSE,TRUE))</f>
        <v>0</v>
      </c>
      <c r="E4959" t="s">
        <v>616</v>
      </c>
      <c r="F4959" t="str">
        <f>INDEX(Lists!I:I,MATCH(Validation!E4959,Lists!G:G,0))</f>
        <v>Error</v>
      </c>
      <c r="G4959" t="str">
        <f>INDEX(Lists!H:H,MATCH(Validation!E4959,Lists!G:G,0))</f>
        <v>Interest rate cannot have more than three decimals.</v>
      </c>
      <c r="H4959" s="16" t="str">
        <f t="shared" ca="1" si="519"/>
        <v/>
      </c>
      <c r="I4959" s="16" t="str">
        <f t="shared" ca="1" si="520"/>
        <v/>
      </c>
      <c r="J4959" s="17" t="str">
        <f t="shared" ca="1" si="521"/>
        <v/>
      </c>
    </row>
    <row r="4960" spans="1:10" x14ac:dyDescent="0.25">
      <c r="A4960" t="s">
        <v>938</v>
      </c>
      <c r="B4960" t="str">
        <f>ADDRESS(ROW('Loan 1'!$B$12),COLUMN('Loan 1'!$B$12),4)</f>
        <v>B12</v>
      </c>
      <c r="C4960" t="str">
        <f>ADDRESS(ROW('Loan 1'!$D$12),COLUMN('Loan 1'!$D$12),4)</f>
        <v>D12</v>
      </c>
      <c r="D4960" t="b" cm="1">
        <f t="array" aca="1" ref="D4960" ca="1">IF(INDIRECT("'"&amp;A4960&amp;"'!"&amp;B4960)="",FALSE,IF(TRUNC(INDIRECT("'"&amp;A4960&amp;"'!"&amp;B4960),3)=INDIRECT("'"&amp;A4960&amp;"'!"&amp;B4960),FALSE,TRUE))</f>
        <v>0</v>
      </c>
      <c r="E4960" t="s">
        <v>616</v>
      </c>
      <c r="F4960" t="str">
        <f>INDEX(Lists!I:I,MATCH(Validation!E4960,Lists!G:G,0))</f>
        <v>Error</v>
      </c>
      <c r="G4960" t="str">
        <f>INDEX(Lists!H:H,MATCH(Validation!E4960,Lists!G:G,0))</f>
        <v>Interest rate cannot have more than three decimals.</v>
      </c>
      <c r="H4960" s="16" t="str">
        <f t="shared" ca="1" si="519"/>
        <v/>
      </c>
      <c r="I4960" s="16" t="str">
        <f t="shared" ca="1" si="520"/>
        <v/>
      </c>
      <c r="J4960" s="17" t="str">
        <f t="shared" ca="1" si="521"/>
        <v/>
      </c>
    </row>
    <row r="4961" spans="1:10" x14ac:dyDescent="0.25">
      <c r="A4961" t="s">
        <v>939</v>
      </c>
      <c r="B4961" t="str">
        <f>ADDRESS(ROW('Loan 1'!$B$12),COLUMN('Loan 1'!$B$12),4)</f>
        <v>B12</v>
      </c>
      <c r="C4961" t="str">
        <f>ADDRESS(ROW('Loan 1'!$D$12),COLUMN('Loan 1'!$D$12),4)</f>
        <v>D12</v>
      </c>
      <c r="D4961" t="b" cm="1">
        <f t="array" aca="1" ref="D4961" ca="1">IF(INDIRECT("'"&amp;A4961&amp;"'!"&amp;B4961)="",FALSE,IF(TRUNC(INDIRECT("'"&amp;A4961&amp;"'!"&amp;B4961),3)=INDIRECT("'"&amp;A4961&amp;"'!"&amp;B4961),FALSE,TRUE))</f>
        <v>0</v>
      </c>
      <c r="E4961" t="s">
        <v>616</v>
      </c>
      <c r="F4961" t="str">
        <f>INDEX(Lists!I:I,MATCH(Validation!E4961,Lists!G:G,0))</f>
        <v>Error</v>
      </c>
      <c r="G4961" t="str">
        <f>INDEX(Lists!H:H,MATCH(Validation!E4961,Lists!G:G,0))</f>
        <v>Interest rate cannot have more than three decimals.</v>
      </c>
      <c r="H4961" s="16" t="str">
        <f t="shared" ca="1" si="519"/>
        <v/>
      </c>
      <c r="I4961" s="16" t="str">
        <f t="shared" ca="1" si="520"/>
        <v/>
      </c>
      <c r="J4961" s="17" t="str">
        <f t="shared" ca="1" si="521"/>
        <v/>
      </c>
    </row>
    <row r="4962" spans="1:10" x14ac:dyDescent="0.25">
      <c r="A4962" t="s">
        <v>940</v>
      </c>
      <c r="B4962" t="str">
        <f>ADDRESS(ROW('Loan 1'!$B$12),COLUMN('Loan 1'!$B$12),4)</f>
        <v>B12</v>
      </c>
      <c r="C4962" t="str">
        <f>ADDRESS(ROW('Loan 1'!$D$12),COLUMN('Loan 1'!$D$12),4)</f>
        <v>D12</v>
      </c>
      <c r="D4962" t="b" cm="1">
        <f t="array" aca="1" ref="D4962" ca="1">IF(INDIRECT("'"&amp;A4962&amp;"'!"&amp;B4962)="",FALSE,IF(TRUNC(INDIRECT("'"&amp;A4962&amp;"'!"&amp;B4962),3)=INDIRECT("'"&amp;A4962&amp;"'!"&amp;B4962),FALSE,TRUE))</f>
        <v>0</v>
      </c>
      <c r="E4962" t="s">
        <v>616</v>
      </c>
      <c r="F4962" t="str">
        <f>INDEX(Lists!I:I,MATCH(Validation!E4962,Lists!G:G,0))</f>
        <v>Error</v>
      </c>
      <c r="G4962" t="str">
        <f>INDEX(Lists!H:H,MATCH(Validation!E4962,Lists!G:G,0))</f>
        <v>Interest rate cannot have more than three decimals.</v>
      </c>
      <c r="H4962" s="16" t="str">
        <f t="shared" ca="1" si="519"/>
        <v/>
      </c>
      <c r="I4962" s="16" t="str">
        <f t="shared" ca="1" si="520"/>
        <v/>
      </c>
      <c r="J4962" s="17" t="str">
        <f t="shared" ca="1" si="521"/>
        <v/>
      </c>
    </row>
    <row r="4963" spans="1:10" x14ac:dyDescent="0.25">
      <c r="A4963" t="s">
        <v>941</v>
      </c>
      <c r="B4963" t="str">
        <f>ADDRESS(ROW('Loan 1'!$B$12),COLUMN('Loan 1'!$B$12),4)</f>
        <v>B12</v>
      </c>
      <c r="C4963" t="str">
        <f>ADDRESS(ROW('Loan 1'!$D$12),COLUMN('Loan 1'!$D$12),4)</f>
        <v>D12</v>
      </c>
      <c r="D4963" t="b" cm="1">
        <f t="array" aca="1" ref="D4963" ca="1">IF(INDIRECT("'"&amp;A4963&amp;"'!"&amp;B4963)="",FALSE,IF(TRUNC(INDIRECT("'"&amp;A4963&amp;"'!"&amp;B4963),3)=INDIRECT("'"&amp;A4963&amp;"'!"&amp;B4963),FALSE,TRUE))</f>
        <v>0</v>
      </c>
      <c r="E4963" t="s">
        <v>616</v>
      </c>
      <c r="F4963" t="str">
        <f>INDEX(Lists!I:I,MATCH(Validation!E4963,Lists!G:G,0))</f>
        <v>Error</v>
      </c>
      <c r="G4963" t="str">
        <f>INDEX(Lists!H:H,MATCH(Validation!E4963,Lists!G:G,0))</f>
        <v>Interest rate cannot have more than three decimals.</v>
      </c>
      <c r="H4963" s="16" t="str">
        <f t="shared" ca="1" si="519"/>
        <v/>
      </c>
      <c r="I4963" s="16" t="str">
        <f t="shared" ca="1" si="520"/>
        <v/>
      </c>
      <c r="J4963" s="17" t="str">
        <f t="shared" ca="1" si="521"/>
        <v/>
      </c>
    </row>
    <row r="4964" spans="1:10" x14ac:dyDescent="0.25">
      <c r="A4964" t="s">
        <v>942</v>
      </c>
      <c r="B4964" t="str">
        <f>ADDRESS(ROW('Loan 1'!$B$12),COLUMN('Loan 1'!$B$12),4)</f>
        <v>B12</v>
      </c>
      <c r="C4964" t="str">
        <f>ADDRESS(ROW('Loan 1'!$D$12),COLUMN('Loan 1'!$D$12),4)</f>
        <v>D12</v>
      </c>
      <c r="D4964" t="b" cm="1">
        <f t="array" aca="1" ref="D4964" ca="1">IF(INDIRECT("'"&amp;A4964&amp;"'!"&amp;B4964)="",FALSE,IF(TRUNC(INDIRECT("'"&amp;A4964&amp;"'!"&amp;B4964),3)=INDIRECT("'"&amp;A4964&amp;"'!"&amp;B4964),FALSE,TRUE))</f>
        <v>0</v>
      </c>
      <c r="E4964" t="s">
        <v>616</v>
      </c>
      <c r="F4964" t="str">
        <f>INDEX(Lists!I:I,MATCH(Validation!E4964,Lists!G:G,0))</f>
        <v>Error</v>
      </c>
      <c r="G4964" t="str">
        <f>INDEX(Lists!H:H,MATCH(Validation!E4964,Lists!G:G,0))</f>
        <v>Interest rate cannot have more than three decimals.</v>
      </c>
      <c r="H4964" s="16" t="str">
        <f t="shared" ca="1" si="519"/>
        <v/>
      </c>
      <c r="I4964" s="16" t="str">
        <f t="shared" ca="1" si="520"/>
        <v/>
      </c>
      <c r="J4964" s="17" t="str">
        <f t="shared" ca="1" si="521"/>
        <v/>
      </c>
    </row>
    <row r="4965" spans="1:10" x14ac:dyDescent="0.25">
      <c r="A4965" t="s">
        <v>943</v>
      </c>
      <c r="B4965" t="str">
        <f>ADDRESS(ROW('Loan 1'!$B$12),COLUMN('Loan 1'!$B$12),4)</f>
        <v>B12</v>
      </c>
      <c r="C4965" t="str">
        <f>ADDRESS(ROW('Loan 1'!$D$12),COLUMN('Loan 1'!$D$12),4)</f>
        <v>D12</v>
      </c>
      <c r="D4965" t="b" cm="1">
        <f t="array" aca="1" ref="D4965" ca="1">IF(INDIRECT("'"&amp;A4965&amp;"'!"&amp;B4965)="",FALSE,IF(TRUNC(INDIRECT("'"&amp;A4965&amp;"'!"&amp;B4965),3)=INDIRECT("'"&amp;A4965&amp;"'!"&amp;B4965),FALSE,TRUE))</f>
        <v>0</v>
      </c>
      <c r="E4965" t="s">
        <v>616</v>
      </c>
      <c r="F4965" t="str">
        <f>INDEX(Lists!I:I,MATCH(Validation!E4965,Lists!G:G,0))</f>
        <v>Error</v>
      </c>
      <c r="G4965" t="str">
        <f>INDEX(Lists!H:H,MATCH(Validation!E4965,Lists!G:G,0))</f>
        <v>Interest rate cannot have more than three decimals.</v>
      </c>
      <c r="H4965" s="16" t="str">
        <f t="shared" ca="1" si="519"/>
        <v/>
      </c>
      <c r="I4965" s="16" t="str">
        <f t="shared" ca="1" si="520"/>
        <v/>
      </c>
      <c r="J4965" s="17" t="str">
        <f t="shared" ca="1" si="521"/>
        <v/>
      </c>
    </row>
    <row r="4966" spans="1:10" x14ac:dyDescent="0.25">
      <c r="A4966" t="s">
        <v>944</v>
      </c>
      <c r="B4966" t="str">
        <f>ADDRESS(ROW('Loan 1'!$B$12),COLUMN('Loan 1'!$B$12),4)</f>
        <v>B12</v>
      </c>
      <c r="C4966" t="str">
        <f>ADDRESS(ROW('Loan 1'!$D$12),COLUMN('Loan 1'!$D$12),4)</f>
        <v>D12</v>
      </c>
      <c r="D4966" t="b" cm="1">
        <f t="array" aca="1" ref="D4966" ca="1">IF(INDIRECT("'"&amp;A4966&amp;"'!"&amp;B4966)="",FALSE,IF(TRUNC(INDIRECT("'"&amp;A4966&amp;"'!"&amp;B4966),3)=INDIRECT("'"&amp;A4966&amp;"'!"&amp;B4966),FALSE,TRUE))</f>
        <v>0</v>
      </c>
      <c r="E4966" t="s">
        <v>616</v>
      </c>
      <c r="F4966" t="str">
        <f>INDEX(Lists!I:I,MATCH(Validation!E4966,Lists!G:G,0))</f>
        <v>Error</v>
      </c>
      <c r="G4966" t="str">
        <f>INDEX(Lists!H:H,MATCH(Validation!E4966,Lists!G:G,0))</f>
        <v>Interest rate cannot have more than three decimals.</v>
      </c>
      <c r="H4966" s="16" t="str">
        <f t="shared" ca="1" si="519"/>
        <v/>
      </c>
      <c r="I4966" s="16" t="str">
        <f t="shared" ca="1" si="520"/>
        <v/>
      </c>
      <c r="J4966" s="17" t="str">
        <f t="shared" ca="1" si="521"/>
        <v/>
      </c>
    </row>
    <row r="4967" spans="1:10" x14ac:dyDescent="0.25">
      <c r="A4967" t="s">
        <v>945</v>
      </c>
      <c r="B4967" t="str">
        <f>ADDRESS(ROW('Loan 1'!$B$12),COLUMN('Loan 1'!$B$12),4)</f>
        <v>B12</v>
      </c>
      <c r="C4967" t="str">
        <f>ADDRESS(ROW('Loan 1'!$D$12),COLUMN('Loan 1'!$D$12),4)</f>
        <v>D12</v>
      </c>
      <c r="D4967" t="b" cm="1">
        <f t="array" aca="1" ref="D4967" ca="1">IF(INDIRECT("'"&amp;A4967&amp;"'!"&amp;B4967)="",FALSE,IF(TRUNC(INDIRECT("'"&amp;A4967&amp;"'!"&amp;B4967),3)=INDIRECT("'"&amp;A4967&amp;"'!"&amp;B4967),FALSE,TRUE))</f>
        <v>0</v>
      </c>
      <c r="E4967" t="s">
        <v>616</v>
      </c>
      <c r="F4967" t="str">
        <f>INDEX(Lists!I:I,MATCH(Validation!E4967,Lists!G:G,0))</f>
        <v>Error</v>
      </c>
      <c r="G4967" t="str">
        <f>INDEX(Lists!H:H,MATCH(Validation!E4967,Lists!G:G,0))</f>
        <v>Interest rate cannot have more than three decimals.</v>
      </c>
      <c r="H4967" s="16" t="str">
        <f t="shared" ca="1" si="519"/>
        <v/>
      </c>
      <c r="I4967" s="16" t="str">
        <f t="shared" ca="1" si="520"/>
        <v/>
      </c>
      <c r="J4967" s="17" t="str">
        <f t="shared" ca="1" si="521"/>
        <v/>
      </c>
    </row>
    <row r="4968" spans="1:10" x14ac:dyDescent="0.25">
      <c r="A4968" t="s">
        <v>205</v>
      </c>
      <c r="B4968" t="str">
        <f>ADDRESS(ROW('Loan 1'!$B$13),COLUMN('Loan 1'!$B$13),4)</f>
        <v>B13</v>
      </c>
      <c r="C4968" t="str">
        <f>ADDRESS(ROW('Loan 1'!$D$13),COLUMN('Loan 1'!$D$13),4)</f>
        <v>D13</v>
      </c>
      <c r="D4968" t="b" cm="1">
        <f t="array" aca="1" ref="D4968" ca="1">IF(INDIRECT("'"&amp;A4968&amp;"'!"&amp;B4968)="",FALSE,IF(NOT(ISNUMBER(INDIRECT("'"&amp;A4968&amp;"'!"&amp;B4968))),TRUE,FALSE))</f>
        <v>0</v>
      </c>
      <c r="E4968" t="s">
        <v>435</v>
      </c>
      <c r="F4968" t="str">
        <f>INDEX(Lists!I:I,MATCH(Validation!E4968,Lists!G:G,0))</f>
        <v>Error</v>
      </c>
      <c r="G4968" t="str">
        <f>INDEX(Lists!H:H,MATCH(Validation!E4968,Lists!G:G,0))</f>
        <v>Enter an amount only. Do not enter text or spaces.</v>
      </c>
      <c r="H4968" s="16" t="str">
        <f t="shared" ref="H4968:H5073" ca="1" si="522">IFERROR(IF(OR(NOT(D4968),F4968&lt;&gt;"Error"),"",A4968&amp;CELL("address",INDIRECT(B4968))),"")</f>
        <v/>
      </c>
      <c r="I4968" s="16" t="str">
        <f t="shared" ref="I4968:I5073" ca="1" si="523">IFERROR(IF(NOT(D4968),"",A4968&amp;CELL("address",INDIRECT(C4968))),"")</f>
        <v/>
      </c>
      <c r="J4968" s="17" t="str">
        <f t="shared" ref="J4968:J5073" ca="1" si="524">IFERROR(IF(NOT(D4968),"",A4968),"")</f>
        <v/>
      </c>
    </row>
    <row r="4969" spans="1:10" x14ac:dyDescent="0.25">
      <c r="A4969" t="s">
        <v>932</v>
      </c>
      <c r="B4969" t="str">
        <f>ADDRESS(ROW('Loan 1'!$B$13),COLUMN('Loan 1'!$B$13),4)</f>
        <v>B13</v>
      </c>
      <c r="C4969" t="str">
        <f>ADDRESS(ROW('Loan 1'!$D$13),COLUMN('Loan 1'!$D$13),4)</f>
        <v>D13</v>
      </c>
      <c r="D4969" t="b" cm="1">
        <f t="array" aca="1" ref="D4969" ca="1">IF(INDIRECT("'"&amp;A4969&amp;"'!"&amp;B4969)="",FALSE,IF(NOT(ISNUMBER(INDIRECT("'"&amp;A4969&amp;"'!"&amp;B4969))),TRUE,FALSE))</f>
        <v>0</v>
      </c>
      <c r="E4969" t="s">
        <v>435</v>
      </c>
      <c r="F4969" t="str">
        <f>INDEX(Lists!I:I,MATCH(Validation!E4969,Lists!G:G,0))</f>
        <v>Error</v>
      </c>
      <c r="G4969" t="str">
        <f>INDEX(Lists!H:H,MATCH(Validation!E4969,Lists!G:G,0))</f>
        <v>Enter an amount only. Do not enter text or spaces.</v>
      </c>
      <c r="H4969" s="16" t="str">
        <f t="shared" ca="1" si="522"/>
        <v/>
      </c>
      <c r="I4969" s="16" t="str">
        <f t="shared" ca="1" si="523"/>
        <v/>
      </c>
      <c r="J4969" s="17" t="str">
        <f t="shared" ca="1" si="524"/>
        <v/>
      </c>
    </row>
    <row r="4970" spans="1:10" x14ac:dyDescent="0.25">
      <c r="A4970" t="s">
        <v>933</v>
      </c>
      <c r="B4970" t="str">
        <f>ADDRESS(ROW('Loan 1'!$B$13),COLUMN('Loan 1'!$B$13),4)</f>
        <v>B13</v>
      </c>
      <c r="C4970" t="str">
        <f>ADDRESS(ROW('Loan 1'!$D$13),COLUMN('Loan 1'!$D$13),4)</f>
        <v>D13</v>
      </c>
      <c r="D4970" t="b" cm="1">
        <f t="array" aca="1" ref="D4970" ca="1">IF(INDIRECT("'"&amp;A4970&amp;"'!"&amp;B4970)="",FALSE,IF(NOT(ISNUMBER(INDIRECT("'"&amp;A4970&amp;"'!"&amp;B4970))),TRUE,FALSE))</f>
        <v>0</v>
      </c>
      <c r="E4970" t="s">
        <v>435</v>
      </c>
      <c r="F4970" t="str">
        <f>INDEX(Lists!I:I,MATCH(Validation!E4970,Lists!G:G,0))</f>
        <v>Error</v>
      </c>
      <c r="G4970" t="str">
        <f>INDEX(Lists!H:H,MATCH(Validation!E4970,Lists!G:G,0))</f>
        <v>Enter an amount only. Do not enter text or spaces.</v>
      </c>
      <c r="H4970" s="16" t="str">
        <f t="shared" ca="1" si="522"/>
        <v/>
      </c>
      <c r="I4970" s="16" t="str">
        <f t="shared" ca="1" si="523"/>
        <v/>
      </c>
      <c r="J4970" s="17" t="str">
        <f t="shared" ca="1" si="524"/>
        <v/>
      </c>
    </row>
    <row r="4971" spans="1:10" x14ac:dyDescent="0.25">
      <c r="A4971" t="s">
        <v>934</v>
      </c>
      <c r="B4971" t="str">
        <f>ADDRESS(ROW('Loan 1'!$B$13),COLUMN('Loan 1'!$B$13),4)</f>
        <v>B13</v>
      </c>
      <c r="C4971" t="str">
        <f>ADDRESS(ROW('Loan 1'!$D$13),COLUMN('Loan 1'!$D$13),4)</f>
        <v>D13</v>
      </c>
      <c r="D4971" t="b" cm="1">
        <f t="array" aca="1" ref="D4971" ca="1">IF(INDIRECT("'"&amp;A4971&amp;"'!"&amp;B4971)="",FALSE,IF(NOT(ISNUMBER(INDIRECT("'"&amp;A4971&amp;"'!"&amp;B4971))),TRUE,FALSE))</f>
        <v>0</v>
      </c>
      <c r="E4971" t="s">
        <v>435</v>
      </c>
      <c r="F4971" t="str">
        <f>INDEX(Lists!I:I,MATCH(Validation!E4971,Lists!G:G,0))</f>
        <v>Error</v>
      </c>
      <c r="G4971" t="str">
        <f>INDEX(Lists!H:H,MATCH(Validation!E4971,Lists!G:G,0))</f>
        <v>Enter an amount only. Do not enter text or spaces.</v>
      </c>
      <c r="H4971" s="16" t="str">
        <f t="shared" ca="1" si="522"/>
        <v/>
      </c>
      <c r="I4971" s="16" t="str">
        <f t="shared" ca="1" si="523"/>
        <v/>
      </c>
      <c r="J4971" s="17" t="str">
        <f t="shared" ca="1" si="524"/>
        <v/>
      </c>
    </row>
    <row r="4972" spans="1:10" x14ac:dyDescent="0.25">
      <c r="A4972" t="s">
        <v>935</v>
      </c>
      <c r="B4972" t="str">
        <f>ADDRESS(ROW('Loan 1'!$B$13),COLUMN('Loan 1'!$B$13),4)</f>
        <v>B13</v>
      </c>
      <c r="C4972" t="str">
        <f>ADDRESS(ROW('Loan 1'!$D$13),COLUMN('Loan 1'!$D$13),4)</f>
        <v>D13</v>
      </c>
      <c r="D4972" t="b" cm="1">
        <f t="array" aca="1" ref="D4972" ca="1">IF(INDIRECT("'"&amp;A4972&amp;"'!"&amp;B4972)="",FALSE,IF(NOT(ISNUMBER(INDIRECT("'"&amp;A4972&amp;"'!"&amp;B4972))),TRUE,FALSE))</f>
        <v>0</v>
      </c>
      <c r="E4972" t="s">
        <v>435</v>
      </c>
      <c r="F4972" t="str">
        <f>INDEX(Lists!I:I,MATCH(Validation!E4972,Lists!G:G,0))</f>
        <v>Error</v>
      </c>
      <c r="G4972" t="str">
        <f>INDEX(Lists!H:H,MATCH(Validation!E4972,Lists!G:G,0))</f>
        <v>Enter an amount only. Do not enter text or spaces.</v>
      </c>
      <c r="H4972" s="16" t="str">
        <f t="shared" ca="1" si="522"/>
        <v/>
      </c>
      <c r="I4972" s="16" t="str">
        <f t="shared" ca="1" si="523"/>
        <v/>
      </c>
      <c r="J4972" s="17" t="str">
        <f t="shared" ca="1" si="524"/>
        <v/>
      </c>
    </row>
    <row r="4973" spans="1:10" x14ac:dyDescent="0.25">
      <c r="A4973" t="s">
        <v>936</v>
      </c>
      <c r="B4973" t="str">
        <f>ADDRESS(ROW('Loan 1'!$B$13),COLUMN('Loan 1'!$B$13),4)</f>
        <v>B13</v>
      </c>
      <c r="C4973" t="str">
        <f>ADDRESS(ROW('Loan 1'!$D$13),COLUMN('Loan 1'!$D$13),4)</f>
        <v>D13</v>
      </c>
      <c r="D4973" t="b" cm="1">
        <f t="array" aca="1" ref="D4973" ca="1">IF(INDIRECT("'"&amp;A4973&amp;"'!"&amp;B4973)="",FALSE,IF(NOT(ISNUMBER(INDIRECT("'"&amp;A4973&amp;"'!"&amp;B4973))),TRUE,FALSE))</f>
        <v>0</v>
      </c>
      <c r="E4973" t="s">
        <v>435</v>
      </c>
      <c r="F4973" t="str">
        <f>INDEX(Lists!I:I,MATCH(Validation!E4973,Lists!G:G,0))</f>
        <v>Error</v>
      </c>
      <c r="G4973" t="str">
        <f>INDEX(Lists!H:H,MATCH(Validation!E4973,Lists!G:G,0))</f>
        <v>Enter an amount only. Do not enter text or spaces.</v>
      </c>
      <c r="H4973" s="16" t="str">
        <f t="shared" ca="1" si="522"/>
        <v/>
      </c>
      <c r="I4973" s="16" t="str">
        <f t="shared" ca="1" si="523"/>
        <v/>
      </c>
      <c r="J4973" s="17" t="str">
        <f t="shared" ca="1" si="524"/>
        <v/>
      </c>
    </row>
    <row r="4974" spans="1:10" x14ac:dyDescent="0.25">
      <c r="A4974" t="s">
        <v>937</v>
      </c>
      <c r="B4974" t="str">
        <f>ADDRESS(ROW('Loan 1'!$B$13),COLUMN('Loan 1'!$B$13),4)</f>
        <v>B13</v>
      </c>
      <c r="C4974" t="str">
        <f>ADDRESS(ROW('Loan 1'!$D$13),COLUMN('Loan 1'!$D$13),4)</f>
        <v>D13</v>
      </c>
      <c r="D4974" t="b" cm="1">
        <f t="array" aca="1" ref="D4974" ca="1">IF(INDIRECT("'"&amp;A4974&amp;"'!"&amp;B4974)="",FALSE,IF(NOT(ISNUMBER(INDIRECT("'"&amp;A4974&amp;"'!"&amp;B4974))),TRUE,FALSE))</f>
        <v>0</v>
      </c>
      <c r="E4974" t="s">
        <v>435</v>
      </c>
      <c r="F4974" t="str">
        <f>INDEX(Lists!I:I,MATCH(Validation!E4974,Lists!G:G,0))</f>
        <v>Error</v>
      </c>
      <c r="G4974" t="str">
        <f>INDEX(Lists!H:H,MATCH(Validation!E4974,Lists!G:G,0))</f>
        <v>Enter an amount only. Do not enter text or spaces.</v>
      </c>
      <c r="H4974" s="16" t="str">
        <f t="shared" ca="1" si="522"/>
        <v/>
      </c>
      <c r="I4974" s="16" t="str">
        <f t="shared" ca="1" si="523"/>
        <v/>
      </c>
      <c r="J4974" s="17" t="str">
        <f t="shared" ca="1" si="524"/>
        <v/>
      </c>
    </row>
    <row r="4975" spans="1:10" x14ac:dyDescent="0.25">
      <c r="A4975" t="s">
        <v>938</v>
      </c>
      <c r="B4975" t="str">
        <f>ADDRESS(ROW('Loan 1'!$B$13),COLUMN('Loan 1'!$B$13),4)</f>
        <v>B13</v>
      </c>
      <c r="C4975" t="str">
        <f>ADDRESS(ROW('Loan 1'!$D$13),COLUMN('Loan 1'!$D$13),4)</f>
        <v>D13</v>
      </c>
      <c r="D4975" t="b" cm="1">
        <f t="array" aca="1" ref="D4975" ca="1">IF(INDIRECT("'"&amp;A4975&amp;"'!"&amp;B4975)="",FALSE,IF(NOT(ISNUMBER(INDIRECT("'"&amp;A4975&amp;"'!"&amp;B4975))),TRUE,FALSE))</f>
        <v>0</v>
      </c>
      <c r="E4975" t="s">
        <v>435</v>
      </c>
      <c r="F4975" t="str">
        <f>INDEX(Lists!I:I,MATCH(Validation!E4975,Lists!G:G,0))</f>
        <v>Error</v>
      </c>
      <c r="G4975" t="str">
        <f>INDEX(Lists!H:H,MATCH(Validation!E4975,Lists!G:G,0))</f>
        <v>Enter an amount only. Do not enter text or spaces.</v>
      </c>
      <c r="H4975" s="16" t="str">
        <f t="shared" ca="1" si="522"/>
        <v/>
      </c>
      <c r="I4975" s="16" t="str">
        <f t="shared" ca="1" si="523"/>
        <v/>
      </c>
      <c r="J4975" s="17" t="str">
        <f t="shared" ca="1" si="524"/>
        <v/>
      </c>
    </row>
    <row r="4976" spans="1:10" x14ac:dyDescent="0.25">
      <c r="A4976" t="s">
        <v>939</v>
      </c>
      <c r="B4976" t="str">
        <f>ADDRESS(ROW('Loan 1'!$B$13),COLUMN('Loan 1'!$B$13),4)</f>
        <v>B13</v>
      </c>
      <c r="C4976" t="str">
        <f>ADDRESS(ROW('Loan 1'!$D$13),COLUMN('Loan 1'!$D$13),4)</f>
        <v>D13</v>
      </c>
      <c r="D4976" t="b" cm="1">
        <f t="array" aca="1" ref="D4976" ca="1">IF(INDIRECT("'"&amp;A4976&amp;"'!"&amp;B4976)="",FALSE,IF(NOT(ISNUMBER(INDIRECT("'"&amp;A4976&amp;"'!"&amp;B4976))),TRUE,FALSE))</f>
        <v>0</v>
      </c>
      <c r="E4976" t="s">
        <v>435</v>
      </c>
      <c r="F4976" t="str">
        <f>INDEX(Lists!I:I,MATCH(Validation!E4976,Lists!G:G,0))</f>
        <v>Error</v>
      </c>
      <c r="G4976" t="str">
        <f>INDEX(Lists!H:H,MATCH(Validation!E4976,Lists!G:G,0))</f>
        <v>Enter an amount only. Do not enter text or spaces.</v>
      </c>
      <c r="H4976" s="16" t="str">
        <f t="shared" ca="1" si="522"/>
        <v/>
      </c>
      <c r="I4976" s="16" t="str">
        <f t="shared" ca="1" si="523"/>
        <v/>
      </c>
      <c r="J4976" s="17" t="str">
        <f t="shared" ca="1" si="524"/>
        <v/>
      </c>
    </row>
    <row r="4977" spans="1:10" x14ac:dyDescent="0.25">
      <c r="A4977" t="s">
        <v>940</v>
      </c>
      <c r="B4977" t="str">
        <f>ADDRESS(ROW('Loan 1'!$B$13),COLUMN('Loan 1'!$B$13),4)</f>
        <v>B13</v>
      </c>
      <c r="C4977" t="str">
        <f>ADDRESS(ROW('Loan 1'!$D$13),COLUMN('Loan 1'!$D$13),4)</f>
        <v>D13</v>
      </c>
      <c r="D4977" t="b" cm="1">
        <f t="array" aca="1" ref="D4977" ca="1">IF(INDIRECT("'"&amp;A4977&amp;"'!"&amp;B4977)="",FALSE,IF(NOT(ISNUMBER(INDIRECT("'"&amp;A4977&amp;"'!"&amp;B4977))),TRUE,FALSE))</f>
        <v>0</v>
      </c>
      <c r="E4977" t="s">
        <v>435</v>
      </c>
      <c r="F4977" t="str">
        <f>INDEX(Lists!I:I,MATCH(Validation!E4977,Lists!G:G,0))</f>
        <v>Error</v>
      </c>
      <c r="G4977" t="str">
        <f>INDEX(Lists!H:H,MATCH(Validation!E4977,Lists!G:G,0))</f>
        <v>Enter an amount only. Do not enter text or spaces.</v>
      </c>
      <c r="H4977" s="16" t="str">
        <f t="shared" ca="1" si="522"/>
        <v/>
      </c>
      <c r="I4977" s="16" t="str">
        <f t="shared" ca="1" si="523"/>
        <v/>
      </c>
      <c r="J4977" s="17" t="str">
        <f t="shared" ca="1" si="524"/>
        <v/>
      </c>
    </row>
    <row r="4978" spans="1:10" x14ac:dyDescent="0.25">
      <c r="A4978" t="s">
        <v>941</v>
      </c>
      <c r="B4978" t="str">
        <f>ADDRESS(ROW('Loan 1'!$B$13),COLUMN('Loan 1'!$B$13),4)</f>
        <v>B13</v>
      </c>
      <c r="C4978" t="str">
        <f>ADDRESS(ROW('Loan 1'!$D$13),COLUMN('Loan 1'!$D$13),4)</f>
        <v>D13</v>
      </c>
      <c r="D4978" t="b" cm="1">
        <f t="array" aca="1" ref="D4978" ca="1">IF(INDIRECT("'"&amp;A4978&amp;"'!"&amp;B4978)="",FALSE,IF(NOT(ISNUMBER(INDIRECT("'"&amp;A4978&amp;"'!"&amp;B4978))),TRUE,FALSE))</f>
        <v>0</v>
      </c>
      <c r="E4978" t="s">
        <v>435</v>
      </c>
      <c r="F4978" t="str">
        <f>INDEX(Lists!I:I,MATCH(Validation!E4978,Lists!G:G,0))</f>
        <v>Error</v>
      </c>
      <c r="G4978" t="str">
        <f>INDEX(Lists!H:H,MATCH(Validation!E4978,Lists!G:G,0))</f>
        <v>Enter an amount only. Do not enter text or spaces.</v>
      </c>
      <c r="H4978" s="16" t="str">
        <f t="shared" ca="1" si="522"/>
        <v/>
      </c>
      <c r="I4978" s="16" t="str">
        <f t="shared" ca="1" si="523"/>
        <v/>
      </c>
      <c r="J4978" s="17" t="str">
        <f t="shared" ca="1" si="524"/>
        <v/>
      </c>
    </row>
    <row r="4979" spans="1:10" x14ac:dyDescent="0.25">
      <c r="A4979" t="s">
        <v>942</v>
      </c>
      <c r="B4979" t="str">
        <f>ADDRESS(ROW('Loan 1'!$B$13),COLUMN('Loan 1'!$B$13),4)</f>
        <v>B13</v>
      </c>
      <c r="C4979" t="str">
        <f>ADDRESS(ROW('Loan 1'!$D$13),COLUMN('Loan 1'!$D$13),4)</f>
        <v>D13</v>
      </c>
      <c r="D4979" t="b" cm="1">
        <f t="array" aca="1" ref="D4979" ca="1">IF(INDIRECT("'"&amp;A4979&amp;"'!"&amp;B4979)="",FALSE,IF(NOT(ISNUMBER(INDIRECT("'"&amp;A4979&amp;"'!"&amp;B4979))),TRUE,FALSE))</f>
        <v>0</v>
      </c>
      <c r="E4979" t="s">
        <v>435</v>
      </c>
      <c r="F4979" t="str">
        <f>INDEX(Lists!I:I,MATCH(Validation!E4979,Lists!G:G,0))</f>
        <v>Error</v>
      </c>
      <c r="G4979" t="str">
        <f>INDEX(Lists!H:H,MATCH(Validation!E4979,Lists!G:G,0))</f>
        <v>Enter an amount only. Do not enter text or spaces.</v>
      </c>
      <c r="H4979" s="16" t="str">
        <f t="shared" ca="1" si="522"/>
        <v/>
      </c>
      <c r="I4979" s="16" t="str">
        <f t="shared" ca="1" si="523"/>
        <v/>
      </c>
      <c r="J4979" s="17" t="str">
        <f t="shared" ca="1" si="524"/>
        <v/>
      </c>
    </row>
    <row r="4980" spans="1:10" x14ac:dyDescent="0.25">
      <c r="A4980" t="s">
        <v>943</v>
      </c>
      <c r="B4980" t="str">
        <f>ADDRESS(ROW('Loan 1'!$B$13),COLUMN('Loan 1'!$B$13),4)</f>
        <v>B13</v>
      </c>
      <c r="C4980" t="str">
        <f>ADDRESS(ROW('Loan 1'!$D$13),COLUMN('Loan 1'!$D$13),4)</f>
        <v>D13</v>
      </c>
      <c r="D4980" t="b" cm="1">
        <f t="array" aca="1" ref="D4980" ca="1">IF(INDIRECT("'"&amp;A4980&amp;"'!"&amp;B4980)="",FALSE,IF(NOT(ISNUMBER(INDIRECT("'"&amp;A4980&amp;"'!"&amp;B4980))),TRUE,FALSE))</f>
        <v>0</v>
      </c>
      <c r="E4980" t="s">
        <v>435</v>
      </c>
      <c r="F4980" t="str">
        <f>INDEX(Lists!I:I,MATCH(Validation!E4980,Lists!G:G,0))</f>
        <v>Error</v>
      </c>
      <c r="G4980" t="str">
        <f>INDEX(Lists!H:H,MATCH(Validation!E4980,Lists!G:G,0))</f>
        <v>Enter an amount only. Do not enter text or spaces.</v>
      </c>
      <c r="H4980" s="16" t="str">
        <f t="shared" ca="1" si="522"/>
        <v/>
      </c>
      <c r="I4980" s="16" t="str">
        <f t="shared" ca="1" si="523"/>
        <v/>
      </c>
      <c r="J4980" s="17" t="str">
        <f t="shared" ca="1" si="524"/>
        <v/>
      </c>
    </row>
    <row r="4981" spans="1:10" x14ac:dyDescent="0.25">
      <c r="A4981" t="s">
        <v>944</v>
      </c>
      <c r="B4981" t="str">
        <f>ADDRESS(ROW('Loan 1'!$B$13),COLUMN('Loan 1'!$B$13),4)</f>
        <v>B13</v>
      </c>
      <c r="C4981" t="str">
        <f>ADDRESS(ROW('Loan 1'!$D$13),COLUMN('Loan 1'!$D$13),4)</f>
        <v>D13</v>
      </c>
      <c r="D4981" t="b" cm="1">
        <f t="array" aca="1" ref="D4981" ca="1">IF(INDIRECT("'"&amp;A4981&amp;"'!"&amp;B4981)="",FALSE,IF(NOT(ISNUMBER(INDIRECT("'"&amp;A4981&amp;"'!"&amp;B4981))),TRUE,FALSE))</f>
        <v>0</v>
      </c>
      <c r="E4981" t="s">
        <v>435</v>
      </c>
      <c r="F4981" t="str">
        <f>INDEX(Lists!I:I,MATCH(Validation!E4981,Lists!G:G,0))</f>
        <v>Error</v>
      </c>
      <c r="G4981" t="str">
        <f>INDEX(Lists!H:H,MATCH(Validation!E4981,Lists!G:G,0))</f>
        <v>Enter an amount only. Do not enter text or spaces.</v>
      </c>
      <c r="H4981" s="16" t="str">
        <f t="shared" ca="1" si="522"/>
        <v/>
      </c>
      <c r="I4981" s="16" t="str">
        <f t="shared" ca="1" si="523"/>
        <v/>
      </c>
      <c r="J4981" s="17" t="str">
        <f t="shared" ca="1" si="524"/>
        <v/>
      </c>
    </row>
    <row r="4982" spans="1:10" x14ac:dyDescent="0.25">
      <c r="A4982" t="s">
        <v>945</v>
      </c>
      <c r="B4982" t="str">
        <f>ADDRESS(ROW('Loan 1'!$B$13),COLUMN('Loan 1'!$B$13),4)</f>
        <v>B13</v>
      </c>
      <c r="C4982" t="str">
        <f>ADDRESS(ROW('Loan 1'!$D$13),COLUMN('Loan 1'!$D$13),4)</f>
        <v>D13</v>
      </c>
      <c r="D4982" t="b" cm="1">
        <f t="array" aca="1" ref="D4982" ca="1">IF(INDIRECT("'"&amp;A4982&amp;"'!"&amp;B4982)="",FALSE,IF(NOT(ISNUMBER(INDIRECT("'"&amp;A4982&amp;"'!"&amp;B4982))),TRUE,FALSE))</f>
        <v>0</v>
      </c>
      <c r="E4982" t="s">
        <v>435</v>
      </c>
      <c r="F4982" t="str">
        <f>INDEX(Lists!I:I,MATCH(Validation!E4982,Lists!G:G,0))</f>
        <v>Error</v>
      </c>
      <c r="G4982" t="str">
        <f>INDEX(Lists!H:H,MATCH(Validation!E4982,Lists!G:G,0))</f>
        <v>Enter an amount only. Do not enter text or spaces.</v>
      </c>
      <c r="H4982" s="16" t="str">
        <f t="shared" ca="1" si="522"/>
        <v/>
      </c>
      <c r="I4982" s="16" t="str">
        <f t="shared" ca="1" si="523"/>
        <v/>
      </c>
      <c r="J4982" s="17" t="str">
        <f t="shared" ca="1" si="524"/>
        <v/>
      </c>
    </row>
    <row r="4983" spans="1:10" x14ac:dyDescent="0.25">
      <c r="A4983" t="s">
        <v>205</v>
      </c>
      <c r="B4983" t="str">
        <f>ADDRESS(ROW('Loan 1'!$B$13),COLUMN('Loan 1'!$B$13),4)</f>
        <v>B13</v>
      </c>
      <c r="C4983" t="str">
        <f>ADDRESS(ROW('Loan 1'!$D$13),COLUMN('Loan 1'!$D$13),4)</f>
        <v>D13</v>
      </c>
      <c r="D4983" t="b" cm="1">
        <f t="array" aca="1" ref="D4983" ca="1">IF(INDIRECT("'"&amp;A4983&amp;"'!"&amp;B4983)="",FALSE,IF(INDIRECT("'"&amp;A4983&amp;"'!"&amp;B4983)&lt;INDIRECT("'"&amp;A4983&amp;"'!B$12"),TRUE,FALSE))</f>
        <v>0</v>
      </c>
      <c r="E4983" t="s">
        <v>708</v>
      </c>
      <c r="F4983" t="str">
        <f>INDEX(Lists!I:I,MATCH(Validation!E4983,Lists!G:G,0))</f>
        <v>Error</v>
      </c>
      <c r="G4983" t="str">
        <f>INDEX(Lists!H:H,MATCH(Validation!E4983,Lists!G:G,0))</f>
        <v>High interest rate must equal or exceed the low interest rate.</v>
      </c>
      <c r="H4983" s="16" t="str">
        <f t="shared" ca="1" si="522"/>
        <v/>
      </c>
      <c r="I4983" s="16" t="str">
        <f t="shared" ca="1" si="523"/>
        <v/>
      </c>
      <c r="J4983" s="17" t="str">
        <f t="shared" ca="1" si="524"/>
        <v/>
      </c>
    </row>
    <row r="4984" spans="1:10" x14ac:dyDescent="0.25">
      <c r="A4984" t="s">
        <v>932</v>
      </c>
      <c r="B4984" t="str">
        <f>ADDRESS(ROW('Loan 1'!$B$13),COLUMN('Loan 1'!$B$13),4)</f>
        <v>B13</v>
      </c>
      <c r="C4984" t="str">
        <f>ADDRESS(ROW('Loan 1'!$D$13),COLUMN('Loan 1'!$D$13),4)</f>
        <v>D13</v>
      </c>
      <c r="D4984" t="b" cm="1">
        <f t="array" aca="1" ref="D4984" ca="1">IF(INDIRECT("'"&amp;A4984&amp;"'!"&amp;B4984)="",FALSE,IF(INDIRECT("'"&amp;A4984&amp;"'!"&amp;B4984)&lt;INDIRECT("'"&amp;A4984&amp;"'!B$12"),TRUE,FALSE))</f>
        <v>0</v>
      </c>
      <c r="E4984" t="s">
        <v>708</v>
      </c>
      <c r="F4984" t="str">
        <f>INDEX(Lists!I:I,MATCH(Validation!E4984,Lists!G:G,0))</f>
        <v>Error</v>
      </c>
      <c r="G4984" t="str">
        <f>INDEX(Lists!H:H,MATCH(Validation!E4984,Lists!G:G,0))</f>
        <v>High interest rate must equal or exceed the low interest rate.</v>
      </c>
      <c r="H4984" s="16" t="str">
        <f t="shared" ref="H4984:H4997" ca="1" si="525">IFERROR(IF(OR(NOT(D4984),F4984&lt;&gt;"Error"),"",A4984&amp;CELL("address",INDIRECT(B4984))),"")</f>
        <v/>
      </c>
      <c r="I4984" s="16" t="str">
        <f t="shared" ref="I4984:I4997" ca="1" si="526">IFERROR(IF(NOT(D4984),"",A4984&amp;CELL("address",INDIRECT(C4984))),"")</f>
        <v/>
      </c>
      <c r="J4984" s="17" t="str">
        <f t="shared" ref="J4984:J4997" ca="1" si="527">IFERROR(IF(NOT(D4984),"",A4984),"")</f>
        <v/>
      </c>
    </row>
    <row r="4985" spans="1:10" x14ac:dyDescent="0.25">
      <c r="A4985" t="s">
        <v>933</v>
      </c>
      <c r="B4985" t="str">
        <f>ADDRESS(ROW('Loan 1'!$B$13),COLUMN('Loan 1'!$B$13),4)</f>
        <v>B13</v>
      </c>
      <c r="C4985" t="str">
        <f>ADDRESS(ROW('Loan 1'!$D$13),COLUMN('Loan 1'!$D$13),4)</f>
        <v>D13</v>
      </c>
      <c r="D4985" t="b" cm="1">
        <f t="array" aca="1" ref="D4985" ca="1">IF(INDIRECT("'"&amp;A4985&amp;"'!"&amp;B4985)="",FALSE,IF(INDIRECT("'"&amp;A4985&amp;"'!"&amp;B4985)&lt;INDIRECT("'"&amp;A4985&amp;"'!B$12"),TRUE,FALSE))</f>
        <v>0</v>
      </c>
      <c r="E4985" t="s">
        <v>708</v>
      </c>
      <c r="F4985" t="str">
        <f>INDEX(Lists!I:I,MATCH(Validation!E4985,Lists!G:G,0))</f>
        <v>Error</v>
      </c>
      <c r="G4985" t="str">
        <f>INDEX(Lists!H:H,MATCH(Validation!E4985,Lists!G:G,0))</f>
        <v>High interest rate must equal or exceed the low interest rate.</v>
      </c>
      <c r="H4985" s="16" t="str">
        <f t="shared" ca="1" si="525"/>
        <v/>
      </c>
      <c r="I4985" s="16" t="str">
        <f t="shared" ca="1" si="526"/>
        <v/>
      </c>
      <c r="J4985" s="17" t="str">
        <f t="shared" ca="1" si="527"/>
        <v/>
      </c>
    </row>
    <row r="4986" spans="1:10" x14ac:dyDescent="0.25">
      <c r="A4986" t="s">
        <v>934</v>
      </c>
      <c r="B4986" t="str">
        <f>ADDRESS(ROW('Loan 1'!$B$13),COLUMN('Loan 1'!$B$13),4)</f>
        <v>B13</v>
      </c>
      <c r="C4986" t="str">
        <f>ADDRESS(ROW('Loan 1'!$D$13),COLUMN('Loan 1'!$D$13),4)</f>
        <v>D13</v>
      </c>
      <c r="D4986" t="b" cm="1">
        <f t="array" aca="1" ref="D4986" ca="1">IF(INDIRECT("'"&amp;A4986&amp;"'!"&amp;B4986)="",FALSE,IF(INDIRECT("'"&amp;A4986&amp;"'!"&amp;B4986)&lt;INDIRECT("'"&amp;A4986&amp;"'!B$12"),TRUE,FALSE))</f>
        <v>0</v>
      </c>
      <c r="E4986" t="s">
        <v>708</v>
      </c>
      <c r="F4986" t="str">
        <f>INDEX(Lists!I:I,MATCH(Validation!E4986,Lists!G:G,0))</f>
        <v>Error</v>
      </c>
      <c r="G4986" t="str">
        <f>INDEX(Lists!H:H,MATCH(Validation!E4986,Lists!G:G,0))</f>
        <v>High interest rate must equal or exceed the low interest rate.</v>
      </c>
      <c r="H4986" s="16" t="str">
        <f t="shared" ca="1" si="525"/>
        <v/>
      </c>
      <c r="I4986" s="16" t="str">
        <f t="shared" ca="1" si="526"/>
        <v/>
      </c>
      <c r="J4986" s="17" t="str">
        <f t="shared" ca="1" si="527"/>
        <v/>
      </c>
    </row>
    <row r="4987" spans="1:10" x14ac:dyDescent="0.25">
      <c r="A4987" t="s">
        <v>935</v>
      </c>
      <c r="B4987" t="str">
        <f>ADDRESS(ROW('Loan 1'!$B$13),COLUMN('Loan 1'!$B$13),4)</f>
        <v>B13</v>
      </c>
      <c r="C4987" t="str">
        <f>ADDRESS(ROW('Loan 1'!$D$13),COLUMN('Loan 1'!$D$13),4)</f>
        <v>D13</v>
      </c>
      <c r="D4987" t="b" cm="1">
        <f t="array" aca="1" ref="D4987" ca="1">IF(INDIRECT("'"&amp;A4987&amp;"'!"&amp;B4987)="",FALSE,IF(INDIRECT("'"&amp;A4987&amp;"'!"&amp;B4987)&lt;INDIRECT("'"&amp;A4987&amp;"'!B$12"),TRUE,FALSE))</f>
        <v>0</v>
      </c>
      <c r="E4987" t="s">
        <v>708</v>
      </c>
      <c r="F4987" t="str">
        <f>INDEX(Lists!I:I,MATCH(Validation!E4987,Lists!G:G,0))</f>
        <v>Error</v>
      </c>
      <c r="G4987" t="str">
        <f>INDEX(Lists!H:H,MATCH(Validation!E4987,Lists!G:G,0))</f>
        <v>High interest rate must equal or exceed the low interest rate.</v>
      </c>
      <c r="H4987" s="16" t="str">
        <f t="shared" ca="1" si="525"/>
        <v/>
      </c>
      <c r="I4987" s="16" t="str">
        <f t="shared" ca="1" si="526"/>
        <v/>
      </c>
      <c r="J4987" s="17" t="str">
        <f t="shared" ca="1" si="527"/>
        <v/>
      </c>
    </row>
    <row r="4988" spans="1:10" x14ac:dyDescent="0.25">
      <c r="A4988" t="s">
        <v>936</v>
      </c>
      <c r="B4988" t="str">
        <f>ADDRESS(ROW('Loan 1'!$B$13),COLUMN('Loan 1'!$B$13),4)</f>
        <v>B13</v>
      </c>
      <c r="C4988" t="str">
        <f>ADDRESS(ROW('Loan 1'!$D$13),COLUMN('Loan 1'!$D$13),4)</f>
        <v>D13</v>
      </c>
      <c r="D4988" t="b" cm="1">
        <f t="array" aca="1" ref="D4988" ca="1">IF(INDIRECT("'"&amp;A4988&amp;"'!"&amp;B4988)="",FALSE,IF(INDIRECT("'"&amp;A4988&amp;"'!"&amp;B4988)&lt;INDIRECT("'"&amp;A4988&amp;"'!B$12"),TRUE,FALSE))</f>
        <v>0</v>
      </c>
      <c r="E4988" t="s">
        <v>708</v>
      </c>
      <c r="F4988" t="str">
        <f>INDEX(Lists!I:I,MATCH(Validation!E4988,Lists!G:G,0))</f>
        <v>Error</v>
      </c>
      <c r="G4988" t="str">
        <f>INDEX(Lists!H:H,MATCH(Validation!E4988,Lists!G:G,0))</f>
        <v>High interest rate must equal or exceed the low interest rate.</v>
      </c>
      <c r="H4988" s="16" t="str">
        <f t="shared" ca="1" si="525"/>
        <v/>
      </c>
      <c r="I4988" s="16" t="str">
        <f t="shared" ca="1" si="526"/>
        <v/>
      </c>
      <c r="J4988" s="17" t="str">
        <f t="shared" ca="1" si="527"/>
        <v/>
      </c>
    </row>
    <row r="4989" spans="1:10" x14ac:dyDescent="0.25">
      <c r="A4989" t="s">
        <v>937</v>
      </c>
      <c r="B4989" t="str">
        <f>ADDRESS(ROW('Loan 1'!$B$13),COLUMN('Loan 1'!$B$13),4)</f>
        <v>B13</v>
      </c>
      <c r="C4989" t="str">
        <f>ADDRESS(ROW('Loan 1'!$D$13),COLUMN('Loan 1'!$D$13),4)</f>
        <v>D13</v>
      </c>
      <c r="D4989" t="b" cm="1">
        <f t="array" aca="1" ref="D4989" ca="1">IF(INDIRECT("'"&amp;A4989&amp;"'!"&amp;B4989)="",FALSE,IF(INDIRECT("'"&amp;A4989&amp;"'!"&amp;B4989)&lt;INDIRECT("'"&amp;A4989&amp;"'!B$12"),TRUE,FALSE))</f>
        <v>0</v>
      </c>
      <c r="E4989" t="s">
        <v>708</v>
      </c>
      <c r="F4989" t="str">
        <f>INDEX(Lists!I:I,MATCH(Validation!E4989,Lists!G:G,0))</f>
        <v>Error</v>
      </c>
      <c r="G4989" t="str">
        <f>INDEX(Lists!H:H,MATCH(Validation!E4989,Lists!G:G,0))</f>
        <v>High interest rate must equal or exceed the low interest rate.</v>
      </c>
      <c r="H4989" s="16" t="str">
        <f t="shared" ca="1" si="525"/>
        <v/>
      </c>
      <c r="I4989" s="16" t="str">
        <f t="shared" ca="1" si="526"/>
        <v/>
      </c>
      <c r="J4989" s="17" t="str">
        <f t="shared" ca="1" si="527"/>
        <v/>
      </c>
    </row>
    <row r="4990" spans="1:10" x14ac:dyDescent="0.25">
      <c r="A4990" t="s">
        <v>938</v>
      </c>
      <c r="B4990" t="str">
        <f>ADDRESS(ROW('Loan 1'!$B$13),COLUMN('Loan 1'!$B$13),4)</f>
        <v>B13</v>
      </c>
      <c r="C4990" t="str">
        <f>ADDRESS(ROW('Loan 1'!$D$13),COLUMN('Loan 1'!$D$13),4)</f>
        <v>D13</v>
      </c>
      <c r="D4990" t="b" cm="1">
        <f t="array" aca="1" ref="D4990" ca="1">IF(INDIRECT("'"&amp;A4990&amp;"'!"&amp;B4990)="",FALSE,IF(INDIRECT("'"&amp;A4990&amp;"'!"&amp;B4990)&lt;INDIRECT("'"&amp;A4990&amp;"'!B$12"),TRUE,FALSE))</f>
        <v>0</v>
      </c>
      <c r="E4990" t="s">
        <v>708</v>
      </c>
      <c r="F4990" t="str">
        <f>INDEX(Lists!I:I,MATCH(Validation!E4990,Lists!G:G,0))</f>
        <v>Error</v>
      </c>
      <c r="G4990" t="str">
        <f>INDEX(Lists!H:H,MATCH(Validation!E4990,Lists!G:G,0))</f>
        <v>High interest rate must equal or exceed the low interest rate.</v>
      </c>
      <c r="H4990" s="16" t="str">
        <f t="shared" ca="1" si="525"/>
        <v/>
      </c>
      <c r="I4990" s="16" t="str">
        <f t="shared" ca="1" si="526"/>
        <v/>
      </c>
      <c r="J4990" s="17" t="str">
        <f t="shared" ca="1" si="527"/>
        <v/>
      </c>
    </row>
    <row r="4991" spans="1:10" x14ac:dyDescent="0.25">
      <c r="A4991" t="s">
        <v>939</v>
      </c>
      <c r="B4991" t="str">
        <f>ADDRESS(ROW('Loan 1'!$B$13),COLUMN('Loan 1'!$B$13),4)</f>
        <v>B13</v>
      </c>
      <c r="C4991" t="str">
        <f>ADDRESS(ROW('Loan 1'!$D$13),COLUMN('Loan 1'!$D$13),4)</f>
        <v>D13</v>
      </c>
      <c r="D4991" t="b" cm="1">
        <f t="array" aca="1" ref="D4991" ca="1">IF(INDIRECT("'"&amp;A4991&amp;"'!"&amp;B4991)="",FALSE,IF(INDIRECT("'"&amp;A4991&amp;"'!"&amp;B4991)&lt;INDIRECT("'"&amp;A4991&amp;"'!B$12"),TRUE,FALSE))</f>
        <v>0</v>
      </c>
      <c r="E4991" t="s">
        <v>708</v>
      </c>
      <c r="F4991" t="str">
        <f>INDEX(Lists!I:I,MATCH(Validation!E4991,Lists!G:G,0))</f>
        <v>Error</v>
      </c>
      <c r="G4991" t="str">
        <f>INDEX(Lists!H:H,MATCH(Validation!E4991,Lists!G:G,0))</f>
        <v>High interest rate must equal or exceed the low interest rate.</v>
      </c>
      <c r="H4991" s="16" t="str">
        <f t="shared" ca="1" si="525"/>
        <v/>
      </c>
      <c r="I4991" s="16" t="str">
        <f t="shared" ca="1" si="526"/>
        <v/>
      </c>
      <c r="J4991" s="17" t="str">
        <f t="shared" ca="1" si="527"/>
        <v/>
      </c>
    </row>
    <row r="4992" spans="1:10" x14ac:dyDescent="0.25">
      <c r="A4992" t="s">
        <v>940</v>
      </c>
      <c r="B4992" t="str">
        <f>ADDRESS(ROW('Loan 1'!$B$13),COLUMN('Loan 1'!$B$13),4)</f>
        <v>B13</v>
      </c>
      <c r="C4992" t="str">
        <f>ADDRESS(ROW('Loan 1'!$D$13),COLUMN('Loan 1'!$D$13),4)</f>
        <v>D13</v>
      </c>
      <c r="D4992" t="b" cm="1">
        <f t="array" aca="1" ref="D4992" ca="1">IF(INDIRECT("'"&amp;A4992&amp;"'!"&amp;B4992)="",FALSE,IF(INDIRECT("'"&amp;A4992&amp;"'!"&amp;B4992)&lt;INDIRECT("'"&amp;A4992&amp;"'!B$12"),TRUE,FALSE))</f>
        <v>0</v>
      </c>
      <c r="E4992" t="s">
        <v>708</v>
      </c>
      <c r="F4992" t="str">
        <f>INDEX(Lists!I:I,MATCH(Validation!E4992,Lists!G:G,0))</f>
        <v>Error</v>
      </c>
      <c r="G4992" t="str">
        <f>INDEX(Lists!H:H,MATCH(Validation!E4992,Lists!G:G,0))</f>
        <v>High interest rate must equal or exceed the low interest rate.</v>
      </c>
      <c r="H4992" s="16" t="str">
        <f t="shared" ca="1" si="525"/>
        <v/>
      </c>
      <c r="I4992" s="16" t="str">
        <f t="shared" ca="1" si="526"/>
        <v/>
      </c>
      <c r="J4992" s="17" t="str">
        <f t="shared" ca="1" si="527"/>
        <v/>
      </c>
    </row>
    <row r="4993" spans="1:10" x14ac:dyDescent="0.25">
      <c r="A4993" t="s">
        <v>941</v>
      </c>
      <c r="B4993" t="str">
        <f>ADDRESS(ROW('Loan 1'!$B$13),COLUMN('Loan 1'!$B$13),4)</f>
        <v>B13</v>
      </c>
      <c r="C4993" t="str">
        <f>ADDRESS(ROW('Loan 1'!$D$13),COLUMN('Loan 1'!$D$13),4)</f>
        <v>D13</v>
      </c>
      <c r="D4993" t="b" cm="1">
        <f t="array" aca="1" ref="D4993" ca="1">IF(INDIRECT("'"&amp;A4993&amp;"'!"&amp;B4993)="",FALSE,IF(INDIRECT("'"&amp;A4993&amp;"'!"&amp;B4993)&lt;INDIRECT("'"&amp;A4993&amp;"'!B$12"),TRUE,FALSE))</f>
        <v>0</v>
      </c>
      <c r="E4993" t="s">
        <v>708</v>
      </c>
      <c r="F4993" t="str">
        <f>INDEX(Lists!I:I,MATCH(Validation!E4993,Lists!G:G,0))</f>
        <v>Error</v>
      </c>
      <c r="G4993" t="str">
        <f>INDEX(Lists!H:H,MATCH(Validation!E4993,Lists!G:G,0))</f>
        <v>High interest rate must equal or exceed the low interest rate.</v>
      </c>
      <c r="H4993" s="16" t="str">
        <f t="shared" ca="1" si="525"/>
        <v/>
      </c>
      <c r="I4993" s="16" t="str">
        <f t="shared" ca="1" si="526"/>
        <v/>
      </c>
      <c r="J4993" s="17" t="str">
        <f t="shared" ca="1" si="527"/>
        <v/>
      </c>
    </row>
    <row r="4994" spans="1:10" x14ac:dyDescent="0.25">
      <c r="A4994" t="s">
        <v>942</v>
      </c>
      <c r="B4994" t="str">
        <f>ADDRESS(ROW('Loan 1'!$B$13),COLUMN('Loan 1'!$B$13),4)</f>
        <v>B13</v>
      </c>
      <c r="C4994" t="str">
        <f>ADDRESS(ROW('Loan 1'!$D$13),COLUMN('Loan 1'!$D$13),4)</f>
        <v>D13</v>
      </c>
      <c r="D4994" t="b" cm="1">
        <f t="array" aca="1" ref="D4994" ca="1">IF(INDIRECT("'"&amp;A4994&amp;"'!"&amp;B4994)="",FALSE,IF(INDIRECT("'"&amp;A4994&amp;"'!"&amp;B4994)&lt;INDIRECT("'"&amp;A4994&amp;"'!B$12"),TRUE,FALSE))</f>
        <v>0</v>
      </c>
      <c r="E4994" t="s">
        <v>708</v>
      </c>
      <c r="F4994" t="str">
        <f>INDEX(Lists!I:I,MATCH(Validation!E4994,Lists!G:G,0))</f>
        <v>Error</v>
      </c>
      <c r="G4994" t="str">
        <f>INDEX(Lists!H:H,MATCH(Validation!E4994,Lists!G:G,0))</f>
        <v>High interest rate must equal or exceed the low interest rate.</v>
      </c>
      <c r="H4994" s="16" t="str">
        <f t="shared" ca="1" si="525"/>
        <v/>
      </c>
      <c r="I4994" s="16" t="str">
        <f t="shared" ca="1" si="526"/>
        <v/>
      </c>
      <c r="J4994" s="17" t="str">
        <f t="shared" ca="1" si="527"/>
        <v/>
      </c>
    </row>
    <row r="4995" spans="1:10" x14ac:dyDescent="0.25">
      <c r="A4995" t="s">
        <v>943</v>
      </c>
      <c r="B4995" t="str">
        <f>ADDRESS(ROW('Loan 1'!$B$13),COLUMN('Loan 1'!$B$13),4)</f>
        <v>B13</v>
      </c>
      <c r="C4995" t="str">
        <f>ADDRESS(ROW('Loan 1'!$D$13),COLUMN('Loan 1'!$D$13),4)</f>
        <v>D13</v>
      </c>
      <c r="D4995" t="b" cm="1">
        <f t="array" aca="1" ref="D4995" ca="1">IF(INDIRECT("'"&amp;A4995&amp;"'!"&amp;B4995)="",FALSE,IF(INDIRECT("'"&amp;A4995&amp;"'!"&amp;B4995)&lt;INDIRECT("'"&amp;A4995&amp;"'!B$12"),TRUE,FALSE))</f>
        <v>0</v>
      </c>
      <c r="E4995" t="s">
        <v>708</v>
      </c>
      <c r="F4995" t="str">
        <f>INDEX(Lists!I:I,MATCH(Validation!E4995,Lists!G:G,0))</f>
        <v>Error</v>
      </c>
      <c r="G4995" t="str">
        <f>INDEX(Lists!H:H,MATCH(Validation!E4995,Lists!G:G,0))</f>
        <v>High interest rate must equal or exceed the low interest rate.</v>
      </c>
      <c r="H4995" s="16" t="str">
        <f t="shared" ca="1" si="525"/>
        <v/>
      </c>
      <c r="I4995" s="16" t="str">
        <f t="shared" ca="1" si="526"/>
        <v/>
      </c>
      <c r="J4995" s="17" t="str">
        <f t="shared" ca="1" si="527"/>
        <v/>
      </c>
    </row>
    <row r="4996" spans="1:10" x14ac:dyDescent="0.25">
      <c r="A4996" t="s">
        <v>944</v>
      </c>
      <c r="B4996" t="str">
        <f>ADDRESS(ROW('Loan 1'!$B$13),COLUMN('Loan 1'!$B$13),4)</f>
        <v>B13</v>
      </c>
      <c r="C4996" t="str">
        <f>ADDRESS(ROW('Loan 1'!$D$13),COLUMN('Loan 1'!$D$13),4)</f>
        <v>D13</v>
      </c>
      <c r="D4996" t="b" cm="1">
        <f t="array" aca="1" ref="D4996" ca="1">IF(INDIRECT("'"&amp;A4996&amp;"'!"&amp;B4996)="",FALSE,IF(INDIRECT("'"&amp;A4996&amp;"'!"&amp;B4996)&lt;INDIRECT("'"&amp;A4996&amp;"'!B$12"),TRUE,FALSE))</f>
        <v>0</v>
      </c>
      <c r="E4996" t="s">
        <v>708</v>
      </c>
      <c r="F4996" t="str">
        <f>INDEX(Lists!I:I,MATCH(Validation!E4996,Lists!G:G,0))</f>
        <v>Error</v>
      </c>
      <c r="G4996" t="str">
        <f>INDEX(Lists!H:H,MATCH(Validation!E4996,Lists!G:G,0))</f>
        <v>High interest rate must equal or exceed the low interest rate.</v>
      </c>
      <c r="H4996" s="16" t="str">
        <f t="shared" ca="1" si="525"/>
        <v/>
      </c>
      <c r="I4996" s="16" t="str">
        <f t="shared" ca="1" si="526"/>
        <v/>
      </c>
      <c r="J4996" s="17" t="str">
        <f t="shared" ca="1" si="527"/>
        <v/>
      </c>
    </row>
    <row r="4997" spans="1:10" x14ac:dyDescent="0.25">
      <c r="A4997" t="s">
        <v>945</v>
      </c>
      <c r="B4997" t="str">
        <f>ADDRESS(ROW('Loan 1'!$B$13),COLUMN('Loan 1'!$B$13),4)</f>
        <v>B13</v>
      </c>
      <c r="C4997" t="str">
        <f>ADDRESS(ROW('Loan 1'!$D$13),COLUMN('Loan 1'!$D$13),4)</f>
        <v>D13</v>
      </c>
      <c r="D4997" t="b" cm="1">
        <f t="array" aca="1" ref="D4997" ca="1">IF(INDIRECT("'"&amp;A4997&amp;"'!"&amp;B4997)="",FALSE,IF(INDIRECT("'"&amp;A4997&amp;"'!"&amp;B4997)&lt;INDIRECT("'"&amp;A4997&amp;"'!B$12"),TRUE,FALSE))</f>
        <v>0</v>
      </c>
      <c r="E4997" t="s">
        <v>708</v>
      </c>
      <c r="F4997" t="str">
        <f>INDEX(Lists!I:I,MATCH(Validation!E4997,Lists!G:G,0))</f>
        <v>Error</v>
      </c>
      <c r="G4997" t="str">
        <f>INDEX(Lists!H:H,MATCH(Validation!E4997,Lists!G:G,0))</f>
        <v>High interest rate must equal or exceed the low interest rate.</v>
      </c>
      <c r="H4997" s="16" t="str">
        <f t="shared" ca="1" si="525"/>
        <v/>
      </c>
      <c r="I4997" s="16" t="str">
        <f t="shared" ca="1" si="526"/>
        <v/>
      </c>
      <c r="J4997" s="17" t="str">
        <f t="shared" ca="1" si="527"/>
        <v/>
      </c>
    </row>
    <row r="4998" spans="1:10" x14ac:dyDescent="0.25">
      <c r="A4998" t="s">
        <v>205</v>
      </c>
      <c r="B4998" t="str">
        <f>ADDRESS(ROW('Loan 1'!$B$13),COLUMN('Loan 1'!$B$13),4)</f>
        <v>B13</v>
      </c>
      <c r="C4998" t="str">
        <f>ADDRESS(ROW('Loan 1'!$D$13),COLUMN('Loan 1'!$D$13),4)</f>
        <v>D13</v>
      </c>
      <c r="D4998" t="b" cm="1">
        <f t="array" aca="1" ref="D4998" ca="1">IF(INDIRECT("'"&amp;A4998&amp;"'!"&amp;B4998)="",FALSE,IF(INDIRECT("'"&amp;A4998&amp;"'!"&amp;B4998)&gt;10,TRUE,FALSE))</f>
        <v>0</v>
      </c>
      <c r="E4998" t="s">
        <v>709</v>
      </c>
      <c r="F4998" t="str">
        <f>INDEX(Lists!I:I,MATCH(Validation!E4998,Lists!G:G,0))</f>
        <v>Alert</v>
      </c>
      <c r="G4998" t="str">
        <f>INDEX(Lists!H:H,MATCH(Validation!E4998,Lists!G:G,0))</f>
        <v>High interest rate exceeds typical rates. Correct entry or explain in comments box.</v>
      </c>
      <c r="H4998" s="16" t="str">
        <f t="shared" ca="1" si="522"/>
        <v/>
      </c>
      <c r="I4998" s="16" t="str">
        <f t="shared" ca="1" si="523"/>
        <v/>
      </c>
      <c r="J4998" s="17" t="str">
        <f t="shared" ca="1" si="524"/>
        <v/>
      </c>
    </row>
    <row r="4999" spans="1:10" x14ac:dyDescent="0.25">
      <c r="A4999" t="s">
        <v>932</v>
      </c>
      <c r="B4999" t="str">
        <f>ADDRESS(ROW('Loan 1'!$B$13),COLUMN('Loan 1'!$B$13),4)</f>
        <v>B13</v>
      </c>
      <c r="C4999" t="str">
        <f>ADDRESS(ROW('Loan 1'!$D$13),COLUMN('Loan 1'!$D$13),4)</f>
        <v>D13</v>
      </c>
      <c r="D4999" t="b" cm="1">
        <f t="array" aca="1" ref="D4999" ca="1">IF(INDIRECT("'"&amp;A4999&amp;"'!"&amp;B4999)="",FALSE,IF(INDIRECT("'"&amp;A4999&amp;"'!"&amp;B4999)&gt;10,TRUE,FALSE))</f>
        <v>0</v>
      </c>
      <c r="E4999" t="s">
        <v>709</v>
      </c>
      <c r="F4999" t="str">
        <f>INDEX(Lists!I:I,MATCH(Validation!E4999,Lists!G:G,0))</f>
        <v>Alert</v>
      </c>
      <c r="G4999" t="str">
        <f>INDEX(Lists!H:H,MATCH(Validation!E4999,Lists!G:G,0))</f>
        <v>High interest rate exceeds typical rates. Correct entry or explain in comments box.</v>
      </c>
      <c r="H4999" s="16" t="str">
        <f t="shared" ca="1" si="522"/>
        <v/>
      </c>
      <c r="I4999" s="16" t="str">
        <f t="shared" ca="1" si="523"/>
        <v/>
      </c>
      <c r="J4999" s="17" t="str">
        <f t="shared" ca="1" si="524"/>
        <v/>
      </c>
    </row>
    <row r="5000" spans="1:10" x14ac:dyDescent="0.25">
      <c r="A5000" t="s">
        <v>933</v>
      </c>
      <c r="B5000" t="str">
        <f>ADDRESS(ROW('Loan 1'!$B$13),COLUMN('Loan 1'!$B$13),4)</f>
        <v>B13</v>
      </c>
      <c r="C5000" t="str">
        <f>ADDRESS(ROW('Loan 1'!$D$13),COLUMN('Loan 1'!$D$13),4)</f>
        <v>D13</v>
      </c>
      <c r="D5000" t="b" cm="1">
        <f t="array" aca="1" ref="D5000" ca="1">IF(INDIRECT("'"&amp;A5000&amp;"'!"&amp;B5000)="",FALSE,IF(INDIRECT("'"&amp;A5000&amp;"'!"&amp;B5000)&gt;10,TRUE,FALSE))</f>
        <v>0</v>
      </c>
      <c r="E5000" t="s">
        <v>709</v>
      </c>
      <c r="F5000" t="str">
        <f>INDEX(Lists!I:I,MATCH(Validation!E5000,Lists!G:G,0))</f>
        <v>Alert</v>
      </c>
      <c r="G5000" t="str">
        <f>INDEX(Lists!H:H,MATCH(Validation!E5000,Lists!G:G,0))</f>
        <v>High interest rate exceeds typical rates. Correct entry or explain in comments box.</v>
      </c>
      <c r="H5000" s="16" t="str">
        <f t="shared" ca="1" si="522"/>
        <v/>
      </c>
      <c r="I5000" s="16" t="str">
        <f t="shared" ca="1" si="523"/>
        <v/>
      </c>
      <c r="J5000" s="17" t="str">
        <f t="shared" ca="1" si="524"/>
        <v/>
      </c>
    </row>
    <row r="5001" spans="1:10" x14ac:dyDescent="0.25">
      <c r="A5001" t="s">
        <v>934</v>
      </c>
      <c r="B5001" t="str">
        <f>ADDRESS(ROW('Loan 1'!$B$13),COLUMN('Loan 1'!$B$13),4)</f>
        <v>B13</v>
      </c>
      <c r="C5001" t="str">
        <f>ADDRESS(ROW('Loan 1'!$D$13),COLUMN('Loan 1'!$D$13),4)</f>
        <v>D13</v>
      </c>
      <c r="D5001" t="b" cm="1">
        <f t="array" aca="1" ref="D5001" ca="1">IF(INDIRECT("'"&amp;A5001&amp;"'!"&amp;B5001)="",FALSE,IF(INDIRECT("'"&amp;A5001&amp;"'!"&amp;B5001)&gt;10,TRUE,FALSE))</f>
        <v>0</v>
      </c>
      <c r="E5001" t="s">
        <v>709</v>
      </c>
      <c r="F5001" t="str">
        <f>INDEX(Lists!I:I,MATCH(Validation!E5001,Lists!G:G,0))</f>
        <v>Alert</v>
      </c>
      <c r="G5001" t="str">
        <f>INDEX(Lists!H:H,MATCH(Validation!E5001,Lists!G:G,0))</f>
        <v>High interest rate exceeds typical rates. Correct entry or explain in comments box.</v>
      </c>
      <c r="H5001" s="16" t="str">
        <f t="shared" ca="1" si="522"/>
        <v/>
      </c>
      <c r="I5001" s="16" t="str">
        <f t="shared" ca="1" si="523"/>
        <v/>
      </c>
      <c r="J5001" s="17" t="str">
        <f t="shared" ca="1" si="524"/>
        <v/>
      </c>
    </row>
    <row r="5002" spans="1:10" x14ac:dyDescent="0.25">
      <c r="A5002" t="s">
        <v>935</v>
      </c>
      <c r="B5002" t="str">
        <f>ADDRESS(ROW('Loan 1'!$B$13),COLUMN('Loan 1'!$B$13),4)</f>
        <v>B13</v>
      </c>
      <c r="C5002" t="str">
        <f>ADDRESS(ROW('Loan 1'!$D$13),COLUMN('Loan 1'!$D$13),4)</f>
        <v>D13</v>
      </c>
      <c r="D5002" t="b" cm="1">
        <f t="array" aca="1" ref="D5002" ca="1">IF(INDIRECT("'"&amp;A5002&amp;"'!"&amp;B5002)="",FALSE,IF(INDIRECT("'"&amp;A5002&amp;"'!"&amp;B5002)&gt;10,TRUE,FALSE))</f>
        <v>0</v>
      </c>
      <c r="E5002" t="s">
        <v>709</v>
      </c>
      <c r="F5002" t="str">
        <f>INDEX(Lists!I:I,MATCH(Validation!E5002,Lists!G:G,0))</f>
        <v>Alert</v>
      </c>
      <c r="G5002" t="str">
        <f>INDEX(Lists!H:H,MATCH(Validation!E5002,Lists!G:G,0))</f>
        <v>High interest rate exceeds typical rates. Correct entry or explain in comments box.</v>
      </c>
      <c r="H5002" s="16" t="str">
        <f t="shared" ca="1" si="522"/>
        <v/>
      </c>
      <c r="I5002" s="16" t="str">
        <f t="shared" ca="1" si="523"/>
        <v/>
      </c>
      <c r="J5002" s="17" t="str">
        <f t="shared" ca="1" si="524"/>
        <v/>
      </c>
    </row>
    <row r="5003" spans="1:10" x14ac:dyDescent="0.25">
      <c r="A5003" t="s">
        <v>936</v>
      </c>
      <c r="B5003" t="str">
        <f>ADDRESS(ROW('Loan 1'!$B$13),COLUMN('Loan 1'!$B$13),4)</f>
        <v>B13</v>
      </c>
      <c r="C5003" t="str">
        <f>ADDRESS(ROW('Loan 1'!$D$13),COLUMN('Loan 1'!$D$13),4)</f>
        <v>D13</v>
      </c>
      <c r="D5003" t="b" cm="1">
        <f t="array" aca="1" ref="D5003" ca="1">IF(INDIRECT("'"&amp;A5003&amp;"'!"&amp;B5003)="",FALSE,IF(INDIRECT("'"&amp;A5003&amp;"'!"&amp;B5003)&gt;10,TRUE,FALSE))</f>
        <v>0</v>
      </c>
      <c r="E5003" t="s">
        <v>709</v>
      </c>
      <c r="F5003" t="str">
        <f>INDEX(Lists!I:I,MATCH(Validation!E5003,Lists!G:G,0))</f>
        <v>Alert</v>
      </c>
      <c r="G5003" t="str">
        <f>INDEX(Lists!H:H,MATCH(Validation!E5003,Lists!G:G,0))</f>
        <v>High interest rate exceeds typical rates. Correct entry or explain in comments box.</v>
      </c>
      <c r="H5003" s="16" t="str">
        <f t="shared" ca="1" si="522"/>
        <v/>
      </c>
      <c r="I5003" s="16" t="str">
        <f t="shared" ca="1" si="523"/>
        <v/>
      </c>
      <c r="J5003" s="17" t="str">
        <f t="shared" ca="1" si="524"/>
        <v/>
      </c>
    </row>
    <row r="5004" spans="1:10" x14ac:dyDescent="0.25">
      <c r="A5004" t="s">
        <v>937</v>
      </c>
      <c r="B5004" t="str">
        <f>ADDRESS(ROW('Loan 1'!$B$13),COLUMN('Loan 1'!$B$13),4)</f>
        <v>B13</v>
      </c>
      <c r="C5004" t="str">
        <f>ADDRESS(ROW('Loan 1'!$D$13),COLUMN('Loan 1'!$D$13),4)</f>
        <v>D13</v>
      </c>
      <c r="D5004" t="b" cm="1">
        <f t="array" aca="1" ref="D5004" ca="1">IF(INDIRECT("'"&amp;A5004&amp;"'!"&amp;B5004)="",FALSE,IF(INDIRECT("'"&amp;A5004&amp;"'!"&amp;B5004)&gt;10,TRUE,FALSE))</f>
        <v>0</v>
      </c>
      <c r="E5004" t="s">
        <v>709</v>
      </c>
      <c r="F5004" t="str">
        <f>INDEX(Lists!I:I,MATCH(Validation!E5004,Lists!G:G,0))</f>
        <v>Alert</v>
      </c>
      <c r="G5004" t="str">
        <f>INDEX(Lists!H:H,MATCH(Validation!E5004,Lists!G:G,0))</f>
        <v>High interest rate exceeds typical rates. Correct entry or explain in comments box.</v>
      </c>
      <c r="H5004" s="16" t="str">
        <f t="shared" ca="1" si="522"/>
        <v/>
      </c>
      <c r="I5004" s="16" t="str">
        <f t="shared" ca="1" si="523"/>
        <v/>
      </c>
      <c r="J5004" s="17" t="str">
        <f t="shared" ca="1" si="524"/>
        <v/>
      </c>
    </row>
    <row r="5005" spans="1:10" x14ac:dyDescent="0.25">
      <c r="A5005" t="s">
        <v>938</v>
      </c>
      <c r="B5005" t="str">
        <f>ADDRESS(ROW('Loan 1'!$B$13),COLUMN('Loan 1'!$B$13),4)</f>
        <v>B13</v>
      </c>
      <c r="C5005" t="str">
        <f>ADDRESS(ROW('Loan 1'!$D$13),COLUMN('Loan 1'!$D$13),4)</f>
        <v>D13</v>
      </c>
      <c r="D5005" t="b" cm="1">
        <f t="array" aca="1" ref="D5005" ca="1">IF(INDIRECT("'"&amp;A5005&amp;"'!"&amp;B5005)="",FALSE,IF(INDIRECT("'"&amp;A5005&amp;"'!"&amp;B5005)&gt;10,TRUE,FALSE))</f>
        <v>0</v>
      </c>
      <c r="E5005" t="s">
        <v>709</v>
      </c>
      <c r="F5005" t="str">
        <f>INDEX(Lists!I:I,MATCH(Validation!E5005,Lists!G:G,0))</f>
        <v>Alert</v>
      </c>
      <c r="G5005" t="str">
        <f>INDEX(Lists!H:H,MATCH(Validation!E5005,Lists!G:G,0))</f>
        <v>High interest rate exceeds typical rates. Correct entry or explain in comments box.</v>
      </c>
      <c r="H5005" s="16" t="str">
        <f t="shared" ca="1" si="522"/>
        <v/>
      </c>
      <c r="I5005" s="16" t="str">
        <f t="shared" ca="1" si="523"/>
        <v/>
      </c>
      <c r="J5005" s="17" t="str">
        <f t="shared" ca="1" si="524"/>
        <v/>
      </c>
    </row>
    <row r="5006" spans="1:10" x14ac:dyDescent="0.25">
      <c r="A5006" t="s">
        <v>939</v>
      </c>
      <c r="B5006" t="str">
        <f>ADDRESS(ROW('Loan 1'!$B$13),COLUMN('Loan 1'!$B$13),4)</f>
        <v>B13</v>
      </c>
      <c r="C5006" t="str">
        <f>ADDRESS(ROW('Loan 1'!$D$13),COLUMN('Loan 1'!$D$13),4)</f>
        <v>D13</v>
      </c>
      <c r="D5006" t="b" cm="1">
        <f t="array" aca="1" ref="D5006" ca="1">IF(INDIRECT("'"&amp;A5006&amp;"'!"&amp;B5006)="",FALSE,IF(INDIRECT("'"&amp;A5006&amp;"'!"&amp;B5006)&gt;10,TRUE,FALSE))</f>
        <v>0</v>
      </c>
      <c r="E5006" t="s">
        <v>709</v>
      </c>
      <c r="F5006" t="str">
        <f>INDEX(Lists!I:I,MATCH(Validation!E5006,Lists!G:G,0))</f>
        <v>Alert</v>
      </c>
      <c r="G5006" t="str">
        <f>INDEX(Lists!H:H,MATCH(Validation!E5006,Lists!G:G,0))</f>
        <v>High interest rate exceeds typical rates. Correct entry or explain in comments box.</v>
      </c>
      <c r="H5006" s="16" t="str">
        <f t="shared" ca="1" si="522"/>
        <v/>
      </c>
      <c r="I5006" s="16" t="str">
        <f t="shared" ca="1" si="523"/>
        <v/>
      </c>
      <c r="J5006" s="17" t="str">
        <f t="shared" ca="1" si="524"/>
        <v/>
      </c>
    </row>
    <row r="5007" spans="1:10" x14ac:dyDescent="0.25">
      <c r="A5007" t="s">
        <v>940</v>
      </c>
      <c r="B5007" t="str">
        <f>ADDRESS(ROW('Loan 1'!$B$13),COLUMN('Loan 1'!$B$13),4)</f>
        <v>B13</v>
      </c>
      <c r="C5007" t="str">
        <f>ADDRESS(ROW('Loan 1'!$D$13),COLUMN('Loan 1'!$D$13),4)</f>
        <v>D13</v>
      </c>
      <c r="D5007" t="b" cm="1">
        <f t="array" aca="1" ref="D5007" ca="1">IF(INDIRECT("'"&amp;A5007&amp;"'!"&amp;B5007)="",FALSE,IF(INDIRECT("'"&amp;A5007&amp;"'!"&amp;B5007)&gt;10,TRUE,FALSE))</f>
        <v>0</v>
      </c>
      <c r="E5007" t="s">
        <v>709</v>
      </c>
      <c r="F5007" t="str">
        <f>INDEX(Lists!I:I,MATCH(Validation!E5007,Lists!G:G,0))</f>
        <v>Alert</v>
      </c>
      <c r="G5007" t="str">
        <f>INDEX(Lists!H:H,MATCH(Validation!E5007,Lists!G:G,0))</f>
        <v>High interest rate exceeds typical rates. Correct entry or explain in comments box.</v>
      </c>
      <c r="H5007" s="16" t="str">
        <f t="shared" ca="1" si="522"/>
        <v/>
      </c>
      <c r="I5007" s="16" t="str">
        <f t="shared" ca="1" si="523"/>
        <v/>
      </c>
      <c r="J5007" s="17" t="str">
        <f t="shared" ca="1" si="524"/>
        <v/>
      </c>
    </row>
    <row r="5008" spans="1:10" x14ac:dyDescent="0.25">
      <c r="A5008" t="s">
        <v>941</v>
      </c>
      <c r="B5008" t="str">
        <f>ADDRESS(ROW('Loan 1'!$B$13),COLUMN('Loan 1'!$B$13),4)</f>
        <v>B13</v>
      </c>
      <c r="C5008" t="str">
        <f>ADDRESS(ROW('Loan 1'!$D$13),COLUMN('Loan 1'!$D$13),4)</f>
        <v>D13</v>
      </c>
      <c r="D5008" t="b" cm="1">
        <f t="array" aca="1" ref="D5008" ca="1">IF(INDIRECT("'"&amp;A5008&amp;"'!"&amp;B5008)="",FALSE,IF(INDIRECT("'"&amp;A5008&amp;"'!"&amp;B5008)&gt;10,TRUE,FALSE))</f>
        <v>0</v>
      </c>
      <c r="E5008" t="s">
        <v>709</v>
      </c>
      <c r="F5008" t="str">
        <f>INDEX(Lists!I:I,MATCH(Validation!E5008,Lists!G:G,0))</f>
        <v>Alert</v>
      </c>
      <c r="G5008" t="str">
        <f>INDEX(Lists!H:H,MATCH(Validation!E5008,Lists!G:G,0))</f>
        <v>High interest rate exceeds typical rates. Correct entry or explain in comments box.</v>
      </c>
      <c r="H5008" s="16" t="str">
        <f t="shared" ca="1" si="522"/>
        <v/>
      </c>
      <c r="I5008" s="16" t="str">
        <f t="shared" ca="1" si="523"/>
        <v/>
      </c>
      <c r="J5008" s="17" t="str">
        <f t="shared" ca="1" si="524"/>
        <v/>
      </c>
    </row>
    <row r="5009" spans="1:10" x14ac:dyDescent="0.25">
      <c r="A5009" t="s">
        <v>942</v>
      </c>
      <c r="B5009" t="str">
        <f>ADDRESS(ROW('Loan 1'!$B$13),COLUMN('Loan 1'!$B$13),4)</f>
        <v>B13</v>
      </c>
      <c r="C5009" t="str">
        <f>ADDRESS(ROW('Loan 1'!$D$13),COLUMN('Loan 1'!$D$13),4)</f>
        <v>D13</v>
      </c>
      <c r="D5009" t="b" cm="1">
        <f t="array" aca="1" ref="D5009" ca="1">IF(INDIRECT("'"&amp;A5009&amp;"'!"&amp;B5009)="",FALSE,IF(INDIRECT("'"&amp;A5009&amp;"'!"&amp;B5009)&gt;10,TRUE,FALSE))</f>
        <v>0</v>
      </c>
      <c r="E5009" t="s">
        <v>709</v>
      </c>
      <c r="F5009" t="str">
        <f>INDEX(Lists!I:I,MATCH(Validation!E5009,Lists!G:G,0))</f>
        <v>Alert</v>
      </c>
      <c r="G5009" t="str">
        <f>INDEX(Lists!H:H,MATCH(Validation!E5009,Lists!G:G,0))</f>
        <v>High interest rate exceeds typical rates. Correct entry or explain in comments box.</v>
      </c>
      <c r="H5009" s="16" t="str">
        <f t="shared" ca="1" si="522"/>
        <v/>
      </c>
      <c r="I5009" s="16" t="str">
        <f t="shared" ca="1" si="523"/>
        <v/>
      </c>
      <c r="J5009" s="17" t="str">
        <f t="shared" ca="1" si="524"/>
        <v/>
      </c>
    </row>
    <row r="5010" spans="1:10" x14ac:dyDescent="0.25">
      <c r="A5010" t="s">
        <v>943</v>
      </c>
      <c r="B5010" t="str">
        <f>ADDRESS(ROW('Loan 1'!$B$13),COLUMN('Loan 1'!$B$13),4)</f>
        <v>B13</v>
      </c>
      <c r="C5010" t="str">
        <f>ADDRESS(ROW('Loan 1'!$D$13),COLUMN('Loan 1'!$D$13),4)</f>
        <v>D13</v>
      </c>
      <c r="D5010" t="b" cm="1">
        <f t="array" aca="1" ref="D5010" ca="1">IF(INDIRECT("'"&amp;A5010&amp;"'!"&amp;B5010)="",FALSE,IF(INDIRECT("'"&amp;A5010&amp;"'!"&amp;B5010)&gt;10,TRUE,FALSE))</f>
        <v>0</v>
      </c>
      <c r="E5010" t="s">
        <v>709</v>
      </c>
      <c r="F5010" t="str">
        <f>INDEX(Lists!I:I,MATCH(Validation!E5010,Lists!G:G,0))</f>
        <v>Alert</v>
      </c>
      <c r="G5010" t="str">
        <f>INDEX(Lists!H:H,MATCH(Validation!E5010,Lists!G:G,0))</f>
        <v>High interest rate exceeds typical rates. Correct entry or explain in comments box.</v>
      </c>
      <c r="H5010" s="16" t="str">
        <f t="shared" ca="1" si="522"/>
        <v/>
      </c>
      <c r="I5010" s="16" t="str">
        <f t="shared" ca="1" si="523"/>
        <v/>
      </c>
      <c r="J5010" s="17" t="str">
        <f t="shared" ca="1" si="524"/>
        <v/>
      </c>
    </row>
    <row r="5011" spans="1:10" x14ac:dyDescent="0.25">
      <c r="A5011" t="s">
        <v>944</v>
      </c>
      <c r="B5011" t="str">
        <f>ADDRESS(ROW('Loan 1'!$B$13),COLUMN('Loan 1'!$B$13),4)</f>
        <v>B13</v>
      </c>
      <c r="C5011" t="str">
        <f>ADDRESS(ROW('Loan 1'!$D$13),COLUMN('Loan 1'!$D$13),4)</f>
        <v>D13</v>
      </c>
      <c r="D5011" t="b" cm="1">
        <f t="array" aca="1" ref="D5011" ca="1">IF(INDIRECT("'"&amp;A5011&amp;"'!"&amp;B5011)="",FALSE,IF(INDIRECT("'"&amp;A5011&amp;"'!"&amp;B5011)&gt;10,TRUE,FALSE))</f>
        <v>0</v>
      </c>
      <c r="E5011" t="s">
        <v>709</v>
      </c>
      <c r="F5011" t="str">
        <f>INDEX(Lists!I:I,MATCH(Validation!E5011,Lists!G:G,0))</f>
        <v>Alert</v>
      </c>
      <c r="G5011" t="str">
        <f>INDEX(Lists!H:H,MATCH(Validation!E5011,Lists!G:G,0))</f>
        <v>High interest rate exceeds typical rates. Correct entry or explain in comments box.</v>
      </c>
      <c r="H5011" s="16" t="str">
        <f t="shared" ca="1" si="522"/>
        <v/>
      </c>
      <c r="I5011" s="16" t="str">
        <f t="shared" ca="1" si="523"/>
        <v/>
      </c>
      <c r="J5011" s="17" t="str">
        <f t="shared" ca="1" si="524"/>
        <v/>
      </c>
    </row>
    <row r="5012" spans="1:10" x14ac:dyDescent="0.25">
      <c r="A5012" t="s">
        <v>945</v>
      </c>
      <c r="B5012" t="str">
        <f>ADDRESS(ROW('Loan 1'!$B$13),COLUMN('Loan 1'!$B$13),4)</f>
        <v>B13</v>
      </c>
      <c r="C5012" t="str">
        <f>ADDRESS(ROW('Loan 1'!$D$13),COLUMN('Loan 1'!$D$13),4)</f>
        <v>D13</v>
      </c>
      <c r="D5012" t="b" cm="1">
        <f t="array" aca="1" ref="D5012" ca="1">IF(INDIRECT("'"&amp;A5012&amp;"'!"&amp;B5012)="",FALSE,IF(INDIRECT("'"&amp;A5012&amp;"'!"&amp;B5012)&gt;10,TRUE,FALSE))</f>
        <v>0</v>
      </c>
      <c r="E5012" t="s">
        <v>709</v>
      </c>
      <c r="F5012" t="str">
        <f>INDEX(Lists!I:I,MATCH(Validation!E5012,Lists!G:G,0))</f>
        <v>Alert</v>
      </c>
      <c r="G5012" t="str">
        <f>INDEX(Lists!H:H,MATCH(Validation!E5012,Lists!G:G,0))</f>
        <v>High interest rate exceeds typical rates. Correct entry or explain in comments box.</v>
      </c>
      <c r="H5012" s="16" t="str">
        <f t="shared" ca="1" si="522"/>
        <v/>
      </c>
      <c r="I5012" s="16" t="str">
        <f t="shared" ca="1" si="523"/>
        <v/>
      </c>
      <c r="J5012" s="17" t="str">
        <f t="shared" ca="1" si="524"/>
        <v/>
      </c>
    </row>
    <row r="5013" spans="1:10" x14ac:dyDescent="0.25">
      <c r="A5013" t="s">
        <v>205</v>
      </c>
      <c r="B5013" t="str">
        <f>ADDRESS(ROW('Loan 1'!$B$13),COLUMN('Loan 1'!$B$13),4)</f>
        <v>B13</v>
      </c>
      <c r="C5013" t="str">
        <f>ADDRESS(ROW('Loan 1'!$D$13),COLUMN('Loan 1'!$D$13),4)</f>
        <v>D13</v>
      </c>
      <c r="D5013" t="b" cm="1">
        <f t="array" aca="1" ref="D5013" ca="1">IF(INDIRECT("'"&amp;A5013&amp;"'!"&amp;B5013)="",FALSE,IF(TRUNC(INDIRECT("'"&amp;A5013&amp;"'!"&amp;B5013),3)=INDIRECT("'"&amp;A5013&amp;"'!"&amp;B5013),FALSE,TRUE))</f>
        <v>0</v>
      </c>
      <c r="E5013" t="s">
        <v>616</v>
      </c>
      <c r="F5013" t="str">
        <f>INDEX(Lists!I:I,MATCH(Validation!E5013,Lists!G:G,0))</f>
        <v>Error</v>
      </c>
      <c r="G5013" t="str">
        <f>INDEX(Lists!H:H,MATCH(Validation!E5013,Lists!G:G,0))</f>
        <v>Interest rate cannot have more than three decimals.</v>
      </c>
      <c r="H5013" s="16" t="str">
        <f t="shared" ca="1" si="522"/>
        <v/>
      </c>
      <c r="I5013" s="16" t="str">
        <f t="shared" ca="1" si="523"/>
        <v/>
      </c>
      <c r="J5013" s="17" t="str">
        <f t="shared" ca="1" si="524"/>
        <v/>
      </c>
    </row>
    <row r="5014" spans="1:10" x14ac:dyDescent="0.25">
      <c r="A5014" t="s">
        <v>932</v>
      </c>
      <c r="B5014" t="str">
        <f>ADDRESS(ROW('Loan 1'!$B$13),COLUMN('Loan 1'!$B$13),4)</f>
        <v>B13</v>
      </c>
      <c r="C5014" t="str">
        <f>ADDRESS(ROW('Loan 1'!$D$13),COLUMN('Loan 1'!$D$13),4)</f>
        <v>D13</v>
      </c>
      <c r="D5014" t="b" cm="1">
        <f t="array" aca="1" ref="D5014" ca="1">IF(INDIRECT("'"&amp;A5014&amp;"'!"&amp;B5014)="",FALSE,IF(TRUNC(INDIRECT("'"&amp;A5014&amp;"'!"&amp;B5014),3)=INDIRECT("'"&amp;A5014&amp;"'!"&amp;B5014),FALSE,TRUE))</f>
        <v>0</v>
      </c>
      <c r="E5014" t="s">
        <v>616</v>
      </c>
      <c r="F5014" t="str">
        <f>INDEX(Lists!I:I,MATCH(Validation!E5014,Lists!G:G,0))</f>
        <v>Error</v>
      </c>
      <c r="G5014" t="str">
        <f>INDEX(Lists!H:H,MATCH(Validation!E5014,Lists!G:G,0))</f>
        <v>Interest rate cannot have more than three decimals.</v>
      </c>
      <c r="H5014" s="16" t="str">
        <f t="shared" ref="H5014:H5027" ca="1" si="528">IFERROR(IF(OR(NOT(D5014),F5014&lt;&gt;"Error"),"",A5014&amp;CELL("address",INDIRECT(B5014))),"")</f>
        <v/>
      </c>
      <c r="I5014" s="16" t="str">
        <f t="shared" ref="I5014:I5027" ca="1" si="529">IFERROR(IF(NOT(D5014),"",A5014&amp;CELL("address",INDIRECT(C5014))),"")</f>
        <v/>
      </c>
      <c r="J5014" s="17" t="str">
        <f t="shared" ref="J5014:J5027" ca="1" si="530">IFERROR(IF(NOT(D5014),"",A5014),"")</f>
        <v/>
      </c>
    </row>
    <row r="5015" spans="1:10" x14ac:dyDescent="0.25">
      <c r="A5015" t="s">
        <v>933</v>
      </c>
      <c r="B5015" t="str">
        <f>ADDRESS(ROW('Loan 1'!$B$13),COLUMN('Loan 1'!$B$13),4)</f>
        <v>B13</v>
      </c>
      <c r="C5015" t="str">
        <f>ADDRESS(ROW('Loan 1'!$D$13),COLUMN('Loan 1'!$D$13),4)</f>
        <v>D13</v>
      </c>
      <c r="D5015" t="b" cm="1">
        <f t="array" aca="1" ref="D5015" ca="1">IF(INDIRECT("'"&amp;A5015&amp;"'!"&amp;B5015)="",FALSE,IF(TRUNC(INDIRECT("'"&amp;A5015&amp;"'!"&amp;B5015),3)=INDIRECT("'"&amp;A5015&amp;"'!"&amp;B5015),FALSE,TRUE))</f>
        <v>0</v>
      </c>
      <c r="E5015" t="s">
        <v>616</v>
      </c>
      <c r="F5015" t="str">
        <f>INDEX(Lists!I:I,MATCH(Validation!E5015,Lists!G:G,0))</f>
        <v>Error</v>
      </c>
      <c r="G5015" t="str">
        <f>INDEX(Lists!H:H,MATCH(Validation!E5015,Lists!G:G,0))</f>
        <v>Interest rate cannot have more than three decimals.</v>
      </c>
      <c r="H5015" s="16" t="str">
        <f t="shared" ca="1" si="528"/>
        <v/>
      </c>
      <c r="I5015" s="16" t="str">
        <f t="shared" ca="1" si="529"/>
        <v/>
      </c>
      <c r="J5015" s="17" t="str">
        <f t="shared" ca="1" si="530"/>
        <v/>
      </c>
    </row>
    <row r="5016" spans="1:10" x14ac:dyDescent="0.25">
      <c r="A5016" t="s">
        <v>934</v>
      </c>
      <c r="B5016" t="str">
        <f>ADDRESS(ROW('Loan 1'!$B$13),COLUMN('Loan 1'!$B$13),4)</f>
        <v>B13</v>
      </c>
      <c r="C5016" t="str">
        <f>ADDRESS(ROW('Loan 1'!$D$13),COLUMN('Loan 1'!$D$13),4)</f>
        <v>D13</v>
      </c>
      <c r="D5016" t="b" cm="1">
        <f t="array" aca="1" ref="D5016" ca="1">IF(INDIRECT("'"&amp;A5016&amp;"'!"&amp;B5016)="",FALSE,IF(TRUNC(INDIRECT("'"&amp;A5016&amp;"'!"&amp;B5016),3)=INDIRECT("'"&amp;A5016&amp;"'!"&amp;B5016),FALSE,TRUE))</f>
        <v>0</v>
      </c>
      <c r="E5016" t="s">
        <v>616</v>
      </c>
      <c r="F5016" t="str">
        <f>INDEX(Lists!I:I,MATCH(Validation!E5016,Lists!G:G,0))</f>
        <v>Error</v>
      </c>
      <c r="G5016" t="str">
        <f>INDEX(Lists!H:H,MATCH(Validation!E5016,Lists!G:G,0))</f>
        <v>Interest rate cannot have more than three decimals.</v>
      </c>
      <c r="H5016" s="16" t="str">
        <f t="shared" ca="1" si="528"/>
        <v/>
      </c>
      <c r="I5016" s="16" t="str">
        <f t="shared" ca="1" si="529"/>
        <v/>
      </c>
      <c r="J5016" s="17" t="str">
        <f t="shared" ca="1" si="530"/>
        <v/>
      </c>
    </row>
    <row r="5017" spans="1:10" x14ac:dyDescent="0.25">
      <c r="A5017" t="s">
        <v>935</v>
      </c>
      <c r="B5017" t="str">
        <f>ADDRESS(ROW('Loan 1'!$B$13),COLUMN('Loan 1'!$B$13),4)</f>
        <v>B13</v>
      </c>
      <c r="C5017" t="str">
        <f>ADDRESS(ROW('Loan 1'!$D$13),COLUMN('Loan 1'!$D$13),4)</f>
        <v>D13</v>
      </c>
      <c r="D5017" t="b" cm="1">
        <f t="array" aca="1" ref="D5017" ca="1">IF(INDIRECT("'"&amp;A5017&amp;"'!"&amp;B5017)="",FALSE,IF(TRUNC(INDIRECT("'"&amp;A5017&amp;"'!"&amp;B5017),3)=INDIRECT("'"&amp;A5017&amp;"'!"&amp;B5017),FALSE,TRUE))</f>
        <v>0</v>
      </c>
      <c r="E5017" t="s">
        <v>616</v>
      </c>
      <c r="F5017" t="str">
        <f>INDEX(Lists!I:I,MATCH(Validation!E5017,Lists!G:G,0))</f>
        <v>Error</v>
      </c>
      <c r="G5017" t="str">
        <f>INDEX(Lists!H:H,MATCH(Validation!E5017,Lists!G:G,0))</f>
        <v>Interest rate cannot have more than three decimals.</v>
      </c>
      <c r="H5017" s="16" t="str">
        <f t="shared" ca="1" si="528"/>
        <v/>
      </c>
      <c r="I5017" s="16" t="str">
        <f t="shared" ca="1" si="529"/>
        <v/>
      </c>
      <c r="J5017" s="17" t="str">
        <f t="shared" ca="1" si="530"/>
        <v/>
      </c>
    </row>
    <row r="5018" spans="1:10" x14ac:dyDescent="0.25">
      <c r="A5018" t="s">
        <v>936</v>
      </c>
      <c r="B5018" t="str">
        <f>ADDRESS(ROW('Loan 1'!$B$13),COLUMN('Loan 1'!$B$13),4)</f>
        <v>B13</v>
      </c>
      <c r="C5018" t="str">
        <f>ADDRESS(ROW('Loan 1'!$D$13),COLUMN('Loan 1'!$D$13),4)</f>
        <v>D13</v>
      </c>
      <c r="D5018" t="b" cm="1">
        <f t="array" aca="1" ref="D5018" ca="1">IF(INDIRECT("'"&amp;A5018&amp;"'!"&amp;B5018)="",FALSE,IF(TRUNC(INDIRECT("'"&amp;A5018&amp;"'!"&amp;B5018),3)=INDIRECT("'"&amp;A5018&amp;"'!"&amp;B5018),FALSE,TRUE))</f>
        <v>0</v>
      </c>
      <c r="E5018" t="s">
        <v>616</v>
      </c>
      <c r="F5018" t="str">
        <f>INDEX(Lists!I:I,MATCH(Validation!E5018,Lists!G:G,0))</f>
        <v>Error</v>
      </c>
      <c r="G5018" t="str">
        <f>INDEX(Lists!H:H,MATCH(Validation!E5018,Lists!G:G,0))</f>
        <v>Interest rate cannot have more than three decimals.</v>
      </c>
      <c r="H5018" s="16" t="str">
        <f t="shared" ca="1" si="528"/>
        <v/>
      </c>
      <c r="I5018" s="16" t="str">
        <f t="shared" ca="1" si="529"/>
        <v/>
      </c>
      <c r="J5018" s="17" t="str">
        <f t="shared" ca="1" si="530"/>
        <v/>
      </c>
    </row>
    <row r="5019" spans="1:10" x14ac:dyDescent="0.25">
      <c r="A5019" t="s">
        <v>937</v>
      </c>
      <c r="B5019" t="str">
        <f>ADDRESS(ROW('Loan 1'!$B$13),COLUMN('Loan 1'!$B$13),4)</f>
        <v>B13</v>
      </c>
      <c r="C5019" t="str">
        <f>ADDRESS(ROW('Loan 1'!$D$13),COLUMN('Loan 1'!$D$13),4)</f>
        <v>D13</v>
      </c>
      <c r="D5019" t="b" cm="1">
        <f t="array" aca="1" ref="D5019" ca="1">IF(INDIRECT("'"&amp;A5019&amp;"'!"&amp;B5019)="",FALSE,IF(TRUNC(INDIRECT("'"&amp;A5019&amp;"'!"&amp;B5019),3)=INDIRECT("'"&amp;A5019&amp;"'!"&amp;B5019),FALSE,TRUE))</f>
        <v>0</v>
      </c>
      <c r="E5019" t="s">
        <v>616</v>
      </c>
      <c r="F5019" t="str">
        <f>INDEX(Lists!I:I,MATCH(Validation!E5019,Lists!G:G,0))</f>
        <v>Error</v>
      </c>
      <c r="G5019" t="str">
        <f>INDEX(Lists!H:H,MATCH(Validation!E5019,Lists!G:G,0))</f>
        <v>Interest rate cannot have more than three decimals.</v>
      </c>
      <c r="H5019" s="16" t="str">
        <f t="shared" ca="1" si="528"/>
        <v/>
      </c>
      <c r="I5019" s="16" t="str">
        <f t="shared" ca="1" si="529"/>
        <v/>
      </c>
      <c r="J5019" s="17" t="str">
        <f t="shared" ca="1" si="530"/>
        <v/>
      </c>
    </row>
    <row r="5020" spans="1:10" x14ac:dyDescent="0.25">
      <c r="A5020" t="s">
        <v>938</v>
      </c>
      <c r="B5020" t="str">
        <f>ADDRESS(ROW('Loan 1'!$B$13),COLUMN('Loan 1'!$B$13),4)</f>
        <v>B13</v>
      </c>
      <c r="C5020" t="str">
        <f>ADDRESS(ROW('Loan 1'!$D$13),COLUMN('Loan 1'!$D$13),4)</f>
        <v>D13</v>
      </c>
      <c r="D5020" t="b" cm="1">
        <f t="array" aca="1" ref="D5020" ca="1">IF(INDIRECT("'"&amp;A5020&amp;"'!"&amp;B5020)="",FALSE,IF(TRUNC(INDIRECT("'"&amp;A5020&amp;"'!"&amp;B5020),3)=INDIRECT("'"&amp;A5020&amp;"'!"&amp;B5020),FALSE,TRUE))</f>
        <v>0</v>
      </c>
      <c r="E5020" t="s">
        <v>616</v>
      </c>
      <c r="F5020" t="str">
        <f>INDEX(Lists!I:I,MATCH(Validation!E5020,Lists!G:G,0))</f>
        <v>Error</v>
      </c>
      <c r="G5020" t="str">
        <f>INDEX(Lists!H:H,MATCH(Validation!E5020,Lists!G:G,0))</f>
        <v>Interest rate cannot have more than three decimals.</v>
      </c>
      <c r="H5020" s="16" t="str">
        <f t="shared" ca="1" si="528"/>
        <v/>
      </c>
      <c r="I5020" s="16" t="str">
        <f t="shared" ca="1" si="529"/>
        <v/>
      </c>
      <c r="J5020" s="17" t="str">
        <f t="shared" ca="1" si="530"/>
        <v/>
      </c>
    </row>
    <row r="5021" spans="1:10" x14ac:dyDescent="0.25">
      <c r="A5021" t="s">
        <v>939</v>
      </c>
      <c r="B5021" t="str">
        <f>ADDRESS(ROW('Loan 1'!$B$13),COLUMN('Loan 1'!$B$13),4)</f>
        <v>B13</v>
      </c>
      <c r="C5021" t="str">
        <f>ADDRESS(ROW('Loan 1'!$D$13),COLUMN('Loan 1'!$D$13),4)</f>
        <v>D13</v>
      </c>
      <c r="D5021" t="b" cm="1">
        <f t="array" aca="1" ref="D5021" ca="1">IF(INDIRECT("'"&amp;A5021&amp;"'!"&amp;B5021)="",FALSE,IF(TRUNC(INDIRECT("'"&amp;A5021&amp;"'!"&amp;B5021),3)=INDIRECT("'"&amp;A5021&amp;"'!"&amp;B5021),FALSE,TRUE))</f>
        <v>0</v>
      </c>
      <c r="E5021" t="s">
        <v>616</v>
      </c>
      <c r="F5021" t="str">
        <f>INDEX(Lists!I:I,MATCH(Validation!E5021,Lists!G:G,0))</f>
        <v>Error</v>
      </c>
      <c r="G5021" t="str">
        <f>INDEX(Lists!H:H,MATCH(Validation!E5021,Lists!G:G,0))</f>
        <v>Interest rate cannot have more than three decimals.</v>
      </c>
      <c r="H5021" s="16" t="str">
        <f t="shared" ca="1" si="528"/>
        <v/>
      </c>
      <c r="I5021" s="16" t="str">
        <f t="shared" ca="1" si="529"/>
        <v/>
      </c>
      <c r="J5021" s="17" t="str">
        <f t="shared" ca="1" si="530"/>
        <v/>
      </c>
    </row>
    <row r="5022" spans="1:10" x14ac:dyDescent="0.25">
      <c r="A5022" t="s">
        <v>940</v>
      </c>
      <c r="B5022" t="str">
        <f>ADDRESS(ROW('Loan 1'!$B$13),COLUMN('Loan 1'!$B$13),4)</f>
        <v>B13</v>
      </c>
      <c r="C5022" t="str">
        <f>ADDRESS(ROW('Loan 1'!$D$13),COLUMN('Loan 1'!$D$13),4)</f>
        <v>D13</v>
      </c>
      <c r="D5022" t="b" cm="1">
        <f t="array" aca="1" ref="D5022" ca="1">IF(INDIRECT("'"&amp;A5022&amp;"'!"&amp;B5022)="",FALSE,IF(TRUNC(INDIRECT("'"&amp;A5022&amp;"'!"&amp;B5022),3)=INDIRECT("'"&amp;A5022&amp;"'!"&amp;B5022),FALSE,TRUE))</f>
        <v>0</v>
      </c>
      <c r="E5022" t="s">
        <v>616</v>
      </c>
      <c r="F5022" t="str">
        <f>INDEX(Lists!I:I,MATCH(Validation!E5022,Lists!G:G,0))</f>
        <v>Error</v>
      </c>
      <c r="G5022" t="str">
        <f>INDEX(Lists!H:H,MATCH(Validation!E5022,Lists!G:G,0))</f>
        <v>Interest rate cannot have more than three decimals.</v>
      </c>
      <c r="H5022" s="16" t="str">
        <f t="shared" ca="1" si="528"/>
        <v/>
      </c>
      <c r="I5022" s="16" t="str">
        <f t="shared" ca="1" si="529"/>
        <v/>
      </c>
      <c r="J5022" s="17" t="str">
        <f t="shared" ca="1" si="530"/>
        <v/>
      </c>
    </row>
    <row r="5023" spans="1:10" x14ac:dyDescent="0.25">
      <c r="A5023" t="s">
        <v>941</v>
      </c>
      <c r="B5023" t="str">
        <f>ADDRESS(ROW('Loan 1'!$B$13),COLUMN('Loan 1'!$B$13),4)</f>
        <v>B13</v>
      </c>
      <c r="C5023" t="str">
        <f>ADDRESS(ROW('Loan 1'!$D$13),COLUMN('Loan 1'!$D$13),4)</f>
        <v>D13</v>
      </c>
      <c r="D5023" t="b" cm="1">
        <f t="array" aca="1" ref="D5023" ca="1">IF(INDIRECT("'"&amp;A5023&amp;"'!"&amp;B5023)="",FALSE,IF(TRUNC(INDIRECT("'"&amp;A5023&amp;"'!"&amp;B5023),3)=INDIRECT("'"&amp;A5023&amp;"'!"&amp;B5023),FALSE,TRUE))</f>
        <v>0</v>
      </c>
      <c r="E5023" t="s">
        <v>616</v>
      </c>
      <c r="F5023" t="str">
        <f>INDEX(Lists!I:I,MATCH(Validation!E5023,Lists!G:G,0))</f>
        <v>Error</v>
      </c>
      <c r="G5023" t="str">
        <f>INDEX(Lists!H:H,MATCH(Validation!E5023,Lists!G:G,0))</f>
        <v>Interest rate cannot have more than three decimals.</v>
      </c>
      <c r="H5023" s="16" t="str">
        <f t="shared" ca="1" si="528"/>
        <v/>
      </c>
      <c r="I5023" s="16" t="str">
        <f t="shared" ca="1" si="529"/>
        <v/>
      </c>
      <c r="J5023" s="17" t="str">
        <f t="shared" ca="1" si="530"/>
        <v/>
      </c>
    </row>
    <row r="5024" spans="1:10" x14ac:dyDescent="0.25">
      <c r="A5024" t="s">
        <v>942</v>
      </c>
      <c r="B5024" t="str">
        <f>ADDRESS(ROW('Loan 1'!$B$13),COLUMN('Loan 1'!$B$13),4)</f>
        <v>B13</v>
      </c>
      <c r="C5024" t="str">
        <f>ADDRESS(ROW('Loan 1'!$D$13),COLUMN('Loan 1'!$D$13),4)</f>
        <v>D13</v>
      </c>
      <c r="D5024" t="b" cm="1">
        <f t="array" aca="1" ref="D5024" ca="1">IF(INDIRECT("'"&amp;A5024&amp;"'!"&amp;B5024)="",FALSE,IF(TRUNC(INDIRECT("'"&amp;A5024&amp;"'!"&amp;B5024),3)=INDIRECT("'"&amp;A5024&amp;"'!"&amp;B5024),FALSE,TRUE))</f>
        <v>0</v>
      </c>
      <c r="E5024" t="s">
        <v>616</v>
      </c>
      <c r="F5024" t="str">
        <f>INDEX(Lists!I:I,MATCH(Validation!E5024,Lists!G:G,0))</f>
        <v>Error</v>
      </c>
      <c r="G5024" t="str">
        <f>INDEX(Lists!H:H,MATCH(Validation!E5024,Lists!G:G,0))</f>
        <v>Interest rate cannot have more than three decimals.</v>
      </c>
      <c r="H5024" s="16" t="str">
        <f t="shared" ca="1" si="528"/>
        <v/>
      </c>
      <c r="I5024" s="16" t="str">
        <f t="shared" ca="1" si="529"/>
        <v/>
      </c>
      <c r="J5024" s="17" t="str">
        <f t="shared" ca="1" si="530"/>
        <v/>
      </c>
    </row>
    <row r="5025" spans="1:10" x14ac:dyDescent="0.25">
      <c r="A5025" t="s">
        <v>943</v>
      </c>
      <c r="B5025" t="str">
        <f>ADDRESS(ROW('Loan 1'!$B$13),COLUMN('Loan 1'!$B$13),4)</f>
        <v>B13</v>
      </c>
      <c r="C5025" t="str">
        <f>ADDRESS(ROW('Loan 1'!$D$13),COLUMN('Loan 1'!$D$13),4)</f>
        <v>D13</v>
      </c>
      <c r="D5025" t="b" cm="1">
        <f t="array" aca="1" ref="D5025" ca="1">IF(INDIRECT("'"&amp;A5025&amp;"'!"&amp;B5025)="",FALSE,IF(TRUNC(INDIRECT("'"&amp;A5025&amp;"'!"&amp;B5025),3)=INDIRECT("'"&amp;A5025&amp;"'!"&amp;B5025),FALSE,TRUE))</f>
        <v>0</v>
      </c>
      <c r="E5025" t="s">
        <v>616</v>
      </c>
      <c r="F5025" t="str">
        <f>INDEX(Lists!I:I,MATCH(Validation!E5025,Lists!G:G,0))</f>
        <v>Error</v>
      </c>
      <c r="G5025" t="str">
        <f>INDEX(Lists!H:H,MATCH(Validation!E5025,Lists!G:G,0))</f>
        <v>Interest rate cannot have more than three decimals.</v>
      </c>
      <c r="H5025" s="16" t="str">
        <f t="shared" ca="1" si="528"/>
        <v/>
      </c>
      <c r="I5025" s="16" t="str">
        <f t="shared" ca="1" si="529"/>
        <v/>
      </c>
      <c r="J5025" s="17" t="str">
        <f t="shared" ca="1" si="530"/>
        <v/>
      </c>
    </row>
    <row r="5026" spans="1:10" x14ac:dyDescent="0.25">
      <c r="A5026" t="s">
        <v>944</v>
      </c>
      <c r="B5026" t="str">
        <f>ADDRESS(ROW('Loan 1'!$B$13),COLUMN('Loan 1'!$B$13),4)</f>
        <v>B13</v>
      </c>
      <c r="C5026" t="str">
        <f>ADDRESS(ROW('Loan 1'!$D$13),COLUMN('Loan 1'!$D$13),4)</f>
        <v>D13</v>
      </c>
      <c r="D5026" t="b" cm="1">
        <f t="array" aca="1" ref="D5026" ca="1">IF(INDIRECT("'"&amp;A5026&amp;"'!"&amp;B5026)="",FALSE,IF(TRUNC(INDIRECT("'"&amp;A5026&amp;"'!"&amp;B5026),3)=INDIRECT("'"&amp;A5026&amp;"'!"&amp;B5026),FALSE,TRUE))</f>
        <v>0</v>
      </c>
      <c r="E5026" t="s">
        <v>616</v>
      </c>
      <c r="F5026" t="str">
        <f>INDEX(Lists!I:I,MATCH(Validation!E5026,Lists!G:G,0))</f>
        <v>Error</v>
      </c>
      <c r="G5026" t="str">
        <f>INDEX(Lists!H:H,MATCH(Validation!E5026,Lists!G:G,0))</f>
        <v>Interest rate cannot have more than three decimals.</v>
      </c>
      <c r="H5026" s="16" t="str">
        <f t="shared" ca="1" si="528"/>
        <v/>
      </c>
      <c r="I5026" s="16" t="str">
        <f t="shared" ca="1" si="529"/>
        <v/>
      </c>
      <c r="J5026" s="17" t="str">
        <f t="shared" ca="1" si="530"/>
        <v/>
      </c>
    </row>
    <row r="5027" spans="1:10" x14ac:dyDescent="0.25">
      <c r="A5027" t="s">
        <v>945</v>
      </c>
      <c r="B5027" t="str">
        <f>ADDRESS(ROW('Loan 1'!$B$13),COLUMN('Loan 1'!$B$13),4)</f>
        <v>B13</v>
      </c>
      <c r="C5027" t="str">
        <f>ADDRESS(ROW('Loan 1'!$D$13),COLUMN('Loan 1'!$D$13),4)</f>
        <v>D13</v>
      </c>
      <c r="D5027" t="b" cm="1">
        <f t="array" aca="1" ref="D5027" ca="1">IF(INDIRECT("'"&amp;A5027&amp;"'!"&amp;B5027)="",FALSE,IF(TRUNC(INDIRECT("'"&amp;A5027&amp;"'!"&amp;B5027),3)=INDIRECT("'"&amp;A5027&amp;"'!"&amp;B5027),FALSE,TRUE))</f>
        <v>0</v>
      </c>
      <c r="E5027" t="s">
        <v>616</v>
      </c>
      <c r="F5027" t="str">
        <f>INDEX(Lists!I:I,MATCH(Validation!E5027,Lists!G:G,0))</f>
        <v>Error</v>
      </c>
      <c r="G5027" t="str">
        <f>INDEX(Lists!H:H,MATCH(Validation!E5027,Lists!G:G,0))</f>
        <v>Interest rate cannot have more than three decimals.</v>
      </c>
      <c r="H5027" s="16" t="str">
        <f t="shared" ca="1" si="528"/>
        <v/>
      </c>
      <c r="I5027" s="16" t="str">
        <f t="shared" ca="1" si="529"/>
        <v/>
      </c>
      <c r="J5027" s="17" t="str">
        <f t="shared" ca="1" si="530"/>
        <v/>
      </c>
    </row>
    <row r="5028" spans="1:10" x14ac:dyDescent="0.25">
      <c r="A5028" t="s">
        <v>205</v>
      </c>
      <c r="B5028" t="str">
        <f>ADDRESS(ROW('Loan 1'!$B$14),COLUMN('Loan 1'!$B$14),4)</f>
        <v>B14</v>
      </c>
      <c r="C5028" t="str">
        <f>ADDRESS(ROW('Loan 1'!$D$14),COLUMN('Loan 1'!$D$14),4)</f>
        <v>D14</v>
      </c>
      <c r="D5028" t="b" cm="1">
        <f t="array" aca="1" ref="D5028" ca="1">IF(AND(INDIRECT("'"&amp;A5028&amp;"'!B$12")&lt;&gt;"",INDIRECT("'"&amp;A5028&amp;"'!B$13")&lt;&gt;"",INDIRECT("'"&amp;A5028&amp;"'!"&amp;B5028)=Lists!$AM$1),TRUE,FALSE)</f>
        <v>0</v>
      </c>
      <c r="E5028" t="s">
        <v>64</v>
      </c>
      <c r="F5028" t="str">
        <f>INDEX(Lists!I:I,MATCH(Validation!E5028,Lists!G:G,0))</f>
        <v>Error</v>
      </c>
      <c r="G5028" t="str">
        <f>INDEX(Lists!H:H,MATCH(Validation!E5028,Lists!G:G,0))</f>
        <v>You must make a selection from the dropdown list.</v>
      </c>
      <c r="H5028" s="16" t="str">
        <f ca="1">IFERROR(IF(OR(NOT(D5028),F5028&lt;&gt;"Error"),"",A5028&amp;CELL("address",INDIRECT(B5028))),"")</f>
        <v/>
      </c>
      <c r="I5028" s="16" t="str">
        <f ca="1">IFERROR(IF(NOT(D5028),"",A5028&amp;CELL("address",INDIRECT(C5028))),"")</f>
        <v/>
      </c>
      <c r="J5028" s="17" t="str">
        <f ca="1">IFERROR(IF(NOT(D5028),"",A5028),"")</f>
        <v/>
      </c>
    </row>
    <row r="5029" spans="1:10" x14ac:dyDescent="0.25">
      <c r="A5029" t="s">
        <v>932</v>
      </c>
      <c r="B5029" t="str">
        <f>ADDRESS(ROW('Loan 1'!$B$14),COLUMN('Loan 1'!$B$14),4)</f>
        <v>B14</v>
      </c>
      <c r="C5029" t="str">
        <f>ADDRESS(ROW('Loan 1'!$D$14),COLUMN('Loan 1'!$D$14),4)</f>
        <v>D14</v>
      </c>
      <c r="D5029" t="b" cm="1">
        <f t="array" aca="1" ref="D5029" ca="1">IF(AND(INDIRECT("'"&amp;A5029&amp;"'!B$12")&lt;&gt;"",INDIRECT("'"&amp;A5029&amp;"'!B$13")&lt;&gt;"",INDIRECT("'"&amp;A5029&amp;"'!"&amp;B5029)=Lists!$AM$1),TRUE,FALSE)</f>
        <v>0</v>
      </c>
      <c r="E5029" t="s">
        <v>64</v>
      </c>
      <c r="F5029" t="str">
        <f>INDEX(Lists!I:I,MATCH(Validation!E5029,Lists!G:G,0))</f>
        <v>Error</v>
      </c>
      <c r="G5029" t="str">
        <f>INDEX(Lists!H:H,MATCH(Validation!E5029,Lists!G:G,0))</f>
        <v>You must make a selection from the dropdown list.</v>
      </c>
      <c r="H5029" s="16" t="str">
        <f t="shared" ref="H5029:H5042" ca="1" si="531">IFERROR(IF(OR(NOT(D5029),F5029&lt;&gt;"Error"),"",A5029&amp;CELL("address",INDIRECT(B5029))),"")</f>
        <v/>
      </c>
      <c r="I5029" s="16" t="str">
        <f t="shared" ref="I5029:I5042" ca="1" si="532">IFERROR(IF(NOT(D5029),"",A5029&amp;CELL("address",INDIRECT(C5029))),"")</f>
        <v/>
      </c>
      <c r="J5029" s="17" t="str">
        <f t="shared" ref="J5029:J5042" ca="1" si="533">IFERROR(IF(NOT(D5029),"",A5029),"")</f>
        <v/>
      </c>
    </row>
    <row r="5030" spans="1:10" x14ac:dyDescent="0.25">
      <c r="A5030" t="s">
        <v>933</v>
      </c>
      <c r="B5030" t="str">
        <f>ADDRESS(ROW('Loan 1'!$B$14),COLUMN('Loan 1'!$B$14),4)</f>
        <v>B14</v>
      </c>
      <c r="C5030" t="str">
        <f>ADDRESS(ROW('Loan 1'!$D$14),COLUMN('Loan 1'!$D$14),4)</f>
        <v>D14</v>
      </c>
      <c r="D5030" t="b" cm="1">
        <f t="array" aca="1" ref="D5030" ca="1">IF(AND(INDIRECT("'"&amp;A5030&amp;"'!B$12")&lt;&gt;"",INDIRECT("'"&amp;A5030&amp;"'!B$13")&lt;&gt;"",INDIRECT("'"&amp;A5030&amp;"'!"&amp;B5030)=Lists!$AM$1),TRUE,FALSE)</f>
        <v>0</v>
      </c>
      <c r="E5030" t="s">
        <v>64</v>
      </c>
      <c r="F5030" t="str">
        <f>INDEX(Lists!I:I,MATCH(Validation!E5030,Lists!G:G,0))</f>
        <v>Error</v>
      </c>
      <c r="G5030" t="str">
        <f>INDEX(Lists!H:H,MATCH(Validation!E5030,Lists!G:G,0))</f>
        <v>You must make a selection from the dropdown list.</v>
      </c>
      <c r="H5030" s="16" t="str">
        <f t="shared" ca="1" si="531"/>
        <v/>
      </c>
      <c r="I5030" s="16" t="str">
        <f t="shared" ca="1" si="532"/>
        <v/>
      </c>
      <c r="J5030" s="17" t="str">
        <f t="shared" ca="1" si="533"/>
        <v/>
      </c>
    </row>
    <row r="5031" spans="1:10" x14ac:dyDescent="0.25">
      <c r="A5031" t="s">
        <v>934</v>
      </c>
      <c r="B5031" t="str">
        <f>ADDRESS(ROW('Loan 1'!$B$14),COLUMN('Loan 1'!$B$14),4)</f>
        <v>B14</v>
      </c>
      <c r="C5031" t="str">
        <f>ADDRESS(ROW('Loan 1'!$D$14),COLUMN('Loan 1'!$D$14),4)</f>
        <v>D14</v>
      </c>
      <c r="D5031" t="b" cm="1">
        <f t="array" aca="1" ref="D5031" ca="1">IF(AND(INDIRECT("'"&amp;A5031&amp;"'!B$12")&lt;&gt;"",INDIRECT("'"&amp;A5031&amp;"'!B$13")&lt;&gt;"",INDIRECT("'"&amp;A5031&amp;"'!"&amp;B5031)=Lists!$AM$1),TRUE,FALSE)</f>
        <v>0</v>
      </c>
      <c r="E5031" t="s">
        <v>64</v>
      </c>
      <c r="F5031" t="str">
        <f>INDEX(Lists!I:I,MATCH(Validation!E5031,Lists!G:G,0))</f>
        <v>Error</v>
      </c>
      <c r="G5031" t="str">
        <f>INDEX(Lists!H:H,MATCH(Validation!E5031,Lists!G:G,0))</f>
        <v>You must make a selection from the dropdown list.</v>
      </c>
      <c r="H5031" s="16" t="str">
        <f t="shared" ca="1" si="531"/>
        <v/>
      </c>
      <c r="I5031" s="16" t="str">
        <f t="shared" ca="1" si="532"/>
        <v/>
      </c>
      <c r="J5031" s="17" t="str">
        <f t="shared" ca="1" si="533"/>
        <v/>
      </c>
    </row>
    <row r="5032" spans="1:10" x14ac:dyDescent="0.25">
      <c r="A5032" t="s">
        <v>935</v>
      </c>
      <c r="B5032" t="str">
        <f>ADDRESS(ROW('Loan 1'!$B$14),COLUMN('Loan 1'!$B$14),4)</f>
        <v>B14</v>
      </c>
      <c r="C5032" t="str">
        <f>ADDRESS(ROW('Loan 1'!$D$14),COLUMN('Loan 1'!$D$14),4)</f>
        <v>D14</v>
      </c>
      <c r="D5032" t="b" cm="1">
        <f t="array" aca="1" ref="D5032" ca="1">IF(AND(INDIRECT("'"&amp;A5032&amp;"'!B$12")&lt;&gt;"",INDIRECT("'"&amp;A5032&amp;"'!B$13")&lt;&gt;"",INDIRECT("'"&amp;A5032&amp;"'!"&amp;B5032)=Lists!$AM$1),TRUE,FALSE)</f>
        <v>0</v>
      </c>
      <c r="E5032" t="s">
        <v>64</v>
      </c>
      <c r="F5032" t="str">
        <f>INDEX(Lists!I:I,MATCH(Validation!E5032,Lists!G:G,0))</f>
        <v>Error</v>
      </c>
      <c r="G5032" t="str">
        <f>INDEX(Lists!H:H,MATCH(Validation!E5032,Lists!G:G,0))</f>
        <v>You must make a selection from the dropdown list.</v>
      </c>
      <c r="H5032" s="16" t="str">
        <f t="shared" ca="1" si="531"/>
        <v/>
      </c>
      <c r="I5032" s="16" t="str">
        <f t="shared" ca="1" si="532"/>
        <v/>
      </c>
      <c r="J5032" s="17" t="str">
        <f t="shared" ca="1" si="533"/>
        <v/>
      </c>
    </row>
    <row r="5033" spans="1:10" x14ac:dyDescent="0.25">
      <c r="A5033" t="s">
        <v>936</v>
      </c>
      <c r="B5033" t="str">
        <f>ADDRESS(ROW('Loan 1'!$B$14),COLUMN('Loan 1'!$B$14),4)</f>
        <v>B14</v>
      </c>
      <c r="C5033" t="str">
        <f>ADDRESS(ROW('Loan 1'!$D$14),COLUMN('Loan 1'!$D$14),4)</f>
        <v>D14</v>
      </c>
      <c r="D5033" t="b" cm="1">
        <f t="array" aca="1" ref="D5033" ca="1">IF(AND(INDIRECT("'"&amp;A5033&amp;"'!B$12")&lt;&gt;"",INDIRECT("'"&amp;A5033&amp;"'!B$13")&lt;&gt;"",INDIRECT("'"&amp;A5033&amp;"'!"&amp;B5033)=Lists!$AM$1),TRUE,FALSE)</f>
        <v>0</v>
      </c>
      <c r="E5033" t="s">
        <v>64</v>
      </c>
      <c r="F5033" t="str">
        <f>INDEX(Lists!I:I,MATCH(Validation!E5033,Lists!G:G,0))</f>
        <v>Error</v>
      </c>
      <c r="G5033" t="str">
        <f>INDEX(Lists!H:H,MATCH(Validation!E5033,Lists!G:G,0))</f>
        <v>You must make a selection from the dropdown list.</v>
      </c>
      <c r="H5033" s="16" t="str">
        <f t="shared" ca="1" si="531"/>
        <v/>
      </c>
      <c r="I5033" s="16" t="str">
        <f t="shared" ca="1" si="532"/>
        <v/>
      </c>
      <c r="J5033" s="17" t="str">
        <f t="shared" ca="1" si="533"/>
        <v/>
      </c>
    </row>
    <row r="5034" spans="1:10" x14ac:dyDescent="0.25">
      <c r="A5034" t="s">
        <v>937</v>
      </c>
      <c r="B5034" t="str">
        <f>ADDRESS(ROW('Loan 1'!$B$14),COLUMN('Loan 1'!$B$14),4)</f>
        <v>B14</v>
      </c>
      <c r="C5034" t="str">
        <f>ADDRESS(ROW('Loan 1'!$D$14),COLUMN('Loan 1'!$D$14),4)</f>
        <v>D14</v>
      </c>
      <c r="D5034" t="b" cm="1">
        <f t="array" aca="1" ref="D5034" ca="1">IF(AND(INDIRECT("'"&amp;A5034&amp;"'!B$12")&lt;&gt;"",INDIRECT("'"&amp;A5034&amp;"'!B$13")&lt;&gt;"",INDIRECT("'"&amp;A5034&amp;"'!"&amp;B5034)=Lists!$AM$1),TRUE,FALSE)</f>
        <v>0</v>
      </c>
      <c r="E5034" t="s">
        <v>64</v>
      </c>
      <c r="F5034" t="str">
        <f>INDEX(Lists!I:I,MATCH(Validation!E5034,Lists!G:G,0))</f>
        <v>Error</v>
      </c>
      <c r="G5034" t="str">
        <f>INDEX(Lists!H:H,MATCH(Validation!E5034,Lists!G:G,0))</f>
        <v>You must make a selection from the dropdown list.</v>
      </c>
      <c r="H5034" s="16" t="str">
        <f t="shared" ca="1" si="531"/>
        <v/>
      </c>
      <c r="I5034" s="16" t="str">
        <f t="shared" ca="1" si="532"/>
        <v/>
      </c>
      <c r="J5034" s="17" t="str">
        <f t="shared" ca="1" si="533"/>
        <v/>
      </c>
    </row>
    <row r="5035" spans="1:10" x14ac:dyDescent="0.25">
      <c r="A5035" t="s">
        <v>938</v>
      </c>
      <c r="B5035" t="str">
        <f>ADDRESS(ROW('Loan 1'!$B$14),COLUMN('Loan 1'!$B$14),4)</f>
        <v>B14</v>
      </c>
      <c r="C5035" t="str">
        <f>ADDRESS(ROW('Loan 1'!$D$14),COLUMN('Loan 1'!$D$14),4)</f>
        <v>D14</v>
      </c>
      <c r="D5035" t="b" cm="1">
        <f t="array" aca="1" ref="D5035" ca="1">IF(AND(INDIRECT("'"&amp;A5035&amp;"'!B$12")&lt;&gt;"",INDIRECT("'"&amp;A5035&amp;"'!B$13")&lt;&gt;"",INDIRECT("'"&amp;A5035&amp;"'!"&amp;B5035)=Lists!$AM$1),TRUE,FALSE)</f>
        <v>0</v>
      </c>
      <c r="E5035" t="s">
        <v>64</v>
      </c>
      <c r="F5035" t="str">
        <f>INDEX(Lists!I:I,MATCH(Validation!E5035,Lists!G:G,0))</f>
        <v>Error</v>
      </c>
      <c r="G5035" t="str">
        <f>INDEX(Lists!H:H,MATCH(Validation!E5035,Lists!G:G,0))</f>
        <v>You must make a selection from the dropdown list.</v>
      </c>
      <c r="H5035" s="16" t="str">
        <f t="shared" ca="1" si="531"/>
        <v/>
      </c>
      <c r="I5035" s="16" t="str">
        <f t="shared" ca="1" si="532"/>
        <v/>
      </c>
      <c r="J5035" s="17" t="str">
        <f t="shared" ca="1" si="533"/>
        <v/>
      </c>
    </row>
    <row r="5036" spans="1:10" x14ac:dyDescent="0.25">
      <c r="A5036" t="s">
        <v>939</v>
      </c>
      <c r="B5036" t="str">
        <f>ADDRESS(ROW('Loan 1'!$B$14),COLUMN('Loan 1'!$B$14),4)</f>
        <v>B14</v>
      </c>
      <c r="C5036" t="str">
        <f>ADDRESS(ROW('Loan 1'!$D$14),COLUMN('Loan 1'!$D$14),4)</f>
        <v>D14</v>
      </c>
      <c r="D5036" t="b" cm="1">
        <f t="array" aca="1" ref="D5036" ca="1">IF(AND(INDIRECT("'"&amp;A5036&amp;"'!B$12")&lt;&gt;"",INDIRECT("'"&amp;A5036&amp;"'!B$13")&lt;&gt;"",INDIRECT("'"&amp;A5036&amp;"'!"&amp;B5036)=Lists!$AM$1),TRUE,FALSE)</f>
        <v>0</v>
      </c>
      <c r="E5036" t="s">
        <v>64</v>
      </c>
      <c r="F5036" t="str">
        <f>INDEX(Lists!I:I,MATCH(Validation!E5036,Lists!G:G,0))</f>
        <v>Error</v>
      </c>
      <c r="G5036" t="str">
        <f>INDEX(Lists!H:H,MATCH(Validation!E5036,Lists!G:G,0))</f>
        <v>You must make a selection from the dropdown list.</v>
      </c>
      <c r="H5036" s="16" t="str">
        <f t="shared" ca="1" si="531"/>
        <v/>
      </c>
      <c r="I5036" s="16" t="str">
        <f t="shared" ca="1" si="532"/>
        <v/>
      </c>
      <c r="J5036" s="17" t="str">
        <f t="shared" ca="1" si="533"/>
        <v/>
      </c>
    </row>
    <row r="5037" spans="1:10" x14ac:dyDescent="0.25">
      <c r="A5037" t="s">
        <v>940</v>
      </c>
      <c r="B5037" t="str">
        <f>ADDRESS(ROW('Loan 1'!$B$14),COLUMN('Loan 1'!$B$14),4)</f>
        <v>B14</v>
      </c>
      <c r="C5037" t="str">
        <f>ADDRESS(ROW('Loan 1'!$D$14),COLUMN('Loan 1'!$D$14),4)</f>
        <v>D14</v>
      </c>
      <c r="D5037" t="b" cm="1">
        <f t="array" aca="1" ref="D5037" ca="1">IF(AND(INDIRECT("'"&amp;A5037&amp;"'!B$12")&lt;&gt;"",INDIRECT("'"&amp;A5037&amp;"'!B$13")&lt;&gt;"",INDIRECT("'"&amp;A5037&amp;"'!"&amp;B5037)=Lists!$AM$1),TRUE,FALSE)</f>
        <v>0</v>
      </c>
      <c r="E5037" t="s">
        <v>64</v>
      </c>
      <c r="F5037" t="str">
        <f>INDEX(Lists!I:I,MATCH(Validation!E5037,Lists!G:G,0))</f>
        <v>Error</v>
      </c>
      <c r="G5037" t="str">
        <f>INDEX(Lists!H:H,MATCH(Validation!E5037,Lists!G:G,0))</f>
        <v>You must make a selection from the dropdown list.</v>
      </c>
      <c r="H5037" s="16" t="str">
        <f t="shared" ca="1" si="531"/>
        <v/>
      </c>
      <c r="I5037" s="16" t="str">
        <f t="shared" ca="1" si="532"/>
        <v/>
      </c>
      <c r="J5037" s="17" t="str">
        <f t="shared" ca="1" si="533"/>
        <v/>
      </c>
    </row>
    <row r="5038" spans="1:10" x14ac:dyDescent="0.25">
      <c r="A5038" t="s">
        <v>941</v>
      </c>
      <c r="B5038" t="str">
        <f>ADDRESS(ROW('Loan 1'!$B$14),COLUMN('Loan 1'!$B$14),4)</f>
        <v>B14</v>
      </c>
      <c r="C5038" t="str">
        <f>ADDRESS(ROW('Loan 1'!$D$14),COLUMN('Loan 1'!$D$14),4)</f>
        <v>D14</v>
      </c>
      <c r="D5038" t="b" cm="1">
        <f t="array" aca="1" ref="D5038" ca="1">IF(AND(INDIRECT("'"&amp;A5038&amp;"'!B$12")&lt;&gt;"",INDIRECT("'"&amp;A5038&amp;"'!B$13")&lt;&gt;"",INDIRECT("'"&amp;A5038&amp;"'!"&amp;B5038)=Lists!$AM$1),TRUE,FALSE)</f>
        <v>0</v>
      </c>
      <c r="E5038" t="s">
        <v>64</v>
      </c>
      <c r="F5038" t="str">
        <f>INDEX(Lists!I:I,MATCH(Validation!E5038,Lists!G:G,0))</f>
        <v>Error</v>
      </c>
      <c r="G5038" t="str">
        <f>INDEX(Lists!H:H,MATCH(Validation!E5038,Lists!G:G,0))</f>
        <v>You must make a selection from the dropdown list.</v>
      </c>
      <c r="H5038" s="16" t="str">
        <f t="shared" ca="1" si="531"/>
        <v/>
      </c>
      <c r="I5038" s="16" t="str">
        <f t="shared" ca="1" si="532"/>
        <v/>
      </c>
      <c r="J5038" s="17" t="str">
        <f t="shared" ca="1" si="533"/>
        <v/>
      </c>
    </row>
    <row r="5039" spans="1:10" x14ac:dyDescent="0.25">
      <c r="A5039" t="s">
        <v>942</v>
      </c>
      <c r="B5039" t="str">
        <f>ADDRESS(ROW('Loan 1'!$B$14),COLUMN('Loan 1'!$B$14),4)</f>
        <v>B14</v>
      </c>
      <c r="C5039" t="str">
        <f>ADDRESS(ROW('Loan 1'!$D$14),COLUMN('Loan 1'!$D$14),4)</f>
        <v>D14</v>
      </c>
      <c r="D5039" t="b" cm="1">
        <f t="array" aca="1" ref="D5039" ca="1">IF(AND(INDIRECT("'"&amp;A5039&amp;"'!B$12")&lt;&gt;"",INDIRECT("'"&amp;A5039&amp;"'!B$13")&lt;&gt;"",INDIRECT("'"&amp;A5039&amp;"'!"&amp;B5039)=Lists!$AM$1),TRUE,FALSE)</f>
        <v>0</v>
      </c>
      <c r="E5039" t="s">
        <v>64</v>
      </c>
      <c r="F5039" t="str">
        <f>INDEX(Lists!I:I,MATCH(Validation!E5039,Lists!G:G,0))</f>
        <v>Error</v>
      </c>
      <c r="G5039" t="str">
        <f>INDEX(Lists!H:H,MATCH(Validation!E5039,Lists!G:G,0))</f>
        <v>You must make a selection from the dropdown list.</v>
      </c>
      <c r="H5039" s="16" t="str">
        <f t="shared" ca="1" si="531"/>
        <v/>
      </c>
      <c r="I5039" s="16" t="str">
        <f t="shared" ca="1" si="532"/>
        <v/>
      </c>
      <c r="J5039" s="17" t="str">
        <f t="shared" ca="1" si="533"/>
        <v/>
      </c>
    </row>
    <row r="5040" spans="1:10" x14ac:dyDescent="0.25">
      <c r="A5040" t="s">
        <v>943</v>
      </c>
      <c r="B5040" t="str">
        <f>ADDRESS(ROW('Loan 1'!$B$14),COLUMN('Loan 1'!$B$14),4)</f>
        <v>B14</v>
      </c>
      <c r="C5040" t="str">
        <f>ADDRESS(ROW('Loan 1'!$D$14),COLUMN('Loan 1'!$D$14),4)</f>
        <v>D14</v>
      </c>
      <c r="D5040" t="b" cm="1">
        <f t="array" aca="1" ref="D5040" ca="1">IF(AND(INDIRECT("'"&amp;A5040&amp;"'!B$12")&lt;&gt;"",INDIRECT("'"&amp;A5040&amp;"'!B$13")&lt;&gt;"",INDIRECT("'"&amp;A5040&amp;"'!"&amp;B5040)=Lists!$AM$1),TRUE,FALSE)</f>
        <v>0</v>
      </c>
      <c r="E5040" t="s">
        <v>64</v>
      </c>
      <c r="F5040" t="str">
        <f>INDEX(Lists!I:I,MATCH(Validation!E5040,Lists!G:G,0))</f>
        <v>Error</v>
      </c>
      <c r="G5040" t="str">
        <f>INDEX(Lists!H:H,MATCH(Validation!E5040,Lists!G:G,0))</f>
        <v>You must make a selection from the dropdown list.</v>
      </c>
      <c r="H5040" s="16" t="str">
        <f t="shared" ca="1" si="531"/>
        <v/>
      </c>
      <c r="I5040" s="16" t="str">
        <f t="shared" ca="1" si="532"/>
        <v/>
      </c>
      <c r="J5040" s="17" t="str">
        <f t="shared" ca="1" si="533"/>
        <v/>
      </c>
    </row>
    <row r="5041" spans="1:10" x14ac:dyDescent="0.25">
      <c r="A5041" t="s">
        <v>944</v>
      </c>
      <c r="B5041" t="str">
        <f>ADDRESS(ROW('Loan 1'!$B$14),COLUMN('Loan 1'!$B$14),4)</f>
        <v>B14</v>
      </c>
      <c r="C5041" t="str">
        <f>ADDRESS(ROW('Loan 1'!$D$14),COLUMN('Loan 1'!$D$14),4)</f>
        <v>D14</v>
      </c>
      <c r="D5041" t="b" cm="1">
        <f t="array" aca="1" ref="D5041" ca="1">IF(AND(INDIRECT("'"&amp;A5041&amp;"'!B$12")&lt;&gt;"",INDIRECT("'"&amp;A5041&amp;"'!B$13")&lt;&gt;"",INDIRECT("'"&amp;A5041&amp;"'!"&amp;B5041)=Lists!$AM$1),TRUE,FALSE)</f>
        <v>0</v>
      </c>
      <c r="E5041" t="s">
        <v>64</v>
      </c>
      <c r="F5041" t="str">
        <f>INDEX(Lists!I:I,MATCH(Validation!E5041,Lists!G:G,0))</f>
        <v>Error</v>
      </c>
      <c r="G5041" t="str">
        <f>INDEX(Lists!H:H,MATCH(Validation!E5041,Lists!G:G,0))</f>
        <v>You must make a selection from the dropdown list.</v>
      </c>
      <c r="H5041" s="16" t="str">
        <f t="shared" ca="1" si="531"/>
        <v/>
      </c>
      <c r="I5041" s="16" t="str">
        <f t="shared" ca="1" si="532"/>
        <v/>
      </c>
      <c r="J5041" s="17" t="str">
        <f t="shared" ca="1" si="533"/>
        <v/>
      </c>
    </row>
    <row r="5042" spans="1:10" x14ac:dyDescent="0.25">
      <c r="A5042" t="s">
        <v>945</v>
      </c>
      <c r="B5042" t="str">
        <f>ADDRESS(ROW('Loan 1'!$B$14),COLUMN('Loan 1'!$B$14),4)</f>
        <v>B14</v>
      </c>
      <c r="C5042" t="str">
        <f>ADDRESS(ROW('Loan 1'!$D$14),COLUMN('Loan 1'!$D$14),4)</f>
        <v>D14</v>
      </c>
      <c r="D5042" t="b" cm="1">
        <f t="array" aca="1" ref="D5042" ca="1">IF(AND(INDIRECT("'"&amp;A5042&amp;"'!B$12")&lt;&gt;"",INDIRECT("'"&amp;A5042&amp;"'!B$13")&lt;&gt;"",INDIRECT("'"&amp;A5042&amp;"'!"&amp;B5042)=Lists!$AM$1),TRUE,FALSE)</f>
        <v>0</v>
      </c>
      <c r="E5042" t="s">
        <v>64</v>
      </c>
      <c r="F5042" t="str">
        <f>INDEX(Lists!I:I,MATCH(Validation!E5042,Lists!G:G,0))</f>
        <v>Error</v>
      </c>
      <c r="G5042" t="str">
        <f>INDEX(Lists!H:H,MATCH(Validation!E5042,Lists!G:G,0))</f>
        <v>You must make a selection from the dropdown list.</v>
      </c>
      <c r="H5042" s="16" t="str">
        <f t="shared" ca="1" si="531"/>
        <v/>
      </c>
      <c r="I5042" s="16" t="str">
        <f t="shared" ca="1" si="532"/>
        <v/>
      </c>
      <c r="J5042" s="17" t="str">
        <f t="shared" ca="1" si="533"/>
        <v/>
      </c>
    </row>
    <row r="5043" spans="1:10" x14ac:dyDescent="0.25">
      <c r="A5043" t="s">
        <v>205</v>
      </c>
      <c r="B5043" t="str">
        <f>ADDRESS(ROW('Loan 1'!$B$15),COLUMN('Loan 1'!$B$15),4)</f>
        <v>B15</v>
      </c>
      <c r="C5043" t="str">
        <f>ADDRESS(ROW('Loan 1'!$D$15),COLUMN('Loan 1'!$D$15),4)</f>
        <v>D15</v>
      </c>
      <c r="D5043" t="b" cm="1">
        <f t="array" aca="1" ref="D5043" ca="1">IF(INDIRECT("'"&amp;A5043&amp;"'!"&amp;B5043)="",FALSE,IF(NOT(ISNUMBER(INDIRECT("'"&amp;A5043&amp;"'!"&amp;B5043))),TRUE,FALSE))</f>
        <v>0</v>
      </c>
      <c r="E5043" t="s">
        <v>435</v>
      </c>
      <c r="F5043" t="str">
        <f>INDEX(Lists!I:I,MATCH(Validation!E5043,Lists!G:G,0))</f>
        <v>Error</v>
      </c>
      <c r="G5043" t="str">
        <f>INDEX(Lists!H:H,MATCH(Validation!E5043,Lists!G:G,0))</f>
        <v>Enter an amount only. Do not enter text or spaces.</v>
      </c>
      <c r="H5043" s="16" t="str">
        <f t="shared" ca="1" si="522"/>
        <v/>
      </c>
      <c r="I5043" s="16" t="str">
        <f t="shared" ca="1" si="523"/>
        <v/>
      </c>
      <c r="J5043" s="17" t="str">
        <f t="shared" ca="1" si="524"/>
        <v/>
      </c>
    </row>
    <row r="5044" spans="1:10" x14ac:dyDescent="0.25">
      <c r="A5044" t="s">
        <v>932</v>
      </c>
      <c r="B5044" t="str">
        <f>ADDRESS(ROW('Loan 1'!$B$15),COLUMN('Loan 1'!$B$15),4)</f>
        <v>B15</v>
      </c>
      <c r="C5044" t="str">
        <f>ADDRESS(ROW('Loan 1'!$D$15),COLUMN('Loan 1'!$D$15),4)</f>
        <v>D15</v>
      </c>
      <c r="D5044" t="b" cm="1">
        <f t="array" aca="1" ref="D5044" ca="1">IF(INDIRECT("'"&amp;A5044&amp;"'!"&amp;B5044)="",FALSE,IF(NOT(ISNUMBER(INDIRECT("'"&amp;A5044&amp;"'!"&amp;B5044))),TRUE,FALSE))</f>
        <v>0</v>
      </c>
      <c r="E5044" t="s">
        <v>435</v>
      </c>
      <c r="F5044" t="str">
        <f>INDEX(Lists!I:I,MATCH(Validation!E5044,Lists!G:G,0))</f>
        <v>Error</v>
      </c>
      <c r="G5044" t="str">
        <f>INDEX(Lists!H:H,MATCH(Validation!E5044,Lists!G:G,0))</f>
        <v>Enter an amount only. Do not enter text or spaces.</v>
      </c>
      <c r="H5044" s="16" t="str">
        <f t="shared" ca="1" si="522"/>
        <v/>
      </c>
      <c r="I5044" s="16" t="str">
        <f t="shared" ca="1" si="523"/>
        <v/>
      </c>
      <c r="J5044" s="17" t="str">
        <f t="shared" ca="1" si="524"/>
        <v/>
      </c>
    </row>
    <row r="5045" spans="1:10" x14ac:dyDescent="0.25">
      <c r="A5045" t="s">
        <v>933</v>
      </c>
      <c r="B5045" t="str">
        <f>ADDRESS(ROW('Loan 1'!$B$15),COLUMN('Loan 1'!$B$15),4)</f>
        <v>B15</v>
      </c>
      <c r="C5045" t="str">
        <f>ADDRESS(ROW('Loan 1'!$D$15),COLUMN('Loan 1'!$D$15),4)</f>
        <v>D15</v>
      </c>
      <c r="D5045" t="b" cm="1">
        <f t="array" aca="1" ref="D5045" ca="1">IF(INDIRECT("'"&amp;A5045&amp;"'!"&amp;B5045)="",FALSE,IF(NOT(ISNUMBER(INDIRECT("'"&amp;A5045&amp;"'!"&amp;B5045))),TRUE,FALSE))</f>
        <v>0</v>
      </c>
      <c r="E5045" t="s">
        <v>435</v>
      </c>
      <c r="F5045" t="str">
        <f>INDEX(Lists!I:I,MATCH(Validation!E5045,Lists!G:G,0))</f>
        <v>Error</v>
      </c>
      <c r="G5045" t="str">
        <f>INDEX(Lists!H:H,MATCH(Validation!E5045,Lists!G:G,0))</f>
        <v>Enter an amount only. Do not enter text or spaces.</v>
      </c>
      <c r="H5045" s="16" t="str">
        <f t="shared" ca="1" si="522"/>
        <v/>
      </c>
      <c r="I5045" s="16" t="str">
        <f t="shared" ca="1" si="523"/>
        <v/>
      </c>
      <c r="J5045" s="17" t="str">
        <f t="shared" ca="1" si="524"/>
        <v/>
      </c>
    </row>
    <row r="5046" spans="1:10" x14ac:dyDescent="0.25">
      <c r="A5046" t="s">
        <v>934</v>
      </c>
      <c r="B5046" t="str">
        <f>ADDRESS(ROW('Loan 1'!$B$15),COLUMN('Loan 1'!$B$15),4)</f>
        <v>B15</v>
      </c>
      <c r="C5046" t="str">
        <f>ADDRESS(ROW('Loan 1'!$D$15),COLUMN('Loan 1'!$D$15),4)</f>
        <v>D15</v>
      </c>
      <c r="D5046" t="b" cm="1">
        <f t="array" aca="1" ref="D5046" ca="1">IF(INDIRECT("'"&amp;A5046&amp;"'!"&amp;B5046)="",FALSE,IF(NOT(ISNUMBER(INDIRECT("'"&amp;A5046&amp;"'!"&amp;B5046))),TRUE,FALSE))</f>
        <v>0</v>
      </c>
      <c r="E5046" t="s">
        <v>435</v>
      </c>
      <c r="F5046" t="str">
        <f>INDEX(Lists!I:I,MATCH(Validation!E5046,Lists!G:G,0))</f>
        <v>Error</v>
      </c>
      <c r="G5046" t="str">
        <f>INDEX(Lists!H:H,MATCH(Validation!E5046,Lists!G:G,0))</f>
        <v>Enter an amount only. Do not enter text or spaces.</v>
      </c>
      <c r="H5046" s="16" t="str">
        <f t="shared" ca="1" si="522"/>
        <v/>
      </c>
      <c r="I5046" s="16" t="str">
        <f t="shared" ca="1" si="523"/>
        <v/>
      </c>
      <c r="J5046" s="17" t="str">
        <f t="shared" ca="1" si="524"/>
        <v/>
      </c>
    </row>
    <row r="5047" spans="1:10" x14ac:dyDescent="0.25">
      <c r="A5047" t="s">
        <v>935</v>
      </c>
      <c r="B5047" t="str">
        <f>ADDRESS(ROW('Loan 1'!$B$15),COLUMN('Loan 1'!$B$15),4)</f>
        <v>B15</v>
      </c>
      <c r="C5047" t="str">
        <f>ADDRESS(ROW('Loan 1'!$D$15),COLUMN('Loan 1'!$D$15),4)</f>
        <v>D15</v>
      </c>
      <c r="D5047" t="b" cm="1">
        <f t="array" aca="1" ref="D5047" ca="1">IF(INDIRECT("'"&amp;A5047&amp;"'!"&amp;B5047)="",FALSE,IF(NOT(ISNUMBER(INDIRECT("'"&amp;A5047&amp;"'!"&amp;B5047))),TRUE,FALSE))</f>
        <v>0</v>
      </c>
      <c r="E5047" t="s">
        <v>435</v>
      </c>
      <c r="F5047" t="str">
        <f>INDEX(Lists!I:I,MATCH(Validation!E5047,Lists!G:G,0))</f>
        <v>Error</v>
      </c>
      <c r="G5047" t="str">
        <f>INDEX(Lists!H:H,MATCH(Validation!E5047,Lists!G:G,0))</f>
        <v>Enter an amount only. Do not enter text or spaces.</v>
      </c>
      <c r="H5047" s="16" t="str">
        <f t="shared" ca="1" si="522"/>
        <v/>
      </c>
      <c r="I5047" s="16" t="str">
        <f t="shared" ca="1" si="523"/>
        <v/>
      </c>
      <c r="J5047" s="17" t="str">
        <f t="shared" ca="1" si="524"/>
        <v/>
      </c>
    </row>
    <row r="5048" spans="1:10" x14ac:dyDescent="0.25">
      <c r="A5048" t="s">
        <v>936</v>
      </c>
      <c r="B5048" t="str">
        <f>ADDRESS(ROW('Loan 1'!$B$15),COLUMN('Loan 1'!$B$15),4)</f>
        <v>B15</v>
      </c>
      <c r="C5048" t="str">
        <f>ADDRESS(ROW('Loan 1'!$D$15),COLUMN('Loan 1'!$D$15),4)</f>
        <v>D15</v>
      </c>
      <c r="D5048" t="b" cm="1">
        <f t="array" aca="1" ref="D5048" ca="1">IF(INDIRECT("'"&amp;A5048&amp;"'!"&amp;B5048)="",FALSE,IF(NOT(ISNUMBER(INDIRECT("'"&amp;A5048&amp;"'!"&amp;B5048))),TRUE,FALSE))</f>
        <v>0</v>
      </c>
      <c r="E5048" t="s">
        <v>435</v>
      </c>
      <c r="F5048" t="str">
        <f>INDEX(Lists!I:I,MATCH(Validation!E5048,Lists!G:G,0))</f>
        <v>Error</v>
      </c>
      <c r="G5048" t="str">
        <f>INDEX(Lists!H:H,MATCH(Validation!E5048,Lists!G:G,0))</f>
        <v>Enter an amount only. Do not enter text or spaces.</v>
      </c>
      <c r="H5048" s="16" t="str">
        <f t="shared" ca="1" si="522"/>
        <v/>
      </c>
      <c r="I5048" s="16" t="str">
        <f t="shared" ca="1" si="523"/>
        <v/>
      </c>
      <c r="J5048" s="17" t="str">
        <f t="shared" ca="1" si="524"/>
        <v/>
      </c>
    </row>
    <row r="5049" spans="1:10" x14ac:dyDescent="0.25">
      <c r="A5049" t="s">
        <v>937</v>
      </c>
      <c r="B5049" t="str">
        <f>ADDRESS(ROW('Loan 1'!$B$15),COLUMN('Loan 1'!$B$15),4)</f>
        <v>B15</v>
      </c>
      <c r="C5049" t="str">
        <f>ADDRESS(ROW('Loan 1'!$D$15),COLUMN('Loan 1'!$D$15),4)</f>
        <v>D15</v>
      </c>
      <c r="D5049" t="b" cm="1">
        <f t="array" aca="1" ref="D5049" ca="1">IF(INDIRECT("'"&amp;A5049&amp;"'!"&amp;B5049)="",FALSE,IF(NOT(ISNUMBER(INDIRECT("'"&amp;A5049&amp;"'!"&amp;B5049))),TRUE,FALSE))</f>
        <v>0</v>
      </c>
      <c r="E5049" t="s">
        <v>435</v>
      </c>
      <c r="F5049" t="str">
        <f>INDEX(Lists!I:I,MATCH(Validation!E5049,Lists!G:G,0))</f>
        <v>Error</v>
      </c>
      <c r="G5049" t="str">
        <f>INDEX(Lists!H:H,MATCH(Validation!E5049,Lists!G:G,0))</f>
        <v>Enter an amount only. Do not enter text or spaces.</v>
      </c>
      <c r="H5049" s="16" t="str">
        <f t="shared" ca="1" si="522"/>
        <v/>
      </c>
      <c r="I5049" s="16" t="str">
        <f t="shared" ca="1" si="523"/>
        <v/>
      </c>
      <c r="J5049" s="17" t="str">
        <f t="shared" ca="1" si="524"/>
        <v/>
      </c>
    </row>
    <row r="5050" spans="1:10" x14ac:dyDescent="0.25">
      <c r="A5050" t="s">
        <v>938</v>
      </c>
      <c r="B5050" t="str">
        <f>ADDRESS(ROW('Loan 1'!$B$15),COLUMN('Loan 1'!$B$15),4)</f>
        <v>B15</v>
      </c>
      <c r="C5050" t="str">
        <f>ADDRESS(ROW('Loan 1'!$D$15),COLUMN('Loan 1'!$D$15),4)</f>
        <v>D15</v>
      </c>
      <c r="D5050" t="b" cm="1">
        <f t="array" aca="1" ref="D5050" ca="1">IF(INDIRECT("'"&amp;A5050&amp;"'!"&amp;B5050)="",FALSE,IF(NOT(ISNUMBER(INDIRECT("'"&amp;A5050&amp;"'!"&amp;B5050))),TRUE,FALSE))</f>
        <v>0</v>
      </c>
      <c r="E5050" t="s">
        <v>435</v>
      </c>
      <c r="F5050" t="str">
        <f>INDEX(Lists!I:I,MATCH(Validation!E5050,Lists!G:G,0))</f>
        <v>Error</v>
      </c>
      <c r="G5050" t="str">
        <f>INDEX(Lists!H:H,MATCH(Validation!E5050,Lists!G:G,0))</f>
        <v>Enter an amount only. Do not enter text or spaces.</v>
      </c>
      <c r="H5050" s="16" t="str">
        <f t="shared" ca="1" si="522"/>
        <v/>
      </c>
      <c r="I5050" s="16" t="str">
        <f t="shared" ca="1" si="523"/>
        <v/>
      </c>
      <c r="J5050" s="17" t="str">
        <f t="shared" ca="1" si="524"/>
        <v/>
      </c>
    </row>
    <row r="5051" spans="1:10" x14ac:dyDescent="0.25">
      <c r="A5051" t="s">
        <v>939</v>
      </c>
      <c r="B5051" t="str">
        <f>ADDRESS(ROW('Loan 1'!$B$15),COLUMN('Loan 1'!$B$15),4)</f>
        <v>B15</v>
      </c>
      <c r="C5051" t="str">
        <f>ADDRESS(ROW('Loan 1'!$D$15),COLUMN('Loan 1'!$D$15),4)</f>
        <v>D15</v>
      </c>
      <c r="D5051" t="b" cm="1">
        <f t="array" aca="1" ref="D5051" ca="1">IF(INDIRECT("'"&amp;A5051&amp;"'!"&amp;B5051)="",FALSE,IF(NOT(ISNUMBER(INDIRECT("'"&amp;A5051&amp;"'!"&amp;B5051))),TRUE,FALSE))</f>
        <v>0</v>
      </c>
      <c r="E5051" t="s">
        <v>435</v>
      </c>
      <c r="F5051" t="str">
        <f>INDEX(Lists!I:I,MATCH(Validation!E5051,Lists!G:G,0))</f>
        <v>Error</v>
      </c>
      <c r="G5051" t="str">
        <f>INDEX(Lists!H:H,MATCH(Validation!E5051,Lists!G:G,0))</f>
        <v>Enter an amount only. Do not enter text or spaces.</v>
      </c>
      <c r="H5051" s="16" t="str">
        <f t="shared" ca="1" si="522"/>
        <v/>
      </c>
      <c r="I5051" s="16" t="str">
        <f t="shared" ca="1" si="523"/>
        <v/>
      </c>
      <c r="J5051" s="17" t="str">
        <f t="shared" ca="1" si="524"/>
        <v/>
      </c>
    </row>
    <row r="5052" spans="1:10" x14ac:dyDescent="0.25">
      <c r="A5052" t="s">
        <v>940</v>
      </c>
      <c r="B5052" t="str">
        <f>ADDRESS(ROW('Loan 1'!$B$15),COLUMN('Loan 1'!$B$15),4)</f>
        <v>B15</v>
      </c>
      <c r="C5052" t="str">
        <f>ADDRESS(ROW('Loan 1'!$D$15),COLUMN('Loan 1'!$D$15),4)</f>
        <v>D15</v>
      </c>
      <c r="D5052" t="b" cm="1">
        <f t="array" aca="1" ref="D5052" ca="1">IF(INDIRECT("'"&amp;A5052&amp;"'!"&amp;B5052)="",FALSE,IF(NOT(ISNUMBER(INDIRECT("'"&amp;A5052&amp;"'!"&amp;B5052))),TRUE,FALSE))</f>
        <v>0</v>
      </c>
      <c r="E5052" t="s">
        <v>435</v>
      </c>
      <c r="F5052" t="str">
        <f>INDEX(Lists!I:I,MATCH(Validation!E5052,Lists!G:G,0))</f>
        <v>Error</v>
      </c>
      <c r="G5052" t="str">
        <f>INDEX(Lists!H:H,MATCH(Validation!E5052,Lists!G:G,0))</f>
        <v>Enter an amount only. Do not enter text or spaces.</v>
      </c>
      <c r="H5052" s="16" t="str">
        <f t="shared" ca="1" si="522"/>
        <v/>
      </c>
      <c r="I5052" s="16" t="str">
        <f t="shared" ca="1" si="523"/>
        <v/>
      </c>
      <c r="J5052" s="17" t="str">
        <f t="shared" ca="1" si="524"/>
        <v/>
      </c>
    </row>
    <row r="5053" spans="1:10" x14ac:dyDescent="0.25">
      <c r="A5053" t="s">
        <v>941</v>
      </c>
      <c r="B5053" t="str">
        <f>ADDRESS(ROW('Loan 1'!$B$15),COLUMN('Loan 1'!$B$15),4)</f>
        <v>B15</v>
      </c>
      <c r="C5053" t="str">
        <f>ADDRESS(ROW('Loan 1'!$D$15),COLUMN('Loan 1'!$D$15),4)</f>
        <v>D15</v>
      </c>
      <c r="D5053" t="b" cm="1">
        <f t="array" aca="1" ref="D5053" ca="1">IF(INDIRECT("'"&amp;A5053&amp;"'!"&amp;B5053)="",FALSE,IF(NOT(ISNUMBER(INDIRECT("'"&amp;A5053&amp;"'!"&amp;B5053))),TRUE,FALSE))</f>
        <v>0</v>
      </c>
      <c r="E5053" t="s">
        <v>435</v>
      </c>
      <c r="F5053" t="str">
        <f>INDEX(Lists!I:I,MATCH(Validation!E5053,Lists!G:G,0))</f>
        <v>Error</v>
      </c>
      <c r="G5053" t="str">
        <f>INDEX(Lists!H:H,MATCH(Validation!E5053,Lists!G:G,0))</f>
        <v>Enter an amount only. Do not enter text or spaces.</v>
      </c>
      <c r="H5053" s="16" t="str">
        <f t="shared" ca="1" si="522"/>
        <v/>
      </c>
      <c r="I5053" s="16" t="str">
        <f t="shared" ca="1" si="523"/>
        <v/>
      </c>
      <c r="J5053" s="17" t="str">
        <f t="shared" ca="1" si="524"/>
        <v/>
      </c>
    </row>
    <row r="5054" spans="1:10" x14ac:dyDescent="0.25">
      <c r="A5054" t="s">
        <v>942</v>
      </c>
      <c r="B5054" t="str">
        <f>ADDRESS(ROW('Loan 1'!$B$15),COLUMN('Loan 1'!$B$15),4)</f>
        <v>B15</v>
      </c>
      <c r="C5054" t="str">
        <f>ADDRESS(ROW('Loan 1'!$D$15),COLUMN('Loan 1'!$D$15),4)</f>
        <v>D15</v>
      </c>
      <c r="D5054" t="b" cm="1">
        <f t="array" aca="1" ref="D5054" ca="1">IF(INDIRECT("'"&amp;A5054&amp;"'!"&amp;B5054)="",FALSE,IF(NOT(ISNUMBER(INDIRECT("'"&amp;A5054&amp;"'!"&amp;B5054))),TRUE,FALSE))</f>
        <v>0</v>
      </c>
      <c r="E5054" t="s">
        <v>435</v>
      </c>
      <c r="F5054" t="str">
        <f>INDEX(Lists!I:I,MATCH(Validation!E5054,Lists!G:G,0))</f>
        <v>Error</v>
      </c>
      <c r="G5054" t="str">
        <f>INDEX(Lists!H:H,MATCH(Validation!E5054,Lists!G:G,0))</f>
        <v>Enter an amount only. Do not enter text or spaces.</v>
      </c>
      <c r="H5054" s="16" t="str">
        <f t="shared" ca="1" si="522"/>
        <v/>
      </c>
      <c r="I5054" s="16" t="str">
        <f t="shared" ca="1" si="523"/>
        <v/>
      </c>
      <c r="J5054" s="17" t="str">
        <f t="shared" ca="1" si="524"/>
        <v/>
      </c>
    </row>
    <row r="5055" spans="1:10" x14ac:dyDescent="0.25">
      <c r="A5055" t="s">
        <v>943</v>
      </c>
      <c r="B5055" t="str">
        <f>ADDRESS(ROW('Loan 1'!$B$15),COLUMN('Loan 1'!$B$15),4)</f>
        <v>B15</v>
      </c>
      <c r="C5055" t="str">
        <f>ADDRESS(ROW('Loan 1'!$D$15),COLUMN('Loan 1'!$D$15),4)</f>
        <v>D15</v>
      </c>
      <c r="D5055" t="b" cm="1">
        <f t="array" aca="1" ref="D5055" ca="1">IF(INDIRECT("'"&amp;A5055&amp;"'!"&amp;B5055)="",FALSE,IF(NOT(ISNUMBER(INDIRECT("'"&amp;A5055&amp;"'!"&amp;B5055))),TRUE,FALSE))</f>
        <v>0</v>
      </c>
      <c r="E5055" t="s">
        <v>435</v>
      </c>
      <c r="F5055" t="str">
        <f>INDEX(Lists!I:I,MATCH(Validation!E5055,Lists!G:G,0))</f>
        <v>Error</v>
      </c>
      <c r="G5055" t="str">
        <f>INDEX(Lists!H:H,MATCH(Validation!E5055,Lists!G:G,0))</f>
        <v>Enter an amount only. Do not enter text or spaces.</v>
      </c>
      <c r="H5055" s="16" t="str">
        <f t="shared" ca="1" si="522"/>
        <v/>
      </c>
      <c r="I5055" s="16" t="str">
        <f t="shared" ca="1" si="523"/>
        <v/>
      </c>
      <c r="J5055" s="17" t="str">
        <f t="shared" ca="1" si="524"/>
        <v/>
      </c>
    </row>
    <row r="5056" spans="1:10" x14ac:dyDescent="0.25">
      <c r="A5056" t="s">
        <v>944</v>
      </c>
      <c r="B5056" t="str">
        <f>ADDRESS(ROW('Loan 1'!$B$15),COLUMN('Loan 1'!$B$15),4)</f>
        <v>B15</v>
      </c>
      <c r="C5056" t="str">
        <f>ADDRESS(ROW('Loan 1'!$D$15),COLUMN('Loan 1'!$D$15),4)</f>
        <v>D15</v>
      </c>
      <c r="D5056" t="b" cm="1">
        <f t="array" aca="1" ref="D5056" ca="1">IF(INDIRECT("'"&amp;A5056&amp;"'!"&amp;B5056)="",FALSE,IF(NOT(ISNUMBER(INDIRECT("'"&amp;A5056&amp;"'!"&amp;B5056))),TRUE,FALSE))</f>
        <v>0</v>
      </c>
      <c r="E5056" t="s">
        <v>435</v>
      </c>
      <c r="F5056" t="str">
        <f>INDEX(Lists!I:I,MATCH(Validation!E5056,Lists!G:G,0))</f>
        <v>Error</v>
      </c>
      <c r="G5056" t="str">
        <f>INDEX(Lists!H:H,MATCH(Validation!E5056,Lists!G:G,0))</f>
        <v>Enter an amount only. Do not enter text or spaces.</v>
      </c>
      <c r="H5056" s="16" t="str">
        <f t="shared" ca="1" si="522"/>
        <v/>
      </c>
      <c r="I5056" s="16" t="str">
        <f t="shared" ca="1" si="523"/>
        <v/>
      </c>
      <c r="J5056" s="17" t="str">
        <f t="shared" ca="1" si="524"/>
        <v/>
      </c>
    </row>
    <row r="5057" spans="1:10" x14ac:dyDescent="0.25">
      <c r="A5057" t="s">
        <v>945</v>
      </c>
      <c r="B5057" t="str">
        <f>ADDRESS(ROW('Loan 1'!$B$15),COLUMN('Loan 1'!$B$15),4)</f>
        <v>B15</v>
      </c>
      <c r="C5057" t="str">
        <f>ADDRESS(ROW('Loan 1'!$D$15),COLUMN('Loan 1'!$D$15),4)</f>
        <v>D15</v>
      </c>
      <c r="D5057" t="b" cm="1">
        <f t="array" aca="1" ref="D5057" ca="1">IF(INDIRECT("'"&amp;A5057&amp;"'!"&amp;B5057)="",FALSE,IF(NOT(ISNUMBER(INDIRECT("'"&amp;A5057&amp;"'!"&amp;B5057))),TRUE,FALSE))</f>
        <v>0</v>
      </c>
      <c r="E5057" t="s">
        <v>435</v>
      </c>
      <c r="F5057" t="str">
        <f>INDEX(Lists!I:I,MATCH(Validation!E5057,Lists!G:G,0))</f>
        <v>Error</v>
      </c>
      <c r="G5057" t="str">
        <f>INDEX(Lists!H:H,MATCH(Validation!E5057,Lists!G:G,0))</f>
        <v>Enter an amount only. Do not enter text or spaces.</v>
      </c>
      <c r="H5057" s="16" t="str">
        <f t="shared" ca="1" si="522"/>
        <v/>
      </c>
      <c r="I5057" s="16" t="str">
        <f t="shared" ca="1" si="523"/>
        <v/>
      </c>
      <c r="J5057" s="17" t="str">
        <f t="shared" ca="1" si="524"/>
        <v/>
      </c>
    </row>
    <row r="5058" spans="1:10" x14ac:dyDescent="0.25">
      <c r="A5058" t="s">
        <v>205</v>
      </c>
      <c r="B5058" t="str">
        <f>ADDRESS(ROW('Loan 1'!$B$15),COLUMN('Loan 1'!$B$15),4)</f>
        <v>B15</v>
      </c>
      <c r="C5058" t="str">
        <f>ADDRESS(ROW('Loan 1'!$D$15),COLUMN('Loan 1'!$D$15),4)</f>
        <v>D15</v>
      </c>
      <c r="D5058" t="b" cm="1">
        <f t="array" aca="1" ref="D5058" ca="1">IF(INDIRECT("'"&amp;A5058&amp;"'!"&amp;B5058)="",FALSE,IF(INDIRECT("'"&amp;A5058&amp;"'!"&amp;B5058)&lt;=0,TRUE,FALSE))</f>
        <v>0</v>
      </c>
      <c r="E5058" t="s">
        <v>711</v>
      </c>
      <c r="F5058" t="str">
        <f>INDEX(Lists!I:I,MATCH(Validation!E5058,Lists!G:G,0))</f>
        <v>Error</v>
      </c>
      <c r="G5058" t="str">
        <f>INDEX(Lists!H:H,MATCH(Validation!E5058,Lists!G:G,0))</f>
        <v>Amount must be greater than zero.</v>
      </c>
      <c r="H5058" s="16" t="str">
        <f t="shared" ca="1" si="522"/>
        <v/>
      </c>
      <c r="I5058" s="16" t="str">
        <f t="shared" ca="1" si="523"/>
        <v/>
      </c>
      <c r="J5058" s="17" t="str">
        <f t="shared" ca="1" si="524"/>
        <v/>
      </c>
    </row>
    <row r="5059" spans="1:10" x14ac:dyDescent="0.25">
      <c r="A5059" t="s">
        <v>932</v>
      </c>
      <c r="B5059" t="str">
        <f>ADDRESS(ROW('Loan 1'!$B$15),COLUMN('Loan 1'!$B$15),4)</f>
        <v>B15</v>
      </c>
      <c r="C5059" t="str">
        <f>ADDRESS(ROW('Loan 1'!$D$15),COLUMN('Loan 1'!$D$15),4)</f>
        <v>D15</v>
      </c>
      <c r="D5059" t="b" cm="1">
        <f t="array" aca="1" ref="D5059" ca="1">IF(INDIRECT("'"&amp;A5059&amp;"'!"&amp;B5059)="",FALSE,IF(INDIRECT("'"&amp;A5059&amp;"'!"&amp;B5059)&lt;=0,TRUE,FALSE))</f>
        <v>0</v>
      </c>
      <c r="E5059" t="s">
        <v>711</v>
      </c>
      <c r="F5059" t="str">
        <f>INDEX(Lists!I:I,MATCH(Validation!E5059,Lists!G:G,0))</f>
        <v>Error</v>
      </c>
      <c r="G5059" t="str">
        <f>INDEX(Lists!H:H,MATCH(Validation!E5059,Lists!G:G,0))</f>
        <v>Amount must be greater than zero.</v>
      </c>
      <c r="H5059" s="16" t="str">
        <f t="shared" ref="H5059:H5072" ca="1" si="534">IFERROR(IF(OR(NOT(D5059),F5059&lt;&gt;"Error"),"",A5059&amp;CELL("address",INDIRECT(B5059))),"")</f>
        <v/>
      </c>
      <c r="I5059" s="16" t="str">
        <f t="shared" ref="I5059:I5072" ca="1" si="535">IFERROR(IF(NOT(D5059),"",A5059&amp;CELL("address",INDIRECT(C5059))),"")</f>
        <v/>
      </c>
      <c r="J5059" s="17" t="str">
        <f t="shared" ref="J5059:J5072" ca="1" si="536">IFERROR(IF(NOT(D5059),"",A5059),"")</f>
        <v/>
      </c>
    </row>
    <row r="5060" spans="1:10" x14ac:dyDescent="0.25">
      <c r="A5060" t="s">
        <v>933</v>
      </c>
      <c r="B5060" t="str">
        <f>ADDRESS(ROW('Loan 1'!$B$15),COLUMN('Loan 1'!$B$15),4)</f>
        <v>B15</v>
      </c>
      <c r="C5060" t="str">
        <f>ADDRESS(ROW('Loan 1'!$D$15),COLUMN('Loan 1'!$D$15),4)</f>
        <v>D15</v>
      </c>
      <c r="D5060" t="b" cm="1">
        <f t="array" aca="1" ref="D5060" ca="1">IF(INDIRECT("'"&amp;A5060&amp;"'!"&amp;B5060)="",FALSE,IF(INDIRECT("'"&amp;A5060&amp;"'!"&amp;B5060)&lt;=0,TRUE,FALSE))</f>
        <v>0</v>
      </c>
      <c r="E5060" t="s">
        <v>711</v>
      </c>
      <c r="F5060" t="str">
        <f>INDEX(Lists!I:I,MATCH(Validation!E5060,Lists!G:G,0))</f>
        <v>Error</v>
      </c>
      <c r="G5060" t="str">
        <f>INDEX(Lists!H:H,MATCH(Validation!E5060,Lists!G:G,0))</f>
        <v>Amount must be greater than zero.</v>
      </c>
      <c r="H5060" s="16" t="str">
        <f t="shared" ca="1" si="534"/>
        <v/>
      </c>
      <c r="I5060" s="16" t="str">
        <f t="shared" ca="1" si="535"/>
        <v/>
      </c>
      <c r="J5060" s="17" t="str">
        <f t="shared" ca="1" si="536"/>
        <v/>
      </c>
    </row>
    <row r="5061" spans="1:10" x14ac:dyDescent="0.25">
      <c r="A5061" t="s">
        <v>934</v>
      </c>
      <c r="B5061" t="str">
        <f>ADDRESS(ROW('Loan 1'!$B$15),COLUMN('Loan 1'!$B$15),4)</f>
        <v>B15</v>
      </c>
      <c r="C5061" t="str">
        <f>ADDRESS(ROW('Loan 1'!$D$15),COLUMN('Loan 1'!$D$15),4)</f>
        <v>D15</v>
      </c>
      <c r="D5061" t="b" cm="1">
        <f t="array" aca="1" ref="D5061" ca="1">IF(INDIRECT("'"&amp;A5061&amp;"'!"&amp;B5061)="",FALSE,IF(INDIRECT("'"&amp;A5061&amp;"'!"&amp;B5061)&lt;=0,TRUE,FALSE))</f>
        <v>0</v>
      </c>
      <c r="E5061" t="s">
        <v>711</v>
      </c>
      <c r="F5061" t="str">
        <f>INDEX(Lists!I:I,MATCH(Validation!E5061,Lists!G:G,0))</f>
        <v>Error</v>
      </c>
      <c r="G5061" t="str">
        <f>INDEX(Lists!H:H,MATCH(Validation!E5061,Lists!G:G,0))</f>
        <v>Amount must be greater than zero.</v>
      </c>
      <c r="H5061" s="16" t="str">
        <f t="shared" ca="1" si="534"/>
        <v/>
      </c>
      <c r="I5061" s="16" t="str">
        <f t="shared" ca="1" si="535"/>
        <v/>
      </c>
      <c r="J5061" s="17" t="str">
        <f t="shared" ca="1" si="536"/>
        <v/>
      </c>
    </row>
    <row r="5062" spans="1:10" x14ac:dyDescent="0.25">
      <c r="A5062" t="s">
        <v>935</v>
      </c>
      <c r="B5062" t="str">
        <f>ADDRESS(ROW('Loan 1'!$B$15),COLUMN('Loan 1'!$B$15),4)</f>
        <v>B15</v>
      </c>
      <c r="C5062" t="str">
        <f>ADDRESS(ROW('Loan 1'!$D$15),COLUMN('Loan 1'!$D$15),4)</f>
        <v>D15</v>
      </c>
      <c r="D5062" t="b" cm="1">
        <f t="array" aca="1" ref="D5062" ca="1">IF(INDIRECT("'"&amp;A5062&amp;"'!"&amp;B5062)="",FALSE,IF(INDIRECT("'"&amp;A5062&amp;"'!"&amp;B5062)&lt;=0,TRUE,FALSE))</f>
        <v>0</v>
      </c>
      <c r="E5062" t="s">
        <v>711</v>
      </c>
      <c r="F5062" t="str">
        <f>INDEX(Lists!I:I,MATCH(Validation!E5062,Lists!G:G,0))</f>
        <v>Error</v>
      </c>
      <c r="G5062" t="str">
        <f>INDEX(Lists!H:H,MATCH(Validation!E5062,Lists!G:G,0))</f>
        <v>Amount must be greater than zero.</v>
      </c>
      <c r="H5062" s="16" t="str">
        <f t="shared" ca="1" si="534"/>
        <v/>
      </c>
      <c r="I5062" s="16" t="str">
        <f t="shared" ca="1" si="535"/>
        <v/>
      </c>
      <c r="J5062" s="17" t="str">
        <f t="shared" ca="1" si="536"/>
        <v/>
      </c>
    </row>
    <row r="5063" spans="1:10" x14ac:dyDescent="0.25">
      <c r="A5063" t="s">
        <v>936</v>
      </c>
      <c r="B5063" t="str">
        <f>ADDRESS(ROW('Loan 1'!$B$15),COLUMN('Loan 1'!$B$15),4)</f>
        <v>B15</v>
      </c>
      <c r="C5063" t="str">
        <f>ADDRESS(ROW('Loan 1'!$D$15),COLUMN('Loan 1'!$D$15),4)</f>
        <v>D15</v>
      </c>
      <c r="D5063" t="b" cm="1">
        <f t="array" aca="1" ref="D5063" ca="1">IF(INDIRECT("'"&amp;A5063&amp;"'!"&amp;B5063)="",FALSE,IF(INDIRECT("'"&amp;A5063&amp;"'!"&amp;B5063)&lt;=0,TRUE,FALSE))</f>
        <v>0</v>
      </c>
      <c r="E5063" t="s">
        <v>711</v>
      </c>
      <c r="F5063" t="str">
        <f>INDEX(Lists!I:I,MATCH(Validation!E5063,Lists!G:G,0))</f>
        <v>Error</v>
      </c>
      <c r="G5063" t="str">
        <f>INDEX(Lists!H:H,MATCH(Validation!E5063,Lists!G:G,0))</f>
        <v>Amount must be greater than zero.</v>
      </c>
      <c r="H5063" s="16" t="str">
        <f t="shared" ca="1" si="534"/>
        <v/>
      </c>
      <c r="I5063" s="16" t="str">
        <f t="shared" ca="1" si="535"/>
        <v/>
      </c>
      <c r="J5063" s="17" t="str">
        <f t="shared" ca="1" si="536"/>
        <v/>
      </c>
    </row>
    <row r="5064" spans="1:10" x14ac:dyDescent="0.25">
      <c r="A5064" t="s">
        <v>937</v>
      </c>
      <c r="B5064" t="str">
        <f>ADDRESS(ROW('Loan 1'!$B$15),COLUMN('Loan 1'!$B$15),4)</f>
        <v>B15</v>
      </c>
      <c r="C5064" t="str">
        <f>ADDRESS(ROW('Loan 1'!$D$15),COLUMN('Loan 1'!$D$15),4)</f>
        <v>D15</v>
      </c>
      <c r="D5064" t="b" cm="1">
        <f t="array" aca="1" ref="D5064" ca="1">IF(INDIRECT("'"&amp;A5064&amp;"'!"&amp;B5064)="",FALSE,IF(INDIRECT("'"&amp;A5064&amp;"'!"&amp;B5064)&lt;=0,TRUE,FALSE))</f>
        <v>0</v>
      </c>
      <c r="E5064" t="s">
        <v>711</v>
      </c>
      <c r="F5064" t="str">
        <f>INDEX(Lists!I:I,MATCH(Validation!E5064,Lists!G:G,0))</f>
        <v>Error</v>
      </c>
      <c r="G5064" t="str">
        <f>INDEX(Lists!H:H,MATCH(Validation!E5064,Lists!G:G,0))</f>
        <v>Amount must be greater than zero.</v>
      </c>
      <c r="H5064" s="16" t="str">
        <f t="shared" ca="1" si="534"/>
        <v/>
      </c>
      <c r="I5064" s="16" t="str">
        <f t="shared" ca="1" si="535"/>
        <v/>
      </c>
      <c r="J5064" s="17" t="str">
        <f t="shared" ca="1" si="536"/>
        <v/>
      </c>
    </row>
    <row r="5065" spans="1:10" x14ac:dyDescent="0.25">
      <c r="A5065" t="s">
        <v>938</v>
      </c>
      <c r="B5065" t="str">
        <f>ADDRESS(ROW('Loan 1'!$B$15),COLUMN('Loan 1'!$B$15),4)</f>
        <v>B15</v>
      </c>
      <c r="C5065" t="str">
        <f>ADDRESS(ROW('Loan 1'!$D$15),COLUMN('Loan 1'!$D$15),4)</f>
        <v>D15</v>
      </c>
      <c r="D5065" t="b" cm="1">
        <f t="array" aca="1" ref="D5065" ca="1">IF(INDIRECT("'"&amp;A5065&amp;"'!"&amp;B5065)="",FALSE,IF(INDIRECT("'"&amp;A5065&amp;"'!"&amp;B5065)&lt;=0,TRUE,FALSE))</f>
        <v>0</v>
      </c>
      <c r="E5065" t="s">
        <v>711</v>
      </c>
      <c r="F5065" t="str">
        <f>INDEX(Lists!I:I,MATCH(Validation!E5065,Lists!G:G,0))</f>
        <v>Error</v>
      </c>
      <c r="G5065" t="str">
        <f>INDEX(Lists!H:H,MATCH(Validation!E5065,Lists!G:G,0))</f>
        <v>Amount must be greater than zero.</v>
      </c>
      <c r="H5065" s="16" t="str">
        <f t="shared" ca="1" si="534"/>
        <v/>
      </c>
      <c r="I5065" s="16" t="str">
        <f t="shared" ca="1" si="535"/>
        <v/>
      </c>
      <c r="J5065" s="17" t="str">
        <f t="shared" ca="1" si="536"/>
        <v/>
      </c>
    </row>
    <row r="5066" spans="1:10" x14ac:dyDescent="0.25">
      <c r="A5066" t="s">
        <v>939</v>
      </c>
      <c r="B5066" t="str">
        <f>ADDRESS(ROW('Loan 1'!$B$15),COLUMN('Loan 1'!$B$15),4)</f>
        <v>B15</v>
      </c>
      <c r="C5066" t="str">
        <f>ADDRESS(ROW('Loan 1'!$D$15),COLUMN('Loan 1'!$D$15),4)</f>
        <v>D15</v>
      </c>
      <c r="D5066" t="b" cm="1">
        <f t="array" aca="1" ref="D5066" ca="1">IF(INDIRECT("'"&amp;A5066&amp;"'!"&amp;B5066)="",FALSE,IF(INDIRECT("'"&amp;A5066&amp;"'!"&amp;B5066)&lt;=0,TRUE,FALSE))</f>
        <v>0</v>
      </c>
      <c r="E5066" t="s">
        <v>711</v>
      </c>
      <c r="F5066" t="str">
        <f>INDEX(Lists!I:I,MATCH(Validation!E5066,Lists!G:G,0))</f>
        <v>Error</v>
      </c>
      <c r="G5066" t="str">
        <f>INDEX(Lists!H:H,MATCH(Validation!E5066,Lists!G:G,0))</f>
        <v>Amount must be greater than zero.</v>
      </c>
      <c r="H5066" s="16" t="str">
        <f t="shared" ca="1" si="534"/>
        <v/>
      </c>
      <c r="I5066" s="16" t="str">
        <f t="shared" ca="1" si="535"/>
        <v/>
      </c>
      <c r="J5066" s="17" t="str">
        <f t="shared" ca="1" si="536"/>
        <v/>
      </c>
    </row>
    <row r="5067" spans="1:10" x14ac:dyDescent="0.25">
      <c r="A5067" t="s">
        <v>940</v>
      </c>
      <c r="B5067" t="str">
        <f>ADDRESS(ROW('Loan 1'!$B$15),COLUMN('Loan 1'!$B$15),4)</f>
        <v>B15</v>
      </c>
      <c r="C5067" t="str">
        <f>ADDRESS(ROW('Loan 1'!$D$15),COLUMN('Loan 1'!$D$15),4)</f>
        <v>D15</v>
      </c>
      <c r="D5067" t="b" cm="1">
        <f t="array" aca="1" ref="D5067" ca="1">IF(INDIRECT("'"&amp;A5067&amp;"'!"&amp;B5067)="",FALSE,IF(INDIRECT("'"&amp;A5067&amp;"'!"&amp;B5067)&lt;=0,TRUE,FALSE))</f>
        <v>0</v>
      </c>
      <c r="E5067" t="s">
        <v>711</v>
      </c>
      <c r="F5067" t="str">
        <f>INDEX(Lists!I:I,MATCH(Validation!E5067,Lists!G:G,0))</f>
        <v>Error</v>
      </c>
      <c r="G5067" t="str">
        <f>INDEX(Lists!H:H,MATCH(Validation!E5067,Lists!G:G,0))</f>
        <v>Amount must be greater than zero.</v>
      </c>
      <c r="H5067" s="16" t="str">
        <f t="shared" ca="1" si="534"/>
        <v/>
      </c>
      <c r="I5067" s="16" t="str">
        <f t="shared" ca="1" si="535"/>
        <v/>
      </c>
      <c r="J5067" s="17" t="str">
        <f t="shared" ca="1" si="536"/>
        <v/>
      </c>
    </row>
    <row r="5068" spans="1:10" x14ac:dyDescent="0.25">
      <c r="A5068" t="s">
        <v>941</v>
      </c>
      <c r="B5068" t="str">
        <f>ADDRESS(ROW('Loan 1'!$B$15),COLUMN('Loan 1'!$B$15),4)</f>
        <v>B15</v>
      </c>
      <c r="C5068" t="str">
        <f>ADDRESS(ROW('Loan 1'!$D$15),COLUMN('Loan 1'!$D$15),4)</f>
        <v>D15</v>
      </c>
      <c r="D5068" t="b" cm="1">
        <f t="array" aca="1" ref="D5068" ca="1">IF(INDIRECT("'"&amp;A5068&amp;"'!"&amp;B5068)="",FALSE,IF(INDIRECT("'"&amp;A5068&amp;"'!"&amp;B5068)&lt;=0,TRUE,FALSE))</f>
        <v>0</v>
      </c>
      <c r="E5068" t="s">
        <v>711</v>
      </c>
      <c r="F5068" t="str">
        <f>INDEX(Lists!I:I,MATCH(Validation!E5068,Lists!G:G,0))</f>
        <v>Error</v>
      </c>
      <c r="G5068" t="str">
        <f>INDEX(Lists!H:H,MATCH(Validation!E5068,Lists!G:G,0))</f>
        <v>Amount must be greater than zero.</v>
      </c>
      <c r="H5068" s="16" t="str">
        <f t="shared" ca="1" si="534"/>
        <v/>
      </c>
      <c r="I5068" s="16" t="str">
        <f t="shared" ca="1" si="535"/>
        <v/>
      </c>
      <c r="J5068" s="17" t="str">
        <f t="shared" ca="1" si="536"/>
        <v/>
      </c>
    </row>
    <row r="5069" spans="1:10" x14ac:dyDescent="0.25">
      <c r="A5069" t="s">
        <v>942</v>
      </c>
      <c r="B5069" t="str">
        <f>ADDRESS(ROW('Loan 1'!$B$15),COLUMN('Loan 1'!$B$15),4)</f>
        <v>B15</v>
      </c>
      <c r="C5069" t="str">
        <f>ADDRESS(ROW('Loan 1'!$D$15),COLUMN('Loan 1'!$D$15),4)</f>
        <v>D15</v>
      </c>
      <c r="D5069" t="b" cm="1">
        <f t="array" aca="1" ref="D5069" ca="1">IF(INDIRECT("'"&amp;A5069&amp;"'!"&amp;B5069)="",FALSE,IF(INDIRECT("'"&amp;A5069&amp;"'!"&amp;B5069)&lt;=0,TRUE,FALSE))</f>
        <v>0</v>
      </c>
      <c r="E5069" t="s">
        <v>711</v>
      </c>
      <c r="F5069" t="str">
        <f>INDEX(Lists!I:I,MATCH(Validation!E5069,Lists!G:G,0))</f>
        <v>Error</v>
      </c>
      <c r="G5069" t="str">
        <f>INDEX(Lists!H:H,MATCH(Validation!E5069,Lists!G:G,0))</f>
        <v>Amount must be greater than zero.</v>
      </c>
      <c r="H5069" s="16" t="str">
        <f t="shared" ca="1" si="534"/>
        <v/>
      </c>
      <c r="I5069" s="16" t="str">
        <f t="shared" ca="1" si="535"/>
        <v/>
      </c>
      <c r="J5069" s="17" t="str">
        <f t="shared" ca="1" si="536"/>
        <v/>
      </c>
    </row>
    <row r="5070" spans="1:10" x14ac:dyDescent="0.25">
      <c r="A5070" t="s">
        <v>943</v>
      </c>
      <c r="B5070" t="str">
        <f>ADDRESS(ROW('Loan 1'!$B$15),COLUMN('Loan 1'!$B$15),4)</f>
        <v>B15</v>
      </c>
      <c r="C5070" t="str">
        <f>ADDRESS(ROW('Loan 1'!$D$15),COLUMN('Loan 1'!$D$15),4)</f>
        <v>D15</v>
      </c>
      <c r="D5070" t="b" cm="1">
        <f t="array" aca="1" ref="D5070" ca="1">IF(INDIRECT("'"&amp;A5070&amp;"'!"&amp;B5070)="",FALSE,IF(INDIRECT("'"&amp;A5070&amp;"'!"&amp;B5070)&lt;=0,TRUE,FALSE))</f>
        <v>0</v>
      </c>
      <c r="E5070" t="s">
        <v>711</v>
      </c>
      <c r="F5070" t="str">
        <f>INDEX(Lists!I:I,MATCH(Validation!E5070,Lists!G:G,0))</f>
        <v>Error</v>
      </c>
      <c r="G5070" t="str">
        <f>INDEX(Lists!H:H,MATCH(Validation!E5070,Lists!G:G,0))</f>
        <v>Amount must be greater than zero.</v>
      </c>
      <c r="H5070" s="16" t="str">
        <f t="shared" ca="1" si="534"/>
        <v/>
      </c>
      <c r="I5070" s="16" t="str">
        <f t="shared" ca="1" si="535"/>
        <v/>
      </c>
      <c r="J5070" s="17" t="str">
        <f t="shared" ca="1" si="536"/>
        <v/>
      </c>
    </row>
    <row r="5071" spans="1:10" x14ac:dyDescent="0.25">
      <c r="A5071" t="s">
        <v>944</v>
      </c>
      <c r="B5071" t="str">
        <f>ADDRESS(ROW('Loan 1'!$B$15),COLUMN('Loan 1'!$B$15),4)</f>
        <v>B15</v>
      </c>
      <c r="C5071" t="str">
        <f>ADDRESS(ROW('Loan 1'!$D$15),COLUMN('Loan 1'!$D$15),4)</f>
        <v>D15</v>
      </c>
      <c r="D5071" t="b" cm="1">
        <f t="array" aca="1" ref="D5071" ca="1">IF(INDIRECT("'"&amp;A5071&amp;"'!"&amp;B5071)="",FALSE,IF(INDIRECT("'"&amp;A5071&amp;"'!"&amp;B5071)&lt;=0,TRUE,FALSE))</f>
        <v>0</v>
      </c>
      <c r="E5071" t="s">
        <v>711</v>
      </c>
      <c r="F5071" t="str">
        <f>INDEX(Lists!I:I,MATCH(Validation!E5071,Lists!G:G,0))</f>
        <v>Error</v>
      </c>
      <c r="G5071" t="str">
        <f>INDEX(Lists!H:H,MATCH(Validation!E5071,Lists!G:G,0))</f>
        <v>Amount must be greater than zero.</v>
      </c>
      <c r="H5071" s="16" t="str">
        <f t="shared" ca="1" si="534"/>
        <v/>
      </c>
      <c r="I5071" s="16" t="str">
        <f t="shared" ca="1" si="535"/>
        <v/>
      </c>
      <c r="J5071" s="17" t="str">
        <f t="shared" ca="1" si="536"/>
        <v/>
      </c>
    </row>
    <row r="5072" spans="1:10" x14ac:dyDescent="0.25">
      <c r="A5072" t="s">
        <v>945</v>
      </c>
      <c r="B5072" t="str">
        <f>ADDRESS(ROW('Loan 1'!$B$15),COLUMN('Loan 1'!$B$15),4)</f>
        <v>B15</v>
      </c>
      <c r="C5072" t="str">
        <f>ADDRESS(ROW('Loan 1'!$D$15),COLUMN('Loan 1'!$D$15),4)</f>
        <v>D15</v>
      </c>
      <c r="D5072" t="b" cm="1">
        <f t="array" aca="1" ref="D5072" ca="1">IF(INDIRECT("'"&amp;A5072&amp;"'!"&amp;B5072)="",FALSE,IF(INDIRECT("'"&amp;A5072&amp;"'!"&amp;B5072)&lt;=0,TRUE,FALSE))</f>
        <v>0</v>
      </c>
      <c r="E5072" t="s">
        <v>711</v>
      </c>
      <c r="F5072" t="str">
        <f>INDEX(Lists!I:I,MATCH(Validation!E5072,Lists!G:G,0))</f>
        <v>Error</v>
      </c>
      <c r="G5072" t="str">
        <f>INDEX(Lists!H:H,MATCH(Validation!E5072,Lists!G:G,0))</f>
        <v>Amount must be greater than zero.</v>
      </c>
      <c r="H5072" s="16" t="str">
        <f t="shared" ca="1" si="534"/>
        <v/>
      </c>
      <c r="I5072" s="16" t="str">
        <f t="shared" ca="1" si="535"/>
        <v/>
      </c>
      <c r="J5072" s="17" t="str">
        <f t="shared" ca="1" si="536"/>
        <v/>
      </c>
    </row>
    <row r="5073" spans="1:10" x14ac:dyDescent="0.25">
      <c r="A5073" t="s">
        <v>205</v>
      </c>
      <c r="B5073" t="str">
        <f>ADDRESS(ROW('Loan 1'!$B$15),COLUMN('Loan 1'!$B$15),4)</f>
        <v>B15</v>
      </c>
      <c r="C5073" t="str">
        <f>ADDRESS(ROW('Loan 1'!$D$15),COLUMN('Loan 1'!$D$15),4)</f>
        <v>D15</v>
      </c>
      <c r="D5073" t="b" cm="1">
        <f t="array" aca="1" ref="D5073" ca="1">IF(INDIRECT("'"&amp;A5073&amp;"'!"&amp;B5073)="",FALSE,IF(TRUNC(INDIRECT("'"&amp;A5073&amp;"'!"&amp;B5073))=INDIRECT("'"&amp;A5073&amp;"'!"&amp;B5073),FALSE,TRUE))</f>
        <v>0</v>
      </c>
      <c r="E5073" t="s">
        <v>436</v>
      </c>
      <c r="F5073" t="str">
        <f>INDEX(Lists!I:I,MATCH(Validation!E5073,Lists!G:G,0))</f>
        <v>Error</v>
      </c>
      <c r="G5073" t="str">
        <f>INDEX(Lists!H:H,MATCH(Validation!E5073,Lists!G:G,0))</f>
        <v>Amount must be rounded to the nearest dollar.</v>
      </c>
      <c r="H5073" s="16" t="str">
        <f t="shared" ca="1" si="522"/>
        <v/>
      </c>
      <c r="I5073" s="16" t="str">
        <f t="shared" ca="1" si="523"/>
        <v/>
      </c>
      <c r="J5073" s="17" t="str">
        <f t="shared" ca="1" si="524"/>
        <v/>
      </c>
    </row>
    <row r="5074" spans="1:10" x14ac:dyDescent="0.25">
      <c r="A5074" t="s">
        <v>932</v>
      </c>
      <c r="B5074" t="str">
        <f>ADDRESS(ROW('Loan 1'!$B$15),COLUMN('Loan 1'!$B$15),4)</f>
        <v>B15</v>
      </c>
      <c r="C5074" t="str">
        <f>ADDRESS(ROW('Loan 1'!$D$15),COLUMN('Loan 1'!$D$15),4)</f>
        <v>D15</v>
      </c>
      <c r="D5074" t="b" cm="1">
        <f t="array" aca="1" ref="D5074" ca="1">IF(INDIRECT("'"&amp;A5074&amp;"'!"&amp;B5074)="",FALSE,IF(TRUNC(INDIRECT("'"&amp;A5074&amp;"'!"&amp;B5074))=INDIRECT("'"&amp;A5074&amp;"'!"&amp;B5074),FALSE,TRUE))</f>
        <v>0</v>
      </c>
      <c r="E5074" t="s">
        <v>436</v>
      </c>
      <c r="F5074" t="str">
        <f>INDEX(Lists!I:I,MATCH(Validation!E5074,Lists!G:G,0))</f>
        <v>Error</v>
      </c>
      <c r="G5074" t="str">
        <f>INDEX(Lists!H:H,MATCH(Validation!E5074,Lists!G:G,0))</f>
        <v>Amount must be rounded to the nearest dollar.</v>
      </c>
      <c r="H5074" s="16" t="str">
        <f t="shared" ref="H5074:H5087" ca="1" si="537">IFERROR(IF(OR(NOT(D5074),F5074&lt;&gt;"Error"),"",A5074&amp;CELL("address",INDIRECT(B5074))),"")</f>
        <v/>
      </c>
      <c r="I5074" s="16" t="str">
        <f t="shared" ref="I5074:I5087" ca="1" si="538">IFERROR(IF(NOT(D5074),"",A5074&amp;CELL("address",INDIRECT(C5074))),"")</f>
        <v/>
      </c>
      <c r="J5074" s="17" t="str">
        <f t="shared" ref="J5074:J5087" ca="1" si="539">IFERROR(IF(NOT(D5074),"",A5074),"")</f>
        <v/>
      </c>
    </row>
    <row r="5075" spans="1:10" x14ac:dyDescent="0.25">
      <c r="A5075" t="s">
        <v>933</v>
      </c>
      <c r="B5075" t="str">
        <f>ADDRESS(ROW('Loan 1'!$B$15),COLUMN('Loan 1'!$B$15),4)</f>
        <v>B15</v>
      </c>
      <c r="C5075" t="str">
        <f>ADDRESS(ROW('Loan 1'!$D$15),COLUMN('Loan 1'!$D$15),4)</f>
        <v>D15</v>
      </c>
      <c r="D5075" t="b" cm="1">
        <f t="array" aca="1" ref="D5075" ca="1">IF(INDIRECT("'"&amp;A5075&amp;"'!"&amp;B5075)="",FALSE,IF(TRUNC(INDIRECT("'"&amp;A5075&amp;"'!"&amp;B5075))=INDIRECT("'"&amp;A5075&amp;"'!"&amp;B5075),FALSE,TRUE))</f>
        <v>0</v>
      </c>
      <c r="E5075" t="s">
        <v>436</v>
      </c>
      <c r="F5075" t="str">
        <f>INDEX(Lists!I:I,MATCH(Validation!E5075,Lists!G:G,0))</f>
        <v>Error</v>
      </c>
      <c r="G5075" t="str">
        <f>INDEX(Lists!H:H,MATCH(Validation!E5075,Lists!G:G,0))</f>
        <v>Amount must be rounded to the nearest dollar.</v>
      </c>
      <c r="H5075" s="16" t="str">
        <f t="shared" ca="1" si="537"/>
        <v/>
      </c>
      <c r="I5075" s="16" t="str">
        <f t="shared" ca="1" si="538"/>
        <v/>
      </c>
      <c r="J5075" s="17" t="str">
        <f t="shared" ca="1" si="539"/>
        <v/>
      </c>
    </row>
    <row r="5076" spans="1:10" x14ac:dyDescent="0.25">
      <c r="A5076" t="s">
        <v>934</v>
      </c>
      <c r="B5076" t="str">
        <f>ADDRESS(ROW('Loan 1'!$B$15),COLUMN('Loan 1'!$B$15),4)</f>
        <v>B15</v>
      </c>
      <c r="C5076" t="str">
        <f>ADDRESS(ROW('Loan 1'!$D$15),COLUMN('Loan 1'!$D$15),4)</f>
        <v>D15</v>
      </c>
      <c r="D5076" t="b" cm="1">
        <f t="array" aca="1" ref="D5076" ca="1">IF(INDIRECT("'"&amp;A5076&amp;"'!"&amp;B5076)="",FALSE,IF(TRUNC(INDIRECT("'"&amp;A5076&amp;"'!"&amp;B5076))=INDIRECT("'"&amp;A5076&amp;"'!"&amp;B5076),FALSE,TRUE))</f>
        <v>0</v>
      </c>
      <c r="E5076" t="s">
        <v>436</v>
      </c>
      <c r="F5076" t="str">
        <f>INDEX(Lists!I:I,MATCH(Validation!E5076,Lists!G:G,0))</f>
        <v>Error</v>
      </c>
      <c r="G5076" t="str">
        <f>INDEX(Lists!H:H,MATCH(Validation!E5076,Lists!G:G,0))</f>
        <v>Amount must be rounded to the nearest dollar.</v>
      </c>
      <c r="H5076" s="16" t="str">
        <f t="shared" ca="1" si="537"/>
        <v/>
      </c>
      <c r="I5076" s="16" t="str">
        <f t="shared" ca="1" si="538"/>
        <v/>
      </c>
      <c r="J5076" s="17" t="str">
        <f t="shared" ca="1" si="539"/>
        <v/>
      </c>
    </row>
    <row r="5077" spans="1:10" x14ac:dyDescent="0.25">
      <c r="A5077" t="s">
        <v>935</v>
      </c>
      <c r="B5077" t="str">
        <f>ADDRESS(ROW('Loan 1'!$B$15),COLUMN('Loan 1'!$B$15),4)</f>
        <v>B15</v>
      </c>
      <c r="C5077" t="str">
        <f>ADDRESS(ROW('Loan 1'!$D$15),COLUMN('Loan 1'!$D$15),4)</f>
        <v>D15</v>
      </c>
      <c r="D5077" t="b" cm="1">
        <f t="array" aca="1" ref="D5077" ca="1">IF(INDIRECT("'"&amp;A5077&amp;"'!"&amp;B5077)="",FALSE,IF(TRUNC(INDIRECT("'"&amp;A5077&amp;"'!"&amp;B5077))=INDIRECT("'"&amp;A5077&amp;"'!"&amp;B5077),FALSE,TRUE))</f>
        <v>0</v>
      </c>
      <c r="E5077" t="s">
        <v>436</v>
      </c>
      <c r="F5077" t="str">
        <f>INDEX(Lists!I:I,MATCH(Validation!E5077,Lists!G:G,0))</f>
        <v>Error</v>
      </c>
      <c r="G5077" t="str">
        <f>INDEX(Lists!H:H,MATCH(Validation!E5077,Lists!G:G,0))</f>
        <v>Amount must be rounded to the nearest dollar.</v>
      </c>
      <c r="H5077" s="16" t="str">
        <f t="shared" ca="1" si="537"/>
        <v/>
      </c>
      <c r="I5077" s="16" t="str">
        <f t="shared" ca="1" si="538"/>
        <v/>
      </c>
      <c r="J5077" s="17" t="str">
        <f t="shared" ca="1" si="539"/>
        <v/>
      </c>
    </row>
    <row r="5078" spans="1:10" x14ac:dyDescent="0.25">
      <c r="A5078" t="s">
        <v>936</v>
      </c>
      <c r="B5078" t="str">
        <f>ADDRESS(ROW('Loan 1'!$B$15),COLUMN('Loan 1'!$B$15),4)</f>
        <v>B15</v>
      </c>
      <c r="C5078" t="str">
        <f>ADDRESS(ROW('Loan 1'!$D$15),COLUMN('Loan 1'!$D$15),4)</f>
        <v>D15</v>
      </c>
      <c r="D5078" t="b" cm="1">
        <f t="array" aca="1" ref="D5078" ca="1">IF(INDIRECT("'"&amp;A5078&amp;"'!"&amp;B5078)="",FALSE,IF(TRUNC(INDIRECT("'"&amp;A5078&amp;"'!"&amp;B5078))=INDIRECT("'"&amp;A5078&amp;"'!"&amp;B5078),FALSE,TRUE))</f>
        <v>0</v>
      </c>
      <c r="E5078" t="s">
        <v>436</v>
      </c>
      <c r="F5078" t="str">
        <f>INDEX(Lists!I:I,MATCH(Validation!E5078,Lists!G:G,0))</f>
        <v>Error</v>
      </c>
      <c r="G5078" t="str">
        <f>INDEX(Lists!H:H,MATCH(Validation!E5078,Lists!G:G,0))</f>
        <v>Amount must be rounded to the nearest dollar.</v>
      </c>
      <c r="H5078" s="16" t="str">
        <f t="shared" ca="1" si="537"/>
        <v/>
      </c>
      <c r="I5078" s="16" t="str">
        <f t="shared" ca="1" si="538"/>
        <v/>
      </c>
      <c r="J5078" s="17" t="str">
        <f t="shared" ca="1" si="539"/>
        <v/>
      </c>
    </row>
    <row r="5079" spans="1:10" x14ac:dyDescent="0.25">
      <c r="A5079" t="s">
        <v>937</v>
      </c>
      <c r="B5079" t="str">
        <f>ADDRESS(ROW('Loan 1'!$B$15),COLUMN('Loan 1'!$B$15),4)</f>
        <v>B15</v>
      </c>
      <c r="C5079" t="str">
        <f>ADDRESS(ROW('Loan 1'!$D$15),COLUMN('Loan 1'!$D$15),4)</f>
        <v>D15</v>
      </c>
      <c r="D5079" t="b" cm="1">
        <f t="array" aca="1" ref="D5079" ca="1">IF(INDIRECT("'"&amp;A5079&amp;"'!"&amp;B5079)="",FALSE,IF(TRUNC(INDIRECT("'"&amp;A5079&amp;"'!"&amp;B5079))=INDIRECT("'"&amp;A5079&amp;"'!"&amp;B5079),FALSE,TRUE))</f>
        <v>0</v>
      </c>
      <c r="E5079" t="s">
        <v>436</v>
      </c>
      <c r="F5079" t="str">
        <f>INDEX(Lists!I:I,MATCH(Validation!E5079,Lists!G:G,0))</f>
        <v>Error</v>
      </c>
      <c r="G5079" t="str">
        <f>INDEX(Lists!H:H,MATCH(Validation!E5079,Lists!G:G,0))</f>
        <v>Amount must be rounded to the nearest dollar.</v>
      </c>
      <c r="H5079" s="16" t="str">
        <f t="shared" ca="1" si="537"/>
        <v/>
      </c>
      <c r="I5079" s="16" t="str">
        <f t="shared" ca="1" si="538"/>
        <v/>
      </c>
      <c r="J5079" s="17" t="str">
        <f t="shared" ca="1" si="539"/>
        <v/>
      </c>
    </row>
    <row r="5080" spans="1:10" x14ac:dyDescent="0.25">
      <c r="A5080" t="s">
        <v>938</v>
      </c>
      <c r="B5080" t="str">
        <f>ADDRESS(ROW('Loan 1'!$B$15),COLUMN('Loan 1'!$B$15),4)</f>
        <v>B15</v>
      </c>
      <c r="C5080" t="str">
        <f>ADDRESS(ROW('Loan 1'!$D$15),COLUMN('Loan 1'!$D$15),4)</f>
        <v>D15</v>
      </c>
      <c r="D5080" t="b" cm="1">
        <f t="array" aca="1" ref="D5080" ca="1">IF(INDIRECT("'"&amp;A5080&amp;"'!"&amp;B5080)="",FALSE,IF(TRUNC(INDIRECT("'"&amp;A5080&amp;"'!"&amp;B5080))=INDIRECT("'"&amp;A5080&amp;"'!"&amp;B5080),FALSE,TRUE))</f>
        <v>0</v>
      </c>
      <c r="E5080" t="s">
        <v>436</v>
      </c>
      <c r="F5080" t="str">
        <f>INDEX(Lists!I:I,MATCH(Validation!E5080,Lists!G:G,0))</f>
        <v>Error</v>
      </c>
      <c r="G5080" t="str">
        <f>INDEX(Lists!H:H,MATCH(Validation!E5080,Lists!G:G,0))</f>
        <v>Amount must be rounded to the nearest dollar.</v>
      </c>
      <c r="H5080" s="16" t="str">
        <f t="shared" ca="1" si="537"/>
        <v/>
      </c>
      <c r="I5080" s="16" t="str">
        <f t="shared" ca="1" si="538"/>
        <v/>
      </c>
      <c r="J5080" s="17" t="str">
        <f t="shared" ca="1" si="539"/>
        <v/>
      </c>
    </row>
    <row r="5081" spans="1:10" x14ac:dyDescent="0.25">
      <c r="A5081" t="s">
        <v>939</v>
      </c>
      <c r="B5081" t="str">
        <f>ADDRESS(ROW('Loan 1'!$B$15),COLUMN('Loan 1'!$B$15),4)</f>
        <v>B15</v>
      </c>
      <c r="C5081" t="str">
        <f>ADDRESS(ROW('Loan 1'!$D$15),COLUMN('Loan 1'!$D$15),4)</f>
        <v>D15</v>
      </c>
      <c r="D5081" t="b" cm="1">
        <f t="array" aca="1" ref="D5081" ca="1">IF(INDIRECT("'"&amp;A5081&amp;"'!"&amp;B5081)="",FALSE,IF(TRUNC(INDIRECT("'"&amp;A5081&amp;"'!"&amp;B5081))=INDIRECT("'"&amp;A5081&amp;"'!"&amp;B5081),FALSE,TRUE))</f>
        <v>0</v>
      </c>
      <c r="E5081" t="s">
        <v>436</v>
      </c>
      <c r="F5081" t="str">
        <f>INDEX(Lists!I:I,MATCH(Validation!E5081,Lists!G:G,0))</f>
        <v>Error</v>
      </c>
      <c r="G5081" t="str">
        <f>INDEX(Lists!H:H,MATCH(Validation!E5081,Lists!G:G,0))</f>
        <v>Amount must be rounded to the nearest dollar.</v>
      </c>
      <c r="H5081" s="16" t="str">
        <f t="shared" ca="1" si="537"/>
        <v/>
      </c>
      <c r="I5081" s="16" t="str">
        <f t="shared" ca="1" si="538"/>
        <v/>
      </c>
      <c r="J5081" s="17" t="str">
        <f t="shared" ca="1" si="539"/>
        <v/>
      </c>
    </row>
    <row r="5082" spans="1:10" x14ac:dyDescent="0.25">
      <c r="A5082" t="s">
        <v>940</v>
      </c>
      <c r="B5082" t="str">
        <f>ADDRESS(ROW('Loan 1'!$B$15),COLUMN('Loan 1'!$B$15),4)</f>
        <v>B15</v>
      </c>
      <c r="C5082" t="str">
        <f>ADDRESS(ROW('Loan 1'!$D$15),COLUMN('Loan 1'!$D$15),4)</f>
        <v>D15</v>
      </c>
      <c r="D5082" t="b" cm="1">
        <f t="array" aca="1" ref="D5082" ca="1">IF(INDIRECT("'"&amp;A5082&amp;"'!"&amp;B5082)="",FALSE,IF(TRUNC(INDIRECT("'"&amp;A5082&amp;"'!"&amp;B5082))=INDIRECT("'"&amp;A5082&amp;"'!"&amp;B5082),FALSE,TRUE))</f>
        <v>0</v>
      </c>
      <c r="E5082" t="s">
        <v>436</v>
      </c>
      <c r="F5082" t="str">
        <f>INDEX(Lists!I:I,MATCH(Validation!E5082,Lists!G:G,0))</f>
        <v>Error</v>
      </c>
      <c r="G5082" t="str">
        <f>INDEX(Lists!H:H,MATCH(Validation!E5082,Lists!G:G,0))</f>
        <v>Amount must be rounded to the nearest dollar.</v>
      </c>
      <c r="H5082" s="16" t="str">
        <f t="shared" ca="1" si="537"/>
        <v/>
      </c>
      <c r="I5082" s="16" t="str">
        <f t="shared" ca="1" si="538"/>
        <v/>
      </c>
      <c r="J5082" s="17" t="str">
        <f t="shared" ca="1" si="539"/>
        <v/>
      </c>
    </row>
    <row r="5083" spans="1:10" x14ac:dyDescent="0.25">
      <c r="A5083" t="s">
        <v>941</v>
      </c>
      <c r="B5083" t="str">
        <f>ADDRESS(ROW('Loan 1'!$B$15),COLUMN('Loan 1'!$B$15),4)</f>
        <v>B15</v>
      </c>
      <c r="C5083" t="str">
        <f>ADDRESS(ROW('Loan 1'!$D$15),COLUMN('Loan 1'!$D$15),4)</f>
        <v>D15</v>
      </c>
      <c r="D5083" t="b" cm="1">
        <f t="array" aca="1" ref="D5083" ca="1">IF(INDIRECT("'"&amp;A5083&amp;"'!"&amp;B5083)="",FALSE,IF(TRUNC(INDIRECT("'"&amp;A5083&amp;"'!"&amp;B5083))=INDIRECT("'"&amp;A5083&amp;"'!"&amp;B5083),FALSE,TRUE))</f>
        <v>0</v>
      </c>
      <c r="E5083" t="s">
        <v>436</v>
      </c>
      <c r="F5083" t="str">
        <f>INDEX(Lists!I:I,MATCH(Validation!E5083,Lists!G:G,0))</f>
        <v>Error</v>
      </c>
      <c r="G5083" t="str">
        <f>INDEX(Lists!H:H,MATCH(Validation!E5083,Lists!G:G,0))</f>
        <v>Amount must be rounded to the nearest dollar.</v>
      </c>
      <c r="H5083" s="16" t="str">
        <f t="shared" ca="1" si="537"/>
        <v/>
      </c>
      <c r="I5083" s="16" t="str">
        <f t="shared" ca="1" si="538"/>
        <v/>
      </c>
      <c r="J5083" s="17" t="str">
        <f t="shared" ca="1" si="539"/>
        <v/>
      </c>
    </row>
    <row r="5084" spans="1:10" x14ac:dyDescent="0.25">
      <c r="A5084" t="s">
        <v>942</v>
      </c>
      <c r="B5084" t="str">
        <f>ADDRESS(ROW('Loan 1'!$B$15),COLUMN('Loan 1'!$B$15),4)</f>
        <v>B15</v>
      </c>
      <c r="C5084" t="str">
        <f>ADDRESS(ROW('Loan 1'!$D$15),COLUMN('Loan 1'!$D$15),4)</f>
        <v>D15</v>
      </c>
      <c r="D5084" t="b" cm="1">
        <f t="array" aca="1" ref="D5084" ca="1">IF(INDIRECT("'"&amp;A5084&amp;"'!"&amp;B5084)="",FALSE,IF(TRUNC(INDIRECT("'"&amp;A5084&amp;"'!"&amp;B5084))=INDIRECT("'"&amp;A5084&amp;"'!"&amp;B5084),FALSE,TRUE))</f>
        <v>0</v>
      </c>
      <c r="E5084" t="s">
        <v>436</v>
      </c>
      <c r="F5084" t="str">
        <f>INDEX(Lists!I:I,MATCH(Validation!E5084,Lists!G:G,0))</f>
        <v>Error</v>
      </c>
      <c r="G5084" t="str">
        <f>INDEX(Lists!H:H,MATCH(Validation!E5084,Lists!G:G,0))</f>
        <v>Amount must be rounded to the nearest dollar.</v>
      </c>
      <c r="H5084" s="16" t="str">
        <f t="shared" ca="1" si="537"/>
        <v/>
      </c>
      <c r="I5084" s="16" t="str">
        <f t="shared" ca="1" si="538"/>
        <v/>
      </c>
      <c r="J5084" s="17" t="str">
        <f t="shared" ca="1" si="539"/>
        <v/>
      </c>
    </row>
    <row r="5085" spans="1:10" x14ac:dyDescent="0.25">
      <c r="A5085" t="s">
        <v>943</v>
      </c>
      <c r="B5085" t="str">
        <f>ADDRESS(ROW('Loan 1'!$B$15),COLUMN('Loan 1'!$B$15),4)</f>
        <v>B15</v>
      </c>
      <c r="C5085" t="str">
        <f>ADDRESS(ROW('Loan 1'!$D$15),COLUMN('Loan 1'!$D$15),4)</f>
        <v>D15</v>
      </c>
      <c r="D5085" t="b" cm="1">
        <f t="array" aca="1" ref="D5085" ca="1">IF(INDIRECT("'"&amp;A5085&amp;"'!"&amp;B5085)="",FALSE,IF(TRUNC(INDIRECT("'"&amp;A5085&amp;"'!"&amp;B5085))=INDIRECT("'"&amp;A5085&amp;"'!"&amp;B5085),FALSE,TRUE))</f>
        <v>0</v>
      </c>
      <c r="E5085" t="s">
        <v>436</v>
      </c>
      <c r="F5085" t="str">
        <f>INDEX(Lists!I:I,MATCH(Validation!E5085,Lists!G:G,0))</f>
        <v>Error</v>
      </c>
      <c r="G5085" t="str">
        <f>INDEX(Lists!H:H,MATCH(Validation!E5085,Lists!G:G,0))</f>
        <v>Amount must be rounded to the nearest dollar.</v>
      </c>
      <c r="H5085" s="16" t="str">
        <f t="shared" ca="1" si="537"/>
        <v/>
      </c>
      <c r="I5085" s="16" t="str">
        <f t="shared" ca="1" si="538"/>
        <v/>
      </c>
      <c r="J5085" s="17" t="str">
        <f t="shared" ca="1" si="539"/>
        <v/>
      </c>
    </row>
    <row r="5086" spans="1:10" x14ac:dyDescent="0.25">
      <c r="A5086" t="s">
        <v>944</v>
      </c>
      <c r="B5086" t="str">
        <f>ADDRESS(ROW('Loan 1'!$B$15),COLUMN('Loan 1'!$B$15),4)</f>
        <v>B15</v>
      </c>
      <c r="C5086" t="str">
        <f>ADDRESS(ROW('Loan 1'!$D$15),COLUMN('Loan 1'!$D$15),4)</f>
        <v>D15</v>
      </c>
      <c r="D5086" t="b" cm="1">
        <f t="array" aca="1" ref="D5086" ca="1">IF(INDIRECT("'"&amp;A5086&amp;"'!"&amp;B5086)="",FALSE,IF(TRUNC(INDIRECT("'"&amp;A5086&amp;"'!"&amp;B5086))=INDIRECT("'"&amp;A5086&amp;"'!"&amp;B5086),FALSE,TRUE))</f>
        <v>0</v>
      </c>
      <c r="E5086" t="s">
        <v>436</v>
      </c>
      <c r="F5086" t="str">
        <f>INDEX(Lists!I:I,MATCH(Validation!E5086,Lists!G:G,0))</f>
        <v>Error</v>
      </c>
      <c r="G5086" t="str">
        <f>INDEX(Lists!H:H,MATCH(Validation!E5086,Lists!G:G,0))</f>
        <v>Amount must be rounded to the nearest dollar.</v>
      </c>
      <c r="H5086" s="16" t="str">
        <f t="shared" ca="1" si="537"/>
        <v/>
      </c>
      <c r="I5086" s="16" t="str">
        <f t="shared" ca="1" si="538"/>
        <v/>
      </c>
      <c r="J5086" s="17" t="str">
        <f t="shared" ca="1" si="539"/>
        <v/>
      </c>
    </row>
    <row r="5087" spans="1:10" x14ac:dyDescent="0.25">
      <c r="A5087" t="s">
        <v>945</v>
      </c>
      <c r="B5087" t="str">
        <f>ADDRESS(ROW('Loan 1'!$B$15),COLUMN('Loan 1'!$B$15),4)</f>
        <v>B15</v>
      </c>
      <c r="C5087" t="str">
        <f>ADDRESS(ROW('Loan 1'!$D$15),COLUMN('Loan 1'!$D$15),4)</f>
        <v>D15</v>
      </c>
      <c r="D5087" t="b" cm="1">
        <f t="array" aca="1" ref="D5087" ca="1">IF(INDIRECT("'"&amp;A5087&amp;"'!"&amp;B5087)="",FALSE,IF(TRUNC(INDIRECT("'"&amp;A5087&amp;"'!"&amp;B5087))=INDIRECT("'"&amp;A5087&amp;"'!"&amp;B5087),FALSE,TRUE))</f>
        <v>0</v>
      </c>
      <c r="E5087" t="s">
        <v>436</v>
      </c>
      <c r="F5087" t="str">
        <f>INDEX(Lists!I:I,MATCH(Validation!E5087,Lists!G:G,0))</f>
        <v>Error</v>
      </c>
      <c r="G5087" t="str">
        <f>INDEX(Lists!H:H,MATCH(Validation!E5087,Lists!G:G,0))</f>
        <v>Amount must be rounded to the nearest dollar.</v>
      </c>
      <c r="H5087" s="16" t="str">
        <f t="shared" ca="1" si="537"/>
        <v/>
      </c>
      <c r="I5087" s="16" t="str">
        <f t="shared" ca="1" si="538"/>
        <v/>
      </c>
      <c r="J5087" s="17" t="str">
        <f t="shared" ca="1" si="539"/>
        <v/>
      </c>
    </row>
    <row r="5088" spans="1:10" x14ac:dyDescent="0.25">
      <c r="A5088" t="s">
        <v>205</v>
      </c>
      <c r="B5088" t="str">
        <f>ADDRESS(ROW('Loan 1'!$B$16),COLUMN('Loan 1'!$B$16),4)</f>
        <v>B16</v>
      </c>
      <c r="C5088" t="str">
        <f>ADDRESS(ROW('Loan 1'!$D$16),COLUMN('Loan 1'!$D$16),4)</f>
        <v>D16</v>
      </c>
      <c r="D5088" t="b" cm="1">
        <f t="array" aca="1" ref="D5088" ca="1">AND(NOT(INDIRECT("'"&amp;A5088&amp;"'!B$7")=Lists!$AH$1),INDIRECT("'"&amp;A5088&amp;"'!"&amp;B5088)="Select One")</f>
        <v>0</v>
      </c>
      <c r="E5088" t="s">
        <v>64</v>
      </c>
      <c r="F5088" t="str">
        <f>INDEX(Lists!I:I,MATCH(Validation!E5088,Lists!G:G,0))</f>
        <v>Error</v>
      </c>
      <c r="G5088" t="str">
        <f>INDEX(Lists!H:H,MATCH(Validation!E5088,Lists!G:G,0))</f>
        <v>You must make a selection from the dropdown list.</v>
      </c>
      <c r="H5088" s="16" t="str">
        <f ca="1">IFERROR(IF(OR(NOT(D5088),F5088&lt;&gt;"Error"),"",A5088&amp;CELL("address",INDIRECT(B5088))),"")</f>
        <v/>
      </c>
      <c r="I5088" s="16" t="str">
        <f ca="1">IFERROR(IF(NOT(D5088),"",A5088&amp;CELL("address",INDIRECT(C5088))),"")</f>
        <v/>
      </c>
      <c r="J5088" s="17" t="str">
        <f ca="1">IFERROR(IF(NOT(D5088),"",A5088),"")</f>
        <v/>
      </c>
    </row>
    <row r="5089" spans="1:10" x14ac:dyDescent="0.25">
      <c r="A5089" t="s">
        <v>932</v>
      </c>
      <c r="B5089" t="str">
        <f>ADDRESS(ROW('Loan 1'!$B$16),COLUMN('Loan 1'!$B$16),4)</f>
        <v>B16</v>
      </c>
      <c r="C5089" t="str">
        <f>ADDRESS(ROW('Loan 1'!$D$16),COLUMN('Loan 1'!$D$16),4)</f>
        <v>D16</v>
      </c>
      <c r="D5089" t="b" cm="1">
        <f t="array" aca="1" ref="D5089" ca="1">AND(NOT(INDIRECT("'"&amp;A5089&amp;"'!B$7")=Lists!$AH$1),INDIRECT("'"&amp;A5089&amp;"'!"&amp;B5089)="Select One")</f>
        <v>0</v>
      </c>
      <c r="E5089" t="s">
        <v>64</v>
      </c>
      <c r="F5089" t="str">
        <f>INDEX(Lists!I:I,MATCH(Validation!E5089,Lists!G:G,0))</f>
        <v>Error</v>
      </c>
      <c r="G5089" t="str">
        <f>INDEX(Lists!H:H,MATCH(Validation!E5089,Lists!G:G,0))</f>
        <v>You must make a selection from the dropdown list.</v>
      </c>
      <c r="H5089" s="16" t="str">
        <f t="shared" ref="H5089:H5102" ca="1" si="540">IFERROR(IF(OR(NOT(D5089),F5089&lt;&gt;"Error"),"",A5089&amp;CELL("address",INDIRECT(B5089))),"")</f>
        <v/>
      </c>
      <c r="I5089" s="16" t="str">
        <f t="shared" ref="I5089:I5102" ca="1" si="541">IFERROR(IF(NOT(D5089),"",A5089&amp;CELL("address",INDIRECT(C5089))),"")</f>
        <v/>
      </c>
      <c r="J5089" s="17" t="str">
        <f t="shared" ref="J5089:J5102" ca="1" si="542">IFERROR(IF(NOT(D5089),"",A5089),"")</f>
        <v/>
      </c>
    </row>
    <row r="5090" spans="1:10" x14ac:dyDescent="0.25">
      <c r="A5090" t="s">
        <v>933</v>
      </c>
      <c r="B5090" t="str">
        <f>ADDRESS(ROW('Loan 1'!$B$16),COLUMN('Loan 1'!$B$16),4)</f>
        <v>B16</v>
      </c>
      <c r="C5090" t="str">
        <f>ADDRESS(ROW('Loan 1'!$D$16),COLUMN('Loan 1'!$D$16),4)</f>
        <v>D16</v>
      </c>
      <c r="D5090" t="b" cm="1">
        <f t="array" aca="1" ref="D5090" ca="1">AND(NOT(INDIRECT("'"&amp;A5090&amp;"'!B$7")=Lists!$AH$1),INDIRECT("'"&amp;A5090&amp;"'!"&amp;B5090)="Select One")</f>
        <v>0</v>
      </c>
      <c r="E5090" t="s">
        <v>64</v>
      </c>
      <c r="F5090" t="str">
        <f>INDEX(Lists!I:I,MATCH(Validation!E5090,Lists!G:G,0))</f>
        <v>Error</v>
      </c>
      <c r="G5090" t="str">
        <f>INDEX(Lists!H:H,MATCH(Validation!E5090,Lists!G:G,0))</f>
        <v>You must make a selection from the dropdown list.</v>
      </c>
      <c r="H5090" s="16" t="str">
        <f t="shared" ca="1" si="540"/>
        <v/>
      </c>
      <c r="I5090" s="16" t="str">
        <f t="shared" ca="1" si="541"/>
        <v/>
      </c>
      <c r="J5090" s="17" t="str">
        <f t="shared" ca="1" si="542"/>
        <v/>
      </c>
    </row>
    <row r="5091" spans="1:10" x14ac:dyDescent="0.25">
      <c r="A5091" t="s">
        <v>934</v>
      </c>
      <c r="B5091" t="str">
        <f>ADDRESS(ROW('Loan 1'!$B$16),COLUMN('Loan 1'!$B$16),4)</f>
        <v>B16</v>
      </c>
      <c r="C5091" t="str">
        <f>ADDRESS(ROW('Loan 1'!$D$16),COLUMN('Loan 1'!$D$16),4)</f>
        <v>D16</v>
      </c>
      <c r="D5091" t="b" cm="1">
        <f t="array" aca="1" ref="D5091" ca="1">AND(NOT(INDIRECT("'"&amp;A5091&amp;"'!B$7")=Lists!$AH$1),INDIRECT("'"&amp;A5091&amp;"'!"&amp;B5091)="Select One")</f>
        <v>0</v>
      </c>
      <c r="E5091" t="s">
        <v>64</v>
      </c>
      <c r="F5091" t="str">
        <f>INDEX(Lists!I:I,MATCH(Validation!E5091,Lists!G:G,0))</f>
        <v>Error</v>
      </c>
      <c r="G5091" t="str">
        <f>INDEX(Lists!H:H,MATCH(Validation!E5091,Lists!G:G,0))</f>
        <v>You must make a selection from the dropdown list.</v>
      </c>
      <c r="H5091" s="16" t="str">
        <f t="shared" ca="1" si="540"/>
        <v/>
      </c>
      <c r="I5091" s="16" t="str">
        <f t="shared" ca="1" si="541"/>
        <v/>
      </c>
      <c r="J5091" s="17" t="str">
        <f t="shared" ca="1" si="542"/>
        <v/>
      </c>
    </row>
    <row r="5092" spans="1:10" x14ac:dyDescent="0.25">
      <c r="A5092" t="s">
        <v>935</v>
      </c>
      <c r="B5092" t="str">
        <f>ADDRESS(ROW('Loan 1'!$B$16),COLUMN('Loan 1'!$B$16),4)</f>
        <v>B16</v>
      </c>
      <c r="C5092" t="str">
        <f>ADDRESS(ROW('Loan 1'!$D$16),COLUMN('Loan 1'!$D$16),4)</f>
        <v>D16</v>
      </c>
      <c r="D5092" t="b" cm="1">
        <f t="array" aca="1" ref="D5092" ca="1">AND(NOT(INDIRECT("'"&amp;A5092&amp;"'!B$7")=Lists!$AH$1),INDIRECT("'"&amp;A5092&amp;"'!"&amp;B5092)="Select One")</f>
        <v>0</v>
      </c>
      <c r="E5092" t="s">
        <v>64</v>
      </c>
      <c r="F5092" t="str">
        <f>INDEX(Lists!I:I,MATCH(Validation!E5092,Lists!G:G,0))</f>
        <v>Error</v>
      </c>
      <c r="G5092" t="str">
        <f>INDEX(Lists!H:H,MATCH(Validation!E5092,Lists!G:G,0))</f>
        <v>You must make a selection from the dropdown list.</v>
      </c>
      <c r="H5092" s="16" t="str">
        <f t="shared" ca="1" si="540"/>
        <v/>
      </c>
      <c r="I5092" s="16" t="str">
        <f t="shared" ca="1" si="541"/>
        <v/>
      </c>
      <c r="J5092" s="17" t="str">
        <f t="shared" ca="1" si="542"/>
        <v/>
      </c>
    </row>
    <row r="5093" spans="1:10" x14ac:dyDescent="0.25">
      <c r="A5093" t="s">
        <v>936</v>
      </c>
      <c r="B5093" t="str">
        <f>ADDRESS(ROW('Loan 1'!$B$16),COLUMN('Loan 1'!$B$16),4)</f>
        <v>B16</v>
      </c>
      <c r="C5093" t="str">
        <f>ADDRESS(ROW('Loan 1'!$D$16),COLUMN('Loan 1'!$D$16),4)</f>
        <v>D16</v>
      </c>
      <c r="D5093" t="b" cm="1">
        <f t="array" aca="1" ref="D5093" ca="1">AND(NOT(INDIRECT("'"&amp;A5093&amp;"'!B$7")=Lists!$AH$1),INDIRECT("'"&amp;A5093&amp;"'!"&amp;B5093)="Select One")</f>
        <v>0</v>
      </c>
      <c r="E5093" t="s">
        <v>64</v>
      </c>
      <c r="F5093" t="str">
        <f>INDEX(Lists!I:I,MATCH(Validation!E5093,Lists!G:G,0))</f>
        <v>Error</v>
      </c>
      <c r="G5093" t="str">
        <f>INDEX(Lists!H:H,MATCH(Validation!E5093,Lists!G:G,0))</f>
        <v>You must make a selection from the dropdown list.</v>
      </c>
      <c r="H5093" s="16" t="str">
        <f t="shared" ca="1" si="540"/>
        <v/>
      </c>
      <c r="I5093" s="16" t="str">
        <f t="shared" ca="1" si="541"/>
        <v/>
      </c>
      <c r="J5093" s="17" t="str">
        <f t="shared" ca="1" si="542"/>
        <v/>
      </c>
    </row>
    <row r="5094" spans="1:10" x14ac:dyDescent="0.25">
      <c r="A5094" t="s">
        <v>937</v>
      </c>
      <c r="B5094" t="str">
        <f>ADDRESS(ROW('Loan 1'!$B$16),COLUMN('Loan 1'!$B$16),4)</f>
        <v>B16</v>
      </c>
      <c r="C5094" t="str">
        <f>ADDRESS(ROW('Loan 1'!$D$16),COLUMN('Loan 1'!$D$16),4)</f>
        <v>D16</v>
      </c>
      <c r="D5094" t="b" cm="1">
        <f t="array" aca="1" ref="D5094" ca="1">AND(NOT(INDIRECT("'"&amp;A5094&amp;"'!B$7")=Lists!$AH$1),INDIRECT("'"&amp;A5094&amp;"'!"&amp;B5094)="Select One")</f>
        <v>0</v>
      </c>
      <c r="E5094" t="s">
        <v>64</v>
      </c>
      <c r="F5094" t="str">
        <f>INDEX(Lists!I:I,MATCH(Validation!E5094,Lists!G:G,0))</f>
        <v>Error</v>
      </c>
      <c r="G5094" t="str">
        <f>INDEX(Lists!H:H,MATCH(Validation!E5094,Lists!G:G,0))</f>
        <v>You must make a selection from the dropdown list.</v>
      </c>
      <c r="H5094" s="16" t="str">
        <f t="shared" ca="1" si="540"/>
        <v/>
      </c>
      <c r="I5094" s="16" t="str">
        <f t="shared" ca="1" si="541"/>
        <v/>
      </c>
      <c r="J5094" s="17" t="str">
        <f t="shared" ca="1" si="542"/>
        <v/>
      </c>
    </row>
    <row r="5095" spans="1:10" x14ac:dyDescent="0.25">
      <c r="A5095" t="s">
        <v>938</v>
      </c>
      <c r="B5095" t="str">
        <f>ADDRESS(ROW('Loan 1'!$B$16),COLUMN('Loan 1'!$B$16),4)</f>
        <v>B16</v>
      </c>
      <c r="C5095" t="str">
        <f>ADDRESS(ROW('Loan 1'!$D$16),COLUMN('Loan 1'!$D$16),4)</f>
        <v>D16</v>
      </c>
      <c r="D5095" t="b" cm="1">
        <f t="array" aca="1" ref="D5095" ca="1">AND(NOT(INDIRECT("'"&amp;A5095&amp;"'!B$7")=Lists!$AH$1),INDIRECT("'"&amp;A5095&amp;"'!"&amp;B5095)="Select One")</f>
        <v>0</v>
      </c>
      <c r="E5095" t="s">
        <v>64</v>
      </c>
      <c r="F5095" t="str">
        <f>INDEX(Lists!I:I,MATCH(Validation!E5095,Lists!G:G,0))</f>
        <v>Error</v>
      </c>
      <c r="G5095" t="str">
        <f>INDEX(Lists!H:H,MATCH(Validation!E5095,Lists!G:G,0))</f>
        <v>You must make a selection from the dropdown list.</v>
      </c>
      <c r="H5095" s="16" t="str">
        <f t="shared" ca="1" si="540"/>
        <v/>
      </c>
      <c r="I5095" s="16" t="str">
        <f t="shared" ca="1" si="541"/>
        <v/>
      </c>
      <c r="J5095" s="17" t="str">
        <f t="shared" ca="1" si="542"/>
        <v/>
      </c>
    </row>
    <row r="5096" spans="1:10" x14ac:dyDescent="0.25">
      <c r="A5096" t="s">
        <v>939</v>
      </c>
      <c r="B5096" t="str">
        <f>ADDRESS(ROW('Loan 1'!$B$16),COLUMN('Loan 1'!$B$16),4)</f>
        <v>B16</v>
      </c>
      <c r="C5096" t="str">
        <f>ADDRESS(ROW('Loan 1'!$D$16),COLUMN('Loan 1'!$D$16),4)</f>
        <v>D16</v>
      </c>
      <c r="D5096" t="b" cm="1">
        <f t="array" aca="1" ref="D5096" ca="1">AND(NOT(INDIRECT("'"&amp;A5096&amp;"'!B$7")=Lists!$AH$1),INDIRECT("'"&amp;A5096&amp;"'!"&amp;B5096)="Select One")</f>
        <v>0</v>
      </c>
      <c r="E5096" t="s">
        <v>64</v>
      </c>
      <c r="F5096" t="str">
        <f>INDEX(Lists!I:I,MATCH(Validation!E5096,Lists!G:G,0))</f>
        <v>Error</v>
      </c>
      <c r="G5096" t="str">
        <f>INDEX(Lists!H:H,MATCH(Validation!E5096,Lists!G:G,0))</f>
        <v>You must make a selection from the dropdown list.</v>
      </c>
      <c r="H5096" s="16" t="str">
        <f t="shared" ca="1" si="540"/>
        <v/>
      </c>
      <c r="I5096" s="16" t="str">
        <f t="shared" ca="1" si="541"/>
        <v/>
      </c>
      <c r="J5096" s="17" t="str">
        <f t="shared" ca="1" si="542"/>
        <v/>
      </c>
    </row>
    <row r="5097" spans="1:10" x14ac:dyDescent="0.25">
      <c r="A5097" t="s">
        <v>940</v>
      </c>
      <c r="B5097" t="str">
        <f>ADDRESS(ROW('Loan 1'!$B$16),COLUMN('Loan 1'!$B$16),4)</f>
        <v>B16</v>
      </c>
      <c r="C5097" t="str">
        <f>ADDRESS(ROW('Loan 1'!$D$16),COLUMN('Loan 1'!$D$16),4)</f>
        <v>D16</v>
      </c>
      <c r="D5097" t="b" cm="1">
        <f t="array" aca="1" ref="D5097" ca="1">AND(NOT(INDIRECT("'"&amp;A5097&amp;"'!B$7")=Lists!$AH$1),INDIRECT("'"&amp;A5097&amp;"'!"&amp;B5097)="Select One")</f>
        <v>0</v>
      </c>
      <c r="E5097" t="s">
        <v>64</v>
      </c>
      <c r="F5097" t="str">
        <f>INDEX(Lists!I:I,MATCH(Validation!E5097,Lists!G:G,0))</f>
        <v>Error</v>
      </c>
      <c r="G5097" t="str">
        <f>INDEX(Lists!H:H,MATCH(Validation!E5097,Lists!G:G,0))</f>
        <v>You must make a selection from the dropdown list.</v>
      </c>
      <c r="H5097" s="16" t="str">
        <f t="shared" ca="1" si="540"/>
        <v/>
      </c>
      <c r="I5097" s="16" t="str">
        <f t="shared" ca="1" si="541"/>
        <v/>
      </c>
      <c r="J5097" s="17" t="str">
        <f t="shared" ca="1" si="542"/>
        <v/>
      </c>
    </row>
    <row r="5098" spans="1:10" x14ac:dyDescent="0.25">
      <c r="A5098" t="s">
        <v>941</v>
      </c>
      <c r="B5098" t="str">
        <f>ADDRESS(ROW('Loan 1'!$B$16),COLUMN('Loan 1'!$B$16),4)</f>
        <v>B16</v>
      </c>
      <c r="C5098" t="str">
        <f>ADDRESS(ROW('Loan 1'!$D$16),COLUMN('Loan 1'!$D$16),4)</f>
        <v>D16</v>
      </c>
      <c r="D5098" t="b" cm="1">
        <f t="array" aca="1" ref="D5098" ca="1">AND(NOT(INDIRECT("'"&amp;A5098&amp;"'!B$7")=Lists!$AH$1),INDIRECT("'"&amp;A5098&amp;"'!"&amp;B5098)="Select One")</f>
        <v>0</v>
      </c>
      <c r="E5098" t="s">
        <v>64</v>
      </c>
      <c r="F5098" t="str">
        <f>INDEX(Lists!I:I,MATCH(Validation!E5098,Lists!G:G,0))</f>
        <v>Error</v>
      </c>
      <c r="G5098" t="str">
        <f>INDEX(Lists!H:H,MATCH(Validation!E5098,Lists!G:G,0))</f>
        <v>You must make a selection from the dropdown list.</v>
      </c>
      <c r="H5098" s="16" t="str">
        <f t="shared" ca="1" si="540"/>
        <v/>
      </c>
      <c r="I5098" s="16" t="str">
        <f t="shared" ca="1" si="541"/>
        <v/>
      </c>
      <c r="J5098" s="17" t="str">
        <f t="shared" ca="1" si="542"/>
        <v/>
      </c>
    </row>
    <row r="5099" spans="1:10" x14ac:dyDescent="0.25">
      <c r="A5099" t="s">
        <v>942</v>
      </c>
      <c r="B5099" t="str">
        <f>ADDRESS(ROW('Loan 1'!$B$16),COLUMN('Loan 1'!$B$16),4)</f>
        <v>B16</v>
      </c>
      <c r="C5099" t="str">
        <f>ADDRESS(ROW('Loan 1'!$D$16),COLUMN('Loan 1'!$D$16),4)</f>
        <v>D16</v>
      </c>
      <c r="D5099" t="b" cm="1">
        <f t="array" aca="1" ref="D5099" ca="1">AND(NOT(INDIRECT("'"&amp;A5099&amp;"'!B$7")=Lists!$AH$1),INDIRECT("'"&amp;A5099&amp;"'!"&amp;B5099)="Select One")</f>
        <v>0</v>
      </c>
      <c r="E5099" t="s">
        <v>64</v>
      </c>
      <c r="F5099" t="str">
        <f>INDEX(Lists!I:I,MATCH(Validation!E5099,Lists!G:G,0))</f>
        <v>Error</v>
      </c>
      <c r="G5099" t="str">
        <f>INDEX(Lists!H:H,MATCH(Validation!E5099,Lists!G:G,0))</f>
        <v>You must make a selection from the dropdown list.</v>
      </c>
      <c r="H5099" s="16" t="str">
        <f t="shared" ca="1" si="540"/>
        <v/>
      </c>
      <c r="I5099" s="16" t="str">
        <f t="shared" ca="1" si="541"/>
        <v/>
      </c>
      <c r="J5099" s="17" t="str">
        <f t="shared" ca="1" si="542"/>
        <v/>
      </c>
    </row>
    <row r="5100" spans="1:10" x14ac:dyDescent="0.25">
      <c r="A5100" t="s">
        <v>943</v>
      </c>
      <c r="B5100" t="str">
        <f>ADDRESS(ROW('Loan 1'!$B$16),COLUMN('Loan 1'!$B$16),4)</f>
        <v>B16</v>
      </c>
      <c r="C5100" t="str">
        <f>ADDRESS(ROW('Loan 1'!$D$16),COLUMN('Loan 1'!$D$16),4)</f>
        <v>D16</v>
      </c>
      <c r="D5100" t="b" cm="1">
        <f t="array" aca="1" ref="D5100" ca="1">AND(NOT(INDIRECT("'"&amp;A5100&amp;"'!B$7")=Lists!$AH$1),INDIRECT("'"&amp;A5100&amp;"'!"&amp;B5100)="Select One")</f>
        <v>0</v>
      </c>
      <c r="E5100" t="s">
        <v>64</v>
      </c>
      <c r="F5100" t="str">
        <f>INDEX(Lists!I:I,MATCH(Validation!E5100,Lists!G:G,0))</f>
        <v>Error</v>
      </c>
      <c r="G5100" t="str">
        <f>INDEX(Lists!H:H,MATCH(Validation!E5100,Lists!G:G,0))</f>
        <v>You must make a selection from the dropdown list.</v>
      </c>
      <c r="H5100" s="16" t="str">
        <f t="shared" ca="1" si="540"/>
        <v/>
      </c>
      <c r="I5100" s="16" t="str">
        <f t="shared" ca="1" si="541"/>
        <v/>
      </c>
      <c r="J5100" s="17" t="str">
        <f t="shared" ca="1" si="542"/>
        <v/>
      </c>
    </row>
    <row r="5101" spans="1:10" x14ac:dyDescent="0.25">
      <c r="A5101" t="s">
        <v>944</v>
      </c>
      <c r="B5101" t="str">
        <f>ADDRESS(ROW('Loan 1'!$B$16),COLUMN('Loan 1'!$B$16),4)</f>
        <v>B16</v>
      </c>
      <c r="C5101" t="str">
        <f>ADDRESS(ROW('Loan 1'!$D$16),COLUMN('Loan 1'!$D$16),4)</f>
        <v>D16</v>
      </c>
      <c r="D5101" t="b" cm="1">
        <f t="array" aca="1" ref="D5101" ca="1">AND(NOT(INDIRECT("'"&amp;A5101&amp;"'!B$7")=Lists!$AH$1),INDIRECT("'"&amp;A5101&amp;"'!"&amp;B5101)="Select One")</f>
        <v>0</v>
      </c>
      <c r="E5101" t="s">
        <v>64</v>
      </c>
      <c r="F5101" t="str">
        <f>INDEX(Lists!I:I,MATCH(Validation!E5101,Lists!G:G,0))</f>
        <v>Error</v>
      </c>
      <c r="G5101" t="str">
        <f>INDEX(Lists!H:H,MATCH(Validation!E5101,Lists!G:G,0))</f>
        <v>You must make a selection from the dropdown list.</v>
      </c>
      <c r="H5101" s="16" t="str">
        <f t="shared" ca="1" si="540"/>
        <v/>
      </c>
      <c r="I5101" s="16" t="str">
        <f t="shared" ca="1" si="541"/>
        <v/>
      </c>
      <c r="J5101" s="17" t="str">
        <f t="shared" ca="1" si="542"/>
        <v/>
      </c>
    </row>
    <row r="5102" spans="1:10" x14ac:dyDescent="0.25">
      <c r="A5102" t="s">
        <v>945</v>
      </c>
      <c r="B5102" t="str">
        <f>ADDRESS(ROW('Loan 1'!$B$16),COLUMN('Loan 1'!$B$16),4)</f>
        <v>B16</v>
      </c>
      <c r="C5102" t="str">
        <f>ADDRESS(ROW('Loan 1'!$D$16),COLUMN('Loan 1'!$D$16),4)</f>
        <v>D16</v>
      </c>
      <c r="D5102" t="b" cm="1">
        <f t="array" aca="1" ref="D5102" ca="1">AND(NOT(INDIRECT("'"&amp;A5102&amp;"'!B$7")=Lists!$AH$1),INDIRECT("'"&amp;A5102&amp;"'!"&amp;B5102)="Select One")</f>
        <v>0</v>
      </c>
      <c r="E5102" t="s">
        <v>64</v>
      </c>
      <c r="F5102" t="str">
        <f>INDEX(Lists!I:I,MATCH(Validation!E5102,Lists!G:G,0))</f>
        <v>Error</v>
      </c>
      <c r="G5102" t="str">
        <f>INDEX(Lists!H:H,MATCH(Validation!E5102,Lists!G:G,0))</f>
        <v>You must make a selection from the dropdown list.</v>
      </c>
      <c r="H5102" s="16" t="str">
        <f t="shared" ca="1" si="540"/>
        <v/>
      </c>
      <c r="I5102" s="16" t="str">
        <f t="shared" ca="1" si="541"/>
        <v/>
      </c>
      <c r="J5102" s="17" t="str">
        <f t="shared" ca="1" si="542"/>
        <v/>
      </c>
    </row>
    <row r="5103" spans="1:10" x14ac:dyDescent="0.25">
      <c r="A5103" t="s">
        <v>205</v>
      </c>
      <c r="B5103" t="str">
        <f>ADDRESS(ROW('Loan 1'!$B$17),COLUMN('Loan 1'!$B$17),4)</f>
        <v>B17</v>
      </c>
      <c r="C5103" t="str">
        <f>ADDRESS(ROW('Loan 1'!$D$17),COLUMN('Loan 1'!$D$17),4)</f>
        <v>D17</v>
      </c>
      <c r="D5103" t="b" cm="1">
        <f t="array" aca="1" ref="D5103" ca="1">AND(NOT(INDIRECT("'"&amp;A5103&amp;"'!B$7")=Lists!$AH$1),INDIRECT("'"&amp;A5103&amp;"'!"&amp;B5103)="Select One")</f>
        <v>1</v>
      </c>
      <c r="E5103" t="s">
        <v>64</v>
      </c>
      <c r="F5103" t="str">
        <f>INDEX(Lists!I:I,MATCH(Validation!E5103,Lists!G:G,0))</f>
        <v>Error</v>
      </c>
      <c r="G5103" t="str">
        <f>INDEX(Lists!H:H,MATCH(Validation!E5103,Lists!G:G,0))</f>
        <v>You must make a selection from the dropdown list.</v>
      </c>
      <c r="H5103" s="16" t="str">
        <f ca="1">IFERROR(IF(OR(NOT(D5103),F5103&lt;&gt;"Error"),"",A5103&amp;CELL("address",INDIRECT(B5103))),"")</f>
        <v>Loan 1$B$17</v>
      </c>
      <c r="I5103" s="16" t="str">
        <f ca="1">IFERROR(IF(NOT(D5103),"",A5103&amp;CELL("address",INDIRECT(C5103))),"")</f>
        <v>Loan 1$D$17</v>
      </c>
      <c r="J5103" s="17" t="str">
        <f ca="1">IFERROR(IF(NOT(D5103),"",A5103),"")</f>
        <v>Loan 1</v>
      </c>
    </row>
    <row r="5104" spans="1:10" x14ac:dyDescent="0.25">
      <c r="A5104" t="s">
        <v>932</v>
      </c>
      <c r="B5104" t="str">
        <f>ADDRESS(ROW('Loan 1'!$B$17),COLUMN('Loan 1'!$B$17),4)</f>
        <v>B17</v>
      </c>
      <c r="C5104" t="str">
        <f>ADDRESS(ROW('Loan 1'!$D$17),COLUMN('Loan 1'!$D$17),4)</f>
        <v>D17</v>
      </c>
      <c r="D5104" t="b" cm="1">
        <f t="array" aca="1" ref="D5104" ca="1">AND(NOT(INDIRECT("'"&amp;A5104&amp;"'!B$7")=Lists!$AH$1),INDIRECT("'"&amp;A5104&amp;"'!"&amp;B5104)="Select One")</f>
        <v>0</v>
      </c>
      <c r="E5104" t="s">
        <v>64</v>
      </c>
      <c r="F5104" t="str">
        <f>INDEX(Lists!I:I,MATCH(Validation!E5104,Lists!G:G,0))</f>
        <v>Error</v>
      </c>
      <c r="G5104" t="str">
        <f>INDEX(Lists!H:H,MATCH(Validation!E5104,Lists!G:G,0))</f>
        <v>You must make a selection from the dropdown list.</v>
      </c>
      <c r="H5104" s="16" t="str">
        <f t="shared" ref="H5104:H5117" ca="1" si="543">IFERROR(IF(OR(NOT(D5104),F5104&lt;&gt;"Error"),"",A5104&amp;CELL("address",INDIRECT(B5104))),"")</f>
        <v/>
      </c>
      <c r="I5104" s="16" t="str">
        <f t="shared" ref="I5104:I5117" ca="1" si="544">IFERROR(IF(NOT(D5104),"",A5104&amp;CELL("address",INDIRECT(C5104))),"")</f>
        <v/>
      </c>
      <c r="J5104" s="17" t="str">
        <f t="shared" ref="J5104:J5117" ca="1" si="545">IFERROR(IF(NOT(D5104),"",A5104),"")</f>
        <v/>
      </c>
    </row>
    <row r="5105" spans="1:10" x14ac:dyDescent="0.25">
      <c r="A5105" t="s">
        <v>933</v>
      </c>
      <c r="B5105" t="str">
        <f>ADDRESS(ROW('Loan 1'!$B$17),COLUMN('Loan 1'!$B$17),4)</f>
        <v>B17</v>
      </c>
      <c r="C5105" t="str">
        <f>ADDRESS(ROW('Loan 1'!$D$17),COLUMN('Loan 1'!$D$17),4)</f>
        <v>D17</v>
      </c>
      <c r="D5105" t="b" cm="1">
        <f t="array" aca="1" ref="D5105" ca="1">AND(NOT(INDIRECT("'"&amp;A5105&amp;"'!B$7")=Lists!$AH$1),INDIRECT("'"&amp;A5105&amp;"'!"&amp;B5105)="Select One")</f>
        <v>0</v>
      </c>
      <c r="E5105" t="s">
        <v>64</v>
      </c>
      <c r="F5105" t="str">
        <f>INDEX(Lists!I:I,MATCH(Validation!E5105,Lists!G:G,0))</f>
        <v>Error</v>
      </c>
      <c r="G5105" t="str">
        <f>INDEX(Lists!H:H,MATCH(Validation!E5105,Lists!G:G,0))</f>
        <v>You must make a selection from the dropdown list.</v>
      </c>
      <c r="H5105" s="16" t="str">
        <f t="shared" ca="1" si="543"/>
        <v/>
      </c>
      <c r="I5105" s="16" t="str">
        <f t="shared" ca="1" si="544"/>
        <v/>
      </c>
      <c r="J5105" s="17" t="str">
        <f t="shared" ca="1" si="545"/>
        <v/>
      </c>
    </row>
    <row r="5106" spans="1:10" x14ac:dyDescent="0.25">
      <c r="A5106" t="s">
        <v>934</v>
      </c>
      <c r="B5106" t="str">
        <f>ADDRESS(ROW('Loan 1'!$B$17),COLUMN('Loan 1'!$B$17),4)</f>
        <v>B17</v>
      </c>
      <c r="C5106" t="str">
        <f>ADDRESS(ROW('Loan 1'!$D$17),COLUMN('Loan 1'!$D$17),4)</f>
        <v>D17</v>
      </c>
      <c r="D5106" t="b" cm="1">
        <f t="array" aca="1" ref="D5106" ca="1">AND(NOT(INDIRECT("'"&amp;A5106&amp;"'!B$7")=Lists!$AH$1),INDIRECT("'"&amp;A5106&amp;"'!"&amp;B5106)="Select One")</f>
        <v>0</v>
      </c>
      <c r="E5106" t="s">
        <v>64</v>
      </c>
      <c r="F5106" t="str">
        <f>INDEX(Lists!I:I,MATCH(Validation!E5106,Lists!G:G,0))</f>
        <v>Error</v>
      </c>
      <c r="G5106" t="str">
        <f>INDEX(Lists!H:H,MATCH(Validation!E5106,Lists!G:G,0))</f>
        <v>You must make a selection from the dropdown list.</v>
      </c>
      <c r="H5106" s="16" t="str">
        <f t="shared" ca="1" si="543"/>
        <v/>
      </c>
      <c r="I5106" s="16" t="str">
        <f t="shared" ca="1" si="544"/>
        <v/>
      </c>
      <c r="J5106" s="17" t="str">
        <f t="shared" ca="1" si="545"/>
        <v/>
      </c>
    </row>
    <row r="5107" spans="1:10" x14ac:dyDescent="0.25">
      <c r="A5107" t="s">
        <v>935</v>
      </c>
      <c r="B5107" t="str">
        <f>ADDRESS(ROW('Loan 1'!$B$17),COLUMN('Loan 1'!$B$17),4)</f>
        <v>B17</v>
      </c>
      <c r="C5107" t="str">
        <f>ADDRESS(ROW('Loan 1'!$D$17),COLUMN('Loan 1'!$D$17),4)</f>
        <v>D17</v>
      </c>
      <c r="D5107" t="b" cm="1">
        <f t="array" aca="1" ref="D5107" ca="1">AND(NOT(INDIRECT("'"&amp;A5107&amp;"'!B$7")=Lists!$AH$1),INDIRECT("'"&amp;A5107&amp;"'!"&amp;B5107)="Select One")</f>
        <v>0</v>
      </c>
      <c r="E5107" t="s">
        <v>64</v>
      </c>
      <c r="F5107" t="str">
        <f>INDEX(Lists!I:I,MATCH(Validation!E5107,Lists!G:G,0))</f>
        <v>Error</v>
      </c>
      <c r="G5107" t="str">
        <f>INDEX(Lists!H:H,MATCH(Validation!E5107,Lists!G:G,0))</f>
        <v>You must make a selection from the dropdown list.</v>
      </c>
      <c r="H5107" s="16" t="str">
        <f t="shared" ca="1" si="543"/>
        <v/>
      </c>
      <c r="I5107" s="16" t="str">
        <f t="shared" ca="1" si="544"/>
        <v/>
      </c>
      <c r="J5107" s="17" t="str">
        <f t="shared" ca="1" si="545"/>
        <v/>
      </c>
    </row>
    <row r="5108" spans="1:10" x14ac:dyDescent="0.25">
      <c r="A5108" t="s">
        <v>936</v>
      </c>
      <c r="B5108" t="str">
        <f>ADDRESS(ROW('Loan 1'!$B$17),COLUMN('Loan 1'!$B$17),4)</f>
        <v>B17</v>
      </c>
      <c r="C5108" t="str">
        <f>ADDRESS(ROW('Loan 1'!$D$17),COLUMN('Loan 1'!$D$17),4)</f>
        <v>D17</v>
      </c>
      <c r="D5108" t="b" cm="1">
        <f t="array" aca="1" ref="D5108" ca="1">AND(NOT(INDIRECT("'"&amp;A5108&amp;"'!B$7")=Lists!$AH$1),INDIRECT("'"&amp;A5108&amp;"'!"&amp;B5108)="Select One")</f>
        <v>0</v>
      </c>
      <c r="E5108" t="s">
        <v>64</v>
      </c>
      <c r="F5108" t="str">
        <f>INDEX(Lists!I:I,MATCH(Validation!E5108,Lists!G:G,0))</f>
        <v>Error</v>
      </c>
      <c r="G5108" t="str">
        <f>INDEX(Lists!H:H,MATCH(Validation!E5108,Lists!G:G,0))</f>
        <v>You must make a selection from the dropdown list.</v>
      </c>
      <c r="H5108" s="16" t="str">
        <f t="shared" ca="1" si="543"/>
        <v/>
      </c>
      <c r="I5108" s="16" t="str">
        <f t="shared" ca="1" si="544"/>
        <v/>
      </c>
      <c r="J5108" s="17" t="str">
        <f t="shared" ca="1" si="545"/>
        <v/>
      </c>
    </row>
    <row r="5109" spans="1:10" x14ac:dyDescent="0.25">
      <c r="A5109" t="s">
        <v>937</v>
      </c>
      <c r="B5109" t="str">
        <f>ADDRESS(ROW('Loan 1'!$B$17),COLUMN('Loan 1'!$B$17),4)</f>
        <v>B17</v>
      </c>
      <c r="C5109" t="str">
        <f>ADDRESS(ROW('Loan 1'!$D$17),COLUMN('Loan 1'!$D$17),4)</f>
        <v>D17</v>
      </c>
      <c r="D5109" t="b" cm="1">
        <f t="array" aca="1" ref="D5109" ca="1">AND(NOT(INDIRECT("'"&amp;A5109&amp;"'!B$7")=Lists!$AH$1),INDIRECT("'"&amp;A5109&amp;"'!"&amp;B5109)="Select One")</f>
        <v>0</v>
      </c>
      <c r="E5109" t="s">
        <v>64</v>
      </c>
      <c r="F5109" t="str">
        <f>INDEX(Lists!I:I,MATCH(Validation!E5109,Lists!G:G,0))</f>
        <v>Error</v>
      </c>
      <c r="G5109" t="str">
        <f>INDEX(Lists!H:H,MATCH(Validation!E5109,Lists!G:G,0))</f>
        <v>You must make a selection from the dropdown list.</v>
      </c>
      <c r="H5109" s="16" t="str">
        <f t="shared" ca="1" si="543"/>
        <v/>
      </c>
      <c r="I5109" s="16" t="str">
        <f t="shared" ca="1" si="544"/>
        <v/>
      </c>
      <c r="J5109" s="17" t="str">
        <f t="shared" ca="1" si="545"/>
        <v/>
      </c>
    </row>
    <row r="5110" spans="1:10" x14ac:dyDescent="0.25">
      <c r="A5110" t="s">
        <v>938</v>
      </c>
      <c r="B5110" t="str">
        <f>ADDRESS(ROW('Loan 1'!$B$17),COLUMN('Loan 1'!$B$17),4)</f>
        <v>B17</v>
      </c>
      <c r="C5110" t="str">
        <f>ADDRESS(ROW('Loan 1'!$D$17),COLUMN('Loan 1'!$D$17),4)</f>
        <v>D17</v>
      </c>
      <c r="D5110" t="b" cm="1">
        <f t="array" aca="1" ref="D5110" ca="1">AND(NOT(INDIRECT("'"&amp;A5110&amp;"'!B$7")=Lists!$AH$1),INDIRECT("'"&amp;A5110&amp;"'!"&amp;B5110)="Select One")</f>
        <v>0</v>
      </c>
      <c r="E5110" t="s">
        <v>64</v>
      </c>
      <c r="F5110" t="str">
        <f>INDEX(Lists!I:I,MATCH(Validation!E5110,Lists!G:G,0))</f>
        <v>Error</v>
      </c>
      <c r="G5110" t="str">
        <f>INDEX(Lists!H:H,MATCH(Validation!E5110,Lists!G:G,0))</f>
        <v>You must make a selection from the dropdown list.</v>
      </c>
      <c r="H5110" s="16" t="str">
        <f t="shared" ca="1" si="543"/>
        <v/>
      </c>
      <c r="I5110" s="16" t="str">
        <f t="shared" ca="1" si="544"/>
        <v/>
      </c>
      <c r="J5110" s="17" t="str">
        <f t="shared" ca="1" si="545"/>
        <v/>
      </c>
    </row>
    <row r="5111" spans="1:10" x14ac:dyDescent="0.25">
      <c r="A5111" t="s">
        <v>939</v>
      </c>
      <c r="B5111" t="str">
        <f>ADDRESS(ROW('Loan 1'!$B$17),COLUMN('Loan 1'!$B$17),4)</f>
        <v>B17</v>
      </c>
      <c r="C5111" t="str">
        <f>ADDRESS(ROW('Loan 1'!$D$17),COLUMN('Loan 1'!$D$17),4)</f>
        <v>D17</v>
      </c>
      <c r="D5111" t="b" cm="1">
        <f t="array" aca="1" ref="D5111" ca="1">AND(NOT(INDIRECT("'"&amp;A5111&amp;"'!B$7")=Lists!$AH$1),INDIRECT("'"&amp;A5111&amp;"'!"&amp;B5111)="Select One")</f>
        <v>0</v>
      </c>
      <c r="E5111" t="s">
        <v>64</v>
      </c>
      <c r="F5111" t="str">
        <f>INDEX(Lists!I:I,MATCH(Validation!E5111,Lists!G:G,0))</f>
        <v>Error</v>
      </c>
      <c r="G5111" t="str">
        <f>INDEX(Lists!H:H,MATCH(Validation!E5111,Lists!G:G,0))</f>
        <v>You must make a selection from the dropdown list.</v>
      </c>
      <c r="H5111" s="16" t="str">
        <f t="shared" ca="1" si="543"/>
        <v/>
      </c>
      <c r="I5111" s="16" t="str">
        <f t="shared" ca="1" si="544"/>
        <v/>
      </c>
      <c r="J5111" s="17" t="str">
        <f t="shared" ca="1" si="545"/>
        <v/>
      </c>
    </row>
    <row r="5112" spans="1:10" x14ac:dyDescent="0.25">
      <c r="A5112" t="s">
        <v>940</v>
      </c>
      <c r="B5112" t="str">
        <f>ADDRESS(ROW('Loan 1'!$B$17),COLUMN('Loan 1'!$B$17),4)</f>
        <v>B17</v>
      </c>
      <c r="C5112" t="str">
        <f>ADDRESS(ROW('Loan 1'!$D$17),COLUMN('Loan 1'!$D$17),4)</f>
        <v>D17</v>
      </c>
      <c r="D5112" t="b" cm="1">
        <f t="array" aca="1" ref="D5112" ca="1">AND(NOT(INDIRECT("'"&amp;A5112&amp;"'!B$7")=Lists!$AH$1),INDIRECT("'"&amp;A5112&amp;"'!"&amp;B5112)="Select One")</f>
        <v>0</v>
      </c>
      <c r="E5112" t="s">
        <v>64</v>
      </c>
      <c r="F5112" t="str">
        <f>INDEX(Lists!I:I,MATCH(Validation!E5112,Lists!G:G,0))</f>
        <v>Error</v>
      </c>
      <c r="G5112" t="str">
        <f>INDEX(Lists!H:H,MATCH(Validation!E5112,Lists!G:G,0))</f>
        <v>You must make a selection from the dropdown list.</v>
      </c>
      <c r="H5112" s="16" t="str">
        <f t="shared" ca="1" si="543"/>
        <v/>
      </c>
      <c r="I5112" s="16" t="str">
        <f t="shared" ca="1" si="544"/>
        <v/>
      </c>
      <c r="J5112" s="17" t="str">
        <f t="shared" ca="1" si="545"/>
        <v/>
      </c>
    </row>
    <row r="5113" spans="1:10" x14ac:dyDescent="0.25">
      <c r="A5113" t="s">
        <v>941</v>
      </c>
      <c r="B5113" t="str">
        <f>ADDRESS(ROW('Loan 1'!$B$17),COLUMN('Loan 1'!$B$17),4)</f>
        <v>B17</v>
      </c>
      <c r="C5113" t="str">
        <f>ADDRESS(ROW('Loan 1'!$D$17),COLUMN('Loan 1'!$D$17),4)</f>
        <v>D17</v>
      </c>
      <c r="D5113" t="b" cm="1">
        <f t="array" aca="1" ref="D5113" ca="1">AND(NOT(INDIRECT("'"&amp;A5113&amp;"'!B$7")=Lists!$AH$1),INDIRECT("'"&amp;A5113&amp;"'!"&amp;B5113)="Select One")</f>
        <v>0</v>
      </c>
      <c r="E5113" t="s">
        <v>64</v>
      </c>
      <c r="F5113" t="str">
        <f>INDEX(Lists!I:I,MATCH(Validation!E5113,Lists!G:G,0))</f>
        <v>Error</v>
      </c>
      <c r="G5113" t="str">
        <f>INDEX(Lists!H:H,MATCH(Validation!E5113,Lists!G:G,0))</f>
        <v>You must make a selection from the dropdown list.</v>
      </c>
      <c r="H5113" s="16" t="str">
        <f t="shared" ca="1" si="543"/>
        <v/>
      </c>
      <c r="I5113" s="16" t="str">
        <f t="shared" ca="1" si="544"/>
        <v/>
      </c>
      <c r="J5113" s="17" t="str">
        <f t="shared" ca="1" si="545"/>
        <v/>
      </c>
    </row>
    <row r="5114" spans="1:10" x14ac:dyDescent="0.25">
      <c r="A5114" t="s">
        <v>942</v>
      </c>
      <c r="B5114" t="str">
        <f>ADDRESS(ROW('Loan 1'!$B$17),COLUMN('Loan 1'!$B$17),4)</f>
        <v>B17</v>
      </c>
      <c r="C5114" t="str">
        <f>ADDRESS(ROW('Loan 1'!$D$17),COLUMN('Loan 1'!$D$17),4)</f>
        <v>D17</v>
      </c>
      <c r="D5114" t="b" cm="1">
        <f t="array" aca="1" ref="D5114" ca="1">AND(NOT(INDIRECT("'"&amp;A5114&amp;"'!B$7")=Lists!$AH$1),INDIRECT("'"&amp;A5114&amp;"'!"&amp;B5114)="Select One")</f>
        <v>0</v>
      </c>
      <c r="E5114" t="s">
        <v>64</v>
      </c>
      <c r="F5114" t="str">
        <f>INDEX(Lists!I:I,MATCH(Validation!E5114,Lists!G:G,0))</f>
        <v>Error</v>
      </c>
      <c r="G5114" t="str">
        <f>INDEX(Lists!H:H,MATCH(Validation!E5114,Lists!G:G,0))</f>
        <v>You must make a selection from the dropdown list.</v>
      </c>
      <c r="H5114" s="16" t="str">
        <f t="shared" ca="1" si="543"/>
        <v/>
      </c>
      <c r="I5114" s="16" t="str">
        <f t="shared" ca="1" si="544"/>
        <v/>
      </c>
      <c r="J5114" s="17" t="str">
        <f t="shared" ca="1" si="545"/>
        <v/>
      </c>
    </row>
    <row r="5115" spans="1:10" x14ac:dyDescent="0.25">
      <c r="A5115" t="s">
        <v>943</v>
      </c>
      <c r="B5115" t="str">
        <f>ADDRESS(ROW('Loan 1'!$B$17),COLUMN('Loan 1'!$B$17),4)</f>
        <v>B17</v>
      </c>
      <c r="C5115" t="str">
        <f>ADDRESS(ROW('Loan 1'!$D$17),COLUMN('Loan 1'!$D$17),4)</f>
        <v>D17</v>
      </c>
      <c r="D5115" t="b" cm="1">
        <f t="array" aca="1" ref="D5115" ca="1">AND(NOT(INDIRECT("'"&amp;A5115&amp;"'!B$7")=Lists!$AH$1),INDIRECT("'"&amp;A5115&amp;"'!"&amp;B5115)="Select One")</f>
        <v>0</v>
      </c>
      <c r="E5115" t="s">
        <v>64</v>
      </c>
      <c r="F5115" t="str">
        <f>INDEX(Lists!I:I,MATCH(Validation!E5115,Lists!G:G,0))</f>
        <v>Error</v>
      </c>
      <c r="G5115" t="str">
        <f>INDEX(Lists!H:H,MATCH(Validation!E5115,Lists!G:G,0))</f>
        <v>You must make a selection from the dropdown list.</v>
      </c>
      <c r="H5115" s="16" t="str">
        <f t="shared" ca="1" si="543"/>
        <v/>
      </c>
      <c r="I5115" s="16" t="str">
        <f t="shared" ca="1" si="544"/>
        <v/>
      </c>
      <c r="J5115" s="17" t="str">
        <f t="shared" ca="1" si="545"/>
        <v/>
      </c>
    </row>
    <row r="5116" spans="1:10" x14ac:dyDescent="0.25">
      <c r="A5116" t="s">
        <v>944</v>
      </c>
      <c r="B5116" t="str">
        <f>ADDRESS(ROW('Loan 1'!$B$17),COLUMN('Loan 1'!$B$17),4)</f>
        <v>B17</v>
      </c>
      <c r="C5116" t="str">
        <f>ADDRESS(ROW('Loan 1'!$D$17),COLUMN('Loan 1'!$D$17),4)</f>
        <v>D17</v>
      </c>
      <c r="D5116" t="b" cm="1">
        <f t="array" aca="1" ref="D5116" ca="1">AND(NOT(INDIRECT("'"&amp;A5116&amp;"'!B$7")=Lists!$AH$1),INDIRECT("'"&amp;A5116&amp;"'!"&amp;B5116)="Select One")</f>
        <v>0</v>
      </c>
      <c r="E5116" t="s">
        <v>64</v>
      </c>
      <c r="F5116" t="str">
        <f>INDEX(Lists!I:I,MATCH(Validation!E5116,Lists!G:G,0))</f>
        <v>Error</v>
      </c>
      <c r="G5116" t="str">
        <f>INDEX(Lists!H:H,MATCH(Validation!E5116,Lists!G:G,0))</f>
        <v>You must make a selection from the dropdown list.</v>
      </c>
      <c r="H5116" s="16" t="str">
        <f t="shared" ca="1" si="543"/>
        <v/>
      </c>
      <c r="I5116" s="16" t="str">
        <f t="shared" ca="1" si="544"/>
        <v/>
      </c>
      <c r="J5116" s="17" t="str">
        <f t="shared" ca="1" si="545"/>
        <v/>
      </c>
    </row>
    <row r="5117" spans="1:10" x14ac:dyDescent="0.25">
      <c r="A5117" t="s">
        <v>945</v>
      </c>
      <c r="B5117" t="str">
        <f>ADDRESS(ROW('Loan 1'!$B$17),COLUMN('Loan 1'!$B$17),4)</f>
        <v>B17</v>
      </c>
      <c r="C5117" t="str">
        <f>ADDRESS(ROW('Loan 1'!$D$17),COLUMN('Loan 1'!$D$17),4)</f>
        <v>D17</v>
      </c>
      <c r="D5117" t="b" cm="1">
        <f t="array" aca="1" ref="D5117" ca="1">AND(NOT(INDIRECT("'"&amp;A5117&amp;"'!B$7")=Lists!$AH$1),INDIRECT("'"&amp;A5117&amp;"'!"&amp;B5117)="Select One")</f>
        <v>0</v>
      </c>
      <c r="E5117" t="s">
        <v>64</v>
      </c>
      <c r="F5117" t="str">
        <f>INDEX(Lists!I:I,MATCH(Validation!E5117,Lists!G:G,0))</f>
        <v>Error</v>
      </c>
      <c r="G5117" t="str">
        <f>INDEX(Lists!H:H,MATCH(Validation!E5117,Lists!G:G,0))</f>
        <v>You must make a selection from the dropdown list.</v>
      </c>
      <c r="H5117" s="16" t="str">
        <f t="shared" ca="1" si="543"/>
        <v/>
      </c>
      <c r="I5117" s="16" t="str">
        <f t="shared" ca="1" si="544"/>
        <v/>
      </c>
      <c r="J5117" s="17" t="str">
        <f t="shared" ca="1" si="545"/>
        <v/>
      </c>
    </row>
    <row r="5118" spans="1:10" x14ac:dyDescent="0.25">
      <c r="A5118" t="s">
        <v>205</v>
      </c>
      <c r="B5118" t="str">
        <f>ADDRESS(ROW('Loan 1'!$B$19),COLUMN('Loan 1'!$B$19),4)</f>
        <v>B19</v>
      </c>
      <c r="C5118" t="str">
        <f>ADDRESS(ROW('Loan 1'!$D$19),COLUMN('Loan 1'!$D$19),4)</f>
        <v>D19</v>
      </c>
      <c r="D5118" t="b" cm="1">
        <f t="array" aca="1" ref="D5118" ca="1">IF(INDIRECT("'"&amp;A5118&amp;"'!"&amp;B5118)="",FALSE,IF(NOT(ISNUMBER(INDIRECT("'"&amp;A5118&amp;"'!"&amp;B5118))),TRUE,FALSE))</f>
        <v>0</v>
      </c>
      <c r="E5118" t="s">
        <v>435</v>
      </c>
      <c r="F5118" t="str">
        <f>INDEX(Lists!I:I,MATCH(Validation!E5118,Lists!G:G,0))</f>
        <v>Error</v>
      </c>
      <c r="G5118" t="str">
        <f>INDEX(Lists!H:H,MATCH(Validation!E5118,Lists!G:G,0))</f>
        <v>Enter an amount only. Do not enter text or spaces.</v>
      </c>
      <c r="H5118" s="16" t="str">
        <f ca="1">IFERROR(IF(OR(NOT(D5118),F5118&lt;&gt;"Error"),"",A5118&amp;CELL("address",INDIRECT(B5118))),"")</f>
        <v/>
      </c>
      <c r="I5118" s="16" t="str">
        <f ca="1">IFERROR(IF(NOT(D5118),"",A5118&amp;CELL("address",INDIRECT(C5118))),"")</f>
        <v/>
      </c>
      <c r="J5118" s="17" t="str">
        <f ca="1">IFERROR(IF(NOT(D5118),"",A5118),"")</f>
        <v/>
      </c>
    </row>
    <row r="5119" spans="1:10" x14ac:dyDescent="0.25">
      <c r="A5119" t="s">
        <v>932</v>
      </c>
      <c r="B5119" t="str">
        <f>ADDRESS(ROW('Loan 1'!$B$19),COLUMN('Loan 1'!$B$19),4)</f>
        <v>B19</v>
      </c>
      <c r="C5119" t="str">
        <f>ADDRESS(ROW('Loan 1'!$D$19),COLUMN('Loan 1'!$D$19),4)</f>
        <v>D19</v>
      </c>
      <c r="D5119" t="b" cm="1">
        <f t="array" aca="1" ref="D5119" ca="1">IF(INDIRECT("'"&amp;A5119&amp;"'!"&amp;B5119)="",FALSE,IF(NOT(ISNUMBER(INDIRECT("'"&amp;A5119&amp;"'!"&amp;B5119))),TRUE,FALSE))</f>
        <v>0</v>
      </c>
      <c r="E5119" t="s">
        <v>435</v>
      </c>
      <c r="F5119" t="str">
        <f>INDEX(Lists!I:I,MATCH(Validation!E5119,Lists!G:G,0))</f>
        <v>Error</v>
      </c>
      <c r="G5119" t="str">
        <f>INDEX(Lists!H:H,MATCH(Validation!E5119,Lists!G:G,0))</f>
        <v>Enter an amount only. Do not enter text or spaces.</v>
      </c>
      <c r="H5119" s="16" t="str">
        <f t="shared" ref="H5119:H5132" ca="1" si="546">IFERROR(IF(OR(NOT(D5119),F5119&lt;&gt;"Error"),"",A5119&amp;CELL("address",INDIRECT(B5119))),"")</f>
        <v/>
      </c>
      <c r="I5119" s="16" t="str">
        <f t="shared" ref="I5119:I5132" ca="1" si="547">IFERROR(IF(NOT(D5119),"",A5119&amp;CELL("address",INDIRECT(C5119))),"")</f>
        <v/>
      </c>
      <c r="J5119" s="17" t="str">
        <f t="shared" ref="J5119:J5132" ca="1" si="548">IFERROR(IF(NOT(D5119),"",A5119),"")</f>
        <v/>
      </c>
    </row>
    <row r="5120" spans="1:10" x14ac:dyDescent="0.25">
      <c r="A5120" t="s">
        <v>933</v>
      </c>
      <c r="B5120" t="str">
        <f>ADDRESS(ROW('Loan 1'!$B$19),COLUMN('Loan 1'!$B$19),4)</f>
        <v>B19</v>
      </c>
      <c r="C5120" t="str">
        <f>ADDRESS(ROW('Loan 1'!$D$19),COLUMN('Loan 1'!$D$19),4)</f>
        <v>D19</v>
      </c>
      <c r="D5120" t="b" cm="1">
        <f t="array" aca="1" ref="D5120" ca="1">IF(INDIRECT("'"&amp;A5120&amp;"'!"&amp;B5120)="",FALSE,IF(NOT(ISNUMBER(INDIRECT("'"&amp;A5120&amp;"'!"&amp;B5120))),TRUE,FALSE))</f>
        <v>0</v>
      </c>
      <c r="E5120" t="s">
        <v>435</v>
      </c>
      <c r="F5120" t="str">
        <f>INDEX(Lists!I:I,MATCH(Validation!E5120,Lists!G:G,0))</f>
        <v>Error</v>
      </c>
      <c r="G5120" t="str">
        <f>INDEX(Lists!H:H,MATCH(Validation!E5120,Lists!G:G,0))</f>
        <v>Enter an amount only. Do not enter text or spaces.</v>
      </c>
      <c r="H5120" s="16" t="str">
        <f t="shared" ca="1" si="546"/>
        <v/>
      </c>
      <c r="I5120" s="16" t="str">
        <f t="shared" ca="1" si="547"/>
        <v/>
      </c>
      <c r="J5120" s="17" t="str">
        <f t="shared" ca="1" si="548"/>
        <v/>
      </c>
    </row>
    <row r="5121" spans="1:10" x14ac:dyDescent="0.25">
      <c r="A5121" t="s">
        <v>934</v>
      </c>
      <c r="B5121" t="str">
        <f>ADDRESS(ROW('Loan 1'!$B$19),COLUMN('Loan 1'!$B$19),4)</f>
        <v>B19</v>
      </c>
      <c r="C5121" t="str">
        <f>ADDRESS(ROW('Loan 1'!$D$19),COLUMN('Loan 1'!$D$19),4)</f>
        <v>D19</v>
      </c>
      <c r="D5121" t="b" cm="1">
        <f t="array" aca="1" ref="D5121" ca="1">IF(INDIRECT("'"&amp;A5121&amp;"'!"&amp;B5121)="",FALSE,IF(NOT(ISNUMBER(INDIRECT("'"&amp;A5121&amp;"'!"&amp;B5121))),TRUE,FALSE))</f>
        <v>0</v>
      </c>
      <c r="E5121" t="s">
        <v>435</v>
      </c>
      <c r="F5121" t="str">
        <f>INDEX(Lists!I:I,MATCH(Validation!E5121,Lists!G:G,0))</f>
        <v>Error</v>
      </c>
      <c r="G5121" t="str">
        <f>INDEX(Lists!H:H,MATCH(Validation!E5121,Lists!G:G,0))</f>
        <v>Enter an amount only. Do not enter text or spaces.</v>
      </c>
      <c r="H5121" s="16" t="str">
        <f t="shared" ca="1" si="546"/>
        <v/>
      </c>
      <c r="I5121" s="16" t="str">
        <f t="shared" ca="1" si="547"/>
        <v/>
      </c>
      <c r="J5121" s="17" t="str">
        <f t="shared" ca="1" si="548"/>
        <v/>
      </c>
    </row>
    <row r="5122" spans="1:10" x14ac:dyDescent="0.25">
      <c r="A5122" t="s">
        <v>935</v>
      </c>
      <c r="B5122" t="str">
        <f>ADDRESS(ROW('Loan 1'!$B$19),COLUMN('Loan 1'!$B$19),4)</f>
        <v>B19</v>
      </c>
      <c r="C5122" t="str">
        <f>ADDRESS(ROW('Loan 1'!$D$19),COLUMN('Loan 1'!$D$19),4)</f>
        <v>D19</v>
      </c>
      <c r="D5122" t="b" cm="1">
        <f t="array" aca="1" ref="D5122" ca="1">IF(INDIRECT("'"&amp;A5122&amp;"'!"&amp;B5122)="",FALSE,IF(NOT(ISNUMBER(INDIRECT("'"&amp;A5122&amp;"'!"&amp;B5122))),TRUE,FALSE))</f>
        <v>0</v>
      </c>
      <c r="E5122" t="s">
        <v>435</v>
      </c>
      <c r="F5122" t="str">
        <f>INDEX(Lists!I:I,MATCH(Validation!E5122,Lists!G:G,0))</f>
        <v>Error</v>
      </c>
      <c r="G5122" t="str">
        <f>INDEX(Lists!H:H,MATCH(Validation!E5122,Lists!G:G,0))</f>
        <v>Enter an amount only. Do not enter text or spaces.</v>
      </c>
      <c r="H5122" s="16" t="str">
        <f t="shared" ca="1" si="546"/>
        <v/>
      </c>
      <c r="I5122" s="16" t="str">
        <f t="shared" ca="1" si="547"/>
        <v/>
      </c>
      <c r="J5122" s="17" t="str">
        <f t="shared" ca="1" si="548"/>
        <v/>
      </c>
    </row>
    <row r="5123" spans="1:10" x14ac:dyDescent="0.25">
      <c r="A5123" t="s">
        <v>936</v>
      </c>
      <c r="B5123" t="str">
        <f>ADDRESS(ROW('Loan 1'!$B$19),COLUMN('Loan 1'!$B$19),4)</f>
        <v>B19</v>
      </c>
      <c r="C5123" t="str">
        <f>ADDRESS(ROW('Loan 1'!$D$19),COLUMN('Loan 1'!$D$19),4)</f>
        <v>D19</v>
      </c>
      <c r="D5123" t="b" cm="1">
        <f t="array" aca="1" ref="D5123" ca="1">IF(INDIRECT("'"&amp;A5123&amp;"'!"&amp;B5123)="",FALSE,IF(NOT(ISNUMBER(INDIRECT("'"&amp;A5123&amp;"'!"&amp;B5123))),TRUE,FALSE))</f>
        <v>0</v>
      </c>
      <c r="E5123" t="s">
        <v>435</v>
      </c>
      <c r="F5123" t="str">
        <f>INDEX(Lists!I:I,MATCH(Validation!E5123,Lists!G:G,0))</f>
        <v>Error</v>
      </c>
      <c r="G5123" t="str">
        <f>INDEX(Lists!H:H,MATCH(Validation!E5123,Lists!G:G,0))</f>
        <v>Enter an amount only. Do not enter text or spaces.</v>
      </c>
      <c r="H5123" s="16" t="str">
        <f t="shared" ca="1" si="546"/>
        <v/>
      </c>
      <c r="I5123" s="16" t="str">
        <f t="shared" ca="1" si="547"/>
        <v/>
      </c>
      <c r="J5123" s="17" t="str">
        <f t="shared" ca="1" si="548"/>
        <v/>
      </c>
    </row>
    <row r="5124" spans="1:10" x14ac:dyDescent="0.25">
      <c r="A5124" t="s">
        <v>937</v>
      </c>
      <c r="B5124" t="str">
        <f>ADDRESS(ROW('Loan 1'!$B$19),COLUMN('Loan 1'!$B$19),4)</f>
        <v>B19</v>
      </c>
      <c r="C5124" t="str">
        <f>ADDRESS(ROW('Loan 1'!$D$19),COLUMN('Loan 1'!$D$19),4)</f>
        <v>D19</v>
      </c>
      <c r="D5124" t="b" cm="1">
        <f t="array" aca="1" ref="D5124" ca="1">IF(INDIRECT("'"&amp;A5124&amp;"'!"&amp;B5124)="",FALSE,IF(NOT(ISNUMBER(INDIRECT("'"&amp;A5124&amp;"'!"&amp;B5124))),TRUE,FALSE))</f>
        <v>0</v>
      </c>
      <c r="E5124" t="s">
        <v>435</v>
      </c>
      <c r="F5124" t="str">
        <f>INDEX(Lists!I:I,MATCH(Validation!E5124,Lists!G:G,0))</f>
        <v>Error</v>
      </c>
      <c r="G5124" t="str">
        <f>INDEX(Lists!H:H,MATCH(Validation!E5124,Lists!G:G,0))</f>
        <v>Enter an amount only. Do not enter text or spaces.</v>
      </c>
      <c r="H5124" s="16" t="str">
        <f t="shared" ca="1" si="546"/>
        <v/>
      </c>
      <c r="I5124" s="16" t="str">
        <f t="shared" ca="1" si="547"/>
        <v/>
      </c>
      <c r="J5124" s="17" t="str">
        <f t="shared" ca="1" si="548"/>
        <v/>
      </c>
    </row>
    <row r="5125" spans="1:10" x14ac:dyDescent="0.25">
      <c r="A5125" t="s">
        <v>938</v>
      </c>
      <c r="B5125" t="str">
        <f>ADDRESS(ROW('Loan 1'!$B$19),COLUMN('Loan 1'!$B$19),4)</f>
        <v>B19</v>
      </c>
      <c r="C5125" t="str">
        <f>ADDRESS(ROW('Loan 1'!$D$19),COLUMN('Loan 1'!$D$19),4)</f>
        <v>D19</v>
      </c>
      <c r="D5125" t="b" cm="1">
        <f t="array" aca="1" ref="D5125" ca="1">IF(INDIRECT("'"&amp;A5125&amp;"'!"&amp;B5125)="",FALSE,IF(NOT(ISNUMBER(INDIRECT("'"&amp;A5125&amp;"'!"&amp;B5125))),TRUE,FALSE))</f>
        <v>0</v>
      </c>
      <c r="E5125" t="s">
        <v>435</v>
      </c>
      <c r="F5125" t="str">
        <f>INDEX(Lists!I:I,MATCH(Validation!E5125,Lists!G:G,0))</f>
        <v>Error</v>
      </c>
      <c r="G5125" t="str">
        <f>INDEX(Lists!H:H,MATCH(Validation!E5125,Lists!G:G,0))</f>
        <v>Enter an amount only. Do not enter text or spaces.</v>
      </c>
      <c r="H5125" s="16" t="str">
        <f t="shared" ca="1" si="546"/>
        <v/>
      </c>
      <c r="I5125" s="16" t="str">
        <f t="shared" ca="1" si="547"/>
        <v/>
      </c>
      <c r="J5125" s="17" t="str">
        <f t="shared" ca="1" si="548"/>
        <v/>
      </c>
    </row>
    <row r="5126" spans="1:10" x14ac:dyDescent="0.25">
      <c r="A5126" t="s">
        <v>939</v>
      </c>
      <c r="B5126" t="str">
        <f>ADDRESS(ROW('Loan 1'!$B$19),COLUMN('Loan 1'!$B$19),4)</f>
        <v>B19</v>
      </c>
      <c r="C5126" t="str">
        <f>ADDRESS(ROW('Loan 1'!$D$19),COLUMN('Loan 1'!$D$19),4)</f>
        <v>D19</v>
      </c>
      <c r="D5126" t="b" cm="1">
        <f t="array" aca="1" ref="D5126" ca="1">IF(INDIRECT("'"&amp;A5126&amp;"'!"&amp;B5126)="",FALSE,IF(NOT(ISNUMBER(INDIRECT("'"&amp;A5126&amp;"'!"&amp;B5126))),TRUE,FALSE))</f>
        <v>0</v>
      </c>
      <c r="E5126" t="s">
        <v>435</v>
      </c>
      <c r="F5126" t="str">
        <f>INDEX(Lists!I:I,MATCH(Validation!E5126,Lists!G:G,0))</f>
        <v>Error</v>
      </c>
      <c r="G5126" t="str">
        <f>INDEX(Lists!H:H,MATCH(Validation!E5126,Lists!G:G,0))</f>
        <v>Enter an amount only. Do not enter text or spaces.</v>
      </c>
      <c r="H5126" s="16" t="str">
        <f t="shared" ca="1" si="546"/>
        <v/>
      </c>
      <c r="I5126" s="16" t="str">
        <f t="shared" ca="1" si="547"/>
        <v/>
      </c>
      <c r="J5126" s="17" t="str">
        <f t="shared" ca="1" si="548"/>
        <v/>
      </c>
    </row>
    <row r="5127" spans="1:10" x14ac:dyDescent="0.25">
      <c r="A5127" t="s">
        <v>940</v>
      </c>
      <c r="B5127" t="str">
        <f>ADDRESS(ROW('Loan 1'!$B$19),COLUMN('Loan 1'!$B$19),4)</f>
        <v>B19</v>
      </c>
      <c r="C5127" t="str">
        <f>ADDRESS(ROW('Loan 1'!$D$19),COLUMN('Loan 1'!$D$19),4)</f>
        <v>D19</v>
      </c>
      <c r="D5127" t="b" cm="1">
        <f t="array" aca="1" ref="D5127" ca="1">IF(INDIRECT("'"&amp;A5127&amp;"'!"&amp;B5127)="",FALSE,IF(NOT(ISNUMBER(INDIRECT("'"&amp;A5127&amp;"'!"&amp;B5127))),TRUE,FALSE))</f>
        <v>0</v>
      </c>
      <c r="E5127" t="s">
        <v>435</v>
      </c>
      <c r="F5127" t="str">
        <f>INDEX(Lists!I:I,MATCH(Validation!E5127,Lists!G:G,0))</f>
        <v>Error</v>
      </c>
      <c r="G5127" t="str">
        <f>INDEX(Lists!H:H,MATCH(Validation!E5127,Lists!G:G,0))</f>
        <v>Enter an amount only. Do not enter text or spaces.</v>
      </c>
      <c r="H5127" s="16" t="str">
        <f t="shared" ca="1" si="546"/>
        <v/>
      </c>
      <c r="I5127" s="16" t="str">
        <f t="shared" ca="1" si="547"/>
        <v/>
      </c>
      <c r="J5127" s="17" t="str">
        <f t="shared" ca="1" si="548"/>
        <v/>
      </c>
    </row>
    <row r="5128" spans="1:10" x14ac:dyDescent="0.25">
      <c r="A5128" t="s">
        <v>941</v>
      </c>
      <c r="B5128" t="str">
        <f>ADDRESS(ROW('Loan 1'!$B$19),COLUMN('Loan 1'!$B$19),4)</f>
        <v>B19</v>
      </c>
      <c r="C5128" t="str">
        <f>ADDRESS(ROW('Loan 1'!$D$19),COLUMN('Loan 1'!$D$19),4)</f>
        <v>D19</v>
      </c>
      <c r="D5128" t="b" cm="1">
        <f t="array" aca="1" ref="D5128" ca="1">IF(INDIRECT("'"&amp;A5128&amp;"'!"&amp;B5128)="",FALSE,IF(NOT(ISNUMBER(INDIRECT("'"&amp;A5128&amp;"'!"&amp;B5128))),TRUE,FALSE))</f>
        <v>0</v>
      </c>
      <c r="E5128" t="s">
        <v>435</v>
      </c>
      <c r="F5128" t="str">
        <f>INDEX(Lists!I:I,MATCH(Validation!E5128,Lists!G:G,0))</f>
        <v>Error</v>
      </c>
      <c r="G5128" t="str">
        <f>INDEX(Lists!H:H,MATCH(Validation!E5128,Lists!G:G,0))</f>
        <v>Enter an amount only. Do not enter text or spaces.</v>
      </c>
      <c r="H5128" s="16" t="str">
        <f t="shared" ca="1" si="546"/>
        <v/>
      </c>
      <c r="I5128" s="16" t="str">
        <f t="shared" ca="1" si="547"/>
        <v/>
      </c>
      <c r="J5128" s="17" t="str">
        <f t="shared" ca="1" si="548"/>
        <v/>
      </c>
    </row>
    <row r="5129" spans="1:10" x14ac:dyDescent="0.25">
      <c r="A5129" t="s">
        <v>942</v>
      </c>
      <c r="B5129" t="str">
        <f>ADDRESS(ROW('Loan 1'!$B$19),COLUMN('Loan 1'!$B$19),4)</f>
        <v>B19</v>
      </c>
      <c r="C5129" t="str">
        <f>ADDRESS(ROW('Loan 1'!$D$19),COLUMN('Loan 1'!$D$19),4)</f>
        <v>D19</v>
      </c>
      <c r="D5129" t="b" cm="1">
        <f t="array" aca="1" ref="D5129" ca="1">IF(INDIRECT("'"&amp;A5129&amp;"'!"&amp;B5129)="",FALSE,IF(NOT(ISNUMBER(INDIRECT("'"&amp;A5129&amp;"'!"&amp;B5129))),TRUE,FALSE))</f>
        <v>0</v>
      </c>
      <c r="E5129" t="s">
        <v>435</v>
      </c>
      <c r="F5129" t="str">
        <f>INDEX(Lists!I:I,MATCH(Validation!E5129,Lists!G:G,0))</f>
        <v>Error</v>
      </c>
      <c r="G5129" t="str">
        <f>INDEX(Lists!H:H,MATCH(Validation!E5129,Lists!G:G,0))</f>
        <v>Enter an amount only. Do not enter text or spaces.</v>
      </c>
      <c r="H5129" s="16" t="str">
        <f t="shared" ca="1" si="546"/>
        <v/>
      </c>
      <c r="I5129" s="16" t="str">
        <f t="shared" ca="1" si="547"/>
        <v/>
      </c>
      <c r="J5129" s="17" t="str">
        <f t="shared" ca="1" si="548"/>
        <v/>
      </c>
    </row>
    <row r="5130" spans="1:10" x14ac:dyDescent="0.25">
      <c r="A5130" t="s">
        <v>943</v>
      </c>
      <c r="B5130" t="str">
        <f>ADDRESS(ROW('Loan 1'!$B$19),COLUMN('Loan 1'!$B$19),4)</f>
        <v>B19</v>
      </c>
      <c r="C5130" t="str">
        <f>ADDRESS(ROW('Loan 1'!$D$19),COLUMN('Loan 1'!$D$19),4)</f>
        <v>D19</v>
      </c>
      <c r="D5130" t="b" cm="1">
        <f t="array" aca="1" ref="D5130" ca="1">IF(INDIRECT("'"&amp;A5130&amp;"'!"&amp;B5130)="",FALSE,IF(NOT(ISNUMBER(INDIRECT("'"&amp;A5130&amp;"'!"&amp;B5130))),TRUE,FALSE))</f>
        <v>0</v>
      </c>
      <c r="E5130" t="s">
        <v>435</v>
      </c>
      <c r="F5130" t="str">
        <f>INDEX(Lists!I:I,MATCH(Validation!E5130,Lists!G:G,0))</f>
        <v>Error</v>
      </c>
      <c r="G5130" t="str">
        <f>INDEX(Lists!H:H,MATCH(Validation!E5130,Lists!G:G,0))</f>
        <v>Enter an amount only. Do not enter text or spaces.</v>
      </c>
      <c r="H5130" s="16" t="str">
        <f t="shared" ca="1" si="546"/>
        <v/>
      </c>
      <c r="I5130" s="16" t="str">
        <f t="shared" ca="1" si="547"/>
        <v/>
      </c>
      <c r="J5130" s="17" t="str">
        <f t="shared" ca="1" si="548"/>
        <v/>
      </c>
    </row>
    <row r="5131" spans="1:10" x14ac:dyDescent="0.25">
      <c r="A5131" t="s">
        <v>944</v>
      </c>
      <c r="B5131" t="str">
        <f>ADDRESS(ROW('Loan 1'!$B$19),COLUMN('Loan 1'!$B$19),4)</f>
        <v>B19</v>
      </c>
      <c r="C5131" t="str">
        <f>ADDRESS(ROW('Loan 1'!$D$19),COLUMN('Loan 1'!$D$19),4)</f>
        <v>D19</v>
      </c>
      <c r="D5131" t="b" cm="1">
        <f t="array" aca="1" ref="D5131" ca="1">IF(INDIRECT("'"&amp;A5131&amp;"'!"&amp;B5131)="",FALSE,IF(NOT(ISNUMBER(INDIRECT("'"&amp;A5131&amp;"'!"&amp;B5131))),TRUE,FALSE))</f>
        <v>0</v>
      </c>
      <c r="E5131" t="s">
        <v>435</v>
      </c>
      <c r="F5131" t="str">
        <f>INDEX(Lists!I:I,MATCH(Validation!E5131,Lists!G:G,0))</f>
        <v>Error</v>
      </c>
      <c r="G5131" t="str">
        <f>INDEX(Lists!H:H,MATCH(Validation!E5131,Lists!G:G,0))</f>
        <v>Enter an amount only. Do not enter text or spaces.</v>
      </c>
      <c r="H5131" s="16" t="str">
        <f t="shared" ca="1" si="546"/>
        <v/>
      </c>
      <c r="I5131" s="16" t="str">
        <f t="shared" ca="1" si="547"/>
        <v/>
      </c>
      <c r="J5131" s="17" t="str">
        <f t="shared" ca="1" si="548"/>
        <v/>
      </c>
    </row>
    <row r="5132" spans="1:10" x14ac:dyDescent="0.25">
      <c r="A5132" t="s">
        <v>945</v>
      </c>
      <c r="B5132" t="str">
        <f>ADDRESS(ROW('Loan 1'!$B$19),COLUMN('Loan 1'!$B$19),4)</f>
        <v>B19</v>
      </c>
      <c r="C5132" t="str">
        <f>ADDRESS(ROW('Loan 1'!$D$19),COLUMN('Loan 1'!$D$19),4)</f>
        <v>D19</v>
      </c>
      <c r="D5132" t="b" cm="1">
        <f t="array" aca="1" ref="D5132" ca="1">IF(INDIRECT("'"&amp;A5132&amp;"'!"&amp;B5132)="",FALSE,IF(NOT(ISNUMBER(INDIRECT("'"&amp;A5132&amp;"'!"&amp;B5132))),TRUE,FALSE))</f>
        <v>0</v>
      </c>
      <c r="E5132" t="s">
        <v>435</v>
      </c>
      <c r="F5132" t="str">
        <f>INDEX(Lists!I:I,MATCH(Validation!E5132,Lists!G:G,0))</f>
        <v>Error</v>
      </c>
      <c r="G5132" t="str">
        <f>INDEX(Lists!H:H,MATCH(Validation!E5132,Lists!G:G,0))</f>
        <v>Enter an amount only. Do not enter text or spaces.</v>
      </c>
      <c r="H5132" s="16" t="str">
        <f t="shared" ca="1" si="546"/>
        <v/>
      </c>
      <c r="I5132" s="16" t="str">
        <f t="shared" ca="1" si="547"/>
        <v/>
      </c>
      <c r="J5132" s="17" t="str">
        <f t="shared" ca="1" si="548"/>
        <v/>
      </c>
    </row>
    <row r="5133" spans="1:10" x14ac:dyDescent="0.25">
      <c r="A5133" t="s">
        <v>205</v>
      </c>
      <c r="B5133" t="str">
        <f>ADDRESS(ROW('Loan 1'!$B$19),COLUMN('Loan 1'!$B$19),4)</f>
        <v>B19</v>
      </c>
      <c r="C5133" t="str">
        <f>ADDRESS(ROW('Loan 1'!$D$19),COLUMN('Loan 1'!$D$19),4)</f>
        <v>D19</v>
      </c>
      <c r="D5133" t="b" cm="1">
        <f t="array" aca="1" ref="D5133" ca="1">IF(INDIRECT("'"&amp;A5133&amp;"'!"&amp;B5133)="",FALSE,IF(INDIRECT("'"&amp;A5133&amp;"'!"&amp;B5133)&lt;0,TRUE,FALSE))</f>
        <v>0</v>
      </c>
      <c r="E5133" t="s">
        <v>434</v>
      </c>
      <c r="F5133" t="str">
        <f>INDEX(Lists!I:I,MATCH(Validation!E5133,Lists!G:G,0))</f>
        <v>Error</v>
      </c>
      <c r="G5133" t="str">
        <f>INDEX(Lists!H:H,MATCH(Validation!E5133,Lists!G:G,0))</f>
        <v>Amount may not be negative. Enter an amount greater than or equal to zero.</v>
      </c>
      <c r="H5133" s="16" t="str">
        <f ca="1">IFERROR(IF(OR(NOT(D5133),F5133&lt;&gt;"Error"),"",A5133&amp;CELL("address",INDIRECT(B5133))),"")</f>
        <v/>
      </c>
      <c r="I5133" s="16" t="str">
        <f ca="1">IFERROR(IF(NOT(D5133),"",A5133&amp;CELL("address",INDIRECT(C5133))),"")</f>
        <v/>
      </c>
      <c r="J5133" s="17" t="str">
        <f ca="1">IFERROR(IF(NOT(D5133),"",A5133),"")</f>
        <v/>
      </c>
    </row>
    <row r="5134" spans="1:10" x14ac:dyDescent="0.25">
      <c r="A5134" t="s">
        <v>932</v>
      </c>
      <c r="B5134" t="str">
        <f>ADDRESS(ROW('Loan 1'!$B$19),COLUMN('Loan 1'!$B$19),4)</f>
        <v>B19</v>
      </c>
      <c r="C5134" t="str">
        <f>ADDRESS(ROW('Loan 1'!$D$19),COLUMN('Loan 1'!$D$19),4)</f>
        <v>D19</v>
      </c>
      <c r="D5134" t="b" cm="1">
        <f t="array" aca="1" ref="D5134" ca="1">IF(INDIRECT("'"&amp;A5134&amp;"'!"&amp;B5134)="",FALSE,IF(INDIRECT("'"&amp;A5134&amp;"'!"&amp;B5134)&lt;0,TRUE,FALSE))</f>
        <v>0</v>
      </c>
      <c r="E5134" t="s">
        <v>434</v>
      </c>
      <c r="F5134" t="str">
        <f>INDEX(Lists!I:I,MATCH(Validation!E5134,Lists!G:G,0))</f>
        <v>Error</v>
      </c>
      <c r="G5134" t="str">
        <f>INDEX(Lists!H:H,MATCH(Validation!E5134,Lists!G:G,0))</f>
        <v>Amount may not be negative. Enter an amount greater than or equal to zero.</v>
      </c>
      <c r="H5134" s="16" t="str">
        <f t="shared" ref="H5134:H5162" ca="1" si="549">IFERROR(IF(OR(NOT(D5134),F5134&lt;&gt;"Error"),"",A5134&amp;CELL("address",INDIRECT(B5134))),"")</f>
        <v/>
      </c>
      <c r="I5134" s="16" t="str">
        <f t="shared" ref="I5134:I5162" ca="1" si="550">IFERROR(IF(NOT(D5134),"",A5134&amp;CELL("address",INDIRECT(C5134))),"")</f>
        <v/>
      </c>
      <c r="J5134" s="17" t="str">
        <f t="shared" ref="J5134:J5162" ca="1" si="551">IFERROR(IF(NOT(D5134),"",A5134),"")</f>
        <v/>
      </c>
    </row>
    <row r="5135" spans="1:10" x14ac:dyDescent="0.25">
      <c r="A5135" t="s">
        <v>933</v>
      </c>
      <c r="B5135" t="str">
        <f>ADDRESS(ROW('Loan 1'!$B$19),COLUMN('Loan 1'!$B$19),4)</f>
        <v>B19</v>
      </c>
      <c r="C5135" t="str">
        <f>ADDRESS(ROW('Loan 1'!$D$19),COLUMN('Loan 1'!$D$19),4)</f>
        <v>D19</v>
      </c>
      <c r="D5135" t="b" cm="1">
        <f t="array" aca="1" ref="D5135" ca="1">IF(INDIRECT("'"&amp;A5135&amp;"'!"&amp;B5135)="",FALSE,IF(INDIRECT("'"&amp;A5135&amp;"'!"&amp;B5135)&lt;0,TRUE,FALSE))</f>
        <v>0</v>
      </c>
      <c r="E5135" t="s">
        <v>434</v>
      </c>
      <c r="F5135" t="str">
        <f>INDEX(Lists!I:I,MATCH(Validation!E5135,Lists!G:G,0))</f>
        <v>Error</v>
      </c>
      <c r="G5135" t="str">
        <f>INDEX(Lists!H:H,MATCH(Validation!E5135,Lists!G:G,0))</f>
        <v>Amount may not be negative. Enter an amount greater than or equal to zero.</v>
      </c>
      <c r="H5135" s="16" t="str">
        <f t="shared" ca="1" si="549"/>
        <v/>
      </c>
      <c r="I5135" s="16" t="str">
        <f t="shared" ca="1" si="550"/>
        <v/>
      </c>
      <c r="J5135" s="17" t="str">
        <f t="shared" ca="1" si="551"/>
        <v/>
      </c>
    </row>
    <row r="5136" spans="1:10" x14ac:dyDescent="0.25">
      <c r="A5136" t="s">
        <v>934</v>
      </c>
      <c r="B5136" t="str">
        <f>ADDRESS(ROW('Loan 1'!$B$19),COLUMN('Loan 1'!$B$19),4)</f>
        <v>B19</v>
      </c>
      <c r="C5136" t="str">
        <f>ADDRESS(ROW('Loan 1'!$D$19),COLUMN('Loan 1'!$D$19),4)</f>
        <v>D19</v>
      </c>
      <c r="D5136" t="b" cm="1">
        <f t="array" aca="1" ref="D5136" ca="1">IF(INDIRECT("'"&amp;A5136&amp;"'!"&amp;B5136)="",FALSE,IF(INDIRECT("'"&amp;A5136&amp;"'!"&amp;B5136)&lt;0,TRUE,FALSE))</f>
        <v>0</v>
      </c>
      <c r="E5136" t="s">
        <v>434</v>
      </c>
      <c r="F5136" t="str">
        <f>INDEX(Lists!I:I,MATCH(Validation!E5136,Lists!G:G,0))</f>
        <v>Error</v>
      </c>
      <c r="G5136" t="str">
        <f>INDEX(Lists!H:H,MATCH(Validation!E5136,Lists!G:G,0))</f>
        <v>Amount may not be negative. Enter an amount greater than or equal to zero.</v>
      </c>
      <c r="H5136" s="16" t="str">
        <f t="shared" ca="1" si="549"/>
        <v/>
      </c>
      <c r="I5136" s="16" t="str">
        <f t="shared" ca="1" si="550"/>
        <v/>
      </c>
      <c r="J5136" s="17" t="str">
        <f t="shared" ca="1" si="551"/>
        <v/>
      </c>
    </row>
    <row r="5137" spans="1:10" x14ac:dyDescent="0.25">
      <c r="A5137" t="s">
        <v>935</v>
      </c>
      <c r="B5137" t="str">
        <f>ADDRESS(ROW('Loan 1'!$B$19),COLUMN('Loan 1'!$B$19),4)</f>
        <v>B19</v>
      </c>
      <c r="C5137" t="str">
        <f>ADDRESS(ROW('Loan 1'!$D$19),COLUMN('Loan 1'!$D$19),4)</f>
        <v>D19</v>
      </c>
      <c r="D5137" t="b" cm="1">
        <f t="array" aca="1" ref="D5137" ca="1">IF(INDIRECT("'"&amp;A5137&amp;"'!"&amp;B5137)="",FALSE,IF(INDIRECT("'"&amp;A5137&amp;"'!"&amp;B5137)&lt;0,TRUE,FALSE))</f>
        <v>0</v>
      </c>
      <c r="E5137" t="s">
        <v>434</v>
      </c>
      <c r="F5137" t="str">
        <f>INDEX(Lists!I:I,MATCH(Validation!E5137,Lists!G:G,0))</f>
        <v>Error</v>
      </c>
      <c r="G5137" t="str">
        <f>INDEX(Lists!H:H,MATCH(Validation!E5137,Lists!G:G,0))</f>
        <v>Amount may not be negative. Enter an amount greater than or equal to zero.</v>
      </c>
      <c r="H5137" s="16" t="str">
        <f t="shared" ca="1" si="549"/>
        <v/>
      </c>
      <c r="I5137" s="16" t="str">
        <f t="shared" ca="1" si="550"/>
        <v/>
      </c>
      <c r="J5137" s="17" t="str">
        <f t="shared" ca="1" si="551"/>
        <v/>
      </c>
    </row>
    <row r="5138" spans="1:10" x14ac:dyDescent="0.25">
      <c r="A5138" t="s">
        <v>936</v>
      </c>
      <c r="B5138" t="str">
        <f>ADDRESS(ROW('Loan 1'!$B$19),COLUMN('Loan 1'!$B$19),4)</f>
        <v>B19</v>
      </c>
      <c r="C5138" t="str">
        <f>ADDRESS(ROW('Loan 1'!$D$19),COLUMN('Loan 1'!$D$19),4)</f>
        <v>D19</v>
      </c>
      <c r="D5138" t="b" cm="1">
        <f t="array" aca="1" ref="D5138" ca="1">IF(INDIRECT("'"&amp;A5138&amp;"'!"&amp;B5138)="",FALSE,IF(INDIRECT("'"&amp;A5138&amp;"'!"&amp;B5138)&lt;0,TRUE,FALSE))</f>
        <v>0</v>
      </c>
      <c r="E5138" t="s">
        <v>434</v>
      </c>
      <c r="F5138" t="str">
        <f>INDEX(Lists!I:I,MATCH(Validation!E5138,Lists!G:G,0))</f>
        <v>Error</v>
      </c>
      <c r="G5138" t="str">
        <f>INDEX(Lists!H:H,MATCH(Validation!E5138,Lists!G:G,0))</f>
        <v>Amount may not be negative. Enter an amount greater than or equal to zero.</v>
      </c>
      <c r="H5138" s="16" t="str">
        <f t="shared" ca="1" si="549"/>
        <v/>
      </c>
      <c r="I5138" s="16" t="str">
        <f t="shared" ca="1" si="550"/>
        <v/>
      </c>
      <c r="J5138" s="17" t="str">
        <f t="shared" ca="1" si="551"/>
        <v/>
      </c>
    </row>
    <row r="5139" spans="1:10" x14ac:dyDescent="0.25">
      <c r="A5139" t="s">
        <v>937</v>
      </c>
      <c r="B5139" t="str">
        <f>ADDRESS(ROW('Loan 1'!$B$19),COLUMN('Loan 1'!$B$19),4)</f>
        <v>B19</v>
      </c>
      <c r="C5139" t="str">
        <f>ADDRESS(ROW('Loan 1'!$D$19),COLUMN('Loan 1'!$D$19),4)</f>
        <v>D19</v>
      </c>
      <c r="D5139" t="b" cm="1">
        <f t="array" aca="1" ref="D5139" ca="1">IF(INDIRECT("'"&amp;A5139&amp;"'!"&amp;B5139)="",FALSE,IF(INDIRECT("'"&amp;A5139&amp;"'!"&amp;B5139)&lt;0,TRUE,FALSE))</f>
        <v>0</v>
      </c>
      <c r="E5139" t="s">
        <v>434</v>
      </c>
      <c r="F5139" t="str">
        <f>INDEX(Lists!I:I,MATCH(Validation!E5139,Lists!G:G,0))</f>
        <v>Error</v>
      </c>
      <c r="G5139" t="str">
        <f>INDEX(Lists!H:H,MATCH(Validation!E5139,Lists!G:G,0))</f>
        <v>Amount may not be negative. Enter an amount greater than or equal to zero.</v>
      </c>
      <c r="H5139" s="16" t="str">
        <f t="shared" ca="1" si="549"/>
        <v/>
      </c>
      <c r="I5139" s="16" t="str">
        <f t="shared" ca="1" si="550"/>
        <v/>
      </c>
      <c r="J5139" s="17" t="str">
        <f t="shared" ca="1" si="551"/>
        <v/>
      </c>
    </row>
    <row r="5140" spans="1:10" x14ac:dyDescent="0.25">
      <c r="A5140" t="s">
        <v>938</v>
      </c>
      <c r="B5140" t="str">
        <f>ADDRESS(ROW('Loan 1'!$B$19),COLUMN('Loan 1'!$B$19),4)</f>
        <v>B19</v>
      </c>
      <c r="C5140" t="str">
        <f>ADDRESS(ROW('Loan 1'!$D$19),COLUMN('Loan 1'!$D$19),4)</f>
        <v>D19</v>
      </c>
      <c r="D5140" t="b" cm="1">
        <f t="array" aca="1" ref="D5140" ca="1">IF(INDIRECT("'"&amp;A5140&amp;"'!"&amp;B5140)="",FALSE,IF(INDIRECT("'"&amp;A5140&amp;"'!"&amp;B5140)&lt;0,TRUE,FALSE))</f>
        <v>0</v>
      </c>
      <c r="E5140" t="s">
        <v>434</v>
      </c>
      <c r="F5140" t="str">
        <f>INDEX(Lists!I:I,MATCH(Validation!E5140,Lists!G:G,0))</f>
        <v>Error</v>
      </c>
      <c r="G5140" t="str">
        <f>INDEX(Lists!H:H,MATCH(Validation!E5140,Lists!G:G,0))</f>
        <v>Amount may not be negative. Enter an amount greater than or equal to zero.</v>
      </c>
      <c r="H5140" s="16" t="str">
        <f t="shared" ca="1" si="549"/>
        <v/>
      </c>
      <c r="I5140" s="16" t="str">
        <f t="shared" ca="1" si="550"/>
        <v/>
      </c>
      <c r="J5140" s="17" t="str">
        <f t="shared" ca="1" si="551"/>
        <v/>
      </c>
    </row>
    <row r="5141" spans="1:10" x14ac:dyDescent="0.25">
      <c r="A5141" t="s">
        <v>939</v>
      </c>
      <c r="B5141" t="str">
        <f>ADDRESS(ROW('Loan 1'!$B$19),COLUMN('Loan 1'!$B$19),4)</f>
        <v>B19</v>
      </c>
      <c r="C5141" t="str">
        <f>ADDRESS(ROW('Loan 1'!$D$19),COLUMN('Loan 1'!$D$19),4)</f>
        <v>D19</v>
      </c>
      <c r="D5141" t="b" cm="1">
        <f t="array" aca="1" ref="D5141" ca="1">IF(INDIRECT("'"&amp;A5141&amp;"'!"&amp;B5141)="",FALSE,IF(INDIRECT("'"&amp;A5141&amp;"'!"&amp;B5141)&lt;0,TRUE,FALSE))</f>
        <v>0</v>
      </c>
      <c r="E5141" t="s">
        <v>434</v>
      </c>
      <c r="F5141" t="str">
        <f>INDEX(Lists!I:I,MATCH(Validation!E5141,Lists!G:G,0))</f>
        <v>Error</v>
      </c>
      <c r="G5141" t="str">
        <f>INDEX(Lists!H:H,MATCH(Validation!E5141,Lists!G:G,0))</f>
        <v>Amount may not be negative. Enter an amount greater than or equal to zero.</v>
      </c>
      <c r="H5141" s="16" t="str">
        <f t="shared" ca="1" si="549"/>
        <v/>
      </c>
      <c r="I5141" s="16" t="str">
        <f t="shared" ca="1" si="550"/>
        <v/>
      </c>
      <c r="J5141" s="17" t="str">
        <f t="shared" ca="1" si="551"/>
        <v/>
      </c>
    </row>
    <row r="5142" spans="1:10" x14ac:dyDescent="0.25">
      <c r="A5142" t="s">
        <v>940</v>
      </c>
      <c r="B5142" t="str">
        <f>ADDRESS(ROW('Loan 1'!$B$19),COLUMN('Loan 1'!$B$19),4)</f>
        <v>B19</v>
      </c>
      <c r="C5142" t="str">
        <f>ADDRESS(ROW('Loan 1'!$D$19),COLUMN('Loan 1'!$D$19),4)</f>
        <v>D19</v>
      </c>
      <c r="D5142" t="b" cm="1">
        <f t="array" aca="1" ref="D5142" ca="1">IF(INDIRECT("'"&amp;A5142&amp;"'!"&amp;B5142)="",FALSE,IF(INDIRECT("'"&amp;A5142&amp;"'!"&amp;B5142)&lt;0,TRUE,FALSE))</f>
        <v>0</v>
      </c>
      <c r="E5142" t="s">
        <v>434</v>
      </c>
      <c r="F5142" t="str">
        <f>INDEX(Lists!I:I,MATCH(Validation!E5142,Lists!G:G,0))</f>
        <v>Error</v>
      </c>
      <c r="G5142" t="str">
        <f>INDEX(Lists!H:H,MATCH(Validation!E5142,Lists!G:G,0))</f>
        <v>Amount may not be negative. Enter an amount greater than or equal to zero.</v>
      </c>
      <c r="H5142" s="16" t="str">
        <f t="shared" ca="1" si="549"/>
        <v/>
      </c>
      <c r="I5142" s="16" t="str">
        <f t="shared" ca="1" si="550"/>
        <v/>
      </c>
      <c r="J5142" s="17" t="str">
        <f t="shared" ca="1" si="551"/>
        <v/>
      </c>
    </row>
    <row r="5143" spans="1:10" x14ac:dyDescent="0.25">
      <c r="A5143" t="s">
        <v>941</v>
      </c>
      <c r="B5143" t="str">
        <f>ADDRESS(ROW('Loan 1'!$B$19),COLUMN('Loan 1'!$B$19),4)</f>
        <v>B19</v>
      </c>
      <c r="C5143" t="str">
        <f>ADDRESS(ROW('Loan 1'!$D$19),COLUMN('Loan 1'!$D$19),4)</f>
        <v>D19</v>
      </c>
      <c r="D5143" t="b" cm="1">
        <f t="array" aca="1" ref="D5143" ca="1">IF(INDIRECT("'"&amp;A5143&amp;"'!"&amp;B5143)="",FALSE,IF(INDIRECT("'"&amp;A5143&amp;"'!"&amp;B5143)&lt;0,TRUE,FALSE))</f>
        <v>0</v>
      </c>
      <c r="E5143" t="s">
        <v>434</v>
      </c>
      <c r="F5143" t="str">
        <f>INDEX(Lists!I:I,MATCH(Validation!E5143,Lists!G:G,0))</f>
        <v>Error</v>
      </c>
      <c r="G5143" t="str">
        <f>INDEX(Lists!H:H,MATCH(Validation!E5143,Lists!G:G,0))</f>
        <v>Amount may not be negative. Enter an amount greater than or equal to zero.</v>
      </c>
      <c r="H5143" s="16" t="str">
        <f t="shared" ca="1" si="549"/>
        <v/>
      </c>
      <c r="I5143" s="16" t="str">
        <f t="shared" ca="1" si="550"/>
        <v/>
      </c>
      <c r="J5143" s="17" t="str">
        <f t="shared" ca="1" si="551"/>
        <v/>
      </c>
    </row>
    <row r="5144" spans="1:10" x14ac:dyDescent="0.25">
      <c r="A5144" t="s">
        <v>942</v>
      </c>
      <c r="B5144" t="str">
        <f>ADDRESS(ROW('Loan 1'!$B$19),COLUMN('Loan 1'!$B$19),4)</f>
        <v>B19</v>
      </c>
      <c r="C5144" t="str">
        <f>ADDRESS(ROW('Loan 1'!$D$19),COLUMN('Loan 1'!$D$19),4)</f>
        <v>D19</v>
      </c>
      <c r="D5144" t="b" cm="1">
        <f t="array" aca="1" ref="D5144" ca="1">IF(INDIRECT("'"&amp;A5144&amp;"'!"&amp;B5144)="",FALSE,IF(INDIRECT("'"&amp;A5144&amp;"'!"&amp;B5144)&lt;0,TRUE,FALSE))</f>
        <v>0</v>
      </c>
      <c r="E5144" t="s">
        <v>434</v>
      </c>
      <c r="F5144" t="str">
        <f>INDEX(Lists!I:I,MATCH(Validation!E5144,Lists!G:G,0))</f>
        <v>Error</v>
      </c>
      <c r="G5144" t="str">
        <f>INDEX(Lists!H:H,MATCH(Validation!E5144,Lists!G:G,0))</f>
        <v>Amount may not be negative. Enter an amount greater than or equal to zero.</v>
      </c>
      <c r="H5144" s="16" t="str">
        <f t="shared" ca="1" si="549"/>
        <v/>
      </c>
      <c r="I5144" s="16" t="str">
        <f t="shared" ca="1" si="550"/>
        <v/>
      </c>
      <c r="J5144" s="17" t="str">
        <f t="shared" ca="1" si="551"/>
        <v/>
      </c>
    </row>
    <row r="5145" spans="1:10" x14ac:dyDescent="0.25">
      <c r="A5145" t="s">
        <v>943</v>
      </c>
      <c r="B5145" t="str">
        <f>ADDRESS(ROW('Loan 1'!$B$19),COLUMN('Loan 1'!$B$19),4)</f>
        <v>B19</v>
      </c>
      <c r="C5145" t="str">
        <f>ADDRESS(ROW('Loan 1'!$D$19),COLUMN('Loan 1'!$D$19),4)</f>
        <v>D19</v>
      </c>
      <c r="D5145" t="b" cm="1">
        <f t="array" aca="1" ref="D5145" ca="1">IF(INDIRECT("'"&amp;A5145&amp;"'!"&amp;B5145)="",FALSE,IF(INDIRECT("'"&amp;A5145&amp;"'!"&amp;B5145)&lt;0,TRUE,FALSE))</f>
        <v>0</v>
      </c>
      <c r="E5145" t="s">
        <v>434</v>
      </c>
      <c r="F5145" t="str">
        <f>INDEX(Lists!I:I,MATCH(Validation!E5145,Lists!G:G,0))</f>
        <v>Error</v>
      </c>
      <c r="G5145" t="str">
        <f>INDEX(Lists!H:H,MATCH(Validation!E5145,Lists!G:G,0))</f>
        <v>Amount may not be negative. Enter an amount greater than or equal to zero.</v>
      </c>
      <c r="H5145" s="16" t="str">
        <f t="shared" ca="1" si="549"/>
        <v/>
      </c>
      <c r="I5145" s="16" t="str">
        <f t="shared" ca="1" si="550"/>
        <v/>
      </c>
      <c r="J5145" s="17" t="str">
        <f t="shared" ca="1" si="551"/>
        <v/>
      </c>
    </row>
    <row r="5146" spans="1:10" x14ac:dyDescent="0.25">
      <c r="A5146" t="s">
        <v>944</v>
      </c>
      <c r="B5146" t="str">
        <f>ADDRESS(ROW('Loan 1'!$B$19),COLUMN('Loan 1'!$B$19),4)</f>
        <v>B19</v>
      </c>
      <c r="C5146" t="str">
        <f>ADDRESS(ROW('Loan 1'!$D$19),COLUMN('Loan 1'!$D$19),4)</f>
        <v>D19</v>
      </c>
      <c r="D5146" t="b" cm="1">
        <f t="array" aca="1" ref="D5146" ca="1">IF(INDIRECT("'"&amp;A5146&amp;"'!"&amp;B5146)="",FALSE,IF(INDIRECT("'"&amp;A5146&amp;"'!"&amp;B5146)&lt;0,TRUE,FALSE))</f>
        <v>0</v>
      </c>
      <c r="E5146" t="s">
        <v>434</v>
      </c>
      <c r="F5146" t="str">
        <f>INDEX(Lists!I:I,MATCH(Validation!E5146,Lists!G:G,0))</f>
        <v>Error</v>
      </c>
      <c r="G5146" t="str">
        <f>INDEX(Lists!H:H,MATCH(Validation!E5146,Lists!G:G,0))</f>
        <v>Amount may not be negative. Enter an amount greater than or equal to zero.</v>
      </c>
      <c r="H5146" s="16" t="str">
        <f t="shared" ca="1" si="549"/>
        <v/>
      </c>
      <c r="I5146" s="16" t="str">
        <f t="shared" ca="1" si="550"/>
        <v/>
      </c>
      <c r="J5146" s="17" t="str">
        <f t="shared" ca="1" si="551"/>
        <v/>
      </c>
    </row>
    <row r="5147" spans="1:10" x14ac:dyDescent="0.25">
      <c r="A5147" t="s">
        <v>945</v>
      </c>
      <c r="B5147" t="str">
        <f>ADDRESS(ROW('Loan 1'!$B$19),COLUMN('Loan 1'!$B$19),4)</f>
        <v>B19</v>
      </c>
      <c r="C5147" t="str">
        <f>ADDRESS(ROW('Loan 1'!$D$19),COLUMN('Loan 1'!$D$19),4)</f>
        <v>D19</v>
      </c>
      <c r="D5147" t="b" cm="1">
        <f t="array" aca="1" ref="D5147" ca="1">IF(INDIRECT("'"&amp;A5147&amp;"'!"&amp;B5147)="",FALSE,IF(INDIRECT("'"&amp;A5147&amp;"'!"&amp;B5147)&lt;0,TRUE,FALSE))</f>
        <v>0</v>
      </c>
      <c r="E5147" t="s">
        <v>434</v>
      </c>
      <c r="F5147" t="str">
        <f>INDEX(Lists!I:I,MATCH(Validation!E5147,Lists!G:G,0))</f>
        <v>Error</v>
      </c>
      <c r="G5147" t="str">
        <f>INDEX(Lists!H:H,MATCH(Validation!E5147,Lists!G:G,0))</f>
        <v>Amount may not be negative. Enter an amount greater than or equal to zero.</v>
      </c>
      <c r="H5147" s="16" t="str">
        <f t="shared" ca="1" si="549"/>
        <v/>
      </c>
      <c r="I5147" s="16" t="str">
        <f t="shared" ca="1" si="550"/>
        <v/>
      </c>
      <c r="J5147" s="17" t="str">
        <f t="shared" ca="1" si="551"/>
        <v/>
      </c>
    </row>
    <row r="5148" spans="1:10" x14ac:dyDescent="0.25">
      <c r="A5148" t="s">
        <v>205</v>
      </c>
      <c r="B5148" t="str">
        <f>ADDRESS(ROW('Loan 1'!$B$19),COLUMN('Loan 1'!$B$19),4)</f>
        <v>B19</v>
      </c>
      <c r="C5148" t="str">
        <f>ADDRESS(ROW('Loan 1'!$D$19),COLUMN('Loan 1'!$D$19),4)</f>
        <v>D19</v>
      </c>
      <c r="D5148" t="b" cm="1">
        <f t="array" aca="1" ref="D5148" ca="1">IF(INDIRECT("'"&amp;A5148&amp;"'!"&amp;B5148)="",FALSE,IF(TRUNC(INDIRECT("'"&amp;A5148&amp;"'!"&amp;B5148))=INDIRECT("'"&amp;A5148&amp;"'!"&amp;B5148),FALSE,TRUE))</f>
        <v>0</v>
      </c>
      <c r="E5148" t="s">
        <v>436</v>
      </c>
      <c r="F5148" t="str">
        <f>INDEX(Lists!I:I,MATCH(Validation!E5148,Lists!G:G,0))</f>
        <v>Error</v>
      </c>
      <c r="G5148" t="str">
        <f>INDEX(Lists!H:H,MATCH(Validation!E5148,Lists!G:G,0))</f>
        <v>Amount must be rounded to the nearest dollar.</v>
      </c>
      <c r="H5148" s="16" t="str">
        <f t="shared" ca="1" si="549"/>
        <v/>
      </c>
      <c r="I5148" s="16" t="str">
        <f t="shared" ca="1" si="550"/>
        <v/>
      </c>
      <c r="J5148" s="17" t="str">
        <f t="shared" ca="1" si="551"/>
        <v/>
      </c>
    </row>
    <row r="5149" spans="1:10" x14ac:dyDescent="0.25">
      <c r="A5149" t="s">
        <v>932</v>
      </c>
      <c r="B5149" t="str">
        <f>ADDRESS(ROW('Loan 1'!$B$19),COLUMN('Loan 1'!$B$19),4)</f>
        <v>B19</v>
      </c>
      <c r="C5149" t="str">
        <f>ADDRESS(ROW('Loan 1'!$D$19),COLUMN('Loan 1'!$D$19),4)</f>
        <v>D19</v>
      </c>
      <c r="D5149" t="b" cm="1">
        <f t="array" aca="1" ref="D5149" ca="1">IF(INDIRECT("'"&amp;A5149&amp;"'!"&amp;B5149)="",FALSE,IF(TRUNC(INDIRECT("'"&amp;A5149&amp;"'!"&amp;B5149))=INDIRECT("'"&amp;A5149&amp;"'!"&amp;B5149),FALSE,TRUE))</f>
        <v>0</v>
      </c>
      <c r="E5149" t="s">
        <v>436</v>
      </c>
      <c r="F5149" t="str">
        <f>INDEX(Lists!I:I,MATCH(Validation!E5149,Lists!G:G,0))</f>
        <v>Error</v>
      </c>
      <c r="G5149" t="str">
        <f>INDEX(Lists!H:H,MATCH(Validation!E5149,Lists!G:G,0))</f>
        <v>Amount must be rounded to the nearest dollar.</v>
      </c>
      <c r="H5149" s="16" t="str">
        <f t="shared" ca="1" si="549"/>
        <v/>
      </c>
      <c r="I5149" s="16" t="str">
        <f t="shared" ca="1" si="550"/>
        <v/>
      </c>
      <c r="J5149" s="17" t="str">
        <f t="shared" ca="1" si="551"/>
        <v/>
      </c>
    </row>
    <row r="5150" spans="1:10" x14ac:dyDescent="0.25">
      <c r="A5150" t="s">
        <v>933</v>
      </c>
      <c r="B5150" t="str">
        <f>ADDRESS(ROW('Loan 1'!$B$19),COLUMN('Loan 1'!$B$19),4)</f>
        <v>B19</v>
      </c>
      <c r="C5150" t="str">
        <f>ADDRESS(ROW('Loan 1'!$D$19),COLUMN('Loan 1'!$D$19),4)</f>
        <v>D19</v>
      </c>
      <c r="D5150" t="b" cm="1">
        <f t="array" aca="1" ref="D5150" ca="1">IF(INDIRECT("'"&amp;A5150&amp;"'!"&amp;B5150)="",FALSE,IF(TRUNC(INDIRECT("'"&amp;A5150&amp;"'!"&amp;B5150))=INDIRECT("'"&amp;A5150&amp;"'!"&amp;B5150),FALSE,TRUE))</f>
        <v>0</v>
      </c>
      <c r="E5150" t="s">
        <v>436</v>
      </c>
      <c r="F5150" t="str">
        <f>INDEX(Lists!I:I,MATCH(Validation!E5150,Lists!G:G,0))</f>
        <v>Error</v>
      </c>
      <c r="G5150" t="str">
        <f>INDEX(Lists!H:H,MATCH(Validation!E5150,Lists!G:G,0))</f>
        <v>Amount must be rounded to the nearest dollar.</v>
      </c>
      <c r="H5150" s="16" t="str">
        <f t="shared" ca="1" si="549"/>
        <v/>
      </c>
      <c r="I5150" s="16" t="str">
        <f t="shared" ca="1" si="550"/>
        <v/>
      </c>
      <c r="J5150" s="17" t="str">
        <f t="shared" ca="1" si="551"/>
        <v/>
      </c>
    </row>
    <row r="5151" spans="1:10" x14ac:dyDescent="0.25">
      <c r="A5151" t="s">
        <v>934</v>
      </c>
      <c r="B5151" t="str">
        <f>ADDRESS(ROW('Loan 1'!$B$19),COLUMN('Loan 1'!$B$19),4)</f>
        <v>B19</v>
      </c>
      <c r="C5151" t="str">
        <f>ADDRESS(ROW('Loan 1'!$D$19),COLUMN('Loan 1'!$D$19),4)</f>
        <v>D19</v>
      </c>
      <c r="D5151" t="b" cm="1">
        <f t="array" aca="1" ref="D5151" ca="1">IF(INDIRECT("'"&amp;A5151&amp;"'!"&amp;B5151)="",FALSE,IF(TRUNC(INDIRECT("'"&amp;A5151&amp;"'!"&amp;B5151))=INDIRECT("'"&amp;A5151&amp;"'!"&amp;B5151),FALSE,TRUE))</f>
        <v>0</v>
      </c>
      <c r="E5151" t="s">
        <v>436</v>
      </c>
      <c r="F5151" t="str">
        <f>INDEX(Lists!I:I,MATCH(Validation!E5151,Lists!G:G,0))</f>
        <v>Error</v>
      </c>
      <c r="G5151" t="str">
        <f>INDEX(Lists!H:H,MATCH(Validation!E5151,Lists!G:G,0))</f>
        <v>Amount must be rounded to the nearest dollar.</v>
      </c>
      <c r="H5151" s="16" t="str">
        <f t="shared" ca="1" si="549"/>
        <v/>
      </c>
      <c r="I5151" s="16" t="str">
        <f t="shared" ca="1" si="550"/>
        <v/>
      </c>
      <c r="J5151" s="17" t="str">
        <f t="shared" ca="1" si="551"/>
        <v/>
      </c>
    </row>
    <row r="5152" spans="1:10" x14ac:dyDescent="0.25">
      <c r="A5152" t="s">
        <v>935</v>
      </c>
      <c r="B5152" t="str">
        <f>ADDRESS(ROW('Loan 1'!$B$19),COLUMN('Loan 1'!$B$19),4)</f>
        <v>B19</v>
      </c>
      <c r="C5152" t="str">
        <f>ADDRESS(ROW('Loan 1'!$D$19),COLUMN('Loan 1'!$D$19),4)</f>
        <v>D19</v>
      </c>
      <c r="D5152" t="b" cm="1">
        <f t="array" aca="1" ref="D5152" ca="1">IF(INDIRECT("'"&amp;A5152&amp;"'!"&amp;B5152)="",FALSE,IF(TRUNC(INDIRECT("'"&amp;A5152&amp;"'!"&amp;B5152))=INDIRECT("'"&amp;A5152&amp;"'!"&amp;B5152),FALSE,TRUE))</f>
        <v>0</v>
      </c>
      <c r="E5152" t="s">
        <v>436</v>
      </c>
      <c r="F5152" t="str">
        <f>INDEX(Lists!I:I,MATCH(Validation!E5152,Lists!G:G,0))</f>
        <v>Error</v>
      </c>
      <c r="G5152" t="str">
        <f>INDEX(Lists!H:H,MATCH(Validation!E5152,Lists!G:G,0))</f>
        <v>Amount must be rounded to the nearest dollar.</v>
      </c>
      <c r="H5152" s="16" t="str">
        <f t="shared" ca="1" si="549"/>
        <v/>
      </c>
      <c r="I5152" s="16" t="str">
        <f t="shared" ca="1" si="550"/>
        <v/>
      </c>
      <c r="J5152" s="17" t="str">
        <f t="shared" ca="1" si="551"/>
        <v/>
      </c>
    </row>
    <row r="5153" spans="1:10" x14ac:dyDescent="0.25">
      <c r="A5153" t="s">
        <v>936</v>
      </c>
      <c r="B5153" t="str">
        <f>ADDRESS(ROW('Loan 1'!$B$19),COLUMN('Loan 1'!$B$19),4)</f>
        <v>B19</v>
      </c>
      <c r="C5153" t="str">
        <f>ADDRESS(ROW('Loan 1'!$D$19),COLUMN('Loan 1'!$D$19),4)</f>
        <v>D19</v>
      </c>
      <c r="D5153" t="b" cm="1">
        <f t="array" aca="1" ref="D5153" ca="1">IF(INDIRECT("'"&amp;A5153&amp;"'!"&amp;B5153)="",FALSE,IF(TRUNC(INDIRECT("'"&amp;A5153&amp;"'!"&amp;B5153))=INDIRECT("'"&amp;A5153&amp;"'!"&amp;B5153),FALSE,TRUE))</f>
        <v>0</v>
      </c>
      <c r="E5153" t="s">
        <v>436</v>
      </c>
      <c r="F5153" t="str">
        <f>INDEX(Lists!I:I,MATCH(Validation!E5153,Lists!G:G,0))</f>
        <v>Error</v>
      </c>
      <c r="G5153" t="str">
        <f>INDEX(Lists!H:H,MATCH(Validation!E5153,Lists!G:G,0))</f>
        <v>Amount must be rounded to the nearest dollar.</v>
      </c>
      <c r="H5153" s="16" t="str">
        <f t="shared" ca="1" si="549"/>
        <v/>
      </c>
      <c r="I5153" s="16" t="str">
        <f t="shared" ca="1" si="550"/>
        <v/>
      </c>
      <c r="J5153" s="17" t="str">
        <f t="shared" ca="1" si="551"/>
        <v/>
      </c>
    </row>
    <row r="5154" spans="1:10" x14ac:dyDescent="0.25">
      <c r="A5154" t="s">
        <v>937</v>
      </c>
      <c r="B5154" t="str">
        <f>ADDRESS(ROW('Loan 1'!$B$19),COLUMN('Loan 1'!$B$19),4)</f>
        <v>B19</v>
      </c>
      <c r="C5154" t="str">
        <f>ADDRESS(ROW('Loan 1'!$D$19),COLUMN('Loan 1'!$D$19),4)</f>
        <v>D19</v>
      </c>
      <c r="D5154" t="b" cm="1">
        <f t="array" aca="1" ref="D5154" ca="1">IF(INDIRECT("'"&amp;A5154&amp;"'!"&amp;B5154)="",FALSE,IF(TRUNC(INDIRECT("'"&amp;A5154&amp;"'!"&amp;B5154))=INDIRECT("'"&amp;A5154&amp;"'!"&amp;B5154),FALSE,TRUE))</f>
        <v>0</v>
      </c>
      <c r="E5154" t="s">
        <v>436</v>
      </c>
      <c r="F5154" t="str">
        <f>INDEX(Lists!I:I,MATCH(Validation!E5154,Lists!G:G,0))</f>
        <v>Error</v>
      </c>
      <c r="G5154" t="str">
        <f>INDEX(Lists!H:H,MATCH(Validation!E5154,Lists!G:G,0))</f>
        <v>Amount must be rounded to the nearest dollar.</v>
      </c>
      <c r="H5154" s="16" t="str">
        <f t="shared" ca="1" si="549"/>
        <v/>
      </c>
      <c r="I5154" s="16" t="str">
        <f t="shared" ca="1" si="550"/>
        <v/>
      </c>
      <c r="J5154" s="17" t="str">
        <f t="shared" ca="1" si="551"/>
        <v/>
      </c>
    </row>
    <row r="5155" spans="1:10" x14ac:dyDescent="0.25">
      <c r="A5155" t="s">
        <v>938</v>
      </c>
      <c r="B5155" t="str">
        <f>ADDRESS(ROW('Loan 1'!$B$19),COLUMN('Loan 1'!$B$19),4)</f>
        <v>B19</v>
      </c>
      <c r="C5155" t="str">
        <f>ADDRESS(ROW('Loan 1'!$D$19),COLUMN('Loan 1'!$D$19),4)</f>
        <v>D19</v>
      </c>
      <c r="D5155" t="b" cm="1">
        <f t="array" aca="1" ref="D5155" ca="1">IF(INDIRECT("'"&amp;A5155&amp;"'!"&amp;B5155)="",FALSE,IF(TRUNC(INDIRECT("'"&amp;A5155&amp;"'!"&amp;B5155))=INDIRECT("'"&amp;A5155&amp;"'!"&amp;B5155),FALSE,TRUE))</f>
        <v>0</v>
      </c>
      <c r="E5155" t="s">
        <v>436</v>
      </c>
      <c r="F5155" t="str">
        <f>INDEX(Lists!I:I,MATCH(Validation!E5155,Lists!G:G,0))</f>
        <v>Error</v>
      </c>
      <c r="G5155" t="str">
        <f>INDEX(Lists!H:H,MATCH(Validation!E5155,Lists!G:G,0))</f>
        <v>Amount must be rounded to the nearest dollar.</v>
      </c>
      <c r="H5155" s="16" t="str">
        <f t="shared" ca="1" si="549"/>
        <v/>
      </c>
      <c r="I5155" s="16" t="str">
        <f t="shared" ca="1" si="550"/>
        <v/>
      </c>
      <c r="J5155" s="17" t="str">
        <f t="shared" ca="1" si="551"/>
        <v/>
      </c>
    </row>
    <row r="5156" spans="1:10" x14ac:dyDescent="0.25">
      <c r="A5156" t="s">
        <v>939</v>
      </c>
      <c r="B5156" t="str">
        <f>ADDRESS(ROW('Loan 1'!$B$19),COLUMN('Loan 1'!$B$19),4)</f>
        <v>B19</v>
      </c>
      <c r="C5156" t="str">
        <f>ADDRESS(ROW('Loan 1'!$D$19),COLUMN('Loan 1'!$D$19),4)</f>
        <v>D19</v>
      </c>
      <c r="D5156" t="b" cm="1">
        <f t="array" aca="1" ref="D5156" ca="1">IF(INDIRECT("'"&amp;A5156&amp;"'!"&amp;B5156)="",FALSE,IF(TRUNC(INDIRECT("'"&amp;A5156&amp;"'!"&amp;B5156))=INDIRECT("'"&amp;A5156&amp;"'!"&amp;B5156),FALSE,TRUE))</f>
        <v>0</v>
      </c>
      <c r="E5156" t="s">
        <v>436</v>
      </c>
      <c r="F5156" t="str">
        <f>INDEX(Lists!I:I,MATCH(Validation!E5156,Lists!G:G,0))</f>
        <v>Error</v>
      </c>
      <c r="G5156" t="str">
        <f>INDEX(Lists!H:H,MATCH(Validation!E5156,Lists!G:G,0))</f>
        <v>Amount must be rounded to the nearest dollar.</v>
      </c>
      <c r="H5156" s="16" t="str">
        <f t="shared" ca="1" si="549"/>
        <v/>
      </c>
      <c r="I5156" s="16" t="str">
        <f t="shared" ca="1" si="550"/>
        <v/>
      </c>
      <c r="J5156" s="17" t="str">
        <f t="shared" ca="1" si="551"/>
        <v/>
      </c>
    </row>
    <row r="5157" spans="1:10" x14ac:dyDescent="0.25">
      <c r="A5157" t="s">
        <v>940</v>
      </c>
      <c r="B5157" t="str">
        <f>ADDRESS(ROW('Loan 1'!$B$19),COLUMN('Loan 1'!$B$19),4)</f>
        <v>B19</v>
      </c>
      <c r="C5157" t="str">
        <f>ADDRESS(ROW('Loan 1'!$D$19),COLUMN('Loan 1'!$D$19),4)</f>
        <v>D19</v>
      </c>
      <c r="D5157" t="b" cm="1">
        <f t="array" aca="1" ref="D5157" ca="1">IF(INDIRECT("'"&amp;A5157&amp;"'!"&amp;B5157)="",FALSE,IF(TRUNC(INDIRECT("'"&amp;A5157&amp;"'!"&amp;B5157))=INDIRECT("'"&amp;A5157&amp;"'!"&amp;B5157),FALSE,TRUE))</f>
        <v>0</v>
      </c>
      <c r="E5157" t="s">
        <v>436</v>
      </c>
      <c r="F5157" t="str">
        <f>INDEX(Lists!I:I,MATCH(Validation!E5157,Lists!G:G,0))</f>
        <v>Error</v>
      </c>
      <c r="G5157" t="str">
        <f>INDEX(Lists!H:H,MATCH(Validation!E5157,Lists!G:G,0))</f>
        <v>Amount must be rounded to the nearest dollar.</v>
      </c>
      <c r="H5157" s="16" t="str">
        <f t="shared" ca="1" si="549"/>
        <v/>
      </c>
      <c r="I5157" s="16" t="str">
        <f t="shared" ca="1" si="550"/>
        <v/>
      </c>
      <c r="J5157" s="17" t="str">
        <f t="shared" ca="1" si="551"/>
        <v/>
      </c>
    </row>
    <row r="5158" spans="1:10" x14ac:dyDescent="0.25">
      <c r="A5158" t="s">
        <v>941</v>
      </c>
      <c r="B5158" t="str">
        <f>ADDRESS(ROW('Loan 1'!$B$19),COLUMN('Loan 1'!$B$19),4)</f>
        <v>B19</v>
      </c>
      <c r="C5158" t="str">
        <f>ADDRESS(ROW('Loan 1'!$D$19),COLUMN('Loan 1'!$D$19),4)</f>
        <v>D19</v>
      </c>
      <c r="D5158" t="b" cm="1">
        <f t="array" aca="1" ref="D5158" ca="1">IF(INDIRECT("'"&amp;A5158&amp;"'!"&amp;B5158)="",FALSE,IF(TRUNC(INDIRECT("'"&amp;A5158&amp;"'!"&amp;B5158))=INDIRECT("'"&amp;A5158&amp;"'!"&amp;B5158),FALSE,TRUE))</f>
        <v>0</v>
      </c>
      <c r="E5158" t="s">
        <v>436</v>
      </c>
      <c r="F5158" t="str">
        <f>INDEX(Lists!I:I,MATCH(Validation!E5158,Lists!G:G,0))</f>
        <v>Error</v>
      </c>
      <c r="G5158" t="str">
        <f>INDEX(Lists!H:H,MATCH(Validation!E5158,Lists!G:G,0))</f>
        <v>Amount must be rounded to the nearest dollar.</v>
      </c>
      <c r="H5158" s="16" t="str">
        <f t="shared" ca="1" si="549"/>
        <v/>
      </c>
      <c r="I5158" s="16" t="str">
        <f t="shared" ca="1" si="550"/>
        <v/>
      </c>
      <c r="J5158" s="17" t="str">
        <f t="shared" ca="1" si="551"/>
        <v/>
      </c>
    </row>
    <row r="5159" spans="1:10" x14ac:dyDescent="0.25">
      <c r="A5159" t="s">
        <v>942</v>
      </c>
      <c r="B5159" t="str">
        <f>ADDRESS(ROW('Loan 1'!$B$19),COLUMN('Loan 1'!$B$19),4)</f>
        <v>B19</v>
      </c>
      <c r="C5159" t="str">
        <f>ADDRESS(ROW('Loan 1'!$D$19),COLUMN('Loan 1'!$D$19),4)</f>
        <v>D19</v>
      </c>
      <c r="D5159" t="b" cm="1">
        <f t="array" aca="1" ref="D5159" ca="1">IF(INDIRECT("'"&amp;A5159&amp;"'!"&amp;B5159)="",FALSE,IF(TRUNC(INDIRECT("'"&amp;A5159&amp;"'!"&amp;B5159))=INDIRECT("'"&amp;A5159&amp;"'!"&amp;B5159),FALSE,TRUE))</f>
        <v>0</v>
      </c>
      <c r="E5159" t="s">
        <v>436</v>
      </c>
      <c r="F5159" t="str">
        <f>INDEX(Lists!I:I,MATCH(Validation!E5159,Lists!G:G,0))</f>
        <v>Error</v>
      </c>
      <c r="G5159" t="str">
        <f>INDEX(Lists!H:H,MATCH(Validation!E5159,Lists!G:G,0))</f>
        <v>Amount must be rounded to the nearest dollar.</v>
      </c>
      <c r="H5159" s="16" t="str">
        <f t="shared" ca="1" si="549"/>
        <v/>
      </c>
      <c r="I5159" s="16" t="str">
        <f t="shared" ca="1" si="550"/>
        <v/>
      </c>
      <c r="J5159" s="17" t="str">
        <f t="shared" ca="1" si="551"/>
        <v/>
      </c>
    </row>
    <row r="5160" spans="1:10" x14ac:dyDescent="0.25">
      <c r="A5160" t="s">
        <v>943</v>
      </c>
      <c r="B5160" t="str">
        <f>ADDRESS(ROW('Loan 1'!$B$19),COLUMN('Loan 1'!$B$19),4)</f>
        <v>B19</v>
      </c>
      <c r="C5160" t="str">
        <f>ADDRESS(ROW('Loan 1'!$D$19),COLUMN('Loan 1'!$D$19),4)</f>
        <v>D19</v>
      </c>
      <c r="D5160" t="b" cm="1">
        <f t="array" aca="1" ref="D5160" ca="1">IF(INDIRECT("'"&amp;A5160&amp;"'!"&amp;B5160)="",FALSE,IF(TRUNC(INDIRECT("'"&amp;A5160&amp;"'!"&amp;B5160))=INDIRECT("'"&amp;A5160&amp;"'!"&amp;B5160),FALSE,TRUE))</f>
        <v>0</v>
      </c>
      <c r="E5160" t="s">
        <v>436</v>
      </c>
      <c r="F5160" t="str">
        <f>INDEX(Lists!I:I,MATCH(Validation!E5160,Lists!G:G,0))</f>
        <v>Error</v>
      </c>
      <c r="G5160" t="str">
        <f>INDEX(Lists!H:H,MATCH(Validation!E5160,Lists!G:G,0))</f>
        <v>Amount must be rounded to the nearest dollar.</v>
      </c>
      <c r="H5160" s="16" t="str">
        <f t="shared" ca="1" si="549"/>
        <v/>
      </c>
      <c r="I5160" s="16" t="str">
        <f t="shared" ca="1" si="550"/>
        <v/>
      </c>
      <c r="J5160" s="17" t="str">
        <f t="shared" ca="1" si="551"/>
        <v/>
      </c>
    </row>
    <row r="5161" spans="1:10" x14ac:dyDescent="0.25">
      <c r="A5161" t="s">
        <v>944</v>
      </c>
      <c r="B5161" t="str">
        <f>ADDRESS(ROW('Loan 1'!$B$19),COLUMN('Loan 1'!$B$19),4)</f>
        <v>B19</v>
      </c>
      <c r="C5161" t="str">
        <f>ADDRESS(ROW('Loan 1'!$D$19),COLUMN('Loan 1'!$D$19),4)</f>
        <v>D19</v>
      </c>
      <c r="D5161" t="b" cm="1">
        <f t="array" aca="1" ref="D5161" ca="1">IF(INDIRECT("'"&amp;A5161&amp;"'!"&amp;B5161)="",FALSE,IF(TRUNC(INDIRECT("'"&amp;A5161&amp;"'!"&amp;B5161))=INDIRECT("'"&amp;A5161&amp;"'!"&amp;B5161),FALSE,TRUE))</f>
        <v>0</v>
      </c>
      <c r="E5161" t="s">
        <v>436</v>
      </c>
      <c r="F5161" t="str">
        <f>INDEX(Lists!I:I,MATCH(Validation!E5161,Lists!G:G,0))</f>
        <v>Error</v>
      </c>
      <c r="G5161" t="str">
        <f>INDEX(Lists!H:H,MATCH(Validation!E5161,Lists!G:G,0))</f>
        <v>Amount must be rounded to the nearest dollar.</v>
      </c>
      <c r="H5161" s="16" t="str">
        <f t="shared" ca="1" si="549"/>
        <v/>
      </c>
      <c r="I5161" s="16" t="str">
        <f t="shared" ca="1" si="550"/>
        <v/>
      </c>
      <c r="J5161" s="17" t="str">
        <f t="shared" ca="1" si="551"/>
        <v/>
      </c>
    </row>
    <row r="5162" spans="1:10" x14ac:dyDescent="0.25">
      <c r="A5162" t="s">
        <v>945</v>
      </c>
      <c r="B5162" t="str">
        <f>ADDRESS(ROW('Loan 1'!$B$19),COLUMN('Loan 1'!$B$19),4)</f>
        <v>B19</v>
      </c>
      <c r="C5162" t="str">
        <f>ADDRESS(ROW('Loan 1'!$D$19),COLUMN('Loan 1'!$D$19),4)</f>
        <v>D19</v>
      </c>
      <c r="D5162" t="b" cm="1">
        <f t="array" aca="1" ref="D5162" ca="1">IF(INDIRECT("'"&amp;A5162&amp;"'!"&amp;B5162)="",FALSE,IF(TRUNC(INDIRECT("'"&amp;A5162&amp;"'!"&amp;B5162))=INDIRECT("'"&amp;A5162&amp;"'!"&amp;B5162),FALSE,TRUE))</f>
        <v>0</v>
      </c>
      <c r="E5162" t="s">
        <v>436</v>
      </c>
      <c r="F5162" t="str">
        <f>INDEX(Lists!I:I,MATCH(Validation!E5162,Lists!G:G,0))</f>
        <v>Error</v>
      </c>
      <c r="G5162" t="str">
        <f>INDEX(Lists!H:H,MATCH(Validation!E5162,Lists!G:G,0))</f>
        <v>Amount must be rounded to the nearest dollar.</v>
      </c>
      <c r="H5162" s="16" t="str">
        <f t="shared" ca="1" si="549"/>
        <v/>
      </c>
      <c r="I5162" s="16" t="str">
        <f t="shared" ca="1" si="550"/>
        <v/>
      </c>
      <c r="J5162" s="17" t="str">
        <f t="shared" ca="1" si="551"/>
        <v/>
      </c>
    </row>
    <row r="5163" spans="1:10" x14ac:dyDescent="0.25">
      <c r="A5163" t="s">
        <v>205</v>
      </c>
      <c r="B5163" t="str">
        <f>ADDRESS(ROW('Loan 1'!$C$19),COLUMN('Loan 1'!$C$19),4)</f>
        <v>C19</v>
      </c>
      <c r="C5163" t="str">
        <f>ADDRESS(ROW('Loan 1'!$D$19),COLUMN('Loan 1'!$D$19),4)</f>
        <v>D19</v>
      </c>
      <c r="D5163" t="b" cm="1">
        <f t="array" aca="1" ref="D5163" ca="1">IF(INDIRECT("'"&amp;A5163&amp;"'!"&amp;B5163)="",FALSE,IF(NOT(ISNUMBER(INDIRECT("'"&amp;A5163&amp;"'!"&amp;B5163))),TRUE,FALSE))</f>
        <v>0</v>
      </c>
      <c r="E5163" t="s">
        <v>435</v>
      </c>
      <c r="F5163" t="str">
        <f>INDEX(Lists!I:I,MATCH(Validation!E5163,Lists!G:G,0))</f>
        <v>Error</v>
      </c>
      <c r="G5163" t="str">
        <f>INDEX(Lists!H:H,MATCH(Validation!E5163,Lists!G:G,0))</f>
        <v>Enter an amount only. Do not enter text or spaces.</v>
      </c>
      <c r="H5163" s="16" t="str">
        <f ca="1">IFERROR(IF(OR(NOT(D5163),F5163&lt;&gt;"Error"),"",A5163&amp;CELL("address",INDIRECT(B5163))),"")</f>
        <v/>
      </c>
      <c r="I5163" s="16" t="str">
        <f ca="1">IFERROR(IF(NOT(D5163),"",A5163&amp;CELL("address",INDIRECT(C5163))),"")</f>
        <v/>
      </c>
      <c r="J5163" s="17" t="str">
        <f ca="1">IFERROR(IF(NOT(D5163),"",A5163),"")</f>
        <v/>
      </c>
    </row>
    <row r="5164" spans="1:10" x14ac:dyDescent="0.25">
      <c r="A5164" t="s">
        <v>932</v>
      </c>
      <c r="B5164" t="str">
        <f>ADDRESS(ROW('Loan 1'!$C$19),COLUMN('Loan 1'!$C$19),4)</f>
        <v>C19</v>
      </c>
      <c r="C5164" t="str">
        <f>ADDRESS(ROW('Loan 1'!$D$19),COLUMN('Loan 1'!$D$19),4)</f>
        <v>D19</v>
      </c>
      <c r="D5164" t="b" cm="1">
        <f t="array" aca="1" ref="D5164" ca="1">IF(INDIRECT("'"&amp;A5164&amp;"'!"&amp;B5164)="",FALSE,IF(NOT(ISNUMBER(INDIRECT("'"&amp;A5164&amp;"'!"&amp;B5164))),TRUE,FALSE))</f>
        <v>0</v>
      </c>
      <c r="E5164" t="s">
        <v>435</v>
      </c>
      <c r="F5164" t="str">
        <f>INDEX(Lists!I:I,MATCH(Validation!E5164,Lists!G:G,0))</f>
        <v>Error</v>
      </c>
      <c r="G5164" t="str">
        <f>INDEX(Lists!H:H,MATCH(Validation!E5164,Lists!G:G,0))</f>
        <v>Enter an amount only. Do not enter text or spaces.</v>
      </c>
      <c r="H5164" s="16" t="str">
        <f t="shared" ref="H5164:H5177" ca="1" si="552">IFERROR(IF(OR(NOT(D5164),F5164&lt;&gt;"Error"),"",A5164&amp;CELL("address",INDIRECT(B5164))),"")</f>
        <v/>
      </c>
      <c r="I5164" s="16" t="str">
        <f t="shared" ref="I5164:I5177" ca="1" si="553">IFERROR(IF(NOT(D5164),"",A5164&amp;CELL("address",INDIRECT(C5164))),"")</f>
        <v/>
      </c>
      <c r="J5164" s="17" t="str">
        <f t="shared" ref="J5164:J5177" ca="1" si="554">IFERROR(IF(NOT(D5164),"",A5164),"")</f>
        <v/>
      </c>
    </row>
    <row r="5165" spans="1:10" x14ac:dyDescent="0.25">
      <c r="A5165" t="s">
        <v>933</v>
      </c>
      <c r="B5165" t="str">
        <f>ADDRESS(ROW('Loan 1'!$C$19),COLUMN('Loan 1'!$C$19),4)</f>
        <v>C19</v>
      </c>
      <c r="C5165" t="str">
        <f>ADDRESS(ROW('Loan 1'!$D$19),COLUMN('Loan 1'!$D$19),4)</f>
        <v>D19</v>
      </c>
      <c r="D5165" t="b" cm="1">
        <f t="array" aca="1" ref="D5165" ca="1">IF(INDIRECT("'"&amp;A5165&amp;"'!"&amp;B5165)="",FALSE,IF(NOT(ISNUMBER(INDIRECT("'"&amp;A5165&amp;"'!"&amp;B5165))),TRUE,FALSE))</f>
        <v>0</v>
      </c>
      <c r="E5165" t="s">
        <v>435</v>
      </c>
      <c r="F5165" t="str">
        <f>INDEX(Lists!I:I,MATCH(Validation!E5165,Lists!G:G,0))</f>
        <v>Error</v>
      </c>
      <c r="G5165" t="str">
        <f>INDEX(Lists!H:H,MATCH(Validation!E5165,Lists!G:G,0))</f>
        <v>Enter an amount only. Do not enter text or spaces.</v>
      </c>
      <c r="H5165" s="16" t="str">
        <f t="shared" ca="1" si="552"/>
        <v/>
      </c>
      <c r="I5165" s="16" t="str">
        <f t="shared" ca="1" si="553"/>
        <v/>
      </c>
      <c r="J5165" s="17" t="str">
        <f t="shared" ca="1" si="554"/>
        <v/>
      </c>
    </row>
    <row r="5166" spans="1:10" x14ac:dyDescent="0.25">
      <c r="A5166" t="s">
        <v>934</v>
      </c>
      <c r="B5166" t="str">
        <f>ADDRESS(ROW('Loan 1'!$C$19),COLUMN('Loan 1'!$C$19),4)</f>
        <v>C19</v>
      </c>
      <c r="C5166" t="str">
        <f>ADDRESS(ROW('Loan 1'!$D$19),COLUMN('Loan 1'!$D$19),4)</f>
        <v>D19</v>
      </c>
      <c r="D5166" t="b" cm="1">
        <f t="array" aca="1" ref="D5166" ca="1">IF(INDIRECT("'"&amp;A5166&amp;"'!"&amp;B5166)="",FALSE,IF(NOT(ISNUMBER(INDIRECT("'"&amp;A5166&amp;"'!"&amp;B5166))),TRUE,FALSE))</f>
        <v>0</v>
      </c>
      <c r="E5166" t="s">
        <v>435</v>
      </c>
      <c r="F5166" t="str">
        <f>INDEX(Lists!I:I,MATCH(Validation!E5166,Lists!G:G,0))</f>
        <v>Error</v>
      </c>
      <c r="G5166" t="str">
        <f>INDEX(Lists!H:H,MATCH(Validation!E5166,Lists!G:G,0))</f>
        <v>Enter an amount only. Do not enter text or spaces.</v>
      </c>
      <c r="H5166" s="16" t="str">
        <f t="shared" ca="1" si="552"/>
        <v/>
      </c>
      <c r="I5166" s="16" t="str">
        <f t="shared" ca="1" si="553"/>
        <v/>
      </c>
      <c r="J5166" s="17" t="str">
        <f t="shared" ca="1" si="554"/>
        <v/>
      </c>
    </row>
    <row r="5167" spans="1:10" x14ac:dyDescent="0.25">
      <c r="A5167" t="s">
        <v>935</v>
      </c>
      <c r="B5167" t="str">
        <f>ADDRESS(ROW('Loan 1'!$C$19),COLUMN('Loan 1'!$C$19),4)</f>
        <v>C19</v>
      </c>
      <c r="C5167" t="str">
        <f>ADDRESS(ROW('Loan 1'!$D$19),COLUMN('Loan 1'!$D$19),4)</f>
        <v>D19</v>
      </c>
      <c r="D5167" t="b" cm="1">
        <f t="array" aca="1" ref="D5167" ca="1">IF(INDIRECT("'"&amp;A5167&amp;"'!"&amp;B5167)="",FALSE,IF(NOT(ISNUMBER(INDIRECT("'"&amp;A5167&amp;"'!"&amp;B5167))),TRUE,FALSE))</f>
        <v>0</v>
      </c>
      <c r="E5167" t="s">
        <v>435</v>
      </c>
      <c r="F5167" t="str">
        <f>INDEX(Lists!I:I,MATCH(Validation!E5167,Lists!G:G,0))</f>
        <v>Error</v>
      </c>
      <c r="G5167" t="str">
        <f>INDEX(Lists!H:H,MATCH(Validation!E5167,Lists!G:G,0))</f>
        <v>Enter an amount only. Do not enter text or spaces.</v>
      </c>
      <c r="H5167" s="16" t="str">
        <f t="shared" ca="1" si="552"/>
        <v/>
      </c>
      <c r="I5167" s="16" t="str">
        <f t="shared" ca="1" si="553"/>
        <v/>
      </c>
      <c r="J5167" s="17" t="str">
        <f t="shared" ca="1" si="554"/>
        <v/>
      </c>
    </row>
    <row r="5168" spans="1:10" x14ac:dyDescent="0.25">
      <c r="A5168" t="s">
        <v>936</v>
      </c>
      <c r="B5168" t="str">
        <f>ADDRESS(ROW('Loan 1'!$C$19),COLUMN('Loan 1'!$C$19),4)</f>
        <v>C19</v>
      </c>
      <c r="C5168" t="str">
        <f>ADDRESS(ROW('Loan 1'!$D$19),COLUMN('Loan 1'!$D$19),4)</f>
        <v>D19</v>
      </c>
      <c r="D5168" t="b" cm="1">
        <f t="array" aca="1" ref="D5168" ca="1">IF(INDIRECT("'"&amp;A5168&amp;"'!"&amp;B5168)="",FALSE,IF(NOT(ISNUMBER(INDIRECT("'"&amp;A5168&amp;"'!"&amp;B5168))),TRUE,FALSE))</f>
        <v>0</v>
      </c>
      <c r="E5168" t="s">
        <v>435</v>
      </c>
      <c r="F5168" t="str">
        <f>INDEX(Lists!I:I,MATCH(Validation!E5168,Lists!G:G,0))</f>
        <v>Error</v>
      </c>
      <c r="G5168" t="str">
        <f>INDEX(Lists!H:H,MATCH(Validation!E5168,Lists!G:G,0))</f>
        <v>Enter an amount only. Do not enter text or spaces.</v>
      </c>
      <c r="H5168" s="16" t="str">
        <f t="shared" ca="1" si="552"/>
        <v/>
      </c>
      <c r="I5168" s="16" t="str">
        <f t="shared" ca="1" si="553"/>
        <v/>
      </c>
      <c r="J5168" s="17" t="str">
        <f t="shared" ca="1" si="554"/>
        <v/>
      </c>
    </row>
    <row r="5169" spans="1:10" x14ac:dyDescent="0.25">
      <c r="A5169" t="s">
        <v>937</v>
      </c>
      <c r="B5169" t="str">
        <f>ADDRESS(ROW('Loan 1'!$C$19),COLUMN('Loan 1'!$C$19),4)</f>
        <v>C19</v>
      </c>
      <c r="C5169" t="str">
        <f>ADDRESS(ROW('Loan 1'!$D$19),COLUMN('Loan 1'!$D$19),4)</f>
        <v>D19</v>
      </c>
      <c r="D5169" t="b" cm="1">
        <f t="array" aca="1" ref="D5169" ca="1">IF(INDIRECT("'"&amp;A5169&amp;"'!"&amp;B5169)="",FALSE,IF(NOT(ISNUMBER(INDIRECT("'"&amp;A5169&amp;"'!"&amp;B5169))),TRUE,FALSE))</f>
        <v>0</v>
      </c>
      <c r="E5169" t="s">
        <v>435</v>
      </c>
      <c r="F5169" t="str">
        <f>INDEX(Lists!I:I,MATCH(Validation!E5169,Lists!G:G,0))</f>
        <v>Error</v>
      </c>
      <c r="G5169" t="str">
        <f>INDEX(Lists!H:H,MATCH(Validation!E5169,Lists!G:G,0))</f>
        <v>Enter an amount only. Do not enter text or spaces.</v>
      </c>
      <c r="H5169" s="16" t="str">
        <f t="shared" ca="1" si="552"/>
        <v/>
      </c>
      <c r="I5169" s="16" t="str">
        <f t="shared" ca="1" si="553"/>
        <v/>
      </c>
      <c r="J5169" s="17" t="str">
        <f t="shared" ca="1" si="554"/>
        <v/>
      </c>
    </row>
    <row r="5170" spans="1:10" x14ac:dyDescent="0.25">
      <c r="A5170" t="s">
        <v>938</v>
      </c>
      <c r="B5170" t="str">
        <f>ADDRESS(ROW('Loan 1'!$C$19),COLUMN('Loan 1'!$C$19),4)</f>
        <v>C19</v>
      </c>
      <c r="C5170" t="str">
        <f>ADDRESS(ROW('Loan 1'!$D$19),COLUMN('Loan 1'!$D$19),4)</f>
        <v>D19</v>
      </c>
      <c r="D5170" t="b" cm="1">
        <f t="array" aca="1" ref="D5170" ca="1">IF(INDIRECT("'"&amp;A5170&amp;"'!"&amp;B5170)="",FALSE,IF(NOT(ISNUMBER(INDIRECT("'"&amp;A5170&amp;"'!"&amp;B5170))),TRUE,FALSE))</f>
        <v>0</v>
      </c>
      <c r="E5170" t="s">
        <v>435</v>
      </c>
      <c r="F5170" t="str">
        <f>INDEX(Lists!I:I,MATCH(Validation!E5170,Lists!G:G,0))</f>
        <v>Error</v>
      </c>
      <c r="G5170" t="str">
        <f>INDEX(Lists!H:H,MATCH(Validation!E5170,Lists!G:G,0))</f>
        <v>Enter an amount only. Do not enter text or spaces.</v>
      </c>
      <c r="H5170" s="16" t="str">
        <f t="shared" ca="1" si="552"/>
        <v/>
      </c>
      <c r="I5170" s="16" t="str">
        <f t="shared" ca="1" si="553"/>
        <v/>
      </c>
      <c r="J5170" s="17" t="str">
        <f t="shared" ca="1" si="554"/>
        <v/>
      </c>
    </row>
    <row r="5171" spans="1:10" x14ac:dyDescent="0.25">
      <c r="A5171" t="s">
        <v>939</v>
      </c>
      <c r="B5171" t="str">
        <f>ADDRESS(ROW('Loan 1'!$C$19),COLUMN('Loan 1'!$C$19),4)</f>
        <v>C19</v>
      </c>
      <c r="C5171" t="str">
        <f>ADDRESS(ROW('Loan 1'!$D$19),COLUMN('Loan 1'!$D$19),4)</f>
        <v>D19</v>
      </c>
      <c r="D5171" t="b" cm="1">
        <f t="array" aca="1" ref="D5171" ca="1">IF(INDIRECT("'"&amp;A5171&amp;"'!"&amp;B5171)="",FALSE,IF(NOT(ISNUMBER(INDIRECT("'"&amp;A5171&amp;"'!"&amp;B5171))),TRUE,FALSE))</f>
        <v>0</v>
      </c>
      <c r="E5171" t="s">
        <v>435</v>
      </c>
      <c r="F5171" t="str">
        <f>INDEX(Lists!I:I,MATCH(Validation!E5171,Lists!G:G,0))</f>
        <v>Error</v>
      </c>
      <c r="G5171" t="str">
        <f>INDEX(Lists!H:H,MATCH(Validation!E5171,Lists!G:G,0))</f>
        <v>Enter an amount only. Do not enter text or spaces.</v>
      </c>
      <c r="H5171" s="16" t="str">
        <f t="shared" ca="1" si="552"/>
        <v/>
      </c>
      <c r="I5171" s="16" t="str">
        <f t="shared" ca="1" si="553"/>
        <v/>
      </c>
      <c r="J5171" s="17" t="str">
        <f t="shared" ca="1" si="554"/>
        <v/>
      </c>
    </row>
    <row r="5172" spans="1:10" x14ac:dyDescent="0.25">
      <c r="A5172" t="s">
        <v>940</v>
      </c>
      <c r="B5172" t="str">
        <f>ADDRESS(ROW('Loan 1'!$C$19),COLUMN('Loan 1'!$C$19),4)</f>
        <v>C19</v>
      </c>
      <c r="C5172" t="str">
        <f>ADDRESS(ROW('Loan 1'!$D$19),COLUMN('Loan 1'!$D$19),4)</f>
        <v>D19</v>
      </c>
      <c r="D5172" t="b" cm="1">
        <f t="array" aca="1" ref="D5172" ca="1">IF(INDIRECT("'"&amp;A5172&amp;"'!"&amp;B5172)="",FALSE,IF(NOT(ISNUMBER(INDIRECT("'"&amp;A5172&amp;"'!"&amp;B5172))),TRUE,FALSE))</f>
        <v>0</v>
      </c>
      <c r="E5172" t="s">
        <v>435</v>
      </c>
      <c r="F5172" t="str">
        <f>INDEX(Lists!I:I,MATCH(Validation!E5172,Lists!G:G,0))</f>
        <v>Error</v>
      </c>
      <c r="G5172" t="str">
        <f>INDEX(Lists!H:H,MATCH(Validation!E5172,Lists!G:G,0))</f>
        <v>Enter an amount only. Do not enter text or spaces.</v>
      </c>
      <c r="H5172" s="16" t="str">
        <f t="shared" ca="1" si="552"/>
        <v/>
      </c>
      <c r="I5172" s="16" t="str">
        <f t="shared" ca="1" si="553"/>
        <v/>
      </c>
      <c r="J5172" s="17" t="str">
        <f t="shared" ca="1" si="554"/>
        <v/>
      </c>
    </row>
    <row r="5173" spans="1:10" x14ac:dyDescent="0.25">
      <c r="A5173" t="s">
        <v>941</v>
      </c>
      <c r="B5173" t="str">
        <f>ADDRESS(ROW('Loan 1'!$C$19),COLUMN('Loan 1'!$C$19),4)</f>
        <v>C19</v>
      </c>
      <c r="C5173" t="str">
        <f>ADDRESS(ROW('Loan 1'!$D$19),COLUMN('Loan 1'!$D$19),4)</f>
        <v>D19</v>
      </c>
      <c r="D5173" t="b" cm="1">
        <f t="array" aca="1" ref="D5173" ca="1">IF(INDIRECT("'"&amp;A5173&amp;"'!"&amp;B5173)="",FALSE,IF(NOT(ISNUMBER(INDIRECT("'"&amp;A5173&amp;"'!"&amp;B5173))),TRUE,FALSE))</f>
        <v>0</v>
      </c>
      <c r="E5173" t="s">
        <v>435</v>
      </c>
      <c r="F5173" t="str">
        <f>INDEX(Lists!I:I,MATCH(Validation!E5173,Lists!G:G,0))</f>
        <v>Error</v>
      </c>
      <c r="G5173" t="str">
        <f>INDEX(Lists!H:H,MATCH(Validation!E5173,Lists!G:G,0))</f>
        <v>Enter an amount only. Do not enter text or spaces.</v>
      </c>
      <c r="H5173" s="16" t="str">
        <f t="shared" ca="1" si="552"/>
        <v/>
      </c>
      <c r="I5173" s="16" t="str">
        <f t="shared" ca="1" si="553"/>
        <v/>
      </c>
      <c r="J5173" s="17" t="str">
        <f t="shared" ca="1" si="554"/>
        <v/>
      </c>
    </row>
    <row r="5174" spans="1:10" x14ac:dyDescent="0.25">
      <c r="A5174" t="s">
        <v>942</v>
      </c>
      <c r="B5174" t="str">
        <f>ADDRESS(ROW('Loan 1'!$C$19),COLUMN('Loan 1'!$C$19),4)</f>
        <v>C19</v>
      </c>
      <c r="C5174" t="str">
        <f>ADDRESS(ROW('Loan 1'!$D$19),COLUMN('Loan 1'!$D$19),4)</f>
        <v>D19</v>
      </c>
      <c r="D5174" t="b" cm="1">
        <f t="array" aca="1" ref="D5174" ca="1">IF(INDIRECT("'"&amp;A5174&amp;"'!"&amp;B5174)="",FALSE,IF(NOT(ISNUMBER(INDIRECT("'"&amp;A5174&amp;"'!"&amp;B5174))),TRUE,FALSE))</f>
        <v>0</v>
      </c>
      <c r="E5174" t="s">
        <v>435</v>
      </c>
      <c r="F5174" t="str">
        <f>INDEX(Lists!I:I,MATCH(Validation!E5174,Lists!G:G,0))</f>
        <v>Error</v>
      </c>
      <c r="G5174" t="str">
        <f>INDEX(Lists!H:H,MATCH(Validation!E5174,Lists!G:G,0))</f>
        <v>Enter an amount only. Do not enter text or spaces.</v>
      </c>
      <c r="H5174" s="16" t="str">
        <f t="shared" ca="1" si="552"/>
        <v/>
      </c>
      <c r="I5174" s="16" t="str">
        <f t="shared" ca="1" si="553"/>
        <v/>
      </c>
      <c r="J5174" s="17" t="str">
        <f t="shared" ca="1" si="554"/>
        <v/>
      </c>
    </row>
    <row r="5175" spans="1:10" x14ac:dyDescent="0.25">
      <c r="A5175" t="s">
        <v>943</v>
      </c>
      <c r="B5175" t="str">
        <f>ADDRESS(ROW('Loan 1'!$C$19),COLUMN('Loan 1'!$C$19),4)</f>
        <v>C19</v>
      </c>
      <c r="C5175" t="str">
        <f>ADDRESS(ROW('Loan 1'!$D$19),COLUMN('Loan 1'!$D$19),4)</f>
        <v>D19</v>
      </c>
      <c r="D5175" t="b" cm="1">
        <f t="array" aca="1" ref="D5175" ca="1">IF(INDIRECT("'"&amp;A5175&amp;"'!"&amp;B5175)="",FALSE,IF(NOT(ISNUMBER(INDIRECT("'"&amp;A5175&amp;"'!"&amp;B5175))),TRUE,FALSE))</f>
        <v>0</v>
      </c>
      <c r="E5175" t="s">
        <v>435</v>
      </c>
      <c r="F5175" t="str">
        <f>INDEX(Lists!I:I,MATCH(Validation!E5175,Lists!G:G,0))</f>
        <v>Error</v>
      </c>
      <c r="G5175" t="str">
        <f>INDEX(Lists!H:H,MATCH(Validation!E5175,Lists!G:G,0))</f>
        <v>Enter an amount only. Do not enter text or spaces.</v>
      </c>
      <c r="H5175" s="16" t="str">
        <f t="shared" ca="1" si="552"/>
        <v/>
      </c>
      <c r="I5175" s="16" t="str">
        <f t="shared" ca="1" si="553"/>
        <v/>
      </c>
      <c r="J5175" s="17" t="str">
        <f t="shared" ca="1" si="554"/>
        <v/>
      </c>
    </row>
    <row r="5176" spans="1:10" x14ac:dyDescent="0.25">
      <c r="A5176" t="s">
        <v>944</v>
      </c>
      <c r="B5176" t="str">
        <f>ADDRESS(ROW('Loan 1'!$C$19),COLUMN('Loan 1'!$C$19),4)</f>
        <v>C19</v>
      </c>
      <c r="C5176" t="str">
        <f>ADDRESS(ROW('Loan 1'!$D$19),COLUMN('Loan 1'!$D$19),4)</f>
        <v>D19</v>
      </c>
      <c r="D5176" t="b" cm="1">
        <f t="array" aca="1" ref="D5176" ca="1">IF(INDIRECT("'"&amp;A5176&amp;"'!"&amp;B5176)="",FALSE,IF(NOT(ISNUMBER(INDIRECT("'"&amp;A5176&amp;"'!"&amp;B5176))),TRUE,FALSE))</f>
        <v>0</v>
      </c>
      <c r="E5176" t="s">
        <v>435</v>
      </c>
      <c r="F5176" t="str">
        <f>INDEX(Lists!I:I,MATCH(Validation!E5176,Lists!G:G,0))</f>
        <v>Error</v>
      </c>
      <c r="G5176" t="str">
        <f>INDEX(Lists!H:H,MATCH(Validation!E5176,Lists!G:G,0))</f>
        <v>Enter an amount only. Do not enter text or spaces.</v>
      </c>
      <c r="H5176" s="16" t="str">
        <f t="shared" ca="1" si="552"/>
        <v/>
      </c>
      <c r="I5176" s="16" t="str">
        <f t="shared" ca="1" si="553"/>
        <v/>
      </c>
      <c r="J5176" s="17" t="str">
        <f t="shared" ca="1" si="554"/>
        <v/>
      </c>
    </row>
    <row r="5177" spans="1:10" x14ac:dyDescent="0.25">
      <c r="A5177" t="s">
        <v>945</v>
      </c>
      <c r="B5177" t="str">
        <f>ADDRESS(ROW('Loan 1'!$C$19),COLUMN('Loan 1'!$C$19),4)</f>
        <v>C19</v>
      </c>
      <c r="C5177" t="str">
        <f>ADDRESS(ROW('Loan 1'!$D$19),COLUMN('Loan 1'!$D$19),4)</f>
        <v>D19</v>
      </c>
      <c r="D5177" t="b" cm="1">
        <f t="array" aca="1" ref="D5177" ca="1">IF(INDIRECT("'"&amp;A5177&amp;"'!"&amp;B5177)="",FALSE,IF(NOT(ISNUMBER(INDIRECT("'"&amp;A5177&amp;"'!"&amp;B5177))),TRUE,FALSE))</f>
        <v>0</v>
      </c>
      <c r="E5177" t="s">
        <v>435</v>
      </c>
      <c r="F5177" t="str">
        <f>INDEX(Lists!I:I,MATCH(Validation!E5177,Lists!G:G,0))</f>
        <v>Error</v>
      </c>
      <c r="G5177" t="str">
        <f>INDEX(Lists!H:H,MATCH(Validation!E5177,Lists!G:G,0))</f>
        <v>Enter an amount only. Do not enter text or spaces.</v>
      </c>
      <c r="H5177" s="16" t="str">
        <f t="shared" ca="1" si="552"/>
        <v/>
      </c>
      <c r="I5177" s="16" t="str">
        <f t="shared" ca="1" si="553"/>
        <v/>
      </c>
      <c r="J5177" s="17" t="str">
        <f t="shared" ca="1" si="554"/>
        <v/>
      </c>
    </row>
    <row r="5178" spans="1:10" x14ac:dyDescent="0.25">
      <c r="A5178" t="s">
        <v>205</v>
      </c>
      <c r="B5178" t="str">
        <f>ADDRESS(ROW('Loan 1'!$C$19),COLUMN('Loan 1'!$C$19),4)</f>
        <v>C19</v>
      </c>
      <c r="C5178" t="str">
        <f>ADDRESS(ROW('Loan 1'!$D$19),COLUMN('Loan 1'!$D$19),4)</f>
        <v>D19</v>
      </c>
      <c r="D5178" t="b" cm="1">
        <f t="array" aca="1" ref="D5178" ca="1">IF(INDIRECT("'"&amp;A5178&amp;"'!"&amp;B5178)="",FALSE,IF(INDIRECT("'"&amp;A5178&amp;"'!"&amp;B5178)&lt;0,TRUE,FALSE))</f>
        <v>0</v>
      </c>
      <c r="E5178" t="s">
        <v>434</v>
      </c>
      <c r="F5178" t="str">
        <f>INDEX(Lists!I:I,MATCH(Validation!E5178,Lists!G:G,0))</f>
        <v>Error</v>
      </c>
      <c r="G5178" t="str">
        <f>INDEX(Lists!H:H,MATCH(Validation!E5178,Lists!G:G,0))</f>
        <v>Amount may not be negative. Enter an amount greater than or equal to zero.</v>
      </c>
      <c r="H5178" s="16" t="str">
        <f ca="1">IFERROR(IF(OR(NOT(D5178),F5178&lt;&gt;"Error"),"",A5178&amp;CELL("address",INDIRECT(B5178))),"")</f>
        <v/>
      </c>
      <c r="I5178" s="16" t="str">
        <f ca="1">IFERROR(IF(NOT(D5178),"",A5178&amp;CELL("address",INDIRECT(C5178))),"")</f>
        <v/>
      </c>
      <c r="J5178" s="17" t="str">
        <f ca="1">IFERROR(IF(NOT(D5178),"",A5178),"")</f>
        <v/>
      </c>
    </row>
    <row r="5179" spans="1:10" x14ac:dyDescent="0.25">
      <c r="A5179" t="s">
        <v>932</v>
      </c>
      <c r="B5179" t="str">
        <f>ADDRESS(ROW('Loan 1'!$C$19),COLUMN('Loan 1'!$C$19),4)</f>
        <v>C19</v>
      </c>
      <c r="C5179" t="str">
        <f>ADDRESS(ROW('Loan 1'!$D$19),COLUMN('Loan 1'!$D$19),4)</f>
        <v>D19</v>
      </c>
      <c r="D5179" t="b" cm="1">
        <f t="array" aca="1" ref="D5179" ca="1">IF(INDIRECT("'"&amp;A5179&amp;"'!"&amp;B5179)="",FALSE,IF(INDIRECT("'"&amp;A5179&amp;"'!"&amp;B5179)&lt;0,TRUE,FALSE))</f>
        <v>0</v>
      </c>
      <c r="E5179" t="s">
        <v>434</v>
      </c>
      <c r="F5179" t="str">
        <f>INDEX(Lists!I:I,MATCH(Validation!E5179,Lists!G:G,0))</f>
        <v>Error</v>
      </c>
      <c r="G5179" t="str">
        <f>INDEX(Lists!H:H,MATCH(Validation!E5179,Lists!G:G,0))</f>
        <v>Amount may not be negative. Enter an amount greater than or equal to zero.</v>
      </c>
      <c r="H5179" s="16" t="str">
        <f t="shared" ref="H5179:H5207" ca="1" si="555">IFERROR(IF(OR(NOT(D5179),F5179&lt;&gt;"Error"),"",A5179&amp;CELL("address",INDIRECT(B5179))),"")</f>
        <v/>
      </c>
      <c r="I5179" s="16" t="str">
        <f t="shared" ref="I5179:I5207" ca="1" si="556">IFERROR(IF(NOT(D5179),"",A5179&amp;CELL("address",INDIRECT(C5179))),"")</f>
        <v/>
      </c>
      <c r="J5179" s="17" t="str">
        <f t="shared" ref="J5179:J5207" ca="1" si="557">IFERROR(IF(NOT(D5179),"",A5179),"")</f>
        <v/>
      </c>
    </row>
    <row r="5180" spans="1:10" x14ac:dyDescent="0.25">
      <c r="A5180" t="s">
        <v>933</v>
      </c>
      <c r="B5180" t="str">
        <f>ADDRESS(ROW('Loan 1'!$C$19),COLUMN('Loan 1'!$C$19),4)</f>
        <v>C19</v>
      </c>
      <c r="C5180" t="str">
        <f>ADDRESS(ROW('Loan 1'!$D$19),COLUMN('Loan 1'!$D$19),4)</f>
        <v>D19</v>
      </c>
      <c r="D5180" t="b" cm="1">
        <f t="array" aca="1" ref="D5180" ca="1">IF(INDIRECT("'"&amp;A5180&amp;"'!"&amp;B5180)="",FALSE,IF(INDIRECT("'"&amp;A5180&amp;"'!"&amp;B5180)&lt;0,TRUE,FALSE))</f>
        <v>0</v>
      </c>
      <c r="E5180" t="s">
        <v>434</v>
      </c>
      <c r="F5180" t="str">
        <f>INDEX(Lists!I:I,MATCH(Validation!E5180,Lists!G:G,0))</f>
        <v>Error</v>
      </c>
      <c r="G5180" t="str">
        <f>INDEX(Lists!H:H,MATCH(Validation!E5180,Lists!G:G,0))</f>
        <v>Amount may not be negative. Enter an amount greater than or equal to zero.</v>
      </c>
      <c r="H5180" s="16" t="str">
        <f t="shared" ca="1" si="555"/>
        <v/>
      </c>
      <c r="I5180" s="16" t="str">
        <f t="shared" ca="1" si="556"/>
        <v/>
      </c>
      <c r="J5180" s="17" t="str">
        <f t="shared" ca="1" si="557"/>
        <v/>
      </c>
    </row>
    <row r="5181" spans="1:10" x14ac:dyDescent="0.25">
      <c r="A5181" t="s">
        <v>934</v>
      </c>
      <c r="B5181" t="str">
        <f>ADDRESS(ROW('Loan 1'!$C$19),COLUMN('Loan 1'!$C$19),4)</f>
        <v>C19</v>
      </c>
      <c r="C5181" t="str">
        <f>ADDRESS(ROW('Loan 1'!$D$19),COLUMN('Loan 1'!$D$19),4)</f>
        <v>D19</v>
      </c>
      <c r="D5181" t="b" cm="1">
        <f t="array" aca="1" ref="D5181" ca="1">IF(INDIRECT("'"&amp;A5181&amp;"'!"&amp;B5181)="",FALSE,IF(INDIRECT("'"&amp;A5181&amp;"'!"&amp;B5181)&lt;0,TRUE,FALSE))</f>
        <v>0</v>
      </c>
      <c r="E5181" t="s">
        <v>434</v>
      </c>
      <c r="F5181" t="str">
        <f>INDEX(Lists!I:I,MATCH(Validation!E5181,Lists!G:G,0))</f>
        <v>Error</v>
      </c>
      <c r="G5181" t="str">
        <f>INDEX(Lists!H:H,MATCH(Validation!E5181,Lists!G:G,0))</f>
        <v>Amount may not be negative. Enter an amount greater than or equal to zero.</v>
      </c>
      <c r="H5181" s="16" t="str">
        <f t="shared" ca="1" si="555"/>
        <v/>
      </c>
      <c r="I5181" s="16" t="str">
        <f t="shared" ca="1" si="556"/>
        <v/>
      </c>
      <c r="J5181" s="17" t="str">
        <f t="shared" ca="1" si="557"/>
        <v/>
      </c>
    </row>
    <row r="5182" spans="1:10" x14ac:dyDescent="0.25">
      <c r="A5182" t="s">
        <v>935</v>
      </c>
      <c r="B5182" t="str">
        <f>ADDRESS(ROW('Loan 1'!$C$19),COLUMN('Loan 1'!$C$19),4)</f>
        <v>C19</v>
      </c>
      <c r="C5182" t="str">
        <f>ADDRESS(ROW('Loan 1'!$D$19),COLUMN('Loan 1'!$D$19),4)</f>
        <v>D19</v>
      </c>
      <c r="D5182" t="b" cm="1">
        <f t="array" aca="1" ref="D5182" ca="1">IF(INDIRECT("'"&amp;A5182&amp;"'!"&amp;B5182)="",FALSE,IF(INDIRECT("'"&amp;A5182&amp;"'!"&amp;B5182)&lt;0,TRUE,FALSE))</f>
        <v>0</v>
      </c>
      <c r="E5182" t="s">
        <v>434</v>
      </c>
      <c r="F5182" t="str">
        <f>INDEX(Lists!I:I,MATCH(Validation!E5182,Lists!G:G,0))</f>
        <v>Error</v>
      </c>
      <c r="G5182" t="str">
        <f>INDEX(Lists!H:H,MATCH(Validation!E5182,Lists!G:G,0))</f>
        <v>Amount may not be negative. Enter an amount greater than or equal to zero.</v>
      </c>
      <c r="H5182" s="16" t="str">
        <f t="shared" ca="1" si="555"/>
        <v/>
      </c>
      <c r="I5182" s="16" t="str">
        <f t="shared" ca="1" si="556"/>
        <v/>
      </c>
      <c r="J5182" s="17" t="str">
        <f t="shared" ca="1" si="557"/>
        <v/>
      </c>
    </row>
    <row r="5183" spans="1:10" x14ac:dyDescent="0.25">
      <c r="A5183" t="s">
        <v>936</v>
      </c>
      <c r="B5183" t="str">
        <f>ADDRESS(ROW('Loan 1'!$C$19),COLUMN('Loan 1'!$C$19),4)</f>
        <v>C19</v>
      </c>
      <c r="C5183" t="str">
        <f>ADDRESS(ROW('Loan 1'!$D$19),COLUMN('Loan 1'!$D$19),4)</f>
        <v>D19</v>
      </c>
      <c r="D5183" t="b" cm="1">
        <f t="array" aca="1" ref="D5183" ca="1">IF(INDIRECT("'"&amp;A5183&amp;"'!"&amp;B5183)="",FALSE,IF(INDIRECT("'"&amp;A5183&amp;"'!"&amp;B5183)&lt;0,TRUE,FALSE))</f>
        <v>0</v>
      </c>
      <c r="E5183" t="s">
        <v>434</v>
      </c>
      <c r="F5183" t="str">
        <f>INDEX(Lists!I:I,MATCH(Validation!E5183,Lists!G:G,0))</f>
        <v>Error</v>
      </c>
      <c r="G5183" t="str">
        <f>INDEX(Lists!H:H,MATCH(Validation!E5183,Lists!G:G,0))</f>
        <v>Amount may not be negative. Enter an amount greater than or equal to zero.</v>
      </c>
      <c r="H5183" s="16" t="str">
        <f t="shared" ca="1" si="555"/>
        <v/>
      </c>
      <c r="I5183" s="16" t="str">
        <f t="shared" ca="1" si="556"/>
        <v/>
      </c>
      <c r="J5183" s="17" t="str">
        <f t="shared" ca="1" si="557"/>
        <v/>
      </c>
    </row>
    <row r="5184" spans="1:10" x14ac:dyDescent="0.25">
      <c r="A5184" t="s">
        <v>937</v>
      </c>
      <c r="B5184" t="str">
        <f>ADDRESS(ROW('Loan 1'!$C$19),COLUMN('Loan 1'!$C$19),4)</f>
        <v>C19</v>
      </c>
      <c r="C5184" t="str">
        <f>ADDRESS(ROW('Loan 1'!$D$19),COLUMN('Loan 1'!$D$19),4)</f>
        <v>D19</v>
      </c>
      <c r="D5184" t="b" cm="1">
        <f t="array" aca="1" ref="D5184" ca="1">IF(INDIRECT("'"&amp;A5184&amp;"'!"&amp;B5184)="",FALSE,IF(INDIRECT("'"&amp;A5184&amp;"'!"&amp;B5184)&lt;0,TRUE,FALSE))</f>
        <v>0</v>
      </c>
      <c r="E5184" t="s">
        <v>434</v>
      </c>
      <c r="F5184" t="str">
        <f>INDEX(Lists!I:I,MATCH(Validation!E5184,Lists!G:G,0))</f>
        <v>Error</v>
      </c>
      <c r="G5184" t="str">
        <f>INDEX(Lists!H:H,MATCH(Validation!E5184,Lists!G:G,0))</f>
        <v>Amount may not be negative. Enter an amount greater than or equal to zero.</v>
      </c>
      <c r="H5184" s="16" t="str">
        <f t="shared" ca="1" si="555"/>
        <v/>
      </c>
      <c r="I5184" s="16" t="str">
        <f t="shared" ca="1" si="556"/>
        <v/>
      </c>
      <c r="J5184" s="17" t="str">
        <f t="shared" ca="1" si="557"/>
        <v/>
      </c>
    </row>
    <row r="5185" spans="1:10" x14ac:dyDescent="0.25">
      <c r="A5185" t="s">
        <v>938</v>
      </c>
      <c r="B5185" t="str">
        <f>ADDRESS(ROW('Loan 1'!$C$19),COLUMN('Loan 1'!$C$19),4)</f>
        <v>C19</v>
      </c>
      <c r="C5185" t="str">
        <f>ADDRESS(ROW('Loan 1'!$D$19),COLUMN('Loan 1'!$D$19),4)</f>
        <v>D19</v>
      </c>
      <c r="D5185" t="b" cm="1">
        <f t="array" aca="1" ref="D5185" ca="1">IF(INDIRECT("'"&amp;A5185&amp;"'!"&amp;B5185)="",FALSE,IF(INDIRECT("'"&amp;A5185&amp;"'!"&amp;B5185)&lt;0,TRUE,FALSE))</f>
        <v>0</v>
      </c>
      <c r="E5185" t="s">
        <v>434</v>
      </c>
      <c r="F5185" t="str">
        <f>INDEX(Lists!I:I,MATCH(Validation!E5185,Lists!G:G,0))</f>
        <v>Error</v>
      </c>
      <c r="G5185" t="str">
        <f>INDEX(Lists!H:H,MATCH(Validation!E5185,Lists!G:G,0))</f>
        <v>Amount may not be negative. Enter an amount greater than or equal to zero.</v>
      </c>
      <c r="H5185" s="16" t="str">
        <f t="shared" ca="1" si="555"/>
        <v/>
      </c>
      <c r="I5185" s="16" t="str">
        <f t="shared" ca="1" si="556"/>
        <v/>
      </c>
      <c r="J5185" s="17" t="str">
        <f t="shared" ca="1" si="557"/>
        <v/>
      </c>
    </row>
    <row r="5186" spans="1:10" x14ac:dyDescent="0.25">
      <c r="A5186" t="s">
        <v>939</v>
      </c>
      <c r="B5186" t="str">
        <f>ADDRESS(ROW('Loan 1'!$C$19),COLUMN('Loan 1'!$C$19),4)</f>
        <v>C19</v>
      </c>
      <c r="C5186" t="str">
        <f>ADDRESS(ROW('Loan 1'!$D$19),COLUMN('Loan 1'!$D$19),4)</f>
        <v>D19</v>
      </c>
      <c r="D5186" t="b" cm="1">
        <f t="array" aca="1" ref="D5186" ca="1">IF(INDIRECT("'"&amp;A5186&amp;"'!"&amp;B5186)="",FALSE,IF(INDIRECT("'"&amp;A5186&amp;"'!"&amp;B5186)&lt;0,TRUE,FALSE))</f>
        <v>0</v>
      </c>
      <c r="E5186" t="s">
        <v>434</v>
      </c>
      <c r="F5186" t="str">
        <f>INDEX(Lists!I:I,MATCH(Validation!E5186,Lists!G:G,0))</f>
        <v>Error</v>
      </c>
      <c r="G5186" t="str">
        <f>INDEX(Lists!H:H,MATCH(Validation!E5186,Lists!G:G,0))</f>
        <v>Amount may not be negative. Enter an amount greater than or equal to zero.</v>
      </c>
      <c r="H5186" s="16" t="str">
        <f t="shared" ca="1" si="555"/>
        <v/>
      </c>
      <c r="I5186" s="16" t="str">
        <f t="shared" ca="1" si="556"/>
        <v/>
      </c>
      <c r="J5186" s="17" t="str">
        <f t="shared" ca="1" si="557"/>
        <v/>
      </c>
    </row>
    <row r="5187" spans="1:10" x14ac:dyDescent="0.25">
      <c r="A5187" t="s">
        <v>940</v>
      </c>
      <c r="B5187" t="str">
        <f>ADDRESS(ROW('Loan 1'!$C$19),COLUMN('Loan 1'!$C$19),4)</f>
        <v>C19</v>
      </c>
      <c r="C5187" t="str">
        <f>ADDRESS(ROW('Loan 1'!$D$19),COLUMN('Loan 1'!$D$19),4)</f>
        <v>D19</v>
      </c>
      <c r="D5187" t="b" cm="1">
        <f t="array" aca="1" ref="D5187" ca="1">IF(INDIRECT("'"&amp;A5187&amp;"'!"&amp;B5187)="",FALSE,IF(INDIRECT("'"&amp;A5187&amp;"'!"&amp;B5187)&lt;0,TRUE,FALSE))</f>
        <v>0</v>
      </c>
      <c r="E5187" t="s">
        <v>434</v>
      </c>
      <c r="F5187" t="str">
        <f>INDEX(Lists!I:I,MATCH(Validation!E5187,Lists!G:G,0))</f>
        <v>Error</v>
      </c>
      <c r="G5187" t="str">
        <f>INDEX(Lists!H:H,MATCH(Validation!E5187,Lists!G:G,0))</f>
        <v>Amount may not be negative. Enter an amount greater than or equal to zero.</v>
      </c>
      <c r="H5187" s="16" t="str">
        <f t="shared" ca="1" si="555"/>
        <v/>
      </c>
      <c r="I5187" s="16" t="str">
        <f t="shared" ca="1" si="556"/>
        <v/>
      </c>
      <c r="J5187" s="17" t="str">
        <f t="shared" ca="1" si="557"/>
        <v/>
      </c>
    </row>
    <row r="5188" spans="1:10" x14ac:dyDescent="0.25">
      <c r="A5188" t="s">
        <v>941</v>
      </c>
      <c r="B5188" t="str">
        <f>ADDRESS(ROW('Loan 1'!$C$19),COLUMN('Loan 1'!$C$19),4)</f>
        <v>C19</v>
      </c>
      <c r="C5188" t="str">
        <f>ADDRESS(ROW('Loan 1'!$D$19),COLUMN('Loan 1'!$D$19),4)</f>
        <v>D19</v>
      </c>
      <c r="D5188" t="b" cm="1">
        <f t="array" aca="1" ref="D5188" ca="1">IF(INDIRECT("'"&amp;A5188&amp;"'!"&amp;B5188)="",FALSE,IF(INDIRECT("'"&amp;A5188&amp;"'!"&amp;B5188)&lt;0,TRUE,FALSE))</f>
        <v>0</v>
      </c>
      <c r="E5188" t="s">
        <v>434</v>
      </c>
      <c r="F5188" t="str">
        <f>INDEX(Lists!I:I,MATCH(Validation!E5188,Lists!G:G,0))</f>
        <v>Error</v>
      </c>
      <c r="G5188" t="str">
        <f>INDEX(Lists!H:H,MATCH(Validation!E5188,Lists!G:G,0))</f>
        <v>Amount may not be negative. Enter an amount greater than or equal to zero.</v>
      </c>
      <c r="H5188" s="16" t="str">
        <f t="shared" ca="1" si="555"/>
        <v/>
      </c>
      <c r="I5188" s="16" t="str">
        <f t="shared" ca="1" si="556"/>
        <v/>
      </c>
      <c r="J5188" s="17" t="str">
        <f t="shared" ca="1" si="557"/>
        <v/>
      </c>
    </row>
    <row r="5189" spans="1:10" x14ac:dyDescent="0.25">
      <c r="A5189" t="s">
        <v>942</v>
      </c>
      <c r="B5189" t="str">
        <f>ADDRESS(ROW('Loan 1'!$C$19),COLUMN('Loan 1'!$C$19),4)</f>
        <v>C19</v>
      </c>
      <c r="C5189" t="str">
        <f>ADDRESS(ROW('Loan 1'!$D$19),COLUMN('Loan 1'!$D$19),4)</f>
        <v>D19</v>
      </c>
      <c r="D5189" t="b" cm="1">
        <f t="array" aca="1" ref="D5189" ca="1">IF(INDIRECT("'"&amp;A5189&amp;"'!"&amp;B5189)="",FALSE,IF(INDIRECT("'"&amp;A5189&amp;"'!"&amp;B5189)&lt;0,TRUE,FALSE))</f>
        <v>0</v>
      </c>
      <c r="E5189" t="s">
        <v>434</v>
      </c>
      <c r="F5189" t="str">
        <f>INDEX(Lists!I:I,MATCH(Validation!E5189,Lists!G:G,0))</f>
        <v>Error</v>
      </c>
      <c r="G5189" t="str">
        <f>INDEX(Lists!H:H,MATCH(Validation!E5189,Lists!G:G,0))</f>
        <v>Amount may not be negative. Enter an amount greater than or equal to zero.</v>
      </c>
      <c r="H5189" s="16" t="str">
        <f t="shared" ca="1" si="555"/>
        <v/>
      </c>
      <c r="I5189" s="16" t="str">
        <f t="shared" ca="1" si="556"/>
        <v/>
      </c>
      <c r="J5189" s="17" t="str">
        <f t="shared" ca="1" si="557"/>
        <v/>
      </c>
    </row>
    <row r="5190" spans="1:10" x14ac:dyDescent="0.25">
      <c r="A5190" t="s">
        <v>943</v>
      </c>
      <c r="B5190" t="str">
        <f>ADDRESS(ROW('Loan 1'!$C$19),COLUMN('Loan 1'!$C$19),4)</f>
        <v>C19</v>
      </c>
      <c r="C5190" t="str">
        <f>ADDRESS(ROW('Loan 1'!$D$19),COLUMN('Loan 1'!$D$19),4)</f>
        <v>D19</v>
      </c>
      <c r="D5190" t="b" cm="1">
        <f t="array" aca="1" ref="D5190" ca="1">IF(INDIRECT("'"&amp;A5190&amp;"'!"&amp;B5190)="",FALSE,IF(INDIRECT("'"&amp;A5190&amp;"'!"&amp;B5190)&lt;0,TRUE,FALSE))</f>
        <v>0</v>
      </c>
      <c r="E5190" t="s">
        <v>434</v>
      </c>
      <c r="F5190" t="str">
        <f>INDEX(Lists!I:I,MATCH(Validation!E5190,Lists!G:G,0))</f>
        <v>Error</v>
      </c>
      <c r="G5190" t="str">
        <f>INDEX(Lists!H:H,MATCH(Validation!E5190,Lists!G:G,0))</f>
        <v>Amount may not be negative. Enter an amount greater than or equal to zero.</v>
      </c>
      <c r="H5190" s="16" t="str">
        <f t="shared" ca="1" si="555"/>
        <v/>
      </c>
      <c r="I5190" s="16" t="str">
        <f t="shared" ca="1" si="556"/>
        <v/>
      </c>
      <c r="J5190" s="17" t="str">
        <f t="shared" ca="1" si="557"/>
        <v/>
      </c>
    </row>
    <row r="5191" spans="1:10" x14ac:dyDescent="0.25">
      <c r="A5191" t="s">
        <v>944</v>
      </c>
      <c r="B5191" t="str">
        <f>ADDRESS(ROW('Loan 1'!$C$19),COLUMN('Loan 1'!$C$19),4)</f>
        <v>C19</v>
      </c>
      <c r="C5191" t="str">
        <f>ADDRESS(ROW('Loan 1'!$D$19),COLUMN('Loan 1'!$D$19),4)</f>
        <v>D19</v>
      </c>
      <c r="D5191" t="b" cm="1">
        <f t="array" aca="1" ref="D5191" ca="1">IF(INDIRECT("'"&amp;A5191&amp;"'!"&amp;B5191)="",FALSE,IF(INDIRECT("'"&amp;A5191&amp;"'!"&amp;B5191)&lt;0,TRUE,FALSE))</f>
        <v>0</v>
      </c>
      <c r="E5191" t="s">
        <v>434</v>
      </c>
      <c r="F5191" t="str">
        <f>INDEX(Lists!I:I,MATCH(Validation!E5191,Lists!G:G,0))</f>
        <v>Error</v>
      </c>
      <c r="G5191" t="str">
        <f>INDEX(Lists!H:H,MATCH(Validation!E5191,Lists!G:G,0))</f>
        <v>Amount may not be negative. Enter an amount greater than or equal to zero.</v>
      </c>
      <c r="H5191" s="16" t="str">
        <f t="shared" ca="1" si="555"/>
        <v/>
      </c>
      <c r="I5191" s="16" t="str">
        <f t="shared" ca="1" si="556"/>
        <v/>
      </c>
      <c r="J5191" s="17" t="str">
        <f t="shared" ca="1" si="557"/>
        <v/>
      </c>
    </row>
    <row r="5192" spans="1:10" x14ac:dyDescent="0.25">
      <c r="A5192" t="s">
        <v>945</v>
      </c>
      <c r="B5192" t="str">
        <f>ADDRESS(ROW('Loan 1'!$C$19),COLUMN('Loan 1'!$C$19),4)</f>
        <v>C19</v>
      </c>
      <c r="C5192" t="str">
        <f>ADDRESS(ROW('Loan 1'!$D$19),COLUMN('Loan 1'!$D$19),4)</f>
        <v>D19</v>
      </c>
      <c r="D5192" t="b" cm="1">
        <f t="array" aca="1" ref="D5192" ca="1">IF(INDIRECT("'"&amp;A5192&amp;"'!"&amp;B5192)="",FALSE,IF(INDIRECT("'"&amp;A5192&amp;"'!"&amp;B5192)&lt;0,TRUE,FALSE))</f>
        <v>0</v>
      </c>
      <c r="E5192" t="s">
        <v>434</v>
      </c>
      <c r="F5192" t="str">
        <f>INDEX(Lists!I:I,MATCH(Validation!E5192,Lists!G:G,0))</f>
        <v>Error</v>
      </c>
      <c r="G5192" t="str">
        <f>INDEX(Lists!H:H,MATCH(Validation!E5192,Lists!G:G,0))</f>
        <v>Amount may not be negative. Enter an amount greater than or equal to zero.</v>
      </c>
      <c r="H5192" s="16" t="str">
        <f t="shared" ca="1" si="555"/>
        <v/>
      </c>
      <c r="I5192" s="16" t="str">
        <f t="shared" ca="1" si="556"/>
        <v/>
      </c>
      <c r="J5192" s="17" t="str">
        <f t="shared" ca="1" si="557"/>
        <v/>
      </c>
    </row>
    <row r="5193" spans="1:10" x14ac:dyDescent="0.25">
      <c r="A5193" t="s">
        <v>205</v>
      </c>
      <c r="B5193" t="str">
        <f>ADDRESS(ROW('Loan 1'!$C$19),COLUMN('Loan 1'!$C$19),4)</f>
        <v>C19</v>
      </c>
      <c r="C5193" t="str">
        <f>ADDRESS(ROW('Loan 1'!$D$19),COLUMN('Loan 1'!$D$19),4)</f>
        <v>D19</v>
      </c>
      <c r="D5193" t="b" cm="1">
        <f t="array" aca="1" ref="D5193" ca="1">IF(INDIRECT("'"&amp;A5193&amp;"'!"&amp;B5193)="",FALSE,IF(TRUNC(INDIRECT("'"&amp;A5193&amp;"'!"&amp;B5193))=INDIRECT("'"&amp;A5193&amp;"'!"&amp;B5193),FALSE,TRUE))</f>
        <v>0</v>
      </c>
      <c r="E5193" t="s">
        <v>436</v>
      </c>
      <c r="F5193" t="str">
        <f>INDEX(Lists!I:I,MATCH(Validation!E5193,Lists!G:G,0))</f>
        <v>Error</v>
      </c>
      <c r="G5193" t="str">
        <f>INDEX(Lists!H:H,MATCH(Validation!E5193,Lists!G:G,0))</f>
        <v>Amount must be rounded to the nearest dollar.</v>
      </c>
      <c r="H5193" s="16" t="str">
        <f t="shared" ca="1" si="555"/>
        <v/>
      </c>
      <c r="I5193" s="16" t="str">
        <f t="shared" ca="1" si="556"/>
        <v/>
      </c>
      <c r="J5193" s="17" t="str">
        <f t="shared" ca="1" si="557"/>
        <v/>
      </c>
    </row>
    <row r="5194" spans="1:10" x14ac:dyDescent="0.25">
      <c r="A5194" t="s">
        <v>932</v>
      </c>
      <c r="B5194" t="str">
        <f>ADDRESS(ROW('Loan 1'!$C$19),COLUMN('Loan 1'!$C$19),4)</f>
        <v>C19</v>
      </c>
      <c r="C5194" t="str">
        <f>ADDRESS(ROW('Loan 1'!$D$19),COLUMN('Loan 1'!$D$19),4)</f>
        <v>D19</v>
      </c>
      <c r="D5194" t="b" cm="1">
        <f t="array" aca="1" ref="D5194" ca="1">IF(INDIRECT("'"&amp;A5194&amp;"'!"&amp;B5194)="",FALSE,IF(TRUNC(INDIRECT("'"&amp;A5194&amp;"'!"&amp;B5194))=INDIRECT("'"&amp;A5194&amp;"'!"&amp;B5194),FALSE,TRUE))</f>
        <v>0</v>
      </c>
      <c r="E5194" t="s">
        <v>436</v>
      </c>
      <c r="F5194" t="str">
        <f>INDEX(Lists!I:I,MATCH(Validation!E5194,Lists!G:G,0))</f>
        <v>Error</v>
      </c>
      <c r="G5194" t="str">
        <f>INDEX(Lists!H:H,MATCH(Validation!E5194,Lists!G:G,0))</f>
        <v>Amount must be rounded to the nearest dollar.</v>
      </c>
      <c r="H5194" s="16" t="str">
        <f t="shared" ca="1" si="555"/>
        <v/>
      </c>
      <c r="I5194" s="16" t="str">
        <f t="shared" ca="1" si="556"/>
        <v/>
      </c>
      <c r="J5194" s="17" t="str">
        <f t="shared" ca="1" si="557"/>
        <v/>
      </c>
    </row>
    <row r="5195" spans="1:10" x14ac:dyDescent="0.25">
      <c r="A5195" t="s">
        <v>933</v>
      </c>
      <c r="B5195" t="str">
        <f>ADDRESS(ROW('Loan 1'!$C$19),COLUMN('Loan 1'!$C$19),4)</f>
        <v>C19</v>
      </c>
      <c r="C5195" t="str">
        <f>ADDRESS(ROW('Loan 1'!$D$19),COLUMN('Loan 1'!$D$19),4)</f>
        <v>D19</v>
      </c>
      <c r="D5195" t="b" cm="1">
        <f t="array" aca="1" ref="D5195" ca="1">IF(INDIRECT("'"&amp;A5195&amp;"'!"&amp;B5195)="",FALSE,IF(TRUNC(INDIRECT("'"&amp;A5195&amp;"'!"&amp;B5195))=INDIRECT("'"&amp;A5195&amp;"'!"&amp;B5195),FALSE,TRUE))</f>
        <v>0</v>
      </c>
      <c r="E5195" t="s">
        <v>436</v>
      </c>
      <c r="F5195" t="str">
        <f>INDEX(Lists!I:I,MATCH(Validation!E5195,Lists!G:G,0))</f>
        <v>Error</v>
      </c>
      <c r="G5195" t="str">
        <f>INDEX(Lists!H:H,MATCH(Validation!E5195,Lists!G:G,0))</f>
        <v>Amount must be rounded to the nearest dollar.</v>
      </c>
      <c r="H5195" s="16" t="str">
        <f t="shared" ca="1" si="555"/>
        <v/>
      </c>
      <c r="I5195" s="16" t="str">
        <f t="shared" ca="1" si="556"/>
        <v/>
      </c>
      <c r="J5195" s="17" t="str">
        <f t="shared" ca="1" si="557"/>
        <v/>
      </c>
    </row>
    <row r="5196" spans="1:10" x14ac:dyDescent="0.25">
      <c r="A5196" t="s">
        <v>934</v>
      </c>
      <c r="B5196" t="str">
        <f>ADDRESS(ROW('Loan 1'!$C$19),COLUMN('Loan 1'!$C$19),4)</f>
        <v>C19</v>
      </c>
      <c r="C5196" t="str">
        <f>ADDRESS(ROW('Loan 1'!$D$19),COLUMN('Loan 1'!$D$19),4)</f>
        <v>D19</v>
      </c>
      <c r="D5196" t="b" cm="1">
        <f t="array" aca="1" ref="D5196" ca="1">IF(INDIRECT("'"&amp;A5196&amp;"'!"&amp;B5196)="",FALSE,IF(TRUNC(INDIRECT("'"&amp;A5196&amp;"'!"&amp;B5196))=INDIRECT("'"&amp;A5196&amp;"'!"&amp;B5196),FALSE,TRUE))</f>
        <v>0</v>
      </c>
      <c r="E5196" t="s">
        <v>436</v>
      </c>
      <c r="F5196" t="str">
        <f>INDEX(Lists!I:I,MATCH(Validation!E5196,Lists!G:G,0))</f>
        <v>Error</v>
      </c>
      <c r="G5196" t="str">
        <f>INDEX(Lists!H:H,MATCH(Validation!E5196,Lists!G:G,0))</f>
        <v>Amount must be rounded to the nearest dollar.</v>
      </c>
      <c r="H5196" s="16" t="str">
        <f t="shared" ca="1" si="555"/>
        <v/>
      </c>
      <c r="I5196" s="16" t="str">
        <f t="shared" ca="1" si="556"/>
        <v/>
      </c>
      <c r="J5196" s="17" t="str">
        <f t="shared" ca="1" si="557"/>
        <v/>
      </c>
    </row>
    <row r="5197" spans="1:10" x14ac:dyDescent="0.25">
      <c r="A5197" t="s">
        <v>935</v>
      </c>
      <c r="B5197" t="str">
        <f>ADDRESS(ROW('Loan 1'!$C$19),COLUMN('Loan 1'!$C$19),4)</f>
        <v>C19</v>
      </c>
      <c r="C5197" t="str">
        <f>ADDRESS(ROW('Loan 1'!$D$19),COLUMN('Loan 1'!$D$19),4)</f>
        <v>D19</v>
      </c>
      <c r="D5197" t="b" cm="1">
        <f t="array" aca="1" ref="D5197" ca="1">IF(INDIRECT("'"&amp;A5197&amp;"'!"&amp;B5197)="",FALSE,IF(TRUNC(INDIRECT("'"&amp;A5197&amp;"'!"&amp;B5197))=INDIRECT("'"&amp;A5197&amp;"'!"&amp;B5197),FALSE,TRUE))</f>
        <v>0</v>
      </c>
      <c r="E5197" t="s">
        <v>436</v>
      </c>
      <c r="F5197" t="str">
        <f>INDEX(Lists!I:I,MATCH(Validation!E5197,Lists!G:G,0))</f>
        <v>Error</v>
      </c>
      <c r="G5197" t="str">
        <f>INDEX(Lists!H:H,MATCH(Validation!E5197,Lists!G:G,0))</f>
        <v>Amount must be rounded to the nearest dollar.</v>
      </c>
      <c r="H5197" s="16" t="str">
        <f t="shared" ca="1" si="555"/>
        <v/>
      </c>
      <c r="I5197" s="16" t="str">
        <f t="shared" ca="1" si="556"/>
        <v/>
      </c>
      <c r="J5197" s="17" t="str">
        <f t="shared" ca="1" si="557"/>
        <v/>
      </c>
    </row>
    <row r="5198" spans="1:10" x14ac:dyDescent="0.25">
      <c r="A5198" t="s">
        <v>936</v>
      </c>
      <c r="B5198" t="str">
        <f>ADDRESS(ROW('Loan 1'!$C$19),COLUMN('Loan 1'!$C$19),4)</f>
        <v>C19</v>
      </c>
      <c r="C5198" t="str">
        <f>ADDRESS(ROW('Loan 1'!$D$19),COLUMN('Loan 1'!$D$19),4)</f>
        <v>D19</v>
      </c>
      <c r="D5198" t="b" cm="1">
        <f t="array" aca="1" ref="D5198" ca="1">IF(INDIRECT("'"&amp;A5198&amp;"'!"&amp;B5198)="",FALSE,IF(TRUNC(INDIRECT("'"&amp;A5198&amp;"'!"&amp;B5198))=INDIRECT("'"&amp;A5198&amp;"'!"&amp;B5198),FALSE,TRUE))</f>
        <v>0</v>
      </c>
      <c r="E5198" t="s">
        <v>436</v>
      </c>
      <c r="F5198" t="str">
        <f>INDEX(Lists!I:I,MATCH(Validation!E5198,Lists!G:G,0))</f>
        <v>Error</v>
      </c>
      <c r="G5198" t="str">
        <f>INDEX(Lists!H:H,MATCH(Validation!E5198,Lists!G:G,0))</f>
        <v>Amount must be rounded to the nearest dollar.</v>
      </c>
      <c r="H5198" s="16" t="str">
        <f t="shared" ca="1" si="555"/>
        <v/>
      </c>
      <c r="I5198" s="16" t="str">
        <f t="shared" ca="1" si="556"/>
        <v/>
      </c>
      <c r="J5198" s="17" t="str">
        <f t="shared" ca="1" si="557"/>
        <v/>
      </c>
    </row>
    <row r="5199" spans="1:10" x14ac:dyDescent="0.25">
      <c r="A5199" t="s">
        <v>937</v>
      </c>
      <c r="B5199" t="str">
        <f>ADDRESS(ROW('Loan 1'!$C$19),COLUMN('Loan 1'!$C$19),4)</f>
        <v>C19</v>
      </c>
      <c r="C5199" t="str">
        <f>ADDRESS(ROW('Loan 1'!$D$19),COLUMN('Loan 1'!$D$19),4)</f>
        <v>D19</v>
      </c>
      <c r="D5199" t="b" cm="1">
        <f t="array" aca="1" ref="D5199" ca="1">IF(INDIRECT("'"&amp;A5199&amp;"'!"&amp;B5199)="",FALSE,IF(TRUNC(INDIRECT("'"&amp;A5199&amp;"'!"&amp;B5199))=INDIRECT("'"&amp;A5199&amp;"'!"&amp;B5199),FALSE,TRUE))</f>
        <v>0</v>
      </c>
      <c r="E5199" t="s">
        <v>436</v>
      </c>
      <c r="F5199" t="str">
        <f>INDEX(Lists!I:I,MATCH(Validation!E5199,Lists!G:G,0))</f>
        <v>Error</v>
      </c>
      <c r="G5199" t="str">
        <f>INDEX(Lists!H:H,MATCH(Validation!E5199,Lists!G:G,0))</f>
        <v>Amount must be rounded to the nearest dollar.</v>
      </c>
      <c r="H5199" s="16" t="str">
        <f t="shared" ca="1" si="555"/>
        <v/>
      </c>
      <c r="I5199" s="16" t="str">
        <f t="shared" ca="1" si="556"/>
        <v/>
      </c>
      <c r="J5199" s="17" t="str">
        <f t="shared" ca="1" si="557"/>
        <v/>
      </c>
    </row>
    <row r="5200" spans="1:10" x14ac:dyDescent="0.25">
      <c r="A5200" t="s">
        <v>938</v>
      </c>
      <c r="B5200" t="str">
        <f>ADDRESS(ROW('Loan 1'!$C$19),COLUMN('Loan 1'!$C$19),4)</f>
        <v>C19</v>
      </c>
      <c r="C5200" t="str">
        <f>ADDRESS(ROW('Loan 1'!$D$19),COLUMN('Loan 1'!$D$19),4)</f>
        <v>D19</v>
      </c>
      <c r="D5200" t="b" cm="1">
        <f t="array" aca="1" ref="D5200" ca="1">IF(INDIRECT("'"&amp;A5200&amp;"'!"&amp;B5200)="",FALSE,IF(TRUNC(INDIRECT("'"&amp;A5200&amp;"'!"&amp;B5200))=INDIRECT("'"&amp;A5200&amp;"'!"&amp;B5200),FALSE,TRUE))</f>
        <v>0</v>
      </c>
      <c r="E5200" t="s">
        <v>436</v>
      </c>
      <c r="F5200" t="str">
        <f>INDEX(Lists!I:I,MATCH(Validation!E5200,Lists!G:G,0))</f>
        <v>Error</v>
      </c>
      <c r="G5200" t="str">
        <f>INDEX(Lists!H:H,MATCH(Validation!E5200,Lists!G:G,0))</f>
        <v>Amount must be rounded to the nearest dollar.</v>
      </c>
      <c r="H5200" s="16" t="str">
        <f t="shared" ca="1" si="555"/>
        <v/>
      </c>
      <c r="I5200" s="16" t="str">
        <f t="shared" ca="1" si="556"/>
        <v/>
      </c>
      <c r="J5200" s="17" t="str">
        <f t="shared" ca="1" si="557"/>
        <v/>
      </c>
    </row>
    <row r="5201" spans="1:10" x14ac:dyDescent="0.25">
      <c r="A5201" t="s">
        <v>939</v>
      </c>
      <c r="B5201" t="str">
        <f>ADDRESS(ROW('Loan 1'!$C$19),COLUMN('Loan 1'!$C$19),4)</f>
        <v>C19</v>
      </c>
      <c r="C5201" t="str">
        <f>ADDRESS(ROW('Loan 1'!$D$19),COLUMN('Loan 1'!$D$19),4)</f>
        <v>D19</v>
      </c>
      <c r="D5201" t="b" cm="1">
        <f t="array" aca="1" ref="D5201" ca="1">IF(INDIRECT("'"&amp;A5201&amp;"'!"&amp;B5201)="",FALSE,IF(TRUNC(INDIRECT("'"&amp;A5201&amp;"'!"&amp;B5201))=INDIRECT("'"&amp;A5201&amp;"'!"&amp;B5201),FALSE,TRUE))</f>
        <v>0</v>
      </c>
      <c r="E5201" t="s">
        <v>436</v>
      </c>
      <c r="F5201" t="str">
        <f>INDEX(Lists!I:I,MATCH(Validation!E5201,Lists!G:G,0))</f>
        <v>Error</v>
      </c>
      <c r="G5201" t="str">
        <f>INDEX(Lists!H:H,MATCH(Validation!E5201,Lists!G:G,0))</f>
        <v>Amount must be rounded to the nearest dollar.</v>
      </c>
      <c r="H5201" s="16" t="str">
        <f t="shared" ca="1" si="555"/>
        <v/>
      </c>
      <c r="I5201" s="16" t="str">
        <f t="shared" ca="1" si="556"/>
        <v/>
      </c>
      <c r="J5201" s="17" t="str">
        <f t="shared" ca="1" si="557"/>
        <v/>
      </c>
    </row>
    <row r="5202" spans="1:10" x14ac:dyDescent="0.25">
      <c r="A5202" t="s">
        <v>940</v>
      </c>
      <c r="B5202" t="str">
        <f>ADDRESS(ROW('Loan 1'!$C$19),COLUMN('Loan 1'!$C$19),4)</f>
        <v>C19</v>
      </c>
      <c r="C5202" t="str">
        <f>ADDRESS(ROW('Loan 1'!$D$19),COLUMN('Loan 1'!$D$19),4)</f>
        <v>D19</v>
      </c>
      <c r="D5202" t="b" cm="1">
        <f t="array" aca="1" ref="D5202" ca="1">IF(INDIRECT("'"&amp;A5202&amp;"'!"&amp;B5202)="",FALSE,IF(TRUNC(INDIRECT("'"&amp;A5202&amp;"'!"&amp;B5202))=INDIRECT("'"&amp;A5202&amp;"'!"&amp;B5202),FALSE,TRUE))</f>
        <v>0</v>
      </c>
      <c r="E5202" t="s">
        <v>436</v>
      </c>
      <c r="F5202" t="str">
        <f>INDEX(Lists!I:I,MATCH(Validation!E5202,Lists!G:G,0))</f>
        <v>Error</v>
      </c>
      <c r="G5202" t="str">
        <f>INDEX(Lists!H:H,MATCH(Validation!E5202,Lists!G:G,0))</f>
        <v>Amount must be rounded to the nearest dollar.</v>
      </c>
      <c r="H5202" s="16" t="str">
        <f t="shared" ca="1" si="555"/>
        <v/>
      </c>
      <c r="I5202" s="16" t="str">
        <f t="shared" ca="1" si="556"/>
        <v/>
      </c>
      <c r="J5202" s="17" t="str">
        <f t="shared" ca="1" si="557"/>
        <v/>
      </c>
    </row>
    <row r="5203" spans="1:10" x14ac:dyDescent="0.25">
      <c r="A5203" t="s">
        <v>941</v>
      </c>
      <c r="B5203" t="str">
        <f>ADDRESS(ROW('Loan 1'!$C$19),COLUMN('Loan 1'!$C$19),4)</f>
        <v>C19</v>
      </c>
      <c r="C5203" t="str">
        <f>ADDRESS(ROW('Loan 1'!$D$19),COLUMN('Loan 1'!$D$19),4)</f>
        <v>D19</v>
      </c>
      <c r="D5203" t="b" cm="1">
        <f t="array" aca="1" ref="D5203" ca="1">IF(INDIRECT("'"&amp;A5203&amp;"'!"&amp;B5203)="",FALSE,IF(TRUNC(INDIRECT("'"&amp;A5203&amp;"'!"&amp;B5203))=INDIRECT("'"&amp;A5203&amp;"'!"&amp;B5203),FALSE,TRUE))</f>
        <v>0</v>
      </c>
      <c r="E5203" t="s">
        <v>436</v>
      </c>
      <c r="F5203" t="str">
        <f>INDEX(Lists!I:I,MATCH(Validation!E5203,Lists!G:G,0))</f>
        <v>Error</v>
      </c>
      <c r="G5203" t="str">
        <f>INDEX(Lists!H:H,MATCH(Validation!E5203,Lists!G:G,0))</f>
        <v>Amount must be rounded to the nearest dollar.</v>
      </c>
      <c r="H5203" s="16" t="str">
        <f t="shared" ca="1" si="555"/>
        <v/>
      </c>
      <c r="I5203" s="16" t="str">
        <f t="shared" ca="1" si="556"/>
        <v/>
      </c>
      <c r="J5203" s="17" t="str">
        <f t="shared" ca="1" si="557"/>
        <v/>
      </c>
    </row>
    <row r="5204" spans="1:10" x14ac:dyDescent="0.25">
      <c r="A5204" t="s">
        <v>942</v>
      </c>
      <c r="B5204" t="str">
        <f>ADDRESS(ROW('Loan 1'!$C$19),COLUMN('Loan 1'!$C$19),4)</f>
        <v>C19</v>
      </c>
      <c r="C5204" t="str">
        <f>ADDRESS(ROW('Loan 1'!$D$19),COLUMN('Loan 1'!$D$19),4)</f>
        <v>D19</v>
      </c>
      <c r="D5204" t="b" cm="1">
        <f t="array" aca="1" ref="D5204" ca="1">IF(INDIRECT("'"&amp;A5204&amp;"'!"&amp;B5204)="",FALSE,IF(TRUNC(INDIRECT("'"&amp;A5204&amp;"'!"&amp;B5204))=INDIRECT("'"&amp;A5204&amp;"'!"&amp;B5204),FALSE,TRUE))</f>
        <v>0</v>
      </c>
      <c r="E5204" t="s">
        <v>436</v>
      </c>
      <c r="F5204" t="str">
        <f>INDEX(Lists!I:I,MATCH(Validation!E5204,Lists!G:G,0))</f>
        <v>Error</v>
      </c>
      <c r="G5204" t="str">
        <f>INDEX(Lists!H:H,MATCH(Validation!E5204,Lists!G:G,0))</f>
        <v>Amount must be rounded to the nearest dollar.</v>
      </c>
      <c r="H5204" s="16" t="str">
        <f t="shared" ca="1" si="555"/>
        <v/>
      </c>
      <c r="I5204" s="16" t="str">
        <f t="shared" ca="1" si="556"/>
        <v/>
      </c>
      <c r="J5204" s="17" t="str">
        <f t="shared" ca="1" si="557"/>
        <v/>
      </c>
    </row>
    <row r="5205" spans="1:10" x14ac:dyDescent="0.25">
      <c r="A5205" t="s">
        <v>943</v>
      </c>
      <c r="B5205" t="str">
        <f>ADDRESS(ROW('Loan 1'!$C$19),COLUMN('Loan 1'!$C$19),4)</f>
        <v>C19</v>
      </c>
      <c r="C5205" t="str">
        <f>ADDRESS(ROW('Loan 1'!$D$19),COLUMN('Loan 1'!$D$19),4)</f>
        <v>D19</v>
      </c>
      <c r="D5205" t="b" cm="1">
        <f t="array" aca="1" ref="D5205" ca="1">IF(INDIRECT("'"&amp;A5205&amp;"'!"&amp;B5205)="",FALSE,IF(TRUNC(INDIRECT("'"&amp;A5205&amp;"'!"&amp;B5205))=INDIRECT("'"&amp;A5205&amp;"'!"&amp;B5205),FALSE,TRUE))</f>
        <v>0</v>
      </c>
      <c r="E5205" t="s">
        <v>436</v>
      </c>
      <c r="F5205" t="str">
        <f>INDEX(Lists!I:I,MATCH(Validation!E5205,Lists!G:G,0))</f>
        <v>Error</v>
      </c>
      <c r="G5205" t="str">
        <f>INDEX(Lists!H:H,MATCH(Validation!E5205,Lists!G:G,0))</f>
        <v>Amount must be rounded to the nearest dollar.</v>
      </c>
      <c r="H5205" s="16" t="str">
        <f t="shared" ca="1" si="555"/>
        <v/>
      </c>
      <c r="I5205" s="16" t="str">
        <f t="shared" ca="1" si="556"/>
        <v/>
      </c>
      <c r="J5205" s="17" t="str">
        <f t="shared" ca="1" si="557"/>
        <v/>
      </c>
    </row>
    <row r="5206" spans="1:10" x14ac:dyDescent="0.25">
      <c r="A5206" t="s">
        <v>944</v>
      </c>
      <c r="B5206" t="str">
        <f>ADDRESS(ROW('Loan 1'!$C$19),COLUMN('Loan 1'!$C$19),4)</f>
        <v>C19</v>
      </c>
      <c r="C5206" t="str">
        <f>ADDRESS(ROW('Loan 1'!$D$19),COLUMN('Loan 1'!$D$19),4)</f>
        <v>D19</v>
      </c>
      <c r="D5206" t="b" cm="1">
        <f t="array" aca="1" ref="D5206" ca="1">IF(INDIRECT("'"&amp;A5206&amp;"'!"&amp;B5206)="",FALSE,IF(TRUNC(INDIRECT("'"&amp;A5206&amp;"'!"&amp;B5206))=INDIRECT("'"&amp;A5206&amp;"'!"&amp;B5206),FALSE,TRUE))</f>
        <v>0</v>
      </c>
      <c r="E5206" t="s">
        <v>436</v>
      </c>
      <c r="F5206" t="str">
        <f>INDEX(Lists!I:I,MATCH(Validation!E5206,Lists!G:G,0))</f>
        <v>Error</v>
      </c>
      <c r="G5206" t="str">
        <f>INDEX(Lists!H:H,MATCH(Validation!E5206,Lists!G:G,0))</f>
        <v>Amount must be rounded to the nearest dollar.</v>
      </c>
      <c r="H5206" s="16" t="str">
        <f t="shared" ca="1" si="555"/>
        <v/>
      </c>
      <c r="I5206" s="16" t="str">
        <f t="shared" ca="1" si="556"/>
        <v/>
      </c>
      <c r="J5206" s="17" t="str">
        <f t="shared" ca="1" si="557"/>
        <v/>
      </c>
    </row>
    <row r="5207" spans="1:10" x14ac:dyDescent="0.25">
      <c r="A5207" t="s">
        <v>945</v>
      </c>
      <c r="B5207" t="str">
        <f>ADDRESS(ROW('Loan 1'!$C$19),COLUMN('Loan 1'!$C$19),4)</f>
        <v>C19</v>
      </c>
      <c r="C5207" t="str">
        <f>ADDRESS(ROW('Loan 1'!$D$19),COLUMN('Loan 1'!$D$19),4)</f>
        <v>D19</v>
      </c>
      <c r="D5207" t="b" cm="1">
        <f t="array" aca="1" ref="D5207" ca="1">IF(INDIRECT("'"&amp;A5207&amp;"'!"&amp;B5207)="",FALSE,IF(TRUNC(INDIRECT("'"&amp;A5207&amp;"'!"&amp;B5207))=INDIRECT("'"&amp;A5207&amp;"'!"&amp;B5207),FALSE,TRUE))</f>
        <v>0</v>
      </c>
      <c r="E5207" t="s">
        <v>436</v>
      </c>
      <c r="F5207" t="str">
        <f>INDEX(Lists!I:I,MATCH(Validation!E5207,Lists!G:G,0))</f>
        <v>Error</v>
      </c>
      <c r="G5207" t="str">
        <f>INDEX(Lists!H:H,MATCH(Validation!E5207,Lists!G:G,0))</f>
        <v>Amount must be rounded to the nearest dollar.</v>
      </c>
      <c r="H5207" s="16" t="str">
        <f t="shared" ca="1" si="555"/>
        <v/>
      </c>
      <c r="I5207" s="16" t="str">
        <f t="shared" ca="1" si="556"/>
        <v/>
      </c>
      <c r="J5207" s="17" t="str">
        <f t="shared" ca="1" si="557"/>
        <v/>
      </c>
    </row>
    <row r="5208" spans="1:10" x14ac:dyDescent="0.25">
      <c r="A5208" t="s">
        <v>205</v>
      </c>
      <c r="B5208" t="str">
        <f>ADDRESS(ROW('Loan 1'!$B$20),COLUMN('Loan 1'!$B$20),4)</f>
        <v>B20</v>
      </c>
      <c r="C5208" t="str">
        <f>ADDRESS(ROW('Loan 1'!$D$20),COLUMN('Loan 1'!$D$20),4)</f>
        <v>D20</v>
      </c>
      <c r="D5208" t="b" cm="1">
        <f t="array" aca="1" ref="D5208" ca="1">IF(INDIRECT("'"&amp;A5208&amp;"'!"&amp;B5208)="",FALSE,IF(NOT(ISNUMBER(INDIRECT("'"&amp;A5208&amp;"'!"&amp;B5208))),TRUE,FALSE))</f>
        <v>0</v>
      </c>
      <c r="E5208" t="s">
        <v>435</v>
      </c>
      <c r="F5208" t="str">
        <f>INDEX(Lists!I:I,MATCH(Validation!E5208,Lists!G:G,0))</f>
        <v>Error</v>
      </c>
      <c r="G5208" t="str">
        <f>INDEX(Lists!H:H,MATCH(Validation!E5208,Lists!G:G,0))</f>
        <v>Enter an amount only. Do not enter text or spaces.</v>
      </c>
      <c r="H5208" s="16" t="str">
        <f ca="1">IFERROR(IF(OR(NOT(D5208),F5208&lt;&gt;"Error"),"",A5208&amp;CELL("address",INDIRECT(B5208))),"")</f>
        <v/>
      </c>
      <c r="I5208" s="16" t="str">
        <f ca="1">IFERROR(IF(NOT(D5208),"",A5208&amp;CELL("address",INDIRECT(C5208))),"")</f>
        <v/>
      </c>
      <c r="J5208" s="17" t="str">
        <f ca="1">IFERROR(IF(NOT(D5208),"",A5208),"")</f>
        <v/>
      </c>
    </row>
    <row r="5209" spans="1:10" x14ac:dyDescent="0.25">
      <c r="A5209" t="s">
        <v>932</v>
      </c>
      <c r="B5209" t="str">
        <f>ADDRESS(ROW('Loan 1'!$B$20),COLUMN('Loan 1'!$B$20),4)</f>
        <v>B20</v>
      </c>
      <c r="C5209" t="str">
        <f>ADDRESS(ROW('Loan 1'!$D$20),COLUMN('Loan 1'!$D$20),4)</f>
        <v>D20</v>
      </c>
      <c r="D5209" t="b" cm="1">
        <f t="array" aca="1" ref="D5209" ca="1">IF(INDIRECT("'"&amp;A5209&amp;"'!"&amp;B5209)="",FALSE,IF(NOT(ISNUMBER(INDIRECT("'"&amp;A5209&amp;"'!"&amp;B5209))),TRUE,FALSE))</f>
        <v>0</v>
      </c>
      <c r="E5209" t="s">
        <v>435</v>
      </c>
      <c r="F5209" t="str">
        <f>INDEX(Lists!I:I,MATCH(Validation!E5209,Lists!G:G,0))</f>
        <v>Error</v>
      </c>
      <c r="G5209" t="str">
        <f>INDEX(Lists!H:H,MATCH(Validation!E5209,Lists!G:G,0))</f>
        <v>Enter an amount only. Do not enter text or spaces.</v>
      </c>
      <c r="H5209" s="16" t="str">
        <f t="shared" ref="H5209:H5222" ca="1" si="558">IFERROR(IF(OR(NOT(D5209),F5209&lt;&gt;"Error"),"",A5209&amp;CELL("address",INDIRECT(B5209))),"")</f>
        <v/>
      </c>
      <c r="I5209" s="16" t="str">
        <f t="shared" ref="I5209:I5222" ca="1" si="559">IFERROR(IF(NOT(D5209),"",A5209&amp;CELL("address",INDIRECT(C5209))),"")</f>
        <v/>
      </c>
      <c r="J5209" s="17" t="str">
        <f t="shared" ref="J5209:J5222" ca="1" si="560">IFERROR(IF(NOT(D5209),"",A5209),"")</f>
        <v/>
      </c>
    </row>
    <row r="5210" spans="1:10" x14ac:dyDescent="0.25">
      <c r="A5210" t="s">
        <v>933</v>
      </c>
      <c r="B5210" t="str">
        <f>ADDRESS(ROW('Loan 1'!$B$20),COLUMN('Loan 1'!$B$20),4)</f>
        <v>B20</v>
      </c>
      <c r="C5210" t="str">
        <f>ADDRESS(ROW('Loan 1'!$D$20),COLUMN('Loan 1'!$D$20),4)</f>
        <v>D20</v>
      </c>
      <c r="D5210" t="b" cm="1">
        <f t="array" aca="1" ref="D5210" ca="1">IF(INDIRECT("'"&amp;A5210&amp;"'!"&amp;B5210)="",FALSE,IF(NOT(ISNUMBER(INDIRECT("'"&amp;A5210&amp;"'!"&amp;B5210))),TRUE,FALSE))</f>
        <v>0</v>
      </c>
      <c r="E5210" t="s">
        <v>435</v>
      </c>
      <c r="F5210" t="str">
        <f>INDEX(Lists!I:I,MATCH(Validation!E5210,Lists!G:G,0))</f>
        <v>Error</v>
      </c>
      <c r="G5210" t="str">
        <f>INDEX(Lists!H:H,MATCH(Validation!E5210,Lists!G:G,0))</f>
        <v>Enter an amount only. Do not enter text or spaces.</v>
      </c>
      <c r="H5210" s="16" t="str">
        <f t="shared" ca="1" si="558"/>
        <v/>
      </c>
      <c r="I5210" s="16" t="str">
        <f t="shared" ca="1" si="559"/>
        <v/>
      </c>
      <c r="J5210" s="17" t="str">
        <f t="shared" ca="1" si="560"/>
        <v/>
      </c>
    </row>
    <row r="5211" spans="1:10" x14ac:dyDescent="0.25">
      <c r="A5211" t="s">
        <v>934</v>
      </c>
      <c r="B5211" t="str">
        <f>ADDRESS(ROW('Loan 1'!$B$20),COLUMN('Loan 1'!$B$20),4)</f>
        <v>B20</v>
      </c>
      <c r="C5211" t="str">
        <f>ADDRESS(ROW('Loan 1'!$D$20),COLUMN('Loan 1'!$D$20),4)</f>
        <v>D20</v>
      </c>
      <c r="D5211" t="b" cm="1">
        <f t="array" aca="1" ref="D5211" ca="1">IF(INDIRECT("'"&amp;A5211&amp;"'!"&amp;B5211)="",FALSE,IF(NOT(ISNUMBER(INDIRECT("'"&amp;A5211&amp;"'!"&amp;B5211))),TRUE,FALSE))</f>
        <v>0</v>
      </c>
      <c r="E5211" t="s">
        <v>435</v>
      </c>
      <c r="F5211" t="str">
        <f>INDEX(Lists!I:I,MATCH(Validation!E5211,Lists!G:G,0))</f>
        <v>Error</v>
      </c>
      <c r="G5211" t="str">
        <f>INDEX(Lists!H:H,MATCH(Validation!E5211,Lists!G:G,0))</f>
        <v>Enter an amount only. Do not enter text or spaces.</v>
      </c>
      <c r="H5211" s="16" t="str">
        <f t="shared" ca="1" si="558"/>
        <v/>
      </c>
      <c r="I5211" s="16" t="str">
        <f t="shared" ca="1" si="559"/>
        <v/>
      </c>
      <c r="J5211" s="17" t="str">
        <f t="shared" ca="1" si="560"/>
        <v/>
      </c>
    </row>
    <row r="5212" spans="1:10" x14ac:dyDescent="0.25">
      <c r="A5212" t="s">
        <v>935</v>
      </c>
      <c r="B5212" t="str">
        <f>ADDRESS(ROW('Loan 1'!$B$20),COLUMN('Loan 1'!$B$20),4)</f>
        <v>B20</v>
      </c>
      <c r="C5212" t="str">
        <f>ADDRESS(ROW('Loan 1'!$D$20),COLUMN('Loan 1'!$D$20),4)</f>
        <v>D20</v>
      </c>
      <c r="D5212" t="b" cm="1">
        <f t="array" aca="1" ref="D5212" ca="1">IF(INDIRECT("'"&amp;A5212&amp;"'!"&amp;B5212)="",FALSE,IF(NOT(ISNUMBER(INDIRECT("'"&amp;A5212&amp;"'!"&amp;B5212))),TRUE,FALSE))</f>
        <v>0</v>
      </c>
      <c r="E5212" t="s">
        <v>435</v>
      </c>
      <c r="F5212" t="str">
        <f>INDEX(Lists!I:I,MATCH(Validation!E5212,Lists!G:G,0))</f>
        <v>Error</v>
      </c>
      <c r="G5212" t="str">
        <f>INDEX(Lists!H:H,MATCH(Validation!E5212,Lists!G:G,0))</f>
        <v>Enter an amount only. Do not enter text or spaces.</v>
      </c>
      <c r="H5212" s="16" t="str">
        <f t="shared" ca="1" si="558"/>
        <v/>
      </c>
      <c r="I5212" s="16" t="str">
        <f t="shared" ca="1" si="559"/>
        <v/>
      </c>
      <c r="J5212" s="17" t="str">
        <f t="shared" ca="1" si="560"/>
        <v/>
      </c>
    </row>
    <row r="5213" spans="1:10" x14ac:dyDescent="0.25">
      <c r="A5213" t="s">
        <v>936</v>
      </c>
      <c r="B5213" t="str">
        <f>ADDRESS(ROW('Loan 1'!$B$20),COLUMN('Loan 1'!$B$20),4)</f>
        <v>B20</v>
      </c>
      <c r="C5213" t="str">
        <f>ADDRESS(ROW('Loan 1'!$D$20),COLUMN('Loan 1'!$D$20),4)</f>
        <v>D20</v>
      </c>
      <c r="D5213" t="b" cm="1">
        <f t="array" aca="1" ref="D5213" ca="1">IF(INDIRECT("'"&amp;A5213&amp;"'!"&amp;B5213)="",FALSE,IF(NOT(ISNUMBER(INDIRECT("'"&amp;A5213&amp;"'!"&amp;B5213))),TRUE,FALSE))</f>
        <v>0</v>
      </c>
      <c r="E5213" t="s">
        <v>435</v>
      </c>
      <c r="F5213" t="str">
        <f>INDEX(Lists!I:I,MATCH(Validation!E5213,Lists!G:G,0))</f>
        <v>Error</v>
      </c>
      <c r="G5213" t="str">
        <f>INDEX(Lists!H:H,MATCH(Validation!E5213,Lists!G:G,0))</f>
        <v>Enter an amount only. Do not enter text or spaces.</v>
      </c>
      <c r="H5213" s="16" t="str">
        <f t="shared" ca="1" si="558"/>
        <v/>
      </c>
      <c r="I5213" s="16" t="str">
        <f t="shared" ca="1" si="559"/>
        <v/>
      </c>
      <c r="J5213" s="17" t="str">
        <f t="shared" ca="1" si="560"/>
        <v/>
      </c>
    </row>
    <row r="5214" spans="1:10" x14ac:dyDescent="0.25">
      <c r="A5214" t="s">
        <v>937</v>
      </c>
      <c r="B5214" t="str">
        <f>ADDRESS(ROW('Loan 1'!$B$20),COLUMN('Loan 1'!$B$20),4)</f>
        <v>B20</v>
      </c>
      <c r="C5214" t="str">
        <f>ADDRESS(ROW('Loan 1'!$D$20),COLUMN('Loan 1'!$D$20),4)</f>
        <v>D20</v>
      </c>
      <c r="D5214" t="b" cm="1">
        <f t="array" aca="1" ref="D5214" ca="1">IF(INDIRECT("'"&amp;A5214&amp;"'!"&amp;B5214)="",FALSE,IF(NOT(ISNUMBER(INDIRECT("'"&amp;A5214&amp;"'!"&amp;B5214))),TRUE,FALSE))</f>
        <v>0</v>
      </c>
      <c r="E5214" t="s">
        <v>435</v>
      </c>
      <c r="F5214" t="str">
        <f>INDEX(Lists!I:I,MATCH(Validation!E5214,Lists!G:G,0))</f>
        <v>Error</v>
      </c>
      <c r="G5214" t="str">
        <f>INDEX(Lists!H:H,MATCH(Validation!E5214,Lists!G:G,0))</f>
        <v>Enter an amount only. Do not enter text or spaces.</v>
      </c>
      <c r="H5214" s="16" t="str">
        <f t="shared" ca="1" si="558"/>
        <v/>
      </c>
      <c r="I5214" s="16" t="str">
        <f t="shared" ca="1" si="559"/>
        <v/>
      </c>
      <c r="J5214" s="17" t="str">
        <f t="shared" ca="1" si="560"/>
        <v/>
      </c>
    </row>
    <row r="5215" spans="1:10" x14ac:dyDescent="0.25">
      <c r="A5215" t="s">
        <v>938</v>
      </c>
      <c r="B5215" t="str">
        <f>ADDRESS(ROW('Loan 1'!$B$20),COLUMN('Loan 1'!$B$20),4)</f>
        <v>B20</v>
      </c>
      <c r="C5215" t="str">
        <f>ADDRESS(ROW('Loan 1'!$D$20),COLUMN('Loan 1'!$D$20),4)</f>
        <v>D20</v>
      </c>
      <c r="D5215" t="b" cm="1">
        <f t="array" aca="1" ref="D5215" ca="1">IF(INDIRECT("'"&amp;A5215&amp;"'!"&amp;B5215)="",FALSE,IF(NOT(ISNUMBER(INDIRECT("'"&amp;A5215&amp;"'!"&amp;B5215))),TRUE,FALSE))</f>
        <v>0</v>
      </c>
      <c r="E5215" t="s">
        <v>435</v>
      </c>
      <c r="F5215" t="str">
        <f>INDEX(Lists!I:I,MATCH(Validation!E5215,Lists!G:G,0))</f>
        <v>Error</v>
      </c>
      <c r="G5215" t="str">
        <f>INDEX(Lists!H:H,MATCH(Validation!E5215,Lists!G:G,0))</f>
        <v>Enter an amount only. Do not enter text or spaces.</v>
      </c>
      <c r="H5215" s="16" t="str">
        <f t="shared" ca="1" si="558"/>
        <v/>
      </c>
      <c r="I5215" s="16" t="str">
        <f t="shared" ca="1" si="559"/>
        <v/>
      </c>
      <c r="J5215" s="17" t="str">
        <f t="shared" ca="1" si="560"/>
        <v/>
      </c>
    </row>
    <row r="5216" spans="1:10" x14ac:dyDescent="0.25">
      <c r="A5216" t="s">
        <v>939</v>
      </c>
      <c r="B5216" t="str">
        <f>ADDRESS(ROW('Loan 1'!$B$20),COLUMN('Loan 1'!$B$20),4)</f>
        <v>B20</v>
      </c>
      <c r="C5216" t="str">
        <f>ADDRESS(ROW('Loan 1'!$D$20),COLUMN('Loan 1'!$D$20),4)</f>
        <v>D20</v>
      </c>
      <c r="D5216" t="b" cm="1">
        <f t="array" aca="1" ref="D5216" ca="1">IF(INDIRECT("'"&amp;A5216&amp;"'!"&amp;B5216)="",FALSE,IF(NOT(ISNUMBER(INDIRECT("'"&amp;A5216&amp;"'!"&amp;B5216))),TRUE,FALSE))</f>
        <v>0</v>
      </c>
      <c r="E5216" t="s">
        <v>435</v>
      </c>
      <c r="F5216" t="str">
        <f>INDEX(Lists!I:I,MATCH(Validation!E5216,Lists!G:G,0))</f>
        <v>Error</v>
      </c>
      <c r="G5216" t="str">
        <f>INDEX(Lists!H:H,MATCH(Validation!E5216,Lists!G:G,0))</f>
        <v>Enter an amount only. Do not enter text or spaces.</v>
      </c>
      <c r="H5216" s="16" t="str">
        <f t="shared" ca="1" si="558"/>
        <v/>
      </c>
      <c r="I5216" s="16" t="str">
        <f t="shared" ca="1" si="559"/>
        <v/>
      </c>
      <c r="J5216" s="17" t="str">
        <f t="shared" ca="1" si="560"/>
        <v/>
      </c>
    </row>
    <row r="5217" spans="1:10" x14ac:dyDescent="0.25">
      <c r="A5217" t="s">
        <v>940</v>
      </c>
      <c r="B5217" t="str">
        <f>ADDRESS(ROW('Loan 1'!$B$20),COLUMN('Loan 1'!$B$20),4)</f>
        <v>B20</v>
      </c>
      <c r="C5217" t="str">
        <f>ADDRESS(ROW('Loan 1'!$D$20),COLUMN('Loan 1'!$D$20),4)</f>
        <v>D20</v>
      </c>
      <c r="D5217" t="b" cm="1">
        <f t="array" aca="1" ref="D5217" ca="1">IF(INDIRECT("'"&amp;A5217&amp;"'!"&amp;B5217)="",FALSE,IF(NOT(ISNUMBER(INDIRECT("'"&amp;A5217&amp;"'!"&amp;B5217))),TRUE,FALSE))</f>
        <v>0</v>
      </c>
      <c r="E5217" t="s">
        <v>435</v>
      </c>
      <c r="F5217" t="str">
        <f>INDEX(Lists!I:I,MATCH(Validation!E5217,Lists!G:G,0))</f>
        <v>Error</v>
      </c>
      <c r="G5217" t="str">
        <f>INDEX(Lists!H:H,MATCH(Validation!E5217,Lists!G:G,0))</f>
        <v>Enter an amount only. Do not enter text or spaces.</v>
      </c>
      <c r="H5217" s="16" t="str">
        <f t="shared" ca="1" si="558"/>
        <v/>
      </c>
      <c r="I5217" s="16" t="str">
        <f t="shared" ca="1" si="559"/>
        <v/>
      </c>
      <c r="J5217" s="17" t="str">
        <f t="shared" ca="1" si="560"/>
        <v/>
      </c>
    </row>
    <row r="5218" spans="1:10" x14ac:dyDescent="0.25">
      <c r="A5218" t="s">
        <v>941</v>
      </c>
      <c r="B5218" t="str">
        <f>ADDRESS(ROW('Loan 1'!$B$20),COLUMN('Loan 1'!$B$20),4)</f>
        <v>B20</v>
      </c>
      <c r="C5218" t="str">
        <f>ADDRESS(ROW('Loan 1'!$D$20),COLUMN('Loan 1'!$D$20),4)</f>
        <v>D20</v>
      </c>
      <c r="D5218" t="b" cm="1">
        <f t="array" aca="1" ref="D5218" ca="1">IF(INDIRECT("'"&amp;A5218&amp;"'!"&amp;B5218)="",FALSE,IF(NOT(ISNUMBER(INDIRECT("'"&amp;A5218&amp;"'!"&amp;B5218))),TRUE,FALSE))</f>
        <v>0</v>
      </c>
      <c r="E5218" t="s">
        <v>435</v>
      </c>
      <c r="F5218" t="str">
        <f>INDEX(Lists!I:I,MATCH(Validation!E5218,Lists!G:G,0))</f>
        <v>Error</v>
      </c>
      <c r="G5218" t="str">
        <f>INDEX(Lists!H:H,MATCH(Validation!E5218,Lists!G:G,0))</f>
        <v>Enter an amount only. Do not enter text or spaces.</v>
      </c>
      <c r="H5218" s="16" t="str">
        <f t="shared" ca="1" si="558"/>
        <v/>
      </c>
      <c r="I5218" s="16" t="str">
        <f t="shared" ca="1" si="559"/>
        <v/>
      </c>
      <c r="J5218" s="17" t="str">
        <f t="shared" ca="1" si="560"/>
        <v/>
      </c>
    </row>
    <row r="5219" spans="1:10" x14ac:dyDescent="0.25">
      <c r="A5219" t="s">
        <v>942</v>
      </c>
      <c r="B5219" t="str">
        <f>ADDRESS(ROW('Loan 1'!$B$20),COLUMN('Loan 1'!$B$20),4)</f>
        <v>B20</v>
      </c>
      <c r="C5219" t="str">
        <f>ADDRESS(ROW('Loan 1'!$D$20),COLUMN('Loan 1'!$D$20),4)</f>
        <v>D20</v>
      </c>
      <c r="D5219" t="b" cm="1">
        <f t="array" aca="1" ref="D5219" ca="1">IF(INDIRECT("'"&amp;A5219&amp;"'!"&amp;B5219)="",FALSE,IF(NOT(ISNUMBER(INDIRECT("'"&amp;A5219&amp;"'!"&amp;B5219))),TRUE,FALSE))</f>
        <v>0</v>
      </c>
      <c r="E5219" t="s">
        <v>435</v>
      </c>
      <c r="F5219" t="str">
        <f>INDEX(Lists!I:I,MATCH(Validation!E5219,Lists!G:G,0))</f>
        <v>Error</v>
      </c>
      <c r="G5219" t="str">
        <f>INDEX(Lists!H:H,MATCH(Validation!E5219,Lists!G:G,0))</f>
        <v>Enter an amount only. Do not enter text or spaces.</v>
      </c>
      <c r="H5219" s="16" t="str">
        <f t="shared" ca="1" si="558"/>
        <v/>
      </c>
      <c r="I5219" s="16" t="str">
        <f t="shared" ca="1" si="559"/>
        <v/>
      </c>
      <c r="J5219" s="17" t="str">
        <f t="shared" ca="1" si="560"/>
        <v/>
      </c>
    </row>
    <row r="5220" spans="1:10" x14ac:dyDescent="0.25">
      <c r="A5220" t="s">
        <v>943</v>
      </c>
      <c r="B5220" t="str">
        <f>ADDRESS(ROW('Loan 1'!$B$20),COLUMN('Loan 1'!$B$20),4)</f>
        <v>B20</v>
      </c>
      <c r="C5220" t="str">
        <f>ADDRESS(ROW('Loan 1'!$D$20),COLUMN('Loan 1'!$D$20),4)</f>
        <v>D20</v>
      </c>
      <c r="D5220" t="b" cm="1">
        <f t="array" aca="1" ref="D5220" ca="1">IF(INDIRECT("'"&amp;A5220&amp;"'!"&amp;B5220)="",FALSE,IF(NOT(ISNUMBER(INDIRECT("'"&amp;A5220&amp;"'!"&amp;B5220))),TRUE,FALSE))</f>
        <v>0</v>
      </c>
      <c r="E5220" t="s">
        <v>435</v>
      </c>
      <c r="F5220" t="str">
        <f>INDEX(Lists!I:I,MATCH(Validation!E5220,Lists!G:G,0))</f>
        <v>Error</v>
      </c>
      <c r="G5220" t="str">
        <f>INDEX(Lists!H:H,MATCH(Validation!E5220,Lists!G:G,0))</f>
        <v>Enter an amount only. Do not enter text or spaces.</v>
      </c>
      <c r="H5220" s="16" t="str">
        <f t="shared" ca="1" si="558"/>
        <v/>
      </c>
      <c r="I5220" s="16" t="str">
        <f t="shared" ca="1" si="559"/>
        <v/>
      </c>
      <c r="J5220" s="17" t="str">
        <f t="shared" ca="1" si="560"/>
        <v/>
      </c>
    </row>
    <row r="5221" spans="1:10" x14ac:dyDescent="0.25">
      <c r="A5221" t="s">
        <v>944</v>
      </c>
      <c r="B5221" t="str">
        <f>ADDRESS(ROW('Loan 1'!$B$20),COLUMN('Loan 1'!$B$20),4)</f>
        <v>B20</v>
      </c>
      <c r="C5221" t="str">
        <f>ADDRESS(ROW('Loan 1'!$D$20),COLUMN('Loan 1'!$D$20),4)</f>
        <v>D20</v>
      </c>
      <c r="D5221" t="b" cm="1">
        <f t="array" aca="1" ref="D5221" ca="1">IF(INDIRECT("'"&amp;A5221&amp;"'!"&amp;B5221)="",FALSE,IF(NOT(ISNUMBER(INDIRECT("'"&amp;A5221&amp;"'!"&amp;B5221))),TRUE,FALSE))</f>
        <v>0</v>
      </c>
      <c r="E5221" t="s">
        <v>435</v>
      </c>
      <c r="F5221" t="str">
        <f>INDEX(Lists!I:I,MATCH(Validation!E5221,Lists!G:G,0))</f>
        <v>Error</v>
      </c>
      <c r="G5221" t="str">
        <f>INDEX(Lists!H:H,MATCH(Validation!E5221,Lists!G:G,0))</f>
        <v>Enter an amount only. Do not enter text or spaces.</v>
      </c>
      <c r="H5221" s="16" t="str">
        <f t="shared" ca="1" si="558"/>
        <v/>
      </c>
      <c r="I5221" s="16" t="str">
        <f t="shared" ca="1" si="559"/>
        <v/>
      </c>
      <c r="J5221" s="17" t="str">
        <f t="shared" ca="1" si="560"/>
        <v/>
      </c>
    </row>
    <row r="5222" spans="1:10" x14ac:dyDescent="0.25">
      <c r="A5222" t="s">
        <v>945</v>
      </c>
      <c r="B5222" t="str">
        <f>ADDRESS(ROW('Loan 1'!$B$20),COLUMN('Loan 1'!$B$20),4)</f>
        <v>B20</v>
      </c>
      <c r="C5222" t="str">
        <f>ADDRESS(ROW('Loan 1'!$D$20),COLUMN('Loan 1'!$D$20),4)</f>
        <v>D20</v>
      </c>
      <c r="D5222" t="b" cm="1">
        <f t="array" aca="1" ref="D5222" ca="1">IF(INDIRECT("'"&amp;A5222&amp;"'!"&amp;B5222)="",FALSE,IF(NOT(ISNUMBER(INDIRECT("'"&amp;A5222&amp;"'!"&amp;B5222))),TRUE,FALSE))</f>
        <v>0</v>
      </c>
      <c r="E5222" t="s">
        <v>435</v>
      </c>
      <c r="F5222" t="str">
        <f>INDEX(Lists!I:I,MATCH(Validation!E5222,Lists!G:G,0))</f>
        <v>Error</v>
      </c>
      <c r="G5222" t="str">
        <f>INDEX(Lists!H:H,MATCH(Validation!E5222,Lists!G:G,0))</f>
        <v>Enter an amount only. Do not enter text or spaces.</v>
      </c>
      <c r="H5222" s="16" t="str">
        <f t="shared" ca="1" si="558"/>
        <v/>
      </c>
      <c r="I5222" s="16" t="str">
        <f t="shared" ca="1" si="559"/>
        <v/>
      </c>
      <c r="J5222" s="17" t="str">
        <f t="shared" ca="1" si="560"/>
        <v/>
      </c>
    </row>
    <row r="5223" spans="1:10" x14ac:dyDescent="0.25">
      <c r="A5223" t="s">
        <v>205</v>
      </c>
      <c r="B5223" t="str">
        <f>ADDRESS(ROW('Loan 1'!$B$20),COLUMN('Loan 1'!$B$20),4)</f>
        <v>B20</v>
      </c>
      <c r="C5223" t="str">
        <f>ADDRESS(ROW('Loan 1'!$D$20),COLUMN('Loan 1'!$D$20),4)</f>
        <v>D20</v>
      </c>
      <c r="D5223" t="b" cm="1">
        <f t="array" aca="1" ref="D5223" ca="1">IF(INDIRECT("'"&amp;A5223&amp;"'!"&amp;B5223)="",FALSE,IF(INDIRECT("'"&amp;A5223&amp;"'!"&amp;B5223)&lt;0,TRUE,FALSE))</f>
        <v>0</v>
      </c>
      <c r="E5223" t="s">
        <v>434</v>
      </c>
      <c r="F5223" t="str">
        <f>INDEX(Lists!I:I,MATCH(Validation!E5223,Lists!G:G,0))</f>
        <v>Error</v>
      </c>
      <c r="G5223" t="str">
        <f>INDEX(Lists!H:H,MATCH(Validation!E5223,Lists!G:G,0))</f>
        <v>Amount may not be negative. Enter an amount greater than or equal to zero.</v>
      </c>
      <c r="H5223" s="16" t="str">
        <f ca="1">IFERROR(IF(OR(NOT(D5223),F5223&lt;&gt;"Error"),"",A5223&amp;CELL("address",INDIRECT(B5223))),"")</f>
        <v/>
      </c>
      <c r="I5223" s="16" t="str">
        <f ca="1">IFERROR(IF(NOT(D5223),"",A5223&amp;CELL("address",INDIRECT(C5223))),"")</f>
        <v/>
      </c>
      <c r="J5223" s="17" t="str">
        <f ca="1">IFERROR(IF(NOT(D5223),"",A5223),"")</f>
        <v/>
      </c>
    </row>
    <row r="5224" spans="1:10" x14ac:dyDescent="0.25">
      <c r="A5224" t="s">
        <v>932</v>
      </c>
      <c r="B5224" t="str">
        <f>ADDRESS(ROW('Loan 1'!$B$20),COLUMN('Loan 1'!$B$20),4)</f>
        <v>B20</v>
      </c>
      <c r="C5224" t="str">
        <f>ADDRESS(ROW('Loan 1'!$D$20),COLUMN('Loan 1'!$D$20),4)</f>
        <v>D20</v>
      </c>
      <c r="D5224" t="b" cm="1">
        <f t="array" aca="1" ref="D5224" ca="1">IF(INDIRECT("'"&amp;A5224&amp;"'!"&amp;B5224)="",FALSE,IF(INDIRECT("'"&amp;A5224&amp;"'!"&amp;B5224)&lt;0,TRUE,FALSE))</f>
        <v>0</v>
      </c>
      <c r="E5224" t="s">
        <v>434</v>
      </c>
      <c r="F5224" t="str">
        <f>INDEX(Lists!I:I,MATCH(Validation!E5224,Lists!G:G,0))</f>
        <v>Error</v>
      </c>
      <c r="G5224" t="str">
        <f>INDEX(Lists!H:H,MATCH(Validation!E5224,Lists!G:G,0))</f>
        <v>Amount may not be negative. Enter an amount greater than or equal to zero.</v>
      </c>
      <c r="H5224" s="16" t="str">
        <f t="shared" ref="H5224:H5252" ca="1" si="561">IFERROR(IF(OR(NOT(D5224),F5224&lt;&gt;"Error"),"",A5224&amp;CELL("address",INDIRECT(B5224))),"")</f>
        <v/>
      </c>
      <c r="I5224" s="16" t="str">
        <f t="shared" ref="I5224:I5252" ca="1" si="562">IFERROR(IF(NOT(D5224),"",A5224&amp;CELL("address",INDIRECT(C5224))),"")</f>
        <v/>
      </c>
      <c r="J5224" s="17" t="str">
        <f t="shared" ref="J5224:J5252" ca="1" si="563">IFERROR(IF(NOT(D5224),"",A5224),"")</f>
        <v/>
      </c>
    </row>
    <row r="5225" spans="1:10" x14ac:dyDescent="0.25">
      <c r="A5225" t="s">
        <v>933</v>
      </c>
      <c r="B5225" t="str">
        <f>ADDRESS(ROW('Loan 1'!$B$20),COLUMN('Loan 1'!$B$20),4)</f>
        <v>B20</v>
      </c>
      <c r="C5225" t="str">
        <f>ADDRESS(ROW('Loan 1'!$D$20),COLUMN('Loan 1'!$D$20),4)</f>
        <v>D20</v>
      </c>
      <c r="D5225" t="b" cm="1">
        <f t="array" aca="1" ref="D5225" ca="1">IF(INDIRECT("'"&amp;A5225&amp;"'!"&amp;B5225)="",FALSE,IF(INDIRECT("'"&amp;A5225&amp;"'!"&amp;B5225)&lt;0,TRUE,FALSE))</f>
        <v>0</v>
      </c>
      <c r="E5225" t="s">
        <v>434</v>
      </c>
      <c r="F5225" t="str">
        <f>INDEX(Lists!I:I,MATCH(Validation!E5225,Lists!G:G,0))</f>
        <v>Error</v>
      </c>
      <c r="G5225" t="str">
        <f>INDEX(Lists!H:H,MATCH(Validation!E5225,Lists!G:G,0))</f>
        <v>Amount may not be negative. Enter an amount greater than or equal to zero.</v>
      </c>
      <c r="H5225" s="16" t="str">
        <f t="shared" ca="1" si="561"/>
        <v/>
      </c>
      <c r="I5225" s="16" t="str">
        <f t="shared" ca="1" si="562"/>
        <v/>
      </c>
      <c r="J5225" s="17" t="str">
        <f t="shared" ca="1" si="563"/>
        <v/>
      </c>
    </row>
    <row r="5226" spans="1:10" x14ac:dyDescent="0.25">
      <c r="A5226" t="s">
        <v>934</v>
      </c>
      <c r="B5226" t="str">
        <f>ADDRESS(ROW('Loan 1'!$B$20),COLUMN('Loan 1'!$B$20),4)</f>
        <v>B20</v>
      </c>
      <c r="C5226" t="str">
        <f>ADDRESS(ROW('Loan 1'!$D$20),COLUMN('Loan 1'!$D$20),4)</f>
        <v>D20</v>
      </c>
      <c r="D5226" t="b" cm="1">
        <f t="array" aca="1" ref="D5226" ca="1">IF(INDIRECT("'"&amp;A5226&amp;"'!"&amp;B5226)="",FALSE,IF(INDIRECT("'"&amp;A5226&amp;"'!"&amp;B5226)&lt;0,TRUE,FALSE))</f>
        <v>0</v>
      </c>
      <c r="E5226" t="s">
        <v>434</v>
      </c>
      <c r="F5226" t="str">
        <f>INDEX(Lists!I:I,MATCH(Validation!E5226,Lists!G:G,0))</f>
        <v>Error</v>
      </c>
      <c r="G5226" t="str">
        <f>INDEX(Lists!H:H,MATCH(Validation!E5226,Lists!G:G,0))</f>
        <v>Amount may not be negative. Enter an amount greater than or equal to zero.</v>
      </c>
      <c r="H5226" s="16" t="str">
        <f t="shared" ca="1" si="561"/>
        <v/>
      </c>
      <c r="I5226" s="16" t="str">
        <f t="shared" ca="1" si="562"/>
        <v/>
      </c>
      <c r="J5226" s="17" t="str">
        <f t="shared" ca="1" si="563"/>
        <v/>
      </c>
    </row>
    <row r="5227" spans="1:10" x14ac:dyDescent="0.25">
      <c r="A5227" t="s">
        <v>935</v>
      </c>
      <c r="B5227" t="str">
        <f>ADDRESS(ROW('Loan 1'!$B$20),COLUMN('Loan 1'!$B$20),4)</f>
        <v>B20</v>
      </c>
      <c r="C5227" t="str">
        <f>ADDRESS(ROW('Loan 1'!$D$20),COLUMN('Loan 1'!$D$20),4)</f>
        <v>D20</v>
      </c>
      <c r="D5227" t="b" cm="1">
        <f t="array" aca="1" ref="D5227" ca="1">IF(INDIRECT("'"&amp;A5227&amp;"'!"&amp;B5227)="",FALSE,IF(INDIRECT("'"&amp;A5227&amp;"'!"&amp;B5227)&lt;0,TRUE,FALSE))</f>
        <v>0</v>
      </c>
      <c r="E5227" t="s">
        <v>434</v>
      </c>
      <c r="F5227" t="str">
        <f>INDEX(Lists!I:I,MATCH(Validation!E5227,Lists!G:G,0))</f>
        <v>Error</v>
      </c>
      <c r="G5227" t="str">
        <f>INDEX(Lists!H:H,MATCH(Validation!E5227,Lists!G:G,0))</f>
        <v>Amount may not be negative. Enter an amount greater than or equal to zero.</v>
      </c>
      <c r="H5227" s="16" t="str">
        <f t="shared" ca="1" si="561"/>
        <v/>
      </c>
      <c r="I5227" s="16" t="str">
        <f t="shared" ca="1" si="562"/>
        <v/>
      </c>
      <c r="J5227" s="17" t="str">
        <f t="shared" ca="1" si="563"/>
        <v/>
      </c>
    </row>
    <row r="5228" spans="1:10" x14ac:dyDescent="0.25">
      <c r="A5228" t="s">
        <v>936</v>
      </c>
      <c r="B5228" t="str">
        <f>ADDRESS(ROW('Loan 1'!$B$20),COLUMN('Loan 1'!$B$20),4)</f>
        <v>B20</v>
      </c>
      <c r="C5228" t="str">
        <f>ADDRESS(ROW('Loan 1'!$D$20),COLUMN('Loan 1'!$D$20),4)</f>
        <v>D20</v>
      </c>
      <c r="D5228" t="b" cm="1">
        <f t="array" aca="1" ref="D5228" ca="1">IF(INDIRECT("'"&amp;A5228&amp;"'!"&amp;B5228)="",FALSE,IF(INDIRECT("'"&amp;A5228&amp;"'!"&amp;B5228)&lt;0,TRUE,FALSE))</f>
        <v>0</v>
      </c>
      <c r="E5228" t="s">
        <v>434</v>
      </c>
      <c r="F5228" t="str">
        <f>INDEX(Lists!I:I,MATCH(Validation!E5228,Lists!G:G,0))</f>
        <v>Error</v>
      </c>
      <c r="G5228" t="str">
        <f>INDEX(Lists!H:H,MATCH(Validation!E5228,Lists!G:G,0))</f>
        <v>Amount may not be negative. Enter an amount greater than or equal to zero.</v>
      </c>
      <c r="H5228" s="16" t="str">
        <f t="shared" ca="1" si="561"/>
        <v/>
      </c>
      <c r="I5228" s="16" t="str">
        <f t="shared" ca="1" si="562"/>
        <v/>
      </c>
      <c r="J5228" s="17" t="str">
        <f t="shared" ca="1" si="563"/>
        <v/>
      </c>
    </row>
    <row r="5229" spans="1:10" x14ac:dyDescent="0.25">
      <c r="A5229" t="s">
        <v>937</v>
      </c>
      <c r="B5229" t="str">
        <f>ADDRESS(ROW('Loan 1'!$B$20),COLUMN('Loan 1'!$B$20),4)</f>
        <v>B20</v>
      </c>
      <c r="C5229" t="str">
        <f>ADDRESS(ROW('Loan 1'!$D$20),COLUMN('Loan 1'!$D$20),4)</f>
        <v>D20</v>
      </c>
      <c r="D5229" t="b" cm="1">
        <f t="array" aca="1" ref="D5229" ca="1">IF(INDIRECT("'"&amp;A5229&amp;"'!"&amp;B5229)="",FALSE,IF(INDIRECT("'"&amp;A5229&amp;"'!"&amp;B5229)&lt;0,TRUE,FALSE))</f>
        <v>0</v>
      </c>
      <c r="E5229" t="s">
        <v>434</v>
      </c>
      <c r="F5229" t="str">
        <f>INDEX(Lists!I:I,MATCH(Validation!E5229,Lists!G:G,0))</f>
        <v>Error</v>
      </c>
      <c r="G5229" t="str">
        <f>INDEX(Lists!H:H,MATCH(Validation!E5229,Lists!G:G,0))</f>
        <v>Amount may not be negative. Enter an amount greater than or equal to zero.</v>
      </c>
      <c r="H5229" s="16" t="str">
        <f t="shared" ca="1" si="561"/>
        <v/>
      </c>
      <c r="I5229" s="16" t="str">
        <f t="shared" ca="1" si="562"/>
        <v/>
      </c>
      <c r="J5229" s="17" t="str">
        <f t="shared" ca="1" si="563"/>
        <v/>
      </c>
    </row>
    <row r="5230" spans="1:10" x14ac:dyDescent="0.25">
      <c r="A5230" t="s">
        <v>938</v>
      </c>
      <c r="B5230" t="str">
        <f>ADDRESS(ROW('Loan 1'!$B$20),COLUMN('Loan 1'!$B$20),4)</f>
        <v>B20</v>
      </c>
      <c r="C5230" t="str">
        <f>ADDRESS(ROW('Loan 1'!$D$20),COLUMN('Loan 1'!$D$20),4)</f>
        <v>D20</v>
      </c>
      <c r="D5230" t="b" cm="1">
        <f t="array" aca="1" ref="D5230" ca="1">IF(INDIRECT("'"&amp;A5230&amp;"'!"&amp;B5230)="",FALSE,IF(INDIRECT("'"&amp;A5230&amp;"'!"&amp;B5230)&lt;0,TRUE,FALSE))</f>
        <v>0</v>
      </c>
      <c r="E5230" t="s">
        <v>434</v>
      </c>
      <c r="F5230" t="str">
        <f>INDEX(Lists!I:I,MATCH(Validation!E5230,Lists!G:G,0))</f>
        <v>Error</v>
      </c>
      <c r="G5230" t="str">
        <f>INDEX(Lists!H:H,MATCH(Validation!E5230,Lists!G:G,0))</f>
        <v>Amount may not be negative. Enter an amount greater than or equal to zero.</v>
      </c>
      <c r="H5230" s="16" t="str">
        <f t="shared" ca="1" si="561"/>
        <v/>
      </c>
      <c r="I5230" s="16" t="str">
        <f t="shared" ca="1" si="562"/>
        <v/>
      </c>
      <c r="J5230" s="17" t="str">
        <f t="shared" ca="1" si="563"/>
        <v/>
      </c>
    </row>
    <row r="5231" spans="1:10" x14ac:dyDescent="0.25">
      <c r="A5231" t="s">
        <v>939</v>
      </c>
      <c r="B5231" t="str">
        <f>ADDRESS(ROW('Loan 1'!$B$20),COLUMN('Loan 1'!$B$20),4)</f>
        <v>B20</v>
      </c>
      <c r="C5231" t="str">
        <f>ADDRESS(ROW('Loan 1'!$D$20),COLUMN('Loan 1'!$D$20),4)</f>
        <v>D20</v>
      </c>
      <c r="D5231" t="b" cm="1">
        <f t="array" aca="1" ref="D5231" ca="1">IF(INDIRECT("'"&amp;A5231&amp;"'!"&amp;B5231)="",FALSE,IF(INDIRECT("'"&amp;A5231&amp;"'!"&amp;B5231)&lt;0,TRUE,FALSE))</f>
        <v>0</v>
      </c>
      <c r="E5231" t="s">
        <v>434</v>
      </c>
      <c r="F5231" t="str">
        <f>INDEX(Lists!I:I,MATCH(Validation!E5231,Lists!G:G,0))</f>
        <v>Error</v>
      </c>
      <c r="G5231" t="str">
        <f>INDEX(Lists!H:H,MATCH(Validation!E5231,Lists!G:G,0))</f>
        <v>Amount may not be negative. Enter an amount greater than or equal to zero.</v>
      </c>
      <c r="H5231" s="16" t="str">
        <f t="shared" ca="1" si="561"/>
        <v/>
      </c>
      <c r="I5231" s="16" t="str">
        <f t="shared" ca="1" si="562"/>
        <v/>
      </c>
      <c r="J5231" s="17" t="str">
        <f t="shared" ca="1" si="563"/>
        <v/>
      </c>
    </row>
    <row r="5232" spans="1:10" x14ac:dyDescent="0.25">
      <c r="A5232" t="s">
        <v>940</v>
      </c>
      <c r="B5232" t="str">
        <f>ADDRESS(ROW('Loan 1'!$B$20),COLUMN('Loan 1'!$B$20),4)</f>
        <v>B20</v>
      </c>
      <c r="C5232" t="str">
        <f>ADDRESS(ROW('Loan 1'!$D$20),COLUMN('Loan 1'!$D$20),4)</f>
        <v>D20</v>
      </c>
      <c r="D5232" t="b" cm="1">
        <f t="array" aca="1" ref="D5232" ca="1">IF(INDIRECT("'"&amp;A5232&amp;"'!"&amp;B5232)="",FALSE,IF(INDIRECT("'"&amp;A5232&amp;"'!"&amp;B5232)&lt;0,TRUE,FALSE))</f>
        <v>0</v>
      </c>
      <c r="E5232" t="s">
        <v>434</v>
      </c>
      <c r="F5232" t="str">
        <f>INDEX(Lists!I:I,MATCH(Validation!E5232,Lists!G:G,0))</f>
        <v>Error</v>
      </c>
      <c r="G5232" t="str">
        <f>INDEX(Lists!H:H,MATCH(Validation!E5232,Lists!G:G,0))</f>
        <v>Amount may not be negative. Enter an amount greater than or equal to zero.</v>
      </c>
      <c r="H5232" s="16" t="str">
        <f t="shared" ca="1" si="561"/>
        <v/>
      </c>
      <c r="I5232" s="16" t="str">
        <f t="shared" ca="1" si="562"/>
        <v/>
      </c>
      <c r="J5232" s="17" t="str">
        <f t="shared" ca="1" si="563"/>
        <v/>
      </c>
    </row>
    <row r="5233" spans="1:10" x14ac:dyDescent="0.25">
      <c r="A5233" t="s">
        <v>941</v>
      </c>
      <c r="B5233" t="str">
        <f>ADDRESS(ROW('Loan 1'!$B$20),COLUMN('Loan 1'!$B$20),4)</f>
        <v>B20</v>
      </c>
      <c r="C5233" t="str">
        <f>ADDRESS(ROW('Loan 1'!$D$20),COLUMN('Loan 1'!$D$20),4)</f>
        <v>D20</v>
      </c>
      <c r="D5233" t="b" cm="1">
        <f t="array" aca="1" ref="D5233" ca="1">IF(INDIRECT("'"&amp;A5233&amp;"'!"&amp;B5233)="",FALSE,IF(INDIRECT("'"&amp;A5233&amp;"'!"&amp;B5233)&lt;0,TRUE,FALSE))</f>
        <v>0</v>
      </c>
      <c r="E5233" t="s">
        <v>434</v>
      </c>
      <c r="F5233" t="str">
        <f>INDEX(Lists!I:I,MATCH(Validation!E5233,Lists!G:G,0))</f>
        <v>Error</v>
      </c>
      <c r="G5233" t="str">
        <f>INDEX(Lists!H:H,MATCH(Validation!E5233,Lists!G:G,0))</f>
        <v>Amount may not be negative. Enter an amount greater than or equal to zero.</v>
      </c>
      <c r="H5233" s="16" t="str">
        <f t="shared" ca="1" si="561"/>
        <v/>
      </c>
      <c r="I5233" s="16" t="str">
        <f t="shared" ca="1" si="562"/>
        <v/>
      </c>
      <c r="J5233" s="17" t="str">
        <f t="shared" ca="1" si="563"/>
        <v/>
      </c>
    </row>
    <row r="5234" spans="1:10" x14ac:dyDescent="0.25">
      <c r="A5234" t="s">
        <v>942</v>
      </c>
      <c r="B5234" t="str">
        <f>ADDRESS(ROW('Loan 1'!$B$20),COLUMN('Loan 1'!$B$20),4)</f>
        <v>B20</v>
      </c>
      <c r="C5234" t="str">
        <f>ADDRESS(ROW('Loan 1'!$D$20),COLUMN('Loan 1'!$D$20),4)</f>
        <v>D20</v>
      </c>
      <c r="D5234" t="b" cm="1">
        <f t="array" aca="1" ref="D5234" ca="1">IF(INDIRECT("'"&amp;A5234&amp;"'!"&amp;B5234)="",FALSE,IF(INDIRECT("'"&amp;A5234&amp;"'!"&amp;B5234)&lt;0,TRUE,FALSE))</f>
        <v>0</v>
      </c>
      <c r="E5234" t="s">
        <v>434</v>
      </c>
      <c r="F5234" t="str">
        <f>INDEX(Lists!I:I,MATCH(Validation!E5234,Lists!G:G,0))</f>
        <v>Error</v>
      </c>
      <c r="G5234" t="str">
        <f>INDEX(Lists!H:H,MATCH(Validation!E5234,Lists!G:G,0))</f>
        <v>Amount may not be negative. Enter an amount greater than or equal to zero.</v>
      </c>
      <c r="H5234" s="16" t="str">
        <f t="shared" ca="1" si="561"/>
        <v/>
      </c>
      <c r="I5234" s="16" t="str">
        <f t="shared" ca="1" si="562"/>
        <v/>
      </c>
      <c r="J5234" s="17" t="str">
        <f t="shared" ca="1" si="563"/>
        <v/>
      </c>
    </row>
    <row r="5235" spans="1:10" x14ac:dyDescent="0.25">
      <c r="A5235" t="s">
        <v>943</v>
      </c>
      <c r="B5235" t="str">
        <f>ADDRESS(ROW('Loan 1'!$B$20),COLUMN('Loan 1'!$B$20),4)</f>
        <v>B20</v>
      </c>
      <c r="C5235" t="str">
        <f>ADDRESS(ROW('Loan 1'!$D$20),COLUMN('Loan 1'!$D$20),4)</f>
        <v>D20</v>
      </c>
      <c r="D5235" t="b" cm="1">
        <f t="array" aca="1" ref="D5235" ca="1">IF(INDIRECT("'"&amp;A5235&amp;"'!"&amp;B5235)="",FALSE,IF(INDIRECT("'"&amp;A5235&amp;"'!"&amp;B5235)&lt;0,TRUE,FALSE))</f>
        <v>0</v>
      </c>
      <c r="E5235" t="s">
        <v>434</v>
      </c>
      <c r="F5235" t="str">
        <f>INDEX(Lists!I:I,MATCH(Validation!E5235,Lists!G:G,0))</f>
        <v>Error</v>
      </c>
      <c r="G5235" t="str">
        <f>INDEX(Lists!H:H,MATCH(Validation!E5235,Lists!G:G,0))</f>
        <v>Amount may not be negative. Enter an amount greater than or equal to zero.</v>
      </c>
      <c r="H5235" s="16" t="str">
        <f t="shared" ca="1" si="561"/>
        <v/>
      </c>
      <c r="I5235" s="16" t="str">
        <f t="shared" ca="1" si="562"/>
        <v/>
      </c>
      <c r="J5235" s="17" t="str">
        <f t="shared" ca="1" si="563"/>
        <v/>
      </c>
    </row>
    <row r="5236" spans="1:10" x14ac:dyDescent="0.25">
      <c r="A5236" t="s">
        <v>944</v>
      </c>
      <c r="B5236" t="str">
        <f>ADDRESS(ROW('Loan 1'!$B$20),COLUMN('Loan 1'!$B$20),4)</f>
        <v>B20</v>
      </c>
      <c r="C5236" t="str">
        <f>ADDRESS(ROW('Loan 1'!$D$20),COLUMN('Loan 1'!$D$20),4)</f>
        <v>D20</v>
      </c>
      <c r="D5236" t="b" cm="1">
        <f t="array" aca="1" ref="D5236" ca="1">IF(INDIRECT("'"&amp;A5236&amp;"'!"&amp;B5236)="",FALSE,IF(INDIRECT("'"&amp;A5236&amp;"'!"&amp;B5236)&lt;0,TRUE,FALSE))</f>
        <v>0</v>
      </c>
      <c r="E5236" t="s">
        <v>434</v>
      </c>
      <c r="F5236" t="str">
        <f>INDEX(Lists!I:I,MATCH(Validation!E5236,Lists!G:G,0))</f>
        <v>Error</v>
      </c>
      <c r="G5236" t="str">
        <f>INDEX(Lists!H:H,MATCH(Validation!E5236,Lists!G:G,0))</f>
        <v>Amount may not be negative. Enter an amount greater than or equal to zero.</v>
      </c>
      <c r="H5236" s="16" t="str">
        <f t="shared" ca="1" si="561"/>
        <v/>
      </c>
      <c r="I5236" s="16" t="str">
        <f t="shared" ca="1" si="562"/>
        <v/>
      </c>
      <c r="J5236" s="17" t="str">
        <f t="shared" ca="1" si="563"/>
        <v/>
      </c>
    </row>
    <row r="5237" spans="1:10" x14ac:dyDescent="0.25">
      <c r="A5237" t="s">
        <v>945</v>
      </c>
      <c r="B5237" t="str">
        <f>ADDRESS(ROW('Loan 1'!$B$20),COLUMN('Loan 1'!$B$20),4)</f>
        <v>B20</v>
      </c>
      <c r="C5237" t="str">
        <f>ADDRESS(ROW('Loan 1'!$D$20),COLUMN('Loan 1'!$D$20),4)</f>
        <v>D20</v>
      </c>
      <c r="D5237" t="b" cm="1">
        <f t="array" aca="1" ref="D5237" ca="1">IF(INDIRECT("'"&amp;A5237&amp;"'!"&amp;B5237)="",FALSE,IF(INDIRECT("'"&amp;A5237&amp;"'!"&amp;B5237)&lt;0,TRUE,FALSE))</f>
        <v>0</v>
      </c>
      <c r="E5237" t="s">
        <v>434</v>
      </c>
      <c r="F5237" t="str">
        <f>INDEX(Lists!I:I,MATCH(Validation!E5237,Lists!G:G,0))</f>
        <v>Error</v>
      </c>
      <c r="G5237" t="str">
        <f>INDEX(Lists!H:H,MATCH(Validation!E5237,Lists!G:G,0))</f>
        <v>Amount may not be negative. Enter an amount greater than or equal to zero.</v>
      </c>
      <c r="H5237" s="16" t="str">
        <f t="shared" ca="1" si="561"/>
        <v/>
      </c>
      <c r="I5237" s="16" t="str">
        <f t="shared" ca="1" si="562"/>
        <v/>
      </c>
      <c r="J5237" s="17" t="str">
        <f t="shared" ca="1" si="563"/>
        <v/>
      </c>
    </row>
    <row r="5238" spans="1:10" x14ac:dyDescent="0.25">
      <c r="A5238" t="s">
        <v>205</v>
      </c>
      <c r="B5238" t="str">
        <f>ADDRESS(ROW('Loan 1'!$B$20),COLUMN('Loan 1'!$B$20),4)</f>
        <v>B20</v>
      </c>
      <c r="C5238" t="str">
        <f>ADDRESS(ROW('Loan 1'!$D$20),COLUMN('Loan 1'!$D$20),4)</f>
        <v>D20</v>
      </c>
      <c r="D5238" t="b" cm="1">
        <f t="array" aca="1" ref="D5238" ca="1">IF(INDIRECT("'"&amp;A5238&amp;"'!"&amp;B5238)="",FALSE,IF(TRUNC(INDIRECT("'"&amp;A5238&amp;"'!"&amp;B5238))=INDIRECT("'"&amp;A5238&amp;"'!"&amp;B5238),FALSE,TRUE))</f>
        <v>0</v>
      </c>
      <c r="E5238" t="s">
        <v>436</v>
      </c>
      <c r="F5238" t="str">
        <f>INDEX(Lists!I:I,MATCH(Validation!E5238,Lists!G:G,0))</f>
        <v>Error</v>
      </c>
      <c r="G5238" t="str">
        <f>INDEX(Lists!H:H,MATCH(Validation!E5238,Lists!G:G,0))</f>
        <v>Amount must be rounded to the nearest dollar.</v>
      </c>
      <c r="H5238" s="16" t="str">
        <f t="shared" ca="1" si="561"/>
        <v/>
      </c>
      <c r="I5238" s="16" t="str">
        <f t="shared" ca="1" si="562"/>
        <v/>
      </c>
      <c r="J5238" s="17" t="str">
        <f t="shared" ca="1" si="563"/>
        <v/>
      </c>
    </row>
    <row r="5239" spans="1:10" x14ac:dyDescent="0.25">
      <c r="A5239" t="s">
        <v>932</v>
      </c>
      <c r="B5239" t="str">
        <f>ADDRESS(ROW('Loan 1'!$B$20),COLUMN('Loan 1'!$B$20),4)</f>
        <v>B20</v>
      </c>
      <c r="C5239" t="str">
        <f>ADDRESS(ROW('Loan 1'!$D$20),COLUMN('Loan 1'!$D$20),4)</f>
        <v>D20</v>
      </c>
      <c r="D5239" t="b" cm="1">
        <f t="array" aca="1" ref="D5239" ca="1">IF(INDIRECT("'"&amp;A5239&amp;"'!"&amp;B5239)="",FALSE,IF(TRUNC(INDIRECT("'"&amp;A5239&amp;"'!"&amp;B5239))=INDIRECT("'"&amp;A5239&amp;"'!"&amp;B5239),FALSE,TRUE))</f>
        <v>0</v>
      </c>
      <c r="E5239" t="s">
        <v>436</v>
      </c>
      <c r="F5239" t="str">
        <f>INDEX(Lists!I:I,MATCH(Validation!E5239,Lists!G:G,0))</f>
        <v>Error</v>
      </c>
      <c r="G5239" t="str">
        <f>INDEX(Lists!H:H,MATCH(Validation!E5239,Lists!G:G,0))</f>
        <v>Amount must be rounded to the nearest dollar.</v>
      </c>
      <c r="H5239" s="16" t="str">
        <f t="shared" ca="1" si="561"/>
        <v/>
      </c>
      <c r="I5239" s="16" t="str">
        <f t="shared" ca="1" si="562"/>
        <v/>
      </c>
      <c r="J5239" s="17" t="str">
        <f t="shared" ca="1" si="563"/>
        <v/>
      </c>
    </row>
    <row r="5240" spans="1:10" x14ac:dyDescent="0.25">
      <c r="A5240" t="s">
        <v>933</v>
      </c>
      <c r="B5240" t="str">
        <f>ADDRESS(ROW('Loan 1'!$B$20),COLUMN('Loan 1'!$B$20),4)</f>
        <v>B20</v>
      </c>
      <c r="C5240" t="str">
        <f>ADDRESS(ROW('Loan 1'!$D$20),COLUMN('Loan 1'!$D$20),4)</f>
        <v>D20</v>
      </c>
      <c r="D5240" t="b" cm="1">
        <f t="array" aca="1" ref="D5240" ca="1">IF(INDIRECT("'"&amp;A5240&amp;"'!"&amp;B5240)="",FALSE,IF(TRUNC(INDIRECT("'"&amp;A5240&amp;"'!"&amp;B5240))=INDIRECT("'"&amp;A5240&amp;"'!"&amp;B5240),FALSE,TRUE))</f>
        <v>0</v>
      </c>
      <c r="E5240" t="s">
        <v>436</v>
      </c>
      <c r="F5240" t="str">
        <f>INDEX(Lists!I:I,MATCH(Validation!E5240,Lists!G:G,0))</f>
        <v>Error</v>
      </c>
      <c r="G5240" t="str">
        <f>INDEX(Lists!H:H,MATCH(Validation!E5240,Lists!G:G,0))</f>
        <v>Amount must be rounded to the nearest dollar.</v>
      </c>
      <c r="H5240" s="16" t="str">
        <f t="shared" ca="1" si="561"/>
        <v/>
      </c>
      <c r="I5240" s="16" t="str">
        <f t="shared" ca="1" si="562"/>
        <v/>
      </c>
      <c r="J5240" s="17" t="str">
        <f t="shared" ca="1" si="563"/>
        <v/>
      </c>
    </row>
    <row r="5241" spans="1:10" x14ac:dyDescent="0.25">
      <c r="A5241" t="s">
        <v>934</v>
      </c>
      <c r="B5241" t="str">
        <f>ADDRESS(ROW('Loan 1'!$B$20),COLUMN('Loan 1'!$B$20),4)</f>
        <v>B20</v>
      </c>
      <c r="C5241" t="str">
        <f>ADDRESS(ROW('Loan 1'!$D$20),COLUMN('Loan 1'!$D$20),4)</f>
        <v>D20</v>
      </c>
      <c r="D5241" t="b" cm="1">
        <f t="array" aca="1" ref="D5241" ca="1">IF(INDIRECT("'"&amp;A5241&amp;"'!"&amp;B5241)="",FALSE,IF(TRUNC(INDIRECT("'"&amp;A5241&amp;"'!"&amp;B5241))=INDIRECT("'"&amp;A5241&amp;"'!"&amp;B5241),FALSE,TRUE))</f>
        <v>0</v>
      </c>
      <c r="E5241" t="s">
        <v>436</v>
      </c>
      <c r="F5241" t="str">
        <f>INDEX(Lists!I:I,MATCH(Validation!E5241,Lists!G:G,0))</f>
        <v>Error</v>
      </c>
      <c r="G5241" t="str">
        <f>INDEX(Lists!H:H,MATCH(Validation!E5241,Lists!G:G,0))</f>
        <v>Amount must be rounded to the nearest dollar.</v>
      </c>
      <c r="H5241" s="16" t="str">
        <f t="shared" ca="1" si="561"/>
        <v/>
      </c>
      <c r="I5241" s="16" t="str">
        <f t="shared" ca="1" si="562"/>
        <v/>
      </c>
      <c r="J5241" s="17" t="str">
        <f t="shared" ca="1" si="563"/>
        <v/>
      </c>
    </row>
    <row r="5242" spans="1:10" x14ac:dyDescent="0.25">
      <c r="A5242" t="s">
        <v>935</v>
      </c>
      <c r="B5242" t="str">
        <f>ADDRESS(ROW('Loan 1'!$B$20),COLUMN('Loan 1'!$B$20),4)</f>
        <v>B20</v>
      </c>
      <c r="C5242" t="str">
        <f>ADDRESS(ROW('Loan 1'!$D$20),COLUMN('Loan 1'!$D$20),4)</f>
        <v>D20</v>
      </c>
      <c r="D5242" t="b" cm="1">
        <f t="array" aca="1" ref="D5242" ca="1">IF(INDIRECT("'"&amp;A5242&amp;"'!"&amp;B5242)="",FALSE,IF(TRUNC(INDIRECT("'"&amp;A5242&amp;"'!"&amp;B5242))=INDIRECT("'"&amp;A5242&amp;"'!"&amp;B5242),FALSE,TRUE))</f>
        <v>0</v>
      </c>
      <c r="E5242" t="s">
        <v>436</v>
      </c>
      <c r="F5242" t="str">
        <f>INDEX(Lists!I:I,MATCH(Validation!E5242,Lists!G:G,0))</f>
        <v>Error</v>
      </c>
      <c r="G5242" t="str">
        <f>INDEX(Lists!H:H,MATCH(Validation!E5242,Lists!G:G,0))</f>
        <v>Amount must be rounded to the nearest dollar.</v>
      </c>
      <c r="H5242" s="16" t="str">
        <f t="shared" ca="1" si="561"/>
        <v/>
      </c>
      <c r="I5242" s="16" t="str">
        <f t="shared" ca="1" si="562"/>
        <v/>
      </c>
      <c r="J5242" s="17" t="str">
        <f t="shared" ca="1" si="563"/>
        <v/>
      </c>
    </row>
    <row r="5243" spans="1:10" x14ac:dyDescent="0.25">
      <c r="A5243" t="s">
        <v>936</v>
      </c>
      <c r="B5243" t="str">
        <f>ADDRESS(ROW('Loan 1'!$B$20),COLUMN('Loan 1'!$B$20),4)</f>
        <v>B20</v>
      </c>
      <c r="C5243" t="str">
        <f>ADDRESS(ROW('Loan 1'!$D$20),COLUMN('Loan 1'!$D$20),4)</f>
        <v>D20</v>
      </c>
      <c r="D5243" t="b" cm="1">
        <f t="array" aca="1" ref="D5243" ca="1">IF(INDIRECT("'"&amp;A5243&amp;"'!"&amp;B5243)="",FALSE,IF(TRUNC(INDIRECT("'"&amp;A5243&amp;"'!"&amp;B5243))=INDIRECT("'"&amp;A5243&amp;"'!"&amp;B5243),FALSE,TRUE))</f>
        <v>0</v>
      </c>
      <c r="E5243" t="s">
        <v>436</v>
      </c>
      <c r="F5243" t="str">
        <f>INDEX(Lists!I:I,MATCH(Validation!E5243,Lists!G:G,0))</f>
        <v>Error</v>
      </c>
      <c r="G5243" t="str">
        <f>INDEX(Lists!H:H,MATCH(Validation!E5243,Lists!G:G,0))</f>
        <v>Amount must be rounded to the nearest dollar.</v>
      </c>
      <c r="H5243" s="16" t="str">
        <f t="shared" ca="1" si="561"/>
        <v/>
      </c>
      <c r="I5243" s="16" t="str">
        <f t="shared" ca="1" si="562"/>
        <v/>
      </c>
      <c r="J5243" s="17" t="str">
        <f t="shared" ca="1" si="563"/>
        <v/>
      </c>
    </row>
    <row r="5244" spans="1:10" x14ac:dyDescent="0.25">
      <c r="A5244" t="s">
        <v>937</v>
      </c>
      <c r="B5244" t="str">
        <f>ADDRESS(ROW('Loan 1'!$B$20),COLUMN('Loan 1'!$B$20),4)</f>
        <v>B20</v>
      </c>
      <c r="C5244" t="str">
        <f>ADDRESS(ROW('Loan 1'!$D$20),COLUMN('Loan 1'!$D$20),4)</f>
        <v>D20</v>
      </c>
      <c r="D5244" t="b" cm="1">
        <f t="array" aca="1" ref="D5244" ca="1">IF(INDIRECT("'"&amp;A5244&amp;"'!"&amp;B5244)="",FALSE,IF(TRUNC(INDIRECT("'"&amp;A5244&amp;"'!"&amp;B5244))=INDIRECT("'"&amp;A5244&amp;"'!"&amp;B5244),FALSE,TRUE))</f>
        <v>0</v>
      </c>
      <c r="E5244" t="s">
        <v>436</v>
      </c>
      <c r="F5244" t="str">
        <f>INDEX(Lists!I:I,MATCH(Validation!E5244,Lists!G:G,0))</f>
        <v>Error</v>
      </c>
      <c r="G5244" t="str">
        <f>INDEX(Lists!H:H,MATCH(Validation!E5244,Lists!G:G,0))</f>
        <v>Amount must be rounded to the nearest dollar.</v>
      </c>
      <c r="H5244" s="16" t="str">
        <f t="shared" ca="1" si="561"/>
        <v/>
      </c>
      <c r="I5244" s="16" t="str">
        <f t="shared" ca="1" si="562"/>
        <v/>
      </c>
      <c r="J5244" s="17" t="str">
        <f t="shared" ca="1" si="563"/>
        <v/>
      </c>
    </row>
    <row r="5245" spans="1:10" x14ac:dyDescent="0.25">
      <c r="A5245" t="s">
        <v>938</v>
      </c>
      <c r="B5245" t="str">
        <f>ADDRESS(ROW('Loan 1'!$B$20),COLUMN('Loan 1'!$B$20),4)</f>
        <v>B20</v>
      </c>
      <c r="C5245" t="str">
        <f>ADDRESS(ROW('Loan 1'!$D$20),COLUMN('Loan 1'!$D$20),4)</f>
        <v>D20</v>
      </c>
      <c r="D5245" t="b" cm="1">
        <f t="array" aca="1" ref="D5245" ca="1">IF(INDIRECT("'"&amp;A5245&amp;"'!"&amp;B5245)="",FALSE,IF(TRUNC(INDIRECT("'"&amp;A5245&amp;"'!"&amp;B5245))=INDIRECT("'"&amp;A5245&amp;"'!"&amp;B5245),FALSE,TRUE))</f>
        <v>0</v>
      </c>
      <c r="E5245" t="s">
        <v>436</v>
      </c>
      <c r="F5245" t="str">
        <f>INDEX(Lists!I:I,MATCH(Validation!E5245,Lists!G:G,0))</f>
        <v>Error</v>
      </c>
      <c r="G5245" t="str">
        <f>INDEX(Lists!H:H,MATCH(Validation!E5245,Lists!G:G,0))</f>
        <v>Amount must be rounded to the nearest dollar.</v>
      </c>
      <c r="H5245" s="16" t="str">
        <f t="shared" ca="1" si="561"/>
        <v/>
      </c>
      <c r="I5245" s="16" t="str">
        <f t="shared" ca="1" si="562"/>
        <v/>
      </c>
      <c r="J5245" s="17" t="str">
        <f t="shared" ca="1" si="563"/>
        <v/>
      </c>
    </row>
    <row r="5246" spans="1:10" x14ac:dyDescent="0.25">
      <c r="A5246" t="s">
        <v>939</v>
      </c>
      <c r="B5246" t="str">
        <f>ADDRESS(ROW('Loan 1'!$B$20),COLUMN('Loan 1'!$B$20),4)</f>
        <v>B20</v>
      </c>
      <c r="C5246" t="str">
        <f>ADDRESS(ROW('Loan 1'!$D$20),COLUMN('Loan 1'!$D$20),4)</f>
        <v>D20</v>
      </c>
      <c r="D5246" t="b" cm="1">
        <f t="array" aca="1" ref="D5246" ca="1">IF(INDIRECT("'"&amp;A5246&amp;"'!"&amp;B5246)="",FALSE,IF(TRUNC(INDIRECT("'"&amp;A5246&amp;"'!"&amp;B5246))=INDIRECT("'"&amp;A5246&amp;"'!"&amp;B5246),FALSE,TRUE))</f>
        <v>0</v>
      </c>
      <c r="E5246" t="s">
        <v>436</v>
      </c>
      <c r="F5246" t="str">
        <f>INDEX(Lists!I:I,MATCH(Validation!E5246,Lists!G:G,0))</f>
        <v>Error</v>
      </c>
      <c r="G5246" t="str">
        <f>INDEX(Lists!H:H,MATCH(Validation!E5246,Lists!G:G,0))</f>
        <v>Amount must be rounded to the nearest dollar.</v>
      </c>
      <c r="H5246" s="16" t="str">
        <f t="shared" ca="1" si="561"/>
        <v/>
      </c>
      <c r="I5246" s="16" t="str">
        <f t="shared" ca="1" si="562"/>
        <v/>
      </c>
      <c r="J5246" s="17" t="str">
        <f t="shared" ca="1" si="563"/>
        <v/>
      </c>
    </row>
    <row r="5247" spans="1:10" x14ac:dyDescent="0.25">
      <c r="A5247" t="s">
        <v>940</v>
      </c>
      <c r="B5247" t="str">
        <f>ADDRESS(ROW('Loan 1'!$B$20),COLUMN('Loan 1'!$B$20),4)</f>
        <v>B20</v>
      </c>
      <c r="C5247" t="str">
        <f>ADDRESS(ROW('Loan 1'!$D$20),COLUMN('Loan 1'!$D$20),4)</f>
        <v>D20</v>
      </c>
      <c r="D5247" t="b" cm="1">
        <f t="array" aca="1" ref="D5247" ca="1">IF(INDIRECT("'"&amp;A5247&amp;"'!"&amp;B5247)="",FALSE,IF(TRUNC(INDIRECT("'"&amp;A5247&amp;"'!"&amp;B5247))=INDIRECT("'"&amp;A5247&amp;"'!"&amp;B5247),FALSE,TRUE))</f>
        <v>0</v>
      </c>
      <c r="E5247" t="s">
        <v>436</v>
      </c>
      <c r="F5247" t="str">
        <f>INDEX(Lists!I:I,MATCH(Validation!E5247,Lists!G:G,0))</f>
        <v>Error</v>
      </c>
      <c r="G5247" t="str">
        <f>INDEX(Lists!H:H,MATCH(Validation!E5247,Lists!G:G,0))</f>
        <v>Amount must be rounded to the nearest dollar.</v>
      </c>
      <c r="H5247" s="16" t="str">
        <f t="shared" ca="1" si="561"/>
        <v/>
      </c>
      <c r="I5247" s="16" t="str">
        <f t="shared" ca="1" si="562"/>
        <v/>
      </c>
      <c r="J5247" s="17" t="str">
        <f t="shared" ca="1" si="563"/>
        <v/>
      </c>
    </row>
    <row r="5248" spans="1:10" x14ac:dyDescent="0.25">
      <c r="A5248" t="s">
        <v>941</v>
      </c>
      <c r="B5248" t="str">
        <f>ADDRESS(ROW('Loan 1'!$B$20),COLUMN('Loan 1'!$B$20),4)</f>
        <v>B20</v>
      </c>
      <c r="C5248" t="str">
        <f>ADDRESS(ROW('Loan 1'!$D$20),COLUMN('Loan 1'!$D$20),4)</f>
        <v>D20</v>
      </c>
      <c r="D5248" t="b" cm="1">
        <f t="array" aca="1" ref="D5248" ca="1">IF(INDIRECT("'"&amp;A5248&amp;"'!"&amp;B5248)="",FALSE,IF(TRUNC(INDIRECT("'"&amp;A5248&amp;"'!"&amp;B5248))=INDIRECT("'"&amp;A5248&amp;"'!"&amp;B5248),FALSE,TRUE))</f>
        <v>0</v>
      </c>
      <c r="E5248" t="s">
        <v>436</v>
      </c>
      <c r="F5248" t="str">
        <f>INDEX(Lists!I:I,MATCH(Validation!E5248,Lists!G:G,0))</f>
        <v>Error</v>
      </c>
      <c r="G5248" t="str">
        <f>INDEX(Lists!H:H,MATCH(Validation!E5248,Lists!G:G,0))</f>
        <v>Amount must be rounded to the nearest dollar.</v>
      </c>
      <c r="H5248" s="16" t="str">
        <f t="shared" ca="1" si="561"/>
        <v/>
      </c>
      <c r="I5248" s="16" t="str">
        <f t="shared" ca="1" si="562"/>
        <v/>
      </c>
      <c r="J5248" s="17" t="str">
        <f t="shared" ca="1" si="563"/>
        <v/>
      </c>
    </row>
    <row r="5249" spans="1:10" x14ac:dyDescent="0.25">
      <c r="A5249" t="s">
        <v>942</v>
      </c>
      <c r="B5249" t="str">
        <f>ADDRESS(ROW('Loan 1'!$B$20),COLUMN('Loan 1'!$B$20),4)</f>
        <v>B20</v>
      </c>
      <c r="C5249" t="str">
        <f>ADDRESS(ROW('Loan 1'!$D$20),COLUMN('Loan 1'!$D$20),4)</f>
        <v>D20</v>
      </c>
      <c r="D5249" t="b" cm="1">
        <f t="array" aca="1" ref="D5249" ca="1">IF(INDIRECT("'"&amp;A5249&amp;"'!"&amp;B5249)="",FALSE,IF(TRUNC(INDIRECT("'"&amp;A5249&amp;"'!"&amp;B5249))=INDIRECT("'"&amp;A5249&amp;"'!"&amp;B5249),FALSE,TRUE))</f>
        <v>0</v>
      </c>
      <c r="E5249" t="s">
        <v>436</v>
      </c>
      <c r="F5249" t="str">
        <f>INDEX(Lists!I:I,MATCH(Validation!E5249,Lists!G:G,0))</f>
        <v>Error</v>
      </c>
      <c r="G5249" t="str">
        <f>INDEX(Lists!H:H,MATCH(Validation!E5249,Lists!G:G,0))</f>
        <v>Amount must be rounded to the nearest dollar.</v>
      </c>
      <c r="H5249" s="16" t="str">
        <f t="shared" ca="1" si="561"/>
        <v/>
      </c>
      <c r="I5249" s="16" t="str">
        <f t="shared" ca="1" si="562"/>
        <v/>
      </c>
      <c r="J5249" s="17" t="str">
        <f t="shared" ca="1" si="563"/>
        <v/>
      </c>
    </row>
    <row r="5250" spans="1:10" x14ac:dyDescent="0.25">
      <c r="A5250" t="s">
        <v>943</v>
      </c>
      <c r="B5250" t="str">
        <f>ADDRESS(ROW('Loan 1'!$B$20),COLUMN('Loan 1'!$B$20),4)</f>
        <v>B20</v>
      </c>
      <c r="C5250" t="str">
        <f>ADDRESS(ROW('Loan 1'!$D$20),COLUMN('Loan 1'!$D$20),4)</f>
        <v>D20</v>
      </c>
      <c r="D5250" t="b" cm="1">
        <f t="array" aca="1" ref="D5250" ca="1">IF(INDIRECT("'"&amp;A5250&amp;"'!"&amp;B5250)="",FALSE,IF(TRUNC(INDIRECT("'"&amp;A5250&amp;"'!"&amp;B5250))=INDIRECT("'"&amp;A5250&amp;"'!"&amp;B5250),FALSE,TRUE))</f>
        <v>0</v>
      </c>
      <c r="E5250" t="s">
        <v>436</v>
      </c>
      <c r="F5250" t="str">
        <f>INDEX(Lists!I:I,MATCH(Validation!E5250,Lists!G:G,0))</f>
        <v>Error</v>
      </c>
      <c r="G5250" t="str">
        <f>INDEX(Lists!H:H,MATCH(Validation!E5250,Lists!G:G,0))</f>
        <v>Amount must be rounded to the nearest dollar.</v>
      </c>
      <c r="H5250" s="16" t="str">
        <f t="shared" ca="1" si="561"/>
        <v/>
      </c>
      <c r="I5250" s="16" t="str">
        <f t="shared" ca="1" si="562"/>
        <v/>
      </c>
      <c r="J5250" s="17" t="str">
        <f t="shared" ca="1" si="563"/>
        <v/>
      </c>
    </row>
    <row r="5251" spans="1:10" x14ac:dyDescent="0.25">
      <c r="A5251" t="s">
        <v>944</v>
      </c>
      <c r="B5251" t="str">
        <f>ADDRESS(ROW('Loan 1'!$B$20),COLUMN('Loan 1'!$B$20),4)</f>
        <v>B20</v>
      </c>
      <c r="C5251" t="str">
        <f>ADDRESS(ROW('Loan 1'!$D$20),COLUMN('Loan 1'!$D$20),4)</f>
        <v>D20</v>
      </c>
      <c r="D5251" t="b" cm="1">
        <f t="array" aca="1" ref="D5251" ca="1">IF(INDIRECT("'"&amp;A5251&amp;"'!"&amp;B5251)="",FALSE,IF(TRUNC(INDIRECT("'"&amp;A5251&amp;"'!"&amp;B5251))=INDIRECT("'"&amp;A5251&amp;"'!"&amp;B5251),FALSE,TRUE))</f>
        <v>0</v>
      </c>
      <c r="E5251" t="s">
        <v>436</v>
      </c>
      <c r="F5251" t="str">
        <f>INDEX(Lists!I:I,MATCH(Validation!E5251,Lists!G:G,0))</f>
        <v>Error</v>
      </c>
      <c r="G5251" t="str">
        <f>INDEX(Lists!H:H,MATCH(Validation!E5251,Lists!G:G,0))</f>
        <v>Amount must be rounded to the nearest dollar.</v>
      </c>
      <c r="H5251" s="16" t="str">
        <f t="shared" ca="1" si="561"/>
        <v/>
      </c>
      <c r="I5251" s="16" t="str">
        <f t="shared" ca="1" si="562"/>
        <v/>
      </c>
      <c r="J5251" s="17" t="str">
        <f t="shared" ca="1" si="563"/>
        <v/>
      </c>
    </row>
    <row r="5252" spans="1:10" x14ac:dyDescent="0.25">
      <c r="A5252" t="s">
        <v>945</v>
      </c>
      <c r="B5252" t="str">
        <f>ADDRESS(ROW('Loan 1'!$B$20),COLUMN('Loan 1'!$B$20),4)</f>
        <v>B20</v>
      </c>
      <c r="C5252" t="str">
        <f>ADDRESS(ROW('Loan 1'!$D$20),COLUMN('Loan 1'!$D$20),4)</f>
        <v>D20</v>
      </c>
      <c r="D5252" t="b" cm="1">
        <f t="array" aca="1" ref="D5252" ca="1">IF(INDIRECT("'"&amp;A5252&amp;"'!"&amp;B5252)="",FALSE,IF(TRUNC(INDIRECT("'"&amp;A5252&amp;"'!"&amp;B5252))=INDIRECT("'"&amp;A5252&amp;"'!"&amp;B5252),FALSE,TRUE))</f>
        <v>0</v>
      </c>
      <c r="E5252" t="s">
        <v>436</v>
      </c>
      <c r="F5252" t="str">
        <f>INDEX(Lists!I:I,MATCH(Validation!E5252,Lists!G:G,0))</f>
        <v>Error</v>
      </c>
      <c r="G5252" t="str">
        <f>INDEX(Lists!H:H,MATCH(Validation!E5252,Lists!G:G,0))</f>
        <v>Amount must be rounded to the nearest dollar.</v>
      </c>
      <c r="H5252" s="16" t="str">
        <f t="shared" ca="1" si="561"/>
        <v/>
      </c>
      <c r="I5252" s="16" t="str">
        <f t="shared" ca="1" si="562"/>
        <v/>
      </c>
      <c r="J5252" s="17" t="str">
        <f t="shared" ca="1" si="563"/>
        <v/>
      </c>
    </row>
    <row r="5253" spans="1:10" x14ac:dyDescent="0.25">
      <c r="A5253" t="s">
        <v>205</v>
      </c>
      <c r="B5253" t="str">
        <f>ADDRESS(ROW('Loan 1'!$C$20),COLUMN('Loan 1'!$C$20),4)</f>
        <v>C20</v>
      </c>
      <c r="C5253" t="str">
        <f>ADDRESS(ROW('Loan 1'!$D$20),COLUMN('Loan 1'!$D$20),4)</f>
        <v>D20</v>
      </c>
      <c r="D5253" t="b" cm="1">
        <f t="array" aca="1" ref="D5253" ca="1">IF(INDIRECT("'"&amp;A5253&amp;"'!"&amp;B5253)="",FALSE,IF(NOT(ISNUMBER(INDIRECT("'"&amp;A5253&amp;"'!"&amp;B5253))),TRUE,FALSE))</f>
        <v>0</v>
      </c>
      <c r="E5253" t="s">
        <v>435</v>
      </c>
      <c r="F5253" t="str">
        <f>INDEX(Lists!I:I,MATCH(Validation!E5253,Lists!G:G,0))</f>
        <v>Error</v>
      </c>
      <c r="G5253" t="str">
        <f>INDEX(Lists!H:H,MATCH(Validation!E5253,Lists!G:G,0))</f>
        <v>Enter an amount only. Do not enter text or spaces.</v>
      </c>
      <c r="H5253" s="16" t="str">
        <f ca="1">IFERROR(IF(OR(NOT(D5253),F5253&lt;&gt;"Error"),"",A5253&amp;CELL("address",INDIRECT(B5253))),"")</f>
        <v/>
      </c>
      <c r="I5253" s="16" t="str">
        <f ca="1">IFERROR(IF(NOT(D5253),"",A5253&amp;CELL("address",INDIRECT(C5253))),"")</f>
        <v/>
      </c>
      <c r="J5253" s="17" t="str">
        <f ca="1">IFERROR(IF(NOT(D5253),"",A5253),"")</f>
        <v/>
      </c>
    </row>
    <row r="5254" spans="1:10" x14ac:dyDescent="0.25">
      <c r="A5254" t="s">
        <v>932</v>
      </c>
      <c r="B5254" t="str">
        <f>ADDRESS(ROW('Loan 1'!$C$20),COLUMN('Loan 1'!$C$20),4)</f>
        <v>C20</v>
      </c>
      <c r="C5254" t="str">
        <f>ADDRESS(ROW('Loan 1'!$D$20),COLUMN('Loan 1'!$D$20),4)</f>
        <v>D20</v>
      </c>
      <c r="D5254" t="b" cm="1">
        <f t="array" aca="1" ref="D5254" ca="1">IF(INDIRECT("'"&amp;A5254&amp;"'!"&amp;B5254)="",FALSE,IF(NOT(ISNUMBER(INDIRECT("'"&amp;A5254&amp;"'!"&amp;B5254))),TRUE,FALSE))</f>
        <v>0</v>
      </c>
      <c r="E5254" t="s">
        <v>435</v>
      </c>
      <c r="F5254" t="str">
        <f>INDEX(Lists!I:I,MATCH(Validation!E5254,Lists!G:G,0))</f>
        <v>Error</v>
      </c>
      <c r="G5254" t="str">
        <f>INDEX(Lists!H:H,MATCH(Validation!E5254,Lists!G:G,0))</f>
        <v>Enter an amount only. Do not enter text or spaces.</v>
      </c>
      <c r="H5254" s="16" t="str">
        <f t="shared" ref="H5254:H5267" ca="1" si="564">IFERROR(IF(OR(NOT(D5254),F5254&lt;&gt;"Error"),"",A5254&amp;CELL("address",INDIRECT(B5254))),"")</f>
        <v/>
      </c>
      <c r="I5254" s="16" t="str">
        <f t="shared" ref="I5254:I5267" ca="1" si="565">IFERROR(IF(NOT(D5254),"",A5254&amp;CELL("address",INDIRECT(C5254))),"")</f>
        <v/>
      </c>
      <c r="J5254" s="17" t="str">
        <f t="shared" ref="J5254:J5267" ca="1" si="566">IFERROR(IF(NOT(D5254),"",A5254),"")</f>
        <v/>
      </c>
    </row>
    <row r="5255" spans="1:10" x14ac:dyDescent="0.25">
      <c r="A5255" t="s">
        <v>933</v>
      </c>
      <c r="B5255" t="str">
        <f>ADDRESS(ROW('Loan 1'!$C$20),COLUMN('Loan 1'!$C$20),4)</f>
        <v>C20</v>
      </c>
      <c r="C5255" t="str">
        <f>ADDRESS(ROW('Loan 1'!$D$20),COLUMN('Loan 1'!$D$20),4)</f>
        <v>D20</v>
      </c>
      <c r="D5255" t="b" cm="1">
        <f t="array" aca="1" ref="D5255" ca="1">IF(INDIRECT("'"&amp;A5255&amp;"'!"&amp;B5255)="",FALSE,IF(NOT(ISNUMBER(INDIRECT("'"&amp;A5255&amp;"'!"&amp;B5255))),TRUE,FALSE))</f>
        <v>0</v>
      </c>
      <c r="E5255" t="s">
        <v>435</v>
      </c>
      <c r="F5255" t="str">
        <f>INDEX(Lists!I:I,MATCH(Validation!E5255,Lists!G:G,0))</f>
        <v>Error</v>
      </c>
      <c r="G5255" t="str">
        <f>INDEX(Lists!H:H,MATCH(Validation!E5255,Lists!G:G,0))</f>
        <v>Enter an amount only. Do not enter text or spaces.</v>
      </c>
      <c r="H5255" s="16" t="str">
        <f t="shared" ca="1" si="564"/>
        <v/>
      </c>
      <c r="I5255" s="16" t="str">
        <f t="shared" ca="1" si="565"/>
        <v/>
      </c>
      <c r="J5255" s="17" t="str">
        <f t="shared" ca="1" si="566"/>
        <v/>
      </c>
    </row>
    <row r="5256" spans="1:10" x14ac:dyDescent="0.25">
      <c r="A5256" t="s">
        <v>934</v>
      </c>
      <c r="B5256" t="str">
        <f>ADDRESS(ROW('Loan 1'!$C$20),COLUMN('Loan 1'!$C$20),4)</f>
        <v>C20</v>
      </c>
      <c r="C5256" t="str">
        <f>ADDRESS(ROW('Loan 1'!$D$20),COLUMN('Loan 1'!$D$20),4)</f>
        <v>D20</v>
      </c>
      <c r="D5256" t="b" cm="1">
        <f t="array" aca="1" ref="D5256" ca="1">IF(INDIRECT("'"&amp;A5256&amp;"'!"&amp;B5256)="",FALSE,IF(NOT(ISNUMBER(INDIRECT("'"&amp;A5256&amp;"'!"&amp;B5256))),TRUE,FALSE))</f>
        <v>0</v>
      </c>
      <c r="E5256" t="s">
        <v>435</v>
      </c>
      <c r="F5256" t="str">
        <f>INDEX(Lists!I:I,MATCH(Validation!E5256,Lists!G:G,0))</f>
        <v>Error</v>
      </c>
      <c r="G5256" t="str">
        <f>INDEX(Lists!H:H,MATCH(Validation!E5256,Lists!G:G,0))</f>
        <v>Enter an amount only. Do not enter text or spaces.</v>
      </c>
      <c r="H5256" s="16" t="str">
        <f t="shared" ca="1" si="564"/>
        <v/>
      </c>
      <c r="I5256" s="16" t="str">
        <f t="shared" ca="1" si="565"/>
        <v/>
      </c>
      <c r="J5256" s="17" t="str">
        <f t="shared" ca="1" si="566"/>
        <v/>
      </c>
    </row>
    <row r="5257" spans="1:10" x14ac:dyDescent="0.25">
      <c r="A5257" t="s">
        <v>935</v>
      </c>
      <c r="B5257" t="str">
        <f>ADDRESS(ROW('Loan 1'!$C$20),COLUMN('Loan 1'!$C$20),4)</f>
        <v>C20</v>
      </c>
      <c r="C5257" t="str">
        <f>ADDRESS(ROW('Loan 1'!$D$20),COLUMN('Loan 1'!$D$20),4)</f>
        <v>D20</v>
      </c>
      <c r="D5257" t="b" cm="1">
        <f t="array" aca="1" ref="D5257" ca="1">IF(INDIRECT("'"&amp;A5257&amp;"'!"&amp;B5257)="",FALSE,IF(NOT(ISNUMBER(INDIRECT("'"&amp;A5257&amp;"'!"&amp;B5257))),TRUE,FALSE))</f>
        <v>0</v>
      </c>
      <c r="E5257" t="s">
        <v>435</v>
      </c>
      <c r="F5257" t="str">
        <f>INDEX(Lists!I:I,MATCH(Validation!E5257,Lists!G:G,0))</f>
        <v>Error</v>
      </c>
      <c r="G5257" t="str">
        <f>INDEX(Lists!H:H,MATCH(Validation!E5257,Lists!G:G,0))</f>
        <v>Enter an amount only. Do not enter text or spaces.</v>
      </c>
      <c r="H5257" s="16" t="str">
        <f t="shared" ca="1" si="564"/>
        <v/>
      </c>
      <c r="I5257" s="16" t="str">
        <f t="shared" ca="1" si="565"/>
        <v/>
      </c>
      <c r="J5257" s="17" t="str">
        <f t="shared" ca="1" si="566"/>
        <v/>
      </c>
    </row>
    <row r="5258" spans="1:10" x14ac:dyDescent="0.25">
      <c r="A5258" t="s">
        <v>936</v>
      </c>
      <c r="B5258" t="str">
        <f>ADDRESS(ROW('Loan 1'!$C$20),COLUMN('Loan 1'!$C$20),4)</f>
        <v>C20</v>
      </c>
      <c r="C5258" t="str">
        <f>ADDRESS(ROW('Loan 1'!$D$20),COLUMN('Loan 1'!$D$20),4)</f>
        <v>D20</v>
      </c>
      <c r="D5258" t="b" cm="1">
        <f t="array" aca="1" ref="D5258" ca="1">IF(INDIRECT("'"&amp;A5258&amp;"'!"&amp;B5258)="",FALSE,IF(NOT(ISNUMBER(INDIRECT("'"&amp;A5258&amp;"'!"&amp;B5258))),TRUE,FALSE))</f>
        <v>0</v>
      </c>
      <c r="E5258" t="s">
        <v>435</v>
      </c>
      <c r="F5258" t="str">
        <f>INDEX(Lists!I:I,MATCH(Validation!E5258,Lists!G:G,0))</f>
        <v>Error</v>
      </c>
      <c r="G5258" t="str">
        <f>INDEX(Lists!H:H,MATCH(Validation!E5258,Lists!G:G,0))</f>
        <v>Enter an amount only. Do not enter text or spaces.</v>
      </c>
      <c r="H5258" s="16" t="str">
        <f t="shared" ca="1" si="564"/>
        <v/>
      </c>
      <c r="I5258" s="16" t="str">
        <f t="shared" ca="1" si="565"/>
        <v/>
      </c>
      <c r="J5258" s="17" t="str">
        <f t="shared" ca="1" si="566"/>
        <v/>
      </c>
    </row>
    <row r="5259" spans="1:10" x14ac:dyDescent="0.25">
      <c r="A5259" t="s">
        <v>937</v>
      </c>
      <c r="B5259" t="str">
        <f>ADDRESS(ROW('Loan 1'!$C$20),COLUMN('Loan 1'!$C$20),4)</f>
        <v>C20</v>
      </c>
      <c r="C5259" t="str">
        <f>ADDRESS(ROW('Loan 1'!$D$20),COLUMN('Loan 1'!$D$20),4)</f>
        <v>D20</v>
      </c>
      <c r="D5259" t="b" cm="1">
        <f t="array" aca="1" ref="D5259" ca="1">IF(INDIRECT("'"&amp;A5259&amp;"'!"&amp;B5259)="",FALSE,IF(NOT(ISNUMBER(INDIRECT("'"&amp;A5259&amp;"'!"&amp;B5259))),TRUE,FALSE))</f>
        <v>0</v>
      </c>
      <c r="E5259" t="s">
        <v>435</v>
      </c>
      <c r="F5259" t="str">
        <f>INDEX(Lists!I:I,MATCH(Validation!E5259,Lists!G:G,0))</f>
        <v>Error</v>
      </c>
      <c r="G5259" t="str">
        <f>INDEX(Lists!H:H,MATCH(Validation!E5259,Lists!G:G,0))</f>
        <v>Enter an amount only. Do not enter text or spaces.</v>
      </c>
      <c r="H5259" s="16" t="str">
        <f t="shared" ca="1" si="564"/>
        <v/>
      </c>
      <c r="I5259" s="16" t="str">
        <f t="shared" ca="1" si="565"/>
        <v/>
      </c>
      <c r="J5259" s="17" t="str">
        <f t="shared" ca="1" si="566"/>
        <v/>
      </c>
    </row>
    <row r="5260" spans="1:10" x14ac:dyDescent="0.25">
      <c r="A5260" t="s">
        <v>938</v>
      </c>
      <c r="B5260" t="str">
        <f>ADDRESS(ROW('Loan 1'!$C$20),COLUMN('Loan 1'!$C$20),4)</f>
        <v>C20</v>
      </c>
      <c r="C5260" t="str">
        <f>ADDRESS(ROW('Loan 1'!$D$20),COLUMN('Loan 1'!$D$20),4)</f>
        <v>D20</v>
      </c>
      <c r="D5260" t="b" cm="1">
        <f t="array" aca="1" ref="D5260" ca="1">IF(INDIRECT("'"&amp;A5260&amp;"'!"&amp;B5260)="",FALSE,IF(NOT(ISNUMBER(INDIRECT("'"&amp;A5260&amp;"'!"&amp;B5260))),TRUE,FALSE))</f>
        <v>0</v>
      </c>
      <c r="E5260" t="s">
        <v>435</v>
      </c>
      <c r="F5260" t="str">
        <f>INDEX(Lists!I:I,MATCH(Validation!E5260,Lists!G:G,0))</f>
        <v>Error</v>
      </c>
      <c r="G5260" t="str">
        <f>INDEX(Lists!H:H,MATCH(Validation!E5260,Lists!G:G,0))</f>
        <v>Enter an amount only. Do not enter text or spaces.</v>
      </c>
      <c r="H5260" s="16" t="str">
        <f t="shared" ca="1" si="564"/>
        <v/>
      </c>
      <c r="I5260" s="16" t="str">
        <f t="shared" ca="1" si="565"/>
        <v/>
      </c>
      <c r="J5260" s="17" t="str">
        <f t="shared" ca="1" si="566"/>
        <v/>
      </c>
    </row>
    <row r="5261" spans="1:10" x14ac:dyDescent="0.25">
      <c r="A5261" t="s">
        <v>939</v>
      </c>
      <c r="B5261" t="str">
        <f>ADDRESS(ROW('Loan 1'!$C$20),COLUMN('Loan 1'!$C$20),4)</f>
        <v>C20</v>
      </c>
      <c r="C5261" t="str">
        <f>ADDRESS(ROW('Loan 1'!$D$20),COLUMN('Loan 1'!$D$20),4)</f>
        <v>D20</v>
      </c>
      <c r="D5261" t="b" cm="1">
        <f t="array" aca="1" ref="D5261" ca="1">IF(INDIRECT("'"&amp;A5261&amp;"'!"&amp;B5261)="",FALSE,IF(NOT(ISNUMBER(INDIRECT("'"&amp;A5261&amp;"'!"&amp;B5261))),TRUE,FALSE))</f>
        <v>0</v>
      </c>
      <c r="E5261" t="s">
        <v>435</v>
      </c>
      <c r="F5261" t="str">
        <f>INDEX(Lists!I:I,MATCH(Validation!E5261,Lists!G:G,0))</f>
        <v>Error</v>
      </c>
      <c r="G5261" t="str">
        <f>INDEX(Lists!H:H,MATCH(Validation!E5261,Lists!G:G,0))</f>
        <v>Enter an amount only. Do not enter text or spaces.</v>
      </c>
      <c r="H5261" s="16" t="str">
        <f t="shared" ca="1" si="564"/>
        <v/>
      </c>
      <c r="I5261" s="16" t="str">
        <f t="shared" ca="1" si="565"/>
        <v/>
      </c>
      <c r="J5261" s="17" t="str">
        <f t="shared" ca="1" si="566"/>
        <v/>
      </c>
    </row>
    <row r="5262" spans="1:10" x14ac:dyDescent="0.25">
      <c r="A5262" t="s">
        <v>940</v>
      </c>
      <c r="B5262" t="str">
        <f>ADDRESS(ROW('Loan 1'!$C$20),COLUMN('Loan 1'!$C$20),4)</f>
        <v>C20</v>
      </c>
      <c r="C5262" t="str">
        <f>ADDRESS(ROW('Loan 1'!$D$20),COLUMN('Loan 1'!$D$20),4)</f>
        <v>D20</v>
      </c>
      <c r="D5262" t="b" cm="1">
        <f t="array" aca="1" ref="D5262" ca="1">IF(INDIRECT("'"&amp;A5262&amp;"'!"&amp;B5262)="",FALSE,IF(NOT(ISNUMBER(INDIRECT("'"&amp;A5262&amp;"'!"&amp;B5262))),TRUE,FALSE))</f>
        <v>0</v>
      </c>
      <c r="E5262" t="s">
        <v>435</v>
      </c>
      <c r="F5262" t="str">
        <f>INDEX(Lists!I:I,MATCH(Validation!E5262,Lists!G:G,0))</f>
        <v>Error</v>
      </c>
      <c r="G5262" t="str">
        <f>INDEX(Lists!H:H,MATCH(Validation!E5262,Lists!G:G,0))</f>
        <v>Enter an amount only. Do not enter text or spaces.</v>
      </c>
      <c r="H5262" s="16" t="str">
        <f t="shared" ca="1" si="564"/>
        <v/>
      </c>
      <c r="I5262" s="16" t="str">
        <f t="shared" ca="1" si="565"/>
        <v/>
      </c>
      <c r="J5262" s="17" t="str">
        <f t="shared" ca="1" si="566"/>
        <v/>
      </c>
    </row>
    <row r="5263" spans="1:10" x14ac:dyDescent="0.25">
      <c r="A5263" t="s">
        <v>941</v>
      </c>
      <c r="B5263" t="str">
        <f>ADDRESS(ROW('Loan 1'!$C$20),COLUMN('Loan 1'!$C$20),4)</f>
        <v>C20</v>
      </c>
      <c r="C5263" t="str">
        <f>ADDRESS(ROW('Loan 1'!$D$20),COLUMN('Loan 1'!$D$20),4)</f>
        <v>D20</v>
      </c>
      <c r="D5263" t="b" cm="1">
        <f t="array" aca="1" ref="D5263" ca="1">IF(INDIRECT("'"&amp;A5263&amp;"'!"&amp;B5263)="",FALSE,IF(NOT(ISNUMBER(INDIRECT("'"&amp;A5263&amp;"'!"&amp;B5263))),TRUE,FALSE))</f>
        <v>0</v>
      </c>
      <c r="E5263" t="s">
        <v>435</v>
      </c>
      <c r="F5263" t="str">
        <f>INDEX(Lists!I:I,MATCH(Validation!E5263,Lists!G:G,0))</f>
        <v>Error</v>
      </c>
      <c r="G5263" t="str">
        <f>INDEX(Lists!H:H,MATCH(Validation!E5263,Lists!G:G,0))</f>
        <v>Enter an amount only. Do not enter text or spaces.</v>
      </c>
      <c r="H5263" s="16" t="str">
        <f t="shared" ca="1" si="564"/>
        <v/>
      </c>
      <c r="I5263" s="16" t="str">
        <f t="shared" ca="1" si="565"/>
        <v/>
      </c>
      <c r="J5263" s="17" t="str">
        <f t="shared" ca="1" si="566"/>
        <v/>
      </c>
    </row>
    <row r="5264" spans="1:10" x14ac:dyDescent="0.25">
      <c r="A5264" t="s">
        <v>942</v>
      </c>
      <c r="B5264" t="str">
        <f>ADDRESS(ROW('Loan 1'!$C$20),COLUMN('Loan 1'!$C$20),4)</f>
        <v>C20</v>
      </c>
      <c r="C5264" t="str">
        <f>ADDRESS(ROW('Loan 1'!$D$20),COLUMN('Loan 1'!$D$20),4)</f>
        <v>D20</v>
      </c>
      <c r="D5264" t="b" cm="1">
        <f t="array" aca="1" ref="D5264" ca="1">IF(INDIRECT("'"&amp;A5264&amp;"'!"&amp;B5264)="",FALSE,IF(NOT(ISNUMBER(INDIRECT("'"&amp;A5264&amp;"'!"&amp;B5264))),TRUE,FALSE))</f>
        <v>0</v>
      </c>
      <c r="E5264" t="s">
        <v>435</v>
      </c>
      <c r="F5264" t="str">
        <f>INDEX(Lists!I:I,MATCH(Validation!E5264,Lists!G:G,0))</f>
        <v>Error</v>
      </c>
      <c r="G5264" t="str">
        <f>INDEX(Lists!H:H,MATCH(Validation!E5264,Lists!G:G,0))</f>
        <v>Enter an amount only. Do not enter text or spaces.</v>
      </c>
      <c r="H5264" s="16" t="str">
        <f t="shared" ca="1" si="564"/>
        <v/>
      </c>
      <c r="I5264" s="16" t="str">
        <f t="shared" ca="1" si="565"/>
        <v/>
      </c>
      <c r="J5264" s="17" t="str">
        <f t="shared" ca="1" si="566"/>
        <v/>
      </c>
    </row>
    <row r="5265" spans="1:10" x14ac:dyDescent="0.25">
      <c r="A5265" t="s">
        <v>943</v>
      </c>
      <c r="B5265" t="str">
        <f>ADDRESS(ROW('Loan 1'!$C$20),COLUMN('Loan 1'!$C$20),4)</f>
        <v>C20</v>
      </c>
      <c r="C5265" t="str">
        <f>ADDRESS(ROW('Loan 1'!$D$20),COLUMN('Loan 1'!$D$20),4)</f>
        <v>D20</v>
      </c>
      <c r="D5265" t="b" cm="1">
        <f t="array" aca="1" ref="D5265" ca="1">IF(INDIRECT("'"&amp;A5265&amp;"'!"&amp;B5265)="",FALSE,IF(NOT(ISNUMBER(INDIRECT("'"&amp;A5265&amp;"'!"&amp;B5265))),TRUE,FALSE))</f>
        <v>0</v>
      </c>
      <c r="E5265" t="s">
        <v>435</v>
      </c>
      <c r="F5265" t="str">
        <f>INDEX(Lists!I:I,MATCH(Validation!E5265,Lists!G:G,0))</f>
        <v>Error</v>
      </c>
      <c r="G5265" t="str">
        <f>INDEX(Lists!H:H,MATCH(Validation!E5265,Lists!G:G,0))</f>
        <v>Enter an amount only. Do not enter text or spaces.</v>
      </c>
      <c r="H5265" s="16" t="str">
        <f t="shared" ca="1" si="564"/>
        <v/>
      </c>
      <c r="I5265" s="16" t="str">
        <f t="shared" ca="1" si="565"/>
        <v/>
      </c>
      <c r="J5265" s="17" t="str">
        <f t="shared" ca="1" si="566"/>
        <v/>
      </c>
    </row>
    <row r="5266" spans="1:10" x14ac:dyDescent="0.25">
      <c r="A5266" t="s">
        <v>944</v>
      </c>
      <c r="B5266" t="str">
        <f>ADDRESS(ROW('Loan 1'!$C$20),COLUMN('Loan 1'!$C$20),4)</f>
        <v>C20</v>
      </c>
      <c r="C5266" t="str">
        <f>ADDRESS(ROW('Loan 1'!$D$20),COLUMN('Loan 1'!$D$20),4)</f>
        <v>D20</v>
      </c>
      <c r="D5266" t="b" cm="1">
        <f t="array" aca="1" ref="D5266" ca="1">IF(INDIRECT("'"&amp;A5266&amp;"'!"&amp;B5266)="",FALSE,IF(NOT(ISNUMBER(INDIRECT("'"&amp;A5266&amp;"'!"&amp;B5266))),TRUE,FALSE))</f>
        <v>0</v>
      </c>
      <c r="E5266" t="s">
        <v>435</v>
      </c>
      <c r="F5266" t="str">
        <f>INDEX(Lists!I:I,MATCH(Validation!E5266,Lists!G:G,0))</f>
        <v>Error</v>
      </c>
      <c r="G5266" t="str">
        <f>INDEX(Lists!H:H,MATCH(Validation!E5266,Lists!G:G,0))</f>
        <v>Enter an amount only. Do not enter text or spaces.</v>
      </c>
      <c r="H5266" s="16" t="str">
        <f t="shared" ca="1" si="564"/>
        <v/>
      </c>
      <c r="I5266" s="16" t="str">
        <f t="shared" ca="1" si="565"/>
        <v/>
      </c>
      <c r="J5266" s="17" t="str">
        <f t="shared" ca="1" si="566"/>
        <v/>
      </c>
    </row>
    <row r="5267" spans="1:10" x14ac:dyDescent="0.25">
      <c r="A5267" t="s">
        <v>945</v>
      </c>
      <c r="B5267" t="str">
        <f>ADDRESS(ROW('Loan 1'!$C$20),COLUMN('Loan 1'!$C$20),4)</f>
        <v>C20</v>
      </c>
      <c r="C5267" t="str">
        <f>ADDRESS(ROW('Loan 1'!$D$20),COLUMN('Loan 1'!$D$20),4)</f>
        <v>D20</v>
      </c>
      <c r="D5267" t="b" cm="1">
        <f t="array" aca="1" ref="D5267" ca="1">IF(INDIRECT("'"&amp;A5267&amp;"'!"&amp;B5267)="",FALSE,IF(NOT(ISNUMBER(INDIRECT("'"&amp;A5267&amp;"'!"&amp;B5267))),TRUE,FALSE))</f>
        <v>0</v>
      </c>
      <c r="E5267" t="s">
        <v>435</v>
      </c>
      <c r="F5267" t="str">
        <f>INDEX(Lists!I:I,MATCH(Validation!E5267,Lists!G:G,0))</f>
        <v>Error</v>
      </c>
      <c r="G5267" t="str">
        <f>INDEX(Lists!H:H,MATCH(Validation!E5267,Lists!G:G,0))</f>
        <v>Enter an amount only. Do not enter text or spaces.</v>
      </c>
      <c r="H5267" s="16" t="str">
        <f t="shared" ca="1" si="564"/>
        <v/>
      </c>
      <c r="I5267" s="16" t="str">
        <f t="shared" ca="1" si="565"/>
        <v/>
      </c>
      <c r="J5267" s="17" t="str">
        <f t="shared" ca="1" si="566"/>
        <v/>
      </c>
    </row>
    <row r="5268" spans="1:10" x14ac:dyDescent="0.25">
      <c r="A5268" t="s">
        <v>205</v>
      </c>
      <c r="B5268" t="str">
        <f>ADDRESS(ROW('Loan 1'!$C$20),COLUMN('Loan 1'!$C$20),4)</f>
        <v>C20</v>
      </c>
      <c r="C5268" t="str">
        <f>ADDRESS(ROW('Loan 1'!$D$20),COLUMN('Loan 1'!$D$20),4)</f>
        <v>D20</v>
      </c>
      <c r="D5268" t="b" cm="1">
        <f t="array" aca="1" ref="D5268" ca="1">IF(INDIRECT("'"&amp;A5268&amp;"'!"&amp;B5268)="",FALSE,IF(INDIRECT("'"&amp;A5268&amp;"'!"&amp;B5268)&lt;0,TRUE,FALSE))</f>
        <v>0</v>
      </c>
      <c r="E5268" t="s">
        <v>434</v>
      </c>
      <c r="F5268" t="str">
        <f>INDEX(Lists!I:I,MATCH(Validation!E5268,Lists!G:G,0))</f>
        <v>Error</v>
      </c>
      <c r="G5268" t="str">
        <f>INDEX(Lists!H:H,MATCH(Validation!E5268,Lists!G:G,0))</f>
        <v>Amount may not be negative. Enter an amount greater than or equal to zero.</v>
      </c>
      <c r="H5268" s="16" t="str">
        <f ca="1">IFERROR(IF(OR(NOT(D5268),F5268&lt;&gt;"Error"),"",A5268&amp;CELL("address",INDIRECT(B5268))),"")</f>
        <v/>
      </c>
      <c r="I5268" s="16" t="str">
        <f ca="1">IFERROR(IF(NOT(D5268),"",A5268&amp;CELL("address",INDIRECT(C5268))),"")</f>
        <v/>
      </c>
      <c r="J5268" s="17" t="str">
        <f ca="1">IFERROR(IF(NOT(D5268),"",A5268),"")</f>
        <v/>
      </c>
    </row>
    <row r="5269" spans="1:10" x14ac:dyDescent="0.25">
      <c r="A5269" t="s">
        <v>932</v>
      </c>
      <c r="B5269" t="str">
        <f>ADDRESS(ROW('Loan 1'!$C$20),COLUMN('Loan 1'!$C$20),4)</f>
        <v>C20</v>
      </c>
      <c r="C5269" t="str">
        <f>ADDRESS(ROW('Loan 1'!$D$20),COLUMN('Loan 1'!$D$20),4)</f>
        <v>D20</v>
      </c>
      <c r="D5269" t="b" cm="1">
        <f t="array" aca="1" ref="D5269" ca="1">IF(INDIRECT("'"&amp;A5269&amp;"'!"&amp;B5269)="",FALSE,IF(INDIRECT("'"&amp;A5269&amp;"'!"&amp;B5269)&lt;0,TRUE,FALSE))</f>
        <v>0</v>
      </c>
      <c r="E5269" t="s">
        <v>434</v>
      </c>
      <c r="F5269" t="str">
        <f>INDEX(Lists!I:I,MATCH(Validation!E5269,Lists!G:G,0))</f>
        <v>Error</v>
      </c>
      <c r="G5269" t="str">
        <f>INDEX(Lists!H:H,MATCH(Validation!E5269,Lists!G:G,0))</f>
        <v>Amount may not be negative. Enter an amount greater than or equal to zero.</v>
      </c>
      <c r="H5269" s="16" t="str">
        <f t="shared" ref="H5269:H5297" ca="1" si="567">IFERROR(IF(OR(NOT(D5269),F5269&lt;&gt;"Error"),"",A5269&amp;CELL("address",INDIRECT(B5269))),"")</f>
        <v/>
      </c>
      <c r="I5269" s="16" t="str">
        <f t="shared" ref="I5269:I5297" ca="1" si="568">IFERROR(IF(NOT(D5269),"",A5269&amp;CELL("address",INDIRECT(C5269))),"")</f>
        <v/>
      </c>
      <c r="J5269" s="17" t="str">
        <f t="shared" ref="J5269:J5297" ca="1" si="569">IFERROR(IF(NOT(D5269),"",A5269),"")</f>
        <v/>
      </c>
    </row>
    <row r="5270" spans="1:10" x14ac:dyDescent="0.25">
      <c r="A5270" t="s">
        <v>933</v>
      </c>
      <c r="B5270" t="str">
        <f>ADDRESS(ROW('Loan 1'!$C$20),COLUMN('Loan 1'!$C$20),4)</f>
        <v>C20</v>
      </c>
      <c r="C5270" t="str">
        <f>ADDRESS(ROW('Loan 1'!$D$20),COLUMN('Loan 1'!$D$20),4)</f>
        <v>D20</v>
      </c>
      <c r="D5270" t="b" cm="1">
        <f t="array" aca="1" ref="D5270" ca="1">IF(INDIRECT("'"&amp;A5270&amp;"'!"&amp;B5270)="",FALSE,IF(INDIRECT("'"&amp;A5270&amp;"'!"&amp;B5270)&lt;0,TRUE,FALSE))</f>
        <v>0</v>
      </c>
      <c r="E5270" t="s">
        <v>434</v>
      </c>
      <c r="F5270" t="str">
        <f>INDEX(Lists!I:I,MATCH(Validation!E5270,Lists!G:G,0))</f>
        <v>Error</v>
      </c>
      <c r="G5270" t="str">
        <f>INDEX(Lists!H:H,MATCH(Validation!E5270,Lists!G:G,0))</f>
        <v>Amount may not be negative. Enter an amount greater than or equal to zero.</v>
      </c>
      <c r="H5270" s="16" t="str">
        <f t="shared" ca="1" si="567"/>
        <v/>
      </c>
      <c r="I5270" s="16" t="str">
        <f t="shared" ca="1" si="568"/>
        <v/>
      </c>
      <c r="J5270" s="17" t="str">
        <f t="shared" ca="1" si="569"/>
        <v/>
      </c>
    </row>
    <row r="5271" spans="1:10" x14ac:dyDescent="0.25">
      <c r="A5271" t="s">
        <v>934</v>
      </c>
      <c r="B5271" t="str">
        <f>ADDRESS(ROW('Loan 1'!$C$20),COLUMN('Loan 1'!$C$20),4)</f>
        <v>C20</v>
      </c>
      <c r="C5271" t="str">
        <f>ADDRESS(ROW('Loan 1'!$D$20),COLUMN('Loan 1'!$D$20),4)</f>
        <v>D20</v>
      </c>
      <c r="D5271" t="b" cm="1">
        <f t="array" aca="1" ref="D5271" ca="1">IF(INDIRECT("'"&amp;A5271&amp;"'!"&amp;B5271)="",FALSE,IF(INDIRECT("'"&amp;A5271&amp;"'!"&amp;B5271)&lt;0,TRUE,FALSE))</f>
        <v>0</v>
      </c>
      <c r="E5271" t="s">
        <v>434</v>
      </c>
      <c r="F5271" t="str">
        <f>INDEX(Lists!I:I,MATCH(Validation!E5271,Lists!G:G,0))</f>
        <v>Error</v>
      </c>
      <c r="G5271" t="str">
        <f>INDEX(Lists!H:H,MATCH(Validation!E5271,Lists!G:G,0))</f>
        <v>Amount may not be negative. Enter an amount greater than or equal to zero.</v>
      </c>
      <c r="H5271" s="16" t="str">
        <f t="shared" ca="1" si="567"/>
        <v/>
      </c>
      <c r="I5271" s="16" t="str">
        <f t="shared" ca="1" si="568"/>
        <v/>
      </c>
      <c r="J5271" s="17" t="str">
        <f t="shared" ca="1" si="569"/>
        <v/>
      </c>
    </row>
    <row r="5272" spans="1:10" x14ac:dyDescent="0.25">
      <c r="A5272" t="s">
        <v>935</v>
      </c>
      <c r="B5272" t="str">
        <f>ADDRESS(ROW('Loan 1'!$C$20),COLUMN('Loan 1'!$C$20),4)</f>
        <v>C20</v>
      </c>
      <c r="C5272" t="str">
        <f>ADDRESS(ROW('Loan 1'!$D$20),COLUMN('Loan 1'!$D$20),4)</f>
        <v>D20</v>
      </c>
      <c r="D5272" t="b" cm="1">
        <f t="array" aca="1" ref="D5272" ca="1">IF(INDIRECT("'"&amp;A5272&amp;"'!"&amp;B5272)="",FALSE,IF(INDIRECT("'"&amp;A5272&amp;"'!"&amp;B5272)&lt;0,TRUE,FALSE))</f>
        <v>0</v>
      </c>
      <c r="E5272" t="s">
        <v>434</v>
      </c>
      <c r="F5272" t="str">
        <f>INDEX(Lists!I:I,MATCH(Validation!E5272,Lists!G:G,0))</f>
        <v>Error</v>
      </c>
      <c r="G5272" t="str">
        <f>INDEX(Lists!H:H,MATCH(Validation!E5272,Lists!G:G,0))</f>
        <v>Amount may not be negative. Enter an amount greater than or equal to zero.</v>
      </c>
      <c r="H5272" s="16" t="str">
        <f t="shared" ca="1" si="567"/>
        <v/>
      </c>
      <c r="I5272" s="16" t="str">
        <f t="shared" ca="1" si="568"/>
        <v/>
      </c>
      <c r="J5272" s="17" t="str">
        <f t="shared" ca="1" si="569"/>
        <v/>
      </c>
    </row>
    <row r="5273" spans="1:10" x14ac:dyDescent="0.25">
      <c r="A5273" t="s">
        <v>936</v>
      </c>
      <c r="B5273" t="str">
        <f>ADDRESS(ROW('Loan 1'!$C$20),COLUMN('Loan 1'!$C$20),4)</f>
        <v>C20</v>
      </c>
      <c r="C5273" t="str">
        <f>ADDRESS(ROW('Loan 1'!$D$20),COLUMN('Loan 1'!$D$20),4)</f>
        <v>D20</v>
      </c>
      <c r="D5273" t="b" cm="1">
        <f t="array" aca="1" ref="D5273" ca="1">IF(INDIRECT("'"&amp;A5273&amp;"'!"&amp;B5273)="",FALSE,IF(INDIRECT("'"&amp;A5273&amp;"'!"&amp;B5273)&lt;0,TRUE,FALSE))</f>
        <v>0</v>
      </c>
      <c r="E5273" t="s">
        <v>434</v>
      </c>
      <c r="F5273" t="str">
        <f>INDEX(Lists!I:I,MATCH(Validation!E5273,Lists!G:G,0))</f>
        <v>Error</v>
      </c>
      <c r="G5273" t="str">
        <f>INDEX(Lists!H:H,MATCH(Validation!E5273,Lists!G:G,0))</f>
        <v>Amount may not be negative. Enter an amount greater than or equal to zero.</v>
      </c>
      <c r="H5273" s="16" t="str">
        <f t="shared" ca="1" si="567"/>
        <v/>
      </c>
      <c r="I5273" s="16" t="str">
        <f t="shared" ca="1" si="568"/>
        <v/>
      </c>
      <c r="J5273" s="17" t="str">
        <f t="shared" ca="1" si="569"/>
        <v/>
      </c>
    </row>
    <row r="5274" spans="1:10" x14ac:dyDescent="0.25">
      <c r="A5274" t="s">
        <v>937</v>
      </c>
      <c r="B5274" t="str">
        <f>ADDRESS(ROW('Loan 1'!$C$20),COLUMN('Loan 1'!$C$20),4)</f>
        <v>C20</v>
      </c>
      <c r="C5274" t="str">
        <f>ADDRESS(ROW('Loan 1'!$D$20),COLUMN('Loan 1'!$D$20),4)</f>
        <v>D20</v>
      </c>
      <c r="D5274" t="b" cm="1">
        <f t="array" aca="1" ref="D5274" ca="1">IF(INDIRECT("'"&amp;A5274&amp;"'!"&amp;B5274)="",FALSE,IF(INDIRECT("'"&amp;A5274&amp;"'!"&amp;B5274)&lt;0,TRUE,FALSE))</f>
        <v>0</v>
      </c>
      <c r="E5274" t="s">
        <v>434</v>
      </c>
      <c r="F5274" t="str">
        <f>INDEX(Lists!I:I,MATCH(Validation!E5274,Lists!G:G,0))</f>
        <v>Error</v>
      </c>
      <c r="G5274" t="str">
        <f>INDEX(Lists!H:H,MATCH(Validation!E5274,Lists!G:G,0))</f>
        <v>Amount may not be negative. Enter an amount greater than or equal to zero.</v>
      </c>
      <c r="H5274" s="16" t="str">
        <f t="shared" ca="1" si="567"/>
        <v/>
      </c>
      <c r="I5274" s="16" t="str">
        <f t="shared" ca="1" si="568"/>
        <v/>
      </c>
      <c r="J5274" s="17" t="str">
        <f t="shared" ca="1" si="569"/>
        <v/>
      </c>
    </row>
    <row r="5275" spans="1:10" x14ac:dyDescent="0.25">
      <c r="A5275" t="s">
        <v>938</v>
      </c>
      <c r="B5275" t="str">
        <f>ADDRESS(ROW('Loan 1'!$C$20),COLUMN('Loan 1'!$C$20),4)</f>
        <v>C20</v>
      </c>
      <c r="C5275" t="str">
        <f>ADDRESS(ROW('Loan 1'!$D$20),COLUMN('Loan 1'!$D$20),4)</f>
        <v>D20</v>
      </c>
      <c r="D5275" t="b" cm="1">
        <f t="array" aca="1" ref="D5275" ca="1">IF(INDIRECT("'"&amp;A5275&amp;"'!"&amp;B5275)="",FALSE,IF(INDIRECT("'"&amp;A5275&amp;"'!"&amp;B5275)&lt;0,TRUE,FALSE))</f>
        <v>0</v>
      </c>
      <c r="E5275" t="s">
        <v>434</v>
      </c>
      <c r="F5275" t="str">
        <f>INDEX(Lists!I:I,MATCH(Validation!E5275,Lists!G:G,0))</f>
        <v>Error</v>
      </c>
      <c r="G5275" t="str">
        <f>INDEX(Lists!H:H,MATCH(Validation!E5275,Lists!G:G,0))</f>
        <v>Amount may not be negative. Enter an amount greater than or equal to zero.</v>
      </c>
      <c r="H5275" s="16" t="str">
        <f t="shared" ca="1" si="567"/>
        <v/>
      </c>
      <c r="I5275" s="16" t="str">
        <f t="shared" ca="1" si="568"/>
        <v/>
      </c>
      <c r="J5275" s="17" t="str">
        <f t="shared" ca="1" si="569"/>
        <v/>
      </c>
    </row>
    <row r="5276" spans="1:10" x14ac:dyDescent="0.25">
      <c r="A5276" t="s">
        <v>939</v>
      </c>
      <c r="B5276" t="str">
        <f>ADDRESS(ROW('Loan 1'!$C$20),COLUMN('Loan 1'!$C$20),4)</f>
        <v>C20</v>
      </c>
      <c r="C5276" t="str">
        <f>ADDRESS(ROW('Loan 1'!$D$20),COLUMN('Loan 1'!$D$20),4)</f>
        <v>D20</v>
      </c>
      <c r="D5276" t="b" cm="1">
        <f t="array" aca="1" ref="D5276" ca="1">IF(INDIRECT("'"&amp;A5276&amp;"'!"&amp;B5276)="",FALSE,IF(INDIRECT("'"&amp;A5276&amp;"'!"&amp;B5276)&lt;0,TRUE,FALSE))</f>
        <v>0</v>
      </c>
      <c r="E5276" t="s">
        <v>434</v>
      </c>
      <c r="F5276" t="str">
        <f>INDEX(Lists!I:I,MATCH(Validation!E5276,Lists!G:G,0))</f>
        <v>Error</v>
      </c>
      <c r="G5276" t="str">
        <f>INDEX(Lists!H:H,MATCH(Validation!E5276,Lists!G:G,0))</f>
        <v>Amount may not be negative. Enter an amount greater than or equal to zero.</v>
      </c>
      <c r="H5276" s="16" t="str">
        <f t="shared" ca="1" si="567"/>
        <v/>
      </c>
      <c r="I5276" s="16" t="str">
        <f t="shared" ca="1" si="568"/>
        <v/>
      </c>
      <c r="J5276" s="17" t="str">
        <f t="shared" ca="1" si="569"/>
        <v/>
      </c>
    </row>
    <row r="5277" spans="1:10" x14ac:dyDescent="0.25">
      <c r="A5277" t="s">
        <v>940</v>
      </c>
      <c r="B5277" t="str">
        <f>ADDRESS(ROW('Loan 1'!$C$20),COLUMN('Loan 1'!$C$20),4)</f>
        <v>C20</v>
      </c>
      <c r="C5277" t="str">
        <f>ADDRESS(ROW('Loan 1'!$D$20),COLUMN('Loan 1'!$D$20),4)</f>
        <v>D20</v>
      </c>
      <c r="D5277" t="b" cm="1">
        <f t="array" aca="1" ref="D5277" ca="1">IF(INDIRECT("'"&amp;A5277&amp;"'!"&amp;B5277)="",FALSE,IF(INDIRECT("'"&amp;A5277&amp;"'!"&amp;B5277)&lt;0,TRUE,FALSE))</f>
        <v>0</v>
      </c>
      <c r="E5277" t="s">
        <v>434</v>
      </c>
      <c r="F5277" t="str">
        <f>INDEX(Lists!I:I,MATCH(Validation!E5277,Lists!G:G,0))</f>
        <v>Error</v>
      </c>
      <c r="G5277" t="str">
        <f>INDEX(Lists!H:H,MATCH(Validation!E5277,Lists!G:G,0))</f>
        <v>Amount may not be negative. Enter an amount greater than or equal to zero.</v>
      </c>
      <c r="H5277" s="16" t="str">
        <f t="shared" ca="1" si="567"/>
        <v/>
      </c>
      <c r="I5277" s="16" t="str">
        <f t="shared" ca="1" si="568"/>
        <v/>
      </c>
      <c r="J5277" s="17" t="str">
        <f t="shared" ca="1" si="569"/>
        <v/>
      </c>
    </row>
    <row r="5278" spans="1:10" x14ac:dyDescent="0.25">
      <c r="A5278" t="s">
        <v>941</v>
      </c>
      <c r="B5278" t="str">
        <f>ADDRESS(ROW('Loan 1'!$C$20),COLUMN('Loan 1'!$C$20),4)</f>
        <v>C20</v>
      </c>
      <c r="C5278" t="str">
        <f>ADDRESS(ROW('Loan 1'!$D$20),COLUMN('Loan 1'!$D$20),4)</f>
        <v>D20</v>
      </c>
      <c r="D5278" t="b" cm="1">
        <f t="array" aca="1" ref="D5278" ca="1">IF(INDIRECT("'"&amp;A5278&amp;"'!"&amp;B5278)="",FALSE,IF(INDIRECT("'"&amp;A5278&amp;"'!"&amp;B5278)&lt;0,TRUE,FALSE))</f>
        <v>0</v>
      </c>
      <c r="E5278" t="s">
        <v>434</v>
      </c>
      <c r="F5278" t="str">
        <f>INDEX(Lists!I:I,MATCH(Validation!E5278,Lists!G:G,0))</f>
        <v>Error</v>
      </c>
      <c r="G5278" t="str">
        <f>INDEX(Lists!H:H,MATCH(Validation!E5278,Lists!G:G,0))</f>
        <v>Amount may not be negative. Enter an amount greater than or equal to zero.</v>
      </c>
      <c r="H5278" s="16" t="str">
        <f t="shared" ca="1" si="567"/>
        <v/>
      </c>
      <c r="I5278" s="16" t="str">
        <f t="shared" ca="1" si="568"/>
        <v/>
      </c>
      <c r="J5278" s="17" t="str">
        <f t="shared" ca="1" si="569"/>
        <v/>
      </c>
    </row>
    <row r="5279" spans="1:10" x14ac:dyDescent="0.25">
      <c r="A5279" t="s">
        <v>942</v>
      </c>
      <c r="B5279" t="str">
        <f>ADDRESS(ROW('Loan 1'!$C$20),COLUMN('Loan 1'!$C$20),4)</f>
        <v>C20</v>
      </c>
      <c r="C5279" t="str">
        <f>ADDRESS(ROW('Loan 1'!$D$20),COLUMN('Loan 1'!$D$20),4)</f>
        <v>D20</v>
      </c>
      <c r="D5279" t="b" cm="1">
        <f t="array" aca="1" ref="D5279" ca="1">IF(INDIRECT("'"&amp;A5279&amp;"'!"&amp;B5279)="",FALSE,IF(INDIRECT("'"&amp;A5279&amp;"'!"&amp;B5279)&lt;0,TRUE,FALSE))</f>
        <v>0</v>
      </c>
      <c r="E5279" t="s">
        <v>434</v>
      </c>
      <c r="F5279" t="str">
        <f>INDEX(Lists!I:I,MATCH(Validation!E5279,Lists!G:G,0))</f>
        <v>Error</v>
      </c>
      <c r="G5279" t="str">
        <f>INDEX(Lists!H:H,MATCH(Validation!E5279,Lists!G:G,0))</f>
        <v>Amount may not be negative. Enter an amount greater than or equal to zero.</v>
      </c>
      <c r="H5279" s="16" t="str">
        <f t="shared" ca="1" si="567"/>
        <v/>
      </c>
      <c r="I5279" s="16" t="str">
        <f t="shared" ca="1" si="568"/>
        <v/>
      </c>
      <c r="J5279" s="17" t="str">
        <f t="shared" ca="1" si="569"/>
        <v/>
      </c>
    </row>
    <row r="5280" spans="1:10" x14ac:dyDescent="0.25">
      <c r="A5280" t="s">
        <v>943</v>
      </c>
      <c r="B5280" t="str">
        <f>ADDRESS(ROW('Loan 1'!$C$20),COLUMN('Loan 1'!$C$20),4)</f>
        <v>C20</v>
      </c>
      <c r="C5280" t="str">
        <f>ADDRESS(ROW('Loan 1'!$D$20),COLUMN('Loan 1'!$D$20),4)</f>
        <v>D20</v>
      </c>
      <c r="D5280" t="b" cm="1">
        <f t="array" aca="1" ref="D5280" ca="1">IF(INDIRECT("'"&amp;A5280&amp;"'!"&amp;B5280)="",FALSE,IF(INDIRECT("'"&amp;A5280&amp;"'!"&amp;B5280)&lt;0,TRUE,FALSE))</f>
        <v>0</v>
      </c>
      <c r="E5280" t="s">
        <v>434</v>
      </c>
      <c r="F5280" t="str">
        <f>INDEX(Lists!I:I,MATCH(Validation!E5280,Lists!G:G,0))</f>
        <v>Error</v>
      </c>
      <c r="G5280" t="str">
        <f>INDEX(Lists!H:H,MATCH(Validation!E5280,Lists!G:G,0))</f>
        <v>Amount may not be negative. Enter an amount greater than or equal to zero.</v>
      </c>
      <c r="H5280" s="16" t="str">
        <f t="shared" ca="1" si="567"/>
        <v/>
      </c>
      <c r="I5280" s="16" t="str">
        <f t="shared" ca="1" si="568"/>
        <v/>
      </c>
      <c r="J5280" s="17" t="str">
        <f t="shared" ca="1" si="569"/>
        <v/>
      </c>
    </row>
    <row r="5281" spans="1:10" x14ac:dyDescent="0.25">
      <c r="A5281" t="s">
        <v>944</v>
      </c>
      <c r="B5281" t="str">
        <f>ADDRESS(ROW('Loan 1'!$C$20),COLUMN('Loan 1'!$C$20),4)</f>
        <v>C20</v>
      </c>
      <c r="C5281" t="str">
        <f>ADDRESS(ROW('Loan 1'!$D$20),COLUMN('Loan 1'!$D$20),4)</f>
        <v>D20</v>
      </c>
      <c r="D5281" t="b" cm="1">
        <f t="array" aca="1" ref="D5281" ca="1">IF(INDIRECT("'"&amp;A5281&amp;"'!"&amp;B5281)="",FALSE,IF(INDIRECT("'"&amp;A5281&amp;"'!"&amp;B5281)&lt;0,TRUE,FALSE))</f>
        <v>0</v>
      </c>
      <c r="E5281" t="s">
        <v>434</v>
      </c>
      <c r="F5281" t="str">
        <f>INDEX(Lists!I:I,MATCH(Validation!E5281,Lists!G:G,0))</f>
        <v>Error</v>
      </c>
      <c r="G5281" t="str">
        <f>INDEX(Lists!H:H,MATCH(Validation!E5281,Lists!G:G,0))</f>
        <v>Amount may not be negative. Enter an amount greater than or equal to zero.</v>
      </c>
      <c r="H5281" s="16" t="str">
        <f t="shared" ca="1" si="567"/>
        <v/>
      </c>
      <c r="I5281" s="16" t="str">
        <f t="shared" ca="1" si="568"/>
        <v/>
      </c>
      <c r="J5281" s="17" t="str">
        <f t="shared" ca="1" si="569"/>
        <v/>
      </c>
    </row>
    <row r="5282" spans="1:10" x14ac:dyDescent="0.25">
      <c r="A5282" t="s">
        <v>945</v>
      </c>
      <c r="B5282" t="str">
        <f>ADDRESS(ROW('Loan 1'!$C$20),COLUMN('Loan 1'!$C$20),4)</f>
        <v>C20</v>
      </c>
      <c r="C5282" t="str">
        <f>ADDRESS(ROW('Loan 1'!$D$20),COLUMN('Loan 1'!$D$20),4)</f>
        <v>D20</v>
      </c>
      <c r="D5282" t="b" cm="1">
        <f t="array" aca="1" ref="D5282" ca="1">IF(INDIRECT("'"&amp;A5282&amp;"'!"&amp;B5282)="",FALSE,IF(INDIRECT("'"&amp;A5282&amp;"'!"&amp;B5282)&lt;0,TRUE,FALSE))</f>
        <v>0</v>
      </c>
      <c r="E5282" t="s">
        <v>434</v>
      </c>
      <c r="F5282" t="str">
        <f>INDEX(Lists!I:I,MATCH(Validation!E5282,Lists!G:G,0))</f>
        <v>Error</v>
      </c>
      <c r="G5282" t="str">
        <f>INDEX(Lists!H:H,MATCH(Validation!E5282,Lists!G:G,0))</f>
        <v>Amount may not be negative. Enter an amount greater than or equal to zero.</v>
      </c>
      <c r="H5282" s="16" t="str">
        <f t="shared" ca="1" si="567"/>
        <v/>
      </c>
      <c r="I5282" s="16" t="str">
        <f t="shared" ca="1" si="568"/>
        <v/>
      </c>
      <c r="J5282" s="17" t="str">
        <f t="shared" ca="1" si="569"/>
        <v/>
      </c>
    </row>
    <row r="5283" spans="1:10" x14ac:dyDescent="0.25">
      <c r="A5283" t="s">
        <v>205</v>
      </c>
      <c r="B5283" t="str">
        <f>ADDRESS(ROW('Loan 1'!$C$20),COLUMN('Loan 1'!$C$20),4)</f>
        <v>C20</v>
      </c>
      <c r="C5283" t="str">
        <f>ADDRESS(ROW('Loan 1'!$D$20),COLUMN('Loan 1'!$D$20),4)</f>
        <v>D20</v>
      </c>
      <c r="D5283" t="b" cm="1">
        <f t="array" aca="1" ref="D5283" ca="1">IF(INDIRECT("'"&amp;A5283&amp;"'!"&amp;B5283)="",FALSE,IF(TRUNC(INDIRECT("'"&amp;A5283&amp;"'!"&amp;B5283))=INDIRECT("'"&amp;A5283&amp;"'!"&amp;B5283),FALSE,TRUE))</f>
        <v>0</v>
      </c>
      <c r="E5283" t="s">
        <v>436</v>
      </c>
      <c r="F5283" t="str">
        <f>INDEX(Lists!I:I,MATCH(Validation!E5283,Lists!G:G,0))</f>
        <v>Error</v>
      </c>
      <c r="G5283" t="str">
        <f>INDEX(Lists!H:H,MATCH(Validation!E5283,Lists!G:G,0))</f>
        <v>Amount must be rounded to the nearest dollar.</v>
      </c>
      <c r="H5283" s="16" t="str">
        <f t="shared" ca="1" si="567"/>
        <v/>
      </c>
      <c r="I5283" s="16" t="str">
        <f t="shared" ca="1" si="568"/>
        <v/>
      </c>
      <c r="J5283" s="17" t="str">
        <f t="shared" ca="1" si="569"/>
        <v/>
      </c>
    </row>
    <row r="5284" spans="1:10" x14ac:dyDescent="0.25">
      <c r="A5284" t="s">
        <v>932</v>
      </c>
      <c r="B5284" t="str">
        <f>ADDRESS(ROW('Loan 1'!$C$20),COLUMN('Loan 1'!$C$20),4)</f>
        <v>C20</v>
      </c>
      <c r="C5284" t="str">
        <f>ADDRESS(ROW('Loan 1'!$D$20),COLUMN('Loan 1'!$D$20),4)</f>
        <v>D20</v>
      </c>
      <c r="D5284" t="b" cm="1">
        <f t="array" aca="1" ref="D5284" ca="1">IF(INDIRECT("'"&amp;A5284&amp;"'!"&amp;B5284)="",FALSE,IF(TRUNC(INDIRECT("'"&amp;A5284&amp;"'!"&amp;B5284))=INDIRECT("'"&amp;A5284&amp;"'!"&amp;B5284),FALSE,TRUE))</f>
        <v>0</v>
      </c>
      <c r="E5284" t="s">
        <v>436</v>
      </c>
      <c r="F5284" t="str">
        <f>INDEX(Lists!I:I,MATCH(Validation!E5284,Lists!G:G,0))</f>
        <v>Error</v>
      </c>
      <c r="G5284" t="str">
        <f>INDEX(Lists!H:H,MATCH(Validation!E5284,Lists!G:G,0))</f>
        <v>Amount must be rounded to the nearest dollar.</v>
      </c>
      <c r="H5284" s="16" t="str">
        <f t="shared" ca="1" si="567"/>
        <v/>
      </c>
      <c r="I5284" s="16" t="str">
        <f t="shared" ca="1" si="568"/>
        <v/>
      </c>
      <c r="J5284" s="17" t="str">
        <f t="shared" ca="1" si="569"/>
        <v/>
      </c>
    </row>
    <row r="5285" spans="1:10" x14ac:dyDescent="0.25">
      <c r="A5285" t="s">
        <v>933</v>
      </c>
      <c r="B5285" t="str">
        <f>ADDRESS(ROW('Loan 1'!$C$20),COLUMN('Loan 1'!$C$20),4)</f>
        <v>C20</v>
      </c>
      <c r="C5285" t="str">
        <f>ADDRESS(ROW('Loan 1'!$D$20),COLUMN('Loan 1'!$D$20),4)</f>
        <v>D20</v>
      </c>
      <c r="D5285" t="b" cm="1">
        <f t="array" aca="1" ref="D5285" ca="1">IF(INDIRECT("'"&amp;A5285&amp;"'!"&amp;B5285)="",FALSE,IF(TRUNC(INDIRECT("'"&amp;A5285&amp;"'!"&amp;B5285))=INDIRECT("'"&amp;A5285&amp;"'!"&amp;B5285),FALSE,TRUE))</f>
        <v>0</v>
      </c>
      <c r="E5285" t="s">
        <v>436</v>
      </c>
      <c r="F5285" t="str">
        <f>INDEX(Lists!I:I,MATCH(Validation!E5285,Lists!G:G,0))</f>
        <v>Error</v>
      </c>
      <c r="G5285" t="str">
        <f>INDEX(Lists!H:H,MATCH(Validation!E5285,Lists!G:G,0))</f>
        <v>Amount must be rounded to the nearest dollar.</v>
      </c>
      <c r="H5285" s="16" t="str">
        <f t="shared" ca="1" si="567"/>
        <v/>
      </c>
      <c r="I5285" s="16" t="str">
        <f t="shared" ca="1" si="568"/>
        <v/>
      </c>
      <c r="J5285" s="17" t="str">
        <f t="shared" ca="1" si="569"/>
        <v/>
      </c>
    </row>
    <row r="5286" spans="1:10" x14ac:dyDescent="0.25">
      <c r="A5286" t="s">
        <v>934</v>
      </c>
      <c r="B5286" t="str">
        <f>ADDRESS(ROW('Loan 1'!$C$20),COLUMN('Loan 1'!$C$20),4)</f>
        <v>C20</v>
      </c>
      <c r="C5286" t="str">
        <f>ADDRESS(ROW('Loan 1'!$D$20),COLUMN('Loan 1'!$D$20),4)</f>
        <v>D20</v>
      </c>
      <c r="D5286" t="b" cm="1">
        <f t="array" aca="1" ref="D5286" ca="1">IF(INDIRECT("'"&amp;A5286&amp;"'!"&amp;B5286)="",FALSE,IF(TRUNC(INDIRECT("'"&amp;A5286&amp;"'!"&amp;B5286))=INDIRECT("'"&amp;A5286&amp;"'!"&amp;B5286),FALSE,TRUE))</f>
        <v>0</v>
      </c>
      <c r="E5286" t="s">
        <v>436</v>
      </c>
      <c r="F5286" t="str">
        <f>INDEX(Lists!I:I,MATCH(Validation!E5286,Lists!G:G,0))</f>
        <v>Error</v>
      </c>
      <c r="G5286" t="str">
        <f>INDEX(Lists!H:H,MATCH(Validation!E5286,Lists!G:G,0))</f>
        <v>Amount must be rounded to the nearest dollar.</v>
      </c>
      <c r="H5286" s="16" t="str">
        <f t="shared" ca="1" si="567"/>
        <v/>
      </c>
      <c r="I5286" s="16" t="str">
        <f t="shared" ca="1" si="568"/>
        <v/>
      </c>
      <c r="J5286" s="17" t="str">
        <f t="shared" ca="1" si="569"/>
        <v/>
      </c>
    </row>
    <row r="5287" spans="1:10" x14ac:dyDescent="0.25">
      <c r="A5287" t="s">
        <v>935</v>
      </c>
      <c r="B5287" t="str">
        <f>ADDRESS(ROW('Loan 1'!$C$20),COLUMN('Loan 1'!$C$20),4)</f>
        <v>C20</v>
      </c>
      <c r="C5287" t="str">
        <f>ADDRESS(ROW('Loan 1'!$D$20),COLUMN('Loan 1'!$D$20),4)</f>
        <v>D20</v>
      </c>
      <c r="D5287" t="b" cm="1">
        <f t="array" aca="1" ref="D5287" ca="1">IF(INDIRECT("'"&amp;A5287&amp;"'!"&amp;B5287)="",FALSE,IF(TRUNC(INDIRECT("'"&amp;A5287&amp;"'!"&amp;B5287))=INDIRECT("'"&amp;A5287&amp;"'!"&amp;B5287),FALSE,TRUE))</f>
        <v>0</v>
      </c>
      <c r="E5287" t="s">
        <v>436</v>
      </c>
      <c r="F5287" t="str">
        <f>INDEX(Lists!I:I,MATCH(Validation!E5287,Lists!G:G,0))</f>
        <v>Error</v>
      </c>
      <c r="G5287" t="str">
        <f>INDEX(Lists!H:H,MATCH(Validation!E5287,Lists!G:G,0))</f>
        <v>Amount must be rounded to the nearest dollar.</v>
      </c>
      <c r="H5287" s="16" t="str">
        <f t="shared" ca="1" si="567"/>
        <v/>
      </c>
      <c r="I5287" s="16" t="str">
        <f t="shared" ca="1" si="568"/>
        <v/>
      </c>
      <c r="J5287" s="17" t="str">
        <f t="shared" ca="1" si="569"/>
        <v/>
      </c>
    </row>
    <row r="5288" spans="1:10" x14ac:dyDescent="0.25">
      <c r="A5288" t="s">
        <v>936</v>
      </c>
      <c r="B5288" t="str">
        <f>ADDRESS(ROW('Loan 1'!$C$20),COLUMN('Loan 1'!$C$20),4)</f>
        <v>C20</v>
      </c>
      <c r="C5288" t="str">
        <f>ADDRESS(ROW('Loan 1'!$D$20),COLUMN('Loan 1'!$D$20),4)</f>
        <v>D20</v>
      </c>
      <c r="D5288" t="b" cm="1">
        <f t="array" aca="1" ref="D5288" ca="1">IF(INDIRECT("'"&amp;A5288&amp;"'!"&amp;B5288)="",FALSE,IF(TRUNC(INDIRECT("'"&amp;A5288&amp;"'!"&amp;B5288))=INDIRECT("'"&amp;A5288&amp;"'!"&amp;B5288),FALSE,TRUE))</f>
        <v>0</v>
      </c>
      <c r="E5288" t="s">
        <v>436</v>
      </c>
      <c r="F5288" t="str">
        <f>INDEX(Lists!I:I,MATCH(Validation!E5288,Lists!G:G,0))</f>
        <v>Error</v>
      </c>
      <c r="G5288" t="str">
        <f>INDEX(Lists!H:H,MATCH(Validation!E5288,Lists!G:G,0))</f>
        <v>Amount must be rounded to the nearest dollar.</v>
      </c>
      <c r="H5288" s="16" t="str">
        <f t="shared" ca="1" si="567"/>
        <v/>
      </c>
      <c r="I5288" s="16" t="str">
        <f t="shared" ca="1" si="568"/>
        <v/>
      </c>
      <c r="J5288" s="17" t="str">
        <f t="shared" ca="1" si="569"/>
        <v/>
      </c>
    </row>
    <row r="5289" spans="1:10" x14ac:dyDescent="0.25">
      <c r="A5289" t="s">
        <v>937</v>
      </c>
      <c r="B5289" t="str">
        <f>ADDRESS(ROW('Loan 1'!$C$20),COLUMN('Loan 1'!$C$20),4)</f>
        <v>C20</v>
      </c>
      <c r="C5289" t="str">
        <f>ADDRESS(ROW('Loan 1'!$D$20),COLUMN('Loan 1'!$D$20),4)</f>
        <v>D20</v>
      </c>
      <c r="D5289" t="b" cm="1">
        <f t="array" aca="1" ref="D5289" ca="1">IF(INDIRECT("'"&amp;A5289&amp;"'!"&amp;B5289)="",FALSE,IF(TRUNC(INDIRECT("'"&amp;A5289&amp;"'!"&amp;B5289))=INDIRECT("'"&amp;A5289&amp;"'!"&amp;B5289),FALSE,TRUE))</f>
        <v>0</v>
      </c>
      <c r="E5289" t="s">
        <v>436</v>
      </c>
      <c r="F5289" t="str">
        <f>INDEX(Lists!I:I,MATCH(Validation!E5289,Lists!G:G,0))</f>
        <v>Error</v>
      </c>
      <c r="G5289" t="str">
        <f>INDEX(Lists!H:H,MATCH(Validation!E5289,Lists!G:G,0))</f>
        <v>Amount must be rounded to the nearest dollar.</v>
      </c>
      <c r="H5289" s="16" t="str">
        <f t="shared" ca="1" si="567"/>
        <v/>
      </c>
      <c r="I5289" s="16" t="str">
        <f t="shared" ca="1" si="568"/>
        <v/>
      </c>
      <c r="J5289" s="17" t="str">
        <f t="shared" ca="1" si="569"/>
        <v/>
      </c>
    </row>
    <row r="5290" spans="1:10" x14ac:dyDescent="0.25">
      <c r="A5290" t="s">
        <v>938</v>
      </c>
      <c r="B5290" t="str">
        <f>ADDRESS(ROW('Loan 1'!$C$20),COLUMN('Loan 1'!$C$20),4)</f>
        <v>C20</v>
      </c>
      <c r="C5290" t="str">
        <f>ADDRESS(ROW('Loan 1'!$D$20),COLUMN('Loan 1'!$D$20),4)</f>
        <v>D20</v>
      </c>
      <c r="D5290" t="b" cm="1">
        <f t="array" aca="1" ref="D5290" ca="1">IF(INDIRECT("'"&amp;A5290&amp;"'!"&amp;B5290)="",FALSE,IF(TRUNC(INDIRECT("'"&amp;A5290&amp;"'!"&amp;B5290))=INDIRECT("'"&amp;A5290&amp;"'!"&amp;B5290),FALSE,TRUE))</f>
        <v>0</v>
      </c>
      <c r="E5290" t="s">
        <v>436</v>
      </c>
      <c r="F5290" t="str">
        <f>INDEX(Lists!I:I,MATCH(Validation!E5290,Lists!G:G,0))</f>
        <v>Error</v>
      </c>
      <c r="G5290" t="str">
        <f>INDEX(Lists!H:H,MATCH(Validation!E5290,Lists!G:G,0))</f>
        <v>Amount must be rounded to the nearest dollar.</v>
      </c>
      <c r="H5290" s="16" t="str">
        <f t="shared" ca="1" si="567"/>
        <v/>
      </c>
      <c r="I5290" s="16" t="str">
        <f t="shared" ca="1" si="568"/>
        <v/>
      </c>
      <c r="J5290" s="17" t="str">
        <f t="shared" ca="1" si="569"/>
        <v/>
      </c>
    </row>
    <row r="5291" spans="1:10" x14ac:dyDescent="0.25">
      <c r="A5291" t="s">
        <v>939</v>
      </c>
      <c r="B5291" t="str">
        <f>ADDRESS(ROW('Loan 1'!$C$20),COLUMN('Loan 1'!$C$20),4)</f>
        <v>C20</v>
      </c>
      <c r="C5291" t="str">
        <f>ADDRESS(ROW('Loan 1'!$D$20),COLUMN('Loan 1'!$D$20),4)</f>
        <v>D20</v>
      </c>
      <c r="D5291" t="b" cm="1">
        <f t="array" aca="1" ref="D5291" ca="1">IF(INDIRECT("'"&amp;A5291&amp;"'!"&amp;B5291)="",FALSE,IF(TRUNC(INDIRECT("'"&amp;A5291&amp;"'!"&amp;B5291))=INDIRECT("'"&amp;A5291&amp;"'!"&amp;B5291),FALSE,TRUE))</f>
        <v>0</v>
      </c>
      <c r="E5291" t="s">
        <v>436</v>
      </c>
      <c r="F5291" t="str">
        <f>INDEX(Lists!I:I,MATCH(Validation!E5291,Lists!G:G,0))</f>
        <v>Error</v>
      </c>
      <c r="G5291" t="str">
        <f>INDEX(Lists!H:H,MATCH(Validation!E5291,Lists!G:G,0))</f>
        <v>Amount must be rounded to the nearest dollar.</v>
      </c>
      <c r="H5291" s="16" t="str">
        <f t="shared" ca="1" si="567"/>
        <v/>
      </c>
      <c r="I5291" s="16" t="str">
        <f t="shared" ca="1" si="568"/>
        <v/>
      </c>
      <c r="J5291" s="17" t="str">
        <f t="shared" ca="1" si="569"/>
        <v/>
      </c>
    </row>
    <row r="5292" spans="1:10" x14ac:dyDescent="0.25">
      <c r="A5292" t="s">
        <v>940</v>
      </c>
      <c r="B5292" t="str">
        <f>ADDRESS(ROW('Loan 1'!$C$20),COLUMN('Loan 1'!$C$20),4)</f>
        <v>C20</v>
      </c>
      <c r="C5292" t="str">
        <f>ADDRESS(ROW('Loan 1'!$D$20),COLUMN('Loan 1'!$D$20),4)</f>
        <v>D20</v>
      </c>
      <c r="D5292" t="b" cm="1">
        <f t="array" aca="1" ref="D5292" ca="1">IF(INDIRECT("'"&amp;A5292&amp;"'!"&amp;B5292)="",FALSE,IF(TRUNC(INDIRECT("'"&amp;A5292&amp;"'!"&amp;B5292))=INDIRECT("'"&amp;A5292&amp;"'!"&amp;B5292),FALSE,TRUE))</f>
        <v>0</v>
      </c>
      <c r="E5292" t="s">
        <v>436</v>
      </c>
      <c r="F5292" t="str">
        <f>INDEX(Lists!I:I,MATCH(Validation!E5292,Lists!G:G,0))</f>
        <v>Error</v>
      </c>
      <c r="G5292" t="str">
        <f>INDEX(Lists!H:H,MATCH(Validation!E5292,Lists!G:G,0))</f>
        <v>Amount must be rounded to the nearest dollar.</v>
      </c>
      <c r="H5292" s="16" t="str">
        <f t="shared" ca="1" si="567"/>
        <v/>
      </c>
      <c r="I5292" s="16" t="str">
        <f t="shared" ca="1" si="568"/>
        <v/>
      </c>
      <c r="J5292" s="17" t="str">
        <f t="shared" ca="1" si="569"/>
        <v/>
      </c>
    </row>
    <row r="5293" spans="1:10" x14ac:dyDescent="0.25">
      <c r="A5293" t="s">
        <v>941</v>
      </c>
      <c r="B5293" t="str">
        <f>ADDRESS(ROW('Loan 1'!$C$20),COLUMN('Loan 1'!$C$20),4)</f>
        <v>C20</v>
      </c>
      <c r="C5293" t="str">
        <f>ADDRESS(ROW('Loan 1'!$D$20),COLUMN('Loan 1'!$D$20),4)</f>
        <v>D20</v>
      </c>
      <c r="D5293" t="b" cm="1">
        <f t="array" aca="1" ref="D5293" ca="1">IF(INDIRECT("'"&amp;A5293&amp;"'!"&amp;B5293)="",FALSE,IF(TRUNC(INDIRECT("'"&amp;A5293&amp;"'!"&amp;B5293))=INDIRECT("'"&amp;A5293&amp;"'!"&amp;B5293),FALSE,TRUE))</f>
        <v>0</v>
      </c>
      <c r="E5293" t="s">
        <v>436</v>
      </c>
      <c r="F5293" t="str">
        <f>INDEX(Lists!I:I,MATCH(Validation!E5293,Lists!G:G,0))</f>
        <v>Error</v>
      </c>
      <c r="G5293" t="str">
        <f>INDEX(Lists!H:H,MATCH(Validation!E5293,Lists!G:G,0))</f>
        <v>Amount must be rounded to the nearest dollar.</v>
      </c>
      <c r="H5293" s="16" t="str">
        <f t="shared" ca="1" si="567"/>
        <v/>
      </c>
      <c r="I5293" s="16" t="str">
        <f t="shared" ca="1" si="568"/>
        <v/>
      </c>
      <c r="J5293" s="17" t="str">
        <f t="shared" ca="1" si="569"/>
        <v/>
      </c>
    </row>
    <row r="5294" spans="1:10" x14ac:dyDescent="0.25">
      <c r="A5294" t="s">
        <v>942</v>
      </c>
      <c r="B5294" t="str">
        <f>ADDRESS(ROW('Loan 1'!$C$20),COLUMN('Loan 1'!$C$20),4)</f>
        <v>C20</v>
      </c>
      <c r="C5294" t="str">
        <f>ADDRESS(ROW('Loan 1'!$D$20),COLUMN('Loan 1'!$D$20),4)</f>
        <v>D20</v>
      </c>
      <c r="D5294" t="b" cm="1">
        <f t="array" aca="1" ref="D5294" ca="1">IF(INDIRECT("'"&amp;A5294&amp;"'!"&amp;B5294)="",FALSE,IF(TRUNC(INDIRECT("'"&amp;A5294&amp;"'!"&amp;B5294))=INDIRECT("'"&amp;A5294&amp;"'!"&amp;B5294),FALSE,TRUE))</f>
        <v>0</v>
      </c>
      <c r="E5294" t="s">
        <v>436</v>
      </c>
      <c r="F5294" t="str">
        <f>INDEX(Lists!I:I,MATCH(Validation!E5294,Lists!G:G,0))</f>
        <v>Error</v>
      </c>
      <c r="G5294" t="str">
        <f>INDEX(Lists!H:H,MATCH(Validation!E5294,Lists!G:G,0))</f>
        <v>Amount must be rounded to the nearest dollar.</v>
      </c>
      <c r="H5294" s="16" t="str">
        <f t="shared" ca="1" si="567"/>
        <v/>
      </c>
      <c r="I5294" s="16" t="str">
        <f t="shared" ca="1" si="568"/>
        <v/>
      </c>
      <c r="J5294" s="17" t="str">
        <f t="shared" ca="1" si="569"/>
        <v/>
      </c>
    </row>
    <row r="5295" spans="1:10" x14ac:dyDescent="0.25">
      <c r="A5295" t="s">
        <v>943</v>
      </c>
      <c r="B5295" t="str">
        <f>ADDRESS(ROW('Loan 1'!$C$20),COLUMN('Loan 1'!$C$20),4)</f>
        <v>C20</v>
      </c>
      <c r="C5295" t="str">
        <f>ADDRESS(ROW('Loan 1'!$D$20),COLUMN('Loan 1'!$D$20),4)</f>
        <v>D20</v>
      </c>
      <c r="D5295" t="b" cm="1">
        <f t="array" aca="1" ref="D5295" ca="1">IF(INDIRECT("'"&amp;A5295&amp;"'!"&amp;B5295)="",FALSE,IF(TRUNC(INDIRECT("'"&amp;A5295&amp;"'!"&amp;B5295))=INDIRECT("'"&amp;A5295&amp;"'!"&amp;B5295),FALSE,TRUE))</f>
        <v>0</v>
      </c>
      <c r="E5295" t="s">
        <v>436</v>
      </c>
      <c r="F5295" t="str">
        <f>INDEX(Lists!I:I,MATCH(Validation!E5295,Lists!G:G,0))</f>
        <v>Error</v>
      </c>
      <c r="G5295" t="str">
        <f>INDEX(Lists!H:H,MATCH(Validation!E5295,Lists!G:G,0))</f>
        <v>Amount must be rounded to the nearest dollar.</v>
      </c>
      <c r="H5295" s="16" t="str">
        <f t="shared" ca="1" si="567"/>
        <v/>
      </c>
      <c r="I5295" s="16" t="str">
        <f t="shared" ca="1" si="568"/>
        <v/>
      </c>
      <c r="J5295" s="17" t="str">
        <f t="shared" ca="1" si="569"/>
        <v/>
      </c>
    </row>
    <row r="5296" spans="1:10" x14ac:dyDescent="0.25">
      <c r="A5296" t="s">
        <v>944</v>
      </c>
      <c r="B5296" t="str">
        <f>ADDRESS(ROW('Loan 1'!$C$20),COLUMN('Loan 1'!$C$20),4)</f>
        <v>C20</v>
      </c>
      <c r="C5296" t="str">
        <f>ADDRESS(ROW('Loan 1'!$D$20),COLUMN('Loan 1'!$D$20),4)</f>
        <v>D20</v>
      </c>
      <c r="D5296" t="b" cm="1">
        <f t="array" aca="1" ref="D5296" ca="1">IF(INDIRECT("'"&amp;A5296&amp;"'!"&amp;B5296)="",FALSE,IF(TRUNC(INDIRECT("'"&amp;A5296&amp;"'!"&amp;B5296))=INDIRECT("'"&amp;A5296&amp;"'!"&amp;B5296),FALSE,TRUE))</f>
        <v>0</v>
      </c>
      <c r="E5296" t="s">
        <v>436</v>
      </c>
      <c r="F5296" t="str">
        <f>INDEX(Lists!I:I,MATCH(Validation!E5296,Lists!G:G,0))</f>
        <v>Error</v>
      </c>
      <c r="G5296" t="str">
        <f>INDEX(Lists!H:H,MATCH(Validation!E5296,Lists!G:G,0))</f>
        <v>Amount must be rounded to the nearest dollar.</v>
      </c>
      <c r="H5296" s="16" t="str">
        <f t="shared" ca="1" si="567"/>
        <v/>
      </c>
      <c r="I5296" s="16" t="str">
        <f t="shared" ca="1" si="568"/>
        <v/>
      </c>
      <c r="J5296" s="17" t="str">
        <f t="shared" ca="1" si="569"/>
        <v/>
      </c>
    </row>
    <row r="5297" spans="1:10" x14ac:dyDescent="0.25">
      <c r="A5297" t="s">
        <v>945</v>
      </c>
      <c r="B5297" t="str">
        <f>ADDRESS(ROW('Loan 1'!$C$20),COLUMN('Loan 1'!$C$20),4)</f>
        <v>C20</v>
      </c>
      <c r="C5297" t="str">
        <f>ADDRESS(ROW('Loan 1'!$D$20),COLUMN('Loan 1'!$D$20),4)</f>
        <v>D20</v>
      </c>
      <c r="D5297" t="b" cm="1">
        <f t="array" aca="1" ref="D5297" ca="1">IF(INDIRECT("'"&amp;A5297&amp;"'!"&amp;B5297)="",FALSE,IF(TRUNC(INDIRECT("'"&amp;A5297&amp;"'!"&amp;B5297))=INDIRECT("'"&amp;A5297&amp;"'!"&amp;B5297),FALSE,TRUE))</f>
        <v>0</v>
      </c>
      <c r="E5297" t="s">
        <v>436</v>
      </c>
      <c r="F5297" t="str">
        <f>INDEX(Lists!I:I,MATCH(Validation!E5297,Lists!G:G,0))</f>
        <v>Error</v>
      </c>
      <c r="G5297" t="str">
        <f>INDEX(Lists!H:H,MATCH(Validation!E5297,Lists!G:G,0))</f>
        <v>Amount must be rounded to the nearest dollar.</v>
      </c>
      <c r="H5297" s="16" t="str">
        <f t="shared" ca="1" si="567"/>
        <v/>
      </c>
      <c r="I5297" s="16" t="str">
        <f t="shared" ca="1" si="568"/>
        <v/>
      </c>
      <c r="J5297" s="17" t="str">
        <f t="shared" ca="1" si="569"/>
        <v/>
      </c>
    </row>
    <row r="5298" spans="1:10" x14ac:dyDescent="0.25">
      <c r="A5298" t="s">
        <v>205</v>
      </c>
      <c r="B5298" t="str">
        <f>ADDRESS(ROW('Loan 1'!$B$21),COLUMN('Loan 1'!$B$21),4)</f>
        <v>B21</v>
      </c>
      <c r="C5298" t="str">
        <f>ADDRESS(ROW('Loan 1'!$D$21),COLUMN('Loan 1'!$D$21),4)</f>
        <v>D21</v>
      </c>
      <c r="D5298" t="b" cm="1">
        <f t="array" aca="1" ref="D5298" ca="1">IF(INDIRECT("'"&amp;A5298&amp;"'!"&amp;B5298)="",FALSE,IF(NOT(ISNUMBER(INDIRECT("'"&amp;A5298&amp;"'!"&amp;B5298))),TRUE,FALSE))</f>
        <v>0</v>
      </c>
      <c r="E5298" t="s">
        <v>435</v>
      </c>
      <c r="F5298" t="str">
        <f>INDEX(Lists!I:I,MATCH(Validation!E5298,Lists!G:G,0))</f>
        <v>Error</v>
      </c>
      <c r="G5298" t="str">
        <f>INDEX(Lists!H:H,MATCH(Validation!E5298,Lists!G:G,0))</f>
        <v>Enter an amount only. Do not enter text or spaces.</v>
      </c>
      <c r="H5298" s="16" t="str">
        <f ca="1">IFERROR(IF(OR(NOT(D5298),F5298&lt;&gt;"Error"),"",A5298&amp;CELL("address",INDIRECT(B5298))),"")</f>
        <v/>
      </c>
      <c r="I5298" s="16" t="str">
        <f ca="1">IFERROR(IF(NOT(D5298),"",A5298&amp;CELL("address",INDIRECT(C5298))),"")</f>
        <v/>
      </c>
      <c r="J5298" s="17" t="str">
        <f ca="1">IFERROR(IF(NOT(D5298),"",A5298),"")</f>
        <v/>
      </c>
    </row>
    <row r="5299" spans="1:10" x14ac:dyDescent="0.25">
      <c r="A5299" t="s">
        <v>932</v>
      </c>
      <c r="B5299" t="str">
        <f>ADDRESS(ROW('Loan 1'!$B$21),COLUMN('Loan 1'!$B$21),4)</f>
        <v>B21</v>
      </c>
      <c r="C5299" t="str">
        <f>ADDRESS(ROW('Loan 1'!$D$21),COLUMN('Loan 1'!$D$21),4)</f>
        <v>D21</v>
      </c>
      <c r="D5299" t="b" cm="1">
        <f t="array" aca="1" ref="D5299" ca="1">IF(INDIRECT("'"&amp;A5299&amp;"'!"&amp;B5299)="",FALSE,IF(NOT(ISNUMBER(INDIRECT("'"&amp;A5299&amp;"'!"&amp;B5299))),TRUE,FALSE))</f>
        <v>0</v>
      </c>
      <c r="E5299" t="s">
        <v>435</v>
      </c>
      <c r="F5299" t="str">
        <f>INDEX(Lists!I:I,MATCH(Validation!E5299,Lists!G:G,0))</f>
        <v>Error</v>
      </c>
      <c r="G5299" t="str">
        <f>INDEX(Lists!H:H,MATCH(Validation!E5299,Lists!G:G,0))</f>
        <v>Enter an amount only. Do not enter text or spaces.</v>
      </c>
      <c r="H5299" s="16" t="str">
        <f t="shared" ref="H5299:H5312" ca="1" si="570">IFERROR(IF(OR(NOT(D5299),F5299&lt;&gt;"Error"),"",A5299&amp;CELL("address",INDIRECT(B5299))),"")</f>
        <v/>
      </c>
      <c r="I5299" s="16" t="str">
        <f t="shared" ref="I5299:I5312" ca="1" si="571">IFERROR(IF(NOT(D5299),"",A5299&amp;CELL("address",INDIRECT(C5299))),"")</f>
        <v/>
      </c>
      <c r="J5299" s="17" t="str">
        <f t="shared" ref="J5299:J5312" ca="1" si="572">IFERROR(IF(NOT(D5299),"",A5299),"")</f>
        <v/>
      </c>
    </row>
    <row r="5300" spans="1:10" x14ac:dyDescent="0.25">
      <c r="A5300" t="s">
        <v>933</v>
      </c>
      <c r="B5300" t="str">
        <f>ADDRESS(ROW('Loan 1'!$B$21),COLUMN('Loan 1'!$B$21),4)</f>
        <v>B21</v>
      </c>
      <c r="C5300" t="str">
        <f>ADDRESS(ROW('Loan 1'!$D$21),COLUMN('Loan 1'!$D$21),4)</f>
        <v>D21</v>
      </c>
      <c r="D5300" t="b" cm="1">
        <f t="array" aca="1" ref="D5300" ca="1">IF(INDIRECT("'"&amp;A5300&amp;"'!"&amp;B5300)="",FALSE,IF(NOT(ISNUMBER(INDIRECT("'"&amp;A5300&amp;"'!"&amp;B5300))),TRUE,FALSE))</f>
        <v>0</v>
      </c>
      <c r="E5300" t="s">
        <v>435</v>
      </c>
      <c r="F5300" t="str">
        <f>INDEX(Lists!I:I,MATCH(Validation!E5300,Lists!G:G,0))</f>
        <v>Error</v>
      </c>
      <c r="G5300" t="str">
        <f>INDEX(Lists!H:H,MATCH(Validation!E5300,Lists!G:G,0))</f>
        <v>Enter an amount only. Do not enter text or spaces.</v>
      </c>
      <c r="H5300" s="16" t="str">
        <f t="shared" ca="1" si="570"/>
        <v/>
      </c>
      <c r="I5300" s="16" t="str">
        <f t="shared" ca="1" si="571"/>
        <v/>
      </c>
      <c r="J5300" s="17" t="str">
        <f t="shared" ca="1" si="572"/>
        <v/>
      </c>
    </row>
    <row r="5301" spans="1:10" x14ac:dyDescent="0.25">
      <c r="A5301" t="s">
        <v>934</v>
      </c>
      <c r="B5301" t="str">
        <f>ADDRESS(ROW('Loan 1'!$B$21),COLUMN('Loan 1'!$B$21),4)</f>
        <v>B21</v>
      </c>
      <c r="C5301" t="str">
        <f>ADDRESS(ROW('Loan 1'!$D$21),COLUMN('Loan 1'!$D$21),4)</f>
        <v>D21</v>
      </c>
      <c r="D5301" t="b" cm="1">
        <f t="array" aca="1" ref="D5301" ca="1">IF(INDIRECT("'"&amp;A5301&amp;"'!"&amp;B5301)="",FALSE,IF(NOT(ISNUMBER(INDIRECT("'"&amp;A5301&amp;"'!"&amp;B5301))),TRUE,FALSE))</f>
        <v>0</v>
      </c>
      <c r="E5301" t="s">
        <v>435</v>
      </c>
      <c r="F5301" t="str">
        <f>INDEX(Lists!I:I,MATCH(Validation!E5301,Lists!G:G,0))</f>
        <v>Error</v>
      </c>
      <c r="G5301" t="str">
        <f>INDEX(Lists!H:H,MATCH(Validation!E5301,Lists!G:G,0))</f>
        <v>Enter an amount only. Do not enter text or spaces.</v>
      </c>
      <c r="H5301" s="16" t="str">
        <f t="shared" ca="1" si="570"/>
        <v/>
      </c>
      <c r="I5301" s="16" t="str">
        <f t="shared" ca="1" si="571"/>
        <v/>
      </c>
      <c r="J5301" s="17" t="str">
        <f t="shared" ca="1" si="572"/>
        <v/>
      </c>
    </row>
    <row r="5302" spans="1:10" x14ac:dyDescent="0.25">
      <c r="A5302" t="s">
        <v>935</v>
      </c>
      <c r="B5302" t="str">
        <f>ADDRESS(ROW('Loan 1'!$B$21),COLUMN('Loan 1'!$B$21),4)</f>
        <v>B21</v>
      </c>
      <c r="C5302" t="str">
        <f>ADDRESS(ROW('Loan 1'!$D$21),COLUMN('Loan 1'!$D$21),4)</f>
        <v>D21</v>
      </c>
      <c r="D5302" t="b" cm="1">
        <f t="array" aca="1" ref="D5302" ca="1">IF(INDIRECT("'"&amp;A5302&amp;"'!"&amp;B5302)="",FALSE,IF(NOT(ISNUMBER(INDIRECT("'"&amp;A5302&amp;"'!"&amp;B5302))),TRUE,FALSE))</f>
        <v>0</v>
      </c>
      <c r="E5302" t="s">
        <v>435</v>
      </c>
      <c r="F5302" t="str">
        <f>INDEX(Lists!I:I,MATCH(Validation!E5302,Lists!G:G,0))</f>
        <v>Error</v>
      </c>
      <c r="G5302" t="str">
        <f>INDEX(Lists!H:H,MATCH(Validation!E5302,Lists!G:G,0))</f>
        <v>Enter an amount only. Do not enter text or spaces.</v>
      </c>
      <c r="H5302" s="16" t="str">
        <f t="shared" ca="1" si="570"/>
        <v/>
      </c>
      <c r="I5302" s="16" t="str">
        <f t="shared" ca="1" si="571"/>
        <v/>
      </c>
      <c r="J5302" s="17" t="str">
        <f t="shared" ca="1" si="572"/>
        <v/>
      </c>
    </row>
    <row r="5303" spans="1:10" x14ac:dyDescent="0.25">
      <c r="A5303" t="s">
        <v>936</v>
      </c>
      <c r="B5303" t="str">
        <f>ADDRESS(ROW('Loan 1'!$B$21),COLUMN('Loan 1'!$B$21),4)</f>
        <v>B21</v>
      </c>
      <c r="C5303" t="str">
        <f>ADDRESS(ROW('Loan 1'!$D$21),COLUMN('Loan 1'!$D$21),4)</f>
        <v>D21</v>
      </c>
      <c r="D5303" t="b" cm="1">
        <f t="array" aca="1" ref="D5303" ca="1">IF(INDIRECT("'"&amp;A5303&amp;"'!"&amp;B5303)="",FALSE,IF(NOT(ISNUMBER(INDIRECT("'"&amp;A5303&amp;"'!"&amp;B5303))),TRUE,FALSE))</f>
        <v>0</v>
      </c>
      <c r="E5303" t="s">
        <v>435</v>
      </c>
      <c r="F5303" t="str">
        <f>INDEX(Lists!I:I,MATCH(Validation!E5303,Lists!G:G,0))</f>
        <v>Error</v>
      </c>
      <c r="G5303" t="str">
        <f>INDEX(Lists!H:H,MATCH(Validation!E5303,Lists!G:G,0))</f>
        <v>Enter an amount only. Do not enter text or spaces.</v>
      </c>
      <c r="H5303" s="16" t="str">
        <f t="shared" ca="1" si="570"/>
        <v/>
      </c>
      <c r="I5303" s="16" t="str">
        <f t="shared" ca="1" si="571"/>
        <v/>
      </c>
      <c r="J5303" s="17" t="str">
        <f t="shared" ca="1" si="572"/>
        <v/>
      </c>
    </row>
    <row r="5304" spans="1:10" x14ac:dyDescent="0.25">
      <c r="A5304" t="s">
        <v>937</v>
      </c>
      <c r="B5304" t="str">
        <f>ADDRESS(ROW('Loan 1'!$B$21),COLUMN('Loan 1'!$B$21),4)</f>
        <v>B21</v>
      </c>
      <c r="C5304" t="str">
        <f>ADDRESS(ROW('Loan 1'!$D$21),COLUMN('Loan 1'!$D$21),4)</f>
        <v>D21</v>
      </c>
      <c r="D5304" t="b" cm="1">
        <f t="array" aca="1" ref="D5304" ca="1">IF(INDIRECT("'"&amp;A5304&amp;"'!"&amp;B5304)="",FALSE,IF(NOT(ISNUMBER(INDIRECT("'"&amp;A5304&amp;"'!"&amp;B5304))),TRUE,FALSE))</f>
        <v>0</v>
      </c>
      <c r="E5304" t="s">
        <v>435</v>
      </c>
      <c r="F5304" t="str">
        <f>INDEX(Lists!I:I,MATCH(Validation!E5304,Lists!G:G,0))</f>
        <v>Error</v>
      </c>
      <c r="G5304" t="str">
        <f>INDEX(Lists!H:H,MATCH(Validation!E5304,Lists!G:G,0))</f>
        <v>Enter an amount only. Do not enter text or spaces.</v>
      </c>
      <c r="H5304" s="16" t="str">
        <f t="shared" ca="1" si="570"/>
        <v/>
      </c>
      <c r="I5304" s="16" t="str">
        <f t="shared" ca="1" si="571"/>
        <v/>
      </c>
      <c r="J5304" s="17" t="str">
        <f t="shared" ca="1" si="572"/>
        <v/>
      </c>
    </row>
    <row r="5305" spans="1:10" x14ac:dyDescent="0.25">
      <c r="A5305" t="s">
        <v>938</v>
      </c>
      <c r="B5305" t="str">
        <f>ADDRESS(ROW('Loan 1'!$B$21),COLUMN('Loan 1'!$B$21),4)</f>
        <v>B21</v>
      </c>
      <c r="C5305" t="str">
        <f>ADDRESS(ROW('Loan 1'!$D$21),COLUMN('Loan 1'!$D$21),4)</f>
        <v>D21</v>
      </c>
      <c r="D5305" t="b" cm="1">
        <f t="array" aca="1" ref="D5305" ca="1">IF(INDIRECT("'"&amp;A5305&amp;"'!"&amp;B5305)="",FALSE,IF(NOT(ISNUMBER(INDIRECT("'"&amp;A5305&amp;"'!"&amp;B5305))),TRUE,FALSE))</f>
        <v>0</v>
      </c>
      <c r="E5305" t="s">
        <v>435</v>
      </c>
      <c r="F5305" t="str">
        <f>INDEX(Lists!I:I,MATCH(Validation!E5305,Lists!G:G,0))</f>
        <v>Error</v>
      </c>
      <c r="G5305" t="str">
        <f>INDEX(Lists!H:H,MATCH(Validation!E5305,Lists!G:G,0))</f>
        <v>Enter an amount only. Do not enter text or spaces.</v>
      </c>
      <c r="H5305" s="16" t="str">
        <f t="shared" ca="1" si="570"/>
        <v/>
      </c>
      <c r="I5305" s="16" t="str">
        <f t="shared" ca="1" si="571"/>
        <v/>
      </c>
      <c r="J5305" s="17" t="str">
        <f t="shared" ca="1" si="572"/>
        <v/>
      </c>
    </row>
    <row r="5306" spans="1:10" x14ac:dyDescent="0.25">
      <c r="A5306" t="s">
        <v>939</v>
      </c>
      <c r="B5306" t="str">
        <f>ADDRESS(ROW('Loan 1'!$B$21),COLUMN('Loan 1'!$B$21),4)</f>
        <v>B21</v>
      </c>
      <c r="C5306" t="str">
        <f>ADDRESS(ROW('Loan 1'!$D$21),COLUMN('Loan 1'!$D$21),4)</f>
        <v>D21</v>
      </c>
      <c r="D5306" t="b" cm="1">
        <f t="array" aca="1" ref="D5306" ca="1">IF(INDIRECT("'"&amp;A5306&amp;"'!"&amp;B5306)="",FALSE,IF(NOT(ISNUMBER(INDIRECT("'"&amp;A5306&amp;"'!"&amp;B5306))),TRUE,FALSE))</f>
        <v>0</v>
      </c>
      <c r="E5306" t="s">
        <v>435</v>
      </c>
      <c r="F5306" t="str">
        <f>INDEX(Lists!I:I,MATCH(Validation!E5306,Lists!G:G,0))</f>
        <v>Error</v>
      </c>
      <c r="G5306" t="str">
        <f>INDEX(Lists!H:H,MATCH(Validation!E5306,Lists!G:G,0))</f>
        <v>Enter an amount only. Do not enter text or spaces.</v>
      </c>
      <c r="H5306" s="16" t="str">
        <f t="shared" ca="1" si="570"/>
        <v/>
      </c>
      <c r="I5306" s="16" t="str">
        <f t="shared" ca="1" si="571"/>
        <v/>
      </c>
      <c r="J5306" s="17" t="str">
        <f t="shared" ca="1" si="572"/>
        <v/>
      </c>
    </row>
    <row r="5307" spans="1:10" x14ac:dyDescent="0.25">
      <c r="A5307" t="s">
        <v>940</v>
      </c>
      <c r="B5307" t="str">
        <f>ADDRESS(ROW('Loan 1'!$B$21),COLUMN('Loan 1'!$B$21),4)</f>
        <v>B21</v>
      </c>
      <c r="C5307" t="str">
        <f>ADDRESS(ROW('Loan 1'!$D$21),COLUMN('Loan 1'!$D$21),4)</f>
        <v>D21</v>
      </c>
      <c r="D5307" t="b" cm="1">
        <f t="array" aca="1" ref="D5307" ca="1">IF(INDIRECT("'"&amp;A5307&amp;"'!"&amp;B5307)="",FALSE,IF(NOT(ISNUMBER(INDIRECT("'"&amp;A5307&amp;"'!"&amp;B5307))),TRUE,FALSE))</f>
        <v>0</v>
      </c>
      <c r="E5307" t="s">
        <v>435</v>
      </c>
      <c r="F5307" t="str">
        <f>INDEX(Lists!I:I,MATCH(Validation!E5307,Lists!G:G,0))</f>
        <v>Error</v>
      </c>
      <c r="G5307" t="str">
        <f>INDEX(Lists!H:H,MATCH(Validation!E5307,Lists!G:G,0))</f>
        <v>Enter an amount only. Do not enter text or spaces.</v>
      </c>
      <c r="H5307" s="16" t="str">
        <f t="shared" ca="1" si="570"/>
        <v/>
      </c>
      <c r="I5307" s="16" t="str">
        <f t="shared" ca="1" si="571"/>
        <v/>
      </c>
      <c r="J5307" s="17" t="str">
        <f t="shared" ca="1" si="572"/>
        <v/>
      </c>
    </row>
    <row r="5308" spans="1:10" x14ac:dyDescent="0.25">
      <c r="A5308" t="s">
        <v>941</v>
      </c>
      <c r="B5308" t="str">
        <f>ADDRESS(ROW('Loan 1'!$B$21),COLUMN('Loan 1'!$B$21),4)</f>
        <v>B21</v>
      </c>
      <c r="C5308" t="str">
        <f>ADDRESS(ROW('Loan 1'!$D$21),COLUMN('Loan 1'!$D$21),4)</f>
        <v>D21</v>
      </c>
      <c r="D5308" t="b" cm="1">
        <f t="array" aca="1" ref="D5308" ca="1">IF(INDIRECT("'"&amp;A5308&amp;"'!"&amp;B5308)="",FALSE,IF(NOT(ISNUMBER(INDIRECT("'"&amp;A5308&amp;"'!"&amp;B5308))),TRUE,FALSE))</f>
        <v>0</v>
      </c>
      <c r="E5308" t="s">
        <v>435</v>
      </c>
      <c r="F5308" t="str">
        <f>INDEX(Lists!I:I,MATCH(Validation!E5308,Lists!G:G,0))</f>
        <v>Error</v>
      </c>
      <c r="G5308" t="str">
        <f>INDEX(Lists!H:H,MATCH(Validation!E5308,Lists!G:G,0))</f>
        <v>Enter an amount only. Do not enter text or spaces.</v>
      </c>
      <c r="H5308" s="16" t="str">
        <f t="shared" ca="1" si="570"/>
        <v/>
      </c>
      <c r="I5308" s="16" t="str">
        <f t="shared" ca="1" si="571"/>
        <v/>
      </c>
      <c r="J5308" s="17" t="str">
        <f t="shared" ca="1" si="572"/>
        <v/>
      </c>
    </row>
    <row r="5309" spans="1:10" x14ac:dyDescent="0.25">
      <c r="A5309" t="s">
        <v>942</v>
      </c>
      <c r="B5309" t="str">
        <f>ADDRESS(ROW('Loan 1'!$B$21),COLUMN('Loan 1'!$B$21),4)</f>
        <v>B21</v>
      </c>
      <c r="C5309" t="str">
        <f>ADDRESS(ROW('Loan 1'!$D$21),COLUMN('Loan 1'!$D$21),4)</f>
        <v>D21</v>
      </c>
      <c r="D5309" t="b" cm="1">
        <f t="array" aca="1" ref="D5309" ca="1">IF(INDIRECT("'"&amp;A5309&amp;"'!"&amp;B5309)="",FALSE,IF(NOT(ISNUMBER(INDIRECT("'"&amp;A5309&amp;"'!"&amp;B5309))),TRUE,FALSE))</f>
        <v>0</v>
      </c>
      <c r="E5309" t="s">
        <v>435</v>
      </c>
      <c r="F5309" t="str">
        <f>INDEX(Lists!I:I,MATCH(Validation!E5309,Lists!G:G,0))</f>
        <v>Error</v>
      </c>
      <c r="G5309" t="str">
        <f>INDEX(Lists!H:H,MATCH(Validation!E5309,Lists!G:G,0))</f>
        <v>Enter an amount only. Do not enter text or spaces.</v>
      </c>
      <c r="H5309" s="16" t="str">
        <f t="shared" ca="1" si="570"/>
        <v/>
      </c>
      <c r="I5309" s="16" t="str">
        <f t="shared" ca="1" si="571"/>
        <v/>
      </c>
      <c r="J5309" s="17" t="str">
        <f t="shared" ca="1" si="572"/>
        <v/>
      </c>
    </row>
    <row r="5310" spans="1:10" x14ac:dyDescent="0.25">
      <c r="A5310" t="s">
        <v>943</v>
      </c>
      <c r="B5310" t="str">
        <f>ADDRESS(ROW('Loan 1'!$B$21),COLUMN('Loan 1'!$B$21),4)</f>
        <v>B21</v>
      </c>
      <c r="C5310" t="str">
        <f>ADDRESS(ROW('Loan 1'!$D$21),COLUMN('Loan 1'!$D$21),4)</f>
        <v>D21</v>
      </c>
      <c r="D5310" t="b" cm="1">
        <f t="array" aca="1" ref="D5310" ca="1">IF(INDIRECT("'"&amp;A5310&amp;"'!"&amp;B5310)="",FALSE,IF(NOT(ISNUMBER(INDIRECT("'"&amp;A5310&amp;"'!"&amp;B5310))),TRUE,FALSE))</f>
        <v>0</v>
      </c>
      <c r="E5310" t="s">
        <v>435</v>
      </c>
      <c r="F5310" t="str">
        <f>INDEX(Lists!I:I,MATCH(Validation!E5310,Lists!G:G,0))</f>
        <v>Error</v>
      </c>
      <c r="G5310" t="str">
        <f>INDEX(Lists!H:H,MATCH(Validation!E5310,Lists!G:G,0))</f>
        <v>Enter an amount only. Do not enter text or spaces.</v>
      </c>
      <c r="H5310" s="16" t="str">
        <f t="shared" ca="1" si="570"/>
        <v/>
      </c>
      <c r="I5310" s="16" t="str">
        <f t="shared" ca="1" si="571"/>
        <v/>
      </c>
      <c r="J5310" s="17" t="str">
        <f t="shared" ca="1" si="572"/>
        <v/>
      </c>
    </row>
    <row r="5311" spans="1:10" x14ac:dyDescent="0.25">
      <c r="A5311" t="s">
        <v>944</v>
      </c>
      <c r="B5311" t="str">
        <f>ADDRESS(ROW('Loan 1'!$B$21),COLUMN('Loan 1'!$B$21),4)</f>
        <v>B21</v>
      </c>
      <c r="C5311" t="str">
        <f>ADDRESS(ROW('Loan 1'!$D$21),COLUMN('Loan 1'!$D$21),4)</f>
        <v>D21</v>
      </c>
      <c r="D5311" t="b" cm="1">
        <f t="array" aca="1" ref="D5311" ca="1">IF(INDIRECT("'"&amp;A5311&amp;"'!"&amp;B5311)="",FALSE,IF(NOT(ISNUMBER(INDIRECT("'"&amp;A5311&amp;"'!"&amp;B5311))),TRUE,FALSE))</f>
        <v>0</v>
      </c>
      <c r="E5311" t="s">
        <v>435</v>
      </c>
      <c r="F5311" t="str">
        <f>INDEX(Lists!I:I,MATCH(Validation!E5311,Lists!G:G,0))</f>
        <v>Error</v>
      </c>
      <c r="G5311" t="str">
        <f>INDEX(Lists!H:H,MATCH(Validation!E5311,Lists!G:G,0))</f>
        <v>Enter an amount only. Do not enter text or spaces.</v>
      </c>
      <c r="H5311" s="16" t="str">
        <f t="shared" ca="1" si="570"/>
        <v/>
      </c>
      <c r="I5311" s="16" t="str">
        <f t="shared" ca="1" si="571"/>
        <v/>
      </c>
      <c r="J5311" s="17" t="str">
        <f t="shared" ca="1" si="572"/>
        <v/>
      </c>
    </row>
    <row r="5312" spans="1:10" x14ac:dyDescent="0.25">
      <c r="A5312" t="s">
        <v>945</v>
      </c>
      <c r="B5312" t="str">
        <f>ADDRESS(ROW('Loan 1'!$B$21),COLUMN('Loan 1'!$B$21),4)</f>
        <v>B21</v>
      </c>
      <c r="C5312" t="str">
        <f>ADDRESS(ROW('Loan 1'!$D$21),COLUMN('Loan 1'!$D$21),4)</f>
        <v>D21</v>
      </c>
      <c r="D5312" t="b" cm="1">
        <f t="array" aca="1" ref="D5312" ca="1">IF(INDIRECT("'"&amp;A5312&amp;"'!"&amp;B5312)="",FALSE,IF(NOT(ISNUMBER(INDIRECT("'"&amp;A5312&amp;"'!"&amp;B5312))),TRUE,FALSE))</f>
        <v>0</v>
      </c>
      <c r="E5312" t="s">
        <v>435</v>
      </c>
      <c r="F5312" t="str">
        <f>INDEX(Lists!I:I,MATCH(Validation!E5312,Lists!G:G,0))</f>
        <v>Error</v>
      </c>
      <c r="G5312" t="str">
        <f>INDEX(Lists!H:H,MATCH(Validation!E5312,Lists!G:G,0))</f>
        <v>Enter an amount only. Do not enter text or spaces.</v>
      </c>
      <c r="H5312" s="16" t="str">
        <f t="shared" ca="1" si="570"/>
        <v/>
      </c>
      <c r="I5312" s="16" t="str">
        <f t="shared" ca="1" si="571"/>
        <v/>
      </c>
      <c r="J5312" s="17" t="str">
        <f t="shared" ca="1" si="572"/>
        <v/>
      </c>
    </row>
    <row r="5313" spans="1:10" x14ac:dyDescent="0.25">
      <c r="A5313" t="s">
        <v>205</v>
      </c>
      <c r="B5313" t="str">
        <f>ADDRESS(ROW('Loan 1'!$B$21),COLUMN('Loan 1'!$B$21),4)</f>
        <v>B21</v>
      </c>
      <c r="C5313" t="str">
        <f>ADDRESS(ROW('Loan 1'!$D$21),COLUMN('Loan 1'!$D$21),4)</f>
        <v>D21</v>
      </c>
      <c r="D5313" t="b" cm="1">
        <f t="array" aca="1" ref="D5313" ca="1">IF(INDIRECT("'"&amp;A5313&amp;"'!"&amp;B5313)="",FALSE,IF(INDIRECT("'"&amp;A5313&amp;"'!"&amp;B5313)&lt;0,TRUE,FALSE))</f>
        <v>0</v>
      </c>
      <c r="E5313" t="s">
        <v>434</v>
      </c>
      <c r="F5313" t="str">
        <f>INDEX(Lists!I:I,MATCH(Validation!E5313,Lists!G:G,0))</f>
        <v>Error</v>
      </c>
      <c r="G5313" t="str">
        <f>INDEX(Lists!H:H,MATCH(Validation!E5313,Lists!G:G,0))</f>
        <v>Amount may not be negative. Enter an amount greater than or equal to zero.</v>
      </c>
      <c r="H5313" s="16" t="str">
        <f ca="1">IFERROR(IF(OR(NOT(D5313),F5313&lt;&gt;"Error"),"",A5313&amp;CELL("address",INDIRECT(B5313))),"")</f>
        <v/>
      </c>
      <c r="I5313" s="16" t="str">
        <f ca="1">IFERROR(IF(NOT(D5313),"",A5313&amp;CELL("address",INDIRECT(C5313))),"")</f>
        <v/>
      </c>
      <c r="J5313" s="17" t="str">
        <f ca="1">IFERROR(IF(NOT(D5313),"",A5313),"")</f>
        <v/>
      </c>
    </row>
    <row r="5314" spans="1:10" x14ac:dyDescent="0.25">
      <c r="A5314" t="s">
        <v>932</v>
      </c>
      <c r="B5314" t="str">
        <f>ADDRESS(ROW('Loan 1'!$B$21),COLUMN('Loan 1'!$B$21),4)</f>
        <v>B21</v>
      </c>
      <c r="C5314" t="str">
        <f>ADDRESS(ROW('Loan 1'!$D$21),COLUMN('Loan 1'!$D$21),4)</f>
        <v>D21</v>
      </c>
      <c r="D5314" t="b" cm="1">
        <f t="array" aca="1" ref="D5314" ca="1">IF(INDIRECT("'"&amp;A5314&amp;"'!"&amp;B5314)="",FALSE,IF(INDIRECT("'"&amp;A5314&amp;"'!"&amp;B5314)&lt;0,TRUE,FALSE))</f>
        <v>0</v>
      </c>
      <c r="E5314" t="s">
        <v>434</v>
      </c>
      <c r="F5314" t="str">
        <f>INDEX(Lists!I:I,MATCH(Validation!E5314,Lists!G:G,0))</f>
        <v>Error</v>
      </c>
      <c r="G5314" t="str">
        <f>INDEX(Lists!H:H,MATCH(Validation!E5314,Lists!G:G,0))</f>
        <v>Amount may not be negative. Enter an amount greater than or equal to zero.</v>
      </c>
      <c r="H5314" s="16" t="str">
        <f t="shared" ref="H5314:H5342" ca="1" si="573">IFERROR(IF(OR(NOT(D5314),F5314&lt;&gt;"Error"),"",A5314&amp;CELL("address",INDIRECT(B5314))),"")</f>
        <v/>
      </c>
      <c r="I5314" s="16" t="str">
        <f t="shared" ref="I5314:I5342" ca="1" si="574">IFERROR(IF(NOT(D5314),"",A5314&amp;CELL("address",INDIRECT(C5314))),"")</f>
        <v/>
      </c>
      <c r="J5314" s="17" t="str">
        <f t="shared" ref="J5314:J5342" ca="1" si="575">IFERROR(IF(NOT(D5314),"",A5314),"")</f>
        <v/>
      </c>
    </row>
    <row r="5315" spans="1:10" x14ac:dyDescent="0.25">
      <c r="A5315" t="s">
        <v>933</v>
      </c>
      <c r="B5315" t="str">
        <f>ADDRESS(ROW('Loan 1'!$B$21),COLUMN('Loan 1'!$B$21),4)</f>
        <v>B21</v>
      </c>
      <c r="C5315" t="str">
        <f>ADDRESS(ROW('Loan 1'!$D$21),COLUMN('Loan 1'!$D$21),4)</f>
        <v>D21</v>
      </c>
      <c r="D5315" t="b" cm="1">
        <f t="array" aca="1" ref="D5315" ca="1">IF(INDIRECT("'"&amp;A5315&amp;"'!"&amp;B5315)="",FALSE,IF(INDIRECT("'"&amp;A5315&amp;"'!"&amp;B5315)&lt;0,TRUE,FALSE))</f>
        <v>0</v>
      </c>
      <c r="E5315" t="s">
        <v>434</v>
      </c>
      <c r="F5315" t="str">
        <f>INDEX(Lists!I:I,MATCH(Validation!E5315,Lists!G:G,0))</f>
        <v>Error</v>
      </c>
      <c r="G5315" t="str">
        <f>INDEX(Lists!H:H,MATCH(Validation!E5315,Lists!G:G,0))</f>
        <v>Amount may not be negative. Enter an amount greater than or equal to zero.</v>
      </c>
      <c r="H5315" s="16" t="str">
        <f t="shared" ca="1" si="573"/>
        <v/>
      </c>
      <c r="I5315" s="16" t="str">
        <f t="shared" ca="1" si="574"/>
        <v/>
      </c>
      <c r="J5315" s="17" t="str">
        <f t="shared" ca="1" si="575"/>
        <v/>
      </c>
    </row>
    <row r="5316" spans="1:10" x14ac:dyDescent="0.25">
      <c r="A5316" t="s">
        <v>934</v>
      </c>
      <c r="B5316" t="str">
        <f>ADDRESS(ROW('Loan 1'!$B$21),COLUMN('Loan 1'!$B$21),4)</f>
        <v>B21</v>
      </c>
      <c r="C5316" t="str">
        <f>ADDRESS(ROW('Loan 1'!$D$21),COLUMN('Loan 1'!$D$21),4)</f>
        <v>D21</v>
      </c>
      <c r="D5316" t="b" cm="1">
        <f t="array" aca="1" ref="D5316" ca="1">IF(INDIRECT("'"&amp;A5316&amp;"'!"&amp;B5316)="",FALSE,IF(INDIRECT("'"&amp;A5316&amp;"'!"&amp;B5316)&lt;0,TRUE,FALSE))</f>
        <v>0</v>
      </c>
      <c r="E5316" t="s">
        <v>434</v>
      </c>
      <c r="F5316" t="str">
        <f>INDEX(Lists!I:I,MATCH(Validation!E5316,Lists!G:G,0))</f>
        <v>Error</v>
      </c>
      <c r="G5316" t="str">
        <f>INDEX(Lists!H:H,MATCH(Validation!E5316,Lists!G:G,0))</f>
        <v>Amount may not be negative. Enter an amount greater than or equal to zero.</v>
      </c>
      <c r="H5316" s="16" t="str">
        <f t="shared" ca="1" si="573"/>
        <v/>
      </c>
      <c r="I5316" s="16" t="str">
        <f t="shared" ca="1" si="574"/>
        <v/>
      </c>
      <c r="J5316" s="17" t="str">
        <f t="shared" ca="1" si="575"/>
        <v/>
      </c>
    </row>
    <row r="5317" spans="1:10" x14ac:dyDescent="0.25">
      <c r="A5317" t="s">
        <v>935</v>
      </c>
      <c r="B5317" t="str">
        <f>ADDRESS(ROW('Loan 1'!$B$21),COLUMN('Loan 1'!$B$21),4)</f>
        <v>B21</v>
      </c>
      <c r="C5317" t="str">
        <f>ADDRESS(ROW('Loan 1'!$D$21),COLUMN('Loan 1'!$D$21),4)</f>
        <v>D21</v>
      </c>
      <c r="D5317" t="b" cm="1">
        <f t="array" aca="1" ref="D5317" ca="1">IF(INDIRECT("'"&amp;A5317&amp;"'!"&amp;B5317)="",FALSE,IF(INDIRECT("'"&amp;A5317&amp;"'!"&amp;B5317)&lt;0,TRUE,FALSE))</f>
        <v>0</v>
      </c>
      <c r="E5317" t="s">
        <v>434</v>
      </c>
      <c r="F5317" t="str">
        <f>INDEX(Lists!I:I,MATCH(Validation!E5317,Lists!G:G,0))</f>
        <v>Error</v>
      </c>
      <c r="G5317" t="str">
        <f>INDEX(Lists!H:H,MATCH(Validation!E5317,Lists!G:G,0))</f>
        <v>Amount may not be negative. Enter an amount greater than or equal to zero.</v>
      </c>
      <c r="H5317" s="16" t="str">
        <f t="shared" ca="1" si="573"/>
        <v/>
      </c>
      <c r="I5317" s="16" t="str">
        <f t="shared" ca="1" si="574"/>
        <v/>
      </c>
      <c r="J5317" s="17" t="str">
        <f t="shared" ca="1" si="575"/>
        <v/>
      </c>
    </row>
    <row r="5318" spans="1:10" x14ac:dyDescent="0.25">
      <c r="A5318" t="s">
        <v>936</v>
      </c>
      <c r="B5318" t="str">
        <f>ADDRESS(ROW('Loan 1'!$B$21),COLUMN('Loan 1'!$B$21),4)</f>
        <v>B21</v>
      </c>
      <c r="C5318" t="str">
        <f>ADDRESS(ROW('Loan 1'!$D$21),COLUMN('Loan 1'!$D$21),4)</f>
        <v>D21</v>
      </c>
      <c r="D5318" t="b" cm="1">
        <f t="array" aca="1" ref="D5318" ca="1">IF(INDIRECT("'"&amp;A5318&amp;"'!"&amp;B5318)="",FALSE,IF(INDIRECT("'"&amp;A5318&amp;"'!"&amp;B5318)&lt;0,TRUE,FALSE))</f>
        <v>0</v>
      </c>
      <c r="E5318" t="s">
        <v>434</v>
      </c>
      <c r="F5318" t="str">
        <f>INDEX(Lists!I:I,MATCH(Validation!E5318,Lists!G:G,0))</f>
        <v>Error</v>
      </c>
      <c r="G5318" t="str">
        <f>INDEX(Lists!H:H,MATCH(Validation!E5318,Lists!G:G,0))</f>
        <v>Amount may not be negative. Enter an amount greater than or equal to zero.</v>
      </c>
      <c r="H5318" s="16" t="str">
        <f t="shared" ca="1" si="573"/>
        <v/>
      </c>
      <c r="I5318" s="16" t="str">
        <f t="shared" ca="1" si="574"/>
        <v/>
      </c>
      <c r="J5318" s="17" t="str">
        <f t="shared" ca="1" si="575"/>
        <v/>
      </c>
    </row>
    <row r="5319" spans="1:10" x14ac:dyDescent="0.25">
      <c r="A5319" t="s">
        <v>937</v>
      </c>
      <c r="B5319" t="str">
        <f>ADDRESS(ROW('Loan 1'!$B$21),COLUMN('Loan 1'!$B$21),4)</f>
        <v>B21</v>
      </c>
      <c r="C5319" t="str">
        <f>ADDRESS(ROW('Loan 1'!$D$21),COLUMN('Loan 1'!$D$21),4)</f>
        <v>D21</v>
      </c>
      <c r="D5319" t="b" cm="1">
        <f t="array" aca="1" ref="D5319" ca="1">IF(INDIRECT("'"&amp;A5319&amp;"'!"&amp;B5319)="",FALSE,IF(INDIRECT("'"&amp;A5319&amp;"'!"&amp;B5319)&lt;0,TRUE,FALSE))</f>
        <v>0</v>
      </c>
      <c r="E5319" t="s">
        <v>434</v>
      </c>
      <c r="F5319" t="str">
        <f>INDEX(Lists!I:I,MATCH(Validation!E5319,Lists!G:G,0))</f>
        <v>Error</v>
      </c>
      <c r="G5319" t="str">
        <f>INDEX(Lists!H:H,MATCH(Validation!E5319,Lists!G:G,0))</f>
        <v>Amount may not be negative. Enter an amount greater than or equal to zero.</v>
      </c>
      <c r="H5319" s="16" t="str">
        <f t="shared" ca="1" si="573"/>
        <v/>
      </c>
      <c r="I5319" s="16" t="str">
        <f t="shared" ca="1" si="574"/>
        <v/>
      </c>
      <c r="J5319" s="17" t="str">
        <f t="shared" ca="1" si="575"/>
        <v/>
      </c>
    </row>
    <row r="5320" spans="1:10" x14ac:dyDescent="0.25">
      <c r="A5320" t="s">
        <v>938</v>
      </c>
      <c r="B5320" t="str">
        <f>ADDRESS(ROW('Loan 1'!$B$21),COLUMN('Loan 1'!$B$21),4)</f>
        <v>B21</v>
      </c>
      <c r="C5320" t="str">
        <f>ADDRESS(ROW('Loan 1'!$D$21),COLUMN('Loan 1'!$D$21),4)</f>
        <v>D21</v>
      </c>
      <c r="D5320" t="b" cm="1">
        <f t="array" aca="1" ref="D5320" ca="1">IF(INDIRECT("'"&amp;A5320&amp;"'!"&amp;B5320)="",FALSE,IF(INDIRECT("'"&amp;A5320&amp;"'!"&amp;B5320)&lt;0,TRUE,FALSE))</f>
        <v>0</v>
      </c>
      <c r="E5320" t="s">
        <v>434</v>
      </c>
      <c r="F5320" t="str">
        <f>INDEX(Lists!I:I,MATCH(Validation!E5320,Lists!G:G,0))</f>
        <v>Error</v>
      </c>
      <c r="G5320" t="str">
        <f>INDEX(Lists!H:H,MATCH(Validation!E5320,Lists!G:G,0))</f>
        <v>Amount may not be negative. Enter an amount greater than or equal to zero.</v>
      </c>
      <c r="H5320" s="16" t="str">
        <f t="shared" ca="1" si="573"/>
        <v/>
      </c>
      <c r="I5320" s="16" t="str">
        <f t="shared" ca="1" si="574"/>
        <v/>
      </c>
      <c r="J5320" s="17" t="str">
        <f t="shared" ca="1" si="575"/>
        <v/>
      </c>
    </row>
    <row r="5321" spans="1:10" x14ac:dyDescent="0.25">
      <c r="A5321" t="s">
        <v>939</v>
      </c>
      <c r="B5321" t="str">
        <f>ADDRESS(ROW('Loan 1'!$B$21),COLUMN('Loan 1'!$B$21),4)</f>
        <v>B21</v>
      </c>
      <c r="C5321" t="str">
        <f>ADDRESS(ROW('Loan 1'!$D$21),COLUMN('Loan 1'!$D$21),4)</f>
        <v>D21</v>
      </c>
      <c r="D5321" t="b" cm="1">
        <f t="array" aca="1" ref="D5321" ca="1">IF(INDIRECT("'"&amp;A5321&amp;"'!"&amp;B5321)="",FALSE,IF(INDIRECT("'"&amp;A5321&amp;"'!"&amp;B5321)&lt;0,TRUE,FALSE))</f>
        <v>0</v>
      </c>
      <c r="E5321" t="s">
        <v>434</v>
      </c>
      <c r="F5321" t="str">
        <f>INDEX(Lists!I:I,MATCH(Validation!E5321,Lists!G:G,0))</f>
        <v>Error</v>
      </c>
      <c r="G5321" t="str">
        <f>INDEX(Lists!H:H,MATCH(Validation!E5321,Lists!G:G,0))</f>
        <v>Amount may not be negative. Enter an amount greater than or equal to zero.</v>
      </c>
      <c r="H5321" s="16" t="str">
        <f t="shared" ca="1" si="573"/>
        <v/>
      </c>
      <c r="I5321" s="16" t="str">
        <f t="shared" ca="1" si="574"/>
        <v/>
      </c>
      <c r="J5321" s="17" t="str">
        <f t="shared" ca="1" si="575"/>
        <v/>
      </c>
    </row>
    <row r="5322" spans="1:10" x14ac:dyDescent="0.25">
      <c r="A5322" t="s">
        <v>940</v>
      </c>
      <c r="B5322" t="str">
        <f>ADDRESS(ROW('Loan 1'!$B$21),COLUMN('Loan 1'!$B$21),4)</f>
        <v>B21</v>
      </c>
      <c r="C5322" t="str">
        <f>ADDRESS(ROW('Loan 1'!$D$21),COLUMN('Loan 1'!$D$21),4)</f>
        <v>D21</v>
      </c>
      <c r="D5322" t="b" cm="1">
        <f t="array" aca="1" ref="D5322" ca="1">IF(INDIRECT("'"&amp;A5322&amp;"'!"&amp;B5322)="",FALSE,IF(INDIRECT("'"&amp;A5322&amp;"'!"&amp;B5322)&lt;0,TRUE,FALSE))</f>
        <v>0</v>
      </c>
      <c r="E5322" t="s">
        <v>434</v>
      </c>
      <c r="F5322" t="str">
        <f>INDEX(Lists!I:I,MATCH(Validation!E5322,Lists!G:G,0))</f>
        <v>Error</v>
      </c>
      <c r="G5322" t="str">
        <f>INDEX(Lists!H:H,MATCH(Validation!E5322,Lists!G:G,0))</f>
        <v>Amount may not be negative. Enter an amount greater than or equal to zero.</v>
      </c>
      <c r="H5322" s="16" t="str">
        <f t="shared" ca="1" si="573"/>
        <v/>
      </c>
      <c r="I5322" s="16" t="str">
        <f t="shared" ca="1" si="574"/>
        <v/>
      </c>
      <c r="J5322" s="17" t="str">
        <f t="shared" ca="1" si="575"/>
        <v/>
      </c>
    </row>
    <row r="5323" spans="1:10" x14ac:dyDescent="0.25">
      <c r="A5323" t="s">
        <v>941</v>
      </c>
      <c r="B5323" t="str">
        <f>ADDRESS(ROW('Loan 1'!$B$21),COLUMN('Loan 1'!$B$21),4)</f>
        <v>B21</v>
      </c>
      <c r="C5323" t="str">
        <f>ADDRESS(ROW('Loan 1'!$D$21),COLUMN('Loan 1'!$D$21),4)</f>
        <v>D21</v>
      </c>
      <c r="D5323" t="b" cm="1">
        <f t="array" aca="1" ref="D5323" ca="1">IF(INDIRECT("'"&amp;A5323&amp;"'!"&amp;B5323)="",FALSE,IF(INDIRECT("'"&amp;A5323&amp;"'!"&amp;B5323)&lt;0,TRUE,FALSE))</f>
        <v>0</v>
      </c>
      <c r="E5323" t="s">
        <v>434</v>
      </c>
      <c r="F5323" t="str">
        <f>INDEX(Lists!I:I,MATCH(Validation!E5323,Lists!G:G,0))</f>
        <v>Error</v>
      </c>
      <c r="G5323" t="str">
        <f>INDEX(Lists!H:H,MATCH(Validation!E5323,Lists!G:G,0))</f>
        <v>Amount may not be negative. Enter an amount greater than or equal to zero.</v>
      </c>
      <c r="H5323" s="16" t="str">
        <f t="shared" ca="1" si="573"/>
        <v/>
      </c>
      <c r="I5323" s="16" t="str">
        <f t="shared" ca="1" si="574"/>
        <v/>
      </c>
      <c r="J5323" s="17" t="str">
        <f t="shared" ca="1" si="575"/>
        <v/>
      </c>
    </row>
    <row r="5324" spans="1:10" x14ac:dyDescent="0.25">
      <c r="A5324" t="s">
        <v>942</v>
      </c>
      <c r="B5324" t="str">
        <f>ADDRESS(ROW('Loan 1'!$B$21),COLUMN('Loan 1'!$B$21),4)</f>
        <v>B21</v>
      </c>
      <c r="C5324" t="str">
        <f>ADDRESS(ROW('Loan 1'!$D$21),COLUMN('Loan 1'!$D$21),4)</f>
        <v>D21</v>
      </c>
      <c r="D5324" t="b" cm="1">
        <f t="array" aca="1" ref="D5324" ca="1">IF(INDIRECT("'"&amp;A5324&amp;"'!"&amp;B5324)="",FALSE,IF(INDIRECT("'"&amp;A5324&amp;"'!"&amp;B5324)&lt;0,TRUE,FALSE))</f>
        <v>0</v>
      </c>
      <c r="E5324" t="s">
        <v>434</v>
      </c>
      <c r="F5324" t="str">
        <f>INDEX(Lists!I:I,MATCH(Validation!E5324,Lists!G:G,0))</f>
        <v>Error</v>
      </c>
      <c r="G5324" t="str">
        <f>INDEX(Lists!H:H,MATCH(Validation!E5324,Lists!G:G,0))</f>
        <v>Amount may not be negative. Enter an amount greater than or equal to zero.</v>
      </c>
      <c r="H5324" s="16" t="str">
        <f t="shared" ca="1" si="573"/>
        <v/>
      </c>
      <c r="I5324" s="16" t="str">
        <f t="shared" ca="1" si="574"/>
        <v/>
      </c>
      <c r="J5324" s="17" t="str">
        <f t="shared" ca="1" si="575"/>
        <v/>
      </c>
    </row>
    <row r="5325" spans="1:10" x14ac:dyDescent="0.25">
      <c r="A5325" t="s">
        <v>943</v>
      </c>
      <c r="B5325" t="str">
        <f>ADDRESS(ROW('Loan 1'!$B$21),COLUMN('Loan 1'!$B$21),4)</f>
        <v>B21</v>
      </c>
      <c r="C5325" t="str">
        <f>ADDRESS(ROW('Loan 1'!$D$21),COLUMN('Loan 1'!$D$21),4)</f>
        <v>D21</v>
      </c>
      <c r="D5325" t="b" cm="1">
        <f t="array" aca="1" ref="D5325" ca="1">IF(INDIRECT("'"&amp;A5325&amp;"'!"&amp;B5325)="",FALSE,IF(INDIRECT("'"&amp;A5325&amp;"'!"&amp;B5325)&lt;0,TRUE,FALSE))</f>
        <v>0</v>
      </c>
      <c r="E5325" t="s">
        <v>434</v>
      </c>
      <c r="F5325" t="str">
        <f>INDEX(Lists!I:I,MATCH(Validation!E5325,Lists!G:G,0))</f>
        <v>Error</v>
      </c>
      <c r="G5325" t="str">
        <f>INDEX(Lists!H:H,MATCH(Validation!E5325,Lists!G:G,0))</f>
        <v>Amount may not be negative. Enter an amount greater than or equal to zero.</v>
      </c>
      <c r="H5325" s="16" t="str">
        <f t="shared" ca="1" si="573"/>
        <v/>
      </c>
      <c r="I5325" s="16" t="str">
        <f t="shared" ca="1" si="574"/>
        <v/>
      </c>
      <c r="J5325" s="17" t="str">
        <f t="shared" ca="1" si="575"/>
        <v/>
      </c>
    </row>
    <row r="5326" spans="1:10" x14ac:dyDescent="0.25">
      <c r="A5326" t="s">
        <v>944</v>
      </c>
      <c r="B5326" t="str">
        <f>ADDRESS(ROW('Loan 1'!$B$21),COLUMN('Loan 1'!$B$21),4)</f>
        <v>B21</v>
      </c>
      <c r="C5326" t="str">
        <f>ADDRESS(ROW('Loan 1'!$D$21),COLUMN('Loan 1'!$D$21),4)</f>
        <v>D21</v>
      </c>
      <c r="D5326" t="b" cm="1">
        <f t="array" aca="1" ref="D5326" ca="1">IF(INDIRECT("'"&amp;A5326&amp;"'!"&amp;B5326)="",FALSE,IF(INDIRECT("'"&amp;A5326&amp;"'!"&amp;B5326)&lt;0,TRUE,FALSE))</f>
        <v>0</v>
      </c>
      <c r="E5326" t="s">
        <v>434</v>
      </c>
      <c r="F5326" t="str">
        <f>INDEX(Lists!I:I,MATCH(Validation!E5326,Lists!G:G,0))</f>
        <v>Error</v>
      </c>
      <c r="G5326" t="str">
        <f>INDEX(Lists!H:H,MATCH(Validation!E5326,Lists!G:G,0))</f>
        <v>Amount may not be negative. Enter an amount greater than or equal to zero.</v>
      </c>
      <c r="H5326" s="16" t="str">
        <f t="shared" ca="1" si="573"/>
        <v/>
      </c>
      <c r="I5326" s="16" t="str">
        <f t="shared" ca="1" si="574"/>
        <v/>
      </c>
      <c r="J5326" s="17" t="str">
        <f t="shared" ca="1" si="575"/>
        <v/>
      </c>
    </row>
    <row r="5327" spans="1:10" x14ac:dyDescent="0.25">
      <c r="A5327" t="s">
        <v>945</v>
      </c>
      <c r="B5327" t="str">
        <f>ADDRESS(ROW('Loan 1'!$B$21),COLUMN('Loan 1'!$B$21),4)</f>
        <v>B21</v>
      </c>
      <c r="C5327" t="str">
        <f>ADDRESS(ROW('Loan 1'!$D$21),COLUMN('Loan 1'!$D$21),4)</f>
        <v>D21</v>
      </c>
      <c r="D5327" t="b" cm="1">
        <f t="array" aca="1" ref="D5327" ca="1">IF(INDIRECT("'"&amp;A5327&amp;"'!"&amp;B5327)="",FALSE,IF(INDIRECT("'"&amp;A5327&amp;"'!"&amp;B5327)&lt;0,TRUE,FALSE))</f>
        <v>0</v>
      </c>
      <c r="E5327" t="s">
        <v>434</v>
      </c>
      <c r="F5327" t="str">
        <f>INDEX(Lists!I:I,MATCH(Validation!E5327,Lists!G:G,0))</f>
        <v>Error</v>
      </c>
      <c r="G5327" t="str">
        <f>INDEX(Lists!H:H,MATCH(Validation!E5327,Lists!G:G,0))</f>
        <v>Amount may not be negative. Enter an amount greater than or equal to zero.</v>
      </c>
      <c r="H5327" s="16" t="str">
        <f t="shared" ca="1" si="573"/>
        <v/>
      </c>
      <c r="I5327" s="16" t="str">
        <f t="shared" ca="1" si="574"/>
        <v/>
      </c>
      <c r="J5327" s="17" t="str">
        <f t="shared" ca="1" si="575"/>
        <v/>
      </c>
    </row>
    <row r="5328" spans="1:10" x14ac:dyDescent="0.25">
      <c r="A5328" t="s">
        <v>205</v>
      </c>
      <c r="B5328" t="str">
        <f>ADDRESS(ROW('Loan 1'!$B$21),COLUMN('Loan 1'!$B$21),4)</f>
        <v>B21</v>
      </c>
      <c r="C5328" t="str">
        <f>ADDRESS(ROW('Loan 1'!$D$21),COLUMN('Loan 1'!$D$21),4)</f>
        <v>D21</v>
      </c>
      <c r="D5328" t="b" cm="1">
        <f t="array" aca="1" ref="D5328" ca="1">IF(INDIRECT("'"&amp;A5328&amp;"'!"&amp;B5328)="",FALSE,IF(TRUNC(INDIRECT("'"&amp;A5328&amp;"'!"&amp;B5328))=INDIRECT("'"&amp;A5328&amp;"'!"&amp;B5328),FALSE,TRUE))</f>
        <v>0</v>
      </c>
      <c r="E5328" t="s">
        <v>436</v>
      </c>
      <c r="F5328" t="str">
        <f>INDEX(Lists!I:I,MATCH(Validation!E5328,Lists!G:G,0))</f>
        <v>Error</v>
      </c>
      <c r="G5328" t="str">
        <f>INDEX(Lists!H:H,MATCH(Validation!E5328,Lists!G:G,0))</f>
        <v>Amount must be rounded to the nearest dollar.</v>
      </c>
      <c r="H5328" s="16" t="str">
        <f t="shared" ca="1" si="573"/>
        <v/>
      </c>
      <c r="I5328" s="16" t="str">
        <f t="shared" ca="1" si="574"/>
        <v/>
      </c>
      <c r="J5328" s="17" t="str">
        <f t="shared" ca="1" si="575"/>
        <v/>
      </c>
    </row>
    <row r="5329" spans="1:10" x14ac:dyDescent="0.25">
      <c r="A5329" t="s">
        <v>932</v>
      </c>
      <c r="B5329" t="str">
        <f>ADDRESS(ROW('Loan 1'!$B$21),COLUMN('Loan 1'!$B$21),4)</f>
        <v>B21</v>
      </c>
      <c r="C5329" t="str">
        <f>ADDRESS(ROW('Loan 1'!$D$21),COLUMN('Loan 1'!$D$21),4)</f>
        <v>D21</v>
      </c>
      <c r="D5329" t="b" cm="1">
        <f t="array" aca="1" ref="D5329" ca="1">IF(INDIRECT("'"&amp;A5329&amp;"'!"&amp;B5329)="",FALSE,IF(TRUNC(INDIRECT("'"&amp;A5329&amp;"'!"&amp;B5329))=INDIRECT("'"&amp;A5329&amp;"'!"&amp;B5329),FALSE,TRUE))</f>
        <v>0</v>
      </c>
      <c r="E5329" t="s">
        <v>436</v>
      </c>
      <c r="F5329" t="str">
        <f>INDEX(Lists!I:I,MATCH(Validation!E5329,Lists!G:G,0))</f>
        <v>Error</v>
      </c>
      <c r="G5329" t="str">
        <f>INDEX(Lists!H:H,MATCH(Validation!E5329,Lists!G:G,0))</f>
        <v>Amount must be rounded to the nearest dollar.</v>
      </c>
      <c r="H5329" s="16" t="str">
        <f t="shared" ca="1" si="573"/>
        <v/>
      </c>
      <c r="I5329" s="16" t="str">
        <f t="shared" ca="1" si="574"/>
        <v/>
      </c>
      <c r="J5329" s="17" t="str">
        <f t="shared" ca="1" si="575"/>
        <v/>
      </c>
    </row>
    <row r="5330" spans="1:10" x14ac:dyDescent="0.25">
      <c r="A5330" t="s">
        <v>933</v>
      </c>
      <c r="B5330" t="str">
        <f>ADDRESS(ROW('Loan 1'!$B$21),COLUMN('Loan 1'!$B$21),4)</f>
        <v>B21</v>
      </c>
      <c r="C5330" t="str">
        <f>ADDRESS(ROW('Loan 1'!$D$21),COLUMN('Loan 1'!$D$21),4)</f>
        <v>D21</v>
      </c>
      <c r="D5330" t="b" cm="1">
        <f t="array" aca="1" ref="D5330" ca="1">IF(INDIRECT("'"&amp;A5330&amp;"'!"&amp;B5330)="",FALSE,IF(TRUNC(INDIRECT("'"&amp;A5330&amp;"'!"&amp;B5330))=INDIRECT("'"&amp;A5330&amp;"'!"&amp;B5330),FALSE,TRUE))</f>
        <v>0</v>
      </c>
      <c r="E5330" t="s">
        <v>436</v>
      </c>
      <c r="F5330" t="str">
        <f>INDEX(Lists!I:I,MATCH(Validation!E5330,Lists!G:G,0))</f>
        <v>Error</v>
      </c>
      <c r="G5330" t="str">
        <f>INDEX(Lists!H:H,MATCH(Validation!E5330,Lists!G:G,0))</f>
        <v>Amount must be rounded to the nearest dollar.</v>
      </c>
      <c r="H5330" s="16" t="str">
        <f t="shared" ca="1" si="573"/>
        <v/>
      </c>
      <c r="I5330" s="16" t="str">
        <f t="shared" ca="1" si="574"/>
        <v/>
      </c>
      <c r="J5330" s="17" t="str">
        <f t="shared" ca="1" si="575"/>
        <v/>
      </c>
    </row>
    <row r="5331" spans="1:10" x14ac:dyDescent="0.25">
      <c r="A5331" t="s">
        <v>934</v>
      </c>
      <c r="B5331" t="str">
        <f>ADDRESS(ROW('Loan 1'!$B$21),COLUMN('Loan 1'!$B$21),4)</f>
        <v>B21</v>
      </c>
      <c r="C5331" t="str">
        <f>ADDRESS(ROW('Loan 1'!$D$21),COLUMN('Loan 1'!$D$21),4)</f>
        <v>D21</v>
      </c>
      <c r="D5331" t="b" cm="1">
        <f t="array" aca="1" ref="D5331" ca="1">IF(INDIRECT("'"&amp;A5331&amp;"'!"&amp;B5331)="",FALSE,IF(TRUNC(INDIRECT("'"&amp;A5331&amp;"'!"&amp;B5331))=INDIRECT("'"&amp;A5331&amp;"'!"&amp;B5331),FALSE,TRUE))</f>
        <v>0</v>
      </c>
      <c r="E5331" t="s">
        <v>436</v>
      </c>
      <c r="F5331" t="str">
        <f>INDEX(Lists!I:I,MATCH(Validation!E5331,Lists!G:G,0))</f>
        <v>Error</v>
      </c>
      <c r="G5331" t="str">
        <f>INDEX(Lists!H:H,MATCH(Validation!E5331,Lists!G:G,0))</f>
        <v>Amount must be rounded to the nearest dollar.</v>
      </c>
      <c r="H5331" s="16" t="str">
        <f t="shared" ca="1" si="573"/>
        <v/>
      </c>
      <c r="I5331" s="16" t="str">
        <f t="shared" ca="1" si="574"/>
        <v/>
      </c>
      <c r="J5331" s="17" t="str">
        <f t="shared" ca="1" si="575"/>
        <v/>
      </c>
    </row>
    <row r="5332" spans="1:10" x14ac:dyDescent="0.25">
      <c r="A5332" t="s">
        <v>935</v>
      </c>
      <c r="B5332" t="str">
        <f>ADDRESS(ROW('Loan 1'!$B$21),COLUMN('Loan 1'!$B$21),4)</f>
        <v>B21</v>
      </c>
      <c r="C5332" t="str">
        <f>ADDRESS(ROW('Loan 1'!$D$21),COLUMN('Loan 1'!$D$21),4)</f>
        <v>D21</v>
      </c>
      <c r="D5332" t="b" cm="1">
        <f t="array" aca="1" ref="D5332" ca="1">IF(INDIRECT("'"&amp;A5332&amp;"'!"&amp;B5332)="",FALSE,IF(TRUNC(INDIRECT("'"&amp;A5332&amp;"'!"&amp;B5332))=INDIRECT("'"&amp;A5332&amp;"'!"&amp;B5332),FALSE,TRUE))</f>
        <v>0</v>
      </c>
      <c r="E5332" t="s">
        <v>436</v>
      </c>
      <c r="F5332" t="str">
        <f>INDEX(Lists!I:I,MATCH(Validation!E5332,Lists!G:G,0))</f>
        <v>Error</v>
      </c>
      <c r="G5332" t="str">
        <f>INDEX(Lists!H:H,MATCH(Validation!E5332,Lists!G:G,0))</f>
        <v>Amount must be rounded to the nearest dollar.</v>
      </c>
      <c r="H5332" s="16" t="str">
        <f t="shared" ca="1" si="573"/>
        <v/>
      </c>
      <c r="I5332" s="16" t="str">
        <f t="shared" ca="1" si="574"/>
        <v/>
      </c>
      <c r="J5332" s="17" t="str">
        <f t="shared" ca="1" si="575"/>
        <v/>
      </c>
    </row>
    <row r="5333" spans="1:10" x14ac:dyDescent="0.25">
      <c r="A5333" t="s">
        <v>936</v>
      </c>
      <c r="B5333" t="str">
        <f>ADDRESS(ROW('Loan 1'!$B$21),COLUMN('Loan 1'!$B$21),4)</f>
        <v>B21</v>
      </c>
      <c r="C5333" t="str">
        <f>ADDRESS(ROW('Loan 1'!$D$21),COLUMN('Loan 1'!$D$21),4)</f>
        <v>D21</v>
      </c>
      <c r="D5333" t="b" cm="1">
        <f t="array" aca="1" ref="D5333" ca="1">IF(INDIRECT("'"&amp;A5333&amp;"'!"&amp;B5333)="",FALSE,IF(TRUNC(INDIRECT("'"&amp;A5333&amp;"'!"&amp;B5333))=INDIRECT("'"&amp;A5333&amp;"'!"&amp;B5333),FALSE,TRUE))</f>
        <v>0</v>
      </c>
      <c r="E5333" t="s">
        <v>436</v>
      </c>
      <c r="F5333" t="str">
        <f>INDEX(Lists!I:I,MATCH(Validation!E5333,Lists!G:G,0))</f>
        <v>Error</v>
      </c>
      <c r="G5333" t="str">
        <f>INDEX(Lists!H:H,MATCH(Validation!E5333,Lists!G:G,0))</f>
        <v>Amount must be rounded to the nearest dollar.</v>
      </c>
      <c r="H5333" s="16" t="str">
        <f t="shared" ca="1" si="573"/>
        <v/>
      </c>
      <c r="I5333" s="16" t="str">
        <f t="shared" ca="1" si="574"/>
        <v/>
      </c>
      <c r="J5333" s="17" t="str">
        <f t="shared" ca="1" si="575"/>
        <v/>
      </c>
    </row>
    <row r="5334" spans="1:10" x14ac:dyDescent="0.25">
      <c r="A5334" t="s">
        <v>937</v>
      </c>
      <c r="B5334" t="str">
        <f>ADDRESS(ROW('Loan 1'!$B$21),COLUMN('Loan 1'!$B$21),4)</f>
        <v>B21</v>
      </c>
      <c r="C5334" t="str">
        <f>ADDRESS(ROW('Loan 1'!$D$21),COLUMN('Loan 1'!$D$21),4)</f>
        <v>D21</v>
      </c>
      <c r="D5334" t="b" cm="1">
        <f t="array" aca="1" ref="D5334" ca="1">IF(INDIRECT("'"&amp;A5334&amp;"'!"&amp;B5334)="",FALSE,IF(TRUNC(INDIRECT("'"&amp;A5334&amp;"'!"&amp;B5334))=INDIRECT("'"&amp;A5334&amp;"'!"&amp;B5334),FALSE,TRUE))</f>
        <v>0</v>
      </c>
      <c r="E5334" t="s">
        <v>436</v>
      </c>
      <c r="F5334" t="str">
        <f>INDEX(Lists!I:I,MATCH(Validation!E5334,Lists!G:G,0))</f>
        <v>Error</v>
      </c>
      <c r="G5334" t="str">
        <f>INDEX(Lists!H:H,MATCH(Validation!E5334,Lists!G:G,0))</f>
        <v>Amount must be rounded to the nearest dollar.</v>
      </c>
      <c r="H5334" s="16" t="str">
        <f t="shared" ca="1" si="573"/>
        <v/>
      </c>
      <c r="I5334" s="16" t="str">
        <f t="shared" ca="1" si="574"/>
        <v/>
      </c>
      <c r="J5334" s="17" t="str">
        <f t="shared" ca="1" si="575"/>
        <v/>
      </c>
    </row>
    <row r="5335" spans="1:10" x14ac:dyDescent="0.25">
      <c r="A5335" t="s">
        <v>938</v>
      </c>
      <c r="B5335" t="str">
        <f>ADDRESS(ROW('Loan 1'!$B$21),COLUMN('Loan 1'!$B$21),4)</f>
        <v>B21</v>
      </c>
      <c r="C5335" t="str">
        <f>ADDRESS(ROW('Loan 1'!$D$21),COLUMN('Loan 1'!$D$21),4)</f>
        <v>D21</v>
      </c>
      <c r="D5335" t="b" cm="1">
        <f t="array" aca="1" ref="D5335" ca="1">IF(INDIRECT("'"&amp;A5335&amp;"'!"&amp;B5335)="",FALSE,IF(TRUNC(INDIRECT("'"&amp;A5335&amp;"'!"&amp;B5335))=INDIRECT("'"&amp;A5335&amp;"'!"&amp;B5335),FALSE,TRUE))</f>
        <v>0</v>
      </c>
      <c r="E5335" t="s">
        <v>436</v>
      </c>
      <c r="F5335" t="str">
        <f>INDEX(Lists!I:I,MATCH(Validation!E5335,Lists!G:G,0))</f>
        <v>Error</v>
      </c>
      <c r="G5335" t="str">
        <f>INDEX(Lists!H:H,MATCH(Validation!E5335,Lists!G:G,0))</f>
        <v>Amount must be rounded to the nearest dollar.</v>
      </c>
      <c r="H5335" s="16" t="str">
        <f t="shared" ca="1" si="573"/>
        <v/>
      </c>
      <c r="I5335" s="16" t="str">
        <f t="shared" ca="1" si="574"/>
        <v/>
      </c>
      <c r="J5335" s="17" t="str">
        <f t="shared" ca="1" si="575"/>
        <v/>
      </c>
    </row>
    <row r="5336" spans="1:10" x14ac:dyDescent="0.25">
      <c r="A5336" t="s">
        <v>939</v>
      </c>
      <c r="B5336" t="str">
        <f>ADDRESS(ROW('Loan 1'!$B$21),COLUMN('Loan 1'!$B$21),4)</f>
        <v>B21</v>
      </c>
      <c r="C5336" t="str">
        <f>ADDRESS(ROW('Loan 1'!$D$21),COLUMN('Loan 1'!$D$21),4)</f>
        <v>D21</v>
      </c>
      <c r="D5336" t="b" cm="1">
        <f t="array" aca="1" ref="D5336" ca="1">IF(INDIRECT("'"&amp;A5336&amp;"'!"&amp;B5336)="",FALSE,IF(TRUNC(INDIRECT("'"&amp;A5336&amp;"'!"&amp;B5336))=INDIRECT("'"&amp;A5336&amp;"'!"&amp;B5336),FALSE,TRUE))</f>
        <v>0</v>
      </c>
      <c r="E5336" t="s">
        <v>436</v>
      </c>
      <c r="F5336" t="str">
        <f>INDEX(Lists!I:I,MATCH(Validation!E5336,Lists!G:G,0))</f>
        <v>Error</v>
      </c>
      <c r="G5336" t="str">
        <f>INDEX(Lists!H:H,MATCH(Validation!E5336,Lists!G:G,0))</f>
        <v>Amount must be rounded to the nearest dollar.</v>
      </c>
      <c r="H5336" s="16" t="str">
        <f t="shared" ca="1" si="573"/>
        <v/>
      </c>
      <c r="I5336" s="16" t="str">
        <f t="shared" ca="1" si="574"/>
        <v/>
      </c>
      <c r="J5336" s="17" t="str">
        <f t="shared" ca="1" si="575"/>
        <v/>
      </c>
    </row>
    <row r="5337" spans="1:10" x14ac:dyDescent="0.25">
      <c r="A5337" t="s">
        <v>940</v>
      </c>
      <c r="B5337" t="str">
        <f>ADDRESS(ROW('Loan 1'!$B$21),COLUMN('Loan 1'!$B$21),4)</f>
        <v>B21</v>
      </c>
      <c r="C5337" t="str">
        <f>ADDRESS(ROW('Loan 1'!$D$21),COLUMN('Loan 1'!$D$21),4)</f>
        <v>D21</v>
      </c>
      <c r="D5337" t="b" cm="1">
        <f t="array" aca="1" ref="D5337" ca="1">IF(INDIRECT("'"&amp;A5337&amp;"'!"&amp;B5337)="",FALSE,IF(TRUNC(INDIRECT("'"&amp;A5337&amp;"'!"&amp;B5337))=INDIRECT("'"&amp;A5337&amp;"'!"&amp;B5337),FALSE,TRUE))</f>
        <v>0</v>
      </c>
      <c r="E5337" t="s">
        <v>436</v>
      </c>
      <c r="F5337" t="str">
        <f>INDEX(Lists!I:I,MATCH(Validation!E5337,Lists!G:G,0))</f>
        <v>Error</v>
      </c>
      <c r="G5337" t="str">
        <f>INDEX(Lists!H:H,MATCH(Validation!E5337,Lists!G:G,0))</f>
        <v>Amount must be rounded to the nearest dollar.</v>
      </c>
      <c r="H5337" s="16" t="str">
        <f t="shared" ca="1" si="573"/>
        <v/>
      </c>
      <c r="I5337" s="16" t="str">
        <f t="shared" ca="1" si="574"/>
        <v/>
      </c>
      <c r="J5337" s="17" t="str">
        <f t="shared" ca="1" si="575"/>
        <v/>
      </c>
    </row>
    <row r="5338" spans="1:10" x14ac:dyDescent="0.25">
      <c r="A5338" t="s">
        <v>941</v>
      </c>
      <c r="B5338" t="str">
        <f>ADDRESS(ROW('Loan 1'!$B$21),COLUMN('Loan 1'!$B$21),4)</f>
        <v>B21</v>
      </c>
      <c r="C5338" t="str">
        <f>ADDRESS(ROW('Loan 1'!$D$21),COLUMN('Loan 1'!$D$21),4)</f>
        <v>D21</v>
      </c>
      <c r="D5338" t="b" cm="1">
        <f t="array" aca="1" ref="D5338" ca="1">IF(INDIRECT("'"&amp;A5338&amp;"'!"&amp;B5338)="",FALSE,IF(TRUNC(INDIRECT("'"&amp;A5338&amp;"'!"&amp;B5338))=INDIRECT("'"&amp;A5338&amp;"'!"&amp;B5338),FALSE,TRUE))</f>
        <v>0</v>
      </c>
      <c r="E5338" t="s">
        <v>436</v>
      </c>
      <c r="F5338" t="str">
        <f>INDEX(Lists!I:I,MATCH(Validation!E5338,Lists!G:G,0))</f>
        <v>Error</v>
      </c>
      <c r="G5338" t="str">
        <f>INDEX(Lists!H:H,MATCH(Validation!E5338,Lists!G:G,0))</f>
        <v>Amount must be rounded to the nearest dollar.</v>
      </c>
      <c r="H5338" s="16" t="str">
        <f t="shared" ca="1" si="573"/>
        <v/>
      </c>
      <c r="I5338" s="16" t="str">
        <f t="shared" ca="1" si="574"/>
        <v/>
      </c>
      <c r="J5338" s="17" t="str">
        <f t="shared" ca="1" si="575"/>
        <v/>
      </c>
    </row>
    <row r="5339" spans="1:10" x14ac:dyDescent="0.25">
      <c r="A5339" t="s">
        <v>942</v>
      </c>
      <c r="B5339" t="str">
        <f>ADDRESS(ROW('Loan 1'!$B$21),COLUMN('Loan 1'!$B$21),4)</f>
        <v>B21</v>
      </c>
      <c r="C5339" t="str">
        <f>ADDRESS(ROW('Loan 1'!$D$21),COLUMN('Loan 1'!$D$21),4)</f>
        <v>D21</v>
      </c>
      <c r="D5339" t="b" cm="1">
        <f t="array" aca="1" ref="D5339" ca="1">IF(INDIRECT("'"&amp;A5339&amp;"'!"&amp;B5339)="",FALSE,IF(TRUNC(INDIRECT("'"&amp;A5339&amp;"'!"&amp;B5339))=INDIRECT("'"&amp;A5339&amp;"'!"&amp;B5339),FALSE,TRUE))</f>
        <v>0</v>
      </c>
      <c r="E5339" t="s">
        <v>436</v>
      </c>
      <c r="F5339" t="str">
        <f>INDEX(Lists!I:I,MATCH(Validation!E5339,Lists!G:G,0))</f>
        <v>Error</v>
      </c>
      <c r="G5339" t="str">
        <f>INDEX(Lists!H:H,MATCH(Validation!E5339,Lists!G:G,0))</f>
        <v>Amount must be rounded to the nearest dollar.</v>
      </c>
      <c r="H5339" s="16" t="str">
        <f t="shared" ca="1" si="573"/>
        <v/>
      </c>
      <c r="I5339" s="16" t="str">
        <f t="shared" ca="1" si="574"/>
        <v/>
      </c>
      <c r="J5339" s="17" t="str">
        <f t="shared" ca="1" si="575"/>
        <v/>
      </c>
    </row>
    <row r="5340" spans="1:10" x14ac:dyDescent="0.25">
      <c r="A5340" t="s">
        <v>943</v>
      </c>
      <c r="B5340" t="str">
        <f>ADDRESS(ROW('Loan 1'!$B$21),COLUMN('Loan 1'!$B$21),4)</f>
        <v>B21</v>
      </c>
      <c r="C5340" t="str">
        <f>ADDRESS(ROW('Loan 1'!$D$21),COLUMN('Loan 1'!$D$21),4)</f>
        <v>D21</v>
      </c>
      <c r="D5340" t="b" cm="1">
        <f t="array" aca="1" ref="D5340" ca="1">IF(INDIRECT("'"&amp;A5340&amp;"'!"&amp;B5340)="",FALSE,IF(TRUNC(INDIRECT("'"&amp;A5340&amp;"'!"&amp;B5340))=INDIRECT("'"&amp;A5340&amp;"'!"&amp;B5340),FALSE,TRUE))</f>
        <v>0</v>
      </c>
      <c r="E5340" t="s">
        <v>436</v>
      </c>
      <c r="F5340" t="str">
        <f>INDEX(Lists!I:I,MATCH(Validation!E5340,Lists!G:G,0))</f>
        <v>Error</v>
      </c>
      <c r="G5340" t="str">
        <f>INDEX(Lists!H:H,MATCH(Validation!E5340,Lists!G:G,0))</f>
        <v>Amount must be rounded to the nearest dollar.</v>
      </c>
      <c r="H5340" s="16" t="str">
        <f t="shared" ca="1" si="573"/>
        <v/>
      </c>
      <c r="I5340" s="16" t="str">
        <f t="shared" ca="1" si="574"/>
        <v/>
      </c>
      <c r="J5340" s="17" t="str">
        <f t="shared" ca="1" si="575"/>
        <v/>
      </c>
    </row>
    <row r="5341" spans="1:10" x14ac:dyDescent="0.25">
      <c r="A5341" t="s">
        <v>944</v>
      </c>
      <c r="B5341" t="str">
        <f>ADDRESS(ROW('Loan 1'!$B$21),COLUMN('Loan 1'!$B$21),4)</f>
        <v>B21</v>
      </c>
      <c r="C5341" t="str">
        <f>ADDRESS(ROW('Loan 1'!$D$21),COLUMN('Loan 1'!$D$21),4)</f>
        <v>D21</v>
      </c>
      <c r="D5341" t="b" cm="1">
        <f t="array" aca="1" ref="D5341" ca="1">IF(INDIRECT("'"&amp;A5341&amp;"'!"&amp;B5341)="",FALSE,IF(TRUNC(INDIRECT("'"&amp;A5341&amp;"'!"&amp;B5341))=INDIRECT("'"&amp;A5341&amp;"'!"&amp;B5341),FALSE,TRUE))</f>
        <v>0</v>
      </c>
      <c r="E5341" t="s">
        <v>436</v>
      </c>
      <c r="F5341" t="str">
        <f>INDEX(Lists!I:I,MATCH(Validation!E5341,Lists!G:G,0))</f>
        <v>Error</v>
      </c>
      <c r="G5341" t="str">
        <f>INDEX(Lists!H:H,MATCH(Validation!E5341,Lists!G:G,0))</f>
        <v>Amount must be rounded to the nearest dollar.</v>
      </c>
      <c r="H5341" s="16" t="str">
        <f t="shared" ca="1" si="573"/>
        <v/>
      </c>
      <c r="I5341" s="16" t="str">
        <f t="shared" ca="1" si="574"/>
        <v/>
      </c>
      <c r="J5341" s="17" t="str">
        <f t="shared" ca="1" si="575"/>
        <v/>
      </c>
    </row>
    <row r="5342" spans="1:10" x14ac:dyDescent="0.25">
      <c r="A5342" t="s">
        <v>945</v>
      </c>
      <c r="B5342" t="str">
        <f>ADDRESS(ROW('Loan 1'!$B$21),COLUMN('Loan 1'!$B$21),4)</f>
        <v>B21</v>
      </c>
      <c r="C5342" t="str">
        <f>ADDRESS(ROW('Loan 1'!$D$21),COLUMN('Loan 1'!$D$21),4)</f>
        <v>D21</v>
      </c>
      <c r="D5342" t="b" cm="1">
        <f t="array" aca="1" ref="D5342" ca="1">IF(INDIRECT("'"&amp;A5342&amp;"'!"&amp;B5342)="",FALSE,IF(TRUNC(INDIRECT("'"&amp;A5342&amp;"'!"&amp;B5342))=INDIRECT("'"&amp;A5342&amp;"'!"&amp;B5342),FALSE,TRUE))</f>
        <v>0</v>
      </c>
      <c r="E5342" t="s">
        <v>436</v>
      </c>
      <c r="F5342" t="str">
        <f>INDEX(Lists!I:I,MATCH(Validation!E5342,Lists!G:G,0))</f>
        <v>Error</v>
      </c>
      <c r="G5342" t="str">
        <f>INDEX(Lists!H:H,MATCH(Validation!E5342,Lists!G:G,0))</f>
        <v>Amount must be rounded to the nearest dollar.</v>
      </c>
      <c r="H5342" s="16" t="str">
        <f t="shared" ca="1" si="573"/>
        <v/>
      </c>
      <c r="I5342" s="16" t="str">
        <f t="shared" ca="1" si="574"/>
        <v/>
      </c>
      <c r="J5342" s="17" t="str">
        <f t="shared" ca="1" si="575"/>
        <v/>
      </c>
    </row>
    <row r="5343" spans="1:10" x14ac:dyDescent="0.25">
      <c r="A5343" t="s">
        <v>205</v>
      </c>
      <c r="B5343" t="str">
        <f>ADDRESS(ROW('Loan 1'!$C$21),COLUMN('Loan 1'!$C$21),4)</f>
        <v>C21</v>
      </c>
      <c r="C5343" t="str">
        <f>ADDRESS(ROW('Loan 1'!$D$21),COLUMN('Loan 1'!$D$21),4)</f>
        <v>D21</v>
      </c>
      <c r="D5343" t="b" cm="1">
        <f t="array" aca="1" ref="D5343" ca="1">IF(INDIRECT("'"&amp;A5343&amp;"'!"&amp;B5343)="",FALSE,IF(NOT(ISNUMBER(INDIRECT("'"&amp;A5343&amp;"'!"&amp;B5343))),TRUE,FALSE))</f>
        <v>0</v>
      </c>
      <c r="E5343" t="s">
        <v>435</v>
      </c>
      <c r="F5343" t="str">
        <f>INDEX(Lists!I:I,MATCH(Validation!E5343,Lists!G:G,0))</f>
        <v>Error</v>
      </c>
      <c r="G5343" t="str">
        <f>INDEX(Lists!H:H,MATCH(Validation!E5343,Lists!G:G,0))</f>
        <v>Enter an amount only. Do not enter text or spaces.</v>
      </c>
      <c r="H5343" s="16" t="str">
        <f ca="1">IFERROR(IF(OR(NOT(D5343),F5343&lt;&gt;"Error"),"",A5343&amp;CELL("address",INDIRECT(B5343))),"")</f>
        <v/>
      </c>
      <c r="I5343" s="16" t="str">
        <f ca="1">IFERROR(IF(NOT(D5343),"",A5343&amp;CELL("address",INDIRECT(C5343))),"")</f>
        <v/>
      </c>
      <c r="J5343" s="17" t="str">
        <f ca="1">IFERROR(IF(NOT(D5343),"",A5343),"")</f>
        <v/>
      </c>
    </row>
    <row r="5344" spans="1:10" x14ac:dyDescent="0.25">
      <c r="A5344" t="s">
        <v>932</v>
      </c>
      <c r="B5344" t="str">
        <f>ADDRESS(ROW('Loan 1'!$C$21),COLUMN('Loan 1'!$C$21),4)</f>
        <v>C21</v>
      </c>
      <c r="C5344" t="str">
        <f>ADDRESS(ROW('Loan 1'!$D$21),COLUMN('Loan 1'!$D$21),4)</f>
        <v>D21</v>
      </c>
      <c r="D5344" t="b" cm="1">
        <f t="array" aca="1" ref="D5344" ca="1">IF(INDIRECT("'"&amp;A5344&amp;"'!"&amp;B5344)="",FALSE,IF(NOT(ISNUMBER(INDIRECT("'"&amp;A5344&amp;"'!"&amp;B5344))),TRUE,FALSE))</f>
        <v>0</v>
      </c>
      <c r="E5344" t="s">
        <v>435</v>
      </c>
      <c r="F5344" t="str">
        <f>INDEX(Lists!I:I,MATCH(Validation!E5344,Lists!G:G,0))</f>
        <v>Error</v>
      </c>
      <c r="G5344" t="str">
        <f>INDEX(Lists!H:H,MATCH(Validation!E5344,Lists!G:G,0))</f>
        <v>Enter an amount only. Do not enter text or spaces.</v>
      </c>
      <c r="H5344" s="16" t="str">
        <f t="shared" ref="H5344:H5357" ca="1" si="576">IFERROR(IF(OR(NOT(D5344),F5344&lt;&gt;"Error"),"",A5344&amp;CELL("address",INDIRECT(B5344))),"")</f>
        <v/>
      </c>
      <c r="I5344" s="16" t="str">
        <f t="shared" ref="I5344:I5357" ca="1" si="577">IFERROR(IF(NOT(D5344),"",A5344&amp;CELL("address",INDIRECT(C5344))),"")</f>
        <v/>
      </c>
      <c r="J5344" s="17" t="str">
        <f t="shared" ref="J5344:J5357" ca="1" si="578">IFERROR(IF(NOT(D5344),"",A5344),"")</f>
        <v/>
      </c>
    </row>
    <row r="5345" spans="1:10" x14ac:dyDescent="0.25">
      <c r="A5345" t="s">
        <v>933</v>
      </c>
      <c r="B5345" t="str">
        <f>ADDRESS(ROW('Loan 1'!$C$21),COLUMN('Loan 1'!$C$21),4)</f>
        <v>C21</v>
      </c>
      <c r="C5345" t="str">
        <f>ADDRESS(ROW('Loan 1'!$D$21),COLUMN('Loan 1'!$D$21),4)</f>
        <v>D21</v>
      </c>
      <c r="D5345" t="b" cm="1">
        <f t="array" aca="1" ref="D5345" ca="1">IF(INDIRECT("'"&amp;A5345&amp;"'!"&amp;B5345)="",FALSE,IF(NOT(ISNUMBER(INDIRECT("'"&amp;A5345&amp;"'!"&amp;B5345))),TRUE,FALSE))</f>
        <v>0</v>
      </c>
      <c r="E5345" t="s">
        <v>435</v>
      </c>
      <c r="F5345" t="str">
        <f>INDEX(Lists!I:I,MATCH(Validation!E5345,Lists!G:G,0))</f>
        <v>Error</v>
      </c>
      <c r="G5345" t="str">
        <f>INDEX(Lists!H:H,MATCH(Validation!E5345,Lists!G:G,0))</f>
        <v>Enter an amount only. Do not enter text or spaces.</v>
      </c>
      <c r="H5345" s="16" t="str">
        <f t="shared" ca="1" si="576"/>
        <v/>
      </c>
      <c r="I5345" s="16" t="str">
        <f t="shared" ca="1" si="577"/>
        <v/>
      </c>
      <c r="J5345" s="17" t="str">
        <f t="shared" ca="1" si="578"/>
        <v/>
      </c>
    </row>
    <row r="5346" spans="1:10" x14ac:dyDescent="0.25">
      <c r="A5346" t="s">
        <v>934</v>
      </c>
      <c r="B5346" t="str">
        <f>ADDRESS(ROW('Loan 1'!$C$21),COLUMN('Loan 1'!$C$21),4)</f>
        <v>C21</v>
      </c>
      <c r="C5346" t="str">
        <f>ADDRESS(ROW('Loan 1'!$D$21),COLUMN('Loan 1'!$D$21),4)</f>
        <v>D21</v>
      </c>
      <c r="D5346" t="b" cm="1">
        <f t="array" aca="1" ref="D5346" ca="1">IF(INDIRECT("'"&amp;A5346&amp;"'!"&amp;B5346)="",FALSE,IF(NOT(ISNUMBER(INDIRECT("'"&amp;A5346&amp;"'!"&amp;B5346))),TRUE,FALSE))</f>
        <v>0</v>
      </c>
      <c r="E5346" t="s">
        <v>435</v>
      </c>
      <c r="F5346" t="str">
        <f>INDEX(Lists!I:I,MATCH(Validation!E5346,Lists!G:G,0))</f>
        <v>Error</v>
      </c>
      <c r="G5346" t="str">
        <f>INDEX(Lists!H:H,MATCH(Validation!E5346,Lists!G:G,0))</f>
        <v>Enter an amount only. Do not enter text or spaces.</v>
      </c>
      <c r="H5346" s="16" t="str">
        <f t="shared" ca="1" si="576"/>
        <v/>
      </c>
      <c r="I5346" s="16" t="str">
        <f t="shared" ca="1" si="577"/>
        <v/>
      </c>
      <c r="J5346" s="17" t="str">
        <f t="shared" ca="1" si="578"/>
        <v/>
      </c>
    </row>
    <row r="5347" spans="1:10" x14ac:dyDescent="0.25">
      <c r="A5347" t="s">
        <v>935</v>
      </c>
      <c r="B5347" t="str">
        <f>ADDRESS(ROW('Loan 1'!$C$21),COLUMN('Loan 1'!$C$21),4)</f>
        <v>C21</v>
      </c>
      <c r="C5347" t="str">
        <f>ADDRESS(ROW('Loan 1'!$D$21),COLUMN('Loan 1'!$D$21),4)</f>
        <v>D21</v>
      </c>
      <c r="D5347" t="b" cm="1">
        <f t="array" aca="1" ref="D5347" ca="1">IF(INDIRECT("'"&amp;A5347&amp;"'!"&amp;B5347)="",FALSE,IF(NOT(ISNUMBER(INDIRECT("'"&amp;A5347&amp;"'!"&amp;B5347))),TRUE,FALSE))</f>
        <v>0</v>
      </c>
      <c r="E5347" t="s">
        <v>435</v>
      </c>
      <c r="F5347" t="str">
        <f>INDEX(Lists!I:I,MATCH(Validation!E5347,Lists!G:G,0))</f>
        <v>Error</v>
      </c>
      <c r="G5347" t="str">
        <f>INDEX(Lists!H:H,MATCH(Validation!E5347,Lists!G:G,0))</f>
        <v>Enter an amount only. Do not enter text or spaces.</v>
      </c>
      <c r="H5347" s="16" t="str">
        <f t="shared" ca="1" si="576"/>
        <v/>
      </c>
      <c r="I5347" s="16" t="str">
        <f t="shared" ca="1" si="577"/>
        <v/>
      </c>
      <c r="J5347" s="17" t="str">
        <f t="shared" ca="1" si="578"/>
        <v/>
      </c>
    </row>
    <row r="5348" spans="1:10" x14ac:dyDescent="0.25">
      <c r="A5348" t="s">
        <v>936</v>
      </c>
      <c r="B5348" t="str">
        <f>ADDRESS(ROW('Loan 1'!$C$21),COLUMN('Loan 1'!$C$21),4)</f>
        <v>C21</v>
      </c>
      <c r="C5348" t="str">
        <f>ADDRESS(ROW('Loan 1'!$D$21),COLUMN('Loan 1'!$D$21),4)</f>
        <v>D21</v>
      </c>
      <c r="D5348" t="b" cm="1">
        <f t="array" aca="1" ref="D5348" ca="1">IF(INDIRECT("'"&amp;A5348&amp;"'!"&amp;B5348)="",FALSE,IF(NOT(ISNUMBER(INDIRECT("'"&amp;A5348&amp;"'!"&amp;B5348))),TRUE,FALSE))</f>
        <v>0</v>
      </c>
      <c r="E5348" t="s">
        <v>435</v>
      </c>
      <c r="F5348" t="str">
        <f>INDEX(Lists!I:I,MATCH(Validation!E5348,Lists!G:G,0))</f>
        <v>Error</v>
      </c>
      <c r="G5348" t="str">
        <f>INDEX(Lists!H:H,MATCH(Validation!E5348,Lists!G:G,0))</f>
        <v>Enter an amount only. Do not enter text or spaces.</v>
      </c>
      <c r="H5348" s="16" t="str">
        <f t="shared" ca="1" si="576"/>
        <v/>
      </c>
      <c r="I5348" s="16" t="str">
        <f t="shared" ca="1" si="577"/>
        <v/>
      </c>
      <c r="J5348" s="17" t="str">
        <f t="shared" ca="1" si="578"/>
        <v/>
      </c>
    </row>
    <row r="5349" spans="1:10" x14ac:dyDescent="0.25">
      <c r="A5349" t="s">
        <v>937</v>
      </c>
      <c r="B5349" t="str">
        <f>ADDRESS(ROW('Loan 1'!$C$21),COLUMN('Loan 1'!$C$21),4)</f>
        <v>C21</v>
      </c>
      <c r="C5349" t="str">
        <f>ADDRESS(ROW('Loan 1'!$D$21),COLUMN('Loan 1'!$D$21),4)</f>
        <v>D21</v>
      </c>
      <c r="D5349" t="b" cm="1">
        <f t="array" aca="1" ref="D5349" ca="1">IF(INDIRECT("'"&amp;A5349&amp;"'!"&amp;B5349)="",FALSE,IF(NOT(ISNUMBER(INDIRECT("'"&amp;A5349&amp;"'!"&amp;B5349))),TRUE,FALSE))</f>
        <v>0</v>
      </c>
      <c r="E5349" t="s">
        <v>435</v>
      </c>
      <c r="F5349" t="str">
        <f>INDEX(Lists!I:I,MATCH(Validation!E5349,Lists!G:G,0))</f>
        <v>Error</v>
      </c>
      <c r="G5349" t="str">
        <f>INDEX(Lists!H:H,MATCH(Validation!E5349,Lists!G:G,0))</f>
        <v>Enter an amount only. Do not enter text or spaces.</v>
      </c>
      <c r="H5349" s="16" t="str">
        <f t="shared" ca="1" si="576"/>
        <v/>
      </c>
      <c r="I5349" s="16" t="str">
        <f t="shared" ca="1" si="577"/>
        <v/>
      </c>
      <c r="J5349" s="17" t="str">
        <f t="shared" ca="1" si="578"/>
        <v/>
      </c>
    </row>
    <row r="5350" spans="1:10" x14ac:dyDescent="0.25">
      <c r="A5350" t="s">
        <v>938</v>
      </c>
      <c r="B5350" t="str">
        <f>ADDRESS(ROW('Loan 1'!$C$21),COLUMN('Loan 1'!$C$21),4)</f>
        <v>C21</v>
      </c>
      <c r="C5350" t="str">
        <f>ADDRESS(ROW('Loan 1'!$D$21),COLUMN('Loan 1'!$D$21),4)</f>
        <v>D21</v>
      </c>
      <c r="D5350" t="b" cm="1">
        <f t="array" aca="1" ref="D5350" ca="1">IF(INDIRECT("'"&amp;A5350&amp;"'!"&amp;B5350)="",FALSE,IF(NOT(ISNUMBER(INDIRECT("'"&amp;A5350&amp;"'!"&amp;B5350))),TRUE,FALSE))</f>
        <v>0</v>
      </c>
      <c r="E5350" t="s">
        <v>435</v>
      </c>
      <c r="F5350" t="str">
        <f>INDEX(Lists!I:I,MATCH(Validation!E5350,Lists!G:G,0))</f>
        <v>Error</v>
      </c>
      <c r="G5350" t="str">
        <f>INDEX(Lists!H:H,MATCH(Validation!E5350,Lists!G:G,0))</f>
        <v>Enter an amount only. Do not enter text or spaces.</v>
      </c>
      <c r="H5350" s="16" t="str">
        <f t="shared" ca="1" si="576"/>
        <v/>
      </c>
      <c r="I5350" s="16" t="str">
        <f t="shared" ca="1" si="577"/>
        <v/>
      </c>
      <c r="J5350" s="17" t="str">
        <f t="shared" ca="1" si="578"/>
        <v/>
      </c>
    </row>
    <row r="5351" spans="1:10" x14ac:dyDescent="0.25">
      <c r="A5351" t="s">
        <v>939</v>
      </c>
      <c r="B5351" t="str">
        <f>ADDRESS(ROW('Loan 1'!$C$21),COLUMN('Loan 1'!$C$21),4)</f>
        <v>C21</v>
      </c>
      <c r="C5351" t="str">
        <f>ADDRESS(ROW('Loan 1'!$D$21),COLUMN('Loan 1'!$D$21),4)</f>
        <v>D21</v>
      </c>
      <c r="D5351" t="b" cm="1">
        <f t="array" aca="1" ref="D5351" ca="1">IF(INDIRECT("'"&amp;A5351&amp;"'!"&amp;B5351)="",FALSE,IF(NOT(ISNUMBER(INDIRECT("'"&amp;A5351&amp;"'!"&amp;B5351))),TRUE,FALSE))</f>
        <v>0</v>
      </c>
      <c r="E5351" t="s">
        <v>435</v>
      </c>
      <c r="F5351" t="str">
        <f>INDEX(Lists!I:I,MATCH(Validation!E5351,Lists!G:G,0))</f>
        <v>Error</v>
      </c>
      <c r="G5351" t="str">
        <f>INDEX(Lists!H:H,MATCH(Validation!E5351,Lists!G:G,0))</f>
        <v>Enter an amount only. Do not enter text or spaces.</v>
      </c>
      <c r="H5351" s="16" t="str">
        <f t="shared" ca="1" si="576"/>
        <v/>
      </c>
      <c r="I5351" s="16" t="str">
        <f t="shared" ca="1" si="577"/>
        <v/>
      </c>
      <c r="J5351" s="17" t="str">
        <f t="shared" ca="1" si="578"/>
        <v/>
      </c>
    </row>
    <row r="5352" spans="1:10" x14ac:dyDescent="0.25">
      <c r="A5352" t="s">
        <v>940</v>
      </c>
      <c r="B5352" t="str">
        <f>ADDRESS(ROW('Loan 1'!$C$21),COLUMN('Loan 1'!$C$21),4)</f>
        <v>C21</v>
      </c>
      <c r="C5352" t="str">
        <f>ADDRESS(ROW('Loan 1'!$D$21),COLUMN('Loan 1'!$D$21),4)</f>
        <v>D21</v>
      </c>
      <c r="D5352" t="b" cm="1">
        <f t="array" aca="1" ref="D5352" ca="1">IF(INDIRECT("'"&amp;A5352&amp;"'!"&amp;B5352)="",FALSE,IF(NOT(ISNUMBER(INDIRECT("'"&amp;A5352&amp;"'!"&amp;B5352))),TRUE,FALSE))</f>
        <v>0</v>
      </c>
      <c r="E5352" t="s">
        <v>435</v>
      </c>
      <c r="F5352" t="str">
        <f>INDEX(Lists!I:I,MATCH(Validation!E5352,Lists!G:G,0))</f>
        <v>Error</v>
      </c>
      <c r="G5352" t="str">
        <f>INDEX(Lists!H:H,MATCH(Validation!E5352,Lists!G:G,0))</f>
        <v>Enter an amount only. Do not enter text or spaces.</v>
      </c>
      <c r="H5352" s="16" t="str">
        <f t="shared" ca="1" si="576"/>
        <v/>
      </c>
      <c r="I5352" s="16" t="str">
        <f t="shared" ca="1" si="577"/>
        <v/>
      </c>
      <c r="J5352" s="17" t="str">
        <f t="shared" ca="1" si="578"/>
        <v/>
      </c>
    </row>
    <row r="5353" spans="1:10" x14ac:dyDescent="0.25">
      <c r="A5353" t="s">
        <v>941</v>
      </c>
      <c r="B5353" t="str">
        <f>ADDRESS(ROW('Loan 1'!$C$21),COLUMN('Loan 1'!$C$21),4)</f>
        <v>C21</v>
      </c>
      <c r="C5353" t="str">
        <f>ADDRESS(ROW('Loan 1'!$D$21),COLUMN('Loan 1'!$D$21),4)</f>
        <v>D21</v>
      </c>
      <c r="D5353" t="b" cm="1">
        <f t="array" aca="1" ref="D5353" ca="1">IF(INDIRECT("'"&amp;A5353&amp;"'!"&amp;B5353)="",FALSE,IF(NOT(ISNUMBER(INDIRECT("'"&amp;A5353&amp;"'!"&amp;B5353))),TRUE,FALSE))</f>
        <v>0</v>
      </c>
      <c r="E5353" t="s">
        <v>435</v>
      </c>
      <c r="F5353" t="str">
        <f>INDEX(Lists!I:I,MATCH(Validation!E5353,Lists!G:G,0))</f>
        <v>Error</v>
      </c>
      <c r="G5353" t="str">
        <f>INDEX(Lists!H:H,MATCH(Validation!E5353,Lists!G:G,0))</f>
        <v>Enter an amount only. Do not enter text or spaces.</v>
      </c>
      <c r="H5353" s="16" t="str">
        <f t="shared" ca="1" si="576"/>
        <v/>
      </c>
      <c r="I5353" s="16" t="str">
        <f t="shared" ca="1" si="577"/>
        <v/>
      </c>
      <c r="J5353" s="17" t="str">
        <f t="shared" ca="1" si="578"/>
        <v/>
      </c>
    </row>
    <row r="5354" spans="1:10" x14ac:dyDescent="0.25">
      <c r="A5354" t="s">
        <v>942</v>
      </c>
      <c r="B5354" t="str">
        <f>ADDRESS(ROW('Loan 1'!$C$21),COLUMN('Loan 1'!$C$21),4)</f>
        <v>C21</v>
      </c>
      <c r="C5354" t="str">
        <f>ADDRESS(ROW('Loan 1'!$D$21),COLUMN('Loan 1'!$D$21),4)</f>
        <v>D21</v>
      </c>
      <c r="D5354" t="b" cm="1">
        <f t="array" aca="1" ref="D5354" ca="1">IF(INDIRECT("'"&amp;A5354&amp;"'!"&amp;B5354)="",FALSE,IF(NOT(ISNUMBER(INDIRECT("'"&amp;A5354&amp;"'!"&amp;B5354))),TRUE,FALSE))</f>
        <v>0</v>
      </c>
      <c r="E5354" t="s">
        <v>435</v>
      </c>
      <c r="F5354" t="str">
        <f>INDEX(Lists!I:I,MATCH(Validation!E5354,Lists!G:G,0))</f>
        <v>Error</v>
      </c>
      <c r="G5354" t="str">
        <f>INDEX(Lists!H:H,MATCH(Validation!E5354,Lists!G:G,0))</f>
        <v>Enter an amount only. Do not enter text or spaces.</v>
      </c>
      <c r="H5354" s="16" t="str">
        <f t="shared" ca="1" si="576"/>
        <v/>
      </c>
      <c r="I5354" s="16" t="str">
        <f t="shared" ca="1" si="577"/>
        <v/>
      </c>
      <c r="J5354" s="17" t="str">
        <f t="shared" ca="1" si="578"/>
        <v/>
      </c>
    </row>
    <row r="5355" spans="1:10" x14ac:dyDescent="0.25">
      <c r="A5355" t="s">
        <v>943</v>
      </c>
      <c r="B5355" t="str">
        <f>ADDRESS(ROW('Loan 1'!$C$21),COLUMN('Loan 1'!$C$21),4)</f>
        <v>C21</v>
      </c>
      <c r="C5355" t="str">
        <f>ADDRESS(ROW('Loan 1'!$D$21),COLUMN('Loan 1'!$D$21),4)</f>
        <v>D21</v>
      </c>
      <c r="D5355" t="b" cm="1">
        <f t="array" aca="1" ref="D5355" ca="1">IF(INDIRECT("'"&amp;A5355&amp;"'!"&amp;B5355)="",FALSE,IF(NOT(ISNUMBER(INDIRECT("'"&amp;A5355&amp;"'!"&amp;B5355))),TRUE,FALSE))</f>
        <v>0</v>
      </c>
      <c r="E5355" t="s">
        <v>435</v>
      </c>
      <c r="F5355" t="str">
        <f>INDEX(Lists!I:I,MATCH(Validation!E5355,Lists!G:G,0))</f>
        <v>Error</v>
      </c>
      <c r="G5355" t="str">
        <f>INDEX(Lists!H:H,MATCH(Validation!E5355,Lists!G:G,0))</f>
        <v>Enter an amount only. Do not enter text or spaces.</v>
      </c>
      <c r="H5355" s="16" t="str">
        <f t="shared" ca="1" si="576"/>
        <v/>
      </c>
      <c r="I5355" s="16" t="str">
        <f t="shared" ca="1" si="577"/>
        <v/>
      </c>
      <c r="J5355" s="17" t="str">
        <f t="shared" ca="1" si="578"/>
        <v/>
      </c>
    </row>
    <row r="5356" spans="1:10" x14ac:dyDescent="0.25">
      <c r="A5356" t="s">
        <v>944</v>
      </c>
      <c r="B5356" t="str">
        <f>ADDRESS(ROW('Loan 1'!$C$21),COLUMN('Loan 1'!$C$21),4)</f>
        <v>C21</v>
      </c>
      <c r="C5356" t="str">
        <f>ADDRESS(ROW('Loan 1'!$D$21),COLUMN('Loan 1'!$D$21),4)</f>
        <v>D21</v>
      </c>
      <c r="D5356" t="b" cm="1">
        <f t="array" aca="1" ref="D5356" ca="1">IF(INDIRECT("'"&amp;A5356&amp;"'!"&amp;B5356)="",FALSE,IF(NOT(ISNUMBER(INDIRECT("'"&amp;A5356&amp;"'!"&amp;B5356))),TRUE,FALSE))</f>
        <v>0</v>
      </c>
      <c r="E5356" t="s">
        <v>435</v>
      </c>
      <c r="F5356" t="str">
        <f>INDEX(Lists!I:I,MATCH(Validation!E5356,Lists!G:G,0))</f>
        <v>Error</v>
      </c>
      <c r="G5356" t="str">
        <f>INDEX(Lists!H:H,MATCH(Validation!E5356,Lists!G:G,0))</f>
        <v>Enter an amount only. Do not enter text or spaces.</v>
      </c>
      <c r="H5356" s="16" t="str">
        <f t="shared" ca="1" si="576"/>
        <v/>
      </c>
      <c r="I5356" s="16" t="str">
        <f t="shared" ca="1" si="577"/>
        <v/>
      </c>
      <c r="J5356" s="17" t="str">
        <f t="shared" ca="1" si="578"/>
        <v/>
      </c>
    </row>
    <row r="5357" spans="1:10" x14ac:dyDescent="0.25">
      <c r="A5357" t="s">
        <v>945</v>
      </c>
      <c r="B5357" t="str">
        <f>ADDRESS(ROW('Loan 1'!$C$21),COLUMN('Loan 1'!$C$21),4)</f>
        <v>C21</v>
      </c>
      <c r="C5357" t="str">
        <f>ADDRESS(ROW('Loan 1'!$D$21),COLUMN('Loan 1'!$D$21),4)</f>
        <v>D21</v>
      </c>
      <c r="D5357" t="b" cm="1">
        <f t="array" aca="1" ref="D5357" ca="1">IF(INDIRECT("'"&amp;A5357&amp;"'!"&amp;B5357)="",FALSE,IF(NOT(ISNUMBER(INDIRECT("'"&amp;A5357&amp;"'!"&amp;B5357))),TRUE,FALSE))</f>
        <v>0</v>
      </c>
      <c r="E5357" t="s">
        <v>435</v>
      </c>
      <c r="F5357" t="str">
        <f>INDEX(Lists!I:I,MATCH(Validation!E5357,Lists!G:G,0))</f>
        <v>Error</v>
      </c>
      <c r="G5357" t="str">
        <f>INDEX(Lists!H:H,MATCH(Validation!E5357,Lists!G:G,0))</f>
        <v>Enter an amount only. Do not enter text or spaces.</v>
      </c>
      <c r="H5357" s="16" t="str">
        <f t="shared" ca="1" si="576"/>
        <v/>
      </c>
      <c r="I5357" s="16" t="str">
        <f t="shared" ca="1" si="577"/>
        <v/>
      </c>
      <c r="J5357" s="17" t="str">
        <f t="shared" ca="1" si="578"/>
        <v/>
      </c>
    </row>
    <row r="5358" spans="1:10" x14ac:dyDescent="0.25">
      <c r="A5358" t="s">
        <v>205</v>
      </c>
      <c r="B5358" t="str">
        <f>ADDRESS(ROW('Loan 1'!$C$21),COLUMN('Loan 1'!$C$21),4)</f>
        <v>C21</v>
      </c>
      <c r="C5358" t="str">
        <f>ADDRESS(ROW('Loan 1'!$D$21),COLUMN('Loan 1'!$D$21),4)</f>
        <v>D21</v>
      </c>
      <c r="D5358" t="b" cm="1">
        <f t="array" aca="1" ref="D5358" ca="1">IF(INDIRECT("'"&amp;A5358&amp;"'!"&amp;B5358)="",FALSE,IF(INDIRECT("'"&amp;A5358&amp;"'!"&amp;B5358)&lt;0,TRUE,FALSE))</f>
        <v>0</v>
      </c>
      <c r="E5358" t="s">
        <v>434</v>
      </c>
      <c r="F5358" t="str">
        <f>INDEX(Lists!I:I,MATCH(Validation!E5358,Lists!G:G,0))</f>
        <v>Error</v>
      </c>
      <c r="G5358" t="str">
        <f>INDEX(Lists!H:H,MATCH(Validation!E5358,Lists!G:G,0))</f>
        <v>Amount may not be negative. Enter an amount greater than or equal to zero.</v>
      </c>
      <c r="H5358" s="16" t="str">
        <f ca="1">IFERROR(IF(OR(NOT(D5358),F5358&lt;&gt;"Error"),"",A5358&amp;CELL("address",INDIRECT(B5358))),"")</f>
        <v/>
      </c>
      <c r="I5358" s="16" t="str">
        <f ca="1">IFERROR(IF(NOT(D5358),"",A5358&amp;CELL("address",INDIRECT(C5358))),"")</f>
        <v/>
      </c>
      <c r="J5358" s="17" t="str">
        <f ca="1">IFERROR(IF(NOT(D5358),"",A5358),"")</f>
        <v/>
      </c>
    </row>
    <row r="5359" spans="1:10" x14ac:dyDescent="0.25">
      <c r="A5359" t="s">
        <v>932</v>
      </c>
      <c r="B5359" t="str">
        <f>ADDRESS(ROW('Loan 1'!$C$21),COLUMN('Loan 1'!$C$21),4)</f>
        <v>C21</v>
      </c>
      <c r="C5359" t="str">
        <f>ADDRESS(ROW('Loan 1'!$D$21),COLUMN('Loan 1'!$D$21),4)</f>
        <v>D21</v>
      </c>
      <c r="D5359" t="b" cm="1">
        <f t="array" aca="1" ref="D5359" ca="1">IF(INDIRECT("'"&amp;A5359&amp;"'!"&amp;B5359)="",FALSE,IF(INDIRECT("'"&amp;A5359&amp;"'!"&amp;B5359)&lt;0,TRUE,FALSE))</f>
        <v>0</v>
      </c>
      <c r="E5359" t="s">
        <v>434</v>
      </c>
      <c r="F5359" t="str">
        <f>INDEX(Lists!I:I,MATCH(Validation!E5359,Lists!G:G,0))</f>
        <v>Error</v>
      </c>
      <c r="G5359" t="str">
        <f>INDEX(Lists!H:H,MATCH(Validation!E5359,Lists!G:G,0))</f>
        <v>Amount may not be negative. Enter an amount greater than or equal to zero.</v>
      </c>
      <c r="H5359" s="16" t="str">
        <f t="shared" ref="H5359:H5387" ca="1" si="579">IFERROR(IF(OR(NOT(D5359),F5359&lt;&gt;"Error"),"",A5359&amp;CELL("address",INDIRECT(B5359))),"")</f>
        <v/>
      </c>
      <c r="I5359" s="16" t="str">
        <f t="shared" ref="I5359:I5387" ca="1" si="580">IFERROR(IF(NOT(D5359),"",A5359&amp;CELL("address",INDIRECT(C5359))),"")</f>
        <v/>
      </c>
      <c r="J5359" s="17" t="str">
        <f t="shared" ref="J5359:J5387" ca="1" si="581">IFERROR(IF(NOT(D5359),"",A5359),"")</f>
        <v/>
      </c>
    </row>
    <row r="5360" spans="1:10" x14ac:dyDescent="0.25">
      <c r="A5360" t="s">
        <v>933</v>
      </c>
      <c r="B5360" t="str">
        <f>ADDRESS(ROW('Loan 1'!$C$21),COLUMN('Loan 1'!$C$21),4)</f>
        <v>C21</v>
      </c>
      <c r="C5360" t="str">
        <f>ADDRESS(ROW('Loan 1'!$D$21),COLUMN('Loan 1'!$D$21),4)</f>
        <v>D21</v>
      </c>
      <c r="D5360" t="b" cm="1">
        <f t="array" aca="1" ref="D5360" ca="1">IF(INDIRECT("'"&amp;A5360&amp;"'!"&amp;B5360)="",FALSE,IF(INDIRECT("'"&amp;A5360&amp;"'!"&amp;B5360)&lt;0,TRUE,FALSE))</f>
        <v>0</v>
      </c>
      <c r="E5360" t="s">
        <v>434</v>
      </c>
      <c r="F5360" t="str">
        <f>INDEX(Lists!I:I,MATCH(Validation!E5360,Lists!G:G,0))</f>
        <v>Error</v>
      </c>
      <c r="G5360" t="str">
        <f>INDEX(Lists!H:H,MATCH(Validation!E5360,Lists!G:G,0))</f>
        <v>Amount may not be negative. Enter an amount greater than or equal to zero.</v>
      </c>
      <c r="H5360" s="16" t="str">
        <f t="shared" ca="1" si="579"/>
        <v/>
      </c>
      <c r="I5360" s="16" t="str">
        <f t="shared" ca="1" si="580"/>
        <v/>
      </c>
      <c r="J5360" s="17" t="str">
        <f t="shared" ca="1" si="581"/>
        <v/>
      </c>
    </row>
    <row r="5361" spans="1:10" x14ac:dyDescent="0.25">
      <c r="A5361" t="s">
        <v>934</v>
      </c>
      <c r="B5361" t="str">
        <f>ADDRESS(ROW('Loan 1'!$C$21),COLUMN('Loan 1'!$C$21),4)</f>
        <v>C21</v>
      </c>
      <c r="C5361" t="str">
        <f>ADDRESS(ROW('Loan 1'!$D$21),COLUMN('Loan 1'!$D$21),4)</f>
        <v>D21</v>
      </c>
      <c r="D5361" t="b" cm="1">
        <f t="array" aca="1" ref="D5361" ca="1">IF(INDIRECT("'"&amp;A5361&amp;"'!"&amp;B5361)="",FALSE,IF(INDIRECT("'"&amp;A5361&amp;"'!"&amp;B5361)&lt;0,TRUE,FALSE))</f>
        <v>0</v>
      </c>
      <c r="E5361" t="s">
        <v>434</v>
      </c>
      <c r="F5361" t="str">
        <f>INDEX(Lists!I:I,MATCH(Validation!E5361,Lists!G:G,0))</f>
        <v>Error</v>
      </c>
      <c r="G5361" t="str">
        <f>INDEX(Lists!H:H,MATCH(Validation!E5361,Lists!G:G,0))</f>
        <v>Amount may not be negative. Enter an amount greater than or equal to zero.</v>
      </c>
      <c r="H5361" s="16" t="str">
        <f t="shared" ca="1" si="579"/>
        <v/>
      </c>
      <c r="I5361" s="16" t="str">
        <f t="shared" ca="1" si="580"/>
        <v/>
      </c>
      <c r="J5361" s="17" t="str">
        <f t="shared" ca="1" si="581"/>
        <v/>
      </c>
    </row>
    <row r="5362" spans="1:10" x14ac:dyDescent="0.25">
      <c r="A5362" t="s">
        <v>935</v>
      </c>
      <c r="B5362" t="str">
        <f>ADDRESS(ROW('Loan 1'!$C$21),COLUMN('Loan 1'!$C$21),4)</f>
        <v>C21</v>
      </c>
      <c r="C5362" t="str">
        <f>ADDRESS(ROW('Loan 1'!$D$21),COLUMN('Loan 1'!$D$21),4)</f>
        <v>D21</v>
      </c>
      <c r="D5362" t="b" cm="1">
        <f t="array" aca="1" ref="D5362" ca="1">IF(INDIRECT("'"&amp;A5362&amp;"'!"&amp;B5362)="",FALSE,IF(INDIRECT("'"&amp;A5362&amp;"'!"&amp;B5362)&lt;0,TRUE,FALSE))</f>
        <v>0</v>
      </c>
      <c r="E5362" t="s">
        <v>434</v>
      </c>
      <c r="F5362" t="str">
        <f>INDEX(Lists!I:I,MATCH(Validation!E5362,Lists!G:G,0))</f>
        <v>Error</v>
      </c>
      <c r="G5362" t="str">
        <f>INDEX(Lists!H:H,MATCH(Validation!E5362,Lists!G:G,0))</f>
        <v>Amount may not be negative. Enter an amount greater than or equal to zero.</v>
      </c>
      <c r="H5362" s="16" t="str">
        <f t="shared" ca="1" si="579"/>
        <v/>
      </c>
      <c r="I5362" s="16" t="str">
        <f t="shared" ca="1" si="580"/>
        <v/>
      </c>
      <c r="J5362" s="17" t="str">
        <f t="shared" ca="1" si="581"/>
        <v/>
      </c>
    </row>
    <row r="5363" spans="1:10" x14ac:dyDescent="0.25">
      <c r="A5363" t="s">
        <v>936</v>
      </c>
      <c r="B5363" t="str">
        <f>ADDRESS(ROW('Loan 1'!$C$21),COLUMN('Loan 1'!$C$21),4)</f>
        <v>C21</v>
      </c>
      <c r="C5363" t="str">
        <f>ADDRESS(ROW('Loan 1'!$D$21),COLUMN('Loan 1'!$D$21),4)</f>
        <v>D21</v>
      </c>
      <c r="D5363" t="b" cm="1">
        <f t="array" aca="1" ref="D5363" ca="1">IF(INDIRECT("'"&amp;A5363&amp;"'!"&amp;B5363)="",FALSE,IF(INDIRECT("'"&amp;A5363&amp;"'!"&amp;B5363)&lt;0,TRUE,FALSE))</f>
        <v>0</v>
      </c>
      <c r="E5363" t="s">
        <v>434</v>
      </c>
      <c r="F5363" t="str">
        <f>INDEX(Lists!I:I,MATCH(Validation!E5363,Lists!G:G,0))</f>
        <v>Error</v>
      </c>
      <c r="G5363" t="str">
        <f>INDEX(Lists!H:H,MATCH(Validation!E5363,Lists!G:G,0))</f>
        <v>Amount may not be negative. Enter an amount greater than or equal to zero.</v>
      </c>
      <c r="H5363" s="16" t="str">
        <f t="shared" ca="1" si="579"/>
        <v/>
      </c>
      <c r="I5363" s="16" t="str">
        <f t="shared" ca="1" si="580"/>
        <v/>
      </c>
      <c r="J5363" s="17" t="str">
        <f t="shared" ca="1" si="581"/>
        <v/>
      </c>
    </row>
    <row r="5364" spans="1:10" x14ac:dyDescent="0.25">
      <c r="A5364" t="s">
        <v>937</v>
      </c>
      <c r="B5364" t="str">
        <f>ADDRESS(ROW('Loan 1'!$C$21),COLUMN('Loan 1'!$C$21),4)</f>
        <v>C21</v>
      </c>
      <c r="C5364" t="str">
        <f>ADDRESS(ROW('Loan 1'!$D$21),COLUMN('Loan 1'!$D$21),4)</f>
        <v>D21</v>
      </c>
      <c r="D5364" t="b" cm="1">
        <f t="array" aca="1" ref="D5364" ca="1">IF(INDIRECT("'"&amp;A5364&amp;"'!"&amp;B5364)="",FALSE,IF(INDIRECT("'"&amp;A5364&amp;"'!"&amp;B5364)&lt;0,TRUE,FALSE))</f>
        <v>0</v>
      </c>
      <c r="E5364" t="s">
        <v>434</v>
      </c>
      <c r="F5364" t="str">
        <f>INDEX(Lists!I:I,MATCH(Validation!E5364,Lists!G:G,0))</f>
        <v>Error</v>
      </c>
      <c r="G5364" t="str">
        <f>INDEX(Lists!H:H,MATCH(Validation!E5364,Lists!G:G,0))</f>
        <v>Amount may not be negative. Enter an amount greater than or equal to zero.</v>
      </c>
      <c r="H5364" s="16" t="str">
        <f t="shared" ca="1" si="579"/>
        <v/>
      </c>
      <c r="I5364" s="16" t="str">
        <f t="shared" ca="1" si="580"/>
        <v/>
      </c>
      <c r="J5364" s="17" t="str">
        <f t="shared" ca="1" si="581"/>
        <v/>
      </c>
    </row>
    <row r="5365" spans="1:10" x14ac:dyDescent="0.25">
      <c r="A5365" t="s">
        <v>938</v>
      </c>
      <c r="B5365" t="str">
        <f>ADDRESS(ROW('Loan 1'!$C$21),COLUMN('Loan 1'!$C$21),4)</f>
        <v>C21</v>
      </c>
      <c r="C5365" t="str">
        <f>ADDRESS(ROW('Loan 1'!$D$21),COLUMN('Loan 1'!$D$21),4)</f>
        <v>D21</v>
      </c>
      <c r="D5365" t="b" cm="1">
        <f t="array" aca="1" ref="D5365" ca="1">IF(INDIRECT("'"&amp;A5365&amp;"'!"&amp;B5365)="",FALSE,IF(INDIRECT("'"&amp;A5365&amp;"'!"&amp;B5365)&lt;0,TRUE,FALSE))</f>
        <v>0</v>
      </c>
      <c r="E5365" t="s">
        <v>434</v>
      </c>
      <c r="F5365" t="str">
        <f>INDEX(Lists!I:I,MATCH(Validation!E5365,Lists!G:G,0))</f>
        <v>Error</v>
      </c>
      <c r="G5365" t="str">
        <f>INDEX(Lists!H:H,MATCH(Validation!E5365,Lists!G:G,0))</f>
        <v>Amount may not be negative. Enter an amount greater than or equal to zero.</v>
      </c>
      <c r="H5365" s="16" t="str">
        <f t="shared" ca="1" si="579"/>
        <v/>
      </c>
      <c r="I5365" s="16" t="str">
        <f t="shared" ca="1" si="580"/>
        <v/>
      </c>
      <c r="J5365" s="17" t="str">
        <f t="shared" ca="1" si="581"/>
        <v/>
      </c>
    </row>
    <row r="5366" spans="1:10" x14ac:dyDescent="0.25">
      <c r="A5366" t="s">
        <v>939</v>
      </c>
      <c r="B5366" t="str">
        <f>ADDRESS(ROW('Loan 1'!$C$21),COLUMN('Loan 1'!$C$21),4)</f>
        <v>C21</v>
      </c>
      <c r="C5366" t="str">
        <f>ADDRESS(ROW('Loan 1'!$D$21),COLUMN('Loan 1'!$D$21),4)</f>
        <v>D21</v>
      </c>
      <c r="D5366" t="b" cm="1">
        <f t="array" aca="1" ref="D5366" ca="1">IF(INDIRECT("'"&amp;A5366&amp;"'!"&amp;B5366)="",FALSE,IF(INDIRECT("'"&amp;A5366&amp;"'!"&amp;B5366)&lt;0,TRUE,FALSE))</f>
        <v>0</v>
      </c>
      <c r="E5366" t="s">
        <v>434</v>
      </c>
      <c r="F5366" t="str">
        <f>INDEX(Lists!I:I,MATCH(Validation!E5366,Lists!G:G,0))</f>
        <v>Error</v>
      </c>
      <c r="G5366" t="str">
        <f>INDEX(Lists!H:H,MATCH(Validation!E5366,Lists!G:G,0))</f>
        <v>Amount may not be negative. Enter an amount greater than or equal to zero.</v>
      </c>
      <c r="H5366" s="16" t="str">
        <f t="shared" ca="1" si="579"/>
        <v/>
      </c>
      <c r="I5366" s="16" t="str">
        <f t="shared" ca="1" si="580"/>
        <v/>
      </c>
      <c r="J5366" s="17" t="str">
        <f t="shared" ca="1" si="581"/>
        <v/>
      </c>
    </row>
    <row r="5367" spans="1:10" x14ac:dyDescent="0.25">
      <c r="A5367" t="s">
        <v>940</v>
      </c>
      <c r="B5367" t="str">
        <f>ADDRESS(ROW('Loan 1'!$C$21),COLUMN('Loan 1'!$C$21),4)</f>
        <v>C21</v>
      </c>
      <c r="C5367" t="str">
        <f>ADDRESS(ROW('Loan 1'!$D$21),COLUMN('Loan 1'!$D$21),4)</f>
        <v>D21</v>
      </c>
      <c r="D5367" t="b" cm="1">
        <f t="array" aca="1" ref="D5367" ca="1">IF(INDIRECT("'"&amp;A5367&amp;"'!"&amp;B5367)="",FALSE,IF(INDIRECT("'"&amp;A5367&amp;"'!"&amp;B5367)&lt;0,TRUE,FALSE))</f>
        <v>0</v>
      </c>
      <c r="E5367" t="s">
        <v>434</v>
      </c>
      <c r="F5367" t="str">
        <f>INDEX(Lists!I:I,MATCH(Validation!E5367,Lists!G:G,0))</f>
        <v>Error</v>
      </c>
      <c r="G5367" t="str">
        <f>INDEX(Lists!H:H,MATCH(Validation!E5367,Lists!G:G,0))</f>
        <v>Amount may not be negative. Enter an amount greater than or equal to zero.</v>
      </c>
      <c r="H5367" s="16" t="str">
        <f t="shared" ca="1" si="579"/>
        <v/>
      </c>
      <c r="I5367" s="16" t="str">
        <f t="shared" ca="1" si="580"/>
        <v/>
      </c>
      <c r="J5367" s="17" t="str">
        <f t="shared" ca="1" si="581"/>
        <v/>
      </c>
    </row>
    <row r="5368" spans="1:10" x14ac:dyDescent="0.25">
      <c r="A5368" t="s">
        <v>941</v>
      </c>
      <c r="B5368" t="str">
        <f>ADDRESS(ROW('Loan 1'!$C$21),COLUMN('Loan 1'!$C$21),4)</f>
        <v>C21</v>
      </c>
      <c r="C5368" t="str">
        <f>ADDRESS(ROW('Loan 1'!$D$21),COLUMN('Loan 1'!$D$21),4)</f>
        <v>D21</v>
      </c>
      <c r="D5368" t="b" cm="1">
        <f t="array" aca="1" ref="D5368" ca="1">IF(INDIRECT("'"&amp;A5368&amp;"'!"&amp;B5368)="",FALSE,IF(INDIRECT("'"&amp;A5368&amp;"'!"&amp;B5368)&lt;0,TRUE,FALSE))</f>
        <v>0</v>
      </c>
      <c r="E5368" t="s">
        <v>434</v>
      </c>
      <c r="F5368" t="str">
        <f>INDEX(Lists!I:I,MATCH(Validation!E5368,Lists!G:G,0))</f>
        <v>Error</v>
      </c>
      <c r="G5368" t="str">
        <f>INDEX(Lists!H:H,MATCH(Validation!E5368,Lists!G:G,0))</f>
        <v>Amount may not be negative. Enter an amount greater than or equal to zero.</v>
      </c>
      <c r="H5368" s="16" t="str">
        <f t="shared" ca="1" si="579"/>
        <v/>
      </c>
      <c r="I5368" s="16" t="str">
        <f t="shared" ca="1" si="580"/>
        <v/>
      </c>
      <c r="J5368" s="17" t="str">
        <f t="shared" ca="1" si="581"/>
        <v/>
      </c>
    </row>
    <row r="5369" spans="1:10" x14ac:dyDescent="0.25">
      <c r="A5369" t="s">
        <v>942</v>
      </c>
      <c r="B5369" t="str">
        <f>ADDRESS(ROW('Loan 1'!$C$21),COLUMN('Loan 1'!$C$21),4)</f>
        <v>C21</v>
      </c>
      <c r="C5369" t="str">
        <f>ADDRESS(ROW('Loan 1'!$D$21),COLUMN('Loan 1'!$D$21),4)</f>
        <v>D21</v>
      </c>
      <c r="D5369" t="b" cm="1">
        <f t="array" aca="1" ref="D5369" ca="1">IF(INDIRECT("'"&amp;A5369&amp;"'!"&amp;B5369)="",FALSE,IF(INDIRECT("'"&amp;A5369&amp;"'!"&amp;B5369)&lt;0,TRUE,FALSE))</f>
        <v>0</v>
      </c>
      <c r="E5369" t="s">
        <v>434</v>
      </c>
      <c r="F5369" t="str">
        <f>INDEX(Lists!I:I,MATCH(Validation!E5369,Lists!G:G,0))</f>
        <v>Error</v>
      </c>
      <c r="G5369" t="str">
        <f>INDEX(Lists!H:H,MATCH(Validation!E5369,Lists!G:G,0))</f>
        <v>Amount may not be negative. Enter an amount greater than or equal to zero.</v>
      </c>
      <c r="H5369" s="16" t="str">
        <f t="shared" ca="1" si="579"/>
        <v/>
      </c>
      <c r="I5369" s="16" t="str">
        <f t="shared" ca="1" si="580"/>
        <v/>
      </c>
      <c r="J5369" s="17" t="str">
        <f t="shared" ca="1" si="581"/>
        <v/>
      </c>
    </row>
    <row r="5370" spans="1:10" x14ac:dyDescent="0.25">
      <c r="A5370" t="s">
        <v>943</v>
      </c>
      <c r="B5370" t="str">
        <f>ADDRESS(ROW('Loan 1'!$C$21),COLUMN('Loan 1'!$C$21),4)</f>
        <v>C21</v>
      </c>
      <c r="C5370" t="str">
        <f>ADDRESS(ROW('Loan 1'!$D$21),COLUMN('Loan 1'!$D$21),4)</f>
        <v>D21</v>
      </c>
      <c r="D5370" t="b" cm="1">
        <f t="array" aca="1" ref="D5370" ca="1">IF(INDIRECT("'"&amp;A5370&amp;"'!"&amp;B5370)="",FALSE,IF(INDIRECT("'"&amp;A5370&amp;"'!"&amp;B5370)&lt;0,TRUE,FALSE))</f>
        <v>0</v>
      </c>
      <c r="E5370" t="s">
        <v>434</v>
      </c>
      <c r="F5370" t="str">
        <f>INDEX(Lists!I:I,MATCH(Validation!E5370,Lists!G:G,0))</f>
        <v>Error</v>
      </c>
      <c r="G5370" t="str">
        <f>INDEX(Lists!H:H,MATCH(Validation!E5370,Lists!G:G,0))</f>
        <v>Amount may not be negative. Enter an amount greater than or equal to zero.</v>
      </c>
      <c r="H5370" s="16" t="str">
        <f t="shared" ca="1" si="579"/>
        <v/>
      </c>
      <c r="I5370" s="16" t="str">
        <f t="shared" ca="1" si="580"/>
        <v/>
      </c>
      <c r="J5370" s="17" t="str">
        <f t="shared" ca="1" si="581"/>
        <v/>
      </c>
    </row>
    <row r="5371" spans="1:10" x14ac:dyDescent="0.25">
      <c r="A5371" t="s">
        <v>944</v>
      </c>
      <c r="B5371" t="str">
        <f>ADDRESS(ROW('Loan 1'!$C$21),COLUMN('Loan 1'!$C$21),4)</f>
        <v>C21</v>
      </c>
      <c r="C5371" t="str">
        <f>ADDRESS(ROW('Loan 1'!$D$21),COLUMN('Loan 1'!$D$21),4)</f>
        <v>D21</v>
      </c>
      <c r="D5371" t="b" cm="1">
        <f t="array" aca="1" ref="D5371" ca="1">IF(INDIRECT("'"&amp;A5371&amp;"'!"&amp;B5371)="",FALSE,IF(INDIRECT("'"&amp;A5371&amp;"'!"&amp;B5371)&lt;0,TRUE,FALSE))</f>
        <v>0</v>
      </c>
      <c r="E5371" t="s">
        <v>434</v>
      </c>
      <c r="F5371" t="str">
        <f>INDEX(Lists!I:I,MATCH(Validation!E5371,Lists!G:G,0))</f>
        <v>Error</v>
      </c>
      <c r="G5371" t="str">
        <f>INDEX(Lists!H:H,MATCH(Validation!E5371,Lists!G:G,0))</f>
        <v>Amount may not be negative. Enter an amount greater than or equal to zero.</v>
      </c>
      <c r="H5371" s="16" t="str">
        <f t="shared" ca="1" si="579"/>
        <v/>
      </c>
      <c r="I5371" s="16" t="str">
        <f t="shared" ca="1" si="580"/>
        <v/>
      </c>
      <c r="J5371" s="17" t="str">
        <f t="shared" ca="1" si="581"/>
        <v/>
      </c>
    </row>
    <row r="5372" spans="1:10" x14ac:dyDescent="0.25">
      <c r="A5372" t="s">
        <v>945</v>
      </c>
      <c r="B5372" t="str">
        <f>ADDRESS(ROW('Loan 1'!$C$21),COLUMN('Loan 1'!$C$21),4)</f>
        <v>C21</v>
      </c>
      <c r="C5372" t="str">
        <f>ADDRESS(ROW('Loan 1'!$D$21),COLUMN('Loan 1'!$D$21),4)</f>
        <v>D21</v>
      </c>
      <c r="D5372" t="b" cm="1">
        <f t="array" aca="1" ref="D5372" ca="1">IF(INDIRECT("'"&amp;A5372&amp;"'!"&amp;B5372)="",FALSE,IF(INDIRECT("'"&amp;A5372&amp;"'!"&amp;B5372)&lt;0,TRUE,FALSE))</f>
        <v>0</v>
      </c>
      <c r="E5372" t="s">
        <v>434</v>
      </c>
      <c r="F5372" t="str">
        <f>INDEX(Lists!I:I,MATCH(Validation!E5372,Lists!G:G,0))</f>
        <v>Error</v>
      </c>
      <c r="G5372" t="str">
        <f>INDEX(Lists!H:H,MATCH(Validation!E5372,Lists!G:G,0))</f>
        <v>Amount may not be negative. Enter an amount greater than or equal to zero.</v>
      </c>
      <c r="H5372" s="16" t="str">
        <f t="shared" ca="1" si="579"/>
        <v/>
      </c>
      <c r="I5372" s="16" t="str">
        <f t="shared" ca="1" si="580"/>
        <v/>
      </c>
      <c r="J5372" s="17" t="str">
        <f t="shared" ca="1" si="581"/>
        <v/>
      </c>
    </row>
    <row r="5373" spans="1:10" x14ac:dyDescent="0.25">
      <c r="A5373" t="s">
        <v>205</v>
      </c>
      <c r="B5373" t="str">
        <f>ADDRESS(ROW('Loan 1'!$C$21),COLUMN('Loan 1'!$C$21),4)</f>
        <v>C21</v>
      </c>
      <c r="C5373" t="str">
        <f>ADDRESS(ROW('Loan 1'!$D$21),COLUMN('Loan 1'!$D$21),4)</f>
        <v>D21</v>
      </c>
      <c r="D5373" t="b" cm="1">
        <f t="array" aca="1" ref="D5373" ca="1">IF(INDIRECT("'"&amp;A5373&amp;"'!"&amp;B5373)="",FALSE,IF(TRUNC(INDIRECT("'"&amp;A5373&amp;"'!"&amp;B5373))=INDIRECT("'"&amp;A5373&amp;"'!"&amp;B5373),FALSE,TRUE))</f>
        <v>0</v>
      </c>
      <c r="E5373" t="s">
        <v>436</v>
      </c>
      <c r="F5373" t="str">
        <f>INDEX(Lists!I:I,MATCH(Validation!E5373,Lists!G:G,0))</f>
        <v>Error</v>
      </c>
      <c r="G5373" t="str">
        <f>INDEX(Lists!H:H,MATCH(Validation!E5373,Lists!G:G,0))</f>
        <v>Amount must be rounded to the nearest dollar.</v>
      </c>
      <c r="H5373" s="16" t="str">
        <f t="shared" ca="1" si="579"/>
        <v/>
      </c>
      <c r="I5373" s="16" t="str">
        <f t="shared" ca="1" si="580"/>
        <v/>
      </c>
      <c r="J5373" s="17" t="str">
        <f t="shared" ca="1" si="581"/>
        <v/>
      </c>
    </row>
    <row r="5374" spans="1:10" x14ac:dyDescent="0.25">
      <c r="A5374" t="s">
        <v>932</v>
      </c>
      <c r="B5374" t="str">
        <f>ADDRESS(ROW('Loan 1'!$C$21),COLUMN('Loan 1'!$C$21),4)</f>
        <v>C21</v>
      </c>
      <c r="C5374" t="str">
        <f>ADDRESS(ROW('Loan 1'!$D$21),COLUMN('Loan 1'!$D$21),4)</f>
        <v>D21</v>
      </c>
      <c r="D5374" t="b" cm="1">
        <f t="array" aca="1" ref="D5374" ca="1">IF(INDIRECT("'"&amp;A5374&amp;"'!"&amp;B5374)="",FALSE,IF(TRUNC(INDIRECT("'"&amp;A5374&amp;"'!"&amp;B5374))=INDIRECT("'"&amp;A5374&amp;"'!"&amp;B5374),FALSE,TRUE))</f>
        <v>0</v>
      </c>
      <c r="E5374" t="s">
        <v>436</v>
      </c>
      <c r="F5374" t="str">
        <f>INDEX(Lists!I:I,MATCH(Validation!E5374,Lists!G:G,0))</f>
        <v>Error</v>
      </c>
      <c r="G5374" t="str">
        <f>INDEX(Lists!H:H,MATCH(Validation!E5374,Lists!G:G,0))</f>
        <v>Amount must be rounded to the nearest dollar.</v>
      </c>
      <c r="H5374" s="16" t="str">
        <f t="shared" ca="1" si="579"/>
        <v/>
      </c>
      <c r="I5374" s="16" t="str">
        <f t="shared" ca="1" si="580"/>
        <v/>
      </c>
      <c r="J5374" s="17" t="str">
        <f t="shared" ca="1" si="581"/>
        <v/>
      </c>
    </row>
    <row r="5375" spans="1:10" x14ac:dyDescent="0.25">
      <c r="A5375" t="s">
        <v>933</v>
      </c>
      <c r="B5375" t="str">
        <f>ADDRESS(ROW('Loan 1'!$C$21),COLUMN('Loan 1'!$C$21),4)</f>
        <v>C21</v>
      </c>
      <c r="C5375" t="str">
        <f>ADDRESS(ROW('Loan 1'!$D$21),COLUMN('Loan 1'!$D$21),4)</f>
        <v>D21</v>
      </c>
      <c r="D5375" t="b" cm="1">
        <f t="array" aca="1" ref="D5375" ca="1">IF(INDIRECT("'"&amp;A5375&amp;"'!"&amp;B5375)="",FALSE,IF(TRUNC(INDIRECT("'"&amp;A5375&amp;"'!"&amp;B5375))=INDIRECT("'"&amp;A5375&amp;"'!"&amp;B5375),FALSE,TRUE))</f>
        <v>0</v>
      </c>
      <c r="E5375" t="s">
        <v>436</v>
      </c>
      <c r="F5375" t="str">
        <f>INDEX(Lists!I:I,MATCH(Validation!E5375,Lists!G:G,0))</f>
        <v>Error</v>
      </c>
      <c r="G5375" t="str">
        <f>INDEX(Lists!H:H,MATCH(Validation!E5375,Lists!G:G,0))</f>
        <v>Amount must be rounded to the nearest dollar.</v>
      </c>
      <c r="H5375" s="16" t="str">
        <f t="shared" ca="1" si="579"/>
        <v/>
      </c>
      <c r="I5375" s="16" t="str">
        <f t="shared" ca="1" si="580"/>
        <v/>
      </c>
      <c r="J5375" s="17" t="str">
        <f t="shared" ca="1" si="581"/>
        <v/>
      </c>
    </row>
    <row r="5376" spans="1:10" x14ac:dyDescent="0.25">
      <c r="A5376" t="s">
        <v>934</v>
      </c>
      <c r="B5376" t="str">
        <f>ADDRESS(ROW('Loan 1'!$C$21),COLUMN('Loan 1'!$C$21),4)</f>
        <v>C21</v>
      </c>
      <c r="C5376" t="str">
        <f>ADDRESS(ROW('Loan 1'!$D$21),COLUMN('Loan 1'!$D$21),4)</f>
        <v>D21</v>
      </c>
      <c r="D5376" t="b" cm="1">
        <f t="array" aca="1" ref="D5376" ca="1">IF(INDIRECT("'"&amp;A5376&amp;"'!"&amp;B5376)="",FALSE,IF(TRUNC(INDIRECT("'"&amp;A5376&amp;"'!"&amp;B5376))=INDIRECT("'"&amp;A5376&amp;"'!"&amp;B5376),FALSE,TRUE))</f>
        <v>0</v>
      </c>
      <c r="E5376" t="s">
        <v>436</v>
      </c>
      <c r="F5376" t="str">
        <f>INDEX(Lists!I:I,MATCH(Validation!E5376,Lists!G:G,0))</f>
        <v>Error</v>
      </c>
      <c r="G5376" t="str">
        <f>INDEX(Lists!H:H,MATCH(Validation!E5376,Lists!G:G,0))</f>
        <v>Amount must be rounded to the nearest dollar.</v>
      </c>
      <c r="H5376" s="16" t="str">
        <f t="shared" ca="1" si="579"/>
        <v/>
      </c>
      <c r="I5376" s="16" t="str">
        <f t="shared" ca="1" si="580"/>
        <v/>
      </c>
      <c r="J5376" s="17" t="str">
        <f t="shared" ca="1" si="581"/>
        <v/>
      </c>
    </row>
    <row r="5377" spans="1:10" x14ac:dyDescent="0.25">
      <c r="A5377" t="s">
        <v>935</v>
      </c>
      <c r="B5377" t="str">
        <f>ADDRESS(ROW('Loan 1'!$C$21),COLUMN('Loan 1'!$C$21),4)</f>
        <v>C21</v>
      </c>
      <c r="C5377" t="str">
        <f>ADDRESS(ROW('Loan 1'!$D$21),COLUMN('Loan 1'!$D$21),4)</f>
        <v>D21</v>
      </c>
      <c r="D5377" t="b" cm="1">
        <f t="array" aca="1" ref="D5377" ca="1">IF(INDIRECT("'"&amp;A5377&amp;"'!"&amp;B5377)="",FALSE,IF(TRUNC(INDIRECT("'"&amp;A5377&amp;"'!"&amp;B5377))=INDIRECT("'"&amp;A5377&amp;"'!"&amp;B5377),FALSE,TRUE))</f>
        <v>0</v>
      </c>
      <c r="E5377" t="s">
        <v>436</v>
      </c>
      <c r="F5377" t="str">
        <f>INDEX(Lists!I:I,MATCH(Validation!E5377,Lists!G:G,0))</f>
        <v>Error</v>
      </c>
      <c r="G5377" t="str">
        <f>INDEX(Lists!H:H,MATCH(Validation!E5377,Lists!G:G,0))</f>
        <v>Amount must be rounded to the nearest dollar.</v>
      </c>
      <c r="H5377" s="16" t="str">
        <f t="shared" ca="1" si="579"/>
        <v/>
      </c>
      <c r="I5377" s="16" t="str">
        <f t="shared" ca="1" si="580"/>
        <v/>
      </c>
      <c r="J5377" s="17" t="str">
        <f t="shared" ca="1" si="581"/>
        <v/>
      </c>
    </row>
    <row r="5378" spans="1:10" x14ac:dyDescent="0.25">
      <c r="A5378" t="s">
        <v>936</v>
      </c>
      <c r="B5378" t="str">
        <f>ADDRESS(ROW('Loan 1'!$C$21),COLUMN('Loan 1'!$C$21),4)</f>
        <v>C21</v>
      </c>
      <c r="C5378" t="str">
        <f>ADDRESS(ROW('Loan 1'!$D$21),COLUMN('Loan 1'!$D$21),4)</f>
        <v>D21</v>
      </c>
      <c r="D5378" t="b" cm="1">
        <f t="array" aca="1" ref="D5378" ca="1">IF(INDIRECT("'"&amp;A5378&amp;"'!"&amp;B5378)="",FALSE,IF(TRUNC(INDIRECT("'"&amp;A5378&amp;"'!"&amp;B5378))=INDIRECT("'"&amp;A5378&amp;"'!"&amp;B5378),FALSE,TRUE))</f>
        <v>0</v>
      </c>
      <c r="E5378" t="s">
        <v>436</v>
      </c>
      <c r="F5378" t="str">
        <f>INDEX(Lists!I:I,MATCH(Validation!E5378,Lists!G:G,0))</f>
        <v>Error</v>
      </c>
      <c r="G5378" t="str">
        <f>INDEX(Lists!H:H,MATCH(Validation!E5378,Lists!G:G,0))</f>
        <v>Amount must be rounded to the nearest dollar.</v>
      </c>
      <c r="H5378" s="16" t="str">
        <f t="shared" ca="1" si="579"/>
        <v/>
      </c>
      <c r="I5378" s="16" t="str">
        <f t="shared" ca="1" si="580"/>
        <v/>
      </c>
      <c r="J5378" s="17" t="str">
        <f t="shared" ca="1" si="581"/>
        <v/>
      </c>
    </row>
    <row r="5379" spans="1:10" x14ac:dyDescent="0.25">
      <c r="A5379" t="s">
        <v>937</v>
      </c>
      <c r="B5379" t="str">
        <f>ADDRESS(ROW('Loan 1'!$C$21),COLUMN('Loan 1'!$C$21),4)</f>
        <v>C21</v>
      </c>
      <c r="C5379" t="str">
        <f>ADDRESS(ROW('Loan 1'!$D$21),COLUMN('Loan 1'!$D$21),4)</f>
        <v>D21</v>
      </c>
      <c r="D5379" t="b" cm="1">
        <f t="array" aca="1" ref="D5379" ca="1">IF(INDIRECT("'"&amp;A5379&amp;"'!"&amp;B5379)="",FALSE,IF(TRUNC(INDIRECT("'"&amp;A5379&amp;"'!"&amp;B5379))=INDIRECT("'"&amp;A5379&amp;"'!"&amp;B5379),FALSE,TRUE))</f>
        <v>0</v>
      </c>
      <c r="E5379" t="s">
        <v>436</v>
      </c>
      <c r="F5379" t="str">
        <f>INDEX(Lists!I:I,MATCH(Validation!E5379,Lists!G:G,0))</f>
        <v>Error</v>
      </c>
      <c r="G5379" t="str">
        <f>INDEX(Lists!H:H,MATCH(Validation!E5379,Lists!G:G,0))</f>
        <v>Amount must be rounded to the nearest dollar.</v>
      </c>
      <c r="H5379" s="16" t="str">
        <f t="shared" ca="1" si="579"/>
        <v/>
      </c>
      <c r="I5379" s="16" t="str">
        <f t="shared" ca="1" si="580"/>
        <v/>
      </c>
      <c r="J5379" s="17" t="str">
        <f t="shared" ca="1" si="581"/>
        <v/>
      </c>
    </row>
    <row r="5380" spans="1:10" x14ac:dyDescent="0.25">
      <c r="A5380" t="s">
        <v>938</v>
      </c>
      <c r="B5380" t="str">
        <f>ADDRESS(ROW('Loan 1'!$C$21),COLUMN('Loan 1'!$C$21),4)</f>
        <v>C21</v>
      </c>
      <c r="C5380" t="str">
        <f>ADDRESS(ROW('Loan 1'!$D$21),COLUMN('Loan 1'!$D$21),4)</f>
        <v>D21</v>
      </c>
      <c r="D5380" t="b" cm="1">
        <f t="array" aca="1" ref="D5380" ca="1">IF(INDIRECT("'"&amp;A5380&amp;"'!"&amp;B5380)="",FALSE,IF(TRUNC(INDIRECT("'"&amp;A5380&amp;"'!"&amp;B5380))=INDIRECT("'"&amp;A5380&amp;"'!"&amp;B5380),FALSE,TRUE))</f>
        <v>0</v>
      </c>
      <c r="E5380" t="s">
        <v>436</v>
      </c>
      <c r="F5380" t="str">
        <f>INDEX(Lists!I:I,MATCH(Validation!E5380,Lists!G:G,0))</f>
        <v>Error</v>
      </c>
      <c r="G5380" t="str">
        <f>INDEX(Lists!H:H,MATCH(Validation!E5380,Lists!G:G,0))</f>
        <v>Amount must be rounded to the nearest dollar.</v>
      </c>
      <c r="H5380" s="16" t="str">
        <f t="shared" ca="1" si="579"/>
        <v/>
      </c>
      <c r="I5380" s="16" t="str">
        <f t="shared" ca="1" si="580"/>
        <v/>
      </c>
      <c r="J5380" s="17" t="str">
        <f t="shared" ca="1" si="581"/>
        <v/>
      </c>
    </row>
    <row r="5381" spans="1:10" x14ac:dyDescent="0.25">
      <c r="A5381" t="s">
        <v>939</v>
      </c>
      <c r="B5381" t="str">
        <f>ADDRESS(ROW('Loan 1'!$C$21),COLUMN('Loan 1'!$C$21),4)</f>
        <v>C21</v>
      </c>
      <c r="C5381" t="str">
        <f>ADDRESS(ROW('Loan 1'!$D$21),COLUMN('Loan 1'!$D$21),4)</f>
        <v>D21</v>
      </c>
      <c r="D5381" t="b" cm="1">
        <f t="array" aca="1" ref="D5381" ca="1">IF(INDIRECT("'"&amp;A5381&amp;"'!"&amp;B5381)="",FALSE,IF(TRUNC(INDIRECT("'"&amp;A5381&amp;"'!"&amp;B5381))=INDIRECT("'"&amp;A5381&amp;"'!"&amp;B5381),FALSE,TRUE))</f>
        <v>0</v>
      </c>
      <c r="E5381" t="s">
        <v>436</v>
      </c>
      <c r="F5381" t="str">
        <f>INDEX(Lists!I:I,MATCH(Validation!E5381,Lists!G:G,0))</f>
        <v>Error</v>
      </c>
      <c r="G5381" t="str">
        <f>INDEX(Lists!H:H,MATCH(Validation!E5381,Lists!G:G,0))</f>
        <v>Amount must be rounded to the nearest dollar.</v>
      </c>
      <c r="H5381" s="16" t="str">
        <f t="shared" ca="1" si="579"/>
        <v/>
      </c>
      <c r="I5381" s="16" t="str">
        <f t="shared" ca="1" si="580"/>
        <v/>
      </c>
      <c r="J5381" s="17" t="str">
        <f t="shared" ca="1" si="581"/>
        <v/>
      </c>
    </row>
    <row r="5382" spans="1:10" x14ac:dyDescent="0.25">
      <c r="A5382" t="s">
        <v>940</v>
      </c>
      <c r="B5382" t="str">
        <f>ADDRESS(ROW('Loan 1'!$C$21),COLUMN('Loan 1'!$C$21),4)</f>
        <v>C21</v>
      </c>
      <c r="C5382" t="str">
        <f>ADDRESS(ROW('Loan 1'!$D$21),COLUMN('Loan 1'!$D$21),4)</f>
        <v>D21</v>
      </c>
      <c r="D5382" t="b" cm="1">
        <f t="array" aca="1" ref="D5382" ca="1">IF(INDIRECT("'"&amp;A5382&amp;"'!"&amp;B5382)="",FALSE,IF(TRUNC(INDIRECT("'"&amp;A5382&amp;"'!"&amp;B5382))=INDIRECT("'"&amp;A5382&amp;"'!"&amp;B5382),FALSE,TRUE))</f>
        <v>0</v>
      </c>
      <c r="E5382" t="s">
        <v>436</v>
      </c>
      <c r="F5382" t="str">
        <f>INDEX(Lists!I:I,MATCH(Validation!E5382,Lists!G:G,0))</f>
        <v>Error</v>
      </c>
      <c r="G5382" t="str">
        <f>INDEX(Lists!H:H,MATCH(Validation!E5382,Lists!G:G,0))</f>
        <v>Amount must be rounded to the nearest dollar.</v>
      </c>
      <c r="H5382" s="16" t="str">
        <f t="shared" ca="1" si="579"/>
        <v/>
      </c>
      <c r="I5382" s="16" t="str">
        <f t="shared" ca="1" si="580"/>
        <v/>
      </c>
      <c r="J5382" s="17" t="str">
        <f t="shared" ca="1" si="581"/>
        <v/>
      </c>
    </row>
    <row r="5383" spans="1:10" x14ac:dyDescent="0.25">
      <c r="A5383" t="s">
        <v>941</v>
      </c>
      <c r="B5383" t="str">
        <f>ADDRESS(ROW('Loan 1'!$C$21),COLUMN('Loan 1'!$C$21),4)</f>
        <v>C21</v>
      </c>
      <c r="C5383" t="str">
        <f>ADDRESS(ROW('Loan 1'!$D$21),COLUMN('Loan 1'!$D$21),4)</f>
        <v>D21</v>
      </c>
      <c r="D5383" t="b" cm="1">
        <f t="array" aca="1" ref="D5383" ca="1">IF(INDIRECT("'"&amp;A5383&amp;"'!"&amp;B5383)="",FALSE,IF(TRUNC(INDIRECT("'"&amp;A5383&amp;"'!"&amp;B5383))=INDIRECT("'"&amp;A5383&amp;"'!"&amp;B5383),FALSE,TRUE))</f>
        <v>0</v>
      </c>
      <c r="E5383" t="s">
        <v>436</v>
      </c>
      <c r="F5383" t="str">
        <f>INDEX(Lists!I:I,MATCH(Validation!E5383,Lists!G:G,0))</f>
        <v>Error</v>
      </c>
      <c r="G5383" t="str">
        <f>INDEX(Lists!H:H,MATCH(Validation!E5383,Lists!G:G,0))</f>
        <v>Amount must be rounded to the nearest dollar.</v>
      </c>
      <c r="H5383" s="16" t="str">
        <f t="shared" ca="1" si="579"/>
        <v/>
      </c>
      <c r="I5383" s="16" t="str">
        <f t="shared" ca="1" si="580"/>
        <v/>
      </c>
      <c r="J5383" s="17" t="str">
        <f t="shared" ca="1" si="581"/>
        <v/>
      </c>
    </row>
    <row r="5384" spans="1:10" x14ac:dyDescent="0.25">
      <c r="A5384" t="s">
        <v>942</v>
      </c>
      <c r="B5384" t="str">
        <f>ADDRESS(ROW('Loan 1'!$C$21),COLUMN('Loan 1'!$C$21),4)</f>
        <v>C21</v>
      </c>
      <c r="C5384" t="str">
        <f>ADDRESS(ROW('Loan 1'!$D$21),COLUMN('Loan 1'!$D$21),4)</f>
        <v>D21</v>
      </c>
      <c r="D5384" t="b" cm="1">
        <f t="array" aca="1" ref="D5384" ca="1">IF(INDIRECT("'"&amp;A5384&amp;"'!"&amp;B5384)="",FALSE,IF(TRUNC(INDIRECT("'"&amp;A5384&amp;"'!"&amp;B5384))=INDIRECT("'"&amp;A5384&amp;"'!"&amp;B5384),FALSE,TRUE))</f>
        <v>0</v>
      </c>
      <c r="E5384" t="s">
        <v>436</v>
      </c>
      <c r="F5384" t="str">
        <f>INDEX(Lists!I:I,MATCH(Validation!E5384,Lists!G:G,0))</f>
        <v>Error</v>
      </c>
      <c r="G5384" t="str">
        <f>INDEX(Lists!H:H,MATCH(Validation!E5384,Lists!G:G,0))</f>
        <v>Amount must be rounded to the nearest dollar.</v>
      </c>
      <c r="H5384" s="16" t="str">
        <f t="shared" ca="1" si="579"/>
        <v/>
      </c>
      <c r="I5384" s="16" t="str">
        <f t="shared" ca="1" si="580"/>
        <v/>
      </c>
      <c r="J5384" s="17" t="str">
        <f t="shared" ca="1" si="581"/>
        <v/>
      </c>
    </row>
    <row r="5385" spans="1:10" x14ac:dyDescent="0.25">
      <c r="A5385" t="s">
        <v>943</v>
      </c>
      <c r="B5385" t="str">
        <f>ADDRESS(ROW('Loan 1'!$C$21),COLUMN('Loan 1'!$C$21),4)</f>
        <v>C21</v>
      </c>
      <c r="C5385" t="str">
        <f>ADDRESS(ROW('Loan 1'!$D$21),COLUMN('Loan 1'!$D$21),4)</f>
        <v>D21</v>
      </c>
      <c r="D5385" t="b" cm="1">
        <f t="array" aca="1" ref="D5385" ca="1">IF(INDIRECT("'"&amp;A5385&amp;"'!"&amp;B5385)="",FALSE,IF(TRUNC(INDIRECT("'"&amp;A5385&amp;"'!"&amp;B5385))=INDIRECT("'"&amp;A5385&amp;"'!"&amp;B5385),FALSE,TRUE))</f>
        <v>0</v>
      </c>
      <c r="E5385" t="s">
        <v>436</v>
      </c>
      <c r="F5385" t="str">
        <f>INDEX(Lists!I:I,MATCH(Validation!E5385,Lists!G:G,0))</f>
        <v>Error</v>
      </c>
      <c r="G5385" t="str">
        <f>INDEX(Lists!H:H,MATCH(Validation!E5385,Lists!G:G,0))</f>
        <v>Amount must be rounded to the nearest dollar.</v>
      </c>
      <c r="H5385" s="16" t="str">
        <f t="shared" ca="1" si="579"/>
        <v/>
      </c>
      <c r="I5385" s="16" t="str">
        <f t="shared" ca="1" si="580"/>
        <v/>
      </c>
      <c r="J5385" s="17" t="str">
        <f t="shared" ca="1" si="581"/>
        <v/>
      </c>
    </row>
    <row r="5386" spans="1:10" x14ac:dyDescent="0.25">
      <c r="A5386" t="s">
        <v>944</v>
      </c>
      <c r="B5386" t="str">
        <f>ADDRESS(ROW('Loan 1'!$C$21),COLUMN('Loan 1'!$C$21),4)</f>
        <v>C21</v>
      </c>
      <c r="C5386" t="str">
        <f>ADDRESS(ROW('Loan 1'!$D$21),COLUMN('Loan 1'!$D$21),4)</f>
        <v>D21</v>
      </c>
      <c r="D5386" t="b" cm="1">
        <f t="array" aca="1" ref="D5386" ca="1">IF(INDIRECT("'"&amp;A5386&amp;"'!"&amp;B5386)="",FALSE,IF(TRUNC(INDIRECT("'"&amp;A5386&amp;"'!"&amp;B5386))=INDIRECT("'"&amp;A5386&amp;"'!"&amp;B5386),FALSE,TRUE))</f>
        <v>0</v>
      </c>
      <c r="E5386" t="s">
        <v>436</v>
      </c>
      <c r="F5386" t="str">
        <f>INDEX(Lists!I:I,MATCH(Validation!E5386,Lists!G:G,0))</f>
        <v>Error</v>
      </c>
      <c r="G5386" t="str">
        <f>INDEX(Lists!H:H,MATCH(Validation!E5386,Lists!G:G,0))</f>
        <v>Amount must be rounded to the nearest dollar.</v>
      </c>
      <c r="H5386" s="16" t="str">
        <f t="shared" ca="1" si="579"/>
        <v/>
      </c>
      <c r="I5386" s="16" t="str">
        <f t="shared" ca="1" si="580"/>
        <v/>
      </c>
      <c r="J5386" s="17" t="str">
        <f t="shared" ca="1" si="581"/>
        <v/>
      </c>
    </row>
    <row r="5387" spans="1:10" x14ac:dyDescent="0.25">
      <c r="A5387" t="s">
        <v>945</v>
      </c>
      <c r="B5387" t="str">
        <f>ADDRESS(ROW('Loan 1'!$C$21),COLUMN('Loan 1'!$C$21),4)</f>
        <v>C21</v>
      </c>
      <c r="C5387" t="str">
        <f>ADDRESS(ROW('Loan 1'!$D$21),COLUMN('Loan 1'!$D$21),4)</f>
        <v>D21</v>
      </c>
      <c r="D5387" t="b" cm="1">
        <f t="array" aca="1" ref="D5387" ca="1">IF(INDIRECT("'"&amp;A5387&amp;"'!"&amp;B5387)="",FALSE,IF(TRUNC(INDIRECT("'"&amp;A5387&amp;"'!"&amp;B5387))=INDIRECT("'"&amp;A5387&amp;"'!"&amp;B5387),FALSE,TRUE))</f>
        <v>0</v>
      </c>
      <c r="E5387" t="s">
        <v>436</v>
      </c>
      <c r="F5387" t="str">
        <f>INDEX(Lists!I:I,MATCH(Validation!E5387,Lists!G:G,0))</f>
        <v>Error</v>
      </c>
      <c r="G5387" t="str">
        <f>INDEX(Lists!H:H,MATCH(Validation!E5387,Lists!G:G,0))</f>
        <v>Amount must be rounded to the nearest dollar.</v>
      </c>
      <c r="H5387" s="16" t="str">
        <f t="shared" ca="1" si="579"/>
        <v/>
      </c>
      <c r="I5387" s="16" t="str">
        <f t="shared" ca="1" si="580"/>
        <v/>
      </c>
      <c r="J5387" s="17" t="str">
        <f t="shared" ca="1" si="581"/>
        <v/>
      </c>
    </row>
    <row r="5388" spans="1:10" x14ac:dyDescent="0.25">
      <c r="A5388" t="s">
        <v>205</v>
      </c>
      <c r="B5388" t="str">
        <f>ADDRESS(ROW('Loan 1'!$B$22),COLUMN('Loan 1'!$B$22),4)</f>
        <v>B22</v>
      </c>
      <c r="C5388" t="str">
        <f>ADDRESS(ROW('Loan 1'!$D$22),COLUMN('Loan 1'!$D$22),4)</f>
        <v>D22</v>
      </c>
      <c r="D5388" t="b" cm="1">
        <f t="array" aca="1" ref="D5388" ca="1">IF(INDIRECT("'"&amp;A5388&amp;"'!"&amp;B5388)="",FALSE,IF(NOT(ISNUMBER(INDIRECT("'"&amp;A5388&amp;"'!"&amp;B5388))),TRUE,FALSE))</f>
        <v>0</v>
      </c>
      <c r="E5388" t="s">
        <v>435</v>
      </c>
      <c r="F5388" t="str">
        <f>INDEX(Lists!I:I,MATCH(Validation!E5388,Lists!G:G,0))</f>
        <v>Error</v>
      </c>
      <c r="G5388" t="str">
        <f>INDEX(Lists!H:H,MATCH(Validation!E5388,Lists!G:G,0))</f>
        <v>Enter an amount only. Do not enter text or spaces.</v>
      </c>
      <c r="H5388" s="16" t="str">
        <f ca="1">IFERROR(IF(OR(NOT(D5388),F5388&lt;&gt;"Error"),"",A5388&amp;CELL("address",INDIRECT(B5388))),"")</f>
        <v/>
      </c>
      <c r="I5388" s="16" t="str">
        <f ca="1">IFERROR(IF(NOT(D5388),"",A5388&amp;CELL("address",INDIRECT(C5388))),"")</f>
        <v/>
      </c>
      <c r="J5388" s="17" t="str">
        <f ca="1">IFERROR(IF(NOT(D5388),"",A5388),"")</f>
        <v/>
      </c>
    </row>
    <row r="5389" spans="1:10" x14ac:dyDescent="0.25">
      <c r="A5389" t="s">
        <v>932</v>
      </c>
      <c r="B5389" t="str">
        <f>ADDRESS(ROW('Loan 1'!$B$22),COLUMN('Loan 1'!$B$22),4)</f>
        <v>B22</v>
      </c>
      <c r="C5389" t="str">
        <f>ADDRESS(ROW('Loan 1'!$D$22),COLUMN('Loan 1'!$D$22),4)</f>
        <v>D22</v>
      </c>
      <c r="D5389" t="b" cm="1">
        <f t="array" aca="1" ref="D5389" ca="1">IF(INDIRECT("'"&amp;A5389&amp;"'!"&amp;B5389)="",FALSE,IF(NOT(ISNUMBER(INDIRECT("'"&amp;A5389&amp;"'!"&amp;B5389))),TRUE,FALSE))</f>
        <v>0</v>
      </c>
      <c r="E5389" t="s">
        <v>435</v>
      </c>
      <c r="F5389" t="str">
        <f>INDEX(Lists!I:I,MATCH(Validation!E5389,Lists!G:G,0))</f>
        <v>Error</v>
      </c>
      <c r="G5389" t="str">
        <f>INDEX(Lists!H:H,MATCH(Validation!E5389,Lists!G:G,0))</f>
        <v>Enter an amount only. Do not enter text or spaces.</v>
      </c>
      <c r="H5389" s="16" t="str">
        <f t="shared" ref="H5389:H5402" ca="1" si="582">IFERROR(IF(OR(NOT(D5389),F5389&lt;&gt;"Error"),"",A5389&amp;CELL("address",INDIRECT(B5389))),"")</f>
        <v/>
      </c>
      <c r="I5389" s="16" t="str">
        <f t="shared" ref="I5389:I5402" ca="1" si="583">IFERROR(IF(NOT(D5389),"",A5389&amp;CELL("address",INDIRECT(C5389))),"")</f>
        <v/>
      </c>
      <c r="J5389" s="17" t="str">
        <f t="shared" ref="J5389:J5402" ca="1" si="584">IFERROR(IF(NOT(D5389),"",A5389),"")</f>
        <v/>
      </c>
    </row>
    <row r="5390" spans="1:10" x14ac:dyDescent="0.25">
      <c r="A5390" t="s">
        <v>933</v>
      </c>
      <c r="B5390" t="str">
        <f>ADDRESS(ROW('Loan 1'!$B$22),COLUMN('Loan 1'!$B$22),4)</f>
        <v>B22</v>
      </c>
      <c r="C5390" t="str">
        <f>ADDRESS(ROW('Loan 1'!$D$22),COLUMN('Loan 1'!$D$22),4)</f>
        <v>D22</v>
      </c>
      <c r="D5390" t="b" cm="1">
        <f t="array" aca="1" ref="D5390" ca="1">IF(INDIRECT("'"&amp;A5390&amp;"'!"&amp;B5390)="",FALSE,IF(NOT(ISNUMBER(INDIRECT("'"&amp;A5390&amp;"'!"&amp;B5390))),TRUE,FALSE))</f>
        <v>0</v>
      </c>
      <c r="E5390" t="s">
        <v>435</v>
      </c>
      <c r="F5390" t="str">
        <f>INDEX(Lists!I:I,MATCH(Validation!E5390,Lists!G:G,0))</f>
        <v>Error</v>
      </c>
      <c r="G5390" t="str">
        <f>INDEX(Lists!H:H,MATCH(Validation!E5390,Lists!G:G,0))</f>
        <v>Enter an amount only. Do not enter text or spaces.</v>
      </c>
      <c r="H5390" s="16" t="str">
        <f t="shared" ca="1" si="582"/>
        <v/>
      </c>
      <c r="I5390" s="16" t="str">
        <f t="shared" ca="1" si="583"/>
        <v/>
      </c>
      <c r="J5390" s="17" t="str">
        <f t="shared" ca="1" si="584"/>
        <v/>
      </c>
    </row>
    <row r="5391" spans="1:10" x14ac:dyDescent="0.25">
      <c r="A5391" t="s">
        <v>934</v>
      </c>
      <c r="B5391" t="str">
        <f>ADDRESS(ROW('Loan 1'!$B$22),COLUMN('Loan 1'!$B$22),4)</f>
        <v>B22</v>
      </c>
      <c r="C5391" t="str">
        <f>ADDRESS(ROW('Loan 1'!$D$22),COLUMN('Loan 1'!$D$22),4)</f>
        <v>D22</v>
      </c>
      <c r="D5391" t="b" cm="1">
        <f t="array" aca="1" ref="D5391" ca="1">IF(INDIRECT("'"&amp;A5391&amp;"'!"&amp;B5391)="",FALSE,IF(NOT(ISNUMBER(INDIRECT("'"&amp;A5391&amp;"'!"&amp;B5391))),TRUE,FALSE))</f>
        <v>0</v>
      </c>
      <c r="E5391" t="s">
        <v>435</v>
      </c>
      <c r="F5391" t="str">
        <f>INDEX(Lists!I:I,MATCH(Validation!E5391,Lists!G:G,0))</f>
        <v>Error</v>
      </c>
      <c r="G5391" t="str">
        <f>INDEX(Lists!H:H,MATCH(Validation!E5391,Lists!G:G,0))</f>
        <v>Enter an amount only. Do not enter text or spaces.</v>
      </c>
      <c r="H5391" s="16" t="str">
        <f t="shared" ca="1" si="582"/>
        <v/>
      </c>
      <c r="I5391" s="16" t="str">
        <f t="shared" ca="1" si="583"/>
        <v/>
      </c>
      <c r="J5391" s="17" t="str">
        <f t="shared" ca="1" si="584"/>
        <v/>
      </c>
    </row>
    <row r="5392" spans="1:10" x14ac:dyDescent="0.25">
      <c r="A5392" t="s">
        <v>935</v>
      </c>
      <c r="B5392" t="str">
        <f>ADDRESS(ROW('Loan 1'!$B$22),COLUMN('Loan 1'!$B$22),4)</f>
        <v>B22</v>
      </c>
      <c r="C5392" t="str">
        <f>ADDRESS(ROW('Loan 1'!$D$22),COLUMN('Loan 1'!$D$22),4)</f>
        <v>D22</v>
      </c>
      <c r="D5392" t="b" cm="1">
        <f t="array" aca="1" ref="D5392" ca="1">IF(INDIRECT("'"&amp;A5392&amp;"'!"&amp;B5392)="",FALSE,IF(NOT(ISNUMBER(INDIRECT("'"&amp;A5392&amp;"'!"&amp;B5392))),TRUE,FALSE))</f>
        <v>0</v>
      </c>
      <c r="E5392" t="s">
        <v>435</v>
      </c>
      <c r="F5392" t="str">
        <f>INDEX(Lists!I:I,MATCH(Validation!E5392,Lists!G:G,0))</f>
        <v>Error</v>
      </c>
      <c r="G5392" t="str">
        <f>INDEX(Lists!H:H,MATCH(Validation!E5392,Lists!G:G,0))</f>
        <v>Enter an amount only. Do not enter text or spaces.</v>
      </c>
      <c r="H5392" s="16" t="str">
        <f t="shared" ca="1" si="582"/>
        <v/>
      </c>
      <c r="I5392" s="16" t="str">
        <f t="shared" ca="1" si="583"/>
        <v/>
      </c>
      <c r="J5392" s="17" t="str">
        <f t="shared" ca="1" si="584"/>
        <v/>
      </c>
    </row>
    <row r="5393" spans="1:10" x14ac:dyDescent="0.25">
      <c r="A5393" t="s">
        <v>936</v>
      </c>
      <c r="B5393" t="str">
        <f>ADDRESS(ROW('Loan 1'!$B$22),COLUMN('Loan 1'!$B$22),4)</f>
        <v>B22</v>
      </c>
      <c r="C5393" t="str">
        <f>ADDRESS(ROW('Loan 1'!$D$22),COLUMN('Loan 1'!$D$22),4)</f>
        <v>D22</v>
      </c>
      <c r="D5393" t="b" cm="1">
        <f t="array" aca="1" ref="D5393" ca="1">IF(INDIRECT("'"&amp;A5393&amp;"'!"&amp;B5393)="",FALSE,IF(NOT(ISNUMBER(INDIRECT("'"&amp;A5393&amp;"'!"&amp;B5393))),TRUE,FALSE))</f>
        <v>0</v>
      </c>
      <c r="E5393" t="s">
        <v>435</v>
      </c>
      <c r="F5393" t="str">
        <f>INDEX(Lists!I:I,MATCH(Validation!E5393,Lists!G:G,0))</f>
        <v>Error</v>
      </c>
      <c r="G5393" t="str">
        <f>INDEX(Lists!H:H,MATCH(Validation!E5393,Lists!G:G,0))</f>
        <v>Enter an amount only. Do not enter text or spaces.</v>
      </c>
      <c r="H5393" s="16" t="str">
        <f t="shared" ca="1" si="582"/>
        <v/>
      </c>
      <c r="I5393" s="16" t="str">
        <f t="shared" ca="1" si="583"/>
        <v/>
      </c>
      <c r="J5393" s="17" t="str">
        <f t="shared" ca="1" si="584"/>
        <v/>
      </c>
    </row>
    <row r="5394" spans="1:10" x14ac:dyDescent="0.25">
      <c r="A5394" t="s">
        <v>937</v>
      </c>
      <c r="B5394" t="str">
        <f>ADDRESS(ROW('Loan 1'!$B$22),COLUMN('Loan 1'!$B$22),4)</f>
        <v>B22</v>
      </c>
      <c r="C5394" t="str">
        <f>ADDRESS(ROW('Loan 1'!$D$22),COLUMN('Loan 1'!$D$22),4)</f>
        <v>D22</v>
      </c>
      <c r="D5394" t="b" cm="1">
        <f t="array" aca="1" ref="D5394" ca="1">IF(INDIRECT("'"&amp;A5394&amp;"'!"&amp;B5394)="",FALSE,IF(NOT(ISNUMBER(INDIRECT("'"&amp;A5394&amp;"'!"&amp;B5394))),TRUE,FALSE))</f>
        <v>0</v>
      </c>
      <c r="E5394" t="s">
        <v>435</v>
      </c>
      <c r="F5394" t="str">
        <f>INDEX(Lists!I:I,MATCH(Validation!E5394,Lists!G:G,0))</f>
        <v>Error</v>
      </c>
      <c r="G5394" t="str">
        <f>INDEX(Lists!H:H,MATCH(Validation!E5394,Lists!G:G,0))</f>
        <v>Enter an amount only. Do not enter text or spaces.</v>
      </c>
      <c r="H5394" s="16" t="str">
        <f t="shared" ca="1" si="582"/>
        <v/>
      </c>
      <c r="I5394" s="16" t="str">
        <f t="shared" ca="1" si="583"/>
        <v/>
      </c>
      <c r="J5394" s="17" t="str">
        <f t="shared" ca="1" si="584"/>
        <v/>
      </c>
    </row>
    <row r="5395" spans="1:10" x14ac:dyDescent="0.25">
      <c r="A5395" t="s">
        <v>938</v>
      </c>
      <c r="B5395" t="str">
        <f>ADDRESS(ROW('Loan 1'!$B$22),COLUMN('Loan 1'!$B$22),4)</f>
        <v>B22</v>
      </c>
      <c r="C5395" t="str">
        <f>ADDRESS(ROW('Loan 1'!$D$22),COLUMN('Loan 1'!$D$22),4)</f>
        <v>D22</v>
      </c>
      <c r="D5395" t="b" cm="1">
        <f t="array" aca="1" ref="D5395" ca="1">IF(INDIRECT("'"&amp;A5395&amp;"'!"&amp;B5395)="",FALSE,IF(NOT(ISNUMBER(INDIRECT("'"&amp;A5395&amp;"'!"&amp;B5395))),TRUE,FALSE))</f>
        <v>0</v>
      </c>
      <c r="E5395" t="s">
        <v>435</v>
      </c>
      <c r="F5395" t="str">
        <f>INDEX(Lists!I:I,MATCH(Validation!E5395,Lists!G:G,0))</f>
        <v>Error</v>
      </c>
      <c r="G5395" t="str">
        <f>INDEX(Lists!H:H,MATCH(Validation!E5395,Lists!G:G,0))</f>
        <v>Enter an amount only. Do not enter text or spaces.</v>
      </c>
      <c r="H5395" s="16" t="str">
        <f t="shared" ca="1" si="582"/>
        <v/>
      </c>
      <c r="I5395" s="16" t="str">
        <f t="shared" ca="1" si="583"/>
        <v/>
      </c>
      <c r="J5395" s="17" t="str">
        <f t="shared" ca="1" si="584"/>
        <v/>
      </c>
    </row>
    <row r="5396" spans="1:10" x14ac:dyDescent="0.25">
      <c r="A5396" t="s">
        <v>939</v>
      </c>
      <c r="B5396" t="str">
        <f>ADDRESS(ROW('Loan 1'!$B$22),COLUMN('Loan 1'!$B$22),4)</f>
        <v>B22</v>
      </c>
      <c r="C5396" t="str">
        <f>ADDRESS(ROW('Loan 1'!$D$22),COLUMN('Loan 1'!$D$22),4)</f>
        <v>D22</v>
      </c>
      <c r="D5396" t="b" cm="1">
        <f t="array" aca="1" ref="D5396" ca="1">IF(INDIRECT("'"&amp;A5396&amp;"'!"&amp;B5396)="",FALSE,IF(NOT(ISNUMBER(INDIRECT("'"&amp;A5396&amp;"'!"&amp;B5396))),TRUE,FALSE))</f>
        <v>0</v>
      </c>
      <c r="E5396" t="s">
        <v>435</v>
      </c>
      <c r="F5396" t="str">
        <f>INDEX(Lists!I:I,MATCH(Validation!E5396,Lists!G:G,0))</f>
        <v>Error</v>
      </c>
      <c r="G5396" t="str">
        <f>INDEX(Lists!H:H,MATCH(Validation!E5396,Lists!G:G,0))</f>
        <v>Enter an amount only. Do not enter text or spaces.</v>
      </c>
      <c r="H5396" s="16" t="str">
        <f t="shared" ca="1" si="582"/>
        <v/>
      </c>
      <c r="I5396" s="16" t="str">
        <f t="shared" ca="1" si="583"/>
        <v/>
      </c>
      <c r="J5396" s="17" t="str">
        <f t="shared" ca="1" si="584"/>
        <v/>
      </c>
    </row>
    <row r="5397" spans="1:10" x14ac:dyDescent="0.25">
      <c r="A5397" t="s">
        <v>940</v>
      </c>
      <c r="B5397" t="str">
        <f>ADDRESS(ROW('Loan 1'!$B$22),COLUMN('Loan 1'!$B$22),4)</f>
        <v>B22</v>
      </c>
      <c r="C5397" t="str">
        <f>ADDRESS(ROW('Loan 1'!$D$22),COLUMN('Loan 1'!$D$22),4)</f>
        <v>D22</v>
      </c>
      <c r="D5397" t="b" cm="1">
        <f t="array" aca="1" ref="D5397" ca="1">IF(INDIRECT("'"&amp;A5397&amp;"'!"&amp;B5397)="",FALSE,IF(NOT(ISNUMBER(INDIRECT("'"&amp;A5397&amp;"'!"&amp;B5397))),TRUE,FALSE))</f>
        <v>0</v>
      </c>
      <c r="E5397" t="s">
        <v>435</v>
      </c>
      <c r="F5397" t="str">
        <f>INDEX(Lists!I:I,MATCH(Validation!E5397,Lists!G:G,0))</f>
        <v>Error</v>
      </c>
      <c r="G5397" t="str">
        <f>INDEX(Lists!H:H,MATCH(Validation!E5397,Lists!G:G,0))</f>
        <v>Enter an amount only. Do not enter text or spaces.</v>
      </c>
      <c r="H5397" s="16" t="str">
        <f t="shared" ca="1" si="582"/>
        <v/>
      </c>
      <c r="I5397" s="16" t="str">
        <f t="shared" ca="1" si="583"/>
        <v/>
      </c>
      <c r="J5397" s="17" t="str">
        <f t="shared" ca="1" si="584"/>
        <v/>
      </c>
    </row>
    <row r="5398" spans="1:10" x14ac:dyDescent="0.25">
      <c r="A5398" t="s">
        <v>941</v>
      </c>
      <c r="B5398" t="str">
        <f>ADDRESS(ROW('Loan 1'!$B$22),COLUMN('Loan 1'!$B$22),4)</f>
        <v>B22</v>
      </c>
      <c r="C5398" t="str">
        <f>ADDRESS(ROW('Loan 1'!$D$22),COLUMN('Loan 1'!$D$22),4)</f>
        <v>D22</v>
      </c>
      <c r="D5398" t="b" cm="1">
        <f t="array" aca="1" ref="D5398" ca="1">IF(INDIRECT("'"&amp;A5398&amp;"'!"&amp;B5398)="",FALSE,IF(NOT(ISNUMBER(INDIRECT("'"&amp;A5398&amp;"'!"&amp;B5398))),TRUE,FALSE))</f>
        <v>0</v>
      </c>
      <c r="E5398" t="s">
        <v>435</v>
      </c>
      <c r="F5398" t="str">
        <f>INDEX(Lists!I:I,MATCH(Validation!E5398,Lists!G:G,0))</f>
        <v>Error</v>
      </c>
      <c r="G5398" t="str">
        <f>INDEX(Lists!H:H,MATCH(Validation!E5398,Lists!G:G,0))</f>
        <v>Enter an amount only. Do not enter text or spaces.</v>
      </c>
      <c r="H5398" s="16" t="str">
        <f t="shared" ca="1" si="582"/>
        <v/>
      </c>
      <c r="I5398" s="16" t="str">
        <f t="shared" ca="1" si="583"/>
        <v/>
      </c>
      <c r="J5398" s="17" t="str">
        <f t="shared" ca="1" si="584"/>
        <v/>
      </c>
    </row>
    <row r="5399" spans="1:10" x14ac:dyDescent="0.25">
      <c r="A5399" t="s">
        <v>942</v>
      </c>
      <c r="B5399" t="str">
        <f>ADDRESS(ROW('Loan 1'!$B$22),COLUMN('Loan 1'!$B$22),4)</f>
        <v>B22</v>
      </c>
      <c r="C5399" t="str">
        <f>ADDRESS(ROW('Loan 1'!$D$22),COLUMN('Loan 1'!$D$22),4)</f>
        <v>D22</v>
      </c>
      <c r="D5399" t="b" cm="1">
        <f t="array" aca="1" ref="D5399" ca="1">IF(INDIRECT("'"&amp;A5399&amp;"'!"&amp;B5399)="",FALSE,IF(NOT(ISNUMBER(INDIRECT("'"&amp;A5399&amp;"'!"&amp;B5399))),TRUE,FALSE))</f>
        <v>0</v>
      </c>
      <c r="E5399" t="s">
        <v>435</v>
      </c>
      <c r="F5399" t="str">
        <f>INDEX(Lists!I:I,MATCH(Validation!E5399,Lists!G:G,0))</f>
        <v>Error</v>
      </c>
      <c r="G5399" t="str">
        <f>INDEX(Lists!H:H,MATCH(Validation!E5399,Lists!G:G,0))</f>
        <v>Enter an amount only. Do not enter text or spaces.</v>
      </c>
      <c r="H5399" s="16" t="str">
        <f t="shared" ca="1" si="582"/>
        <v/>
      </c>
      <c r="I5399" s="16" t="str">
        <f t="shared" ca="1" si="583"/>
        <v/>
      </c>
      <c r="J5399" s="17" t="str">
        <f t="shared" ca="1" si="584"/>
        <v/>
      </c>
    </row>
    <row r="5400" spans="1:10" x14ac:dyDescent="0.25">
      <c r="A5400" t="s">
        <v>943</v>
      </c>
      <c r="B5400" t="str">
        <f>ADDRESS(ROW('Loan 1'!$B$22),COLUMN('Loan 1'!$B$22),4)</f>
        <v>B22</v>
      </c>
      <c r="C5400" t="str">
        <f>ADDRESS(ROW('Loan 1'!$D$22),COLUMN('Loan 1'!$D$22),4)</f>
        <v>D22</v>
      </c>
      <c r="D5400" t="b" cm="1">
        <f t="array" aca="1" ref="D5400" ca="1">IF(INDIRECT("'"&amp;A5400&amp;"'!"&amp;B5400)="",FALSE,IF(NOT(ISNUMBER(INDIRECT("'"&amp;A5400&amp;"'!"&amp;B5400))),TRUE,FALSE))</f>
        <v>0</v>
      </c>
      <c r="E5400" t="s">
        <v>435</v>
      </c>
      <c r="F5400" t="str">
        <f>INDEX(Lists!I:I,MATCH(Validation!E5400,Lists!G:G,0))</f>
        <v>Error</v>
      </c>
      <c r="G5400" t="str">
        <f>INDEX(Lists!H:H,MATCH(Validation!E5400,Lists!G:G,0))</f>
        <v>Enter an amount only. Do not enter text or spaces.</v>
      </c>
      <c r="H5400" s="16" t="str">
        <f t="shared" ca="1" si="582"/>
        <v/>
      </c>
      <c r="I5400" s="16" t="str">
        <f t="shared" ca="1" si="583"/>
        <v/>
      </c>
      <c r="J5400" s="17" t="str">
        <f t="shared" ca="1" si="584"/>
        <v/>
      </c>
    </row>
    <row r="5401" spans="1:10" x14ac:dyDescent="0.25">
      <c r="A5401" t="s">
        <v>944</v>
      </c>
      <c r="B5401" t="str">
        <f>ADDRESS(ROW('Loan 1'!$B$22),COLUMN('Loan 1'!$B$22),4)</f>
        <v>B22</v>
      </c>
      <c r="C5401" t="str">
        <f>ADDRESS(ROW('Loan 1'!$D$22),COLUMN('Loan 1'!$D$22),4)</f>
        <v>D22</v>
      </c>
      <c r="D5401" t="b" cm="1">
        <f t="array" aca="1" ref="D5401" ca="1">IF(INDIRECT("'"&amp;A5401&amp;"'!"&amp;B5401)="",FALSE,IF(NOT(ISNUMBER(INDIRECT("'"&amp;A5401&amp;"'!"&amp;B5401))),TRUE,FALSE))</f>
        <v>0</v>
      </c>
      <c r="E5401" t="s">
        <v>435</v>
      </c>
      <c r="F5401" t="str">
        <f>INDEX(Lists!I:I,MATCH(Validation!E5401,Lists!G:G,0))</f>
        <v>Error</v>
      </c>
      <c r="G5401" t="str">
        <f>INDEX(Lists!H:H,MATCH(Validation!E5401,Lists!G:G,0))</f>
        <v>Enter an amount only. Do not enter text or spaces.</v>
      </c>
      <c r="H5401" s="16" t="str">
        <f t="shared" ca="1" si="582"/>
        <v/>
      </c>
      <c r="I5401" s="16" t="str">
        <f t="shared" ca="1" si="583"/>
        <v/>
      </c>
      <c r="J5401" s="17" t="str">
        <f t="shared" ca="1" si="584"/>
        <v/>
      </c>
    </row>
    <row r="5402" spans="1:10" x14ac:dyDescent="0.25">
      <c r="A5402" t="s">
        <v>945</v>
      </c>
      <c r="B5402" t="str">
        <f>ADDRESS(ROW('Loan 1'!$B$22),COLUMN('Loan 1'!$B$22),4)</f>
        <v>B22</v>
      </c>
      <c r="C5402" t="str">
        <f>ADDRESS(ROW('Loan 1'!$D$22),COLUMN('Loan 1'!$D$22),4)</f>
        <v>D22</v>
      </c>
      <c r="D5402" t="b" cm="1">
        <f t="array" aca="1" ref="D5402" ca="1">IF(INDIRECT("'"&amp;A5402&amp;"'!"&amp;B5402)="",FALSE,IF(NOT(ISNUMBER(INDIRECT("'"&amp;A5402&amp;"'!"&amp;B5402))),TRUE,FALSE))</f>
        <v>0</v>
      </c>
      <c r="E5402" t="s">
        <v>435</v>
      </c>
      <c r="F5402" t="str">
        <f>INDEX(Lists!I:I,MATCH(Validation!E5402,Lists!G:G,0))</f>
        <v>Error</v>
      </c>
      <c r="G5402" t="str">
        <f>INDEX(Lists!H:H,MATCH(Validation!E5402,Lists!G:G,0))</f>
        <v>Enter an amount only. Do not enter text or spaces.</v>
      </c>
      <c r="H5402" s="16" t="str">
        <f t="shared" ca="1" si="582"/>
        <v/>
      </c>
      <c r="I5402" s="16" t="str">
        <f t="shared" ca="1" si="583"/>
        <v/>
      </c>
      <c r="J5402" s="17" t="str">
        <f t="shared" ca="1" si="584"/>
        <v/>
      </c>
    </row>
    <row r="5403" spans="1:10" x14ac:dyDescent="0.25">
      <c r="A5403" t="s">
        <v>205</v>
      </c>
      <c r="B5403" t="str">
        <f>ADDRESS(ROW('Loan 1'!$B$22),COLUMN('Loan 1'!$B$22),4)</f>
        <v>B22</v>
      </c>
      <c r="C5403" t="str">
        <f>ADDRESS(ROW('Loan 1'!$D$22),COLUMN('Loan 1'!$D$22),4)</f>
        <v>D22</v>
      </c>
      <c r="D5403" t="b" cm="1">
        <f t="array" aca="1" ref="D5403" ca="1">IF(INDIRECT("'"&amp;A5403&amp;"'!"&amp;B5403)="",FALSE,IF(INDIRECT("'"&amp;A5403&amp;"'!"&amp;B5403)&lt;0,TRUE,FALSE))</f>
        <v>0</v>
      </c>
      <c r="E5403" t="s">
        <v>434</v>
      </c>
      <c r="F5403" t="str">
        <f>INDEX(Lists!I:I,MATCH(Validation!E5403,Lists!G:G,0))</f>
        <v>Error</v>
      </c>
      <c r="G5403" t="str">
        <f>INDEX(Lists!H:H,MATCH(Validation!E5403,Lists!G:G,0))</f>
        <v>Amount may not be negative. Enter an amount greater than or equal to zero.</v>
      </c>
      <c r="H5403" s="16" t="str">
        <f ca="1">IFERROR(IF(OR(NOT(D5403),F5403&lt;&gt;"Error"),"",A5403&amp;CELL("address",INDIRECT(B5403))),"")</f>
        <v/>
      </c>
      <c r="I5403" s="16" t="str">
        <f ca="1">IFERROR(IF(NOT(D5403),"",A5403&amp;CELL("address",INDIRECT(C5403))),"")</f>
        <v/>
      </c>
      <c r="J5403" s="17" t="str">
        <f ca="1">IFERROR(IF(NOT(D5403),"",A5403),"")</f>
        <v/>
      </c>
    </row>
    <row r="5404" spans="1:10" x14ac:dyDescent="0.25">
      <c r="A5404" t="s">
        <v>932</v>
      </c>
      <c r="B5404" t="str">
        <f>ADDRESS(ROW('Loan 1'!$B$22),COLUMN('Loan 1'!$B$22),4)</f>
        <v>B22</v>
      </c>
      <c r="C5404" t="str">
        <f>ADDRESS(ROW('Loan 1'!$D$22),COLUMN('Loan 1'!$D$22),4)</f>
        <v>D22</v>
      </c>
      <c r="D5404" t="b" cm="1">
        <f t="array" aca="1" ref="D5404" ca="1">IF(INDIRECT("'"&amp;A5404&amp;"'!"&amp;B5404)="",FALSE,IF(INDIRECT("'"&amp;A5404&amp;"'!"&amp;B5404)&lt;0,TRUE,FALSE))</f>
        <v>0</v>
      </c>
      <c r="E5404" t="s">
        <v>434</v>
      </c>
      <c r="F5404" t="str">
        <f>INDEX(Lists!I:I,MATCH(Validation!E5404,Lists!G:G,0))</f>
        <v>Error</v>
      </c>
      <c r="G5404" t="str">
        <f>INDEX(Lists!H:H,MATCH(Validation!E5404,Lists!G:G,0))</f>
        <v>Amount may not be negative. Enter an amount greater than or equal to zero.</v>
      </c>
      <c r="H5404" s="16" t="str">
        <f t="shared" ref="H5404:H5432" ca="1" si="585">IFERROR(IF(OR(NOT(D5404),F5404&lt;&gt;"Error"),"",A5404&amp;CELL("address",INDIRECT(B5404))),"")</f>
        <v/>
      </c>
      <c r="I5404" s="16" t="str">
        <f t="shared" ref="I5404:I5432" ca="1" si="586">IFERROR(IF(NOT(D5404),"",A5404&amp;CELL("address",INDIRECT(C5404))),"")</f>
        <v/>
      </c>
      <c r="J5404" s="17" t="str">
        <f t="shared" ref="J5404:J5432" ca="1" si="587">IFERROR(IF(NOT(D5404),"",A5404),"")</f>
        <v/>
      </c>
    </row>
    <row r="5405" spans="1:10" x14ac:dyDescent="0.25">
      <c r="A5405" t="s">
        <v>933</v>
      </c>
      <c r="B5405" t="str">
        <f>ADDRESS(ROW('Loan 1'!$B$22),COLUMN('Loan 1'!$B$22),4)</f>
        <v>B22</v>
      </c>
      <c r="C5405" t="str">
        <f>ADDRESS(ROW('Loan 1'!$D$22),COLUMN('Loan 1'!$D$22),4)</f>
        <v>D22</v>
      </c>
      <c r="D5405" t="b" cm="1">
        <f t="array" aca="1" ref="D5405" ca="1">IF(INDIRECT("'"&amp;A5405&amp;"'!"&amp;B5405)="",FALSE,IF(INDIRECT("'"&amp;A5405&amp;"'!"&amp;B5405)&lt;0,TRUE,FALSE))</f>
        <v>0</v>
      </c>
      <c r="E5405" t="s">
        <v>434</v>
      </c>
      <c r="F5405" t="str">
        <f>INDEX(Lists!I:I,MATCH(Validation!E5405,Lists!G:G,0))</f>
        <v>Error</v>
      </c>
      <c r="G5405" t="str">
        <f>INDEX(Lists!H:H,MATCH(Validation!E5405,Lists!G:G,0))</f>
        <v>Amount may not be negative. Enter an amount greater than or equal to zero.</v>
      </c>
      <c r="H5405" s="16" t="str">
        <f t="shared" ca="1" si="585"/>
        <v/>
      </c>
      <c r="I5405" s="16" t="str">
        <f t="shared" ca="1" si="586"/>
        <v/>
      </c>
      <c r="J5405" s="17" t="str">
        <f t="shared" ca="1" si="587"/>
        <v/>
      </c>
    </row>
    <row r="5406" spans="1:10" x14ac:dyDescent="0.25">
      <c r="A5406" t="s">
        <v>934</v>
      </c>
      <c r="B5406" t="str">
        <f>ADDRESS(ROW('Loan 1'!$B$22),COLUMN('Loan 1'!$B$22),4)</f>
        <v>B22</v>
      </c>
      <c r="C5406" t="str">
        <f>ADDRESS(ROW('Loan 1'!$D$22),COLUMN('Loan 1'!$D$22),4)</f>
        <v>D22</v>
      </c>
      <c r="D5406" t="b" cm="1">
        <f t="array" aca="1" ref="D5406" ca="1">IF(INDIRECT("'"&amp;A5406&amp;"'!"&amp;B5406)="",FALSE,IF(INDIRECT("'"&amp;A5406&amp;"'!"&amp;B5406)&lt;0,TRUE,FALSE))</f>
        <v>0</v>
      </c>
      <c r="E5406" t="s">
        <v>434</v>
      </c>
      <c r="F5406" t="str">
        <f>INDEX(Lists!I:I,MATCH(Validation!E5406,Lists!G:G,0))</f>
        <v>Error</v>
      </c>
      <c r="G5406" t="str">
        <f>INDEX(Lists!H:H,MATCH(Validation!E5406,Lists!G:G,0))</f>
        <v>Amount may not be negative. Enter an amount greater than or equal to zero.</v>
      </c>
      <c r="H5406" s="16" t="str">
        <f t="shared" ca="1" si="585"/>
        <v/>
      </c>
      <c r="I5406" s="16" t="str">
        <f t="shared" ca="1" si="586"/>
        <v/>
      </c>
      <c r="J5406" s="17" t="str">
        <f t="shared" ca="1" si="587"/>
        <v/>
      </c>
    </row>
    <row r="5407" spans="1:10" x14ac:dyDescent="0.25">
      <c r="A5407" t="s">
        <v>935</v>
      </c>
      <c r="B5407" t="str">
        <f>ADDRESS(ROW('Loan 1'!$B$22),COLUMN('Loan 1'!$B$22),4)</f>
        <v>B22</v>
      </c>
      <c r="C5407" t="str">
        <f>ADDRESS(ROW('Loan 1'!$D$22),COLUMN('Loan 1'!$D$22),4)</f>
        <v>D22</v>
      </c>
      <c r="D5407" t="b" cm="1">
        <f t="array" aca="1" ref="D5407" ca="1">IF(INDIRECT("'"&amp;A5407&amp;"'!"&amp;B5407)="",FALSE,IF(INDIRECT("'"&amp;A5407&amp;"'!"&amp;B5407)&lt;0,TRUE,FALSE))</f>
        <v>0</v>
      </c>
      <c r="E5407" t="s">
        <v>434</v>
      </c>
      <c r="F5407" t="str">
        <f>INDEX(Lists!I:I,MATCH(Validation!E5407,Lists!G:G,0))</f>
        <v>Error</v>
      </c>
      <c r="G5407" t="str">
        <f>INDEX(Lists!H:H,MATCH(Validation!E5407,Lists!G:G,0))</f>
        <v>Amount may not be negative. Enter an amount greater than or equal to zero.</v>
      </c>
      <c r="H5407" s="16" t="str">
        <f t="shared" ca="1" si="585"/>
        <v/>
      </c>
      <c r="I5407" s="16" t="str">
        <f t="shared" ca="1" si="586"/>
        <v/>
      </c>
      <c r="J5407" s="17" t="str">
        <f t="shared" ca="1" si="587"/>
        <v/>
      </c>
    </row>
    <row r="5408" spans="1:10" x14ac:dyDescent="0.25">
      <c r="A5408" t="s">
        <v>936</v>
      </c>
      <c r="B5408" t="str">
        <f>ADDRESS(ROW('Loan 1'!$B$22),COLUMN('Loan 1'!$B$22),4)</f>
        <v>B22</v>
      </c>
      <c r="C5408" t="str">
        <f>ADDRESS(ROW('Loan 1'!$D$22),COLUMN('Loan 1'!$D$22),4)</f>
        <v>D22</v>
      </c>
      <c r="D5408" t="b" cm="1">
        <f t="array" aca="1" ref="D5408" ca="1">IF(INDIRECT("'"&amp;A5408&amp;"'!"&amp;B5408)="",FALSE,IF(INDIRECT("'"&amp;A5408&amp;"'!"&amp;B5408)&lt;0,TRUE,FALSE))</f>
        <v>0</v>
      </c>
      <c r="E5408" t="s">
        <v>434</v>
      </c>
      <c r="F5408" t="str">
        <f>INDEX(Lists!I:I,MATCH(Validation!E5408,Lists!G:G,0))</f>
        <v>Error</v>
      </c>
      <c r="G5408" t="str">
        <f>INDEX(Lists!H:H,MATCH(Validation!E5408,Lists!G:G,0))</f>
        <v>Amount may not be negative. Enter an amount greater than or equal to zero.</v>
      </c>
      <c r="H5408" s="16" t="str">
        <f t="shared" ca="1" si="585"/>
        <v/>
      </c>
      <c r="I5408" s="16" t="str">
        <f t="shared" ca="1" si="586"/>
        <v/>
      </c>
      <c r="J5408" s="17" t="str">
        <f t="shared" ca="1" si="587"/>
        <v/>
      </c>
    </row>
    <row r="5409" spans="1:10" x14ac:dyDescent="0.25">
      <c r="A5409" t="s">
        <v>937</v>
      </c>
      <c r="B5409" t="str">
        <f>ADDRESS(ROW('Loan 1'!$B$22),COLUMN('Loan 1'!$B$22),4)</f>
        <v>B22</v>
      </c>
      <c r="C5409" t="str">
        <f>ADDRESS(ROW('Loan 1'!$D$22),COLUMN('Loan 1'!$D$22),4)</f>
        <v>D22</v>
      </c>
      <c r="D5409" t="b" cm="1">
        <f t="array" aca="1" ref="D5409" ca="1">IF(INDIRECT("'"&amp;A5409&amp;"'!"&amp;B5409)="",FALSE,IF(INDIRECT("'"&amp;A5409&amp;"'!"&amp;B5409)&lt;0,TRUE,FALSE))</f>
        <v>0</v>
      </c>
      <c r="E5409" t="s">
        <v>434</v>
      </c>
      <c r="F5409" t="str">
        <f>INDEX(Lists!I:I,MATCH(Validation!E5409,Lists!G:G,0))</f>
        <v>Error</v>
      </c>
      <c r="G5409" t="str">
        <f>INDEX(Lists!H:H,MATCH(Validation!E5409,Lists!G:G,0))</f>
        <v>Amount may not be negative. Enter an amount greater than or equal to zero.</v>
      </c>
      <c r="H5409" s="16" t="str">
        <f t="shared" ca="1" si="585"/>
        <v/>
      </c>
      <c r="I5409" s="16" t="str">
        <f t="shared" ca="1" si="586"/>
        <v/>
      </c>
      <c r="J5409" s="17" t="str">
        <f t="shared" ca="1" si="587"/>
        <v/>
      </c>
    </row>
    <row r="5410" spans="1:10" x14ac:dyDescent="0.25">
      <c r="A5410" t="s">
        <v>938</v>
      </c>
      <c r="B5410" t="str">
        <f>ADDRESS(ROW('Loan 1'!$B$22),COLUMN('Loan 1'!$B$22),4)</f>
        <v>B22</v>
      </c>
      <c r="C5410" t="str">
        <f>ADDRESS(ROW('Loan 1'!$D$22),COLUMN('Loan 1'!$D$22),4)</f>
        <v>D22</v>
      </c>
      <c r="D5410" t="b" cm="1">
        <f t="array" aca="1" ref="D5410" ca="1">IF(INDIRECT("'"&amp;A5410&amp;"'!"&amp;B5410)="",FALSE,IF(INDIRECT("'"&amp;A5410&amp;"'!"&amp;B5410)&lt;0,TRUE,FALSE))</f>
        <v>0</v>
      </c>
      <c r="E5410" t="s">
        <v>434</v>
      </c>
      <c r="F5410" t="str">
        <f>INDEX(Lists!I:I,MATCH(Validation!E5410,Lists!G:G,0))</f>
        <v>Error</v>
      </c>
      <c r="G5410" t="str">
        <f>INDEX(Lists!H:H,MATCH(Validation!E5410,Lists!G:G,0))</f>
        <v>Amount may not be negative. Enter an amount greater than or equal to zero.</v>
      </c>
      <c r="H5410" s="16" t="str">
        <f t="shared" ca="1" si="585"/>
        <v/>
      </c>
      <c r="I5410" s="16" t="str">
        <f t="shared" ca="1" si="586"/>
        <v/>
      </c>
      <c r="J5410" s="17" t="str">
        <f t="shared" ca="1" si="587"/>
        <v/>
      </c>
    </row>
    <row r="5411" spans="1:10" x14ac:dyDescent="0.25">
      <c r="A5411" t="s">
        <v>939</v>
      </c>
      <c r="B5411" t="str">
        <f>ADDRESS(ROW('Loan 1'!$B$22),COLUMN('Loan 1'!$B$22),4)</f>
        <v>B22</v>
      </c>
      <c r="C5411" t="str">
        <f>ADDRESS(ROW('Loan 1'!$D$22),COLUMN('Loan 1'!$D$22),4)</f>
        <v>D22</v>
      </c>
      <c r="D5411" t="b" cm="1">
        <f t="array" aca="1" ref="D5411" ca="1">IF(INDIRECT("'"&amp;A5411&amp;"'!"&amp;B5411)="",FALSE,IF(INDIRECT("'"&amp;A5411&amp;"'!"&amp;B5411)&lt;0,TRUE,FALSE))</f>
        <v>0</v>
      </c>
      <c r="E5411" t="s">
        <v>434</v>
      </c>
      <c r="F5411" t="str">
        <f>INDEX(Lists!I:I,MATCH(Validation!E5411,Lists!G:G,0))</f>
        <v>Error</v>
      </c>
      <c r="G5411" t="str">
        <f>INDEX(Lists!H:H,MATCH(Validation!E5411,Lists!G:G,0))</f>
        <v>Amount may not be negative. Enter an amount greater than or equal to zero.</v>
      </c>
      <c r="H5411" s="16" t="str">
        <f t="shared" ca="1" si="585"/>
        <v/>
      </c>
      <c r="I5411" s="16" t="str">
        <f t="shared" ca="1" si="586"/>
        <v/>
      </c>
      <c r="J5411" s="17" t="str">
        <f t="shared" ca="1" si="587"/>
        <v/>
      </c>
    </row>
    <row r="5412" spans="1:10" x14ac:dyDescent="0.25">
      <c r="A5412" t="s">
        <v>940</v>
      </c>
      <c r="B5412" t="str">
        <f>ADDRESS(ROW('Loan 1'!$B$22),COLUMN('Loan 1'!$B$22),4)</f>
        <v>B22</v>
      </c>
      <c r="C5412" t="str">
        <f>ADDRESS(ROW('Loan 1'!$D$22),COLUMN('Loan 1'!$D$22),4)</f>
        <v>D22</v>
      </c>
      <c r="D5412" t="b" cm="1">
        <f t="array" aca="1" ref="D5412" ca="1">IF(INDIRECT("'"&amp;A5412&amp;"'!"&amp;B5412)="",FALSE,IF(INDIRECT("'"&amp;A5412&amp;"'!"&amp;B5412)&lt;0,TRUE,FALSE))</f>
        <v>0</v>
      </c>
      <c r="E5412" t="s">
        <v>434</v>
      </c>
      <c r="F5412" t="str">
        <f>INDEX(Lists!I:I,MATCH(Validation!E5412,Lists!G:G,0))</f>
        <v>Error</v>
      </c>
      <c r="G5412" t="str">
        <f>INDEX(Lists!H:H,MATCH(Validation!E5412,Lists!G:G,0))</f>
        <v>Amount may not be negative. Enter an amount greater than or equal to zero.</v>
      </c>
      <c r="H5412" s="16" t="str">
        <f t="shared" ca="1" si="585"/>
        <v/>
      </c>
      <c r="I5412" s="16" t="str">
        <f t="shared" ca="1" si="586"/>
        <v/>
      </c>
      <c r="J5412" s="17" t="str">
        <f t="shared" ca="1" si="587"/>
        <v/>
      </c>
    </row>
    <row r="5413" spans="1:10" x14ac:dyDescent="0.25">
      <c r="A5413" t="s">
        <v>941</v>
      </c>
      <c r="B5413" t="str">
        <f>ADDRESS(ROW('Loan 1'!$B$22),COLUMN('Loan 1'!$B$22),4)</f>
        <v>B22</v>
      </c>
      <c r="C5413" t="str">
        <f>ADDRESS(ROW('Loan 1'!$D$22),COLUMN('Loan 1'!$D$22),4)</f>
        <v>D22</v>
      </c>
      <c r="D5413" t="b" cm="1">
        <f t="array" aca="1" ref="D5413" ca="1">IF(INDIRECT("'"&amp;A5413&amp;"'!"&amp;B5413)="",FALSE,IF(INDIRECT("'"&amp;A5413&amp;"'!"&amp;B5413)&lt;0,TRUE,FALSE))</f>
        <v>0</v>
      </c>
      <c r="E5413" t="s">
        <v>434</v>
      </c>
      <c r="F5413" t="str">
        <f>INDEX(Lists!I:I,MATCH(Validation!E5413,Lists!G:G,0))</f>
        <v>Error</v>
      </c>
      <c r="G5413" t="str">
        <f>INDEX(Lists!H:H,MATCH(Validation!E5413,Lists!G:G,0))</f>
        <v>Amount may not be negative. Enter an amount greater than or equal to zero.</v>
      </c>
      <c r="H5413" s="16" t="str">
        <f t="shared" ca="1" si="585"/>
        <v/>
      </c>
      <c r="I5413" s="16" t="str">
        <f t="shared" ca="1" si="586"/>
        <v/>
      </c>
      <c r="J5413" s="17" t="str">
        <f t="shared" ca="1" si="587"/>
        <v/>
      </c>
    </row>
    <row r="5414" spans="1:10" x14ac:dyDescent="0.25">
      <c r="A5414" t="s">
        <v>942</v>
      </c>
      <c r="B5414" t="str">
        <f>ADDRESS(ROW('Loan 1'!$B$22),COLUMN('Loan 1'!$B$22),4)</f>
        <v>B22</v>
      </c>
      <c r="C5414" t="str">
        <f>ADDRESS(ROW('Loan 1'!$D$22),COLUMN('Loan 1'!$D$22),4)</f>
        <v>D22</v>
      </c>
      <c r="D5414" t="b" cm="1">
        <f t="array" aca="1" ref="D5414" ca="1">IF(INDIRECT("'"&amp;A5414&amp;"'!"&amp;B5414)="",FALSE,IF(INDIRECT("'"&amp;A5414&amp;"'!"&amp;B5414)&lt;0,TRUE,FALSE))</f>
        <v>0</v>
      </c>
      <c r="E5414" t="s">
        <v>434</v>
      </c>
      <c r="F5414" t="str">
        <f>INDEX(Lists!I:I,MATCH(Validation!E5414,Lists!G:G,0))</f>
        <v>Error</v>
      </c>
      <c r="G5414" t="str">
        <f>INDEX(Lists!H:H,MATCH(Validation!E5414,Lists!G:G,0))</f>
        <v>Amount may not be negative. Enter an amount greater than or equal to zero.</v>
      </c>
      <c r="H5414" s="16" t="str">
        <f t="shared" ca="1" si="585"/>
        <v/>
      </c>
      <c r="I5414" s="16" t="str">
        <f t="shared" ca="1" si="586"/>
        <v/>
      </c>
      <c r="J5414" s="17" t="str">
        <f t="shared" ca="1" si="587"/>
        <v/>
      </c>
    </row>
    <row r="5415" spans="1:10" x14ac:dyDescent="0.25">
      <c r="A5415" t="s">
        <v>943</v>
      </c>
      <c r="B5415" t="str">
        <f>ADDRESS(ROW('Loan 1'!$B$22),COLUMN('Loan 1'!$B$22),4)</f>
        <v>B22</v>
      </c>
      <c r="C5415" t="str">
        <f>ADDRESS(ROW('Loan 1'!$D$22),COLUMN('Loan 1'!$D$22),4)</f>
        <v>D22</v>
      </c>
      <c r="D5415" t="b" cm="1">
        <f t="array" aca="1" ref="D5415" ca="1">IF(INDIRECT("'"&amp;A5415&amp;"'!"&amp;B5415)="",FALSE,IF(INDIRECT("'"&amp;A5415&amp;"'!"&amp;B5415)&lt;0,TRUE,FALSE))</f>
        <v>0</v>
      </c>
      <c r="E5415" t="s">
        <v>434</v>
      </c>
      <c r="F5415" t="str">
        <f>INDEX(Lists!I:I,MATCH(Validation!E5415,Lists!G:G,0))</f>
        <v>Error</v>
      </c>
      <c r="G5415" t="str">
        <f>INDEX(Lists!H:H,MATCH(Validation!E5415,Lists!G:G,0))</f>
        <v>Amount may not be negative. Enter an amount greater than or equal to zero.</v>
      </c>
      <c r="H5415" s="16" t="str">
        <f t="shared" ca="1" si="585"/>
        <v/>
      </c>
      <c r="I5415" s="16" t="str">
        <f t="shared" ca="1" si="586"/>
        <v/>
      </c>
      <c r="J5415" s="17" t="str">
        <f t="shared" ca="1" si="587"/>
        <v/>
      </c>
    </row>
    <row r="5416" spans="1:10" x14ac:dyDescent="0.25">
      <c r="A5416" t="s">
        <v>944</v>
      </c>
      <c r="B5416" t="str">
        <f>ADDRESS(ROW('Loan 1'!$B$22),COLUMN('Loan 1'!$B$22),4)</f>
        <v>B22</v>
      </c>
      <c r="C5416" t="str">
        <f>ADDRESS(ROW('Loan 1'!$D$22),COLUMN('Loan 1'!$D$22),4)</f>
        <v>D22</v>
      </c>
      <c r="D5416" t="b" cm="1">
        <f t="array" aca="1" ref="D5416" ca="1">IF(INDIRECT("'"&amp;A5416&amp;"'!"&amp;B5416)="",FALSE,IF(INDIRECT("'"&amp;A5416&amp;"'!"&amp;B5416)&lt;0,TRUE,FALSE))</f>
        <v>0</v>
      </c>
      <c r="E5416" t="s">
        <v>434</v>
      </c>
      <c r="F5416" t="str">
        <f>INDEX(Lists!I:I,MATCH(Validation!E5416,Lists!G:G,0))</f>
        <v>Error</v>
      </c>
      <c r="G5416" t="str">
        <f>INDEX(Lists!H:H,MATCH(Validation!E5416,Lists!G:G,0))</f>
        <v>Amount may not be negative. Enter an amount greater than or equal to zero.</v>
      </c>
      <c r="H5416" s="16" t="str">
        <f t="shared" ca="1" si="585"/>
        <v/>
      </c>
      <c r="I5416" s="16" t="str">
        <f t="shared" ca="1" si="586"/>
        <v/>
      </c>
      <c r="J5416" s="17" t="str">
        <f t="shared" ca="1" si="587"/>
        <v/>
      </c>
    </row>
    <row r="5417" spans="1:10" x14ac:dyDescent="0.25">
      <c r="A5417" t="s">
        <v>945</v>
      </c>
      <c r="B5417" t="str">
        <f>ADDRESS(ROW('Loan 1'!$B$22),COLUMN('Loan 1'!$B$22),4)</f>
        <v>B22</v>
      </c>
      <c r="C5417" t="str">
        <f>ADDRESS(ROW('Loan 1'!$D$22),COLUMN('Loan 1'!$D$22),4)</f>
        <v>D22</v>
      </c>
      <c r="D5417" t="b" cm="1">
        <f t="array" aca="1" ref="D5417" ca="1">IF(INDIRECT("'"&amp;A5417&amp;"'!"&amp;B5417)="",FALSE,IF(INDIRECT("'"&amp;A5417&amp;"'!"&amp;B5417)&lt;0,TRUE,FALSE))</f>
        <v>0</v>
      </c>
      <c r="E5417" t="s">
        <v>434</v>
      </c>
      <c r="F5417" t="str">
        <f>INDEX(Lists!I:I,MATCH(Validation!E5417,Lists!G:G,0))</f>
        <v>Error</v>
      </c>
      <c r="G5417" t="str">
        <f>INDEX(Lists!H:H,MATCH(Validation!E5417,Lists!G:G,0))</f>
        <v>Amount may not be negative. Enter an amount greater than or equal to zero.</v>
      </c>
      <c r="H5417" s="16" t="str">
        <f t="shared" ca="1" si="585"/>
        <v/>
      </c>
      <c r="I5417" s="16" t="str">
        <f t="shared" ca="1" si="586"/>
        <v/>
      </c>
      <c r="J5417" s="17" t="str">
        <f t="shared" ca="1" si="587"/>
        <v/>
      </c>
    </row>
    <row r="5418" spans="1:10" x14ac:dyDescent="0.25">
      <c r="A5418" t="s">
        <v>205</v>
      </c>
      <c r="B5418" t="str">
        <f>ADDRESS(ROW('Loan 1'!$B$22),COLUMN('Loan 1'!$B$22),4)</f>
        <v>B22</v>
      </c>
      <c r="C5418" t="str">
        <f>ADDRESS(ROW('Loan 1'!$D$22),COLUMN('Loan 1'!$D$22),4)</f>
        <v>D22</v>
      </c>
      <c r="D5418" t="b" cm="1">
        <f t="array" aca="1" ref="D5418" ca="1">IF(INDIRECT("'"&amp;A5418&amp;"'!"&amp;B5418)="",FALSE,IF(TRUNC(INDIRECT("'"&amp;A5418&amp;"'!"&amp;B5418))=INDIRECT("'"&amp;A5418&amp;"'!"&amp;B5418),FALSE,TRUE))</f>
        <v>0</v>
      </c>
      <c r="E5418" t="s">
        <v>436</v>
      </c>
      <c r="F5418" t="str">
        <f>INDEX(Lists!I:I,MATCH(Validation!E5418,Lists!G:G,0))</f>
        <v>Error</v>
      </c>
      <c r="G5418" t="str">
        <f>INDEX(Lists!H:H,MATCH(Validation!E5418,Lists!G:G,0))</f>
        <v>Amount must be rounded to the nearest dollar.</v>
      </c>
      <c r="H5418" s="16" t="str">
        <f t="shared" ca="1" si="585"/>
        <v/>
      </c>
      <c r="I5418" s="16" t="str">
        <f t="shared" ca="1" si="586"/>
        <v/>
      </c>
      <c r="J5418" s="17" t="str">
        <f t="shared" ca="1" si="587"/>
        <v/>
      </c>
    </row>
    <row r="5419" spans="1:10" x14ac:dyDescent="0.25">
      <c r="A5419" t="s">
        <v>932</v>
      </c>
      <c r="B5419" t="str">
        <f>ADDRESS(ROW('Loan 1'!$B$22),COLUMN('Loan 1'!$B$22),4)</f>
        <v>B22</v>
      </c>
      <c r="C5419" t="str">
        <f>ADDRESS(ROW('Loan 1'!$D$22),COLUMN('Loan 1'!$D$22),4)</f>
        <v>D22</v>
      </c>
      <c r="D5419" t="b" cm="1">
        <f t="array" aca="1" ref="D5419" ca="1">IF(INDIRECT("'"&amp;A5419&amp;"'!"&amp;B5419)="",FALSE,IF(TRUNC(INDIRECT("'"&amp;A5419&amp;"'!"&amp;B5419))=INDIRECT("'"&amp;A5419&amp;"'!"&amp;B5419),FALSE,TRUE))</f>
        <v>0</v>
      </c>
      <c r="E5419" t="s">
        <v>436</v>
      </c>
      <c r="F5419" t="str">
        <f>INDEX(Lists!I:I,MATCH(Validation!E5419,Lists!G:G,0))</f>
        <v>Error</v>
      </c>
      <c r="G5419" t="str">
        <f>INDEX(Lists!H:H,MATCH(Validation!E5419,Lists!G:G,0))</f>
        <v>Amount must be rounded to the nearest dollar.</v>
      </c>
      <c r="H5419" s="16" t="str">
        <f t="shared" ca="1" si="585"/>
        <v/>
      </c>
      <c r="I5419" s="16" t="str">
        <f t="shared" ca="1" si="586"/>
        <v/>
      </c>
      <c r="J5419" s="17" t="str">
        <f t="shared" ca="1" si="587"/>
        <v/>
      </c>
    </row>
    <row r="5420" spans="1:10" x14ac:dyDescent="0.25">
      <c r="A5420" t="s">
        <v>933</v>
      </c>
      <c r="B5420" t="str">
        <f>ADDRESS(ROW('Loan 1'!$B$22),COLUMN('Loan 1'!$B$22),4)</f>
        <v>B22</v>
      </c>
      <c r="C5420" t="str">
        <f>ADDRESS(ROW('Loan 1'!$D$22),COLUMN('Loan 1'!$D$22),4)</f>
        <v>D22</v>
      </c>
      <c r="D5420" t="b" cm="1">
        <f t="array" aca="1" ref="D5420" ca="1">IF(INDIRECT("'"&amp;A5420&amp;"'!"&amp;B5420)="",FALSE,IF(TRUNC(INDIRECT("'"&amp;A5420&amp;"'!"&amp;B5420))=INDIRECT("'"&amp;A5420&amp;"'!"&amp;B5420),FALSE,TRUE))</f>
        <v>0</v>
      </c>
      <c r="E5420" t="s">
        <v>436</v>
      </c>
      <c r="F5420" t="str">
        <f>INDEX(Lists!I:I,MATCH(Validation!E5420,Lists!G:G,0))</f>
        <v>Error</v>
      </c>
      <c r="G5420" t="str">
        <f>INDEX(Lists!H:H,MATCH(Validation!E5420,Lists!G:G,0))</f>
        <v>Amount must be rounded to the nearest dollar.</v>
      </c>
      <c r="H5420" s="16" t="str">
        <f t="shared" ca="1" si="585"/>
        <v/>
      </c>
      <c r="I5420" s="16" t="str">
        <f t="shared" ca="1" si="586"/>
        <v/>
      </c>
      <c r="J5420" s="17" t="str">
        <f t="shared" ca="1" si="587"/>
        <v/>
      </c>
    </row>
    <row r="5421" spans="1:10" x14ac:dyDescent="0.25">
      <c r="A5421" t="s">
        <v>934</v>
      </c>
      <c r="B5421" t="str">
        <f>ADDRESS(ROW('Loan 1'!$B$22),COLUMN('Loan 1'!$B$22),4)</f>
        <v>B22</v>
      </c>
      <c r="C5421" t="str">
        <f>ADDRESS(ROW('Loan 1'!$D$22),COLUMN('Loan 1'!$D$22),4)</f>
        <v>D22</v>
      </c>
      <c r="D5421" t="b" cm="1">
        <f t="array" aca="1" ref="D5421" ca="1">IF(INDIRECT("'"&amp;A5421&amp;"'!"&amp;B5421)="",FALSE,IF(TRUNC(INDIRECT("'"&amp;A5421&amp;"'!"&amp;B5421))=INDIRECT("'"&amp;A5421&amp;"'!"&amp;B5421),FALSE,TRUE))</f>
        <v>0</v>
      </c>
      <c r="E5421" t="s">
        <v>436</v>
      </c>
      <c r="F5421" t="str">
        <f>INDEX(Lists!I:I,MATCH(Validation!E5421,Lists!G:G,0))</f>
        <v>Error</v>
      </c>
      <c r="G5421" t="str">
        <f>INDEX(Lists!H:H,MATCH(Validation!E5421,Lists!G:G,0))</f>
        <v>Amount must be rounded to the nearest dollar.</v>
      </c>
      <c r="H5421" s="16" t="str">
        <f t="shared" ca="1" si="585"/>
        <v/>
      </c>
      <c r="I5421" s="16" t="str">
        <f t="shared" ca="1" si="586"/>
        <v/>
      </c>
      <c r="J5421" s="17" t="str">
        <f t="shared" ca="1" si="587"/>
        <v/>
      </c>
    </row>
    <row r="5422" spans="1:10" x14ac:dyDescent="0.25">
      <c r="A5422" t="s">
        <v>935</v>
      </c>
      <c r="B5422" t="str">
        <f>ADDRESS(ROW('Loan 1'!$B$22),COLUMN('Loan 1'!$B$22),4)</f>
        <v>B22</v>
      </c>
      <c r="C5422" t="str">
        <f>ADDRESS(ROW('Loan 1'!$D$22),COLUMN('Loan 1'!$D$22),4)</f>
        <v>D22</v>
      </c>
      <c r="D5422" t="b" cm="1">
        <f t="array" aca="1" ref="D5422" ca="1">IF(INDIRECT("'"&amp;A5422&amp;"'!"&amp;B5422)="",FALSE,IF(TRUNC(INDIRECT("'"&amp;A5422&amp;"'!"&amp;B5422))=INDIRECT("'"&amp;A5422&amp;"'!"&amp;B5422),FALSE,TRUE))</f>
        <v>0</v>
      </c>
      <c r="E5422" t="s">
        <v>436</v>
      </c>
      <c r="F5422" t="str">
        <f>INDEX(Lists!I:I,MATCH(Validation!E5422,Lists!G:G,0))</f>
        <v>Error</v>
      </c>
      <c r="G5422" t="str">
        <f>INDEX(Lists!H:H,MATCH(Validation!E5422,Lists!G:G,0))</f>
        <v>Amount must be rounded to the nearest dollar.</v>
      </c>
      <c r="H5422" s="16" t="str">
        <f t="shared" ca="1" si="585"/>
        <v/>
      </c>
      <c r="I5422" s="16" t="str">
        <f t="shared" ca="1" si="586"/>
        <v/>
      </c>
      <c r="J5422" s="17" t="str">
        <f t="shared" ca="1" si="587"/>
        <v/>
      </c>
    </row>
    <row r="5423" spans="1:10" x14ac:dyDescent="0.25">
      <c r="A5423" t="s">
        <v>936</v>
      </c>
      <c r="B5423" t="str">
        <f>ADDRESS(ROW('Loan 1'!$B$22),COLUMN('Loan 1'!$B$22),4)</f>
        <v>B22</v>
      </c>
      <c r="C5423" t="str">
        <f>ADDRESS(ROW('Loan 1'!$D$22),COLUMN('Loan 1'!$D$22),4)</f>
        <v>D22</v>
      </c>
      <c r="D5423" t="b" cm="1">
        <f t="array" aca="1" ref="D5423" ca="1">IF(INDIRECT("'"&amp;A5423&amp;"'!"&amp;B5423)="",FALSE,IF(TRUNC(INDIRECT("'"&amp;A5423&amp;"'!"&amp;B5423))=INDIRECT("'"&amp;A5423&amp;"'!"&amp;B5423),FALSE,TRUE))</f>
        <v>0</v>
      </c>
      <c r="E5423" t="s">
        <v>436</v>
      </c>
      <c r="F5423" t="str">
        <f>INDEX(Lists!I:I,MATCH(Validation!E5423,Lists!G:G,0))</f>
        <v>Error</v>
      </c>
      <c r="G5423" t="str">
        <f>INDEX(Lists!H:H,MATCH(Validation!E5423,Lists!G:G,0))</f>
        <v>Amount must be rounded to the nearest dollar.</v>
      </c>
      <c r="H5423" s="16" t="str">
        <f t="shared" ca="1" si="585"/>
        <v/>
      </c>
      <c r="I5423" s="16" t="str">
        <f t="shared" ca="1" si="586"/>
        <v/>
      </c>
      <c r="J5423" s="17" t="str">
        <f t="shared" ca="1" si="587"/>
        <v/>
      </c>
    </row>
    <row r="5424" spans="1:10" x14ac:dyDescent="0.25">
      <c r="A5424" t="s">
        <v>937</v>
      </c>
      <c r="B5424" t="str">
        <f>ADDRESS(ROW('Loan 1'!$B$22),COLUMN('Loan 1'!$B$22),4)</f>
        <v>B22</v>
      </c>
      <c r="C5424" t="str">
        <f>ADDRESS(ROW('Loan 1'!$D$22),COLUMN('Loan 1'!$D$22),4)</f>
        <v>D22</v>
      </c>
      <c r="D5424" t="b" cm="1">
        <f t="array" aca="1" ref="D5424" ca="1">IF(INDIRECT("'"&amp;A5424&amp;"'!"&amp;B5424)="",FALSE,IF(TRUNC(INDIRECT("'"&amp;A5424&amp;"'!"&amp;B5424))=INDIRECT("'"&amp;A5424&amp;"'!"&amp;B5424),FALSE,TRUE))</f>
        <v>0</v>
      </c>
      <c r="E5424" t="s">
        <v>436</v>
      </c>
      <c r="F5424" t="str">
        <f>INDEX(Lists!I:I,MATCH(Validation!E5424,Lists!G:G,0))</f>
        <v>Error</v>
      </c>
      <c r="G5424" t="str">
        <f>INDEX(Lists!H:H,MATCH(Validation!E5424,Lists!G:G,0))</f>
        <v>Amount must be rounded to the nearest dollar.</v>
      </c>
      <c r="H5424" s="16" t="str">
        <f t="shared" ca="1" si="585"/>
        <v/>
      </c>
      <c r="I5424" s="16" t="str">
        <f t="shared" ca="1" si="586"/>
        <v/>
      </c>
      <c r="J5424" s="17" t="str">
        <f t="shared" ca="1" si="587"/>
        <v/>
      </c>
    </row>
    <row r="5425" spans="1:10" x14ac:dyDescent="0.25">
      <c r="A5425" t="s">
        <v>938</v>
      </c>
      <c r="B5425" t="str">
        <f>ADDRESS(ROW('Loan 1'!$B$22),COLUMN('Loan 1'!$B$22),4)</f>
        <v>B22</v>
      </c>
      <c r="C5425" t="str">
        <f>ADDRESS(ROW('Loan 1'!$D$22),COLUMN('Loan 1'!$D$22),4)</f>
        <v>D22</v>
      </c>
      <c r="D5425" t="b" cm="1">
        <f t="array" aca="1" ref="D5425" ca="1">IF(INDIRECT("'"&amp;A5425&amp;"'!"&amp;B5425)="",FALSE,IF(TRUNC(INDIRECT("'"&amp;A5425&amp;"'!"&amp;B5425))=INDIRECT("'"&amp;A5425&amp;"'!"&amp;B5425),FALSE,TRUE))</f>
        <v>0</v>
      </c>
      <c r="E5425" t="s">
        <v>436</v>
      </c>
      <c r="F5425" t="str">
        <f>INDEX(Lists!I:I,MATCH(Validation!E5425,Lists!G:G,0))</f>
        <v>Error</v>
      </c>
      <c r="G5425" t="str">
        <f>INDEX(Lists!H:H,MATCH(Validation!E5425,Lists!G:G,0))</f>
        <v>Amount must be rounded to the nearest dollar.</v>
      </c>
      <c r="H5425" s="16" t="str">
        <f t="shared" ca="1" si="585"/>
        <v/>
      </c>
      <c r="I5425" s="16" t="str">
        <f t="shared" ca="1" si="586"/>
        <v/>
      </c>
      <c r="J5425" s="17" t="str">
        <f t="shared" ca="1" si="587"/>
        <v/>
      </c>
    </row>
    <row r="5426" spans="1:10" x14ac:dyDescent="0.25">
      <c r="A5426" t="s">
        <v>939</v>
      </c>
      <c r="B5426" t="str">
        <f>ADDRESS(ROW('Loan 1'!$B$22),COLUMN('Loan 1'!$B$22),4)</f>
        <v>B22</v>
      </c>
      <c r="C5426" t="str">
        <f>ADDRESS(ROW('Loan 1'!$D$22),COLUMN('Loan 1'!$D$22),4)</f>
        <v>D22</v>
      </c>
      <c r="D5426" t="b" cm="1">
        <f t="array" aca="1" ref="D5426" ca="1">IF(INDIRECT("'"&amp;A5426&amp;"'!"&amp;B5426)="",FALSE,IF(TRUNC(INDIRECT("'"&amp;A5426&amp;"'!"&amp;B5426))=INDIRECT("'"&amp;A5426&amp;"'!"&amp;B5426),FALSE,TRUE))</f>
        <v>0</v>
      </c>
      <c r="E5426" t="s">
        <v>436</v>
      </c>
      <c r="F5426" t="str">
        <f>INDEX(Lists!I:I,MATCH(Validation!E5426,Lists!G:G,0))</f>
        <v>Error</v>
      </c>
      <c r="G5426" t="str">
        <f>INDEX(Lists!H:H,MATCH(Validation!E5426,Lists!G:G,0))</f>
        <v>Amount must be rounded to the nearest dollar.</v>
      </c>
      <c r="H5426" s="16" t="str">
        <f t="shared" ca="1" si="585"/>
        <v/>
      </c>
      <c r="I5426" s="16" t="str">
        <f t="shared" ca="1" si="586"/>
        <v/>
      </c>
      <c r="J5426" s="17" t="str">
        <f t="shared" ca="1" si="587"/>
        <v/>
      </c>
    </row>
    <row r="5427" spans="1:10" x14ac:dyDescent="0.25">
      <c r="A5427" t="s">
        <v>940</v>
      </c>
      <c r="B5427" t="str">
        <f>ADDRESS(ROW('Loan 1'!$B$22),COLUMN('Loan 1'!$B$22),4)</f>
        <v>B22</v>
      </c>
      <c r="C5427" t="str">
        <f>ADDRESS(ROW('Loan 1'!$D$22),COLUMN('Loan 1'!$D$22),4)</f>
        <v>D22</v>
      </c>
      <c r="D5427" t="b" cm="1">
        <f t="array" aca="1" ref="D5427" ca="1">IF(INDIRECT("'"&amp;A5427&amp;"'!"&amp;B5427)="",FALSE,IF(TRUNC(INDIRECT("'"&amp;A5427&amp;"'!"&amp;B5427))=INDIRECT("'"&amp;A5427&amp;"'!"&amp;B5427),FALSE,TRUE))</f>
        <v>0</v>
      </c>
      <c r="E5427" t="s">
        <v>436</v>
      </c>
      <c r="F5427" t="str">
        <f>INDEX(Lists!I:I,MATCH(Validation!E5427,Lists!G:G,0))</f>
        <v>Error</v>
      </c>
      <c r="G5427" t="str">
        <f>INDEX(Lists!H:H,MATCH(Validation!E5427,Lists!G:G,0))</f>
        <v>Amount must be rounded to the nearest dollar.</v>
      </c>
      <c r="H5427" s="16" t="str">
        <f t="shared" ca="1" si="585"/>
        <v/>
      </c>
      <c r="I5427" s="16" t="str">
        <f t="shared" ca="1" si="586"/>
        <v/>
      </c>
      <c r="J5427" s="17" t="str">
        <f t="shared" ca="1" si="587"/>
        <v/>
      </c>
    </row>
    <row r="5428" spans="1:10" x14ac:dyDescent="0.25">
      <c r="A5428" t="s">
        <v>941</v>
      </c>
      <c r="B5428" t="str">
        <f>ADDRESS(ROW('Loan 1'!$B$22),COLUMN('Loan 1'!$B$22),4)</f>
        <v>B22</v>
      </c>
      <c r="C5428" t="str">
        <f>ADDRESS(ROW('Loan 1'!$D$22),COLUMN('Loan 1'!$D$22),4)</f>
        <v>D22</v>
      </c>
      <c r="D5428" t="b" cm="1">
        <f t="array" aca="1" ref="D5428" ca="1">IF(INDIRECT("'"&amp;A5428&amp;"'!"&amp;B5428)="",FALSE,IF(TRUNC(INDIRECT("'"&amp;A5428&amp;"'!"&amp;B5428))=INDIRECT("'"&amp;A5428&amp;"'!"&amp;B5428),FALSE,TRUE))</f>
        <v>0</v>
      </c>
      <c r="E5428" t="s">
        <v>436</v>
      </c>
      <c r="F5428" t="str">
        <f>INDEX(Lists!I:I,MATCH(Validation!E5428,Lists!G:G,0))</f>
        <v>Error</v>
      </c>
      <c r="G5428" t="str">
        <f>INDEX(Lists!H:H,MATCH(Validation!E5428,Lists!G:G,0))</f>
        <v>Amount must be rounded to the nearest dollar.</v>
      </c>
      <c r="H5428" s="16" t="str">
        <f t="shared" ca="1" si="585"/>
        <v/>
      </c>
      <c r="I5428" s="16" t="str">
        <f t="shared" ca="1" si="586"/>
        <v/>
      </c>
      <c r="J5428" s="17" t="str">
        <f t="shared" ca="1" si="587"/>
        <v/>
      </c>
    </row>
    <row r="5429" spans="1:10" x14ac:dyDescent="0.25">
      <c r="A5429" t="s">
        <v>942</v>
      </c>
      <c r="B5429" t="str">
        <f>ADDRESS(ROW('Loan 1'!$B$22),COLUMN('Loan 1'!$B$22),4)</f>
        <v>B22</v>
      </c>
      <c r="C5429" t="str">
        <f>ADDRESS(ROW('Loan 1'!$D$22),COLUMN('Loan 1'!$D$22),4)</f>
        <v>D22</v>
      </c>
      <c r="D5429" t="b" cm="1">
        <f t="array" aca="1" ref="D5429" ca="1">IF(INDIRECT("'"&amp;A5429&amp;"'!"&amp;B5429)="",FALSE,IF(TRUNC(INDIRECT("'"&amp;A5429&amp;"'!"&amp;B5429))=INDIRECT("'"&amp;A5429&amp;"'!"&amp;B5429),FALSE,TRUE))</f>
        <v>0</v>
      </c>
      <c r="E5429" t="s">
        <v>436</v>
      </c>
      <c r="F5429" t="str">
        <f>INDEX(Lists!I:I,MATCH(Validation!E5429,Lists!G:G,0))</f>
        <v>Error</v>
      </c>
      <c r="G5429" t="str">
        <f>INDEX(Lists!H:H,MATCH(Validation!E5429,Lists!G:G,0))</f>
        <v>Amount must be rounded to the nearest dollar.</v>
      </c>
      <c r="H5429" s="16" t="str">
        <f t="shared" ca="1" si="585"/>
        <v/>
      </c>
      <c r="I5429" s="16" t="str">
        <f t="shared" ca="1" si="586"/>
        <v/>
      </c>
      <c r="J5429" s="17" t="str">
        <f t="shared" ca="1" si="587"/>
        <v/>
      </c>
    </row>
    <row r="5430" spans="1:10" x14ac:dyDescent="0.25">
      <c r="A5430" t="s">
        <v>943</v>
      </c>
      <c r="B5430" t="str">
        <f>ADDRESS(ROW('Loan 1'!$B$22),COLUMN('Loan 1'!$B$22),4)</f>
        <v>B22</v>
      </c>
      <c r="C5430" t="str">
        <f>ADDRESS(ROW('Loan 1'!$D$22),COLUMN('Loan 1'!$D$22),4)</f>
        <v>D22</v>
      </c>
      <c r="D5430" t="b" cm="1">
        <f t="array" aca="1" ref="D5430" ca="1">IF(INDIRECT("'"&amp;A5430&amp;"'!"&amp;B5430)="",FALSE,IF(TRUNC(INDIRECT("'"&amp;A5430&amp;"'!"&amp;B5430))=INDIRECT("'"&amp;A5430&amp;"'!"&amp;B5430),FALSE,TRUE))</f>
        <v>0</v>
      </c>
      <c r="E5430" t="s">
        <v>436</v>
      </c>
      <c r="F5430" t="str">
        <f>INDEX(Lists!I:I,MATCH(Validation!E5430,Lists!G:G,0))</f>
        <v>Error</v>
      </c>
      <c r="G5430" t="str">
        <f>INDEX(Lists!H:H,MATCH(Validation!E5430,Lists!G:G,0))</f>
        <v>Amount must be rounded to the nearest dollar.</v>
      </c>
      <c r="H5430" s="16" t="str">
        <f t="shared" ca="1" si="585"/>
        <v/>
      </c>
      <c r="I5430" s="16" t="str">
        <f t="shared" ca="1" si="586"/>
        <v/>
      </c>
      <c r="J5430" s="17" t="str">
        <f t="shared" ca="1" si="587"/>
        <v/>
      </c>
    </row>
    <row r="5431" spans="1:10" x14ac:dyDescent="0.25">
      <c r="A5431" t="s">
        <v>944</v>
      </c>
      <c r="B5431" t="str">
        <f>ADDRESS(ROW('Loan 1'!$B$22),COLUMN('Loan 1'!$B$22),4)</f>
        <v>B22</v>
      </c>
      <c r="C5431" t="str">
        <f>ADDRESS(ROW('Loan 1'!$D$22),COLUMN('Loan 1'!$D$22),4)</f>
        <v>D22</v>
      </c>
      <c r="D5431" t="b" cm="1">
        <f t="array" aca="1" ref="D5431" ca="1">IF(INDIRECT("'"&amp;A5431&amp;"'!"&amp;B5431)="",FALSE,IF(TRUNC(INDIRECT("'"&amp;A5431&amp;"'!"&amp;B5431))=INDIRECT("'"&amp;A5431&amp;"'!"&amp;B5431),FALSE,TRUE))</f>
        <v>0</v>
      </c>
      <c r="E5431" t="s">
        <v>436</v>
      </c>
      <c r="F5431" t="str">
        <f>INDEX(Lists!I:I,MATCH(Validation!E5431,Lists!G:G,0))</f>
        <v>Error</v>
      </c>
      <c r="G5431" t="str">
        <f>INDEX(Lists!H:H,MATCH(Validation!E5431,Lists!G:G,0))</f>
        <v>Amount must be rounded to the nearest dollar.</v>
      </c>
      <c r="H5431" s="16" t="str">
        <f t="shared" ca="1" si="585"/>
        <v/>
      </c>
      <c r="I5431" s="16" t="str">
        <f t="shared" ca="1" si="586"/>
        <v/>
      </c>
      <c r="J5431" s="17" t="str">
        <f t="shared" ca="1" si="587"/>
        <v/>
      </c>
    </row>
    <row r="5432" spans="1:10" x14ac:dyDescent="0.25">
      <c r="A5432" t="s">
        <v>945</v>
      </c>
      <c r="B5432" t="str">
        <f>ADDRESS(ROW('Loan 1'!$B$22),COLUMN('Loan 1'!$B$22),4)</f>
        <v>B22</v>
      </c>
      <c r="C5432" t="str">
        <f>ADDRESS(ROW('Loan 1'!$D$22),COLUMN('Loan 1'!$D$22),4)</f>
        <v>D22</v>
      </c>
      <c r="D5432" t="b" cm="1">
        <f t="array" aca="1" ref="D5432" ca="1">IF(INDIRECT("'"&amp;A5432&amp;"'!"&amp;B5432)="",FALSE,IF(TRUNC(INDIRECT("'"&amp;A5432&amp;"'!"&amp;B5432))=INDIRECT("'"&amp;A5432&amp;"'!"&amp;B5432),FALSE,TRUE))</f>
        <v>0</v>
      </c>
      <c r="E5432" t="s">
        <v>436</v>
      </c>
      <c r="F5432" t="str">
        <f>INDEX(Lists!I:I,MATCH(Validation!E5432,Lists!G:G,0))</f>
        <v>Error</v>
      </c>
      <c r="G5432" t="str">
        <f>INDEX(Lists!H:H,MATCH(Validation!E5432,Lists!G:G,0))</f>
        <v>Amount must be rounded to the nearest dollar.</v>
      </c>
      <c r="H5432" s="16" t="str">
        <f t="shared" ca="1" si="585"/>
        <v/>
      </c>
      <c r="I5432" s="16" t="str">
        <f t="shared" ca="1" si="586"/>
        <v/>
      </c>
      <c r="J5432" s="17" t="str">
        <f t="shared" ca="1" si="587"/>
        <v/>
      </c>
    </row>
    <row r="5433" spans="1:10" x14ac:dyDescent="0.25">
      <c r="A5433" t="s">
        <v>205</v>
      </c>
      <c r="B5433" t="str">
        <f>ADDRESS(ROW('Loan 1'!$C$22),COLUMN('Loan 1'!$C$22),4)</f>
        <v>C22</v>
      </c>
      <c r="C5433" t="str">
        <f>ADDRESS(ROW('Loan 1'!$D$22),COLUMN('Loan 1'!$D$22),4)</f>
        <v>D22</v>
      </c>
      <c r="D5433" t="b" cm="1">
        <f t="array" aca="1" ref="D5433" ca="1">IF(INDIRECT("'"&amp;A5433&amp;"'!"&amp;B5433)="",FALSE,IF(NOT(ISNUMBER(INDIRECT("'"&amp;A5433&amp;"'!"&amp;B5433))),TRUE,FALSE))</f>
        <v>0</v>
      </c>
      <c r="E5433" t="s">
        <v>435</v>
      </c>
      <c r="F5433" t="str">
        <f>INDEX(Lists!I:I,MATCH(Validation!E5433,Lists!G:G,0))</f>
        <v>Error</v>
      </c>
      <c r="G5433" t="str">
        <f>INDEX(Lists!H:H,MATCH(Validation!E5433,Lists!G:G,0))</f>
        <v>Enter an amount only. Do not enter text or spaces.</v>
      </c>
      <c r="H5433" s="16" t="str">
        <f ca="1">IFERROR(IF(OR(NOT(D5433),F5433&lt;&gt;"Error"),"",A5433&amp;CELL("address",INDIRECT(B5433))),"")</f>
        <v/>
      </c>
      <c r="I5433" s="16" t="str">
        <f ca="1">IFERROR(IF(NOT(D5433),"",A5433&amp;CELL("address",INDIRECT(C5433))),"")</f>
        <v/>
      </c>
      <c r="J5433" s="17" t="str">
        <f ca="1">IFERROR(IF(NOT(D5433),"",A5433),"")</f>
        <v/>
      </c>
    </row>
    <row r="5434" spans="1:10" x14ac:dyDescent="0.25">
      <c r="A5434" t="s">
        <v>932</v>
      </c>
      <c r="B5434" t="str">
        <f>ADDRESS(ROW('Loan 1'!$C$22),COLUMN('Loan 1'!$C$22),4)</f>
        <v>C22</v>
      </c>
      <c r="C5434" t="str">
        <f>ADDRESS(ROW('Loan 1'!$D$22),COLUMN('Loan 1'!$D$22),4)</f>
        <v>D22</v>
      </c>
      <c r="D5434" t="b" cm="1">
        <f t="array" aca="1" ref="D5434" ca="1">IF(INDIRECT("'"&amp;A5434&amp;"'!"&amp;B5434)="",FALSE,IF(NOT(ISNUMBER(INDIRECT("'"&amp;A5434&amp;"'!"&amp;B5434))),TRUE,FALSE))</f>
        <v>0</v>
      </c>
      <c r="E5434" t="s">
        <v>435</v>
      </c>
      <c r="F5434" t="str">
        <f>INDEX(Lists!I:I,MATCH(Validation!E5434,Lists!G:G,0))</f>
        <v>Error</v>
      </c>
      <c r="G5434" t="str">
        <f>INDEX(Lists!H:H,MATCH(Validation!E5434,Lists!G:G,0))</f>
        <v>Enter an amount only. Do not enter text or spaces.</v>
      </c>
      <c r="H5434" s="16" t="str">
        <f t="shared" ref="H5434:H5447" ca="1" si="588">IFERROR(IF(OR(NOT(D5434),F5434&lt;&gt;"Error"),"",A5434&amp;CELL("address",INDIRECT(B5434))),"")</f>
        <v/>
      </c>
      <c r="I5434" s="16" t="str">
        <f t="shared" ref="I5434:I5447" ca="1" si="589">IFERROR(IF(NOT(D5434),"",A5434&amp;CELL("address",INDIRECT(C5434))),"")</f>
        <v/>
      </c>
      <c r="J5434" s="17" t="str">
        <f t="shared" ref="J5434:J5447" ca="1" si="590">IFERROR(IF(NOT(D5434),"",A5434),"")</f>
        <v/>
      </c>
    </row>
    <row r="5435" spans="1:10" x14ac:dyDescent="0.25">
      <c r="A5435" t="s">
        <v>933</v>
      </c>
      <c r="B5435" t="str">
        <f>ADDRESS(ROW('Loan 1'!$C$22),COLUMN('Loan 1'!$C$22),4)</f>
        <v>C22</v>
      </c>
      <c r="C5435" t="str">
        <f>ADDRESS(ROW('Loan 1'!$D$22),COLUMN('Loan 1'!$D$22),4)</f>
        <v>D22</v>
      </c>
      <c r="D5435" t="b" cm="1">
        <f t="array" aca="1" ref="D5435" ca="1">IF(INDIRECT("'"&amp;A5435&amp;"'!"&amp;B5435)="",FALSE,IF(NOT(ISNUMBER(INDIRECT("'"&amp;A5435&amp;"'!"&amp;B5435))),TRUE,FALSE))</f>
        <v>0</v>
      </c>
      <c r="E5435" t="s">
        <v>435</v>
      </c>
      <c r="F5435" t="str">
        <f>INDEX(Lists!I:I,MATCH(Validation!E5435,Lists!G:G,0))</f>
        <v>Error</v>
      </c>
      <c r="G5435" t="str">
        <f>INDEX(Lists!H:H,MATCH(Validation!E5435,Lists!G:G,0))</f>
        <v>Enter an amount only. Do not enter text or spaces.</v>
      </c>
      <c r="H5435" s="16" t="str">
        <f t="shared" ca="1" si="588"/>
        <v/>
      </c>
      <c r="I5435" s="16" t="str">
        <f t="shared" ca="1" si="589"/>
        <v/>
      </c>
      <c r="J5435" s="17" t="str">
        <f t="shared" ca="1" si="590"/>
        <v/>
      </c>
    </row>
    <row r="5436" spans="1:10" x14ac:dyDescent="0.25">
      <c r="A5436" t="s">
        <v>934</v>
      </c>
      <c r="B5436" t="str">
        <f>ADDRESS(ROW('Loan 1'!$C$22),COLUMN('Loan 1'!$C$22),4)</f>
        <v>C22</v>
      </c>
      <c r="C5436" t="str">
        <f>ADDRESS(ROW('Loan 1'!$D$22),COLUMN('Loan 1'!$D$22),4)</f>
        <v>D22</v>
      </c>
      <c r="D5436" t="b" cm="1">
        <f t="array" aca="1" ref="D5436" ca="1">IF(INDIRECT("'"&amp;A5436&amp;"'!"&amp;B5436)="",FALSE,IF(NOT(ISNUMBER(INDIRECT("'"&amp;A5436&amp;"'!"&amp;B5436))),TRUE,FALSE))</f>
        <v>0</v>
      </c>
      <c r="E5436" t="s">
        <v>435</v>
      </c>
      <c r="F5436" t="str">
        <f>INDEX(Lists!I:I,MATCH(Validation!E5436,Lists!G:G,0))</f>
        <v>Error</v>
      </c>
      <c r="G5436" t="str">
        <f>INDEX(Lists!H:H,MATCH(Validation!E5436,Lists!G:G,0))</f>
        <v>Enter an amount only. Do not enter text or spaces.</v>
      </c>
      <c r="H5436" s="16" t="str">
        <f t="shared" ca="1" si="588"/>
        <v/>
      </c>
      <c r="I5436" s="16" t="str">
        <f t="shared" ca="1" si="589"/>
        <v/>
      </c>
      <c r="J5436" s="17" t="str">
        <f t="shared" ca="1" si="590"/>
        <v/>
      </c>
    </row>
    <row r="5437" spans="1:10" x14ac:dyDescent="0.25">
      <c r="A5437" t="s">
        <v>935</v>
      </c>
      <c r="B5437" t="str">
        <f>ADDRESS(ROW('Loan 1'!$C$22),COLUMN('Loan 1'!$C$22),4)</f>
        <v>C22</v>
      </c>
      <c r="C5437" t="str">
        <f>ADDRESS(ROW('Loan 1'!$D$22),COLUMN('Loan 1'!$D$22),4)</f>
        <v>D22</v>
      </c>
      <c r="D5437" t="b" cm="1">
        <f t="array" aca="1" ref="D5437" ca="1">IF(INDIRECT("'"&amp;A5437&amp;"'!"&amp;B5437)="",FALSE,IF(NOT(ISNUMBER(INDIRECT("'"&amp;A5437&amp;"'!"&amp;B5437))),TRUE,FALSE))</f>
        <v>0</v>
      </c>
      <c r="E5437" t="s">
        <v>435</v>
      </c>
      <c r="F5437" t="str">
        <f>INDEX(Lists!I:I,MATCH(Validation!E5437,Lists!G:G,0))</f>
        <v>Error</v>
      </c>
      <c r="G5437" t="str">
        <f>INDEX(Lists!H:H,MATCH(Validation!E5437,Lists!G:G,0))</f>
        <v>Enter an amount only. Do not enter text or spaces.</v>
      </c>
      <c r="H5437" s="16" t="str">
        <f t="shared" ca="1" si="588"/>
        <v/>
      </c>
      <c r="I5437" s="16" t="str">
        <f t="shared" ca="1" si="589"/>
        <v/>
      </c>
      <c r="J5437" s="17" t="str">
        <f t="shared" ca="1" si="590"/>
        <v/>
      </c>
    </row>
    <row r="5438" spans="1:10" x14ac:dyDescent="0.25">
      <c r="A5438" t="s">
        <v>936</v>
      </c>
      <c r="B5438" t="str">
        <f>ADDRESS(ROW('Loan 1'!$C$22),COLUMN('Loan 1'!$C$22),4)</f>
        <v>C22</v>
      </c>
      <c r="C5438" t="str">
        <f>ADDRESS(ROW('Loan 1'!$D$22),COLUMN('Loan 1'!$D$22),4)</f>
        <v>D22</v>
      </c>
      <c r="D5438" t="b" cm="1">
        <f t="array" aca="1" ref="D5438" ca="1">IF(INDIRECT("'"&amp;A5438&amp;"'!"&amp;B5438)="",FALSE,IF(NOT(ISNUMBER(INDIRECT("'"&amp;A5438&amp;"'!"&amp;B5438))),TRUE,FALSE))</f>
        <v>0</v>
      </c>
      <c r="E5438" t="s">
        <v>435</v>
      </c>
      <c r="F5438" t="str">
        <f>INDEX(Lists!I:I,MATCH(Validation!E5438,Lists!G:G,0))</f>
        <v>Error</v>
      </c>
      <c r="G5438" t="str">
        <f>INDEX(Lists!H:H,MATCH(Validation!E5438,Lists!G:G,0))</f>
        <v>Enter an amount only. Do not enter text or spaces.</v>
      </c>
      <c r="H5438" s="16" t="str">
        <f t="shared" ca="1" si="588"/>
        <v/>
      </c>
      <c r="I5438" s="16" t="str">
        <f t="shared" ca="1" si="589"/>
        <v/>
      </c>
      <c r="J5438" s="17" t="str">
        <f t="shared" ca="1" si="590"/>
        <v/>
      </c>
    </row>
    <row r="5439" spans="1:10" x14ac:dyDescent="0.25">
      <c r="A5439" t="s">
        <v>937</v>
      </c>
      <c r="B5439" t="str">
        <f>ADDRESS(ROW('Loan 1'!$C$22),COLUMN('Loan 1'!$C$22),4)</f>
        <v>C22</v>
      </c>
      <c r="C5439" t="str">
        <f>ADDRESS(ROW('Loan 1'!$D$22),COLUMN('Loan 1'!$D$22),4)</f>
        <v>D22</v>
      </c>
      <c r="D5439" t="b" cm="1">
        <f t="array" aca="1" ref="D5439" ca="1">IF(INDIRECT("'"&amp;A5439&amp;"'!"&amp;B5439)="",FALSE,IF(NOT(ISNUMBER(INDIRECT("'"&amp;A5439&amp;"'!"&amp;B5439))),TRUE,FALSE))</f>
        <v>0</v>
      </c>
      <c r="E5439" t="s">
        <v>435</v>
      </c>
      <c r="F5439" t="str">
        <f>INDEX(Lists!I:I,MATCH(Validation!E5439,Lists!G:G,0))</f>
        <v>Error</v>
      </c>
      <c r="G5439" t="str">
        <f>INDEX(Lists!H:H,MATCH(Validation!E5439,Lists!G:G,0))</f>
        <v>Enter an amount only. Do not enter text or spaces.</v>
      </c>
      <c r="H5439" s="16" t="str">
        <f t="shared" ca="1" si="588"/>
        <v/>
      </c>
      <c r="I5439" s="16" t="str">
        <f t="shared" ca="1" si="589"/>
        <v/>
      </c>
      <c r="J5439" s="17" t="str">
        <f t="shared" ca="1" si="590"/>
        <v/>
      </c>
    </row>
    <row r="5440" spans="1:10" x14ac:dyDescent="0.25">
      <c r="A5440" t="s">
        <v>938</v>
      </c>
      <c r="B5440" t="str">
        <f>ADDRESS(ROW('Loan 1'!$C$22),COLUMN('Loan 1'!$C$22),4)</f>
        <v>C22</v>
      </c>
      <c r="C5440" t="str">
        <f>ADDRESS(ROW('Loan 1'!$D$22),COLUMN('Loan 1'!$D$22),4)</f>
        <v>D22</v>
      </c>
      <c r="D5440" t="b" cm="1">
        <f t="array" aca="1" ref="D5440" ca="1">IF(INDIRECT("'"&amp;A5440&amp;"'!"&amp;B5440)="",FALSE,IF(NOT(ISNUMBER(INDIRECT("'"&amp;A5440&amp;"'!"&amp;B5440))),TRUE,FALSE))</f>
        <v>0</v>
      </c>
      <c r="E5440" t="s">
        <v>435</v>
      </c>
      <c r="F5440" t="str">
        <f>INDEX(Lists!I:I,MATCH(Validation!E5440,Lists!G:G,0))</f>
        <v>Error</v>
      </c>
      <c r="G5440" t="str">
        <f>INDEX(Lists!H:H,MATCH(Validation!E5440,Lists!G:G,0))</f>
        <v>Enter an amount only. Do not enter text or spaces.</v>
      </c>
      <c r="H5440" s="16" t="str">
        <f t="shared" ca="1" si="588"/>
        <v/>
      </c>
      <c r="I5440" s="16" t="str">
        <f t="shared" ca="1" si="589"/>
        <v/>
      </c>
      <c r="J5440" s="17" t="str">
        <f t="shared" ca="1" si="590"/>
        <v/>
      </c>
    </row>
    <row r="5441" spans="1:10" x14ac:dyDescent="0.25">
      <c r="A5441" t="s">
        <v>939</v>
      </c>
      <c r="B5441" t="str">
        <f>ADDRESS(ROW('Loan 1'!$C$22),COLUMN('Loan 1'!$C$22),4)</f>
        <v>C22</v>
      </c>
      <c r="C5441" t="str">
        <f>ADDRESS(ROW('Loan 1'!$D$22),COLUMN('Loan 1'!$D$22),4)</f>
        <v>D22</v>
      </c>
      <c r="D5441" t="b" cm="1">
        <f t="array" aca="1" ref="D5441" ca="1">IF(INDIRECT("'"&amp;A5441&amp;"'!"&amp;B5441)="",FALSE,IF(NOT(ISNUMBER(INDIRECT("'"&amp;A5441&amp;"'!"&amp;B5441))),TRUE,FALSE))</f>
        <v>0</v>
      </c>
      <c r="E5441" t="s">
        <v>435</v>
      </c>
      <c r="F5441" t="str">
        <f>INDEX(Lists!I:I,MATCH(Validation!E5441,Lists!G:G,0))</f>
        <v>Error</v>
      </c>
      <c r="G5441" t="str">
        <f>INDEX(Lists!H:H,MATCH(Validation!E5441,Lists!G:G,0))</f>
        <v>Enter an amount only. Do not enter text or spaces.</v>
      </c>
      <c r="H5441" s="16" t="str">
        <f t="shared" ca="1" si="588"/>
        <v/>
      </c>
      <c r="I5441" s="16" t="str">
        <f t="shared" ca="1" si="589"/>
        <v/>
      </c>
      <c r="J5441" s="17" t="str">
        <f t="shared" ca="1" si="590"/>
        <v/>
      </c>
    </row>
    <row r="5442" spans="1:10" x14ac:dyDescent="0.25">
      <c r="A5442" t="s">
        <v>940</v>
      </c>
      <c r="B5442" t="str">
        <f>ADDRESS(ROW('Loan 1'!$C$22),COLUMN('Loan 1'!$C$22),4)</f>
        <v>C22</v>
      </c>
      <c r="C5442" t="str">
        <f>ADDRESS(ROW('Loan 1'!$D$22),COLUMN('Loan 1'!$D$22),4)</f>
        <v>D22</v>
      </c>
      <c r="D5442" t="b" cm="1">
        <f t="array" aca="1" ref="D5442" ca="1">IF(INDIRECT("'"&amp;A5442&amp;"'!"&amp;B5442)="",FALSE,IF(NOT(ISNUMBER(INDIRECT("'"&amp;A5442&amp;"'!"&amp;B5442))),TRUE,FALSE))</f>
        <v>0</v>
      </c>
      <c r="E5442" t="s">
        <v>435</v>
      </c>
      <c r="F5442" t="str">
        <f>INDEX(Lists!I:I,MATCH(Validation!E5442,Lists!G:G,0))</f>
        <v>Error</v>
      </c>
      <c r="G5442" t="str">
        <f>INDEX(Lists!H:H,MATCH(Validation!E5442,Lists!G:G,0))</f>
        <v>Enter an amount only. Do not enter text or spaces.</v>
      </c>
      <c r="H5442" s="16" t="str">
        <f t="shared" ca="1" si="588"/>
        <v/>
      </c>
      <c r="I5442" s="16" t="str">
        <f t="shared" ca="1" si="589"/>
        <v/>
      </c>
      <c r="J5442" s="17" t="str">
        <f t="shared" ca="1" si="590"/>
        <v/>
      </c>
    </row>
    <row r="5443" spans="1:10" x14ac:dyDescent="0.25">
      <c r="A5443" t="s">
        <v>941</v>
      </c>
      <c r="B5443" t="str">
        <f>ADDRESS(ROW('Loan 1'!$C$22),COLUMN('Loan 1'!$C$22),4)</f>
        <v>C22</v>
      </c>
      <c r="C5443" t="str">
        <f>ADDRESS(ROW('Loan 1'!$D$22),COLUMN('Loan 1'!$D$22),4)</f>
        <v>D22</v>
      </c>
      <c r="D5443" t="b" cm="1">
        <f t="array" aca="1" ref="D5443" ca="1">IF(INDIRECT("'"&amp;A5443&amp;"'!"&amp;B5443)="",FALSE,IF(NOT(ISNUMBER(INDIRECT("'"&amp;A5443&amp;"'!"&amp;B5443))),TRUE,FALSE))</f>
        <v>0</v>
      </c>
      <c r="E5443" t="s">
        <v>435</v>
      </c>
      <c r="F5443" t="str">
        <f>INDEX(Lists!I:I,MATCH(Validation!E5443,Lists!G:G,0))</f>
        <v>Error</v>
      </c>
      <c r="G5443" t="str">
        <f>INDEX(Lists!H:H,MATCH(Validation!E5443,Lists!G:G,0))</f>
        <v>Enter an amount only. Do not enter text or spaces.</v>
      </c>
      <c r="H5443" s="16" t="str">
        <f t="shared" ca="1" si="588"/>
        <v/>
      </c>
      <c r="I5443" s="16" t="str">
        <f t="shared" ca="1" si="589"/>
        <v/>
      </c>
      <c r="J5443" s="17" t="str">
        <f t="shared" ca="1" si="590"/>
        <v/>
      </c>
    </row>
    <row r="5444" spans="1:10" x14ac:dyDescent="0.25">
      <c r="A5444" t="s">
        <v>942</v>
      </c>
      <c r="B5444" t="str">
        <f>ADDRESS(ROW('Loan 1'!$C$22),COLUMN('Loan 1'!$C$22),4)</f>
        <v>C22</v>
      </c>
      <c r="C5444" t="str">
        <f>ADDRESS(ROW('Loan 1'!$D$22),COLUMN('Loan 1'!$D$22),4)</f>
        <v>D22</v>
      </c>
      <c r="D5444" t="b" cm="1">
        <f t="array" aca="1" ref="D5444" ca="1">IF(INDIRECT("'"&amp;A5444&amp;"'!"&amp;B5444)="",FALSE,IF(NOT(ISNUMBER(INDIRECT("'"&amp;A5444&amp;"'!"&amp;B5444))),TRUE,FALSE))</f>
        <v>0</v>
      </c>
      <c r="E5444" t="s">
        <v>435</v>
      </c>
      <c r="F5444" t="str">
        <f>INDEX(Lists!I:I,MATCH(Validation!E5444,Lists!G:G,0))</f>
        <v>Error</v>
      </c>
      <c r="G5444" t="str">
        <f>INDEX(Lists!H:H,MATCH(Validation!E5444,Lists!G:G,0))</f>
        <v>Enter an amount only. Do not enter text or spaces.</v>
      </c>
      <c r="H5444" s="16" t="str">
        <f t="shared" ca="1" si="588"/>
        <v/>
      </c>
      <c r="I5444" s="16" t="str">
        <f t="shared" ca="1" si="589"/>
        <v/>
      </c>
      <c r="J5444" s="17" t="str">
        <f t="shared" ca="1" si="590"/>
        <v/>
      </c>
    </row>
    <row r="5445" spans="1:10" x14ac:dyDescent="0.25">
      <c r="A5445" t="s">
        <v>943</v>
      </c>
      <c r="B5445" t="str">
        <f>ADDRESS(ROW('Loan 1'!$C$22),COLUMN('Loan 1'!$C$22),4)</f>
        <v>C22</v>
      </c>
      <c r="C5445" t="str">
        <f>ADDRESS(ROW('Loan 1'!$D$22),COLUMN('Loan 1'!$D$22),4)</f>
        <v>D22</v>
      </c>
      <c r="D5445" t="b" cm="1">
        <f t="array" aca="1" ref="D5445" ca="1">IF(INDIRECT("'"&amp;A5445&amp;"'!"&amp;B5445)="",FALSE,IF(NOT(ISNUMBER(INDIRECT("'"&amp;A5445&amp;"'!"&amp;B5445))),TRUE,FALSE))</f>
        <v>0</v>
      </c>
      <c r="E5445" t="s">
        <v>435</v>
      </c>
      <c r="F5445" t="str">
        <f>INDEX(Lists!I:I,MATCH(Validation!E5445,Lists!G:G,0))</f>
        <v>Error</v>
      </c>
      <c r="G5445" t="str">
        <f>INDEX(Lists!H:H,MATCH(Validation!E5445,Lists!G:G,0))</f>
        <v>Enter an amount only. Do not enter text or spaces.</v>
      </c>
      <c r="H5445" s="16" t="str">
        <f t="shared" ca="1" si="588"/>
        <v/>
      </c>
      <c r="I5445" s="16" t="str">
        <f t="shared" ca="1" si="589"/>
        <v/>
      </c>
      <c r="J5445" s="17" t="str">
        <f t="shared" ca="1" si="590"/>
        <v/>
      </c>
    </row>
    <row r="5446" spans="1:10" x14ac:dyDescent="0.25">
      <c r="A5446" t="s">
        <v>944</v>
      </c>
      <c r="B5446" t="str">
        <f>ADDRESS(ROW('Loan 1'!$C$22),COLUMN('Loan 1'!$C$22),4)</f>
        <v>C22</v>
      </c>
      <c r="C5446" t="str">
        <f>ADDRESS(ROW('Loan 1'!$D$22),COLUMN('Loan 1'!$D$22),4)</f>
        <v>D22</v>
      </c>
      <c r="D5446" t="b" cm="1">
        <f t="array" aca="1" ref="D5446" ca="1">IF(INDIRECT("'"&amp;A5446&amp;"'!"&amp;B5446)="",FALSE,IF(NOT(ISNUMBER(INDIRECT("'"&amp;A5446&amp;"'!"&amp;B5446))),TRUE,FALSE))</f>
        <v>0</v>
      </c>
      <c r="E5446" t="s">
        <v>435</v>
      </c>
      <c r="F5446" t="str">
        <f>INDEX(Lists!I:I,MATCH(Validation!E5446,Lists!G:G,0))</f>
        <v>Error</v>
      </c>
      <c r="G5446" t="str">
        <f>INDEX(Lists!H:H,MATCH(Validation!E5446,Lists!G:G,0))</f>
        <v>Enter an amount only. Do not enter text or spaces.</v>
      </c>
      <c r="H5446" s="16" t="str">
        <f t="shared" ca="1" si="588"/>
        <v/>
      </c>
      <c r="I5446" s="16" t="str">
        <f t="shared" ca="1" si="589"/>
        <v/>
      </c>
      <c r="J5446" s="17" t="str">
        <f t="shared" ca="1" si="590"/>
        <v/>
      </c>
    </row>
    <row r="5447" spans="1:10" x14ac:dyDescent="0.25">
      <c r="A5447" t="s">
        <v>945</v>
      </c>
      <c r="B5447" t="str">
        <f>ADDRESS(ROW('Loan 1'!$C$22),COLUMN('Loan 1'!$C$22),4)</f>
        <v>C22</v>
      </c>
      <c r="C5447" t="str">
        <f>ADDRESS(ROW('Loan 1'!$D$22),COLUMN('Loan 1'!$D$22),4)</f>
        <v>D22</v>
      </c>
      <c r="D5447" t="b" cm="1">
        <f t="array" aca="1" ref="D5447" ca="1">IF(INDIRECT("'"&amp;A5447&amp;"'!"&amp;B5447)="",FALSE,IF(NOT(ISNUMBER(INDIRECT("'"&amp;A5447&amp;"'!"&amp;B5447))),TRUE,FALSE))</f>
        <v>0</v>
      </c>
      <c r="E5447" t="s">
        <v>435</v>
      </c>
      <c r="F5447" t="str">
        <f>INDEX(Lists!I:I,MATCH(Validation!E5447,Lists!G:G,0))</f>
        <v>Error</v>
      </c>
      <c r="G5447" t="str">
        <f>INDEX(Lists!H:H,MATCH(Validation!E5447,Lists!G:G,0))</f>
        <v>Enter an amount only. Do not enter text or spaces.</v>
      </c>
      <c r="H5447" s="16" t="str">
        <f t="shared" ca="1" si="588"/>
        <v/>
      </c>
      <c r="I5447" s="16" t="str">
        <f t="shared" ca="1" si="589"/>
        <v/>
      </c>
      <c r="J5447" s="17" t="str">
        <f t="shared" ca="1" si="590"/>
        <v/>
      </c>
    </row>
    <row r="5448" spans="1:10" x14ac:dyDescent="0.25">
      <c r="A5448" t="s">
        <v>205</v>
      </c>
      <c r="B5448" t="str">
        <f>ADDRESS(ROW('Loan 1'!$C$22),COLUMN('Loan 1'!$C$22),4)</f>
        <v>C22</v>
      </c>
      <c r="C5448" t="str">
        <f>ADDRESS(ROW('Loan 1'!$D$22),COLUMN('Loan 1'!$D$22),4)</f>
        <v>D22</v>
      </c>
      <c r="D5448" t="b" cm="1">
        <f t="array" aca="1" ref="D5448" ca="1">IF(INDIRECT("'"&amp;A5448&amp;"'!"&amp;B5448)="",FALSE,IF(INDIRECT("'"&amp;A5448&amp;"'!"&amp;B5448)&lt;0,TRUE,FALSE))</f>
        <v>0</v>
      </c>
      <c r="E5448" t="s">
        <v>434</v>
      </c>
      <c r="F5448" t="str">
        <f>INDEX(Lists!I:I,MATCH(Validation!E5448,Lists!G:G,0))</f>
        <v>Error</v>
      </c>
      <c r="G5448" t="str">
        <f>INDEX(Lists!H:H,MATCH(Validation!E5448,Lists!G:G,0))</f>
        <v>Amount may not be negative. Enter an amount greater than or equal to zero.</v>
      </c>
      <c r="H5448" s="16" t="str">
        <f ca="1">IFERROR(IF(OR(NOT(D5448),F5448&lt;&gt;"Error"),"",A5448&amp;CELL("address",INDIRECT(B5448))),"")</f>
        <v/>
      </c>
      <c r="I5448" s="16" t="str">
        <f ca="1">IFERROR(IF(NOT(D5448),"",A5448&amp;CELL("address",INDIRECT(C5448))),"")</f>
        <v/>
      </c>
      <c r="J5448" s="17" t="str">
        <f ca="1">IFERROR(IF(NOT(D5448),"",A5448),"")</f>
        <v/>
      </c>
    </row>
    <row r="5449" spans="1:10" x14ac:dyDescent="0.25">
      <c r="A5449" t="s">
        <v>932</v>
      </c>
      <c r="B5449" t="str">
        <f>ADDRESS(ROW('Loan 1'!$C$22),COLUMN('Loan 1'!$C$22),4)</f>
        <v>C22</v>
      </c>
      <c r="C5449" t="str">
        <f>ADDRESS(ROW('Loan 1'!$D$22),COLUMN('Loan 1'!$D$22),4)</f>
        <v>D22</v>
      </c>
      <c r="D5449" t="b" cm="1">
        <f t="array" aca="1" ref="D5449" ca="1">IF(INDIRECT("'"&amp;A5449&amp;"'!"&amp;B5449)="",FALSE,IF(INDIRECT("'"&amp;A5449&amp;"'!"&amp;B5449)&lt;0,TRUE,FALSE))</f>
        <v>0</v>
      </c>
      <c r="E5449" t="s">
        <v>434</v>
      </c>
      <c r="F5449" t="str">
        <f>INDEX(Lists!I:I,MATCH(Validation!E5449,Lists!G:G,0))</f>
        <v>Error</v>
      </c>
      <c r="G5449" t="str">
        <f>INDEX(Lists!H:H,MATCH(Validation!E5449,Lists!G:G,0))</f>
        <v>Amount may not be negative. Enter an amount greater than or equal to zero.</v>
      </c>
      <c r="H5449" s="16" t="str">
        <f t="shared" ref="H5449:H5477" ca="1" si="591">IFERROR(IF(OR(NOT(D5449),F5449&lt;&gt;"Error"),"",A5449&amp;CELL("address",INDIRECT(B5449))),"")</f>
        <v/>
      </c>
      <c r="I5449" s="16" t="str">
        <f t="shared" ref="I5449:I5477" ca="1" si="592">IFERROR(IF(NOT(D5449),"",A5449&amp;CELL("address",INDIRECT(C5449))),"")</f>
        <v/>
      </c>
      <c r="J5449" s="17" t="str">
        <f t="shared" ref="J5449:J5477" ca="1" si="593">IFERROR(IF(NOT(D5449),"",A5449),"")</f>
        <v/>
      </c>
    </row>
    <row r="5450" spans="1:10" x14ac:dyDescent="0.25">
      <c r="A5450" t="s">
        <v>933</v>
      </c>
      <c r="B5450" t="str">
        <f>ADDRESS(ROW('Loan 1'!$C$22),COLUMN('Loan 1'!$C$22),4)</f>
        <v>C22</v>
      </c>
      <c r="C5450" t="str">
        <f>ADDRESS(ROW('Loan 1'!$D$22),COLUMN('Loan 1'!$D$22),4)</f>
        <v>D22</v>
      </c>
      <c r="D5450" t="b" cm="1">
        <f t="array" aca="1" ref="D5450" ca="1">IF(INDIRECT("'"&amp;A5450&amp;"'!"&amp;B5450)="",FALSE,IF(INDIRECT("'"&amp;A5450&amp;"'!"&amp;B5450)&lt;0,TRUE,FALSE))</f>
        <v>0</v>
      </c>
      <c r="E5450" t="s">
        <v>434</v>
      </c>
      <c r="F5450" t="str">
        <f>INDEX(Lists!I:I,MATCH(Validation!E5450,Lists!G:G,0))</f>
        <v>Error</v>
      </c>
      <c r="G5450" t="str">
        <f>INDEX(Lists!H:H,MATCH(Validation!E5450,Lists!G:G,0))</f>
        <v>Amount may not be negative. Enter an amount greater than or equal to zero.</v>
      </c>
      <c r="H5450" s="16" t="str">
        <f t="shared" ca="1" si="591"/>
        <v/>
      </c>
      <c r="I5450" s="16" t="str">
        <f t="shared" ca="1" si="592"/>
        <v/>
      </c>
      <c r="J5450" s="17" t="str">
        <f t="shared" ca="1" si="593"/>
        <v/>
      </c>
    </row>
    <row r="5451" spans="1:10" x14ac:dyDescent="0.25">
      <c r="A5451" t="s">
        <v>934</v>
      </c>
      <c r="B5451" t="str">
        <f>ADDRESS(ROW('Loan 1'!$C$22),COLUMN('Loan 1'!$C$22),4)</f>
        <v>C22</v>
      </c>
      <c r="C5451" t="str">
        <f>ADDRESS(ROW('Loan 1'!$D$22),COLUMN('Loan 1'!$D$22),4)</f>
        <v>D22</v>
      </c>
      <c r="D5451" t="b" cm="1">
        <f t="array" aca="1" ref="D5451" ca="1">IF(INDIRECT("'"&amp;A5451&amp;"'!"&amp;B5451)="",FALSE,IF(INDIRECT("'"&amp;A5451&amp;"'!"&amp;B5451)&lt;0,TRUE,FALSE))</f>
        <v>0</v>
      </c>
      <c r="E5451" t="s">
        <v>434</v>
      </c>
      <c r="F5451" t="str">
        <f>INDEX(Lists!I:I,MATCH(Validation!E5451,Lists!G:G,0))</f>
        <v>Error</v>
      </c>
      <c r="G5451" t="str">
        <f>INDEX(Lists!H:H,MATCH(Validation!E5451,Lists!G:G,0))</f>
        <v>Amount may not be negative. Enter an amount greater than or equal to zero.</v>
      </c>
      <c r="H5451" s="16" t="str">
        <f t="shared" ca="1" si="591"/>
        <v/>
      </c>
      <c r="I5451" s="16" t="str">
        <f t="shared" ca="1" si="592"/>
        <v/>
      </c>
      <c r="J5451" s="17" t="str">
        <f t="shared" ca="1" si="593"/>
        <v/>
      </c>
    </row>
    <row r="5452" spans="1:10" x14ac:dyDescent="0.25">
      <c r="A5452" t="s">
        <v>935</v>
      </c>
      <c r="B5452" t="str">
        <f>ADDRESS(ROW('Loan 1'!$C$22),COLUMN('Loan 1'!$C$22),4)</f>
        <v>C22</v>
      </c>
      <c r="C5452" t="str">
        <f>ADDRESS(ROW('Loan 1'!$D$22),COLUMN('Loan 1'!$D$22),4)</f>
        <v>D22</v>
      </c>
      <c r="D5452" t="b" cm="1">
        <f t="array" aca="1" ref="D5452" ca="1">IF(INDIRECT("'"&amp;A5452&amp;"'!"&amp;B5452)="",FALSE,IF(INDIRECT("'"&amp;A5452&amp;"'!"&amp;B5452)&lt;0,TRUE,FALSE))</f>
        <v>0</v>
      </c>
      <c r="E5452" t="s">
        <v>434</v>
      </c>
      <c r="F5452" t="str">
        <f>INDEX(Lists!I:I,MATCH(Validation!E5452,Lists!G:G,0))</f>
        <v>Error</v>
      </c>
      <c r="G5452" t="str">
        <f>INDEX(Lists!H:H,MATCH(Validation!E5452,Lists!G:G,0))</f>
        <v>Amount may not be negative. Enter an amount greater than or equal to zero.</v>
      </c>
      <c r="H5452" s="16" t="str">
        <f t="shared" ca="1" si="591"/>
        <v/>
      </c>
      <c r="I5452" s="16" t="str">
        <f t="shared" ca="1" si="592"/>
        <v/>
      </c>
      <c r="J5452" s="17" t="str">
        <f t="shared" ca="1" si="593"/>
        <v/>
      </c>
    </row>
    <row r="5453" spans="1:10" x14ac:dyDescent="0.25">
      <c r="A5453" t="s">
        <v>936</v>
      </c>
      <c r="B5453" t="str">
        <f>ADDRESS(ROW('Loan 1'!$C$22),COLUMN('Loan 1'!$C$22),4)</f>
        <v>C22</v>
      </c>
      <c r="C5453" t="str">
        <f>ADDRESS(ROW('Loan 1'!$D$22),COLUMN('Loan 1'!$D$22),4)</f>
        <v>D22</v>
      </c>
      <c r="D5453" t="b" cm="1">
        <f t="array" aca="1" ref="D5453" ca="1">IF(INDIRECT("'"&amp;A5453&amp;"'!"&amp;B5453)="",FALSE,IF(INDIRECT("'"&amp;A5453&amp;"'!"&amp;B5453)&lt;0,TRUE,FALSE))</f>
        <v>0</v>
      </c>
      <c r="E5453" t="s">
        <v>434</v>
      </c>
      <c r="F5453" t="str">
        <f>INDEX(Lists!I:I,MATCH(Validation!E5453,Lists!G:G,0))</f>
        <v>Error</v>
      </c>
      <c r="G5453" t="str">
        <f>INDEX(Lists!H:H,MATCH(Validation!E5453,Lists!G:G,0))</f>
        <v>Amount may not be negative. Enter an amount greater than or equal to zero.</v>
      </c>
      <c r="H5453" s="16" t="str">
        <f t="shared" ca="1" si="591"/>
        <v/>
      </c>
      <c r="I5453" s="16" t="str">
        <f t="shared" ca="1" si="592"/>
        <v/>
      </c>
      <c r="J5453" s="17" t="str">
        <f t="shared" ca="1" si="593"/>
        <v/>
      </c>
    </row>
    <row r="5454" spans="1:10" x14ac:dyDescent="0.25">
      <c r="A5454" t="s">
        <v>937</v>
      </c>
      <c r="B5454" t="str">
        <f>ADDRESS(ROW('Loan 1'!$C$22),COLUMN('Loan 1'!$C$22),4)</f>
        <v>C22</v>
      </c>
      <c r="C5454" t="str">
        <f>ADDRESS(ROW('Loan 1'!$D$22),COLUMN('Loan 1'!$D$22),4)</f>
        <v>D22</v>
      </c>
      <c r="D5454" t="b" cm="1">
        <f t="array" aca="1" ref="D5454" ca="1">IF(INDIRECT("'"&amp;A5454&amp;"'!"&amp;B5454)="",FALSE,IF(INDIRECT("'"&amp;A5454&amp;"'!"&amp;B5454)&lt;0,TRUE,FALSE))</f>
        <v>0</v>
      </c>
      <c r="E5454" t="s">
        <v>434</v>
      </c>
      <c r="F5454" t="str">
        <f>INDEX(Lists!I:I,MATCH(Validation!E5454,Lists!G:G,0))</f>
        <v>Error</v>
      </c>
      <c r="G5454" t="str">
        <f>INDEX(Lists!H:H,MATCH(Validation!E5454,Lists!G:G,0))</f>
        <v>Amount may not be negative. Enter an amount greater than or equal to zero.</v>
      </c>
      <c r="H5454" s="16" t="str">
        <f t="shared" ca="1" si="591"/>
        <v/>
      </c>
      <c r="I5454" s="16" t="str">
        <f t="shared" ca="1" si="592"/>
        <v/>
      </c>
      <c r="J5454" s="17" t="str">
        <f t="shared" ca="1" si="593"/>
        <v/>
      </c>
    </row>
    <row r="5455" spans="1:10" x14ac:dyDescent="0.25">
      <c r="A5455" t="s">
        <v>938</v>
      </c>
      <c r="B5455" t="str">
        <f>ADDRESS(ROW('Loan 1'!$C$22),COLUMN('Loan 1'!$C$22),4)</f>
        <v>C22</v>
      </c>
      <c r="C5455" t="str">
        <f>ADDRESS(ROW('Loan 1'!$D$22),COLUMN('Loan 1'!$D$22),4)</f>
        <v>D22</v>
      </c>
      <c r="D5455" t="b" cm="1">
        <f t="array" aca="1" ref="D5455" ca="1">IF(INDIRECT("'"&amp;A5455&amp;"'!"&amp;B5455)="",FALSE,IF(INDIRECT("'"&amp;A5455&amp;"'!"&amp;B5455)&lt;0,TRUE,FALSE))</f>
        <v>0</v>
      </c>
      <c r="E5455" t="s">
        <v>434</v>
      </c>
      <c r="F5455" t="str">
        <f>INDEX(Lists!I:I,MATCH(Validation!E5455,Lists!G:G,0))</f>
        <v>Error</v>
      </c>
      <c r="G5455" t="str">
        <f>INDEX(Lists!H:H,MATCH(Validation!E5455,Lists!G:G,0))</f>
        <v>Amount may not be negative. Enter an amount greater than or equal to zero.</v>
      </c>
      <c r="H5455" s="16" t="str">
        <f t="shared" ca="1" si="591"/>
        <v/>
      </c>
      <c r="I5455" s="16" t="str">
        <f t="shared" ca="1" si="592"/>
        <v/>
      </c>
      <c r="J5455" s="17" t="str">
        <f t="shared" ca="1" si="593"/>
        <v/>
      </c>
    </row>
    <row r="5456" spans="1:10" x14ac:dyDescent="0.25">
      <c r="A5456" t="s">
        <v>939</v>
      </c>
      <c r="B5456" t="str">
        <f>ADDRESS(ROW('Loan 1'!$C$22),COLUMN('Loan 1'!$C$22),4)</f>
        <v>C22</v>
      </c>
      <c r="C5456" t="str">
        <f>ADDRESS(ROW('Loan 1'!$D$22),COLUMN('Loan 1'!$D$22),4)</f>
        <v>D22</v>
      </c>
      <c r="D5456" t="b" cm="1">
        <f t="array" aca="1" ref="D5456" ca="1">IF(INDIRECT("'"&amp;A5456&amp;"'!"&amp;B5456)="",FALSE,IF(INDIRECT("'"&amp;A5456&amp;"'!"&amp;B5456)&lt;0,TRUE,FALSE))</f>
        <v>0</v>
      </c>
      <c r="E5456" t="s">
        <v>434</v>
      </c>
      <c r="F5456" t="str">
        <f>INDEX(Lists!I:I,MATCH(Validation!E5456,Lists!G:G,0))</f>
        <v>Error</v>
      </c>
      <c r="G5456" t="str">
        <f>INDEX(Lists!H:H,MATCH(Validation!E5456,Lists!G:G,0))</f>
        <v>Amount may not be negative. Enter an amount greater than or equal to zero.</v>
      </c>
      <c r="H5456" s="16" t="str">
        <f t="shared" ca="1" si="591"/>
        <v/>
      </c>
      <c r="I5456" s="16" t="str">
        <f t="shared" ca="1" si="592"/>
        <v/>
      </c>
      <c r="J5456" s="17" t="str">
        <f t="shared" ca="1" si="593"/>
        <v/>
      </c>
    </row>
    <row r="5457" spans="1:10" x14ac:dyDescent="0.25">
      <c r="A5457" t="s">
        <v>940</v>
      </c>
      <c r="B5457" t="str">
        <f>ADDRESS(ROW('Loan 1'!$C$22),COLUMN('Loan 1'!$C$22),4)</f>
        <v>C22</v>
      </c>
      <c r="C5457" t="str">
        <f>ADDRESS(ROW('Loan 1'!$D$22),COLUMN('Loan 1'!$D$22),4)</f>
        <v>D22</v>
      </c>
      <c r="D5457" t="b" cm="1">
        <f t="array" aca="1" ref="D5457" ca="1">IF(INDIRECT("'"&amp;A5457&amp;"'!"&amp;B5457)="",FALSE,IF(INDIRECT("'"&amp;A5457&amp;"'!"&amp;B5457)&lt;0,TRUE,FALSE))</f>
        <v>0</v>
      </c>
      <c r="E5457" t="s">
        <v>434</v>
      </c>
      <c r="F5457" t="str">
        <f>INDEX(Lists!I:I,MATCH(Validation!E5457,Lists!G:G,0))</f>
        <v>Error</v>
      </c>
      <c r="G5457" t="str">
        <f>INDEX(Lists!H:H,MATCH(Validation!E5457,Lists!G:G,0))</f>
        <v>Amount may not be negative. Enter an amount greater than or equal to zero.</v>
      </c>
      <c r="H5457" s="16" t="str">
        <f t="shared" ca="1" si="591"/>
        <v/>
      </c>
      <c r="I5457" s="16" t="str">
        <f t="shared" ca="1" si="592"/>
        <v/>
      </c>
      <c r="J5457" s="17" t="str">
        <f t="shared" ca="1" si="593"/>
        <v/>
      </c>
    </row>
    <row r="5458" spans="1:10" x14ac:dyDescent="0.25">
      <c r="A5458" t="s">
        <v>941</v>
      </c>
      <c r="B5458" t="str">
        <f>ADDRESS(ROW('Loan 1'!$C$22),COLUMN('Loan 1'!$C$22),4)</f>
        <v>C22</v>
      </c>
      <c r="C5458" t="str">
        <f>ADDRESS(ROW('Loan 1'!$D$22),COLUMN('Loan 1'!$D$22),4)</f>
        <v>D22</v>
      </c>
      <c r="D5458" t="b" cm="1">
        <f t="array" aca="1" ref="D5458" ca="1">IF(INDIRECT("'"&amp;A5458&amp;"'!"&amp;B5458)="",FALSE,IF(INDIRECT("'"&amp;A5458&amp;"'!"&amp;B5458)&lt;0,TRUE,FALSE))</f>
        <v>0</v>
      </c>
      <c r="E5458" t="s">
        <v>434</v>
      </c>
      <c r="F5458" t="str">
        <f>INDEX(Lists!I:I,MATCH(Validation!E5458,Lists!G:G,0))</f>
        <v>Error</v>
      </c>
      <c r="G5458" t="str">
        <f>INDEX(Lists!H:H,MATCH(Validation!E5458,Lists!G:G,0))</f>
        <v>Amount may not be negative. Enter an amount greater than or equal to zero.</v>
      </c>
      <c r="H5458" s="16" t="str">
        <f t="shared" ca="1" si="591"/>
        <v/>
      </c>
      <c r="I5458" s="16" t="str">
        <f t="shared" ca="1" si="592"/>
        <v/>
      </c>
      <c r="J5458" s="17" t="str">
        <f t="shared" ca="1" si="593"/>
        <v/>
      </c>
    </row>
    <row r="5459" spans="1:10" x14ac:dyDescent="0.25">
      <c r="A5459" t="s">
        <v>942</v>
      </c>
      <c r="B5459" t="str">
        <f>ADDRESS(ROW('Loan 1'!$C$22),COLUMN('Loan 1'!$C$22),4)</f>
        <v>C22</v>
      </c>
      <c r="C5459" t="str">
        <f>ADDRESS(ROW('Loan 1'!$D$22),COLUMN('Loan 1'!$D$22),4)</f>
        <v>D22</v>
      </c>
      <c r="D5459" t="b" cm="1">
        <f t="array" aca="1" ref="D5459" ca="1">IF(INDIRECT("'"&amp;A5459&amp;"'!"&amp;B5459)="",FALSE,IF(INDIRECT("'"&amp;A5459&amp;"'!"&amp;B5459)&lt;0,TRUE,FALSE))</f>
        <v>0</v>
      </c>
      <c r="E5459" t="s">
        <v>434</v>
      </c>
      <c r="F5459" t="str">
        <f>INDEX(Lists!I:I,MATCH(Validation!E5459,Lists!G:G,0))</f>
        <v>Error</v>
      </c>
      <c r="G5459" t="str">
        <f>INDEX(Lists!H:H,MATCH(Validation!E5459,Lists!G:G,0))</f>
        <v>Amount may not be negative. Enter an amount greater than or equal to zero.</v>
      </c>
      <c r="H5459" s="16" t="str">
        <f t="shared" ca="1" si="591"/>
        <v/>
      </c>
      <c r="I5459" s="16" t="str">
        <f t="shared" ca="1" si="592"/>
        <v/>
      </c>
      <c r="J5459" s="17" t="str">
        <f t="shared" ca="1" si="593"/>
        <v/>
      </c>
    </row>
    <row r="5460" spans="1:10" x14ac:dyDescent="0.25">
      <c r="A5460" t="s">
        <v>943</v>
      </c>
      <c r="B5460" t="str">
        <f>ADDRESS(ROW('Loan 1'!$C$22),COLUMN('Loan 1'!$C$22),4)</f>
        <v>C22</v>
      </c>
      <c r="C5460" t="str">
        <f>ADDRESS(ROW('Loan 1'!$D$22),COLUMN('Loan 1'!$D$22),4)</f>
        <v>D22</v>
      </c>
      <c r="D5460" t="b" cm="1">
        <f t="array" aca="1" ref="D5460" ca="1">IF(INDIRECT("'"&amp;A5460&amp;"'!"&amp;B5460)="",FALSE,IF(INDIRECT("'"&amp;A5460&amp;"'!"&amp;B5460)&lt;0,TRUE,FALSE))</f>
        <v>0</v>
      </c>
      <c r="E5460" t="s">
        <v>434</v>
      </c>
      <c r="F5460" t="str">
        <f>INDEX(Lists!I:I,MATCH(Validation!E5460,Lists!G:G,0))</f>
        <v>Error</v>
      </c>
      <c r="G5460" t="str">
        <f>INDEX(Lists!H:H,MATCH(Validation!E5460,Lists!G:G,0))</f>
        <v>Amount may not be negative. Enter an amount greater than or equal to zero.</v>
      </c>
      <c r="H5460" s="16" t="str">
        <f t="shared" ca="1" si="591"/>
        <v/>
      </c>
      <c r="I5460" s="16" t="str">
        <f t="shared" ca="1" si="592"/>
        <v/>
      </c>
      <c r="J5460" s="17" t="str">
        <f t="shared" ca="1" si="593"/>
        <v/>
      </c>
    </row>
    <row r="5461" spans="1:10" x14ac:dyDescent="0.25">
      <c r="A5461" t="s">
        <v>944</v>
      </c>
      <c r="B5461" t="str">
        <f>ADDRESS(ROW('Loan 1'!$C$22),COLUMN('Loan 1'!$C$22),4)</f>
        <v>C22</v>
      </c>
      <c r="C5461" t="str">
        <f>ADDRESS(ROW('Loan 1'!$D$22),COLUMN('Loan 1'!$D$22),4)</f>
        <v>D22</v>
      </c>
      <c r="D5461" t="b" cm="1">
        <f t="array" aca="1" ref="D5461" ca="1">IF(INDIRECT("'"&amp;A5461&amp;"'!"&amp;B5461)="",FALSE,IF(INDIRECT("'"&amp;A5461&amp;"'!"&amp;B5461)&lt;0,TRUE,FALSE))</f>
        <v>0</v>
      </c>
      <c r="E5461" t="s">
        <v>434</v>
      </c>
      <c r="F5461" t="str">
        <f>INDEX(Lists!I:I,MATCH(Validation!E5461,Lists!G:G,0))</f>
        <v>Error</v>
      </c>
      <c r="G5461" t="str">
        <f>INDEX(Lists!H:H,MATCH(Validation!E5461,Lists!G:G,0))</f>
        <v>Amount may not be negative. Enter an amount greater than or equal to zero.</v>
      </c>
      <c r="H5461" s="16" t="str">
        <f t="shared" ca="1" si="591"/>
        <v/>
      </c>
      <c r="I5461" s="16" t="str">
        <f t="shared" ca="1" si="592"/>
        <v/>
      </c>
      <c r="J5461" s="17" t="str">
        <f t="shared" ca="1" si="593"/>
        <v/>
      </c>
    </row>
    <row r="5462" spans="1:10" x14ac:dyDescent="0.25">
      <c r="A5462" t="s">
        <v>945</v>
      </c>
      <c r="B5462" t="str">
        <f>ADDRESS(ROW('Loan 1'!$C$22),COLUMN('Loan 1'!$C$22),4)</f>
        <v>C22</v>
      </c>
      <c r="C5462" t="str">
        <f>ADDRESS(ROW('Loan 1'!$D$22),COLUMN('Loan 1'!$D$22),4)</f>
        <v>D22</v>
      </c>
      <c r="D5462" t="b" cm="1">
        <f t="array" aca="1" ref="D5462" ca="1">IF(INDIRECT("'"&amp;A5462&amp;"'!"&amp;B5462)="",FALSE,IF(INDIRECT("'"&amp;A5462&amp;"'!"&amp;B5462)&lt;0,TRUE,FALSE))</f>
        <v>0</v>
      </c>
      <c r="E5462" t="s">
        <v>434</v>
      </c>
      <c r="F5462" t="str">
        <f>INDEX(Lists!I:I,MATCH(Validation!E5462,Lists!G:G,0))</f>
        <v>Error</v>
      </c>
      <c r="G5462" t="str">
        <f>INDEX(Lists!H:H,MATCH(Validation!E5462,Lists!G:G,0))</f>
        <v>Amount may not be negative. Enter an amount greater than or equal to zero.</v>
      </c>
      <c r="H5462" s="16" t="str">
        <f t="shared" ca="1" si="591"/>
        <v/>
      </c>
      <c r="I5462" s="16" t="str">
        <f t="shared" ca="1" si="592"/>
        <v/>
      </c>
      <c r="J5462" s="17" t="str">
        <f t="shared" ca="1" si="593"/>
        <v/>
      </c>
    </row>
    <row r="5463" spans="1:10" x14ac:dyDescent="0.25">
      <c r="A5463" t="s">
        <v>205</v>
      </c>
      <c r="B5463" t="str">
        <f>ADDRESS(ROW('Loan 1'!$C$22),COLUMN('Loan 1'!$C$22),4)</f>
        <v>C22</v>
      </c>
      <c r="C5463" t="str">
        <f>ADDRESS(ROW('Loan 1'!$D$22),COLUMN('Loan 1'!$D$22),4)</f>
        <v>D22</v>
      </c>
      <c r="D5463" t="b" cm="1">
        <f t="array" aca="1" ref="D5463" ca="1">IF(INDIRECT("'"&amp;A5463&amp;"'!"&amp;B5463)="",FALSE,IF(TRUNC(INDIRECT("'"&amp;A5463&amp;"'!"&amp;B5463))=INDIRECT("'"&amp;A5463&amp;"'!"&amp;B5463),FALSE,TRUE))</f>
        <v>0</v>
      </c>
      <c r="E5463" t="s">
        <v>436</v>
      </c>
      <c r="F5463" t="str">
        <f>INDEX(Lists!I:I,MATCH(Validation!E5463,Lists!G:G,0))</f>
        <v>Error</v>
      </c>
      <c r="G5463" t="str">
        <f>INDEX(Lists!H:H,MATCH(Validation!E5463,Lists!G:G,0))</f>
        <v>Amount must be rounded to the nearest dollar.</v>
      </c>
      <c r="H5463" s="16" t="str">
        <f t="shared" ca="1" si="591"/>
        <v/>
      </c>
      <c r="I5463" s="16" t="str">
        <f t="shared" ca="1" si="592"/>
        <v/>
      </c>
      <c r="J5463" s="17" t="str">
        <f t="shared" ca="1" si="593"/>
        <v/>
      </c>
    </row>
    <row r="5464" spans="1:10" x14ac:dyDescent="0.25">
      <c r="A5464" t="s">
        <v>932</v>
      </c>
      <c r="B5464" t="str">
        <f>ADDRESS(ROW('Loan 1'!$C$22),COLUMN('Loan 1'!$C$22),4)</f>
        <v>C22</v>
      </c>
      <c r="C5464" t="str">
        <f>ADDRESS(ROW('Loan 1'!$D$22),COLUMN('Loan 1'!$D$22),4)</f>
        <v>D22</v>
      </c>
      <c r="D5464" t="b" cm="1">
        <f t="array" aca="1" ref="D5464" ca="1">IF(INDIRECT("'"&amp;A5464&amp;"'!"&amp;B5464)="",FALSE,IF(TRUNC(INDIRECT("'"&amp;A5464&amp;"'!"&amp;B5464))=INDIRECT("'"&amp;A5464&amp;"'!"&amp;B5464),FALSE,TRUE))</f>
        <v>0</v>
      </c>
      <c r="E5464" t="s">
        <v>436</v>
      </c>
      <c r="F5464" t="str">
        <f>INDEX(Lists!I:I,MATCH(Validation!E5464,Lists!G:G,0))</f>
        <v>Error</v>
      </c>
      <c r="G5464" t="str">
        <f>INDEX(Lists!H:H,MATCH(Validation!E5464,Lists!G:G,0))</f>
        <v>Amount must be rounded to the nearest dollar.</v>
      </c>
      <c r="H5464" s="16" t="str">
        <f t="shared" ca="1" si="591"/>
        <v/>
      </c>
      <c r="I5464" s="16" t="str">
        <f t="shared" ca="1" si="592"/>
        <v/>
      </c>
      <c r="J5464" s="17" t="str">
        <f t="shared" ca="1" si="593"/>
        <v/>
      </c>
    </row>
    <row r="5465" spans="1:10" x14ac:dyDescent="0.25">
      <c r="A5465" t="s">
        <v>933</v>
      </c>
      <c r="B5465" t="str">
        <f>ADDRESS(ROW('Loan 1'!$C$22),COLUMN('Loan 1'!$C$22),4)</f>
        <v>C22</v>
      </c>
      <c r="C5465" t="str">
        <f>ADDRESS(ROW('Loan 1'!$D$22),COLUMN('Loan 1'!$D$22),4)</f>
        <v>D22</v>
      </c>
      <c r="D5465" t="b" cm="1">
        <f t="array" aca="1" ref="D5465" ca="1">IF(INDIRECT("'"&amp;A5465&amp;"'!"&amp;B5465)="",FALSE,IF(TRUNC(INDIRECT("'"&amp;A5465&amp;"'!"&amp;B5465))=INDIRECT("'"&amp;A5465&amp;"'!"&amp;B5465),FALSE,TRUE))</f>
        <v>0</v>
      </c>
      <c r="E5465" t="s">
        <v>436</v>
      </c>
      <c r="F5465" t="str">
        <f>INDEX(Lists!I:I,MATCH(Validation!E5465,Lists!G:G,0))</f>
        <v>Error</v>
      </c>
      <c r="G5465" t="str">
        <f>INDEX(Lists!H:H,MATCH(Validation!E5465,Lists!G:G,0))</f>
        <v>Amount must be rounded to the nearest dollar.</v>
      </c>
      <c r="H5465" s="16" t="str">
        <f t="shared" ca="1" si="591"/>
        <v/>
      </c>
      <c r="I5465" s="16" t="str">
        <f t="shared" ca="1" si="592"/>
        <v/>
      </c>
      <c r="J5465" s="17" t="str">
        <f t="shared" ca="1" si="593"/>
        <v/>
      </c>
    </row>
    <row r="5466" spans="1:10" x14ac:dyDescent="0.25">
      <c r="A5466" t="s">
        <v>934</v>
      </c>
      <c r="B5466" t="str">
        <f>ADDRESS(ROW('Loan 1'!$C$22),COLUMN('Loan 1'!$C$22),4)</f>
        <v>C22</v>
      </c>
      <c r="C5466" t="str">
        <f>ADDRESS(ROW('Loan 1'!$D$22),COLUMN('Loan 1'!$D$22),4)</f>
        <v>D22</v>
      </c>
      <c r="D5466" t="b" cm="1">
        <f t="array" aca="1" ref="D5466" ca="1">IF(INDIRECT("'"&amp;A5466&amp;"'!"&amp;B5466)="",FALSE,IF(TRUNC(INDIRECT("'"&amp;A5466&amp;"'!"&amp;B5466))=INDIRECT("'"&amp;A5466&amp;"'!"&amp;B5466),FALSE,TRUE))</f>
        <v>0</v>
      </c>
      <c r="E5466" t="s">
        <v>436</v>
      </c>
      <c r="F5466" t="str">
        <f>INDEX(Lists!I:I,MATCH(Validation!E5466,Lists!G:G,0))</f>
        <v>Error</v>
      </c>
      <c r="G5466" t="str">
        <f>INDEX(Lists!H:H,MATCH(Validation!E5466,Lists!G:G,0))</f>
        <v>Amount must be rounded to the nearest dollar.</v>
      </c>
      <c r="H5466" s="16" t="str">
        <f t="shared" ca="1" si="591"/>
        <v/>
      </c>
      <c r="I5466" s="16" t="str">
        <f t="shared" ca="1" si="592"/>
        <v/>
      </c>
      <c r="J5466" s="17" t="str">
        <f t="shared" ca="1" si="593"/>
        <v/>
      </c>
    </row>
    <row r="5467" spans="1:10" x14ac:dyDescent="0.25">
      <c r="A5467" t="s">
        <v>935</v>
      </c>
      <c r="B5467" t="str">
        <f>ADDRESS(ROW('Loan 1'!$C$22),COLUMN('Loan 1'!$C$22),4)</f>
        <v>C22</v>
      </c>
      <c r="C5467" t="str">
        <f>ADDRESS(ROW('Loan 1'!$D$22),COLUMN('Loan 1'!$D$22),4)</f>
        <v>D22</v>
      </c>
      <c r="D5467" t="b" cm="1">
        <f t="array" aca="1" ref="D5467" ca="1">IF(INDIRECT("'"&amp;A5467&amp;"'!"&amp;B5467)="",FALSE,IF(TRUNC(INDIRECT("'"&amp;A5467&amp;"'!"&amp;B5467))=INDIRECT("'"&amp;A5467&amp;"'!"&amp;B5467),FALSE,TRUE))</f>
        <v>0</v>
      </c>
      <c r="E5467" t="s">
        <v>436</v>
      </c>
      <c r="F5467" t="str">
        <f>INDEX(Lists!I:I,MATCH(Validation!E5467,Lists!G:G,0))</f>
        <v>Error</v>
      </c>
      <c r="G5467" t="str">
        <f>INDEX(Lists!H:H,MATCH(Validation!E5467,Lists!G:G,0))</f>
        <v>Amount must be rounded to the nearest dollar.</v>
      </c>
      <c r="H5467" s="16" t="str">
        <f t="shared" ca="1" si="591"/>
        <v/>
      </c>
      <c r="I5467" s="16" t="str">
        <f t="shared" ca="1" si="592"/>
        <v/>
      </c>
      <c r="J5467" s="17" t="str">
        <f t="shared" ca="1" si="593"/>
        <v/>
      </c>
    </row>
    <row r="5468" spans="1:10" x14ac:dyDescent="0.25">
      <c r="A5468" t="s">
        <v>936</v>
      </c>
      <c r="B5468" t="str">
        <f>ADDRESS(ROW('Loan 1'!$C$22),COLUMN('Loan 1'!$C$22),4)</f>
        <v>C22</v>
      </c>
      <c r="C5468" t="str">
        <f>ADDRESS(ROW('Loan 1'!$D$22),COLUMN('Loan 1'!$D$22),4)</f>
        <v>D22</v>
      </c>
      <c r="D5468" t="b" cm="1">
        <f t="array" aca="1" ref="D5468" ca="1">IF(INDIRECT("'"&amp;A5468&amp;"'!"&amp;B5468)="",FALSE,IF(TRUNC(INDIRECT("'"&amp;A5468&amp;"'!"&amp;B5468))=INDIRECT("'"&amp;A5468&amp;"'!"&amp;B5468),FALSE,TRUE))</f>
        <v>0</v>
      </c>
      <c r="E5468" t="s">
        <v>436</v>
      </c>
      <c r="F5468" t="str">
        <f>INDEX(Lists!I:I,MATCH(Validation!E5468,Lists!G:G,0))</f>
        <v>Error</v>
      </c>
      <c r="G5468" t="str">
        <f>INDEX(Lists!H:H,MATCH(Validation!E5468,Lists!G:G,0))</f>
        <v>Amount must be rounded to the nearest dollar.</v>
      </c>
      <c r="H5468" s="16" t="str">
        <f t="shared" ca="1" si="591"/>
        <v/>
      </c>
      <c r="I5468" s="16" t="str">
        <f t="shared" ca="1" si="592"/>
        <v/>
      </c>
      <c r="J5468" s="17" t="str">
        <f t="shared" ca="1" si="593"/>
        <v/>
      </c>
    </row>
    <row r="5469" spans="1:10" x14ac:dyDescent="0.25">
      <c r="A5469" t="s">
        <v>937</v>
      </c>
      <c r="B5469" t="str">
        <f>ADDRESS(ROW('Loan 1'!$C$22),COLUMN('Loan 1'!$C$22),4)</f>
        <v>C22</v>
      </c>
      <c r="C5469" t="str">
        <f>ADDRESS(ROW('Loan 1'!$D$22),COLUMN('Loan 1'!$D$22),4)</f>
        <v>D22</v>
      </c>
      <c r="D5469" t="b" cm="1">
        <f t="array" aca="1" ref="D5469" ca="1">IF(INDIRECT("'"&amp;A5469&amp;"'!"&amp;B5469)="",FALSE,IF(TRUNC(INDIRECT("'"&amp;A5469&amp;"'!"&amp;B5469))=INDIRECT("'"&amp;A5469&amp;"'!"&amp;B5469),FALSE,TRUE))</f>
        <v>0</v>
      </c>
      <c r="E5469" t="s">
        <v>436</v>
      </c>
      <c r="F5469" t="str">
        <f>INDEX(Lists!I:I,MATCH(Validation!E5469,Lists!G:G,0))</f>
        <v>Error</v>
      </c>
      <c r="G5469" t="str">
        <f>INDEX(Lists!H:H,MATCH(Validation!E5469,Lists!G:G,0))</f>
        <v>Amount must be rounded to the nearest dollar.</v>
      </c>
      <c r="H5469" s="16" t="str">
        <f t="shared" ca="1" si="591"/>
        <v/>
      </c>
      <c r="I5469" s="16" t="str">
        <f t="shared" ca="1" si="592"/>
        <v/>
      </c>
      <c r="J5469" s="17" t="str">
        <f t="shared" ca="1" si="593"/>
        <v/>
      </c>
    </row>
    <row r="5470" spans="1:10" x14ac:dyDescent="0.25">
      <c r="A5470" t="s">
        <v>938</v>
      </c>
      <c r="B5470" t="str">
        <f>ADDRESS(ROW('Loan 1'!$C$22),COLUMN('Loan 1'!$C$22),4)</f>
        <v>C22</v>
      </c>
      <c r="C5470" t="str">
        <f>ADDRESS(ROW('Loan 1'!$D$22),COLUMN('Loan 1'!$D$22),4)</f>
        <v>D22</v>
      </c>
      <c r="D5470" t="b" cm="1">
        <f t="array" aca="1" ref="D5470" ca="1">IF(INDIRECT("'"&amp;A5470&amp;"'!"&amp;B5470)="",FALSE,IF(TRUNC(INDIRECT("'"&amp;A5470&amp;"'!"&amp;B5470))=INDIRECT("'"&amp;A5470&amp;"'!"&amp;B5470),FALSE,TRUE))</f>
        <v>0</v>
      </c>
      <c r="E5470" t="s">
        <v>436</v>
      </c>
      <c r="F5470" t="str">
        <f>INDEX(Lists!I:I,MATCH(Validation!E5470,Lists!G:G,0))</f>
        <v>Error</v>
      </c>
      <c r="G5470" t="str">
        <f>INDEX(Lists!H:H,MATCH(Validation!E5470,Lists!G:G,0))</f>
        <v>Amount must be rounded to the nearest dollar.</v>
      </c>
      <c r="H5470" s="16" t="str">
        <f t="shared" ca="1" si="591"/>
        <v/>
      </c>
      <c r="I5470" s="16" t="str">
        <f t="shared" ca="1" si="592"/>
        <v/>
      </c>
      <c r="J5470" s="17" t="str">
        <f t="shared" ca="1" si="593"/>
        <v/>
      </c>
    </row>
    <row r="5471" spans="1:10" x14ac:dyDescent="0.25">
      <c r="A5471" t="s">
        <v>939</v>
      </c>
      <c r="B5471" t="str">
        <f>ADDRESS(ROW('Loan 1'!$C$22),COLUMN('Loan 1'!$C$22),4)</f>
        <v>C22</v>
      </c>
      <c r="C5471" t="str">
        <f>ADDRESS(ROW('Loan 1'!$D$22),COLUMN('Loan 1'!$D$22),4)</f>
        <v>D22</v>
      </c>
      <c r="D5471" t="b" cm="1">
        <f t="array" aca="1" ref="D5471" ca="1">IF(INDIRECT("'"&amp;A5471&amp;"'!"&amp;B5471)="",FALSE,IF(TRUNC(INDIRECT("'"&amp;A5471&amp;"'!"&amp;B5471))=INDIRECT("'"&amp;A5471&amp;"'!"&amp;B5471),FALSE,TRUE))</f>
        <v>0</v>
      </c>
      <c r="E5471" t="s">
        <v>436</v>
      </c>
      <c r="F5471" t="str">
        <f>INDEX(Lists!I:I,MATCH(Validation!E5471,Lists!G:G,0))</f>
        <v>Error</v>
      </c>
      <c r="G5471" t="str">
        <f>INDEX(Lists!H:H,MATCH(Validation!E5471,Lists!G:G,0))</f>
        <v>Amount must be rounded to the nearest dollar.</v>
      </c>
      <c r="H5471" s="16" t="str">
        <f t="shared" ca="1" si="591"/>
        <v/>
      </c>
      <c r="I5471" s="16" t="str">
        <f t="shared" ca="1" si="592"/>
        <v/>
      </c>
      <c r="J5471" s="17" t="str">
        <f t="shared" ca="1" si="593"/>
        <v/>
      </c>
    </row>
    <row r="5472" spans="1:10" x14ac:dyDescent="0.25">
      <c r="A5472" t="s">
        <v>940</v>
      </c>
      <c r="B5472" t="str">
        <f>ADDRESS(ROW('Loan 1'!$C$22),COLUMN('Loan 1'!$C$22),4)</f>
        <v>C22</v>
      </c>
      <c r="C5472" t="str">
        <f>ADDRESS(ROW('Loan 1'!$D$22),COLUMN('Loan 1'!$D$22),4)</f>
        <v>D22</v>
      </c>
      <c r="D5472" t="b" cm="1">
        <f t="array" aca="1" ref="D5472" ca="1">IF(INDIRECT("'"&amp;A5472&amp;"'!"&amp;B5472)="",FALSE,IF(TRUNC(INDIRECT("'"&amp;A5472&amp;"'!"&amp;B5472))=INDIRECT("'"&amp;A5472&amp;"'!"&amp;B5472),FALSE,TRUE))</f>
        <v>0</v>
      </c>
      <c r="E5472" t="s">
        <v>436</v>
      </c>
      <c r="F5472" t="str">
        <f>INDEX(Lists!I:I,MATCH(Validation!E5472,Lists!G:G,0))</f>
        <v>Error</v>
      </c>
      <c r="G5472" t="str">
        <f>INDEX(Lists!H:H,MATCH(Validation!E5472,Lists!G:G,0))</f>
        <v>Amount must be rounded to the nearest dollar.</v>
      </c>
      <c r="H5472" s="16" t="str">
        <f t="shared" ca="1" si="591"/>
        <v/>
      </c>
      <c r="I5472" s="16" t="str">
        <f t="shared" ca="1" si="592"/>
        <v/>
      </c>
      <c r="J5472" s="17" t="str">
        <f t="shared" ca="1" si="593"/>
        <v/>
      </c>
    </row>
    <row r="5473" spans="1:10" x14ac:dyDescent="0.25">
      <c r="A5473" t="s">
        <v>941</v>
      </c>
      <c r="B5473" t="str">
        <f>ADDRESS(ROW('Loan 1'!$C$22),COLUMN('Loan 1'!$C$22),4)</f>
        <v>C22</v>
      </c>
      <c r="C5473" t="str">
        <f>ADDRESS(ROW('Loan 1'!$D$22),COLUMN('Loan 1'!$D$22),4)</f>
        <v>D22</v>
      </c>
      <c r="D5473" t="b" cm="1">
        <f t="array" aca="1" ref="D5473" ca="1">IF(INDIRECT("'"&amp;A5473&amp;"'!"&amp;B5473)="",FALSE,IF(TRUNC(INDIRECT("'"&amp;A5473&amp;"'!"&amp;B5473))=INDIRECT("'"&amp;A5473&amp;"'!"&amp;B5473),FALSE,TRUE))</f>
        <v>0</v>
      </c>
      <c r="E5473" t="s">
        <v>436</v>
      </c>
      <c r="F5473" t="str">
        <f>INDEX(Lists!I:I,MATCH(Validation!E5473,Lists!G:G,0))</f>
        <v>Error</v>
      </c>
      <c r="G5473" t="str">
        <f>INDEX(Lists!H:H,MATCH(Validation!E5473,Lists!G:G,0))</f>
        <v>Amount must be rounded to the nearest dollar.</v>
      </c>
      <c r="H5473" s="16" t="str">
        <f t="shared" ca="1" si="591"/>
        <v/>
      </c>
      <c r="I5473" s="16" t="str">
        <f t="shared" ca="1" si="592"/>
        <v/>
      </c>
      <c r="J5473" s="17" t="str">
        <f t="shared" ca="1" si="593"/>
        <v/>
      </c>
    </row>
    <row r="5474" spans="1:10" x14ac:dyDescent="0.25">
      <c r="A5474" t="s">
        <v>942</v>
      </c>
      <c r="B5474" t="str">
        <f>ADDRESS(ROW('Loan 1'!$C$22),COLUMN('Loan 1'!$C$22),4)</f>
        <v>C22</v>
      </c>
      <c r="C5474" t="str">
        <f>ADDRESS(ROW('Loan 1'!$D$22),COLUMN('Loan 1'!$D$22),4)</f>
        <v>D22</v>
      </c>
      <c r="D5474" t="b" cm="1">
        <f t="array" aca="1" ref="D5474" ca="1">IF(INDIRECT("'"&amp;A5474&amp;"'!"&amp;B5474)="",FALSE,IF(TRUNC(INDIRECT("'"&amp;A5474&amp;"'!"&amp;B5474))=INDIRECT("'"&amp;A5474&amp;"'!"&amp;B5474),FALSE,TRUE))</f>
        <v>0</v>
      </c>
      <c r="E5474" t="s">
        <v>436</v>
      </c>
      <c r="F5474" t="str">
        <f>INDEX(Lists!I:I,MATCH(Validation!E5474,Lists!G:G,0))</f>
        <v>Error</v>
      </c>
      <c r="G5474" t="str">
        <f>INDEX(Lists!H:H,MATCH(Validation!E5474,Lists!G:G,0))</f>
        <v>Amount must be rounded to the nearest dollar.</v>
      </c>
      <c r="H5474" s="16" t="str">
        <f t="shared" ca="1" si="591"/>
        <v/>
      </c>
      <c r="I5474" s="16" t="str">
        <f t="shared" ca="1" si="592"/>
        <v/>
      </c>
      <c r="J5474" s="17" t="str">
        <f t="shared" ca="1" si="593"/>
        <v/>
      </c>
    </row>
    <row r="5475" spans="1:10" x14ac:dyDescent="0.25">
      <c r="A5475" t="s">
        <v>943</v>
      </c>
      <c r="B5475" t="str">
        <f>ADDRESS(ROW('Loan 1'!$C$22),COLUMN('Loan 1'!$C$22),4)</f>
        <v>C22</v>
      </c>
      <c r="C5475" t="str">
        <f>ADDRESS(ROW('Loan 1'!$D$22),COLUMN('Loan 1'!$D$22),4)</f>
        <v>D22</v>
      </c>
      <c r="D5475" t="b" cm="1">
        <f t="array" aca="1" ref="D5475" ca="1">IF(INDIRECT("'"&amp;A5475&amp;"'!"&amp;B5475)="",FALSE,IF(TRUNC(INDIRECT("'"&amp;A5475&amp;"'!"&amp;B5475))=INDIRECT("'"&amp;A5475&amp;"'!"&amp;B5475),FALSE,TRUE))</f>
        <v>0</v>
      </c>
      <c r="E5475" t="s">
        <v>436</v>
      </c>
      <c r="F5475" t="str">
        <f>INDEX(Lists!I:I,MATCH(Validation!E5475,Lists!G:G,0))</f>
        <v>Error</v>
      </c>
      <c r="G5475" t="str">
        <f>INDEX(Lists!H:H,MATCH(Validation!E5475,Lists!G:G,0))</f>
        <v>Amount must be rounded to the nearest dollar.</v>
      </c>
      <c r="H5475" s="16" t="str">
        <f t="shared" ca="1" si="591"/>
        <v/>
      </c>
      <c r="I5475" s="16" t="str">
        <f t="shared" ca="1" si="592"/>
        <v/>
      </c>
      <c r="J5475" s="17" t="str">
        <f t="shared" ca="1" si="593"/>
        <v/>
      </c>
    </row>
    <row r="5476" spans="1:10" x14ac:dyDescent="0.25">
      <c r="A5476" t="s">
        <v>944</v>
      </c>
      <c r="B5476" t="str">
        <f>ADDRESS(ROW('Loan 1'!$C$22),COLUMN('Loan 1'!$C$22),4)</f>
        <v>C22</v>
      </c>
      <c r="C5476" t="str">
        <f>ADDRESS(ROW('Loan 1'!$D$22),COLUMN('Loan 1'!$D$22),4)</f>
        <v>D22</v>
      </c>
      <c r="D5476" t="b" cm="1">
        <f t="array" aca="1" ref="D5476" ca="1">IF(INDIRECT("'"&amp;A5476&amp;"'!"&amp;B5476)="",FALSE,IF(TRUNC(INDIRECT("'"&amp;A5476&amp;"'!"&amp;B5476))=INDIRECT("'"&amp;A5476&amp;"'!"&amp;B5476),FALSE,TRUE))</f>
        <v>0</v>
      </c>
      <c r="E5476" t="s">
        <v>436</v>
      </c>
      <c r="F5476" t="str">
        <f>INDEX(Lists!I:I,MATCH(Validation!E5476,Lists!G:G,0))</f>
        <v>Error</v>
      </c>
      <c r="G5476" t="str">
        <f>INDEX(Lists!H:H,MATCH(Validation!E5476,Lists!G:G,0))</f>
        <v>Amount must be rounded to the nearest dollar.</v>
      </c>
      <c r="H5476" s="16" t="str">
        <f t="shared" ca="1" si="591"/>
        <v/>
      </c>
      <c r="I5476" s="16" t="str">
        <f t="shared" ca="1" si="592"/>
        <v/>
      </c>
      <c r="J5476" s="17" t="str">
        <f t="shared" ca="1" si="593"/>
        <v/>
      </c>
    </row>
    <row r="5477" spans="1:10" x14ac:dyDescent="0.25">
      <c r="A5477" t="s">
        <v>945</v>
      </c>
      <c r="B5477" t="str">
        <f>ADDRESS(ROW('Loan 1'!$C$22),COLUMN('Loan 1'!$C$22),4)</f>
        <v>C22</v>
      </c>
      <c r="C5477" t="str">
        <f>ADDRESS(ROW('Loan 1'!$D$22),COLUMN('Loan 1'!$D$22),4)</f>
        <v>D22</v>
      </c>
      <c r="D5477" t="b" cm="1">
        <f t="array" aca="1" ref="D5477" ca="1">IF(INDIRECT("'"&amp;A5477&amp;"'!"&amp;B5477)="",FALSE,IF(TRUNC(INDIRECT("'"&amp;A5477&amp;"'!"&amp;B5477))=INDIRECT("'"&amp;A5477&amp;"'!"&amp;B5477),FALSE,TRUE))</f>
        <v>0</v>
      </c>
      <c r="E5477" t="s">
        <v>436</v>
      </c>
      <c r="F5477" t="str">
        <f>INDEX(Lists!I:I,MATCH(Validation!E5477,Lists!G:G,0))</f>
        <v>Error</v>
      </c>
      <c r="G5477" t="str">
        <f>INDEX(Lists!H:H,MATCH(Validation!E5477,Lists!G:G,0))</f>
        <v>Amount must be rounded to the nearest dollar.</v>
      </c>
      <c r="H5477" s="16" t="str">
        <f t="shared" ca="1" si="591"/>
        <v/>
      </c>
      <c r="I5477" s="16" t="str">
        <f t="shared" ca="1" si="592"/>
        <v/>
      </c>
      <c r="J5477" s="17" t="str">
        <f t="shared" ca="1" si="593"/>
        <v/>
      </c>
    </row>
    <row r="5478" spans="1:10" x14ac:dyDescent="0.25">
      <c r="A5478" t="s">
        <v>205</v>
      </c>
      <c r="B5478" t="str">
        <f>ADDRESS(ROW('Loan 1'!$B$23),COLUMN('Loan 1'!$B$23),4)</f>
        <v>B23</v>
      </c>
      <c r="C5478" t="str">
        <f>ADDRESS(ROW('Loan 1'!$D$23),COLUMN('Loan 1'!$D$23),4)</f>
        <v>D23</v>
      </c>
      <c r="D5478" t="b" cm="1">
        <f t="array" aca="1" ref="D5478" ca="1">IF(INDIRECT("'"&amp;A5478&amp;"'!"&amp;B5478)="",FALSE,IF(NOT(ISNUMBER(INDIRECT("'"&amp;A5478&amp;"'!"&amp;B5478))),TRUE,FALSE))</f>
        <v>0</v>
      </c>
      <c r="E5478" t="s">
        <v>435</v>
      </c>
      <c r="F5478" t="str">
        <f>INDEX(Lists!I:I,MATCH(Validation!E5478,Lists!G:G,0))</f>
        <v>Error</v>
      </c>
      <c r="G5478" t="str">
        <f>INDEX(Lists!H:H,MATCH(Validation!E5478,Lists!G:G,0))</f>
        <v>Enter an amount only. Do not enter text or spaces.</v>
      </c>
      <c r="H5478" s="16" t="str">
        <f ca="1">IFERROR(IF(OR(NOT(D5478),F5478&lt;&gt;"Error"),"",A5478&amp;CELL("address",INDIRECT(B5478))),"")</f>
        <v/>
      </c>
      <c r="I5478" s="16" t="str">
        <f ca="1">IFERROR(IF(NOT(D5478),"",A5478&amp;CELL("address",INDIRECT(C5478))),"")</f>
        <v/>
      </c>
      <c r="J5478" s="17" t="str">
        <f ca="1">IFERROR(IF(NOT(D5478),"",A5478),"")</f>
        <v/>
      </c>
    </row>
    <row r="5479" spans="1:10" x14ac:dyDescent="0.25">
      <c r="A5479" t="s">
        <v>932</v>
      </c>
      <c r="B5479" t="str">
        <f>ADDRESS(ROW('Loan 1'!$B$23),COLUMN('Loan 1'!$B$23),4)</f>
        <v>B23</v>
      </c>
      <c r="C5479" t="str">
        <f>ADDRESS(ROW('Loan 1'!$D$23),COLUMN('Loan 1'!$D$23),4)</f>
        <v>D23</v>
      </c>
      <c r="D5479" t="b" cm="1">
        <f t="array" aca="1" ref="D5479" ca="1">IF(INDIRECT("'"&amp;A5479&amp;"'!"&amp;B5479)="",FALSE,IF(NOT(ISNUMBER(INDIRECT("'"&amp;A5479&amp;"'!"&amp;B5479))),TRUE,FALSE))</f>
        <v>0</v>
      </c>
      <c r="E5479" t="s">
        <v>435</v>
      </c>
      <c r="F5479" t="str">
        <f>INDEX(Lists!I:I,MATCH(Validation!E5479,Lists!G:G,0))</f>
        <v>Error</v>
      </c>
      <c r="G5479" t="str">
        <f>INDEX(Lists!H:H,MATCH(Validation!E5479,Lists!G:G,0))</f>
        <v>Enter an amount only. Do not enter text or spaces.</v>
      </c>
      <c r="H5479" s="16" t="str">
        <f t="shared" ref="H5479:H5492" ca="1" si="594">IFERROR(IF(OR(NOT(D5479),F5479&lt;&gt;"Error"),"",A5479&amp;CELL("address",INDIRECT(B5479))),"")</f>
        <v/>
      </c>
      <c r="I5479" s="16" t="str">
        <f t="shared" ref="I5479:I5492" ca="1" si="595">IFERROR(IF(NOT(D5479),"",A5479&amp;CELL("address",INDIRECT(C5479))),"")</f>
        <v/>
      </c>
      <c r="J5479" s="17" t="str">
        <f t="shared" ref="J5479:J5492" ca="1" si="596">IFERROR(IF(NOT(D5479),"",A5479),"")</f>
        <v/>
      </c>
    </row>
    <row r="5480" spans="1:10" x14ac:dyDescent="0.25">
      <c r="A5480" t="s">
        <v>933</v>
      </c>
      <c r="B5480" t="str">
        <f>ADDRESS(ROW('Loan 1'!$B$23),COLUMN('Loan 1'!$B$23),4)</f>
        <v>B23</v>
      </c>
      <c r="C5480" t="str">
        <f>ADDRESS(ROW('Loan 1'!$D$23),COLUMN('Loan 1'!$D$23),4)</f>
        <v>D23</v>
      </c>
      <c r="D5480" t="b" cm="1">
        <f t="array" aca="1" ref="D5480" ca="1">IF(INDIRECT("'"&amp;A5480&amp;"'!"&amp;B5480)="",FALSE,IF(NOT(ISNUMBER(INDIRECT("'"&amp;A5480&amp;"'!"&amp;B5480))),TRUE,FALSE))</f>
        <v>0</v>
      </c>
      <c r="E5480" t="s">
        <v>435</v>
      </c>
      <c r="F5480" t="str">
        <f>INDEX(Lists!I:I,MATCH(Validation!E5480,Lists!G:G,0))</f>
        <v>Error</v>
      </c>
      <c r="G5480" t="str">
        <f>INDEX(Lists!H:H,MATCH(Validation!E5480,Lists!G:G,0))</f>
        <v>Enter an amount only. Do not enter text or spaces.</v>
      </c>
      <c r="H5480" s="16" t="str">
        <f t="shared" ca="1" si="594"/>
        <v/>
      </c>
      <c r="I5480" s="16" t="str">
        <f t="shared" ca="1" si="595"/>
        <v/>
      </c>
      <c r="J5480" s="17" t="str">
        <f t="shared" ca="1" si="596"/>
        <v/>
      </c>
    </row>
    <row r="5481" spans="1:10" x14ac:dyDescent="0.25">
      <c r="A5481" t="s">
        <v>934</v>
      </c>
      <c r="B5481" t="str">
        <f>ADDRESS(ROW('Loan 1'!$B$23),COLUMN('Loan 1'!$B$23),4)</f>
        <v>B23</v>
      </c>
      <c r="C5481" t="str">
        <f>ADDRESS(ROW('Loan 1'!$D$23),COLUMN('Loan 1'!$D$23),4)</f>
        <v>D23</v>
      </c>
      <c r="D5481" t="b" cm="1">
        <f t="array" aca="1" ref="D5481" ca="1">IF(INDIRECT("'"&amp;A5481&amp;"'!"&amp;B5481)="",FALSE,IF(NOT(ISNUMBER(INDIRECT("'"&amp;A5481&amp;"'!"&amp;B5481))),TRUE,FALSE))</f>
        <v>0</v>
      </c>
      <c r="E5481" t="s">
        <v>435</v>
      </c>
      <c r="F5481" t="str">
        <f>INDEX(Lists!I:I,MATCH(Validation!E5481,Lists!G:G,0))</f>
        <v>Error</v>
      </c>
      <c r="G5481" t="str">
        <f>INDEX(Lists!H:H,MATCH(Validation!E5481,Lists!G:G,0))</f>
        <v>Enter an amount only. Do not enter text or spaces.</v>
      </c>
      <c r="H5481" s="16" t="str">
        <f t="shared" ca="1" si="594"/>
        <v/>
      </c>
      <c r="I5481" s="16" t="str">
        <f t="shared" ca="1" si="595"/>
        <v/>
      </c>
      <c r="J5481" s="17" t="str">
        <f t="shared" ca="1" si="596"/>
        <v/>
      </c>
    </row>
    <row r="5482" spans="1:10" x14ac:dyDescent="0.25">
      <c r="A5482" t="s">
        <v>935</v>
      </c>
      <c r="B5482" t="str">
        <f>ADDRESS(ROW('Loan 1'!$B$23),COLUMN('Loan 1'!$B$23),4)</f>
        <v>B23</v>
      </c>
      <c r="C5482" t="str">
        <f>ADDRESS(ROW('Loan 1'!$D$23),COLUMN('Loan 1'!$D$23),4)</f>
        <v>D23</v>
      </c>
      <c r="D5482" t="b" cm="1">
        <f t="array" aca="1" ref="D5482" ca="1">IF(INDIRECT("'"&amp;A5482&amp;"'!"&amp;B5482)="",FALSE,IF(NOT(ISNUMBER(INDIRECT("'"&amp;A5482&amp;"'!"&amp;B5482))),TRUE,FALSE))</f>
        <v>0</v>
      </c>
      <c r="E5482" t="s">
        <v>435</v>
      </c>
      <c r="F5482" t="str">
        <f>INDEX(Lists!I:I,MATCH(Validation!E5482,Lists!G:G,0))</f>
        <v>Error</v>
      </c>
      <c r="G5482" t="str">
        <f>INDEX(Lists!H:H,MATCH(Validation!E5482,Lists!G:G,0))</f>
        <v>Enter an amount only. Do not enter text or spaces.</v>
      </c>
      <c r="H5482" s="16" t="str">
        <f t="shared" ca="1" si="594"/>
        <v/>
      </c>
      <c r="I5482" s="16" t="str">
        <f t="shared" ca="1" si="595"/>
        <v/>
      </c>
      <c r="J5482" s="17" t="str">
        <f t="shared" ca="1" si="596"/>
        <v/>
      </c>
    </row>
    <row r="5483" spans="1:10" x14ac:dyDescent="0.25">
      <c r="A5483" t="s">
        <v>936</v>
      </c>
      <c r="B5483" t="str">
        <f>ADDRESS(ROW('Loan 1'!$B$23),COLUMN('Loan 1'!$B$23),4)</f>
        <v>B23</v>
      </c>
      <c r="C5483" t="str">
        <f>ADDRESS(ROW('Loan 1'!$D$23),COLUMN('Loan 1'!$D$23),4)</f>
        <v>D23</v>
      </c>
      <c r="D5483" t="b" cm="1">
        <f t="array" aca="1" ref="D5483" ca="1">IF(INDIRECT("'"&amp;A5483&amp;"'!"&amp;B5483)="",FALSE,IF(NOT(ISNUMBER(INDIRECT("'"&amp;A5483&amp;"'!"&amp;B5483))),TRUE,FALSE))</f>
        <v>0</v>
      </c>
      <c r="E5483" t="s">
        <v>435</v>
      </c>
      <c r="F5483" t="str">
        <f>INDEX(Lists!I:I,MATCH(Validation!E5483,Lists!G:G,0))</f>
        <v>Error</v>
      </c>
      <c r="G5483" t="str">
        <f>INDEX(Lists!H:H,MATCH(Validation!E5483,Lists!G:G,0))</f>
        <v>Enter an amount only. Do not enter text or spaces.</v>
      </c>
      <c r="H5483" s="16" t="str">
        <f t="shared" ca="1" si="594"/>
        <v/>
      </c>
      <c r="I5483" s="16" t="str">
        <f t="shared" ca="1" si="595"/>
        <v/>
      </c>
      <c r="J5483" s="17" t="str">
        <f t="shared" ca="1" si="596"/>
        <v/>
      </c>
    </row>
    <row r="5484" spans="1:10" x14ac:dyDescent="0.25">
      <c r="A5484" t="s">
        <v>937</v>
      </c>
      <c r="B5484" t="str">
        <f>ADDRESS(ROW('Loan 1'!$B$23),COLUMN('Loan 1'!$B$23),4)</f>
        <v>B23</v>
      </c>
      <c r="C5484" t="str">
        <f>ADDRESS(ROW('Loan 1'!$D$23),COLUMN('Loan 1'!$D$23),4)</f>
        <v>D23</v>
      </c>
      <c r="D5484" t="b" cm="1">
        <f t="array" aca="1" ref="D5484" ca="1">IF(INDIRECT("'"&amp;A5484&amp;"'!"&amp;B5484)="",FALSE,IF(NOT(ISNUMBER(INDIRECT("'"&amp;A5484&amp;"'!"&amp;B5484))),TRUE,FALSE))</f>
        <v>0</v>
      </c>
      <c r="E5484" t="s">
        <v>435</v>
      </c>
      <c r="F5484" t="str">
        <f>INDEX(Lists!I:I,MATCH(Validation!E5484,Lists!G:G,0))</f>
        <v>Error</v>
      </c>
      <c r="G5484" t="str">
        <f>INDEX(Lists!H:H,MATCH(Validation!E5484,Lists!G:G,0))</f>
        <v>Enter an amount only. Do not enter text or spaces.</v>
      </c>
      <c r="H5484" s="16" t="str">
        <f t="shared" ca="1" si="594"/>
        <v/>
      </c>
      <c r="I5484" s="16" t="str">
        <f t="shared" ca="1" si="595"/>
        <v/>
      </c>
      <c r="J5484" s="17" t="str">
        <f t="shared" ca="1" si="596"/>
        <v/>
      </c>
    </row>
    <row r="5485" spans="1:10" x14ac:dyDescent="0.25">
      <c r="A5485" t="s">
        <v>938</v>
      </c>
      <c r="B5485" t="str">
        <f>ADDRESS(ROW('Loan 1'!$B$23),COLUMN('Loan 1'!$B$23),4)</f>
        <v>B23</v>
      </c>
      <c r="C5485" t="str">
        <f>ADDRESS(ROW('Loan 1'!$D$23),COLUMN('Loan 1'!$D$23),4)</f>
        <v>D23</v>
      </c>
      <c r="D5485" t="b" cm="1">
        <f t="array" aca="1" ref="D5485" ca="1">IF(INDIRECT("'"&amp;A5485&amp;"'!"&amp;B5485)="",FALSE,IF(NOT(ISNUMBER(INDIRECT("'"&amp;A5485&amp;"'!"&amp;B5485))),TRUE,FALSE))</f>
        <v>0</v>
      </c>
      <c r="E5485" t="s">
        <v>435</v>
      </c>
      <c r="F5485" t="str">
        <f>INDEX(Lists!I:I,MATCH(Validation!E5485,Lists!G:G,0))</f>
        <v>Error</v>
      </c>
      <c r="G5485" t="str">
        <f>INDEX(Lists!H:H,MATCH(Validation!E5485,Lists!G:G,0))</f>
        <v>Enter an amount only. Do not enter text or spaces.</v>
      </c>
      <c r="H5485" s="16" t="str">
        <f t="shared" ca="1" si="594"/>
        <v/>
      </c>
      <c r="I5485" s="16" t="str">
        <f t="shared" ca="1" si="595"/>
        <v/>
      </c>
      <c r="J5485" s="17" t="str">
        <f t="shared" ca="1" si="596"/>
        <v/>
      </c>
    </row>
    <row r="5486" spans="1:10" x14ac:dyDescent="0.25">
      <c r="A5486" t="s">
        <v>939</v>
      </c>
      <c r="B5486" t="str">
        <f>ADDRESS(ROW('Loan 1'!$B$23),COLUMN('Loan 1'!$B$23),4)</f>
        <v>B23</v>
      </c>
      <c r="C5486" t="str">
        <f>ADDRESS(ROW('Loan 1'!$D$23),COLUMN('Loan 1'!$D$23),4)</f>
        <v>D23</v>
      </c>
      <c r="D5486" t="b" cm="1">
        <f t="array" aca="1" ref="D5486" ca="1">IF(INDIRECT("'"&amp;A5486&amp;"'!"&amp;B5486)="",FALSE,IF(NOT(ISNUMBER(INDIRECT("'"&amp;A5486&amp;"'!"&amp;B5486))),TRUE,FALSE))</f>
        <v>0</v>
      </c>
      <c r="E5486" t="s">
        <v>435</v>
      </c>
      <c r="F5486" t="str">
        <f>INDEX(Lists!I:I,MATCH(Validation!E5486,Lists!G:G,0))</f>
        <v>Error</v>
      </c>
      <c r="G5486" t="str">
        <f>INDEX(Lists!H:H,MATCH(Validation!E5486,Lists!G:G,0))</f>
        <v>Enter an amount only. Do not enter text or spaces.</v>
      </c>
      <c r="H5486" s="16" t="str">
        <f t="shared" ca="1" si="594"/>
        <v/>
      </c>
      <c r="I5486" s="16" t="str">
        <f t="shared" ca="1" si="595"/>
        <v/>
      </c>
      <c r="J5486" s="17" t="str">
        <f t="shared" ca="1" si="596"/>
        <v/>
      </c>
    </row>
    <row r="5487" spans="1:10" x14ac:dyDescent="0.25">
      <c r="A5487" t="s">
        <v>940</v>
      </c>
      <c r="B5487" t="str">
        <f>ADDRESS(ROW('Loan 1'!$B$23),COLUMN('Loan 1'!$B$23),4)</f>
        <v>B23</v>
      </c>
      <c r="C5487" t="str">
        <f>ADDRESS(ROW('Loan 1'!$D$23),COLUMN('Loan 1'!$D$23),4)</f>
        <v>D23</v>
      </c>
      <c r="D5487" t="b" cm="1">
        <f t="array" aca="1" ref="D5487" ca="1">IF(INDIRECT("'"&amp;A5487&amp;"'!"&amp;B5487)="",FALSE,IF(NOT(ISNUMBER(INDIRECT("'"&amp;A5487&amp;"'!"&amp;B5487))),TRUE,FALSE))</f>
        <v>0</v>
      </c>
      <c r="E5487" t="s">
        <v>435</v>
      </c>
      <c r="F5487" t="str">
        <f>INDEX(Lists!I:I,MATCH(Validation!E5487,Lists!G:G,0))</f>
        <v>Error</v>
      </c>
      <c r="G5487" t="str">
        <f>INDEX(Lists!H:H,MATCH(Validation!E5487,Lists!G:G,0))</f>
        <v>Enter an amount only. Do not enter text or spaces.</v>
      </c>
      <c r="H5487" s="16" t="str">
        <f t="shared" ca="1" si="594"/>
        <v/>
      </c>
      <c r="I5487" s="16" t="str">
        <f t="shared" ca="1" si="595"/>
        <v/>
      </c>
      <c r="J5487" s="17" t="str">
        <f t="shared" ca="1" si="596"/>
        <v/>
      </c>
    </row>
    <row r="5488" spans="1:10" x14ac:dyDescent="0.25">
      <c r="A5488" t="s">
        <v>941</v>
      </c>
      <c r="B5488" t="str">
        <f>ADDRESS(ROW('Loan 1'!$B$23),COLUMN('Loan 1'!$B$23),4)</f>
        <v>B23</v>
      </c>
      <c r="C5488" t="str">
        <f>ADDRESS(ROW('Loan 1'!$D$23),COLUMN('Loan 1'!$D$23),4)</f>
        <v>D23</v>
      </c>
      <c r="D5488" t="b" cm="1">
        <f t="array" aca="1" ref="D5488" ca="1">IF(INDIRECT("'"&amp;A5488&amp;"'!"&amp;B5488)="",FALSE,IF(NOT(ISNUMBER(INDIRECT("'"&amp;A5488&amp;"'!"&amp;B5488))),TRUE,FALSE))</f>
        <v>0</v>
      </c>
      <c r="E5488" t="s">
        <v>435</v>
      </c>
      <c r="F5488" t="str">
        <f>INDEX(Lists!I:I,MATCH(Validation!E5488,Lists!G:G,0))</f>
        <v>Error</v>
      </c>
      <c r="G5488" t="str">
        <f>INDEX(Lists!H:H,MATCH(Validation!E5488,Lists!G:G,0))</f>
        <v>Enter an amount only. Do not enter text or spaces.</v>
      </c>
      <c r="H5488" s="16" t="str">
        <f t="shared" ca="1" si="594"/>
        <v/>
      </c>
      <c r="I5488" s="16" t="str">
        <f t="shared" ca="1" si="595"/>
        <v/>
      </c>
      <c r="J5488" s="17" t="str">
        <f t="shared" ca="1" si="596"/>
        <v/>
      </c>
    </row>
    <row r="5489" spans="1:10" x14ac:dyDescent="0.25">
      <c r="A5489" t="s">
        <v>942</v>
      </c>
      <c r="B5489" t="str">
        <f>ADDRESS(ROW('Loan 1'!$B$23),COLUMN('Loan 1'!$B$23),4)</f>
        <v>B23</v>
      </c>
      <c r="C5489" t="str">
        <f>ADDRESS(ROW('Loan 1'!$D$23),COLUMN('Loan 1'!$D$23),4)</f>
        <v>D23</v>
      </c>
      <c r="D5489" t="b" cm="1">
        <f t="array" aca="1" ref="D5489" ca="1">IF(INDIRECT("'"&amp;A5489&amp;"'!"&amp;B5489)="",FALSE,IF(NOT(ISNUMBER(INDIRECT("'"&amp;A5489&amp;"'!"&amp;B5489))),TRUE,FALSE))</f>
        <v>0</v>
      </c>
      <c r="E5489" t="s">
        <v>435</v>
      </c>
      <c r="F5489" t="str">
        <f>INDEX(Lists!I:I,MATCH(Validation!E5489,Lists!G:G,0))</f>
        <v>Error</v>
      </c>
      <c r="G5489" t="str">
        <f>INDEX(Lists!H:H,MATCH(Validation!E5489,Lists!G:G,0))</f>
        <v>Enter an amount only. Do not enter text or spaces.</v>
      </c>
      <c r="H5489" s="16" t="str">
        <f t="shared" ca="1" si="594"/>
        <v/>
      </c>
      <c r="I5489" s="16" t="str">
        <f t="shared" ca="1" si="595"/>
        <v/>
      </c>
      <c r="J5489" s="17" t="str">
        <f t="shared" ca="1" si="596"/>
        <v/>
      </c>
    </row>
    <row r="5490" spans="1:10" x14ac:dyDescent="0.25">
      <c r="A5490" t="s">
        <v>943</v>
      </c>
      <c r="B5490" t="str">
        <f>ADDRESS(ROW('Loan 1'!$B$23),COLUMN('Loan 1'!$B$23),4)</f>
        <v>B23</v>
      </c>
      <c r="C5490" t="str">
        <f>ADDRESS(ROW('Loan 1'!$D$23),COLUMN('Loan 1'!$D$23),4)</f>
        <v>D23</v>
      </c>
      <c r="D5490" t="b" cm="1">
        <f t="array" aca="1" ref="D5490" ca="1">IF(INDIRECT("'"&amp;A5490&amp;"'!"&amp;B5490)="",FALSE,IF(NOT(ISNUMBER(INDIRECT("'"&amp;A5490&amp;"'!"&amp;B5490))),TRUE,FALSE))</f>
        <v>0</v>
      </c>
      <c r="E5490" t="s">
        <v>435</v>
      </c>
      <c r="F5490" t="str">
        <f>INDEX(Lists!I:I,MATCH(Validation!E5490,Lists!G:G,0))</f>
        <v>Error</v>
      </c>
      <c r="G5490" t="str">
        <f>INDEX(Lists!H:H,MATCH(Validation!E5490,Lists!G:G,0))</f>
        <v>Enter an amount only. Do not enter text or spaces.</v>
      </c>
      <c r="H5490" s="16" t="str">
        <f t="shared" ca="1" si="594"/>
        <v/>
      </c>
      <c r="I5490" s="16" t="str">
        <f t="shared" ca="1" si="595"/>
        <v/>
      </c>
      <c r="J5490" s="17" t="str">
        <f t="shared" ca="1" si="596"/>
        <v/>
      </c>
    </row>
    <row r="5491" spans="1:10" x14ac:dyDescent="0.25">
      <c r="A5491" t="s">
        <v>944</v>
      </c>
      <c r="B5491" t="str">
        <f>ADDRESS(ROW('Loan 1'!$B$23),COLUMN('Loan 1'!$B$23),4)</f>
        <v>B23</v>
      </c>
      <c r="C5491" t="str">
        <f>ADDRESS(ROW('Loan 1'!$D$23),COLUMN('Loan 1'!$D$23),4)</f>
        <v>D23</v>
      </c>
      <c r="D5491" t="b" cm="1">
        <f t="array" aca="1" ref="D5491" ca="1">IF(INDIRECT("'"&amp;A5491&amp;"'!"&amp;B5491)="",FALSE,IF(NOT(ISNUMBER(INDIRECT("'"&amp;A5491&amp;"'!"&amp;B5491))),TRUE,FALSE))</f>
        <v>0</v>
      </c>
      <c r="E5491" t="s">
        <v>435</v>
      </c>
      <c r="F5491" t="str">
        <f>INDEX(Lists!I:I,MATCH(Validation!E5491,Lists!G:G,0))</f>
        <v>Error</v>
      </c>
      <c r="G5491" t="str">
        <f>INDEX(Lists!H:H,MATCH(Validation!E5491,Lists!G:G,0))</f>
        <v>Enter an amount only. Do not enter text or spaces.</v>
      </c>
      <c r="H5491" s="16" t="str">
        <f t="shared" ca="1" si="594"/>
        <v/>
      </c>
      <c r="I5491" s="16" t="str">
        <f t="shared" ca="1" si="595"/>
        <v/>
      </c>
      <c r="J5491" s="17" t="str">
        <f t="shared" ca="1" si="596"/>
        <v/>
      </c>
    </row>
    <row r="5492" spans="1:10" x14ac:dyDescent="0.25">
      <c r="A5492" t="s">
        <v>945</v>
      </c>
      <c r="B5492" t="str">
        <f>ADDRESS(ROW('Loan 1'!$B$23),COLUMN('Loan 1'!$B$23),4)</f>
        <v>B23</v>
      </c>
      <c r="C5492" t="str">
        <f>ADDRESS(ROW('Loan 1'!$D$23),COLUMN('Loan 1'!$D$23),4)</f>
        <v>D23</v>
      </c>
      <c r="D5492" t="b" cm="1">
        <f t="array" aca="1" ref="D5492" ca="1">IF(INDIRECT("'"&amp;A5492&amp;"'!"&amp;B5492)="",FALSE,IF(NOT(ISNUMBER(INDIRECT("'"&amp;A5492&amp;"'!"&amp;B5492))),TRUE,FALSE))</f>
        <v>0</v>
      </c>
      <c r="E5492" t="s">
        <v>435</v>
      </c>
      <c r="F5492" t="str">
        <f>INDEX(Lists!I:I,MATCH(Validation!E5492,Lists!G:G,0))</f>
        <v>Error</v>
      </c>
      <c r="G5492" t="str">
        <f>INDEX(Lists!H:H,MATCH(Validation!E5492,Lists!G:G,0))</f>
        <v>Enter an amount only. Do not enter text or spaces.</v>
      </c>
      <c r="H5492" s="16" t="str">
        <f t="shared" ca="1" si="594"/>
        <v/>
      </c>
      <c r="I5492" s="16" t="str">
        <f t="shared" ca="1" si="595"/>
        <v/>
      </c>
      <c r="J5492" s="17" t="str">
        <f t="shared" ca="1" si="596"/>
        <v/>
      </c>
    </row>
    <row r="5493" spans="1:10" x14ac:dyDescent="0.25">
      <c r="A5493" t="s">
        <v>205</v>
      </c>
      <c r="B5493" t="str">
        <f>ADDRESS(ROW('Loan 1'!$B$23),COLUMN('Loan 1'!$B$23),4)</f>
        <v>B23</v>
      </c>
      <c r="C5493" t="str">
        <f>ADDRESS(ROW('Loan 1'!$D$23),COLUMN('Loan 1'!$D$23),4)</f>
        <v>D23</v>
      </c>
      <c r="D5493" t="b" cm="1">
        <f t="array" aca="1" ref="D5493" ca="1">IF(INDIRECT("'"&amp;A5493&amp;"'!"&amp;B5493)="",FALSE,IF(INDIRECT("'"&amp;A5493&amp;"'!"&amp;B5493)&lt;0,TRUE,FALSE))</f>
        <v>0</v>
      </c>
      <c r="E5493" t="s">
        <v>434</v>
      </c>
      <c r="F5493" t="str">
        <f>INDEX(Lists!I:I,MATCH(Validation!E5493,Lists!G:G,0))</f>
        <v>Error</v>
      </c>
      <c r="G5493" t="str">
        <f>INDEX(Lists!H:H,MATCH(Validation!E5493,Lists!G:G,0))</f>
        <v>Amount may not be negative. Enter an amount greater than or equal to zero.</v>
      </c>
      <c r="H5493" s="16" t="str">
        <f ca="1">IFERROR(IF(OR(NOT(D5493),F5493&lt;&gt;"Error"),"",A5493&amp;CELL("address",INDIRECT(B5493))),"")</f>
        <v/>
      </c>
      <c r="I5493" s="16" t="str">
        <f ca="1">IFERROR(IF(NOT(D5493),"",A5493&amp;CELL("address",INDIRECT(C5493))),"")</f>
        <v/>
      </c>
      <c r="J5493" s="17" t="str">
        <f ca="1">IFERROR(IF(NOT(D5493),"",A5493),"")</f>
        <v/>
      </c>
    </row>
    <row r="5494" spans="1:10" x14ac:dyDescent="0.25">
      <c r="A5494" t="s">
        <v>932</v>
      </c>
      <c r="B5494" t="str">
        <f>ADDRESS(ROW('Loan 1'!$B$23),COLUMN('Loan 1'!$B$23),4)</f>
        <v>B23</v>
      </c>
      <c r="C5494" t="str">
        <f>ADDRESS(ROW('Loan 1'!$D$23),COLUMN('Loan 1'!$D$23),4)</f>
        <v>D23</v>
      </c>
      <c r="D5494" t="b" cm="1">
        <f t="array" aca="1" ref="D5494" ca="1">IF(INDIRECT("'"&amp;A5494&amp;"'!"&amp;B5494)="",FALSE,IF(INDIRECT("'"&amp;A5494&amp;"'!"&amp;B5494)&lt;0,TRUE,FALSE))</f>
        <v>0</v>
      </c>
      <c r="E5494" t="s">
        <v>434</v>
      </c>
      <c r="F5494" t="str">
        <f>INDEX(Lists!I:I,MATCH(Validation!E5494,Lists!G:G,0))</f>
        <v>Error</v>
      </c>
      <c r="G5494" t="str">
        <f>INDEX(Lists!H:H,MATCH(Validation!E5494,Lists!G:G,0))</f>
        <v>Amount may not be negative. Enter an amount greater than or equal to zero.</v>
      </c>
      <c r="H5494" s="16" t="str">
        <f t="shared" ref="H5494:H5522" ca="1" si="597">IFERROR(IF(OR(NOT(D5494),F5494&lt;&gt;"Error"),"",A5494&amp;CELL("address",INDIRECT(B5494))),"")</f>
        <v/>
      </c>
      <c r="I5494" s="16" t="str">
        <f t="shared" ref="I5494:I5522" ca="1" si="598">IFERROR(IF(NOT(D5494),"",A5494&amp;CELL("address",INDIRECT(C5494))),"")</f>
        <v/>
      </c>
      <c r="J5494" s="17" t="str">
        <f t="shared" ref="J5494:J5522" ca="1" si="599">IFERROR(IF(NOT(D5494),"",A5494),"")</f>
        <v/>
      </c>
    </row>
    <row r="5495" spans="1:10" x14ac:dyDescent="0.25">
      <c r="A5495" t="s">
        <v>933</v>
      </c>
      <c r="B5495" t="str">
        <f>ADDRESS(ROW('Loan 1'!$B$23),COLUMN('Loan 1'!$B$23),4)</f>
        <v>B23</v>
      </c>
      <c r="C5495" t="str">
        <f>ADDRESS(ROW('Loan 1'!$D$23),COLUMN('Loan 1'!$D$23),4)</f>
        <v>D23</v>
      </c>
      <c r="D5495" t="b" cm="1">
        <f t="array" aca="1" ref="D5495" ca="1">IF(INDIRECT("'"&amp;A5495&amp;"'!"&amp;B5495)="",FALSE,IF(INDIRECT("'"&amp;A5495&amp;"'!"&amp;B5495)&lt;0,TRUE,FALSE))</f>
        <v>0</v>
      </c>
      <c r="E5495" t="s">
        <v>434</v>
      </c>
      <c r="F5495" t="str">
        <f>INDEX(Lists!I:I,MATCH(Validation!E5495,Lists!G:G,0))</f>
        <v>Error</v>
      </c>
      <c r="G5495" t="str">
        <f>INDEX(Lists!H:H,MATCH(Validation!E5495,Lists!G:G,0))</f>
        <v>Amount may not be negative. Enter an amount greater than or equal to zero.</v>
      </c>
      <c r="H5495" s="16" t="str">
        <f t="shared" ca="1" si="597"/>
        <v/>
      </c>
      <c r="I5495" s="16" t="str">
        <f t="shared" ca="1" si="598"/>
        <v/>
      </c>
      <c r="J5495" s="17" t="str">
        <f t="shared" ca="1" si="599"/>
        <v/>
      </c>
    </row>
    <row r="5496" spans="1:10" x14ac:dyDescent="0.25">
      <c r="A5496" t="s">
        <v>934</v>
      </c>
      <c r="B5496" t="str">
        <f>ADDRESS(ROW('Loan 1'!$B$23),COLUMN('Loan 1'!$B$23),4)</f>
        <v>B23</v>
      </c>
      <c r="C5496" t="str">
        <f>ADDRESS(ROW('Loan 1'!$D$23),COLUMN('Loan 1'!$D$23),4)</f>
        <v>D23</v>
      </c>
      <c r="D5496" t="b" cm="1">
        <f t="array" aca="1" ref="D5496" ca="1">IF(INDIRECT("'"&amp;A5496&amp;"'!"&amp;B5496)="",FALSE,IF(INDIRECT("'"&amp;A5496&amp;"'!"&amp;B5496)&lt;0,TRUE,FALSE))</f>
        <v>0</v>
      </c>
      <c r="E5496" t="s">
        <v>434</v>
      </c>
      <c r="F5496" t="str">
        <f>INDEX(Lists!I:I,MATCH(Validation!E5496,Lists!G:G,0))</f>
        <v>Error</v>
      </c>
      <c r="G5496" t="str">
        <f>INDEX(Lists!H:H,MATCH(Validation!E5496,Lists!G:G,0))</f>
        <v>Amount may not be negative. Enter an amount greater than or equal to zero.</v>
      </c>
      <c r="H5496" s="16" t="str">
        <f t="shared" ca="1" si="597"/>
        <v/>
      </c>
      <c r="I5496" s="16" t="str">
        <f t="shared" ca="1" si="598"/>
        <v/>
      </c>
      <c r="J5496" s="17" t="str">
        <f t="shared" ca="1" si="599"/>
        <v/>
      </c>
    </row>
    <row r="5497" spans="1:10" x14ac:dyDescent="0.25">
      <c r="A5497" t="s">
        <v>935</v>
      </c>
      <c r="B5497" t="str">
        <f>ADDRESS(ROW('Loan 1'!$B$23),COLUMN('Loan 1'!$B$23),4)</f>
        <v>B23</v>
      </c>
      <c r="C5497" t="str">
        <f>ADDRESS(ROW('Loan 1'!$D$23),COLUMN('Loan 1'!$D$23),4)</f>
        <v>D23</v>
      </c>
      <c r="D5497" t="b" cm="1">
        <f t="array" aca="1" ref="D5497" ca="1">IF(INDIRECT("'"&amp;A5497&amp;"'!"&amp;B5497)="",FALSE,IF(INDIRECT("'"&amp;A5497&amp;"'!"&amp;B5497)&lt;0,TRUE,FALSE))</f>
        <v>0</v>
      </c>
      <c r="E5497" t="s">
        <v>434</v>
      </c>
      <c r="F5497" t="str">
        <f>INDEX(Lists!I:I,MATCH(Validation!E5497,Lists!G:G,0))</f>
        <v>Error</v>
      </c>
      <c r="G5497" t="str">
        <f>INDEX(Lists!H:H,MATCH(Validation!E5497,Lists!G:G,0))</f>
        <v>Amount may not be negative. Enter an amount greater than or equal to zero.</v>
      </c>
      <c r="H5497" s="16" t="str">
        <f t="shared" ca="1" si="597"/>
        <v/>
      </c>
      <c r="I5497" s="16" t="str">
        <f t="shared" ca="1" si="598"/>
        <v/>
      </c>
      <c r="J5497" s="17" t="str">
        <f t="shared" ca="1" si="599"/>
        <v/>
      </c>
    </row>
    <row r="5498" spans="1:10" x14ac:dyDescent="0.25">
      <c r="A5498" t="s">
        <v>936</v>
      </c>
      <c r="B5498" t="str">
        <f>ADDRESS(ROW('Loan 1'!$B$23),COLUMN('Loan 1'!$B$23),4)</f>
        <v>B23</v>
      </c>
      <c r="C5498" t="str">
        <f>ADDRESS(ROW('Loan 1'!$D$23),COLUMN('Loan 1'!$D$23),4)</f>
        <v>D23</v>
      </c>
      <c r="D5498" t="b" cm="1">
        <f t="array" aca="1" ref="D5498" ca="1">IF(INDIRECT("'"&amp;A5498&amp;"'!"&amp;B5498)="",FALSE,IF(INDIRECT("'"&amp;A5498&amp;"'!"&amp;B5498)&lt;0,TRUE,FALSE))</f>
        <v>0</v>
      </c>
      <c r="E5498" t="s">
        <v>434</v>
      </c>
      <c r="F5498" t="str">
        <f>INDEX(Lists!I:I,MATCH(Validation!E5498,Lists!G:G,0))</f>
        <v>Error</v>
      </c>
      <c r="G5498" t="str">
        <f>INDEX(Lists!H:H,MATCH(Validation!E5498,Lists!G:G,0))</f>
        <v>Amount may not be negative. Enter an amount greater than or equal to zero.</v>
      </c>
      <c r="H5498" s="16" t="str">
        <f t="shared" ca="1" si="597"/>
        <v/>
      </c>
      <c r="I5498" s="16" t="str">
        <f t="shared" ca="1" si="598"/>
        <v/>
      </c>
      <c r="J5498" s="17" t="str">
        <f t="shared" ca="1" si="599"/>
        <v/>
      </c>
    </row>
    <row r="5499" spans="1:10" x14ac:dyDescent="0.25">
      <c r="A5499" t="s">
        <v>937</v>
      </c>
      <c r="B5499" t="str">
        <f>ADDRESS(ROW('Loan 1'!$B$23),COLUMN('Loan 1'!$B$23),4)</f>
        <v>B23</v>
      </c>
      <c r="C5499" t="str">
        <f>ADDRESS(ROW('Loan 1'!$D$23),COLUMN('Loan 1'!$D$23),4)</f>
        <v>D23</v>
      </c>
      <c r="D5499" t="b" cm="1">
        <f t="array" aca="1" ref="D5499" ca="1">IF(INDIRECT("'"&amp;A5499&amp;"'!"&amp;B5499)="",FALSE,IF(INDIRECT("'"&amp;A5499&amp;"'!"&amp;B5499)&lt;0,TRUE,FALSE))</f>
        <v>0</v>
      </c>
      <c r="E5499" t="s">
        <v>434</v>
      </c>
      <c r="F5499" t="str">
        <f>INDEX(Lists!I:I,MATCH(Validation!E5499,Lists!G:G,0))</f>
        <v>Error</v>
      </c>
      <c r="G5499" t="str">
        <f>INDEX(Lists!H:H,MATCH(Validation!E5499,Lists!G:G,0))</f>
        <v>Amount may not be negative. Enter an amount greater than or equal to zero.</v>
      </c>
      <c r="H5499" s="16" t="str">
        <f t="shared" ca="1" si="597"/>
        <v/>
      </c>
      <c r="I5499" s="16" t="str">
        <f t="shared" ca="1" si="598"/>
        <v/>
      </c>
      <c r="J5499" s="17" t="str">
        <f t="shared" ca="1" si="599"/>
        <v/>
      </c>
    </row>
    <row r="5500" spans="1:10" x14ac:dyDescent="0.25">
      <c r="A5500" t="s">
        <v>938</v>
      </c>
      <c r="B5500" t="str">
        <f>ADDRESS(ROW('Loan 1'!$B$23),COLUMN('Loan 1'!$B$23),4)</f>
        <v>B23</v>
      </c>
      <c r="C5500" t="str">
        <f>ADDRESS(ROW('Loan 1'!$D$23),COLUMN('Loan 1'!$D$23),4)</f>
        <v>D23</v>
      </c>
      <c r="D5500" t="b" cm="1">
        <f t="array" aca="1" ref="D5500" ca="1">IF(INDIRECT("'"&amp;A5500&amp;"'!"&amp;B5500)="",FALSE,IF(INDIRECT("'"&amp;A5500&amp;"'!"&amp;B5500)&lt;0,TRUE,FALSE))</f>
        <v>0</v>
      </c>
      <c r="E5500" t="s">
        <v>434</v>
      </c>
      <c r="F5500" t="str">
        <f>INDEX(Lists!I:I,MATCH(Validation!E5500,Lists!G:G,0))</f>
        <v>Error</v>
      </c>
      <c r="G5500" t="str">
        <f>INDEX(Lists!H:H,MATCH(Validation!E5500,Lists!G:G,0))</f>
        <v>Amount may not be negative. Enter an amount greater than or equal to zero.</v>
      </c>
      <c r="H5500" s="16" t="str">
        <f t="shared" ca="1" si="597"/>
        <v/>
      </c>
      <c r="I5500" s="16" t="str">
        <f t="shared" ca="1" si="598"/>
        <v/>
      </c>
      <c r="J5500" s="17" t="str">
        <f t="shared" ca="1" si="599"/>
        <v/>
      </c>
    </row>
    <row r="5501" spans="1:10" x14ac:dyDescent="0.25">
      <c r="A5501" t="s">
        <v>939</v>
      </c>
      <c r="B5501" t="str">
        <f>ADDRESS(ROW('Loan 1'!$B$23),COLUMN('Loan 1'!$B$23),4)</f>
        <v>B23</v>
      </c>
      <c r="C5501" t="str">
        <f>ADDRESS(ROW('Loan 1'!$D$23),COLUMN('Loan 1'!$D$23),4)</f>
        <v>D23</v>
      </c>
      <c r="D5501" t="b" cm="1">
        <f t="array" aca="1" ref="D5501" ca="1">IF(INDIRECT("'"&amp;A5501&amp;"'!"&amp;B5501)="",FALSE,IF(INDIRECT("'"&amp;A5501&amp;"'!"&amp;B5501)&lt;0,TRUE,FALSE))</f>
        <v>0</v>
      </c>
      <c r="E5501" t="s">
        <v>434</v>
      </c>
      <c r="F5501" t="str">
        <f>INDEX(Lists!I:I,MATCH(Validation!E5501,Lists!G:G,0))</f>
        <v>Error</v>
      </c>
      <c r="G5501" t="str">
        <f>INDEX(Lists!H:H,MATCH(Validation!E5501,Lists!G:G,0))</f>
        <v>Amount may not be negative. Enter an amount greater than or equal to zero.</v>
      </c>
      <c r="H5501" s="16" t="str">
        <f t="shared" ca="1" si="597"/>
        <v/>
      </c>
      <c r="I5501" s="16" t="str">
        <f t="shared" ca="1" si="598"/>
        <v/>
      </c>
      <c r="J5501" s="17" t="str">
        <f t="shared" ca="1" si="599"/>
        <v/>
      </c>
    </row>
    <row r="5502" spans="1:10" x14ac:dyDescent="0.25">
      <c r="A5502" t="s">
        <v>940</v>
      </c>
      <c r="B5502" t="str">
        <f>ADDRESS(ROW('Loan 1'!$B$23),COLUMN('Loan 1'!$B$23),4)</f>
        <v>B23</v>
      </c>
      <c r="C5502" t="str">
        <f>ADDRESS(ROW('Loan 1'!$D$23),COLUMN('Loan 1'!$D$23),4)</f>
        <v>D23</v>
      </c>
      <c r="D5502" t="b" cm="1">
        <f t="array" aca="1" ref="D5502" ca="1">IF(INDIRECT("'"&amp;A5502&amp;"'!"&amp;B5502)="",FALSE,IF(INDIRECT("'"&amp;A5502&amp;"'!"&amp;B5502)&lt;0,TRUE,FALSE))</f>
        <v>0</v>
      </c>
      <c r="E5502" t="s">
        <v>434</v>
      </c>
      <c r="F5502" t="str">
        <f>INDEX(Lists!I:I,MATCH(Validation!E5502,Lists!G:G,0))</f>
        <v>Error</v>
      </c>
      <c r="G5502" t="str">
        <f>INDEX(Lists!H:H,MATCH(Validation!E5502,Lists!G:G,0))</f>
        <v>Amount may not be negative. Enter an amount greater than or equal to zero.</v>
      </c>
      <c r="H5502" s="16" t="str">
        <f t="shared" ca="1" si="597"/>
        <v/>
      </c>
      <c r="I5502" s="16" t="str">
        <f t="shared" ca="1" si="598"/>
        <v/>
      </c>
      <c r="J5502" s="17" t="str">
        <f t="shared" ca="1" si="599"/>
        <v/>
      </c>
    </row>
    <row r="5503" spans="1:10" x14ac:dyDescent="0.25">
      <c r="A5503" t="s">
        <v>941</v>
      </c>
      <c r="B5503" t="str">
        <f>ADDRESS(ROW('Loan 1'!$B$23),COLUMN('Loan 1'!$B$23),4)</f>
        <v>B23</v>
      </c>
      <c r="C5503" t="str">
        <f>ADDRESS(ROW('Loan 1'!$D$23),COLUMN('Loan 1'!$D$23),4)</f>
        <v>D23</v>
      </c>
      <c r="D5503" t="b" cm="1">
        <f t="array" aca="1" ref="D5503" ca="1">IF(INDIRECT("'"&amp;A5503&amp;"'!"&amp;B5503)="",FALSE,IF(INDIRECT("'"&amp;A5503&amp;"'!"&amp;B5503)&lt;0,TRUE,FALSE))</f>
        <v>0</v>
      </c>
      <c r="E5503" t="s">
        <v>434</v>
      </c>
      <c r="F5503" t="str">
        <f>INDEX(Lists!I:I,MATCH(Validation!E5503,Lists!G:G,0))</f>
        <v>Error</v>
      </c>
      <c r="G5503" t="str">
        <f>INDEX(Lists!H:H,MATCH(Validation!E5503,Lists!G:G,0))</f>
        <v>Amount may not be negative. Enter an amount greater than or equal to zero.</v>
      </c>
      <c r="H5503" s="16" t="str">
        <f t="shared" ca="1" si="597"/>
        <v/>
      </c>
      <c r="I5503" s="16" t="str">
        <f t="shared" ca="1" si="598"/>
        <v/>
      </c>
      <c r="J5503" s="17" t="str">
        <f t="shared" ca="1" si="599"/>
        <v/>
      </c>
    </row>
    <row r="5504" spans="1:10" x14ac:dyDescent="0.25">
      <c r="A5504" t="s">
        <v>942</v>
      </c>
      <c r="B5504" t="str">
        <f>ADDRESS(ROW('Loan 1'!$B$23),COLUMN('Loan 1'!$B$23),4)</f>
        <v>B23</v>
      </c>
      <c r="C5504" t="str">
        <f>ADDRESS(ROW('Loan 1'!$D$23),COLUMN('Loan 1'!$D$23),4)</f>
        <v>D23</v>
      </c>
      <c r="D5504" t="b" cm="1">
        <f t="array" aca="1" ref="D5504" ca="1">IF(INDIRECT("'"&amp;A5504&amp;"'!"&amp;B5504)="",FALSE,IF(INDIRECT("'"&amp;A5504&amp;"'!"&amp;B5504)&lt;0,TRUE,FALSE))</f>
        <v>0</v>
      </c>
      <c r="E5504" t="s">
        <v>434</v>
      </c>
      <c r="F5504" t="str">
        <f>INDEX(Lists!I:I,MATCH(Validation!E5504,Lists!G:G,0))</f>
        <v>Error</v>
      </c>
      <c r="G5504" t="str">
        <f>INDEX(Lists!H:H,MATCH(Validation!E5504,Lists!G:G,0))</f>
        <v>Amount may not be negative. Enter an amount greater than or equal to zero.</v>
      </c>
      <c r="H5504" s="16" t="str">
        <f t="shared" ca="1" si="597"/>
        <v/>
      </c>
      <c r="I5504" s="16" t="str">
        <f t="shared" ca="1" si="598"/>
        <v/>
      </c>
      <c r="J5504" s="17" t="str">
        <f t="shared" ca="1" si="599"/>
        <v/>
      </c>
    </row>
    <row r="5505" spans="1:10" x14ac:dyDescent="0.25">
      <c r="A5505" t="s">
        <v>943</v>
      </c>
      <c r="B5505" t="str">
        <f>ADDRESS(ROW('Loan 1'!$B$23),COLUMN('Loan 1'!$B$23),4)</f>
        <v>B23</v>
      </c>
      <c r="C5505" t="str">
        <f>ADDRESS(ROW('Loan 1'!$D$23),COLUMN('Loan 1'!$D$23),4)</f>
        <v>D23</v>
      </c>
      <c r="D5505" t="b" cm="1">
        <f t="array" aca="1" ref="D5505" ca="1">IF(INDIRECT("'"&amp;A5505&amp;"'!"&amp;B5505)="",FALSE,IF(INDIRECT("'"&amp;A5505&amp;"'!"&amp;B5505)&lt;0,TRUE,FALSE))</f>
        <v>0</v>
      </c>
      <c r="E5505" t="s">
        <v>434</v>
      </c>
      <c r="F5505" t="str">
        <f>INDEX(Lists!I:I,MATCH(Validation!E5505,Lists!G:G,0))</f>
        <v>Error</v>
      </c>
      <c r="G5505" t="str">
        <f>INDEX(Lists!H:H,MATCH(Validation!E5505,Lists!G:G,0))</f>
        <v>Amount may not be negative. Enter an amount greater than or equal to zero.</v>
      </c>
      <c r="H5505" s="16" t="str">
        <f t="shared" ca="1" si="597"/>
        <v/>
      </c>
      <c r="I5505" s="16" t="str">
        <f t="shared" ca="1" si="598"/>
        <v/>
      </c>
      <c r="J5505" s="17" t="str">
        <f t="shared" ca="1" si="599"/>
        <v/>
      </c>
    </row>
    <row r="5506" spans="1:10" x14ac:dyDescent="0.25">
      <c r="A5506" t="s">
        <v>944</v>
      </c>
      <c r="B5506" t="str">
        <f>ADDRESS(ROW('Loan 1'!$B$23),COLUMN('Loan 1'!$B$23),4)</f>
        <v>B23</v>
      </c>
      <c r="C5506" t="str">
        <f>ADDRESS(ROW('Loan 1'!$D$23),COLUMN('Loan 1'!$D$23),4)</f>
        <v>D23</v>
      </c>
      <c r="D5506" t="b" cm="1">
        <f t="array" aca="1" ref="D5506" ca="1">IF(INDIRECT("'"&amp;A5506&amp;"'!"&amp;B5506)="",FALSE,IF(INDIRECT("'"&amp;A5506&amp;"'!"&amp;B5506)&lt;0,TRUE,FALSE))</f>
        <v>0</v>
      </c>
      <c r="E5506" t="s">
        <v>434</v>
      </c>
      <c r="F5506" t="str">
        <f>INDEX(Lists!I:I,MATCH(Validation!E5506,Lists!G:G,0))</f>
        <v>Error</v>
      </c>
      <c r="G5506" t="str">
        <f>INDEX(Lists!H:H,MATCH(Validation!E5506,Lists!G:G,0))</f>
        <v>Amount may not be negative. Enter an amount greater than or equal to zero.</v>
      </c>
      <c r="H5506" s="16" t="str">
        <f t="shared" ca="1" si="597"/>
        <v/>
      </c>
      <c r="I5506" s="16" t="str">
        <f t="shared" ca="1" si="598"/>
        <v/>
      </c>
      <c r="J5506" s="17" t="str">
        <f t="shared" ca="1" si="599"/>
        <v/>
      </c>
    </row>
    <row r="5507" spans="1:10" x14ac:dyDescent="0.25">
      <c r="A5507" t="s">
        <v>945</v>
      </c>
      <c r="B5507" t="str">
        <f>ADDRESS(ROW('Loan 1'!$B$23),COLUMN('Loan 1'!$B$23),4)</f>
        <v>B23</v>
      </c>
      <c r="C5507" t="str">
        <f>ADDRESS(ROW('Loan 1'!$D$23),COLUMN('Loan 1'!$D$23),4)</f>
        <v>D23</v>
      </c>
      <c r="D5507" t="b" cm="1">
        <f t="array" aca="1" ref="D5507" ca="1">IF(INDIRECT("'"&amp;A5507&amp;"'!"&amp;B5507)="",FALSE,IF(INDIRECT("'"&amp;A5507&amp;"'!"&amp;B5507)&lt;0,TRUE,FALSE))</f>
        <v>0</v>
      </c>
      <c r="E5507" t="s">
        <v>434</v>
      </c>
      <c r="F5507" t="str">
        <f>INDEX(Lists!I:I,MATCH(Validation!E5507,Lists!G:G,0))</f>
        <v>Error</v>
      </c>
      <c r="G5507" t="str">
        <f>INDEX(Lists!H:H,MATCH(Validation!E5507,Lists!G:G,0))</f>
        <v>Amount may not be negative. Enter an amount greater than or equal to zero.</v>
      </c>
      <c r="H5507" s="16" t="str">
        <f t="shared" ca="1" si="597"/>
        <v/>
      </c>
      <c r="I5507" s="16" t="str">
        <f t="shared" ca="1" si="598"/>
        <v/>
      </c>
      <c r="J5507" s="17" t="str">
        <f t="shared" ca="1" si="599"/>
        <v/>
      </c>
    </row>
    <row r="5508" spans="1:10" x14ac:dyDescent="0.25">
      <c r="A5508" t="s">
        <v>205</v>
      </c>
      <c r="B5508" t="str">
        <f>ADDRESS(ROW('Loan 1'!$B$23),COLUMN('Loan 1'!$B$23),4)</f>
        <v>B23</v>
      </c>
      <c r="C5508" t="str">
        <f>ADDRESS(ROW('Loan 1'!$D$23),COLUMN('Loan 1'!$D$23),4)</f>
        <v>D23</v>
      </c>
      <c r="D5508" t="b" cm="1">
        <f t="array" aca="1" ref="D5508" ca="1">IF(INDIRECT("'"&amp;A5508&amp;"'!"&amp;B5508)="",FALSE,IF(TRUNC(INDIRECT("'"&amp;A5508&amp;"'!"&amp;B5508))=INDIRECT("'"&amp;A5508&amp;"'!"&amp;B5508),FALSE,TRUE))</f>
        <v>0</v>
      </c>
      <c r="E5508" t="s">
        <v>436</v>
      </c>
      <c r="F5508" t="str">
        <f>INDEX(Lists!I:I,MATCH(Validation!E5508,Lists!G:G,0))</f>
        <v>Error</v>
      </c>
      <c r="G5508" t="str">
        <f>INDEX(Lists!H:H,MATCH(Validation!E5508,Lists!G:G,0))</f>
        <v>Amount must be rounded to the nearest dollar.</v>
      </c>
      <c r="H5508" s="16" t="str">
        <f t="shared" ca="1" si="597"/>
        <v/>
      </c>
      <c r="I5508" s="16" t="str">
        <f t="shared" ca="1" si="598"/>
        <v/>
      </c>
      <c r="J5508" s="17" t="str">
        <f t="shared" ca="1" si="599"/>
        <v/>
      </c>
    </row>
    <row r="5509" spans="1:10" x14ac:dyDescent="0.25">
      <c r="A5509" t="s">
        <v>932</v>
      </c>
      <c r="B5509" t="str">
        <f>ADDRESS(ROW('Loan 1'!$B$23),COLUMN('Loan 1'!$B$23),4)</f>
        <v>B23</v>
      </c>
      <c r="C5509" t="str">
        <f>ADDRESS(ROW('Loan 1'!$D$23),COLUMN('Loan 1'!$D$23),4)</f>
        <v>D23</v>
      </c>
      <c r="D5509" t="b" cm="1">
        <f t="array" aca="1" ref="D5509" ca="1">IF(INDIRECT("'"&amp;A5509&amp;"'!"&amp;B5509)="",FALSE,IF(TRUNC(INDIRECT("'"&amp;A5509&amp;"'!"&amp;B5509))=INDIRECT("'"&amp;A5509&amp;"'!"&amp;B5509),FALSE,TRUE))</f>
        <v>0</v>
      </c>
      <c r="E5509" t="s">
        <v>436</v>
      </c>
      <c r="F5509" t="str">
        <f>INDEX(Lists!I:I,MATCH(Validation!E5509,Lists!G:G,0))</f>
        <v>Error</v>
      </c>
      <c r="G5509" t="str">
        <f>INDEX(Lists!H:H,MATCH(Validation!E5509,Lists!G:G,0))</f>
        <v>Amount must be rounded to the nearest dollar.</v>
      </c>
      <c r="H5509" s="16" t="str">
        <f t="shared" ca="1" si="597"/>
        <v/>
      </c>
      <c r="I5509" s="16" t="str">
        <f t="shared" ca="1" si="598"/>
        <v/>
      </c>
      <c r="J5509" s="17" t="str">
        <f t="shared" ca="1" si="599"/>
        <v/>
      </c>
    </row>
    <row r="5510" spans="1:10" x14ac:dyDescent="0.25">
      <c r="A5510" t="s">
        <v>933</v>
      </c>
      <c r="B5510" t="str">
        <f>ADDRESS(ROW('Loan 1'!$B$23),COLUMN('Loan 1'!$B$23),4)</f>
        <v>B23</v>
      </c>
      <c r="C5510" t="str">
        <f>ADDRESS(ROW('Loan 1'!$D$23),COLUMN('Loan 1'!$D$23),4)</f>
        <v>D23</v>
      </c>
      <c r="D5510" t="b" cm="1">
        <f t="array" aca="1" ref="D5510" ca="1">IF(INDIRECT("'"&amp;A5510&amp;"'!"&amp;B5510)="",FALSE,IF(TRUNC(INDIRECT("'"&amp;A5510&amp;"'!"&amp;B5510))=INDIRECT("'"&amp;A5510&amp;"'!"&amp;B5510),FALSE,TRUE))</f>
        <v>0</v>
      </c>
      <c r="E5510" t="s">
        <v>436</v>
      </c>
      <c r="F5510" t="str">
        <f>INDEX(Lists!I:I,MATCH(Validation!E5510,Lists!G:G,0))</f>
        <v>Error</v>
      </c>
      <c r="G5510" t="str">
        <f>INDEX(Lists!H:H,MATCH(Validation!E5510,Lists!G:G,0))</f>
        <v>Amount must be rounded to the nearest dollar.</v>
      </c>
      <c r="H5510" s="16" t="str">
        <f t="shared" ca="1" si="597"/>
        <v/>
      </c>
      <c r="I5510" s="16" t="str">
        <f t="shared" ca="1" si="598"/>
        <v/>
      </c>
      <c r="J5510" s="17" t="str">
        <f t="shared" ca="1" si="599"/>
        <v/>
      </c>
    </row>
    <row r="5511" spans="1:10" x14ac:dyDescent="0.25">
      <c r="A5511" t="s">
        <v>934</v>
      </c>
      <c r="B5511" t="str">
        <f>ADDRESS(ROW('Loan 1'!$B$23),COLUMN('Loan 1'!$B$23),4)</f>
        <v>B23</v>
      </c>
      <c r="C5511" t="str">
        <f>ADDRESS(ROW('Loan 1'!$D$23),COLUMN('Loan 1'!$D$23),4)</f>
        <v>D23</v>
      </c>
      <c r="D5511" t="b" cm="1">
        <f t="array" aca="1" ref="D5511" ca="1">IF(INDIRECT("'"&amp;A5511&amp;"'!"&amp;B5511)="",FALSE,IF(TRUNC(INDIRECT("'"&amp;A5511&amp;"'!"&amp;B5511))=INDIRECT("'"&amp;A5511&amp;"'!"&amp;B5511),FALSE,TRUE))</f>
        <v>0</v>
      </c>
      <c r="E5511" t="s">
        <v>436</v>
      </c>
      <c r="F5511" t="str">
        <f>INDEX(Lists!I:I,MATCH(Validation!E5511,Lists!G:G,0))</f>
        <v>Error</v>
      </c>
      <c r="G5511" t="str">
        <f>INDEX(Lists!H:H,MATCH(Validation!E5511,Lists!G:G,0))</f>
        <v>Amount must be rounded to the nearest dollar.</v>
      </c>
      <c r="H5511" s="16" t="str">
        <f t="shared" ca="1" si="597"/>
        <v/>
      </c>
      <c r="I5511" s="16" t="str">
        <f t="shared" ca="1" si="598"/>
        <v/>
      </c>
      <c r="J5511" s="17" t="str">
        <f t="shared" ca="1" si="599"/>
        <v/>
      </c>
    </row>
    <row r="5512" spans="1:10" x14ac:dyDescent="0.25">
      <c r="A5512" t="s">
        <v>935</v>
      </c>
      <c r="B5512" t="str">
        <f>ADDRESS(ROW('Loan 1'!$B$23),COLUMN('Loan 1'!$B$23),4)</f>
        <v>B23</v>
      </c>
      <c r="C5512" t="str">
        <f>ADDRESS(ROW('Loan 1'!$D$23),COLUMN('Loan 1'!$D$23),4)</f>
        <v>D23</v>
      </c>
      <c r="D5512" t="b" cm="1">
        <f t="array" aca="1" ref="D5512" ca="1">IF(INDIRECT("'"&amp;A5512&amp;"'!"&amp;B5512)="",FALSE,IF(TRUNC(INDIRECT("'"&amp;A5512&amp;"'!"&amp;B5512))=INDIRECT("'"&amp;A5512&amp;"'!"&amp;B5512),FALSE,TRUE))</f>
        <v>0</v>
      </c>
      <c r="E5512" t="s">
        <v>436</v>
      </c>
      <c r="F5512" t="str">
        <f>INDEX(Lists!I:I,MATCH(Validation!E5512,Lists!G:G,0))</f>
        <v>Error</v>
      </c>
      <c r="G5512" t="str">
        <f>INDEX(Lists!H:H,MATCH(Validation!E5512,Lists!G:G,0))</f>
        <v>Amount must be rounded to the nearest dollar.</v>
      </c>
      <c r="H5512" s="16" t="str">
        <f t="shared" ca="1" si="597"/>
        <v/>
      </c>
      <c r="I5512" s="16" t="str">
        <f t="shared" ca="1" si="598"/>
        <v/>
      </c>
      <c r="J5512" s="17" t="str">
        <f t="shared" ca="1" si="599"/>
        <v/>
      </c>
    </row>
    <row r="5513" spans="1:10" x14ac:dyDescent="0.25">
      <c r="A5513" t="s">
        <v>936</v>
      </c>
      <c r="B5513" t="str">
        <f>ADDRESS(ROW('Loan 1'!$B$23),COLUMN('Loan 1'!$B$23),4)</f>
        <v>B23</v>
      </c>
      <c r="C5513" t="str">
        <f>ADDRESS(ROW('Loan 1'!$D$23),COLUMN('Loan 1'!$D$23),4)</f>
        <v>D23</v>
      </c>
      <c r="D5513" t="b" cm="1">
        <f t="array" aca="1" ref="D5513" ca="1">IF(INDIRECT("'"&amp;A5513&amp;"'!"&amp;B5513)="",FALSE,IF(TRUNC(INDIRECT("'"&amp;A5513&amp;"'!"&amp;B5513))=INDIRECT("'"&amp;A5513&amp;"'!"&amp;B5513),FALSE,TRUE))</f>
        <v>0</v>
      </c>
      <c r="E5513" t="s">
        <v>436</v>
      </c>
      <c r="F5513" t="str">
        <f>INDEX(Lists!I:I,MATCH(Validation!E5513,Lists!G:G,0))</f>
        <v>Error</v>
      </c>
      <c r="G5513" t="str">
        <f>INDEX(Lists!H:H,MATCH(Validation!E5513,Lists!G:G,0))</f>
        <v>Amount must be rounded to the nearest dollar.</v>
      </c>
      <c r="H5513" s="16" t="str">
        <f t="shared" ca="1" si="597"/>
        <v/>
      </c>
      <c r="I5513" s="16" t="str">
        <f t="shared" ca="1" si="598"/>
        <v/>
      </c>
      <c r="J5513" s="17" t="str">
        <f t="shared" ca="1" si="599"/>
        <v/>
      </c>
    </row>
    <row r="5514" spans="1:10" x14ac:dyDescent="0.25">
      <c r="A5514" t="s">
        <v>937</v>
      </c>
      <c r="B5514" t="str">
        <f>ADDRESS(ROW('Loan 1'!$B$23),COLUMN('Loan 1'!$B$23),4)</f>
        <v>B23</v>
      </c>
      <c r="C5514" t="str">
        <f>ADDRESS(ROW('Loan 1'!$D$23),COLUMN('Loan 1'!$D$23),4)</f>
        <v>D23</v>
      </c>
      <c r="D5514" t="b" cm="1">
        <f t="array" aca="1" ref="D5514" ca="1">IF(INDIRECT("'"&amp;A5514&amp;"'!"&amp;B5514)="",FALSE,IF(TRUNC(INDIRECT("'"&amp;A5514&amp;"'!"&amp;B5514))=INDIRECT("'"&amp;A5514&amp;"'!"&amp;B5514),FALSE,TRUE))</f>
        <v>0</v>
      </c>
      <c r="E5514" t="s">
        <v>436</v>
      </c>
      <c r="F5514" t="str">
        <f>INDEX(Lists!I:I,MATCH(Validation!E5514,Lists!G:G,0))</f>
        <v>Error</v>
      </c>
      <c r="G5514" t="str">
        <f>INDEX(Lists!H:H,MATCH(Validation!E5514,Lists!G:G,0))</f>
        <v>Amount must be rounded to the nearest dollar.</v>
      </c>
      <c r="H5514" s="16" t="str">
        <f t="shared" ca="1" si="597"/>
        <v/>
      </c>
      <c r="I5514" s="16" t="str">
        <f t="shared" ca="1" si="598"/>
        <v/>
      </c>
      <c r="J5514" s="17" t="str">
        <f t="shared" ca="1" si="599"/>
        <v/>
      </c>
    </row>
    <row r="5515" spans="1:10" x14ac:dyDescent="0.25">
      <c r="A5515" t="s">
        <v>938</v>
      </c>
      <c r="B5515" t="str">
        <f>ADDRESS(ROW('Loan 1'!$B$23),COLUMN('Loan 1'!$B$23),4)</f>
        <v>B23</v>
      </c>
      <c r="C5515" t="str">
        <f>ADDRESS(ROW('Loan 1'!$D$23),COLUMN('Loan 1'!$D$23),4)</f>
        <v>D23</v>
      </c>
      <c r="D5515" t="b" cm="1">
        <f t="array" aca="1" ref="D5515" ca="1">IF(INDIRECT("'"&amp;A5515&amp;"'!"&amp;B5515)="",FALSE,IF(TRUNC(INDIRECT("'"&amp;A5515&amp;"'!"&amp;B5515))=INDIRECT("'"&amp;A5515&amp;"'!"&amp;B5515),FALSE,TRUE))</f>
        <v>0</v>
      </c>
      <c r="E5515" t="s">
        <v>436</v>
      </c>
      <c r="F5515" t="str">
        <f>INDEX(Lists!I:I,MATCH(Validation!E5515,Lists!G:G,0))</f>
        <v>Error</v>
      </c>
      <c r="G5515" t="str">
        <f>INDEX(Lists!H:H,MATCH(Validation!E5515,Lists!G:G,0))</f>
        <v>Amount must be rounded to the nearest dollar.</v>
      </c>
      <c r="H5515" s="16" t="str">
        <f t="shared" ca="1" si="597"/>
        <v/>
      </c>
      <c r="I5515" s="16" t="str">
        <f t="shared" ca="1" si="598"/>
        <v/>
      </c>
      <c r="J5515" s="17" t="str">
        <f t="shared" ca="1" si="599"/>
        <v/>
      </c>
    </row>
    <row r="5516" spans="1:10" x14ac:dyDescent="0.25">
      <c r="A5516" t="s">
        <v>939</v>
      </c>
      <c r="B5516" t="str">
        <f>ADDRESS(ROW('Loan 1'!$B$23),COLUMN('Loan 1'!$B$23),4)</f>
        <v>B23</v>
      </c>
      <c r="C5516" t="str">
        <f>ADDRESS(ROW('Loan 1'!$D$23),COLUMN('Loan 1'!$D$23),4)</f>
        <v>D23</v>
      </c>
      <c r="D5516" t="b" cm="1">
        <f t="array" aca="1" ref="D5516" ca="1">IF(INDIRECT("'"&amp;A5516&amp;"'!"&amp;B5516)="",FALSE,IF(TRUNC(INDIRECT("'"&amp;A5516&amp;"'!"&amp;B5516))=INDIRECT("'"&amp;A5516&amp;"'!"&amp;B5516),FALSE,TRUE))</f>
        <v>0</v>
      </c>
      <c r="E5516" t="s">
        <v>436</v>
      </c>
      <c r="F5516" t="str">
        <f>INDEX(Lists!I:I,MATCH(Validation!E5516,Lists!G:G,0))</f>
        <v>Error</v>
      </c>
      <c r="G5516" t="str">
        <f>INDEX(Lists!H:H,MATCH(Validation!E5516,Lists!G:G,0))</f>
        <v>Amount must be rounded to the nearest dollar.</v>
      </c>
      <c r="H5516" s="16" t="str">
        <f t="shared" ca="1" si="597"/>
        <v/>
      </c>
      <c r="I5516" s="16" t="str">
        <f t="shared" ca="1" si="598"/>
        <v/>
      </c>
      <c r="J5516" s="17" t="str">
        <f t="shared" ca="1" si="599"/>
        <v/>
      </c>
    </row>
    <row r="5517" spans="1:10" x14ac:dyDescent="0.25">
      <c r="A5517" t="s">
        <v>940</v>
      </c>
      <c r="B5517" t="str">
        <f>ADDRESS(ROW('Loan 1'!$B$23),COLUMN('Loan 1'!$B$23),4)</f>
        <v>B23</v>
      </c>
      <c r="C5517" t="str">
        <f>ADDRESS(ROW('Loan 1'!$D$23),COLUMN('Loan 1'!$D$23),4)</f>
        <v>D23</v>
      </c>
      <c r="D5517" t="b" cm="1">
        <f t="array" aca="1" ref="D5517" ca="1">IF(INDIRECT("'"&amp;A5517&amp;"'!"&amp;B5517)="",FALSE,IF(TRUNC(INDIRECT("'"&amp;A5517&amp;"'!"&amp;B5517))=INDIRECT("'"&amp;A5517&amp;"'!"&amp;B5517),FALSE,TRUE))</f>
        <v>0</v>
      </c>
      <c r="E5517" t="s">
        <v>436</v>
      </c>
      <c r="F5517" t="str">
        <f>INDEX(Lists!I:I,MATCH(Validation!E5517,Lists!G:G,0))</f>
        <v>Error</v>
      </c>
      <c r="G5517" t="str">
        <f>INDEX(Lists!H:H,MATCH(Validation!E5517,Lists!G:G,0))</f>
        <v>Amount must be rounded to the nearest dollar.</v>
      </c>
      <c r="H5517" s="16" t="str">
        <f t="shared" ca="1" si="597"/>
        <v/>
      </c>
      <c r="I5517" s="16" t="str">
        <f t="shared" ca="1" si="598"/>
        <v/>
      </c>
      <c r="J5517" s="17" t="str">
        <f t="shared" ca="1" si="599"/>
        <v/>
      </c>
    </row>
    <row r="5518" spans="1:10" x14ac:dyDescent="0.25">
      <c r="A5518" t="s">
        <v>941</v>
      </c>
      <c r="B5518" t="str">
        <f>ADDRESS(ROW('Loan 1'!$B$23),COLUMN('Loan 1'!$B$23),4)</f>
        <v>B23</v>
      </c>
      <c r="C5518" t="str">
        <f>ADDRESS(ROW('Loan 1'!$D$23),COLUMN('Loan 1'!$D$23),4)</f>
        <v>D23</v>
      </c>
      <c r="D5518" t="b" cm="1">
        <f t="array" aca="1" ref="D5518" ca="1">IF(INDIRECT("'"&amp;A5518&amp;"'!"&amp;B5518)="",FALSE,IF(TRUNC(INDIRECT("'"&amp;A5518&amp;"'!"&amp;B5518))=INDIRECT("'"&amp;A5518&amp;"'!"&amp;B5518),FALSE,TRUE))</f>
        <v>0</v>
      </c>
      <c r="E5518" t="s">
        <v>436</v>
      </c>
      <c r="F5518" t="str">
        <f>INDEX(Lists!I:I,MATCH(Validation!E5518,Lists!G:G,0))</f>
        <v>Error</v>
      </c>
      <c r="G5518" t="str">
        <f>INDEX(Lists!H:H,MATCH(Validation!E5518,Lists!G:G,0))</f>
        <v>Amount must be rounded to the nearest dollar.</v>
      </c>
      <c r="H5518" s="16" t="str">
        <f t="shared" ca="1" si="597"/>
        <v/>
      </c>
      <c r="I5518" s="16" t="str">
        <f t="shared" ca="1" si="598"/>
        <v/>
      </c>
      <c r="J5518" s="17" t="str">
        <f t="shared" ca="1" si="599"/>
        <v/>
      </c>
    </row>
    <row r="5519" spans="1:10" x14ac:dyDescent="0.25">
      <c r="A5519" t="s">
        <v>942</v>
      </c>
      <c r="B5519" t="str">
        <f>ADDRESS(ROW('Loan 1'!$B$23),COLUMN('Loan 1'!$B$23),4)</f>
        <v>B23</v>
      </c>
      <c r="C5519" t="str">
        <f>ADDRESS(ROW('Loan 1'!$D$23),COLUMN('Loan 1'!$D$23),4)</f>
        <v>D23</v>
      </c>
      <c r="D5519" t="b" cm="1">
        <f t="array" aca="1" ref="D5519" ca="1">IF(INDIRECT("'"&amp;A5519&amp;"'!"&amp;B5519)="",FALSE,IF(TRUNC(INDIRECT("'"&amp;A5519&amp;"'!"&amp;B5519))=INDIRECT("'"&amp;A5519&amp;"'!"&amp;B5519),FALSE,TRUE))</f>
        <v>0</v>
      </c>
      <c r="E5519" t="s">
        <v>436</v>
      </c>
      <c r="F5519" t="str">
        <f>INDEX(Lists!I:I,MATCH(Validation!E5519,Lists!G:G,0))</f>
        <v>Error</v>
      </c>
      <c r="G5519" t="str">
        <f>INDEX(Lists!H:H,MATCH(Validation!E5519,Lists!G:G,0))</f>
        <v>Amount must be rounded to the nearest dollar.</v>
      </c>
      <c r="H5519" s="16" t="str">
        <f t="shared" ca="1" si="597"/>
        <v/>
      </c>
      <c r="I5519" s="16" t="str">
        <f t="shared" ca="1" si="598"/>
        <v/>
      </c>
      <c r="J5519" s="17" t="str">
        <f t="shared" ca="1" si="599"/>
        <v/>
      </c>
    </row>
    <row r="5520" spans="1:10" x14ac:dyDescent="0.25">
      <c r="A5520" t="s">
        <v>943</v>
      </c>
      <c r="B5520" t="str">
        <f>ADDRESS(ROW('Loan 1'!$B$23),COLUMN('Loan 1'!$B$23),4)</f>
        <v>B23</v>
      </c>
      <c r="C5520" t="str">
        <f>ADDRESS(ROW('Loan 1'!$D$23),COLUMN('Loan 1'!$D$23),4)</f>
        <v>D23</v>
      </c>
      <c r="D5520" t="b" cm="1">
        <f t="array" aca="1" ref="D5520" ca="1">IF(INDIRECT("'"&amp;A5520&amp;"'!"&amp;B5520)="",FALSE,IF(TRUNC(INDIRECT("'"&amp;A5520&amp;"'!"&amp;B5520))=INDIRECT("'"&amp;A5520&amp;"'!"&amp;B5520),FALSE,TRUE))</f>
        <v>0</v>
      </c>
      <c r="E5520" t="s">
        <v>436</v>
      </c>
      <c r="F5520" t="str">
        <f>INDEX(Lists!I:I,MATCH(Validation!E5520,Lists!G:G,0))</f>
        <v>Error</v>
      </c>
      <c r="G5520" t="str">
        <f>INDEX(Lists!H:H,MATCH(Validation!E5520,Lists!G:G,0))</f>
        <v>Amount must be rounded to the nearest dollar.</v>
      </c>
      <c r="H5520" s="16" t="str">
        <f t="shared" ca="1" si="597"/>
        <v/>
      </c>
      <c r="I5520" s="16" t="str">
        <f t="shared" ca="1" si="598"/>
        <v/>
      </c>
      <c r="J5520" s="17" t="str">
        <f t="shared" ca="1" si="599"/>
        <v/>
      </c>
    </row>
    <row r="5521" spans="1:10" x14ac:dyDescent="0.25">
      <c r="A5521" t="s">
        <v>944</v>
      </c>
      <c r="B5521" t="str">
        <f>ADDRESS(ROW('Loan 1'!$B$23),COLUMN('Loan 1'!$B$23),4)</f>
        <v>B23</v>
      </c>
      <c r="C5521" t="str">
        <f>ADDRESS(ROW('Loan 1'!$D$23),COLUMN('Loan 1'!$D$23),4)</f>
        <v>D23</v>
      </c>
      <c r="D5521" t="b" cm="1">
        <f t="array" aca="1" ref="D5521" ca="1">IF(INDIRECT("'"&amp;A5521&amp;"'!"&amp;B5521)="",FALSE,IF(TRUNC(INDIRECT("'"&amp;A5521&amp;"'!"&amp;B5521))=INDIRECT("'"&amp;A5521&amp;"'!"&amp;B5521),FALSE,TRUE))</f>
        <v>0</v>
      </c>
      <c r="E5521" t="s">
        <v>436</v>
      </c>
      <c r="F5521" t="str">
        <f>INDEX(Lists!I:I,MATCH(Validation!E5521,Lists!G:G,0))</f>
        <v>Error</v>
      </c>
      <c r="G5521" t="str">
        <f>INDEX(Lists!H:H,MATCH(Validation!E5521,Lists!G:G,0))</f>
        <v>Amount must be rounded to the nearest dollar.</v>
      </c>
      <c r="H5521" s="16" t="str">
        <f t="shared" ca="1" si="597"/>
        <v/>
      </c>
      <c r="I5521" s="16" t="str">
        <f t="shared" ca="1" si="598"/>
        <v/>
      </c>
      <c r="J5521" s="17" t="str">
        <f t="shared" ca="1" si="599"/>
        <v/>
      </c>
    </row>
    <row r="5522" spans="1:10" x14ac:dyDescent="0.25">
      <c r="A5522" t="s">
        <v>945</v>
      </c>
      <c r="B5522" t="str">
        <f>ADDRESS(ROW('Loan 1'!$B$23),COLUMN('Loan 1'!$B$23),4)</f>
        <v>B23</v>
      </c>
      <c r="C5522" t="str">
        <f>ADDRESS(ROW('Loan 1'!$D$23),COLUMN('Loan 1'!$D$23),4)</f>
        <v>D23</v>
      </c>
      <c r="D5522" t="b" cm="1">
        <f t="array" aca="1" ref="D5522" ca="1">IF(INDIRECT("'"&amp;A5522&amp;"'!"&amp;B5522)="",FALSE,IF(TRUNC(INDIRECT("'"&amp;A5522&amp;"'!"&amp;B5522))=INDIRECT("'"&amp;A5522&amp;"'!"&amp;B5522),FALSE,TRUE))</f>
        <v>0</v>
      </c>
      <c r="E5522" t="s">
        <v>436</v>
      </c>
      <c r="F5522" t="str">
        <f>INDEX(Lists!I:I,MATCH(Validation!E5522,Lists!G:G,0))</f>
        <v>Error</v>
      </c>
      <c r="G5522" t="str">
        <f>INDEX(Lists!H:H,MATCH(Validation!E5522,Lists!G:G,0))</f>
        <v>Amount must be rounded to the nearest dollar.</v>
      </c>
      <c r="H5522" s="16" t="str">
        <f t="shared" ca="1" si="597"/>
        <v/>
      </c>
      <c r="I5522" s="16" t="str">
        <f t="shared" ca="1" si="598"/>
        <v/>
      </c>
      <c r="J5522" s="17" t="str">
        <f t="shared" ca="1" si="599"/>
        <v/>
      </c>
    </row>
    <row r="5523" spans="1:10" x14ac:dyDescent="0.25">
      <c r="A5523" t="s">
        <v>205</v>
      </c>
      <c r="B5523" t="str">
        <f>ADDRESS(ROW('Loan 1'!$C$23),COLUMN('Loan 1'!$C$23),4)</f>
        <v>C23</v>
      </c>
      <c r="C5523" t="str">
        <f>ADDRESS(ROW('Loan 1'!$D$23),COLUMN('Loan 1'!$D$23),4)</f>
        <v>D23</v>
      </c>
      <c r="D5523" t="b" cm="1">
        <f t="array" aca="1" ref="D5523" ca="1">IF(INDIRECT("'"&amp;A5523&amp;"'!"&amp;B5523)="",FALSE,IF(NOT(ISNUMBER(INDIRECT("'"&amp;A5523&amp;"'!"&amp;B5523))),TRUE,FALSE))</f>
        <v>0</v>
      </c>
      <c r="E5523" t="s">
        <v>435</v>
      </c>
      <c r="F5523" t="str">
        <f>INDEX(Lists!I:I,MATCH(Validation!E5523,Lists!G:G,0))</f>
        <v>Error</v>
      </c>
      <c r="G5523" t="str">
        <f>INDEX(Lists!H:H,MATCH(Validation!E5523,Lists!G:G,0))</f>
        <v>Enter an amount only. Do not enter text or spaces.</v>
      </c>
      <c r="H5523" s="16" t="str">
        <f ca="1">IFERROR(IF(OR(NOT(D5523),F5523&lt;&gt;"Error"),"",A5523&amp;CELL("address",INDIRECT(B5523))),"")</f>
        <v/>
      </c>
      <c r="I5523" s="16" t="str">
        <f ca="1">IFERROR(IF(NOT(D5523),"",A5523&amp;CELL("address",INDIRECT(C5523))),"")</f>
        <v/>
      </c>
      <c r="J5523" s="17" t="str">
        <f ca="1">IFERROR(IF(NOT(D5523),"",A5523),"")</f>
        <v/>
      </c>
    </row>
    <row r="5524" spans="1:10" x14ac:dyDescent="0.25">
      <c r="A5524" t="s">
        <v>932</v>
      </c>
      <c r="B5524" t="str">
        <f>ADDRESS(ROW('Loan 1'!$C$23),COLUMN('Loan 1'!$C$23),4)</f>
        <v>C23</v>
      </c>
      <c r="C5524" t="str">
        <f>ADDRESS(ROW('Loan 1'!$D$23),COLUMN('Loan 1'!$D$23),4)</f>
        <v>D23</v>
      </c>
      <c r="D5524" t="b" cm="1">
        <f t="array" aca="1" ref="D5524" ca="1">IF(INDIRECT("'"&amp;A5524&amp;"'!"&amp;B5524)="",FALSE,IF(NOT(ISNUMBER(INDIRECT("'"&amp;A5524&amp;"'!"&amp;B5524))),TRUE,FALSE))</f>
        <v>0</v>
      </c>
      <c r="E5524" t="s">
        <v>435</v>
      </c>
      <c r="F5524" t="str">
        <f>INDEX(Lists!I:I,MATCH(Validation!E5524,Lists!G:G,0))</f>
        <v>Error</v>
      </c>
      <c r="G5524" t="str">
        <f>INDEX(Lists!H:H,MATCH(Validation!E5524,Lists!G:G,0))</f>
        <v>Enter an amount only. Do not enter text or spaces.</v>
      </c>
      <c r="H5524" s="16" t="str">
        <f t="shared" ref="H5524:H5537" ca="1" si="600">IFERROR(IF(OR(NOT(D5524),F5524&lt;&gt;"Error"),"",A5524&amp;CELL("address",INDIRECT(B5524))),"")</f>
        <v/>
      </c>
      <c r="I5524" s="16" t="str">
        <f t="shared" ref="I5524:I5537" ca="1" si="601">IFERROR(IF(NOT(D5524),"",A5524&amp;CELL("address",INDIRECT(C5524))),"")</f>
        <v/>
      </c>
      <c r="J5524" s="17" t="str">
        <f t="shared" ref="J5524:J5537" ca="1" si="602">IFERROR(IF(NOT(D5524),"",A5524),"")</f>
        <v/>
      </c>
    </row>
    <row r="5525" spans="1:10" x14ac:dyDescent="0.25">
      <c r="A5525" t="s">
        <v>933</v>
      </c>
      <c r="B5525" t="str">
        <f>ADDRESS(ROW('Loan 1'!$C$23),COLUMN('Loan 1'!$C$23),4)</f>
        <v>C23</v>
      </c>
      <c r="C5525" t="str">
        <f>ADDRESS(ROW('Loan 1'!$D$23),COLUMN('Loan 1'!$D$23),4)</f>
        <v>D23</v>
      </c>
      <c r="D5525" t="b" cm="1">
        <f t="array" aca="1" ref="D5525" ca="1">IF(INDIRECT("'"&amp;A5525&amp;"'!"&amp;B5525)="",FALSE,IF(NOT(ISNUMBER(INDIRECT("'"&amp;A5525&amp;"'!"&amp;B5525))),TRUE,FALSE))</f>
        <v>0</v>
      </c>
      <c r="E5525" t="s">
        <v>435</v>
      </c>
      <c r="F5525" t="str">
        <f>INDEX(Lists!I:I,MATCH(Validation!E5525,Lists!G:G,0))</f>
        <v>Error</v>
      </c>
      <c r="G5525" t="str">
        <f>INDEX(Lists!H:H,MATCH(Validation!E5525,Lists!G:G,0))</f>
        <v>Enter an amount only. Do not enter text or spaces.</v>
      </c>
      <c r="H5525" s="16" t="str">
        <f t="shared" ca="1" si="600"/>
        <v/>
      </c>
      <c r="I5525" s="16" t="str">
        <f t="shared" ca="1" si="601"/>
        <v/>
      </c>
      <c r="J5525" s="17" t="str">
        <f t="shared" ca="1" si="602"/>
        <v/>
      </c>
    </row>
    <row r="5526" spans="1:10" x14ac:dyDescent="0.25">
      <c r="A5526" t="s">
        <v>934</v>
      </c>
      <c r="B5526" t="str">
        <f>ADDRESS(ROW('Loan 1'!$C$23),COLUMN('Loan 1'!$C$23),4)</f>
        <v>C23</v>
      </c>
      <c r="C5526" t="str">
        <f>ADDRESS(ROW('Loan 1'!$D$23),COLUMN('Loan 1'!$D$23),4)</f>
        <v>D23</v>
      </c>
      <c r="D5526" t="b" cm="1">
        <f t="array" aca="1" ref="D5526" ca="1">IF(INDIRECT("'"&amp;A5526&amp;"'!"&amp;B5526)="",FALSE,IF(NOT(ISNUMBER(INDIRECT("'"&amp;A5526&amp;"'!"&amp;B5526))),TRUE,FALSE))</f>
        <v>0</v>
      </c>
      <c r="E5526" t="s">
        <v>435</v>
      </c>
      <c r="F5526" t="str">
        <f>INDEX(Lists!I:I,MATCH(Validation!E5526,Lists!G:G,0))</f>
        <v>Error</v>
      </c>
      <c r="G5526" t="str">
        <f>INDEX(Lists!H:H,MATCH(Validation!E5526,Lists!G:G,0))</f>
        <v>Enter an amount only. Do not enter text or spaces.</v>
      </c>
      <c r="H5526" s="16" t="str">
        <f t="shared" ca="1" si="600"/>
        <v/>
      </c>
      <c r="I5526" s="16" t="str">
        <f t="shared" ca="1" si="601"/>
        <v/>
      </c>
      <c r="J5526" s="17" t="str">
        <f t="shared" ca="1" si="602"/>
        <v/>
      </c>
    </row>
    <row r="5527" spans="1:10" x14ac:dyDescent="0.25">
      <c r="A5527" t="s">
        <v>935</v>
      </c>
      <c r="B5527" t="str">
        <f>ADDRESS(ROW('Loan 1'!$C$23),COLUMN('Loan 1'!$C$23),4)</f>
        <v>C23</v>
      </c>
      <c r="C5527" t="str">
        <f>ADDRESS(ROW('Loan 1'!$D$23),COLUMN('Loan 1'!$D$23),4)</f>
        <v>D23</v>
      </c>
      <c r="D5527" t="b" cm="1">
        <f t="array" aca="1" ref="D5527" ca="1">IF(INDIRECT("'"&amp;A5527&amp;"'!"&amp;B5527)="",FALSE,IF(NOT(ISNUMBER(INDIRECT("'"&amp;A5527&amp;"'!"&amp;B5527))),TRUE,FALSE))</f>
        <v>0</v>
      </c>
      <c r="E5527" t="s">
        <v>435</v>
      </c>
      <c r="F5527" t="str">
        <f>INDEX(Lists!I:I,MATCH(Validation!E5527,Lists!G:G,0))</f>
        <v>Error</v>
      </c>
      <c r="G5527" t="str">
        <f>INDEX(Lists!H:H,MATCH(Validation!E5527,Lists!G:G,0))</f>
        <v>Enter an amount only. Do not enter text or spaces.</v>
      </c>
      <c r="H5527" s="16" t="str">
        <f t="shared" ca="1" si="600"/>
        <v/>
      </c>
      <c r="I5527" s="16" t="str">
        <f t="shared" ca="1" si="601"/>
        <v/>
      </c>
      <c r="J5527" s="17" t="str">
        <f t="shared" ca="1" si="602"/>
        <v/>
      </c>
    </row>
    <row r="5528" spans="1:10" x14ac:dyDescent="0.25">
      <c r="A5528" t="s">
        <v>936</v>
      </c>
      <c r="B5528" t="str">
        <f>ADDRESS(ROW('Loan 1'!$C$23),COLUMN('Loan 1'!$C$23),4)</f>
        <v>C23</v>
      </c>
      <c r="C5528" t="str">
        <f>ADDRESS(ROW('Loan 1'!$D$23),COLUMN('Loan 1'!$D$23),4)</f>
        <v>D23</v>
      </c>
      <c r="D5528" t="b" cm="1">
        <f t="array" aca="1" ref="D5528" ca="1">IF(INDIRECT("'"&amp;A5528&amp;"'!"&amp;B5528)="",FALSE,IF(NOT(ISNUMBER(INDIRECT("'"&amp;A5528&amp;"'!"&amp;B5528))),TRUE,FALSE))</f>
        <v>0</v>
      </c>
      <c r="E5528" t="s">
        <v>435</v>
      </c>
      <c r="F5528" t="str">
        <f>INDEX(Lists!I:I,MATCH(Validation!E5528,Lists!G:G,0))</f>
        <v>Error</v>
      </c>
      <c r="G5528" t="str">
        <f>INDEX(Lists!H:H,MATCH(Validation!E5528,Lists!G:G,0))</f>
        <v>Enter an amount only. Do not enter text or spaces.</v>
      </c>
      <c r="H5528" s="16" t="str">
        <f t="shared" ca="1" si="600"/>
        <v/>
      </c>
      <c r="I5528" s="16" t="str">
        <f t="shared" ca="1" si="601"/>
        <v/>
      </c>
      <c r="J5528" s="17" t="str">
        <f t="shared" ca="1" si="602"/>
        <v/>
      </c>
    </row>
    <row r="5529" spans="1:10" x14ac:dyDescent="0.25">
      <c r="A5529" t="s">
        <v>937</v>
      </c>
      <c r="B5529" t="str">
        <f>ADDRESS(ROW('Loan 1'!$C$23),COLUMN('Loan 1'!$C$23),4)</f>
        <v>C23</v>
      </c>
      <c r="C5529" t="str">
        <f>ADDRESS(ROW('Loan 1'!$D$23),COLUMN('Loan 1'!$D$23),4)</f>
        <v>D23</v>
      </c>
      <c r="D5529" t="b" cm="1">
        <f t="array" aca="1" ref="D5529" ca="1">IF(INDIRECT("'"&amp;A5529&amp;"'!"&amp;B5529)="",FALSE,IF(NOT(ISNUMBER(INDIRECT("'"&amp;A5529&amp;"'!"&amp;B5529))),TRUE,FALSE))</f>
        <v>0</v>
      </c>
      <c r="E5529" t="s">
        <v>435</v>
      </c>
      <c r="F5529" t="str">
        <f>INDEX(Lists!I:I,MATCH(Validation!E5529,Lists!G:G,0))</f>
        <v>Error</v>
      </c>
      <c r="G5529" t="str">
        <f>INDEX(Lists!H:H,MATCH(Validation!E5529,Lists!G:G,0))</f>
        <v>Enter an amount only. Do not enter text or spaces.</v>
      </c>
      <c r="H5529" s="16" t="str">
        <f t="shared" ca="1" si="600"/>
        <v/>
      </c>
      <c r="I5529" s="16" t="str">
        <f t="shared" ca="1" si="601"/>
        <v/>
      </c>
      <c r="J5529" s="17" t="str">
        <f t="shared" ca="1" si="602"/>
        <v/>
      </c>
    </row>
    <row r="5530" spans="1:10" x14ac:dyDescent="0.25">
      <c r="A5530" t="s">
        <v>938</v>
      </c>
      <c r="B5530" t="str">
        <f>ADDRESS(ROW('Loan 1'!$C$23),COLUMN('Loan 1'!$C$23),4)</f>
        <v>C23</v>
      </c>
      <c r="C5530" t="str">
        <f>ADDRESS(ROW('Loan 1'!$D$23),COLUMN('Loan 1'!$D$23),4)</f>
        <v>D23</v>
      </c>
      <c r="D5530" t="b" cm="1">
        <f t="array" aca="1" ref="D5530" ca="1">IF(INDIRECT("'"&amp;A5530&amp;"'!"&amp;B5530)="",FALSE,IF(NOT(ISNUMBER(INDIRECT("'"&amp;A5530&amp;"'!"&amp;B5530))),TRUE,FALSE))</f>
        <v>0</v>
      </c>
      <c r="E5530" t="s">
        <v>435</v>
      </c>
      <c r="F5530" t="str">
        <f>INDEX(Lists!I:I,MATCH(Validation!E5530,Lists!G:G,0))</f>
        <v>Error</v>
      </c>
      <c r="G5530" t="str">
        <f>INDEX(Lists!H:H,MATCH(Validation!E5530,Lists!G:G,0))</f>
        <v>Enter an amount only. Do not enter text or spaces.</v>
      </c>
      <c r="H5530" s="16" t="str">
        <f t="shared" ca="1" si="600"/>
        <v/>
      </c>
      <c r="I5530" s="16" t="str">
        <f t="shared" ca="1" si="601"/>
        <v/>
      </c>
      <c r="J5530" s="17" t="str">
        <f t="shared" ca="1" si="602"/>
        <v/>
      </c>
    </row>
    <row r="5531" spans="1:10" x14ac:dyDescent="0.25">
      <c r="A5531" t="s">
        <v>939</v>
      </c>
      <c r="B5531" t="str">
        <f>ADDRESS(ROW('Loan 1'!$C$23),COLUMN('Loan 1'!$C$23),4)</f>
        <v>C23</v>
      </c>
      <c r="C5531" t="str">
        <f>ADDRESS(ROW('Loan 1'!$D$23),COLUMN('Loan 1'!$D$23),4)</f>
        <v>D23</v>
      </c>
      <c r="D5531" t="b" cm="1">
        <f t="array" aca="1" ref="D5531" ca="1">IF(INDIRECT("'"&amp;A5531&amp;"'!"&amp;B5531)="",FALSE,IF(NOT(ISNUMBER(INDIRECT("'"&amp;A5531&amp;"'!"&amp;B5531))),TRUE,FALSE))</f>
        <v>0</v>
      </c>
      <c r="E5531" t="s">
        <v>435</v>
      </c>
      <c r="F5531" t="str">
        <f>INDEX(Lists!I:I,MATCH(Validation!E5531,Lists!G:G,0))</f>
        <v>Error</v>
      </c>
      <c r="G5531" t="str">
        <f>INDEX(Lists!H:H,MATCH(Validation!E5531,Lists!G:G,0))</f>
        <v>Enter an amount only. Do not enter text or spaces.</v>
      </c>
      <c r="H5531" s="16" t="str">
        <f t="shared" ca="1" si="600"/>
        <v/>
      </c>
      <c r="I5531" s="16" t="str">
        <f t="shared" ca="1" si="601"/>
        <v/>
      </c>
      <c r="J5531" s="17" t="str">
        <f t="shared" ca="1" si="602"/>
        <v/>
      </c>
    </row>
    <row r="5532" spans="1:10" x14ac:dyDescent="0.25">
      <c r="A5532" t="s">
        <v>940</v>
      </c>
      <c r="B5532" t="str">
        <f>ADDRESS(ROW('Loan 1'!$C$23),COLUMN('Loan 1'!$C$23),4)</f>
        <v>C23</v>
      </c>
      <c r="C5532" t="str">
        <f>ADDRESS(ROW('Loan 1'!$D$23),COLUMN('Loan 1'!$D$23),4)</f>
        <v>D23</v>
      </c>
      <c r="D5532" t="b" cm="1">
        <f t="array" aca="1" ref="D5532" ca="1">IF(INDIRECT("'"&amp;A5532&amp;"'!"&amp;B5532)="",FALSE,IF(NOT(ISNUMBER(INDIRECT("'"&amp;A5532&amp;"'!"&amp;B5532))),TRUE,FALSE))</f>
        <v>0</v>
      </c>
      <c r="E5532" t="s">
        <v>435</v>
      </c>
      <c r="F5532" t="str">
        <f>INDEX(Lists!I:I,MATCH(Validation!E5532,Lists!G:G,0))</f>
        <v>Error</v>
      </c>
      <c r="G5532" t="str">
        <f>INDEX(Lists!H:H,MATCH(Validation!E5532,Lists!G:G,0))</f>
        <v>Enter an amount only. Do not enter text or spaces.</v>
      </c>
      <c r="H5532" s="16" t="str">
        <f t="shared" ca="1" si="600"/>
        <v/>
      </c>
      <c r="I5532" s="16" t="str">
        <f t="shared" ca="1" si="601"/>
        <v/>
      </c>
      <c r="J5532" s="17" t="str">
        <f t="shared" ca="1" si="602"/>
        <v/>
      </c>
    </row>
    <row r="5533" spans="1:10" x14ac:dyDescent="0.25">
      <c r="A5533" t="s">
        <v>941</v>
      </c>
      <c r="B5533" t="str">
        <f>ADDRESS(ROW('Loan 1'!$C$23),COLUMN('Loan 1'!$C$23),4)</f>
        <v>C23</v>
      </c>
      <c r="C5533" t="str">
        <f>ADDRESS(ROW('Loan 1'!$D$23),COLUMN('Loan 1'!$D$23),4)</f>
        <v>D23</v>
      </c>
      <c r="D5533" t="b" cm="1">
        <f t="array" aca="1" ref="D5533" ca="1">IF(INDIRECT("'"&amp;A5533&amp;"'!"&amp;B5533)="",FALSE,IF(NOT(ISNUMBER(INDIRECT("'"&amp;A5533&amp;"'!"&amp;B5533))),TRUE,FALSE))</f>
        <v>0</v>
      </c>
      <c r="E5533" t="s">
        <v>435</v>
      </c>
      <c r="F5533" t="str">
        <f>INDEX(Lists!I:I,MATCH(Validation!E5533,Lists!G:G,0))</f>
        <v>Error</v>
      </c>
      <c r="G5533" t="str">
        <f>INDEX(Lists!H:H,MATCH(Validation!E5533,Lists!G:G,0))</f>
        <v>Enter an amount only. Do not enter text or spaces.</v>
      </c>
      <c r="H5533" s="16" t="str">
        <f t="shared" ca="1" si="600"/>
        <v/>
      </c>
      <c r="I5533" s="16" t="str">
        <f t="shared" ca="1" si="601"/>
        <v/>
      </c>
      <c r="J5533" s="17" t="str">
        <f t="shared" ca="1" si="602"/>
        <v/>
      </c>
    </row>
    <row r="5534" spans="1:10" x14ac:dyDescent="0.25">
      <c r="A5534" t="s">
        <v>942</v>
      </c>
      <c r="B5534" t="str">
        <f>ADDRESS(ROW('Loan 1'!$C$23),COLUMN('Loan 1'!$C$23),4)</f>
        <v>C23</v>
      </c>
      <c r="C5534" t="str">
        <f>ADDRESS(ROW('Loan 1'!$D$23),COLUMN('Loan 1'!$D$23),4)</f>
        <v>D23</v>
      </c>
      <c r="D5534" t="b" cm="1">
        <f t="array" aca="1" ref="D5534" ca="1">IF(INDIRECT("'"&amp;A5534&amp;"'!"&amp;B5534)="",FALSE,IF(NOT(ISNUMBER(INDIRECT("'"&amp;A5534&amp;"'!"&amp;B5534))),TRUE,FALSE))</f>
        <v>0</v>
      </c>
      <c r="E5534" t="s">
        <v>435</v>
      </c>
      <c r="F5534" t="str">
        <f>INDEX(Lists!I:I,MATCH(Validation!E5534,Lists!G:G,0))</f>
        <v>Error</v>
      </c>
      <c r="G5534" t="str">
        <f>INDEX(Lists!H:H,MATCH(Validation!E5534,Lists!G:G,0))</f>
        <v>Enter an amount only. Do not enter text or spaces.</v>
      </c>
      <c r="H5534" s="16" t="str">
        <f t="shared" ca="1" si="600"/>
        <v/>
      </c>
      <c r="I5534" s="16" t="str">
        <f t="shared" ca="1" si="601"/>
        <v/>
      </c>
      <c r="J5534" s="17" t="str">
        <f t="shared" ca="1" si="602"/>
        <v/>
      </c>
    </row>
    <row r="5535" spans="1:10" x14ac:dyDescent="0.25">
      <c r="A5535" t="s">
        <v>943</v>
      </c>
      <c r="B5535" t="str">
        <f>ADDRESS(ROW('Loan 1'!$C$23),COLUMN('Loan 1'!$C$23),4)</f>
        <v>C23</v>
      </c>
      <c r="C5535" t="str">
        <f>ADDRESS(ROW('Loan 1'!$D$23),COLUMN('Loan 1'!$D$23),4)</f>
        <v>D23</v>
      </c>
      <c r="D5535" t="b" cm="1">
        <f t="array" aca="1" ref="D5535" ca="1">IF(INDIRECT("'"&amp;A5535&amp;"'!"&amp;B5535)="",FALSE,IF(NOT(ISNUMBER(INDIRECT("'"&amp;A5535&amp;"'!"&amp;B5535))),TRUE,FALSE))</f>
        <v>0</v>
      </c>
      <c r="E5535" t="s">
        <v>435</v>
      </c>
      <c r="F5535" t="str">
        <f>INDEX(Lists!I:I,MATCH(Validation!E5535,Lists!G:G,0))</f>
        <v>Error</v>
      </c>
      <c r="G5535" t="str">
        <f>INDEX(Lists!H:H,MATCH(Validation!E5535,Lists!G:G,0))</f>
        <v>Enter an amount only. Do not enter text or spaces.</v>
      </c>
      <c r="H5535" s="16" t="str">
        <f t="shared" ca="1" si="600"/>
        <v/>
      </c>
      <c r="I5535" s="16" t="str">
        <f t="shared" ca="1" si="601"/>
        <v/>
      </c>
      <c r="J5535" s="17" t="str">
        <f t="shared" ca="1" si="602"/>
        <v/>
      </c>
    </row>
    <row r="5536" spans="1:10" x14ac:dyDescent="0.25">
      <c r="A5536" t="s">
        <v>944</v>
      </c>
      <c r="B5536" t="str">
        <f>ADDRESS(ROW('Loan 1'!$C$23),COLUMN('Loan 1'!$C$23),4)</f>
        <v>C23</v>
      </c>
      <c r="C5536" t="str">
        <f>ADDRESS(ROW('Loan 1'!$D$23),COLUMN('Loan 1'!$D$23),4)</f>
        <v>D23</v>
      </c>
      <c r="D5536" t="b" cm="1">
        <f t="array" aca="1" ref="D5536" ca="1">IF(INDIRECT("'"&amp;A5536&amp;"'!"&amp;B5536)="",FALSE,IF(NOT(ISNUMBER(INDIRECT("'"&amp;A5536&amp;"'!"&amp;B5536))),TRUE,FALSE))</f>
        <v>0</v>
      </c>
      <c r="E5536" t="s">
        <v>435</v>
      </c>
      <c r="F5536" t="str">
        <f>INDEX(Lists!I:I,MATCH(Validation!E5536,Lists!G:G,0))</f>
        <v>Error</v>
      </c>
      <c r="G5536" t="str">
        <f>INDEX(Lists!H:H,MATCH(Validation!E5536,Lists!G:G,0))</f>
        <v>Enter an amount only. Do not enter text or spaces.</v>
      </c>
      <c r="H5536" s="16" t="str">
        <f t="shared" ca="1" si="600"/>
        <v/>
      </c>
      <c r="I5536" s="16" t="str">
        <f t="shared" ca="1" si="601"/>
        <v/>
      </c>
      <c r="J5536" s="17" t="str">
        <f t="shared" ca="1" si="602"/>
        <v/>
      </c>
    </row>
    <row r="5537" spans="1:10" x14ac:dyDescent="0.25">
      <c r="A5537" t="s">
        <v>945</v>
      </c>
      <c r="B5537" t="str">
        <f>ADDRESS(ROW('Loan 1'!$C$23),COLUMN('Loan 1'!$C$23),4)</f>
        <v>C23</v>
      </c>
      <c r="C5537" t="str">
        <f>ADDRESS(ROW('Loan 1'!$D$23),COLUMN('Loan 1'!$D$23),4)</f>
        <v>D23</v>
      </c>
      <c r="D5537" t="b" cm="1">
        <f t="array" aca="1" ref="D5537" ca="1">IF(INDIRECT("'"&amp;A5537&amp;"'!"&amp;B5537)="",FALSE,IF(NOT(ISNUMBER(INDIRECT("'"&amp;A5537&amp;"'!"&amp;B5537))),TRUE,FALSE))</f>
        <v>0</v>
      </c>
      <c r="E5537" t="s">
        <v>435</v>
      </c>
      <c r="F5537" t="str">
        <f>INDEX(Lists!I:I,MATCH(Validation!E5537,Lists!G:G,0))</f>
        <v>Error</v>
      </c>
      <c r="G5537" t="str">
        <f>INDEX(Lists!H:H,MATCH(Validation!E5537,Lists!G:G,0))</f>
        <v>Enter an amount only. Do not enter text or spaces.</v>
      </c>
      <c r="H5537" s="16" t="str">
        <f t="shared" ca="1" si="600"/>
        <v/>
      </c>
      <c r="I5537" s="16" t="str">
        <f t="shared" ca="1" si="601"/>
        <v/>
      </c>
      <c r="J5537" s="17" t="str">
        <f t="shared" ca="1" si="602"/>
        <v/>
      </c>
    </row>
    <row r="5538" spans="1:10" x14ac:dyDescent="0.25">
      <c r="A5538" t="s">
        <v>205</v>
      </c>
      <c r="B5538" t="str">
        <f>ADDRESS(ROW('Loan 1'!$C$23),COLUMN('Loan 1'!$C$23),4)</f>
        <v>C23</v>
      </c>
      <c r="C5538" t="str">
        <f>ADDRESS(ROW('Loan 1'!$D$23),COLUMN('Loan 1'!$D$23),4)</f>
        <v>D23</v>
      </c>
      <c r="D5538" t="b" cm="1">
        <f t="array" aca="1" ref="D5538" ca="1">IF(INDIRECT("'"&amp;A5538&amp;"'!"&amp;B5538)="",FALSE,IF(INDIRECT("'"&amp;A5538&amp;"'!"&amp;B5538)&lt;0,TRUE,FALSE))</f>
        <v>0</v>
      </c>
      <c r="E5538" t="s">
        <v>434</v>
      </c>
      <c r="F5538" t="str">
        <f>INDEX(Lists!I:I,MATCH(Validation!E5538,Lists!G:G,0))</f>
        <v>Error</v>
      </c>
      <c r="G5538" t="str">
        <f>INDEX(Lists!H:H,MATCH(Validation!E5538,Lists!G:G,0))</f>
        <v>Amount may not be negative. Enter an amount greater than or equal to zero.</v>
      </c>
      <c r="H5538" s="16" t="str">
        <f ca="1">IFERROR(IF(OR(NOT(D5538),F5538&lt;&gt;"Error"),"",A5538&amp;CELL("address",INDIRECT(B5538))),"")</f>
        <v/>
      </c>
      <c r="I5538" s="16" t="str">
        <f ca="1">IFERROR(IF(NOT(D5538),"",A5538&amp;CELL("address",INDIRECT(C5538))),"")</f>
        <v/>
      </c>
      <c r="J5538" s="17" t="str">
        <f ca="1">IFERROR(IF(NOT(D5538),"",A5538),"")</f>
        <v/>
      </c>
    </row>
    <row r="5539" spans="1:10" x14ac:dyDescent="0.25">
      <c r="A5539" t="s">
        <v>932</v>
      </c>
      <c r="B5539" t="str">
        <f>ADDRESS(ROW('Loan 1'!$C$23),COLUMN('Loan 1'!$C$23),4)</f>
        <v>C23</v>
      </c>
      <c r="C5539" t="str">
        <f>ADDRESS(ROW('Loan 1'!$D$23),COLUMN('Loan 1'!$D$23),4)</f>
        <v>D23</v>
      </c>
      <c r="D5539" t="b" cm="1">
        <f t="array" aca="1" ref="D5539" ca="1">IF(INDIRECT("'"&amp;A5539&amp;"'!"&amp;B5539)="",FALSE,IF(INDIRECT("'"&amp;A5539&amp;"'!"&amp;B5539)&lt;0,TRUE,FALSE))</f>
        <v>0</v>
      </c>
      <c r="E5539" t="s">
        <v>434</v>
      </c>
      <c r="F5539" t="str">
        <f>INDEX(Lists!I:I,MATCH(Validation!E5539,Lists!G:G,0))</f>
        <v>Error</v>
      </c>
      <c r="G5539" t="str">
        <f>INDEX(Lists!H:H,MATCH(Validation!E5539,Lists!G:G,0))</f>
        <v>Amount may not be negative. Enter an amount greater than or equal to zero.</v>
      </c>
      <c r="H5539" s="16" t="str">
        <f t="shared" ref="H5539:H5567" ca="1" si="603">IFERROR(IF(OR(NOT(D5539),F5539&lt;&gt;"Error"),"",A5539&amp;CELL("address",INDIRECT(B5539))),"")</f>
        <v/>
      </c>
      <c r="I5539" s="16" t="str">
        <f t="shared" ref="I5539:I5567" ca="1" si="604">IFERROR(IF(NOT(D5539),"",A5539&amp;CELL("address",INDIRECT(C5539))),"")</f>
        <v/>
      </c>
      <c r="J5539" s="17" t="str">
        <f t="shared" ref="J5539:J5567" ca="1" si="605">IFERROR(IF(NOT(D5539),"",A5539),"")</f>
        <v/>
      </c>
    </row>
    <row r="5540" spans="1:10" x14ac:dyDescent="0.25">
      <c r="A5540" t="s">
        <v>933</v>
      </c>
      <c r="B5540" t="str">
        <f>ADDRESS(ROW('Loan 1'!$C$23),COLUMN('Loan 1'!$C$23),4)</f>
        <v>C23</v>
      </c>
      <c r="C5540" t="str">
        <f>ADDRESS(ROW('Loan 1'!$D$23),COLUMN('Loan 1'!$D$23),4)</f>
        <v>D23</v>
      </c>
      <c r="D5540" t="b" cm="1">
        <f t="array" aca="1" ref="D5540" ca="1">IF(INDIRECT("'"&amp;A5540&amp;"'!"&amp;B5540)="",FALSE,IF(INDIRECT("'"&amp;A5540&amp;"'!"&amp;B5540)&lt;0,TRUE,FALSE))</f>
        <v>0</v>
      </c>
      <c r="E5540" t="s">
        <v>434</v>
      </c>
      <c r="F5540" t="str">
        <f>INDEX(Lists!I:I,MATCH(Validation!E5540,Lists!G:G,0))</f>
        <v>Error</v>
      </c>
      <c r="G5540" t="str">
        <f>INDEX(Lists!H:H,MATCH(Validation!E5540,Lists!G:G,0))</f>
        <v>Amount may not be negative. Enter an amount greater than or equal to zero.</v>
      </c>
      <c r="H5540" s="16" t="str">
        <f t="shared" ca="1" si="603"/>
        <v/>
      </c>
      <c r="I5540" s="16" t="str">
        <f t="shared" ca="1" si="604"/>
        <v/>
      </c>
      <c r="J5540" s="17" t="str">
        <f t="shared" ca="1" si="605"/>
        <v/>
      </c>
    </row>
    <row r="5541" spans="1:10" x14ac:dyDescent="0.25">
      <c r="A5541" t="s">
        <v>934</v>
      </c>
      <c r="B5541" t="str">
        <f>ADDRESS(ROW('Loan 1'!$C$23),COLUMN('Loan 1'!$C$23),4)</f>
        <v>C23</v>
      </c>
      <c r="C5541" t="str">
        <f>ADDRESS(ROW('Loan 1'!$D$23),COLUMN('Loan 1'!$D$23),4)</f>
        <v>D23</v>
      </c>
      <c r="D5541" t="b" cm="1">
        <f t="array" aca="1" ref="D5541" ca="1">IF(INDIRECT("'"&amp;A5541&amp;"'!"&amp;B5541)="",FALSE,IF(INDIRECT("'"&amp;A5541&amp;"'!"&amp;B5541)&lt;0,TRUE,FALSE))</f>
        <v>0</v>
      </c>
      <c r="E5541" t="s">
        <v>434</v>
      </c>
      <c r="F5541" t="str">
        <f>INDEX(Lists!I:I,MATCH(Validation!E5541,Lists!G:G,0))</f>
        <v>Error</v>
      </c>
      <c r="G5541" t="str">
        <f>INDEX(Lists!H:H,MATCH(Validation!E5541,Lists!G:G,0))</f>
        <v>Amount may not be negative. Enter an amount greater than or equal to zero.</v>
      </c>
      <c r="H5541" s="16" t="str">
        <f t="shared" ca="1" si="603"/>
        <v/>
      </c>
      <c r="I5541" s="16" t="str">
        <f t="shared" ca="1" si="604"/>
        <v/>
      </c>
      <c r="J5541" s="17" t="str">
        <f t="shared" ca="1" si="605"/>
        <v/>
      </c>
    </row>
    <row r="5542" spans="1:10" x14ac:dyDescent="0.25">
      <c r="A5542" t="s">
        <v>935</v>
      </c>
      <c r="B5542" t="str">
        <f>ADDRESS(ROW('Loan 1'!$C$23),COLUMN('Loan 1'!$C$23),4)</f>
        <v>C23</v>
      </c>
      <c r="C5542" t="str">
        <f>ADDRESS(ROW('Loan 1'!$D$23),COLUMN('Loan 1'!$D$23),4)</f>
        <v>D23</v>
      </c>
      <c r="D5542" t="b" cm="1">
        <f t="array" aca="1" ref="D5542" ca="1">IF(INDIRECT("'"&amp;A5542&amp;"'!"&amp;B5542)="",FALSE,IF(INDIRECT("'"&amp;A5542&amp;"'!"&amp;B5542)&lt;0,TRUE,FALSE))</f>
        <v>0</v>
      </c>
      <c r="E5542" t="s">
        <v>434</v>
      </c>
      <c r="F5542" t="str">
        <f>INDEX(Lists!I:I,MATCH(Validation!E5542,Lists!G:G,0))</f>
        <v>Error</v>
      </c>
      <c r="G5542" t="str">
        <f>INDEX(Lists!H:H,MATCH(Validation!E5542,Lists!G:G,0))</f>
        <v>Amount may not be negative. Enter an amount greater than or equal to zero.</v>
      </c>
      <c r="H5542" s="16" t="str">
        <f t="shared" ca="1" si="603"/>
        <v/>
      </c>
      <c r="I5542" s="16" t="str">
        <f t="shared" ca="1" si="604"/>
        <v/>
      </c>
      <c r="J5542" s="17" t="str">
        <f t="shared" ca="1" si="605"/>
        <v/>
      </c>
    </row>
    <row r="5543" spans="1:10" x14ac:dyDescent="0.25">
      <c r="A5543" t="s">
        <v>936</v>
      </c>
      <c r="B5543" t="str">
        <f>ADDRESS(ROW('Loan 1'!$C$23),COLUMN('Loan 1'!$C$23),4)</f>
        <v>C23</v>
      </c>
      <c r="C5543" t="str">
        <f>ADDRESS(ROW('Loan 1'!$D$23),COLUMN('Loan 1'!$D$23),4)</f>
        <v>D23</v>
      </c>
      <c r="D5543" t="b" cm="1">
        <f t="array" aca="1" ref="D5543" ca="1">IF(INDIRECT("'"&amp;A5543&amp;"'!"&amp;B5543)="",FALSE,IF(INDIRECT("'"&amp;A5543&amp;"'!"&amp;B5543)&lt;0,TRUE,FALSE))</f>
        <v>0</v>
      </c>
      <c r="E5543" t="s">
        <v>434</v>
      </c>
      <c r="F5543" t="str">
        <f>INDEX(Lists!I:I,MATCH(Validation!E5543,Lists!G:G,0))</f>
        <v>Error</v>
      </c>
      <c r="G5543" t="str">
        <f>INDEX(Lists!H:H,MATCH(Validation!E5543,Lists!G:G,0))</f>
        <v>Amount may not be negative. Enter an amount greater than or equal to zero.</v>
      </c>
      <c r="H5543" s="16" t="str">
        <f t="shared" ca="1" si="603"/>
        <v/>
      </c>
      <c r="I5543" s="16" t="str">
        <f t="shared" ca="1" si="604"/>
        <v/>
      </c>
      <c r="J5543" s="17" t="str">
        <f t="shared" ca="1" si="605"/>
        <v/>
      </c>
    </row>
    <row r="5544" spans="1:10" x14ac:dyDescent="0.25">
      <c r="A5544" t="s">
        <v>937</v>
      </c>
      <c r="B5544" t="str">
        <f>ADDRESS(ROW('Loan 1'!$C$23),COLUMN('Loan 1'!$C$23),4)</f>
        <v>C23</v>
      </c>
      <c r="C5544" t="str">
        <f>ADDRESS(ROW('Loan 1'!$D$23),COLUMN('Loan 1'!$D$23),4)</f>
        <v>D23</v>
      </c>
      <c r="D5544" t="b" cm="1">
        <f t="array" aca="1" ref="D5544" ca="1">IF(INDIRECT("'"&amp;A5544&amp;"'!"&amp;B5544)="",FALSE,IF(INDIRECT("'"&amp;A5544&amp;"'!"&amp;B5544)&lt;0,TRUE,FALSE))</f>
        <v>0</v>
      </c>
      <c r="E5544" t="s">
        <v>434</v>
      </c>
      <c r="F5544" t="str">
        <f>INDEX(Lists!I:I,MATCH(Validation!E5544,Lists!G:G,0))</f>
        <v>Error</v>
      </c>
      <c r="G5544" t="str">
        <f>INDEX(Lists!H:H,MATCH(Validation!E5544,Lists!G:G,0))</f>
        <v>Amount may not be negative. Enter an amount greater than or equal to zero.</v>
      </c>
      <c r="H5544" s="16" t="str">
        <f t="shared" ca="1" si="603"/>
        <v/>
      </c>
      <c r="I5544" s="16" t="str">
        <f t="shared" ca="1" si="604"/>
        <v/>
      </c>
      <c r="J5544" s="17" t="str">
        <f t="shared" ca="1" si="605"/>
        <v/>
      </c>
    </row>
    <row r="5545" spans="1:10" x14ac:dyDescent="0.25">
      <c r="A5545" t="s">
        <v>938</v>
      </c>
      <c r="B5545" t="str">
        <f>ADDRESS(ROW('Loan 1'!$C$23),COLUMN('Loan 1'!$C$23),4)</f>
        <v>C23</v>
      </c>
      <c r="C5545" t="str">
        <f>ADDRESS(ROW('Loan 1'!$D$23),COLUMN('Loan 1'!$D$23),4)</f>
        <v>D23</v>
      </c>
      <c r="D5545" t="b" cm="1">
        <f t="array" aca="1" ref="D5545" ca="1">IF(INDIRECT("'"&amp;A5545&amp;"'!"&amp;B5545)="",FALSE,IF(INDIRECT("'"&amp;A5545&amp;"'!"&amp;B5545)&lt;0,TRUE,FALSE))</f>
        <v>0</v>
      </c>
      <c r="E5545" t="s">
        <v>434</v>
      </c>
      <c r="F5545" t="str">
        <f>INDEX(Lists!I:I,MATCH(Validation!E5545,Lists!G:G,0))</f>
        <v>Error</v>
      </c>
      <c r="G5545" t="str">
        <f>INDEX(Lists!H:H,MATCH(Validation!E5545,Lists!G:G,0))</f>
        <v>Amount may not be negative. Enter an amount greater than or equal to zero.</v>
      </c>
      <c r="H5545" s="16" t="str">
        <f t="shared" ca="1" si="603"/>
        <v/>
      </c>
      <c r="I5545" s="16" t="str">
        <f t="shared" ca="1" si="604"/>
        <v/>
      </c>
      <c r="J5545" s="17" t="str">
        <f t="shared" ca="1" si="605"/>
        <v/>
      </c>
    </row>
    <row r="5546" spans="1:10" x14ac:dyDescent="0.25">
      <c r="A5546" t="s">
        <v>939</v>
      </c>
      <c r="B5546" t="str">
        <f>ADDRESS(ROW('Loan 1'!$C$23),COLUMN('Loan 1'!$C$23),4)</f>
        <v>C23</v>
      </c>
      <c r="C5546" t="str">
        <f>ADDRESS(ROW('Loan 1'!$D$23),COLUMN('Loan 1'!$D$23),4)</f>
        <v>D23</v>
      </c>
      <c r="D5546" t="b" cm="1">
        <f t="array" aca="1" ref="D5546" ca="1">IF(INDIRECT("'"&amp;A5546&amp;"'!"&amp;B5546)="",FALSE,IF(INDIRECT("'"&amp;A5546&amp;"'!"&amp;B5546)&lt;0,TRUE,FALSE))</f>
        <v>0</v>
      </c>
      <c r="E5546" t="s">
        <v>434</v>
      </c>
      <c r="F5546" t="str">
        <f>INDEX(Lists!I:I,MATCH(Validation!E5546,Lists!G:G,0))</f>
        <v>Error</v>
      </c>
      <c r="G5546" t="str">
        <f>INDEX(Lists!H:H,MATCH(Validation!E5546,Lists!G:G,0))</f>
        <v>Amount may not be negative. Enter an amount greater than or equal to zero.</v>
      </c>
      <c r="H5546" s="16" t="str">
        <f t="shared" ca="1" si="603"/>
        <v/>
      </c>
      <c r="I5546" s="16" t="str">
        <f t="shared" ca="1" si="604"/>
        <v/>
      </c>
      <c r="J5546" s="17" t="str">
        <f t="shared" ca="1" si="605"/>
        <v/>
      </c>
    </row>
    <row r="5547" spans="1:10" x14ac:dyDescent="0.25">
      <c r="A5547" t="s">
        <v>940</v>
      </c>
      <c r="B5547" t="str">
        <f>ADDRESS(ROW('Loan 1'!$C$23),COLUMN('Loan 1'!$C$23),4)</f>
        <v>C23</v>
      </c>
      <c r="C5547" t="str">
        <f>ADDRESS(ROW('Loan 1'!$D$23),COLUMN('Loan 1'!$D$23),4)</f>
        <v>D23</v>
      </c>
      <c r="D5547" t="b" cm="1">
        <f t="array" aca="1" ref="D5547" ca="1">IF(INDIRECT("'"&amp;A5547&amp;"'!"&amp;B5547)="",FALSE,IF(INDIRECT("'"&amp;A5547&amp;"'!"&amp;B5547)&lt;0,TRUE,FALSE))</f>
        <v>0</v>
      </c>
      <c r="E5547" t="s">
        <v>434</v>
      </c>
      <c r="F5547" t="str">
        <f>INDEX(Lists!I:I,MATCH(Validation!E5547,Lists!G:G,0))</f>
        <v>Error</v>
      </c>
      <c r="G5547" t="str">
        <f>INDEX(Lists!H:H,MATCH(Validation!E5547,Lists!G:G,0))</f>
        <v>Amount may not be negative. Enter an amount greater than or equal to zero.</v>
      </c>
      <c r="H5547" s="16" t="str">
        <f t="shared" ca="1" si="603"/>
        <v/>
      </c>
      <c r="I5547" s="16" t="str">
        <f t="shared" ca="1" si="604"/>
        <v/>
      </c>
      <c r="J5547" s="17" t="str">
        <f t="shared" ca="1" si="605"/>
        <v/>
      </c>
    </row>
    <row r="5548" spans="1:10" x14ac:dyDescent="0.25">
      <c r="A5548" t="s">
        <v>941</v>
      </c>
      <c r="B5548" t="str">
        <f>ADDRESS(ROW('Loan 1'!$C$23),COLUMN('Loan 1'!$C$23),4)</f>
        <v>C23</v>
      </c>
      <c r="C5548" t="str">
        <f>ADDRESS(ROW('Loan 1'!$D$23),COLUMN('Loan 1'!$D$23),4)</f>
        <v>D23</v>
      </c>
      <c r="D5548" t="b" cm="1">
        <f t="array" aca="1" ref="D5548" ca="1">IF(INDIRECT("'"&amp;A5548&amp;"'!"&amp;B5548)="",FALSE,IF(INDIRECT("'"&amp;A5548&amp;"'!"&amp;B5548)&lt;0,TRUE,FALSE))</f>
        <v>0</v>
      </c>
      <c r="E5548" t="s">
        <v>434</v>
      </c>
      <c r="F5548" t="str">
        <f>INDEX(Lists!I:I,MATCH(Validation!E5548,Lists!G:G,0))</f>
        <v>Error</v>
      </c>
      <c r="G5548" t="str">
        <f>INDEX(Lists!H:H,MATCH(Validation!E5548,Lists!G:G,0))</f>
        <v>Amount may not be negative. Enter an amount greater than or equal to zero.</v>
      </c>
      <c r="H5548" s="16" t="str">
        <f t="shared" ca="1" si="603"/>
        <v/>
      </c>
      <c r="I5548" s="16" t="str">
        <f t="shared" ca="1" si="604"/>
        <v/>
      </c>
      <c r="J5548" s="17" t="str">
        <f t="shared" ca="1" si="605"/>
        <v/>
      </c>
    </row>
    <row r="5549" spans="1:10" x14ac:dyDescent="0.25">
      <c r="A5549" t="s">
        <v>942</v>
      </c>
      <c r="B5549" t="str">
        <f>ADDRESS(ROW('Loan 1'!$C$23),COLUMN('Loan 1'!$C$23),4)</f>
        <v>C23</v>
      </c>
      <c r="C5549" t="str">
        <f>ADDRESS(ROW('Loan 1'!$D$23),COLUMN('Loan 1'!$D$23),4)</f>
        <v>D23</v>
      </c>
      <c r="D5549" t="b" cm="1">
        <f t="array" aca="1" ref="D5549" ca="1">IF(INDIRECT("'"&amp;A5549&amp;"'!"&amp;B5549)="",FALSE,IF(INDIRECT("'"&amp;A5549&amp;"'!"&amp;B5549)&lt;0,TRUE,FALSE))</f>
        <v>0</v>
      </c>
      <c r="E5549" t="s">
        <v>434</v>
      </c>
      <c r="F5549" t="str">
        <f>INDEX(Lists!I:I,MATCH(Validation!E5549,Lists!G:G,0))</f>
        <v>Error</v>
      </c>
      <c r="G5549" t="str">
        <f>INDEX(Lists!H:H,MATCH(Validation!E5549,Lists!G:G,0))</f>
        <v>Amount may not be negative. Enter an amount greater than or equal to zero.</v>
      </c>
      <c r="H5549" s="16" t="str">
        <f t="shared" ca="1" si="603"/>
        <v/>
      </c>
      <c r="I5549" s="16" t="str">
        <f t="shared" ca="1" si="604"/>
        <v/>
      </c>
      <c r="J5549" s="17" t="str">
        <f t="shared" ca="1" si="605"/>
        <v/>
      </c>
    </row>
    <row r="5550" spans="1:10" x14ac:dyDescent="0.25">
      <c r="A5550" t="s">
        <v>943</v>
      </c>
      <c r="B5550" t="str">
        <f>ADDRESS(ROW('Loan 1'!$C$23),COLUMN('Loan 1'!$C$23),4)</f>
        <v>C23</v>
      </c>
      <c r="C5550" t="str">
        <f>ADDRESS(ROW('Loan 1'!$D$23),COLUMN('Loan 1'!$D$23),4)</f>
        <v>D23</v>
      </c>
      <c r="D5550" t="b" cm="1">
        <f t="array" aca="1" ref="D5550" ca="1">IF(INDIRECT("'"&amp;A5550&amp;"'!"&amp;B5550)="",FALSE,IF(INDIRECT("'"&amp;A5550&amp;"'!"&amp;B5550)&lt;0,TRUE,FALSE))</f>
        <v>0</v>
      </c>
      <c r="E5550" t="s">
        <v>434</v>
      </c>
      <c r="F5550" t="str">
        <f>INDEX(Lists!I:I,MATCH(Validation!E5550,Lists!G:G,0))</f>
        <v>Error</v>
      </c>
      <c r="G5550" t="str">
        <f>INDEX(Lists!H:H,MATCH(Validation!E5550,Lists!G:G,0))</f>
        <v>Amount may not be negative. Enter an amount greater than or equal to zero.</v>
      </c>
      <c r="H5550" s="16" t="str">
        <f t="shared" ca="1" si="603"/>
        <v/>
      </c>
      <c r="I5550" s="16" t="str">
        <f t="shared" ca="1" si="604"/>
        <v/>
      </c>
      <c r="J5550" s="17" t="str">
        <f t="shared" ca="1" si="605"/>
        <v/>
      </c>
    </row>
    <row r="5551" spans="1:10" x14ac:dyDescent="0.25">
      <c r="A5551" t="s">
        <v>944</v>
      </c>
      <c r="B5551" t="str">
        <f>ADDRESS(ROW('Loan 1'!$C$23),COLUMN('Loan 1'!$C$23),4)</f>
        <v>C23</v>
      </c>
      <c r="C5551" t="str">
        <f>ADDRESS(ROW('Loan 1'!$D$23),COLUMN('Loan 1'!$D$23),4)</f>
        <v>D23</v>
      </c>
      <c r="D5551" t="b" cm="1">
        <f t="array" aca="1" ref="D5551" ca="1">IF(INDIRECT("'"&amp;A5551&amp;"'!"&amp;B5551)="",FALSE,IF(INDIRECT("'"&amp;A5551&amp;"'!"&amp;B5551)&lt;0,TRUE,FALSE))</f>
        <v>0</v>
      </c>
      <c r="E5551" t="s">
        <v>434</v>
      </c>
      <c r="F5551" t="str">
        <f>INDEX(Lists!I:I,MATCH(Validation!E5551,Lists!G:G,0))</f>
        <v>Error</v>
      </c>
      <c r="G5551" t="str">
        <f>INDEX(Lists!H:H,MATCH(Validation!E5551,Lists!G:G,0))</f>
        <v>Amount may not be negative. Enter an amount greater than or equal to zero.</v>
      </c>
      <c r="H5551" s="16" t="str">
        <f t="shared" ca="1" si="603"/>
        <v/>
      </c>
      <c r="I5551" s="16" t="str">
        <f t="shared" ca="1" si="604"/>
        <v/>
      </c>
      <c r="J5551" s="17" t="str">
        <f t="shared" ca="1" si="605"/>
        <v/>
      </c>
    </row>
    <row r="5552" spans="1:10" x14ac:dyDescent="0.25">
      <c r="A5552" t="s">
        <v>945</v>
      </c>
      <c r="B5552" t="str">
        <f>ADDRESS(ROW('Loan 1'!$C$23),COLUMN('Loan 1'!$C$23),4)</f>
        <v>C23</v>
      </c>
      <c r="C5552" t="str">
        <f>ADDRESS(ROW('Loan 1'!$D$23),COLUMN('Loan 1'!$D$23),4)</f>
        <v>D23</v>
      </c>
      <c r="D5552" t="b" cm="1">
        <f t="array" aca="1" ref="D5552" ca="1">IF(INDIRECT("'"&amp;A5552&amp;"'!"&amp;B5552)="",FALSE,IF(INDIRECT("'"&amp;A5552&amp;"'!"&amp;B5552)&lt;0,TRUE,FALSE))</f>
        <v>0</v>
      </c>
      <c r="E5552" t="s">
        <v>434</v>
      </c>
      <c r="F5552" t="str">
        <f>INDEX(Lists!I:I,MATCH(Validation!E5552,Lists!G:G,0))</f>
        <v>Error</v>
      </c>
      <c r="G5552" t="str">
        <f>INDEX(Lists!H:H,MATCH(Validation!E5552,Lists!G:G,0))</f>
        <v>Amount may not be negative. Enter an amount greater than or equal to zero.</v>
      </c>
      <c r="H5552" s="16" t="str">
        <f t="shared" ca="1" si="603"/>
        <v/>
      </c>
      <c r="I5552" s="16" t="str">
        <f t="shared" ca="1" si="604"/>
        <v/>
      </c>
      <c r="J5552" s="17" t="str">
        <f t="shared" ca="1" si="605"/>
        <v/>
      </c>
    </row>
    <row r="5553" spans="1:10" x14ac:dyDescent="0.25">
      <c r="A5553" t="s">
        <v>205</v>
      </c>
      <c r="B5553" t="str">
        <f>ADDRESS(ROW('Loan 1'!$C$23),COLUMN('Loan 1'!$C$23),4)</f>
        <v>C23</v>
      </c>
      <c r="C5553" t="str">
        <f>ADDRESS(ROW('Loan 1'!$D$23),COLUMN('Loan 1'!$D$23),4)</f>
        <v>D23</v>
      </c>
      <c r="D5553" t="b" cm="1">
        <f t="array" aca="1" ref="D5553" ca="1">IF(INDIRECT("'"&amp;A5553&amp;"'!"&amp;B5553)="",FALSE,IF(TRUNC(INDIRECT("'"&amp;A5553&amp;"'!"&amp;B5553))=INDIRECT("'"&amp;A5553&amp;"'!"&amp;B5553),FALSE,TRUE))</f>
        <v>0</v>
      </c>
      <c r="E5553" t="s">
        <v>436</v>
      </c>
      <c r="F5553" t="str">
        <f>INDEX(Lists!I:I,MATCH(Validation!E5553,Lists!G:G,0))</f>
        <v>Error</v>
      </c>
      <c r="G5553" t="str">
        <f>INDEX(Lists!H:H,MATCH(Validation!E5553,Lists!G:G,0))</f>
        <v>Amount must be rounded to the nearest dollar.</v>
      </c>
      <c r="H5553" s="16" t="str">
        <f t="shared" ca="1" si="603"/>
        <v/>
      </c>
      <c r="I5553" s="16" t="str">
        <f t="shared" ca="1" si="604"/>
        <v/>
      </c>
      <c r="J5553" s="17" t="str">
        <f t="shared" ca="1" si="605"/>
        <v/>
      </c>
    </row>
    <row r="5554" spans="1:10" x14ac:dyDescent="0.25">
      <c r="A5554" t="s">
        <v>932</v>
      </c>
      <c r="B5554" t="str">
        <f>ADDRESS(ROW('Loan 1'!$C$23),COLUMN('Loan 1'!$C$23),4)</f>
        <v>C23</v>
      </c>
      <c r="C5554" t="str">
        <f>ADDRESS(ROW('Loan 1'!$D$23),COLUMN('Loan 1'!$D$23),4)</f>
        <v>D23</v>
      </c>
      <c r="D5554" t="b" cm="1">
        <f t="array" aca="1" ref="D5554" ca="1">IF(INDIRECT("'"&amp;A5554&amp;"'!"&amp;B5554)="",FALSE,IF(TRUNC(INDIRECT("'"&amp;A5554&amp;"'!"&amp;B5554))=INDIRECT("'"&amp;A5554&amp;"'!"&amp;B5554),FALSE,TRUE))</f>
        <v>0</v>
      </c>
      <c r="E5554" t="s">
        <v>436</v>
      </c>
      <c r="F5554" t="str">
        <f>INDEX(Lists!I:I,MATCH(Validation!E5554,Lists!G:G,0))</f>
        <v>Error</v>
      </c>
      <c r="G5554" t="str">
        <f>INDEX(Lists!H:H,MATCH(Validation!E5554,Lists!G:G,0))</f>
        <v>Amount must be rounded to the nearest dollar.</v>
      </c>
      <c r="H5554" s="16" t="str">
        <f t="shared" ca="1" si="603"/>
        <v/>
      </c>
      <c r="I5554" s="16" t="str">
        <f t="shared" ca="1" si="604"/>
        <v/>
      </c>
      <c r="J5554" s="17" t="str">
        <f t="shared" ca="1" si="605"/>
        <v/>
      </c>
    </row>
    <row r="5555" spans="1:10" x14ac:dyDescent="0.25">
      <c r="A5555" t="s">
        <v>933</v>
      </c>
      <c r="B5555" t="str">
        <f>ADDRESS(ROW('Loan 1'!$C$23),COLUMN('Loan 1'!$C$23),4)</f>
        <v>C23</v>
      </c>
      <c r="C5555" t="str">
        <f>ADDRESS(ROW('Loan 1'!$D$23),COLUMN('Loan 1'!$D$23),4)</f>
        <v>D23</v>
      </c>
      <c r="D5555" t="b" cm="1">
        <f t="array" aca="1" ref="D5555" ca="1">IF(INDIRECT("'"&amp;A5555&amp;"'!"&amp;B5555)="",FALSE,IF(TRUNC(INDIRECT("'"&amp;A5555&amp;"'!"&amp;B5555))=INDIRECT("'"&amp;A5555&amp;"'!"&amp;B5555),FALSE,TRUE))</f>
        <v>0</v>
      </c>
      <c r="E5555" t="s">
        <v>436</v>
      </c>
      <c r="F5555" t="str">
        <f>INDEX(Lists!I:I,MATCH(Validation!E5555,Lists!G:G,0))</f>
        <v>Error</v>
      </c>
      <c r="G5555" t="str">
        <f>INDEX(Lists!H:H,MATCH(Validation!E5555,Lists!G:G,0))</f>
        <v>Amount must be rounded to the nearest dollar.</v>
      </c>
      <c r="H5555" s="16" t="str">
        <f t="shared" ca="1" si="603"/>
        <v/>
      </c>
      <c r="I5555" s="16" t="str">
        <f t="shared" ca="1" si="604"/>
        <v/>
      </c>
      <c r="J5555" s="17" t="str">
        <f t="shared" ca="1" si="605"/>
        <v/>
      </c>
    </row>
    <row r="5556" spans="1:10" x14ac:dyDescent="0.25">
      <c r="A5556" t="s">
        <v>934</v>
      </c>
      <c r="B5556" t="str">
        <f>ADDRESS(ROW('Loan 1'!$C$23),COLUMN('Loan 1'!$C$23),4)</f>
        <v>C23</v>
      </c>
      <c r="C5556" t="str">
        <f>ADDRESS(ROW('Loan 1'!$D$23),COLUMN('Loan 1'!$D$23),4)</f>
        <v>D23</v>
      </c>
      <c r="D5556" t="b" cm="1">
        <f t="array" aca="1" ref="D5556" ca="1">IF(INDIRECT("'"&amp;A5556&amp;"'!"&amp;B5556)="",FALSE,IF(TRUNC(INDIRECT("'"&amp;A5556&amp;"'!"&amp;B5556))=INDIRECT("'"&amp;A5556&amp;"'!"&amp;B5556),FALSE,TRUE))</f>
        <v>0</v>
      </c>
      <c r="E5556" t="s">
        <v>436</v>
      </c>
      <c r="F5556" t="str">
        <f>INDEX(Lists!I:I,MATCH(Validation!E5556,Lists!G:G,0))</f>
        <v>Error</v>
      </c>
      <c r="G5556" t="str">
        <f>INDEX(Lists!H:H,MATCH(Validation!E5556,Lists!G:G,0))</f>
        <v>Amount must be rounded to the nearest dollar.</v>
      </c>
      <c r="H5556" s="16" t="str">
        <f t="shared" ca="1" si="603"/>
        <v/>
      </c>
      <c r="I5556" s="16" t="str">
        <f t="shared" ca="1" si="604"/>
        <v/>
      </c>
      <c r="J5556" s="17" t="str">
        <f t="shared" ca="1" si="605"/>
        <v/>
      </c>
    </row>
    <row r="5557" spans="1:10" x14ac:dyDescent="0.25">
      <c r="A5557" t="s">
        <v>935</v>
      </c>
      <c r="B5557" t="str">
        <f>ADDRESS(ROW('Loan 1'!$C$23),COLUMN('Loan 1'!$C$23),4)</f>
        <v>C23</v>
      </c>
      <c r="C5557" t="str">
        <f>ADDRESS(ROW('Loan 1'!$D$23),COLUMN('Loan 1'!$D$23),4)</f>
        <v>D23</v>
      </c>
      <c r="D5557" t="b" cm="1">
        <f t="array" aca="1" ref="D5557" ca="1">IF(INDIRECT("'"&amp;A5557&amp;"'!"&amp;B5557)="",FALSE,IF(TRUNC(INDIRECT("'"&amp;A5557&amp;"'!"&amp;B5557))=INDIRECT("'"&amp;A5557&amp;"'!"&amp;B5557),FALSE,TRUE))</f>
        <v>0</v>
      </c>
      <c r="E5557" t="s">
        <v>436</v>
      </c>
      <c r="F5557" t="str">
        <f>INDEX(Lists!I:I,MATCH(Validation!E5557,Lists!G:G,0))</f>
        <v>Error</v>
      </c>
      <c r="G5557" t="str">
        <f>INDEX(Lists!H:H,MATCH(Validation!E5557,Lists!G:G,0))</f>
        <v>Amount must be rounded to the nearest dollar.</v>
      </c>
      <c r="H5557" s="16" t="str">
        <f t="shared" ca="1" si="603"/>
        <v/>
      </c>
      <c r="I5557" s="16" t="str">
        <f t="shared" ca="1" si="604"/>
        <v/>
      </c>
      <c r="J5557" s="17" t="str">
        <f t="shared" ca="1" si="605"/>
        <v/>
      </c>
    </row>
    <row r="5558" spans="1:10" x14ac:dyDescent="0.25">
      <c r="A5558" t="s">
        <v>936</v>
      </c>
      <c r="B5558" t="str">
        <f>ADDRESS(ROW('Loan 1'!$C$23),COLUMN('Loan 1'!$C$23),4)</f>
        <v>C23</v>
      </c>
      <c r="C5558" t="str">
        <f>ADDRESS(ROW('Loan 1'!$D$23),COLUMN('Loan 1'!$D$23),4)</f>
        <v>D23</v>
      </c>
      <c r="D5558" t="b" cm="1">
        <f t="array" aca="1" ref="D5558" ca="1">IF(INDIRECT("'"&amp;A5558&amp;"'!"&amp;B5558)="",FALSE,IF(TRUNC(INDIRECT("'"&amp;A5558&amp;"'!"&amp;B5558))=INDIRECT("'"&amp;A5558&amp;"'!"&amp;B5558),FALSE,TRUE))</f>
        <v>0</v>
      </c>
      <c r="E5558" t="s">
        <v>436</v>
      </c>
      <c r="F5558" t="str">
        <f>INDEX(Lists!I:I,MATCH(Validation!E5558,Lists!G:G,0))</f>
        <v>Error</v>
      </c>
      <c r="G5558" t="str">
        <f>INDEX(Lists!H:H,MATCH(Validation!E5558,Lists!G:G,0))</f>
        <v>Amount must be rounded to the nearest dollar.</v>
      </c>
      <c r="H5558" s="16" t="str">
        <f t="shared" ca="1" si="603"/>
        <v/>
      </c>
      <c r="I5558" s="16" t="str">
        <f t="shared" ca="1" si="604"/>
        <v/>
      </c>
      <c r="J5558" s="17" t="str">
        <f t="shared" ca="1" si="605"/>
        <v/>
      </c>
    </row>
    <row r="5559" spans="1:10" x14ac:dyDescent="0.25">
      <c r="A5559" t="s">
        <v>937</v>
      </c>
      <c r="B5559" t="str">
        <f>ADDRESS(ROW('Loan 1'!$C$23),COLUMN('Loan 1'!$C$23),4)</f>
        <v>C23</v>
      </c>
      <c r="C5559" t="str">
        <f>ADDRESS(ROW('Loan 1'!$D$23),COLUMN('Loan 1'!$D$23),4)</f>
        <v>D23</v>
      </c>
      <c r="D5559" t="b" cm="1">
        <f t="array" aca="1" ref="D5559" ca="1">IF(INDIRECT("'"&amp;A5559&amp;"'!"&amp;B5559)="",FALSE,IF(TRUNC(INDIRECT("'"&amp;A5559&amp;"'!"&amp;B5559))=INDIRECT("'"&amp;A5559&amp;"'!"&amp;B5559),FALSE,TRUE))</f>
        <v>0</v>
      </c>
      <c r="E5559" t="s">
        <v>436</v>
      </c>
      <c r="F5559" t="str">
        <f>INDEX(Lists!I:I,MATCH(Validation!E5559,Lists!G:G,0))</f>
        <v>Error</v>
      </c>
      <c r="G5559" t="str">
        <f>INDEX(Lists!H:H,MATCH(Validation!E5559,Lists!G:G,0))</f>
        <v>Amount must be rounded to the nearest dollar.</v>
      </c>
      <c r="H5559" s="16" t="str">
        <f t="shared" ca="1" si="603"/>
        <v/>
      </c>
      <c r="I5559" s="16" t="str">
        <f t="shared" ca="1" si="604"/>
        <v/>
      </c>
      <c r="J5559" s="17" t="str">
        <f t="shared" ca="1" si="605"/>
        <v/>
      </c>
    </row>
    <row r="5560" spans="1:10" x14ac:dyDescent="0.25">
      <c r="A5560" t="s">
        <v>938</v>
      </c>
      <c r="B5560" t="str">
        <f>ADDRESS(ROW('Loan 1'!$C$23),COLUMN('Loan 1'!$C$23),4)</f>
        <v>C23</v>
      </c>
      <c r="C5560" t="str">
        <f>ADDRESS(ROW('Loan 1'!$D$23),COLUMN('Loan 1'!$D$23),4)</f>
        <v>D23</v>
      </c>
      <c r="D5560" t="b" cm="1">
        <f t="array" aca="1" ref="D5560" ca="1">IF(INDIRECT("'"&amp;A5560&amp;"'!"&amp;B5560)="",FALSE,IF(TRUNC(INDIRECT("'"&amp;A5560&amp;"'!"&amp;B5560))=INDIRECT("'"&amp;A5560&amp;"'!"&amp;B5560),FALSE,TRUE))</f>
        <v>0</v>
      </c>
      <c r="E5560" t="s">
        <v>436</v>
      </c>
      <c r="F5560" t="str">
        <f>INDEX(Lists!I:I,MATCH(Validation!E5560,Lists!G:G,0))</f>
        <v>Error</v>
      </c>
      <c r="G5560" t="str">
        <f>INDEX(Lists!H:H,MATCH(Validation!E5560,Lists!G:G,0))</f>
        <v>Amount must be rounded to the nearest dollar.</v>
      </c>
      <c r="H5560" s="16" t="str">
        <f t="shared" ca="1" si="603"/>
        <v/>
      </c>
      <c r="I5560" s="16" t="str">
        <f t="shared" ca="1" si="604"/>
        <v/>
      </c>
      <c r="J5560" s="17" t="str">
        <f t="shared" ca="1" si="605"/>
        <v/>
      </c>
    </row>
    <row r="5561" spans="1:10" x14ac:dyDescent="0.25">
      <c r="A5561" t="s">
        <v>939</v>
      </c>
      <c r="B5561" t="str">
        <f>ADDRESS(ROW('Loan 1'!$C$23),COLUMN('Loan 1'!$C$23),4)</f>
        <v>C23</v>
      </c>
      <c r="C5561" t="str">
        <f>ADDRESS(ROW('Loan 1'!$D$23),COLUMN('Loan 1'!$D$23),4)</f>
        <v>D23</v>
      </c>
      <c r="D5561" t="b" cm="1">
        <f t="array" aca="1" ref="D5561" ca="1">IF(INDIRECT("'"&amp;A5561&amp;"'!"&amp;B5561)="",FALSE,IF(TRUNC(INDIRECT("'"&amp;A5561&amp;"'!"&amp;B5561))=INDIRECT("'"&amp;A5561&amp;"'!"&amp;B5561),FALSE,TRUE))</f>
        <v>0</v>
      </c>
      <c r="E5561" t="s">
        <v>436</v>
      </c>
      <c r="F5561" t="str">
        <f>INDEX(Lists!I:I,MATCH(Validation!E5561,Lists!G:G,0))</f>
        <v>Error</v>
      </c>
      <c r="G5561" t="str">
        <f>INDEX(Lists!H:H,MATCH(Validation!E5561,Lists!G:G,0))</f>
        <v>Amount must be rounded to the nearest dollar.</v>
      </c>
      <c r="H5561" s="16" t="str">
        <f t="shared" ca="1" si="603"/>
        <v/>
      </c>
      <c r="I5561" s="16" t="str">
        <f t="shared" ca="1" si="604"/>
        <v/>
      </c>
      <c r="J5561" s="17" t="str">
        <f t="shared" ca="1" si="605"/>
        <v/>
      </c>
    </row>
    <row r="5562" spans="1:10" x14ac:dyDescent="0.25">
      <c r="A5562" t="s">
        <v>940</v>
      </c>
      <c r="B5562" t="str">
        <f>ADDRESS(ROW('Loan 1'!$C$23),COLUMN('Loan 1'!$C$23),4)</f>
        <v>C23</v>
      </c>
      <c r="C5562" t="str">
        <f>ADDRESS(ROW('Loan 1'!$D$23),COLUMN('Loan 1'!$D$23),4)</f>
        <v>D23</v>
      </c>
      <c r="D5562" t="b" cm="1">
        <f t="array" aca="1" ref="D5562" ca="1">IF(INDIRECT("'"&amp;A5562&amp;"'!"&amp;B5562)="",FALSE,IF(TRUNC(INDIRECT("'"&amp;A5562&amp;"'!"&amp;B5562))=INDIRECT("'"&amp;A5562&amp;"'!"&amp;B5562),FALSE,TRUE))</f>
        <v>0</v>
      </c>
      <c r="E5562" t="s">
        <v>436</v>
      </c>
      <c r="F5562" t="str">
        <f>INDEX(Lists!I:I,MATCH(Validation!E5562,Lists!G:G,0))</f>
        <v>Error</v>
      </c>
      <c r="G5562" t="str">
        <f>INDEX(Lists!H:H,MATCH(Validation!E5562,Lists!G:G,0))</f>
        <v>Amount must be rounded to the nearest dollar.</v>
      </c>
      <c r="H5562" s="16" t="str">
        <f t="shared" ca="1" si="603"/>
        <v/>
      </c>
      <c r="I5562" s="16" t="str">
        <f t="shared" ca="1" si="604"/>
        <v/>
      </c>
      <c r="J5562" s="17" t="str">
        <f t="shared" ca="1" si="605"/>
        <v/>
      </c>
    </row>
    <row r="5563" spans="1:10" x14ac:dyDescent="0.25">
      <c r="A5563" t="s">
        <v>941</v>
      </c>
      <c r="B5563" t="str">
        <f>ADDRESS(ROW('Loan 1'!$C$23),COLUMN('Loan 1'!$C$23),4)</f>
        <v>C23</v>
      </c>
      <c r="C5563" t="str">
        <f>ADDRESS(ROW('Loan 1'!$D$23),COLUMN('Loan 1'!$D$23),4)</f>
        <v>D23</v>
      </c>
      <c r="D5563" t="b" cm="1">
        <f t="array" aca="1" ref="D5563" ca="1">IF(INDIRECT("'"&amp;A5563&amp;"'!"&amp;B5563)="",FALSE,IF(TRUNC(INDIRECT("'"&amp;A5563&amp;"'!"&amp;B5563))=INDIRECT("'"&amp;A5563&amp;"'!"&amp;B5563),FALSE,TRUE))</f>
        <v>0</v>
      </c>
      <c r="E5563" t="s">
        <v>436</v>
      </c>
      <c r="F5563" t="str">
        <f>INDEX(Lists!I:I,MATCH(Validation!E5563,Lists!G:G,0))</f>
        <v>Error</v>
      </c>
      <c r="G5563" t="str">
        <f>INDEX(Lists!H:H,MATCH(Validation!E5563,Lists!G:G,0))</f>
        <v>Amount must be rounded to the nearest dollar.</v>
      </c>
      <c r="H5563" s="16" t="str">
        <f t="shared" ca="1" si="603"/>
        <v/>
      </c>
      <c r="I5563" s="16" t="str">
        <f t="shared" ca="1" si="604"/>
        <v/>
      </c>
      <c r="J5563" s="17" t="str">
        <f t="shared" ca="1" si="605"/>
        <v/>
      </c>
    </row>
    <row r="5564" spans="1:10" x14ac:dyDescent="0.25">
      <c r="A5564" t="s">
        <v>942</v>
      </c>
      <c r="B5564" t="str">
        <f>ADDRESS(ROW('Loan 1'!$C$23),COLUMN('Loan 1'!$C$23),4)</f>
        <v>C23</v>
      </c>
      <c r="C5564" t="str">
        <f>ADDRESS(ROW('Loan 1'!$D$23),COLUMN('Loan 1'!$D$23),4)</f>
        <v>D23</v>
      </c>
      <c r="D5564" t="b" cm="1">
        <f t="array" aca="1" ref="D5564" ca="1">IF(INDIRECT("'"&amp;A5564&amp;"'!"&amp;B5564)="",FALSE,IF(TRUNC(INDIRECT("'"&amp;A5564&amp;"'!"&amp;B5564))=INDIRECT("'"&amp;A5564&amp;"'!"&amp;B5564),FALSE,TRUE))</f>
        <v>0</v>
      </c>
      <c r="E5564" t="s">
        <v>436</v>
      </c>
      <c r="F5564" t="str">
        <f>INDEX(Lists!I:I,MATCH(Validation!E5564,Lists!G:G,0))</f>
        <v>Error</v>
      </c>
      <c r="G5564" t="str">
        <f>INDEX(Lists!H:H,MATCH(Validation!E5564,Lists!G:G,0))</f>
        <v>Amount must be rounded to the nearest dollar.</v>
      </c>
      <c r="H5564" s="16" t="str">
        <f t="shared" ca="1" si="603"/>
        <v/>
      </c>
      <c r="I5564" s="16" t="str">
        <f t="shared" ca="1" si="604"/>
        <v/>
      </c>
      <c r="J5564" s="17" t="str">
        <f t="shared" ca="1" si="605"/>
        <v/>
      </c>
    </row>
    <row r="5565" spans="1:10" x14ac:dyDescent="0.25">
      <c r="A5565" t="s">
        <v>943</v>
      </c>
      <c r="B5565" t="str">
        <f>ADDRESS(ROW('Loan 1'!$C$23),COLUMN('Loan 1'!$C$23),4)</f>
        <v>C23</v>
      </c>
      <c r="C5565" t="str">
        <f>ADDRESS(ROW('Loan 1'!$D$23),COLUMN('Loan 1'!$D$23),4)</f>
        <v>D23</v>
      </c>
      <c r="D5565" t="b" cm="1">
        <f t="array" aca="1" ref="D5565" ca="1">IF(INDIRECT("'"&amp;A5565&amp;"'!"&amp;B5565)="",FALSE,IF(TRUNC(INDIRECT("'"&amp;A5565&amp;"'!"&amp;B5565))=INDIRECT("'"&amp;A5565&amp;"'!"&amp;B5565),FALSE,TRUE))</f>
        <v>0</v>
      </c>
      <c r="E5565" t="s">
        <v>436</v>
      </c>
      <c r="F5565" t="str">
        <f>INDEX(Lists!I:I,MATCH(Validation!E5565,Lists!G:G,0))</f>
        <v>Error</v>
      </c>
      <c r="G5565" t="str">
        <f>INDEX(Lists!H:H,MATCH(Validation!E5565,Lists!G:G,0))</f>
        <v>Amount must be rounded to the nearest dollar.</v>
      </c>
      <c r="H5565" s="16" t="str">
        <f t="shared" ca="1" si="603"/>
        <v/>
      </c>
      <c r="I5565" s="16" t="str">
        <f t="shared" ca="1" si="604"/>
        <v/>
      </c>
      <c r="J5565" s="17" t="str">
        <f t="shared" ca="1" si="605"/>
        <v/>
      </c>
    </row>
    <row r="5566" spans="1:10" x14ac:dyDescent="0.25">
      <c r="A5566" t="s">
        <v>944</v>
      </c>
      <c r="B5566" t="str">
        <f>ADDRESS(ROW('Loan 1'!$C$23),COLUMN('Loan 1'!$C$23),4)</f>
        <v>C23</v>
      </c>
      <c r="C5566" t="str">
        <f>ADDRESS(ROW('Loan 1'!$D$23),COLUMN('Loan 1'!$D$23),4)</f>
        <v>D23</v>
      </c>
      <c r="D5566" t="b" cm="1">
        <f t="array" aca="1" ref="D5566" ca="1">IF(INDIRECT("'"&amp;A5566&amp;"'!"&amp;B5566)="",FALSE,IF(TRUNC(INDIRECT("'"&amp;A5566&amp;"'!"&amp;B5566))=INDIRECT("'"&amp;A5566&amp;"'!"&amp;B5566),FALSE,TRUE))</f>
        <v>0</v>
      </c>
      <c r="E5566" t="s">
        <v>436</v>
      </c>
      <c r="F5566" t="str">
        <f>INDEX(Lists!I:I,MATCH(Validation!E5566,Lists!G:G,0))</f>
        <v>Error</v>
      </c>
      <c r="G5566" t="str">
        <f>INDEX(Lists!H:H,MATCH(Validation!E5566,Lists!G:G,0))</f>
        <v>Amount must be rounded to the nearest dollar.</v>
      </c>
      <c r="H5566" s="16" t="str">
        <f t="shared" ca="1" si="603"/>
        <v/>
      </c>
      <c r="I5566" s="16" t="str">
        <f t="shared" ca="1" si="604"/>
        <v/>
      </c>
      <c r="J5566" s="17" t="str">
        <f t="shared" ca="1" si="605"/>
        <v/>
      </c>
    </row>
    <row r="5567" spans="1:10" x14ac:dyDescent="0.25">
      <c r="A5567" t="s">
        <v>945</v>
      </c>
      <c r="B5567" t="str">
        <f>ADDRESS(ROW('Loan 1'!$C$23),COLUMN('Loan 1'!$C$23),4)</f>
        <v>C23</v>
      </c>
      <c r="C5567" t="str">
        <f>ADDRESS(ROW('Loan 1'!$D$23),COLUMN('Loan 1'!$D$23),4)</f>
        <v>D23</v>
      </c>
      <c r="D5567" t="b" cm="1">
        <f t="array" aca="1" ref="D5567" ca="1">IF(INDIRECT("'"&amp;A5567&amp;"'!"&amp;B5567)="",FALSE,IF(TRUNC(INDIRECT("'"&amp;A5567&amp;"'!"&amp;B5567))=INDIRECT("'"&amp;A5567&amp;"'!"&amp;B5567),FALSE,TRUE))</f>
        <v>0</v>
      </c>
      <c r="E5567" t="s">
        <v>436</v>
      </c>
      <c r="F5567" t="str">
        <f>INDEX(Lists!I:I,MATCH(Validation!E5567,Lists!G:G,0))</f>
        <v>Error</v>
      </c>
      <c r="G5567" t="str">
        <f>INDEX(Lists!H:H,MATCH(Validation!E5567,Lists!G:G,0))</f>
        <v>Amount must be rounded to the nearest dollar.</v>
      </c>
      <c r="H5567" s="16" t="str">
        <f t="shared" ca="1" si="603"/>
        <v/>
      </c>
      <c r="I5567" s="16" t="str">
        <f t="shared" ca="1" si="604"/>
        <v/>
      </c>
      <c r="J5567" s="17" t="str">
        <f t="shared" ca="1" si="605"/>
        <v/>
      </c>
    </row>
    <row r="5568" spans="1:10" x14ac:dyDescent="0.25">
      <c r="A5568" t="s">
        <v>205</v>
      </c>
      <c r="B5568" t="str">
        <f>ADDRESS(ROW('Loan 1'!$B$24),COLUMN('Loan 1'!$B$24),4)</f>
        <v>B24</v>
      </c>
      <c r="C5568" t="str">
        <f>ADDRESS(ROW('Loan 1'!$D$24),COLUMN('Loan 1'!$D$24),4)</f>
        <v>D24</v>
      </c>
      <c r="D5568" t="b" cm="1">
        <f t="array" aca="1" ref="D5568" ca="1">IF(INDIRECT("'"&amp;A5568&amp;"'!"&amp;B5568)="",FALSE,IF(NOT(ISNUMBER(INDIRECT("'"&amp;A5568&amp;"'!"&amp;B5568))),TRUE,FALSE))</f>
        <v>0</v>
      </c>
      <c r="E5568" t="s">
        <v>435</v>
      </c>
      <c r="F5568" t="str">
        <f>INDEX(Lists!I:I,MATCH(Validation!E5568,Lists!G:G,0))</f>
        <v>Error</v>
      </c>
      <c r="G5568" t="str">
        <f>INDEX(Lists!H:H,MATCH(Validation!E5568,Lists!G:G,0))</f>
        <v>Enter an amount only. Do not enter text or spaces.</v>
      </c>
      <c r="H5568" s="16" t="str">
        <f ca="1">IFERROR(IF(OR(NOT(D5568),F5568&lt;&gt;"Error"),"",A5568&amp;CELL("address",INDIRECT(B5568))),"")</f>
        <v/>
      </c>
      <c r="I5568" s="16" t="str">
        <f ca="1">IFERROR(IF(NOT(D5568),"",A5568&amp;CELL("address",INDIRECT(C5568))),"")</f>
        <v/>
      </c>
      <c r="J5568" s="17" t="str">
        <f ca="1">IFERROR(IF(NOT(D5568),"",A5568),"")</f>
        <v/>
      </c>
    </row>
    <row r="5569" spans="1:10" x14ac:dyDescent="0.25">
      <c r="A5569" t="s">
        <v>932</v>
      </c>
      <c r="B5569" t="str">
        <f>ADDRESS(ROW('Loan 1'!$B$24),COLUMN('Loan 1'!$B$24),4)</f>
        <v>B24</v>
      </c>
      <c r="C5569" t="str">
        <f>ADDRESS(ROW('Loan 1'!$D$24),COLUMN('Loan 1'!$D$24),4)</f>
        <v>D24</v>
      </c>
      <c r="D5569" t="b" cm="1">
        <f t="array" aca="1" ref="D5569" ca="1">IF(INDIRECT("'"&amp;A5569&amp;"'!"&amp;B5569)="",FALSE,IF(NOT(ISNUMBER(INDIRECT("'"&amp;A5569&amp;"'!"&amp;B5569))),TRUE,FALSE))</f>
        <v>0</v>
      </c>
      <c r="E5569" t="s">
        <v>435</v>
      </c>
      <c r="F5569" t="str">
        <f>INDEX(Lists!I:I,MATCH(Validation!E5569,Lists!G:G,0))</f>
        <v>Error</v>
      </c>
      <c r="G5569" t="str">
        <f>INDEX(Lists!H:H,MATCH(Validation!E5569,Lists!G:G,0))</f>
        <v>Enter an amount only. Do not enter text or spaces.</v>
      </c>
      <c r="H5569" s="16" t="str">
        <f t="shared" ref="H5569:H5582" ca="1" si="606">IFERROR(IF(OR(NOT(D5569),F5569&lt;&gt;"Error"),"",A5569&amp;CELL("address",INDIRECT(B5569))),"")</f>
        <v/>
      </c>
      <c r="I5569" s="16" t="str">
        <f t="shared" ref="I5569:I5582" ca="1" si="607">IFERROR(IF(NOT(D5569),"",A5569&amp;CELL("address",INDIRECT(C5569))),"")</f>
        <v/>
      </c>
      <c r="J5569" s="17" t="str">
        <f t="shared" ref="J5569:J5582" ca="1" si="608">IFERROR(IF(NOT(D5569),"",A5569),"")</f>
        <v/>
      </c>
    </row>
    <row r="5570" spans="1:10" x14ac:dyDescent="0.25">
      <c r="A5570" t="s">
        <v>933</v>
      </c>
      <c r="B5570" t="str">
        <f>ADDRESS(ROW('Loan 1'!$B$24),COLUMN('Loan 1'!$B$24),4)</f>
        <v>B24</v>
      </c>
      <c r="C5570" t="str">
        <f>ADDRESS(ROW('Loan 1'!$D$24),COLUMN('Loan 1'!$D$24),4)</f>
        <v>D24</v>
      </c>
      <c r="D5570" t="b" cm="1">
        <f t="array" aca="1" ref="D5570" ca="1">IF(INDIRECT("'"&amp;A5570&amp;"'!"&amp;B5570)="",FALSE,IF(NOT(ISNUMBER(INDIRECT("'"&amp;A5570&amp;"'!"&amp;B5570))),TRUE,FALSE))</f>
        <v>0</v>
      </c>
      <c r="E5570" t="s">
        <v>435</v>
      </c>
      <c r="F5570" t="str">
        <f>INDEX(Lists!I:I,MATCH(Validation!E5570,Lists!G:G,0))</f>
        <v>Error</v>
      </c>
      <c r="G5570" t="str">
        <f>INDEX(Lists!H:H,MATCH(Validation!E5570,Lists!G:G,0))</f>
        <v>Enter an amount only. Do not enter text or spaces.</v>
      </c>
      <c r="H5570" s="16" t="str">
        <f t="shared" ca="1" si="606"/>
        <v/>
      </c>
      <c r="I5570" s="16" t="str">
        <f t="shared" ca="1" si="607"/>
        <v/>
      </c>
      <c r="J5570" s="17" t="str">
        <f t="shared" ca="1" si="608"/>
        <v/>
      </c>
    </row>
    <row r="5571" spans="1:10" x14ac:dyDescent="0.25">
      <c r="A5571" t="s">
        <v>934</v>
      </c>
      <c r="B5571" t="str">
        <f>ADDRESS(ROW('Loan 1'!$B$24),COLUMN('Loan 1'!$B$24),4)</f>
        <v>B24</v>
      </c>
      <c r="C5571" t="str">
        <f>ADDRESS(ROW('Loan 1'!$D$24),COLUMN('Loan 1'!$D$24),4)</f>
        <v>D24</v>
      </c>
      <c r="D5571" t="b" cm="1">
        <f t="array" aca="1" ref="D5571" ca="1">IF(INDIRECT("'"&amp;A5571&amp;"'!"&amp;B5571)="",FALSE,IF(NOT(ISNUMBER(INDIRECT("'"&amp;A5571&amp;"'!"&amp;B5571))),TRUE,FALSE))</f>
        <v>0</v>
      </c>
      <c r="E5571" t="s">
        <v>435</v>
      </c>
      <c r="F5571" t="str">
        <f>INDEX(Lists!I:I,MATCH(Validation!E5571,Lists!G:G,0))</f>
        <v>Error</v>
      </c>
      <c r="G5571" t="str">
        <f>INDEX(Lists!H:H,MATCH(Validation!E5571,Lists!G:G,0))</f>
        <v>Enter an amount only. Do not enter text or spaces.</v>
      </c>
      <c r="H5571" s="16" t="str">
        <f t="shared" ca="1" si="606"/>
        <v/>
      </c>
      <c r="I5571" s="16" t="str">
        <f t="shared" ca="1" si="607"/>
        <v/>
      </c>
      <c r="J5571" s="17" t="str">
        <f t="shared" ca="1" si="608"/>
        <v/>
      </c>
    </row>
    <row r="5572" spans="1:10" x14ac:dyDescent="0.25">
      <c r="A5572" t="s">
        <v>935</v>
      </c>
      <c r="B5572" t="str">
        <f>ADDRESS(ROW('Loan 1'!$B$24),COLUMN('Loan 1'!$B$24),4)</f>
        <v>B24</v>
      </c>
      <c r="C5572" t="str">
        <f>ADDRESS(ROW('Loan 1'!$D$24),COLUMN('Loan 1'!$D$24),4)</f>
        <v>D24</v>
      </c>
      <c r="D5572" t="b" cm="1">
        <f t="array" aca="1" ref="D5572" ca="1">IF(INDIRECT("'"&amp;A5572&amp;"'!"&amp;B5572)="",FALSE,IF(NOT(ISNUMBER(INDIRECT("'"&amp;A5572&amp;"'!"&amp;B5572))),TRUE,FALSE))</f>
        <v>0</v>
      </c>
      <c r="E5572" t="s">
        <v>435</v>
      </c>
      <c r="F5572" t="str">
        <f>INDEX(Lists!I:I,MATCH(Validation!E5572,Lists!G:G,0))</f>
        <v>Error</v>
      </c>
      <c r="G5572" t="str">
        <f>INDEX(Lists!H:H,MATCH(Validation!E5572,Lists!G:G,0))</f>
        <v>Enter an amount only. Do not enter text or spaces.</v>
      </c>
      <c r="H5572" s="16" t="str">
        <f t="shared" ca="1" si="606"/>
        <v/>
      </c>
      <c r="I5572" s="16" t="str">
        <f t="shared" ca="1" si="607"/>
        <v/>
      </c>
      <c r="J5572" s="17" t="str">
        <f t="shared" ca="1" si="608"/>
        <v/>
      </c>
    </row>
    <row r="5573" spans="1:10" x14ac:dyDescent="0.25">
      <c r="A5573" t="s">
        <v>936</v>
      </c>
      <c r="B5573" t="str">
        <f>ADDRESS(ROW('Loan 1'!$B$24),COLUMN('Loan 1'!$B$24),4)</f>
        <v>B24</v>
      </c>
      <c r="C5573" t="str">
        <f>ADDRESS(ROW('Loan 1'!$D$24),COLUMN('Loan 1'!$D$24),4)</f>
        <v>D24</v>
      </c>
      <c r="D5573" t="b" cm="1">
        <f t="array" aca="1" ref="D5573" ca="1">IF(INDIRECT("'"&amp;A5573&amp;"'!"&amp;B5573)="",FALSE,IF(NOT(ISNUMBER(INDIRECT("'"&amp;A5573&amp;"'!"&amp;B5573))),TRUE,FALSE))</f>
        <v>0</v>
      </c>
      <c r="E5573" t="s">
        <v>435</v>
      </c>
      <c r="F5573" t="str">
        <f>INDEX(Lists!I:I,MATCH(Validation!E5573,Lists!G:G,0))</f>
        <v>Error</v>
      </c>
      <c r="G5573" t="str">
        <f>INDEX(Lists!H:H,MATCH(Validation!E5573,Lists!G:G,0))</f>
        <v>Enter an amount only. Do not enter text or spaces.</v>
      </c>
      <c r="H5573" s="16" t="str">
        <f t="shared" ca="1" si="606"/>
        <v/>
      </c>
      <c r="I5573" s="16" t="str">
        <f t="shared" ca="1" si="607"/>
        <v/>
      </c>
      <c r="J5573" s="17" t="str">
        <f t="shared" ca="1" si="608"/>
        <v/>
      </c>
    </row>
    <row r="5574" spans="1:10" x14ac:dyDescent="0.25">
      <c r="A5574" t="s">
        <v>937</v>
      </c>
      <c r="B5574" t="str">
        <f>ADDRESS(ROW('Loan 1'!$B$24),COLUMN('Loan 1'!$B$24),4)</f>
        <v>B24</v>
      </c>
      <c r="C5574" t="str">
        <f>ADDRESS(ROW('Loan 1'!$D$24),COLUMN('Loan 1'!$D$24),4)</f>
        <v>D24</v>
      </c>
      <c r="D5574" t="b" cm="1">
        <f t="array" aca="1" ref="D5574" ca="1">IF(INDIRECT("'"&amp;A5574&amp;"'!"&amp;B5574)="",FALSE,IF(NOT(ISNUMBER(INDIRECT("'"&amp;A5574&amp;"'!"&amp;B5574))),TRUE,FALSE))</f>
        <v>0</v>
      </c>
      <c r="E5574" t="s">
        <v>435</v>
      </c>
      <c r="F5574" t="str">
        <f>INDEX(Lists!I:I,MATCH(Validation!E5574,Lists!G:G,0))</f>
        <v>Error</v>
      </c>
      <c r="G5574" t="str">
        <f>INDEX(Lists!H:H,MATCH(Validation!E5574,Lists!G:G,0))</f>
        <v>Enter an amount only. Do not enter text or spaces.</v>
      </c>
      <c r="H5574" s="16" t="str">
        <f t="shared" ca="1" si="606"/>
        <v/>
      </c>
      <c r="I5574" s="16" t="str">
        <f t="shared" ca="1" si="607"/>
        <v/>
      </c>
      <c r="J5574" s="17" t="str">
        <f t="shared" ca="1" si="608"/>
        <v/>
      </c>
    </row>
    <row r="5575" spans="1:10" x14ac:dyDescent="0.25">
      <c r="A5575" t="s">
        <v>938</v>
      </c>
      <c r="B5575" t="str">
        <f>ADDRESS(ROW('Loan 1'!$B$24),COLUMN('Loan 1'!$B$24),4)</f>
        <v>B24</v>
      </c>
      <c r="C5575" t="str">
        <f>ADDRESS(ROW('Loan 1'!$D$24),COLUMN('Loan 1'!$D$24),4)</f>
        <v>D24</v>
      </c>
      <c r="D5575" t="b" cm="1">
        <f t="array" aca="1" ref="D5575" ca="1">IF(INDIRECT("'"&amp;A5575&amp;"'!"&amp;B5575)="",FALSE,IF(NOT(ISNUMBER(INDIRECT("'"&amp;A5575&amp;"'!"&amp;B5575))),TRUE,FALSE))</f>
        <v>0</v>
      </c>
      <c r="E5575" t="s">
        <v>435</v>
      </c>
      <c r="F5575" t="str">
        <f>INDEX(Lists!I:I,MATCH(Validation!E5575,Lists!G:G,0))</f>
        <v>Error</v>
      </c>
      <c r="G5575" t="str">
        <f>INDEX(Lists!H:H,MATCH(Validation!E5575,Lists!G:G,0))</f>
        <v>Enter an amount only. Do not enter text or spaces.</v>
      </c>
      <c r="H5575" s="16" t="str">
        <f t="shared" ca="1" si="606"/>
        <v/>
      </c>
      <c r="I5575" s="16" t="str">
        <f t="shared" ca="1" si="607"/>
        <v/>
      </c>
      <c r="J5575" s="17" t="str">
        <f t="shared" ca="1" si="608"/>
        <v/>
      </c>
    </row>
    <row r="5576" spans="1:10" x14ac:dyDescent="0.25">
      <c r="A5576" t="s">
        <v>939</v>
      </c>
      <c r="B5576" t="str">
        <f>ADDRESS(ROW('Loan 1'!$B$24),COLUMN('Loan 1'!$B$24),4)</f>
        <v>B24</v>
      </c>
      <c r="C5576" t="str">
        <f>ADDRESS(ROW('Loan 1'!$D$24),COLUMN('Loan 1'!$D$24),4)</f>
        <v>D24</v>
      </c>
      <c r="D5576" t="b" cm="1">
        <f t="array" aca="1" ref="D5576" ca="1">IF(INDIRECT("'"&amp;A5576&amp;"'!"&amp;B5576)="",FALSE,IF(NOT(ISNUMBER(INDIRECT("'"&amp;A5576&amp;"'!"&amp;B5576))),TRUE,FALSE))</f>
        <v>0</v>
      </c>
      <c r="E5576" t="s">
        <v>435</v>
      </c>
      <c r="F5576" t="str">
        <f>INDEX(Lists!I:I,MATCH(Validation!E5576,Lists!G:G,0))</f>
        <v>Error</v>
      </c>
      <c r="G5576" t="str">
        <f>INDEX(Lists!H:H,MATCH(Validation!E5576,Lists!G:G,0))</f>
        <v>Enter an amount only. Do not enter text or spaces.</v>
      </c>
      <c r="H5576" s="16" t="str">
        <f t="shared" ca="1" si="606"/>
        <v/>
      </c>
      <c r="I5576" s="16" t="str">
        <f t="shared" ca="1" si="607"/>
        <v/>
      </c>
      <c r="J5576" s="17" t="str">
        <f t="shared" ca="1" si="608"/>
        <v/>
      </c>
    </row>
    <row r="5577" spans="1:10" x14ac:dyDescent="0.25">
      <c r="A5577" t="s">
        <v>940</v>
      </c>
      <c r="B5577" t="str">
        <f>ADDRESS(ROW('Loan 1'!$B$24),COLUMN('Loan 1'!$B$24),4)</f>
        <v>B24</v>
      </c>
      <c r="C5577" t="str">
        <f>ADDRESS(ROW('Loan 1'!$D$24),COLUMN('Loan 1'!$D$24),4)</f>
        <v>D24</v>
      </c>
      <c r="D5577" t="b" cm="1">
        <f t="array" aca="1" ref="D5577" ca="1">IF(INDIRECT("'"&amp;A5577&amp;"'!"&amp;B5577)="",FALSE,IF(NOT(ISNUMBER(INDIRECT("'"&amp;A5577&amp;"'!"&amp;B5577))),TRUE,FALSE))</f>
        <v>0</v>
      </c>
      <c r="E5577" t="s">
        <v>435</v>
      </c>
      <c r="F5577" t="str">
        <f>INDEX(Lists!I:I,MATCH(Validation!E5577,Lists!G:G,0))</f>
        <v>Error</v>
      </c>
      <c r="G5577" t="str">
        <f>INDEX(Lists!H:H,MATCH(Validation!E5577,Lists!G:G,0))</f>
        <v>Enter an amount only. Do not enter text or spaces.</v>
      </c>
      <c r="H5577" s="16" t="str">
        <f t="shared" ca="1" si="606"/>
        <v/>
      </c>
      <c r="I5577" s="16" t="str">
        <f t="shared" ca="1" si="607"/>
        <v/>
      </c>
      <c r="J5577" s="17" t="str">
        <f t="shared" ca="1" si="608"/>
        <v/>
      </c>
    </row>
    <row r="5578" spans="1:10" x14ac:dyDescent="0.25">
      <c r="A5578" t="s">
        <v>941</v>
      </c>
      <c r="B5578" t="str">
        <f>ADDRESS(ROW('Loan 1'!$B$24),COLUMN('Loan 1'!$B$24),4)</f>
        <v>B24</v>
      </c>
      <c r="C5578" t="str">
        <f>ADDRESS(ROW('Loan 1'!$D$24),COLUMN('Loan 1'!$D$24),4)</f>
        <v>D24</v>
      </c>
      <c r="D5578" t="b" cm="1">
        <f t="array" aca="1" ref="D5578" ca="1">IF(INDIRECT("'"&amp;A5578&amp;"'!"&amp;B5578)="",FALSE,IF(NOT(ISNUMBER(INDIRECT("'"&amp;A5578&amp;"'!"&amp;B5578))),TRUE,FALSE))</f>
        <v>0</v>
      </c>
      <c r="E5578" t="s">
        <v>435</v>
      </c>
      <c r="F5578" t="str">
        <f>INDEX(Lists!I:I,MATCH(Validation!E5578,Lists!G:G,0))</f>
        <v>Error</v>
      </c>
      <c r="G5578" t="str">
        <f>INDEX(Lists!H:H,MATCH(Validation!E5578,Lists!G:G,0))</f>
        <v>Enter an amount only. Do not enter text or spaces.</v>
      </c>
      <c r="H5578" s="16" t="str">
        <f t="shared" ca="1" si="606"/>
        <v/>
      </c>
      <c r="I5578" s="16" t="str">
        <f t="shared" ca="1" si="607"/>
        <v/>
      </c>
      <c r="J5578" s="17" t="str">
        <f t="shared" ca="1" si="608"/>
        <v/>
      </c>
    </row>
    <row r="5579" spans="1:10" x14ac:dyDescent="0.25">
      <c r="A5579" t="s">
        <v>942</v>
      </c>
      <c r="B5579" t="str">
        <f>ADDRESS(ROW('Loan 1'!$B$24),COLUMN('Loan 1'!$B$24),4)</f>
        <v>B24</v>
      </c>
      <c r="C5579" t="str">
        <f>ADDRESS(ROW('Loan 1'!$D$24),COLUMN('Loan 1'!$D$24),4)</f>
        <v>D24</v>
      </c>
      <c r="D5579" t="b" cm="1">
        <f t="array" aca="1" ref="D5579" ca="1">IF(INDIRECT("'"&amp;A5579&amp;"'!"&amp;B5579)="",FALSE,IF(NOT(ISNUMBER(INDIRECT("'"&amp;A5579&amp;"'!"&amp;B5579))),TRUE,FALSE))</f>
        <v>0</v>
      </c>
      <c r="E5579" t="s">
        <v>435</v>
      </c>
      <c r="F5579" t="str">
        <f>INDEX(Lists!I:I,MATCH(Validation!E5579,Lists!G:G,0))</f>
        <v>Error</v>
      </c>
      <c r="G5579" t="str">
        <f>INDEX(Lists!H:H,MATCH(Validation!E5579,Lists!G:G,0))</f>
        <v>Enter an amount only. Do not enter text or spaces.</v>
      </c>
      <c r="H5579" s="16" t="str">
        <f t="shared" ca="1" si="606"/>
        <v/>
      </c>
      <c r="I5579" s="16" t="str">
        <f t="shared" ca="1" si="607"/>
        <v/>
      </c>
      <c r="J5579" s="17" t="str">
        <f t="shared" ca="1" si="608"/>
        <v/>
      </c>
    </row>
    <row r="5580" spans="1:10" x14ac:dyDescent="0.25">
      <c r="A5580" t="s">
        <v>943</v>
      </c>
      <c r="B5580" t="str">
        <f>ADDRESS(ROW('Loan 1'!$B$24),COLUMN('Loan 1'!$B$24),4)</f>
        <v>B24</v>
      </c>
      <c r="C5580" t="str">
        <f>ADDRESS(ROW('Loan 1'!$D$24),COLUMN('Loan 1'!$D$24),4)</f>
        <v>D24</v>
      </c>
      <c r="D5580" t="b" cm="1">
        <f t="array" aca="1" ref="D5580" ca="1">IF(INDIRECT("'"&amp;A5580&amp;"'!"&amp;B5580)="",FALSE,IF(NOT(ISNUMBER(INDIRECT("'"&amp;A5580&amp;"'!"&amp;B5580))),TRUE,FALSE))</f>
        <v>0</v>
      </c>
      <c r="E5580" t="s">
        <v>435</v>
      </c>
      <c r="F5580" t="str">
        <f>INDEX(Lists!I:I,MATCH(Validation!E5580,Lists!G:G,0))</f>
        <v>Error</v>
      </c>
      <c r="G5580" t="str">
        <f>INDEX(Lists!H:H,MATCH(Validation!E5580,Lists!G:G,0))</f>
        <v>Enter an amount only. Do not enter text or spaces.</v>
      </c>
      <c r="H5580" s="16" t="str">
        <f t="shared" ca="1" si="606"/>
        <v/>
      </c>
      <c r="I5580" s="16" t="str">
        <f t="shared" ca="1" si="607"/>
        <v/>
      </c>
      <c r="J5580" s="17" t="str">
        <f t="shared" ca="1" si="608"/>
        <v/>
      </c>
    </row>
    <row r="5581" spans="1:10" x14ac:dyDescent="0.25">
      <c r="A5581" t="s">
        <v>944</v>
      </c>
      <c r="B5581" t="str">
        <f>ADDRESS(ROW('Loan 1'!$B$24),COLUMN('Loan 1'!$B$24),4)</f>
        <v>B24</v>
      </c>
      <c r="C5581" t="str">
        <f>ADDRESS(ROW('Loan 1'!$D$24),COLUMN('Loan 1'!$D$24),4)</f>
        <v>D24</v>
      </c>
      <c r="D5581" t="b" cm="1">
        <f t="array" aca="1" ref="D5581" ca="1">IF(INDIRECT("'"&amp;A5581&amp;"'!"&amp;B5581)="",FALSE,IF(NOT(ISNUMBER(INDIRECT("'"&amp;A5581&amp;"'!"&amp;B5581))),TRUE,FALSE))</f>
        <v>0</v>
      </c>
      <c r="E5581" t="s">
        <v>435</v>
      </c>
      <c r="F5581" t="str">
        <f>INDEX(Lists!I:I,MATCH(Validation!E5581,Lists!G:G,0))</f>
        <v>Error</v>
      </c>
      <c r="G5581" t="str">
        <f>INDEX(Lists!H:H,MATCH(Validation!E5581,Lists!G:G,0))</f>
        <v>Enter an amount only. Do not enter text or spaces.</v>
      </c>
      <c r="H5581" s="16" t="str">
        <f t="shared" ca="1" si="606"/>
        <v/>
      </c>
      <c r="I5581" s="16" t="str">
        <f t="shared" ca="1" si="607"/>
        <v/>
      </c>
      <c r="J5581" s="17" t="str">
        <f t="shared" ca="1" si="608"/>
        <v/>
      </c>
    </row>
    <row r="5582" spans="1:10" x14ac:dyDescent="0.25">
      <c r="A5582" t="s">
        <v>945</v>
      </c>
      <c r="B5582" t="str">
        <f>ADDRESS(ROW('Loan 1'!$B$24),COLUMN('Loan 1'!$B$24),4)</f>
        <v>B24</v>
      </c>
      <c r="C5582" t="str">
        <f>ADDRESS(ROW('Loan 1'!$D$24),COLUMN('Loan 1'!$D$24),4)</f>
        <v>D24</v>
      </c>
      <c r="D5582" t="b" cm="1">
        <f t="array" aca="1" ref="D5582" ca="1">IF(INDIRECT("'"&amp;A5582&amp;"'!"&amp;B5582)="",FALSE,IF(NOT(ISNUMBER(INDIRECT("'"&amp;A5582&amp;"'!"&amp;B5582))),TRUE,FALSE))</f>
        <v>0</v>
      </c>
      <c r="E5582" t="s">
        <v>435</v>
      </c>
      <c r="F5582" t="str">
        <f>INDEX(Lists!I:I,MATCH(Validation!E5582,Lists!G:G,0))</f>
        <v>Error</v>
      </c>
      <c r="G5582" t="str">
        <f>INDEX(Lists!H:H,MATCH(Validation!E5582,Lists!G:G,0))</f>
        <v>Enter an amount only. Do not enter text or spaces.</v>
      </c>
      <c r="H5582" s="16" t="str">
        <f t="shared" ca="1" si="606"/>
        <v/>
      </c>
      <c r="I5582" s="16" t="str">
        <f t="shared" ca="1" si="607"/>
        <v/>
      </c>
      <c r="J5582" s="17" t="str">
        <f t="shared" ca="1" si="608"/>
        <v/>
      </c>
    </row>
    <row r="5583" spans="1:10" x14ac:dyDescent="0.25">
      <c r="A5583" t="s">
        <v>205</v>
      </c>
      <c r="B5583" t="str">
        <f>ADDRESS(ROW('Loan 1'!$B$24),COLUMN('Loan 1'!$B$24),4)</f>
        <v>B24</v>
      </c>
      <c r="C5583" t="str">
        <f>ADDRESS(ROW('Loan 1'!$D$24),COLUMN('Loan 1'!$D$24),4)</f>
        <v>D24</v>
      </c>
      <c r="D5583" t="b" cm="1">
        <f t="array" aca="1" ref="D5583" ca="1">IF(INDIRECT("'"&amp;A5583&amp;"'!"&amp;B5583)="",FALSE,IF(INDIRECT("'"&amp;A5583&amp;"'!"&amp;B5583)&lt;0,TRUE,FALSE))</f>
        <v>0</v>
      </c>
      <c r="E5583" t="s">
        <v>434</v>
      </c>
      <c r="F5583" t="str">
        <f>INDEX(Lists!I:I,MATCH(Validation!E5583,Lists!G:G,0))</f>
        <v>Error</v>
      </c>
      <c r="G5583" t="str">
        <f>INDEX(Lists!H:H,MATCH(Validation!E5583,Lists!G:G,0))</f>
        <v>Amount may not be negative. Enter an amount greater than or equal to zero.</v>
      </c>
      <c r="H5583" s="16" t="str">
        <f ca="1">IFERROR(IF(OR(NOT(D5583),F5583&lt;&gt;"Error"),"",A5583&amp;CELL("address",INDIRECT(B5583))),"")</f>
        <v/>
      </c>
      <c r="I5583" s="16" t="str">
        <f ca="1">IFERROR(IF(NOT(D5583),"",A5583&amp;CELL("address",INDIRECT(C5583))),"")</f>
        <v/>
      </c>
      <c r="J5583" s="17" t="str">
        <f ca="1">IFERROR(IF(NOT(D5583),"",A5583),"")</f>
        <v/>
      </c>
    </row>
    <row r="5584" spans="1:10" x14ac:dyDescent="0.25">
      <c r="A5584" t="s">
        <v>932</v>
      </c>
      <c r="B5584" t="str">
        <f>ADDRESS(ROW('Loan 1'!$B$24),COLUMN('Loan 1'!$B$24),4)</f>
        <v>B24</v>
      </c>
      <c r="C5584" t="str">
        <f>ADDRESS(ROW('Loan 1'!$D$24),COLUMN('Loan 1'!$D$24),4)</f>
        <v>D24</v>
      </c>
      <c r="D5584" t="b" cm="1">
        <f t="array" aca="1" ref="D5584" ca="1">IF(INDIRECT("'"&amp;A5584&amp;"'!"&amp;B5584)="",FALSE,IF(INDIRECT("'"&amp;A5584&amp;"'!"&amp;B5584)&lt;0,TRUE,FALSE))</f>
        <v>0</v>
      </c>
      <c r="E5584" t="s">
        <v>434</v>
      </c>
      <c r="F5584" t="str">
        <f>INDEX(Lists!I:I,MATCH(Validation!E5584,Lists!G:G,0))</f>
        <v>Error</v>
      </c>
      <c r="G5584" t="str">
        <f>INDEX(Lists!H:H,MATCH(Validation!E5584,Lists!G:G,0))</f>
        <v>Amount may not be negative. Enter an amount greater than or equal to zero.</v>
      </c>
      <c r="H5584" s="16" t="str">
        <f t="shared" ref="H5584:H5612" ca="1" si="609">IFERROR(IF(OR(NOT(D5584),F5584&lt;&gt;"Error"),"",A5584&amp;CELL("address",INDIRECT(B5584))),"")</f>
        <v/>
      </c>
      <c r="I5584" s="16" t="str">
        <f t="shared" ref="I5584:I5612" ca="1" si="610">IFERROR(IF(NOT(D5584),"",A5584&amp;CELL("address",INDIRECT(C5584))),"")</f>
        <v/>
      </c>
      <c r="J5584" s="17" t="str">
        <f t="shared" ref="J5584:J5612" ca="1" si="611">IFERROR(IF(NOT(D5584),"",A5584),"")</f>
        <v/>
      </c>
    </row>
    <row r="5585" spans="1:10" x14ac:dyDescent="0.25">
      <c r="A5585" t="s">
        <v>933</v>
      </c>
      <c r="B5585" t="str">
        <f>ADDRESS(ROW('Loan 1'!$B$24),COLUMN('Loan 1'!$B$24),4)</f>
        <v>B24</v>
      </c>
      <c r="C5585" t="str">
        <f>ADDRESS(ROW('Loan 1'!$D$24),COLUMN('Loan 1'!$D$24),4)</f>
        <v>D24</v>
      </c>
      <c r="D5585" t="b" cm="1">
        <f t="array" aca="1" ref="D5585" ca="1">IF(INDIRECT("'"&amp;A5585&amp;"'!"&amp;B5585)="",FALSE,IF(INDIRECT("'"&amp;A5585&amp;"'!"&amp;B5585)&lt;0,TRUE,FALSE))</f>
        <v>0</v>
      </c>
      <c r="E5585" t="s">
        <v>434</v>
      </c>
      <c r="F5585" t="str">
        <f>INDEX(Lists!I:I,MATCH(Validation!E5585,Lists!G:G,0))</f>
        <v>Error</v>
      </c>
      <c r="G5585" t="str">
        <f>INDEX(Lists!H:H,MATCH(Validation!E5585,Lists!G:G,0))</f>
        <v>Amount may not be negative. Enter an amount greater than or equal to zero.</v>
      </c>
      <c r="H5585" s="16" t="str">
        <f t="shared" ca="1" si="609"/>
        <v/>
      </c>
      <c r="I5585" s="16" t="str">
        <f t="shared" ca="1" si="610"/>
        <v/>
      </c>
      <c r="J5585" s="17" t="str">
        <f t="shared" ca="1" si="611"/>
        <v/>
      </c>
    </row>
    <row r="5586" spans="1:10" x14ac:dyDescent="0.25">
      <c r="A5586" t="s">
        <v>934</v>
      </c>
      <c r="B5586" t="str">
        <f>ADDRESS(ROW('Loan 1'!$B$24),COLUMN('Loan 1'!$B$24),4)</f>
        <v>B24</v>
      </c>
      <c r="C5586" t="str">
        <f>ADDRESS(ROW('Loan 1'!$D$24),COLUMN('Loan 1'!$D$24),4)</f>
        <v>D24</v>
      </c>
      <c r="D5586" t="b" cm="1">
        <f t="array" aca="1" ref="D5586" ca="1">IF(INDIRECT("'"&amp;A5586&amp;"'!"&amp;B5586)="",FALSE,IF(INDIRECT("'"&amp;A5586&amp;"'!"&amp;B5586)&lt;0,TRUE,FALSE))</f>
        <v>0</v>
      </c>
      <c r="E5586" t="s">
        <v>434</v>
      </c>
      <c r="F5586" t="str">
        <f>INDEX(Lists!I:I,MATCH(Validation!E5586,Lists!G:G,0))</f>
        <v>Error</v>
      </c>
      <c r="G5586" t="str">
        <f>INDEX(Lists!H:H,MATCH(Validation!E5586,Lists!G:G,0))</f>
        <v>Amount may not be negative. Enter an amount greater than or equal to zero.</v>
      </c>
      <c r="H5586" s="16" t="str">
        <f t="shared" ca="1" si="609"/>
        <v/>
      </c>
      <c r="I5586" s="16" t="str">
        <f t="shared" ca="1" si="610"/>
        <v/>
      </c>
      <c r="J5586" s="17" t="str">
        <f t="shared" ca="1" si="611"/>
        <v/>
      </c>
    </row>
    <row r="5587" spans="1:10" x14ac:dyDescent="0.25">
      <c r="A5587" t="s">
        <v>935</v>
      </c>
      <c r="B5587" t="str">
        <f>ADDRESS(ROW('Loan 1'!$B$24),COLUMN('Loan 1'!$B$24),4)</f>
        <v>B24</v>
      </c>
      <c r="C5587" t="str">
        <f>ADDRESS(ROW('Loan 1'!$D$24),COLUMN('Loan 1'!$D$24),4)</f>
        <v>D24</v>
      </c>
      <c r="D5587" t="b" cm="1">
        <f t="array" aca="1" ref="D5587" ca="1">IF(INDIRECT("'"&amp;A5587&amp;"'!"&amp;B5587)="",FALSE,IF(INDIRECT("'"&amp;A5587&amp;"'!"&amp;B5587)&lt;0,TRUE,FALSE))</f>
        <v>0</v>
      </c>
      <c r="E5587" t="s">
        <v>434</v>
      </c>
      <c r="F5587" t="str">
        <f>INDEX(Lists!I:I,MATCH(Validation!E5587,Lists!G:G,0))</f>
        <v>Error</v>
      </c>
      <c r="G5587" t="str">
        <f>INDEX(Lists!H:H,MATCH(Validation!E5587,Lists!G:G,0))</f>
        <v>Amount may not be negative. Enter an amount greater than or equal to zero.</v>
      </c>
      <c r="H5587" s="16" t="str">
        <f t="shared" ca="1" si="609"/>
        <v/>
      </c>
      <c r="I5587" s="16" t="str">
        <f t="shared" ca="1" si="610"/>
        <v/>
      </c>
      <c r="J5587" s="17" t="str">
        <f t="shared" ca="1" si="611"/>
        <v/>
      </c>
    </row>
    <row r="5588" spans="1:10" x14ac:dyDescent="0.25">
      <c r="A5588" t="s">
        <v>936</v>
      </c>
      <c r="B5588" t="str">
        <f>ADDRESS(ROW('Loan 1'!$B$24),COLUMN('Loan 1'!$B$24),4)</f>
        <v>B24</v>
      </c>
      <c r="C5588" t="str">
        <f>ADDRESS(ROW('Loan 1'!$D$24),COLUMN('Loan 1'!$D$24),4)</f>
        <v>D24</v>
      </c>
      <c r="D5588" t="b" cm="1">
        <f t="array" aca="1" ref="D5588" ca="1">IF(INDIRECT("'"&amp;A5588&amp;"'!"&amp;B5588)="",FALSE,IF(INDIRECT("'"&amp;A5588&amp;"'!"&amp;B5588)&lt;0,TRUE,FALSE))</f>
        <v>0</v>
      </c>
      <c r="E5588" t="s">
        <v>434</v>
      </c>
      <c r="F5588" t="str">
        <f>INDEX(Lists!I:I,MATCH(Validation!E5588,Lists!G:G,0))</f>
        <v>Error</v>
      </c>
      <c r="G5588" t="str">
        <f>INDEX(Lists!H:H,MATCH(Validation!E5588,Lists!G:G,0))</f>
        <v>Amount may not be negative. Enter an amount greater than or equal to zero.</v>
      </c>
      <c r="H5588" s="16" t="str">
        <f t="shared" ca="1" si="609"/>
        <v/>
      </c>
      <c r="I5588" s="16" t="str">
        <f t="shared" ca="1" si="610"/>
        <v/>
      </c>
      <c r="J5588" s="17" t="str">
        <f t="shared" ca="1" si="611"/>
        <v/>
      </c>
    </row>
    <row r="5589" spans="1:10" x14ac:dyDescent="0.25">
      <c r="A5589" t="s">
        <v>937</v>
      </c>
      <c r="B5589" t="str">
        <f>ADDRESS(ROW('Loan 1'!$B$24),COLUMN('Loan 1'!$B$24),4)</f>
        <v>B24</v>
      </c>
      <c r="C5589" t="str">
        <f>ADDRESS(ROW('Loan 1'!$D$24),COLUMN('Loan 1'!$D$24),4)</f>
        <v>D24</v>
      </c>
      <c r="D5589" t="b" cm="1">
        <f t="array" aca="1" ref="D5589" ca="1">IF(INDIRECT("'"&amp;A5589&amp;"'!"&amp;B5589)="",FALSE,IF(INDIRECT("'"&amp;A5589&amp;"'!"&amp;B5589)&lt;0,TRUE,FALSE))</f>
        <v>0</v>
      </c>
      <c r="E5589" t="s">
        <v>434</v>
      </c>
      <c r="F5589" t="str">
        <f>INDEX(Lists!I:I,MATCH(Validation!E5589,Lists!G:G,0))</f>
        <v>Error</v>
      </c>
      <c r="G5589" t="str">
        <f>INDEX(Lists!H:H,MATCH(Validation!E5589,Lists!G:G,0))</f>
        <v>Amount may not be negative. Enter an amount greater than or equal to zero.</v>
      </c>
      <c r="H5589" s="16" t="str">
        <f t="shared" ca="1" si="609"/>
        <v/>
      </c>
      <c r="I5589" s="16" t="str">
        <f t="shared" ca="1" si="610"/>
        <v/>
      </c>
      <c r="J5589" s="17" t="str">
        <f t="shared" ca="1" si="611"/>
        <v/>
      </c>
    </row>
    <row r="5590" spans="1:10" x14ac:dyDescent="0.25">
      <c r="A5590" t="s">
        <v>938</v>
      </c>
      <c r="B5590" t="str">
        <f>ADDRESS(ROW('Loan 1'!$B$24),COLUMN('Loan 1'!$B$24),4)</f>
        <v>B24</v>
      </c>
      <c r="C5590" t="str">
        <f>ADDRESS(ROW('Loan 1'!$D$24),COLUMN('Loan 1'!$D$24),4)</f>
        <v>D24</v>
      </c>
      <c r="D5590" t="b" cm="1">
        <f t="array" aca="1" ref="D5590" ca="1">IF(INDIRECT("'"&amp;A5590&amp;"'!"&amp;B5590)="",FALSE,IF(INDIRECT("'"&amp;A5590&amp;"'!"&amp;B5590)&lt;0,TRUE,FALSE))</f>
        <v>0</v>
      </c>
      <c r="E5590" t="s">
        <v>434</v>
      </c>
      <c r="F5590" t="str">
        <f>INDEX(Lists!I:I,MATCH(Validation!E5590,Lists!G:G,0))</f>
        <v>Error</v>
      </c>
      <c r="G5590" t="str">
        <f>INDEX(Lists!H:H,MATCH(Validation!E5590,Lists!G:G,0))</f>
        <v>Amount may not be negative. Enter an amount greater than or equal to zero.</v>
      </c>
      <c r="H5590" s="16" t="str">
        <f t="shared" ca="1" si="609"/>
        <v/>
      </c>
      <c r="I5590" s="16" t="str">
        <f t="shared" ca="1" si="610"/>
        <v/>
      </c>
      <c r="J5590" s="17" t="str">
        <f t="shared" ca="1" si="611"/>
        <v/>
      </c>
    </row>
    <row r="5591" spans="1:10" x14ac:dyDescent="0.25">
      <c r="A5591" t="s">
        <v>939</v>
      </c>
      <c r="B5591" t="str">
        <f>ADDRESS(ROW('Loan 1'!$B$24),COLUMN('Loan 1'!$B$24),4)</f>
        <v>B24</v>
      </c>
      <c r="C5591" t="str">
        <f>ADDRESS(ROW('Loan 1'!$D$24),COLUMN('Loan 1'!$D$24),4)</f>
        <v>D24</v>
      </c>
      <c r="D5591" t="b" cm="1">
        <f t="array" aca="1" ref="D5591" ca="1">IF(INDIRECT("'"&amp;A5591&amp;"'!"&amp;B5591)="",FALSE,IF(INDIRECT("'"&amp;A5591&amp;"'!"&amp;B5591)&lt;0,TRUE,FALSE))</f>
        <v>0</v>
      </c>
      <c r="E5591" t="s">
        <v>434</v>
      </c>
      <c r="F5591" t="str">
        <f>INDEX(Lists!I:I,MATCH(Validation!E5591,Lists!G:G,0))</f>
        <v>Error</v>
      </c>
      <c r="G5591" t="str">
        <f>INDEX(Lists!H:H,MATCH(Validation!E5591,Lists!G:G,0))</f>
        <v>Amount may not be negative. Enter an amount greater than or equal to zero.</v>
      </c>
      <c r="H5591" s="16" t="str">
        <f t="shared" ca="1" si="609"/>
        <v/>
      </c>
      <c r="I5591" s="16" t="str">
        <f t="shared" ca="1" si="610"/>
        <v/>
      </c>
      <c r="J5591" s="17" t="str">
        <f t="shared" ca="1" si="611"/>
        <v/>
      </c>
    </row>
    <row r="5592" spans="1:10" x14ac:dyDescent="0.25">
      <c r="A5592" t="s">
        <v>940</v>
      </c>
      <c r="B5592" t="str">
        <f>ADDRESS(ROW('Loan 1'!$B$24),COLUMN('Loan 1'!$B$24),4)</f>
        <v>B24</v>
      </c>
      <c r="C5592" t="str">
        <f>ADDRESS(ROW('Loan 1'!$D$24),COLUMN('Loan 1'!$D$24),4)</f>
        <v>D24</v>
      </c>
      <c r="D5592" t="b" cm="1">
        <f t="array" aca="1" ref="D5592" ca="1">IF(INDIRECT("'"&amp;A5592&amp;"'!"&amp;B5592)="",FALSE,IF(INDIRECT("'"&amp;A5592&amp;"'!"&amp;B5592)&lt;0,TRUE,FALSE))</f>
        <v>0</v>
      </c>
      <c r="E5592" t="s">
        <v>434</v>
      </c>
      <c r="F5592" t="str">
        <f>INDEX(Lists!I:I,MATCH(Validation!E5592,Lists!G:G,0))</f>
        <v>Error</v>
      </c>
      <c r="G5592" t="str">
        <f>INDEX(Lists!H:H,MATCH(Validation!E5592,Lists!G:G,0))</f>
        <v>Amount may not be negative. Enter an amount greater than or equal to zero.</v>
      </c>
      <c r="H5592" s="16" t="str">
        <f t="shared" ca="1" si="609"/>
        <v/>
      </c>
      <c r="I5592" s="16" t="str">
        <f t="shared" ca="1" si="610"/>
        <v/>
      </c>
      <c r="J5592" s="17" t="str">
        <f t="shared" ca="1" si="611"/>
        <v/>
      </c>
    </row>
    <row r="5593" spans="1:10" x14ac:dyDescent="0.25">
      <c r="A5593" t="s">
        <v>941</v>
      </c>
      <c r="B5593" t="str">
        <f>ADDRESS(ROW('Loan 1'!$B$24),COLUMN('Loan 1'!$B$24),4)</f>
        <v>B24</v>
      </c>
      <c r="C5593" t="str">
        <f>ADDRESS(ROW('Loan 1'!$D$24),COLUMN('Loan 1'!$D$24),4)</f>
        <v>D24</v>
      </c>
      <c r="D5593" t="b" cm="1">
        <f t="array" aca="1" ref="D5593" ca="1">IF(INDIRECT("'"&amp;A5593&amp;"'!"&amp;B5593)="",FALSE,IF(INDIRECT("'"&amp;A5593&amp;"'!"&amp;B5593)&lt;0,TRUE,FALSE))</f>
        <v>0</v>
      </c>
      <c r="E5593" t="s">
        <v>434</v>
      </c>
      <c r="F5593" t="str">
        <f>INDEX(Lists!I:I,MATCH(Validation!E5593,Lists!G:G,0))</f>
        <v>Error</v>
      </c>
      <c r="G5593" t="str">
        <f>INDEX(Lists!H:H,MATCH(Validation!E5593,Lists!G:G,0))</f>
        <v>Amount may not be negative. Enter an amount greater than or equal to zero.</v>
      </c>
      <c r="H5593" s="16" t="str">
        <f t="shared" ca="1" si="609"/>
        <v/>
      </c>
      <c r="I5593" s="16" t="str">
        <f t="shared" ca="1" si="610"/>
        <v/>
      </c>
      <c r="J5593" s="17" t="str">
        <f t="shared" ca="1" si="611"/>
        <v/>
      </c>
    </row>
    <row r="5594" spans="1:10" x14ac:dyDescent="0.25">
      <c r="A5594" t="s">
        <v>942</v>
      </c>
      <c r="B5594" t="str">
        <f>ADDRESS(ROW('Loan 1'!$B$24),COLUMN('Loan 1'!$B$24),4)</f>
        <v>B24</v>
      </c>
      <c r="C5594" t="str">
        <f>ADDRESS(ROW('Loan 1'!$D$24),COLUMN('Loan 1'!$D$24),4)</f>
        <v>D24</v>
      </c>
      <c r="D5594" t="b" cm="1">
        <f t="array" aca="1" ref="D5594" ca="1">IF(INDIRECT("'"&amp;A5594&amp;"'!"&amp;B5594)="",FALSE,IF(INDIRECT("'"&amp;A5594&amp;"'!"&amp;B5594)&lt;0,TRUE,FALSE))</f>
        <v>0</v>
      </c>
      <c r="E5594" t="s">
        <v>434</v>
      </c>
      <c r="F5594" t="str">
        <f>INDEX(Lists!I:I,MATCH(Validation!E5594,Lists!G:G,0))</f>
        <v>Error</v>
      </c>
      <c r="G5594" t="str">
        <f>INDEX(Lists!H:H,MATCH(Validation!E5594,Lists!G:G,0))</f>
        <v>Amount may not be negative. Enter an amount greater than or equal to zero.</v>
      </c>
      <c r="H5594" s="16" t="str">
        <f t="shared" ca="1" si="609"/>
        <v/>
      </c>
      <c r="I5594" s="16" t="str">
        <f t="shared" ca="1" si="610"/>
        <v/>
      </c>
      <c r="J5594" s="17" t="str">
        <f t="shared" ca="1" si="611"/>
        <v/>
      </c>
    </row>
    <row r="5595" spans="1:10" x14ac:dyDescent="0.25">
      <c r="A5595" t="s">
        <v>943</v>
      </c>
      <c r="B5595" t="str">
        <f>ADDRESS(ROW('Loan 1'!$B$24),COLUMN('Loan 1'!$B$24),4)</f>
        <v>B24</v>
      </c>
      <c r="C5595" t="str">
        <f>ADDRESS(ROW('Loan 1'!$D$24),COLUMN('Loan 1'!$D$24),4)</f>
        <v>D24</v>
      </c>
      <c r="D5595" t="b" cm="1">
        <f t="array" aca="1" ref="D5595" ca="1">IF(INDIRECT("'"&amp;A5595&amp;"'!"&amp;B5595)="",FALSE,IF(INDIRECT("'"&amp;A5595&amp;"'!"&amp;B5595)&lt;0,TRUE,FALSE))</f>
        <v>0</v>
      </c>
      <c r="E5595" t="s">
        <v>434</v>
      </c>
      <c r="F5595" t="str">
        <f>INDEX(Lists!I:I,MATCH(Validation!E5595,Lists!G:G,0))</f>
        <v>Error</v>
      </c>
      <c r="G5595" t="str">
        <f>INDEX(Lists!H:H,MATCH(Validation!E5595,Lists!G:G,0))</f>
        <v>Amount may not be negative. Enter an amount greater than or equal to zero.</v>
      </c>
      <c r="H5595" s="16" t="str">
        <f t="shared" ca="1" si="609"/>
        <v/>
      </c>
      <c r="I5595" s="16" t="str">
        <f t="shared" ca="1" si="610"/>
        <v/>
      </c>
      <c r="J5595" s="17" t="str">
        <f t="shared" ca="1" si="611"/>
        <v/>
      </c>
    </row>
    <row r="5596" spans="1:10" x14ac:dyDescent="0.25">
      <c r="A5596" t="s">
        <v>944</v>
      </c>
      <c r="B5596" t="str">
        <f>ADDRESS(ROW('Loan 1'!$B$24),COLUMN('Loan 1'!$B$24),4)</f>
        <v>B24</v>
      </c>
      <c r="C5596" t="str">
        <f>ADDRESS(ROW('Loan 1'!$D$24),COLUMN('Loan 1'!$D$24),4)</f>
        <v>D24</v>
      </c>
      <c r="D5596" t="b" cm="1">
        <f t="array" aca="1" ref="D5596" ca="1">IF(INDIRECT("'"&amp;A5596&amp;"'!"&amp;B5596)="",FALSE,IF(INDIRECT("'"&amp;A5596&amp;"'!"&amp;B5596)&lt;0,TRUE,FALSE))</f>
        <v>0</v>
      </c>
      <c r="E5596" t="s">
        <v>434</v>
      </c>
      <c r="F5596" t="str">
        <f>INDEX(Lists!I:I,MATCH(Validation!E5596,Lists!G:G,0))</f>
        <v>Error</v>
      </c>
      <c r="G5596" t="str">
        <f>INDEX(Lists!H:H,MATCH(Validation!E5596,Lists!G:G,0))</f>
        <v>Amount may not be negative. Enter an amount greater than or equal to zero.</v>
      </c>
      <c r="H5596" s="16" t="str">
        <f t="shared" ca="1" si="609"/>
        <v/>
      </c>
      <c r="I5596" s="16" t="str">
        <f t="shared" ca="1" si="610"/>
        <v/>
      </c>
      <c r="J5596" s="17" t="str">
        <f t="shared" ca="1" si="611"/>
        <v/>
      </c>
    </row>
    <row r="5597" spans="1:10" x14ac:dyDescent="0.25">
      <c r="A5597" t="s">
        <v>945</v>
      </c>
      <c r="B5597" t="str">
        <f>ADDRESS(ROW('Loan 1'!$B$24),COLUMN('Loan 1'!$B$24),4)</f>
        <v>B24</v>
      </c>
      <c r="C5597" t="str">
        <f>ADDRESS(ROW('Loan 1'!$D$24),COLUMN('Loan 1'!$D$24),4)</f>
        <v>D24</v>
      </c>
      <c r="D5597" t="b" cm="1">
        <f t="array" aca="1" ref="D5597" ca="1">IF(INDIRECT("'"&amp;A5597&amp;"'!"&amp;B5597)="",FALSE,IF(INDIRECT("'"&amp;A5597&amp;"'!"&amp;B5597)&lt;0,TRUE,FALSE))</f>
        <v>0</v>
      </c>
      <c r="E5597" t="s">
        <v>434</v>
      </c>
      <c r="F5597" t="str">
        <f>INDEX(Lists!I:I,MATCH(Validation!E5597,Lists!G:G,0))</f>
        <v>Error</v>
      </c>
      <c r="G5597" t="str">
        <f>INDEX(Lists!H:H,MATCH(Validation!E5597,Lists!G:G,0))</f>
        <v>Amount may not be negative. Enter an amount greater than or equal to zero.</v>
      </c>
      <c r="H5597" s="16" t="str">
        <f t="shared" ca="1" si="609"/>
        <v/>
      </c>
      <c r="I5597" s="16" t="str">
        <f t="shared" ca="1" si="610"/>
        <v/>
      </c>
      <c r="J5597" s="17" t="str">
        <f t="shared" ca="1" si="611"/>
        <v/>
      </c>
    </row>
    <row r="5598" spans="1:10" x14ac:dyDescent="0.25">
      <c r="A5598" t="s">
        <v>205</v>
      </c>
      <c r="B5598" t="str">
        <f>ADDRESS(ROW('Loan 1'!$B$24),COLUMN('Loan 1'!$B$24),4)</f>
        <v>B24</v>
      </c>
      <c r="C5598" t="str">
        <f>ADDRESS(ROW('Loan 1'!$D$24),COLUMN('Loan 1'!$D$24),4)</f>
        <v>D24</v>
      </c>
      <c r="D5598" t="b" cm="1">
        <f t="array" aca="1" ref="D5598" ca="1">IF(INDIRECT("'"&amp;A5598&amp;"'!"&amp;B5598)="",FALSE,IF(TRUNC(INDIRECT("'"&amp;A5598&amp;"'!"&amp;B5598))=INDIRECT("'"&amp;A5598&amp;"'!"&amp;B5598),FALSE,TRUE))</f>
        <v>0</v>
      </c>
      <c r="E5598" t="s">
        <v>436</v>
      </c>
      <c r="F5598" t="str">
        <f>INDEX(Lists!I:I,MATCH(Validation!E5598,Lists!G:G,0))</f>
        <v>Error</v>
      </c>
      <c r="G5598" t="str">
        <f>INDEX(Lists!H:H,MATCH(Validation!E5598,Lists!G:G,0))</f>
        <v>Amount must be rounded to the nearest dollar.</v>
      </c>
      <c r="H5598" s="16" t="str">
        <f t="shared" ca="1" si="609"/>
        <v/>
      </c>
      <c r="I5598" s="16" t="str">
        <f t="shared" ca="1" si="610"/>
        <v/>
      </c>
      <c r="J5598" s="17" t="str">
        <f t="shared" ca="1" si="611"/>
        <v/>
      </c>
    </row>
    <row r="5599" spans="1:10" x14ac:dyDescent="0.25">
      <c r="A5599" t="s">
        <v>932</v>
      </c>
      <c r="B5599" t="str">
        <f>ADDRESS(ROW('Loan 1'!$B$24),COLUMN('Loan 1'!$B$24),4)</f>
        <v>B24</v>
      </c>
      <c r="C5599" t="str">
        <f>ADDRESS(ROW('Loan 1'!$D$24),COLUMN('Loan 1'!$D$24),4)</f>
        <v>D24</v>
      </c>
      <c r="D5599" t="b" cm="1">
        <f t="array" aca="1" ref="D5599" ca="1">IF(INDIRECT("'"&amp;A5599&amp;"'!"&amp;B5599)="",FALSE,IF(TRUNC(INDIRECT("'"&amp;A5599&amp;"'!"&amp;B5599))=INDIRECT("'"&amp;A5599&amp;"'!"&amp;B5599),FALSE,TRUE))</f>
        <v>0</v>
      </c>
      <c r="E5599" t="s">
        <v>436</v>
      </c>
      <c r="F5599" t="str">
        <f>INDEX(Lists!I:I,MATCH(Validation!E5599,Lists!G:G,0))</f>
        <v>Error</v>
      </c>
      <c r="G5599" t="str">
        <f>INDEX(Lists!H:H,MATCH(Validation!E5599,Lists!G:G,0))</f>
        <v>Amount must be rounded to the nearest dollar.</v>
      </c>
      <c r="H5599" s="16" t="str">
        <f t="shared" ca="1" si="609"/>
        <v/>
      </c>
      <c r="I5599" s="16" t="str">
        <f t="shared" ca="1" si="610"/>
        <v/>
      </c>
      <c r="J5599" s="17" t="str">
        <f t="shared" ca="1" si="611"/>
        <v/>
      </c>
    </row>
    <row r="5600" spans="1:10" x14ac:dyDescent="0.25">
      <c r="A5600" t="s">
        <v>933</v>
      </c>
      <c r="B5600" t="str">
        <f>ADDRESS(ROW('Loan 1'!$B$24),COLUMN('Loan 1'!$B$24),4)</f>
        <v>B24</v>
      </c>
      <c r="C5600" t="str">
        <f>ADDRESS(ROW('Loan 1'!$D$24),COLUMN('Loan 1'!$D$24),4)</f>
        <v>D24</v>
      </c>
      <c r="D5600" t="b" cm="1">
        <f t="array" aca="1" ref="D5600" ca="1">IF(INDIRECT("'"&amp;A5600&amp;"'!"&amp;B5600)="",FALSE,IF(TRUNC(INDIRECT("'"&amp;A5600&amp;"'!"&amp;B5600))=INDIRECT("'"&amp;A5600&amp;"'!"&amp;B5600),FALSE,TRUE))</f>
        <v>0</v>
      </c>
      <c r="E5600" t="s">
        <v>436</v>
      </c>
      <c r="F5600" t="str">
        <f>INDEX(Lists!I:I,MATCH(Validation!E5600,Lists!G:G,0))</f>
        <v>Error</v>
      </c>
      <c r="G5600" t="str">
        <f>INDEX(Lists!H:H,MATCH(Validation!E5600,Lists!G:G,0))</f>
        <v>Amount must be rounded to the nearest dollar.</v>
      </c>
      <c r="H5600" s="16" t="str">
        <f t="shared" ca="1" si="609"/>
        <v/>
      </c>
      <c r="I5600" s="16" t="str">
        <f t="shared" ca="1" si="610"/>
        <v/>
      </c>
      <c r="J5600" s="17" t="str">
        <f t="shared" ca="1" si="611"/>
        <v/>
      </c>
    </row>
    <row r="5601" spans="1:10" x14ac:dyDescent="0.25">
      <c r="A5601" t="s">
        <v>934</v>
      </c>
      <c r="B5601" t="str">
        <f>ADDRESS(ROW('Loan 1'!$B$24),COLUMN('Loan 1'!$B$24),4)</f>
        <v>B24</v>
      </c>
      <c r="C5601" t="str">
        <f>ADDRESS(ROW('Loan 1'!$D$24),COLUMN('Loan 1'!$D$24),4)</f>
        <v>D24</v>
      </c>
      <c r="D5601" t="b" cm="1">
        <f t="array" aca="1" ref="D5601" ca="1">IF(INDIRECT("'"&amp;A5601&amp;"'!"&amp;B5601)="",FALSE,IF(TRUNC(INDIRECT("'"&amp;A5601&amp;"'!"&amp;B5601))=INDIRECT("'"&amp;A5601&amp;"'!"&amp;B5601),FALSE,TRUE))</f>
        <v>0</v>
      </c>
      <c r="E5601" t="s">
        <v>436</v>
      </c>
      <c r="F5601" t="str">
        <f>INDEX(Lists!I:I,MATCH(Validation!E5601,Lists!G:G,0))</f>
        <v>Error</v>
      </c>
      <c r="G5601" t="str">
        <f>INDEX(Lists!H:H,MATCH(Validation!E5601,Lists!G:G,0))</f>
        <v>Amount must be rounded to the nearest dollar.</v>
      </c>
      <c r="H5601" s="16" t="str">
        <f t="shared" ca="1" si="609"/>
        <v/>
      </c>
      <c r="I5601" s="16" t="str">
        <f t="shared" ca="1" si="610"/>
        <v/>
      </c>
      <c r="J5601" s="17" t="str">
        <f t="shared" ca="1" si="611"/>
        <v/>
      </c>
    </row>
    <row r="5602" spans="1:10" x14ac:dyDescent="0.25">
      <c r="A5602" t="s">
        <v>935</v>
      </c>
      <c r="B5602" t="str">
        <f>ADDRESS(ROW('Loan 1'!$B$24),COLUMN('Loan 1'!$B$24),4)</f>
        <v>B24</v>
      </c>
      <c r="C5602" t="str">
        <f>ADDRESS(ROW('Loan 1'!$D$24),COLUMN('Loan 1'!$D$24),4)</f>
        <v>D24</v>
      </c>
      <c r="D5602" t="b" cm="1">
        <f t="array" aca="1" ref="D5602" ca="1">IF(INDIRECT("'"&amp;A5602&amp;"'!"&amp;B5602)="",FALSE,IF(TRUNC(INDIRECT("'"&amp;A5602&amp;"'!"&amp;B5602))=INDIRECT("'"&amp;A5602&amp;"'!"&amp;B5602),FALSE,TRUE))</f>
        <v>0</v>
      </c>
      <c r="E5602" t="s">
        <v>436</v>
      </c>
      <c r="F5602" t="str">
        <f>INDEX(Lists!I:I,MATCH(Validation!E5602,Lists!G:G,0))</f>
        <v>Error</v>
      </c>
      <c r="G5602" t="str">
        <f>INDEX(Lists!H:H,MATCH(Validation!E5602,Lists!G:G,0))</f>
        <v>Amount must be rounded to the nearest dollar.</v>
      </c>
      <c r="H5602" s="16" t="str">
        <f t="shared" ca="1" si="609"/>
        <v/>
      </c>
      <c r="I5602" s="16" t="str">
        <f t="shared" ca="1" si="610"/>
        <v/>
      </c>
      <c r="J5602" s="17" t="str">
        <f t="shared" ca="1" si="611"/>
        <v/>
      </c>
    </row>
    <row r="5603" spans="1:10" x14ac:dyDescent="0.25">
      <c r="A5603" t="s">
        <v>936</v>
      </c>
      <c r="B5603" t="str">
        <f>ADDRESS(ROW('Loan 1'!$B$24),COLUMN('Loan 1'!$B$24),4)</f>
        <v>B24</v>
      </c>
      <c r="C5603" t="str">
        <f>ADDRESS(ROW('Loan 1'!$D$24),COLUMN('Loan 1'!$D$24),4)</f>
        <v>D24</v>
      </c>
      <c r="D5603" t="b" cm="1">
        <f t="array" aca="1" ref="D5603" ca="1">IF(INDIRECT("'"&amp;A5603&amp;"'!"&amp;B5603)="",FALSE,IF(TRUNC(INDIRECT("'"&amp;A5603&amp;"'!"&amp;B5603))=INDIRECT("'"&amp;A5603&amp;"'!"&amp;B5603),FALSE,TRUE))</f>
        <v>0</v>
      </c>
      <c r="E5603" t="s">
        <v>436</v>
      </c>
      <c r="F5603" t="str">
        <f>INDEX(Lists!I:I,MATCH(Validation!E5603,Lists!G:G,0))</f>
        <v>Error</v>
      </c>
      <c r="G5603" t="str">
        <f>INDEX(Lists!H:H,MATCH(Validation!E5603,Lists!G:G,0))</f>
        <v>Amount must be rounded to the nearest dollar.</v>
      </c>
      <c r="H5603" s="16" t="str">
        <f t="shared" ca="1" si="609"/>
        <v/>
      </c>
      <c r="I5603" s="16" t="str">
        <f t="shared" ca="1" si="610"/>
        <v/>
      </c>
      <c r="J5603" s="17" t="str">
        <f t="shared" ca="1" si="611"/>
        <v/>
      </c>
    </row>
    <row r="5604" spans="1:10" x14ac:dyDescent="0.25">
      <c r="A5604" t="s">
        <v>937</v>
      </c>
      <c r="B5604" t="str">
        <f>ADDRESS(ROW('Loan 1'!$B$24),COLUMN('Loan 1'!$B$24),4)</f>
        <v>B24</v>
      </c>
      <c r="C5604" t="str">
        <f>ADDRESS(ROW('Loan 1'!$D$24),COLUMN('Loan 1'!$D$24),4)</f>
        <v>D24</v>
      </c>
      <c r="D5604" t="b" cm="1">
        <f t="array" aca="1" ref="D5604" ca="1">IF(INDIRECT("'"&amp;A5604&amp;"'!"&amp;B5604)="",FALSE,IF(TRUNC(INDIRECT("'"&amp;A5604&amp;"'!"&amp;B5604))=INDIRECT("'"&amp;A5604&amp;"'!"&amp;B5604),FALSE,TRUE))</f>
        <v>0</v>
      </c>
      <c r="E5604" t="s">
        <v>436</v>
      </c>
      <c r="F5604" t="str">
        <f>INDEX(Lists!I:I,MATCH(Validation!E5604,Lists!G:G,0))</f>
        <v>Error</v>
      </c>
      <c r="G5604" t="str">
        <f>INDEX(Lists!H:H,MATCH(Validation!E5604,Lists!G:G,0))</f>
        <v>Amount must be rounded to the nearest dollar.</v>
      </c>
      <c r="H5604" s="16" t="str">
        <f t="shared" ca="1" si="609"/>
        <v/>
      </c>
      <c r="I5604" s="16" t="str">
        <f t="shared" ca="1" si="610"/>
        <v/>
      </c>
      <c r="J5604" s="17" t="str">
        <f t="shared" ca="1" si="611"/>
        <v/>
      </c>
    </row>
    <row r="5605" spans="1:10" x14ac:dyDescent="0.25">
      <c r="A5605" t="s">
        <v>938</v>
      </c>
      <c r="B5605" t="str">
        <f>ADDRESS(ROW('Loan 1'!$B$24),COLUMN('Loan 1'!$B$24),4)</f>
        <v>B24</v>
      </c>
      <c r="C5605" t="str">
        <f>ADDRESS(ROW('Loan 1'!$D$24),COLUMN('Loan 1'!$D$24),4)</f>
        <v>D24</v>
      </c>
      <c r="D5605" t="b" cm="1">
        <f t="array" aca="1" ref="D5605" ca="1">IF(INDIRECT("'"&amp;A5605&amp;"'!"&amp;B5605)="",FALSE,IF(TRUNC(INDIRECT("'"&amp;A5605&amp;"'!"&amp;B5605))=INDIRECT("'"&amp;A5605&amp;"'!"&amp;B5605),FALSE,TRUE))</f>
        <v>0</v>
      </c>
      <c r="E5605" t="s">
        <v>436</v>
      </c>
      <c r="F5605" t="str">
        <f>INDEX(Lists!I:I,MATCH(Validation!E5605,Lists!G:G,0))</f>
        <v>Error</v>
      </c>
      <c r="G5605" t="str">
        <f>INDEX(Lists!H:H,MATCH(Validation!E5605,Lists!G:G,0))</f>
        <v>Amount must be rounded to the nearest dollar.</v>
      </c>
      <c r="H5605" s="16" t="str">
        <f t="shared" ca="1" si="609"/>
        <v/>
      </c>
      <c r="I5605" s="16" t="str">
        <f t="shared" ca="1" si="610"/>
        <v/>
      </c>
      <c r="J5605" s="17" t="str">
        <f t="shared" ca="1" si="611"/>
        <v/>
      </c>
    </row>
    <row r="5606" spans="1:10" x14ac:dyDescent="0.25">
      <c r="A5606" t="s">
        <v>939</v>
      </c>
      <c r="B5606" t="str">
        <f>ADDRESS(ROW('Loan 1'!$B$24),COLUMN('Loan 1'!$B$24),4)</f>
        <v>B24</v>
      </c>
      <c r="C5606" t="str">
        <f>ADDRESS(ROW('Loan 1'!$D$24),COLUMN('Loan 1'!$D$24),4)</f>
        <v>D24</v>
      </c>
      <c r="D5606" t="b" cm="1">
        <f t="array" aca="1" ref="D5606" ca="1">IF(INDIRECT("'"&amp;A5606&amp;"'!"&amp;B5606)="",FALSE,IF(TRUNC(INDIRECT("'"&amp;A5606&amp;"'!"&amp;B5606))=INDIRECT("'"&amp;A5606&amp;"'!"&amp;B5606),FALSE,TRUE))</f>
        <v>0</v>
      </c>
      <c r="E5606" t="s">
        <v>436</v>
      </c>
      <c r="F5606" t="str">
        <f>INDEX(Lists!I:I,MATCH(Validation!E5606,Lists!G:G,0))</f>
        <v>Error</v>
      </c>
      <c r="G5606" t="str">
        <f>INDEX(Lists!H:H,MATCH(Validation!E5606,Lists!G:G,0))</f>
        <v>Amount must be rounded to the nearest dollar.</v>
      </c>
      <c r="H5606" s="16" t="str">
        <f t="shared" ca="1" si="609"/>
        <v/>
      </c>
      <c r="I5606" s="16" t="str">
        <f t="shared" ca="1" si="610"/>
        <v/>
      </c>
      <c r="J5606" s="17" t="str">
        <f t="shared" ca="1" si="611"/>
        <v/>
      </c>
    </row>
    <row r="5607" spans="1:10" x14ac:dyDescent="0.25">
      <c r="A5607" t="s">
        <v>940</v>
      </c>
      <c r="B5607" t="str">
        <f>ADDRESS(ROW('Loan 1'!$B$24),COLUMN('Loan 1'!$B$24),4)</f>
        <v>B24</v>
      </c>
      <c r="C5607" t="str">
        <f>ADDRESS(ROW('Loan 1'!$D$24),COLUMN('Loan 1'!$D$24),4)</f>
        <v>D24</v>
      </c>
      <c r="D5607" t="b" cm="1">
        <f t="array" aca="1" ref="D5607" ca="1">IF(INDIRECT("'"&amp;A5607&amp;"'!"&amp;B5607)="",FALSE,IF(TRUNC(INDIRECT("'"&amp;A5607&amp;"'!"&amp;B5607))=INDIRECT("'"&amp;A5607&amp;"'!"&amp;B5607),FALSE,TRUE))</f>
        <v>0</v>
      </c>
      <c r="E5607" t="s">
        <v>436</v>
      </c>
      <c r="F5607" t="str">
        <f>INDEX(Lists!I:I,MATCH(Validation!E5607,Lists!G:G,0))</f>
        <v>Error</v>
      </c>
      <c r="G5607" t="str">
        <f>INDEX(Lists!H:H,MATCH(Validation!E5607,Lists!G:G,0))</f>
        <v>Amount must be rounded to the nearest dollar.</v>
      </c>
      <c r="H5607" s="16" t="str">
        <f t="shared" ca="1" si="609"/>
        <v/>
      </c>
      <c r="I5607" s="16" t="str">
        <f t="shared" ca="1" si="610"/>
        <v/>
      </c>
      <c r="J5607" s="17" t="str">
        <f t="shared" ca="1" si="611"/>
        <v/>
      </c>
    </row>
    <row r="5608" spans="1:10" x14ac:dyDescent="0.25">
      <c r="A5608" t="s">
        <v>941</v>
      </c>
      <c r="B5608" t="str">
        <f>ADDRESS(ROW('Loan 1'!$B$24),COLUMN('Loan 1'!$B$24),4)</f>
        <v>B24</v>
      </c>
      <c r="C5608" t="str">
        <f>ADDRESS(ROW('Loan 1'!$D$24),COLUMN('Loan 1'!$D$24),4)</f>
        <v>D24</v>
      </c>
      <c r="D5608" t="b" cm="1">
        <f t="array" aca="1" ref="D5608" ca="1">IF(INDIRECT("'"&amp;A5608&amp;"'!"&amp;B5608)="",FALSE,IF(TRUNC(INDIRECT("'"&amp;A5608&amp;"'!"&amp;B5608))=INDIRECT("'"&amp;A5608&amp;"'!"&amp;B5608),FALSE,TRUE))</f>
        <v>0</v>
      </c>
      <c r="E5608" t="s">
        <v>436</v>
      </c>
      <c r="F5608" t="str">
        <f>INDEX(Lists!I:I,MATCH(Validation!E5608,Lists!G:G,0))</f>
        <v>Error</v>
      </c>
      <c r="G5608" t="str">
        <f>INDEX(Lists!H:H,MATCH(Validation!E5608,Lists!G:G,0))</f>
        <v>Amount must be rounded to the nearest dollar.</v>
      </c>
      <c r="H5608" s="16" t="str">
        <f t="shared" ca="1" si="609"/>
        <v/>
      </c>
      <c r="I5608" s="16" t="str">
        <f t="shared" ca="1" si="610"/>
        <v/>
      </c>
      <c r="J5608" s="17" t="str">
        <f t="shared" ca="1" si="611"/>
        <v/>
      </c>
    </row>
    <row r="5609" spans="1:10" x14ac:dyDescent="0.25">
      <c r="A5609" t="s">
        <v>942</v>
      </c>
      <c r="B5609" t="str">
        <f>ADDRESS(ROW('Loan 1'!$B$24),COLUMN('Loan 1'!$B$24),4)</f>
        <v>B24</v>
      </c>
      <c r="C5609" t="str">
        <f>ADDRESS(ROW('Loan 1'!$D$24),COLUMN('Loan 1'!$D$24),4)</f>
        <v>D24</v>
      </c>
      <c r="D5609" t="b" cm="1">
        <f t="array" aca="1" ref="D5609" ca="1">IF(INDIRECT("'"&amp;A5609&amp;"'!"&amp;B5609)="",FALSE,IF(TRUNC(INDIRECT("'"&amp;A5609&amp;"'!"&amp;B5609))=INDIRECT("'"&amp;A5609&amp;"'!"&amp;B5609),FALSE,TRUE))</f>
        <v>0</v>
      </c>
      <c r="E5609" t="s">
        <v>436</v>
      </c>
      <c r="F5609" t="str">
        <f>INDEX(Lists!I:I,MATCH(Validation!E5609,Lists!G:G,0))</f>
        <v>Error</v>
      </c>
      <c r="G5609" t="str">
        <f>INDEX(Lists!H:H,MATCH(Validation!E5609,Lists!G:G,0))</f>
        <v>Amount must be rounded to the nearest dollar.</v>
      </c>
      <c r="H5609" s="16" t="str">
        <f t="shared" ca="1" si="609"/>
        <v/>
      </c>
      <c r="I5609" s="16" t="str">
        <f t="shared" ca="1" si="610"/>
        <v/>
      </c>
      <c r="J5609" s="17" t="str">
        <f t="shared" ca="1" si="611"/>
        <v/>
      </c>
    </row>
    <row r="5610" spans="1:10" x14ac:dyDescent="0.25">
      <c r="A5610" t="s">
        <v>943</v>
      </c>
      <c r="B5610" t="str">
        <f>ADDRESS(ROW('Loan 1'!$B$24),COLUMN('Loan 1'!$B$24),4)</f>
        <v>B24</v>
      </c>
      <c r="C5610" t="str">
        <f>ADDRESS(ROW('Loan 1'!$D$24),COLUMN('Loan 1'!$D$24),4)</f>
        <v>D24</v>
      </c>
      <c r="D5610" t="b" cm="1">
        <f t="array" aca="1" ref="D5610" ca="1">IF(INDIRECT("'"&amp;A5610&amp;"'!"&amp;B5610)="",FALSE,IF(TRUNC(INDIRECT("'"&amp;A5610&amp;"'!"&amp;B5610))=INDIRECT("'"&amp;A5610&amp;"'!"&amp;B5610),FALSE,TRUE))</f>
        <v>0</v>
      </c>
      <c r="E5610" t="s">
        <v>436</v>
      </c>
      <c r="F5610" t="str">
        <f>INDEX(Lists!I:I,MATCH(Validation!E5610,Lists!G:G,0))</f>
        <v>Error</v>
      </c>
      <c r="G5610" t="str">
        <f>INDEX(Lists!H:H,MATCH(Validation!E5610,Lists!G:G,0))</f>
        <v>Amount must be rounded to the nearest dollar.</v>
      </c>
      <c r="H5610" s="16" t="str">
        <f t="shared" ca="1" si="609"/>
        <v/>
      </c>
      <c r="I5610" s="16" t="str">
        <f t="shared" ca="1" si="610"/>
        <v/>
      </c>
      <c r="J5610" s="17" t="str">
        <f t="shared" ca="1" si="611"/>
        <v/>
      </c>
    </row>
    <row r="5611" spans="1:10" x14ac:dyDescent="0.25">
      <c r="A5611" t="s">
        <v>944</v>
      </c>
      <c r="B5611" t="str">
        <f>ADDRESS(ROW('Loan 1'!$B$24),COLUMN('Loan 1'!$B$24),4)</f>
        <v>B24</v>
      </c>
      <c r="C5611" t="str">
        <f>ADDRESS(ROW('Loan 1'!$D$24),COLUMN('Loan 1'!$D$24),4)</f>
        <v>D24</v>
      </c>
      <c r="D5611" t="b" cm="1">
        <f t="array" aca="1" ref="D5611" ca="1">IF(INDIRECT("'"&amp;A5611&amp;"'!"&amp;B5611)="",FALSE,IF(TRUNC(INDIRECT("'"&amp;A5611&amp;"'!"&amp;B5611))=INDIRECT("'"&amp;A5611&amp;"'!"&amp;B5611),FALSE,TRUE))</f>
        <v>0</v>
      </c>
      <c r="E5611" t="s">
        <v>436</v>
      </c>
      <c r="F5611" t="str">
        <f>INDEX(Lists!I:I,MATCH(Validation!E5611,Lists!G:G,0))</f>
        <v>Error</v>
      </c>
      <c r="G5611" t="str">
        <f>INDEX(Lists!H:H,MATCH(Validation!E5611,Lists!G:G,0))</f>
        <v>Amount must be rounded to the nearest dollar.</v>
      </c>
      <c r="H5611" s="16" t="str">
        <f t="shared" ca="1" si="609"/>
        <v/>
      </c>
      <c r="I5611" s="16" t="str">
        <f t="shared" ca="1" si="610"/>
        <v/>
      </c>
      <c r="J5611" s="17" t="str">
        <f t="shared" ca="1" si="611"/>
        <v/>
      </c>
    </row>
    <row r="5612" spans="1:10" x14ac:dyDescent="0.25">
      <c r="A5612" t="s">
        <v>945</v>
      </c>
      <c r="B5612" t="str">
        <f>ADDRESS(ROW('Loan 1'!$B$24),COLUMN('Loan 1'!$B$24),4)</f>
        <v>B24</v>
      </c>
      <c r="C5612" t="str">
        <f>ADDRESS(ROW('Loan 1'!$D$24),COLUMN('Loan 1'!$D$24),4)</f>
        <v>D24</v>
      </c>
      <c r="D5612" t="b" cm="1">
        <f t="array" aca="1" ref="D5612" ca="1">IF(INDIRECT("'"&amp;A5612&amp;"'!"&amp;B5612)="",FALSE,IF(TRUNC(INDIRECT("'"&amp;A5612&amp;"'!"&amp;B5612))=INDIRECT("'"&amp;A5612&amp;"'!"&amp;B5612),FALSE,TRUE))</f>
        <v>0</v>
      </c>
      <c r="E5612" t="s">
        <v>436</v>
      </c>
      <c r="F5612" t="str">
        <f>INDEX(Lists!I:I,MATCH(Validation!E5612,Lists!G:G,0))</f>
        <v>Error</v>
      </c>
      <c r="G5612" t="str">
        <f>INDEX(Lists!H:H,MATCH(Validation!E5612,Lists!G:G,0))</f>
        <v>Amount must be rounded to the nearest dollar.</v>
      </c>
      <c r="H5612" s="16" t="str">
        <f t="shared" ca="1" si="609"/>
        <v/>
      </c>
      <c r="I5612" s="16" t="str">
        <f t="shared" ca="1" si="610"/>
        <v/>
      </c>
      <c r="J5612" s="17" t="str">
        <f t="shared" ca="1" si="611"/>
        <v/>
      </c>
    </row>
    <row r="5613" spans="1:10" x14ac:dyDescent="0.25">
      <c r="A5613" t="s">
        <v>205</v>
      </c>
      <c r="B5613" t="str">
        <f>ADDRESS(ROW('Loan 1'!$C$24),COLUMN('Loan 1'!$C$24),4)</f>
        <v>C24</v>
      </c>
      <c r="C5613" t="str">
        <f>ADDRESS(ROW('Loan 1'!$D$24),COLUMN('Loan 1'!$D$24),4)</f>
        <v>D24</v>
      </c>
      <c r="D5613" t="b" cm="1">
        <f t="array" aca="1" ref="D5613" ca="1">IF(INDIRECT("'"&amp;A5613&amp;"'!"&amp;B5613)="",FALSE,IF(NOT(ISNUMBER(INDIRECT("'"&amp;A5613&amp;"'!"&amp;B5613))),TRUE,FALSE))</f>
        <v>0</v>
      </c>
      <c r="E5613" t="s">
        <v>435</v>
      </c>
      <c r="F5613" t="str">
        <f>INDEX(Lists!I:I,MATCH(Validation!E5613,Lists!G:G,0))</f>
        <v>Error</v>
      </c>
      <c r="G5613" t="str">
        <f>INDEX(Lists!H:H,MATCH(Validation!E5613,Lists!G:G,0))</f>
        <v>Enter an amount only. Do not enter text or spaces.</v>
      </c>
      <c r="H5613" s="16" t="str">
        <f ca="1">IFERROR(IF(OR(NOT(D5613),F5613&lt;&gt;"Error"),"",A5613&amp;CELL("address",INDIRECT(B5613))),"")</f>
        <v/>
      </c>
      <c r="I5613" s="16" t="str">
        <f ca="1">IFERROR(IF(NOT(D5613),"",A5613&amp;CELL("address",INDIRECT(C5613))),"")</f>
        <v/>
      </c>
      <c r="J5613" s="17" t="str">
        <f ca="1">IFERROR(IF(NOT(D5613),"",A5613),"")</f>
        <v/>
      </c>
    </row>
    <row r="5614" spans="1:10" x14ac:dyDescent="0.25">
      <c r="A5614" t="s">
        <v>932</v>
      </c>
      <c r="B5614" t="str">
        <f>ADDRESS(ROW('Loan 1'!$C$24),COLUMN('Loan 1'!$C$24),4)</f>
        <v>C24</v>
      </c>
      <c r="C5614" t="str">
        <f>ADDRESS(ROW('Loan 1'!$D$24),COLUMN('Loan 1'!$D$24),4)</f>
        <v>D24</v>
      </c>
      <c r="D5614" t="b" cm="1">
        <f t="array" aca="1" ref="D5614" ca="1">IF(INDIRECT("'"&amp;A5614&amp;"'!"&amp;B5614)="",FALSE,IF(NOT(ISNUMBER(INDIRECT("'"&amp;A5614&amp;"'!"&amp;B5614))),TRUE,FALSE))</f>
        <v>0</v>
      </c>
      <c r="E5614" t="s">
        <v>435</v>
      </c>
      <c r="F5614" t="str">
        <f>INDEX(Lists!I:I,MATCH(Validation!E5614,Lists!G:G,0))</f>
        <v>Error</v>
      </c>
      <c r="G5614" t="str">
        <f>INDEX(Lists!H:H,MATCH(Validation!E5614,Lists!G:G,0))</f>
        <v>Enter an amount only. Do not enter text or spaces.</v>
      </c>
      <c r="H5614" s="16" t="str">
        <f t="shared" ref="H5614:H5627" ca="1" si="612">IFERROR(IF(OR(NOT(D5614),F5614&lt;&gt;"Error"),"",A5614&amp;CELL("address",INDIRECT(B5614))),"")</f>
        <v/>
      </c>
      <c r="I5614" s="16" t="str">
        <f t="shared" ref="I5614:I5627" ca="1" si="613">IFERROR(IF(NOT(D5614),"",A5614&amp;CELL("address",INDIRECT(C5614))),"")</f>
        <v/>
      </c>
      <c r="J5614" s="17" t="str">
        <f t="shared" ref="J5614:J5627" ca="1" si="614">IFERROR(IF(NOT(D5614),"",A5614),"")</f>
        <v/>
      </c>
    </row>
    <row r="5615" spans="1:10" x14ac:dyDescent="0.25">
      <c r="A5615" t="s">
        <v>933</v>
      </c>
      <c r="B5615" t="str">
        <f>ADDRESS(ROW('Loan 1'!$C$24),COLUMN('Loan 1'!$C$24),4)</f>
        <v>C24</v>
      </c>
      <c r="C5615" t="str">
        <f>ADDRESS(ROW('Loan 1'!$D$24),COLUMN('Loan 1'!$D$24),4)</f>
        <v>D24</v>
      </c>
      <c r="D5615" t="b" cm="1">
        <f t="array" aca="1" ref="D5615" ca="1">IF(INDIRECT("'"&amp;A5615&amp;"'!"&amp;B5615)="",FALSE,IF(NOT(ISNUMBER(INDIRECT("'"&amp;A5615&amp;"'!"&amp;B5615))),TRUE,FALSE))</f>
        <v>0</v>
      </c>
      <c r="E5615" t="s">
        <v>435</v>
      </c>
      <c r="F5615" t="str">
        <f>INDEX(Lists!I:I,MATCH(Validation!E5615,Lists!G:G,0))</f>
        <v>Error</v>
      </c>
      <c r="G5615" t="str">
        <f>INDEX(Lists!H:H,MATCH(Validation!E5615,Lists!G:G,0))</f>
        <v>Enter an amount only. Do not enter text or spaces.</v>
      </c>
      <c r="H5615" s="16" t="str">
        <f t="shared" ca="1" si="612"/>
        <v/>
      </c>
      <c r="I5615" s="16" t="str">
        <f t="shared" ca="1" si="613"/>
        <v/>
      </c>
      <c r="J5615" s="17" t="str">
        <f t="shared" ca="1" si="614"/>
        <v/>
      </c>
    </row>
    <row r="5616" spans="1:10" x14ac:dyDescent="0.25">
      <c r="A5616" t="s">
        <v>934</v>
      </c>
      <c r="B5616" t="str">
        <f>ADDRESS(ROW('Loan 1'!$C$24),COLUMN('Loan 1'!$C$24),4)</f>
        <v>C24</v>
      </c>
      <c r="C5616" t="str">
        <f>ADDRESS(ROW('Loan 1'!$D$24),COLUMN('Loan 1'!$D$24),4)</f>
        <v>D24</v>
      </c>
      <c r="D5616" t="b" cm="1">
        <f t="array" aca="1" ref="D5616" ca="1">IF(INDIRECT("'"&amp;A5616&amp;"'!"&amp;B5616)="",FALSE,IF(NOT(ISNUMBER(INDIRECT("'"&amp;A5616&amp;"'!"&amp;B5616))),TRUE,FALSE))</f>
        <v>0</v>
      </c>
      <c r="E5616" t="s">
        <v>435</v>
      </c>
      <c r="F5616" t="str">
        <f>INDEX(Lists!I:I,MATCH(Validation!E5616,Lists!G:G,0))</f>
        <v>Error</v>
      </c>
      <c r="G5616" t="str">
        <f>INDEX(Lists!H:H,MATCH(Validation!E5616,Lists!G:G,0))</f>
        <v>Enter an amount only. Do not enter text or spaces.</v>
      </c>
      <c r="H5616" s="16" t="str">
        <f t="shared" ca="1" si="612"/>
        <v/>
      </c>
      <c r="I5616" s="16" t="str">
        <f t="shared" ca="1" si="613"/>
        <v/>
      </c>
      <c r="J5616" s="17" t="str">
        <f t="shared" ca="1" si="614"/>
        <v/>
      </c>
    </row>
    <row r="5617" spans="1:10" x14ac:dyDescent="0.25">
      <c r="A5617" t="s">
        <v>935</v>
      </c>
      <c r="B5617" t="str">
        <f>ADDRESS(ROW('Loan 1'!$C$24),COLUMN('Loan 1'!$C$24),4)</f>
        <v>C24</v>
      </c>
      <c r="C5617" t="str">
        <f>ADDRESS(ROW('Loan 1'!$D$24),COLUMN('Loan 1'!$D$24),4)</f>
        <v>D24</v>
      </c>
      <c r="D5617" t="b" cm="1">
        <f t="array" aca="1" ref="D5617" ca="1">IF(INDIRECT("'"&amp;A5617&amp;"'!"&amp;B5617)="",FALSE,IF(NOT(ISNUMBER(INDIRECT("'"&amp;A5617&amp;"'!"&amp;B5617))),TRUE,FALSE))</f>
        <v>0</v>
      </c>
      <c r="E5617" t="s">
        <v>435</v>
      </c>
      <c r="F5617" t="str">
        <f>INDEX(Lists!I:I,MATCH(Validation!E5617,Lists!G:G,0))</f>
        <v>Error</v>
      </c>
      <c r="G5617" t="str">
        <f>INDEX(Lists!H:H,MATCH(Validation!E5617,Lists!G:G,0))</f>
        <v>Enter an amount only. Do not enter text or spaces.</v>
      </c>
      <c r="H5617" s="16" t="str">
        <f t="shared" ca="1" si="612"/>
        <v/>
      </c>
      <c r="I5617" s="16" t="str">
        <f t="shared" ca="1" si="613"/>
        <v/>
      </c>
      <c r="J5617" s="17" t="str">
        <f t="shared" ca="1" si="614"/>
        <v/>
      </c>
    </row>
    <row r="5618" spans="1:10" x14ac:dyDescent="0.25">
      <c r="A5618" t="s">
        <v>936</v>
      </c>
      <c r="B5618" t="str">
        <f>ADDRESS(ROW('Loan 1'!$C$24),COLUMN('Loan 1'!$C$24),4)</f>
        <v>C24</v>
      </c>
      <c r="C5618" t="str">
        <f>ADDRESS(ROW('Loan 1'!$D$24),COLUMN('Loan 1'!$D$24),4)</f>
        <v>D24</v>
      </c>
      <c r="D5618" t="b" cm="1">
        <f t="array" aca="1" ref="D5618" ca="1">IF(INDIRECT("'"&amp;A5618&amp;"'!"&amp;B5618)="",FALSE,IF(NOT(ISNUMBER(INDIRECT("'"&amp;A5618&amp;"'!"&amp;B5618))),TRUE,FALSE))</f>
        <v>0</v>
      </c>
      <c r="E5618" t="s">
        <v>435</v>
      </c>
      <c r="F5618" t="str">
        <f>INDEX(Lists!I:I,MATCH(Validation!E5618,Lists!G:G,0))</f>
        <v>Error</v>
      </c>
      <c r="G5618" t="str">
        <f>INDEX(Lists!H:H,MATCH(Validation!E5618,Lists!G:G,0))</f>
        <v>Enter an amount only. Do not enter text or spaces.</v>
      </c>
      <c r="H5618" s="16" t="str">
        <f t="shared" ca="1" si="612"/>
        <v/>
      </c>
      <c r="I5618" s="16" t="str">
        <f t="shared" ca="1" si="613"/>
        <v/>
      </c>
      <c r="J5618" s="17" t="str">
        <f t="shared" ca="1" si="614"/>
        <v/>
      </c>
    </row>
    <row r="5619" spans="1:10" x14ac:dyDescent="0.25">
      <c r="A5619" t="s">
        <v>937</v>
      </c>
      <c r="B5619" t="str">
        <f>ADDRESS(ROW('Loan 1'!$C$24),COLUMN('Loan 1'!$C$24),4)</f>
        <v>C24</v>
      </c>
      <c r="C5619" t="str">
        <f>ADDRESS(ROW('Loan 1'!$D$24),COLUMN('Loan 1'!$D$24),4)</f>
        <v>D24</v>
      </c>
      <c r="D5619" t="b" cm="1">
        <f t="array" aca="1" ref="D5619" ca="1">IF(INDIRECT("'"&amp;A5619&amp;"'!"&amp;B5619)="",FALSE,IF(NOT(ISNUMBER(INDIRECT("'"&amp;A5619&amp;"'!"&amp;B5619))),TRUE,FALSE))</f>
        <v>0</v>
      </c>
      <c r="E5619" t="s">
        <v>435</v>
      </c>
      <c r="F5619" t="str">
        <f>INDEX(Lists!I:I,MATCH(Validation!E5619,Lists!G:G,0))</f>
        <v>Error</v>
      </c>
      <c r="G5619" t="str">
        <f>INDEX(Lists!H:H,MATCH(Validation!E5619,Lists!G:G,0))</f>
        <v>Enter an amount only. Do not enter text or spaces.</v>
      </c>
      <c r="H5619" s="16" t="str">
        <f t="shared" ca="1" si="612"/>
        <v/>
      </c>
      <c r="I5619" s="16" t="str">
        <f t="shared" ca="1" si="613"/>
        <v/>
      </c>
      <c r="J5619" s="17" t="str">
        <f t="shared" ca="1" si="614"/>
        <v/>
      </c>
    </row>
    <row r="5620" spans="1:10" x14ac:dyDescent="0.25">
      <c r="A5620" t="s">
        <v>938</v>
      </c>
      <c r="B5620" t="str">
        <f>ADDRESS(ROW('Loan 1'!$C$24),COLUMN('Loan 1'!$C$24),4)</f>
        <v>C24</v>
      </c>
      <c r="C5620" t="str">
        <f>ADDRESS(ROW('Loan 1'!$D$24),COLUMN('Loan 1'!$D$24),4)</f>
        <v>D24</v>
      </c>
      <c r="D5620" t="b" cm="1">
        <f t="array" aca="1" ref="D5620" ca="1">IF(INDIRECT("'"&amp;A5620&amp;"'!"&amp;B5620)="",FALSE,IF(NOT(ISNUMBER(INDIRECT("'"&amp;A5620&amp;"'!"&amp;B5620))),TRUE,FALSE))</f>
        <v>0</v>
      </c>
      <c r="E5620" t="s">
        <v>435</v>
      </c>
      <c r="F5620" t="str">
        <f>INDEX(Lists!I:I,MATCH(Validation!E5620,Lists!G:G,0))</f>
        <v>Error</v>
      </c>
      <c r="G5620" t="str">
        <f>INDEX(Lists!H:H,MATCH(Validation!E5620,Lists!G:G,0))</f>
        <v>Enter an amount only. Do not enter text or spaces.</v>
      </c>
      <c r="H5620" s="16" t="str">
        <f t="shared" ca="1" si="612"/>
        <v/>
      </c>
      <c r="I5620" s="16" t="str">
        <f t="shared" ca="1" si="613"/>
        <v/>
      </c>
      <c r="J5620" s="17" t="str">
        <f t="shared" ca="1" si="614"/>
        <v/>
      </c>
    </row>
    <row r="5621" spans="1:10" x14ac:dyDescent="0.25">
      <c r="A5621" t="s">
        <v>939</v>
      </c>
      <c r="B5621" t="str">
        <f>ADDRESS(ROW('Loan 1'!$C$24),COLUMN('Loan 1'!$C$24),4)</f>
        <v>C24</v>
      </c>
      <c r="C5621" t="str">
        <f>ADDRESS(ROW('Loan 1'!$D$24),COLUMN('Loan 1'!$D$24),4)</f>
        <v>D24</v>
      </c>
      <c r="D5621" t="b" cm="1">
        <f t="array" aca="1" ref="D5621" ca="1">IF(INDIRECT("'"&amp;A5621&amp;"'!"&amp;B5621)="",FALSE,IF(NOT(ISNUMBER(INDIRECT("'"&amp;A5621&amp;"'!"&amp;B5621))),TRUE,FALSE))</f>
        <v>0</v>
      </c>
      <c r="E5621" t="s">
        <v>435</v>
      </c>
      <c r="F5621" t="str">
        <f>INDEX(Lists!I:I,MATCH(Validation!E5621,Lists!G:G,0))</f>
        <v>Error</v>
      </c>
      <c r="G5621" t="str">
        <f>INDEX(Lists!H:H,MATCH(Validation!E5621,Lists!G:G,0))</f>
        <v>Enter an amount only. Do not enter text or spaces.</v>
      </c>
      <c r="H5621" s="16" t="str">
        <f t="shared" ca="1" si="612"/>
        <v/>
      </c>
      <c r="I5621" s="16" t="str">
        <f t="shared" ca="1" si="613"/>
        <v/>
      </c>
      <c r="J5621" s="17" t="str">
        <f t="shared" ca="1" si="614"/>
        <v/>
      </c>
    </row>
    <row r="5622" spans="1:10" x14ac:dyDescent="0.25">
      <c r="A5622" t="s">
        <v>940</v>
      </c>
      <c r="B5622" t="str">
        <f>ADDRESS(ROW('Loan 1'!$C$24),COLUMN('Loan 1'!$C$24),4)</f>
        <v>C24</v>
      </c>
      <c r="C5622" t="str">
        <f>ADDRESS(ROW('Loan 1'!$D$24),COLUMN('Loan 1'!$D$24),4)</f>
        <v>D24</v>
      </c>
      <c r="D5622" t="b" cm="1">
        <f t="array" aca="1" ref="D5622" ca="1">IF(INDIRECT("'"&amp;A5622&amp;"'!"&amp;B5622)="",FALSE,IF(NOT(ISNUMBER(INDIRECT("'"&amp;A5622&amp;"'!"&amp;B5622))),TRUE,FALSE))</f>
        <v>0</v>
      </c>
      <c r="E5622" t="s">
        <v>435</v>
      </c>
      <c r="F5622" t="str">
        <f>INDEX(Lists!I:I,MATCH(Validation!E5622,Lists!G:G,0))</f>
        <v>Error</v>
      </c>
      <c r="G5622" t="str">
        <f>INDEX(Lists!H:H,MATCH(Validation!E5622,Lists!G:G,0))</f>
        <v>Enter an amount only. Do not enter text or spaces.</v>
      </c>
      <c r="H5622" s="16" t="str">
        <f t="shared" ca="1" si="612"/>
        <v/>
      </c>
      <c r="I5622" s="16" t="str">
        <f t="shared" ca="1" si="613"/>
        <v/>
      </c>
      <c r="J5622" s="17" t="str">
        <f t="shared" ca="1" si="614"/>
        <v/>
      </c>
    </row>
    <row r="5623" spans="1:10" x14ac:dyDescent="0.25">
      <c r="A5623" t="s">
        <v>941</v>
      </c>
      <c r="B5623" t="str">
        <f>ADDRESS(ROW('Loan 1'!$C$24),COLUMN('Loan 1'!$C$24),4)</f>
        <v>C24</v>
      </c>
      <c r="C5623" t="str">
        <f>ADDRESS(ROW('Loan 1'!$D$24),COLUMN('Loan 1'!$D$24),4)</f>
        <v>D24</v>
      </c>
      <c r="D5623" t="b" cm="1">
        <f t="array" aca="1" ref="D5623" ca="1">IF(INDIRECT("'"&amp;A5623&amp;"'!"&amp;B5623)="",FALSE,IF(NOT(ISNUMBER(INDIRECT("'"&amp;A5623&amp;"'!"&amp;B5623))),TRUE,FALSE))</f>
        <v>0</v>
      </c>
      <c r="E5623" t="s">
        <v>435</v>
      </c>
      <c r="F5623" t="str">
        <f>INDEX(Lists!I:I,MATCH(Validation!E5623,Lists!G:G,0))</f>
        <v>Error</v>
      </c>
      <c r="G5623" t="str">
        <f>INDEX(Lists!H:H,MATCH(Validation!E5623,Lists!G:G,0))</f>
        <v>Enter an amount only. Do not enter text or spaces.</v>
      </c>
      <c r="H5623" s="16" t="str">
        <f t="shared" ca="1" si="612"/>
        <v/>
      </c>
      <c r="I5623" s="16" t="str">
        <f t="shared" ca="1" si="613"/>
        <v/>
      </c>
      <c r="J5623" s="17" t="str">
        <f t="shared" ca="1" si="614"/>
        <v/>
      </c>
    </row>
    <row r="5624" spans="1:10" x14ac:dyDescent="0.25">
      <c r="A5624" t="s">
        <v>942</v>
      </c>
      <c r="B5624" t="str">
        <f>ADDRESS(ROW('Loan 1'!$C$24),COLUMN('Loan 1'!$C$24),4)</f>
        <v>C24</v>
      </c>
      <c r="C5624" t="str">
        <f>ADDRESS(ROW('Loan 1'!$D$24),COLUMN('Loan 1'!$D$24),4)</f>
        <v>D24</v>
      </c>
      <c r="D5624" t="b" cm="1">
        <f t="array" aca="1" ref="D5624" ca="1">IF(INDIRECT("'"&amp;A5624&amp;"'!"&amp;B5624)="",FALSE,IF(NOT(ISNUMBER(INDIRECT("'"&amp;A5624&amp;"'!"&amp;B5624))),TRUE,FALSE))</f>
        <v>0</v>
      </c>
      <c r="E5624" t="s">
        <v>435</v>
      </c>
      <c r="F5624" t="str">
        <f>INDEX(Lists!I:I,MATCH(Validation!E5624,Lists!G:G,0))</f>
        <v>Error</v>
      </c>
      <c r="G5624" t="str">
        <f>INDEX(Lists!H:H,MATCH(Validation!E5624,Lists!G:G,0))</f>
        <v>Enter an amount only. Do not enter text or spaces.</v>
      </c>
      <c r="H5624" s="16" t="str">
        <f t="shared" ca="1" si="612"/>
        <v/>
      </c>
      <c r="I5624" s="16" t="str">
        <f t="shared" ca="1" si="613"/>
        <v/>
      </c>
      <c r="J5624" s="17" t="str">
        <f t="shared" ca="1" si="614"/>
        <v/>
      </c>
    </row>
    <row r="5625" spans="1:10" x14ac:dyDescent="0.25">
      <c r="A5625" t="s">
        <v>943</v>
      </c>
      <c r="B5625" t="str">
        <f>ADDRESS(ROW('Loan 1'!$C$24),COLUMN('Loan 1'!$C$24),4)</f>
        <v>C24</v>
      </c>
      <c r="C5625" t="str">
        <f>ADDRESS(ROW('Loan 1'!$D$24),COLUMN('Loan 1'!$D$24),4)</f>
        <v>D24</v>
      </c>
      <c r="D5625" t="b" cm="1">
        <f t="array" aca="1" ref="D5625" ca="1">IF(INDIRECT("'"&amp;A5625&amp;"'!"&amp;B5625)="",FALSE,IF(NOT(ISNUMBER(INDIRECT("'"&amp;A5625&amp;"'!"&amp;B5625))),TRUE,FALSE))</f>
        <v>0</v>
      </c>
      <c r="E5625" t="s">
        <v>435</v>
      </c>
      <c r="F5625" t="str">
        <f>INDEX(Lists!I:I,MATCH(Validation!E5625,Lists!G:G,0))</f>
        <v>Error</v>
      </c>
      <c r="G5625" t="str">
        <f>INDEX(Lists!H:H,MATCH(Validation!E5625,Lists!G:G,0))</f>
        <v>Enter an amount only. Do not enter text or spaces.</v>
      </c>
      <c r="H5625" s="16" t="str">
        <f t="shared" ca="1" si="612"/>
        <v/>
      </c>
      <c r="I5625" s="16" t="str">
        <f t="shared" ca="1" si="613"/>
        <v/>
      </c>
      <c r="J5625" s="17" t="str">
        <f t="shared" ca="1" si="614"/>
        <v/>
      </c>
    </row>
    <row r="5626" spans="1:10" x14ac:dyDescent="0.25">
      <c r="A5626" t="s">
        <v>944</v>
      </c>
      <c r="B5626" t="str">
        <f>ADDRESS(ROW('Loan 1'!$C$24),COLUMN('Loan 1'!$C$24),4)</f>
        <v>C24</v>
      </c>
      <c r="C5626" t="str">
        <f>ADDRESS(ROW('Loan 1'!$D$24),COLUMN('Loan 1'!$D$24),4)</f>
        <v>D24</v>
      </c>
      <c r="D5626" t="b" cm="1">
        <f t="array" aca="1" ref="D5626" ca="1">IF(INDIRECT("'"&amp;A5626&amp;"'!"&amp;B5626)="",FALSE,IF(NOT(ISNUMBER(INDIRECT("'"&amp;A5626&amp;"'!"&amp;B5626))),TRUE,FALSE))</f>
        <v>0</v>
      </c>
      <c r="E5626" t="s">
        <v>435</v>
      </c>
      <c r="F5626" t="str">
        <f>INDEX(Lists!I:I,MATCH(Validation!E5626,Lists!G:G,0))</f>
        <v>Error</v>
      </c>
      <c r="G5626" t="str">
        <f>INDEX(Lists!H:H,MATCH(Validation!E5626,Lists!G:G,0))</f>
        <v>Enter an amount only. Do not enter text or spaces.</v>
      </c>
      <c r="H5626" s="16" t="str">
        <f t="shared" ca="1" si="612"/>
        <v/>
      </c>
      <c r="I5626" s="16" t="str">
        <f t="shared" ca="1" si="613"/>
        <v/>
      </c>
      <c r="J5626" s="17" t="str">
        <f t="shared" ca="1" si="614"/>
        <v/>
      </c>
    </row>
    <row r="5627" spans="1:10" x14ac:dyDescent="0.25">
      <c r="A5627" t="s">
        <v>945</v>
      </c>
      <c r="B5627" t="str">
        <f>ADDRESS(ROW('Loan 1'!$C$24),COLUMN('Loan 1'!$C$24),4)</f>
        <v>C24</v>
      </c>
      <c r="C5627" t="str">
        <f>ADDRESS(ROW('Loan 1'!$D$24),COLUMN('Loan 1'!$D$24),4)</f>
        <v>D24</v>
      </c>
      <c r="D5627" t="b" cm="1">
        <f t="array" aca="1" ref="D5627" ca="1">IF(INDIRECT("'"&amp;A5627&amp;"'!"&amp;B5627)="",FALSE,IF(NOT(ISNUMBER(INDIRECT("'"&amp;A5627&amp;"'!"&amp;B5627))),TRUE,FALSE))</f>
        <v>0</v>
      </c>
      <c r="E5627" t="s">
        <v>435</v>
      </c>
      <c r="F5627" t="str">
        <f>INDEX(Lists!I:I,MATCH(Validation!E5627,Lists!G:G,0))</f>
        <v>Error</v>
      </c>
      <c r="G5627" t="str">
        <f>INDEX(Lists!H:H,MATCH(Validation!E5627,Lists!G:G,0))</f>
        <v>Enter an amount only. Do not enter text or spaces.</v>
      </c>
      <c r="H5627" s="16" t="str">
        <f t="shared" ca="1" si="612"/>
        <v/>
      </c>
      <c r="I5627" s="16" t="str">
        <f t="shared" ca="1" si="613"/>
        <v/>
      </c>
      <c r="J5627" s="17" t="str">
        <f t="shared" ca="1" si="614"/>
        <v/>
      </c>
    </row>
    <row r="5628" spans="1:10" x14ac:dyDescent="0.25">
      <c r="A5628" t="s">
        <v>205</v>
      </c>
      <c r="B5628" t="str">
        <f>ADDRESS(ROW('Loan 1'!$C$24),COLUMN('Loan 1'!$C$24),4)</f>
        <v>C24</v>
      </c>
      <c r="C5628" t="str">
        <f>ADDRESS(ROW('Loan 1'!$D$24),COLUMN('Loan 1'!$D$24),4)</f>
        <v>D24</v>
      </c>
      <c r="D5628" t="b" cm="1">
        <f t="array" aca="1" ref="D5628" ca="1">IF(INDIRECT("'"&amp;A5628&amp;"'!"&amp;B5628)="",FALSE,IF(INDIRECT("'"&amp;A5628&amp;"'!"&amp;B5628)&lt;0,TRUE,FALSE))</f>
        <v>0</v>
      </c>
      <c r="E5628" t="s">
        <v>434</v>
      </c>
      <c r="F5628" t="str">
        <f>INDEX(Lists!I:I,MATCH(Validation!E5628,Lists!G:G,0))</f>
        <v>Error</v>
      </c>
      <c r="G5628" t="str">
        <f>INDEX(Lists!H:H,MATCH(Validation!E5628,Lists!G:G,0))</f>
        <v>Amount may not be negative. Enter an amount greater than or equal to zero.</v>
      </c>
      <c r="H5628" s="16" t="str">
        <f ca="1">IFERROR(IF(OR(NOT(D5628),F5628&lt;&gt;"Error"),"",A5628&amp;CELL("address",INDIRECT(B5628))),"")</f>
        <v/>
      </c>
      <c r="I5628" s="16" t="str">
        <f ca="1">IFERROR(IF(NOT(D5628),"",A5628&amp;CELL("address",INDIRECT(C5628))),"")</f>
        <v/>
      </c>
      <c r="J5628" s="17" t="str">
        <f ca="1">IFERROR(IF(NOT(D5628),"",A5628),"")</f>
        <v/>
      </c>
    </row>
    <row r="5629" spans="1:10" x14ac:dyDescent="0.25">
      <c r="A5629" t="s">
        <v>932</v>
      </c>
      <c r="B5629" t="str">
        <f>ADDRESS(ROW('Loan 1'!$C$24),COLUMN('Loan 1'!$C$24),4)</f>
        <v>C24</v>
      </c>
      <c r="C5629" t="str">
        <f>ADDRESS(ROW('Loan 1'!$D$24),COLUMN('Loan 1'!$D$24),4)</f>
        <v>D24</v>
      </c>
      <c r="D5629" t="b" cm="1">
        <f t="array" aca="1" ref="D5629" ca="1">IF(INDIRECT("'"&amp;A5629&amp;"'!"&amp;B5629)="",FALSE,IF(INDIRECT("'"&amp;A5629&amp;"'!"&amp;B5629)&lt;0,TRUE,FALSE))</f>
        <v>0</v>
      </c>
      <c r="E5629" t="s">
        <v>434</v>
      </c>
      <c r="F5629" t="str">
        <f>INDEX(Lists!I:I,MATCH(Validation!E5629,Lists!G:G,0))</f>
        <v>Error</v>
      </c>
      <c r="G5629" t="str">
        <f>INDEX(Lists!H:H,MATCH(Validation!E5629,Lists!G:G,0))</f>
        <v>Amount may not be negative. Enter an amount greater than or equal to zero.</v>
      </c>
      <c r="H5629" s="16" t="str">
        <f t="shared" ref="H5629:H5657" ca="1" si="615">IFERROR(IF(OR(NOT(D5629),F5629&lt;&gt;"Error"),"",A5629&amp;CELL("address",INDIRECT(B5629))),"")</f>
        <v/>
      </c>
      <c r="I5629" s="16" t="str">
        <f t="shared" ref="I5629:I5657" ca="1" si="616">IFERROR(IF(NOT(D5629),"",A5629&amp;CELL("address",INDIRECT(C5629))),"")</f>
        <v/>
      </c>
      <c r="J5629" s="17" t="str">
        <f t="shared" ref="J5629:J5657" ca="1" si="617">IFERROR(IF(NOT(D5629),"",A5629),"")</f>
        <v/>
      </c>
    </row>
    <row r="5630" spans="1:10" x14ac:dyDescent="0.25">
      <c r="A5630" t="s">
        <v>933</v>
      </c>
      <c r="B5630" t="str">
        <f>ADDRESS(ROW('Loan 1'!$C$24),COLUMN('Loan 1'!$C$24),4)</f>
        <v>C24</v>
      </c>
      <c r="C5630" t="str">
        <f>ADDRESS(ROW('Loan 1'!$D$24),COLUMN('Loan 1'!$D$24),4)</f>
        <v>D24</v>
      </c>
      <c r="D5630" t="b" cm="1">
        <f t="array" aca="1" ref="D5630" ca="1">IF(INDIRECT("'"&amp;A5630&amp;"'!"&amp;B5630)="",FALSE,IF(INDIRECT("'"&amp;A5630&amp;"'!"&amp;B5630)&lt;0,TRUE,FALSE))</f>
        <v>0</v>
      </c>
      <c r="E5630" t="s">
        <v>434</v>
      </c>
      <c r="F5630" t="str">
        <f>INDEX(Lists!I:I,MATCH(Validation!E5630,Lists!G:G,0))</f>
        <v>Error</v>
      </c>
      <c r="G5630" t="str">
        <f>INDEX(Lists!H:H,MATCH(Validation!E5630,Lists!G:G,0))</f>
        <v>Amount may not be negative. Enter an amount greater than or equal to zero.</v>
      </c>
      <c r="H5630" s="16" t="str">
        <f t="shared" ca="1" si="615"/>
        <v/>
      </c>
      <c r="I5630" s="16" t="str">
        <f t="shared" ca="1" si="616"/>
        <v/>
      </c>
      <c r="J5630" s="17" t="str">
        <f t="shared" ca="1" si="617"/>
        <v/>
      </c>
    </row>
    <row r="5631" spans="1:10" x14ac:dyDescent="0.25">
      <c r="A5631" t="s">
        <v>934</v>
      </c>
      <c r="B5631" t="str">
        <f>ADDRESS(ROW('Loan 1'!$C$24),COLUMN('Loan 1'!$C$24),4)</f>
        <v>C24</v>
      </c>
      <c r="C5631" t="str">
        <f>ADDRESS(ROW('Loan 1'!$D$24),COLUMN('Loan 1'!$D$24),4)</f>
        <v>D24</v>
      </c>
      <c r="D5631" t="b" cm="1">
        <f t="array" aca="1" ref="D5631" ca="1">IF(INDIRECT("'"&amp;A5631&amp;"'!"&amp;B5631)="",FALSE,IF(INDIRECT("'"&amp;A5631&amp;"'!"&amp;B5631)&lt;0,TRUE,FALSE))</f>
        <v>0</v>
      </c>
      <c r="E5631" t="s">
        <v>434</v>
      </c>
      <c r="F5631" t="str">
        <f>INDEX(Lists!I:I,MATCH(Validation!E5631,Lists!G:G,0))</f>
        <v>Error</v>
      </c>
      <c r="G5631" t="str">
        <f>INDEX(Lists!H:H,MATCH(Validation!E5631,Lists!G:G,0))</f>
        <v>Amount may not be negative. Enter an amount greater than or equal to zero.</v>
      </c>
      <c r="H5631" s="16" t="str">
        <f t="shared" ca="1" si="615"/>
        <v/>
      </c>
      <c r="I5631" s="16" t="str">
        <f t="shared" ca="1" si="616"/>
        <v/>
      </c>
      <c r="J5631" s="17" t="str">
        <f t="shared" ca="1" si="617"/>
        <v/>
      </c>
    </row>
    <row r="5632" spans="1:10" x14ac:dyDescent="0.25">
      <c r="A5632" t="s">
        <v>935</v>
      </c>
      <c r="B5632" t="str">
        <f>ADDRESS(ROW('Loan 1'!$C$24),COLUMN('Loan 1'!$C$24),4)</f>
        <v>C24</v>
      </c>
      <c r="C5632" t="str">
        <f>ADDRESS(ROW('Loan 1'!$D$24),COLUMN('Loan 1'!$D$24),4)</f>
        <v>D24</v>
      </c>
      <c r="D5632" t="b" cm="1">
        <f t="array" aca="1" ref="D5632" ca="1">IF(INDIRECT("'"&amp;A5632&amp;"'!"&amp;B5632)="",FALSE,IF(INDIRECT("'"&amp;A5632&amp;"'!"&amp;B5632)&lt;0,TRUE,FALSE))</f>
        <v>0</v>
      </c>
      <c r="E5632" t="s">
        <v>434</v>
      </c>
      <c r="F5632" t="str">
        <f>INDEX(Lists!I:I,MATCH(Validation!E5632,Lists!G:G,0))</f>
        <v>Error</v>
      </c>
      <c r="G5632" t="str">
        <f>INDEX(Lists!H:H,MATCH(Validation!E5632,Lists!G:G,0))</f>
        <v>Amount may not be negative. Enter an amount greater than or equal to zero.</v>
      </c>
      <c r="H5632" s="16" t="str">
        <f t="shared" ca="1" si="615"/>
        <v/>
      </c>
      <c r="I5632" s="16" t="str">
        <f t="shared" ca="1" si="616"/>
        <v/>
      </c>
      <c r="J5632" s="17" t="str">
        <f t="shared" ca="1" si="617"/>
        <v/>
      </c>
    </row>
    <row r="5633" spans="1:10" x14ac:dyDescent="0.25">
      <c r="A5633" t="s">
        <v>936</v>
      </c>
      <c r="B5633" t="str">
        <f>ADDRESS(ROW('Loan 1'!$C$24),COLUMN('Loan 1'!$C$24),4)</f>
        <v>C24</v>
      </c>
      <c r="C5633" t="str">
        <f>ADDRESS(ROW('Loan 1'!$D$24),COLUMN('Loan 1'!$D$24),4)</f>
        <v>D24</v>
      </c>
      <c r="D5633" t="b" cm="1">
        <f t="array" aca="1" ref="D5633" ca="1">IF(INDIRECT("'"&amp;A5633&amp;"'!"&amp;B5633)="",FALSE,IF(INDIRECT("'"&amp;A5633&amp;"'!"&amp;B5633)&lt;0,TRUE,FALSE))</f>
        <v>0</v>
      </c>
      <c r="E5633" t="s">
        <v>434</v>
      </c>
      <c r="F5633" t="str">
        <f>INDEX(Lists!I:I,MATCH(Validation!E5633,Lists!G:G,0))</f>
        <v>Error</v>
      </c>
      <c r="G5633" t="str">
        <f>INDEX(Lists!H:H,MATCH(Validation!E5633,Lists!G:G,0))</f>
        <v>Amount may not be negative. Enter an amount greater than or equal to zero.</v>
      </c>
      <c r="H5633" s="16" t="str">
        <f t="shared" ca="1" si="615"/>
        <v/>
      </c>
      <c r="I5633" s="16" t="str">
        <f t="shared" ca="1" si="616"/>
        <v/>
      </c>
      <c r="J5633" s="17" t="str">
        <f t="shared" ca="1" si="617"/>
        <v/>
      </c>
    </row>
    <row r="5634" spans="1:10" x14ac:dyDescent="0.25">
      <c r="A5634" t="s">
        <v>937</v>
      </c>
      <c r="B5634" t="str">
        <f>ADDRESS(ROW('Loan 1'!$C$24),COLUMN('Loan 1'!$C$24),4)</f>
        <v>C24</v>
      </c>
      <c r="C5634" t="str">
        <f>ADDRESS(ROW('Loan 1'!$D$24),COLUMN('Loan 1'!$D$24),4)</f>
        <v>D24</v>
      </c>
      <c r="D5634" t="b" cm="1">
        <f t="array" aca="1" ref="D5634" ca="1">IF(INDIRECT("'"&amp;A5634&amp;"'!"&amp;B5634)="",FALSE,IF(INDIRECT("'"&amp;A5634&amp;"'!"&amp;B5634)&lt;0,TRUE,FALSE))</f>
        <v>0</v>
      </c>
      <c r="E5634" t="s">
        <v>434</v>
      </c>
      <c r="F5634" t="str">
        <f>INDEX(Lists!I:I,MATCH(Validation!E5634,Lists!G:G,0))</f>
        <v>Error</v>
      </c>
      <c r="G5634" t="str">
        <f>INDEX(Lists!H:H,MATCH(Validation!E5634,Lists!G:G,0))</f>
        <v>Amount may not be negative. Enter an amount greater than or equal to zero.</v>
      </c>
      <c r="H5634" s="16" t="str">
        <f t="shared" ca="1" si="615"/>
        <v/>
      </c>
      <c r="I5634" s="16" t="str">
        <f t="shared" ca="1" si="616"/>
        <v/>
      </c>
      <c r="J5634" s="17" t="str">
        <f t="shared" ca="1" si="617"/>
        <v/>
      </c>
    </row>
    <row r="5635" spans="1:10" x14ac:dyDescent="0.25">
      <c r="A5635" t="s">
        <v>938</v>
      </c>
      <c r="B5635" t="str">
        <f>ADDRESS(ROW('Loan 1'!$C$24),COLUMN('Loan 1'!$C$24),4)</f>
        <v>C24</v>
      </c>
      <c r="C5635" t="str">
        <f>ADDRESS(ROW('Loan 1'!$D$24),COLUMN('Loan 1'!$D$24),4)</f>
        <v>D24</v>
      </c>
      <c r="D5635" t="b" cm="1">
        <f t="array" aca="1" ref="D5635" ca="1">IF(INDIRECT("'"&amp;A5635&amp;"'!"&amp;B5635)="",FALSE,IF(INDIRECT("'"&amp;A5635&amp;"'!"&amp;B5635)&lt;0,TRUE,FALSE))</f>
        <v>0</v>
      </c>
      <c r="E5635" t="s">
        <v>434</v>
      </c>
      <c r="F5635" t="str">
        <f>INDEX(Lists!I:I,MATCH(Validation!E5635,Lists!G:G,0))</f>
        <v>Error</v>
      </c>
      <c r="G5635" t="str">
        <f>INDEX(Lists!H:H,MATCH(Validation!E5635,Lists!G:G,0))</f>
        <v>Amount may not be negative. Enter an amount greater than or equal to zero.</v>
      </c>
      <c r="H5635" s="16" t="str">
        <f t="shared" ca="1" si="615"/>
        <v/>
      </c>
      <c r="I5635" s="16" t="str">
        <f t="shared" ca="1" si="616"/>
        <v/>
      </c>
      <c r="J5635" s="17" t="str">
        <f t="shared" ca="1" si="617"/>
        <v/>
      </c>
    </row>
    <row r="5636" spans="1:10" x14ac:dyDescent="0.25">
      <c r="A5636" t="s">
        <v>939</v>
      </c>
      <c r="B5636" t="str">
        <f>ADDRESS(ROW('Loan 1'!$C$24),COLUMN('Loan 1'!$C$24),4)</f>
        <v>C24</v>
      </c>
      <c r="C5636" t="str">
        <f>ADDRESS(ROW('Loan 1'!$D$24),COLUMN('Loan 1'!$D$24),4)</f>
        <v>D24</v>
      </c>
      <c r="D5636" t="b" cm="1">
        <f t="array" aca="1" ref="D5636" ca="1">IF(INDIRECT("'"&amp;A5636&amp;"'!"&amp;B5636)="",FALSE,IF(INDIRECT("'"&amp;A5636&amp;"'!"&amp;B5636)&lt;0,TRUE,FALSE))</f>
        <v>0</v>
      </c>
      <c r="E5636" t="s">
        <v>434</v>
      </c>
      <c r="F5636" t="str">
        <f>INDEX(Lists!I:I,MATCH(Validation!E5636,Lists!G:G,0))</f>
        <v>Error</v>
      </c>
      <c r="G5636" t="str">
        <f>INDEX(Lists!H:H,MATCH(Validation!E5636,Lists!G:G,0))</f>
        <v>Amount may not be negative. Enter an amount greater than or equal to zero.</v>
      </c>
      <c r="H5636" s="16" t="str">
        <f t="shared" ca="1" si="615"/>
        <v/>
      </c>
      <c r="I5636" s="16" t="str">
        <f t="shared" ca="1" si="616"/>
        <v/>
      </c>
      <c r="J5636" s="17" t="str">
        <f t="shared" ca="1" si="617"/>
        <v/>
      </c>
    </row>
    <row r="5637" spans="1:10" x14ac:dyDescent="0.25">
      <c r="A5637" t="s">
        <v>940</v>
      </c>
      <c r="B5637" t="str">
        <f>ADDRESS(ROW('Loan 1'!$C$24),COLUMN('Loan 1'!$C$24),4)</f>
        <v>C24</v>
      </c>
      <c r="C5637" t="str">
        <f>ADDRESS(ROW('Loan 1'!$D$24),COLUMN('Loan 1'!$D$24),4)</f>
        <v>D24</v>
      </c>
      <c r="D5637" t="b" cm="1">
        <f t="array" aca="1" ref="D5637" ca="1">IF(INDIRECT("'"&amp;A5637&amp;"'!"&amp;B5637)="",FALSE,IF(INDIRECT("'"&amp;A5637&amp;"'!"&amp;B5637)&lt;0,TRUE,FALSE))</f>
        <v>0</v>
      </c>
      <c r="E5637" t="s">
        <v>434</v>
      </c>
      <c r="F5637" t="str">
        <f>INDEX(Lists!I:I,MATCH(Validation!E5637,Lists!G:G,0))</f>
        <v>Error</v>
      </c>
      <c r="G5637" t="str">
        <f>INDEX(Lists!H:H,MATCH(Validation!E5637,Lists!G:G,0))</f>
        <v>Amount may not be negative. Enter an amount greater than or equal to zero.</v>
      </c>
      <c r="H5637" s="16" t="str">
        <f t="shared" ca="1" si="615"/>
        <v/>
      </c>
      <c r="I5637" s="16" t="str">
        <f t="shared" ca="1" si="616"/>
        <v/>
      </c>
      <c r="J5637" s="17" t="str">
        <f t="shared" ca="1" si="617"/>
        <v/>
      </c>
    </row>
    <row r="5638" spans="1:10" x14ac:dyDescent="0.25">
      <c r="A5638" t="s">
        <v>941</v>
      </c>
      <c r="B5638" t="str">
        <f>ADDRESS(ROW('Loan 1'!$C$24),COLUMN('Loan 1'!$C$24),4)</f>
        <v>C24</v>
      </c>
      <c r="C5638" t="str">
        <f>ADDRESS(ROW('Loan 1'!$D$24),COLUMN('Loan 1'!$D$24),4)</f>
        <v>D24</v>
      </c>
      <c r="D5638" t="b" cm="1">
        <f t="array" aca="1" ref="D5638" ca="1">IF(INDIRECT("'"&amp;A5638&amp;"'!"&amp;B5638)="",FALSE,IF(INDIRECT("'"&amp;A5638&amp;"'!"&amp;B5638)&lt;0,TRUE,FALSE))</f>
        <v>0</v>
      </c>
      <c r="E5638" t="s">
        <v>434</v>
      </c>
      <c r="F5638" t="str">
        <f>INDEX(Lists!I:I,MATCH(Validation!E5638,Lists!G:G,0))</f>
        <v>Error</v>
      </c>
      <c r="G5638" t="str">
        <f>INDEX(Lists!H:H,MATCH(Validation!E5638,Lists!G:G,0))</f>
        <v>Amount may not be negative. Enter an amount greater than or equal to zero.</v>
      </c>
      <c r="H5638" s="16" t="str">
        <f t="shared" ca="1" si="615"/>
        <v/>
      </c>
      <c r="I5638" s="16" t="str">
        <f t="shared" ca="1" si="616"/>
        <v/>
      </c>
      <c r="J5638" s="17" t="str">
        <f t="shared" ca="1" si="617"/>
        <v/>
      </c>
    </row>
    <row r="5639" spans="1:10" x14ac:dyDescent="0.25">
      <c r="A5639" t="s">
        <v>942</v>
      </c>
      <c r="B5639" t="str">
        <f>ADDRESS(ROW('Loan 1'!$C$24),COLUMN('Loan 1'!$C$24),4)</f>
        <v>C24</v>
      </c>
      <c r="C5639" t="str">
        <f>ADDRESS(ROW('Loan 1'!$D$24),COLUMN('Loan 1'!$D$24),4)</f>
        <v>D24</v>
      </c>
      <c r="D5639" t="b" cm="1">
        <f t="array" aca="1" ref="D5639" ca="1">IF(INDIRECT("'"&amp;A5639&amp;"'!"&amp;B5639)="",FALSE,IF(INDIRECT("'"&amp;A5639&amp;"'!"&amp;B5639)&lt;0,TRUE,FALSE))</f>
        <v>0</v>
      </c>
      <c r="E5639" t="s">
        <v>434</v>
      </c>
      <c r="F5639" t="str">
        <f>INDEX(Lists!I:I,MATCH(Validation!E5639,Lists!G:G,0))</f>
        <v>Error</v>
      </c>
      <c r="G5639" t="str">
        <f>INDEX(Lists!H:H,MATCH(Validation!E5639,Lists!G:G,0))</f>
        <v>Amount may not be negative. Enter an amount greater than or equal to zero.</v>
      </c>
      <c r="H5639" s="16" t="str">
        <f t="shared" ca="1" si="615"/>
        <v/>
      </c>
      <c r="I5639" s="16" t="str">
        <f t="shared" ca="1" si="616"/>
        <v/>
      </c>
      <c r="J5639" s="17" t="str">
        <f t="shared" ca="1" si="617"/>
        <v/>
      </c>
    </row>
    <row r="5640" spans="1:10" x14ac:dyDescent="0.25">
      <c r="A5640" t="s">
        <v>943</v>
      </c>
      <c r="B5640" t="str">
        <f>ADDRESS(ROW('Loan 1'!$C$24),COLUMN('Loan 1'!$C$24),4)</f>
        <v>C24</v>
      </c>
      <c r="C5640" t="str">
        <f>ADDRESS(ROW('Loan 1'!$D$24),COLUMN('Loan 1'!$D$24),4)</f>
        <v>D24</v>
      </c>
      <c r="D5640" t="b" cm="1">
        <f t="array" aca="1" ref="D5640" ca="1">IF(INDIRECT("'"&amp;A5640&amp;"'!"&amp;B5640)="",FALSE,IF(INDIRECT("'"&amp;A5640&amp;"'!"&amp;B5640)&lt;0,TRUE,FALSE))</f>
        <v>0</v>
      </c>
      <c r="E5640" t="s">
        <v>434</v>
      </c>
      <c r="F5640" t="str">
        <f>INDEX(Lists!I:I,MATCH(Validation!E5640,Lists!G:G,0))</f>
        <v>Error</v>
      </c>
      <c r="G5640" t="str">
        <f>INDEX(Lists!H:H,MATCH(Validation!E5640,Lists!G:G,0))</f>
        <v>Amount may not be negative. Enter an amount greater than or equal to zero.</v>
      </c>
      <c r="H5640" s="16" t="str">
        <f t="shared" ca="1" si="615"/>
        <v/>
      </c>
      <c r="I5640" s="16" t="str">
        <f t="shared" ca="1" si="616"/>
        <v/>
      </c>
      <c r="J5640" s="17" t="str">
        <f t="shared" ca="1" si="617"/>
        <v/>
      </c>
    </row>
    <row r="5641" spans="1:10" x14ac:dyDescent="0.25">
      <c r="A5641" t="s">
        <v>944</v>
      </c>
      <c r="B5641" t="str">
        <f>ADDRESS(ROW('Loan 1'!$C$24),COLUMN('Loan 1'!$C$24),4)</f>
        <v>C24</v>
      </c>
      <c r="C5641" t="str">
        <f>ADDRESS(ROW('Loan 1'!$D$24),COLUMN('Loan 1'!$D$24),4)</f>
        <v>D24</v>
      </c>
      <c r="D5641" t="b" cm="1">
        <f t="array" aca="1" ref="D5641" ca="1">IF(INDIRECT("'"&amp;A5641&amp;"'!"&amp;B5641)="",FALSE,IF(INDIRECT("'"&amp;A5641&amp;"'!"&amp;B5641)&lt;0,TRUE,FALSE))</f>
        <v>0</v>
      </c>
      <c r="E5641" t="s">
        <v>434</v>
      </c>
      <c r="F5641" t="str">
        <f>INDEX(Lists!I:I,MATCH(Validation!E5641,Lists!G:G,0))</f>
        <v>Error</v>
      </c>
      <c r="G5641" t="str">
        <f>INDEX(Lists!H:H,MATCH(Validation!E5641,Lists!G:G,0))</f>
        <v>Amount may not be negative. Enter an amount greater than or equal to zero.</v>
      </c>
      <c r="H5641" s="16" t="str">
        <f t="shared" ca="1" si="615"/>
        <v/>
      </c>
      <c r="I5641" s="16" t="str">
        <f t="shared" ca="1" si="616"/>
        <v/>
      </c>
      <c r="J5641" s="17" t="str">
        <f t="shared" ca="1" si="617"/>
        <v/>
      </c>
    </row>
    <row r="5642" spans="1:10" x14ac:dyDescent="0.25">
      <c r="A5642" t="s">
        <v>945</v>
      </c>
      <c r="B5642" t="str">
        <f>ADDRESS(ROW('Loan 1'!$C$24),COLUMN('Loan 1'!$C$24),4)</f>
        <v>C24</v>
      </c>
      <c r="C5642" t="str">
        <f>ADDRESS(ROW('Loan 1'!$D$24),COLUMN('Loan 1'!$D$24),4)</f>
        <v>D24</v>
      </c>
      <c r="D5642" t="b" cm="1">
        <f t="array" aca="1" ref="D5642" ca="1">IF(INDIRECT("'"&amp;A5642&amp;"'!"&amp;B5642)="",FALSE,IF(INDIRECT("'"&amp;A5642&amp;"'!"&amp;B5642)&lt;0,TRUE,FALSE))</f>
        <v>0</v>
      </c>
      <c r="E5642" t="s">
        <v>434</v>
      </c>
      <c r="F5642" t="str">
        <f>INDEX(Lists!I:I,MATCH(Validation!E5642,Lists!G:G,0))</f>
        <v>Error</v>
      </c>
      <c r="G5642" t="str">
        <f>INDEX(Lists!H:H,MATCH(Validation!E5642,Lists!G:G,0))</f>
        <v>Amount may not be negative. Enter an amount greater than or equal to zero.</v>
      </c>
      <c r="H5642" s="16" t="str">
        <f t="shared" ca="1" si="615"/>
        <v/>
      </c>
      <c r="I5642" s="16" t="str">
        <f t="shared" ca="1" si="616"/>
        <v/>
      </c>
      <c r="J5642" s="17" t="str">
        <f t="shared" ca="1" si="617"/>
        <v/>
      </c>
    </row>
    <row r="5643" spans="1:10" x14ac:dyDescent="0.25">
      <c r="A5643" t="s">
        <v>205</v>
      </c>
      <c r="B5643" t="str">
        <f>ADDRESS(ROW('Loan 1'!$C$24),COLUMN('Loan 1'!$C$24),4)</f>
        <v>C24</v>
      </c>
      <c r="C5643" t="str">
        <f>ADDRESS(ROW('Loan 1'!$D$24),COLUMN('Loan 1'!$D$24),4)</f>
        <v>D24</v>
      </c>
      <c r="D5643" t="b" cm="1">
        <f t="array" aca="1" ref="D5643" ca="1">IF(INDIRECT("'"&amp;A5643&amp;"'!"&amp;B5643)="",FALSE,IF(TRUNC(INDIRECT("'"&amp;A5643&amp;"'!"&amp;B5643))=INDIRECT("'"&amp;A5643&amp;"'!"&amp;B5643),FALSE,TRUE))</f>
        <v>0</v>
      </c>
      <c r="E5643" t="s">
        <v>436</v>
      </c>
      <c r="F5643" t="str">
        <f>INDEX(Lists!I:I,MATCH(Validation!E5643,Lists!G:G,0))</f>
        <v>Error</v>
      </c>
      <c r="G5643" t="str">
        <f>INDEX(Lists!H:H,MATCH(Validation!E5643,Lists!G:G,0))</f>
        <v>Amount must be rounded to the nearest dollar.</v>
      </c>
      <c r="H5643" s="16" t="str">
        <f t="shared" ca="1" si="615"/>
        <v/>
      </c>
      <c r="I5643" s="16" t="str">
        <f t="shared" ca="1" si="616"/>
        <v/>
      </c>
      <c r="J5643" s="17" t="str">
        <f t="shared" ca="1" si="617"/>
        <v/>
      </c>
    </row>
    <row r="5644" spans="1:10" x14ac:dyDescent="0.25">
      <c r="A5644" t="s">
        <v>932</v>
      </c>
      <c r="B5644" t="str">
        <f>ADDRESS(ROW('Loan 1'!$C$24),COLUMN('Loan 1'!$C$24),4)</f>
        <v>C24</v>
      </c>
      <c r="C5644" t="str">
        <f>ADDRESS(ROW('Loan 1'!$D$24),COLUMN('Loan 1'!$D$24),4)</f>
        <v>D24</v>
      </c>
      <c r="D5644" t="b" cm="1">
        <f t="array" aca="1" ref="D5644" ca="1">IF(INDIRECT("'"&amp;A5644&amp;"'!"&amp;B5644)="",FALSE,IF(TRUNC(INDIRECT("'"&amp;A5644&amp;"'!"&amp;B5644))=INDIRECT("'"&amp;A5644&amp;"'!"&amp;B5644),FALSE,TRUE))</f>
        <v>0</v>
      </c>
      <c r="E5644" t="s">
        <v>436</v>
      </c>
      <c r="F5644" t="str">
        <f>INDEX(Lists!I:I,MATCH(Validation!E5644,Lists!G:G,0))</f>
        <v>Error</v>
      </c>
      <c r="G5644" t="str">
        <f>INDEX(Lists!H:H,MATCH(Validation!E5644,Lists!G:G,0))</f>
        <v>Amount must be rounded to the nearest dollar.</v>
      </c>
      <c r="H5644" s="16" t="str">
        <f t="shared" ca="1" si="615"/>
        <v/>
      </c>
      <c r="I5644" s="16" t="str">
        <f t="shared" ca="1" si="616"/>
        <v/>
      </c>
      <c r="J5644" s="17" t="str">
        <f t="shared" ca="1" si="617"/>
        <v/>
      </c>
    </row>
    <row r="5645" spans="1:10" x14ac:dyDescent="0.25">
      <c r="A5645" t="s">
        <v>933</v>
      </c>
      <c r="B5645" t="str">
        <f>ADDRESS(ROW('Loan 1'!$C$24),COLUMN('Loan 1'!$C$24),4)</f>
        <v>C24</v>
      </c>
      <c r="C5645" t="str">
        <f>ADDRESS(ROW('Loan 1'!$D$24),COLUMN('Loan 1'!$D$24),4)</f>
        <v>D24</v>
      </c>
      <c r="D5645" t="b" cm="1">
        <f t="array" aca="1" ref="D5645" ca="1">IF(INDIRECT("'"&amp;A5645&amp;"'!"&amp;B5645)="",FALSE,IF(TRUNC(INDIRECT("'"&amp;A5645&amp;"'!"&amp;B5645))=INDIRECT("'"&amp;A5645&amp;"'!"&amp;B5645),FALSE,TRUE))</f>
        <v>0</v>
      </c>
      <c r="E5645" t="s">
        <v>436</v>
      </c>
      <c r="F5645" t="str">
        <f>INDEX(Lists!I:I,MATCH(Validation!E5645,Lists!G:G,0))</f>
        <v>Error</v>
      </c>
      <c r="G5645" t="str">
        <f>INDEX(Lists!H:H,MATCH(Validation!E5645,Lists!G:G,0))</f>
        <v>Amount must be rounded to the nearest dollar.</v>
      </c>
      <c r="H5645" s="16" t="str">
        <f t="shared" ca="1" si="615"/>
        <v/>
      </c>
      <c r="I5645" s="16" t="str">
        <f t="shared" ca="1" si="616"/>
        <v/>
      </c>
      <c r="J5645" s="17" t="str">
        <f t="shared" ca="1" si="617"/>
        <v/>
      </c>
    </row>
    <row r="5646" spans="1:10" x14ac:dyDescent="0.25">
      <c r="A5646" t="s">
        <v>934</v>
      </c>
      <c r="B5646" t="str">
        <f>ADDRESS(ROW('Loan 1'!$C$24),COLUMN('Loan 1'!$C$24),4)</f>
        <v>C24</v>
      </c>
      <c r="C5646" t="str">
        <f>ADDRESS(ROW('Loan 1'!$D$24),COLUMN('Loan 1'!$D$24),4)</f>
        <v>D24</v>
      </c>
      <c r="D5646" t="b" cm="1">
        <f t="array" aca="1" ref="D5646" ca="1">IF(INDIRECT("'"&amp;A5646&amp;"'!"&amp;B5646)="",FALSE,IF(TRUNC(INDIRECT("'"&amp;A5646&amp;"'!"&amp;B5646))=INDIRECT("'"&amp;A5646&amp;"'!"&amp;B5646),FALSE,TRUE))</f>
        <v>0</v>
      </c>
      <c r="E5646" t="s">
        <v>436</v>
      </c>
      <c r="F5646" t="str">
        <f>INDEX(Lists!I:I,MATCH(Validation!E5646,Lists!G:G,0))</f>
        <v>Error</v>
      </c>
      <c r="G5646" t="str">
        <f>INDEX(Lists!H:H,MATCH(Validation!E5646,Lists!G:G,0))</f>
        <v>Amount must be rounded to the nearest dollar.</v>
      </c>
      <c r="H5646" s="16" t="str">
        <f t="shared" ca="1" si="615"/>
        <v/>
      </c>
      <c r="I5646" s="16" t="str">
        <f t="shared" ca="1" si="616"/>
        <v/>
      </c>
      <c r="J5646" s="17" t="str">
        <f t="shared" ca="1" si="617"/>
        <v/>
      </c>
    </row>
    <row r="5647" spans="1:10" x14ac:dyDescent="0.25">
      <c r="A5647" t="s">
        <v>935</v>
      </c>
      <c r="B5647" t="str">
        <f>ADDRESS(ROW('Loan 1'!$C$24),COLUMN('Loan 1'!$C$24),4)</f>
        <v>C24</v>
      </c>
      <c r="C5647" t="str">
        <f>ADDRESS(ROW('Loan 1'!$D$24),COLUMN('Loan 1'!$D$24),4)</f>
        <v>D24</v>
      </c>
      <c r="D5647" t="b" cm="1">
        <f t="array" aca="1" ref="D5647" ca="1">IF(INDIRECT("'"&amp;A5647&amp;"'!"&amp;B5647)="",FALSE,IF(TRUNC(INDIRECT("'"&amp;A5647&amp;"'!"&amp;B5647))=INDIRECT("'"&amp;A5647&amp;"'!"&amp;B5647),FALSE,TRUE))</f>
        <v>0</v>
      </c>
      <c r="E5647" t="s">
        <v>436</v>
      </c>
      <c r="F5647" t="str">
        <f>INDEX(Lists!I:I,MATCH(Validation!E5647,Lists!G:G,0))</f>
        <v>Error</v>
      </c>
      <c r="G5647" t="str">
        <f>INDEX(Lists!H:H,MATCH(Validation!E5647,Lists!G:G,0))</f>
        <v>Amount must be rounded to the nearest dollar.</v>
      </c>
      <c r="H5647" s="16" t="str">
        <f t="shared" ca="1" si="615"/>
        <v/>
      </c>
      <c r="I5647" s="16" t="str">
        <f t="shared" ca="1" si="616"/>
        <v/>
      </c>
      <c r="J5647" s="17" t="str">
        <f t="shared" ca="1" si="617"/>
        <v/>
      </c>
    </row>
    <row r="5648" spans="1:10" x14ac:dyDescent="0.25">
      <c r="A5648" t="s">
        <v>936</v>
      </c>
      <c r="B5648" t="str">
        <f>ADDRESS(ROW('Loan 1'!$C$24),COLUMN('Loan 1'!$C$24),4)</f>
        <v>C24</v>
      </c>
      <c r="C5648" t="str">
        <f>ADDRESS(ROW('Loan 1'!$D$24),COLUMN('Loan 1'!$D$24),4)</f>
        <v>D24</v>
      </c>
      <c r="D5648" t="b" cm="1">
        <f t="array" aca="1" ref="D5648" ca="1">IF(INDIRECT("'"&amp;A5648&amp;"'!"&amp;B5648)="",FALSE,IF(TRUNC(INDIRECT("'"&amp;A5648&amp;"'!"&amp;B5648))=INDIRECT("'"&amp;A5648&amp;"'!"&amp;B5648),FALSE,TRUE))</f>
        <v>0</v>
      </c>
      <c r="E5648" t="s">
        <v>436</v>
      </c>
      <c r="F5648" t="str">
        <f>INDEX(Lists!I:I,MATCH(Validation!E5648,Lists!G:G,0))</f>
        <v>Error</v>
      </c>
      <c r="G5648" t="str">
        <f>INDEX(Lists!H:H,MATCH(Validation!E5648,Lists!G:G,0))</f>
        <v>Amount must be rounded to the nearest dollar.</v>
      </c>
      <c r="H5648" s="16" t="str">
        <f t="shared" ca="1" si="615"/>
        <v/>
      </c>
      <c r="I5648" s="16" t="str">
        <f t="shared" ca="1" si="616"/>
        <v/>
      </c>
      <c r="J5648" s="17" t="str">
        <f t="shared" ca="1" si="617"/>
        <v/>
      </c>
    </row>
    <row r="5649" spans="1:10" x14ac:dyDescent="0.25">
      <c r="A5649" t="s">
        <v>937</v>
      </c>
      <c r="B5649" t="str">
        <f>ADDRESS(ROW('Loan 1'!$C$24),COLUMN('Loan 1'!$C$24),4)</f>
        <v>C24</v>
      </c>
      <c r="C5649" t="str">
        <f>ADDRESS(ROW('Loan 1'!$D$24),COLUMN('Loan 1'!$D$24),4)</f>
        <v>D24</v>
      </c>
      <c r="D5649" t="b" cm="1">
        <f t="array" aca="1" ref="D5649" ca="1">IF(INDIRECT("'"&amp;A5649&amp;"'!"&amp;B5649)="",FALSE,IF(TRUNC(INDIRECT("'"&amp;A5649&amp;"'!"&amp;B5649))=INDIRECT("'"&amp;A5649&amp;"'!"&amp;B5649),FALSE,TRUE))</f>
        <v>0</v>
      </c>
      <c r="E5649" t="s">
        <v>436</v>
      </c>
      <c r="F5649" t="str">
        <f>INDEX(Lists!I:I,MATCH(Validation!E5649,Lists!G:G,0))</f>
        <v>Error</v>
      </c>
      <c r="G5649" t="str">
        <f>INDEX(Lists!H:H,MATCH(Validation!E5649,Lists!G:G,0))</f>
        <v>Amount must be rounded to the nearest dollar.</v>
      </c>
      <c r="H5649" s="16" t="str">
        <f t="shared" ca="1" si="615"/>
        <v/>
      </c>
      <c r="I5649" s="16" t="str">
        <f t="shared" ca="1" si="616"/>
        <v/>
      </c>
      <c r="J5649" s="17" t="str">
        <f t="shared" ca="1" si="617"/>
        <v/>
      </c>
    </row>
    <row r="5650" spans="1:10" x14ac:dyDescent="0.25">
      <c r="A5650" t="s">
        <v>938</v>
      </c>
      <c r="B5650" t="str">
        <f>ADDRESS(ROW('Loan 1'!$C$24),COLUMN('Loan 1'!$C$24),4)</f>
        <v>C24</v>
      </c>
      <c r="C5650" t="str">
        <f>ADDRESS(ROW('Loan 1'!$D$24),COLUMN('Loan 1'!$D$24),4)</f>
        <v>D24</v>
      </c>
      <c r="D5650" t="b" cm="1">
        <f t="array" aca="1" ref="D5650" ca="1">IF(INDIRECT("'"&amp;A5650&amp;"'!"&amp;B5650)="",FALSE,IF(TRUNC(INDIRECT("'"&amp;A5650&amp;"'!"&amp;B5650))=INDIRECT("'"&amp;A5650&amp;"'!"&amp;B5650),FALSE,TRUE))</f>
        <v>0</v>
      </c>
      <c r="E5650" t="s">
        <v>436</v>
      </c>
      <c r="F5650" t="str">
        <f>INDEX(Lists!I:I,MATCH(Validation!E5650,Lists!G:G,0))</f>
        <v>Error</v>
      </c>
      <c r="G5650" t="str">
        <f>INDEX(Lists!H:H,MATCH(Validation!E5650,Lists!G:G,0))</f>
        <v>Amount must be rounded to the nearest dollar.</v>
      </c>
      <c r="H5650" s="16" t="str">
        <f t="shared" ca="1" si="615"/>
        <v/>
      </c>
      <c r="I5650" s="16" t="str">
        <f t="shared" ca="1" si="616"/>
        <v/>
      </c>
      <c r="J5650" s="17" t="str">
        <f t="shared" ca="1" si="617"/>
        <v/>
      </c>
    </row>
    <row r="5651" spans="1:10" x14ac:dyDescent="0.25">
      <c r="A5651" t="s">
        <v>939</v>
      </c>
      <c r="B5651" t="str">
        <f>ADDRESS(ROW('Loan 1'!$C$24),COLUMN('Loan 1'!$C$24),4)</f>
        <v>C24</v>
      </c>
      <c r="C5651" t="str">
        <f>ADDRESS(ROW('Loan 1'!$D$24),COLUMN('Loan 1'!$D$24),4)</f>
        <v>D24</v>
      </c>
      <c r="D5651" t="b" cm="1">
        <f t="array" aca="1" ref="D5651" ca="1">IF(INDIRECT("'"&amp;A5651&amp;"'!"&amp;B5651)="",FALSE,IF(TRUNC(INDIRECT("'"&amp;A5651&amp;"'!"&amp;B5651))=INDIRECT("'"&amp;A5651&amp;"'!"&amp;B5651),FALSE,TRUE))</f>
        <v>0</v>
      </c>
      <c r="E5651" t="s">
        <v>436</v>
      </c>
      <c r="F5651" t="str">
        <f>INDEX(Lists!I:I,MATCH(Validation!E5651,Lists!G:G,0))</f>
        <v>Error</v>
      </c>
      <c r="G5651" t="str">
        <f>INDEX(Lists!H:H,MATCH(Validation!E5651,Lists!G:G,0))</f>
        <v>Amount must be rounded to the nearest dollar.</v>
      </c>
      <c r="H5651" s="16" t="str">
        <f t="shared" ca="1" si="615"/>
        <v/>
      </c>
      <c r="I5651" s="16" t="str">
        <f t="shared" ca="1" si="616"/>
        <v/>
      </c>
      <c r="J5651" s="17" t="str">
        <f t="shared" ca="1" si="617"/>
        <v/>
      </c>
    </row>
    <row r="5652" spans="1:10" x14ac:dyDescent="0.25">
      <c r="A5652" t="s">
        <v>940</v>
      </c>
      <c r="B5652" t="str">
        <f>ADDRESS(ROW('Loan 1'!$C$24),COLUMN('Loan 1'!$C$24),4)</f>
        <v>C24</v>
      </c>
      <c r="C5652" t="str">
        <f>ADDRESS(ROW('Loan 1'!$D$24),COLUMN('Loan 1'!$D$24),4)</f>
        <v>D24</v>
      </c>
      <c r="D5652" t="b" cm="1">
        <f t="array" aca="1" ref="D5652" ca="1">IF(INDIRECT("'"&amp;A5652&amp;"'!"&amp;B5652)="",FALSE,IF(TRUNC(INDIRECT("'"&amp;A5652&amp;"'!"&amp;B5652))=INDIRECT("'"&amp;A5652&amp;"'!"&amp;B5652),FALSE,TRUE))</f>
        <v>0</v>
      </c>
      <c r="E5652" t="s">
        <v>436</v>
      </c>
      <c r="F5652" t="str">
        <f>INDEX(Lists!I:I,MATCH(Validation!E5652,Lists!G:G,0))</f>
        <v>Error</v>
      </c>
      <c r="G5652" t="str">
        <f>INDEX(Lists!H:H,MATCH(Validation!E5652,Lists!G:G,0))</f>
        <v>Amount must be rounded to the nearest dollar.</v>
      </c>
      <c r="H5652" s="16" t="str">
        <f t="shared" ca="1" si="615"/>
        <v/>
      </c>
      <c r="I5652" s="16" t="str">
        <f t="shared" ca="1" si="616"/>
        <v/>
      </c>
      <c r="J5652" s="17" t="str">
        <f t="shared" ca="1" si="617"/>
        <v/>
      </c>
    </row>
    <row r="5653" spans="1:10" x14ac:dyDescent="0.25">
      <c r="A5653" t="s">
        <v>941</v>
      </c>
      <c r="B5653" t="str">
        <f>ADDRESS(ROW('Loan 1'!$C$24),COLUMN('Loan 1'!$C$24),4)</f>
        <v>C24</v>
      </c>
      <c r="C5653" t="str">
        <f>ADDRESS(ROW('Loan 1'!$D$24),COLUMN('Loan 1'!$D$24),4)</f>
        <v>D24</v>
      </c>
      <c r="D5653" t="b" cm="1">
        <f t="array" aca="1" ref="D5653" ca="1">IF(INDIRECT("'"&amp;A5653&amp;"'!"&amp;B5653)="",FALSE,IF(TRUNC(INDIRECT("'"&amp;A5653&amp;"'!"&amp;B5653))=INDIRECT("'"&amp;A5653&amp;"'!"&amp;B5653),FALSE,TRUE))</f>
        <v>0</v>
      </c>
      <c r="E5653" t="s">
        <v>436</v>
      </c>
      <c r="F5653" t="str">
        <f>INDEX(Lists!I:I,MATCH(Validation!E5653,Lists!G:G,0))</f>
        <v>Error</v>
      </c>
      <c r="G5653" t="str">
        <f>INDEX(Lists!H:H,MATCH(Validation!E5653,Lists!G:G,0))</f>
        <v>Amount must be rounded to the nearest dollar.</v>
      </c>
      <c r="H5653" s="16" t="str">
        <f t="shared" ca="1" si="615"/>
        <v/>
      </c>
      <c r="I5653" s="16" t="str">
        <f t="shared" ca="1" si="616"/>
        <v/>
      </c>
      <c r="J5653" s="17" t="str">
        <f t="shared" ca="1" si="617"/>
        <v/>
      </c>
    </row>
    <row r="5654" spans="1:10" x14ac:dyDescent="0.25">
      <c r="A5654" t="s">
        <v>942</v>
      </c>
      <c r="B5654" t="str">
        <f>ADDRESS(ROW('Loan 1'!$C$24),COLUMN('Loan 1'!$C$24),4)</f>
        <v>C24</v>
      </c>
      <c r="C5654" t="str">
        <f>ADDRESS(ROW('Loan 1'!$D$24),COLUMN('Loan 1'!$D$24),4)</f>
        <v>D24</v>
      </c>
      <c r="D5654" t="b" cm="1">
        <f t="array" aca="1" ref="D5654" ca="1">IF(INDIRECT("'"&amp;A5654&amp;"'!"&amp;B5654)="",FALSE,IF(TRUNC(INDIRECT("'"&amp;A5654&amp;"'!"&amp;B5654))=INDIRECT("'"&amp;A5654&amp;"'!"&amp;B5654),FALSE,TRUE))</f>
        <v>0</v>
      </c>
      <c r="E5654" t="s">
        <v>436</v>
      </c>
      <c r="F5654" t="str">
        <f>INDEX(Lists!I:I,MATCH(Validation!E5654,Lists!G:G,0))</f>
        <v>Error</v>
      </c>
      <c r="G5654" t="str">
        <f>INDEX(Lists!H:H,MATCH(Validation!E5654,Lists!G:G,0))</f>
        <v>Amount must be rounded to the nearest dollar.</v>
      </c>
      <c r="H5654" s="16" t="str">
        <f t="shared" ca="1" si="615"/>
        <v/>
      </c>
      <c r="I5654" s="16" t="str">
        <f t="shared" ca="1" si="616"/>
        <v/>
      </c>
      <c r="J5654" s="17" t="str">
        <f t="shared" ca="1" si="617"/>
        <v/>
      </c>
    </row>
    <row r="5655" spans="1:10" x14ac:dyDescent="0.25">
      <c r="A5655" t="s">
        <v>943</v>
      </c>
      <c r="B5655" t="str">
        <f>ADDRESS(ROW('Loan 1'!$C$24),COLUMN('Loan 1'!$C$24),4)</f>
        <v>C24</v>
      </c>
      <c r="C5655" t="str">
        <f>ADDRESS(ROW('Loan 1'!$D$24),COLUMN('Loan 1'!$D$24),4)</f>
        <v>D24</v>
      </c>
      <c r="D5655" t="b" cm="1">
        <f t="array" aca="1" ref="D5655" ca="1">IF(INDIRECT("'"&amp;A5655&amp;"'!"&amp;B5655)="",FALSE,IF(TRUNC(INDIRECT("'"&amp;A5655&amp;"'!"&amp;B5655))=INDIRECT("'"&amp;A5655&amp;"'!"&amp;B5655),FALSE,TRUE))</f>
        <v>0</v>
      </c>
      <c r="E5655" t="s">
        <v>436</v>
      </c>
      <c r="F5655" t="str">
        <f>INDEX(Lists!I:I,MATCH(Validation!E5655,Lists!G:G,0))</f>
        <v>Error</v>
      </c>
      <c r="G5655" t="str">
        <f>INDEX(Lists!H:H,MATCH(Validation!E5655,Lists!G:G,0))</f>
        <v>Amount must be rounded to the nearest dollar.</v>
      </c>
      <c r="H5655" s="16" t="str">
        <f t="shared" ca="1" si="615"/>
        <v/>
      </c>
      <c r="I5655" s="16" t="str">
        <f t="shared" ca="1" si="616"/>
        <v/>
      </c>
      <c r="J5655" s="17" t="str">
        <f t="shared" ca="1" si="617"/>
        <v/>
      </c>
    </row>
    <row r="5656" spans="1:10" x14ac:dyDescent="0.25">
      <c r="A5656" t="s">
        <v>944</v>
      </c>
      <c r="B5656" t="str">
        <f>ADDRESS(ROW('Loan 1'!$C$24),COLUMN('Loan 1'!$C$24),4)</f>
        <v>C24</v>
      </c>
      <c r="C5656" t="str">
        <f>ADDRESS(ROW('Loan 1'!$D$24),COLUMN('Loan 1'!$D$24),4)</f>
        <v>D24</v>
      </c>
      <c r="D5656" t="b" cm="1">
        <f t="array" aca="1" ref="D5656" ca="1">IF(INDIRECT("'"&amp;A5656&amp;"'!"&amp;B5656)="",FALSE,IF(TRUNC(INDIRECT("'"&amp;A5656&amp;"'!"&amp;B5656))=INDIRECT("'"&amp;A5656&amp;"'!"&amp;B5656),FALSE,TRUE))</f>
        <v>0</v>
      </c>
      <c r="E5656" t="s">
        <v>436</v>
      </c>
      <c r="F5656" t="str">
        <f>INDEX(Lists!I:I,MATCH(Validation!E5656,Lists!G:G,0))</f>
        <v>Error</v>
      </c>
      <c r="G5656" t="str">
        <f>INDEX(Lists!H:H,MATCH(Validation!E5656,Lists!G:G,0))</f>
        <v>Amount must be rounded to the nearest dollar.</v>
      </c>
      <c r="H5656" s="16" t="str">
        <f t="shared" ca="1" si="615"/>
        <v/>
      </c>
      <c r="I5656" s="16" t="str">
        <f t="shared" ca="1" si="616"/>
        <v/>
      </c>
      <c r="J5656" s="17" t="str">
        <f t="shared" ca="1" si="617"/>
        <v/>
      </c>
    </row>
    <row r="5657" spans="1:10" x14ac:dyDescent="0.25">
      <c r="A5657" t="s">
        <v>945</v>
      </c>
      <c r="B5657" t="str">
        <f>ADDRESS(ROW('Loan 1'!$C$24),COLUMN('Loan 1'!$C$24),4)</f>
        <v>C24</v>
      </c>
      <c r="C5657" t="str">
        <f>ADDRESS(ROW('Loan 1'!$D$24),COLUMN('Loan 1'!$D$24),4)</f>
        <v>D24</v>
      </c>
      <c r="D5657" t="b" cm="1">
        <f t="array" aca="1" ref="D5657" ca="1">IF(INDIRECT("'"&amp;A5657&amp;"'!"&amp;B5657)="",FALSE,IF(TRUNC(INDIRECT("'"&amp;A5657&amp;"'!"&amp;B5657))=INDIRECT("'"&amp;A5657&amp;"'!"&amp;B5657),FALSE,TRUE))</f>
        <v>0</v>
      </c>
      <c r="E5657" t="s">
        <v>436</v>
      </c>
      <c r="F5657" t="str">
        <f>INDEX(Lists!I:I,MATCH(Validation!E5657,Lists!G:G,0))</f>
        <v>Error</v>
      </c>
      <c r="G5657" t="str">
        <f>INDEX(Lists!H:H,MATCH(Validation!E5657,Lists!G:G,0))</f>
        <v>Amount must be rounded to the nearest dollar.</v>
      </c>
      <c r="H5657" s="16" t="str">
        <f t="shared" ca="1" si="615"/>
        <v/>
      </c>
      <c r="I5657" s="16" t="str">
        <f t="shared" ca="1" si="616"/>
        <v/>
      </c>
      <c r="J5657" s="17" t="str">
        <f t="shared" ca="1" si="617"/>
        <v/>
      </c>
    </row>
    <row r="5658" spans="1:10" x14ac:dyDescent="0.25">
      <c r="A5658" t="s">
        <v>205</v>
      </c>
      <c r="B5658" t="str">
        <f>ADDRESS(ROW('Loan 1'!$B$25),COLUMN('Loan 1'!$B$25),4)</f>
        <v>B25</v>
      </c>
      <c r="C5658" t="str">
        <f>ADDRESS(ROW('Loan 1'!$D$25),COLUMN('Loan 1'!$D$25),4)</f>
        <v>D25</v>
      </c>
      <c r="D5658" t="b" cm="1">
        <f t="array" aca="1" ref="D5658" ca="1">IF(INDIRECT("'"&amp;A5658&amp;"'!"&amp;B5658)="",FALSE,IF(NOT(ISNUMBER(INDIRECT("'"&amp;A5658&amp;"'!"&amp;B5658))),TRUE,FALSE))</f>
        <v>0</v>
      </c>
      <c r="E5658" t="s">
        <v>435</v>
      </c>
      <c r="F5658" t="str">
        <f>INDEX(Lists!I:I,MATCH(Validation!E5658,Lists!G:G,0))</f>
        <v>Error</v>
      </c>
      <c r="G5658" t="str">
        <f>INDEX(Lists!H:H,MATCH(Validation!E5658,Lists!G:G,0))</f>
        <v>Enter an amount only. Do not enter text or spaces.</v>
      </c>
      <c r="H5658" s="16" t="str">
        <f ca="1">IFERROR(IF(OR(NOT(D5658),F5658&lt;&gt;"Error"),"",A5658&amp;CELL("address",INDIRECT(B5658))),"")</f>
        <v/>
      </c>
      <c r="I5658" s="16" t="str">
        <f ca="1">IFERROR(IF(NOT(D5658),"",A5658&amp;CELL("address",INDIRECT(C5658))),"")</f>
        <v/>
      </c>
      <c r="J5658" s="17" t="str">
        <f ca="1">IFERROR(IF(NOT(D5658),"",A5658),"")</f>
        <v/>
      </c>
    </row>
    <row r="5659" spans="1:10" x14ac:dyDescent="0.25">
      <c r="A5659" t="s">
        <v>932</v>
      </c>
      <c r="B5659" t="str">
        <f>ADDRESS(ROW('Loan 1'!$B$25),COLUMN('Loan 1'!$B$25),4)</f>
        <v>B25</v>
      </c>
      <c r="C5659" t="str">
        <f>ADDRESS(ROW('Loan 1'!$D$25),COLUMN('Loan 1'!$D$25),4)</f>
        <v>D25</v>
      </c>
      <c r="D5659" t="b" cm="1">
        <f t="array" aca="1" ref="D5659" ca="1">IF(INDIRECT("'"&amp;A5659&amp;"'!"&amp;B5659)="",FALSE,IF(NOT(ISNUMBER(INDIRECT("'"&amp;A5659&amp;"'!"&amp;B5659))),TRUE,FALSE))</f>
        <v>0</v>
      </c>
      <c r="E5659" t="s">
        <v>435</v>
      </c>
      <c r="F5659" t="str">
        <f>INDEX(Lists!I:I,MATCH(Validation!E5659,Lists!G:G,0))</f>
        <v>Error</v>
      </c>
      <c r="G5659" t="str">
        <f>INDEX(Lists!H:H,MATCH(Validation!E5659,Lists!G:G,0))</f>
        <v>Enter an amount only. Do not enter text or spaces.</v>
      </c>
      <c r="H5659" s="16" t="str">
        <f t="shared" ref="H5659:H5672" ca="1" si="618">IFERROR(IF(OR(NOT(D5659),F5659&lt;&gt;"Error"),"",A5659&amp;CELL("address",INDIRECT(B5659))),"")</f>
        <v/>
      </c>
      <c r="I5659" s="16" t="str">
        <f t="shared" ref="I5659:I5672" ca="1" si="619">IFERROR(IF(NOT(D5659),"",A5659&amp;CELL("address",INDIRECT(C5659))),"")</f>
        <v/>
      </c>
      <c r="J5659" s="17" t="str">
        <f t="shared" ref="J5659:J5672" ca="1" si="620">IFERROR(IF(NOT(D5659),"",A5659),"")</f>
        <v/>
      </c>
    </row>
    <row r="5660" spans="1:10" x14ac:dyDescent="0.25">
      <c r="A5660" t="s">
        <v>933</v>
      </c>
      <c r="B5660" t="str">
        <f>ADDRESS(ROW('Loan 1'!$B$25),COLUMN('Loan 1'!$B$25),4)</f>
        <v>B25</v>
      </c>
      <c r="C5660" t="str">
        <f>ADDRESS(ROW('Loan 1'!$D$25),COLUMN('Loan 1'!$D$25),4)</f>
        <v>D25</v>
      </c>
      <c r="D5660" t="b" cm="1">
        <f t="array" aca="1" ref="D5660" ca="1">IF(INDIRECT("'"&amp;A5660&amp;"'!"&amp;B5660)="",FALSE,IF(NOT(ISNUMBER(INDIRECT("'"&amp;A5660&amp;"'!"&amp;B5660))),TRUE,FALSE))</f>
        <v>0</v>
      </c>
      <c r="E5660" t="s">
        <v>435</v>
      </c>
      <c r="F5660" t="str">
        <f>INDEX(Lists!I:I,MATCH(Validation!E5660,Lists!G:G,0))</f>
        <v>Error</v>
      </c>
      <c r="G5660" t="str">
        <f>INDEX(Lists!H:H,MATCH(Validation!E5660,Lists!G:G,0))</f>
        <v>Enter an amount only. Do not enter text or spaces.</v>
      </c>
      <c r="H5660" s="16" t="str">
        <f t="shared" ca="1" si="618"/>
        <v/>
      </c>
      <c r="I5660" s="16" t="str">
        <f t="shared" ca="1" si="619"/>
        <v/>
      </c>
      <c r="J5660" s="17" t="str">
        <f t="shared" ca="1" si="620"/>
        <v/>
      </c>
    </row>
    <row r="5661" spans="1:10" x14ac:dyDescent="0.25">
      <c r="A5661" t="s">
        <v>934</v>
      </c>
      <c r="B5661" t="str">
        <f>ADDRESS(ROW('Loan 1'!$B$25),COLUMN('Loan 1'!$B$25),4)</f>
        <v>B25</v>
      </c>
      <c r="C5661" t="str">
        <f>ADDRESS(ROW('Loan 1'!$D$25),COLUMN('Loan 1'!$D$25),4)</f>
        <v>D25</v>
      </c>
      <c r="D5661" t="b" cm="1">
        <f t="array" aca="1" ref="D5661" ca="1">IF(INDIRECT("'"&amp;A5661&amp;"'!"&amp;B5661)="",FALSE,IF(NOT(ISNUMBER(INDIRECT("'"&amp;A5661&amp;"'!"&amp;B5661))),TRUE,FALSE))</f>
        <v>0</v>
      </c>
      <c r="E5661" t="s">
        <v>435</v>
      </c>
      <c r="F5661" t="str">
        <f>INDEX(Lists!I:I,MATCH(Validation!E5661,Lists!G:G,0))</f>
        <v>Error</v>
      </c>
      <c r="G5661" t="str">
        <f>INDEX(Lists!H:H,MATCH(Validation!E5661,Lists!G:G,0))</f>
        <v>Enter an amount only. Do not enter text or spaces.</v>
      </c>
      <c r="H5661" s="16" t="str">
        <f t="shared" ca="1" si="618"/>
        <v/>
      </c>
      <c r="I5661" s="16" t="str">
        <f t="shared" ca="1" si="619"/>
        <v/>
      </c>
      <c r="J5661" s="17" t="str">
        <f t="shared" ca="1" si="620"/>
        <v/>
      </c>
    </row>
    <row r="5662" spans="1:10" x14ac:dyDescent="0.25">
      <c r="A5662" t="s">
        <v>935</v>
      </c>
      <c r="B5662" t="str">
        <f>ADDRESS(ROW('Loan 1'!$B$25),COLUMN('Loan 1'!$B$25),4)</f>
        <v>B25</v>
      </c>
      <c r="C5662" t="str">
        <f>ADDRESS(ROW('Loan 1'!$D$25),COLUMN('Loan 1'!$D$25),4)</f>
        <v>D25</v>
      </c>
      <c r="D5662" t="b" cm="1">
        <f t="array" aca="1" ref="D5662" ca="1">IF(INDIRECT("'"&amp;A5662&amp;"'!"&amp;B5662)="",FALSE,IF(NOT(ISNUMBER(INDIRECT("'"&amp;A5662&amp;"'!"&amp;B5662))),TRUE,FALSE))</f>
        <v>0</v>
      </c>
      <c r="E5662" t="s">
        <v>435</v>
      </c>
      <c r="F5662" t="str">
        <f>INDEX(Lists!I:I,MATCH(Validation!E5662,Lists!G:G,0))</f>
        <v>Error</v>
      </c>
      <c r="G5662" t="str">
        <f>INDEX(Lists!H:H,MATCH(Validation!E5662,Lists!G:G,0))</f>
        <v>Enter an amount only. Do not enter text or spaces.</v>
      </c>
      <c r="H5662" s="16" t="str">
        <f t="shared" ca="1" si="618"/>
        <v/>
      </c>
      <c r="I5662" s="16" t="str">
        <f t="shared" ca="1" si="619"/>
        <v/>
      </c>
      <c r="J5662" s="17" t="str">
        <f t="shared" ca="1" si="620"/>
        <v/>
      </c>
    </row>
    <row r="5663" spans="1:10" x14ac:dyDescent="0.25">
      <c r="A5663" t="s">
        <v>936</v>
      </c>
      <c r="B5663" t="str">
        <f>ADDRESS(ROW('Loan 1'!$B$25),COLUMN('Loan 1'!$B$25),4)</f>
        <v>B25</v>
      </c>
      <c r="C5663" t="str">
        <f>ADDRESS(ROW('Loan 1'!$D$25),COLUMN('Loan 1'!$D$25),4)</f>
        <v>D25</v>
      </c>
      <c r="D5663" t="b" cm="1">
        <f t="array" aca="1" ref="D5663" ca="1">IF(INDIRECT("'"&amp;A5663&amp;"'!"&amp;B5663)="",FALSE,IF(NOT(ISNUMBER(INDIRECT("'"&amp;A5663&amp;"'!"&amp;B5663))),TRUE,FALSE))</f>
        <v>0</v>
      </c>
      <c r="E5663" t="s">
        <v>435</v>
      </c>
      <c r="F5663" t="str">
        <f>INDEX(Lists!I:I,MATCH(Validation!E5663,Lists!G:G,0))</f>
        <v>Error</v>
      </c>
      <c r="G5663" t="str">
        <f>INDEX(Lists!H:H,MATCH(Validation!E5663,Lists!G:G,0))</f>
        <v>Enter an amount only. Do not enter text or spaces.</v>
      </c>
      <c r="H5663" s="16" t="str">
        <f t="shared" ca="1" si="618"/>
        <v/>
      </c>
      <c r="I5663" s="16" t="str">
        <f t="shared" ca="1" si="619"/>
        <v/>
      </c>
      <c r="J5663" s="17" t="str">
        <f t="shared" ca="1" si="620"/>
        <v/>
      </c>
    </row>
    <row r="5664" spans="1:10" x14ac:dyDescent="0.25">
      <c r="A5664" t="s">
        <v>937</v>
      </c>
      <c r="B5664" t="str">
        <f>ADDRESS(ROW('Loan 1'!$B$25),COLUMN('Loan 1'!$B$25),4)</f>
        <v>B25</v>
      </c>
      <c r="C5664" t="str">
        <f>ADDRESS(ROW('Loan 1'!$D$25),COLUMN('Loan 1'!$D$25),4)</f>
        <v>D25</v>
      </c>
      <c r="D5664" t="b" cm="1">
        <f t="array" aca="1" ref="D5664" ca="1">IF(INDIRECT("'"&amp;A5664&amp;"'!"&amp;B5664)="",FALSE,IF(NOT(ISNUMBER(INDIRECT("'"&amp;A5664&amp;"'!"&amp;B5664))),TRUE,FALSE))</f>
        <v>0</v>
      </c>
      <c r="E5664" t="s">
        <v>435</v>
      </c>
      <c r="F5664" t="str">
        <f>INDEX(Lists!I:I,MATCH(Validation!E5664,Lists!G:G,0))</f>
        <v>Error</v>
      </c>
      <c r="G5664" t="str">
        <f>INDEX(Lists!H:H,MATCH(Validation!E5664,Lists!G:G,0))</f>
        <v>Enter an amount only. Do not enter text or spaces.</v>
      </c>
      <c r="H5664" s="16" t="str">
        <f t="shared" ca="1" si="618"/>
        <v/>
      </c>
      <c r="I5664" s="16" t="str">
        <f t="shared" ca="1" si="619"/>
        <v/>
      </c>
      <c r="J5664" s="17" t="str">
        <f t="shared" ca="1" si="620"/>
        <v/>
      </c>
    </row>
    <row r="5665" spans="1:10" x14ac:dyDescent="0.25">
      <c r="A5665" t="s">
        <v>938</v>
      </c>
      <c r="B5665" t="str">
        <f>ADDRESS(ROW('Loan 1'!$B$25),COLUMN('Loan 1'!$B$25),4)</f>
        <v>B25</v>
      </c>
      <c r="C5665" t="str">
        <f>ADDRESS(ROW('Loan 1'!$D$25),COLUMN('Loan 1'!$D$25),4)</f>
        <v>D25</v>
      </c>
      <c r="D5665" t="b" cm="1">
        <f t="array" aca="1" ref="D5665" ca="1">IF(INDIRECT("'"&amp;A5665&amp;"'!"&amp;B5665)="",FALSE,IF(NOT(ISNUMBER(INDIRECT("'"&amp;A5665&amp;"'!"&amp;B5665))),TRUE,FALSE))</f>
        <v>0</v>
      </c>
      <c r="E5665" t="s">
        <v>435</v>
      </c>
      <c r="F5665" t="str">
        <f>INDEX(Lists!I:I,MATCH(Validation!E5665,Lists!G:G,0))</f>
        <v>Error</v>
      </c>
      <c r="G5665" t="str">
        <f>INDEX(Lists!H:H,MATCH(Validation!E5665,Lists!G:G,0))</f>
        <v>Enter an amount only. Do not enter text or spaces.</v>
      </c>
      <c r="H5665" s="16" t="str">
        <f t="shared" ca="1" si="618"/>
        <v/>
      </c>
      <c r="I5665" s="16" t="str">
        <f t="shared" ca="1" si="619"/>
        <v/>
      </c>
      <c r="J5665" s="17" t="str">
        <f t="shared" ca="1" si="620"/>
        <v/>
      </c>
    </row>
    <row r="5666" spans="1:10" x14ac:dyDescent="0.25">
      <c r="A5666" t="s">
        <v>939</v>
      </c>
      <c r="B5666" t="str">
        <f>ADDRESS(ROW('Loan 1'!$B$25),COLUMN('Loan 1'!$B$25),4)</f>
        <v>B25</v>
      </c>
      <c r="C5666" t="str">
        <f>ADDRESS(ROW('Loan 1'!$D$25),COLUMN('Loan 1'!$D$25),4)</f>
        <v>D25</v>
      </c>
      <c r="D5666" t="b" cm="1">
        <f t="array" aca="1" ref="D5666" ca="1">IF(INDIRECT("'"&amp;A5666&amp;"'!"&amp;B5666)="",FALSE,IF(NOT(ISNUMBER(INDIRECT("'"&amp;A5666&amp;"'!"&amp;B5666))),TRUE,FALSE))</f>
        <v>0</v>
      </c>
      <c r="E5666" t="s">
        <v>435</v>
      </c>
      <c r="F5666" t="str">
        <f>INDEX(Lists!I:I,MATCH(Validation!E5666,Lists!G:G,0))</f>
        <v>Error</v>
      </c>
      <c r="G5666" t="str">
        <f>INDEX(Lists!H:H,MATCH(Validation!E5666,Lists!G:G,0))</f>
        <v>Enter an amount only. Do not enter text or spaces.</v>
      </c>
      <c r="H5666" s="16" t="str">
        <f t="shared" ca="1" si="618"/>
        <v/>
      </c>
      <c r="I5666" s="16" t="str">
        <f t="shared" ca="1" si="619"/>
        <v/>
      </c>
      <c r="J5666" s="17" t="str">
        <f t="shared" ca="1" si="620"/>
        <v/>
      </c>
    </row>
    <row r="5667" spans="1:10" x14ac:dyDescent="0.25">
      <c r="A5667" t="s">
        <v>940</v>
      </c>
      <c r="B5667" t="str">
        <f>ADDRESS(ROW('Loan 1'!$B$25),COLUMN('Loan 1'!$B$25),4)</f>
        <v>B25</v>
      </c>
      <c r="C5667" t="str">
        <f>ADDRESS(ROW('Loan 1'!$D$25),COLUMN('Loan 1'!$D$25),4)</f>
        <v>D25</v>
      </c>
      <c r="D5667" t="b" cm="1">
        <f t="array" aca="1" ref="D5667" ca="1">IF(INDIRECT("'"&amp;A5667&amp;"'!"&amp;B5667)="",FALSE,IF(NOT(ISNUMBER(INDIRECT("'"&amp;A5667&amp;"'!"&amp;B5667))),TRUE,FALSE))</f>
        <v>0</v>
      </c>
      <c r="E5667" t="s">
        <v>435</v>
      </c>
      <c r="F5667" t="str">
        <f>INDEX(Lists!I:I,MATCH(Validation!E5667,Lists!G:G,0))</f>
        <v>Error</v>
      </c>
      <c r="G5667" t="str">
        <f>INDEX(Lists!H:H,MATCH(Validation!E5667,Lists!G:G,0))</f>
        <v>Enter an amount only. Do not enter text or spaces.</v>
      </c>
      <c r="H5667" s="16" t="str">
        <f t="shared" ca="1" si="618"/>
        <v/>
      </c>
      <c r="I5667" s="16" t="str">
        <f t="shared" ca="1" si="619"/>
        <v/>
      </c>
      <c r="J5667" s="17" t="str">
        <f t="shared" ca="1" si="620"/>
        <v/>
      </c>
    </row>
    <row r="5668" spans="1:10" x14ac:dyDescent="0.25">
      <c r="A5668" t="s">
        <v>941</v>
      </c>
      <c r="B5668" t="str">
        <f>ADDRESS(ROW('Loan 1'!$B$25),COLUMN('Loan 1'!$B$25),4)</f>
        <v>B25</v>
      </c>
      <c r="C5668" t="str">
        <f>ADDRESS(ROW('Loan 1'!$D$25),COLUMN('Loan 1'!$D$25),4)</f>
        <v>D25</v>
      </c>
      <c r="D5668" t="b" cm="1">
        <f t="array" aca="1" ref="D5668" ca="1">IF(INDIRECT("'"&amp;A5668&amp;"'!"&amp;B5668)="",FALSE,IF(NOT(ISNUMBER(INDIRECT("'"&amp;A5668&amp;"'!"&amp;B5668))),TRUE,FALSE))</f>
        <v>0</v>
      </c>
      <c r="E5668" t="s">
        <v>435</v>
      </c>
      <c r="F5668" t="str">
        <f>INDEX(Lists!I:I,MATCH(Validation!E5668,Lists!G:G,0))</f>
        <v>Error</v>
      </c>
      <c r="G5668" t="str">
        <f>INDEX(Lists!H:H,MATCH(Validation!E5668,Lists!G:G,0))</f>
        <v>Enter an amount only. Do not enter text or spaces.</v>
      </c>
      <c r="H5668" s="16" t="str">
        <f t="shared" ca="1" si="618"/>
        <v/>
      </c>
      <c r="I5668" s="16" t="str">
        <f t="shared" ca="1" si="619"/>
        <v/>
      </c>
      <c r="J5668" s="17" t="str">
        <f t="shared" ca="1" si="620"/>
        <v/>
      </c>
    </row>
    <row r="5669" spans="1:10" x14ac:dyDescent="0.25">
      <c r="A5669" t="s">
        <v>942</v>
      </c>
      <c r="B5669" t="str">
        <f>ADDRESS(ROW('Loan 1'!$B$25),COLUMN('Loan 1'!$B$25),4)</f>
        <v>B25</v>
      </c>
      <c r="C5669" t="str">
        <f>ADDRESS(ROW('Loan 1'!$D$25),COLUMN('Loan 1'!$D$25),4)</f>
        <v>D25</v>
      </c>
      <c r="D5669" t="b" cm="1">
        <f t="array" aca="1" ref="D5669" ca="1">IF(INDIRECT("'"&amp;A5669&amp;"'!"&amp;B5669)="",FALSE,IF(NOT(ISNUMBER(INDIRECT("'"&amp;A5669&amp;"'!"&amp;B5669))),TRUE,FALSE))</f>
        <v>0</v>
      </c>
      <c r="E5669" t="s">
        <v>435</v>
      </c>
      <c r="F5669" t="str">
        <f>INDEX(Lists!I:I,MATCH(Validation!E5669,Lists!G:G,0))</f>
        <v>Error</v>
      </c>
      <c r="G5669" t="str">
        <f>INDEX(Lists!H:H,MATCH(Validation!E5669,Lists!G:G,0))</f>
        <v>Enter an amount only. Do not enter text or spaces.</v>
      </c>
      <c r="H5669" s="16" t="str">
        <f t="shared" ca="1" si="618"/>
        <v/>
      </c>
      <c r="I5669" s="16" t="str">
        <f t="shared" ca="1" si="619"/>
        <v/>
      </c>
      <c r="J5669" s="17" t="str">
        <f t="shared" ca="1" si="620"/>
        <v/>
      </c>
    </row>
    <row r="5670" spans="1:10" x14ac:dyDescent="0.25">
      <c r="A5670" t="s">
        <v>943</v>
      </c>
      <c r="B5670" t="str">
        <f>ADDRESS(ROW('Loan 1'!$B$25),COLUMN('Loan 1'!$B$25),4)</f>
        <v>B25</v>
      </c>
      <c r="C5670" t="str">
        <f>ADDRESS(ROW('Loan 1'!$D$25),COLUMN('Loan 1'!$D$25),4)</f>
        <v>D25</v>
      </c>
      <c r="D5670" t="b" cm="1">
        <f t="array" aca="1" ref="D5670" ca="1">IF(INDIRECT("'"&amp;A5670&amp;"'!"&amp;B5670)="",FALSE,IF(NOT(ISNUMBER(INDIRECT("'"&amp;A5670&amp;"'!"&amp;B5670))),TRUE,FALSE))</f>
        <v>0</v>
      </c>
      <c r="E5670" t="s">
        <v>435</v>
      </c>
      <c r="F5670" t="str">
        <f>INDEX(Lists!I:I,MATCH(Validation!E5670,Lists!G:G,0))</f>
        <v>Error</v>
      </c>
      <c r="G5670" t="str">
        <f>INDEX(Lists!H:H,MATCH(Validation!E5670,Lists!G:G,0))</f>
        <v>Enter an amount only. Do not enter text or spaces.</v>
      </c>
      <c r="H5670" s="16" t="str">
        <f t="shared" ca="1" si="618"/>
        <v/>
      </c>
      <c r="I5670" s="16" t="str">
        <f t="shared" ca="1" si="619"/>
        <v/>
      </c>
      <c r="J5670" s="17" t="str">
        <f t="shared" ca="1" si="620"/>
        <v/>
      </c>
    </row>
    <row r="5671" spans="1:10" x14ac:dyDescent="0.25">
      <c r="A5671" t="s">
        <v>944</v>
      </c>
      <c r="B5671" t="str">
        <f>ADDRESS(ROW('Loan 1'!$B$25),COLUMN('Loan 1'!$B$25),4)</f>
        <v>B25</v>
      </c>
      <c r="C5671" t="str">
        <f>ADDRESS(ROW('Loan 1'!$D$25),COLUMN('Loan 1'!$D$25),4)</f>
        <v>D25</v>
      </c>
      <c r="D5671" t="b" cm="1">
        <f t="array" aca="1" ref="D5671" ca="1">IF(INDIRECT("'"&amp;A5671&amp;"'!"&amp;B5671)="",FALSE,IF(NOT(ISNUMBER(INDIRECT("'"&amp;A5671&amp;"'!"&amp;B5671))),TRUE,FALSE))</f>
        <v>0</v>
      </c>
      <c r="E5671" t="s">
        <v>435</v>
      </c>
      <c r="F5671" t="str">
        <f>INDEX(Lists!I:I,MATCH(Validation!E5671,Lists!G:G,0))</f>
        <v>Error</v>
      </c>
      <c r="G5671" t="str">
        <f>INDEX(Lists!H:H,MATCH(Validation!E5671,Lists!G:G,0))</f>
        <v>Enter an amount only. Do not enter text or spaces.</v>
      </c>
      <c r="H5671" s="16" t="str">
        <f t="shared" ca="1" si="618"/>
        <v/>
      </c>
      <c r="I5671" s="16" t="str">
        <f t="shared" ca="1" si="619"/>
        <v/>
      </c>
      <c r="J5671" s="17" t="str">
        <f t="shared" ca="1" si="620"/>
        <v/>
      </c>
    </row>
    <row r="5672" spans="1:10" x14ac:dyDescent="0.25">
      <c r="A5672" t="s">
        <v>945</v>
      </c>
      <c r="B5672" t="str">
        <f>ADDRESS(ROW('Loan 1'!$B$25),COLUMN('Loan 1'!$B$25),4)</f>
        <v>B25</v>
      </c>
      <c r="C5672" t="str">
        <f>ADDRESS(ROW('Loan 1'!$D$25),COLUMN('Loan 1'!$D$25),4)</f>
        <v>D25</v>
      </c>
      <c r="D5672" t="b" cm="1">
        <f t="array" aca="1" ref="D5672" ca="1">IF(INDIRECT("'"&amp;A5672&amp;"'!"&amp;B5672)="",FALSE,IF(NOT(ISNUMBER(INDIRECT("'"&amp;A5672&amp;"'!"&amp;B5672))),TRUE,FALSE))</f>
        <v>0</v>
      </c>
      <c r="E5672" t="s">
        <v>435</v>
      </c>
      <c r="F5672" t="str">
        <f>INDEX(Lists!I:I,MATCH(Validation!E5672,Lists!G:G,0))</f>
        <v>Error</v>
      </c>
      <c r="G5672" t="str">
        <f>INDEX(Lists!H:H,MATCH(Validation!E5672,Lists!G:G,0))</f>
        <v>Enter an amount only. Do not enter text or spaces.</v>
      </c>
      <c r="H5672" s="16" t="str">
        <f t="shared" ca="1" si="618"/>
        <v/>
      </c>
      <c r="I5672" s="16" t="str">
        <f t="shared" ca="1" si="619"/>
        <v/>
      </c>
      <c r="J5672" s="17" t="str">
        <f t="shared" ca="1" si="620"/>
        <v/>
      </c>
    </row>
    <row r="5673" spans="1:10" x14ac:dyDescent="0.25">
      <c r="A5673" t="s">
        <v>205</v>
      </c>
      <c r="B5673" t="str">
        <f>ADDRESS(ROW('Loan 1'!$B$25),COLUMN('Loan 1'!$B$25),4)</f>
        <v>B25</v>
      </c>
      <c r="C5673" t="str">
        <f>ADDRESS(ROW('Loan 1'!$D$25),COLUMN('Loan 1'!$D$25),4)</f>
        <v>D25</v>
      </c>
      <c r="D5673" t="b" cm="1">
        <f t="array" aca="1" ref="D5673" ca="1">IF(INDIRECT("'"&amp;A5673&amp;"'!"&amp;B5673)="",FALSE,IF(INDIRECT("'"&amp;A5673&amp;"'!"&amp;B5673)&lt;0,TRUE,FALSE))</f>
        <v>0</v>
      </c>
      <c r="E5673" t="s">
        <v>434</v>
      </c>
      <c r="F5673" t="str">
        <f>INDEX(Lists!I:I,MATCH(Validation!E5673,Lists!G:G,0))</f>
        <v>Error</v>
      </c>
      <c r="G5673" t="str">
        <f>INDEX(Lists!H:H,MATCH(Validation!E5673,Lists!G:G,0))</f>
        <v>Amount may not be negative. Enter an amount greater than or equal to zero.</v>
      </c>
      <c r="H5673" s="16" t="str">
        <f ca="1">IFERROR(IF(OR(NOT(D5673),F5673&lt;&gt;"Error"),"",A5673&amp;CELL("address",INDIRECT(B5673))),"")</f>
        <v/>
      </c>
      <c r="I5673" s="16" t="str">
        <f ca="1">IFERROR(IF(NOT(D5673),"",A5673&amp;CELL("address",INDIRECT(C5673))),"")</f>
        <v/>
      </c>
      <c r="J5673" s="17" t="str">
        <f ca="1">IFERROR(IF(NOT(D5673),"",A5673),"")</f>
        <v/>
      </c>
    </row>
    <row r="5674" spans="1:10" x14ac:dyDescent="0.25">
      <c r="A5674" t="s">
        <v>932</v>
      </c>
      <c r="B5674" t="str">
        <f>ADDRESS(ROW('Loan 1'!$B$25),COLUMN('Loan 1'!$B$25),4)</f>
        <v>B25</v>
      </c>
      <c r="C5674" t="str">
        <f>ADDRESS(ROW('Loan 1'!$D$25),COLUMN('Loan 1'!$D$25),4)</f>
        <v>D25</v>
      </c>
      <c r="D5674" t="b" cm="1">
        <f t="array" aca="1" ref="D5674" ca="1">IF(INDIRECT("'"&amp;A5674&amp;"'!"&amp;B5674)="",FALSE,IF(INDIRECT("'"&amp;A5674&amp;"'!"&amp;B5674)&lt;0,TRUE,FALSE))</f>
        <v>0</v>
      </c>
      <c r="E5674" t="s">
        <v>434</v>
      </c>
      <c r="F5674" t="str">
        <f>INDEX(Lists!I:I,MATCH(Validation!E5674,Lists!G:G,0))</f>
        <v>Error</v>
      </c>
      <c r="G5674" t="str">
        <f>INDEX(Lists!H:H,MATCH(Validation!E5674,Lists!G:G,0))</f>
        <v>Amount may not be negative. Enter an amount greater than or equal to zero.</v>
      </c>
      <c r="H5674" s="16" t="str">
        <f t="shared" ref="H5674:H5702" ca="1" si="621">IFERROR(IF(OR(NOT(D5674),F5674&lt;&gt;"Error"),"",A5674&amp;CELL("address",INDIRECT(B5674))),"")</f>
        <v/>
      </c>
      <c r="I5674" s="16" t="str">
        <f t="shared" ref="I5674:I5702" ca="1" si="622">IFERROR(IF(NOT(D5674),"",A5674&amp;CELL("address",INDIRECT(C5674))),"")</f>
        <v/>
      </c>
      <c r="J5674" s="17" t="str">
        <f t="shared" ref="J5674:J5702" ca="1" si="623">IFERROR(IF(NOT(D5674),"",A5674),"")</f>
        <v/>
      </c>
    </row>
    <row r="5675" spans="1:10" x14ac:dyDescent="0.25">
      <c r="A5675" t="s">
        <v>933</v>
      </c>
      <c r="B5675" t="str">
        <f>ADDRESS(ROW('Loan 1'!$B$25),COLUMN('Loan 1'!$B$25),4)</f>
        <v>B25</v>
      </c>
      <c r="C5675" t="str">
        <f>ADDRESS(ROW('Loan 1'!$D$25),COLUMN('Loan 1'!$D$25),4)</f>
        <v>D25</v>
      </c>
      <c r="D5675" t="b" cm="1">
        <f t="array" aca="1" ref="D5675" ca="1">IF(INDIRECT("'"&amp;A5675&amp;"'!"&amp;B5675)="",FALSE,IF(INDIRECT("'"&amp;A5675&amp;"'!"&amp;B5675)&lt;0,TRUE,FALSE))</f>
        <v>0</v>
      </c>
      <c r="E5675" t="s">
        <v>434</v>
      </c>
      <c r="F5675" t="str">
        <f>INDEX(Lists!I:I,MATCH(Validation!E5675,Lists!G:G,0))</f>
        <v>Error</v>
      </c>
      <c r="G5675" t="str">
        <f>INDEX(Lists!H:H,MATCH(Validation!E5675,Lists!G:G,0))</f>
        <v>Amount may not be negative. Enter an amount greater than or equal to zero.</v>
      </c>
      <c r="H5675" s="16" t="str">
        <f t="shared" ca="1" si="621"/>
        <v/>
      </c>
      <c r="I5675" s="16" t="str">
        <f t="shared" ca="1" si="622"/>
        <v/>
      </c>
      <c r="J5675" s="17" t="str">
        <f t="shared" ca="1" si="623"/>
        <v/>
      </c>
    </row>
    <row r="5676" spans="1:10" x14ac:dyDescent="0.25">
      <c r="A5676" t="s">
        <v>934</v>
      </c>
      <c r="B5676" t="str">
        <f>ADDRESS(ROW('Loan 1'!$B$25),COLUMN('Loan 1'!$B$25),4)</f>
        <v>B25</v>
      </c>
      <c r="C5676" t="str">
        <f>ADDRESS(ROW('Loan 1'!$D$25),COLUMN('Loan 1'!$D$25),4)</f>
        <v>D25</v>
      </c>
      <c r="D5676" t="b" cm="1">
        <f t="array" aca="1" ref="D5676" ca="1">IF(INDIRECT("'"&amp;A5676&amp;"'!"&amp;B5676)="",FALSE,IF(INDIRECT("'"&amp;A5676&amp;"'!"&amp;B5676)&lt;0,TRUE,FALSE))</f>
        <v>0</v>
      </c>
      <c r="E5676" t="s">
        <v>434</v>
      </c>
      <c r="F5676" t="str">
        <f>INDEX(Lists!I:I,MATCH(Validation!E5676,Lists!G:G,0))</f>
        <v>Error</v>
      </c>
      <c r="G5676" t="str">
        <f>INDEX(Lists!H:H,MATCH(Validation!E5676,Lists!G:G,0))</f>
        <v>Amount may not be negative. Enter an amount greater than or equal to zero.</v>
      </c>
      <c r="H5676" s="16" t="str">
        <f t="shared" ca="1" si="621"/>
        <v/>
      </c>
      <c r="I5676" s="16" t="str">
        <f t="shared" ca="1" si="622"/>
        <v/>
      </c>
      <c r="J5676" s="17" t="str">
        <f t="shared" ca="1" si="623"/>
        <v/>
      </c>
    </row>
    <row r="5677" spans="1:10" x14ac:dyDescent="0.25">
      <c r="A5677" t="s">
        <v>935</v>
      </c>
      <c r="B5677" t="str">
        <f>ADDRESS(ROW('Loan 1'!$B$25),COLUMN('Loan 1'!$B$25),4)</f>
        <v>B25</v>
      </c>
      <c r="C5677" t="str">
        <f>ADDRESS(ROW('Loan 1'!$D$25),COLUMN('Loan 1'!$D$25),4)</f>
        <v>D25</v>
      </c>
      <c r="D5677" t="b" cm="1">
        <f t="array" aca="1" ref="D5677" ca="1">IF(INDIRECT("'"&amp;A5677&amp;"'!"&amp;B5677)="",FALSE,IF(INDIRECT("'"&amp;A5677&amp;"'!"&amp;B5677)&lt;0,TRUE,FALSE))</f>
        <v>0</v>
      </c>
      <c r="E5677" t="s">
        <v>434</v>
      </c>
      <c r="F5677" t="str">
        <f>INDEX(Lists!I:I,MATCH(Validation!E5677,Lists!G:G,0))</f>
        <v>Error</v>
      </c>
      <c r="G5677" t="str">
        <f>INDEX(Lists!H:H,MATCH(Validation!E5677,Lists!G:G,0))</f>
        <v>Amount may not be negative. Enter an amount greater than or equal to zero.</v>
      </c>
      <c r="H5677" s="16" t="str">
        <f t="shared" ca="1" si="621"/>
        <v/>
      </c>
      <c r="I5677" s="16" t="str">
        <f t="shared" ca="1" si="622"/>
        <v/>
      </c>
      <c r="J5677" s="17" t="str">
        <f t="shared" ca="1" si="623"/>
        <v/>
      </c>
    </row>
    <row r="5678" spans="1:10" x14ac:dyDescent="0.25">
      <c r="A5678" t="s">
        <v>936</v>
      </c>
      <c r="B5678" t="str">
        <f>ADDRESS(ROW('Loan 1'!$B$25),COLUMN('Loan 1'!$B$25),4)</f>
        <v>B25</v>
      </c>
      <c r="C5678" t="str">
        <f>ADDRESS(ROW('Loan 1'!$D$25),COLUMN('Loan 1'!$D$25),4)</f>
        <v>D25</v>
      </c>
      <c r="D5678" t="b" cm="1">
        <f t="array" aca="1" ref="D5678" ca="1">IF(INDIRECT("'"&amp;A5678&amp;"'!"&amp;B5678)="",FALSE,IF(INDIRECT("'"&amp;A5678&amp;"'!"&amp;B5678)&lt;0,TRUE,FALSE))</f>
        <v>0</v>
      </c>
      <c r="E5678" t="s">
        <v>434</v>
      </c>
      <c r="F5678" t="str">
        <f>INDEX(Lists!I:I,MATCH(Validation!E5678,Lists!G:G,0))</f>
        <v>Error</v>
      </c>
      <c r="G5678" t="str">
        <f>INDEX(Lists!H:H,MATCH(Validation!E5678,Lists!G:G,0))</f>
        <v>Amount may not be negative. Enter an amount greater than or equal to zero.</v>
      </c>
      <c r="H5678" s="16" t="str">
        <f t="shared" ca="1" si="621"/>
        <v/>
      </c>
      <c r="I5678" s="16" t="str">
        <f t="shared" ca="1" si="622"/>
        <v/>
      </c>
      <c r="J5678" s="17" t="str">
        <f t="shared" ca="1" si="623"/>
        <v/>
      </c>
    </row>
    <row r="5679" spans="1:10" x14ac:dyDescent="0.25">
      <c r="A5679" t="s">
        <v>937</v>
      </c>
      <c r="B5679" t="str">
        <f>ADDRESS(ROW('Loan 1'!$B$25),COLUMN('Loan 1'!$B$25),4)</f>
        <v>B25</v>
      </c>
      <c r="C5679" t="str">
        <f>ADDRESS(ROW('Loan 1'!$D$25),COLUMN('Loan 1'!$D$25),4)</f>
        <v>D25</v>
      </c>
      <c r="D5679" t="b" cm="1">
        <f t="array" aca="1" ref="D5679" ca="1">IF(INDIRECT("'"&amp;A5679&amp;"'!"&amp;B5679)="",FALSE,IF(INDIRECT("'"&amp;A5679&amp;"'!"&amp;B5679)&lt;0,TRUE,FALSE))</f>
        <v>0</v>
      </c>
      <c r="E5679" t="s">
        <v>434</v>
      </c>
      <c r="F5679" t="str">
        <f>INDEX(Lists!I:I,MATCH(Validation!E5679,Lists!G:G,0))</f>
        <v>Error</v>
      </c>
      <c r="G5679" t="str">
        <f>INDEX(Lists!H:H,MATCH(Validation!E5679,Lists!G:G,0))</f>
        <v>Amount may not be negative. Enter an amount greater than or equal to zero.</v>
      </c>
      <c r="H5679" s="16" t="str">
        <f t="shared" ca="1" si="621"/>
        <v/>
      </c>
      <c r="I5679" s="16" t="str">
        <f t="shared" ca="1" si="622"/>
        <v/>
      </c>
      <c r="J5679" s="17" t="str">
        <f t="shared" ca="1" si="623"/>
        <v/>
      </c>
    </row>
    <row r="5680" spans="1:10" x14ac:dyDescent="0.25">
      <c r="A5680" t="s">
        <v>938</v>
      </c>
      <c r="B5680" t="str">
        <f>ADDRESS(ROW('Loan 1'!$B$25),COLUMN('Loan 1'!$B$25),4)</f>
        <v>B25</v>
      </c>
      <c r="C5680" t="str">
        <f>ADDRESS(ROW('Loan 1'!$D$25),COLUMN('Loan 1'!$D$25),4)</f>
        <v>D25</v>
      </c>
      <c r="D5680" t="b" cm="1">
        <f t="array" aca="1" ref="D5680" ca="1">IF(INDIRECT("'"&amp;A5680&amp;"'!"&amp;B5680)="",FALSE,IF(INDIRECT("'"&amp;A5680&amp;"'!"&amp;B5680)&lt;0,TRUE,FALSE))</f>
        <v>0</v>
      </c>
      <c r="E5680" t="s">
        <v>434</v>
      </c>
      <c r="F5680" t="str">
        <f>INDEX(Lists!I:I,MATCH(Validation!E5680,Lists!G:G,0))</f>
        <v>Error</v>
      </c>
      <c r="G5680" t="str">
        <f>INDEX(Lists!H:H,MATCH(Validation!E5680,Lists!G:G,0))</f>
        <v>Amount may not be negative. Enter an amount greater than or equal to zero.</v>
      </c>
      <c r="H5680" s="16" t="str">
        <f t="shared" ca="1" si="621"/>
        <v/>
      </c>
      <c r="I5680" s="16" t="str">
        <f t="shared" ca="1" si="622"/>
        <v/>
      </c>
      <c r="J5680" s="17" t="str">
        <f t="shared" ca="1" si="623"/>
        <v/>
      </c>
    </row>
    <row r="5681" spans="1:10" x14ac:dyDescent="0.25">
      <c r="A5681" t="s">
        <v>939</v>
      </c>
      <c r="B5681" t="str">
        <f>ADDRESS(ROW('Loan 1'!$B$25),COLUMN('Loan 1'!$B$25),4)</f>
        <v>B25</v>
      </c>
      <c r="C5681" t="str">
        <f>ADDRESS(ROW('Loan 1'!$D$25),COLUMN('Loan 1'!$D$25),4)</f>
        <v>D25</v>
      </c>
      <c r="D5681" t="b" cm="1">
        <f t="array" aca="1" ref="D5681" ca="1">IF(INDIRECT("'"&amp;A5681&amp;"'!"&amp;B5681)="",FALSE,IF(INDIRECT("'"&amp;A5681&amp;"'!"&amp;B5681)&lt;0,TRUE,FALSE))</f>
        <v>0</v>
      </c>
      <c r="E5681" t="s">
        <v>434</v>
      </c>
      <c r="F5681" t="str">
        <f>INDEX(Lists!I:I,MATCH(Validation!E5681,Lists!G:G,0))</f>
        <v>Error</v>
      </c>
      <c r="G5681" t="str">
        <f>INDEX(Lists!H:H,MATCH(Validation!E5681,Lists!G:G,0))</f>
        <v>Amount may not be negative. Enter an amount greater than or equal to zero.</v>
      </c>
      <c r="H5681" s="16" t="str">
        <f t="shared" ca="1" si="621"/>
        <v/>
      </c>
      <c r="I5681" s="16" t="str">
        <f t="shared" ca="1" si="622"/>
        <v/>
      </c>
      <c r="J5681" s="17" t="str">
        <f t="shared" ca="1" si="623"/>
        <v/>
      </c>
    </row>
    <row r="5682" spans="1:10" x14ac:dyDescent="0.25">
      <c r="A5682" t="s">
        <v>940</v>
      </c>
      <c r="B5682" t="str">
        <f>ADDRESS(ROW('Loan 1'!$B$25),COLUMN('Loan 1'!$B$25),4)</f>
        <v>B25</v>
      </c>
      <c r="C5682" t="str">
        <f>ADDRESS(ROW('Loan 1'!$D$25),COLUMN('Loan 1'!$D$25),4)</f>
        <v>D25</v>
      </c>
      <c r="D5682" t="b" cm="1">
        <f t="array" aca="1" ref="D5682" ca="1">IF(INDIRECT("'"&amp;A5682&amp;"'!"&amp;B5682)="",FALSE,IF(INDIRECT("'"&amp;A5682&amp;"'!"&amp;B5682)&lt;0,TRUE,FALSE))</f>
        <v>0</v>
      </c>
      <c r="E5682" t="s">
        <v>434</v>
      </c>
      <c r="F5682" t="str">
        <f>INDEX(Lists!I:I,MATCH(Validation!E5682,Lists!G:G,0))</f>
        <v>Error</v>
      </c>
      <c r="G5682" t="str">
        <f>INDEX(Lists!H:H,MATCH(Validation!E5682,Lists!G:G,0))</f>
        <v>Amount may not be negative. Enter an amount greater than or equal to zero.</v>
      </c>
      <c r="H5682" s="16" t="str">
        <f t="shared" ca="1" si="621"/>
        <v/>
      </c>
      <c r="I5682" s="16" t="str">
        <f t="shared" ca="1" si="622"/>
        <v/>
      </c>
      <c r="J5682" s="17" t="str">
        <f t="shared" ca="1" si="623"/>
        <v/>
      </c>
    </row>
    <row r="5683" spans="1:10" x14ac:dyDescent="0.25">
      <c r="A5683" t="s">
        <v>941</v>
      </c>
      <c r="B5683" t="str">
        <f>ADDRESS(ROW('Loan 1'!$B$25),COLUMN('Loan 1'!$B$25),4)</f>
        <v>B25</v>
      </c>
      <c r="C5683" t="str">
        <f>ADDRESS(ROW('Loan 1'!$D$25),COLUMN('Loan 1'!$D$25),4)</f>
        <v>D25</v>
      </c>
      <c r="D5683" t="b" cm="1">
        <f t="array" aca="1" ref="D5683" ca="1">IF(INDIRECT("'"&amp;A5683&amp;"'!"&amp;B5683)="",FALSE,IF(INDIRECT("'"&amp;A5683&amp;"'!"&amp;B5683)&lt;0,TRUE,FALSE))</f>
        <v>0</v>
      </c>
      <c r="E5683" t="s">
        <v>434</v>
      </c>
      <c r="F5683" t="str">
        <f>INDEX(Lists!I:I,MATCH(Validation!E5683,Lists!G:G,0))</f>
        <v>Error</v>
      </c>
      <c r="G5683" t="str">
        <f>INDEX(Lists!H:H,MATCH(Validation!E5683,Lists!G:G,0))</f>
        <v>Amount may not be negative. Enter an amount greater than or equal to zero.</v>
      </c>
      <c r="H5683" s="16" t="str">
        <f t="shared" ca="1" si="621"/>
        <v/>
      </c>
      <c r="I5683" s="16" t="str">
        <f t="shared" ca="1" si="622"/>
        <v/>
      </c>
      <c r="J5683" s="17" t="str">
        <f t="shared" ca="1" si="623"/>
        <v/>
      </c>
    </row>
    <row r="5684" spans="1:10" x14ac:dyDescent="0.25">
      <c r="A5684" t="s">
        <v>942</v>
      </c>
      <c r="B5684" t="str">
        <f>ADDRESS(ROW('Loan 1'!$B$25),COLUMN('Loan 1'!$B$25),4)</f>
        <v>B25</v>
      </c>
      <c r="C5684" t="str">
        <f>ADDRESS(ROW('Loan 1'!$D$25),COLUMN('Loan 1'!$D$25),4)</f>
        <v>D25</v>
      </c>
      <c r="D5684" t="b" cm="1">
        <f t="array" aca="1" ref="D5684" ca="1">IF(INDIRECT("'"&amp;A5684&amp;"'!"&amp;B5684)="",FALSE,IF(INDIRECT("'"&amp;A5684&amp;"'!"&amp;B5684)&lt;0,TRUE,FALSE))</f>
        <v>0</v>
      </c>
      <c r="E5684" t="s">
        <v>434</v>
      </c>
      <c r="F5684" t="str">
        <f>INDEX(Lists!I:I,MATCH(Validation!E5684,Lists!G:G,0))</f>
        <v>Error</v>
      </c>
      <c r="G5684" t="str">
        <f>INDEX(Lists!H:H,MATCH(Validation!E5684,Lists!G:G,0))</f>
        <v>Amount may not be negative. Enter an amount greater than or equal to zero.</v>
      </c>
      <c r="H5684" s="16" t="str">
        <f t="shared" ca="1" si="621"/>
        <v/>
      </c>
      <c r="I5684" s="16" t="str">
        <f t="shared" ca="1" si="622"/>
        <v/>
      </c>
      <c r="J5684" s="17" t="str">
        <f t="shared" ca="1" si="623"/>
        <v/>
      </c>
    </row>
    <row r="5685" spans="1:10" x14ac:dyDescent="0.25">
      <c r="A5685" t="s">
        <v>943</v>
      </c>
      <c r="B5685" t="str">
        <f>ADDRESS(ROW('Loan 1'!$B$25),COLUMN('Loan 1'!$B$25),4)</f>
        <v>B25</v>
      </c>
      <c r="C5685" t="str">
        <f>ADDRESS(ROW('Loan 1'!$D$25),COLUMN('Loan 1'!$D$25),4)</f>
        <v>D25</v>
      </c>
      <c r="D5685" t="b" cm="1">
        <f t="array" aca="1" ref="D5685" ca="1">IF(INDIRECT("'"&amp;A5685&amp;"'!"&amp;B5685)="",FALSE,IF(INDIRECT("'"&amp;A5685&amp;"'!"&amp;B5685)&lt;0,TRUE,FALSE))</f>
        <v>0</v>
      </c>
      <c r="E5685" t="s">
        <v>434</v>
      </c>
      <c r="F5685" t="str">
        <f>INDEX(Lists!I:I,MATCH(Validation!E5685,Lists!G:G,0))</f>
        <v>Error</v>
      </c>
      <c r="G5685" t="str">
        <f>INDEX(Lists!H:H,MATCH(Validation!E5685,Lists!G:G,0))</f>
        <v>Amount may not be negative. Enter an amount greater than or equal to zero.</v>
      </c>
      <c r="H5685" s="16" t="str">
        <f t="shared" ca="1" si="621"/>
        <v/>
      </c>
      <c r="I5685" s="16" t="str">
        <f t="shared" ca="1" si="622"/>
        <v/>
      </c>
      <c r="J5685" s="17" t="str">
        <f t="shared" ca="1" si="623"/>
        <v/>
      </c>
    </row>
    <row r="5686" spans="1:10" x14ac:dyDescent="0.25">
      <c r="A5686" t="s">
        <v>944</v>
      </c>
      <c r="B5686" t="str">
        <f>ADDRESS(ROW('Loan 1'!$B$25),COLUMN('Loan 1'!$B$25),4)</f>
        <v>B25</v>
      </c>
      <c r="C5686" t="str">
        <f>ADDRESS(ROW('Loan 1'!$D$25),COLUMN('Loan 1'!$D$25),4)</f>
        <v>D25</v>
      </c>
      <c r="D5686" t="b" cm="1">
        <f t="array" aca="1" ref="D5686" ca="1">IF(INDIRECT("'"&amp;A5686&amp;"'!"&amp;B5686)="",FALSE,IF(INDIRECT("'"&amp;A5686&amp;"'!"&amp;B5686)&lt;0,TRUE,FALSE))</f>
        <v>0</v>
      </c>
      <c r="E5686" t="s">
        <v>434</v>
      </c>
      <c r="F5686" t="str">
        <f>INDEX(Lists!I:I,MATCH(Validation!E5686,Lists!G:G,0))</f>
        <v>Error</v>
      </c>
      <c r="G5686" t="str">
        <f>INDEX(Lists!H:H,MATCH(Validation!E5686,Lists!G:G,0))</f>
        <v>Amount may not be negative. Enter an amount greater than or equal to zero.</v>
      </c>
      <c r="H5686" s="16" t="str">
        <f t="shared" ca="1" si="621"/>
        <v/>
      </c>
      <c r="I5686" s="16" t="str">
        <f t="shared" ca="1" si="622"/>
        <v/>
      </c>
      <c r="J5686" s="17" t="str">
        <f t="shared" ca="1" si="623"/>
        <v/>
      </c>
    </row>
    <row r="5687" spans="1:10" x14ac:dyDescent="0.25">
      <c r="A5687" t="s">
        <v>945</v>
      </c>
      <c r="B5687" t="str">
        <f>ADDRESS(ROW('Loan 1'!$B$25),COLUMN('Loan 1'!$B$25),4)</f>
        <v>B25</v>
      </c>
      <c r="C5687" t="str">
        <f>ADDRESS(ROW('Loan 1'!$D$25),COLUMN('Loan 1'!$D$25),4)</f>
        <v>D25</v>
      </c>
      <c r="D5687" t="b" cm="1">
        <f t="array" aca="1" ref="D5687" ca="1">IF(INDIRECT("'"&amp;A5687&amp;"'!"&amp;B5687)="",FALSE,IF(INDIRECT("'"&amp;A5687&amp;"'!"&amp;B5687)&lt;0,TRUE,FALSE))</f>
        <v>0</v>
      </c>
      <c r="E5687" t="s">
        <v>434</v>
      </c>
      <c r="F5687" t="str">
        <f>INDEX(Lists!I:I,MATCH(Validation!E5687,Lists!G:G,0))</f>
        <v>Error</v>
      </c>
      <c r="G5687" t="str">
        <f>INDEX(Lists!H:H,MATCH(Validation!E5687,Lists!G:G,0))</f>
        <v>Amount may not be negative. Enter an amount greater than or equal to zero.</v>
      </c>
      <c r="H5687" s="16" t="str">
        <f t="shared" ca="1" si="621"/>
        <v/>
      </c>
      <c r="I5687" s="16" t="str">
        <f t="shared" ca="1" si="622"/>
        <v/>
      </c>
      <c r="J5687" s="17" t="str">
        <f t="shared" ca="1" si="623"/>
        <v/>
      </c>
    </row>
    <row r="5688" spans="1:10" x14ac:dyDescent="0.25">
      <c r="A5688" t="s">
        <v>205</v>
      </c>
      <c r="B5688" t="str">
        <f>ADDRESS(ROW('Loan 1'!$B$25),COLUMN('Loan 1'!$B$25),4)</f>
        <v>B25</v>
      </c>
      <c r="C5688" t="str">
        <f>ADDRESS(ROW('Loan 1'!$D$25),COLUMN('Loan 1'!$D$25),4)</f>
        <v>D25</v>
      </c>
      <c r="D5688" t="b" cm="1">
        <f t="array" aca="1" ref="D5688" ca="1">IF(INDIRECT("'"&amp;A5688&amp;"'!"&amp;B5688)="",FALSE,IF(TRUNC(INDIRECT("'"&amp;A5688&amp;"'!"&amp;B5688))=INDIRECT("'"&amp;A5688&amp;"'!"&amp;B5688),FALSE,TRUE))</f>
        <v>0</v>
      </c>
      <c r="E5688" t="s">
        <v>436</v>
      </c>
      <c r="F5688" t="str">
        <f>INDEX(Lists!I:I,MATCH(Validation!E5688,Lists!G:G,0))</f>
        <v>Error</v>
      </c>
      <c r="G5688" t="str">
        <f>INDEX(Lists!H:H,MATCH(Validation!E5688,Lists!G:G,0))</f>
        <v>Amount must be rounded to the nearest dollar.</v>
      </c>
      <c r="H5688" s="16" t="str">
        <f t="shared" ca="1" si="621"/>
        <v/>
      </c>
      <c r="I5688" s="16" t="str">
        <f t="shared" ca="1" si="622"/>
        <v/>
      </c>
      <c r="J5688" s="17" t="str">
        <f t="shared" ca="1" si="623"/>
        <v/>
      </c>
    </row>
    <row r="5689" spans="1:10" x14ac:dyDescent="0.25">
      <c r="A5689" t="s">
        <v>932</v>
      </c>
      <c r="B5689" t="str">
        <f>ADDRESS(ROW('Loan 1'!$B$25),COLUMN('Loan 1'!$B$25),4)</f>
        <v>B25</v>
      </c>
      <c r="C5689" t="str">
        <f>ADDRESS(ROW('Loan 1'!$D$25),COLUMN('Loan 1'!$D$25),4)</f>
        <v>D25</v>
      </c>
      <c r="D5689" t="b" cm="1">
        <f t="array" aca="1" ref="D5689" ca="1">IF(INDIRECT("'"&amp;A5689&amp;"'!"&amp;B5689)="",FALSE,IF(TRUNC(INDIRECT("'"&amp;A5689&amp;"'!"&amp;B5689))=INDIRECT("'"&amp;A5689&amp;"'!"&amp;B5689),FALSE,TRUE))</f>
        <v>0</v>
      </c>
      <c r="E5689" t="s">
        <v>436</v>
      </c>
      <c r="F5689" t="str">
        <f>INDEX(Lists!I:I,MATCH(Validation!E5689,Lists!G:G,0))</f>
        <v>Error</v>
      </c>
      <c r="G5689" t="str">
        <f>INDEX(Lists!H:H,MATCH(Validation!E5689,Lists!G:G,0))</f>
        <v>Amount must be rounded to the nearest dollar.</v>
      </c>
      <c r="H5689" s="16" t="str">
        <f t="shared" ca="1" si="621"/>
        <v/>
      </c>
      <c r="I5689" s="16" t="str">
        <f t="shared" ca="1" si="622"/>
        <v/>
      </c>
      <c r="J5689" s="17" t="str">
        <f t="shared" ca="1" si="623"/>
        <v/>
      </c>
    </row>
    <row r="5690" spans="1:10" x14ac:dyDescent="0.25">
      <c r="A5690" t="s">
        <v>933</v>
      </c>
      <c r="B5690" t="str">
        <f>ADDRESS(ROW('Loan 1'!$B$25),COLUMN('Loan 1'!$B$25),4)</f>
        <v>B25</v>
      </c>
      <c r="C5690" t="str">
        <f>ADDRESS(ROW('Loan 1'!$D$25),COLUMN('Loan 1'!$D$25),4)</f>
        <v>D25</v>
      </c>
      <c r="D5690" t="b" cm="1">
        <f t="array" aca="1" ref="D5690" ca="1">IF(INDIRECT("'"&amp;A5690&amp;"'!"&amp;B5690)="",FALSE,IF(TRUNC(INDIRECT("'"&amp;A5690&amp;"'!"&amp;B5690))=INDIRECT("'"&amp;A5690&amp;"'!"&amp;B5690),FALSE,TRUE))</f>
        <v>0</v>
      </c>
      <c r="E5690" t="s">
        <v>436</v>
      </c>
      <c r="F5690" t="str">
        <f>INDEX(Lists!I:I,MATCH(Validation!E5690,Lists!G:G,0))</f>
        <v>Error</v>
      </c>
      <c r="G5690" t="str">
        <f>INDEX(Lists!H:H,MATCH(Validation!E5690,Lists!G:G,0))</f>
        <v>Amount must be rounded to the nearest dollar.</v>
      </c>
      <c r="H5690" s="16" t="str">
        <f t="shared" ca="1" si="621"/>
        <v/>
      </c>
      <c r="I5690" s="16" t="str">
        <f t="shared" ca="1" si="622"/>
        <v/>
      </c>
      <c r="J5690" s="17" t="str">
        <f t="shared" ca="1" si="623"/>
        <v/>
      </c>
    </row>
    <row r="5691" spans="1:10" x14ac:dyDescent="0.25">
      <c r="A5691" t="s">
        <v>934</v>
      </c>
      <c r="B5691" t="str">
        <f>ADDRESS(ROW('Loan 1'!$B$25),COLUMN('Loan 1'!$B$25),4)</f>
        <v>B25</v>
      </c>
      <c r="C5691" t="str">
        <f>ADDRESS(ROW('Loan 1'!$D$25),COLUMN('Loan 1'!$D$25),4)</f>
        <v>D25</v>
      </c>
      <c r="D5691" t="b" cm="1">
        <f t="array" aca="1" ref="D5691" ca="1">IF(INDIRECT("'"&amp;A5691&amp;"'!"&amp;B5691)="",FALSE,IF(TRUNC(INDIRECT("'"&amp;A5691&amp;"'!"&amp;B5691))=INDIRECT("'"&amp;A5691&amp;"'!"&amp;B5691),FALSE,TRUE))</f>
        <v>0</v>
      </c>
      <c r="E5691" t="s">
        <v>436</v>
      </c>
      <c r="F5691" t="str">
        <f>INDEX(Lists!I:I,MATCH(Validation!E5691,Lists!G:G,0))</f>
        <v>Error</v>
      </c>
      <c r="G5691" t="str">
        <f>INDEX(Lists!H:H,MATCH(Validation!E5691,Lists!G:G,0))</f>
        <v>Amount must be rounded to the nearest dollar.</v>
      </c>
      <c r="H5691" s="16" t="str">
        <f t="shared" ca="1" si="621"/>
        <v/>
      </c>
      <c r="I5691" s="16" t="str">
        <f t="shared" ca="1" si="622"/>
        <v/>
      </c>
      <c r="J5691" s="17" t="str">
        <f t="shared" ca="1" si="623"/>
        <v/>
      </c>
    </row>
    <row r="5692" spans="1:10" x14ac:dyDescent="0.25">
      <c r="A5692" t="s">
        <v>935</v>
      </c>
      <c r="B5692" t="str">
        <f>ADDRESS(ROW('Loan 1'!$B$25),COLUMN('Loan 1'!$B$25),4)</f>
        <v>B25</v>
      </c>
      <c r="C5692" t="str">
        <f>ADDRESS(ROW('Loan 1'!$D$25),COLUMN('Loan 1'!$D$25),4)</f>
        <v>D25</v>
      </c>
      <c r="D5692" t="b" cm="1">
        <f t="array" aca="1" ref="D5692" ca="1">IF(INDIRECT("'"&amp;A5692&amp;"'!"&amp;B5692)="",FALSE,IF(TRUNC(INDIRECT("'"&amp;A5692&amp;"'!"&amp;B5692))=INDIRECT("'"&amp;A5692&amp;"'!"&amp;B5692),FALSE,TRUE))</f>
        <v>0</v>
      </c>
      <c r="E5692" t="s">
        <v>436</v>
      </c>
      <c r="F5692" t="str">
        <f>INDEX(Lists!I:I,MATCH(Validation!E5692,Lists!G:G,0))</f>
        <v>Error</v>
      </c>
      <c r="G5692" t="str">
        <f>INDEX(Lists!H:H,MATCH(Validation!E5692,Lists!G:G,0))</f>
        <v>Amount must be rounded to the nearest dollar.</v>
      </c>
      <c r="H5692" s="16" t="str">
        <f t="shared" ca="1" si="621"/>
        <v/>
      </c>
      <c r="I5692" s="16" t="str">
        <f t="shared" ca="1" si="622"/>
        <v/>
      </c>
      <c r="J5692" s="17" t="str">
        <f t="shared" ca="1" si="623"/>
        <v/>
      </c>
    </row>
    <row r="5693" spans="1:10" x14ac:dyDescent="0.25">
      <c r="A5693" t="s">
        <v>936</v>
      </c>
      <c r="B5693" t="str">
        <f>ADDRESS(ROW('Loan 1'!$B$25),COLUMN('Loan 1'!$B$25),4)</f>
        <v>B25</v>
      </c>
      <c r="C5693" t="str">
        <f>ADDRESS(ROW('Loan 1'!$D$25),COLUMN('Loan 1'!$D$25),4)</f>
        <v>D25</v>
      </c>
      <c r="D5693" t="b" cm="1">
        <f t="array" aca="1" ref="D5693" ca="1">IF(INDIRECT("'"&amp;A5693&amp;"'!"&amp;B5693)="",FALSE,IF(TRUNC(INDIRECT("'"&amp;A5693&amp;"'!"&amp;B5693))=INDIRECT("'"&amp;A5693&amp;"'!"&amp;B5693),FALSE,TRUE))</f>
        <v>0</v>
      </c>
      <c r="E5693" t="s">
        <v>436</v>
      </c>
      <c r="F5693" t="str">
        <f>INDEX(Lists!I:I,MATCH(Validation!E5693,Lists!G:G,0))</f>
        <v>Error</v>
      </c>
      <c r="G5693" t="str">
        <f>INDEX(Lists!H:H,MATCH(Validation!E5693,Lists!G:G,0))</f>
        <v>Amount must be rounded to the nearest dollar.</v>
      </c>
      <c r="H5693" s="16" t="str">
        <f t="shared" ca="1" si="621"/>
        <v/>
      </c>
      <c r="I5693" s="16" t="str">
        <f t="shared" ca="1" si="622"/>
        <v/>
      </c>
      <c r="J5693" s="17" t="str">
        <f t="shared" ca="1" si="623"/>
        <v/>
      </c>
    </row>
    <row r="5694" spans="1:10" x14ac:dyDescent="0.25">
      <c r="A5694" t="s">
        <v>937</v>
      </c>
      <c r="B5694" t="str">
        <f>ADDRESS(ROW('Loan 1'!$B$25),COLUMN('Loan 1'!$B$25),4)</f>
        <v>B25</v>
      </c>
      <c r="C5694" t="str">
        <f>ADDRESS(ROW('Loan 1'!$D$25),COLUMN('Loan 1'!$D$25),4)</f>
        <v>D25</v>
      </c>
      <c r="D5694" t="b" cm="1">
        <f t="array" aca="1" ref="D5694" ca="1">IF(INDIRECT("'"&amp;A5694&amp;"'!"&amp;B5694)="",FALSE,IF(TRUNC(INDIRECT("'"&amp;A5694&amp;"'!"&amp;B5694))=INDIRECT("'"&amp;A5694&amp;"'!"&amp;B5694),FALSE,TRUE))</f>
        <v>0</v>
      </c>
      <c r="E5694" t="s">
        <v>436</v>
      </c>
      <c r="F5694" t="str">
        <f>INDEX(Lists!I:I,MATCH(Validation!E5694,Lists!G:G,0))</f>
        <v>Error</v>
      </c>
      <c r="G5694" t="str">
        <f>INDEX(Lists!H:H,MATCH(Validation!E5694,Lists!G:G,0))</f>
        <v>Amount must be rounded to the nearest dollar.</v>
      </c>
      <c r="H5694" s="16" t="str">
        <f t="shared" ca="1" si="621"/>
        <v/>
      </c>
      <c r="I5694" s="16" t="str">
        <f t="shared" ca="1" si="622"/>
        <v/>
      </c>
      <c r="J5694" s="17" t="str">
        <f t="shared" ca="1" si="623"/>
        <v/>
      </c>
    </row>
    <row r="5695" spans="1:10" x14ac:dyDescent="0.25">
      <c r="A5695" t="s">
        <v>938</v>
      </c>
      <c r="B5695" t="str">
        <f>ADDRESS(ROW('Loan 1'!$B$25),COLUMN('Loan 1'!$B$25),4)</f>
        <v>B25</v>
      </c>
      <c r="C5695" t="str">
        <f>ADDRESS(ROW('Loan 1'!$D$25),COLUMN('Loan 1'!$D$25),4)</f>
        <v>D25</v>
      </c>
      <c r="D5695" t="b" cm="1">
        <f t="array" aca="1" ref="D5695" ca="1">IF(INDIRECT("'"&amp;A5695&amp;"'!"&amp;B5695)="",FALSE,IF(TRUNC(INDIRECT("'"&amp;A5695&amp;"'!"&amp;B5695))=INDIRECT("'"&amp;A5695&amp;"'!"&amp;B5695),FALSE,TRUE))</f>
        <v>0</v>
      </c>
      <c r="E5695" t="s">
        <v>436</v>
      </c>
      <c r="F5695" t="str">
        <f>INDEX(Lists!I:I,MATCH(Validation!E5695,Lists!G:G,0))</f>
        <v>Error</v>
      </c>
      <c r="G5695" t="str">
        <f>INDEX(Lists!H:H,MATCH(Validation!E5695,Lists!G:G,0))</f>
        <v>Amount must be rounded to the nearest dollar.</v>
      </c>
      <c r="H5695" s="16" t="str">
        <f t="shared" ca="1" si="621"/>
        <v/>
      </c>
      <c r="I5695" s="16" t="str">
        <f t="shared" ca="1" si="622"/>
        <v/>
      </c>
      <c r="J5695" s="17" t="str">
        <f t="shared" ca="1" si="623"/>
        <v/>
      </c>
    </row>
    <row r="5696" spans="1:10" x14ac:dyDescent="0.25">
      <c r="A5696" t="s">
        <v>939</v>
      </c>
      <c r="B5696" t="str">
        <f>ADDRESS(ROW('Loan 1'!$B$25),COLUMN('Loan 1'!$B$25),4)</f>
        <v>B25</v>
      </c>
      <c r="C5696" t="str">
        <f>ADDRESS(ROW('Loan 1'!$D$25),COLUMN('Loan 1'!$D$25),4)</f>
        <v>D25</v>
      </c>
      <c r="D5696" t="b" cm="1">
        <f t="array" aca="1" ref="D5696" ca="1">IF(INDIRECT("'"&amp;A5696&amp;"'!"&amp;B5696)="",FALSE,IF(TRUNC(INDIRECT("'"&amp;A5696&amp;"'!"&amp;B5696))=INDIRECT("'"&amp;A5696&amp;"'!"&amp;B5696),FALSE,TRUE))</f>
        <v>0</v>
      </c>
      <c r="E5696" t="s">
        <v>436</v>
      </c>
      <c r="F5696" t="str">
        <f>INDEX(Lists!I:I,MATCH(Validation!E5696,Lists!G:G,0))</f>
        <v>Error</v>
      </c>
      <c r="G5696" t="str">
        <f>INDEX(Lists!H:H,MATCH(Validation!E5696,Lists!G:G,0))</f>
        <v>Amount must be rounded to the nearest dollar.</v>
      </c>
      <c r="H5696" s="16" t="str">
        <f t="shared" ca="1" si="621"/>
        <v/>
      </c>
      <c r="I5696" s="16" t="str">
        <f t="shared" ca="1" si="622"/>
        <v/>
      </c>
      <c r="J5696" s="17" t="str">
        <f t="shared" ca="1" si="623"/>
        <v/>
      </c>
    </row>
    <row r="5697" spans="1:10" x14ac:dyDescent="0.25">
      <c r="A5697" t="s">
        <v>940</v>
      </c>
      <c r="B5697" t="str">
        <f>ADDRESS(ROW('Loan 1'!$B$25),COLUMN('Loan 1'!$B$25),4)</f>
        <v>B25</v>
      </c>
      <c r="C5697" t="str">
        <f>ADDRESS(ROW('Loan 1'!$D$25),COLUMN('Loan 1'!$D$25),4)</f>
        <v>D25</v>
      </c>
      <c r="D5697" t="b" cm="1">
        <f t="array" aca="1" ref="D5697" ca="1">IF(INDIRECT("'"&amp;A5697&amp;"'!"&amp;B5697)="",FALSE,IF(TRUNC(INDIRECT("'"&amp;A5697&amp;"'!"&amp;B5697))=INDIRECT("'"&amp;A5697&amp;"'!"&amp;B5697),FALSE,TRUE))</f>
        <v>0</v>
      </c>
      <c r="E5697" t="s">
        <v>436</v>
      </c>
      <c r="F5697" t="str">
        <f>INDEX(Lists!I:I,MATCH(Validation!E5697,Lists!G:G,0))</f>
        <v>Error</v>
      </c>
      <c r="G5697" t="str">
        <f>INDEX(Lists!H:H,MATCH(Validation!E5697,Lists!G:G,0))</f>
        <v>Amount must be rounded to the nearest dollar.</v>
      </c>
      <c r="H5697" s="16" t="str">
        <f t="shared" ca="1" si="621"/>
        <v/>
      </c>
      <c r="I5697" s="16" t="str">
        <f t="shared" ca="1" si="622"/>
        <v/>
      </c>
      <c r="J5697" s="17" t="str">
        <f t="shared" ca="1" si="623"/>
        <v/>
      </c>
    </row>
    <row r="5698" spans="1:10" x14ac:dyDescent="0.25">
      <c r="A5698" t="s">
        <v>941</v>
      </c>
      <c r="B5698" t="str">
        <f>ADDRESS(ROW('Loan 1'!$B$25),COLUMN('Loan 1'!$B$25),4)</f>
        <v>B25</v>
      </c>
      <c r="C5698" t="str">
        <f>ADDRESS(ROW('Loan 1'!$D$25),COLUMN('Loan 1'!$D$25),4)</f>
        <v>D25</v>
      </c>
      <c r="D5698" t="b" cm="1">
        <f t="array" aca="1" ref="D5698" ca="1">IF(INDIRECT("'"&amp;A5698&amp;"'!"&amp;B5698)="",FALSE,IF(TRUNC(INDIRECT("'"&amp;A5698&amp;"'!"&amp;B5698))=INDIRECT("'"&amp;A5698&amp;"'!"&amp;B5698),FALSE,TRUE))</f>
        <v>0</v>
      </c>
      <c r="E5698" t="s">
        <v>436</v>
      </c>
      <c r="F5698" t="str">
        <f>INDEX(Lists!I:I,MATCH(Validation!E5698,Lists!G:G,0))</f>
        <v>Error</v>
      </c>
      <c r="G5698" t="str">
        <f>INDEX(Lists!H:H,MATCH(Validation!E5698,Lists!G:G,0))</f>
        <v>Amount must be rounded to the nearest dollar.</v>
      </c>
      <c r="H5698" s="16" t="str">
        <f t="shared" ca="1" si="621"/>
        <v/>
      </c>
      <c r="I5698" s="16" t="str">
        <f t="shared" ca="1" si="622"/>
        <v/>
      </c>
      <c r="J5698" s="17" t="str">
        <f t="shared" ca="1" si="623"/>
        <v/>
      </c>
    </row>
    <row r="5699" spans="1:10" x14ac:dyDescent="0.25">
      <c r="A5699" t="s">
        <v>942</v>
      </c>
      <c r="B5699" t="str">
        <f>ADDRESS(ROW('Loan 1'!$B$25),COLUMN('Loan 1'!$B$25),4)</f>
        <v>B25</v>
      </c>
      <c r="C5699" t="str">
        <f>ADDRESS(ROW('Loan 1'!$D$25),COLUMN('Loan 1'!$D$25),4)</f>
        <v>D25</v>
      </c>
      <c r="D5699" t="b" cm="1">
        <f t="array" aca="1" ref="D5699" ca="1">IF(INDIRECT("'"&amp;A5699&amp;"'!"&amp;B5699)="",FALSE,IF(TRUNC(INDIRECT("'"&amp;A5699&amp;"'!"&amp;B5699))=INDIRECT("'"&amp;A5699&amp;"'!"&amp;B5699),FALSE,TRUE))</f>
        <v>0</v>
      </c>
      <c r="E5699" t="s">
        <v>436</v>
      </c>
      <c r="F5699" t="str">
        <f>INDEX(Lists!I:I,MATCH(Validation!E5699,Lists!G:G,0))</f>
        <v>Error</v>
      </c>
      <c r="G5699" t="str">
        <f>INDEX(Lists!H:H,MATCH(Validation!E5699,Lists!G:G,0))</f>
        <v>Amount must be rounded to the nearest dollar.</v>
      </c>
      <c r="H5699" s="16" t="str">
        <f t="shared" ca="1" si="621"/>
        <v/>
      </c>
      <c r="I5699" s="16" t="str">
        <f t="shared" ca="1" si="622"/>
        <v/>
      </c>
      <c r="J5699" s="17" t="str">
        <f t="shared" ca="1" si="623"/>
        <v/>
      </c>
    </row>
    <row r="5700" spans="1:10" x14ac:dyDescent="0.25">
      <c r="A5700" t="s">
        <v>943</v>
      </c>
      <c r="B5700" t="str">
        <f>ADDRESS(ROW('Loan 1'!$B$25),COLUMN('Loan 1'!$B$25),4)</f>
        <v>B25</v>
      </c>
      <c r="C5700" t="str">
        <f>ADDRESS(ROW('Loan 1'!$D$25),COLUMN('Loan 1'!$D$25),4)</f>
        <v>D25</v>
      </c>
      <c r="D5700" t="b" cm="1">
        <f t="array" aca="1" ref="D5700" ca="1">IF(INDIRECT("'"&amp;A5700&amp;"'!"&amp;B5700)="",FALSE,IF(TRUNC(INDIRECT("'"&amp;A5700&amp;"'!"&amp;B5700))=INDIRECT("'"&amp;A5700&amp;"'!"&amp;B5700),FALSE,TRUE))</f>
        <v>0</v>
      </c>
      <c r="E5700" t="s">
        <v>436</v>
      </c>
      <c r="F5700" t="str">
        <f>INDEX(Lists!I:I,MATCH(Validation!E5700,Lists!G:G,0))</f>
        <v>Error</v>
      </c>
      <c r="G5700" t="str">
        <f>INDEX(Lists!H:H,MATCH(Validation!E5700,Lists!G:G,0))</f>
        <v>Amount must be rounded to the nearest dollar.</v>
      </c>
      <c r="H5700" s="16" t="str">
        <f t="shared" ca="1" si="621"/>
        <v/>
      </c>
      <c r="I5700" s="16" t="str">
        <f t="shared" ca="1" si="622"/>
        <v/>
      </c>
      <c r="J5700" s="17" t="str">
        <f t="shared" ca="1" si="623"/>
        <v/>
      </c>
    </row>
    <row r="5701" spans="1:10" x14ac:dyDescent="0.25">
      <c r="A5701" t="s">
        <v>944</v>
      </c>
      <c r="B5701" t="str">
        <f>ADDRESS(ROW('Loan 1'!$B$25),COLUMN('Loan 1'!$B$25),4)</f>
        <v>B25</v>
      </c>
      <c r="C5701" t="str">
        <f>ADDRESS(ROW('Loan 1'!$D$25),COLUMN('Loan 1'!$D$25),4)</f>
        <v>D25</v>
      </c>
      <c r="D5701" t="b" cm="1">
        <f t="array" aca="1" ref="D5701" ca="1">IF(INDIRECT("'"&amp;A5701&amp;"'!"&amp;B5701)="",FALSE,IF(TRUNC(INDIRECT("'"&amp;A5701&amp;"'!"&amp;B5701))=INDIRECT("'"&amp;A5701&amp;"'!"&amp;B5701),FALSE,TRUE))</f>
        <v>0</v>
      </c>
      <c r="E5701" t="s">
        <v>436</v>
      </c>
      <c r="F5701" t="str">
        <f>INDEX(Lists!I:I,MATCH(Validation!E5701,Lists!G:G,0))</f>
        <v>Error</v>
      </c>
      <c r="G5701" t="str">
        <f>INDEX(Lists!H:H,MATCH(Validation!E5701,Lists!G:G,0))</f>
        <v>Amount must be rounded to the nearest dollar.</v>
      </c>
      <c r="H5701" s="16" t="str">
        <f t="shared" ca="1" si="621"/>
        <v/>
      </c>
      <c r="I5701" s="16" t="str">
        <f t="shared" ca="1" si="622"/>
        <v/>
      </c>
      <c r="J5701" s="17" t="str">
        <f t="shared" ca="1" si="623"/>
        <v/>
      </c>
    </row>
    <row r="5702" spans="1:10" x14ac:dyDescent="0.25">
      <c r="A5702" t="s">
        <v>945</v>
      </c>
      <c r="B5702" t="str">
        <f>ADDRESS(ROW('Loan 1'!$B$25),COLUMN('Loan 1'!$B$25),4)</f>
        <v>B25</v>
      </c>
      <c r="C5702" t="str">
        <f>ADDRESS(ROW('Loan 1'!$D$25),COLUMN('Loan 1'!$D$25),4)</f>
        <v>D25</v>
      </c>
      <c r="D5702" t="b" cm="1">
        <f t="array" aca="1" ref="D5702" ca="1">IF(INDIRECT("'"&amp;A5702&amp;"'!"&amp;B5702)="",FALSE,IF(TRUNC(INDIRECT("'"&amp;A5702&amp;"'!"&amp;B5702))=INDIRECT("'"&amp;A5702&amp;"'!"&amp;B5702),FALSE,TRUE))</f>
        <v>0</v>
      </c>
      <c r="E5702" t="s">
        <v>436</v>
      </c>
      <c r="F5702" t="str">
        <f>INDEX(Lists!I:I,MATCH(Validation!E5702,Lists!G:G,0))</f>
        <v>Error</v>
      </c>
      <c r="G5702" t="str">
        <f>INDEX(Lists!H:H,MATCH(Validation!E5702,Lists!G:G,0))</f>
        <v>Amount must be rounded to the nearest dollar.</v>
      </c>
      <c r="H5702" s="16" t="str">
        <f t="shared" ca="1" si="621"/>
        <v/>
      </c>
      <c r="I5702" s="16" t="str">
        <f t="shared" ca="1" si="622"/>
        <v/>
      </c>
      <c r="J5702" s="17" t="str">
        <f t="shared" ca="1" si="623"/>
        <v/>
      </c>
    </row>
    <row r="5703" spans="1:10" x14ac:dyDescent="0.25">
      <c r="A5703" t="s">
        <v>205</v>
      </c>
      <c r="B5703" t="str">
        <f>ADDRESS(ROW('Loan 1'!$C$25),COLUMN('Loan 1'!$C$25),4)</f>
        <v>C25</v>
      </c>
      <c r="C5703" t="str">
        <f>ADDRESS(ROW('Loan 1'!$D$25),COLUMN('Loan 1'!$D$25),4)</f>
        <v>D25</v>
      </c>
      <c r="D5703" t="b" cm="1">
        <f t="array" aca="1" ref="D5703" ca="1">IF(INDIRECT("'"&amp;A5703&amp;"'!"&amp;B5703)="",FALSE,IF(NOT(ISNUMBER(INDIRECT("'"&amp;A5703&amp;"'!"&amp;B5703))),TRUE,FALSE))</f>
        <v>0</v>
      </c>
      <c r="E5703" t="s">
        <v>435</v>
      </c>
      <c r="F5703" t="str">
        <f>INDEX(Lists!I:I,MATCH(Validation!E5703,Lists!G:G,0))</f>
        <v>Error</v>
      </c>
      <c r="G5703" t="str">
        <f>INDEX(Lists!H:H,MATCH(Validation!E5703,Lists!G:G,0))</f>
        <v>Enter an amount only. Do not enter text or spaces.</v>
      </c>
      <c r="H5703" s="16" t="str">
        <f ca="1">IFERROR(IF(OR(NOT(D5703),F5703&lt;&gt;"Error"),"",A5703&amp;CELL("address",INDIRECT(B5703))),"")</f>
        <v/>
      </c>
      <c r="I5703" s="16" t="str">
        <f ca="1">IFERROR(IF(NOT(D5703),"",A5703&amp;CELL("address",INDIRECT(C5703))),"")</f>
        <v/>
      </c>
      <c r="J5703" s="17" t="str">
        <f ca="1">IFERROR(IF(NOT(D5703),"",A5703),"")</f>
        <v/>
      </c>
    </row>
    <row r="5704" spans="1:10" x14ac:dyDescent="0.25">
      <c r="A5704" t="s">
        <v>932</v>
      </c>
      <c r="B5704" t="str">
        <f>ADDRESS(ROW('Loan 1'!$C$25),COLUMN('Loan 1'!$C$25),4)</f>
        <v>C25</v>
      </c>
      <c r="C5704" t="str">
        <f>ADDRESS(ROW('Loan 1'!$D$25),COLUMN('Loan 1'!$D$25),4)</f>
        <v>D25</v>
      </c>
      <c r="D5704" t="b" cm="1">
        <f t="array" aca="1" ref="D5704" ca="1">IF(INDIRECT("'"&amp;A5704&amp;"'!"&amp;B5704)="",FALSE,IF(NOT(ISNUMBER(INDIRECT("'"&amp;A5704&amp;"'!"&amp;B5704))),TRUE,FALSE))</f>
        <v>0</v>
      </c>
      <c r="E5704" t="s">
        <v>435</v>
      </c>
      <c r="F5704" t="str">
        <f>INDEX(Lists!I:I,MATCH(Validation!E5704,Lists!G:G,0))</f>
        <v>Error</v>
      </c>
      <c r="G5704" t="str">
        <f>INDEX(Lists!H:H,MATCH(Validation!E5704,Lists!G:G,0))</f>
        <v>Enter an amount only. Do not enter text or spaces.</v>
      </c>
      <c r="H5704" s="16" t="str">
        <f t="shared" ref="H5704:H5717" ca="1" si="624">IFERROR(IF(OR(NOT(D5704),F5704&lt;&gt;"Error"),"",A5704&amp;CELL("address",INDIRECT(B5704))),"")</f>
        <v/>
      </c>
      <c r="I5704" s="16" t="str">
        <f t="shared" ref="I5704:I5717" ca="1" si="625">IFERROR(IF(NOT(D5704),"",A5704&amp;CELL("address",INDIRECT(C5704))),"")</f>
        <v/>
      </c>
      <c r="J5704" s="17" t="str">
        <f t="shared" ref="J5704:J5717" ca="1" si="626">IFERROR(IF(NOT(D5704),"",A5704),"")</f>
        <v/>
      </c>
    </row>
    <row r="5705" spans="1:10" x14ac:dyDescent="0.25">
      <c r="A5705" t="s">
        <v>933</v>
      </c>
      <c r="B5705" t="str">
        <f>ADDRESS(ROW('Loan 1'!$C$25),COLUMN('Loan 1'!$C$25),4)</f>
        <v>C25</v>
      </c>
      <c r="C5705" t="str">
        <f>ADDRESS(ROW('Loan 1'!$D$25),COLUMN('Loan 1'!$D$25),4)</f>
        <v>D25</v>
      </c>
      <c r="D5705" t="b" cm="1">
        <f t="array" aca="1" ref="D5705" ca="1">IF(INDIRECT("'"&amp;A5705&amp;"'!"&amp;B5705)="",FALSE,IF(NOT(ISNUMBER(INDIRECT("'"&amp;A5705&amp;"'!"&amp;B5705))),TRUE,FALSE))</f>
        <v>0</v>
      </c>
      <c r="E5705" t="s">
        <v>435</v>
      </c>
      <c r="F5705" t="str">
        <f>INDEX(Lists!I:I,MATCH(Validation!E5705,Lists!G:G,0))</f>
        <v>Error</v>
      </c>
      <c r="G5705" t="str">
        <f>INDEX(Lists!H:H,MATCH(Validation!E5705,Lists!G:G,0))</f>
        <v>Enter an amount only. Do not enter text or spaces.</v>
      </c>
      <c r="H5705" s="16" t="str">
        <f t="shared" ca="1" si="624"/>
        <v/>
      </c>
      <c r="I5705" s="16" t="str">
        <f t="shared" ca="1" si="625"/>
        <v/>
      </c>
      <c r="J5705" s="17" t="str">
        <f t="shared" ca="1" si="626"/>
        <v/>
      </c>
    </row>
    <row r="5706" spans="1:10" x14ac:dyDescent="0.25">
      <c r="A5706" t="s">
        <v>934</v>
      </c>
      <c r="B5706" t="str">
        <f>ADDRESS(ROW('Loan 1'!$C$25),COLUMN('Loan 1'!$C$25),4)</f>
        <v>C25</v>
      </c>
      <c r="C5706" t="str">
        <f>ADDRESS(ROW('Loan 1'!$D$25),COLUMN('Loan 1'!$D$25),4)</f>
        <v>D25</v>
      </c>
      <c r="D5706" t="b" cm="1">
        <f t="array" aca="1" ref="D5706" ca="1">IF(INDIRECT("'"&amp;A5706&amp;"'!"&amp;B5706)="",FALSE,IF(NOT(ISNUMBER(INDIRECT("'"&amp;A5706&amp;"'!"&amp;B5706))),TRUE,FALSE))</f>
        <v>0</v>
      </c>
      <c r="E5706" t="s">
        <v>435</v>
      </c>
      <c r="F5706" t="str">
        <f>INDEX(Lists!I:I,MATCH(Validation!E5706,Lists!G:G,0))</f>
        <v>Error</v>
      </c>
      <c r="G5706" t="str">
        <f>INDEX(Lists!H:H,MATCH(Validation!E5706,Lists!G:G,0))</f>
        <v>Enter an amount only. Do not enter text or spaces.</v>
      </c>
      <c r="H5706" s="16" t="str">
        <f t="shared" ca="1" si="624"/>
        <v/>
      </c>
      <c r="I5706" s="16" t="str">
        <f t="shared" ca="1" si="625"/>
        <v/>
      </c>
      <c r="J5706" s="17" t="str">
        <f t="shared" ca="1" si="626"/>
        <v/>
      </c>
    </row>
    <row r="5707" spans="1:10" x14ac:dyDescent="0.25">
      <c r="A5707" t="s">
        <v>935</v>
      </c>
      <c r="B5707" t="str">
        <f>ADDRESS(ROW('Loan 1'!$C$25),COLUMN('Loan 1'!$C$25),4)</f>
        <v>C25</v>
      </c>
      <c r="C5707" t="str">
        <f>ADDRESS(ROW('Loan 1'!$D$25),COLUMN('Loan 1'!$D$25),4)</f>
        <v>D25</v>
      </c>
      <c r="D5707" t="b" cm="1">
        <f t="array" aca="1" ref="D5707" ca="1">IF(INDIRECT("'"&amp;A5707&amp;"'!"&amp;B5707)="",FALSE,IF(NOT(ISNUMBER(INDIRECT("'"&amp;A5707&amp;"'!"&amp;B5707))),TRUE,FALSE))</f>
        <v>0</v>
      </c>
      <c r="E5707" t="s">
        <v>435</v>
      </c>
      <c r="F5707" t="str">
        <f>INDEX(Lists!I:I,MATCH(Validation!E5707,Lists!G:G,0))</f>
        <v>Error</v>
      </c>
      <c r="G5707" t="str">
        <f>INDEX(Lists!H:H,MATCH(Validation!E5707,Lists!G:G,0))</f>
        <v>Enter an amount only. Do not enter text or spaces.</v>
      </c>
      <c r="H5707" s="16" t="str">
        <f t="shared" ca="1" si="624"/>
        <v/>
      </c>
      <c r="I5707" s="16" t="str">
        <f t="shared" ca="1" si="625"/>
        <v/>
      </c>
      <c r="J5707" s="17" t="str">
        <f t="shared" ca="1" si="626"/>
        <v/>
      </c>
    </row>
    <row r="5708" spans="1:10" x14ac:dyDescent="0.25">
      <c r="A5708" t="s">
        <v>936</v>
      </c>
      <c r="B5708" t="str">
        <f>ADDRESS(ROW('Loan 1'!$C$25),COLUMN('Loan 1'!$C$25),4)</f>
        <v>C25</v>
      </c>
      <c r="C5708" t="str">
        <f>ADDRESS(ROW('Loan 1'!$D$25),COLUMN('Loan 1'!$D$25),4)</f>
        <v>D25</v>
      </c>
      <c r="D5708" t="b" cm="1">
        <f t="array" aca="1" ref="D5708" ca="1">IF(INDIRECT("'"&amp;A5708&amp;"'!"&amp;B5708)="",FALSE,IF(NOT(ISNUMBER(INDIRECT("'"&amp;A5708&amp;"'!"&amp;B5708))),TRUE,FALSE))</f>
        <v>0</v>
      </c>
      <c r="E5708" t="s">
        <v>435</v>
      </c>
      <c r="F5708" t="str">
        <f>INDEX(Lists!I:I,MATCH(Validation!E5708,Lists!G:G,0))</f>
        <v>Error</v>
      </c>
      <c r="G5708" t="str">
        <f>INDEX(Lists!H:H,MATCH(Validation!E5708,Lists!G:G,0))</f>
        <v>Enter an amount only. Do not enter text or spaces.</v>
      </c>
      <c r="H5708" s="16" t="str">
        <f t="shared" ca="1" si="624"/>
        <v/>
      </c>
      <c r="I5708" s="16" t="str">
        <f t="shared" ca="1" si="625"/>
        <v/>
      </c>
      <c r="J5708" s="17" t="str">
        <f t="shared" ca="1" si="626"/>
        <v/>
      </c>
    </row>
    <row r="5709" spans="1:10" x14ac:dyDescent="0.25">
      <c r="A5709" t="s">
        <v>937</v>
      </c>
      <c r="B5709" t="str">
        <f>ADDRESS(ROW('Loan 1'!$C$25),COLUMN('Loan 1'!$C$25),4)</f>
        <v>C25</v>
      </c>
      <c r="C5709" t="str">
        <f>ADDRESS(ROW('Loan 1'!$D$25),COLUMN('Loan 1'!$D$25),4)</f>
        <v>D25</v>
      </c>
      <c r="D5709" t="b" cm="1">
        <f t="array" aca="1" ref="D5709" ca="1">IF(INDIRECT("'"&amp;A5709&amp;"'!"&amp;B5709)="",FALSE,IF(NOT(ISNUMBER(INDIRECT("'"&amp;A5709&amp;"'!"&amp;B5709))),TRUE,FALSE))</f>
        <v>0</v>
      </c>
      <c r="E5709" t="s">
        <v>435</v>
      </c>
      <c r="F5709" t="str">
        <f>INDEX(Lists!I:I,MATCH(Validation!E5709,Lists!G:G,0))</f>
        <v>Error</v>
      </c>
      <c r="G5709" t="str">
        <f>INDEX(Lists!H:H,MATCH(Validation!E5709,Lists!G:G,0))</f>
        <v>Enter an amount only. Do not enter text or spaces.</v>
      </c>
      <c r="H5709" s="16" t="str">
        <f t="shared" ca="1" si="624"/>
        <v/>
      </c>
      <c r="I5709" s="16" t="str">
        <f t="shared" ca="1" si="625"/>
        <v/>
      </c>
      <c r="J5709" s="17" t="str">
        <f t="shared" ca="1" si="626"/>
        <v/>
      </c>
    </row>
    <row r="5710" spans="1:10" x14ac:dyDescent="0.25">
      <c r="A5710" t="s">
        <v>938</v>
      </c>
      <c r="B5710" t="str">
        <f>ADDRESS(ROW('Loan 1'!$C$25),COLUMN('Loan 1'!$C$25),4)</f>
        <v>C25</v>
      </c>
      <c r="C5710" t="str">
        <f>ADDRESS(ROW('Loan 1'!$D$25),COLUMN('Loan 1'!$D$25),4)</f>
        <v>D25</v>
      </c>
      <c r="D5710" t="b" cm="1">
        <f t="array" aca="1" ref="D5710" ca="1">IF(INDIRECT("'"&amp;A5710&amp;"'!"&amp;B5710)="",FALSE,IF(NOT(ISNUMBER(INDIRECT("'"&amp;A5710&amp;"'!"&amp;B5710))),TRUE,FALSE))</f>
        <v>0</v>
      </c>
      <c r="E5710" t="s">
        <v>435</v>
      </c>
      <c r="F5710" t="str">
        <f>INDEX(Lists!I:I,MATCH(Validation!E5710,Lists!G:G,0))</f>
        <v>Error</v>
      </c>
      <c r="G5710" t="str">
        <f>INDEX(Lists!H:H,MATCH(Validation!E5710,Lists!G:G,0))</f>
        <v>Enter an amount only. Do not enter text or spaces.</v>
      </c>
      <c r="H5710" s="16" t="str">
        <f t="shared" ca="1" si="624"/>
        <v/>
      </c>
      <c r="I5710" s="16" t="str">
        <f t="shared" ca="1" si="625"/>
        <v/>
      </c>
      <c r="J5710" s="17" t="str">
        <f t="shared" ca="1" si="626"/>
        <v/>
      </c>
    </row>
    <row r="5711" spans="1:10" x14ac:dyDescent="0.25">
      <c r="A5711" t="s">
        <v>939</v>
      </c>
      <c r="B5711" t="str">
        <f>ADDRESS(ROW('Loan 1'!$C$25),COLUMN('Loan 1'!$C$25),4)</f>
        <v>C25</v>
      </c>
      <c r="C5711" t="str">
        <f>ADDRESS(ROW('Loan 1'!$D$25),COLUMN('Loan 1'!$D$25),4)</f>
        <v>D25</v>
      </c>
      <c r="D5711" t="b" cm="1">
        <f t="array" aca="1" ref="D5711" ca="1">IF(INDIRECT("'"&amp;A5711&amp;"'!"&amp;B5711)="",FALSE,IF(NOT(ISNUMBER(INDIRECT("'"&amp;A5711&amp;"'!"&amp;B5711))),TRUE,FALSE))</f>
        <v>0</v>
      </c>
      <c r="E5711" t="s">
        <v>435</v>
      </c>
      <c r="F5711" t="str">
        <f>INDEX(Lists!I:I,MATCH(Validation!E5711,Lists!G:G,0))</f>
        <v>Error</v>
      </c>
      <c r="G5711" t="str">
        <f>INDEX(Lists!H:H,MATCH(Validation!E5711,Lists!G:G,0))</f>
        <v>Enter an amount only. Do not enter text or spaces.</v>
      </c>
      <c r="H5711" s="16" t="str">
        <f t="shared" ca="1" si="624"/>
        <v/>
      </c>
      <c r="I5711" s="16" t="str">
        <f t="shared" ca="1" si="625"/>
        <v/>
      </c>
      <c r="J5711" s="17" t="str">
        <f t="shared" ca="1" si="626"/>
        <v/>
      </c>
    </row>
    <row r="5712" spans="1:10" x14ac:dyDescent="0.25">
      <c r="A5712" t="s">
        <v>940</v>
      </c>
      <c r="B5712" t="str">
        <f>ADDRESS(ROW('Loan 1'!$C$25),COLUMN('Loan 1'!$C$25),4)</f>
        <v>C25</v>
      </c>
      <c r="C5712" t="str">
        <f>ADDRESS(ROW('Loan 1'!$D$25),COLUMN('Loan 1'!$D$25),4)</f>
        <v>D25</v>
      </c>
      <c r="D5712" t="b" cm="1">
        <f t="array" aca="1" ref="D5712" ca="1">IF(INDIRECT("'"&amp;A5712&amp;"'!"&amp;B5712)="",FALSE,IF(NOT(ISNUMBER(INDIRECT("'"&amp;A5712&amp;"'!"&amp;B5712))),TRUE,FALSE))</f>
        <v>0</v>
      </c>
      <c r="E5712" t="s">
        <v>435</v>
      </c>
      <c r="F5712" t="str">
        <f>INDEX(Lists!I:I,MATCH(Validation!E5712,Lists!G:G,0))</f>
        <v>Error</v>
      </c>
      <c r="G5712" t="str">
        <f>INDEX(Lists!H:H,MATCH(Validation!E5712,Lists!G:G,0))</f>
        <v>Enter an amount only. Do not enter text or spaces.</v>
      </c>
      <c r="H5712" s="16" t="str">
        <f t="shared" ca="1" si="624"/>
        <v/>
      </c>
      <c r="I5712" s="16" t="str">
        <f t="shared" ca="1" si="625"/>
        <v/>
      </c>
      <c r="J5712" s="17" t="str">
        <f t="shared" ca="1" si="626"/>
        <v/>
      </c>
    </row>
    <row r="5713" spans="1:10" x14ac:dyDescent="0.25">
      <c r="A5713" t="s">
        <v>941</v>
      </c>
      <c r="B5713" t="str">
        <f>ADDRESS(ROW('Loan 1'!$C$25),COLUMN('Loan 1'!$C$25),4)</f>
        <v>C25</v>
      </c>
      <c r="C5713" t="str">
        <f>ADDRESS(ROW('Loan 1'!$D$25),COLUMN('Loan 1'!$D$25),4)</f>
        <v>D25</v>
      </c>
      <c r="D5713" t="b" cm="1">
        <f t="array" aca="1" ref="D5713" ca="1">IF(INDIRECT("'"&amp;A5713&amp;"'!"&amp;B5713)="",FALSE,IF(NOT(ISNUMBER(INDIRECT("'"&amp;A5713&amp;"'!"&amp;B5713))),TRUE,FALSE))</f>
        <v>0</v>
      </c>
      <c r="E5713" t="s">
        <v>435</v>
      </c>
      <c r="F5713" t="str">
        <f>INDEX(Lists!I:I,MATCH(Validation!E5713,Lists!G:G,0))</f>
        <v>Error</v>
      </c>
      <c r="G5713" t="str">
        <f>INDEX(Lists!H:H,MATCH(Validation!E5713,Lists!G:G,0))</f>
        <v>Enter an amount only. Do not enter text or spaces.</v>
      </c>
      <c r="H5713" s="16" t="str">
        <f t="shared" ca="1" si="624"/>
        <v/>
      </c>
      <c r="I5713" s="16" t="str">
        <f t="shared" ca="1" si="625"/>
        <v/>
      </c>
      <c r="J5713" s="17" t="str">
        <f t="shared" ca="1" si="626"/>
        <v/>
      </c>
    </row>
    <row r="5714" spans="1:10" x14ac:dyDescent="0.25">
      <c r="A5714" t="s">
        <v>942</v>
      </c>
      <c r="B5714" t="str">
        <f>ADDRESS(ROW('Loan 1'!$C$25),COLUMN('Loan 1'!$C$25),4)</f>
        <v>C25</v>
      </c>
      <c r="C5714" t="str">
        <f>ADDRESS(ROW('Loan 1'!$D$25),COLUMN('Loan 1'!$D$25),4)</f>
        <v>D25</v>
      </c>
      <c r="D5714" t="b" cm="1">
        <f t="array" aca="1" ref="D5714" ca="1">IF(INDIRECT("'"&amp;A5714&amp;"'!"&amp;B5714)="",FALSE,IF(NOT(ISNUMBER(INDIRECT("'"&amp;A5714&amp;"'!"&amp;B5714))),TRUE,FALSE))</f>
        <v>0</v>
      </c>
      <c r="E5714" t="s">
        <v>435</v>
      </c>
      <c r="F5714" t="str">
        <f>INDEX(Lists!I:I,MATCH(Validation!E5714,Lists!G:G,0))</f>
        <v>Error</v>
      </c>
      <c r="G5714" t="str">
        <f>INDEX(Lists!H:H,MATCH(Validation!E5714,Lists!G:G,0))</f>
        <v>Enter an amount only. Do not enter text or spaces.</v>
      </c>
      <c r="H5714" s="16" t="str">
        <f t="shared" ca="1" si="624"/>
        <v/>
      </c>
      <c r="I5714" s="16" t="str">
        <f t="shared" ca="1" si="625"/>
        <v/>
      </c>
      <c r="J5714" s="17" t="str">
        <f t="shared" ca="1" si="626"/>
        <v/>
      </c>
    </row>
    <row r="5715" spans="1:10" x14ac:dyDescent="0.25">
      <c r="A5715" t="s">
        <v>943</v>
      </c>
      <c r="B5715" t="str">
        <f>ADDRESS(ROW('Loan 1'!$C$25),COLUMN('Loan 1'!$C$25),4)</f>
        <v>C25</v>
      </c>
      <c r="C5715" t="str">
        <f>ADDRESS(ROW('Loan 1'!$D$25),COLUMN('Loan 1'!$D$25),4)</f>
        <v>D25</v>
      </c>
      <c r="D5715" t="b" cm="1">
        <f t="array" aca="1" ref="D5715" ca="1">IF(INDIRECT("'"&amp;A5715&amp;"'!"&amp;B5715)="",FALSE,IF(NOT(ISNUMBER(INDIRECT("'"&amp;A5715&amp;"'!"&amp;B5715))),TRUE,FALSE))</f>
        <v>0</v>
      </c>
      <c r="E5715" t="s">
        <v>435</v>
      </c>
      <c r="F5715" t="str">
        <f>INDEX(Lists!I:I,MATCH(Validation!E5715,Lists!G:G,0))</f>
        <v>Error</v>
      </c>
      <c r="G5715" t="str">
        <f>INDEX(Lists!H:H,MATCH(Validation!E5715,Lists!G:G,0))</f>
        <v>Enter an amount only. Do not enter text or spaces.</v>
      </c>
      <c r="H5715" s="16" t="str">
        <f t="shared" ca="1" si="624"/>
        <v/>
      </c>
      <c r="I5715" s="16" t="str">
        <f t="shared" ca="1" si="625"/>
        <v/>
      </c>
      <c r="J5715" s="17" t="str">
        <f t="shared" ca="1" si="626"/>
        <v/>
      </c>
    </row>
    <row r="5716" spans="1:10" x14ac:dyDescent="0.25">
      <c r="A5716" t="s">
        <v>944</v>
      </c>
      <c r="B5716" t="str">
        <f>ADDRESS(ROW('Loan 1'!$C$25),COLUMN('Loan 1'!$C$25),4)</f>
        <v>C25</v>
      </c>
      <c r="C5716" t="str">
        <f>ADDRESS(ROW('Loan 1'!$D$25),COLUMN('Loan 1'!$D$25),4)</f>
        <v>D25</v>
      </c>
      <c r="D5716" t="b" cm="1">
        <f t="array" aca="1" ref="D5716" ca="1">IF(INDIRECT("'"&amp;A5716&amp;"'!"&amp;B5716)="",FALSE,IF(NOT(ISNUMBER(INDIRECT("'"&amp;A5716&amp;"'!"&amp;B5716))),TRUE,FALSE))</f>
        <v>0</v>
      </c>
      <c r="E5716" t="s">
        <v>435</v>
      </c>
      <c r="F5716" t="str">
        <f>INDEX(Lists!I:I,MATCH(Validation!E5716,Lists!G:G,0))</f>
        <v>Error</v>
      </c>
      <c r="G5716" t="str">
        <f>INDEX(Lists!H:H,MATCH(Validation!E5716,Lists!G:G,0))</f>
        <v>Enter an amount only. Do not enter text or spaces.</v>
      </c>
      <c r="H5716" s="16" t="str">
        <f t="shared" ca="1" si="624"/>
        <v/>
      </c>
      <c r="I5716" s="16" t="str">
        <f t="shared" ca="1" si="625"/>
        <v/>
      </c>
      <c r="J5716" s="17" t="str">
        <f t="shared" ca="1" si="626"/>
        <v/>
      </c>
    </row>
    <row r="5717" spans="1:10" x14ac:dyDescent="0.25">
      <c r="A5717" t="s">
        <v>945</v>
      </c>
      <c r="B5717" t="str">
        <f>ADDRESS(ROW('Loan 1'!$C$25),COLUMN('Loan 1'!$C$25),4)</f>
        <v>C25</v>
      </c>
      <c r="C5717" t="str">
        <f>ADDRESS(ROW('Loan 1'!$D$25),COLUMN('Loan 1'!$D$25),4)</f>
        <v>D25</v>
      </c>
      <c r="D5717" t="b" cm="1">
        <f t="array" aca="1" ref="D5717" ca="1">IF(INDIRECT("'"&amp;A5717&amp;"'!"&amp;B5717)="",FALSE,IF(NOT(ISNUMBER(INDIRECT("'"&amp;A5717&amp;"'!"&amp;B5717))),TRUE,FALSE))</f>
        <v>0</v>
      </c>
      <c r="E5717" t="s">
        <v>435</v>
      </c>
      <c r="F5717" t="str">
        <f>INDEX(Lists!I:I,MATCH(Validation!E5717,Lists!G:G,0))</f>
        <v>Error</v>
      </c>
      <c r="G5717" t="str">
        <f>INDEX(Lists!H:H,MATCH(Validation!E5717,Lists!G:G,0))</f>
        <v>Enter an amount only. Do not enter text or spaces.</v>
      </c>
      <c r="H5717" s="16" t="str">
        <f t="shared" ca="1" si="624"/>
        <v/>
      </c>
      <c r="I5717" s="16" t="str">
        <f t="shared" ca="1" si="625"/>
        <v/>
      </c>
      <c r="J5717" s="17" t="str">
        <f t="shared" ca="1" si="626"/>
        <v/>
      </c>
    </row>
    <row r="5718" spans="1:10" x14ac:dyDescent="0.25">
      <c r="A5718" t="s">
        <v>205</v>
      </c>
      <c r="B5718" t="str">
        <f>ADDRESS(ROW('Loan 1'!$C$25),COLUMN('Loan 1'!$C$25),4)</f>
        <v>C25</v>
      </c>
      <c r="C5718" t="str">
        <f>ADDRESS(ROW('Loan 1'!$D$25),COLUMN('Loan 1'!$D$25),4)</f>
        <v>D25</v>
      </c>
      <c r="D5718" t="b" cm="1">
        <f t="array" aca="1" ref="D5718" ca="1">IF(INDIRECT("'"&amp;A5718&amp;"'!"&amp;B5718)="",FALSE,IF(INDIRECT("'"&amp;A5718&amp;"'!"&amp;B5718)&lt;0,TRUE,FALSE))</f>
        <v>0</v>
      </c>
      <c r="E5718" t="s">
        <v>434</v>
      </c>
      <c r="F5718" t="str">
        <f>INDEX(Lists!I:I,MATCH(Validation!E5718,Lists!G:G,0))</f>
        <v>Error</v>
      </c>
      <c r="G5718" t="str">
        <f>INDEX(Lists!H:H,MATCH(Validation!E5718,Lists!G:G,0))</f>
        <v>Amount may not be negative. Enter an amount greater than or equal to zero.</v>
      </c>
      <c r="H5718" s="16" t="str">
        <f ca="1">IFERROR(IF(OR(NOT(D5718),F5718&lt;&gt;"Error"),"",A5718&amp;CELL("address",INDIRECT(B5718))),"")</f>
        <v/>
      </c>
      <c r="I5718" s="16" t="str">
        <f ca="1">IFERROR(IF(NOT(D5718),"",A5718&amp;CELL("address",INDIRECT(C5718))),"")</f>
        <v/>
      </c>
      <c r="J5718" s="17" t="str">
        <f ca="1">IFERROR(IF(NOT(D5718),"",A5718),"")</f>
        <v/>
      </c>
    </row>
    <row r="5719" spans="1:10" x14ac:dyDescent="0.25">
      <c r="A5719" t="s">
        <v>932</v>
      </c>
      <c r="B5719" t="str">
        <f>ADDRESS(ROW('Loan 1'!$C$25),COLUMN('Loan 1'!$C$25),4)</f>
        <v>C25</v>
      </c>
      <c r="C5719" t="str">
        <f>ADDRESS(ROW('Loan 1'!$D$25),COLUMN('Loan 1'!$D$25),4)</f>
        <v>D25</v>
      </c>
      <c r="D5719" t="b" cm="1">
        <f t="array" aca="1" ref="D5719" ca="1">IF(INDIRECT("'"&amp;A5719&amp;"'!"&amp;B5719)="",FALSE,IF(INDIRECT("'"&amp;A5719&amp;"'!"&amp;B5719)&lt;0,TRUE,FALSE))</f>
        <v>0</v>
      </c>
      <c r="E5719" t="s">
        <v>434</v>
      </c>
      <c r="F5719" t="str">
        <f>INDEX(Lists!I:I,MATCH(Validation!E5719,Lists!G:G,0))</f>
        <v>Error</v>
      </c>
      <c r="G5719" t="str">
        <f>INDEX(Lists!H:H,MATCH(Validation!E5719,Lists!G:G,0))</f>
        <v>Amount may not be negative. Enter an amount greater than or equal to zero.</v>
      </c>
      <c r="H5719" s="16" t="str">
        <f t="shared" ref="H5719:H5747" ca="1" si="627">IFERROR(IF(OR(NOT(D5719),F5719&lt;&gt;"Error"),"",A5719&amp;CELL("address",INDIRECT(B5719))),"")</f>
        <v/>
      </c>
      <c r="I5719" s="16" t="str">
        <f t="shared" ref="I5719:I5747" ca="1" si="628">IFERROR(IF(NOT(D5719),"",A5719&amp;CELL("address",INDIRECT(C5719))),"")</f>
        <v/>
      </c>
      <c r="J5719" s="17" t="str">
        <f t="shared" ref="J5719:J5747" ca="1" si="629">IFERROR(IF(NOT(D5719),"",A5719),"")</f>
        <v/>
      </c>
    </row>
    <row r="5720" spans="1:10" x14ac:dyDescent="0.25">
      <c r="A5720" t="s">
        <v>933</v>
      </c>
      <c r="B5720" t="str">
        <f>ADDRESS(ROW('Loan 1'!$C$25),COLUMN('Loan 1'!$C$25),4)</f>
        <v>C25</v>
      </c>
      <c r="C5720" t="str">
        <f>ADDRESS(ROW('Loan 1'!$D$25),COLUMN('Loan 1'!$D$25),4)</f>
        <v>D25</v>
      </c>
      <c r="D5720" t="b" cm="1">
        <f t="array" aca="1" ref="D5720" ca="1">IF(INDIRECT("'"&amp;A5720&amp;"'!"&amp;B5720)="",FALSE,IF(INDIRECT("'"&amp;A5720&amp;"'!"&amp;B5720)&lt;0,TRUE,FALSE))</f>
        <v>0</v>
      </c>
      <c r="E5720" t="s">
        <v>434</v>
      </c>
      <c r="F5720" t="str">
        <f>INDEX(Lists!I:I,MATCH(Validation!E5720,Lists!G:G,0))</f>
        <v>Error</v>
      </c>
      <c r="G5720" t="str">
        <f>INDEX(Lists!H:H,MATCH(Validation!E5720,Lists!G:G,0))</f>
        <v>Amount may not be negative. Enter an amount greater than or equal to zero.</v>
      </c>
      <c r="H5720" s="16" t="str">
        <f t="shared" ca="1" si="627"/>
        <v/>
      </c>
      <c r="I5720" s="16" t="str">
        <f t="shared" ca="1" si="628"/>
        <v/>
      </c>
      <c r="J5720" s="17" t="str">
        <f t="shared" ca="1" si="629"/>
        <v/>
      </c>
    </row>
    <row r="5721" spans="1:10" x14ac:dyDescent="0.25">
      <c r="A5721" t="s">
        <v>934</v>
      </c>
      <c r="B5721" t="str">
        <f>ADDRESS(ROW('Loan 1'!$C$25),COLUMN('Loan 1'!$C$25),4)</f>
        <v>C25</v>
      </c>
      <c r="C5721" t="str">
        <f>ADDRESS(ROW('Loan 1'!$D$25),COLUMN('Loan 1'!$D$25),4)</f>
        <v>D25</v>
      </c>
      <c r="D5721" t="b" cm="1">
        <f t="array" aca="1" ref="D5721" ca="1">IF(INDIRECT("'"&amp;A5721&amp;"'!"&amp;B5721)="",FALSE,IF(INDIRECT("'"&amp;A5721&amp;"'!"&amp;B5721)&lt;0,TRUE,FALSE))</f>
        <v>0</v>
      </c>
      <c r="E5721" t="s">
        <v>434</v>
      </c>
      <c r="F5721" t="str">
        <f>INDEX(Lists!I:I,MATCH(Validation!E5721,Lists!G:G,0))</f>
        <v>Error</v>
      </c>
      <c r="G5721" t="str">
        <f>INDEX(Lists!H:H,MATCH(Validation!E5721,Lists!G:G,0))</f>
        <v>Amount may not be negative. Enter an amount greater than or equal to zero.</v>
      </c>
      <c r="H5721" s="16" t="str">
        <f t="shared" ca="1" si="627"/>
        <v/>
      </c>
      <c r="I5721" s="16" t="str">
        <f t="shared" ca="1" si="628"/>
        <v/>
      </c>
      <c r="J5721" s="17" t="str">
        <f t="shared" ca="1" si="629"/>
        <v/>
      </c>
    </row>
    <row r="5722" spans="1:10" x14ac:dyDescent="0.25">
      <c r="A5722" t="s">
        <v>935</v>
      </c>
      <c r="B5722" t="str">
        <f>ADDRESS(ROW('Loan 1'!$C$25),COLUMN('Loan 1'!$C$25),4)</f>
        <v>C25</v>
      </c>
      <c r="C5722" t="str">
        <f>ADDRESS(ROW('Loan 1'!$D$25),COLUMN('Loan 1'!$D$25),4)</f>
        <v>D25</v>
      </c>
      <c r="D5722" t="b" cm="1">
        <f t="array" aca="1" ref="D5722" ca="1">IF(INDIRECT("'"&amp;A5722&amp;"'!"&amp;B5722)="",FALSE,IF(INDIRECT("'"&amp;A5722&amp;"'!"&amp;B5722)&lt;0,TRUE,FALSE))</f>
        <v>0</v>
      </c>
      <c r="E5722" t="s">
        <v>434</v>
      </c>
      <c r="F5722" t="str">
        <f>INDEX(Lists!I:I,MATCH(Validation!E5722,Lists!G:G,0))</f>
        <v>Error</v>
      </c>
      <c r="G5722" t="str">
        <f>INDEX(Lists!H:H,MATCH(Validation!E5722,Lists!G:G,0))</f>
        <v>Amount may not be negative. Enter an amount greater than or equal to zero.</v>
      </c>
      <c r="H5722" s="16" t="str">
        <f t="shared" ca="1" si="627"/>
        <v/>
      </c>
      <c r="I5722" s="16" t="str">
        <f t="shared" ca="1" si="628"/>
        <v/>
      </c>
      <c r="J5722" s="17" t="str">
        <f t="shared" ca="1" si="629"/>
        <v/>
      </c>
    </row>
    <row r="5723" spans="1:10" x14ac:dyDescent="0.25">
      <c r="A5723" t="s">
        <v>936</v>
      </c>
      <c r="B5723" t="str">
        <f>ADDRESS(ROW('Loan 1'!$C$25),COLUMN('Loan 1'!$C$25),4)</f>
        <v>C25</v>
      </c>
      <c r="C5723" t="str">
        <f>ADDRESS(ROW('Loan 1'!$D$25),COLUMN('Loan 1'!$D$25),4)</f>
        <v>D25</v>
      </c>
      <c r="D5723" t="b" cm="1">
        <f t="array" aca="1" ref="D5723" ca="1">IF(INDIRECT("'"&amp;A5723&amp;"'!"&amp;B5723)="",FALSE,IF(INDIRECT("'"&amp;A5723&amp;"'!"&amp;B5723)&lt;0,TRUE,FALSE))</f>
        <v>0</v>
      </c>
      <c r="E5723" t="s">
        <v>434</v>
      </c>
      <c r="F5723" t="str">
        <f>INDEX(Lists!I:I,MATCH(Validation!E5723,Lists!G:G,0))</f>
        <v>Error</v>
      </c>
      <c r="G5723" t="str">
        <f>INDEX(Lists!H:H,MATCH(Validation!E5723,Lists!G:G,0))</f>
        <v>Amount may not be negative. Enter an amount greater than or equal to zero.</v>
      </c>
      <c r="H5723" s="16" t="str">
        <f t="shared" ca="1" si="627"/>
        <v/>
      </c>
      <c r="I5723" s="16" t="str">
        <f t="shared" ca="1" si="628"/>
        <v/>
      </c>
      <c r="J5723" s="17" t="str">
        <f t="shared" ca="1" si="629"/>
        <v/>
      </c>
    </row>
    <row r="5724" spans="1:10" x14ac:dyDescent="0.25">
      <c r="A5724" t="s">
        <v>937</v>
      </c>
      <c r="B5724" t="str">
        <f>ADDRESS(ROW('Loan 1'!$C$25),COLUMN('Loan 1'!$C$25),4)</f>
        <v>C25</v>
      </c>
      <c r="C5724" t="str">
        <f>ADDRESS(ROW('Loan 1'!$D$25),COLUMN('Loan 1'!$D$25),4)</f>
        <v>D25</v>
      </c>
      <c r="D5724" t="b" cm="1">
        <f t="array" aca="1" ref="D5724" ca="1">IF(INDIRECT("'"&amp;A5724&amp;"'!"&amp;B5724)="",FALSE,IF(INDIRECT("'"&amp;A5724&amp;"'!"&amp;B5724)&lt;0,TRUE,FALSE))</f>
        <v>0</v>
      </c>
      <c r="E5724" t="s">
        <v>434</v>
      </c>
      <c r="F5724" t="str">
        <f>INDEX(Lists!I:I,MATCH(Validation!E5724,Lists!G:G,0))</f>
        <v>Error</v>
      </c>
      <c r="G5724" t="str">
        <f>INDEX(Lists!H:H,MATCH(Validation!E5724,Lists!G:G,0))</f>
        <v>Amount may not be negative. Enter an amount greater than or equal to zero.</v>
      </c>
      <c r="H5724" s="16" t="str">
        <f t="shared" ca="1" si="627"/>
        <v/>
      </c>
      <c r="I5724" s="16" t="str">
        <f t="shared" ca="1" si="628"/>
        <v/>
      </c>
      <c r="J5724" s="17" t="str">
        <f t="shared" ca="1" si="629"/>
        <v/>
      </c>
    </row>
    <row r="5725" spans="1:10" x14ac:dyDescent="0.25">
      <c r="A5725" t="s">
        <v>938</v>
      </c>
      <c r="B5725" t="str">
        <f>ADDRESS(ROW('Loan 1'!$C$25),COLUMN('Loan 1'!$C$25),4)</f>
        <v>C25</v>
      </c>
      <c r="C5725" t="str">
        <f>ADDRESS(ROW('Loan 1'!$D$25),COLUMN('Loan 1'!$D$25),4)</f>
        <v>D25</v>
      </c>
      <c r="D5725" t="b" cm="1">
        <f t="array" aca="1" ref="D5725" ca="1">IF(INDIRECT("'"&amp;A5725&amp;"'!"&amp;B5725)="",FALSE,IF(INDIRECT("'"&amp;A5725&amp;"'!"&amp;B5725)&lt;0,TRUE,FALSE))</f>
        <v>0</v>
      </c>
      <c r="E5725" t="s">
        <v>434</v>
      </c>
      <c r="F5725" t="str">
        <f>INDEX(Lists!I:I,MATCH(Validation!E5725,Lists!G:G,0))</f>
        <v>Error</v>
      </c>
      <c r="G5725" t="str">
        <f>INDEX(Lists!H:H,MATCH(Validation!E5725,Lists!G:G,0))</f>
        <v>Amount may not be negative. Enter an amount greater than or equal to zero.</v>
      </c>
      <c r="H5725" s="16" t="str">
        <f t="shared" ca="1" si="627"/>
        <v/>
      </c>
      <c r="I5725" s="16" t="str">
        <f t="shared" ca="1" si="628"/>
        <v/>
      </c>
      <c r="J5725" s="17" t="str">
        <f t="shared" ca="1" si="629"/>
        <v/>
      </c>
    </row>
    <row r="5726" spans="1:10" x14ac:dyDescent="0.25">
      <c r="A5726" t="s">
        <v>939</v>
      </c>
      <c r="B5726" t="str">
        <f>ADDRESS(ROW('Loan 1'!$C$25),COLUMN('Loan 1'!$C$25),4)</f>
        <v>C25</v>
      </c>
      <c r="C5726" t="str">
        <f>ADDRESS(ROW('Loan 1'!$D$25),COLUMN('Loan 1'!$D$25),4)</f>
        <v>D25</v>
      </c>
      <c r="D5726" t="b" cm="1">
        <f t="array" aca="1" ref="D5726" ca="1">IF(INDIRECT("'"&amp;A5726&amp;"'!"&amp;B5726)="",FALSE,IF(INDIRECT("'"&amp;A5726&amp;"'!"&amp;B5726)&lt;0,TRUE,FALSE))</f>
        <v>0</v>
      </c>
      <c r="E5726" t="s">
        <v>434</v>
      </c>
      <c r="F5726" t="str">
        <f>INDEX(Lists!I:I,MATCH(Validation!E5726,Lists!G:G,0))</f>
        <v>Error</v>
      </c>
      <c r="G5726" t="str">
        <f>INDEX(Lists!H:H,MATCH(Validation!E5726,Lists!G:G,0))</f>
        <v>Amount may not be negative. Enter an amount greater than or equal to zero.</v>
      </c>
      <c r="H5726" s="16" t="str">
        <f t="shared" ca="1" si="627"/>
        <v/>
      </c>
      <c r="I5726" s="16" t="str">
        <f t="shared" ca="1" si="628"/>
        <v/>
      </c>
      <c r="J5726" s="17" t="str">
        <f t="shared" ca="1" si="629"/>
        <v/>
      </c>
    </row>
    <row r="5727" spans="1:10" x14ac:dyDescent="0.25">
      <c r="A5727" t="s">
        <v>940</v>
      </c>
      <c r="B5727" t="str">
        <f>ADDRESS(ROW('Loan 1'!$C$25),COLUMN('Loan 1'!$C$25),4)</f>
        <v>C25</v>
      </c>
      <c r="C5727" t="str">
        <f>ADDRESS(ROW('Loan 1'!$D$25),COLUMN('Loan 1'!$D$25),4)</f>
        <v>D25</v>
      </c>
      <c r="D5727" t="b" cm="1">
        <f t="array" aca="1" ref="D5727" ca="1">IF(INDIRECT("'"&amp;A5727&amp;"'!"&amp;B5727)="",FALSE,IF(INDIRECT("'"&amp;A5727&amp;"'!"&amp;B5727)&lt;0,TRUE,FALSE))</f>
        <v>0</v>
      </c>
      <c r="E5727" t="s">
        <v>434</v>
      </c>
      <c r="F5727" t="str">
        <f>INDEX(Lists!I:I,MATCH(Validation!E5727,Lists!G:G,0))</f>
        <v>Error</v>
      </c>
      <c r="G5727" t="str">
        <f>INDEX(Lists!H:H,MATCH(Validation!E5727,Lists!G:G,0))</f>
        <v>Amount may not be negative. Enter an amount greater than or equal to zero.</v>
      </c>
      <c r="H5727" s="16" t="str">
        <f t="shared" ca="1" si="627"/>
        <v/>
      </c>
      <c r="I5727" s="16" t="str">
        <f t="shared" ca="1" si="628"/>
        <v/>
      </c>
      <c r="J5727" s="17" t="str">
        <f t="shared" ca="1" si="629"/>
        <v/>
      </c>
    </row>
    <row r="5728" spans="1:10" x14ac:dyDescent="0.25">
      <c r="A5728" t="s">
        <v>941</v>
      </c>
      <c r="B5728" t="str">
        <f>ADDRESS(ROW('Loan 1'!$C$25),COLUMN('Loan 1'!$C$25),4)</f>
        <v>C25</v>
      </c>
      <c r="C5728" t="str">
        <f>ADDRESS(ROW('Loan 1'!$D$25),COLUMN('Loan 1'!$D$25),4)</f>
        <v>D25</v>
      </c>
      <c r="D5728" t="b" cm="1">
        <f t="array" aca="1" ref="D5728" ca="1">IF(INDIRECT("'"&amp;A5728&amp;"'!"&amp;B5728)="",FALSE,IF(INDIRECT("'"&amp;A5728&amp;"'!"&amp;B5728)&lt;0,TRUE,FALSE))</f>
        <v>0</v>
      </c>
      <c r="E5728" t="s">
        <v>434</v>
      </c>
      <c r="F5728" t="str">
        <f>INDEX(Lists!I:I,MATCH(Validation!E5728,Lists!G:G,0))</f>
        <v>Error</v>
      </c>
      <c r="G5728" t="str">
        <f>INDEX(Lists!H:H,MATCH(Validation!E5728,Lists!G:G,0))</f>
        <v>Amount may not be negative. Enter an amount greater than or equal to zero.</v>
      </c>
      <c r="H5728" s="16" t="str">
        <f t="shared" ca="1" si="627"/>
        <v/>
      </c>
      <c r="I5728" s="16" t="str">
        <f t="shared" ca="1" si="628"/>
        <v/>
      </c>
      <c r="J5728" s="17" t="str">
        <f t="shared" ca="1" si="629"/>
        <v/>
      </c>
    </row>
    <row r="5729" spans="1:10" x14ac:dyDescent="0.25">
      <c r="A5729" t="s">
        <v>942</v>
      </c>
      <c r="B5729" t="str">
        <f>ADDRESS(ROW('Loan 1'!$C$25),COLUMN('Loan 1'!$C$25),4)</f>
        <v>C25</v>
      </c>
      <c r="C5729" t="str">
        <f>ADDRESS(ROW('Loan 1'!$D$25),COLUMN('Loan 1'!$D$25),4)</f>
        <v>D25</v>
      </c>
      <c r="D5729" t="b" cm="1">
        <f t="array" aca="1" ref="D5729" ca="1">IF(INDIRECT("'"&amp;A5729&amp;"'!"&amp;B5729)="",FALSE,IF(INDIRECT("'"&amp;A5729&amp;"'!"&amp;B5729)&lt;0,TRUE,FALSE))</f>
        <v>0</v>
      </c>
      <c r="E5729" t="s">
        <v>434</v>
      </c>
      <c r="F5729" t="str">
        <f>INDEX(Lists!I:I,MATCH(Validation!E5729,Lists!G:G,0))</f>
        <v>Error</v>
      </c>
      <c r="G5729" t="str">
        <f>INDEX(Lists!H:H,MATCH(Validation!E5729,Lists!G:G,0))</f>
        <v>Amount may not be negative. Enter an amount greater than or equal to zero.</v>
      </c>
      <c r="H5729" s="16" t="str">
        <f t="shared" ca="1" si="627"/>
        <v/>
      </c>
      <c r="I5729" s="16" t="str">
        <f t="shared" ca="1" si="628"/>
        <v/>
      </c>
      <c r="J5729" s="17" t="str">
        <f t="shared" ca="1" si="629"/>
        <v/>
      </c>
    </row>
    <row r="5730" spans="1:10" x14ac:dyDescent="0.25">
      <c r="A5730" t="s">
        <v>943</v>
      </c>
      <c r="B5730" t="str">
        <f>ADDRESS(ROW('Loan 1'!$C$25),COLUMN('Loan 1'!$C$25),4)</f>
        <v>C25</v>
      </c>
      <c r="C5730" t="str">
        <f>ADDRESS(ROW('Loan 1'!$D$25),COLUMN('Loan 1'!$D$25),4)</f>
        <v>D25</v>
      </c>
      <c r="D5730" t="b" cm="1">
        <f t="array" aca="1" ref="D5730" ca="1">IF(INDIRECT("'"&amp;A5730&amp;"'!"&amp;B5730)="",FALSE,IF(INDIRECT("'"&amp;A5730&amp;"'!"&amp;B5730)&lt;0,TRUE,FALSE))</f>
        <v>0</v>
      </c>
      <c r="E5730" t="s">
        <v>434</v>
      </c>
      <c r="F5730" t="str">
        <f>INDEX(Lists!I:I,MATCH(Validation!E5730,Lists!G:G,0))</f>
        <v>Error</v>
      </c>
      <c r="G5730" t="str">
        <f>INDEX(Lists!H:H,MATCH(Validation!E5730,Lists!G:G,0))</f>
        <v>Amount may not be negative. Enter an amount greater than or equal to zero.</v>
      </c>
      <c r="H5730" s="16" t="str">
        <f t="shared" ca="1" si="627"/>
        <v/>
      </c>
      <c r="I5730" s="16" t="str">
        <f t="shared" ca="1" si="628"/>
        <v/>
      </c>
      <c r="J5730" s="17" t="str">
        <f t="shared" ca="1" si="629"/>
        <v/>
      </c>
    </row>
    <row r="5731" spans="1:10" x14ac:dyDescent="0.25">
      <c r="A5731" t="s">
        <v>944</v>
      </c>
      <c r="B5731" t="str">
        <f>ADDRESS(ROW('Loan 1'!$C$25),COLUMN('Loan 1'!$C$25),4)</f>
        <v>C25</v>
      </c>
      <c r="C5731" t="str">
        <f>ADDRESS(ROW('Loan 1'!$D$25),COLUMN('Loan 1'!$D$25),4)</f>
        <v>D25</v>
      </c>
      <c r="D5731" t="b" cm="1">
        <f t="array" aca="1" ref="D5731" ca="1">IF(INDIRECT("'"&amp;A5731&amp;"'!"&amp;B5731)="",FALSE,IF(INDIRECT("'"&amp;A5731&amp;"'!"&amp;B5731)&lt;0,TRUE,FALSE))</f>
        <v>0</v>
      </c>
      <c r="E5731" t="s">
        <v>434</v>
      </c>
      <c r="F5731" t="str">
        <f>INDEX(Lists!I:I,MATCH(Validation!E5731,Lists!G:G,0))</f>
        <v>Error</v>
      </c>
      <c r="G5731" t="str">
        <f>INDEX(Lists!H:H,MATCH(Validation!E5731,Lists!G:G,0))</f>
        <v>Amount may not be negative. Enter an amount greater than or equal to zero.</v>
      </c>
      <c r="H5731" s="16" t="str">
        <f t="shared" ca="1" si="627"/>
        <v/>
      </c>
      <c r="I5731" s="16" t="str">
        <f t="shared" ca="1" si="628"/>
        <v/>
      </c>
      <c r="J5731" s="17" t="str">
        <f t="shared" ca="1" si="629"/>
        <v/>
      </c>
    </row>
    <row r="5732" spans="1:10" x14ac:dyDescent="0.25">
      <c r="A5732" t="s">
        <v>945</v>
      </c>
      <c r="B5732" t="str">
        <f>ADDRESS(ROW('Loan 1'!$C$25),COLUMN('Loan 1'!$C$25),4)</f>
        <v>C25</v>
      </c>
      <c r="C5732" t="str">
        <f>ADDRESS(ROW('Loan 1'!$D$25),COLUMN('Loan 1'!$D$25),4)</f>
        <v>D25</v>
      </c>
      <c r="D5732" t="b" cm="1">
        <f t="array" aca="1" ref="D5732" ca="1">IF(INDIRECT("'"&amp;A5732&amp;"'!"&amp;B5732)="",FALSE,IF(INDIRECT("'"&amp;A5732&amp;"'!"&amp;B5732)&lt;0,TRUE,FALSE))</f>
        <v>0</v>
      </c>
      <c r="E5732" t="s">
        <v>434</v>
      </c>
      <c r="F5732" t="str">
        <f>INDEX(Lists!I:I,MATCH(Validation!E5732,Lists!G:G,0))</f>
        <v>Error</v>
      </c>
      <c r="G5732" t="str">
        <f>INDEX(Lists!H:H,MATCH(Validation!E5732,Lists!G:G,0))</f>
        <v>Amount may not be negative. Enter an amount greater than or equal to zero.</v>
      </c>
      <c r="H5732" s="16" t="str">
        <f t="shared" ca="1" si="627"/>
        <v/>
      </c>
      <c r="I5732" s="16" t="str">
        <f t="shared" ca="1" si="628"/>
        <v/>
      </c>
      <c r="J5732" s="17" t="str">
        <f t="shared" ca="1" si="629"/>
        <v/>
      </c>
    </row>
    <row r="5733" spans="1:10" x14ac:dyDescent="0.25">
      <c r="A5733" t="s">
        <v>205</v>
      </c>
      <c r="B5733" t="str">
        <f>ADDRESS(ROW('Loan 1'!$C$25),COLUMN('Loan 1'!$C$25),4)</f>
        <v>C25</v>
      </c>
      <c r="C5733" t="str">
        <f>ADDRESS(ROW('Loan 1'!$D$25),COLUMN('Loan 1'!$D$25),4)</f>
        <v>D25</v>
      </c>
      <c r="D5733" t="b" cm="1">
        <f t="array" aca="1" ref="D5733" ca="1">IF(INDIRECT("'"&amp;A5733&amp;"'!"&amp;B5733)="",FALSE,IF(TRUNC(INDIRECT("'"&amp;A5733&amp;"'!"&amp;B5733))=INDIRECT("'"&amp;A5733&amp;"'!"&amp;B5733),FALSE,TRUE))</f>
        <v>0</v>
      </c>
      <c r="E5733" t="s">
        <v>436</v>
      </c>
      <c r="F5733" t="str">
        <f>INDEX(Lists!I:I,MATCH(Validation!E5733,Lists!G:G,0))</f>
        <v>Error</v>
      </c>
      <c r="G5733" t="str">
        <f>INDEX(Lists!H:H,MATCH(Validation!E5733,Lists!G:G,0))</f>
        <v>Amount must be rounded to the nearest dollar.</v>
      </c>
      <c r="H5733" s="16" t="str">
        <f t="shared" ca="1" si="627"/>
        <v/>
      </c>
      <c r="I5733" s="16" t="str">
        <f t="shared" ca="1" si="628"/>
        <v/>
      </c>
      <c r="J5733" s="17" t="str">
        <f t="shared" ca="1" si="629"/>
        <v/>
      </c>
    </row>
    <row r="5734" spans="1:10" x14ac:dyDescent="0.25">
      <c r="A5734" t="s">
        <v>932</v>
      </c>
      <c r="B5734" t="str">
        <f>ADDRESS(ROW('Loan 1'!$C$25),COLUMN('Loan 1'!$C$25),4)</f>
        <v>C25</v>
      </c>
      <c r="C5734" t="str">
        <f>ADDRESS(ROW('Loan 1'!$D$25),COLUMN('Loan 1'!$D$25),4)</f>
        <v>D25</v>
      </c>
      <c r="D5734" t="b" cm="1">
        <f t="array" aca="1" ref="D5734" ca="1">IF(INDIRECT("'"&amp;A5734&amp;"'!"&amp;B5734)="",FALSE,IF(TRUNC(INDIRECT("'"&amp;A5734&amp;"'!"&amp;B5734))=INDIRECT("'"&amp;A5734&amp;"'!"&amp;B5734),FALSE,TRUE))</f>
        <v>0</v>
      </c>
      <c r="E5734" t="s">
        <v>436</v>
      </c>
      <c r="F5734" t="str">
        <f>INDEX(Lists!I:I,MATCH(Validation!E5734,Lists!G:G,0))</f>
        <v>Error</v>
      </c>
      <c r="G5734" t="str">
        <f>INDEX(Lists!H:H,MATCH(Validation!E5734,Lists!G:G,0))</f>
        <v>Amount must be rounded to the nearest dollar.</v>
      </c>
      <c r="H5734" s="16" t="str">
        <f t="shared" ca="1" si="627"/>
        <v/>
      </c>
      <c r="I5734" s="16" t="str">
        <f t="shared" ca="1" si="628"/>
        <v/>
      </c>
      <c r="J5734" s="17" t="str">
        <f t="shared" ca="1" si="629"/>
        <v/>
      </c>
    </row>
    <row r="5735" spans="1:10" x14ac:dyDescent="0.25">
      <c r="A5735" t="s">
        <v>933</v>
      </c>
      <c r="B5735" t="str">
        <f>ADDRESS(ROW('Loan 1'!$C$25),COLUMN('Loan 1'!$C$25),4)</f>
        <v>C25</v>
      </c>
      <c r="C5735" t="str">
        <f>ADDRESS(ROW('Loan 1'!$D$25),COLUMN('Loan 1'!$D$25),4)</f>
        <v>D25</v>
      </c>
      <c r="D5735" t="b" cm="1">
        <f t="array" aca="1" ref="D5735" ca="1">IF(INDIRECT("'"&amp;A5735&amp;"'!"&amp;B5735)="",FALSE,IF(TRUNC(INDIRECT("'"&amp;A5735&amp;"'!"&amp;B5735))=INDIRECT("'"&amp;A5735&amp;"'!"&amp;B5735),FALSE,TRUE))</f>
        <v>0</v>
      </c>
      <c r="E5735" t="s">
        <v>436</v>
      </c>
      <c r="F5735" t="str">
        <f>INDEX(Lists!I:I,MATCH(Validation!E5735,Lists!G:G,0))</f>
        <v>Error</v>
      </c>
      <c r="G5735" t="str">
        <f>INDEX(Lists!H:H,MATCH(Validation!E5735,Lists!G:G,0))</f>
        <v>Amount must be rounded to the nearest dollar.</v>
      </c>
      <c r="H5735" s="16" t="str">
        <f t="shared" ca="1" si="627"/>
        <v/>
      </c>
      <c r="I5735" s="16" t="str">
        <f t="shared" ca="1" si="628"/>
        <v/>
      </c>
      <c r="J5735" s="17" t="str">
        <f t="shared" ca="1" si="629"/>
        <v/>
      </c>
    </row>
    <row r="5736" spans="1:10" x14ac:dyDescent="0.25">
      <c r="A5736" t="s">
        <v>934</v>
      </c>
      <c r="B5736" t="str">
        <f>ADDRESS(ROW('Loan 1'!$C$25),COLUMN('Loan 1'!$C$25),4)</f>
        <v>C25</v>
      </c>
      <c r="C5736" t="str">
        <f>ADDRESS(ROW('Loan 1'!$D$25),COLUMN('Loan 1'!$D$25),4)</f>
        <v>D25</v>
      </c>
      <c r="D5736" t="b" cm="1">
        <f t="array" aca="1" ref="D5736" ca="1">IF(INDIRECT("'"&amp;A5736&amp;"'!"&amp;B5736)="",FALSE,IF(TRUNC(INDIRECT("'"&amp;A5736&amp;"'!"&amp;B5736))=INDIRECT("'"&amp;A5736&amp;"'!"&amp;B5736),FALSE,TRUE))</f>
        <v>0</v>
      </c>
      <c r="E5736" t="s">
        <v>436</v>
      </c>
      <c r="F5736" t="str">
        <f>INDEX(Lists!I:I,MATCH(Validation!E5736,Lists!G:G,0))</f>
        <v>Error</v>
      </c>
      <c r="G5736" t="str">
        <f>INDEX(Lists!H:H,MATCH(Validation!E5736,Lists!G:G,0))</f>
        <v>Amount must be rounded to the nearest dollar.</v>
      </c>
      <c r="H5736" s="16" t="str">
        <f t="shared" ca="1" si="627"/>
        <v/>
      </c>
      <c r="I5736" s="16" t="str">
        <f t="shared" ca="1" si="628"/>
        <v/>
      </c>
      <c r="J5736" s="17" t="str">
        <f t="shared" ca="1" si="629"/>
        <v/>
      </c>
    </row>
    <row r="5737" spans="1:10" x14ac:dyDescent="0.25">
      <c r="A5737" t="s">
        <v>935</v>
      </c>
      <c r="B5737" t="str">
        <f>ADDRESS(ROW('Loan 1'!$C$25),COLUMN('Loan 1'!$C$25),4)</f>
        <v>C25</v>
      </c>
      <c r="C5737" t="str">
        <f>ADDRESS(ROW('Loan 1'!$D$25),COLUMN('Loan 1'!$D$25),4)</f>
        <v>D25</v>
      </c>
      <c r="D5737" t="b" cm="1">
        <f t="array" aca="1" ref="D5737" ca="1">IF(INDIRECT("'"&amp;A5737&amp;"'!"&amp;B5737)="",FALSE,IF(TRUNC(INDIRECT("'"&amp;A5737&amp;"'!"&amp;B5737))=INDIRECT("'"&amp;A5737&amp;"'!"&amp;B5737),FALSE,TRUE))</f>
        <v>0</v>
      </c>
      <c r="E5737" t="s">
        <v>436</v>
      </c>
      <c r="F5737" t="str">
        <f>INDEX(Lists!I:I,MATCH(Validation!E5737,Lists!G:G,0))</f>
        <v>Error</v>
      </c>
      <c r="G5737" t="str">
        <f>INDEX(Lists!H:H,MATCH(Validation!E5737,Lists!G:G,0))</f>
        <v>Amount must be rounded to the nearest dollar.</v>
      </c>
      <c r="H5737" s="16" t="str">
        <f t="shared" ca="1" si="627"/>
        <v/>
      </c>
      <c r="I5737" s="16" t="str">
        <f t="shared" ca="1" si="628"/>
        <v/>
      </c>
      <c r="J5737" s="17" t="str">
        <f t="shared" ca="1" si="629"/>
        <v/>
      </c>
    </row>
    <row r="5738" spans="1:10" x14ac:dyDescent="0.25">
      <c r="A5738" t="s">
        <v>936</v>
      </c>
      <c r="B5738" t="str">
        <f>ADDRESS(ROW('Loan 1'!$C$25),COLUMN('Loan 1'!$C$25),4)</f>
        <v>C25</v>
      </c>
      <c r="C5738" t="str">
        <f>ADDRESS(ROW('Loan 1'!$D$25),COLUMN('Loan 1'!$D$25),4)</f>
        <v>D25</v>
      </c>
      <c r="D5738" t="b" cm="1">
        <f t="array" aca="1" ref="D5738" ca="1">IF(INDIRECT("'"&amp;A5738&amp;"'!"&amp;B5738)="",FALSE,IF(TRUNC(INDIRECT("'"&amp;A5738&amp;"'!"&amp;B5738))=INDIRECT("'"&amp;A5738&amp;"'!"&amp;B5738),FALSE,TRUE))</f>
        <v>0</v>
      </c>
      <c r="E5738" t="s">
        <v>436</v>
      </c>
      <c r="F5738" t="str">
        <f>INDEX(Lists!I:I,MATCH(Validation!E5738,Lists!G:G,0))</f>
        <v>Error</v>
      </c>
      <c r="G5738" t="str">
        <f>INDEX(Lists!H:H,MATCH(Validation!E5738,Lists!G:G,0))</f>
        <v>Amount must be rounded to the nearest dollar.</v>
      </c>
      <c r="H5738" s="16" t="str">
        <f t="shared" ca="1" si="627"/>
        <v/>
      </c>
      <c r="I5738" s="16" t="str">
        <f t="shared" ca="1" si="628"/>
        <v/>
      </c>
      <c r="J5738" s="17" t="str">
        <f t="shared" ca="1" si="629"/>
        <v/>
      </c>
    </row>
    <row r="5739" spans="1:10" x14ac:dyDescent="0.25">
      <c r="A5739" t="s">
        <v>937</v>
      </c>
      <c r="B5739" t="str">
        <f>ADDRESS(ROW('Loan 1'!$C$25),COLUMN('Loan 1'!$C$25),4)</f>
        <v>C25</v>
      </c>
      <c r="C5739" t="str">
        <f>ADDRESS(ROW('Loan 1'!$D$25),COLUMN('Loan 1'!$D$25),4)</f>
        <v>D25</v>
      </c>
      <c r="D5739" t="b" cm="1">
        <f t="array" aca="1" ref="D5739" ca="1">IF(INDIRECT("'"&amp;A5739&amp;"'!"&amp;B5739)="",FALSE,IF(TRUNC(INDIRECT("'"&amp;A5739&amp;"'!"&amp;B5739))=INDIRECT("'"&amp;A5739&amp;"'!"&amp;B5739),FALSE,TRUE))</f>
        <v>0</v>
      </c>
      <c r="E5739" t="s">
        <v>436</v>
      </c>
      <c r="F5739" t="str">
        <f>INDEX(Lists!I:I,MATCH(Validation!E5739,Lists!G:G,0))</f>
        <v>Error</v>
      </c>
      <c r="G5739" t="str">
        <f>INDEX(Lists!H:H,MATCH(Validation!E5739,Lists!G:G,0))</f>
        <v>Amount must be rounded to the nearest dollar.</v>
      </c>
      <c r="H5739" s="16" t="str">
        <f t="shared" ca="1" si="627"/>
        <v/>
      </c>
      <c r="I5739" s="16" t="str">
        <f t="shared" ca="1" si="628"/>
        <v/>
      </c>
      <c r="J5739" s="17" t="str">
        <f t="shared" ca="1" si="629"/>
        <v/>
      </c>
    </row>
    <row r="5740" spans="1:10" x14ac:dyDescent="0.25">
      <c r="A5740" t="s">
        <v>938</v>
      </c>
      <c r="B5740" t="str">
        <f>ADDRESS(ROW('Loan 1'!$C$25),COLUMN('Loan 1'!$C$25),4)</f>
        <v>C25</v>
      </c>
      <c r="C5740" t="str">
        <f>ADDRESS(ROW('Loan 1'!$D$25),COLUMN('Loan 1'!$D$25),4)</f>
        <v>D25</v>
      </c>
      <c r="D5740" t="b" cm="1">
        <f t="array" aca="1" ref="D5740" ca="1">IF(INDIRECT("'"&amp;A5740&amp;"'!"&amp;B5740)="",FALSE,IF(TRUNC(INDIRECT("'"&amp;A5740&amp;"'!"&amp;B5740))=INDIRECT("'"&amp;A5740&amp;"'!"&amp;B5740),FALSE,TRUE))</f>
        <v>0</v>
      </c>
      <c r="E5740" t="s">
        <v>436</v>
      </c>
      <c r="F5740" t="str">
        <f>INDEX(Lists!I:I,MATCH(Validation!E5740,Lists!G:G,0))</f>
        <v>Error</v>
      </c>
      <c r="G5740" t="str">
        <f>INDEX(Lists!H:H,MATCH(Validation!E5740,Lists!G:G,0))</f>
        <v>Amount must be rounded to the nearest dollar.</v>
      </c>
      <c r="H5740" s="16" t="str">
        <f t="shared" ca="1" si="627"/>
        <v/>
      </c>
      <c r="I5740" s="16" t="str">
        <f t="shared" ca="1" si="628"/>
        <v/>
      </c>
      <c r="J5740" s="17" t="str">
        <f t="shared" ca="1" si="629"/>
        <v/>
      </c>
    </row>
    <row r="5741" spans="1:10" x14ac:dyDescent="0.25">
      <c r="A5741" t="s">
        <v>939</v>
      </c>
      <c r="B5741" t="str">
        <f>ADDRESS(ROW('Loan 1'!$C$25),COLUMN('Loan 1'!$C$25),4)</f>
        <v>C25</v>
      </c>
      <c r="C5741" t="str">
        <f>ADDRESS(ROW('Loan 1'!$D$25),COLUMN('Loan 1'!$D$25),4)</f>
        <v>D25</v>
      </c>
      <c r="D5741" t="b" cm="1">
        <f t="array" aca="1" ref="D5741" ca="1">IF(INDIRECT("'"&amp;A5741&amp;"'!"&amp;B5741)="",FALSE,IF(TRUNC(INDIRECT("'"&amp;A5741&amp;"'!"&amp;B5741))=INDIRECT("'"&amp;A5741&amp;"'!"&amp;B5741),FALSE,TRUE))</f>
        <v>0</v>
      </c>
      <c r="E5741" t="s">
        <v>436</v>
      </c>
      <c r="F5741" t="str">
        <f>INDEX(Lists!I:I,MATCH(Validation!E5741,Lists!G:G,0))</f>
        <v>Error</v>
      </c>
      <c r="G5741" t="str">
        <f>INDEX(Lists!H:H,MATCH(Validation!E5741,Lists!G:G,0))</f>
        <v>Amount must be rounded to the nearest dollar.</v>
      </c>
      <c r="H5741" s="16" t="str">
        <f t="shared" ca="1" si="627"/>
        <v/>
      </c>
      <c r="I5741" s="16" t="str">
        <f t="shared" ca="1" si="628"/>
        <v/>
      </c>
      <c r="J5741" s="17" t="str">
        <f t="shared" ca="1" si="629"/>
        <v/>
      </c>
    </row>
    <row r="5742" spans="1:10" x14ac:dyDescent="0.25">
      <c r="A5742" t="s">
        <v>940</v>
      </c>
      <c r="B5742" t="str">
        <f>ADDRESS(ROW('Loan 1'!$C$25),COLUMN('Loan 1'!$C$25),4)</f>
        <v>C25</v>
      </c>
      <c r="C5742" t="str">
        <f>ADDRESS(ROW('Loan 1'!$D$25),COLUMN('Loan 1'!$D$25),4)</f>
        <v>D25</v>
      </c>
      <c r="D5742" t="b" cm="1">
        <f t="array" aca="1" ref="D5742" ca="1">IF(INDIRECT("'"&amp;A5742&amp;"'!"&amp;B5742)="",FALSE,IF(TRUNC(INDIRECT("'"&amp;A5742&amp;"'!"&amp;B5742))=INDIRECT("'"&amp;A5742&amp;"'!"&amp;B5742),FALSE,TRUE))</f>
        <v>0</v>
      </c>
      <c r="E5742" t="s">
        <v>436</v>
      </c>
      <c r="F5742" t="str">
        <f>INDEX(Lists!I:I,MATCH(Validation!E5742,Lists!G:G,0))</f>
        <v>Error</v>
      </c>
      <c r="G5742" t="str">
        <f>INDEX(Lists!H:H,MATCH(Validation!E5742,Lists!G:G,0))</f>
        <v>Amount must be rounded to the nearest dollar.</v>
      </c>
      <c r="H5742" s="16" t="str">
        <f t="shared" ca="1" si="627"/>
        <v/>
      </c>
      <c r="I5742" s="16" t="str">
        <f t="shared" ca="1" si="628"/>
        <v/>
      </c>
      <c r="J5742" s="17" t="str">
        <f t="shared" ca="1" si="629"/>
        <v/>
      </c>
    </row>
    <row r="5743" spans="1:10" x14ac:dyDescent="0.25">
      <c r="A5743" t="s">
        <v>941</v>
      </c>
      <c r="B5743" t="str">
        <f>ADDRESS(ROW('Loan 1'!$C$25),COLUMN('Loan 1'!$C$25),4)</f>
        <v>C25</v>
      </c>
      <c r="C5743" t="str">
        <f>ADDRESS(ROW('Loan 1'!$D$25),COLUMN('Loan 1'!$D$25),4)</f>
        <v>D25</v>
      </c>
      <c r="D5743" t="b" cm="1">
        <f t="array" aca="1" ref="D5743" ca="1">IF(INDIRECT("'"&amp;A5743&amp;"'!"&amp;B5743)="",FALSE,IF(TRUNC(INDIRECT("'"&amp;A5743&amp;"'!"&amp;B5743))=INDIRECT("'"&amp;A5743&amp;"'!"&amp;B5743),FALSE,TRUE))</f>
        <v>0</v>
      </c>
      <c r="E5743" t="s">
        <v>436</v>
      </c>
      <c r="F5743" t="str">
        <f>INDEX(Lists!I:I,MATCH(Validation!E5743,Lists!G:G,0))</f>
        <v>Error</v>
      </c>
      <c r="G5743" t="str">
        <f>INDEX(Lists!H:H,MATCH(Validation!E5743,Lists!G:G,0))</f>
        <v>Amount must be rounded to the nearest dollar.</v>
      </c>
      <c r="H5743" s="16" t="str">
        <f t="shared" ca="1" si="627"/>
        <v/>
      </c>
      <c r="I5743" s="16" t="str">
        <f t="shared" ca="1" si="628"/>
        <v/>
      </c>
      <c r="J5743" s="17" t="str">
        <f t="shared" ca="1" si="629"/>
        <v/>
      </c>
    </row>
    <row r="5744" spans="1:10" x14ac:dyDescent="0.25">
      <c r="A5744" t="s">
        <v>942</v>
      </c>
      <c r="B5744" t="str">
        <f>ADDRESS(ROW('Loan 1'!$C$25),COLUMN('Loan 1'!$C$25),4)</f>
        <v>C25</v>
      </c>
      <c r="C5744" t="str">
        <f>ADDRESS(ROW('Loan 1'!$D$25),COLUMN('Loan 1'!$D$25),4)</f>
        <v>D25</v>
      </c>
      <c r="D5744" t="b" cm="1">
        <f t="array" aca="1" ref="D5744" ca="1">IF(INDIRECT("'"&amp;A5744&amp;"'!"&amp;B5744)="",FALSE,IF(TRUNC(INDIRECT("'"&amp;A5744&amp;"'!"&amp;B5744))=INDIRECT("'"&amp;A5744&amp;"'!"&amp;B5744),FALSE,TRUE))</f>
        <v>0</v>
      </c>
      <c r="E5744" t="s">
        <v>436</v>
      </c>
      <c r="F5744" t="str">
        <f>INDEX(Lists!I:I,MATCH(Validation!E5744,Lists!G:G,0))</f>
        <v>Error</v>
      </c>
      <c r="G5744" t="str">
        <f>INDEX(Lists!H:H,MATCH(Validation!E5744,Lists!G:G,0))</f>
        <v>Amount must be rounded to the nearest dollar.</v>
      </c>
      <c r="H5744" s="16" t="str">
        <f t="shared" ca="1" si="627"/>
        <v/>
      </c>
      <c r="I5744" s="16" t="str">
        <f t="shared" ca="1" si="628"/>
        <v/>
      </c>
      <c r="J5744" s="17" t="str">
        <f t="shared" ca="1" si="629"/>
        <v/>
      </c>
    </row>
    <row r="5745" spans="1:10" x14ac:dyDescent="0.25">
      <c r="A5745" t="s">
        <v>943</v>
      </c>
      <c r="B5745" t="str">
        <f>ADDRESS(ROW('Loan 1'!$C$25),COLUMN('Loan 1'!$C$25),4)</f>
        <v>C25</v>
      </c>
      <c r="C5745" t="str">
        <f>ADDRESS(ROW('Loan 1'!$D$25),COLUMN('Loan 1'!$D$25),4)</f>
        <v>D25</v>
      </c>
      <c r="D5745" t="b" cm="1">
        <f t="array" aca="1" ref="D5745" ca="1">IF(INDIRECT("'"&amp;A5745&amp;"'!"&amp;B5745)="",FALSE,IF(TRUNC(INDIRECT("'"&amp;A5745&amp;"'!"&amp;B5745))=INDIRECT("'"&amp;A5745&amp;"'!"&amp;B5745),FALSE,TRUE))</f>
        <v>0</v>
      </c>
      <c r="E5745" t="s">
        <v>436</v>
      </c>
      <c r="F5745" t="str">
        <f>INDEX(Lists!I:I,MATCH(Validation!E5745,Lists!G:G,0))</f>
        <v>Error</v>
      </c>
      <c r="G5745" t="str">
        <f>INDEX(Lists!H:H,MATCH(Validation!E5745,Lists!G:G,0))</f>
        <v>Amount must be rounded to the nearest dollar.</v>
      </c>
      <c r="H5745" s="16" t="str">
        <f t="shared" ca="1" si="627"/>
        <v/>
      </c>
      <c r="I5745" s="16" t="str">
        <f t="shared" ca="1" si="628"/>
        <v/>
      </c>
      <c r="J5745" s="17" t="str">
        <f t="shared" ca="1" si="629"/>
        <v/>
      </c>
    </row>
    <row r="5746" spans="1:10" x14ac:dyDescent="0.25">
      <c r="A5746" t="s">
        <v>944</v>
      </c>
      <c r="B5746" t="str">
        <f>ADDRESS(ROW('Loan 1'!$C$25),COLUMN('Loan 1'!$C$25),4)</f>
        <v>C25</v>
      </c>
      <c r="C5746" t="str">
        <f>ADDRESS(ROW('Loan 1'!$D$25),COLUMN('Loan 1'!$D$25),4)</f>
        <v>D25</v>
      </c>
      <c r="D5746" t="b" cm="1">
        <f t="array" aca="1" ref="D5746" ca="1">IF(INDIRECT("'"&amp;A5746&amp;"'!"&amp;B5746)="",FALSE,IF(TRUNC(INDIRECT("'"&amp;A5746&amp;"'!"&amp;B5746))=INDIRECT("'"&amp;A5746&amp;"'!"&amp;B5746),FALSE,TRUE))</f>
        <v>0</v>
      </c>
      <c r="E5746" t="s">
        <v>436</v>
      </c>
      <c r="F5746" t="str">
        <f>INDEX(Lists!I:I,MATCH(Validation!E5746,Lists!G:G,0))</f>
        <v>Error</v>
      </c>
      <c r="G5746" t="str">
        <f>INDEX(Lists!H:H,MATCH(Validation!E5746,Lists!G:G,0))</f>
        <v>Amount must be rounded to the nearest dollar.</v>
      </c>
      <c r="H5746" s="16" t="str">
        <f t="shared" ca="1" si="627"/>
        <v/>
      </c>
      <c r="I5746" s="16" t="str">
        <f t="shared" ca="1" si="628"/>
        <v/>
      </c>
      <c r="J5746" s="17" t="str">
        <f t="shared" ca="1" si="629"/>
        <v/>
      </c>
    </row>
    <row r="5747" spans="1:10" x14ac:dyDescent="0.25">
      <c r="A5747" t="s">
        <v>945</v>
      </c>
      <c r="B5747" t="str">
        <f>ADDRESS(ROW('Loan 1'!$C$25),COLUMN('Loan 1'!$C$25),4)</f>
        <v>C25</v>
      </c>
      <c r="C5747" t="str">
        <f>ADDRESS(ROW('Loan 1'!$D$25),COLUMN('Loan 1'!$D$25),4)</f>
        <v>D25</v>
      </c>
      <c r="D5747" t="b" cm="1">
        <f t="array" aca="1" ref="D5747" ca="1">IF(INDIRECT("'"&amp;A5747&amp;"'!"&amp;B5747)="",FALSE,IF(TRUNC(INDIRECT("'"&amp;A5747&amp;"'!"&amp;B5747))=INDIRECT("'"&amp;A5747&amp;"'!"&amp;B5747),FALSE,TRUE))</f>
        <v>0</v>
      </c>
      <c r="E5747" t="s">
        <v>436</v>
      </c>
      <c r="F5747" t="str">
        <f>INDEX(Lists!I:I,MATCH(Validation!E5747,Lists!G:G,0))</f>
        <v>Error</v>
      </c>
      <c r="G5747" t="str">
        <f>INDEX(Lists!H:H,MATCH(Validation!E5747,Lists!G:G,0))</f>
        <v>Amount must be rounded to the nearest dollar.</v>
      </c>
      <c r="H5747" s="16" t="str">
        <f t="shared" ca="1" si="627"/>
        <v/>
      </c>
      <c r="I5747" s="16" t="str">
        <f t="shared" ca="1" si="628"/>
        <v/>
      </c>
      <c r="J5747" s="17" t="str">
        <f t="shared" ca="1" si="629"/>
        <v/>
      </c>
    </row>
    <row r="5748" spans="1:10" x14ac:dyDescent="0.25">
      <c r="A5748" t="s">
        <v>205</v>
      </c>
      <c r="B5748" t="str">
        <f>ADDRESS(ROW('Loan 1'!$B$26),COLUMN('Loan 1'!$B$26),4)</f>
        <v>B26</v>
      </c>
      <c r="C5748" t="str">
        <f>ADDRESS(ROW('Loan 1'!$D$26),COLUMN('Loan 1'!$D$26),4)</f>
        <v>D26</v>
      </c>
      <c r="D5748" t="b" cm="1">
        <f t="array" aca="1" ref="D5748" ca="1">IF(INDIRECT("'"&amp;A5748&amp;"'!"&amp;B5748)="",FALSE,IF(NOT(ISNUMBER(INDIRECT("'"&amp;A5748&amp;"'!"&amp;B5748))),TRUE,FALSE))</f>
        <v>0</v>
      </c>
      <c r="E5748" t="s">
        <v>435</v>
      </c>
      <c r="F5748" t="str">
        <f>INDEX(Lists!I:I,MATCH(Validation!E5748,Lists!G:G,0))</f>
        <v>Error</v>
      </c>
      <c r="G5748" t="str">
        <f>INDEX(Lists!H:H,MATCH(Validation!E5748,Lists!G:G,0))</f>
        <v>Enter an amount only. Do not enter text or spaces.</v>
      </c>
      <c r="H5748" s="16" t="str">
        <f ca="1">IFERROR(IF(OR(NOT(D5748),F5748&lt;&gt;"Error"),"",A5748&amp;CELL("address",INDIRECT(B5748))),"")</f>
        <v/>
      </c>
      <c r="I5748" s="16" t="str">
        <f ca="1">IFERROR(IF(NOT(D5748),"",A5748&amp;CELL("address",INDIRECT(C5748))),"")</f>
        <v/>
      </c>
      <c r="J5748" s="17" t="str">
        <f ca="1">IFERROR(IF(NOT(D5748),"",A5748),"")</f>
        <v/>
      </c>
    </row>
    <row r="5749" spans="1:10" x14ac:dyDescent="0.25">
      <c r="A5749" t="s">
        <v>932</v>
      </c>
      <c r="B5749" t="str">
        <f>ADDRESS(ROW('Loan 1'!$B$26),COLUMN('Loan 1'!$B$26),4)</f>
        <v>B26</v>
      </c>
      <c r="C5749" t="str">
        <f>ADDRESS(ROW('Loan 1'!$D$26),COLUMN('Loan 1'!$D$26),4)</f>
        <v>D26</v>
      </c>
      <c r="D5749" t="b" cm="1">
        <f t="array" aca="1" ref="D5749" ca="1">IF(INDIRECT("'"&amp;A5749&amp;"'!"&amp;B5749)="",FALSE,IF(NOT(ISNUMBER(INDIRECT("'"&amp;A5749&amp;"'!"&amp;B5749))),TRUE,FALSE))</f>
        <v>0</v>
      </c>
      <c r="E5749" t="s">
        <v>435</v>
      </c>
      <c r="F5749" t="str">
        <f>INDEX(Lists!I:I,MATCH(Validation!E5749,Lists!G:G,0))</f>
        <v>Error</v>
      </c>
      <c r="G5749" t="str">
        <f>INDEX(Lists!H:H,MATCH(Validation!E5749,Lists!G:G,0))</f>
        <v>Enter an amount only. Do not enter text or spaces.</v>
      </c>
      <c r="H5749" s="16" t="str">
        <f t="shared" ref="H5749:H5762" ca="1" si="630">IFERROR(IF(OR(NOT(D5749),F5749&lt;&gt;"Error"),"",A5749&amp;CELL("address",INDIRECT(B5749))),"")</f>
        <v/>
      </c>
      <c r="I5749" s="16" t="str">
        <f t="shared" ref="I5749:I5762" ca="1" si="631">IFERROR(IF(NOT(D5749),"",A5749&amp;CELL("address",INDIRECT(C5749))),"")</f>
        <v/>
      </c>
      <c r="J5749" s="17" t="str">
        <f t="shared" ref="J5749:J5762" ca="1" si="632">IFERROR(IF(NOT(D5749),"",A5749),"")</f>
        <v/>
      </c>
    </row>
    <row r="5750" spans="1:10" x14ac:dyDescent="0.25">
      <c r="A5750" t="s">
        <v>933</v>
      </c>
      <c r="B5750" t="str">
        <f>ADDRESS(ROW('Loan 1'!$B$26),COLUMN('Loan 1'!$B$26),4)</f>
        <v>B26</v>
      </c>
      <c r="C5750" t="str">
        <f>ADDRESS(ROW('Loan 1'!$D$26),COLUMN('Loan 1'!$D$26),4)</f>
        <v>D26</v>
      </c>
      <c r="D5750" t="b" cm="1">
        <f t="array" aca="1" ref="D5750" ca="1">IF(INDIRECT("'"&amp;A5750&amp;"'!"&amp;B5750)="",FALSE,IF(NOT(ISNUMBER(INDIRECT("'"&amp;A5750&amp;"'!"&amp;B5750))),TRUE,FALSE))</f>
        <v>0</v>
      </c>
      <c r="E5750" t="s">
        <v>435</v>
      </c>
      <c r="F5750" t="str">
        <f>INDEX(Lists!I:I,MATCH(Validation!E5750,Lists!G:G,0))</f>
        <v>Error</v>
      </c>
      <c r="G5750" t="str">
        <f>INDEX(Lists!H:H,MATCH(Validation!E5750,Lists!G:G,0))</f>
        <v>Enter an amount only. Do not enter text or spaces.</v>
      </c>
      <c r="H5750" s="16" t="str">
        <f t="shared" ca="1" si="630"/>
        <v/>
      </c>
      <c r="I5750" s="16" t="str">
        <f t="shared" ca="1" si="631"/>
        <v/>
      </c>
      <c r="J5750" s="17" t="str">
        <f t="shared" ca="1" si="632"/>
        <v/>
      </c>
    </row>
    <row r="5751" spans="1:10" x14ac:dyDescent="0.25">
      <c r="A5751" t="s">
        <v>934</v>
      </c>
      <c r="B5751" t="str">
        <f>ADDRESS(ROW('Loan 1'!$B$26),COLUMN('Loan 1'!$B$26),4)</f>
        <v>B26</v>
      </c>
      <c r="C5751" t="str">
        <f>ADDRESS(ROW('Loan 1'!$D$26),COLUMN('Loan 1'!$D$26),4)</f>
        <v>D26</v>
      </c>
      <c r="D5751" t="b" cm="1">
        <f t="array" aca="1" ref="D5751" ca="1">IF(INDIRECT("'"&amp;A5751&amp;"'!"&amp;B5751)="",FALSE,IF(NOT(ISNUMBER(INDIRECT("'"&amp;A5751&amp;"'!"&amp;B5751))),TRUE,FALSE))</f>
        <v>0</v>
      </c>
      <c r="E5751" t="s">
        <v>435</v>
      </c>
      <c r="F5751" t="str">
        <f>INDEX(Lists!I:I,MATCH(Validation!E5751,Lists!G:G,0))</f>
        <v>Error</v>
      </c>
      <c r="G5751" t="str">
        <f>INDEX(Lists!H:H,MATCH(Validation!E5751,Lists!G:G,0))</f>
        <v>Enter an amount only. Do not enter text or spaces.</v>
      </c>
      <c r="H5751" s="16" t="str">
        <f t="shared" ca="1" si="630"/>
        <v/>
      </c>
      <c r="I5751" s="16" t="str">
        <f t="shared" ca="1" si="631"/>
        <v/>
      </c>
      <c r="J5751" s="17" t="str">
        <f t="shared" ca="1" si="632"/>
        <v/>
      </c>
    </row>
    <row r="5752" spans="1:10" x14ac:dyDescent="0.25">
      <c r="A5752" t="s">
        <v>935</v>
      </c>
      <c r="B5752" t="str">
        <f>ADDRESS(ROW('Loan 1'!$B$26),COLUMN('Loan 1'!$B$26),4)</f>
        <v>B26</v>
      </c>
      <c r="C5752" t="str">
        <f>ADDRESS(ROW('Loan 1'!$D$26),COLUMN('Loan 1'!$D$26),4)</f>
        <v>D26</v>
      </c>
      <c r="D5752" t="b" cm="1">
        <f t="array" aca="1" ref="D5752" ca="1">IF(INDIRECT("'"&amp;A5752&amp;"'!"&amp;B5752)="",FALSE,IF(NOT(ISNUMBER(INDIRECT("'"&amp;A5752&amp;"'!"&amp;B5752))),TRUE,FALSE))</f>
        <v>0</v>
      </c>
      <c r="E5752" t="s">
        <v>435</v>
      </c>
      <c r="F5752" t="str">
        <f>INDEX(Lists!I:I,MATCH(Validation!E5752,Lists!G:G,0))</f>
        <v>Error</v>
      </c>
      <c r="G5752" t="str">
        <f>INDEX(Lists!H:H,MATCH(Validation!E5752,Lists!G:G,0))</f>
        <v>Enter an amount only. Do not enter text or spaces.</v>
      </c>
      <c r="H5752" s="16" t="str">
        <f t="shared" ca="1" si="630"/>
        <v/>
      </c>
      <c r="I5752" s="16" t="str">
        <f t="shared" ca="1" si="631"/>
        <v/>
      </c>
      <c r="J5752" s="17" t="str">
        <f t="shared" ca="1" si="632"/>
        <v/>
      </c>
    </row>
    <row r="5753" spans="1:10" x14ac:dyDescent="0.25">
      <c r="A5753" t="s">
        <v>936</v>
      </c>
      <c r="B5753" t="str">
        <f>ADDRESS(ROW('Loan 1'!$B$26),COLUMN('Loan 1'!$B$26),4)</f>
        <v>B26</v>
      </c>
      <c r="C5753" t="str">
        <f>ADDRESS(ROW('Loan 1'!$D$26),COLUMN('Loan 1'!$D$26),4)</f>
        <v>D26</v>
      </c>
      <c r="D5753" t="b" cm="1">
        <f t="array" aca="1" ref="D5753" ca="1">IF(INDIRECT("'"&amp;A5753&amp;"'!"&amp;B5753)="",FALSE,IF(NOT(ISNUMBER(INDIRECT("'"&amp;A5753&amp;"'!"&amp;B5753))),TRUE,FALSE))</f>
        <v>0</v>
      </c>
      <c r="E5753" t="s">
        <v>435</v>
      </c>
      <c r="F5753" t="str">
        <f>INDEX(Lists!I:I,MATCH(Validation!E5753,Lists!G:G,0))</f>
        <v>Error</v>
      </c>
      <c r="G5753" t="str">
        <f>INDEX(Lists!H:H,MATCH(Validation!E5753,Lists!G:G,0))</f>
        <v>Enter an amount only. Do not enter text or spaces.</v>
      </c>
      <c r="H5753" s="16" t="str">
        <f t="shared" ca="1" si="630"/>
        <v/>
      </c>
      <c r="I5753" s="16" t="str">
        <f t="shared" ca="1" si="631"/>
        <v/>
      </c>
      <c r="J5753" s="17" t="str">
        <f t="shared" ca="1" si="632"/>
        <v/>
      </c>
    </row>
    <row r="5754" spans="1:10" x14ac:dyDescent="0.25">
      <c r="A5754" t="s">
        <v>937</v>
      </c>
      <c r="B5754" t="str">
        <f>ADDRESS(ROW('Loan 1'!$B$26),COLUMN('Loan 1'!$B$26),4)</f>
        <v>B26</v>
      </c>
      <c r="C5754" t="str">
        <f>ADDRESS(ROW('Loan 1'!$D$26),COLUMN('Loan 1'!$D$26),4)</f>
        <v>D26</v>
      </c>
      <c r="D5754" t="b" cm="1">
        <f t="array" aca="1" ref="D5754" ca="1">IF(INDIRECT("'"&amp;A5754&amp;"'!"&amp;B5754)="",FALSE,IF(NOT(ISNUMBER(INDIRECT("'"&amp;A5754&amp;"'!"&amp;B5754))),TRUE,FALSE))</f>
        <v>0</v>
      </c>
      <c r="E5754" t="s">
        <v>435</v>
      </c>
      <c r="F5754" t="str">
        <f>INDEX(Lists!I:I,MATCH(Validation!E5754,Lists!G:G,0))</f>
        <v>Error</v>
      </c>
      <c r="G5754" t="str">
        <f>INDEX(Lists!H:H,MATCH(Validation!E5754,Lists!G:G,0))</f>
        <v>Enter an amount only. Do not enter text or spaces.</v>
      </c>
      <c r="H5754" s="16" t="str">
        <f t="shared" ca="1" si="630"/>
        <v/>
      </c>
      <c r="I5754" s="16" t="str">
        <f t="shared" ca="1" si="631"/>
        <v/>
      </c>
      <c r="J5754" s="17" t="str">
        <f t="shared" ca="1" si="632"/>
        <v/>
      </c>
    </row>
    <row r="5755" spans="1:10" x14ac:dyDescent="0.25">
      <c r="A5755" t="s">
        <v>938</v>
      </c>
      <c r="B5755" t="str">
        <f>ADDRESS(ROW('Loan 1'!$B$26),COLUMN('Loan 1'!$B$26),4)</f>
        <v>B26</v>
      </c>
      <c r="C5755" t="str">
        <f>ADDRESS(ROW('Loan 1'!$D$26),COLUMN('Loan 1'!$D$26),4)</f>
        <v>D26</v>
      </c>
      <c r="D5755" t="b" cm="1">
        <f t="array" aca="1" ref="D5755" ca="1">IF(INDIRECT("'"&amp;A5755&amp;"'!"&amp;B5755)="",FALSE,IF(NOT(ISNUMBER(INDIRECT("'"&amp;A5755&amp;"'!"&amp;B5755))),TRUE,FALSE))</f>
        <v>0</v>
      </c>
      <c r="E5755" t="s">
        <v>435</v>
      </c>
      <c r="F5755" t="str">
        <f>INDEX(Lists!I:I,MATCH(Validation!E5755,Lists!G:G,0))</f>
        <v>Error</v>
      </c>
      <c r="G5755" t="str">
        <f>INDEX(Lists!H:H,MATCH(Validation!E5755,Lists!G:G,0))</f>
        <v>Enter an amount only. Do not enter text or spaces.</v>
      </c>
      <c r="H5755" s="16" t="str">
        <f t="shared" ca="1" si="630"/>
        <v/>
      </c>
      <c r="I5755" s="16" t="str">
        <f t="shared" ca="1" si="631"/>
        <v/>
      </c>
      <c r="J5755" s="17" t="str">
        <f t="shared" ca="1" si="632"/>
        <v/>
      </c>
    </row>
    <row r="5756" spans="1:10" x14ac:dyDescent="0.25">
      <c r="A5756" t="s">
        <v>939</v>
      </c>
      <c r="B5756" t="str">
        <f>ADDRESS(ROW('Loan 1'!$B$26),COLUMN('Loan 1'!$B$26),4)</f>
        <v>B26</v>
      </c>
      <c r="C5756" t="str">
        <f>ADDRESS(ROW('Loan 1'!$D$26),COLUMN('Loan 1'!$D$26),4)</f>
        <v>D26</v>
      </c>
      <c r="D5756" t="b" cm="1">
        <f t="array" aca="1" ref="D5756" ca="1">IF(INDIRECT("'"&amp;A5756&amp;"'!"&amp;B5756)="",FALSE,IF(NOT(ISNUMBER(INDIRECT("'"&amp;A5756&amp;"'!"&amp;B5756))),TRUE,FALSE))</f>
        <v>0</v>
      </c>
      <c r="E5756" t="s">
        <v>435</v>
      </c>
      <c r="F5756" t="str">
        <f>INDEX(Lists!I:I,MATCH(Validation!E5756,Lists!G:G,0))</f>
        <v>Error</v>
      </c>
      <c r="G5756" t="str">
        <f>INDEX(Lists!H:H,MATCH(Validation!E5756,Lists!G:G,0))</f>
        <v>Enter an amount only. Do not enter text or spaces.</v>
      </c>
      <c r="H5756" s="16" t="str">
        <f t="shared" ca="1" si="630"/>
        <v/>
      </c>
      <c r="I5756" s="16" t="str">
        <f t="shared" ca="1" si="631"/>
        <v/>
      </c>
      <c r="J5756" s="17" t="str">
        <f t="shared" ca="1" si="632"/>
        <v/>
      </c>
    </row>
    <row r="5757" spans="1:10" x14ac:dyDescent="0.25">
      <c r="A5757" t="s">
        <v>940</v>
      </c>
      <c r="B5757" t="str">
        <f>ADDRESS(ROW('Loan 1'!$B$26),COLUMN('Loan 1'!$B$26),4)</f>
        <v>B26</v>
      </c>
      <c r="C5757" t="str">
        <f>ADDRESS(ROW('Loan 1'!$D$26),COLUMN('Loan 1'!$D$26),4)</f>
        <v>D26</v>
      </c>
      <c r="D5757" t="b" cm="1">
        <f t="array" aca="1" ref="D5757" ca="1">IF(INDIRECT("'"&amp;A5757&amp;"'!"&amp;B5757)="",FALSE,IF(NOT(ISNUMBER(INDIRECT("'"&amp;A5757&amp;"'!"&amp;B5757))),TRUE,FALSE))</f>
        <v>0</v>
      </c>
      <c r="E5757" t="s">
        <v>435</v>
      </c>
      <c r="F5757" t="str">
        <f>INDEX(Lists!I:I,MATCH(Validation!E5757,Lists!G:G,0))</f>
        <v>Error</v>
      </c>
      <c r="G5757" t="str">
        <f>INDEX(Lists!H:H,MATCH(Validation!E5757,Lists!G:G,0))</f>
        <v>Enter an amount only. Do not enter text or spaces.</v>
      </c>
      <c r="H5757" s="16" t="str">
        <f t="shared" ca="1" si="630"/>
        <v/>
      </c>
      <c r="I5757" s="16" t="str">
        <f t="shared" ca="1" si="631"/>
        <v/>
      </c>
      <c r="J5757" s="17" t="str">
        <f t="shared" ca="1" si="632"/>
        <v/>
      </c>
    </row>
    <row r="5758" spans="1:10" x14ac:dyDescent="0.25">
      <c r="A5758" t="s">
        <v>941</v>
      </c>
      <c r="B5758" t="str">
        <f>ADDRESS(ROW('Loan 1'!$B$26),COLUMN('Loan 1'!$B$26),4)</f>
        <v>B26</v>
      </c>
      <c r="C5758" t="str">
        <f>ADDRESS(ROW('Loan 1'!$D$26),COLUMN('Loan 1'!$D$26),4)</f>
        <v>D26</v>
      </c>
      <c r="D5758" t="b" cm="1">
        <f t="array" aca="1" ref="D5758" ca="1">IF(INDIRECT("'"&amp;A5758&amp;"'!"&amp;B5758)="",FALSE,IF(NOT(ISNUMBER(INDIRECT("'"&amp;A5758&amp;"'!"&amp;B5758))),TRUE,FALSE))</f>
        <v>0</v>
      </c>
      <c r="E5758" t="s">
        <v>435</v>
      </c>
      <c r="F5758" t="str">
        <f>INDEX(Lists!I:I,MATCH(Validation!E5758,Lists!G:G,0))</f>
        <v>Error</v>
      </c>
      <c r="G5758" t="str">
        <f>INDEX(Lists!H:H,MATCH(Validation!E5758,Lists!G:G,0))</f>
        <v>Enter an amount only. Do not enter text or spaces.</v>
      </c>
      <c r="H5758" s="16" t="str">
        <f t="shared" ca="1" si="630"/>
        <v/>
      </c>
      <c r="I5758" s="16" t="str">
        <f t="shared" ca="1" si="631"/>
        <v/>
      </c>
      <c r="J5758" s="17" t="str">
        <f t="shared" ca="1" si="632"/>
        <v/>
      </c>
    </row>
    <row r="5759" spans="1:10" x14ac:dyDescent="0.25">
      <c r="A5759" t="s">
        <v>942</v>
      </c>
      <c r="B5759" t="str">
        <f>ADDRESS(ROW('Loan 1'!$B$26),COLUMN('Loan 1'!$B$26),4)</f>
        <v>B26</v>
      </c>
      <c r="C5759" t="str">
        <f>ADDRESS(ROW('Loan 1'!$D$26),COLUMN('Loan 1'!$D$26),4)</f>
        <v>D26</v>
      </c>
      <c r="D5759" t="b" cm="1">
        <f t="array" aca="1" ref="D5759" ca="1">IF(INDIRECT("'"&amp;A5759&amp;"'!"&amp;B5759)="",FALSE,IF(NOT(ISNUMBER(INDIRECT("'"&amp;A5759&amp;"'!"&amp;B5759))),TRUE,FALSE))</f>
        <v>0</v>
      </c>
      <c r="E5759" t="s">
        <v>435</v>
      </c>
      <c r="F5759" t="str">
        <f>INDEX(Lists!I:I,MATCH(Validation!E5759,Lists!G:G,0))</f>
        <v>Error</v>
      </c>
      <c r="G5759" t="str">
        <f>INDEX(Lists!H:H,MATCH(Validation!E5759,Lists!G:G,0))</f>
        <v>Enter an amount only. Do not enter text or spaces.</v>
      </c>
      <c r="H5759" s="16" t="str">
        <f t="shared" ca="1" si="630"/>
        <v/>
      </c>
      <c r="I5759" s="16" t="str">
        <f t="shared" ca="1" si="631"/>
        <v/>
      </c>
      <c r="J5759" s="17" t="str">
        <f t="shared" ca="1" si="632"/>
        <v/>
      </c>
    </row>
    <row r="5760" spans="1:10" x14ac:dyDescent="0.25">
      <c r="A5760" t="s">
        <v>943</v>
      </c>
      <c r="B5760" t="str">
        <f>ADDRESS(ROW('Loan 1'!$B$26),COLUMN('Loan 1'!$B$26),4)</f>
        <v>B26</v>
      </c>
      <c r="C5760" t="str">
        <f>ADDRESS(ROW('Loan 1'!$D$26),COLUMN('Loan 1'!$D$26),4)</f>
        <v>D26</v>
      </c>
      <c r="D5760" t="b" cm="1">
        <f t="array" aca="1" ref="D5760" ca="1">IF(INDIRECT("'"&amp;A5760&amp;"'!"&amp;B5760)="",FALSE,IF(NOT(ISNUMBER(INDIRECT("'"&amp;A5760&amp;"'!"&amp;B5760))),TRUE,FALSE))</f>
        <v>0</v>
      </c>
      <c r="E5760" t="s">
        <v>435</v>
      </c>
      <c r="F5760" t="str">
        <f>INDEX(Lists!I:I,MATCH(Validation!E5760,Lists!G:G,0))</f>
        <v>Error</v>
      </c>
      <c r="G5760" t="str">
        <f>INDEX(Lists!H:H,MATCH(Validation!E5760,Lists!G:G,0))</f>
        <v>Enter an amount only. Do not enter text or spaces.</v>
      </c>
      <c r="H5760" s="16" t="str">
        <f t="shared" ca="1" si="630"/>
        <v/>
      </c>
      <c r="I5760" s="16" t="str">
        <f t="shared" ca="1" si="631"/>
        <v/>
      </c>
      <c r="J5760" s="17" t="str">
        <f t="shared" ca="1" si="632"/>
        <v/>
      </c>
    </row>
    <row r="5761" spans="1:10" x14ac:dyDescent="0.25">
      <c r="A5761" t="s">
        <v>944</v>
      </c>
      <c r="B5761" t="str">
        <f>ADDRESS(ROW('Loan 1'!$B$26),COLUMN('Loan 1'!$B$26),4)</f>
        <v>B26</v>
      </c>
      <c r="C5761" t="str">
        <f>ADDRESS(ROW('Loan 1'!$D$26),COLUMN('Loan 1'!$D$26),4)</f>
        <v>D26</v>
      </c>
      <c r="D5761" t="b" cm="1">
        <f t="array" aca="1" ref="D5761" ca="1">IF(INDIRECT("'"&amp;A5761&amp;"'!"&amp;B5761)="",FALSE,IF(NOT(ISNUMBER(INDIRECT("'"&amp;A5761&amp;"'!"&amp;B5761))),TRUE,FALSE))</f>
        <v>0</v>
      </c>
      <c r="E5761" t="s">
        <v>435</v>
      </c>
      <c r="F5761" t="str">
        <f>INDEX(Lists!I:I,MATCH(Validation!E5761,Lists!G:G,0))</f>
        <v>Error</v>
      </c>
      <c r="G5761" t="str">
        <f>INDEX(Lists!H:H,MATCH(Validation!E5761,Lists!G:G,0))</f>
        <v>Enter an amount only. Do not enter text or spaces.</v>
      </c>
      <c r="H5761" s="16" t="str">
        <f t="shared" ca="1" si="630"/>
        <v/>
      </c>
      <c r="I5761" s="16" t="str">
        <f t="shared" ca="1" si="631"/>
        <v/>
      </c>
      <c r="J5761" s="17" t="str">
        <f t="shared" ca="1" si="632"/>
        <v/>
      </c>
    </row>
    <row r="5762" spans="1:10" x14ac:dyDescent="0.25">
      <c r="A5762" t="s">
        <v>945</v>
      </c>
      <c r="B5762" t="str">
        <f>ADDRESS(ROW('Loan 1'!$B$26),COLUMN('Loan 1'!$B$26),4)</f>
        <v>B26</v>
      </c>
      <c r="C5762" t="str">
        <f>ADDRESS(ROW('Loan 1'!$D$26),COLUMN('Loan 1'!$D$26),4)</f>
        <v>D26</v>
      </c>
      <c r="D5762" t="b" cm="1">
        <f t="array" aca="1" ref="D5762" ca="1">IF(INDIRECT("'"&amp;A5762&amp;"'!"&amp;B5762)="",FALSE,IF(NOT(ISNUMBER(INDIRECT("'"&amp;A5762&amp;"'!"&amp;B5762))),TRUE,FALSE))</f>
        <v>0</v>
      </c>
      <c r="E5762" t="s">
        <v>435</v>
      </c>
      <c r="F5762" t="str">
        <f>INDEX(Lists!I:I,MATCH(Validation!E5762,Lists!G:G,0))</f>
        <v>Error</v>
      </c>
      <c r="G5762" t="str">
        <f>INDEX(Lists!H:H,MATCH(Validation!E5762,Lists!G:G,0))</f>
        <v>Enter an amount only. Do not enter text or spaces.</v>
      </c>
      <c r="H5762" s="16" t="str">
        <f t="shared" ca="1" si="630"/>
        <v/>
      </c>
      <c r="I5762" s="16" t="str">
        <f t="shared" ca="1" si="631"/>
        <v/>
      </c>
      <c r="J5762" s="17" t="str">
        <f t="shared" ca="1" si="632"/>
        <v/>
      </c>
    </row>
    <row r="5763" spans="1:10" x14ac:dyDescent="0.25">
      <c r="A5763" t="s">
        <v>205</v>
      </c>
      <c r="B5763" t="str">
        <f>ADDRESS(ROW('Loan 1'!$B$26),COLUMN('Loan 1'!$B$26),4)</f>
        <v>B26</v>
      </c>
      <c r="C5763" t="str">
        <f>ADDRESS(ROW('Loan 1'!$D$26),COLUMN('Loan 1'!$D$26),4)</f>
        <v>D26</v>
      </c>
      <c r="D5763" t="b" cm="1">
        <f t="array" aca="1" ref="D5763" ca="1">IF(INDIRECT("'"&amp;A5763&amp;"'!"&amp;B5763)="",FALSE,IF(INDIRECT("'"&amp;A5763&amp;"'!"&amp;B5763)&lt;0,TRUE,FALSE))</f>
        <v>0</v>
      </c>
      <c r="E5763" t="s">
        <v>434</v>
      </c>
      <c r="F5763" t="str">
        <f>INDEX(Lists!I:I,MATCH(Validation!E5763,Lists!G:G,0))</f>
        <v>Error</v>
      </c>
      <c r="G5763" t="str">
        <f>INDEX(Lists!H:H,MATCH(Validation!E5763,Lists!G:G,0))</f>
        <v>Amount may not be negative. Enter an amount greater than or equal to zero.</v>
      </c>
      <c r="H5763" s="16" t="str">
        <f ca="1">IFERROR(IF(OR(NOT(D5763),F5763&lt;&gt;"Error"),"",A5763&amp;CELL("address",INDIRECT(B5763))),"")</f>
        <v/>
      </c>
      <c r="I5763" s="16" t="str">
        <f ca="1">IFERROR(IF(NOT(D5763),"",A5763&amp;CELL("address",INDIRECT(C5763))),"")</f>
        <v/>
      </c>
      <c r="J5763" s="17" t="str">
        <f ca="1">IFERROR(IF(NOT(D5763),"",A5763),"")</f>
        <v/>
      </c>
    </row>
    <row r="5764" spans="1:10" x14ac:dyDescent="0.25">
      <c r="A5764" t="s">
        <v>932</v>
      </c>
      <c r="B5764" t="str">
        <f>ADDRESS(ROW('Loan 1'!$B$26),COLUMN('Loan 1'!$B$26),4)</f>
        <v>B26</v>
      </c>
      <c r="C5764" t="str">
        <f>ADDRESS(ROW('Loan 1'!$D$26),COLUMN('Loan 1'!$D$26),4)</f>
        <v>D26</v>
      </c>
      <c r="D5764" t="b" cm="1">
        <f t="array" aca="1" ref="D5764" ca="1">IF(INDIRECT("'"&amp;A5764&amp;"'!"&amp;B5764)="",FALSE,IF(INDIRECT("'"&amp;A5764&amp;"'!"&amp;B5764)&lt;0,TRUE,FALSE))</f>
        <v>0</v>
      </c>
      <c r="E5764" t="s">
        <v>434</v>
      </c>
      <c r="F5764" t="str">
        <f>INDEX(Lists!I:I,MATCH(Validation!E5764,Lists!G:G,0))</f>
        <v>Error</v>
      </c>
      <c r="G5764" t="str">
        <f>INDEX(Lists!H:H,MATCH(Validation!E5764,Lists!G:G,0))</f>
        <v>Amount may not be negative. Enter an amount greater than or equal to zero.</v>
      </c>
      <c r="H5764" s="16" t="str">
        <f t="shared" ref="H5764:H5792" ca="1" si="633">IFERROR(IF(OR(NOT(D5764),F5764&lt;&gt;"Error"),"",A5764&amp;CELL("address",INDIRECT(B5764))),"")</f>
        <v/>
      </c>
      <c r="I5764" s="16" t="str">
        <f t="shared" ref="I5764:I5792" ca="1" si="634">IFERROR(IF(NOT(D5764),"",A5764&amp;CELL("address",INDIRECT(C5764))),"")</f>
        <v/>
      </c>
      <c r="J5764" s="17" t="str">
        <f t="shared" ref="J5764:J5792" ca="1" si="635">IFERROR(IF(NOT(D5764),"",A5764),"")</f>
        <v/>
      </c>
    </row>
    <row r="5765" spans="1:10" x14ac:dyDescent="0.25">
      <c r="A5765" t="s">
        <v>933</v>
      </c>
      <c r="B5765" t="str">
        <f>ADDRESS(ROW('Loan 1'!$B$26),COLUMN('Loan 1'!$B$26),4)</f>
        <v>B26</v>
      </c>
      <c r="C5765" t="str">
        <f>ADDRESS(ROW('Loan 1'!$D$26),COLUMN('Loan 1'!$D$26),4)</f>
        <v>D26</v>
      </c>
      <c r="D5765" t="b" cm="1">
        <f t="array" aca="1" ref="D5765" ca="1">IF(INDIRECT("'"&amp;A5765&amp;"'!"&amp;B5765)="",FALSE,IF(INDIRECT("'"&amp;A5765&amp;"'!"&amp;B5765)&lt;0,TRUE,FALSE))</f>
        <v>0</v>
      </c>
      <c r="E5765" t="s">
        <v>434</v>
      </c>
      <c r="F5765" t="str">
        <f>INDEX(Lists!I:I,MATCH(Validation!E5765,Lists!G:G,0))</f>
        <v>Error</v>
      </c>
      <c r="G5765" t="str">
        <f>INDEX(Lists!H:H,MATCH(Validation!E5765,Lists!G:G,0))</f>
        <v>Amount may not be negative. Enter an amount greater than or equal to zero.</v>
      </c>
      <c r="H5765" s="16" t="str">
        <f t="shared" ca="1" si="633"/>
        <v/>
      </c>
      <c r="I5765" s="16" t="str">
        <f t="shared" ca="1" si="634"/>
        <v/>
      </c>
      <c r="J5765" s="17" t="str">
        <f t="shared" ca="1" si="635"/>
        <v/>
      </c>
    </row>
    <row r="5766" spans="1:10" x14ac:dyDescent="0.25">
      <c r="A5766" t="s">
        <v>934</v>
      </c>
      <c r="B5766" t="str">
        <f>ADDRESS(ROW('Loan 1'!$B$26),COLUMN('Loan 1'!$B$26),4)</f>
        <v>B26</v>
      </c>
      <c r="C5766" t="str">
        <f>ADDRESS(ROW('Loan 1'!$D$26),COLUMN('Loan 1'!$D$26),4)</f>
        <v>D26</v>
      </c>
      <c r="D5766" t="b" cm="1">
        <f t="array" aca="1" ref="D5766" ca="1">IF(INDIRECT("'"&amp;A5766&amp;"'!"&amp;B5766)="",FALSE,IF(INDIRECT("'"&amp;A5766&amp;"'!"&amp;B5766)&lt;0,TRUE,FALSE))</f>
        <v>0</v>
      </c>
      <c r="E5766" t="s">
        <v>434</v>
      </c>
      <c r="F5766" t="str">
        <f>INDEX(Lists!I:I,MATCH(Validation!E5766,Lists!G:G,0))</f>
        <v>Error</v>
      </c>
      <c r="G5766" t="str">
        <f>INDEX(Lists!H:H,MATCH(Validation!E5766,Lists!G:G,0))</f>
        <v>Amount may not be negative. Enter an amount greater than or equal to zero.</v>
      </c>
      <c r="H5766" s="16" t="str">
        <f t="shared" ca="1" si="633"/>
        <v/>
      </c>
      <c r="I5766" s="16" t="str">
        <f t="shared" ca="1" si="634"/>
        <v/>
      </c>
      <c r="J5766" s="17" t="str">
        <f t="shared" ca="1" si="635"/>
        <v/>
      </c>
    </row>
    <row r="5767" spans="1:10" x14ac:dyDescent="0.25">
      <c r="A5767" t="s">
        <v>935</v>
      </c>
      <c r="B5767" t="str">
        <f>ADDRESS(ROW('Loan 1'!$B$26),COLUMN('Loan 1'!$B$26),4)</f>
        <v>B26</v>
      </c>
      <c r="C5767" t="str">
        <f>ADDRESS(ROW('Loan 1'!$D$26),COLUMN('Loan 1'!$D$26),4)</f>
        <v>D26</v>
      </c>
      <c r="D5767" t="b" cm="1">
        <f t="array" aca="1" ref="D5767" ca="1">IF(INDIRECT("'"&amp;A5767&amp;"'!"&amp;B5767)="",FALSE,IF(INDIRECT("'"&amp;A5767&amp;"'!"&amp;B5767)&lt;0,TRUE,FALSE))</f>
        <v>0</v>
      </c>
      <c r="E5767" t="s">
        <v>434</v>
      </c>
      <c r="F5767" t="str">
        <f>INDEX(Lists!I:I,MATCH(Validation!E5767,Lists!G:G,0))</f>
        <v>Error</v>
      </c>
      <c r="G5767" t="str">
        <f>INDEX(Lists!H:H,MATCH(Validation!E5767,Lists!G:G,0))</f>
        <v>Amount may not be negative. Enter an amount greater than or equal to zero.</v>
      </c>
      <c r="H5767" s="16" t="str">
        <f t="shared" ca="1" si="633"/>
        <v/>
      </c>
      <c r="I5767" s="16" t="str">
        <f t="shared" ca="1" si="634"/>
        <v/>
      </c>
      <c r="J5767" s="17" t="str">
        <f t="shared" ca="1" si="635"/>
        <v/>
      </c>
    </row>
    <row r="5768" spans="1:10" x14ac:dyDescent="0.25">
      <c r="A5768" t="s">
        <v>936</v>
      </c>
      <c r="B5768" t="str">
        <f>ADDRESS(ROW('Loan 1'!$B$26),COLUMN('Loan 1'!$B$26),4)</f>
        <v>B26</v>
      </c>
      <c r="C5768" t="str">
        <f>ADDRESS(ROW('Loan 1'!$D$26),COLUMN('Loan 1'!$D$26),4)</f>
        <v>D26</v>
      </c>
      <c r="D5768" t="b" cm="1">
        <f t="array" aca="1" ref="D5768" ca="1">IF(INDIRECT("'"&amp;A5768&amp;"'!"&amp;B5768)="",FALSE,IF(INDIRECT("'"&amp;A5768&amp;"'!"&amp;B5768)&lt;0,TRUE,FALSE))</f>
        <v>0</v>
      </c>
      <c r="E5768" t="s">
        <v>434</v>
      </c>
      <c r="F5768" t="str">
        <f>INDEX(Lists!I:I,MATCH(Validation!E5768,Lists!G:G,0))</f>
        <v>Error</v>
      </c>
      <c r="G5768" t="str">
        <f>INDEX(Lists!H:H,MATCH(Validation!E5768,Lists!G:G,0))</f>
        <v>Amount may not be negative. Enter an amount greater than or equal to zero.</v>
      </c>
      <c r="H5768" s="16" t="str">
        <f t="shared" ca="1" si="633"/>
        <v/>
      </c>
      <c r="I5768" s="16" t="str">
        <f t="shared" ca="1" si="634"/>
        <v/>
      </c>
      <c r="J5768" s="17" t="str">
        <f t="shared" ca="1" si="635"/>
        <v/>
      </c>
    </row>
    <row r="5769" spans="1:10" x14ac:dyDescent="0.25">
      <c r="A5769" t="s">
        <v>937</v>
      </c>
      <c r="B5769" t="str">
        <f>ADDRESS(ROW('Loan 1'!$B$26),COLUMN('Loan 1'!$B$26),4)</f>
        <v>B26</v>
      </c>
      <c r="C5769" t="str">
        <f>ADDRESS(ROW('Loan 1'!$D$26),COLUMN('Loan 1'!$D$26),4)</f>
        <v>D26</v>
      </c>
      <c r="D5769" t="b" cm="1">
        <f t="array" aca="1" ref="D5769" ca="1">IF(INDIRECT("'"&amp;A5769&amp;"'!"&amp;B5769)="",FALSE,IF(INDIRECT("'"&amp;A5769&amp;"'!"&amp;B5769)&lt;0,TRUE,FALSE))</f>
        <v>0</v>
      </c>
      <c r="E5769" t="s">
        <v>434</v>
      </c>
      <c r="F5769" t="str">
        <f>INDEX(Lists!I:I,MATCH(Validation!E5769,Lists!G:G,0))</f>
        <v>Error</v>
      </c>
      <c r="G5769" t="str">
        <f>INDEX(Lists!H:H,MATCH(Validation!E5769,Lists!G:G,0))</f>
        <v>Amount may not be negative. Enter an amount greater than or equal to zero.</v>
      </c>
      <c r="H5769" s="16" t="str">
        <f t="shared" ca="1" si="633"/>
        <v/>
      </c>
      <c r="I5769" s="16" t="str">
        <f t="shared" ca="1" si="634"/>
        <v/>
      </c>
      <c r="J5769" s="17" t="str">
        <f t="shared" ca="1" si="635"/>
        <v/>
      </c>
    </row>
    <row r="5770" spans="1:10" x14ac:dyDescent="0.25">
      <c r="A5770" t="s">
        <v>938</v>
      </c>
      <c r="B5770" t="str">
        <f>ADDRESS(ROW('Loan 1'!$B$26),COLUMN('Loan 1'!$B$26),4)</f>
        <v>B26</v>
      </c>
      <c r="C5770" t="str">
        <f>ADDRESS(ROW('Loan 1'!$D$26),COLUMN('Loan 1'!$D$26),4)</f>
        <v>D26</v>
      </c>
      <c r="D5770" t="b" cm="1">
        <f t="array" aca="1" ref="D5770" ca="1">IF(INDIRECT("'"&amp;A5770&amp;"'!"&amp;B5770)="",FALSE,IF(INDIRECT("'"&amp;A5770&amp;"'!"&amp;B5770)&lt;0,TRUE,FALSE))</f>
        <v>0</v>
      </c>
      <c r="E5770" t="s">
        <v>434</v>
      </c>
      <c r="F5770" t="str">
        <f>INDEX(Lists!I:I,MATCH(Validation!E5770,Lists!G:G,0))</f>
        <v>Error</v>
      </c>
      <c r="G5770" t="str">
        <f>INDEX(Lists!H:H,MATCH(Validation!E5770,Lists!G:G,0))</f>
        <v>Amount may not be negative. Enter an amount greater than or equal to zero.</v>
      </c>
      <c r="H5770" s="16" t="str">
        <f t="shared" ca="1" si="633"/>
        <v/>
      </c>
      <c r="I5770" s="16" t="str">
        <f t="shared" ca="1" si="634"/>
        <v/>
      </c>
      <c r="J5770" s="17" t="str">
        <f t="shared" ca="1" si="635"/>
        <v/>
      </c>
    </row>
    <row r="5771" spans="1:10" x14ac:dyDescent="0.25">
      <c r="A5771" t="s">
        <v>939</v>
      </c>
      <c r="B5771" t="str">
        <f>ADDRESS(ROW('Loan 1'!$B$26),COLUMN('Loan 1'!$B$26),4)</f>
        <v>B26</v>
      </c>
      <c r="C5771" t="str">
        <f>ADDRESS(ROW('Loan 1'!$D$26),COLUMN('Loan 1'!$D$26),4)</f>
        <v>D26</v>
      </c>
      <c r="D5771" t="b" cm="1">
        <f t="array" aca="1" ref="D5771" ca="1">IF(INDIRECT("'"&amp;A5771&amp;"'!"&amp;B5771)="",FALSE,IF(INDIRECT("'"&amp;A5771&amp;"'!"&amp;B5771)&lt;0,TRUE,FALSE))</f>
        <v>0</v>
      </c>
      <c r="E5771" t="s">
        <v>434</v>
      </c>
      <c r="F5771" t="str">
        <f>INDEX(Lists!I:I,MATCH(Validation!E5771,Lists!G:G,0))</f>
        <v>Error</v>
      </c>
      <c r="G5771" t="str">
        <f>INDEX(Lists!H:H,MATCH(Validation!E5771,Lists!G:G,0))</f>
        <v>Amount may not be negative. Enter an amount greater than or equal to zero.</v>
      </c>
      <c r="H5771" s="16" t="str">
        <f t="shared" ca="1" si="633"/>
        <v/>
      </c>
      <c r="I5771" s="16" t="str">
        <f t="shared" ca="1" si="634"/>
        <v/>
      </c>
      <c r="J5771" s="17" t="str">
        <f t="shared" ca="1" si="635"/>
        <v/>
      </c>
    </row>
    <row r="5772" spans="1:10" x14ac:dyDescent="0.25">
      <c r="A5772" t="s">
        <v>940</v>
      </c>
      <c r="B5772" t="str">
        <f>ADDRESS(ROW('Loan 1'!$B$26),COLUMN('Loan 1'!$B$26),4)</f>
        <v>B26</v>
      </c>
      <c r="C5772" t="str">
        <f>ADDRESS(ROW('Loan 1'!$D$26),COLUMN('Loan 1'!$D$26),4)</f>
        <v>D26</v>
      </c>
      <c r="D5772" t="b" cm="1">
        <f t="array" aca="1" ref="D5772" ca="1">IF(INDIRECT("'"&amp;A5772&amp;"'!"&amp;B5772)="",FALSE,IF(INDIRECT("'"&amp;A5772&amp;"'!"&amp;B5772)&lt;0,TRUE,FALSE))</f>
        <v>0</v>
      </c>
      <c r="E5772" t="s">
        <v>434</v>
      </c>
      <c r="F5772" t="str">
        <f>INDEX(Lists!I:I,MATCH(Validation!E5772,Lists!G:G,0))</f>
        <v>Error</v>
      </c>
      <c r="G5772" t="str">
        <f>INDEX(Lists!H:H,MATCH(Validation!E5772,Lists!G:G,0))</f>
        <v>Amount may not be negative. Enter an amount greater than or equal to zero.</v>
      </c>
      <c r="H5772" s="16" t="str">
        <f t="shared" ca="1" si="633"/>
        <v/>
      </c>
      <c r="I5772" s="16" t="str">
        <f t="shared" ca="1" si="634"/>
        <v/>
      </c>
      <c r="J5772" s="17" t="str">
        <f t="shared" ca="1" si="635"/>
        <v/>
      </c>
    </row>
    <row r="5773" spans="1:10" x14ac:dyDescent="0.25">
      <c r="A5773" t="s">
        <v>941</v>
      </c>
      <c r="B5773" t="str">
        <f>ADDRESS(ROW('Loan 1'!$B$26),COLUMN('Loan 1'!$B$26),4)</f>
        <v>B26</v>
      </c>
      <c r="C5773" t="str">
        <f>ADDRESS(ROW('Loan 1'!$D$26),COLUMN('Loan 1'!$D$26),4)</f>
        <v>D26</v>
      </c>
      <c r="D5773" t="b" cm="1">
        <f t="array" aca="1" ref="D5773" ca="1">IF(INDIRECT("'"&amp;A5773&amp;"'!"&amp;B5773)="",FALSE,IF(INDIRECT("'"&amp;A5773&amp;"'!"&amp;B5773)&lt;0,TRUE,FALSE))</f>
        <v>0</v>
      </c>
      <c r="E5773" t="s">
        <v>434</v>
      </c>
      <c r="F5773" t="str">
        <f>INDEX(Lists!I:I,MATCH(Validation!E5773,Lists!G:G,0))</f>
        <v>Error</v>
      </c>
      <c r="G5773" t="str">
        <f>INDEX(Lists!H:H,MATCH(Validation!E5773,Lists!G:G,0))</f>
        <v>Amount may not be negative. Enter an amount greater than or equal to zero.</v>
      </c>
      <c r="H5773" s="16" t="str">
        <f t="shared" ca="1" si="633"/>
        <v/>
      </c>
      <c r="I5773" s="16" t="str">
        <f t="shared" ca="1" si="634"/>
        <v/>
      </c>
      <c r="J5773" s="17" t="str">
        <f t="shared" ca="1" si="635"/>
        <v/>
      </c>
    </row>
    <row r="5774" spans="1:10" x14ac:dyDescent="0.25">
      <c r="A5774" t="s">
        <v>942</v>
      </c>
      <c r="B5774" t="str">
        <f>ADDRESS(ROW('Loan 1'!$B$26),COLUMN('Loan 1'!$B$26),4)</f>
        <v>B26</v>
      </c>
      <c r="C5774" t="str">
        <f>ADDRESS(ROW('Loan 1'!$D$26),COLUMN('Loan 1'!$D$26),4)</f>
        <v>D26</v>
      </c>
      <c r="D5774" t="b" cm="1">
        <f t="array" aca="1" ref="D5774" ca="1">IF(INDIRECT("'"&amp;A5774&amp;"'!"&amp;B5774)="",FALSE,IF(INDIRECT("'"&amp;A5774&amp;"'!"&amp;B5774)&lt;0,TRUE,FALSE))</f>
        <v>0</v>
      </c>
      <c r="E5774" t="s">
        <v>434</v>
      </c>
      <c r="F5774" t="str">
        <f>INDEX(Lists!I:I,MATCH(Validation!E5774,Lists!G:G,0))</f>
        <v>Error</v>
      </c>
      <c r="G5774" t="str">
        <f>INDEX(Lists!H:H,MATCH(Validation!E5774,Lists!G:G,0))</f>
        <v>Amount may not be negative. Enter an amount greater than or equal to zero.</v>
      </c>
      <c r="H5774" s="16" t="str">
        <f t="shared" ca="1" si="633"/>
        <v/>
      </c>
      <c r="I5774" s="16" t="str">
        <f t="shared" ca="1" si="634"/>
        <v/>
      </c>
      <c r="J5774" s="17" t="str">
        <f t="shared" ca="1" si="635"/>
        <v/>
      </c>
    </row>
    <row r="5775" spans="1:10" x14ac:dyDescent="0.25">
      <c r="A5775" t="s">
        <v>943</v>
      </c>
      <c r="B5775" t="str">
        <f>ADDRESS(ROW('Loan 1'!$B$26),COLUMN('Loan 1'!$B$26),4)</f>
        <v>B26</v>
      </c>
      <c r="C5775" t="str">
        <f>ADDRESS(ROW('Loan 1'!$D$26),COLUMN('Loan 1'!$D$26),4)</f>
        <v>D26</v>
      </c>
      <c r="D5775" t="b" cm="1">
        <f t="array" aca="1" ref="D5775" ca="1">IF(INDIRECT("'"&amp;A5775&amp;"'!"&amp;B5775)="",FALSE,IF(INDIRECT("'"&amp;A5775&amp;"'!"&amp;B5775)&lt;0,TRUE,FALSE))</f>
        <v>0</v>
      </c>
      <c r="E5775" t="s">
        <v>434</v>
      </c>
      <c r="F5775" t="str">
        <f>INDEX(Lists!I:I,MATCH(Validation!E5775,Lists!G:G,0))</f>
        <v>Error</v>
      </c>
      <c r="G5775" t="str">
        <f>INDEX(Lists!H:H,MATCH(Validation!E5775,Lists!G:G,0))</f>
        <v>Amount may not be negative. Enter an amount greater than or equal to zero.</v>
      </c>
      <c r="H5775" s="16" t="str">
        <f t="shared" ca="1" si="633"/>
        <v/>
      </c>
      <c r="I5775" s="16" t="str">
        <f t="shared" ca="1" si="634"/>
        <v/>
      </c>
      <c r="J5775" s="17" t="str">
        <f t="shared" ca="1" si="635"/>
        <v/>
      </c>
    </row>
    <row r="5776" spans="1:10" x14ac:dyDescent="0.25">
      <c r="A5776" t="s">
        <v>944</v>
      </c>
      <c r="B5776" t="str">
        <f>ADDRESS(ROW('Loan 1'!$B$26),COLUMN('Loan 1'!$B$26),4)</f>
        <v>B26</v>
      </c>
      <c r="C5776" t="str">
        <f>ADDRESS(ROW('Loan 1'!$D$26),COLUMN('Loan 1'!$D$26),4)</f>
        <v>D26</v>
      </c>
      <c r="D5776" t="b" cm="1">
        <f t="array" aca="1" ref="D5776" ca="1">IF(INDIRECT("'"&amp;A5776&amp;"'!"&amp;B5776)="",FALSE,IF(INDIRECT("'"&amp;A5776&amp;"'!"&amp;B5776)&lt;0,TRUE,FALSE))</f>
        <v>0</v>
      </c>
      <c r="E5776" t="s">
        <v>434</v>
      </c>
      <c r="F5776" t="str">
        <f>INDEX(Lists!I:I,MATCH(Validation!E5776,Lists!G:G,0))</f>
        <v>Error</v>
      </c>
      <c r="G5776" t="str">
        <f>INDEX(Lists!H:H,MATCH(Validation!E5776,Lists!G:G,0))</f>
        <v>Amount may not be negative. Enter an amount greater than or equal to zero.</v>
      </c>
      <c r="H5776" s="16" t="str">
        <f t="shared" ca="1" si="633"/>
        <v/>
      </c>
      <c r="I5776" s="16" t="str">
        <f t="shared" ca="1" si="634"/>
        <v/>
      </c>
      <c r="J5776" s="17" t="str">
        <f t="shared" ca="1" si="635"/>
        <v/>
      </c>
    </row>
    <row r="5777" spans="1:10" x14ac:dyDescent="0.25">
      <c r="A5777" t="s">
        <v>945</v>
      </c>
      <c r="B5777" t="str">
        <f>ADDRESS(ROW('Loan 1'!$B$26),COLUMN('Loan 1'!$B$26),4)</f>
        <v>B26</v>
      </c>
      <c r="C5777" t="str">
        <f>ADDRESS(ROW('Loan 1'!$D$26),COLUMN('Loan 1'!$D$26),4)</f>
        <v>D26</v>
      </c>
      <c r="D5777" t="b" cm="1">
        <f t="array" aca="1" ref="D5777" ca="1">IF(INDIRECT("'"&amp;A5777&amp;"'!"&amp;B5777)="",FALSE,IF(INDIRECT("'"&amp;A5777&amp;"'!"&amp;B5777)&lt;0,TRUE,FALSE))</f>
        <v>0</v>
      </c>
      <c r="E5777" t="s">
        <v>434</v>
      </c>
      <c r="F5777" t="str">
        <f>INDEX(Lists!I:I,MATCH(Validation!E5777,Lists!G:G,0))</f>
        <v>Error</v>
      </c>
      <c r="G5777" t="str">
        <f>INDEX(Lists!H:H,MATCH(Validation!E5777,Lists!G:G,0))</f>
        <v>Amount may not be negative. Enter an amount greater than or equal to zero.</v>
      </c>
      <c r="H5777" s="16" t="str">
        <f t="shared" ca="1" si="633"/>
        <v/>
      </c>
      <c r="I5777" s="16" t="str">
        <f t="shared" ca="1" si="634"/>
        <v/>
      </c>
      <c r="J5777" s="17" t="str">
        <f t="shared" ca="1" si="635"/>
        <v/>
      </c>
    </row>
    <row r="5778" spans="1:10" x14ac:dyDescent="0.25">
      <c r="A5778" t="s">
        <v>205</v>
      </c>
      <c r="B5778" t="str">
        <f>ADDRESS(ROW('Loan 1'!$B$26),COLUMN('Loan 1'!$B$26),4)</f>
        <v>B26</v>
      </c>
      <c r="C5778" t="str">
        <f>ADDRESS(ROW('Loan 1'!$D$26),COLUMN('Loan 1'!$D$26),4)</f>
        <v>D26</v>
      </c>
      <c r="D5778" t="b" cm="1">
        <f t="array" aca="1" ref="D5778" ca="1">IF(INDIRECT("'"&amp;A5778&amp;"'!"&amp;B5778)="",FALSE,IF(TRUNC(INDIRECT("'"&amp;A5778&amp;"'!"&amp;B5778))=INDIRECT("'"&amp;A5778&amp;"'!"&amp;B5778),FALSE,TRUE))</f>
        <v>0</v>
      </c>
      <c r="E5778" t="s">
        <v>436</v>
      </c>
      <c r="F5778" t="str">
        <f>INDEX(Lists!I:I,MATCH(Validation!E5778,Lists!G:G,0))</f>
        <v>Error</v>
      </c>
      <c r="G5778" t="str">
        <f>INDEX(Lists!H:H,MATCH(Validation!E5778,Lists!G:G,0))</f>
        <v>Amount must be rounded to the nearest dollar.</v>
      </c>
      <c r="H5778" s="16" t="str">
        <f t="shared" ca="1" si="633"/>
        <v/>
      </c>
      <c r="I5778" s="16" t="str">
        <f t="shared" ca="1" si="634"/>
        <v/>
      </c>
      <c r="J5778" s="17" t="str">
        <f t="shared" ca="1" si="635"/>
        <v/>
      </c>
    </row>
    <row r="5779" spans="1:10" x14ac:dyDescent="0.25">
      <c r="A5779" t="s">
        <v>932</v>
      </c>
      <c r="B5779" t="str">
        <f>ADDRESS(ROW('Loan 1'!$B$26),COLUMN('Loan 1'!$B$26),4)</f>
        <v>B26</v>
      </c>
      <c r="C5779" t="str">
        <f>ADDRESS(ROW('Loan 1'!$D$26),COLUMN('Loan 1'!$D$26),4)</f>
        <v>D26</v>
      </c>
      <c r="D5779" t="b" cm="1">
        <f t="array" aca="1" ref="D5779" ca="1">IF(INDIRECT("'"&amp;A5779&amp;"'!"&amp;B5779)="",FALSE,IF(TRUNC(INDIRECT("'"&amp;A5779&amp;"'!"&amp;B5779))=INDIRECT("'"&amp;A5779&amp;"'!"&amp;B5779),FALSE,TRUE))</f>
        <v>0</v>
      </c>
      <c r="E5779" t="s">
        <v>436</v>
      </c>
      <c r="F5779" t="str">
        <f>INDEX(Lists!I:I,MATCH(Validation!E5779,Lists!G:G,0))</f>
        <v>Error</v>
      </c>
      <c r="G5779" t="str">
        <f>INDEX(Lists!H:H,MATCH(Validation!E5779,Lists!G:G,0))</f>
        <v>Amount must be rounded to the nearest dollar.</v>
      </c>
      <c r="H5779" s="16" t="str">
        <f t="shared" ca="1" si="633"/>
        <v/>
      </c>
      <c r="I5779" s="16" t="str">
        <f t="shared" ca="1" si="634"/>
        <v/>
      </c>
      <c r="J5779" s="17" t="str">
        <f t="shared" ca="1" si="635"/>
        <v/>
      </c>
    </row>
    <row r="5780" spans="1:10" x14ac:dyDescent="0.25">
      <c r="A5780" t="s">
        <v>933</v>
      </c>
      <c r="B5780" t="str">
        <f>ADDRESS(ROW('Loan 1'!$B$26),COLUMN('Loan 1'!$B$26),4)</f>
        <v>B26</v>
      </c>
      <c r="C5780" t="str">
        <f>ADDRESS(ROW('Loan 1'!$D$26),COLUMN('Loan 1'!$D$26),4)</f>
        <v>D26</v>
      </c>
      <c r="D5780" t="b" cm="1">
        <f t="array" aca="1" ref="D5780" ca="1">IF(INDIRECT("'"&amp;A5780&amp;"'!"&amp;B5780)="",FALSE,IF(TRUNC(INDIRECT("'"&amp;A5780&amp;"'!"&amp;B5780))=INDIRECT("'"&amp;A5780&amp;"'!"&amp;B5780),FALSE,TRUE))</f>
        <v>0</v>
      </c>
      <c r="E5780" t="s">
        <v>436</v>
      </c>
      <c r="F5780" t="str">
        <f>INDEX(Lists!I:I,MATCH(Validation!E5780,Lists!G:G,0))</f>
        <v>Error</v>
      </c>
      <c r="G5780" t="str">
        <f>INDEX(Lists!H:H,MATCH(Validation!E5780,Lists!G:G,0))</f>
        <v>Amount must be rounded to the nearest dollar.</v>
      </c>
      <c r="H5780" s="16" t="str">
        <f t="shared" ca="1" si="633"/>
        <v/>
      </c>
      <c r="I5780" s="16" t="str">
        <f t="shared" ca="1" si="634"/>
        <v/>
      </c>
      <c r="J5780" s="17" t="str">
        <f t="shared" ca="1" si="635"/>
        <v/>
      </c>
    </row>
    <row r="5781" spans="1:10" x14ac:dyDescent="0.25">
      <c r="A5781" t="s">
        <v>934</v>
      </c>
      <c r="B5781" t="str">
        <f>ADDRESS(ROW('Loan 1'!$B$26),COLUMN('Loan 1'!$B$26),4)</f>
        <v>B26</v>
      </c>
      <c r="C5781" t="str">
        <f>ADDRESS(ROW('Loan 1'!$D$26),COLUMN('Loan 1'!$D$26),4)</f>
        <v>D26</v>
      </c>
      <c r="D5781" t="b" cm="1">
        <f t="array" aca="1" ref="D5781" ca="1">IF(INDIRECT("'"&amp;A5781&amp;"'!"&amp;B5781)="",FALSE,IF(TRUNC(INDIRECT("'"&amp;A5781&amp;"'!"&amp;B5781))=INDIRECT("'"&amp;A5781&amp;"'!"&amp;B5781),FALSE,TRUE))</f>
        <v>0</v>
      </c>
      <c r="E5781" t="s">
        <v>436</v>
      </c>
      <c r="F5781" t="str">
        <f>INDEX(Lists!I:I,MATCH(Validation!E5781,Lists!G:G,0))</f>
        <v>Error</v>
      </c>
      <c r="G5781" t="str">
        <f>INDEX(Lists!H:H,MATCH(Validation!E5781,Lists!G:G,0))</f>
        <v>Amount must be rounded to the nearest dollar.</v>
      </c>
      <c r="H5781" s="16" t="str">
        <f t="shared" ca="1" si="633"/>
        <v/>
      </c>
      <c r="I5781" s="16" t="str">
        <f t="shared" ca="1" si="634"/>
        <v/>
      </c>
      <c r="J5781" s="17" t="str">
        <f t="shared" ca="1" si="635"/>
        <v/>
      </c>
    </row>
    <row r="5782" spans="1:10" x14ac:dyDescent="0.25">
      <c r="A5782" t="s">
        <v>935</v>
      </c>
      <c r="B5782" t="str">
        <f>ADDRESS(ROW('Loan 1'!$B$26),COLUMN('Loan 1'!$B$26),4)</f>
        <v>B26</v>
      </c>
      <c r="C5782" t="str">
        <f>ADDRESS(ROW('Loan 1'!$D$26),COLUMN('Loan 1'!$D$26),4)</f>
        <v>D26</v>
      </c>
      <c r="D5782" t="b" cm="1">
        <f t="array" aca="1" ref="D5782" ca="1">IF(INDIRECT("'"&amp;A5782&amp;"'!"&amp;B5782)="",FALSE,IF(TRUNC(INDIRECT("'"&amp;A5782&amp;"'!"&amp;B5782))=INDIRECT("'"&amp;A5782&amp;"'!"&amp;B5782),FALSE,TRUE))</f>
        <v>0</v>
      </c>
      <c r="E5782" t="s">
        <v>436</v>
      </c>
      <c r="F5782" t="str">
        <f>INDEX(Lists!I:I,MATCH(Validation!E5782,Lists!G:G,0))</f>
        <v>Error</v>
      </c>
      <c r="G5782" t="str">
        <f>INDEX(Lists!H:H,MATCH(Validation!E5782,Lists!G:G,0))</f>
        <v>Amount must be rounded to the nearest dollar.</v>
      </c>
      <c r="H5782" s="16" t="str">
        <f t="shared" ca="1" si="633"/>
        <v/>
      </c>
      <c r="I5782" s="16" t="str">
        <f t="shared" ca="1" si="634"/>
        <v/>
      </c>
      <c r="J5782" s="17" t="str">
        <f t="shared" ca="1" si="635"/>
        <v/>
      </c>
    </row>
    <row r="5783" spans="1:10" x14ac:dyDescent="0.25">
      <c r="A5783" t="s">
        <v>936</v>
      </c>
      <c r="B5783" t="str">
        <f>ADDRESS(ROW('Loan 1'!$B$26),COLUMN('Loan 1'!$B$26),4)</f>
        <v>B26</v>
      </c>
      <c r="C5783" t="str">
        <f>ADDRESS(ROW('Loan 1'!$D$26),COLUMN('Loan 1'!$D$26),4)</f>
        <v>D26</v>
      </c>
      <c r="D5783" t="b" cm="1">
        <f t="array" aca="1" ref="D5783" ca="1">IF(INDIRECT("'"&amp;A5783&amp;"'!"&amp;B5783)="",FALSE,IF(TRUNC(INDIRECT("'"&amp;A5783&amp;"'!"&amp;B5783))=INDIRECT("'"&amp;A5783&amp;"'!"&amp;B5783),FALSE,TRUE))</f>
        <v>0</v>
      </c>
      <c r="E5783" t="s">
        <v>436</v>
      </c>
      <c r="F5783" t="str">
        <f>INDEX(Lists!I:I,MATCH(Validation!E5783,Lists!G:G,0))</f>
        <v>Error</v>
      </c>
      <c r="G5783" t="str">
        <f>INDEX(Lists!H:H,MATCH(Validation!E5783,Lists!G:G,0))</f>
        <v>Amount must be rounded to the nearest dollar.</v>
      </c>
      <c r="H5783" s="16" t="str">
        <f t="shared" ca="1" si="633"/>
        <v/>
      </c>
      <c r="I5783" s="16" t="str">
        <f t="shared" ca="1" si="634"/>
        <v/>
      </c>
      <c r="J5783" s="17" t="str">
        <f t="shared" ca="1" si="635"/>
        <v/>
      </c>
    </row>
    <row r="5784" spans="1:10" x14ac:dyDescent="0.25">
      <c r="A5784" t="s">
        <v>937</v>
      </c>
      <c r="B5784" t="str">
        <f>ADDRESS(ROW('Loan 1'!$B$26),COLUMN('Loan 1'!$B$26),4)</f>
        <v>B26</v>
      </c>
      <c r="C5784" t="str">
        <f>ADDRESS(ROW('Loan 1'!$D$26),COLUMN('Loan 1'!$D$26),4)</f>
        <v>D26</v>
      </c>
      <c r="D5784" t="b" cm="1">
        <f t="array" aca="1" ref="D5784" ca="1">IF(INDIRECT("'"&amp;A5784&amp;"'!"&amp;B5784)="",FALSE,IF(TRUNC(INDIRECT("'"&amp;A5784&amp;"'!"&amp;B5784))=INDIRECT("'"&amp;A5784&amp;"'!"&amp;B5784),FALSE,TRUE))</f>
        <v>0</v>
      </c>
      <c r="E5784" t="s">
        <v>436</v>
      </c>
      <c r="F5784" t="str">
        <f>INDEX(Lists!I:I,MATCH(Validation!E5784,Lists!G:G,0))</f>
        <v>Error</v>
      </c>
      <c r="G5784" t="str">
        <f>INDEX(Lists!H:H,MATCH(Validation!E5784,Lists!G:G,0))</f>
        <v>Amount must be rounded to the nearest dollar.</v>
      </c>
      <c r="H5784" s="16" t="str">
        <f t="shared" ca="1" si="633"/>
        <v/>
      </c>
      <c r="I5784" s="16" t="str">
        <f t="shared" ca="1" si="634"/>
        <v/>
      </c>
      <c r="J5784" s="17" t="str">
        <f t="shared" ca="1" si="635"/>
        <v/>
      </c>
    </row>
    <row r="5785" spans="1:10" x14ac:dyDescent="0.25">
      <c r="A5785" t="s">
        <v>938</v>
      </c>
      <c r="B5785" t="str">
        <f>ADDRESS(ROW('Loan 1'!$B$26),COLUMN('Loan 1'!$B$26),4)</f>
        <v>B26</v>
      </c>
      <c r="C5785" t="str">
        <f>ADDRESS(ROW('Loan 1'!$D$26),COLUMN('Loan 1'!$D$26),4)</f>
        <v>D26</v>
      </c>
      <c r="D5785" t="b" cm="1">
        <f t="array" aca="1" ref="D5785" ca="1">IF(INDIRECT("'"&amp;A5785&amp;"'!"&amp;B5785)="",FALSE,IF(TRUNC(INDIRECT("'"&amp;A5785&amp;"'!"&amp;B5785))=INDIRECT("'"&amp;A5785&amp;"'!"&amp;B5785),FALSE,TRUE))</f>
        <v>0</v>
      </c>
      <c r="E5785" t="s">
        <v>436</v>
      </c>
      <c r="F5785" t="str">
        <f>INDEX(Lists!I:I,MATCH(Validation!E5785,Lists!G:G,0))</f>
        <v>Error</v>
      </c>
      <c r="G5785" t="str">
        <f>INDEX(Lists!H:H,MATCH(Validation!E5785,Lists!G:G,0))</f>
        <v>Amount must be rounded to the nearest dollar.</v>
      </c>
      <c r="H5785" s="16" t="str">
        <f t="shared" ca="1" si="633"/>
        <v/>
      </c>
      <c r="I5785" s="16" t="str">
        <f t="shared" ca="1" si="634"/>
        <v/>
      </c>
      <c r="J5785" s="17" t="str">
        <f t="shared" ca="1" si="635"/>
        <v/>
      </c>
    </row>
    <row r="5786" spans="1:10" x14ac:dyDescent="0.25">
      <c r="A5786" t="s">
        <v>939</v>
      </c>
      <c r="B5786" t="str">
        <f>ADDRESS(ROW('Loan 1'!$B$26),COLUMN('Loan 1'!$B$26),4)</f>
        <v>B26</v>
      </c>
      <c r="C5786" t="str">
        <f>ADDRESS(ROW('Loan 1'!$D$26),COLUMN('Loan 1'!$D$26),4)</f>
        <v>D26</v>
      </c>
      <c r="D5786" t="b" cm="1">
        <f t="array" aca="1" ref="D5786" ca="1">IF(INDIRECT("'"&amp;A5786&amp;"'!"&amp;B5786)="",FALSE,IF(TRUNC(INDIRECT("'"&amp;A5786&amp;"'!"&amp;B5786))=INDIRECT("'"&amp;A5786&amp;"'!"&amp;B5786),FALSE,TRUE))</f>
        <v>0</v>
      </c>
      <c r="E5786" t="s">
        <v>436</v>
      </c>
      <c r="F5786" t="str">
        <f>INDEX(Lists!I:I,MATCH(Validation!E5786,Lists!G:G,0))</f>
        <v>Error</v>
      </c>
      <c r="G5786" t="str">
        <f>INDEX(Lists!H:H,MATCH(Validation!E5786,Lists!G:G,0))</f>
        <v>Amount must be rounded to the nearest dollar.</v>
      </c>
      <c r="H5786" s="16" t="str">
        <f t="shared" ca="1" si="633"/>
        <v/>
      </c>
      <c r="I5786" s="16" t="str">
        <f t="shared" ca="1" si="634"/>
        <v/>
      </c>
      <c r="J5786" s="17" t="str">
        <f t="shared" ca="1" si="635"/>
        <v/>
      </c>
    </row>
    <row r="5787" spans="1:10" x14ac:dyDescent="0.25">
      <c r="A5787" t="s">
        <v>940</v>
      </c>
      <c r="B5787" t="str">
        <f>ADDRESS(ROW('Loan 1'!$B$26),COLUMN('Loan 1'!$B$26),4)</f>
        <v>B26</v>
      </c>
      <c r="C5787" t="str">
        <f>ADDRESS(ROW('Loan 1'!$D$26),COLUMN('Loan 1'!$D$26),4)</f>
        <v>D26</v>
      </c>
      <c r="D5787" t="b" cm="1">
        <f t="array" aca="1" ref="D5787" ca="1">IF(INDIRECT("'"&amp;A5787&amp;"'!"&amp;B5787)="",FALSE,IF(TRUNC(INDIRECT("'"&amp;A5787&amp;"'!"&amp;B5787))=INDIRECT("'"&amp;A5787&amp;"'!"&amp;B5787),FALSE,TRUE))</f>
        <v>0</v>
      </c>
      <c r="E5787" t="s">
        <v>436</v>
      </c>
      <c r="F5787" t="str">
        <f>INDEX(Lists!I:I,MATCH(Validation!E5787,Lists!G:G,0))</f>
        <v>Error</v>
      </c>
      <c r="G5787" t="str">
        <f>INDEX(Lists!H:H,MATCH(Validation!E5787,Lists!G:G,0))</f>
        <v>Amount must be rounded to the nearest dollar.</v>
      </c>
      <c r="H5787" s="16" t="str">
        <f t="shared" ca="1" si="633"/>
        <v/>
      </c>
      <c r="I5787" s="16" t="str">
        <f t="shared" ca="1" si="634"/>
        <v/>
      </c>
      <c r="J5787" s="17" t="str">
        <f t="shared" ca="1" si="635"/>
        <v/>
      </c>
    </row>
    <row r="5788" spans="1:10" x14ac:dyDescent="0.25">
      <c r="A5788" t="s">
        <v>941</v>
      </c>
      <c r="B5788" t="str">
        <f>ADDRESS(ROW('Loan 1'!$B$26),COLUMN('Loan 1'!$B$26),4)</f>
        <v>B26</v>
      </c>
      <c r="C5788" t="str">
        <f>ADDRESS(ROW('Loan 1'!$D$26),COLUMN('Loan 1'!$D$26),4)</f>
        <v>D26</v>
      </c>
      <c r="D5788" t="b" cm="1">
        <f t="array" aca="1" ref="D5788" ca="1">IF(INDIRECT("'"&amp;A5788&amp;"'!"&amp;B5788)="",FALSE,IF(TRUNC(INDIRECT("'"&amp;A5788&amp;"'!"&amp;B5788))=INDIRECT("'"&amp;A5788&amp;"'!"&amp;B5788),FALSE,TRUE))</f>
        <v>0</v>
      </c>
      <c r="E5788" t="s">
        <v>436</v>
      </c>
      <c r="F5788" t="str">
        <f>INDEX(Lists!I:I,MATCH(Validation!E5788,Lists!G:G,0))</f>
        <v>Error</v>
      </c>
      <c r="G5788" t="str">
        <f>INDEX(Lists!H:H,MATCH(Validation!E5788,Lists!G:G,0))</f>
        <v>Amount must be rounded to the nearest dollar.</v>
      </c>
      <c r="H5788" s="16" t="str">
        <f t="shared" ca="1" si="633"/>
        <v/>
      </c>
      <c r="I5788" s="16" t="str">
        <f t="shared" ca="1" si="634"/>
        <v/>
      </c>
      <c r="J5788" s="17" t="str">
        <f t="shared" ca="1" si="635"/>
        <v/>
      </c>
    </row>
    <row r="5789" spans="1:10" x14ac:dyDescent="0.25">
      <c r="A5789" t="s">
        <v>942</v>
      </c>
      <c r="B5789" t="str">
        <f>ADDRESS(ROW('Loan 1'!$B$26),COLUMN('Loan 1'!$B$26),4)</f>
        <v>B26</v>
      </c>
      <c r="C5789" t="str">
        <f>ADDRESS(ROW('Loan 1'!$D$26),COLUMN('Loan 1'!$D$26),4)</f>
        <v>D26</v>
      </c>
      <c r="D5789" t="b" cm="1">
        <f t="array" aca="1" ref="D5789" ca="1">IF(INDIRECT("'"&amp;A5789&amp;"'!"&amp;B5789)="",FALSE,IF(TRUNC(INDIRECT("'"&amp;A5789&amp;"'!"&amp;B5789))=INDIRECT("'"&amp;A5789&amp;"'!"&amp;B5789),FALSE,TRUE))</f>
        <v>0</v>
      </c>
      <c r="E5789" t="s">
        <v>436</v>
      </c>
      <c r="F5789" t="str">
        <f>INDEX(Lists!I:I,MATCH(Validation!E5789,Lists!G:G,0))</f>
        <v>Error</v>
      </c>
      <c r="G5789" t="str">
        <f>INDEX(Lists!H:H,MATCH(Validation!E5789,Lists!G:G,0))</f>
        <v>Amount must be rounded to the nearest dollar.</v>
      </c>
      <c r="H5789" s="16" t="str">
        <f t="shared" ca="1" si="633"/>
        <v/>
      </c>
      <c r="I5789" s="16" t="str">
        <f t="shared" ca="1" si="634"/>
        <v/>
      </c>
      <c r="J5789" s="17" t="str">
        <f t="shared" ca="1" si="635"/>
        <v/>
      </c>
    </row>
    <row r="5790" spans="1:10" x14ac:dyDescent="0.25">
      <c r="A5790" t="s">
        <v>943</v>
      </c>
      <c r="B5790" t="str">
        <f>ADDRESS(ROW('Loan 1'!$B$26),COLUMN('Loan 1'!$B$26),4)</f>
        <v>B26</v>
      </c>
      <c r="C5790" t="str">
        <f>ADDRESS(ROW('Loan 1'!$D$26),COLUMN('Loan 1'!$D$26),4)</f>
        <v>D26</v>
      </c>
      <c r="D5790" t="b" cm="1">
        <f t="array" aca="1" ref="D5790" ca="1">IF(INDIRECT("'"&amp;A5790&amp;"'!"&amp;B5790)="",FALSE,IF(TRUNC(INDIRECT("'"&amp;A5790&amp;"'!"&amp;B5790))=INDIRECT("'"&amp;A5790&amp;"'!"&amp;B5790),FALSE,TRUE))</f>
        <v>0</v>
      </c>
      <c r="E5790" t="s">
        <v>436</v>
      </c>
      <c r="F5790" t="str">
        <f>INDEX(Lists!I:I,MATCH(Validation!E5790,Lists!G:G,0))</f>
        <v>Error</v>
      </c>
      <c r="G5790" t="str">
        <f>INDEX(Lists!H:H,MATCH(Validation!E5790,Lists!G:G,0))</f>
        <v>Amount must be rounded to the nearest dollar.</v>
      </c>
      <c r="H5790" s="16" t="str">
        <f t="shared" ca="1" si="633"/>
        <v/>
      </c>
      <c r="I5790" s="16" t="str">
        <f t="shared" ca="1" si="634"/>
        <v/>
      </c>
      <c r="J5790" s="17" t="str">
        <f t="shared" ca="1" si="635"/>
        <v/>
      </c>
    </row>
    <row r="5791" spans="1:10" x14ac:dyDescent="0.25">
      <c r="A5791" t="s">
        <v>944</v>
      </c>
      <c r="B5791" t="str">
        <f>ADDRESS(ROW('Loan 1'!$B$26),COLUMN('Loan 1'!$B$26),4)</f>
        <v>B26</v>
      </c>
      <c r="C5791" t="str">
        <f>ADDRESS(ROW('Loan 1'!$D$26),COLUMN('Loan 1'!$D$26),4)</f>
        <v>D26</v>
      </c>
      <c r="D5791" t="b" cm="1">
        <f t="array" aca="1" ref="D5791" ca="1">IF(INDIRECT("'"&amp;A5791&amp;"'!"&amp;B5791)="",FALSE,IF(TRUNC(INDIRECT("'"&amp;A5791&amp;"'!"&amp;B5791))=INDIRECT("'"&amp;A5791&amp;"'!"&amp;B5791),FALSE,TRUE))</f>
        <v>0</v>
      </c>
      <c r="E5791" t="s">
        <v>436</v>
      </c>
      <c r="F5791" t="str">
        <f>INDEX(Lists!I:I,MATCH(Validation!E5791,Lists!G:G,0))</f>
        <v>Error</v>
      </c>
      <c r="G5791" t="str">
        <f>INDEX(Lists!H:H,MATCH(Validation!E5791,Lists!G:G,0))</f>
        <v>Amount must be rounded to the nearest dollar.</v>
      </c>
      <c r="H5791" s="16" t="str">
        <f t="shared" ca="1" si="633"/>
        <v/>
      </c>
      <c r="I5791" s="16" t="str">
        <f t="shared" ca="1" si="634"/>
        <v/>
      </c>
      <c r="J5791" s="17" t="str">
        <f t="shared" ca="1" si="635"/>
        <v/>
      </c>
    </row>
    <row r="5792" spans="1:10" x14ac:dyDescent="0.25">
      <c r="A5792" t="s">
        <v>945</v>
      </c>
      <c r="B5792" t="str">
        <f>ADDRESS(ROW('Loan 1'!$B$26),COLUMN('Loan 1'!$B$26),4)</f>
        <v>B26</v>
      </c>
      <c r="C5792" t="str">
        <f>ADDRESS(ROW('Loan 1'!$D$26),COLUMN('Loan 1'!$D$26),4)</f>
        <v>D26</v>
      </c>
      <c r="D5792" t="b" cm="1">
        <f t="array" aca="1" ref="D5792" ca="1">IF(INDIRECT("'"&amp;A5792&amp;"'!"&amp;B5792)="",FALSE,IF(TRUNC(INDIRECT("'"&amp;A5792&amp;"'!"&amp;B5792))=INDIRECT("'"&amp;A5792&amp;"'!"&amp;B5792),FALSE,TRUE))</f>
        <v>0</v>
      </c>
      <c r="E5792" t="s">
        <v>436</v>
      </c>
      <c r="F5792" t="str">
        <f>INDEX(Lists!I:I,MATCH(Validation!E5792,Lists!G:G,0))</f>
        <v>Error</v>
      </c>
      <c r="G5792" t="str">
        <f>INDEX(Lists!H:H,MATCH(Validation!E5792,Lists!G:G,0))</f>
        <v>Amount must be rounded to the nearest dollar.</v>
      </c>
      <c r="H5792" s="16" t="str">
        <f t="shared" ca="1" si="633"/>
        <v/>
      </c>
      <c r="I5792" s="16" t="str">
        <f t="shared" ca="1" si="634"/>
        <v/>
      </c>
      <c r="J5792" s="17" t="str">
        <f t="shared" ca="1" si="635"/>
        <v/>
      </c>
    </row>
    <row r="5793" spans="1:10" x14ac:dyDescent="0.25">
      <c r="A5793" t="s">
        <v>205</v>
      </c>
      <c r="B5793" t="str">
        <f>ADDRESS(ROW('Loan 1'!$C$26),COLUMN('Loan 1'!$C$26),4)</f>
        <v>C26</v>
      </c>
      <c r="C5793" t="str">
        <f>ADDRESS(ROW('Loan 1'!$D$26),COLUMN('Loan 1'!$D$26),4)</f>
        <v>D26</v>
      </c>
      <c r="D5793" t="b" cm="1">
        <f t="array" aca="1" ref="D5793" ca="1">IF(INDIRECT("'"&amp;A5793&amp;"'!"&amp;B5793)="",FALSE,IF(NOT(ISNUMBER(INDIRECT("'"&amp;A5793&amp;"'!"&amp;B5793))),TRUE,FALSE))</f>
        <v>0</v>
      </c>
      <c r="E5793" t="s">
        <v>435</v>
      </c>
      <c r="F5793" t="str">
        <f>INDEX(Lists!I:I,MATCH(Validation!E5793,Lists!G:G,0))</f>
        <v>Error</v>
      </c>
      <c r="G5793" t="str">
        <f>INDEX(Lists!H:H,MATCH(Validation!E5793,Lists!G:G,0))</f>
        <v>Enter an amount only. Do not enter text or spaces.</v>
      </c>
      <c r="H5793" s="16" t="str">
        <f ca="1">IFERROR(IF(OR(NOT(D5793),F5793&lt;&gt;"Error"),"",A5793&amp;CELL("address",INDIRECT(B5793))),"")</f>
        <v/>
      </c>
      <c r="I5793" s="16" t="str">
        <f ca="1">IFERROR(IF(NOT(D5793),"",A5793&amp;CELL("address",INDIRECT(C5793))),"")</f>
        <v/>
      </c>
      <c r="J5793" s="17" t="str">
        <f ca="1">IFERROR(IF(NOT(D5793),"",A5793),"")</f>
        <v/>
      </c>
    </row>
    <row r="5794" spans="1:10" x14ac:dyDescent="0.25">
      <c r="A5794" t="s">
        <v>932</v>
      </c>
      <c r="B5794" t="str">
        <f>ADDRESS(ROW('Loan 1'!$C$26),COLUMN('Loan 1'!$C$26),4)</f>
        <v>C26</v>
      </c>
      <c r="C5794" t="str">
        <f>ADDRESS(ROW('Loan 1'!$D$26),COLUMN('Loan 1'!$D$26),4)</f>
        <v>D26</v>
      </c>
      <c r="D5794" t="b" cm="1">
        <f t="array" aca="1" ref="D5794" ca="1">IF(INDIRECT("'"&amp;A5794&amp;"'!"&amp;B5794)="",FALSE,IF(NOT(ISNUMBER(INDIRECT("'"&amp;A5794&amp;"'!"&amp;B5794))),TRUE,FALSE))</f>
        <v>0</v>
      </c>
      <c r="E5794" t="s">
        <v>435</v>
      </c>
      <c r="F5794" t="str">
        <f>INDEX(Lists!I:I,MATCH(Validation!E5794,Lists!G:G,0))</f>
        <v>Error</v>
      </c>
      <c r="G5794" t="str">
        <f>INDEX(Lists!H:H,MATCH(Validation!E5794,Lists!G:G,0))</f>
        <v>Enter an amount only. Do not enter text or spaces.</v>
      </c>
      <c r="H5794" s="16" t="str">
        <f t="shared" ref="H5794:H5807" ca="1" si="636">IFERROR(IF(OR(NOT(D5794),F5794&lt;&gt;"Error"),"",A5794&amp;CELL("address",INDIRECT(B5794))),"")</f>
        <v/>
      </c>
      <c r="I5794" s="16" t="str">
        <f t="shared" ref="I5794:I5807" ca="1" si="637">IFERROR(IF(NOT(D5794),"",A5794&amp;CELL("address",INDIRECT(C5794))),"")</f>
        <v/>
      </c>
      <c r="J5794" s="17" t="str">
        <f t="shared" ref="J5794:J5807" ca="1" si="638">IFERROR(IF(NOT(D5794),"",A5794),"")</f>
        <v/>
      </c>
    </row>
    <row r="5795" spans="1:10" x14ac:dyDescent="0.25">
      <c r="A5795" t="s">
        <v>933</v>
      </c>
      <c r="B5795" t="str">
        <f>ADDRESS(ROW('Loan 1'!$C$26),COLUMN('Loan 1'!$C$26),4)</f>
        <v>C26</v>
      </c>
      <c r="C5795" t="str">
        <f>ADDRESS(ROW('Loan 1'!$D$26),COLUMN('Loan 1'!$D$26),4)</f>
        <v>D26</v>
      </c>
      <c r="D5795" t="b" cm="1">
        <f t="array" aca="1" ref="D5795" ca="1">IF(INDIRECT("'"&amp;A5795&amp;"'!"&amp;B5795)="",FALSE,IF(NOT(ISNUMBER(INDIRECT("'"&amp;A5795&amp;"'!"&amp;B5795))),TRUE,FALSE))</f>
        <v>0</v>
      </c>
      <c r="E5795" t="s">
        <v>435</v>
      </c>
      <c r="F5795" t="str">
        <f>INDEX(Lists!I:I,MATCH(Validation!E5795,Lists!G:G,0))</f>
        <v>Error</v>
      </c>
      <c r="G5795" t="str">
        <f>INDEX(Lists!H:H,MATCH(Validation!E5795,Lists!G:G,0))</f>
        <v>Enter an amount only. Do not enter text or spaces.</v>
      </c>
      <c r="H5795" s="16" t="str">
        <f t="shared" ca="1" si="636"/>
        <v/>
      </c>
      <c r="I5795" s="16" t="str">
        <f t="shared" ca="1" si="637"/>
        <v/>
      </c>
      <c r="J5795" s="17" t="str">
        <f t="shared" ca="1" si="638"/>
        <v/>
      </c>
    </row>
    <row r="5796" spans="1:10" x14ac:dyDescent="0.25">
      <c r="A5796" t="s">
        <v>934</v>
      </c>
      <c r="B5796" t="str">
        <f>ADDRESS(ROW('Loan 1'!$C$26),COLUMN('Loan 1'!$C$26),4)</f>
        <v>C26</v>
      </c>
      <c r="C5796" t="str">
        <f>ADDRESS(ROW('Loan 1'!$D$26),COLUMN('Loan 1'!$D$26),4)</f>
        <v>D26</v>
      </c>
      <c r="D5796" t="b" cm="1">
        <f t="array" aca="1" ref="D5796" ca="1">IF(INDIRECT("'"&amp;A5796&amp;"'!"&amp;B5796)="",FALSE,IF(NOT(ISNUMBER(INDIRECT("'"&amp;A5796&amp;"'!"&amp;B5796))),TRUE,FALSE))</f>
        <v>0</v>
      </c>
      <c r="E5796" t="s">
        <v>435</v>
      </c>
      <c r="F5796" t="str">
        <f>INDEX(Lists!I:I,MATCH(Validation!E5796,Lists!G:G,0))</f>
        <v>Error</v>
      </c>
      <c r="G5796" t="str">
        <f>INDEX(Lists!H:H,MATCH(Validation!E5796,Lists!G:G,0))</f>
        <v>Enter an amount only. Do not enter text or spaces.</v>
      </c>
      <c r="H5796" s="16" t="str">
        <f t="shared" ca="1" si="636"/>
        <v/>
      </c>
      <c r="I5796" s="16" t="str">
        <f t="shared" ca="1" si="637"/>
        <v/>
      </c>
      <c r="J5796" s="17" t="str">
        <f t="shared" ca="1" si="638"/>
        <v/>
      </c>
    </row>
    <row r="5797" spans="1:10" x14ac:dyDescent="0.25">
      <c r="A5797" t="s">
        <v>935</v>
      </c>
      <c r="B5797" t="str">
        <f>ADDRESS(ROW('Loan 1'!$C$26),COLUMN('Loan 1'!$C$26),4)</f>
        <v>C26</v>
      </c>
      <c r="C5797" t="str">
        <f>ADDRESS(ROW('Loan 1'!$D$26),COLUMN('Loan 1'!$D$26),4)</f>
        <v>D26</v>
      </c>
      <c r="D5797" t="b" cm="1">
        <f t="array" aca="1" ref="D5797" ca="1">IF(INDIRECT("'"&amp;A5797&amp;"'!"&amp;B5797)="",FALSE,IF(NOT(ISNUMBER(INDIRECT("'"&amp;A5797&amp;"'!"&amp;B5797))),TRUE,FALSE))</f>
        <v>0</v>
      </c>
      <c r="E5797" t="s">
        <v>435</v>
      </c>
      <c r="F5797" t="str">
        <f>INDEX(Lists!I:I,MATCH(Validation!E5797,Lists!G:G,0))</f>
        <v>Error</v>
      </c>
      <c r="G5797" t="str">
        <f>INDEX(Lists!H:H,MATCH(Validation!E5797,Lists!G:G,0))</f>
        <v>Enter an amount only. Do not enter text or spaces.</v>
      </c>
      <c r="H5797" s="16" t="str">
        <f t="shared" ca="1" si="636"/>
        <v/>
      </c>
      <c r="I5797" s="16" t="str">
        <f t="shared" ca="1" si="637"/>
        <v/>
      </c>
      <c r="J5797" s="17" t="str">
        <f t="shared" ca="1" si="638"/>
        <v/>
      </c>
    </row>
    <row r="5798" spans="1:10" x14ac:dyDescent="0.25">
      <c r="A5798" t="s">
        <v>936</v>
      </c>
      <c r="B5798" t="str">
        <f>ADDRESS(ROW('Loan 1'!$C$26),COLUMN('Loan 1'!$C$26),4)</f>
        <v>C26</v>
      </c>
      <c r="C5798" t="str">
        <f>ADDRESS(ROW('Loan 1'!$D$26),COLUMN('Loan 1'!$D$26),4)</f>
        <v>D26</v>
      </c>
      <c r="D5798" t="b" cm="1">
        <f t="array" aca="1" ref="D5798" ca="1">IF(INDIRECT("'"&amp;A5798&amp;"'!"&amp;B5798)="",FALSE,IF(NOT(ISNUMBER(INDIRECT("'"&amp;A5798&amp;"'!"&amp;B5798))),TRUE,FALSE))</f>
        <v>0</v>
      </c>
      <c r="E5798" t="s">
        <v>435</v>
      </c>
      <c r="F5798" t="str">
        <f>INDEX(Lists!I:I,MATCH(Validation!E5798,Lists!G:G,0))</f>
        <v>Error</v>
      </c>
      <c r="G5798" t="str">
        <f>INDEX(Lists!H:H,MATCH(Validation!E5798,Lists!G:G,0))</f>
        <v>Enter an amount only. Do not enter text or spaces.</v>
      </c>
      <c r="H5798" s="16" t="str">
        <f t="shared" ca="1" si="636"/>
        <v/>
      </c>
      <c r="I5798" s="16" t="str">
        <f t="shared" ca="1" si="637"/>
        <v/>
      </c>
      <c r="J5798" s="17" t="str">
        <f t="shared" ca="1" si="638"/>
        <v/>
      </c>
    </row>
    <row r="5799" spans="1:10" x14ac:dyDescent="0.25">
      <c r="A5799" t="s">
        <v>937</v>
      </c>
      <c r="B5799" t="str">
        <f>ADDRESS(ROW('Loan 1'!$C$26),COLUMN('Loan 1'!$C$26),4)</f>
        <v>C26</v>
      </c>
      <c r="C5799" t="str">
        <f>ADDRESS(ROW('Loan 1'!$D$26),COLUMN('Loan 1'!$D$26),4)</f>
        <v>D26</v>
      </c>
      <c r="D5799" t="b" cm="1">
        <f t="array" aca="1" ref="D5799" ca="1">IF(INDIRECT("'"&amp;A5799&amp;"'!"&amp;B5799)="",FALSE,IF(NOT(ISNUMBER(INDIRECT("'"&amp;A5799&amp;"'!"&amp;B5799))),TRUE,FALSE))</f>
        <v>0</v>
      </c>
      <c r="E5799" t="s">
        <v>435</v>
      </c>
      <c r="F5799" t="str">
        <f>INDEX(Lists!I:I,MATCH(Validation!E5799,Lists!G:G,0))</f>
        <v>Error</v>
      </c>
      <c r="G5799" t="str">
        <f>INDEX(Lists!H:H,MATCH(Validation!E5799,Lists!G:G,0))</f>
        <v>Enter an amount only. Do not enter text or spaces.</v>
      </c>
      <c r="H5799" s="16" t="str">
        <f t="shared" ca="1" si="636"/>
        <v/>
      </c>
      <c r="I5799" s="16" t="str">
        <f t="shared" ca="1" si="637"/>
        <v/>
      </c>
      <c r="J5799" s="17" t="str">
        <f t="shared" ca="1" si="638"/>
        <v/>
      </c>
    </row>
    <row r="5800" spans="1:10" x14ac:dyDescent="0.25">
      <c r="A5800" t="s">
        <v>938</v>
      </c>
      <c r="B5800" t="str">
        <f>ADDRESS(ROW('Loan 1'!$C$26),COLUMN('Loan 1'!$C$26),4)</f>
        <v>C26</v>
      </c>
      <c r="C5800" t="str">
        <f>ADDRESS(ROW('Loan 1'!$D$26),COLUMN('Loan 1'!$D$26),4)</f>
        <v>D26</v>
      </c>
      <c r="D5800" t="b" cm="1">
        <f t="array" aca="1" ref="D5800" ca="1">IF(INDIRECT("'"&amp;A5800&amp;"'!"&amp;B5800)="",FALSE,IF(NOT(ISNUMBER(INDIRECT("'"&amp;A5800&amp;"'!"&amp;B5800))),TRUE,FALSE))</f>
        <v>0</v>
      </c>
      <c r="E5800" t="s">
        <v>435</v>
      </c>
      <c r="F5800" t="str">
        <f>INDEX(Lists!I:I,MATCH(Validation!E5800,Lists!G:G,0))</f>
        <v>Error</v>
      </c>
      <c r="G5800" t="str">
        <f>INDEX(Lists!H:H,MATCH(Validation!E5800,Lists!G:G,0))</f>
        <v>Enter an amount only. Do not enter text or spaces.</v>
      </c>
      <c r="H5800" s="16" t="str">
        <f t="shared" ca="1" si="636"/>
        <v/>
      </c>
      <c r="I5800" s="16" t="str">
        <f t="shared" ca="1" si="637"/>
        <v/>
      </c>
      <c r="J5800" s="17" t="str">
        <f t="shared" ca="1" si="638"/>
        <v/>
      </c>
    </row>
    <row r="5801" spans="1:10" x14ac:dyDescent="0.25">
      <c r="A5801" t="s">
        <v>939</v>
      </c>
      <c r="B5801" t="str">
        <f>ADDRESS(ROW('Loan 1'!$C$26),COLUMN('Loan 1'!$C$26),4)</f>
        <v>C26</v>
      </c>
      <c r="C5801" t="str">
        <f>ADDRESS(ROW('Loan 1'!$D$26),COLUMN('Loan 1'!$D$26),4)</f>
        <v>D26</v>
      </c>
      <c r="D5801" t="b" cm="1">
        <f t="array" aca="1" ref="D5801" ca="1">IF(INDIRECT("'"&amp;A5801&amp;"'!"&amp;B5801)="",FALSE,IF(NOT(ISNUMBER(INDIRECT("'"&amp;A5801&amp;"'!"&amp;B5801))),TRUE,FALSE))</f>
        <v>0</v>
      </c>
      <c r="E5801" t="s">
        <v>435</v>
      </c>
      <c r="F5801" t="str">
        <f>INDEX(Lists!I:I,MATCH(Validation!E5801,Lists!G:G,0))</f>
        <v>Error</v>
      </c>
      <c r="G5801" t="str">
        <f>INDEX(Lists!H:H,MATCH(Validation!E5801,Lists!G:G,0))</f>
        <v>Enter an amount only. Do not enter text or spaces.</v>
      </c>
      <c r="H5801" s="16" t="str">
        <f t="shared" ca="1" si="636"/>
        <v/>
      </c>
      <c r="I5801" s="16" t="str">
        <f t="shared" ca="1" si="637"/>
        <v/>
      </c>
      <c r="J5801" s="17" t="str">
        <f t="shared" ca="1" si="638"/>
        <v/>
      </c>
    </row>
    <row r="5802" spans="1:10" x14ac:dyDescent="0.25">
      <c r="A5802" t="s">
        <v>940</v>
      </c>
      <c r="B5802" t="str">
        <f>ADDRESS(ROW('Loan 1'!$C$26),COLUMN('Loan 1'!$C$26),4)</f>
        <v>C26</v>
      </c>
      <c r="C5802" t="str">
        <f>ADDRESS(ROW('Loan 1'!$D$26),COLUMN('Loan 1'!$D$26),4)</f>
        <v>D26</v>
      </c>
      <c r="D5802" t="b" cm="1">
        <f t="array" aca="1" ref="D5802" ca="1">IF(INDIRECT("'"&amp;A5802&amp;"'!"&amp;B5802)="",FALSE,IF(NOT(ISNUMBER(INDIRECT("'"&amp;A5802&amp;"'!"&amp;B5802))),TRUE,FALSE))</f>
        <v>0</v>
      </c>
      <c r="E5802" t="s">
        <v>435</v>
      </c>
      <c r="F5802" t="str">
        <f>INDEX(Lists!I:I,MATCH(Validation!E5802,Lists!G:G,0))</f>
        <v>Error</v>
      </c>
      <c r="G5802" t="str">
        <f>INDEX(Lists!H:H,MATCH(Validation!E5802,Lists!G:G,0))</f>
        <v>Enter an amount only. Do not enter text or spaces.</v>
      </c>
      <c r="H5802" s="16" t="str">
        <f t="shared" ca="1" si="636"/>
        <v/>
      </c>
      <c r="I5802" s="16" t="str">
        <f t="shared" ca="1" si="637"/>
        <v/>
      </c>
      <c r="J5802" s="17" t="str">
        <f t="shared" ca="1" si="638"/>
        <v/>
      </c>
    </row>
    <row r="5803" spans="1:10" x14ac:dyDescent="0.25">
      <c r="A5803" t="s">
        <v>941</v>
      </c>
      <c r="B5803" t="str">
        <f>ADDRESS(ROW('Loan 1'!$C$26),COLUMN('Loan 1'!$C$26),4)</f>
        <v>C26</v>
      </c>
      <c r="C5803" t="str">
        <f>ADDRESS(ROW('Loan 1'!$D$26),COLUMN('Loan 1'!$D$26),4)</f>
        <v>D26</v>
      </c>
      <c r="D5803" t="b" cm="1">
        <f t="array" aca="1" ref="D5803" ca="1">IF(INDIRECT("'"&amp;A5803&amp;"'!"&amp;B5803)="",FALSE,IF(NOT(ISNUMBER(INDIRECT("'"&amp;A5803&amp;"'!"&amp;B5803))),TRUE,FALSE))</f>
        <v>0</v>
      </c>
      <c r="E5803" t="s">
        <v>435</v>
      </c>
      <c r="F5803" t="str">
        <f>INDEX(Lists!I:I,MATCH(Validation!E5803,Lists!G:G,0))</f>
        <v>Error</v>
      </c>
      <c r="G5803" t="str">
        <f>INDEX(Lists!H:H,MATCH(Validation!E5803,Lists!G:G,0))</f>
        <v>Enter an amount only. Do not enter text or spaces.</v>
      </c>
      <c r="H5803" s="16" t="str">
        <f t="shared" ca="1" si="636"/>
        <v/>
      </c>
      <c r="I5803" s="16" t="str">
        <f t="shared" ca="1" si="637"/>
        <v/>
      </c>
      <c r="J5803" s="17" t="str">
        <f t="shared" ca="1" si="638"/>
        <v/>
      </c>
    </row>
    <row r="5804" spans="1:10" x14ac:dyDescent="0.25">
      <c r="A5804" t="s">
        <v>942</v>
      </c>
      <c r="B5804" t="str">
        <f>ADDRESS(ROW('Loan 1'!$C$26),COLUMN('Loan 1'!$C$26),4)</f>
        <v>C26</v>
      </c>
      <c r="C5804" t="str">
        <f>ADDRESS(ROW('Loan 1'!$D$26),COLUMN('Loan 1'!$D$26),4)</f>
        <v>D26</v>
      </c>
      <c r="D5804" t="b" cm="1">
        <f t="array" aca="1" ref="D5804" ca="1">IF(INDIRECT("'"&amp;A5804&amp;"'!"&amp;B5804)="",FALSE,IF(NOT(ISNUMBER(INDIRECT("'"&amp;A5804&amp;"'!"&amp;B5804))),TRUE,FALSE))</f>
        <v>0</v>
      </c>
      <c r="E5804" t="s">
        <v>435</v>
      </c>
      <c r="F5804" t="str">
        <f>INDEX(Lists!I:I,MATCH(Validation!E5804,Lists!G:G,0))</f>
        <v>Error</v>
      </c>
      <c r="G5804" t="str">
        <f>INDEX(Lists!H:H,MATCH(Validation!E5804,Lists!G:G,0))</f>
        <v>Enter an amount only. Do not enter text or spaces.</v>
      </c>
      <c r="H5804" s="16" t="str">
        <f t="shared" ca="1" si="636"/>
        <v/>
      </c>
      <c r="I5804" s="16" t="str">
        <f t="shared" ca="1" si="637"/>
        <v/>
      </c>
      <c r="J5804" s="17" t="str">
        <f t="shared" ca="1" si="638"/>
        <v/>
      </c>
    </row>
    <row r="5805" spans="1:10" x14ac:dyDescent="0.25">
      <c r="A5805" t="s">
        <v>943</v>
      </c>
      <c r="B5805" t="str">
        <f>ADDRESS(ROW('Loan 1'!$C$26),COLUMN('Loan 1'!$C$26),4)</f>
        <v>C26</v>
      </c>
      <c r="C5805" t="str">
        <f>ADDRESS(ROW('Loan 1'!$D$26),COLUMN('Loan 1'!$D$26),4)</f>
        <v>D26</v>
      </c>
      <c r="D5805" t="b" cm="1">
        <f t="array" aca="1" ref="D5805" ca="1">IF(INDIRECT("'"&amp;A5805&amp;"'!"&amp;B5805)="",FALSE,IF(NOT(ISNUMBER(INDIRECT("'"&amp;A5805&amp;"'!"&amp;B5805))),TRUE,FALSE))</f>
        <v>0</v>
      </c>
      <c r="E5805" t="s">
        <v>435</v>
      </c>
      <c r="F5805" t="str">
        <f>INDEX(Lists!I:I,MATCH(Validation!E5805,Lists!G:G,0))</f>
        <v>Error</v>
      </c>
      <c r="G5805" t="str">
        <f>INDEX(Lists!H:H,MATCH(Validation!E5805,Lists!G:G,0))</f>
        <v>Enter an amount only. Do not enter text or spaces.</v>
      </c>
      <c r="H5805" s="16" t="str">
        <f t="shared" ca="1" si="636"/>
        <v/>
      </c>
      <c r="I5805" s="16" t="str">
        <f t="shared" ca="1" si="637"/>
        <v/>
      </c>
      <c r="J5805" s="17" t="str">
        <f t="shared" ca="1" si="638"/>
        <v/>
      </c>
    </row>
    <row r="5806" spans="1:10" x14ac:dyDescent="0.25">
      <c r="A5806" t="s">
        <v>944</v>
      </c>
      <c r="B5806" t="str">
        <f>ADDRESS(ROW('Loan 1'!$C$26),COLUMN('Loan 1'!$C$26),4)</f>
        <v>C26</v>
      </c>
      <c r="C5806" t="str">
        <f>ADDRESS(ROW('Loan 1'!$D$26),COLUMN('Loan 1'!$D$26),4)</f>
        <v>D26</v>
      </c>
      <c r="D5806" t="b" cm="1">
        <f t="array" aca="1" ref="D5806" ca="1">IF(INDIRECT("'"&amp;A5806&amp;"'!"&amp;B5806)="",FALSE,IF(NOT(ISNUMBER(INDIRECT("'"&amp;A5806&amp;"'!"&amp;B5806))),TRUE,FALSE))</f>
        <v>0</v>
      </c>
      <c r="E5806" t="s">
        <v>435</v>
      </c>
      <c r="F5806" t="str">
        <f>INDEX(Lists!I:I,MATCH(Validation!E5806,Lists!G:G,0))</f>
        <v>Error</v>
      </c>
      <c r="G5806" t="str">
        <f>INDEX(Lists!H:H,MATCH(Validation!E5806,Lists!G:G,0))</f>
        <v>Enter an amount only. Do not enter text or spaces.</v>
      </c>
      <c r="H5806" s="16" t="str">
        <f t="shared" ca="1" si="636"/>
        <v/>
      </c>
      <c r="I5806" s="16" t="str">
        <f t="shared" ca="1" si="637"/>
        <v/>
      </c>
      <c r="J5806" s="17" t="str">
        <f t="shared" ca="1" si="638"/>
        <v/>
      </c>
    </row>
    <row r="5807" spans="1:10" x14ac:dyDescent="0.25">
      <c r="A5807" t="s">
        <v>945</v>
      </c>
      <c r="B5807" t="str">
        <f>ADDRESS(ROW('Loan 1'!$C$26),COLUMN('Loan 1'!$C$26),4)</f>
        <v>C26</v>
      </c>
      <c r="C5807" t="str">
        <f>ADDRESS(ROW('Loan 1'!$D$26),COLUMN('Loan 1'!$D$26),4)</f>
        <v>D26</v>
      </c>
      <c r="D5807" t="b" cm="1">
        <f t="array" aca="1" ref="D5807" ca="1">IF(INDIRECT("'"&amp;A5807&amp;"'!"&amp;B5807)="",FALSE,IF(NOT(ISNUMBER(INDIRECT("'"&amp;A5807&amp;"'!"&amp;B5807))),TRUE,FALSE))</f>
        <v>0</v>
      </c>
      <c r="E5807" t="s">
        <v>435</v>
      </c>
      <c r="F5807" t="str">
        <f>INDEX(Lists!I:I,MATCH(Validation!E5807,Lists!G:G,0))</f>
        <v>Error</v>
      </c>
      <c r="G5807" t="str">
        <f>INDEX(Lists!H:H,MATCH(Validation!E5807,Lists!G:G,0))</f>
        <v>Enter an amount only. Do not enter text or spaces.</v>
      </c>
      <c r="H5807" s="16" t="str">
        <f t="shared" ca="1" si="636"/>
        <v/>
      </c>
      <c r="I5807" s="16" t="str">
        <f t="shared" ca="1" si="637"/>
        <v/>
      </c>
      <c r="J5807" s="17" t="str">
        <f t="shared" ca="1" si="638"/>
        <v/>
      </c>
    </row>
    <row r="5808" spans="1:10" x14ac:dyDescent="0.25">
      <c r="A5808" t="s">
        <v>205</v>
      </c>
      <c r="B5808" t="str">
        <f>ADDRESS(ROW('Loan 1'!$C$26),COLUMN('Loan 1'!$C$26),4)</f>
        <v>C26</v>
      </c>
      <c r="C5808" t="str">
        <f>ADDRESS(ROW('Loan 1'!$D$26),COLUMN('Loan 1'!$D$26),4)</f>
        <v>D26</v>
      </c>
      <c r="D5808" t="b" cm="1">
        <f t="array" aca="1" ref="D5808" ca="1">IF(INDIRECT("'"&amp;A5808&amp;"'!"&amp;B5808)="",FALSE,IF(INDIRECT("'"&amp;A5808&amp;"'!"&amp;B5808)&lt;0,TRUE,FALSE))</f>
        <v>0</v>
      </c>
      <c r="E5808" t="s">
        <v>434</v>
      </c>
      <c r="F5808" t="str">
        <f>INDEX(Lists!I:I,MATCH(Validation!E5808,Lists!G:G,0))</f>
        <v>Error</v>
      </c>
      <c r="G5808" t="str">
        <f>INDEX(Lists!H:H,MATCH(Validation!E5808,Lists!G:G,0))</f>
        <v>Amount may not be negative. Enter an amount greater than or equal to zero.</v>
      </c>
      <c r="H5808" s="16" t="str">
        <f ca="1">IFERROR(IF(OR(NOT(D5808),F5808&lt;&gt;"Error"),"",A5808&amp;CELL("address",INDIRECT(B5808))),"")</f>
        <v/>
      </c>
      <c r="I5808" s="16" t="str">
        <f ca="1">IFERROR(IF(NOT(D5808),"",A5808&amp;CELL("address",INDIRECT(C5808))),"")</f>
        <v/>
      </c>
      <c r="J5808" s="17" t="str">
        <f ca="1">IFERROR(IF(NOT(D5808),"",A5808),"")</f>
        <v/>
      </c>
    </row>
    <row r="5809" spans="1:10" x14ac:dyDescent="0.25">
      <c r="A5809" t="s">
        <v>932</v>
      </c>
      <c r="B5809" t="str">
        <f>ADDRESS(ROW('Loan 1'!$C$26),COLUMN('Loan 1'!$C$26),4)</f>
        <v>C26</v>
      </c>
      <c r="C5809" t="str">
        <f>ADDRESS(ROW('Loan 1'!$D$26),COLUMN('Loan 1'!$D$26),4)</f>
        <v>D26</v>
      </c>
      <c r="D5809" t="b" cm="1">
        <f t="array" aca="1" ref="D5809" ca="1">IF(INDIRECT("'"&amp;A5809&amp;"'!"&amp;B5809)="",FALSE,IF(INDIRECT("'"&amp;A5809&amp;"'!"&amp;B5809)&lt;0,TRUE,FALSE))</f>
        <v>0</v>
      </c>
      <c r="E5809" t="s">
        <v>434</v>
      </c>
      <c r="F5809" t="str">
        <f>INDEX(Lists!I:I,MATCH(Validation!E5809,Lists!G:G,0))</f>
        <v>Error</v>
      </c>
      <c r="G5809" t="str">
        <f>INDEX(Lists!H:H,MATCH(Validation!E5809,Lists!G:G,0))</f>
        <v>Amount may not be negative. Enter an amount greater than or equal to zero.</v>
      </c>
      <c r="H5809" s="16" t="str">
        <f t="shared" ref="H5809:H5837" ca="1" si="639">IFERROR(IF(OR(NOT(D5809),F5809&lt;&gt;"Error"),"",A5809&amp;CELL("address",INDIRECT(B5809))),"")</f>
        <v/>
      </c>
      <c r="I5809" s="16" t="str">
        <f t="shared" ref="I5809:I5837" ca="1" si="640">IFERROR(IF(NOT(D5809),"",A5809&amp;CELL("address",INDIRECT(C5809))),"")</f>
        <v/>
      </c>
      <c r="J5809" s="17" t="str">
        <f t="shared" ref="J5809:J5837" ca="1" si="641">IFERROR(IF(NOT(D5809),"",A5809),"")</f>
        <v/>
      </c>
    </row>
    <row r="5810" spans="1:10" x14ac:dyDescent="0.25">
      <c r="A5810" t="s">
        <v>933</v>
      </c>
      <c r="B5810" t="str">
        <f>ADDRESS(ROW('Loan 1'!$C$26),COLUMN('Loan 1'!$C$26),4)</f>
        <v>C26</v>
      </c>
      <c r="C5810" t="str">
        <f>ADDRESS(ROW('Loan 1'!$D$26),COLUMN('Loan 1'!$D$26),4)</f>
        <v>D26</v>
      </c>
      <c r="D5810" t="b" cm="1">
        <f t="array" aca="1" ref="D5810" ca="1">IF(INDIRECT("'"&amp;A5810&amp;"'!"&amp;B5810)="",FALSE,IF(INDIRECT("'"&amp;A5810&amp;"'!"&amp;B5810)&lt;0,TRUE,FALSE))</f>
        <v>0</v>
      </c>
      <c r="E5810" t="s">
        <v>434</v>
      </c>
      <c r="F5810" t="str">
        <f>INDEX(Lists!I:I,MATCH(Validation!E5810,Lists!G:G,0))</f>
        <v>Error</v>
      </c>
      <c r="G5810" t="str">
        <f>INDEX(Lists!H:H,MATCH(Validation!E5810,Lists!G:G,0))</f>
        <v>Amount may not be negative. Enter an amount greater than or equal to zero.</v>
      </c>
      <c r="H5810" s="16" t="str">
        <f t="shared" ca="1" si="639"/>
        <v/>
      </c>
      <c r="I5810" s="16" t="str">
        <f t="shared" ca="1" si="640"/>
        <v/>
      </c>
      <c r="J5810" s="17" t="str">
        <f t="shared" ca="1" si="641"/>
        <v/>
      </c>
    </row>
    <row r="5811" spans="1:10" x14ac:dyDescent="0.25">
      <c r="A5811" t="s">
        <v>934</v>
      </c>
      <c r="B5811" t="str">
        <f>ADDRESS(ROW('Loan 1'!$C$26),COLUMN('Loan 1'!$C$26),4)</f>
        <v>C26</v>
      </c>
      <c r="C5811" t="str">
        <f>ADDRESS(ROW('Loan 1'!$D$26),COLUMN('Loan 1'!$D$26),4)</f>
        <v>D26</v>
      </c>
      <c r="D5811" t="b" cm="1">
        <f t="array" aca="1" ref="D5811" ca="1">IF(INDIRECT("'"&amp;A5811&amp;"'!"&amp;B5811)="",FALSE,IF(INDIRECT("'"&amp;A5811&amp;"'!"&amp;B5811)&lt;0,TRUE,FALSE))</f>
        <v>0</v>
      </c>
      <c r="E5811" t="s">
        <v>434</v>
      </c>
      <c r="F5811" t="str">
        <f>INDEX(Lists!I:I,MATCH(Validation!E5811,Lists!G:G,0))</f>
        <v>Error</v>
      </c>
      <c r="G5811" t="str">
        <f>INDEX(Lists!H:H,MATCH(Validation!E5811,Lists!G:G,0))</f>
        <v>Amount may not be negative. Enter an amount greater than or equal to zero.</v>
      </c>
      <c r="H5811" s="16" t="str">
        <f t="shared" ca="1" si="639"/>
        <v/>
      </c>
      <c r="I5811" s="16" t="str">
        <f t="shared" ca="1" si="640"/>
        <v/>
      </c>
      <c r="J5811" s="17" t="str">
        <f t="shared" ca="1" si="641"/>
        <v/>
      </c>
    </row>
    <row r="5812" spans="1:10" x14ac:dyDescent="0.25">
      <c r="A5812" t="s">
        <v>935</v>
      </c>
      <c r="B5812" t="str">
        <f>ADDRESS(ROW('Loan 1'!$C$26),COLUMN('Loan 1'!$C$26),4)</f>
        <v>C26</v>
      </c>
      <c r="C5812" t="str">
        <f>ADDRESS(ROW('Loan 1'!$D$26),COLUMN('Loan 1'!$D$26),4)</f>
        <v>D26</v>
      </c>
      <c r="D5812" t="b" cm="1">
        <f t="array" aca="1" ref="D5812" ca="1">IF(INDIRECT("'"&amp;A5812&amp;"'!"&amp;B5812)="",FALSE,IF(INDIRECT("'"&amp;A5812&amp;"'!"&amp;B5812)&lt;0,TRUE,FALSE))</f>
        <v>0</v>
      </c>
      <c r="E5812" t="s">
        <v>434</v>
      </c>
      <c r="F5812" t="str">
        <f>INDEX(Lists!I:I,MATCH(Validation!E5812,Lists!G:G,0))</f>
        <v>Error</v>
      </c>
      <c r="G5812" t="str">
        <f>INDEX(Lists!H:H,MATCH(Validation!E5812,Lists!G:G,0))</f>
        <v>Amount may not be negative. Enter an amount greater than or equal to zero.</v>
      </c>
      <c r="H5812" s="16" t="str">
        <f t="shared" ca="1" si="639"/>
        <v/>
      </c>
      <c r="I5812" s="16" t="str">
        <f t="shared" ca="1" si="640"/>
        <v/>
      </c>
      <c r="J5812" s="17" t="str">
        <f t="shared" ca="1" si="641"/>
        <v/>
      </c>
    </row>
    <row r="5813" spans="1:10" x14ac:dyDescent="0.25">
      <c r="A5813" t="s">
        <v>936</v>
      </c>
      <c r="B5813" t="str">
        <f>ADDRESS(ROW('Loan 1'!$C$26),COLUMN('Loan 1'!$C$26),4)</f>
        <v>C26</v>
      </c>
      <c r="C5813" t="str">
        <f>ADDRESS(ROW('Loan 1'!$D$26),COLUMN('Loan 1'!$D$26),4)</f>
        <v>D26</v>
      </c>
      <c r="D5813" t="b" cm="1">
        <f t="array" aca="1" ref="D5813" ca="1">IF(INDIRECT("'"&amp;A5813&amp;"'!"&amp;B5813)="",FALSE,IF(INDIRECT("'"&amp;A5813&amp;"'!"&amp;B5813)&lt;0,TRUE,FALSE))</f>
        <v>0</v>
      </c>
      <c r="E5813" t="s">
        <v>434</v>
      </c>
      <c r="F5813" t="str">
        <f>INDEX(Lists!I:I,MATCH(Validation!E5813,Lists!G:G,0))</f>
        <v>Error</v>
      </c>
      <c r="G5813" t="str">
        <f>INDEX(Lists!H:H,MATCH(Validation!E5813,Lists!G:G,0))</f>
        <v>Amount may not be negative. Enter an amount greater than or equal to zero.</v>
      </c>
      <c r="H5813" s="16" t="str">
        <f t="shared" ca="1" si="639"/>
        <v/>
      </c>
      <c r="I5813" s="16" t="str">
        <f t="shared" ca="1" si="640"/>
        <v/>
      </c>
      <c r="J5813" s="17" t="str">
        <f t="shared" ca="1" si="641"/>
        <v/>
      </c>
    </row>
    <row r="5814" spans="1:10" x14ac:dyDescent="0.25">
      <c r="A5814" t="s">
        <v>937</v>
      </c>
      <c r="B5814" t="str">
        <f>ADDRESS(ROW('Loan 1'!$C$26),COLUMN('Loan 1'!$C$26),4)</f>
        <v>C26</v>
      </c>
      <c r="C5814" t="str">
        <f>ADDRESS(ROW('Loan 1'!$D$26),COLUMN('Loan 1'!$D$26),4)</f>
        <v>D26</v>
      </c>
      <c r="D5814" t="b" cm="1">
        <f t="array" aca="1" ref="D5814" ca="1">IF(INDIRECT("'"&amp;A5814&amp;"'!"&amp;B5814)="",FALSE,IF(INDIRECT("'"&amp;A5814&amp;"'!"&amp;B5814)&lt;0,TRUE,FALSE))</f>
        <v>0</v>
      </c>
      <c r="E5814" t="s">
        <v>434</v>
      </c>
      <c r="F5814" t="str">
        <f>INDEX(Lists!I:I,MATCH(Validation!E5814,Lists!G:G,0))</f>
        <v>Error</v>
      </c>
      <c r="G5814" t="str">
        <f>INDEX(Lists!H:H,MATCH(Validation!E5814,Lists!G:G,0))</f>
        <v>Amount may not be negative. Enter an amount greater than or equal to zero.</v>
      </c>
      <c r="H5814" s="16" t="str">
        <f t="shared" ca="1" si="639"/>
        <v/>
      </c>
      <c r="I5814" s="16" t="str">
        <f t="shared" ca="1" si="640"/>
        <v/>
      </c>
      <c r="J5814" s="17" t="str">
        <f t="shared" ca="1" si="641"/>
        <v/>
      </c>
    </row>
    <row r="5815" spans="1:10" x14ac:dyDescent="0.25">
      <c r="A5815" t="s">
        <v>938</v>
      </c>
      <c r="B5815" t="str">
        <f>ADDRESS(ROW('Loan 1'!$C$26),COLUMN('Loan 1'!$C$26),4)</f>
        <v>C26</v>
      </c>
      <c r="C5815" t="str">
        <f>ADDRESS(ROW('Loan 1'!$D$26),COLUMN('Loan 1'!$D$26),4)</f>
        <v>D26</v>
      </c>
      <c r="D5815" t="b" cm="1">
        <f t="array" aca="1" ref="D5815" ca="1">IF(INDIRECT("'"&amp;A5815&amp;"'!"&amp;B5815)="",FALSE,IF(INDIRECT("'"&amp;A5815&amp;"'!"&amp;B5815)&lt;0,TRUE,FALSE))</f>
        <v>0</v>
      </c>
      <c r="E5815" t="s">
        <v>434</v>
      </c>
      <c r="F5815" t="str">
        <f>INDEX(Lists!I:I,MATCH(Validation!E5815,Lists!G:G,0))</f>
        <v>Error</v>
      </c>
      <c r="G5815" t="str">
        <f>INDEX(Lists!H:H,MATCH(Validation!E5815,Lists!G:G,0))</f>
        <v>Amount may not be negative. Enter an amount greater than or equal to zero.</v>
      </c>
      <c r="H5815" s="16" t="str">
        <f t="shared" ca="1" si="639"/>
        <v/>
      </c>
      <c r="I5815" s="16" t="str">
        <f t="shared" ca="1" si="640"/>
        <v/>
      </c>
      <c r="J5815" s="17" t="str">
        <f t="shared" ca="1" si="641"/>
        <v/>
      </c>
    </row>
    <row r="5816" spans="1:10" x14ac:dyDescent="0.25">
      <c r="A5816" t="s">
        <v>939</v>
      </c>
      <c r="B5816" t="str">
        <f>ADDRESS(ROW('Loan 1'!$C$26),COLUMN('Loan 1'!$C$26),4)</f>
        <v>C26</v>
      </c>
      <c r="C5816" t="str">
        <f>ADDRESS(ROW('Loan 1'!$D$26),COLUMN('Loan 1'!$D$26),4)</f>
        <v>D26</v>
      </c>
      <c r="D5816" t="b" cm="1">
        <f t="array" aca="1" ref="D5816" ca="1">IF(INDIRECT("'"&amp;A5816&amp;"'!"&amp;B5816)="",FALSE,IF(INDIRECT("'"&amp;A5816&amp;"'!"&amp;B5816)&lt;0,TRUE,FALSE))</f>
        <v>0</v>
      </c>
      <c r="E5816" t="s">
        <v>434</v>
      </c>
      <c r="F5816" t="str">
        <f>INDEX(Lists!I:I,MATCH(Validation!E5816,Lists!G:G,0))</f>
        <v>Error</v>
      </c>
      <c r="G5816" t="str">
        <f>INDEX(Lists!H:H,MATCH(Validation!E5816,Lists!G:G,0))</f>
        <v>Amount may not be negative. Enter an amount greater than or equal to zero.</v>
      </c>
      <c r="H5816" s="16" t="str">
        <f t="shared" ca="1" si="639"/>
        <v/>
      </c>
      <c r="I5816" s="16" t="str">
        <f t="shared" ca="1" si="640"/>
        <v/>
      </c>
      <c r="J5816" s="17" t="str">
        <f t="shared" ca="1" si="641"/>
        <v/>
      </c>
    </row>
    <row r="5817" spans="1:10" x14ac:dyDescent="0.25">
      <c r="A5817" t="s">
        <v>940</v>
      </c>
      <c r="B5817" t="str">
        <f>ADDRESS(ROW('Loan 1'!$C$26),COLUMN('Loan 1'!$C$26),4)</f>
        <v>C26</v>
      </c>
      <c r="C5817" t="str">
        <f>ADDRESS(ROW('Loan 1'!$D$26),COLUMN('Loan 1'!$D$26),4)</f>
        <v>D26</v>
      </c>
      <c r="D5817" t="b" cm="1">
        <f t="array" aca="1" ref="D5817" ca="1">IF(INDIRECT("'"&amp;A5817&amp;"'!"&amp;B5817)="",FALSE,IF(INDIRECT("'"&amp;A5817&amp;"'!"&amp;B5817)&lt;0,TRUE,FALSE))</f>
        <v>0</v>
      </c>
      <c r="E5817" t="s">
        <v>434</v>
      </c>
      <c r="F5817" t="str">
        <f>INDEX(Lists!I:I,MATCH(Validation!E5817,Lists!G:G,0))</f>
        <v>Error</v>
      </c>
      <c r="G5817" t="str">
        <f>INDEX(Lists!H:H,MATCH(Validation!E5817,Lists!G:G,0))</f>
        <v>Amount may not be negative. Enter an amount greater than or equal to zero.</v>
      </c>
      <c r="H5817" s="16" t="str">
        <f t="shared" ca="1" si="639"/>
        <v/>
      </c>
      <c r="I5817" s="16" t="str">
        <f t="shared" ca="1" si="640"/>
        <v/>
      </c>
      <c r="J5817" s="17" t="str">
        <f t="shared" ca="1" si="641"/>
        <v/>
      </c>
    </row>
    <row r="5818" spans="1:10" x14ac:dyDescent="0.25">
      <c r="A5818" t="s">
        <v>941</v>
      </c>
      <c r="B5818" t="str">
        <f>ADDRESS(ROW('Loan 1'!$C$26),COLUMN('Loan 1'!$C$26),4)</f>
        <v>C26</v>
      </c>
      <c r="C5818" t="str">
        <f>ADDRESS(ROW('Loan 1'!$D$26),COLUMN('Loan 1'!$D$26),4)</f>
        <v>D26</v>
      </c>
      <c r="D5818" t="b" cm="1">
        <f t="array" aca="1" ref="D5818" ca="1">IF(INDIRECT("'"&amp;A5818&amp;"'!"&amp;B5818)="",FALSE,IF(INDIRECT("'"&amp;A5818&amp;"'!"&amp;B5818)&lt;0,TRUE,FALSE))</f>
        <v>0</v>
      </c>
      <c r="E5818" t="s">
        <v>434</v>
      </c>
      <c r="F5818" t="str">
        <f>INDEX(Lists!I:I,MATCH(Validation!E5818,Lists!G:G,0))</f>
        <v>Error</v>
      </c>
      <c r="G5818" t="str">
        <f>INDEX(Lists!H:H,MATCH(Validation!E5818,Lists!G:G,0))</f>
        <v>Amount may not be negative. Enter an amount greater than or equal to zero.</v>
      </c>
      <c r="H5818" s="16" t="str">
        <f t="shared" ca="1" si="639"/>
        <v/>
      </c>
      <c r="I5818" s="16" t="str">
        <f t="shared" ca="1" si="640"/>
        <v/>
      </c>
      <c r="J5818" s="17" t="str">
        <f t="shared" ca="1" si="641"/>
        <v/>
      </c>
    </row>
    <row r="5819" spans="1:10" x14ac:dyDescent="0.25">
      <c r="A5819" t="s">
        <v>942</v>
      </c>
      <c r="B5819" t="str">
        <f>ADDRESS(ROW('Loan 1'!$C$26),COLUMN('Loan 1'!$C$26),4)</f>
        <v>C26</v>
      </c>
      <c r="C5819" t="str">
        <f>ADDRESS(ROW('Loan 1'!$D$26),COLUMN('Loan 1'!$D$26),4)</f>
        <v>D26</v>
      </c>
      <c r="D5819" t="b" cm="1">
        <f t="array" aca="1" ref="D5819" ca="1">IF(INDIRECT("'"&amp;A5819&amp;"'!"&amp;B5819)="",FALSE,IF(INDIRECT("'"&amp;A5819&amp;"'!"&amp;B5819)&lt;0,TRUE,FALSE))</f>
        <v>0</v>
      </c>
      <c r="E5819" t="s">
        <v>434</v>
      </c>
      <c r="F5819" t="str">
        <f>INDEX(Lists!I:I,MATCH(Validation!E5819,Lists!G:G,0))</f>
        <v>Error</v>
      </c>
      <c r="G5819" t="str">
        <f>INDEX(Lists!H:H,MATCH(Validation!E5819,Lists!G:G,0))</f>
        <v>Amount may not be negative. Enter an amount greater than or equal to zero.</v>
      </c>
      <c r="H5819" s="16" t="str">
        <f t="shared" ca="1" si="639"/>
        <v/>
      </c>
      <c r="I5819" s="16" t="str">
        <f t="shared" ca="1" si="640"/>
        <v/>
      </c>
      <c r="J5819" s="17" t="str">
        <f t="shared" ca="1" si="641"/>
        <v/>
      </c>
    </row>
    <row r="5820" spans="1:10" x14ac:dyDescent="0.25">
      <c r="A5820" t="s">
        <v>943</v>
      </c>
      <c r="B5820" t="str">
        <f>ADDRESS(ROW('Loan 1'!$C$26),COLUMN('Loan 1'!$C$26),4)</f>
        <v>C26</v>
      </c>
      <c r="C5820" t="str">
        <f>ADDRESS(ROW('Loan 1'!$D$26),COLUMN('Loan 1'!$D$26),4)</f>
        <v>D26</v>
      </c>
      <c r="D5820" t="b" cm="1">
        <f t="array" aca="1" ref="D5820" ca="1">IF(INDIRECT("'"&amp;A5820&amp;"'!"&amp;B5820)="",FALSE,IF(INDIRECT("'"&amp;A5820&amp;"'!"&amp;B5820)&lt;0,TRUE,FALSE))</f>
        <v>0</v>
      </c>
      <c r="E5820" t="s">
        <v>434</v>
      </c>
      <c r="F5820" t="str">
        <f>INDEX(Lists!I:I,MATCH(Validation!E5820,Lists!G:G,0))</f>
        <v>Error</v>
      </c>
      <c r="G5820" t="str">
        <f>INDEX(Lists!H:H,MATCH(Validation!E5820,Lists!G:G,0))</f>
        <v>Amount may not be negative. Enter an amount greater than or equal to zero.</v>
      </c>
      <c r="H5820" s="16" t="str">
        <f t="shared" ca="1" si="639"/>
        <v/>
      </c>
      <c r="I5820" s="16" t="str">
        <f t="shared" ca="1" si="640"/>
        <v/>
      </c>
      <c r="J5820" s="17" t="str">
        <f t="shared" ca="1" si="641"/>
        <v/>
      </c>
    </row>
    <row r="5821" spans="1:10" x14ac:dyDescent="0.25">
      <c r="A5821" t="s">
        <v>944</v>
      </c>
      <c r="B5821" t="str">
        <f>ADDRESS(ROW('Loan 1'!$C$26),COLUMN('Loan 1'!$C$26),4)</f>
        <v>C26</v>
      </c>
      <c r="C5821" t="str">
        <f>ADDRESS(ROW('Loan 1'!$D$26),COLUMN('Loan 1'!$D$26),4)</f>
        <v>D26</v>
      </c>
      <c r="D5821" t="b" cm="1">
        <f t="array" aca="1" ref="D5821" ca="1">IF(INDIRECT("'"&amp;A5821&amp;"'!"&amp;B5821)="",FALSE,IF(INDIRECT("'"&amp;A5821&amp;"'!"&amp;B5821)&lt;0,TRUE,FALSE))</f>
        <v>0</v>
      </c>
      <c r="E5821" t="s">
        <v>434</v>
      </c>
      <c r="F5821" t="str">
        <f>INDEX(Lists!I:I,MATCH(Validation!E5821,Lists!G:G,0))</f>
        <v>Error</v>
      </c>
      <c r="G5821" t="str">
        <f>INDEX(Lists!H:H,MATCH(Validation!E5821,Lists!G:G,0))</f>
        <v>Amount may not be negative. Enter an amount greater than or equal to zero.</v>
      </c>
      <c r="H5821" s="16" t="str">
        <f t="shared" ca="1" si="639"/>
        <v/>
      </c>
      <c r="I5821" s="16" t="str">
        <f t="shared" ca="1" si="640"/>
        <v/>
      </c>
      <c r="J5821" s="17" t="str">
        <f t="shared" ca="1" si="641"/>
        <v/>
      </c>
    </row>
    <row r="5822" spans="1:10" x14ac:dyDescent="0.25">
      <c r="A5822" t="s">
        <v>945</v>
      </c>
      <c r="B5822" t="str">
        <f>ADDRESS(ROW('Loan 1'!$C$26),COLUMN('Loan 1'!$C$26),4)</f>
        <v>C26</v>
      </c>
      <c r="C5822" t="str">
        <f>ADDRESS(ROW('Loan 1'!$D$26),COLUMN('Loan 1'!$D$26),4)</f>
        <v>D26</v>
      </c>
      <c r="D5822" t="b" cm="1">
        <f t="array" aca="1" ref="D5822" ca="1">IF(INDIRECT("'"&amp;A5822&amp;"'!"&amp;B5822)="",FALSE,IF(INDIRECT("'"&amp;A5822&amp;"'!"&amp;B5822)&lt;0,TRUE,FALSE))</f>
        <v>0</v>
      </c>
      <c r="E5822" t="s">
        <v>434</v>
      </c>
      <c r="F5822" t="str">
        <f>INDEX(Lists!I:I,MATCH(Validation!E5822,Lists!G:G,0))</f>
        <v>Error</v>
      </c>
      <c r="G5822" t="str">
        <f>INDEX(Lists!H:H,MATCH(Validation!E5822,Lists!G:G,0))</f>
        <v>Amount may not be negative. Enter an amount greater than or equal to zero.</v>
      </c>
      <c r="H5822" s="16" t="str">
        <f t="shared" ca="1" si="639"/>
        <v/>
      </c>
      <c r="I5822" s="16" t="str">
        <f t="shared" ca="1" si="640"/>
        <v/>
      </c>
      <c r="J5822" s="17" t="str">
        <f t="shared" ca="1" si="641"/>
        <v/>
      </c>
    </row>
    <row r="5823" spans="1:10" x14ac:dyDescent="0.25">
      <c r="A5823" t="s">
        <v>205</v>
      </c>
      <c r="B5823" t="str">
        <f>ADDRESS(ROW('Loan 1'!$C$26),COLUMN('Loan 1'!$C$26),4)</f>
        <v>C26</v>
      </c>
      <c r="C5823" t="str">
        <f>ADDRESS(ROW('Loan 1'!$D$26),COLUMN('Loan 1'!$D$26),4)</f>
        <v>D26</v>
      </c>
      <c r="D5823" t="b" cm="1">
        <f t="array" aca="1" ref="D5823" ca="1">IF(INDIRECT("'"&amp;A5823&amp;"'!"&amp;B5823)="",FALSE,IF(TRUNC(INDIRECT("'"&amp;A5823&amp;"'!"&amp;B5823))=INDIRECT("'"&amp;A5823&amp;"'!"&amp;B5823),FALSE,TRUE))</f>
        <v>0</v>
      </c>
      <c r="E5823" t="s">
        <v>436</v>
      </c>
      <c r="F5823" t="str">
        <f>INDEX(Lists!I:I,MATCH(Validation!E5823,Lists!G:G,0))</f>
        <v>Error</v>
      </c>
      <c r="G5823" t="str">
        <f>INDEX(Lists!H:H,MATCH(Validation!E5823,Lists!G:G,0))</f>
        <v>Amount must be rounded to the nearest dollar.</v>
      </c>
      <c r="H5823" s="16" t="str">
        <f t="shared" ca="1" si="639"/>
        <v/>
      </c>
      <c r="I5823" s="16" t="str">
        <f t="shared" ca="1" si="640"/>
        <v/>
      </c>
      <c r="J5823" s="17" t="str">
        <f t="shared" ca="1" si="641"/>
        <v/>
      </c>
    </row>
    <row r="5824" spans="1:10" x14ac:dyDescent="0.25">
      <c r="A5824" t="s">
        <v>932</v>
      </c>
      <c r="B5824" t="str">
        <f>ADDRESS(ROW('Loan 1'!$C$26),COLUMN('Loan 1'!$C$26),4)</f>
        <v>C26</v>
      </c>
      <c r="C5824" t="str">
        <f>ADDRESS(ROW('Loan 1'!$D$26),COLUMN('Loan 1'!$D$26),4)</f>
        <v>D26</v>
      </c>
      <c r="D5824" t="b" cm="1">
        <f t="array" aca="1" ref="D5824" ca="1">IF(INDIRECT("'"&amp;A5824&amp;"'!"&amp;B5824)="",FALSE,IF(TRUNC(INDIRECT("'"&amp;A5824&amp;"'!"&amp;B5824))=INDIRECT("'"&amp;A5824&amp;"'!"&amp;B5824),FALSE,TRUE))</f>
        <v>0</v>
      </c>
      <c r="E5824" t="s">
        <v>436</v>
      </c>
      <c r="F5824" t="str">
        <f>INDEX(Lists!I:I,MATCH(Validation!E5824,Lists!G:G,0))</f>
        <v>Error</v>
      </c>
      <c r="G5824" t="str">
        <f>INDEX(Lists!H:H,MATCH(Validation!E5824,Lists!G:G,0))</f>
        <v>Amount must be rounded to the nearest dollar.</v>
      </c>
      <c r="H5824" s="16" t="str">
        <f t="shared" ca="1" si="639"/>
        <v/>
      </c>
      <c r="I5824" s="16" t="str">
        <f t="shared" ca="1" si="640"/>
        <v/>
      </c>
      <c r="J5824" s="17" t="str">
        <f t="shared" ca="1" si="641"/>
        <v/>
      </c>
    </row>
    <row r="5825" spans="1:10" x14ac:dyDescent="0.25">
      <c r="A5825" t="s">
        <v>933</v>
      </c>
      <c r="B5825" t="str">
        <f>ADDRESS(ROW('Loan 1'!$C$26),COLUMN('Loan 1'!$C$26),4)</f>
        <v>C26</v>
      </c>
      <c r="C5825" t="str">
        <f>ADDRESS(ROW('Loan 1'!$D$26),COLUMN('Loan 1'!$D$26),4)</f>
        <v>D26</v>
      </c>
      <c r="D5825" t="b" cm="1">
        <f t="array" aca="1" ref="D5825" ca="1">IF(INDIRECT("'"&amp;A5825&amp;"'!"&amp;B5825)="",FALSE,IF(TRUNC(INDIRECT("'"&amp;A5825&amp;"'!"&amp;B5825))=INDIRECT("'"&amp;A5825&amp;"'!"&amp;B5825),FALSE,TRUE))</f>
        <v>0</v>
      </c>
      <c r="E5825" t="s">
        <v>436</v>
      </c>
      <c r="F5825" t="str">
        <f>INDEX(Lists!I:I,MATCH(Validation!E5825,Lists!G:G,0))</f>
        <v>Error</v>
      </c>
      <c r="G5825" t="str">
        <f>INDEX(Lists!H:H,MATCH(Validation!E5825,Lists!G:G,0))</f>
        <v>Amount must be rounded to the nearest dollar.</v>
      </c>
      <c r="H5825" s="16" t="str">
        <f t="shared" ca="1" si="639"/>
        <v/>
      </c>
      <c r="I5825" s="16" t="str">
        <f t="shared" ca="1" si="640"/>
        <v/>
      </c>
      <c r="J5825" s="17" t="str">
        <f t="shared" ca="1" si="641"/>
        <v/>
      </c>
    </row>
    <row r="5826" spans="1:10" x14ac:dyDescent="0.25">
      <c r="A5826" t="s">
        <v>934</v>
      </c>
      <c r="B5826" t="str">
        <f>ADDRESS(ROW('Loan 1'!$C$26),COLUMN('Loan 1'!$C$26),4)</f>
        <v>C26</v>
      </c>
      <c r="C5826" t="str">
        <f>ADDRESS(ROW('Loan 1'!$D$26),COLUMN('Loan 1'!$D$26),4)</f>
        <v>D26</v>
      </c>
      <c r="D5826" t="b" cm="1">
        <f t="array" aca="1" ref="D5826" ca="1">IF(INDIRECT("'"&amp;A5826&amp;"'!"&amp;B5826)="",FALSE,IF(TRUNC(INDIRECT("'"&amp;A5826&amp;"'!"&amp;B5826))=INDIRECT("'"&amp;A5826&amp;"'!"&amp;B5826),FALSE,TRUE))</f>
        <v>0</v>
      </c>
      <c r="E5826" t="s">
        <v>436</v>
      </c>
      <c r="F5826" t="str">
        <f>INDEX(Lists!I:I,MATCH(Validation!E5826,Lists!G:G,0))</f>
        <v>Error</v>
      </c>
      <c r="G5826" t="str">
        <f>INDEX(Lists!H:H,MATCH(Validation!E5826,Lists!G:G,0))</f>
        <v>Amount must be rounded to the nearest dollar.</v>
      </c>
      <c r="H5826" s="16" t="str">
        <f t="shared" ca="1" si="639"/>
        <v/>
      </c>
      <c r="I5826" s="16" t="str">
        <f t="shared" ca="1" si="640"/>
        <v/>
      </c>
      <c r="J5826" s="17" t="str">
        <f t="shared" ca="1" si="641"/>
        <v/>
      </c>
    </row>
    <row r="5827" spans="1:10" x14ac:dyDescent="0.25">
      <c r="A5827" t="s">
        <v>935</v>
      </c>
      <c r="B5827" t="str">
        <f>ADDRESS(ROW('Loan 1'!$C$26),COLUMN('Loan 1'!$C$26),4)</f>
        <v>C26</v>
      </c>
      <c r="C5827" t="str">
        <f>ADDRESS(ROW('Loan 1'!$D$26),COLUMN('Loan 1'!$D$26),4)</f>
        <v>D26</v>
      </c>
      <c r="D5827" t="b" cm="1">
        <f t="array" aca="1" ref="D5827" ca="1">IF(INDIRECT("'"&amp;A5827&amp;"'!"&amp;B5827)="",FALSE,IF(TRUNC(INDIRECT("'"&amp;A5827&amp;"'!"&amp;B5827))=INDIRECT("'"&amp;A5827&amp;"'!"&amp;B5827),FALSE,TRUE))</f>
        <v>0</v>
      </c>
      <c r="E5827" t="s">
        <v>436</v>
      </c>
      <c r="F5827" t="str">
        <f>INDEX(Lists!I:I,MATCH(Validation!E5827,Lists!G:G,0))</f>
        <v>Error</v>
      </c>
      <c r="G5827" t="str">
        <f>INDEX(Lists!H:H,MATCH(Validation!E5827,Lists!G:G,0))</f>
        <v>Amount must be rounded to the nearest dollar.</v>
      </c>
      <c r="H5827" s="16" t="str">
        <f t="shared" ca="1" si="639"/>
        <v/>
      </c>
      <c r="I5827" s="16" t="str">
        <f t="shared" ca="1" si="640"/>
        <v/>
      </c>
      <c r="J5827" s="17" t="str">
        <f t="shared" ca="1" si="641"/>
        <v/>
      </c>
    </row>
    <row r="5828" spans="1:10" x14ac:dyDescent="0.25">
      <c r="A5828" t="s">
        <v>936</v>
      </c>
      <c r="B5828" t="str">
        <f>ADDRESS(ROW('Loan 1'!$C$26),COLUMN('Loan 1'!$C$26),4)</f>
        <v>C26</v>
      </c>
      <c r="C5828" t="str">
        <f>ADDRESS(ROW('Loan 1'!$D$26),COLUMN('Loan 1'!$D$26),4)</f>
        <v>D26</v>
      </c>
      <c r="D5828" t="b" cm="1">
        <f t="array" aca="1" ref="D5828" ca="1">IF(INDIRECT("'"&amp;A5828&amp;"'!"&amp;B5828)="",FALSE,IF(TRUNC(INDIRECT("'"&amp;A5828&amp;"'!"&amp;B5828))=INDIRECT("'"&amp;A5828&amp;"'!"&amp;B5828),FALSE,TRUE))</f>
        <v>0</v>
      </c>
      <c r="E5828" t="s">
        <v>436</v>
      </c>
      <c r="F5828" t="str">
        <f>INDEX(Lists!I:I,MATCH(Validation!E5828,Lists!G:G,0))</f>
        <v>Error</v>
      </c>
      <c r="G5828" t="str">
        <f>INDEX(Lists!H:H,MATCH(Validation!E5828,Lists!G:G,0))</f>
        <v>Amount must be rounded to the nearest dollar.</v>
      </c>
      <c r="H5828" s="16" t="str">
        <f t="shared" ca="1" si="639"/>
        <v/>
      </c>
      <c r="I5828" s="16" t="str">
        <f t="shared" ca="1" si="640"/>
        <v/>
      </c>
      <c r="J5828" s="17" t="str">
        <f t="shared" ca="1" si="641"/>
        <v/>
      </c>
    </row>
    <row r="5829" spans="1:10" x14ac:dyDescent="0.25">
      <c r="A5829" t="s">
        <v>937</v>
      </c>
      <c r="B5829" t="str">
        <f>ADDRESS(ROW('Loan 1'!$C$26),COLUMN('Loan 1'!$C$26),4)</f>
        <v>C26</v>
      </c>
      <c r="C5829" t="str">
        <f>ADDRESS(ROW('Loan 1'!$D$26),COLUMN('Loan 1'!$D$26),4)</f>
        <v>D26</v>
      </c>
      <c r="D5829" t="b" cm="1">
        <f t="array" aca="1" ref="D5829" ca="1">IF(INDIRECT("'"&amp;A5829&amp;"'!"&amp;B5829)="",FALSE,IF(TRUNC(INDIRECT("'"&amp;A5829&amp;"'!"&amp;B5829))=INDIRECT("'"&amp;A5829&amp;"'!"&amp;B5829),FALSE,TRUE))</f>
        <v>0</v>
      </c>
      <c r="E5829" t="s">
        <v>436</v>
      </c>
      <c r="F5829" t="str">
        <f>INDEX(Lists!I:I,MATCH(Validation!E5829,Lists!G:G,0))</f>
        <v>Error</v>
      </c>
      <c r="G5829" t="str">
        <f>INDEX(Lists!H:H,MATCH(Validation!E5829,Lists!G:G,0))</f>
        <v>Amount must be rounded to the nearest dollar.</v>
      </c>
      <c r="H5829" s="16" t="str">
        <f t="shared" ca="1" si="639"/>
        <v/>
      </c>
      <c r="I5829" s="16" t="str">
        <f t="shared" ca="1" si="640"/>
        <v/>
      </c>
      <c r="J5829" s="17" t="str">
        <f t="shared" ca="1" si="641"/>
        <v/>
      </c>
    </row>
    <row r="5830" spans="1:10" x14ac:dyDescent="0.25">
      <c r="A5830" t="s">
        <v>938</v>
      </c>
      <c r="B5830" t="str">
        <f>ADDRESS(ROW('Loan 1'!$C$26),COLUMN('Loan 1'!$C$26),4)</f>
        <v>C26</v>
      </c>
      <c r="C5830" t="str">
        <f>ADDRESS(ROW('Loan 1'!$D$26),COLUMN('Loan 1'!$D$26),4)</f>
        <v>D26</v>
      </c>
      <c r="D5830" t="b" cm="1">
        <f t="array" aca="1" ref="D5830" ca="1">IF(INDIRECT("'"&amp;A5830&amp;"'!"&amp;B5830)="",FALSE,IF(TRUNC(INDIRECT("'"&amp;A5830&amp;"'!"&amp;B5830))=INDIRECT("'"&amp;A5830&amp;"'!"&amp;B5830),FALSE,TRUE))</f>
        <v>0</v>
      </c>
      <c r="E5830" t="s">
        <v>436</v>
      </c>
      <c r="F5830" t="str">
        <f>INDEX(Lists!I:I,MATCH(Validation!E5830,Lists!G:G,0))</f>
        <v>Error</v>
      </c>
      <c r="G5830" t="str">
        <f>INDEX(Lists!H:H,MATCH(Validation!E5830,Lists!G:G,0))</f>
        <v>Amount must be rounded to the nearest dollar.</v>
      </c>
      <c r="H5830" s="16" t="str">
        <f t="shared" ca="1" si="639"/>
        <v/>
      </c>
      <c r="I5830" s="16" t="str">
        <f t="shared" ca="1" si="640"/>
        <v/>
      </c>
      <c r="J5830" s="17" t="str">
        <f t="shared" ca="1" si="641"/>
        <v/>
      </c>
    </row>
    <row r="5831" spans="1:10" x14ac:dyDescent="0.25">
      <c r="A5831" t="s">
        <v>939</v>
      </c>
      <c r="B5831" t="str">
        <f>ADDRESS(ROW('Loan 1'!$C$26),COLUMN('Loan 1'!$C$26),4)</f>
        <v>C26</v>
      </c>
      <c r="C5831" t="str">
        <f>ADDRESS(ROW('Loan 1'!$D$26),COLUMN('Loan 1'!$D$26),4)</f>
        <v>D26</v>
      </c>
      <c r="D5831" t="b" cm="1">
        <f t="array" aca="1" ref="D5831" ca="1">IF(INDIRECT("'"&amp;A5831&amp;"'!"&amp;B5831)="",FALSE,IF(TRUNC(INDIRECT("'"&amp;A5831&amp;"'!"&amp;B5831))=INDIRECT("'"&amp;A5831&amp;"'!"&amp;B5831),FALSE,TRUE))</f>
        <v>0</v>
      </c>
      <c r="E5831" t="s">
        <v>436</v>
      </c>
      <c r="F5831" t="str">
        <f>INDEX(Lists!I:I,MATCH(Validation!E5831,Lists!G:G,0))</f>
        <v>Error</v>
      </c>
      <c r="G5831" t="str">
        <f>INDEX(Lists!H:H,MATCH(Validation!E5831,Lists!G:G,0))</f>
        <v>Amount must be rounded to the nearest dollar.</v>
      </c>
      <c r="H5831" s="16" t="str">
        <f t="shared" ca="1" si="639"/>
        <v/>
      </c>
      <c r="I5831" s="16" t="str">
        <f t="shared" ca="1" si="640"/>
        <v/>
      </c>
      <c r="J5831" s="17" t="str">
        <f t="shared" ca="1" si="641"/>
        <v/>
      </c>
    </row>
    <row r="5832" spans="1:10" x14ac:dyDescent="0.25">
      <c r="A5832" t="s">
        <v>940</v>
      </c>
      <c r="B5832" t="str">
        <f>ADDRESS(ROW('Loan 1'!$C$26),COLUMN('Loan 1'!$C$26),4)</f>
        <v>C26</v>
      </c>
      <c r="C5832" t="str">
        <f>ADDRESS(ROW('Loan 1'!$D$26),COLUMN('Loan 1'!$D$26),4)</f>
        <v>D26</v>
      </c>
      <c r="D5832" t="b" cm="1">
        <f t="array" aca="1" ref="D5832" ca="1">IF(INDIRECT("'"&amp;A5832&amp;"'!"&amp;B5832)="",FALSE,IF(TRUNC(INDIRECT("'"&amp;A5832&amp;"'!"&amp;B5832))=INDIRECT("'"&amp;A5832&amp;"'!"&amp;B5832),FALSE,TRUE))</f>
        <v>0</v>
      </c>
      <c r="E5832" t="s">
        <v>436</v>
      </c>
      <c r="F5832" t="str">
        <f>INDEX(Lists!I:I,MATCH(Validation!E5832,Lists!G:G,0))</f>
        <v>Error</v>
      </c>
      <c r="G5832" t="str">
        <f>INDEX(Lists!H:H,MATCH(Validation!E5832,Lists!G:G,0))</f>
        <v>Amount must be rounded to the nearest dollar.</v>
      </c>
      <c r="H5832" s="16" t="str">
        <f t="shared" ca="1" si="639"/>
        <v/>
      </c>
      <c r="I5832" s="16" t="str">
        <f t="shared" ca="1" si="640"/>
        <v/>
      </c>
      <c r="J5832" s="17" t="str">
        <f t="shared" ca="1" si="641"/>
        <v/>
      </c>
    </row>
    <row r="5833" spans="1:10" x14ac:dyDescent="0.25">
      <c r="A5833" t="s">
        <v>941</v>
      </c>
      <c r="B5833" t="str">
        <f>ADDRESS(ROW('Loan 1'!$C$26),COLUMN('Loan 1'!$C$26),4)</f>
        <v>C26</v>
      </c>
      <c r="C5833" t="str">
        <f>ADDRESS(ROW('Loan 1'!$D$26),COLUMN('Loan 1'!$D$26),4)</f>
        <v>D26</v>
      </c>
      <c r="D5833" t="b" cm="1">
        <f t="array" aca="1" ref="D5833" ca="1">IF(INDIRECT("'"&amp;A5833&amp;"'!"&amp;B5833)="",FALSE,IF(TRUNC(INDIRECT("'"&amp;A5833&amp;"'!"&amp;B5833))=INDIRECT("'"&amp;A5833&amp;"'!"&amp;B5833),FALSE,TRUE))</f>
        <v>0</v>
      </c>
      <c r="E5833" t="s">
        <v>436</v>
      </c>
      <c r="F5833" t="str">
        <f>INDEX(Lists!I:I,MATCH(Validation!E5833,Lists!G:G,0))</f>
        <v>Error</v>
      </c>
      <c r="G5833" t="str">
        <f>INDEX(Lists!H:H,MATCH(Validation!E5833,Lists!G:G,0))</f>
        <v>Amount must be rounded to the nearest dollar.</v>
      </c>
      <c r="H5833" s="16" t="str">
        <f t="shared" ca="1" si="639"/>
        <v/>
      </c>
      <c r="I5833" s="16" t="str">
        <f t="shared" ca="1" si="640"/>
        <v/>
      </c>
      <c r="J5833" s="17" t="str">
        <f t="shared" ca="1" si="641"/>
        <v/>
      </c>
    </row>
    <row r="5834" spans="1:10" x14ac:dyDescent="0.25">
      <c r="A5834" t="s">
        <v>942</v>
      </c>
      <c r="B5834" t="str">
        <f>ADDRESS(ROW('Loan 1'!$C$26),COLUMN('Loan 1'!$C$26),4)</f>
        <v>C26</v>
      </c>
      <c r="C5834" t="str">
        <f>ADDRESS(ROW('Loan 1'!$D$26),COLUMN('Loan 1'!$D$26),4)</f>
        <v>D26</v>
      </c>
      <c r="D5834" t="b" cm="1">
        <f t="array" aca="1" ref="D5834" ca="1">IF(INDIRECT("'"&amp;A5834&amp;"'!"&amp;B5834)="",FALSE,IF(TRUNC(INDIRECT("'"&amp;A5834&amp;"'!"&amp;B5834))=INDIRECT("'"&amp;A5834&amp;"'!"&amp;B5834),FALSE,TRUE))</f>
        <v>0</v>
      </c>
      <c r="E5834" t="s">
        <v>436</v>
      </c>
      <c r="F5834" t="str">
        <f>INDEX(Lists!I:I,MATCH(Validation!E5834,Lists!G:G,0))</f>
        <v>Error</v>
      </c>
      <c r="G5834" t="str">
        <f>INDEX(Lists!H:H,MATCH(Validation!E5834,Lists!G:G,0))</f>
        <v>Amount must be rounded to the nearest dollar.</v>
      </c>
      <c r="H5834" s="16" t="str">
        <f t="shared" ca="1" si="639"/>
        <v/>
      </c>
      <c r="I5834" s="16" t="str">
        <f t="shared" ca="1" si="640"/>
        <v/>
      </c>
      <c r="J5834" s="17" t="str">
        <f t="shared" ca="1" si="641"/>
        <v/>
      </c>
    </row>
    <row r="5835" spans="1:10" x14ac:dyDescent="0.25">
      <c r="A5835" t="s">
        <v>943</v>
      </c>
      <c r="B5835" t="str">
        <f>ADDRESS(ROW('Loan 1'!$C$26),COLUMN('Loan 1'!$C$26),4)</f>
        <v>C26</v>
      </c>
      <c r="C5835" t="str">
        <f>ADDRESS(ROW('Loan 1'!$D$26),COLUMN('Loan 1'!$D$26),4)</f>
        <v>D26</v>
      </c>
      <c r="D5835" t="b" cm="1">
        <f t="array" aca="1" ref="D5835" ca="1">IF(INDIRECT("'"&amp;A5835&amp;"'!"&amp;B5835)="",FALSE,IF(TRUNC(INDIRECT("'"&amp;A5835&amp;"'!"&amp;B5835))=INDIRECT("'"&amp;A5835&amp;"'!"&amp;B5835),FALSE,TRUE))</f>
        <v>0</v>
      </c>
      <c r="E5835" t="s">
        <v>436</v>
      </c>
      <c r="F5835" t="str">
        <f>INDEX(Lists!I:I,MATCH(Validation!E5835,Lists!G:G,0))</f>
        <v>Error</v>
      </c>
      <c r="G5835" t="str">
        <f>INDEX(Lists!H:H,MATCH(Validation!E5835,Lists!G:G,0))</f>
        <v>Amount must be rounded to the nearest dollar.</v>
      </c>
      <c r="H5835" s="16" t="str">
        <f t="shared" ca="1" si="639"/>
        <v/>
      </c>
      <c r="I5835" s="16" t="str">
        <f t="shared" ca="1" si="640"/>
        <v/>
      </c>
      <c r="J5835" s="17" t="str">
        <f t="shared" ca="1" si="641"/>
        <v/>
      </c>
    </row>
    <row r="5836" spans="1:10" x14ac:dyDescent="0.25">
      <c r="A5836" t="s">
        <v>944</v>
      </c>
      <c r="B5836" t="str">
        <f>ADDRESS(ROW('Loan 1'!$C$26),COLUMN('Loan 1'!$C$26),4)</f>
        <v>C26</v>
      </c>
      <c r="C5836" t="str">
        <f>ADDRESS(ROW('Loan 1'!$D$26),COLUMN('Loan 1'!$D$26),4)</f>
        <v>D26</v>
      </c>
      <c r="D5836" t="b" cm="1">
        <f t="array" aca="1" ref="D5836" ca="1">IF(INDIRECT("'"&amp;A5836&amp;"'!"&amp;B5836)="",FALSE,IF(TRUNC(INDIRECT("'"&amp;A5836&amp;"'!"&amp;B5836))=INDIRECT("'"&amp;A5836&amp;"'!"&amp;B5836),FALSE,TRUE))</f>
        <v>0</v>
      </c>
      <c r="E5836" t="s">
        <v>436</v>
      </c>
      <c r="F5836" t="str">
        <f>INDEX(Lists!I:I,MATCH(Validation!E5836,Lists!G:G,0))</f>
        <v>Error</v>
      </c>
      <c r="G5836" t="str">
        <f>INDEX(Lists!H:H,MATCH(Validation!E5836,Lists!G:G,0))</f>
        <v>Amount must be rounded to the nearest dollar.</v>
      </c>
      <c r="H5836" s="16" t="str">
        <f t="shared" ca="1" si="639"/>
        <v/>
      </c>
      <c r="I5836" s="16" t="str">
        <f t="shared" ca="1" si="640"/>
        <v/>
      </c>
      <c r="J5836" s="17" t="str">
        <f t="shared" ca="1" si="641"/>
        <v/>
      </c>
    </row>
    <row r="5837" spans="1:10" x14ac:dyDescent="0.25">
      <c r="A5837" t="s">
        <v>945</v>
      </c>
      <c r="B5837" t="str">
        <f>ADDRESS(ROW('Loan 1'!$C$26),COLUMN('Loan 1'!$C$26),4)</f>
        <v>C26</v>
      </c>
      <c r="C5837" t="str">
        <f>ADDRESS(ROW('Loan 1'!$D$26),COLUMN('Loan 1'!$D$26),4)</f>
        <v>D26</v>
      </c>
      <c r="D5837" t="b" cm="1">
        <f t="array" aca="1" ref="D5837" ca="1">IF(INDIRECT("'"&amp;A5837&amp;"'!"&amp;B5837)="",FALSE,IF(TRUNC(INDIRECT("'"&amp;A5837&amp;"'!"&amp;B5837))=INDIRECT("'"&amp;A5837&amp;"'!"&amp;B5837),FALSE,TRUE))</f>
        <v>0</v>
      </c>
      <c r="E5837" t="s">
        <v>436</v>
      </c>
      <c r="F5837" t="str">
        <f>INDEX(Lists!I:I,MATCH(Validation!E5837,Lists!G:G,0))</f>
        <v>Error</v>
      </c>
      <c r="G5837" t="str">
        <f>INDEX(Lists!H:H,MATCH(Validation!E5837,Lists!G:G,0))</f>
        <v>Amount must be rounded to the nearest dollar.</v>
      </c>
      <c r="H5837" s="16" t="str">
        <f t="shared" ca="1" si="639"/>
        <v/>
      </c>
      <c r="I5837" s="16" t="str">
        <f t="shared" ca="1" si="640"/>
        <v/>
      </c>
      <c r="J5837" s="17" t="str">
        <f t="shared" ca="1" si="641"/>
        <v/>
      </c>
    </row>
    <row r="5838" spans="1:10" x14ac:dyDescent="0.25">
      <c r="A5838" t="s">
        <v>205</v>
      </c>
      <c r="B5838" t="str">
        <f>ADDRESS(ROW('Loan 1'!$B$27),COLUMN('Loan 1'!$B$27),4)</f>
        <v>B27</v>
      </c>
      <c r="C5838" t="str">
        <f>ADDRESS(ROW('Loan 1'!$D$27),COLUMN('Loan 1'!$D$27),4)</f>
        <v>D27</v>
      </c>
      <c r="D5838" t="b" cm="1">
        <f t="array" aca="1" ref="D5838" ca="1">IF(INDIRECT("'"&amp;A5838&amp;"'!"&amp;B5838)="",FALSE,IF(NOT(ISNUMBER(INDIRECT("'"&amp;A5838&amp;"'!"&amp;B5838))),TRUE,FALSE))</f>
        <v>0</v>
      </c>
      <c r="E5838" t="s">
        <v>435</v>
      </c>
      <c r="F5838" t="str">
        <f>INDEX(Lists!I:I,MATCH(Validation!E5838,Lists!G:G,0))</f>
        <v>Error</v>
      </c>
      <c r="G5838" t="str">
        <f>INDEX(Lists!H:H,MATCH(Validation!E5838,Lists!G:G,0))</f>
        <v>Enter an amount only. Do not enter text or spaces.</v>
      </c>
      <c r="H5838" s="16" t="str">
        <f ca="1">IFERROR(IF(OR(NOT(D5838),F5838&lt;&gt;"Error"),"",A5838&amp;CELL("address",INDIRECT(B5838))),"")</f>
        <v/>
      </c>
      <c r="I5838" s="16" t="str">
        <f ca="1">IFERROR(IF(NOT(D5838),"",A5838&amp;CELL("address",INDIRECT(C5838))),"")</f>
        <v/>
      </c>
      <c r="J5838" s="17" t="str">
        <f ca="1">IFERROR(IF(NOT(D5838),"",A5838),"")</f>
        <v/>
      </c>
    </row>
    <row r="5839" spans="1:10" x14ac:dyDescent="0.25">
      <c r="A5839" t="s">
        <v>932</v>
      </c>
      <c r="B5839" t="str">
        <f>ADDRESS(ROW('Loan 1'!$B$27),COLUMN('Loan 1'!$B$27),4)</f>
        <v>B27</v>
      </c>
      <c r="C5839" t="str">
        <f>ADDRESS(ROW('Loan 1'!$D$27),COLUMN('Loan 1'!$D$27),4)</f>
        <v>D27</v>
      </c>
      <c r="D5839" t="b" cm="1">
        <f t="array" aca="1" ref="D5839" ca="1">IF(INDIRECT("'"&amp;A5839&amp;"'!"&amp;B5839)="",FALSE,IF(NOT(ISNUMBER(INDIRECT("'"&amp;A5839&amp;"'!"&amp;B5839))),TRUE,FALSE))</f>
        <v>0</v>
      </c>
      <c r="E5839" t="s">
        <v>435</v>
      </c>
      <c r="F5839" t="str">
        <f>INDEX(Lists!I:I,MATCH(Validation!E5839,Lists!G:G,0))</f>
        <v>Error</v>
      </c>
      <c r="G5839" t="str">
        <f>INDEX(Lists!H:H,MATCH(Validation!E5839,Lists!G:G,0))</f>
        <v>Enter an amount only. Do not enter text or spaces.</v>
      </c>
      <c r="H5839" s="16" t="str">
        <f t="shared" ref="H5839:H5852" ca="1" si="642">IFERROR(IF(OR(NOT(D5839),F5839&lt;&gt;"Error"),"",A5839&amp;CELL("address",INDIRECT(B5839))),"")</f>
        <v/>
      </c>
      <c r="I5839" s="16" t="str">
        <f t="shared" ref="I5839:I5852" ca="1" si="643">IFERROR(IF(NOT(D5839),"",A5839&amp;CELL("address",INDIRECT(C5839))),"")</f>
        <v/>
      </c>
      <c r="J5839" s="17" t="str">
        <f t="shared" ref="J5839:J5852" ca="1" si="644">IFERROR(IF(NOT(D5839),"",A5839),"")</f>
        <v/>
      </c>
    </row>
    <row r="5840" spans="1:10" x14ac:dyDescent="0.25">
      <c r="A5840" t="s">
        <v>933</v>
      </c>
      <c r="B5840" t="str">
        <f>ADDRESS(ROW('Loan 1'!$B$27),COLUMN('Loan 1'!$B$27),4)</f>
        <v>B27</v>
      </c>
      <c r="C5840" t="str">
        <f>ADDRESS(ROW('Loan 1'!$D$27),COLUMN('Loan 1'!$D$27),4)</f>
        <v>D27</v>
      </c>
      <c r="D5840" t="b" cm="1">
        <f t="array" aca="1" ref="D5840" ca="1">IF(INDIRECT("'"&amp;A5840&amp;"'!"&amp;B5840)="",FALSE,IF(NOT(ISNUMBER(INDIRECT("'"&amp;A5840&amp;"'!"&amp;B5840))),TRUE,FALSE))</f>
        <v>0</v>
      </c>
      <c r="E5840" t="s">
        <v>435</v>
      </c>
      <c r="F5840" t="str">
        <f>INDEX(Lists!I:I,MATCH(Validation!E5840,Lists!G:G,0))</f>
        <v>Error</v>
      </c>
      <c r="G5840" t="str">
        <f>INDEX(Lists!H:H,MATCH(Validation!E5840,Lists!G:G,0))</f>
        <v>Enter an amount only. Do not enter text or spaces.</v>
      </c>
      <c r="H5840" s="16" t="str">
        <f t="shared" ca="1" si="642"/>
        <v/>
      </c>
      <c r="I5840" s="16" t="str">
        <f t="shared" ca="1" si="643"/>
        <v/>
      </c>
      <c r="J5840" s="17" t="str">
        <f t="shared" ca="1" si="644"/>
        <v/>
      </c>
    </row>
    <row r="5841" spans="1:10" x14ac:dyDescent="0.25">
      <c r="A5841" t="s">
        <v>934</v>
      </c>
      <c r="B5841" t="str">
        <f>ADDRESS(ROW('Loan 1'!$B$27),COLUMN('Loan 1'!$B$27),4)</f>
        <v>B27</v>
      </c>
      <c r="C5841" t="str">
        <f>ADDRESS(ROW('Loan 1'!$D$27),COLUMN('Loan 1'!$D$27),4)</f>
        <v>D27</v>
      </c>
      <c r="D5841" t="b" cm="1">
        <f t="array" aca="1" ref="D5841" ca="1">IF(INDIRECT("'"&amp;A5841&amp;"'!"&amp;B5841)="",FALSE,IF(NOT(ISNUMBER(INDIRECT("'"&amp;A5841&amp;"'!"&amp;B5841))),TRUE,FALSE))</f>
        <v>0</v>
      </c>
      <c r="E5841" t="s">
        <v>435</v>
      </c>
      <c r="F5841" t="str">
        <f>INDEX(Lists!I:I,MATCH(Validation!E5841,Lists!G:G,0))</f>
        <v>Error</v>
      </c>
      <c r="G5841" t="str">
        <f>INDEX(Lists!H:H,MATCH(Validation!E5841,Lists!G:G,0))</f>
        <v>Enter an amount only. Do not enter text or spaces.</v>
      </c>
      <c r="H5841" s="16" t="str">
        <f t="shared" ca="1" si="642"/>
        <v/>
      </c>
      <c r="I5841" s="16" t="str">
        <f t="shared" ca="1" si="643"/>
        <v/>
      </c>
      <c r="J5841" s="17" t="str">
        <f t="shared" ca="1" si="644"/>
        <v/>
      </c>
    </row>
    <row r="5842" spans="1:10" x14ac:dyDescent="0.25">
      <c r="A5842" t="s">
        <v>935</v>
      </c>
      <c r="B5842" t="str">
        <f>ADDRESS(ROW('Loan 1'!$B$27),COLUMN('Loan 1'!$B$27),4)</f>
        <v>B27</v>
      </c>
      <c r="C5842" t="str">
        <f>ADDRESS(ROW('Loan 1'!$D$27),COLUMN('Loan 1'!$D$27),4)</f>
        <v>D27</v>
      </c>
      <c r="D5842" t="b" cm="1">
        <f t="array" aca="1" ref="D5842" ca="1">IF(INDIRECT("'"&amp;A5842&amp;"'!"&amp;B5842)="",FALSE,IF(NOT(ISNUMBER(INDIRECT("'"&amp;A5842&amp;"'!"&amp;B5842))),TRUE,FALSE))</f>
        <v>0</v>
      </c>
      <c r="E5842" t="s">
        <v>435</v>
      </c>
      <c r="F5842" t="str">
        <f>INDEX(Lists!I:I,MATCH(Validation!E5842,Lists!G:G,0))</f>
        <v>Error</v>
      </c>
      <c r="G5842" t="str">
        <f>INDEX(Lists!H:H,MATCH(Validation!E5842,Lists!G:G,0))</f>
        <v>Enter an amount only. Do not enter text or spaces.</v>
      </c>
      <c r="H5842" s="16" t="str">
        <f t="shared" ca="1" si="642"/>
        <v/>
      </c>
      <c r="I5842" s="16" t="str">
        <f t="shared" ca="1" si="643"/>
        <v/>
      </c>
      <c r="J5842" s="17" t="str">
        <f t="shared" ca="1" si="644"/>
        <v/>
      </c>
    </row>
    <row r="5843" spans="1:10" x14ac:dyDescent="0.25">
      <c r="A5843" t="s">
        <v>936</v>
      </c>
      <c r="B5843" t="str">
        <f>ADDRESS(ROW('Loan 1'!$B$27),COLUMN('Loan 1'!$B$27),4)</f>
        <v>B27</v>
      </c>
      <c r="C5843" t="str">
        <f>ADDRESS(ROW('Loan 1'!$D$27),COLUMN('Loan 1'!$D$27),4)</f>
        <v>D27</v>
      </c>
      <c r="D5843" t="b" cm="1">
        <f t="array" aca="1" ref="D5843" ca="1">IF(INDIRECT("'"&amp;A5843&amp;"'!"&amp;B5843)="",FALSE,IF(NOT(ISNUMBER(INDIRECT("'"&amp;A5843&amp;"'!"&amp;B5843))),TRUE,FALSE))</f>
        <v>0</v>
      </c>
      <c r="E5843" t="s">
        <v>435</v>
      </c>
      <c r="F5843" t="str">
        <f>INDEX(Lists!I:I,MATCH(Validation!E5843,Lists!G:G,0))</f>
        <v>Error</v>
      </c>
      <c r="G5843" t="str">
        <f>INDEX(Lists!H:H,MATCH(Validation!E5843,Lists!G:G,0))</f>
        <v>Enter an amount only. Do not enter text or spaces.</v>
      </c>
      <c r="H5843" s="16" t="str">
        <f t="shared" ca="1" si="642"/>
        <v/>
      </c>
      <c r="I5843" s="16" t="str">
        <f t="shared" ca="1" si="643"/>
        <v/>
      </c>
      <c r="J5843" s="17" t="str">
        <f t="shared" ca="1" si="644"/>
        <v/>
      </c>
    </row>
    <row r="5844" spans="1:10" x14ac:dyDescent="0.25">
      <c r="A5844" t="s">
        <v>937</v>
      </c>
      <c r="B5844" t="str">
        <f>ADDRESS(ROW('Loan 1'!$B$27),COLUMN('Loan 1'!$B$27),4)</f>
        <v>B27</v>
      </c>
      <c r="C5844" t="str">
        <f>ADDRESS(ROW('Loan 1'!$D$27),COLUMN('Loan 1'!$D$27),4)</f>
        <v>D27</v>
      </c>
      <c r="D5844" t="b" cm="1">
        <f t="array" aca="1" ref="D5844" ca="1">IF(INDIRECT("'"&amp;A5844&amp;"'!"&amp;B5844)="",FALSE,IF(NOT(ISNUMBER(INDIRECT("'"&amp;A5844&amp;"'!"&amp;B5844))),TRUE,FALSE))</f>
        <v>0</v>
      </c>
      <c r="E5844" t="s">
        <v>435</v>
      </c>
      <c r="F5844" t="str">
        <f>INDEX(Lists!I:I,MATCH(Validation!E5844,Lists!G:G,0))</f>
        <v>Error</v>
      </c>
      <c r="G5844" t="str">
        <f>INDEX(Lists!H:H,MATCH(Validation!E5844,Lists!G:G,0))</f>
        <v>Enter an amount only. Do not enter text or spaces.</v>
      </c>
      <c r="H5844" s="16" t="str">
        <f t="shared" ca="1" si="642"/>
        <v/>
      </c>
      <c r="I5844" s="16" t="str">
        <f t="shared" ca="1" si="643"/>
        <v/>
      </c>
      <c r="J5844" s="17" t="str">
        <f t="shared" ca="1" si="644"/>
        <v/>
      </c>
    </row>
    <row r="5845" spans="1:10" x14ac:dyDescent="0.25">
      <c r="A5845" t="s">
        <v>938</v>
      </c>
      <c r="B5845" t="str">
        <f>ADDRESS(ROW('Loan 1'!$B$27),COLUMN('Loan 1'!$B$27),4)</f>
        <v>B27</v>
      </c>
      <c r="C5845" t="str">
        <f>ADDRESS(ROW('Loan 1'!$D$27),COLUMN('Loan 1'!$D$27),4)</f>
        <v>D27</v>
      </c>
      <c r="D5845" t="b" cm="1">
        <f t="array" aca="1" ref="D5845" ca="1">IF(INDIRECT("'"&amp;A5845&amp;"'!"&amp;B5845)="",FALSE,IF(NOT(ISNUMBER(INDIRECT("'"&amp;A5845&amp;"'!"&amp;B5845))),TRUE,FALSE))</f>
        <v>0</v>
      </c>
      <c r="E5845" t="s">
        <v>435</v>
      </c>
      <c r="F5845" t="str">
        <f>INDEX(Lists!I:I,MATCH(Validation!E5845,Lists!G:G,0))</f>
        <v>Error</v>
      </c>
      <c r="G5845" t="str">
        <f>INDEX(Lists!H:H,MATCH(Validation!E5845,Lists!G:G,0))</f>
        <v>Enter an amount only. Do not enter text or spaces.</v>
      </c>
      <c r="H5845" s="16" t="str">
        <f t="shared" ca="1" si="642"/>
        <v/>
      </c>
      <c r="I5845" s="16" t="str">
        <f t="shared" ca="1" si="643"/>
        <v/>
      </c>
      <c r="J5845" s="17" t="str">
        <f t="shared" ca="1" si="644"/>
        <v/>
      </c>
    </row>
    <row r="5846" spans="1:10" x14ac:dyDescent="0.25">
      <c r="A5846" t="s">
        <v>939</v>
      </c>
      <c r="B5846" t="str">
        <f>ADDRESS(ROW('Loan 1'!$B$27),COLUMN('Loan 1'!$B$27),4)</f>
        <v>B27</v>
      </c>
      <c r="C5846" t="str">
        <f>ADDRESS(ROW('Loan 1'!$D$27),COLUMN('Loan 1'!$D$27),4)</f>
        <v>D27</v>
      </c>
      <c r="D5846" t="b" cm="1">
        <f t="array" aca="1" ref="D5846" ca="1">IF(INDIRECT("'"&amp;A5846&amp;"'!"&amp;B5846)="",FALSE,IF(NOT(ISNUMBER(INDIRECT("'"&amp;A5846&amp;"'!"&amp;B5846))),TRUE,FALSE))</f>
        <v>0</v>
      </c>
      <c r="E5846" t="s">
        <v>435</v>
      </c>
      <c r="F5846" t="str">
        <f>INDEX(Lists!I:I,MATCH(Validation!E5846,Lists!G:G,0))</f>
        <v>Error</v>
      </c>
      <c r="G5846" t="str">
        <f>INDEX(Lists!H:H,MATCH(Validation!E5846,Lists!G:G,0))</f>
        <v>Enter an amount only. Do not enter text or spaces.</v>
      </c>
      <c r="H5846" s="16" t="str">
        <f t="shared" ca="1" si="642"/>
        <v/>
      </c>
      <c r="I5846" s="16" t="str">
        <f t="shared" ca="1" si="643"/>
        <v/>
      </c>
      <c r="J5846" s="17" t="str">
        <f t="shared" ca="1" si="644"/>
        <v/>
      </c>
    </row>
    <row r="5847" spans="1:10" x14ac:dyDescent="0.25">
      <c r="A5847" t="s">
        <v>940</v>
      </c>
      <c r="B5847" t="str">
        <f>ADDRESS(ROW('Loan 1'!$B$27),COLUMN('Loan 1'!$B$27),4)</f>
        <v>B27</v>
      </c>
      <c r="C5847" t="str">
        <f>ADDRESS(ROW('Loan 1'!$D$27),COLUMN('Loan 1'!$D$27),4)</f>
        <v>D27</v>
      </c>
      <c r="D5847" t="b" cm="1">
        <f t="array" aca="1" ref="D5847" ca="1">IF(INDIRECT("'"&amp;A5847&amp;"'!"&amp;B5847)="",FALSE,IF(NOT(ISNUMBER(INDIRECT("'"&amp;A5847&amp;"'!"&amp;B5847))),TRUE,FALSE))</f>
        <v>0</v>
      </c>
      <c r="E5847" t="s">
        <v>435</v>
      </c>
      <c r="F5847" t="str">
        <f>INDEX(Lists!I:I,MATCH(Validation!E5847,Lists!G:G,0))</f>
        <v>Error</v>
      </c>
      <c r="G5847" t="str">
        <f>INDEX(Lists!H:H,MATCH(Validation!E5847,Lists!G:G,0))</f>
        <v>Enter an amount only. Do not enter text or spaces.</v>
      </c>
      <c r="H5847" s="16" t="str">
        <f t="shared" ca="1" si="642"/>
        <v/>
      </c>
      <c r="I5847" s="16" t="str">
        <f t="shared" ca="1" si="643"/>
        <v/>
      </c>
      <c r="J5847" s="17" t="str">
        <f t="shared" ca="1" si="644"/>
        <v/>
      </c>
    </row>
    <row r="5848" spans="1:10" x14ac:dyDescent="0.25">
      <c r="A5848" t="s">
        <v>941</v>
      </c>
      <c r="B5848" t="str">
        <f>ADDRESS(ROW('Loan 1'!$B$27),COLUMN('Loan 1'!$B$27),4)</f>
        <v>B27</v>
      </c>
      <c r="C5848" t="str">
        <f>ADDRESS(ROW('Loan 1'!$D$27),COLUMN('Loan 1'!$D$27),4)</f>
        <v>D27</v>
      </c>
      <c r="D5848" t="b" cm="1">
        <f t="array" aca="1" ref="D5848" ca="1">IF(INDIRECT("'"&amp;A5848&amp;"'!"&amp;B5848)="",FALSE,IF(NOT(ISNUMBER(INDIRECT("'"&amp;A5848&amp;"'!"&amp;B5848))),TRUE,FALSE))</f>
        <v>0</v>
      </c>
      <c r="E5848" t="s">
        <v>435</v>
      </c>
      <c r="F5848" t="str">
        <f>INDEX(Lists!I:I,MATCH(Validation!E5848,Lists!G:G,0))</f>
        <v>Error</v>
      </c>
      <c r="G5848" t="str">
        <f>INDEX(Lists!H:H,MATCH(Validation!E5848,Lists!G:G,0))</f>
        <v>Enter an amount only. Do not enter text or spaces.</v>
      </c>
      <c r="H5848" s="16" t="str">
        <f t="shared" ca="1" si="642"/>
        <v/>
      </c>
      <c r="I5848" s="16" t="str">
        <f t="shared" ca="1" si="643"/>
        <v/>
      </c>
      <c r="J5848" s="17" t="str">
        <f t="shared" ca="1" si="644"/>
        <v/>
      </c>
    </row>
    <row r="5849" spans="1:10" x14ac:dyDescent="0.25">
      <c r="A5849" t="s">
        <v>942</v>
      </c>
      <c r="B5849" t="str">
        <f>ADDRESS(ROW('Loan 1'!$B$27),COLUMN('Loan 1'!$B$27),4)</f>
        <v>B27</v>
      </c>
      <c r="C5849" t="str">
        <f>ADDRESS(ROW('Loan 1'!$D$27),COLUMN('Loan 1'!$D$27),4)</f>
        <v>D27</v>
      </c>
      <c r="D5849" t="b" cm="1">
        <f t="array" aca="1" ref="D5849" ca="1">IF(INDIRECT("'"&amp;A5849&amp;"'!"&amp;B5849)="",FALSE,IF(NOT(ISNUMBER(INDIRECT("'"&amp;A5849&amp;"'!"&amp;B5849))),TRUE,FALSE))</f>
        <v>0</v>
      </c>
      <c r="E5849" t="s">
        <v>435</v>
      </c>
      <c r="F5849" t="str">
        <f>INDEX(Lists!I:I,MATCH(Validation!E5849,Lists!G:G,0))</f>
        <v>Error</v>
      </c>
      <c r="G5849" t="str">
        <f>INDEX(Lists!H:H,MATCH(Validation!E5849,Lists!G:G,0))</f>
        <v>Enter an amount only. Do not enter text or spaces.</v>
      </c>
      <c r="H5849" s="16" t="str">
        <f t="shared" ca="1" si="642"/>
        <v/>
      </c>
      <c r="I5849" s="16" t="str">
        <f t="shared" ca="1" si="643"/>
        <v/>
      </c>
      <c r="J5849" s="17" t="str">
        <f t="shared" ca="1" si="644"/>
        <v/>
      </c>
    </row>
    <row r="5850" spans="1:10" x14ac:dyDescent="0.25">
      <c r="A5850" t="s">
        <v>943</v>
      </c>
      <c r="B5850" t="str">
        <f>ADDRESS(ROW('Loan 1'!$B$27),COLUMN('Loan 1'!$B$27),4)</f>
        <v>B27</v>
      </c>
      <c r="C5850" t="str">
        <f>ADDRESS(ROW('Loan 1'!$D$27),COLUMN('Loan 1'!$D$27),4)</f>
        <v>D27</v>
      </c>
      <c r="D5850" t="b" cm="1">
        <f t="array" aca="1" ref="D5850" ca="1">IF(INDIRECT("'"&amp;A5850&amp;"'!"&amp;B5850)="",FALSE,IF(NOT(ISNUMBER(INDIRECT("'"&amp;A5850&amp;"'!"&amp;B5850))),TRUE,FALSE))</f>
        <v>0</v>
      </c>
      <c r="E5850" t="s">
        <v>435</v>
      </c>
      <c r="F5850" t="str">
        <f>INDEX(Lists!I:I,MATCH(Validation!E5850,Lists!G:G,0))</f>
        <v>Error</v>
      </c>
      <c r="G5850" t="str">
        <f>INDEX(Lists!H:H,MATCH(Validation!E5850,Lists!G:G,0))</f>
        <v>Enter an amount only. Do not enter text or spaces.</v>
      </c>
      <c r="H5850" s="16" t="str">
        <f t="shared" ca="1" si="642"/>
        <v/>
      </c>
      <c r="I5850" s="16" t="str">
        <f t="shared" ca="1" si="643"/>
        <v/>
      </c>
      <c r="J5850" s="17" t="str">
        <f t="shared" ca="1" si="644"/>
        <v/>
      </c>
    </row>
    <row r="5851" spans="1:10" x14ac:dyDescent="0.25">
      <c r="A5851" t="s">
        <v>944</v>
      </c>
      <c r="B5851" t="str">
        <f>ADDRESS(ROW('Loan 1'!$B$27),COLUMN('Loan 1'!$B$27),4)</f>
        <v>B27</v>
      </c>
      <c r="C5851" t="str">
        <f>ADDRESS(ROW('Loan 1'!$D$27),COLUMN('Loan 1'!$D$27),4)</f>
        <v>D27</v>
      </c>
      <c r="D5851" t="b" cm="1">
        <f t="array" aca="1" ref="D5851" ca="1">IF(INDIRECT("'"&amp;A5851&amp;"'!"&amp;B5851)="",FALSE,IF(NOT(ISNUMBER(INDIRECT("'"&amp;A5851&amp;"'!"&amp;B5851))),TRUE,FALSE))</f>
        <v>0</v>
      </c>
      <c r="E5851" t="s">
        <v>435</v>
      </c>
      <c r="F5851" t="str">
        <f>INDEX(Lists!I:I,MATCH(Validation!E5851,Lists!G:G,0))</f>
        <v>Error</v>
      </c>
      <c r="G5851" t="str">
        <f>INDEX(Lists!H:H,MATCH(Validation!E5851,Lists!G:G,0))</f>
        <v>Enter an amount only. Do not enter text or spaces.</v>
      </c>
      <c r="H5851" s="16" t="str">
        <f t="shared" ca="1" si="642"/>
        <v/>
      </c>
      <c r="I5851" s="16" t="str">
        <f t="shared" ca="1" si="643"/>
        <v/>
      </c>
      <c r="J5851" s="17" t="str">
        <f t="shared" ca="1" si="644"/>
        <v/>
      </c>
    </row>
    <row r="5852" spans="1:10" x14ac:dyDescent="0.25">
      <c r="A5852" t="s">
        <v>945</v>
      </c>
      <c r="B5852" t="str">
        <f>ADDRESS(ROW('Loan 1'!$B$27),COLUMN('Loan 1'!$B$27),4)</f>
        <v>B27</v>
      </c>
      <c r="C5852" t="str">
        <f>ADDRESS(ROW('Loan 1'!$D$27),COLUMN('Loan 1'!$D$27),4)</f>
        <v>D27</v>
      </c>
      <c r="D5852" t="b" cm="1">
        <f t="array" aca="1" ref="D5852" ca="1">IF(INDIRECT("'"&amp;A5852&amp;"'!"&amp;B5852)="",FALSE,IF(NOT(ISNUMBER(INDIRECT("'"&amp;A5852&amp;"'!"&amp;B5852))),TRUE,FALSE))</f>
        <v>0</v>
      </c>
      <c r="E5852" t="s">
        <v>435</v>
      </c>
      <c r="F5852" t="str">
        <f>INDEX(Lists!I:I,MATCH(Validation!E5852,Lists!G:G,0))</f>
        <v>Error</v>
      </c>
      <c r="G5852" t="str">
        <f>INDEX(Lists!H:H,MATCH(Validation!E5852,Lists!G:G,0))</f>
        <v>Enter an amount only. Do not enter text or spaces.</v>
      </c>
      <c r="H5852" s="16" t="str">
        <f t="shared" ca="1" si="642"/>
        <v/>
      </c>
      <c r="I5852" s="16" t="str">
        <f t="shared" ca="1" si="643"/>
        <v/>
      </c>
      <c r="J5852" s="17" t="str">
        <f t="shared" ca="1" si="644"/>
        <v/>
      </c>
    </row>
    <row r="5853" spans="1:10" x14ac:dyDescent="0.25">
      <c r="A5853" t="s">
        <v>205</v>
      </c>
      <c r="B5853" t="str">
        <f>ADDRESS(ROW('Loan 1'!$B$27),COLUMN('Loan 1'!$B$27),4)</f>
        <v>B27</v>
      </c>
      <c r="C5853" t="str">
        <f>ADDRESS(ROW('Loan 1'!$D$27),COLUMN('Loan 1'!$D$27),4)</f>
        <v>D27</v>
      </c>
      <c r="D5853" t="b" cm="1">
        <f t="array" aca="1" ref="D5853" ca="1">IF(INDIRECT("'"&amp;A5853&amp;"'!"&amp;B5853)="",FALSE,IF(INDIRECT("'"&amp;A5853&amp;"'!"&amp;B5853)&lt;0,TRUE,FALSE))</f>
        <v>0</v>
      </c>
      <c r="E5853" t="s">
        <v>434</v>
      </c>
      <c r="F5853" t="str">
        <f>INDEX(Lists!I:I,MATCH(Validation!E5853,Lists!G:G,0))</f>
        <v>Error</v>
      </c>
      <c r="G5853" t="str">
        <f>INDEX(Lists!H:H,MATCH(Validation!E5853,Lists!G:G,0))</f>
        <v>Amount may not be negative. Enter an amount greater than or equal to zero.</v>
      </c>
      <c r="H5853" s="16" t="str">
        <f ca="1">IFERROR(IF(OR(NOT(D5853),F5853&lt;&gt;"Error"),"",A5853&amp;CELL("address",INDIRECT(B5853))),"")</f>
        <v/>
      </c>
      <c r="I5853" s="16" t="str">
        <f ca="1">IFERROR(IF(NOT(D5853),"",A5853&amp;CELL("address",INDIRECT(C5853))),"")</f>
        <v/>
      </c>
      <c r="J5853" s="17" t="str">
        <f ca="1">IFERROR(IF(NOT(D5853),"",A5853),"")</f>
        <v/>
      </c>
    </row>
    <row r="5854" spans="1:10" x14ac:dyDescent="0.25">
      <c r="A5854" t="s">
        <v>932</v>
      </c>
      <c r="B5854" t="str">
        <f>ADDRESS(ROW('Loan 1'!$B$27),COLUMN('Loan 1'!$B$27),4)</f>
        <v>B27</v>
      </c>
      <c r="C5854" t="str">
        <f>ADDRESS(ROW('Loan 1'!$D$27),COLUMN('Loan 1'!$D$27),4)</f>
        <v>D27</v>
      </c>
      <c r="D5854" t="b" cm="1">
        <f t="array" aca="1" ref="D5854" ca="1">IF(INDIRECT("'"&amp;A5854&amp;"'!"&amp;B5854)="",FALSE,IF(INDIRECT("'"&amp;A5854&amp;"'!"&amp;B5854)&lt;0,TRUE,FALSE))</f>
        <v>0</v>
      </c>
      <c r="E5854" t="s">
        <v>434</v>
      </c>
      <c r="F5854" t="str">
        <f>INDEX(Lists!I:I,MATCH(Validation!E5854,Lists!G:G,0))</f>
        <v>Error</v>
      </c>
      <c r="G5854" t="str">
        <f>INDEX(Lists!H:H,MATCH(Validation!E5854,Lists!G:G,0))</f>
        <v>Amount may not be negative. Enter an amount greater than or equal to zero.</v>
      </c>
      <c r="H5854" s="16" t="str">
        <f t="shared" ref="H5854:H5882" ca="1" si="645">IFERROR(IF(OR(NOT(D5854),F5854&lt;&gt;"Error"),"",A5854&amp;CELL("address",INDIRECT(B5854))),"")</f>
        <v/>
      </c>
      <c r="I5854" s="16" t="str">
        <f t="shared" ref="I5854:I5882" ca="1" si="646">IFERROR(IF(NOT(D5854),"",A5854&amp;CELL("address",INDIRECT(C5854))),"")</f>
        <v/>
      </c>
      <c r="J5854" s="17" t="str">
        <f t="shared" ref="J5854:J5882" ca="1" si="647">IFERROR(IF(NOT(D5854),"",A5854),"")</f>
        <v/>
      </c>
    </row>
    <row r="5855" spans="1:10" x14ac:dyDescent="0.25">
      <c r="A5855" t="s">
        <v>933</v>
      </c>
      <c r="B5855" t="str">
        <f>ADDRESS(ROW('Loan 1'!$B$27),COLUMN('Loan 1'!$B$27),4)</f>
        <v>B27</v>
      </c>
      <c r="C5855" t="str">
        <f>ADDRESS(ROW('Loan 1'!$D$27),COLUMN('Loan 1'!$D$27),4)</f>
        <v>D27</v>
      </c>
      <c r="D5855" t="b" cm="1">
        <f t="array" aca="1" ref="D5855" ca="1">IF(INDIRECT("'"&amp;A5855&amp;"'!"&amp;B5855)="",FALSE,IF(INDIRECT("'"&amp;A5855&amp;"'!"&amp;B5855)&lt;0,TRUE,FALSE))</f>
        <v>0</v>
      </c>
      <c r="E5855" t="s">
        <v>434</v>
      </c>
      <c r="F5855" t="str">
        <f>INDEX(Lists!I:I,MATCH(Validation!E5855,Lists!G:G,0))</f>
        <v>Error</v>
      </c>
      <c r="G5855" t="str">
        <f>INDEX(Lists!H:H,MATCH(Validation!E5855,Lists!G:G,0))</f>
        <v>Amount may not be negative. Enter an amount greater than or equal to zero.</v>
      </c>
      <c r="H5855" s="16" t="str">
        <f t="shared" ca="1" si="645"/>
        <v/>
      </c>
      <c r="I5855" s="16" t="str">
        <f t="shared" ca="1" si="646"/>
        <v/>
      </c>
      <c r="J5855" s="17" t="str">
        <f t="shared" ca="1" si="647"/>
        <v/>
      </c>
    </row>
    <row r="5856" spans="1:10" x14ac:dyDescent="0.25">
      <c r="A5856" t="s">
        <v>934</v>
      </c>
      <c r="B5856" t="str">
        <f>ADDRESS(ROW('Loan 1'!$B$27),COLUMN('Loan 1'!$B$27),4)</f>
        <v>B27</v>
      </c>
      <c r="C5856" t="str">
        <f>ADDRESS(ROW('Loan 1'!$D$27),COLUMN('Loan 1'!$D$27),4)</f>
        <v>D27</v>
      </c>
      <c r="D5856" t="b" cm="1">
        <f t="array" aca="1" ref="D5856" ca="1">IF(INDIRECT("'"&amp;A5856&amp;"'!"&amp;B5856)="",FALSE,IF(INDIRECT("'"&amp;A5856&amp;"'!"&amp;B5856)&lt;0,TRUE,FALSE))</f>
        <v>0</v>
      </c>
      <c r="E5856" t="s">
        <v>434</v>
      </c>
      <c r="F5856" t="str">
        <f>INDEX(Lists!I:I,MATCH(Validation!E5856,Lists!G:G,0))</f>
        <v>Error</v>
      </c>
      <c r="G5856" t="str">
        <f>INDEX(Lists!H:H,MATCH(Validation!E5856,Lists!G:G,0))</f>
        <v>Amount may not be negative. Enter an amount greater than or equal to zero.</v>
      </c>
      <c r="H5856" s="16" t="str">
        <f t="shared" ca="1" si="645"/>
        <v/>
      </c>
      <c r="I5856" s="16" t="str">
        <f t="shared" ca="1" si="646"/>
        <v/>
      </c>
      <c r="J5856" s="17" t="str">
        <f t="shared" ca="1" si="647"/>
        <v/>
      </c>
    </row>
    <row r="5857" spans="1:10" x14ac:dyDescent="0.25">
      <c r="A5857" t="s">
        <v>935</v>
      </c>
      <c r="B5857" t="str">
        <f>ADDRESS(ROW('Loan 1'!$B$27),COLUMN('Loan 1'!$B$27),4)</f>
        <v>B27</v>
      </c>
      <c r="C5857" t="str">
        <f>ADDRESS(ROW('Loan 1'!$D$27),COLUMN('Loan 1'!$D$27),4)</f>
        <v>D27</v>
      </c>
      <c r="D5857" t="b" cm="1">
        <f t="array" aca="1" ref="D5857" ca="1">IF(INDIRECT("'"&amp;A5857&amp;"'!"&amp;B5857)="",FALSE,IF(INDIRECT("'"&amp;A5857&amp;"'!"&amp;B5857)&lt;0,TRUE,FALSE))</f>
        <v>0</v>
      </c>
      <c r="E5857" t="s">
        <v>434</v>
      </c>
      <c r="F5857" t="str">
        <f>INDEX(Lists!I:I,MATCH(Validation!E5857,Lists!G:G,0))</f>
        <v>Error</v>
      </c>
      <c r="G5857" t="str">
        <f>INDEX(Lists!H:H,MATCH(Validation!E5857,Lists!G:G,0))</f>
        <v>Amount may not be negative. Enter an amount greater than or equal to zero.</v>
      </c>
      <c r="H5857" s="16" t="str">
        <f t="shared" ca="1" si="645"/>
        <v/>
      </c>
      <c r="I5857" s="16" t="str">
        <f t="shared" ca="1" si="646"/>
        <v/>
      </c>
      <c r="J5857" s="17" t="str">
        <f t="shared" ca="1" si="647"/>
        <v/>
      </c>
    </row>
    <row r="5858" spans="1:10" x14ac:dyDescent="0.25">
      <c r="A5858" t="s">
        <v>936</v>
      </c>
      <c r="B5858" t="str">
        <f>ADDRESS(ROW('Loan 1'!$B$27),COLUMN('Loan 1'!$B$27),4)</f>
        <v>B27</v>
      </c>
      <c r="C5858" t="str">
        <f>ADDRESS(ROW('Loan 1'!$D$27),COLUMN('Loan 1'!$D$27),4)</f>
        <v>D27</v>
      </c>
      <c r="D5858" t="b" cm="1">
        <f t="array" aca="1" ref="D5858" ca="1">IF(INDIRECT("'"&amp;A5858&amp;"'!"&amp;B5858)="",FALSE,IF(INDIRECT("'"&amp;A5858&amp;"'!"&amp;B5858)&lt;0,TRUE,FALSE))</f>
        <v>0</v>
      </c>
      <c r="E5858" t="s">
        <v>434</v>
      </c>
      <c r="F5858" t="str">
        <f>INDEX(Lists!I:I,MATCH(Validation!E5858,Lists!G:G,0))</f>
        <v>Error</v>
      </c>
      <c r="G5858" t="str">
        <f>INDEX(Lists!H:H,MATCH(Validation!E5858,Lists!G:G,0))</f>
        <v>Amount may not be negative. Enter an amount greater than or equal to zero.</v>
      </c>
      <c r="H5858" s="16" t="str">
        <f t="shared" ca="1" si="645"/>
        <v/>
      </c>
      <c r="I5858" s="16" t="str">
        <f t="shared" ca="1" si="646"/>
        <v/>
      </c>
      <c r="J5858" s="17" t="str">
        <f t="shared" ca="1" si="647"/>
        <v/>
      </c>
    </row>
    <row r="5859" spans="1:10" x14ac:dyDescent="0.25">
      <c r="A5859" t="s">
        <v>937</v>
      </c>
      <c r="B5859" t="str">
        <f>ADDRESS(ROW('Loan 1'!$B$27),COLUMN('Loan 1'!$B$27),4)</f>
        <v>B27</v>
      </c>
      <c r="C5859" t="str">
        <f>ADDRESS(ROW('Loan 1'!$D$27),COLUMN('Loan 1'!$D$27),4)</f>
        <v>D27</v>
      </c>
      <c r="D5859" t="b" cm="1">
        <f t="array" aca="1" ref="D5859" ca="1">IF(INDIRECT("'"&amp;A5859&amp;"'!"&amp;B5859)="",FALSE,IF(INDIRECT("'"&amp;A5859&amp;"'!"&amp;B5859)&lt;0,TRUE,FALSE))</f>
        <v>0</v>
      </c>
      <c r="E5859" t="s">
        <v>434</v>
      </c>
      <c r="F5859" t="str">
        <f>INDEX(Lists!I:I,MATCH(Validation!E5859,Lists!G:G,0))</f>
        <v>Error</v>
      </c>
      <c r="G5859" t="str">
        <f>INDEX(Lists!H:H,MATCH(Validation!E5859,Lists!G:G,0))</f>
        <v>Amount may not be negative. Enter an amount greater than or equal to zero.</v>
      </c>
      <c r="H5859" s="16" t="str">
        <f t="shared" ca="1" si="645"/>
        <v/>
      </c>
      <c r="I5859" s="16" t="str">
        <f t="shared" ca="1" si="646"/>
        <v/>
      </c>
      <c r="J5859" s="17" t="str">
        <f t="shared" ca="1" si="647"/>
        <v/>
      </c>
    </row>
    <row r="5860" spans="1:10" x14ac:dyDescent="0.25">
      <c r="A5860" t="s">
        <v>938</v>
      </c>
      <c r="B5860" t="str">
        <f>ADDRESS(ROW('Loan 1'!$B$27),COLUMN('Loan 1'!$B$27),4)</f>
        <v>B27</v>
      </c>
      <c r="C5860" t="str">
        <f>ADDRESS(ROW('Loan 1'!$D$27),COLUMN('Loan 1'!$D$27),4)</f>
        <v>D27</v>
      </c>
      <c r="D5860" t="b" cm="1">
        <f t="array" aca="1" ref="D5860" ca="1">IF(INDIRECT("'"&amp;A5860&amp;"'!"&amp;B5860)="",FALSE,IF(INDIRECT("'"&amp;A5860&amp;"'!"&amp;B5860)&lt;0,TRUE,FALSE))</f>
        <v>0</v>
      </c>
      <c r="E5860" t="s">
        <v>434</v>
      </c>
      <c r="F5860" t="str">
        <f>INDEX(Lists!I:I,MATCH(Validation!E5860,Lists!G:G,0))</f>
        <v>Error</v>
      </c>
      <c r="G5860" t="str">
        <f>INDEX(Lists!H:H,MATCH(Validation!E5860,Lists!G:G,0))</f>
        <v>Amount may not be negative. Enter an amount greater than or equal to zero.</v>
      </c>
      <c r="H5860" s="16" t="str">
        <f t="shared" ca="1" si="645"/>
        <v/>
      </c>
      <c r="I5860" s="16" t="str">
        <f t="shared" ca="1" si="646"/>
        <v/>
      </c>
      <c r="J5860" s="17" t="str">
        <f t="shared" ca="1" si="647"/>
        <v/>
      </c>
    </row>
    <row r="5861" spans="1:10" x14ac:dyDescent="0.25">
      <c r="A5861" t="s">
        <v>939</v>
      </c>
      <c r="B5861" t="str">
        <f>ADDRESS(ROW('Loan 1'!$B$27),COLUMN('Loan 1'!$B$27),4)</f>
        <v>B27</v>
      </c>
      <c r="C5861" t="str">
        <f>ADDRESS(ROW('Loan 1'!$D$27),COLUMN('Loan 1'!$D$27),4)</f>
        <v>D27</v>
      </c>
      <c r="D5861" t="b" cm="1">
        <f t="array" aca="1" ref="D5861" ca="1">IF(INDIRECT("'"&amp;A5861&amp;"'!"&amp;B5861)="",FALSE,IF(INDIRECT("'"&amp;A5861&amp;"'!"&amp;B5861)&lt;0,TRUE,FALSE))</f>
        <v>0</v>
      </c>
      <c r="E5861" t="s">
        <v>434</v>
      </c>
      <c r="F5861" t="str">
        <f>INDEX(Lists!I:I,MATCH(Validation!E5861,Lists!G:G,0))</f>
        <v>Error</v>
      </c>
      <c r="G5861" t="str">
        <f>INDEX(Lists!H:H,MATCH(Validation!E5861,Lists!G:G,0))</f>
        <v>Amount may not be negative. Enter an amount greater than or equal to zero.</v>
      </c>
      <c r="H5861" s="16" t="str">
        <f t="shared" ca="1" si="645"/>
        <v/>
      </c>
      <c r="I5861" s="16" t="str">
        <f t="shared" ca="1" si="646"/>
        <v/>
      </c>
      <c r="J5861" s="17" t="str">
        <f t="shared" ca="1" si="647"/>
        <v/>
      </c>
    </row>
    <row r="5862" spans="1:10" x14ac:dyDescent="0.25">
      <c r="A5862" t="s">
        <v>940</v>
      </c>
      <c r="B5862" t="str">
        <f>ADDRESS(ROW('Loan 1'!$B$27),COLUMN('Loan 1'!$B$27),4)</f>
        <v>B27</v>
      </c>
      <c r="C5862" t="str">
        <f>ADDRESS(ROW('Loan 1'!$D$27),COLUMN('Loan 1'!$D$27),4)</f>
        <v>D27</v>
      </c>
      <c r="D5862" t="b" cm="1">
        <f t="array" aca="1" ref="D5862" ca="1">IF(INDIRECT("'"&amp;A5862&amp;"'!"&amp;B5862)="",FALSE,IF(INDIRECT("'"&amp;A5862&amp;"'!"&amp;B5862)&lt;0,TRUE,FALSE))</f>
        <v>0</v>
      </c>
      <c r="E5862" t="s">
        <v>434</v>
      </c>
      <c r="F5862" t="str">
        <f>INDEX(Lists!I:I,MATCH(Validation!E5862,Lists!G:G,0))</f>
        <v>Error</v>
      </c>
      <c r="G5862" t="str">
        <f>INDEX(Lists!H:H,MATCH(Validation!E5862,Lists!G:G,0))</f>
        <v>Amount may not be negative. Enter an amount greater than or equal to zero.</v>
      </c>
      <c r="H5862" s="16" t="str">
        <f t="shared" ca="1" si="645"/>
        <v/>
      </c>
      <c r="I5862" s="16" t="str">
        <f t="shared" ca="1" si="646"/>
        <v/>
      </c>
      <c r="J5862" s="17" t="str">
        <f t="shared" ca="1" si="647"/>
        <v/>
      </c>
    </row>
    <row r="5863" spans="1:10" x14ac:dyDescent="0.25">
      <c r="A5863" t="s">
        <v>941</v>
      </c>
      <c r="B5863" t="str">
        <f>ADDRESS(ROW('Loan 1'!$B$27),COLUMN('Loan 1'!$B$27),4)</f>
        <v>B27</v>
      </c>
      <c r="C5863" t="str">
        <f>ADDRESS(ROW('Loan 1'!$D$27),COLUMN('Loan 1'!$D$27),4)</f>
        <v>D27</v>
      </c>
      <c r="D5863" t="b" cm="1">
        <f t="array" aca="1" ref="D5863" ca="1">IF(INDIRECT("'"&amp;A5863&amp;"'!"&amp;B5863)="",FALSE,IF(INDIRECT("'"&amp;A5863&amp;"'!"&amp;B5863)&lt;0,TRUE,FALSE))</f>
        <v>0</v>
      </c>
      <c r="E5863" t="s">
        <v>434</v>
      </c>
      <c r="F5863" t="str">
        <f>INDEX(Lists!I:I,MATCH(Validation!E5863,Lists!G:G,0))</f>
        <v>Error</v>
      </c>
      <c r="G5863" t="str">
        <f>INDEX(Lists!H:H,MATCH(Validation!E5863,Lists!G:G,0))</f>
        <v>Amount may not be negative. Enter an amount greater than or equal to zero.</v>
      </c>
      <c r="H5863" s="16" t="str">
        <f t="shared" ca="1" si="645"/>
        <v/>
      </c>
      <c r="I5863" s="16" t="str">
        <f t="shared" ca="1" si="646"/>
        <v/>
      </c>
      <c r="J5863" s="17" t="str">
        <f t="shared" ca="1" si="647"/>
        <v/>
      </c>
    </row>
    <row r="5864" spans="1:10" x14ac:dyDescent="0.25">
      <c r="A5864" t="s">
        <v>942</v>
      </c>
      <c r="B5864" t="str">
        <f>ADDRESS(ROW('Loan 1'!$B$27),COLUMN('Loan 1'!$B$27),4)</f>
        <v>B27</v>
      </c>
      <c r="C5864" t="str">
        <f>ADDRESS(ROW('Loan 1'!$D$27),COLUMN('Loan 1'!$D$27),4)</f>
        <v>D27</v>
      </c>
      <c r="D5864" t="b" cm="1">
        <f t="array" aca="1" ref="D5864" ca="1">IF(INDIRECT("'"&amp;A5864&amp;"'!"&amp;B5864)="",FALSE,IF(INDIRECT("'"&amp;A5864&amp;"'!"&amp;B5864)&lt;0,TRUE,FALSE))</f>
        <v>0</v>
      </c>
      <c r="E5864" t="s">
        <v>434</v>
      </c>
      <c r="F5864" t="str">
        <f>INDEX(Lists!I:I,MATCH(Validation!E5864,Lists!G:G,0))</f>
        <v>Error</v>
      </c>
      <c r="G5864" t="str">
        <f>INDEX(Lists!H:H,MATCH(Validation!E5864,Lists!G:G,0))</f>
        <v>Amount may not be negative. Enter an amount greater than or equal to zero.</v>
      </c>
      <c r="H5864" s="16" t="str">
        <f t="shared" ca="1" si="645"/>
        <v/>
      </c>
      <c r="I5864" s="16" t="str">
        <f t="shared" ca="1" si="646"/>
        <v/>
      </c>
      <c r="J5864" s="17" t="str">
        <f t="shared" ca="1" si="647"/>
        <v/>
      </c>
    </row>
    <row r="5865" spans="1:10" x14ac:dyDescent="0.25">
      <c r="A5865" t="s">
        <v>943</v>
      </c>
      <c r="B5865" t="str">
        <f>ADDRESS(ROW('Loan 1'!$B$27),COLUMN('Loan 1'!$B$27),4)</f>
        <v>B27</v>
      </c>
      <c r="C5865" t="str">
        <f>ADDRESS(ROW('Loan 1'!$D$27),COLUMN('Loan 1'!$D$27),4)</f>
        <v>D27</v>
      </c>
      <c r="D5865" t="b" cm="1">
        <f t="array" aca="1" ref="D5865" ca="1">IF(INDIRECT("'"&amp;A5865&amp;"'!"&amp;B5865)="",FALSE,IF(INDIRECT("'"&amp;A5865&amp;"'!"&amp;B5865)&lt;0,TRUE,FALSE))</f>
        <v>0</v>
      </c>
      <c r="E5865" t="s">
        <v>434</v>
      </c>
      <c r="F5865" t="str">
        <f>INDEX(Lists!I:I,MATCH(Validation!E5865,Lists!G:G,0))</f>
        <v>Error</v>
      </c>
      <c r="G5865" t="str">
        <f>INDEX(Lists!H:H,MATCH(Validation!E5865,Lists!G:G,0))</f>
        <v>Amount may not be negative. Enter an amount greater than or equal to zero.</v>
      </c>
      <c r="H5865" s="16" t="str">
        <f t="shared" ca="1" si="645"/>
        <v/>
      </c>
      <c r="I5865" s="16" t="str">
        <f t="shared" ca="1" si="646"/>
        <v/>
      </c>
      <c r="J5865" s="17" t="str">
        <f t="shared" ca="1" si="647"/>
        <v/>
      </c>
    </row>
    <row r="5866" spans="1:10" x14ac:dyDescent="0.25">
      <c r="A5866" t="s">
        <v>944</v>
      </c>
      <c r="B5866" t="str">
        <f>ADDRESS(ROW('Loan 1'!$B$27),COLUMN('Loan 1'!$B$27),4)</f>
        <v>B27</v>
      </c>
      <c r="C5866" t="str">
        <f>ADDRESS(ROW('Loan 1'!$D$27),COLUMN('Loan 1'!$D$27),4)</f>
        <v>D27</v>
      </c>
      <c r="D5866" t="b" cm="1">
        <f t="array" aca="1" ref="D5866" ca="1">IF(INDIRECT("'"&amp;A5866&amp;"'!"&amp;B5866)="",FALSE,IF(INDIRECT("'"&amp;A5866&amp;"'!"&amp;B5866)&lt;0,TRUE,FALSE))</f>
        <v>0</v>
      </c>
      <c r="E5866" t="s">
        <v>434</v>
      </c>
      <c r="F5866" t="str">
        <f>INDEX(Lists!I:I,MATCH(Validation!E5866,Lists!G:G,0))</f>
        <v>Error</v>
      </c>
      <c r="G5866" t="str">
        <f>INDEX(Lists!H:H,MATCH(Validation!E5866,Lists!G:G,0))</f>
        <v>Amount may not be negative. Enter an amount greater than or equal to zero.</v>
      </c>
      <c r="H5866" s="16" t="str">
        <f t="shared" ca="1" si="645"/>
        <v/>
      </c>
      <c r="I5866" s="16" t="str">
        <f t="shared" ca="1" si="646"/>
        <v/>
      </c>
      <c r="J5866" s="17" t="str">
        <f t="shared" ca="1" si="647"/>
        <v/>
      </c>
    </row>
    <row r="5867" spans="1:10" x14ac:dyDescent="0.25">
      <c r="A5867" t="s">
        <v>945</v>
      </c>
      <c r="B5867" t="str">
        <f>ADDRESS(ROW('Loan 1'!$B$27),COLUMN('Loan 1'!$B$27),4)</f>
        <v>B27</v>
      </c>
      <c r="C5867" t="str">
        <f>ADDRESS(ROW('Loan 1'!$D$27),COLUMN('Loan 1'!$D$27),4)</f>
        <v>D27</v>
      </c>
      <c r="D5867" t="b" cm="1">
        <f t="array" aca="1" ref="D5867" ca="1">IF(INDIRECT("'"&amp;A5867&amp;"'!"&amp;B5867)="",FALSE,IF(INDIRECT("'"&amp;A5867&amp;"'!"&amp;B5867)&lt;0,TRUE,FALSE))</f>
        <v>0</v>
      </c>
      <c r="E5867" t="s">
        <v>434</v>
      </c>
      <c r="F5867" t="str">
        <f>INDEX(Lists!I:I,MATCH(Validation!E5867,Lists!G:G,0))</f>
        <v>Error</v>
      </c>
      <c r="G5867" t="str">
        <f>INDEX(Lists!H:H,MATCH(Validation!E5867,Lists!G:G,0))</f>
        <v>Amount may not be negative. Enter an amount greater than or equal to zero.</v>
      </c>
      <c r="H5867" s="16" t="str">
        <f t="shared" ca="1" si="645"/>
        <v/>
      </c>
      <c r="I5867" s="16" t="str">
        <f t="shared" ca="1" si="646"/>
        <v/>
      </c>
      <c r="J5867" s="17" t="str">
        <f t="shared" ca="1" si="647"/>
        <v/>
      </c>
    </row>
    <row r="5868" spans="1:10" x14ac:dyDescent="0.25">
      <c r="A5868" t="s">
        <v>205</v>
      </c>
      <c r="B5868" t="str">
        <f>ADDRESS(ROW('Loan 1'!$B$27),COLUMN('Loan 1'!$B$27),4)</f>
        <v>B27</v>
      </c>
      <c r="C5868" t="str">
        <f>ADDRESS(ROW('Loan 1'!$D$27),COLUMN('Loan 1'!$D$27),4)</f>
        <v>D27</v>
      </c>
      <c r="D5868" t="b" cm="1">
        <f t="array" aca="1" ref="D5868" ca="1">IF(INDIRECT("'"&amp;A5868&amp;"'!"&amp;B5868)="",FALSE,IF(TRUNC(INDIRECT("'"&amp;A5868&amp;"'!"&amp;B5868))=INDIRECT("'"&amp;A5868&amp;"'!"&amp;B5868),FALSE,TRUE))</f>
        <v>0</v>
      </c>
      <c r="E5868" t="s">
        <v>436</v>
      </c>
      <c r="F5868" t="str">
        <f>INDEX(Lists!I:I,MATCH(Validation!E5868,Lists!G:G,0))</f>
        <v>Error</v>
      </c>
      <c r="G5868" t="str">
        <f>INDEX(Lists!H:H,MATCH(Validation!E5868,Lists!G:G,0))</f>
        <v>Amount must be rounded to the nearest dollar.</v>
      </c>
      <c r="H5868" s="16" t="str">
        <f t="shared" ca="1" si="645"/>
        <v/>
      </c>
      <c r="I5868" s="16" t="str">
        <f t="shared" ca="1" si="646"/>
        <v/>
      </c>
      <c r="J5868" s="17" t="str">
        <f t="shared" ca="1" si="647"/>
        <v/>
      </c>
    </row>
    <row r="5869" spans="1:10" x14ac:dyDescent="0.25">
      <c r="A5869" t="s">
        <v>932</v>
      </c>
      <c r="B5869" t="str">
        <f>ADDRESS(ROW('Loan 1'!$B$27),COLUMN('Loan 1'!$B$27),4)</f>
        <v>B27</v>
      </c>
      <c r="C5869" t="str">
        <f>ADDRESS(ROW('Loan 1'!$D$27),COLUMN('Loan 1'!$D$27),4)</f>
        <v>D27</v>
      </c>
      <c r="D5869" t="b" cm="1">
        <f t="array" aca="1" ref="D5869" ca="1">IF(INDIRECT("'"&amp;A5869&amp;"'!"&amp;B5869)="",FALSE,IF(TRUNC(INDIRECT("'"&amp;A5869&amp;"'!"&amp;B5869))=INDIRECT("'"&amp;A5869&amp;"'!"&amp;B5869),FALSE,TRUE))</f>
        <v>0</v>
      </c>
      <c r="E5869" t="s">
        <v>436</v>
      </c>
      <c r="F5869" t="str">
        <f>INDEX(Lists!I:I,MATCH(Validation!E5869,Lists!G:G,0))</f>
        <v>Error</v>
      </c>
      <c r="G5869" t="str">
        <f>INDEX(Lists!H:H,MATCH(Validation!E5869,Lists!G:G,0))</f>
        <v>Amount must be rounded to the nearest dollar.</v>
      </c>
      <c r="H5869" s="16" t="str">
        <f t="shared" ca="1" si="645"/>
        <v/>
      </c>
      <c r="I5869" s="16" t="str">
        <f t="shared" ca="1" si="646"/>
        <v/>
      </c>
      <c r="J5869" s="17" t="str">
        <f t="shared" ca="1" si="647"/>
        <v/>
      </c>
    </row>
    <row r="5870" spans="1:10" x14ac:dyDescent="0.25">
      <c r="A5870" t="s">
        <v>933</v>
      </c>
      <c r="B5870" t="str">
        <f>ADDRESS(ROW('Loan 1'!$B$27),COLUMN('Loan 1'!$B$27),4)</f>
        <v>B27</v>
      </c>
      <c r="C5870" t="str">
        <f>ADDRESS(ROW('Loan 1'!$D$27),COLUMN('Loan 1'!$D$27),4)</f>
        <v>D27</v>
      </c>
      <c r="D5870" t="b" cm="1">
        <f t="array" aca="1" ref="D5870" ca="1">IF(INDIRECT("'"&amp;A5870&amp;"'!"&amp;B5870)="",FALSE,IF(TRUNC(INDIRECT("'"&amp;A5870&amp;"'!"&amp;B5870))=INDIRECT("'"&amp;A5870&amp;"'!"&amp;B5870),FALSE,TRUE))</f>
        <v>0</v>
      </c>
      <c r="E5870" t="s">
        <v>436</v>
      </c>
      <c r="F5870" t="str">
        <f>INDEX(Lists!I:I,MATCH(Validation!E5870,Lists!G:G,0))</f>
        <v>Error</v>
      </c>
      <c r="G5870" t="str">
        <f>INDEX(Lists!H:H,MATCH(Validation!E5870,Lists!G:G,0))</f>
        <v>Amount must be rounded to the nearest dollar.</v>
      </c>
      <c r="H5870" s="16" t="str">
        <f t="shared" ca="1" si="645"/>
        <v/>
      </c>
      <c r="I5870" s="16" t="str">
        <f t="shared" ca="1" si="646"/>
        <v/>
      </c>
      <c r="J5870" s="17" t="str">
        <f t="shared" ca="1" si="647"/>
        <v/>
      </c>
    </row>
    <row r="5871" spans="1:10" x14ac:dyDescent="0.25">
      <c r="A5871" t="s">
        <v>934</v>
      </c>
      <c r="B5871" t="str">
        <f>ADDRESS(ROW('Loan 1'!$B$27),COLUMN('Loan 1'!$B$27),4)</f>
        <v>B27</v>
      </c>
      <c r="C5871" t="str">
        <f>ADDRESS(ROW('Loan 1'!$D$27),COLUMN('Loan 1'!$D$27),4)</f>
        <v>D27</v>
      </c>
      <c r="D5871" t="b" cm="1">
        <f t="array" aca="1" ref="D5871" ca="1">IF(INDIRECT("'"&amp;A5871&amp;"'!"&amp;B5871)="",FALSE,IF(TRUNC(INDIRECT("'"&amp;A5871&amp;"'!"&amp;B5871))=INDIRECT("'"&amp;A5871&amp;"'!"&amp;B5871),FALSE,TRUE))</f>
        <v>0</v>
      </c>
      <c r="E5871" t="s">
        <v>436</v>
      </c>
      <c r="F5871" t="str">
        <f>INDEX(Lists!I:I,MATCH(Validation!E5871,Lists!G:G,0))</f>
        <v>Error</v>
      </c>
      <c r="G5871" t="str">
        <f>INDEX(Lists!H:H,MATCH(Validation!E5871,Lists!G:G,0))</f>
        <v>Amount must be rounded to the nearest dollar.</v>
      </c>
      <c r="H5871" s="16" t="str">
        <f t="shared" ca="1" si="645"/>
        <v/>
      </c>
      <c r="I5871" s="16" t="str">
        <f t="shared" ca="1" si="646"/>
        <v/>
      </c>
      <c r="J5871" s="17" t="str">
        <f t="shared" ca="1" si="647"/>
        <v/>
      </c>
    </row>
    <row r="5872" spans="1:10" x14ac:dyDescent="0.25">
      <c r="A5872" t="s">
        <v>935</v>
      </c>
      <c r="B5872" t="str">
        <f>ADDRESS(ROW('Loan 1'!$B$27),COLUMN('Loan 1'!$B$27),4)</f>
        <v>B27</v>
      </c>
      <c r="C5872" t="str">
        <f>ADDRESS(ROW('Loan 1'!$D$27),COLUMN('Loan 1'!$D$27),4)</f>
        <v>D27</v>
      </c>
      <c r="D5872" t="b" cm="1">
        <f t="array" aca="1" ref="D5872" ca="1">IF(INDIRECT("'"&amp;A5872&amp;"'!"&amp;B5872)="",FALSE,IF(TRUNC(INDIRECT("'"&amp;A5872&amp;"'!"&amp;B5872))=INDIRECT("'"&amp;A5872&amp;"'!"&amp;B5872),FALSE,TRUE))</f>
        <v>0</v>
      </c>
      <c r="E5872" t="s">
        <v>436</v>
      </c>
      <c r="F5872" t="str">
        <f>INDEX(Lists!I:I,MATCH(Validation!E5872,Lists!G:G,0))</f>
        <v>Error</v>
      </c>
      <c r="G5872" t="str">
        <f>INDEX(Lists!H:H,MATCH(Validation!E5872,Lists!G:G,0))</f>
        <v>Amount must be rounded to the nearest dollar.</v>
      </c>
      <c r="H5872" s="16" t="str">
        <f t="shared" ca="1" si="645"/>
        <v/>
      </c>
      <c r="I5872" s="16" t="str">
        <f t="shared" ca="1" si="646"/>
        <v/>
      </c>
      <c r="J5872" s="17" t="str">
        <f t="shared" ca="1" si="647"/>
        <v/>
      </c>
    </row>
    <row r="5873" spans="1:10" x14ac:dyDescent="0.25">
      <c r="A5873" t="s">
        <v>936</v>
      </c>
      <c r="B5873" t="str">
        <f>ADDRESS(ROW('Loan 1'!$B$27),COLUMN('Loan 1'!$B$27),4)</f>
        <v>B27</v>
      </c>
      <c r="C5873" t="str">
        <f>ADDRESS(ROW('Loan 1'!$D$27),COLUMN('Loan 1'!$D$27),4)</f>
        <v>D27</v>
      </c>
      <c r="D5873" t="b" cm="1">
        <f t="array" aca="1" ref="D5873" ca="1">IF(INDIRECT("'"&amp;A5873&amp;"'!"&amp;B5873)="",FALSE,IF(TRUNC(INDIRECT("'"&amp;A5873&amp;"'!"&amp;B5873))=INDIRECT("'"&amp;A5873&amp;"'!"&amp;B5873),FALSE,TRUE))</f>
        <v>0</v>
      </c>
      <c r="E5873" t="s">
        <v>436</v>
      </c>
      <c r="F5873" t="str">
        <f>INDEX(Lists!I:I,MATCH(Validation!E5873,Lists!G:G,0))</f>
        <v>Error</v>
      </c>
      <c r="G5873" t="str">
        <f>INDEX(Lists!H:H,MATCH(Validation!E5873,Lists!G:G,0))</f>
        <v>Amount must be rounded to the nearest dollar.</v>
      </c>
      <c r="H5873" s="16" t="str">
        <f t="shared" ca="1" si="645"/>
        <v/>
      </c>
      <c r="I5873" s="16" t="str">
        <f t="shared" ca="1" si="646"/>
        <v/>
      </c>
      <c r="J5873" s="17" t="str">
        <f t="shared" ca="1" si="647"/>
        <v/>
      </c>
    </row>
    <row r="5874" spans="1:10" x14ac:dyDescent="0.25">
      <c r="A5874" t="s">
        <v>937</v>
      </c>
      <c r="B5874" t="str">
        <f>ADDRESS(ROW('Loan 1'!$B$27),COLUMN('Loan 1'!$B$27),4)</f>
        <v>B27</v>
      </c>
      <c r="C5874" t="str">
        <f>ADDRESS(ROW('Loan 1'!$D$27),COLUMN('Loan 1'!$D$27),4)</f>
        <v>D27</v>
      </c>
      <c r="D5874" t="b" cm="1">
        <f t="array" aca="1" ref="D5874" ca="1">IF(INDIRECT("'"&amp;A5874&amp;"'!"&amp;B5874)="",FALSE,IF(TRUNC(INDIRECT("'"&amp;A5874&amp;"'!"&amp;B5874))=INDIRECT("'"&amp;A5874&amp;"'!"&amp;B5874),FALSE,TRUE))</f>
        <v>0</v>
      </c>
      <c r="E5874" t="s">
        <v>436</v>
      </c>
      <c r="F5874" t="str">
        <f>INDEX(Lists!I:I,MATCH(Validation!E5874,Lists!G:G,0))</f>
        <v>Error</v>
      </c>
      <c r="G5874" t="str">
        <f>INDEX(Lists!H:H,MATCH(Validation!E5874,Lists!G:G,0))</f>
        <v>Amount must be rounded to the nearest dollar.</v>
      </c>
      <c r="H5874" s="16" t="str">
        <f t="shared" ca="1" si="645"/>
        <v/>
      </c>
      <c r="I5874" s="16" t="str">
        <f t="shared" ca="1" si="646"/>
        <v/>
      </c>
      <c r="J5874" s="17" t="str">
        <f t="shared" ca="1" si="647"/>
        <v/>
      </c>
    </row>
    <row r="5875" spans="1:10" x14ac:dyDescent="0.25">
      <c r="A5875" t="s">
        <v>938</v>
      </c>
      <c r="B5875" t="str">
        <f>ADDRESS(ROW('Loan 1'!$B$27),COLUMN('Loan 1'!$B$27),4)</f>
        <v>B27</v>
      </c>
      <c r="C5875" t="str">
        <f>ADDRESS(ROW('Loan 1'!$D$27),COLUMN('Loan 1'!$D$27),4)</f>
        <v>D27</v>
      </c>
      <c r="D5875" t="b" cm="1">
        <f t="array" aca="1" ref="D5875" ca="1">IF(INDIRECT("'"&amp;A5875&amp;"'!"&amp;B5875)="",FALSE,IF(TRUNC(INDIRECT("'"&amp;A5875&amp;"'!"&amp;B5875))=INDIRECT("'"&amp;A5875&amp;"'!"&amp;B5875),FALSE,TRUE))</f>
        <v>0</v>
      </c>
      <c r="E5875" t="s">
        <v>436</v>
      </c>
      <c r="F5875" t="str">
        <f>INDEX(Lists!I:I,MATCH(Validation!E5875,Lists!G:G,0))</f>
        <v>Error</v>
      </c>
      <c r="G5875" t="str">
        <f>INDEX(Lists!H:H,MATCH(Validation!E5875,Lists!G:G,0))</f>
        <v>Amount must be rounded to the nearest dollar.</v>
      </c>
      <c r="H5875" s="16" t="str">
        <f t="shared" ca="1" si="645"/>
        <v/>
      </c>
      <c r="I5875" s="16" t="str">
        <f t="shared" ca="1" si="646"/>
        <v/>
      </c>
      <c r="J5875" s="17" t="str">
        <f t="shared" ca="1" si="647"/>
        <v/>
      </c>
    </row>
    <row r="5876" spans="1:10" x14ac:dyDescent="0.25">
      <c r="A5876" t="s">
        <v>939</v>
      </c>
      <c r="B5876" t="str">
        <f>ADDRESS(ROW('Loan 1'!$B$27),COLUMN('Loan 1'!$B$27),4)</f>
        <v>B27</v>
      </c>
      <c r="C5876" t="str">
        <f>ADDRESS(ROW('Loan 1'!$D$27),COLUMN('Loan 1'!$D$27),4)</f>
        <v>D27</v>
      </c>
      <c r="D5876" t="b" cm="1">
        <f t="array" aca="1" ref="D5876" ca="1">IF(INDIRECT("'"&amp;A5876&amp;"'!"&amp;B5876)="",FALSE,IF(TRUNC(INDIRECT("'"&amp;A5876&amp;"'!"&amp;B5876))=INDIRECT("'"&amp;A5876&amp;"'!"&amp;B5876),FALSE,TRUE))</f>
        <v>0</v>
      </c>
      <c r="E5876" t="s">
        <v>436</v>
      </c>
      <c r="F5876" t="str">
        <f>INDEX(Lists!I:I,MATCH(Validation!E5876,Lists!G:G,0))</f>
        <v>Error</v>
      </c>
      <c r="G5876" t="str">
        <f>INDEX(Lists!H:H,MATCH(Validation!E5876,Lists!G:G,0))</f>
        <v>Amount must be rounded to the nearest dollar.</v>
      </c>
      <c r="H5876" s="16" t="str">
        <f t="shared" ca="1" si="645"/>
        <v/>
      </c>
      <c r="I5876" s="16" t="str">
        <f t="shared" ca="1" si="646"/>
        <v/>
      </c>
      <c r="J5876" s="17" t="str">
        <f t="shared" ca="1" si="647"/>
        <v/>
      </c>
    </row>
    <row r="5877" spans="1:10" x14ac:dyDescent="0.25">
      <c r="A5877" t="s">
        <v>940</v>
      </c>
      <c r="B5877" t="str">
        <f>ADDRESS(ROW('Loan 1'!$B$27),COLUMN('Loan 1'!$B$27),4)</f>
        <v>B27</v>
      </c>
      <c r="C5877" t="str">
        <f>ADDRESS(ROW('Loan 1'!$D$27),COLUMN('Loan 1'!$D$27),4)</f>
        <v>D27</v>
      </c>
      <c r="D5877" t="b" cm="1">
        <f t="array" aca="1" ref="D5877" ca="1">IF(INDIRECT("'"&amp;A5877&amp;"'!"&amp;B5877)="",FALSE,IF(TRUNC(INDIRECT("'"&amp;A5877&amp;"'!"&amp;B5877))=INDIRECT("'"&amp;A5877&amp;"'!"&amp;B5877),FALSE,TRUE))</f>
        <v>0</v>
      </c>
      <c r="E5877" t="s">
        <v>436</v>
      </c>
      <c r="F5877" t="str">
        <f>INDEX(Lists!I:I,MATCH(Validation!E5877,Lists!G:G,0))</f>
        <v>Error</v>
      </c>
      <c r="G5877" t="str">
        <f>INDEX(Lists!H:H,MATCH(Validation!E5877,Lists!G:G,0))</f>
        <v>Amount must be rounded to the nearest dollar.</v>
      </c>
      <c r="H5877" s="16" t="str">
        <f t="shared" ca="1" si="645"/>
        <v/>
      </c>
      <c r="I5877" s="16" t="str">
        <f t="shared" ca="1" si="646"/>
        <v/>
      </c>
      <c r="J5877" s="17" t="str">
        <f t="shared" ca="1" si="647"/>
        <v/>
      </c>
    </row>
    <row r="5878" spans="1:10" x14ac:dyDescent="0.25">
      <c r="A5878" t="s">
        <v>941</v>
      </c>
      <c r="B5878" t="str">
        <f>ADDRESS(ROW('Loan 1'!$B$27),COLUMN('Loan 1'!$B$27),4)</f>
        <v>B27</v>
      </c>
      <c r="C5878" t="str">
        <f>ADDRESS(ROW('Loan 1'!$D$27),COLUMN('Loan 1'!$D$27),4)</f>
        <v>D27</v>
      </c>
      <c r="D5878" t="b" cm="1">
        <f t="array" aca="1" ref="D5878" ca="1">IF(INDIRECT("'"&amp;A5878&amp;"'!"&amp;B5878)="",FALSE,IF(TRUNC(INDIRECT("'"&amp;A5878&amp;"'!"&amp;B5878))=INDIRECT("'"&amp;A5878&amp;"'!"&amp;B5878),FALSE,TRUE))</f>
        <v>0</v>
      </c>
      <c r="E5878" t="s">
        <v>436</v>
      </c>
      <c r="F5878" t="str">
        <f>INDEX(Lists!I:I,MATCH(Validation!E5878,Lists!G:G,0))</f>
        <v>Error</v>
      </c>
      <c r="G5878" t="str">
        <f>INDEX(Lists!H:H,MATCH(Validation!E5878,Lists!G:G,0))</f>
        <v>Amount must be rounded to the nearest dollar.</v>
      </c>
      <c r="H5878" s="16" t="str">
        <f t="shared" ca="1" si="645"/>
        <v/>
      </c>
      <c r="I5878" s="16" t="str">
        <f t="shared" ca="1" si="646"/>
        <v/>
      </c>
      <c r="J5878" s="17" t="str">
        <f t="shared" ca="1" si="647"/>
        <v/>
      </c>
    </row>
    <row r="5879" spans="1:10" x14ac:dyDescent="0.25">
      <c r="A5879" t="s">
        <v>942</v>
      </c>
      <c r="B5879" t="str">
        <f>ADDRESS(ROW('Loan 1'!$B$27),COLUMN('Loan 1'!$B$27),4)</f>
        <v>B27</v>
      </c>
      <c r="C5879" t="str">
        <f>ADDRESS(ROW('Loan 1'!$D$27),COLUMN('Loan 1'!$D$27),4)</f>
        <v>D27</v>
      </c>
      <c r="D5879" t="b" cm="1">
        <f t="array" aca="1" ref="D5879" ca="1">IF(INDIRECT("'"&amp;A5879&amp;"'!"&amp;B5879)="",FALSE,IF(TRUNC(INDIRECT("'"&amp;A5879&amp;"'!"&amp;B5879))=INDIRECT("'"&amp;A5879&amp;"'!"&amp;B5879),FALSE,TRUE))</f>
        <v>0</v>
      </c>
      <c r="E5879" t="s">
        <v>436</v>
      </c>
      <c r="F5879" t="str">
        <f>INDEX(Lists!I:I,MATCH(Validation!E5879,Lists!G:G,0))</f>
        <v>Error</v>
      </c>
      <c r="G5879" t="str">
        <f>INDEX(Lists!H:H,MATCH(Validation!E5879,Lists!G:G,0))</f>
        <v>Amount must be rounded to the nearest dollar.</v>
      </c>
      <c r="H5879" s="16" t="str">
        <f t="shared" ca="1" si="645"/>
        <v/>
      </c>
      <c r="I5879" s="16" t="str">
        <f t="shared" ca="1" si="646"/>
        <v/>
      </c>
      <c r="J5879" s="17" t="str">
        <f t="shared" ca="1" si="647"/>
        <v/>
      </c>
    </row>
    <row r="5880" spans="1:10" x14ac:dyDescent="0.25">
      <c r="A5880" t="s">
        <v>943</v>
      </c>
      <c r="B5880" t="str">
        <f>ADDRESS(ROW('Loan 1'!$B$27),COLUMN('Loan 1'!$B$27),4)</f>
        <v>B27</v>
      </c>
      <c r="C5880" t="str">
        <f>ADDRESS(ROW('Loan 1'!$D$27),COLUMN('Loan 1'!$D$27),4)</f>
        <v>D27</v>
      </c>
      <c r="D5880" t="b" cm="1">
        <f t="array" aca="1" ref="D5880" ca="1">IF(INDIRECT("'"&amp;A5880&amp;"'!"&amp;B5880)="",FALSE,IF(TRUNC(INDIRECT("'"&amp;A5880&amp;"'!"&amp;B5880))=INDIRECT("'"&amp;A5880&amp;"'!"&amp;B5880),FALSE,TRUE))</f>
        <v>0</v>
      </c>
      <c r="E5880" t="s">
        <v>436</v>
      </c>
      <c r="F5880" t="str">
        <f>INDEX(Lists!I:I,MATCH(Validation!E5880,Lists!G:G,0))</f>
        <v>Error</v>
      </c>
      <c r="G5880" t="str">
        <f>INDEX(Lists!H:H,MATCH(Validation!E5880,Lists!G:G,0))</f>
        <v>Amount must be rounded to the nearest dollar.</v>
      </c>
      <c r="H5880" s="16" t="str">
        <f t="shared" ca="1" si="645"/>
        <v/>
      </c>
      <c r="I5880" s="16" t="str">
        <f t="shared" ca="1" si="646"/>
        <v/>
      </c>
      <c r="J5880" s="17" t="str">
        <f t="shared" ca="1" si="647"/>
        <v/>
      </c>
    </row>
    <row r="5881" spans="1:10" x14ac:dyDescent="0.25">
      <c r="A5881" t="s">
        <v>944</v>
      </c>
      <c r="B5881" t="str">
        <f>ADDRESS(ROW('Loan 1'!$B$27),COLUMN('Loan 1'!$B$27),4)</f>
        <v>B27</v>
      </c>
      <c r="C5881" t="str">
        <f>ADDRESS(ROW('Loan 1'!$D$27),COLUMN('Loan 1'!$D$27),4)</f>
        <v>D27</v>
      </c>
      <c r="D5881" t="b" cm="1">
        <f t="array" aca="1" ref="D5881" ca="1">IF(INDIRECT("'"&amp;A5881&amp;"'!"&amp;B5881)="",FALSE,IF(TRUNC(INDIRECT("'"&amp;A5881&amp;"'!"&amp;B5881))=INDIRECT("'"&amp;A5881&amp;"'!"&amp;B5881),FALSE,TRUE))</f>
        <v>0</v>
      </c>
      <c r="E5881" t="s">
        <v>436</v>
      </c>
      <c r="F5881" t="str">
        <f>INDEX(Lists!I:I,MATCH(Validation!E5881,Lists!G:G,0))</f>
        <v>Error</v>
      </c>
      <c r="G5881" t="str">
        <f>INDEX(Lists!H:H,MATCH(Validation!E5881,Lists!G:G,0))</f>
        <v>Amount must be rounded to the nearest dollar.</v>
      </c>
      <c r="H5881" s="16" t="str">
        <f t="shared" ca="1" si="645"/>
        <v/>
      </c>
      <c r="I5881" s="16" t="str">
        <f t="shared" ca="1" si="646"/>
        <v/>
      </c>
      <c r="J5881" s="17" t="str">
        <f t="shared" ca="1" si="647"/>
        <v/>
      </c>
    </row>
    <row r="5882" spans="1:10" x14ac:dyDescent="0.25">
      <c r="A5882" t="s">
        <v>945</v>
      </c>
      <c r="B5882" t="str">
        <f>ADDRESS(ROW('Loan 1'!$B$27),COLUMN('Loan 1'!$B$27),4)</f>
        <v>B27</v>
      </c>
      <c r="C5882" t="str">
        <f>ADDRESS(ROW('Loan 1'!$D$27),COLUMN('Loan 1'!$D$27),4)</f>
        <v>D27</v>
      </c>
      <c r="D5882" t="b" cm="1">
        <f t="array" aca="1" ref="D5882" ca="1">IF(INDIRECT("'"&amp;A5882&amp;"'!"&amp;B5882)="",FALSE,IF(TRUNC(INDIRECT("'"&amp;A5882&amp;"'!"&amp;B5882))=INDIRECT("'"&amp;A5882&amp;"'!"&amp;B5882),FALSE,TRUE))</f>
        <v>0</v>
      </c>
      <c r="E5882" t="s">
        <v>436</v>
      </c>
      <c r="F5882" t="str">
        <f>INDEX(Lists!I:I,MATCH(Validation!E5882,Lists!G:G,0))</f>
        <v>Error</v>
      </c>
      <c r="G5882" t="str">
        <f>INDEX(Lists!H:H,MATCH(Validation!E5882,Lists!G:G,0))</f>
        <v>Amount must be rounded to the nearest dollar.</v>
      </c>
      <c r="H5882" s="16" t="str">
        <f t="shared" ca="1" si="645"/>
        <v/>
      </c>
      <c r="I5882" s="16" t="str">
        <f t="shared" ca="1" si="646"/>
        <v/>
      </c>
      <c r="J5882" s="17" t="str">
        <f t="shared" ca="1" si="647"/>
        <v/>
      </c>
    </row>
    <row r="5883" spans="1:10" x14ac:dyDescent="0.25">
      <c r="A5883" t="s">
        <v>205</v>
      </c>
      <c r="B5883" t="str">
        <f>ADDRESS(ROW('Loan 1'!$C$27),COLUMN('Loan 1'!$C$27),4)</f>
        <v>C27</v>
      </c>
      <c r="C5883" t="str">
        <f>ADDRESS(ROW('Loan 1'!$D$27),COLUMN('Loan 1'!$D$27),4)</f>
        <v>D27</v>
      </c>
      <c r="D5883" t="b" cm="1">
        <f t="array" aca="1" ref="D5883" ca="1">IF(INDIRECT("'"&amp;A5883&amp;"'!"&amp;B5883)="",FALSE,IF(NOT(ISNUMBER(INDIRECT("'"&amp;A5883&amp;"'!"&amp;B5883))),TRUE,FALSE))</f>
        <v>0</v>
      </c>
      <c r="E5883" t="s">
        <v>435</v>
      </c>
      <c r="F5883" t="str">
        <f>INDEX(Lists!I:I,MATCH(Validation!E5883,Lists!G:G,0))</f>
        <v>Error</v>
      </c>
      <c r="G5883" t="str">
        <f>INDEX(Lists!H:H,MATCH(Validation!E5883,Lists!G:G,0))</f>
        <v>Enter an amount only. Do not enter text or spaces.</v>
      </c>
      <c r="H5883" s="16" t="str">
        <f ca="1">IFERROR(IF(OR(NOT(D5883),F5883&lt;&gt;"Error"),"",A5883&amp;CELL("address",INDIRECT(B5883))),"")</f>
        <v/>
      </c>
      <c r="I5883" s="16" t="str">
        <f ca="1">IFERROR(IF(NOT(D5883),"",A5883&amp;CELL("address",INDIRECT(C5883))),"")</f>
        <v/>
      </c>
      <c r="J5883" s="17" t="str">
        <f ca="1">IFERROR(IF(NOT(D5883),"",A5883),"")</f>
        <v/>
      </c>
    </row>
    <row r="5884" spans="1:10" x14ac:dyDescent="0.25">
      <c r="A5884" t="s">
        <v>932</v>
      </c>
      <c r="B5884" t="str">
        <f>ADDRESS(ROW('Loan 1'!$C$27),COLUMN('Loan 1'!$C$27),4)</f>
        <v>C27</v>
      </c>
      <c r="C5884" t="str">
        <f>ADDRESS(ROW('Loan 1'!$D$27),COLUMN('Loan 1'!$D$27),4)</f>
        <v>D27</v>
      </c>
      <c r="D5884" t="b" cm="1">
        <f t="array" aca="1" ref="D5884" ca="1">IF(INDIRECT("'"&amp;A5884&amp;"'!"&amp;B5884)="",FALSE,IF(NOT(ISNUMBER(INDIRECT("'"&amp;A5884&amp;"'!"&amp;B5884))),TRUE,FALSE))</f>
        <v>0</v>
      </c>
      <c r="E5884" t="s">
        <v>435</v>
      </c>
      <c r="F5884" t="str">
        <f>INDEX(Lists!I:I,MATCH(Validation!E5884,Lists!G:G,0))</f>
        <v>Error</v>
      </c>
      <c r="G5884" t="str">
        <f>INDEX(Lists!H:H,MATCH(Validation!E5884,Lists!G:G,0))</f>
        <v>Enter an amount only. Do not enter text or spaces.</v>
      </c>
      <c r="H5884" s="16" t="str">
        <f t="shared" ref="H5884:H5897" ca="1" si="648">IFERROR(IF(OR(NOT(D5884),F5884&lt;&gt;"Error"),"",A5884&amp;CELL("address",INDIRECT(B5884))),"")</f>
        <v/>
      </c>
      <c r="I5884" s="16" t="str">
        <f t="shared" ref="I5884:I5897" ca="1" si="649">IFERROR(IF(NOT(D5884),"",A5884&amp;CELL("address",INDIRECT(C5884))),"")</f>
        <v/>
      </c>
      <c r="J5884" s="17" t="str">
        <f t="shared" ref="J5884:J5897" ca="1" si="650">IFERROR(IF(NOT(D5884),"",A5884),"")</f>
        <v/>
      </c>
    </row>
    <row r="5885" spans="1:10" x14ac:dyDescent="0.25">
      <c r="A5885" t="s">
        <v>933</v>
      </c>
      <c r="B5885" t="str">
        <f>ADDRESS(ROW('Loan 1'!$C$27),COLUMN('Loan 1'!$C$27),4)</f>
        <v>C27</v>
      </c>
      <c r="C5885" t="str">
        <f>ADDRESS(ROW('Loan 1'!$D$27),COLUMN('Loan 1'!$D$27),4)</f>
        <v>D27</v>
      </c>
      <c r="D5885" t="b" cm="1">
        <f t="array" aca="1" ref="D5885" ca="1">IF(INDIRECT("'"&amp;A5885&amp;"'!"&amp;B5885)="",FALSE,IF(NOT(ISNUMBER(INDIRECT("'"&amp;A5885&amp;"'!"&amp;B5885))),TRUE,FALSE))</f>
        <v>0</v>
      </c>
      <c r="E5885" t="s">
        <v>435</v>
      </c>
      <c r="F5885" t="str">
        <f>INDEX(Lists!I:I,MATCH(Validation!E5885,Lists!G:G,0))</f>
        <v>Error</v>
      </c>
      <c r="G5885" t="str">
        <f>INDEX(Lists!H:H,MATCH(Validation!E5885,Lists!G:G,0))</f>
        <v>Enter an amount only. Do not enter text or spaces.</v>
      </c>
      <c r="H5885" s="16" t="str">
        <f t="shared" ca="1" si="648"/>
        <v/>
      </c>
      <c r="I5885" s="16" t="str">
        <f t="shared" ca="1" si="649"/>
        <v/>
      </c>
      <c r="J5885" s="17" t="str">
        <f t="shared" ca="1" si="650"/>
        <v/>
      </c>
    </row>
    <row r="5886" spans="1:10" x14ac:dyDescent="0.25">
      <c r="A5886" t="s">
        <v>934</v>
      </c>
      <c r="B5886" t="str">
        <f>ADDRESS(ROW('Loan 1'!$C$27),COLUMN('Loan 1'!$C$27),4)</f>
        <v>C27</v>
      </c>
      <c r="C5886" t="str">
        <f>ADDRESS(ROW('Loan 1'!$D$27),COLUMN('Loan 1'!$D$27),4)</f>
        <v>D27</v>
      </c>
      <c r="D5886" t="b" cm="1">
        <f t="array" aca="1" ref="D5886" ca="1">IF(INDIRECT("'"&amp;A5886&amp;"'!"&amp;B5886)="",FALSE,IF(NOT(ISNUMBER(INDIRECT("'"&amp;A5886&amp;"'!"&amp;B5886))),TRUE,FALSE))</f>
        <v>0</v>
      </c>
      <c r="E5886" t="s">
        <v>435</v>
      </c>
      <c r="F5886" t="str">
        <f>INDEX(Lists!I:I,MATCH(Validation!E5886,Lists!G:G,0))</f>
        <v>Error</v>
      </c>
      <c r="G5886" t="str">
        <f>INDEX(Lists!H:H,MATCH(Validation!E5886,Lists!G:G,0))</f>
        <v>Enter an amount only. Do not enter text or spaces.</v>
      </c>
      <c r="H5886" s="16" t="str">
        <f t="shared" ca="1" si="648"/>
        <v/>
      </c>
      <c r="I5886" s="16" t="str">
        <f t="shared" ca="1" si="649"/>
        <v/>
      </c>
      <c r="J5886" s="17" t="str">
        <f t="shared" ca="1" si="650"/>
        <v/>
      </c>
    </row>
    <row r="5887" spans="1:10" x14ac:dyDescent="0.25">
      <c r="A5887" t="s">
        <v>935</v>
      </c>
      <c r="B5887" t="str">
        <f>ADDRESS(ROW('Loan 1'!$C$27),COLUMN('Loan 1'!$C$27),4)</f>
        <v>C27</v>
      </c>
      <c r="C5887" t="str">
        <f>ADDRESS(ROW('Loan 1'!$D$27),COLUMN('Loan 1'!$D$27),4)</f>
        <v>D27</v>
      </c>
      <c r="D5887" t="b" cm="1">
        <f t="array" aca="1" ref="D5887" ca="1">IF(INDIRECT("'"&amp;A5887&amp;"'!"&amp;B5887)="",FALSE,IF(NOT(ISNUMBER(INDIRECT("'"&amp;A5887&amp;"'!"&amp;B5887))),TRUE,FALSE))</f>
        <v>0</v>
      </c>
      <c r="E5887" t="s">
        <v>435</v>
      </c>
      <c r="F5887" t="str">
        <f>INDEX(Lists!I:I,MATCH(Validation!E5887,Lists!G:G,0))</f>
        <v>Error</v>
      </c>
      <c r="G5887" t="str">
        <f>INDEX(Lists!H:H,MATCH(Validation!E5887,Lists!G:G,0))</f>
        <v>Enter an amount only. Do not enter text or spaces.</v>
      </c>
      <c r="H5887" s="16" t="str">
        <f t="shared" ca="1" si="648"/>
        <v/>
      </c>
      <c r="I5887" s="16" t="str">
        <f t="shared" ca="1" si="649"/>
        <v/>
      </c>
      <c r="J5887" s="17" t="str">
        <f t="shared" ca="1" si="650"/>
        <v/>
      </c>
    </row>
    <row r="5888" spans="1:10" x14ac:dyDescent="0.25">
      <c r="A5888" t="s">
        <v>936</v>
      </c>
      <c r="B5888" t="str">
        <f>ADDRESS(ROW('Loan 1'!$C$27),COLUMN('Loan 1'!$C$27),4)</f>
        <v>C27</v>
      </c>
      <c r="C5888" t="str">
        <f>ADDRESS(ROW('Loan 1'!$D$27),COLUMN('Loan 1'!$D$27),4)</f>
        <v>D27</v>
      </c>
      <c r="D5888" t="b" cm="1">
        <f t="array" aca="1" ref="D5888" ca="1">IF(INDIRECT("'"&amp;A5888&amp;"'!"&amp;B5888)="",FALSE,IF(NOT(ISNUMBER(INDIRECT("'"&amp;A5888&amp;"'!"&amp;B5888))),TRUE,FALSE))</f>
        <v>0</v>
      </c>
      <c r="E5888" t="s">
        <v>435</v>
      </c>
      <c r="F5888" t="str">
        <f>INDEX(Lists!I:I,MATCH(Validation!E5888,Lists!G:G,0))</f>
        <v>Error</v>
      </c>
      <c r="G5888" t="str">
        <f>INDEX(Lists!H:H,MATCH(Validation!E5888,Lists!G:G,0))</f>
        <v>Enter an amount only. Do not enter text or spaces.</v>
      </c>
      <c r="H5888" s="16" t="str">
        <f t="shared" ca="1" si="648"/>
        <v/>
      </c>
      <c r="I5888" s="16" t="str">
        <f t="shared" ca="1" si="649"/>
        <v/>
      </c>
      <c r="J5888" s="17" t="str">
        <f t="shared" ca="1" si="650"/>
        <v/>
      </c>
    </row>
    <row r="5889" spans="1:10" x14ac:dyDescent="0.25">
      <c r="A5889" t="s">
        <v>937</v>
      </c>
      <c r="B5889" t="str">
        <f>ADDRESS(ROW('Loan 1'!$C$27),COLUMN('Loan 1'!$C$27),4)</f>
        <v>C27</v>
      </c>
      <c r="C5889" t="str">
        <f>ADDRESS(ROW('Loan 1'!$D$27),COLUMN('Loan 1'!$D$27),4)</f>
        <v>D27</v>
      </c>
      <c r="D5889" t="b" cm="1">
        <f t="array" aca="1" ref="D5889" ca="1">IF(INDIRECT("'"&amp;A5889&amp;"'!"&amp;B5889)="",FALSE,IF(NOT(ISNUMBER(INDIRECT("'"&amp;A5889&amp;"'!"&amp;B5889))),TRUE,FALSE))</f>
        <v>0</v>
      </c>
      <c r="E5889" t="s">
        <v>435</v>
      </c>
      <c r="F5889" t="str">
        <f>INDEX(Lists!I:I,MATCH(Validation!E5889,Lists!G:G,0))</f>
        <v>Error</v>
      </c>
      <c r="G5889" t="str">
        <f>INDEX(Lists!H:H,MATCH(Validation!E5889,Lists!G:G,0))</f>
        <v>Enter an amount only. Do not enter text or spaces.</v>
      </c>
      <c r="H5889" s="16" t="str">
        <f t="shared" ca="1" si="648"/>
        <v/>
      </c>
      <c r="I5889" s="16" t="str">
        <f t="shared" ca="1" si="649"/>
        <v/>
      </c>
      <c r="J5889" s="17" t="str">
        <f t="shared" ca="1" si="650"/>
        <v/>
      </c>
    </row>
    <row r="5890" spans="1:10" x14ac:dyDescent="0.25">
      <c r="A5890" t="s">
        <v>938</v>
      </c>
      <c r="B5890" t="str">
        <f>ADDRESS(ROW('Loan 1'!$C$27),COLUMN('Loan 1'!$C$27),4)</f>
        <v>C27</v>
      </c>
      <c r="C5890" t="str">
        <f>ADDRESS(ROW('Loan 1'!$D$27),COLUMN('Loan 1'!$D$27),4)</f>
        <v>D27</v>
      </c>
      <c r="D5890" t="b" cm="1">
        <f t="array" aca="1" ref="D5890" ca="1">IF(INDIRECT("'"&amp;A5890&amp;"'!"&amp;B5890)="",FALSE,IF(NOT(ISNUMBER(INDIRECT("'"&amp;A5890&amp;"'!"&amp;B5890))),TRUE,FALSE))</f>
        <v>0</v>
      </c>
      <c r="E5890" t="s">
        <v>435</v>
      </c>
      <c r="F5890" t="str">
        <f>INDEX(Lists!I:I,MATCH(Validation!E5890,Lists!G:G,0))</f>
        <v>Error</v>
      </c>
      <c r="G5890" t="str">
        <f>INDEX(Lists!H:H,MATCH(Validation!E5890,Lists!G:G,0))</f>
        <v>Enter an amount only. Do not enter text or spaces.</v>
      </c>
      <c r="H5890" s="16" t="str">
        <f t="shared" ca="1" si="648"/>
        <v/>
      </c>
      <c r="I5890" s="16" t="str">
        <f t="shared" ca="1" si="649"/>
        <v/>
      </c>
      <c r="J5890" s="17" t="str">
        <f t="shared" ca="1" si="650"/>
        <v/>
      </c>
    </row>
    <row r="5891" spans="1:10" x14ac:dyDescent="0.25">
      <c r="A5891" t="s">
        <v>939</v>
      </c>
      <c r="B5891" t="str">
        <f>ADDRESS(ROW('Loan 1'!$C$27),COLUMN('Loan 1'!$C$27),4)</f>
        <v>C27</v>
      </c>
      <c r="C5891" t="str">
        <f>ADDRESS(ROW('Loan 1'!$D$27),COLUMN('Loan 1'!$D$27),4)</f>
        <v>D27</v>
      </c>
      <c r="D5891" t="b" cm="1">
        <f t="array" aca="1" ref="D5891" ca="1">IF(INDIRECT("'"&amp;A5891&amp;"'!"&amp;B5891)="",FALSE,IF(NOT(ISNUMBER(INDIRECT("'"&amp;A5891&amp;"'!"&amp;B5891))),TRUE,FALSE))</f>
        <v>0</v>
      </c>
      <c r="E5891" t="s">
        <v>435</v>
      </c>
      <c r="F5891" t="str">
        <f>INDEX(Lists!I:I,MATCH(Validation!E5891,Lists!G:G,0))</f>
        <v>Error</v>
      </c>
      <c r="G5891" t="str">
        <f>INDEX(Lists!H:H,MATCH(Validation!E5891,Lists!G:G,0))</f>
        <v>Enter an amount only. Do not enter text or spaces.</v>
      </c>
      <c r="H5891" s="16" t="str">
        <f t="shared" ca="1" si="648"/>
        <v/>
      </c>
      <c r="I5891" s="16" t="str">
        <f t="shared" ca="1" si="649"/>
        <v/>
      </c>
      <c r="J5891" s="17" t="str">
        <f t="shared" ca="1" si="650"/>
        <v/>
      </c>
    </row>
    <row r="5892" spans="1:10" x14ac:dyDescent="0.25">
      <c r="A5892" t="s">
        <v>940</v>
      </c>
      <c r="B5892" t="str">
        <f>ADDRESS(ROW('Loan 1'!$C$27),COLUMN('Loan 1'!$C$27),4)</f>
        <v>C27</v>
      </c>
      <c r="C5892" t="str">
        <f>ADDRESS(ROW('Loan 1'!$D$27),COLUMN('Loan 1'!$D$27),4)</f>
        <v>D27</v>
      </c>
      <c r="D5892" t="b" cm="1">
        <f t="array" aca="1" ref="D5892" ca="1">IF(INDIRECT("'"&amp;A5892&amp;"'!"&amp;B5892)="",FALSE,IF(NOT(ISNUMBER(INDIRECT("'"&amp;A5892&amp;"'!"&amp;B5892))),TRUE,FALSE))</f>
        <v>0</v>
      </c>
      <c r="E5892" t="s">
        <v>435</v>
      </c>
      <c r="F5892" t="str">
        <f>INDEX(Lists!I:I,MATCH(Validation!E5892,Lists!G:G,0))</f>
        <v>Error</v>
      </c>
      <c r="G5892" t="str">
        <f>INDEX(Lists!H:H,MATCH(Validation!E5892,Lists!G:G,0))</f>
        <v>Enter an amount only. Do not enter text or spaces.</v>
      </c>
      <c r="H5892" s="16" t="str">
        <f t="shared" ca="1" si="648"/>
        <v/>
      </c>
      <c r="I5892" s="16" t="str">
        <f t="shared" ca="1" si="649"/>
        <v/>
      </c>
      <c r="J5892" s="17" t="str">
        <f t="shared" ca="1" si="650"/>
        <v/>
      </c>
    </row>
    <row r="5893" spans="1:10" x14ac:dyDescent="0.25">
      <c r="A5893" t="s">
        <v>941</v>
      </c>
      <c r="B5893" t="str">
        <f>ADDRESS(ROW('Loan 1'!$C$27),COLUMN('Loan 1'!$C$27),4)</f>
        <v>C27</v>
      </c>
      <c r="C5893" t="str">
        <f>ADDRESS(ROW('Loan 1'!$D$27),COLUMN('Loan 1'!$D$27),4)</f>
        <v>D27</v>
      </c>
      <c r="D5893" t="b" cm="1">
        <f t="array" aca="1" ref="D5893" ca="1">IF(INDIRECT("'"&amp;A5893&amp;"'!"&amp;B5893)="",FALSE,IF(NOT(ISNUMBER(INDIRECT("'"&amp;A5893&amp;"'!"&amp;B5893))),TRUE,FALSE))</f>
        <v>0</v>
      </c>
      <c r="E5893" t="s">
        <v>435</v>
      </c>
      <c r="F5893" t="str">
        <f>INDEX(Lists!I:I,MATCH(Validation!E5893,Lists!G:G,0))</f>
        <v>Error</v>
      </c>
      <c r="G5893" t="str">
        <f>INDEX(Lists!H:H,MATCH(Validation!E5893,Lists!G:G,0))</f>
        <v>Enter an amount only. Do not enter text or spaces.</v>
      </c>
      <c r="H5893" s="16" t="str">
        <f t="shared" ca="1" si="648"/>
        <v/>
      </c>
      <c r="I5893" s="16" t="str">
        <f t="shared" ca="1" si="649"/>
        <v/>
      </c>
      <c r="J5893" s="17" t="str">
        <f t="shared" ca="1" si="650"/>
        <v/>
      </c>
    </row>
    <row r="5894" spans="1:10" x14ac:dyDescent="0.25">
      <c r="A5894" t="s">
        <v>942</v>
      </c>
      <c r="B5894" t="str">
        <f>ADDRESS(ROW('Loan 1'!$C$27),COLUMN('Loan 1'!$C$27),4)</f>
        <v>C27</v>
      </c>
      <c r="C5894" t="str">
        <f>ADDRESS(ROW('Loan 1'!$D$27),COLUMN('Loan 1'!$D$27),4)</f>
        <v>D27</v>
      </c>
      <c r="D5894" t="b" cm="1">
        <f t="array" aca="1" ref="D5894" ca="1">IF(INDIRECT("'"&amp;A5894&amp;"'!"&amp;B5894)="",FALSE,IF(NOT(ISNUMBER(INDIRECT("'"&amp;A5894&amp;"'!"&amp;B5894))),TRUE,FALSE))</f>
        <v>0</v>
      </c>
      <c r="E5894" t="s">
        <v>435</v>
      </c>
      <c r="F5894" t="str">
        <f>INDEX(Lists!I:I,MATCH(Validation!E5894,Lists!G:G,0))</f>
        <v>Error</v>
      </c>
      <c r="G5894" t="str">
        <f>INDEX(Lists!H:H,MATCH(Validation!E5894,Lists!G:G,0))</f>
        <v>Enter an amount only. Do not enter text or spaces.</v>
      </c>
      <c r="H5894" s="16" t="str">
        <f t="shared" ca="1" si="648"/>
        <v/>
      </c>
      <c r="I5894" s="16" t="str">
        <f t="shared" ca="1" si="649"/>
        <v/>
      </c>
      <c r="J5894" s="17" t="str">
        <f t="shared" ca="1" si="650"/>
        <v/>
      </c>
    </row>
    <row r="5895" spans="1:10" x14ac:dyDescent="0.25">
      <c r="A5895" t="s">
        <v>943</v>
      </c>
      <c r="B5895" t="str">
        <f>ADDRESS(ROW('Loan 1'!$C$27),COLUMN('Loan 1'!$C$27),4)</f>
        <v>C27</v>
      </c>
      <c r="C5895" t="str">
        <f>ADDRESS(ROW('Loan 1'!$D$27),COLUMN('Loan 1'!$D$27),4)</f>
        <v>D27</v>
      </c>
      <c r="D5895" t="b" cm="1">
        <f t="array" aca="1" ref="D5895" ca="1">IF(INDIRECT("'"&amp;A5895&amp;"'!"&amp;B5895)="",FALSE,IF(NOT(ISNUMBER(INDIRECT("'"&amp;A5895&amp;"'!"&amp;B5895))),TRUE,FALSE))</f>
        <v>0</v>
      </c>
      <c r="E5895" t="s">
        <v>435</v>
      </c>
      <c r="F5895" t="str">
        <f>INDEX(Lists!I:I,MATCH(Validation!E5895,Lists!G:G,0))</f>
        <v>Error</v>
      </c>
      <c r="G5895" t="str">
        <f>INDEX(Lists!H:H,MATCH(Validation!E5895,Lists!G:G,0))</f>
        <v>Enter an amount only. Do not enter text or spaces.</v>
      </c>
      <c r="H5895" s="16" t="str">
        <f t="shared" ca="1" si="648"/>
        <v/>
      </c>
      <c r="I5895" s="16" t="str">
        <f t="shared" ca="1" si="649"/>
        <v/>
      </c>
      <c r="J5895" s="17" t="str">
        <f t="shared" ca="1" si="650"/>
        <v/>
      </c>
    </row>
    <row r="5896" spans="1:10" x14ac:dyDescent="0.25">
      <c r="A5896" t="s">
        <v>944</v>
      </c>
      <c r="B5896" t="str">
        <f>ADDRESS(ROW('Loan 1'!$C$27),COLUMN('Loan 1'!$C$27),4)</f>
        <v>C27</v>
      </c>
      <c r="C5896" t="str">
        <f>ADDRESS(ROW('Loan 1'!$D$27),COLUMN('Loan 1'!$D$27),4)</f>
        <v>D27</v>
      </c>
      <c r="D5896" t="b" cm="1">
        <f t="array" aca="1" ref="D5896" ca="1">IF(INDIRECT("'"&amp;A5896&amp;"'!"&amp;B5896)="",FALSE,IF(NOT(ISNUMBER(INDIRECT("'"&amp;A5896&amp;"'!"&amp;B5896))),TRUE,FALSE))</f>
        <v>0</v>
      </c>
      <c r="E5896" t="s">
        <v>435</v>
      </c>
      <c r="F5896" t="str">
        <f>INDEX(Lists!I:I,MATCH(Validation!E5896,Lists!G:G,0))</f>
        <v>Error</v>
      </c>
      <c r="G5896" t="str">
        <f>INDEX(Lists!H:H,MATCH(Validation!E5896,Lists!G:G,0))</f>
        <v>Enter an amount only. Do not enter text or spaces.</v>
      </c>
      <c r="H5896" s="16" t="str">
        <f t="shared" ca="1" si="648"/>
        <v/>
      </c>
      <c r="I5896" s="16" t="str">
        <f t="shared" ca="1" si="649"/>
        <v/>
      </c>
      <c r="J5896" s="17" t="str">
        <f t="shared" ca="1" si="650"/>
        <v/>
      </c>
    </row>
    <row r="5897" spans="1:10" x14ac:dyDescent="0.25">
      <c r="A5897" t="s">
        <v>945</v>
      </c>
      <c r="B5897" t="str">
        <f>ADDRESS(ROW('Loan 1'!$C$27),COLUMN('Loan 1'!$C$27),4)</f>
        <v>C27</v>
      </c>
      <c r="C5897" t="str">
        <f>ADDRESS(ROW('Loan 1'!$D$27),COLUMN('Loan 1'!$D$27),4)</f>
        <v>D27</v>
      </c>
      <c r="D5897" t="b" cm="1">
        <f t="array" aca="1" ref="D5897" ca="1">IF(INDIRECT("'"&amp;A5897&amp;"'!"&amp;B5897)="",FALSE,IF(NOT(ISNUMBER(INDIRECT("'"&amp;A5897&amp;"'!"&amp;B5897))),TRUE,FALSE))</f>
        <v>0</v>
      </c>
      <c r="E5897" t="s">
        <v>435</v>
      </c>
      <c r="F5897" t="str">
        <f>INDEX(Lists!I:I,MATCH(Validation!E5897,Lists!G:G,0))</f>
        <v>Error</v>
      </c>
      <c r="G5897" t="str">
        <f>INDEX(Lists!H:H,MATCH(Validation!E5897,Lists!G:G,0))</f>
        <v>Enter an amount only. Do not enter text or spaces.</v>
      </c>
      <c r="H5897" s="16" t="str">
        <f t="shared" ca="1" si="648"/>
        <v/>
      </c>
      <c r="I5897" s="16" t="str">
        <f t="shared" ca="1" si="649"/>
        <v/>
      </c>
      <c r="J5897" s="17" t="str">
        <f t="shared" ca="1" si="650"/>
        <v/>
      </c>
    </row>
    <row r="5898" spans="1:10" x14ac:dyDescent="0.25">
      <c r="A5898" t="s">
        <v>205</v>
      </c>
      <c r="B5898" t="str">
        <f>ADDRESS(ROW('Loan 1'!$C$27),COLUMN('Loan 1'!$C$27),4)</f>
        <v>C27</v>
      </c>
      <c r="C5898" t="str">
        <f>ADDRESS(ROW('Loan 1'!$D$27),COLUMN('Loan 1'!$D$27),4)</f>
        <v>D27</v>
      </c>
      <c r="D5898" t="b" cm="1">
        <f t="array" aca="1" ref="D5898" ca="1">IF(INDIRECT("'"&amp;A5898&amp;"'!"&amp;B5898)="",FALSE,IF(INDIRECT("'"&amp;A5898&amp;"'!"&amp;B5898)&lt;0,TRUE,FALSE))</f>
        <v>0</v>
      </c>
      <c r="E5898" t="s">
        <v>434</v>
      </c>
      <c r="F5898" t="str">
        <f>INDEX(Lists!I:I,MATCH(Validation!E5898,Lists!G:G,0))</f>
        <v>Error</v>
      </c>
      <c r="G5898" t="str">
        <f>INDEX(Lists!H:H,MATCH(Validation!E5898,Lists!G:G,0))</f>
        <v>Amount may not be negative. Enter an amount greater than or equal to zero.</v>
      </c>
      <c r="H5898" s="16" t="str">
        <f ca="1">IFERROR(IF(OR(NOT(D5898),F5898&lt;&gt;"Error"),"",A5898&amp;CELL("address",INDIRECT(B5898))),"")</f>
        <v/>
      </c>
      <c r="I5898" s="16" t="str">
        <f ca="1">IFERROR(IF(NOT(D5898),"",A5898&amp;CELL("address",INDIRECT(C5898))),"")</f>
        <v/>
      </c>
      <c r="J5898" s="17" t="str">
        <f ca="1">IFERROR(IF(NOT(D5898),"",A5898),"")</f>
        <v/>
      </c>
    </row>
    <row r="5899" spans="1:10" x14ac:dyDescent="0.25">
      <c r="A5899" t="s">
        <v>932</v>
      </c>
      <c r="B5899" t="str">
        <f>ADDRESS(ROW('Loan 1'!$C$27),COLUMN('Loan 1'!$C$27),4)</f>
        <v>C27</v>
      </c>
      <c r="C5899" t="str">
        <f>ADDRESS(ROW('Loan 1'!$D$27),COLUMN('Loan 1'!$D$27),4)</f>
        <v>D27</v>
      </c>
      <c r="D5899" t="b" cm="1">
        <f t="array" aca="1" ref="D5899" ca="1">IF(INDIRECT("'"&amp;A5899&amp;"'!"&amp;B5899)="",FALSE,IF(INDIRECT("'"&amp;A5899&amp;"'!"&amp;B5899)&lt;0,TRUE,FALSE))</f>
        <v>0</v>
      </c>
      <c r="E5899" t="s">
        <v>434</v>
      </c>
      <c r="F5899" t="str">
        <f>INDEX(Lists!I:I,MATCH(Validation!E5899,Lists!G:G,0))</f>
        <v>Error</v>
      </c>
      <c r="G5899" t="str">
        <f>INDEX(Lists!H:H,MATCH(Validation!E5899,Lists!G:G,0))</f>
        <v>Amount may not be negative. Enter an amount greater than or equal to zero.</v>
      </c>
      <c r="H5899" s="16" t="str">
        <f t="shared" ref="H5899:H5927" ca="1" si="651">IFERROR(IF(OR(NOT(D5899),F5899&lt;&gt;"Error"),"",A5899&amp;CELL("address",INDIRECT(B5899))),"")</f>
        <v/>
      </c>
      <c r="I5899" s="16" t="str">
        <f t="shared" ref="I5899:I5927" ca="1" si="652">IFERROR(IF(NOT(D5899),"",A5899&amp;CELL("address",INDIRECT(C5899))),"")</f>
        <v/>
      </c>
      <c r="J5899" s="17" t="str">
        <f t="shared" ref="J5899:J5927" ca="1" si="653">IFERROR(IF(NOT(D5899),"",A5899),"")</f>
        <v/>
      </c>
    </row>
    <row r="5900" spans="1:10" x14ac:dyDescent="0.25">
      <c r="A5900" t="s">
        <v>933</v>
      </c>
      <c r="B5900" t="str">
        <f>ADDRESS(ROW('Loan 1'!$C$27),COLUMN('Loan 1'!$C$27),4)</f>
        <v>C27</v>
      </c>
      <c r="C5900" t="str">
        <f>ADDRESS(ROW('Loan 1'!$D$27),COLUMN('Loan 1'!$D$27),4)</f>
        <v>D27</v>
      </c>
      <c r="D5900" t="b" cm="1">
        <f t="array" aca="1" ref="D5900" ca="1">IF(INDIRECT("'"&amp;A5900&amp;"'!"&amp;B5900)="",FALSE,IF(INDIRECT("'"&amp;A5900&amp;"'!"&amp;B5900)&lt;0,TRUE,FALSE))</f>
        <v>0</v>
      </c>
      <c r="E5900" t="s">
        <v>434</v>
      </c>
      <c r="F5900" t="str">
        <f>INDEX(Lists!I:I,MATCH(Validation!E5900,Lists!G:G,0))</f>
        <v>Error</v>
      </c>
      <c r="G5900" t="str">
        <f>INDEX(Lists!H:H,MATCH(Validation!E5900,Lists!G:G,0))</f>
        <v>Amount may not be negative. Enter an amount greater than or equal to zero.</v>
      </c>
      <c r="H5900" s="16" t="str">
        <f t="shared" ca="1" si="651"/>
        <v/>
      </c>
      <c r="I5900" s="16" t="str">
        <f t="shared" ca="1" si="652"/>
        <v/>
      </c>
      <c r="J5900" s="17" t="str">
        <f t="shared" ca="1" si="653"/>
        <v/>
      </c>
    </row>
    <row r="5901" spans="1:10" x14ac:dyDescent="0.25">
      <c r="A5901" t="s">
        <v>934</v>
      </c>
      <c r="B5901" t="str">
        <f>ADDRESS(ROW('Loan 1'!$C$27),COLUMN('Loan 1'!$C$27),4)</f>
        <v>C27</v>
      </c>
      <c r="C5901" t="str">
        <f>ADDRESS(ROW('Loan 1'!$D$27),COLUMN('Loan 1'!$D$27),4)</f>
        <v>D27</v>
      </c>
      <c r="D5901" t="b" cm="1">
        <f t="array" aca="1" ref="D5901" ca="1">IF(INDIRECT("'"&amp;A5901&amp;"'!"&amp;B5901)="",FALSE,IF(INDIRECT("'"&amp;A5901&amp;"'!"&amp;B5901)&lt;0,TRUE,FALSE))</f>
        <v>0</v>
      </c>
      <c r="E5901" t="s">
        <v>434</v>
      </c>
      <c r="F5901" t="str">
        <f>INDEX(Lists!I:I,MATCH(Validation!E5901,Lists!G:G,0))</f>
        <v>Error</v>
      </c>
      <c r="G5901" t="str">
        <f>INDEX(Lists!H:H,MATCH(Validation!E5901,Lists!G:G,0))</f>
        <v>Amount may not be negative. Enter an amount greater than or equal to zero.</v>
      </c>
      <c r="H5901" s="16" t="str">
        <f t="shared" ca="1" si="651"/>
        <v/>
      </c>
      <c r="I5901" s="16" t="str">
        <f t="shared" ca="1" si="652"/>
        <v/>
      </c>
      <c r="J5901" s="17" t="str">
        <f t="shared" ca="1" si="653"/>
        <v/>
      </c>
    </row>
    <row r="5902" spans="1:10" x14ac:dyDescent="0.25">
      <c r="A5902" t="s">
        <v>935</v>
      </c>
      <c r="B5902" t="str">
        <f>ADDRESS(ROW('Loan 1'!$C$27),COLUMN('Loan 1'!$C$27),4)</f>
        <v>C27</v>
      </c>
      <c r="C5902" t="str">
        <f>ADDRESS(ROW('Loan 1'!$D$27),COLUMN('Loan 1'!$D$27),4)</f>
        <v>D27</v>
      </c>
      <c r="D5902" t="b" cm="1">
        <f t="array" aca="1" ref="D5902" ca="1">IF(INDIRECT("'"&amp;A5902&amp;"'!"&amp;B5902)="",FALSE,IF(INDIRECT("'"&amp;A5902&amp;"'!"&amp;B5902)&lt;0,TRUE,FALSE))</f>
        <v>0</v>
      </c>
      <c r="E5902" t="s">
        <v>434</v>
      </c>
      <c r="F5902" t="str">
        <f>INDEX(Lists!I:I,MATCH(Validation!E5902,Lists!G:G,0))</f>
        <v>Error</v>
      </c>
      <c r="G5902" t="str">
        <f>INDEX(Lists!H:H,MATCH(Validation!E5902,Lists!G:G,0))</f>
        <v>Amount may not be negative. Enter an amount greater than or equal to zero.</v>
      </c>
      <c r="H5902" s="16" t="str">
        <f t="shared" ca="1" si="651"/>
        <v/>
      </c>
      <c r="I5902" s="16" t="str">
        <f t="shared" ca="1" si="652"/>
        <v/>
      </c>
      <c r="J5902" s="17" t="str">
        <f t="shared" ca="1" si="653"/>
        <v/>
      </c>
    </row>
    <row r="5903" spans="1:10" x14ac:dyDescent="0.25">
      <c r="A5903" t="s">
        <v>936</v>
      </c>
      <c r="B5903" t="str">
        <f>ADDRESS(ROW('Loan 1'!$C$27),COLUMN('Loan 1'!$C$27),4)</f>
        <v>C27</v>
      </c>
      <c r="C5903" t="str">
        <f>ADDRESS(ROW('Loan 1'!$D$27),COLUMN('Loan 1'!$D$27),4)</f>
        <v>D27</v>
      </c>
      <c r="D5903" t="b" cm="1">
        <f t="array" aca="1" ref="D5903" ca="1">IF(INDIRECT("'"&amp;A5903&amp;"'!"&amp;B5903)="",FALSE,IF(INDIRECT("'"&amp;A5903&amp;"'!"&amp;B5903)&lt;0,TRUE,FALSE))</f>
        <v>0</v>
      </c>
      <c r="E5903" t="s">
        <v>434</v>
      </c>
      <c r="F5903" t="str">
        <f>INDEX(Lists!I:I,MATCH(Validation!E5903,Lists!G:G,0))</f>
        <v>Error</v>
      </c>
      <c r="G5903" t="str">
        <f>INDEX(Lists!H:H,MATCH(Validation!E5903,Lists!G:G,0))</f>
        <v>Amount may not be negative. Enter an amount greater than or equal to zero.</v>
      </c>
      <c r="H5903" s="16" t="str">
        <f t="shared" ca="1" si="651"/>
        <v/>
      </c>
      <c r="I5903" s="16" t="str">
        <f t="shared" ca="1" si="652"/>
        <v/>
      </c>
      <c r="J5903" s="17" t="str">
        <f t="shared" ca="1" si="653"/>
        <v/>
      </c>
    </row>
    <row r="5904" spans="1:10" x14ac:dyDescent="0.25">
      <c r="A5904" t="s">
        <v>937</v>
      </c>
      <c r="B5904" t="str">
        <f>ADDRESS(ROW('Loan 1'!$C$27),COLUMN('Loan 1'!$C$27),4)</f>
        <v>C27</v>
      </c>
      <c r="C5904" t="str">
        <f>ADDRESS(ROW('Loan 1'!$D$27),COLUMN('Loan 1'!$D$27),4)</f>
        <v>D27</v>
      </c>
      <c r="D5904" t="b" cm="1">
        <f t="array" aca="1" ref="D5904" ca="1">IF(INDIRECT("'"&amp;A5904&amp;"'!"&amp;B5904)="",FALSE,IF(INDIRECT("'"&amp;A5904&amp;"'!"&amp;B5904)&lt;0,TRUE,FALSE))</f>
        <v>0</v>
      </c>
      <c r="E5904" t="s">
        <v>434</v>
      </c>
      <c r="F5904" t="str">
        <f>INDEX(Lists!I:I,MATCH(Validation!E5904,Lists!G:G,0))</f>
        <v>Error</v>
      </c>
      <c r="G5904" t="str">
        <f>INDEX(Lists!H:H,MATCH(Validation!E5904,Lists!G:G,0))</f>
        <v>Amount may not be negative. Enter an amount greater than or equal to zero.</v>
      </c>
      <c r="H5904" s="16" t="str">
        <f t="shared" ca="1" si="651"/>
        <v/>
      </c>
      <c r="I5904" s="16" t="str">
        <f t="shared" ca="1" si="652"/>
        <v/>
      </c>
      <c r="J5904" s="17" t="str">
        <f t="shared" ca="1" si="653"/>
        <v/>
      </c>
    </row>
    <row r="5905" spans="1:10" x14ac:dyDescent="0.25">
      <c r="A5905" t="s">
        <v>938</v>
      </c>
      <c r="B5905" t="str">
        <f>ADDRESS(ROW('Loan 1'!$C$27),COLUMN('Loan 1'!$C$27),4)</f>
        <v>C27</v>
      </c>
      <c r="C5905" t="str">
        <f>ADDRESS(ROW('Loan 1'!$D$27),COLUMN('Loan 1'!$D$27),4)</f>
        <v>D27</v>
      </c>
      <c r="D5905" t="b" cm="1">
        <f t="array" aca="1" ref="D5905" ca="1">IF(INDIRECT("'"&amp;A5905&amp;"'!"&amp;B5905)="",FALSE,IF(INDIRECT("'"&amp;A5905&amp;"'!"&amp;B5905)&lt;0,TRUE,FALSE))</f>
        <v>0</v>
      </c>
      <c r="E5905" t="s">
        <v>434</v>
      </c>
      <c r="F5905" t="str">
        <f>INDEX(Lists!I:I,MATCH(Validation!E5905,Lists!G:G,0))</f>
        <v>Error</v>
      </c>
      <c r="G5905" t="str">
        <f>INDEX(Lists!H:H,MATCH(Validation!E5905,Lists!G:G,0))</f>
        <v>Amount may not be negative. Enter an amount greater than or equal to zero.</v>
      </c>
      <c r="H5905" s="16" t="str">
        <f t="shared" ca="1" si="651"/>
        <v/>
      </c>
      <c r="I5905" s="16" t="str">
        <f t="shared" ca="1" si="652"/>
        <v/>
      </c>
      <c r="J5905" s="17" t="str">
        <f t="shared" ca="1" si="653"/>
        <v/>
      </c>
    </row>
    <row r="5906" spans="1:10" x14ac:dyDescent="0.25">
      <c r="A5906" t="s">
        <v>939</v>
      </c>
      <c r="B5906" t="str">
        <f>ADDRESS(ROW('Loan 1'!$C$27),COLUMN('Loan 1'!$C$27),4)</f>
        <v>C27</v>
      </c>
      <c r="C5906" t="str">
        <f>ADDRESS(ROW('Loan 1'!$D$27),COLUMN('Loan 1'!$D$27),4)</f>
        <v>D27</v>
      </c>
      <c r="D5906" t="b" cm="1">
        <f t="array" aca="1" ref="D5906" ca="1">IF(INDIRECT("'"&amp;A5906&amp;"'!"&amp;B5906)="",FALSE,IF(INDIRECT("'"&amp;A5906&amp;"'!"&amp;B5906)&lt;0,TRUE,FALSE))</f>
        <v>0</v>
      </c>
      <c r="E5906" t="s">
        <v>434</v>
      </c>
      <c r="F5906" t="str">
        <f>INDEX(Lists!I:I,MATCH(Validation!E5906,Lists!G:G,0))</f>
        <v>Error</v>
      </c>
      <c r="G5906" t="str">
        <f>INDEX(Lists!H:H,MATCH(Validation!E5906,Lists!G:G,0))</f>
        <v>Amount may not be negative. Enter an amount greater than or equal to zero.</v>
      </c>
      <c r="H5906" s="16" t="str">
        <f t="shared" ca="1" si="651"/>
        <v/>
      </c>
      <c r="I5906" s="16" t="str">
        <f t="shared" ca="1" si="652"/>
        <v/>
      </c>
      <c r="J5906" s="17" t="str">
        <f t="shared" ca="1" si="653"/>
        <v/>
      </c>
    </row>
    <row r="5907" spans="1:10" x14ac:dyDescent="0.25">
      <c r="A5907" t="s">
        <v>940</v>
      </c>
      <c r="B5907" t="str">
        <f>ADDRESS(ROW('Loan 1'!$C$27),COLUMN('Loan 1'!$C$27),4)</f>
        <v>C27</v>
      </c>
      <c r="C5907" t="str">
        <f>ADDRESS(ROW('Loan 1'!$D$27),COLUMN('Loan 1'!$D$27),4)</f>
        <v>D27</v>
      </c>
      <c r="D5907" t="b" cm="1">
        <f t="array" aca="1" ref="D5907" ca="1">IF(INDIRECT("'"&amp;A5907&amp;"'!"&amp;B5907)="",FALSE,IF(INDIRECT("'"&amp;A5907&amp;"'!"&amp;B5907)&lt;0,TRUE,FALSE))</f>
        <v>0</v>
      </c>
      <c r="E5907" t="s">
        <v>434</v>
      </c>
      <c r="F5907" t="str">
        <f>INDEX(Lists!I:I,MATCH(Validation!E5907,Lists!G:G,0))</f>
        <v>Error</v>
      </c>
      <c r="G5907" t="str">
        <f>INDEX(Lists!H:H,MATCH(Validation!E5907,Lists!G:G,0))</f>
        <v>Amount may not be negative. Enter an amount greater than or equal to zero.</v>
      </c>
      <c r="H5907" s="16" t="str">
        <f t="shared" ca="1" si="651"/>
        <v/>
      </c>
      <c r="I5907" s="16" t="str">
        <f t="shared" ca="1" si="652"/>
        <v/>
      </c>
      <c r="J5907" s="17" t="str">
        <f t="shared" ca="1" si="653"/>
        <v/>
      </c>
    </row>
    <row r="5908" spans="1:10" x14ac:dyDescent="0.25">
      <c r="A5908" t="s">
        <v>941</v>
      </c>
      <c r="B5908" t="str">
        <f>ADDRESS(ROW('Loan 1'!$C$27),COLUMN('Loan 1'!$C$27),4)</f>
        <v>C27</v>
      </c>
      <c r="C5908" t="str">
        <f>ADDRESS(ROW('Loan 1'!$D$27),COLUMN('Loan 1'!$D$27),4)</f>
        <v>D27</v>
      </c>
      <c r="D5908" t="b" cm="1">
        <f t="array" aca="1" ref="D5908" ca="1">IF(INDIRECT("'"&amp;A5908&amp;"'!"&amp;B5908)="",FALSE,IF(INDIRECT("'"&amp;A5908&amp;"'!"&amp;B5908)&lt;0,TRUE,FALSE))</f>
        <v>0</v>
      </c>
      <c r="E5908" t="s">
        <v>434</v>
      </c>
      <c r="F5908" t="str">
        <f>INDEX(Lists!I:I,MATCH(Validation!E5908,Lists!G:G,0))</f>
        <v>Error</v>
      </c>
      <c r="G5908" t="str">
        <f>INDEX(Lists!H:H,MATCH(Validation!E5908,Lists!G:G,0))</f>
        <v>Amount may not be negative. Enter an amount greater than or equal to zero.</v>
      </c>
      <c r="H5908" s="16" t="str">
        <f t="shared" ca="1" si="651"/>
        <v/>
      </c>
      <c r="I5908" s="16" t="str">
        <f t="shared" ca="1" si="652"/>
        <v/>
      </c>
      <c r="J5908" s="17" t="str">
        <f t="shared" ca="1" si="653"/>
        <v/>
      </c>
    </row>
    <row r="5909" spans="1:10" x14ac:dyDescent="0.25">
      <c r="A5909" t="s">
        <v>942</v>
      </c>
      <c r="B5909" t="str">
        <f>ADDRESS(ROW('Loan 1'!$C$27),COLUMN('Loan 1'!$C$27),4)</f>
        <v>C27</v>
      </c>
      <c r="C5909" t="str">
        <f>ADDRESS(ROW('Loan 1'!$D$27),COLUMN('Loan 1'!$D$27),4)</f>
        <v>D27</v>
      </c>
      <c r="D5909" t="b" cm="1">
        <f t="array" aca="1" ref="D5909" ca="1">IF(INDIRECT("'"&amp;A5909&amp;"'!"&amp;B5909)="",FALSE,IF(INDIRECT("'"&amp;A5909&amp;"'!"&amp;B5909)&lt;0,TRUE,FALSE))</f>
        <v>0</v>
      </c>
      <c r="E5909" t="s">
        <v>434</v>
      </c>
      <c r="F5909" t="str">
        <f>INDEX(Lists!I:I,MATCH(Validation!E5909,Lists!G:G,0))</f>
        <v>Error</v>
      </c>
      <c r="G5909" t="str">
        <f>INDEX(Lists!H:H,MATCH(Validation!E5909,Lists!G:G,0))</f>
        <v>Amount may not be negative. Enter an amount greater than or equal to zero.</v>
      </c>
      <c r="H5909" s="16" t="str">
        <f t="shared" ca="1" si="651"/>
        <v/>
      </c>
      <c r="I5909" s="16" t="str">
        <f t="shared" ca="1" si="652"/>
        <v/>
      </c>
      <c r="J5909" s="17" t="str">
        <f t="shared" ca="1" si="653"/>
        <v/>
      </c>
    </row>
    <row r="5910" spans="1:10" x14ac:dyDescent="0.25">
      <c r="A5910" t="s">
        <v>943</v>
      </c>
      <c r="B5910" t="str">
        <f>ADDRESS(ROW('Loan 1'!$C$27),COLUMN('Loan 1'!$C$27),4)</f>
        <v>C27</v>
      </c>
      <c r="C5910" t="str">
        <f>ADDRESS(ROW('Loan 1'!$D$27),COLUMN('Loan 1'!$D$27),4)</f>
        <v>D27</v>
      </c>
      <c r="D5910" t="b" cm="1">
        <f t="array" aca="1" ref="D5910" ca="1">IF(INDIRECT("'"&amp;A5910&amp;"'!"&amp;B5910)="",FALSE,IF(INDIRECT("'"&amp;A5910&amp;"'!"&amp;B5910)&lt;0,TRUE,FALSE))</f>
        <v>0</v>
      </c>
      <c r="E5910" t="s">
        <v>434</v>
      </c>
      <c r="F5910" t="str">
        <f>INDEX(Lists!I:I,MATCH(Validation!E5910,Lists!G:G,0))</f>
        <v>Error</v>
      </c>
      <c r="G5910" t="str">
        <f>INDEX(Lists!H:H,MATCH(Validation!E5910,Lists!G:G,0))</f>
        <v>Amount may not be negative. Enter an amount greater than or equal to zero.</v>
      </c>
      <c r="H5910" s="16" t="str">
        <f t="shared" ca="1" si="651"/>
        <v/>
      </c>
      <c r="I5910" s="16" t="str">
        <f t="shared" ca="1" si="652"/>
        <v/>
      </c>
      <c r="J5910" s="17" t="str">
        <f t="shared" ca="1" si="653"/>
        <v/>
      </c>
    </row>
    <row r="5911" spans="1:10" x14ac:dyDescent="0.25">
      <c r="A5911" t="s">
        <v>944</v>
      </c>
      <c r="B5911" t="str">
        <f>ADDRESS(ROW('Loan 1'!$C$27),COLUMN('Loan 1'!$C$27),4)</f>
        <v>C27</v>
      </c>
      <c r="C5911" t="str">
        <f>ADDRESS(ROW('Loan 1'!$D$27),COLUMN('Loan 1'!$D$27),4)</f>
        <v>D27</v>
      </c>
      <c r="D5911" t="b" cm="1">
        <f t="array" aca="1" ref="D5911" ca="1">IF(INDIRECT("'"&amp;A5911&amp;"'!"&amp;B5911)="",FALSE,IF(INDIRECT("'"&amp;A5911&amp;"'!"&amp;B5911)&lt;0,TRUE,FALSE))</f>
        <v>0</v>
      </c>
      <c r="E5911" t="s">
        <v>434</v>
      </c>
      <c r="F5911" t="str">
        <f>INDEX(Lists!I:I,MATCH(Validation!E5911,Lists!G:G,0))</f>
        <v>Error</v>
      </c>
      <c r="G5911" t="str">
        <f>INDEX(Lists!H:H,MATCH(Validation!E5911,Lists!G:G,0))</f>
        <v>Amount may not be negative. Enter an amount greater than or equal to zero.</v>
      </c>
      <c r="H5911" s="16" t="str">
        <f t="shared" ca="1" si="651"/>
        <v/>
      </c>
      <c r="I5911" s="16" t="str">
        <f t="shared" ca="1" si="652"/>
        <v/>
      </c>
      <c r="J5911" s="17" t="str">
        <f t="shared" ca="1" si="653"/>
        <v/>
      </c>
    </row>
    <row r="5912" spans="1:10" x14ac:dyDescent="0.25">
      <c r="A5912" t="s">
        <v>945</v>
      </c>
      <c r="B5912" t="str">
        <f>ADDRESS(ROW('Loan 1'!$C$27),COLUMN('Loan 1'!$C$27),4)</f>
        <v>C27</v>
      </c>
      <c r="C5912" t="str">
        <f>ADDRESS(ROW('Loan 1'!$D$27),COLUMN('Loan 1'!$D$27),4)</f>
        <v>D27</v>
      </c>
      <c r="D5912" t="b" cm="1">
        <f t="array" aca="1" ref="D5912" ca="1">IF(INDIRECT("'"&amp;A5912&amp;"'!"&amp;B5912)="",FALSE,IF(INDIRECT("'"&amp;A5912&amp;"'!"&amp;B5912)&lt;0,TRUE,FALSE))</f>
        <v>0</v>
      </c>
      <c r="E5912" t="s">
        <v>434</v>
      </c>
      <c r="F5912" t="str">
        <f>INDEX(Lists!I:I,MATCH(Validation!E5912,Lists!G:G,0))</f>
        <v>Error</v>
      </c>
      <c r="G5912" t="str">
        <f>INDEX(Lists!H:H,MATCH(Validation!E5912,Lists!G:G,0))</f>
        <v>Amount may not be negative. Enter an amount greater than or equal to zero.</v>
      </c>
      <c r="H5912" s="16" t="str">
        <f t="shared" ca="1" si="651"/>
        <v/>
      </c>
      <c r="I5912" s="16" t="str">
        <f t="shared" ca="1" si="652"/>
        <v/>
      </c>
      <c r="J5912" s="17" t="str">
        <f t="shared" ca="1" si="653"/>
        <v/>
      </c>
    </row>
    <row r="5913" spans="1:10" x14ac:dyDescent="0.25">
      <c r="A5913" t="s">
        <v>205</v>
      </c>
      <c r="B5913" t="str">
        <f>ADDRESS(ROW('Loan 1'!$C$27),COLUMN('Loan 1'!$C$27),4)</f>
        <v>C27</v>
      </c>
      <c r="C5913" t="str">
        <f>ADDRESS(ROW('Loan 1'!$D$27),COLUMN('Loan 1'!$D$27),4)</f>
        <v>D27</v>
      </c>
      <c r="D5913" t="b" cm="1">
        <f t="array" aca="1" ref="D5913" ca="1">IF(INDIRECT("'"&amp;A5913&amp;"'!"&amp;B5913)="",FALSE,IF(TRUNC(INDIRECT("'"&amp;A5913&amp;"'!"&amp;B5913))=INDIRECT("'"&amp;A5913&amp;"'!"&amp;B5913),FALSE,TRUE))</f>
        <v>0</v>
      </c>
      <c r="E5913" t="s">
        <v>436</v>
      </c>
      <c r="F5913" t="str">
        <f>INDEX(Lists!I:I,MATCH(Validation!E5913,Lists!G:G,0))</f>
        <v>Error</v>
      </c>
      <c r="G5913" t="str">
        <f>INDEX(Lists!H:H,MATCH(Validation!E5913,Lists!G:G,0))</f>
        <v>Amount must be rounded to the nearest dollar.</v>
      </c>
      <c r="H5913" s="16" t="str">
        <f t="shared" ca="1" si="651"/>
        <v/>
      </c>
      <c r="I5913" s="16" t="str">
        <f t="shared" ca="1" si="652"/>
        <v/>
      </c>
      <c r="J5913" s="17" t="str">
        <f t="shared" ca="1" si="653"/>
        <v/>
      </c>
    </row>
    <row r="5914" spans="1:10" x14ac:dyDescent="0.25">
      <c r="A5914" t="s">
        <v>932</v>
      </c>
      <c r="B5914" t="str">
        <f>ADDRESS(ROW('Loan 1'!$C$27),COLUMN('Loan 1'!$C$27),4)</f>
        <v>C27</v>
      </c>
      <c r="C5914" t="str">
        <f>ADDRESS(ROW('Loan 1'!$D$27),COLUMN('Loan 1'!$D$27),4)</f>
        <v>D27</v>
      </c>
      <c r="D5914" t="b" cm="1">
        <f t="array" aca="1" ref="D5914" ca="1">IF(INDIRECT("'"&amp;A5914&amp;"'!"&amp;B5914)="",FALSE,IF(TRUNC(INDIRECT("'"&amp;A5914&amp;"'!"&amp;B5914))=INDIRECT("'"&amp;A5914&amp;"'!"&amp;B5914),FALSE,TRUE))</f>
        <v>0</v>
      </c>
      <c r="E5914" t="s">
        <v>436</v>
      </c>
      <c r="F5914" t="str">
        <f>INDEX(Lists!I:I,MATCH(Validation!E5914,Lists!G:G,0))</f>
        <v>Error</v>
      </c>
      <c r="G5914" t="str">
        <f>INDEX(Lists!H:H,MATCH(Validation!E5914,Lists!G:G,0))</f>
        <v>Amount must be rounded to the nearest dollar.</v>
      </c>
      <c r="H5914" s="16" t="str">
        <f t="shared" ca="1" si="651"/>
        <v/>
      </c>
      <c r="I5914" s="16" t="str">
        <f t="shared" ca="1" si="652"/>
        <v/>
      </c>
      <c r="J5914" s="17" t="str">
        <f t="shared" ca="1" si="653"/>
        <v/>
      </c>
    </row>
    <row r="5915" spans="1:10" x14ac:dyDescent="0.25">
      <c r="A5915" t="s">
        <v>933</v>
      </c>
      <c r="B5915" t="str">
        <f>ADDRESS(ROW('Loan 1'!$C$27),COLUMN('Loan 1'!$C$27),4)</f>
        <v>C27</v>
      </c>
      <c r="C5915" t="str">
        <f>ADDRESS(ROW('Loan 1'!$D$27),COLUMN('Loan 1'!$D$27),4)</f>
        <v>D27</v>
      </c>
      <c r="D5915" t="b" cm="1">
        <f t="array" aca="1" ref="D5915" ca="1">IF(INDIRECT("'"&amp;A5915&amp;"'!"&amp;B5915)="",FALSE,IF(TRUNC(INDIRECT("'"&amp;A5915&amp;"'!"&amp;B5915))=INDIRECT("'"&amp;A5915&amp;"'!"&amp;B5915),FALSE,TRUE))</f>
        <v>0</v>
      </c>
      <c r="E5915" t="s">
        <v>436</v>
      </c>
      <c r="F5915" t="str">
        <f>INDEX(Lists!I:I,MATCH(Validation!E5915,Lists!G:G,0))</f>
        <v>Error</v>
      </c>
      <c r="G5915" t="str">
        <f>INDEX(Lists!H:H,MATCH(Validation!E5915,Lists!G:G,0))</f>
        <v>Amount must be rounded to the nearest dollar.</v>
      </c>
      <c r="H5915" s="16" t="str">
        <f t="shared" ca="1" si="651"/>
        <v/>
      </c>
      <c r="I5915" s="16" t="str">
        <f t="shared" ca="1" si="652"/>
        <v/>
      </c>
      <c r="J5915" s="17" t="str">
        <f t="shared" ca="1" si="653"/>
        <v/>
      </c>
    </row>
    <row r="5916" spans="1:10" x14ac:dyDescent="0.25">
      <c r="A5916" t="s">
        <v>934</v>
      </c>
      <c r="B5916" t="str">
        <f>ADDRESS(ROW('Loan 1'!$C$27),COLUMN('Loan 1'!$C$27),4)</f>
        <v>C27</v>
      </c>
      <c r="C5916" t="str">
        <f>ADDRESS(ROW('Loan 1'!$D$27),COLUMN('Loan 1'!$D$27),4)</f>
        <v>D27</v>
      </c>
      <c r="D5916" t="b" cm="1">
        <f t="array" aca="1" ref="D5916" ca="1">IF(INDIRECT("'"&amp;A5916&amp;"'!"&amp;B5916)="",FALSE,IF(TRUNC(INDIRECT("'"&amp;A5916&amp;"'!"&amp;B5916))=INDIRECT("'"&amp;A5916&amp;"'!"&amp;B5916),FALSE,TRUE))</f>
        <v>0</v>
      </c>
      <c r="E5916" t="s">
        <v>436</v>
      </c>
      <c r="F5916" t="str">
        <f>INDEX(Lists!I:I,MATCH(Validation!E5916,Lists!G:G,0))</f>
        <v>Error</v>
      </c>
      <c r="G5916" t="str">
        <f>INDEX(Lists!H:H,MATCH(Validation!E5916,Lists!G:G,0))</f>
        <v>Amount must be rounded to the nearest dollar.</v>
      </c>
      <c r="H5916" s="16" t="str">
        <f t="shared" ca="1" si="651"/>
        <v/>
      </c>
      <c r="I5916" s="16" t="str">
        <f t="shared" ca="1" si="652"/>
        <v/>
      </c>
      <c r="J5916" s="17" t="str">
        <f t="shared" ca="1" si="653"/>
        <v/>
      </c>
    </row>
    <row r="5917" spans="1:10" x14ac:dyDescent="0.25">
      <c r="A5917" t="s">
        <v>935</v>
      </c>
      <c r="B5917" t="str">
        <f>ADDRESS(ROW('Loan 1'!$C$27),COLUMN('Loan 1'!$C$27),4)</f>
        <v>C27</v>
      </c>
      <c r="C5917" t="str">
        <f>ADDRESS(ROW('Loan 1'!$D$27),COLUMN('Loan 1'!$D$27),4)</f>
        <v>D27</v>
      </c>
      <c r="D5917" t="b" cm="1">
        <f t="array" aca="1" ref="D5917" ca="1">IF(INDIRECT("'"&amp;A5917&amp;"'!"&amp;B5917)="",FALSE,IF(TRUNC(INDIRECT("'"&amp;A5917&amp;"'!"&amp;B5917))=INDIRECT("'"&amp;A5917&amp;"'!"&amp;B5917),FALSE,TRUE))</f>
        <v>0</v>
      </c>
      <c r="E5917" t="s">
        <v>436</v>
      </c>
      <c r="F5917" t="str">
        <f>INDEX(Lists!I:I,MATCH(Validation!E5917,Lists!G:G,0))</f>
        <v>Error</v>
      </c>
      <c r="G5917" t="str">
        <f>INDEX(Lists!H:H,MATCH(Validation!E5917,Lists!G:G,0))</f>
        <v>Amount must be rounded to the nearest dollar.</v>
      </c>
      <c r="H5917" s="16" t="str">
        <f t="shared" ca="1" si="651"/>
        <v/>
      </c>
      <c r="I5917" s="16" t="str">
        <f t="shared" ca="1" si="652"/>
        <v/>
      </c>
      <c r="J5917" s="17" t="str">
        <f t="shared" ca="1" si="653"/>
        <v/>
      </c>
    </row>
    <row r="5918" spans="1:10" x14ac:dyDescent="0.25">
      <c r="A5918" t="s">
        <v>936</v>
      </c>
      <c r="B5918" t="str">
        <f>ADDRESS(ROW('Loan 1'!$C$27),COLUMN('Loan 1'!$C$27),4)</f>
        <v>C27</v>
      </c>
      <c r="C5918" t="str">
        <f>ADDRESS(ROW('Loan 1'!$D$27),COLUMN('Loan 1'!$D$27),4)</f>
        <v>D27</v>
      </c>
      <c r="D5918" t="b" cm="1">
        <f t="array" aca="1" ref="D5918" ca="1">IF(INDIRECT("'"&amp;A5918&amp;"'!"&amp;B5918)="",FALSE,IF(TRUNC(INDIRECT("'"&amp;A5918&amp;"'!"&amp;B5918))=INDIRECT("'"&amp;A5918&amp;"'!"&amp;B5918),FALSE,TRUE))</f>
        <v>0</v>
      </c>
      <c r="E5918" t="s">
        <v>436</v>
      </c>
      <c r="F5918" t="str">
        <f>INDEX(Lists!I:I,MATCH(Validation!E5918,Lists!G:G,0))</f>
        <v>Error</v>
      </c>
      <c r="G5918" t="str">
        <f>INDEX(Lists!H:H,MATCH(Validation!E5918,Lists!G:G,0))</f>
        <v>Amount must be rounded to the nearest dollar.</v>
      </c>
      <c r="H5918" s="16" t="str">
        <f t="shared" ca="1" si="651"/>
        <v/>
      </c>
      <c r="I5918" s="16" t="str">
        <f t="shared" ca="1" si="652"/>
        <v/>
      </c>
      <c r="J5918" s="17" t="str">
        <f t="shared" ca="1" si="653"/>
        <v/>
      </c>
    </row>
    <row r="5919" spans="1:10" x14ac:dyDescent="0.25">
      <c r="A5919" t="s">
        <v>937</v>
      </c>
      <c r="B5919" t="str">
        <f>ADDRESS(ROW('Loan 1'!$C$27),COLUMN('Loan 1'!$C$27),4)</f>
        <v>C27</v>
      </c>
      <c r="C5919" t="str">
        <f>ADDRESS(ROW('Loan 1'!$D$27),COLUMN('Loan 1'!$D$27),4)</f>
        <v>D27</v>
      </c>
      <c r="D5919" t="b" cm="1">
        <f t="array" aca="1" ref="D5919" ca="1">IF(INDIRECT("'"&amp;A5919&amp;"'!"&amp;B5919)="",FALSE,IF(TRUNC(INDIRECT("'"&amp;A5919&amp;"'!"&amp;B5919))=INDIRECT("'"&amp;A5919&amp;"'!"&amp;B5919),FALSE,TRUE))</f>
        <v>0</v>
      </c>
      <c r="E5919" t="s">
        <v>436</v>
      </c>
      <c r="F5919" t="str">
        <f>INDEX(Lists!I:I,MATCH(Validation!E5919,Lists!G:G,0))</f>
        <v>Error</v>
      </c>
      <c r="G5919" t="str">
        <f>INDEX(Lists!H:H,MATCH(Validation!E5919,Lists!G:G,0))</f>
        <v>Amount must be rounded to the nearest dollar.</v>
      </c>
      <c r="H5919" s="16" t="str">
        <f t="shared" ca="1" si="651"/>
        <v/>
      </c>
      <c r="I5919" s="16" t="str">
        <f t="shared" ca="1" si="652"/>
        <v/>
      </c>
      <c r="J5919" s="17" t="str">
        <f t="shared" ca="1" si="653"/>
        <v/>
      </c>
    </row>
    <row r="5920" spans="1:10" x14ac:dyDescent="0.25">
      <c r="A5920" t="s">
        <v>938</v>
      </c>
      <c r="B5920" t="str">
        <f>ADDRESS(ROW('Loan 1'!$C$27),COLUMN('Loan 1'!$C$27),4)</f>
        <v>C27</v>
      </c>
      <c r="C5920" t="str">
        <f>ADDRESS(ROW('Loan 1'!$D$27),COLUMN('Loan 1'!$D$27),4)</f>
        <v>D27</v>
      </c>
      <c r="D5920" t="b" cm="1">
        <f t="array" aca="1" ref="D5920" ca="1">IF(INDIRECT("'"&amp;A5920&amp;"'!"&amp;B5920)="",FALSE,IF(TRUNC(INDIRECT("'"&amp;A5920&amp;"'!"&amp;B5920))=INDIRECT("'"&amp;A5920&amp;"'!"&amp;B5920),FALSE,TRUE))</f>
        <v>0</v>
      </c>
      <c r="E5920" t="s">
        <v>436</v>
      </c>
      <c r="F5920" t="str">
        <f>INDEX(Lists!I:I,MATCH(Validation!E5920,Lists!G:G,0))</f>
        <v>Error</v>
      </c>
      <c r="G5920" t="str">
        <f>INDEX(Lists!H:H,MATCH(Validation!E5920,Lists!G:G,0))</f>
        <v>Amount must be rounded to the nearest dollar.</v>
      </c>
      <c r="H5920" s="16" t="str">
        <f t="shared" ca="1" si="651"/>
        <v/>
      </c>
      <c r="I5920" s="16" t="str">
        <f t="shared" ca="1" si="652"/>
        <v/>
      </c>
      <c r="J5920" s="17" t="str">
        <f t="shared" ca="1" si="653"/>
        <v/>
      </c>
    </row>
    <row r="5921" spans="1:10" x14ac:dyDescent="0.25">
      <c r="A5921" t="s">
        <v>939</v>
      </c>
      <c r="B5921" t="str">
        <f>ADDRESS(ROW('Loan 1'!$C$27),COLUMN('Loan 1'!$C$27),4)</f>
        <v>C27</v>
      </c>
      <c r="C5921" t="str">
        <f>ADDRESS(ROW('Loan 1'!$D$27),COLUMN('Loan 1'!$D$27),4)</f>
        <v>D27</v>
      </c>
      <c r="D5921" t="b" cm="1">
        <f t="array" aca="1" ref="D5921" ca="1">IF(INDIRECT("'"&amp;A5921&amp;"'!"&amp;B5921)="",FALSE,IF(TRUNC(INDIRECT("'"&amp;A5921&amp;"'!"&amp;B5921))=INDIRECT("'"&amp;A5921&amp;"'!"&amp;B5921),FALSE,TRUE))</f>
        <v>0</v>
      </c>
      <c r="E5921" t="s">
        <v>436</v>
      </c>
      <c r="F5921" t="str">
        <f>INDEX(Lists!I:I,MATCH(Validation!E5921,Lists!G:G,0))</f>
        <v>Error</v>
      </c>
      <c r="G5921" t="str">
        <f>INDEX(Lists!H:H,MATCH(Validation!E5921,Lists!G:G,0))</f>
        <v>Amount must be rounded to the nearest dollar.</v>
      </c>
      <c r="H5921" s="16" t="str">
        <f t="shared" ca="1" si="651"/>
        <v/>
      </c>
      <c r="I5921" s="16" t="str">
        <f t="shared" ca="1" si="652"/>
        <v/>
      </c>
      <c r="J5921" s="17" t="str">
        <f t="shared" ca="1" si="653"/>
        <v/>
      </c>
    </row>
    <row r="5922" spans="1:10" x14ac:dyDescent="0.25">
      <c r="A5922" t="s">
        <v>940</v>
      </c>
      <c r="B5922" t="str">
        <f>ADDRESS(ROW('Loan 1'!$C$27),COLUMN('Loan 1'!$C$27),4)</f>
        <v>C27</v>
      </c>
      <c r="C5922" t="str">
        <f>ADDRESS(ROW('Loan 1'!$D$27),COLUMN('Loan 1'!$D$27),4)</f>
        <v>D27</v>
      </c>
      <c r="D5922" t="b" cm="1">
        <f t="array" aca="1" ref="D5922" ca="1">IF(INDIRECT("'"&amp;A5922&amp;"'!"&amp;B5922)="",FALSE,IF(TRUNC(INDIRECT("'"&amp;A5922&amp;"'!"&amp;B5922))=INDIRECT("'"&amp;A5922&amp;"'!"&amp;B5922),FALSE,TRUE))</f>
        <v>0</v>
      </c>
      <c r="E5922" t="s">
        <v>436</v>
      </c>
      <c r="F5922" t="str">
        <f>INDEX(Lists!I:I,MATCH(Validation!E5922,Lists!G:G,0))</f>
        <v>Error</v>
      </c>
      <c r="G5922" t="str">
        <f>INDEX(Lists!H:H,MATCH(Validation!E5922,Lists!G:G,0))</f>
        <v>Amount must be rounded to the nearest dollar.</v>
      </c>
      <c r="H5922" s="16" t="str">
        <f t="shared" ca="1" si="651"/>
        <v/>
      </c>
      <c r="I5922" s="16" t="str">
        <f t="shared" ca="1" si="652"/>
        <v/>
      </c>
      <c r="J5922" s="17" t="str">
        <f t="shared" ca="1" si="653"/>
        <v/>
      </c>
    </row>
    <row r="5923" spans="1:10" x14ac:dyDescent="0.25">
      <c r="A5923" t="s">
        <v>941</v>
      </c>
      <c r="B5923" t="str">
        <f>ADDRESS(ROW('Loan 1'!$C$27),COLUMN('Loan 1'!$C$27),4)</f>
        <v>C27</v>
      </c>
      <c r="C5923" t="str">
        <f>ADDRESS(ROW('Loan 1'!$D$27),COLUMN('Loan 1'!$D$27),4)</f>
        <v>D27</v>
      </c>
      <c r="D5923" t="b" cm="1">
        <f t="array" aca="1" ref="D5923" ca="1">IF(INDIRECT("'"&amp;A5923&amp;"'!"&amp;B5923)="",FALSE,IF(TRUNC(INDIRECT("'"&amp;A5923&amp;"'!"&amp;B5923))=INDIRECT("'"&amp;A5923&amp;"'!"&amp;B5923),FALSE,TRUE))</f>
        <v>0</v>
      </c>
      <c r="E5923" t="s">
        <v>436</v>
      </c>
      <c r="F5923" t="str">
        <f>INDEX(Lists!I:I,MATCH(Validation!E5923,Lists!G:G,0))</f>
        <v>Error</v>
      </c>
      <c r="G5923" t="str">
        <f>INDEX(Lists!H:H,MATCH(Validation!E5923,Lists!G:G,0))</f>
        <v>Amount must be rounded to the nearest dollar.</v>
      </c>
      <c r="H5923" s="16" t="str">
        <f t="shared" ca="1" si="651"/>
        <v/>
      </c>
      <c r="I5923" s="16" t="str">
        <f t="shared" ca="1" si="652"/>
        <v/>
      </c>
      <c r="J5923" s="17" t="str">
        <f t="shared" ca="1" si="653"/>
        <v/>
      </c>
    </row>
    <row r="5924" spans="1:10" x14ac:dyDescent="0.25">
      <c r="A5924" t="s">
        <v>942</v>
      </c>
      <c r="B5924" t="str">
        <f>ADDRESS(ROW('Loan 1'!$C$27),COLUMN('Loan 1'!$C$27),4)</f>
        <v>C27</v>
      </c>
      <c r="C5924" t="str">
        <f>ADDRESS(ROW('Loan 1'!$D$27),COLUMN('Loan 1'!$D$27),4)</f>
        <v>D27</v>
      </c>
      <c r="D5924" t="b" cm="1">
        <f t="array" aca="1" ref="D5924" ca="1">IF(INDIRECT("'"&amp;A5924&amp;"'!"&amp;B5924)="",FALSE,IF(TRUNC(INDIRECT("'"&amp;A5924&amp;"'!"&amp;B5924))=INDIRECT("'"&amp;A5924&amp;"'!"&amp;B5924),FALSE,TRUE))</f>
        <v>0</v>
      </c>
      <c r="E5924" t="s">
        <v>436</v>
      </c>
      <c r="F5924" t="str">
        <f>INDEX(Lists!I:I,MATCH(Validation!E5924,Lists!G:G,0))</f>
        <v>Error</v>
      </c>
      <c r="G5924" t="str">
        <f>INDEX(Lists!H:H,MATCH(Validation!E5924,Lists!G:G,0))</f>
        <v>Amount must be rounded to the nearest dollar.</v>
      </c>
      <c r="H5924" s="16" t="str">
        <f t="shared" ca="1" si="651"/>
        <v/>
      </c>
      <c r="I5924" s="16" t="str">
        <f t="shared" ca="1" si="652"/>
        <v/>
      </c>
      <c r="J5924" s="17" t="str">
        <f t="shared" ca="1" si="653"/>
        <v/>
      </c>
    </row>
    <row r="5925" spans="1:10" x14ac:dyDescent="0.25">
      <c r="A5925" t="s">
        <v>943</v>
      </c>
      <c r="B5925" t="str">
        <f>ADDRESS(ROW('Loan 1'!$C$27),COLUMN('Loan 1'!$C$27),4)</f>
        <v>C27</v>
      </c>
      <c r="C5925" t="str">
        <f>ADDRESS(ROW('Loan 1'!$D$27),COLUMN('Loan 1'!$D$27),4)</f>
        <v>D27</v>
      </c>
      <c r="D5925" t="b" cm="1">
        <f t="array" aca="1" ref="D5925" ca="1">IF(INDIRECT("'"&amp;A5925&amp;"'!"&amp;B5925)="",FALSE,IF(TRUNC(INDIRECT("'"&amp;A5925&amp;"'!"&amp;B5925))=INDIRECT("'"&amp;A5925&amp;"'!"&amp;B5925),FALSE,TRUE))</f>
        <v>0</v>
      </c>
      <c r="E5925" t="s">
        <v>436</v>
      </c>
      <c r="F5925" t="str">
        <f>INDEX(Lists!I:I,MATCH(Validation!E5925,Lists!G:G,0))</f>
        <v>Error</v>
      </c>
      <c r="G5925" t="str">
        <f>INDEX(Lists!H:H,MATCH(Validation!E5925,Lists!G:G,0))</f>
        <v>Amount must be rounded to the nearest dollar.</v>
      </c>
      <c r="H5925" s="16" t="str">
        <f t="shared" ca="1" si="651"/>
        <v/>
      </c>
      <c r="I5925" s="16" t="str">
        <f t="shared" ca="1" si="652"/>
        <v/>
      </c>
      <c r="J5925" s="17" t="str">
        <f t="shared" ca="1" si="653"/>
        <v/>
      </c>
    </row>
    <row r="5926" spans="1:10" x14ac:dyDescent="0.25">
      <c r="A5926" t="s">
        <v>944</v>
      </c>
      <c r="B5926" t="str">
        <f>ADDRESS(ROW('Loan 1'!$C$27),COLUMN('Loan 1'!$C$27),4)</f>
        <v>C27</v>
      </c>
      <c r="C5926" t="str">
        <f>ADDRESS(ROW('Loan 1'!$D$27),COLUMN('Loan 1'!$D$27),4)</f>
        <v>D27</v>
      </c>
      <c r="D5926" t="b" cm="1">
        <f t="array" aca="1" ref="D5926" ca="1">IF(INDIRECT("'"&amp;A5926&amp;"'!"&amp;B5926)="",FALSE,IF(TRUNC(INDIRECT("'"&amp;A5926&amp;"'!"&amp;B5926))=INDIRECT("'"&amp;A5926&amp;"'!"&amp;B5926),FALSE,TRUE))</f>
        <v>0</v>
      </c>
      <c r="E5926" t="s">
        <v>436</v>
      </c>
      <c r="F5926" t="str">
        <f>INDEX(Lists!I:I,MATCH(Validation!E5926,Lists!G:G,0))</f>
        <v>Error</v>
      </c>
      <c r="G5926" t="str">
        <f>INDEX(Lists!H:H,MATCH(Validation!E5926,Lists!G:G,0))</f>
        <v>Amount must be rounded to the nearest dollar.</v>
      </c>
      <c r="H5926" s="16" t="str">
        <f t="shared" ca="1" si="651"/>
        <v/>
      </c>
      <c r="I5926" s="16" t="str">
        <f t="shared" ca="1" si="652"/>
        <v/>
      </c>
      <c r="J5926" s="17" t="str">
        <f t="shared" ca="1" si="653"/>
        <v/>
      </c>
    </row>
    <row r="5927" spans="1:10" x14ac:dyDescent="0.25">
      <c r="A5927" t="s">
        <v>945</v>
      </c>
      <c r="B5927" t="str">
        <f>ADDRESS(ROW('Loan 1'!$C$27),COLUMN('Loan 1'!$C$27),4)</f>
        <v>C27</v>
      </c>
      <c r="C5927" t="str">
        <f>ADDRESS(ROW('Loan 1'!$D$27),COLUMN('Loan 1'!$D$27),4)</f>
        <v>D27</v>
      </c>
      <c r="D5927" t="b" cm="1">
        <f t="array" aca="1" ref="D5927" ca="1">IF(INDIRECT("'"&amp;A5927&amp;"'!"&amp;B5927)="",FALSE,IF(TRUNC(INDIRECT("'"&amp;A5927&amp;"'!"&amp;B5927))=INDIRECT("'"&amp;A5927&amp;"'!"&amp;B5927),FALSE,TRUE))</f>
        <v>0</v>
      </c>
      <c r="E5927" t="s">
        <v>436</v>
      </c>
      <c r="F5927" t="str">
        <f>INDEX(Lists!I:I,MATCH(Validation!E5927,Lists!G:G,0))</f>
        <v>Error</v>
      </c>
      <c r="G5927" t="str">
        <f>INDEX(Lists!H:H,MATCH(Validation!E5927,Lists!G:G,0))</f>
        <v>Amount must be rounded to the nearest dollar.</v>
      </c>
      <c r="H5927" s="16" t="str">
        <f t="shared" ca="1" si="651"/>
        <v/>
      </c>
      <c r="I5927" s="16" t="str">
        <f t="shared" ca="1" si="652"/>
        <v/>
      </c>
      <c r="J5927" s="17" t="str">
        <f t="shared" ca="1" si="653"/>
        <v/>
      </c>
    </row>
    <row r="5928" spans="1:10" x14ac:dyDescent="0.25">
      <c r="A5928" t="s">
        <v>205</v>
      </c>
      <c r="B5928" t="str">
        <f>ADDRESS(ROW('Loan 1'!$B$28),COLUMN('Loan 1'!$B$28),4)</f>
        <v>B28</v>
      </c>
      <c r="C5928" t="str">
        <f>ADDRESS(ROW('Loan 1'!$D$28),COLUMN('Loan 1'!$D$28),4)</f>
        <v>D28</v>
      </c>
      <c r="D5928" t="b" cm="1">
        <f t="array" aca="1" ref="D5928" ca="1">IF(INDIRECT("'"&amp;A5928&amp;"'!"&amp;B5928)="",FALSE,IF(NOT(ISNUMBER(INDIRECT("'"&amp;A5928&amp;"'!"&amp;B5928))),TRUE,FALSE))</f>
        <v>0</v>
      </c>
      <c r="E5928" t="s">
        <v>435</v>
      </c>
      <c r="F5928" t="str">
        <f>INDEX(Lists!I:I,MATCH(Validation!E5928,Lists!G:G,0))</f>
        <v>Error</v>
      </c>
      <c r="G5928" t="str">
        <f>INDEX(Lists!H:H,MATCH(Validation!E5928,Lists!G:G,0))</f>
        <v>Enter an amount only. Do not enter text or spaces.</v>
      </c>
      <c r="H5928" s="16" t="str">
        <f ca="1">IFERROR(IF(OR(NOT(D5928),F5928&lt;&gt;"Error"),"",A5928&amp;CELL("address",INDIRECT(B5928))),"")</f>
        <v/>
      </c>
      <c r="I5928" s="16" t="str">
        <f ca="1">IFERROR(IF(NOT(D5928),"",A5928&amp;CELL("address",INDIRECT(C5928))),"")</f>
        <v/>
      </c>
      <c r="J5928" s="17" t="str">
        <f ca="1">IFERROR(IF(NOT(D5928),"",A5928),"")</f>
        <v/>
      </c>
    </row>
    <row r="5929" spans="1:10" x14ac:dyDescent="0.25">
      <c r="A5929" t="s">
        <v>932</v>
      </c>
      <c r="B5929" t="str">
        <f>ADDRESS(ROW('Loan 1'!$B$28),COLUMN('Loan 1'!$B$28),4)</f>
        <v>B28</v>
      </c>
      <c r="C5929" t="str">
        <f>ADDRESS(ROW('Loan 1'!$D$28),COLUMN('Loan 1'!$D$28),4)</f>
        <v>D28</v>
      </c>
      <c r="D5929" t="b" cm="1">
        <f t="array" aca="1" ref="D5929" ca="1">IF(INDIRECT("'"&amp;A5929&amp;"'!"&amp;B5929)="",FALSE,IF(NOT(ISNUMBER(INDIRECT("'"&amp;A5929&amp;"'!"&amp;B5929))),TRUE,FALSE))</f>
        <v>0</v>
      </c>
      <c r="E5929" t="s">
        <v>435</v>
      </c>
      <c r="F5929" t="str">
        <f>INDEX(Lists!I:I,MATCH(Validation!E5929,Lists!G:G,0))</f>
        <v>Error</v>
      </c>
      <c r="G5929" t="str">
        <f>INDEX(Lists!H:H,MATCH(Validation!E5929,Lists!G:G,0))</f>
        <v>Enter an amount only. Do not enter text or spaces.</v>
      </c>
      <c r="H5929" s="16" t="str">
        <f t="shared" ref="H5929:H5942" ca="1" si="654">IFERROR(IF(OR(NOT(D5929),F5929&lt;&gt;"Error"),"",A5929&amp;CELL("address",INDIRECT(B5929))),"")</f>
        <v/>
      </c>
      <c r="I5929" s="16" t="str">
        <f t="shared" ref="I5929:I5942" ca="1" si="655">IFERROR(IF(NOT(D5929),"",A5929&amp;CELL("address",INDIRECT(C5929))),"")</f>
        <v/>
      </c>
      <c r="J5929" s="17" t="str">
        <f t="shared" ref="J5929:J5942" ca="1" si="656">IFERROR(IF(NOT(D5929),"",A5929),"")</f>
        <v/>
      </c>
    </row>
    <row r="5930" spans="1:10" x14ac:dyDescent="0.25">
      <c r="A5930" t="s">
        <v>933</v>
      </c>
      <c r="B5930" t="str">
        <f>ADDRESS(ROW('Loan 1'!$B$28),COLUMN('Loan 1'!$B$28),4)</f>
        <v>B28</v>
      </c>
      <c r="C5930" t="str">
        <f>ADDRESS(ROW('Loan 1'!$D$28),COLUMN('Loan 1'!$D$28),4)</f>
        <v>D28</v>
      </c>
      <c r="D5930" t="b" cm="1">
        <f t="array" aca="1" ref="D5930" ca="1">IF(INDIRECT("'"&amp;A5930&amp;"'!"&amp;B5930)="",FALSE,IF(NOT(ISNUMBER(INDIRECT("'"&amp;A5930&amp;"'!"&amp;B5930))),TRUE,FALSE))</f>
        <v>0</v>
      </c>
      <c r="E5930" t="s">
        <v>435</v>
      </c>
      <c r="F5930" t="str">
        <f>INDEX(Lists!I:I,MATCH(Validation!E5930,Lists!G:G,0))</f>
        <v>Error</v>
      </c>
      <c r="G5930" t="str">
        <f>INDEX(Lists!H:H,MATCH(Validation!E5930,Lists!G:G,0))</f>
        <v>Enter an amount only. Do not enter text or spaces.</v>
      </c>
      <c r="H5930" s="16" t="str">
        <f t="shared" ca="1" si="654"/>
        <v/>
      </c>
      <c r="I5930" s="16" t="str">
        <f t="shared" ca="1" si="655"/>
        <v/>
      </c>
      <c r="J5930" s="17" t="str">
        <f t="shared" ca="1" si="656"/>
        <v/>
      </c>
    </row>
    <row r="5931" spans="1:10" x14ac:dyDescent="0.25">
      <c r="A5931" t="s">
        <v>934</v>
      </c>
      <c r="B5931" t="str">
        <f>ADDRESS(ROW('Loan 1'!$B$28),COLUMN('Loan 1'!$B$28),4)</f>
        <v>B28</v>
      </c>
      <c r="C5931" t="str">
        <f>ADDRESS(ROW('Loan 1'!$D$28),COLUMN('Loan 1'!$D$28),4)</f>
        <v>D28</v>
      </c>
      <c r="D5931" t="b" cm="1">
        <f t="array" aca="1" ref="D5931" ca="1">IF(INDIRECT("'"&amp;A5931&amp;"'!"&amp;B5931)="",FALSE,IF(NOT(ISNUMBER(INDIRECT("'"&amp;A5931&amp;"'!"&amp;B5931))),TRUE,FALSE))</f>
        <v>0</v>
      </c>
      <c r="E5931" t="s">
        <v>435</v>
      </c>
      <c r="F5931" t="str">
        <f>INDEX(Lists!I:I,MATCH(Validation!E5931,Lists!G:G,0))</f>
        <v>Error</v>
      </c>
      <c r="G5931" t="str">
        <f>INDEX(Lists!H:H,MATCH(Validation!E5931,Lists!G:G,0))</f>
        <v>Enter an amount only. Do not enter text or spaces.</v>
      </c>
      <c r="H5931" s="16" t="str">
        <f t="shared" ca="1" si="654"/>
        <v/>
      </c>
      <c r="I5931" s="16" t="str">
        <f t="shared" ca="1" si="655"/>
        <v/>
      </c>
      <c r="J5931" s="17" t="str">
        <f t="shared" ca="1" si="656"/>
        <v/>
      </c>
    </row>
    <row r="5932" spans="1:10" x14ac:dyDescent="0.25">
      <c r="A5932" t="s">
        <v>935</v>
      </c>
      <c r="B5932" t="str">
        <f>ADDRESS(ROW('Loan 1'!$B$28),COLUMN('Loan 1'!$B$28),4)</f>
        <v>B28</v>
      </c>
      <c r="C5932" t="str">
        <f>ADDRESS(ROW('Loan 1'!$D$28),COLUMN('Loan 1'!$D$28),4)</f>
        <v>D28</v>
      </c>
      <c r="D5932" t="b" cm="1">
        <f t="array" aca="1" ref="D5932" ca="1">IF(INDIRECT("'"&amp;A5932&amp;"'!"&amp;B5932)="",FALSE,IF(NOT(ISNUMBER(INDIRECT("'"&amp;A5932&amp;"'!"&amp;B5932))),TRUE,FALSE))</f>
        <v>0</v>
      </c>
      <c r="E5932" t="s">
        <v>435</v>
      </c>
      <c r="F5932" t="str">
        <f>INDEX(Lists!I:I,MATCH(Validation!E5932,Lists!G:G,0))</f>
        <v>Error</v>
      </c>
      <c r="G5932" t="str">
        <f>INDEX(Lists!H:H,MATCH(Validation!E5932,Lists!G:G,0))</f>
        <v>Enter an amount only. Do not enter text or spaces.</v>
      </c>
      <c r="H5932" s="16" t="str">
        <f t="shared" ca="1" si="654"/>
        <v/>
      </c>
      <c r="I5932" s="16" t="str">
        <f t="shared" ca="1" si="655"/>
        <v/>
      </c>
      <c r="J5932" s="17" t="str">
        <f t="shared" ca="1" si="656"/>
        <v/>
      </c>
    </row>
    <row r="5933" spans="1:10" x14ac:dyDescent="0.25">
      <c r="A5933" t="s">
        <v>936</v>
      </c>
      <c r="B5933" t="str">
        <f>ADDRESS(ROW('Loan 1'!$B$28),COLUMN('Loan 1'!$B$28),4)</f>
        <v>B28</v>
      </c>
      <c r="C5933" t="str">
        <f>ADDRESS(ROW('Loan 1'!$D$28),COLUMN('Loan 1'!$D$28),4)</f>
        <v>D28</v>
      </c>
      <c r="D5933" t="b" cm="1">
        <f t="array" aca="1" ref="D5933" ca="1">IF(INDIRECT("'"&amp;A5933&amp;"'!"&amp;B5933)="",FALSE,IF(NOT(ISNUMBER(INDIRECT("'"&amp;A5933&amp;"'!"&amp;B5933))),TRUE,FALSE))</f>
        <v>0</v>
      </c>
      <c r="E5933" t="s">
        <v>435</v>
      </c>
      <c r="F5933" t="str">
        <f>INDEX(Lists!I:I,MATCH(Validation!E5933,Lists!G:G,0))</f>
        <v>Error</v>
      </c>
      <c r="G5933" t="str">
        <f>INDEX(Lists!H:H,MATCH(Validation!E5933,Lists!G:G,0))</f>
        <v>Enter an amount only. Do not enter text or spaces.</v>
      </c>
      <c r="H5933" s="16" t="str">
        <f t="shared" ca="1" si="654"/>
        <v/>
      </c>
      <c r="I5933" s="16" t="str">
        <f t="shared" ca="1" si="655"/>
        <v/>
      </c>
      <c r="J5933" s="17" t="str">
        <f t="shared" ca="1" si="656"/>
        <v/>
      </c>
    </row>
    <row r="5934" spans="1:10" x14ac:dyDescent="0.25">
      <c r="A5934" t="s">
        <v>937</v>
      </c>
      <c r="B5934" t="str">
        <f>ADDRESS(ROW('Loan 1'!$B$28),COLUMN('Loan 1'!$B$28),4)</f>
        <v>B28</v>
      </c>
      <c r="C5934" t="str">
        <f>ADDRESS(ROW('Loan 1'!$D$28),COLUMN('Loan 1'!$D$28),4)</f>
        <v>D28</v>
      </c>
      <c r="D5934" t="b" cm="1">
        <f t="array" aca="1" ref="D5934" ca="1">IF(INDIRECT("'"&amp;A5934&amp;"'!"&amp;B5934)="",FALSE,IF(NOT(ISNUMBER(INDIRECT("'"&amp;A5934&amp;"'!"&amp;B5934))),TRUE,FALSE))</f>
        <v>0</v>
      </c>
      <c r="E5934" t="s">
        <v>435</v>
      </c>
      <c r="F5934" t="str">
        <f>INDEX(Lists!I:I,MATCH(Validation!E5934,Lists!G:G,0))</f>
        <v>Error</v>
      </c>
      <c r="G5934" t="str">
        <f>INDEX(Lists!H:H,MATCH(Validation!E5934,Lists!G:G,0))</f>
        <v>Enter an amount only. Do not enter text or spaces.</v>
      </c>
      <c r="H5934" s="16" t="str">
        <f t="shared" ca="1" si="654"/>
        <v/>
      </c>
      <c r="I5934" s="16" t="str">
        <f t="shared" ca="1" si="655"/>
        <v/>
      </c>
      <c r="J5934" s="17" t="str">
        <f t="shared" ca="1" si="656"/>
        <v/>
      </c>
    </row>
    <row r="5935" spans="1:10" x14ac:dyDescent="0.25">
      <c r="A5935" t="s">
        <v>938</v>
      </c>
      <c r="B5935" t="str">
        <f>ADDRESS(ROW('Loan 1'!$B$28),COLUMN('Loan 1'!$B$28),4)</f>
        <v>B28</v>
      </c>
      <c r="C5935" t="str">
        <f>ADDRESS(ROW('Loan 1'!$D$28),COLUMN('Loan 1'!$D$28),4)</f>
        <v>D28</v>
      </c>
      <c r="D5935" t="b" cm="1">
        <f t="array" aca="1" ref="D5935" ca="1">IF(INDIRECT("'"&amp;A5935&amp;"'!"&amp;B5935)="",FALSE,IF(NOT(ISNUMBER(INDIRECT("'"&amp;A5935&amp;"'!"&amp;B5935))),TRUE,FALSE))</f>
        <v>0</v>
      </c>
      <c r="E5935" t="s">
        <v>435</v>
      </c>
      <c r="F5935" t="str">
        <f>INDEX(Lists!I:I,MATCH(Validation!E5935,Lists!G:G,0))</f>
        <v>Error</v>
      </c>
      <c r="G5935" t="str">
        <f>INDEX(Lists!H:H,MATCH(Validation!E5935,Lists!G:G,0))</f>
        <v>Enter an amount only. Do not enter text or spaces.</v>
      </c>
      <c r="H5935" s="16" t="str">
        <f t="shared" ca="1" si="654"/>
        <v/>
      </c>
      <c r="I5935" s="16" t="str">
        <f t="shared" ca="1" si="655"/>
        <v/>
      </c>
      <c r="J5935" s="17" t="str">
        <f t="shared" ca="1" si="656"/>
        <v/>
      </c>
    </row>
    <row r="5936" spans="1:10" x14ac:dyDescent="0.25">
      <c r="A5936" t="s">
        <v>939</v>
      </c>
      <c r="B5936" t="str">
        <f>ADDRESS(ROW('Loan 1'!$B$28),COLUMN('Loan 1'!$B$28),4)</f>
        <v>B28</v>
      </c>
      <c r="C5936" t="str">
        <f>ADDRESS(ROW('Loan 1'!$D$28),COLUMN('Loan 1'!$D$28),4)</f>
        <v>D28</v>
      </c>
      <c r="D5936" t="b" cm="1">
        <f t="array" aca="1" ref="D5936" ca="1">IF(INDIRECT("'"&amp;A5936&amp;"'!"&amp;B5936)="",FALSE,IF(NOT(ISNUMBER(INDIRECT("'"&amp;A5936&amp;"'!"&amp;B5936))),TRUE,FALSE))</f>
        <v>0</v>
      </c>
      <c r="E5936" t="s">
        <v>435</v>
      </c>
      <c r="F5936" t="str">
        <f>INDEX(Lists!I:I,MATCH(Validation!E5936,Lists!G:G,0))</f>
        <v>Error</v>
      </c>
      <c r="G5936" t="str">
        <f>INDEX(Lists!H:H,MATCH(Validation!E5936,Lists!G:G,0))</f>
        <v>Enter an amount only. Do not enter text or spaces.</v>
      </c>
      <c r="H5936" s="16" t="str">
        <f t="shared" ca="1" si="654"/>
        <v/>
      </c>
      <c r="I5936" s="16" t="str">
        <f t="shared" ca="1" si="655"/>
        <v/>
      </c>
      <c r="J5936" s="17" t="str">
        <f t="shared" ca="1" si="656"/>
        <v/>
      </c>
    </row>
    <row r="5937" spans="1:10" x14ac:dyDescent="0.25">
      <c r="A5937" t="s">
        <v>940</v>
      </c>
      <c r="B5937" t="str">
        <f>ADDRESS(ROW('Loan 1'!$B$28),COLUMN('Loan 1'!$B$28),4)</f>
        <v>B28</v>
      </c>
      <c r="C5937" t="str">
        <f>ADDRESS(ROW('Loan 1'!$D$28),COLUMN('Loan 1'!$D$28),4)</f>
        <v>D28</v>
      </c>
      <c r="D5937" t="b" cm="1">
        <f t="array" aca="1" ref="D5937" ca="1">IF(INDIRECT("'"&amp;A5937&amp;"'!"&amp;B5937)="",FALSE,IF(NOT(ISNUMBER(INDIRECT("'"&amp;A5937&amp;"'!"&amp;B5937))),TRUE,FALSE))</f>
        <v>0</v>
      </c>
      <c r="E5937" t="s">
        <v>435</v>
      </c>
      <c r="F5937" t="str">
        <f>INDEX(Lists!I:I,MATCH(Validation!E5937,Lists!G:G,0))</f>
        <v>Error</v>
      </c>
      <c r="G5937" t="str">
        <f>INDEX(Lists!H:H,MATCH(Validation!E5937,Lists!G:G,0))</f>
        <v>Enter an amount only. Do not enter text or spaces.</v>
      </c>
      <c r="H5937" s="16" t="str">
        <f t="shared" ca="1" si="654"/>
        <v/>
      </c>
      <c r="I5937" s="16" t="str">
        <f t="shared" ca="1" si="655"/>
        <v/>
      </c>
      <c r="J5937" s="17" t="str">
        <f t="shared" ca="1" si="656"/>
        <v/>
      </c>
    </row>
    <row r="5938" spans="1:10" x14ac:dyDescent="0.25">
      <c r="A5938" t="s">
        <v>941</v>
      </c>
      <c r="B5938" t="str">
        <f>ADDRESS(ROW('Loan 1'!$B$28),COLUMN('Loan 1'!$B$28),4)</f>
        <v>B28</v>
      </c>
      <c r="C5938" t="str">
        <f>ADDRESS(ROW('Loan 1'!$D$28),COLUMN('Loan 1'!$D$28),4)</f>
        <v>D28</v>
      </c>
      <c r="D5938" t="b" cm="1">
        <f t="array" aca="1" ref="D5938" ca="1">IF(INDIRECT("'"&amp;A5938&amp;"'!"&amp;B5938)="",FALSE,IF(NOT(ISNUMBER(INDIRECT("'"&amp;A5938&amp;"'!"&amp;B5938))),TRUE,FALSE))</f>
        <v>0</v>
      </c>
      <c r="E5938" t="s">
        <v>435</v>
      </c>
      <c r="F5938" t="str">
        <f>INDEX(Lists!I:I,MATCH(Validation!E5938,Lists!G:G,0))</f>
        <v>Error</v>
      </c>
      <c r="G5938" t="str">
        <f>INDEX(Lists!H:H,MATCH(Validation!E5938,Lists!G:G,0))</f>
        <v>Enter an amount only. Do not enter text or spaces.</v>
      </c>
      <c r="H5938" s="16" t="str">
        <f t="shared" ca="1" si="654"/>
        <v/>
      </c>
      <c r="I5938" s="16" t="str">
        <f t="shared" ca="1" si="655"/>
        <v/>
      </c>
      <c r="J5938" s="17" t="str">
        <f t="shared" ca="1" si="656"/>
        <v/>
      </c>
    </row>
    <row r="5939" spans="1:10" x14ac:dyDescent="0.25">
      <c r="A5939" t="s">
        <v>942</v>
      </c>
      <c r="B5939" t="str">
        <f>ADDRESS(ROW('Loan 1'!$B$28),COLUMN('Loan 1'!$B$28),4)</f>
        <v>B28</v>
      </c>
      <c r="C5939" t="str">
        <f>ADDRESS(ROW('Loan 1'!$D$28),COLUMN('Loan 1'!$D$28),4)</f>
        <v>D28</v>
      </c>
      <c r="D5939" t="b" cm="1">
        <f t="array" aca="1" ref="D5939" ca="1">IF(INDIRECT("'"&amp;A5939&amp;"'!"&amp;B5939)="",FALSE,IF(NOT(ISNUMBER(INDIRECT("'"&amp;A5939&amp;"'!"&amp;B5939))),TRUE,FALSE))</f>
        <v>0</v>
      </c>
      <c r="E5939" t="s">
        <v>435</v>
      </c>
      <c r="F5939" t="str">
        <f>INDEX(Lists!I:I,MATCH(Validation!E5939,Lists!G:G,0))</f>
        <v>Error</v>
      </c>
      <c r="G5939" t="str">
        <f>INDEX(Lists!H:H,MATCH(Validation!E5939,Lists!G:G,0))</f>
        <v>Enter an amount only. Do not enter text or spaces.</v>
      </c>
      <c r="H5939" s="16" t="str">
        <f t="shared" ca="1" si="654"/>
        <v/>
      </c>
      <c r="I5939" s="16" t="str">
        <f t="shared" ca="1" si="655"/>
        <v/>
      </c>
      <c r="J5939" s="17" t="str">
        <f t="shared" ca="1" si="656"/>
        <v/>
      </c>
    </row>
    <row r="5940" spans="1:10" x14ac:dyDescent="0.25">
      <c r="A5940" t="s">
        <v>943</v>
      </c>
      <c r="B5940" t="str">
        <f>ADDRESS(ROW('Loan 1'!$B$28),COLUMN('Loan 1'!$B$28),4)</f>
        <v>B28</v>
      </c>
      <c r="C5940" t="str">
        <f>ADDRESS(ROW('Loan 1'!$D$28),COLUMN('Loan 1'!$D$28),4)</f>
        <v>D28</v>
      </c>
      <c r="D5940" t="b" cm="1">
        <f t="array" aca="1" ref="D5940" ca="1">IF(INDIRECT("'"&amp;A5940&amp;"'!"&amp;B5940)="",FALSE,IF(NOT(ISNUMBER(INDIRECT("'"&amp;A5940&amp;"'!"&amp;B5940))),TRUE,FALSE))</f>
        <v>0</v>
      </c>
      <c r="E5940" t="s">
        <v>435</v>
      </c>
      <c r="F5940" t="str">
        <f>INDEX(Lists!I:I,MATCH(Validation!E5940,Lists!G:G,0))</f>
        <v>Error</v>
      </c>
      <c r="G5940" t="str">
        <f>INDEX(Lists!H:H,MATCH(Validation!E5940,Lists!G:G,0))</f>
        <v>Enter an amount only. Do not enter text or spaces.</v>
      </c>
      <c r="H5940" s="16" t="str">
        <f t="shared" ca="1" si="654"/>
        <v/>
      </c>
      <c r="I5940" s="16" t="str">
        <f t="shared" ca="1" si="655"/>
        <v/>
      </c>
      <c r="J5940" s="17" t="str">
        <f t="shared" ca="1" si="656"/>
        <v/>
      </c>
    </row>
    <row r="5941" spans="1:10" x14ac:dyDescent="0.25">
      <c r="A5941" t="s">
        <v>944</v>
      </c>
      <c r="B5941" t="str">
        <f>ADDRESS(ROW('Loan 1'!$B$28),COLUMN('Loan 1'!$B$28),4)</f>
        <v>B28</v>
      </c>
      <c r="C5941" t="str">
        <f>ADDRESS(ROW('Loan 1'!$D$28),COLUMN('Loan 1'!$D$28),4)</f>
        <v>D28</v>
      </c>
      <c r="D5941" t="b" cm="1">
        <f t="array" aca="1" ref="D5941" ca="1">IF(INDIRECT("'"&amp;A5941&amp;"'!"&amp;B5941)="",FALSE,IF(NOT(ISNUMBER(INDIRECT("'"&amp;A5941&amp;"'!"&amp;B5941))),TRUE,FALSE))</f>
        <v>0</v>
      </c>
      <c r="E5941" t="s">
        <v>435</v>
      </c>
      <c r="F5941" t="str">
        <f>INDEX(Lists!I:I,MATCH(Validation!E5941,Lists!G:G,0))</f>
        <v>Error</v>
      </c>
      <c r="G5941" t="str">
        <f>INDEX(Lists!H:H,MATCH(Validation!E5941,Lists!G:G,0))</f>
        <v>Enter an amount only. Do not enter text or spaces.</v>
      </c>
      <c r="H5941" s="16" t="str">
        <f t="shared" ca="1" si="654"/>
        <v/>
      </c>
      <c r="I5941" s="16" t="str">
        <f t="shared" ca="1" si="655"/>
        <v/>
      </c>
      <c r="J5941" s="17" t="str">
        <f t="shared" ca="1" si="656"/>
        <v/>
      </c>
    </row>
    <row r="5942" spans="1:10" x14ac:dyDescent="0.25">
      <c r="A5942" t="s">
        <v>945</v>
      </c>
      <c r="B5942" t="str">
        <f>ADDRESS(ROW('Loan 1'!$B$28),COLUMN('Loan 1'!$B$28),4)</f>
        <v>B28</v>
      </c>
      <c r="C5942" t="str">
        <f>ADDRESS(ROW('Loan 1'!$D$28),COLUMN('Loan 1'!$D$28),4)</f>
        <v>D28</v>
      </c>
      <c r="D5942" t="b" cm="1">
        <f t="array" aca="1" ref="D5942" ca="1">IF(INDIRECT("'"&amp;A5942&amp;"'!"&amp;B5942)="",FALSE,IF(NOT(ISNUMBER(INDIRECT("'"&amp;A5942&amp;"'!"&amp;B5942))),TRUE,FALSE))</f>
        <v>0</v>
      </c>
      <c r="E5942" t="s">
        <v>435</v>
      </c>
      <c r="F5942" t="str">
        <f>INDEX(Lists!I:I,MATCH(Validation!E5942,Lists!G:G,0))</f>
        <v>Error</v>
      </c>
      <c r="G5942" t="str">
        <f>INDEX(Lists!H:H,MATCH(Validation!E5942,Lists!G:G,0))</f>
        <v>Enter an amount only. Do not enter text or spaces.</v>
      </c>
      <c r="H5942" s="16" t="str">
        <f t="shared" ca="1" si="654"/>
        <v/>
      </c>
      <c r="I5942" s="16" t="str">
        <f t="shared" ca="1" si="655"/>
        <v/>
      </c>
      <c r="J5942" s="17" t="str">
        <f t="shared" ca="1" si="656"/>
        <v/>
      </c>
    </row>
    <row r="5943" spans="1:10" x14ac:dyDescent="0.25">
      <c r="A5943" t="s">
        <v>205</v>
      </c>
      <c r="B5943" t="str">
        <f>ADDRESS(ROW('Loan 1'!$B$28),COLUMN('Loan 1'!$B$28),4)</f>
        <v>B28</v>
      </c>
      <c r="C5943" t="str">
        <f>ADDRESS(ROW('Loan 1'!$D$28),COLUMN('Loan 1'!$D$28),4)</f>
        <v>D28</v>
      </c>
      <c r="D5943" t="b" cm="1">
        <f t="array" aca="1" ref="D5943" ca="1">IF(INDIRECT("'"&amp;A5943&amp;"'!"&amp;B5943)="",FALSE,IF(INDIRECT("'"&amp;A5943&amp;"'!"&amp;B5943)&lt;0,TRUE,FALSE))</f>
        <v>0</v>
      </c>
      <c r="E5943" t="s">
        <v>434</v>
      </c>
      <c r="F5943" t="str">
        <f>INDEX(Lists!I:I,MATCH(Validation!E5943,Lists!G:G,0))</f>
        <v>Error</v>
      </c>
      <c r="G5943" t="str">
        <f>INDEX(Lists!H:H,MATCH(Validation!E5943,Lists!G:G,0))</f>
        <v>Amount may not be negative. Enter an amount greater than or equal to zero.</v>
      </c>
      <c r="H5943" s="16" t="str">
        <f ca="1">IFERROR(IF(OR(NOT(D5943),F5943&lt;&gt;"Error"),"",A5943&amp;CELL("address",INDIRECT(B5943))),"")</f>
        <v/>
      </c>
      <c r="I5943" s="16" t="str">
        <f ca="1">IFERROR(IF(NOT(D5943),"",A5943&amp;CELL("address",INDIRECT(C5943))),"")</f>
        <v/>
      </c>
      <c r="J5943" s="17" t="str">
        <f ca="1">IFERROR(IF(NOT(D5943),"",A5943),"")</f>
        <v/>
      </c>
    </row>
    <row r="5944" spans="1:10" x14ac:dyDescent="0.25">
      <c r="A5944" t="s">
        <v>932</v>
      </c>
      <c r="B5944" t="str">
        <f>ADDRESS(ROW('Loan 1'!$B$28),COLUMN('Loan 1'!$B$28),4)</f>
        <v>B28</v>
      </c>
      <c r="C5944" t="str">
        <f>ADDRESS(ROW('Loan 1'!$D$28),COLUMN('Loan 1'!$D$28),4)</f>
        <v>D28</v>
      </c>
      <c r="D5944" t="b" cm="1">
        <f t="array" aca="1" ref="D5944" ca="1">IF(INDIRECT("'"&amp;A5944&amp;"'!"&amp;B5944)="",FALSE,IF(INDIRECT("'"&amp;A5944&amp;"'!"&amp;B5944)&lt;0,TRUE,FALSE))</f>
        <v>0</v>
      </c>
      <c r="E5944" t="s">
        <v>434</v>
      </c>
      <c r="F5944" t="str">
        <f>INDEX(Lists!I:I,MATCH(Validation!E5944,Lists!G:G,0))</f>
        <v>Error</v>
      </c>
      <c r="G5944" t="str">
        <f>INDEX(Lists!H:H,MATCH(Validation!E5944,Lists!G:G,0))</f>
        <v>Amount may not be negative. Enter an amount greater than or equal to zero.</v>
      </c>
      <c r="H5944" s="16" t="str">
        <f t="shared" ref="H5944:H5972" ca="1" si="657">IFERROR(IF(OR(NOT(D5944),F5944&lt;&gt;"Error"),"",A5944&amp;CELL("address",INDIRECT(B5944))),"")</f>
        <v/>
      </c>
      <c r="I5944" s="16" t="str">
        <f t="shared" ref="I5944:I5972" ca="1" si="658">IFERROR(IF(NOT(D5944),"",A5944&amp;CELL("address",INDIRECT(C5944))),"")</f>
        <v/>
      </c>
      <c r="J5944" s="17" t="str">
        <f t="shared" ref="J5944:J5972" ca="1" si="659">IFERROR(IF(NOT(D5944),"",A5944),"")</f>
        <v/>
      </c>
    </row>
    <row r="5945" spans="1:10" x14ac:dyDescent="0.25">
      <c r="A5945" t="s">
        <v>933</v>
      </c>
      <c r="B5945" t="str">
        <f>ADDRESS(ROW('Loan 1'!$B$28),COLUMN('Loan 1'!$B$28),4)</f>
        <v>B28</v>
      </c>
      <c r="C5945" t="str">
        <f>ADDRESS(ROW('Loan 1'!$D$28),COLUMN('Loan 1'!$D$28),4)</f>
        <v>D28</v>
      </c>
      <c r="D5945" t="b" cm="1">
        <f t="array" aca="1" ref="D5945" ca="1">IF(INDIRECT("'"&amp;A5945&amp;"'!"&amp;B5945)="",FALSE,IF(INDIRECT("'"&amp;A5945&amp;"'!"&amp;B5945)&lt;0,TRUE,FALSE))</f>
        <v>0</v>
      </c>
      <c r="E5945" t="s">
        <v>434</v>
      </c>
      <c r="F5945" t="str">
        <f>INDEX(Lists!I:I,MATCH(Validation!E5945,Lists!G:G,0))</f>
        <v>Error</v>
      </c>
      <c r="G5945" t="str">
        <f>INDEX(Lists!H:H,MATCH(Validation!E5945,Lists!G:G,0))</f>
        <v>Amount may not be negative. Enter an amount greater than or equal to zero.</v>
      </c>
      <c r="H5945" s="16" t="str">
        <f t="shared" ca="1" si="657"/>
        <v/>
      </c>
      <c r="I5945" s="16" t="str">
        <f t="shared" ca="1" si="658"/>
        <v/>
      </c>
      <c r="J5945" s="17" t="str">
        <f t="shared" ca="1" si="659"/>
        <v/>
      </c>
    </row>
    <row r="5946" spans="1:10" x14ac:dyDescent="0.25">
      <c r="A5946" t="s">
        <v>934</v>
      </c>
      <c r="B5946" t="str">
        <f>ADDRESS(ROW('Loan 1'!$B$28),COLUMN('Loan 1'!$B$28),4)</f>
        <v>B28</v>
      </c>
      <c r="C5946" t="str">
        <f>ADDRESS(ROW('Loan 1'!$D$28),COLUMN('Loan 1'!$D$28),4)</f>
        <v>D28</v>
      </c>
      <c r="D5946" t="b" cm="1">
        <f t="array" aca="1" ref="D5946" ca="1">IF(INDIRECT("'"&amp;A5946&amp;"'!"&amp;B5946)="",FALSE,IF(INDIRECT("'"&amp;A5946&amp;"'!"&amp;B5946)&lt;0,TRUE,FALSE))</f>
        <v>0</v>
      </c>
      <c r="E5946" t="s">
        <v>434</v>
      </c>
      <c r="F5946" t="str">
        <f>INDEX(Lists!I:I,MATCH(Validation!E5946,Lists!G:G,0))</f>
        <v>Error</v>
      </c>
      <c r="G5946" t="str">
        <f>INDEX(Lists!H:H,MATCH(Validation!E5946,Lists!G:G,0))</f>
        <v>Amount may not be negative. Enter an amount greater than or equal to zero.</v>
      </c>
      <c r="H5946" s="16" t="str">
        <f t="shared" ca="1" si="657"/>
        <v/>
      </c>
      <c r="I5946" s="16" t="str">
        <f t="shared" ca="1" si="658"/>
        <v/>
      </c>
      <c r="J5946" s="17" t="str">
        <f t="shared" ca="1" si="659"/>
        <v/>
      </c>
    </row>
    <row r="5947" spans="1:10" x14ac:dyDescent="0.25">
      <c r="A5947" t="s">
        <v>935</v>
      </c>
      <c r="B5947" t="str">
        <f>ADDRESS(ROW('Loan 1'!$B$28),COLUMN('Loan 1'!$B$28),4)</f>
        <v>B28</v>
      </c>
      <c r="C5947" t="str">
        <f>ADDRESS(ROW('Loan 1'!$D$28),COLUMN('Loan 1'!$D$28),4)</f>
        <v>D28</v>
      </c>
      <c r="D5947" t="b" cm="1">
        <f t="array" aca="1" ref="D5947" ca="1">IF(INDIRECT("'"&amp;A5947&amp;"'!"&amp;B5947)="",FALSE,IF(INDIRECT("'"&amp;A5947&amp;"'!"&amp;B5947)&lt;0,TRUE,FALSE))</f>
        <v>0</v>
      </c>
      <c r="E5947" t="s">
        <v>434</v>
      </c>
      <c r="F5947" t="str">
        <f>INDEX(Lists!I:I,MATCH(Validation!E5947,Lists!G:G,0))</f>
        <v>Error</v>
      </c>
      <c r="G5947" t="str">
        <f>INDEX(Lists!H:H,MATCH(Validation!E5947,Lists!G:G,0))</f>
        <v>Amount may not be negative. Enter an amount greater than or equal to zero.</v>
      </c>
      <c r="H5947" s="16" t="str">
        <f t="shared" ca="1" si="657"/>
        <v/>
      </c>
      <c r="I5947" s="16" t="str">
        <f t="shared" ca="1" si="658"/>
        <v/>
      </c>
      <c r="J5947" s="17" t="str">
        <f t="shared" ca="1" si="659"/>
        <v/>
      </c>
    </row>
    <row r="5948" spans="1:10" x14ac:dyDescent="0.25">
      <c r="A5948" t="s">
        <v>936</v>
      </c>
      <c r="B5948" t="str">
        <f>ADDRESS(ROW('Loan 1'!$B$28),COLUMN('Loan 1'!$B$28),4)</f>
        <v>B28</v>
      </c>
      <c r="C5948" t="str">
        <f>ADDRESS(ROW('Loan 1'!$D$28),COLUMN('Loan 1'!$D$28),4)</f>
        <v>D28</v>
      </c>
      <c r="D5948" t="b" cm="1">
        <f t="array" aca="1" ref="D5948" ca="1">IF(INDIRECT("'"&amp;A5948&amp;"'!"&amp;B5948)="",FALSE,IF(INDIRECT("'"&amp;A5948&amp;"'!"&amp;B5948)&lt;0,TRUE,FALSE))</f>
        <v>0</v>
      </c>
      <c r="E5948" t="s">
        <v>434</v>
      </c>
      <c r="F5948" t="str">
        <f>INDEX(Lists!I:I,MATCH(Validation!E5948,Lists!G:G,0))</f>
        <v>Error</v>
      </c>
      <c r="G5948" t="str">
        <f>INDEX(Lists!H:H,MATCH(Validation!E5948,Lists!G:G,0))</f>
        <v>Amount may not be negative. Enter an amount greater than or equal to zero.</v>
      </c>
      <c r="H5948" s="16" t="str">
        <f t="shared" ca="1" si="657"/>
        <v/>
      </c>
      <c r="I5948" s="16" t="str">
        <f t="shared" ca="1" si="658"/>
        <v/>
      </c>
      <c r="J5948" s="17" t="str">
        <f t="shared" ca="1" si="659"/>
        <v/>
      </c>
    </row>
    <row r="5949" spans="1:10" x14ac:dyDescent="0.25">
      <c r="A5949" t="s">
        <v>937</v>
      </c>
      <c r="B5949" t="str">
        <f>ADDRESS(ROW('Loan 1'!$B$28),COLUMN('Loan 1'!$B$28),4)</f>
        <v>B28</v>
      </c>
      <c r="C5949" t="str">
        <f>ADDRESS(ROW('Loan 1'!$D$28),COLUMN('Loan 1'!$D$28),4)</f>
        <v>D28</v>
      </c>
      <c r="D5949" t="b" cm="1">
        <f t="array" aca="1" ref="D5949" ca="1">IF(INDIRECT("'"&amp;A5949&amp;"'!"&amp;B5949)="",FALSE,IF(INDIRECT("'"&amp;A5949&amp;"'!"&amp;B5949)&lt;0,TRUE,FALSE))</f>
        <v>0</v>
      </c>
      <c r="E5949" t="s">
        <v>434</v>
      </c>
      <c r="F5949" t="str">
        <f>INDEX(Lists!I:I,MATCH(Validation!E5949,Lists!G:G,0))</f>
        <v>Error</v>
      </c>
      <c r="G5949" t="str">
        <f>INDEX(Lists!H:H,MATCH(Validation!E5949,Lists!G:G,0))</f>
        <v>Amount may not be negative. Enter an amount greater than or equal to zero.</v>
      </c>
      <c r="H5949" s="16" t="str">
        <f t="shared" ca="1" si="657"/>
        <v/>
      </c>
      <c r="I5949" s="16" t="str">
        <f t="shared" ca="1" si="658"/>
        <v/>
      </c>
      <c r="J5949" s="17" t="str">
        <f t="shared" ca="1" si="659"/>
        <v/>
      </c>
    </row>
    <row r="5950" spans="1:10" x14ac:dyDescent="0.25">
      <c r="A5950" t="s">
        <v>938</v>
      </c>
      <c r="B5950" t="str">
        <f>ADDRESS(ROW('Loan 1'!$B$28),COLUMN('Loan 1'!$B$28),4)</f>
        <v>B28</v>
      </c>
      <c r="C5950" t="str">
        <f>ADDRESS(ROW('Loan 1'!$D$28),COLUMN('Loan 1'!$D$28),4)</f>
        <v>D28</v>
      </c>
      <c r="D5950" t="b" cm="1">
        <f t="array" aca="1" ref="D5950" ca="1">IF(INDIRECT("'"&amp;A5950&amp;"'!"&amp;B5950)="",FALSE,IF(INDIRECT("'"&amp;A5950&amp;"'!"&amp;B5950)&lt;0,TRUE,FALSE))</f>
        <v>0</v>
      </c>
      <c r="E5950" t="s">
        <v>434</v>
      </c>
      <c r="F5950" t="str">
        <f>INDEX(Lists!I:I,MATCH(Validation!E5950,Lists!G:G,0))</f>
        <v>Error</v>
      </c>
      <c r="G5950" t="str">
        <f>INDEX(Lists!H:H,MATCH(Validation!E5950,Lists!G:G,0))</f>
        <v>Amount may not be negative. Enter an amount greater than or equal to zero.</v>
      </c>
      <c r="H5950" s="16" t="str">
        <f t="shared" ca="1" si="657"/>
        <v/>
      </c>
      <c r="I5950" s="16" t="str">
        <f t="shared" ca="1" si="658"/>
        <v/>
      </c>
      <c r="J5950" s="17" t="str">
        <f t="shared" ca="1" si="659"/>
        <v/>
      </c>
    </row>
    <row r="5951" spans="1:10" x14ac:dyDescent="0.25">
      <c r="A5951" t="s">
        <v>939</v>
      </c>
      <c r="B5951" t="str">
        <f>ADDRESS(ROW('Loan 1'!$B$28),COLUMN('Loan 1'!$B$28),4)</f>
        <v>B28</v>
      </c>
      <c r="C5951" t="str">
        <f>ADDRESS(ROW('Loan 1'!$D$28),COLUMN('Loan 1'!$D$28),4)</f>
        <v>D28</v>
      </c>
      <c r="D5951" t="b" cm="1">
        <f t="array" aca="1" ref="D5951" ca="1">IF(INDIRECT("'"&amp;A5951&amp;"'!"&amp;B5951)="",FALSE,IF(INDIRECT("'"&amp;A5951&amp;"'!"&amp;B5951)&lt;0,TRUE,FALSE))</f>
        <v>0</v>
      </c>
      <c r="E5951" t="s">
        <v>434</v>
      </c>
      <c r="F5951" t="str">
        <f>INDEX(Lists!I:I,MATCH(Validation!E5951,Lists!G:G,0))</f>
        <v>Error</v>
      </c>
      <c r="G5951" t="str">
        <f>INDEX(Lists!H:H,MATCH(Validation!E5951,Lists!G:G,0))</f>
        <v>Amount may not be negative. Enter an amount greater than or equal to zero.</v>
      </c>
      <c r="H5951" s="16" t="str">
        <f t="shared" ca="1" si="657"/>
        <v/>
      </c>
      <c r="I5951" s="16" t="str">
        <f t="shared" ca="1" si="658"/>
        <v/>
      </c>
      <c r="J5951" s="17" t="str">
        <f t="shared" ca="1" si="659"/>
        <v/>
      </c>
    </row>
    <row r="5952" spans="1:10" x14ac:dyDescent="0.25">
      <c r="A5952" t="s">
        <v>940</v>
      </c>
      <c r="B5952" t="str">
        <f>ADDRESS(ROW('Loan 1'!$B$28),COLUMN('Loan 1'!$B$28),4)</f>
        <v>B28</v>
      </c>
      <c r="C5952" t="str">
        <f>ADDRESS(ROW('Loan 1'!$D$28),COLUMN('Loan 1'!$D$28),4)</f>
        <v>D28</v>
      </c>
      <c r="D5952" t="b" cm="1">
        <f t="array" aca="1" ref="D5952" ca="1">IF(INDIRECT("'"&amp;A5952&amp;"'!"&amp;B5952)="",FALSE,IF(INDIRECT("'"&amp;A5952&amp;"'!"&amp;B5952)&lt;0,TRUE,FALSE))</f>
        <v>0</v>
      </c>
      <c r="E5952" t="s">
        <v>434</v>
      </c>
      <c r="F5952" t="str">
        <f>INDEX(Lists!I:I,MATCH(Validation!E5952,Lists!G:G,0))</f>
        <v>Error</v>
      </c>
      <c r="G5952" t="str">
        <f>INDEX(Lists!H:H,MATCH(Validation!E5952,Lists!G:G,0))</f>
        <v>Amount may not be negative. Enter an amount greater than or equal to zero.</v>
      </c>
      <c r="H5952" s="16" t="str">
        <f t="shared" ca="1" si="657"/>
        <v/>
      </c>
      <c r="I5952" s="16" t="str">
        <f t="shared" ca="1" si="658"/>
        <v/>
      </c>
      <c r="J5952" s="17" t="str">
        <f t="shared" ca="1" si="659"/>
        <v/>
      </c>
    </row>
    <row r="5953" spans="1:10" x14ac:dyDescent="0.25">
      <c r="A5953" t="s">
        <v>941</v>
      </c>
      <c r="B5953" t="str">
        <f>ADDRESS(ROW('Loan 1'!$B$28),COLUMN('Loan 1'!$B$28),4)</f>
        <v>B28</v>
      </c>
      <c r="C5953" t="str">
        <f>ADDRESS(ROW('Loan 1'!$D$28),COLUMN('Loan 1'!$D$28),4)</f>
        <v>D28</v>
      </c>
      <c r="D5953" t="b" cm="1">
        <f t="array" aca="1" ref="D5953" ca="1">IF(INDIRECT("'"&amp;A5953&amp;"'!"&amp;B5953)="",FALSE,IF(INDIRECT("'"&amp;A5953&amp;"'!"&amp;B5953)&lt;0,TRUE,FALSE))</f>
        <v>0</v>
      </c>
      <c r="E5953" t="s">
        <v>434</v>
      </c>
      <c r="F5953" t="str">
        <f>INDEX(Lists!I:I,MATCH(Validation!E5953,Lists!G:G,0))</f>
        <v>Error</v>
      </c>
      <c r="G5953" t="str">
        <f>INDEX(Lists!H:H,MATCH(Validation!E5953,Lists!G:G,0))</f>
        <v>Amount may not be negative. Enter an amount greater than or equal to zero.</v>
      </c>
      <c r="H5953" s="16" t="str">
        <f t="shared" ca="1" si="657"/>
        <v/>
      </c>
      <c r="I5953" s="16" t="str">
        <f t="shared" ca="1" si="658"/>
        <v/>
      </c>
      <c r="J5953" s="17" t="str">
        <f t="shared" ca="1" si="659"/>
        <v/>
      </c>
    </row>
    <row r="5954" spans="1:10" x14ac:dyDescent="0.25">
      <c r="A5954" t="s">
        <v>942</v>
      </c>
      <c r="B5954" t="str">
        <f>ADDRESS(ROW('Loan 1'!$B$28),COLUMN('Loan 1'!$B$28),4)</f>
        <v>B28</v>
      </c>
      <c r="C5954" t="str">
        <f>ADDRESS(ROW('Loan 1'!$D$28),COLUMN('Loan 1'!$D$28),4)</f>
        <v>D28</v>
      </c>
      <c r="D5954" t="b" cm="1">
        <f t="array" aca="1" ref="D5954" ca="1">IF(INDIRECT("'"&amp;A5954&amp;"'!"&amp;B5954)="",FALSE,IF(INDIRECT("'"&amp;A5954&amp;"'!"&amp;B5954)&lt;0,TRUE,FALSE))</f>
        <v>0</v>
      </c>
      <c r="E5954" t="s">
        <v>434</v>
      </c>
      <c r="F5954" t="str">
        <f>INDEX(Lists!I:I,MATCH(Validation!E5954,Lists!G:G,0))</f>
        <v>Error</v>
      </c>
      <c r="G5954" t="str">
        <f>INDEX(Lists!H:H,MATCH(Validation!E5954,Lists!G:G,0))</f>
        <v>Amount may not be negative. Enter an amount greater than or equal to zero.</v>
      </c>
      <c r="H5954" s="16" t="str">
        <f t="shared" ca="1" si="657"/>
        <v/>
      </c>
      <c r="I5954" s="16" t="str">
        <f t="shared" ca="1" si="658"/>
        <v/>
      </c>
      <c r="J5954" s="17" t="str">
        <f t="shared" ca="1" si="659"/>
        <v/>
      </c>
    </row>
    <row r="5955" spans="1:10" x14ac:dyDescent="0.25">
      <c r="A5955" t="s">
        <v>943</v>
      </c>
      <c r="B5955" t="str">
        <f>ADDRESS(ROW('Loan 1'!$B$28),COLUMN('Loan 1'!$B$28),4)</f>
        <v>B28</v>
      </c>
      <c r="C5955" t="str">
        <f>ADDRESS(ROW('Loan 1'!$D$28),COLUMN('Loan 1'!$D$28),4)</f>
        <v>D28</v>
      </c>
      <c r="D5955" t="b" cm="1">
        <f t="array" aca="1" ref="D5955" ca="1">IF(INDIRECT("'"&amp;A5955&amp;"'!"&amp;B5955)="",FALSE,IF(INDIRECT("'"&amp;A5955&amp;"'!"&amp;B5955)&lt;0,TRUE,FALSE))</f>
        <v>0</v>
      </c>
      <c r="E5955" t="s">
        <v>434</v>
      </c>
      <c r="F5955" t="str">
        <f>INDEX(Lists!I:I,MATCH(Validation!E5955,Lists!G:G,0))</f>
        <v>Error</v>
      </c>
      <c r="G5955" t="str">
        <f>INDEX(Lists!H:H,MATCH(Validation!E5955,Lists!G:G,0))</f>
        <v>Amount may not be negative. Enter an amount greater than or equal to zero.</v>
      </c>
      <c r="H5955" s="16" t="str">
        <f t="shared" ca="1" si="657"/>
        <v/>
      </c>
      <c r="I5955" s="16" t="str">
        <f t="shared" ca="1" si="658"/>
        <v/>
      </c>
      <c r="J5955" s="17" t="str">
        <f t="shared" ca="1" si="659"/>
        <v/>
      </c>
    </row>
    <row r="5956" spans="1:10" x14ac:dyDescent="0.25">
      <c r="A5956" t="s">
        <v>944</v>
      </c>
      <c r="B5956" t="str">
        <f>ADDRESS(ROW('Loan 1'!$B$28),COLUMN('Loan 1'!$B$28),4)</f>
        <v>B28</v>
      </c>
      <c r="C5956" t="str">
        <f>ADDRESS(ROW('Loan 1'!$D$28),COLUMN('Loan 1'!$D$28),4)</f>
        <v>D28</v>
      </c>
      <c r="D5956" t="b" cm="1">
        <f t="array" aca="1" ref="D5956" ca="1">IF(INDIRECT("'"&amp;A5956&amp;"'!"&amp;B5956)="",FALSE,IF(INDIRECT("'"&amp;A5956&amp;"'!"&amp;B5956)&lt;0,TRUE,FALSE))</f>
        <v>0</v>
      </c>
      <c r="E5956" t="s">
        <v>434</v>
      </c>
      <c r="F5956" t="str">
        <f>INDEX(Lists!I:I,MATCH(Validation!E5956,Lists!G:G,0))</f>
        <v>Error</v>
      </c>
      <c r="G5956" t="str">
        <f>INDEX(Lists!H:H,MATCH(Validation!E5956,Lists!G:G,0))</f>
        <v>Amount may not be negative. Enter an amount greater than or equal to zero.</v>
      </c>
      <c r="H5956" s="16" t="str">
        <f t="shared" ca="1" si="657"/>
        <v/>
      </c>
      <c r="I5956" s="16" t="str">
        <f t="shared" ca="1" si="658"/>
        <v/>
      </c>
      <c r="J5956" s="17" t="str">
        <f t="shared" ca="1" si="659"/>
        <v/>
      </c>
    </row>
    <row r="5957" spans="1:10" x14ac:dyDescent="0.25">
      <c r="A5957" t="s">
        <v>945</v>
      </c>
      <c r="B5957" t="str">
        <f>ADDRESS(ROW('Loan 1'!$B$28),COLUMN('Loan 1'!$B$28),4)</f>
        <v>B28</v>
      </c>
      <c r="C5957" t="str">
        <f>ADDRESS(ROW('Loan 1'!$D$28),COLUMN('Loan 1'!$D$28),4)</f>
        <v>D28</v>
      </c>
      <c r="D5957" t="b" cm="1">
        <f t="array" aca="1" ref="D5957" ca="1">IF(INDIRECT("'"&amp;A5957&amp;"'!"&amp;B5957)="",FALSE,IF(INDIRECT("'"&amp;A5957&amp;"'!"&amp;B5957)&lt;0,TRUE,FALSE))</f>
        <v>0</v>
      </c>
      <c r="E5957" t="s">
        <v>434</v>
      </c>
      <c r="F5957" t="str">
        <f>INDEX(Lists!I:I,MATCH(Validation!E5957,Lists!G:G,0))</f>
        <v>Error</v>
      </c>
      <c r="G5957" t="str">
        <f>INDEX(Lists!H:H,MATCH(Validation!E5957,Lists!G:G,0))</f>
        <v>Amount may not be negative. Enter an amount greater than or equal to zero.</v>
      </c>
      <c r="H5957" s="16" t="str">
        <f t="shared" ca="1" si="657"/>
        <v/>
      </c>
      <c r="I5957" s="16" t="str">
        <f t="shared" ca="1" si="658"/>
        <v/>
      </c>
      <c r="J5957" s="17" t="str">
        <f t="shared" ca="1" si="659"/>
        <v/>
      </c>
    </row>
    <row r="5958" spans="1:10" x14ac:dyDescent="0.25">
      <c r="A5958" t="s">
        <v>205</v>
      </c>
      <c r="B5958" t="str">
        <f>ADDRESS(ROW('Loan 1'!$B$28),COLUMN('Loan 1'!$B$28),4)</f>
        <v>B28</v>
      </c>
      <c r="C5958" t="str">
        <f>ADDRESS(ROW('Loan 1'!$D$28),COLUMN('Loan 1'!$D$28),4)</f>
        <v>D28</v>
      </c>
      <c r="D5958" t="b" cm="1">
        <f t="array" aca="1" ref="D5958" ca="1">IF(INDIRECT("'"&amp;A5958&amp;"'!"&amp;B5958)="",FALSE,IF(TRUNC(INDIRECT("'"&amp;A5958&amp;"'!"&amp;B5958))=INDIRECT("'"&amp;A5958&amp;"'!"&amp;B5958),FALSE,TRUE))</f>
        <v>0</v>
      </c>
      <c r="E5958" t="s">
        <v>436</v>
      </c>
      <c r="F5958" t="str">
        <f>INDEX(Lists!I:I,MATCH(Validation!E5958,Lists!G:G,0))</f>
        <v>Error</v>
      </c>
      <c r="G5958" t="str">
        <f>INDEX(Lists!H:H,MATCH(Validation!E5958,Lists!G:G,0))</f>
        <v>Amount must be rounded to the nearest dollar.</v>
      </c>
      <c r="H5958" s="16" t="str">
        <f t="shared" ca="1" si="657"/>
        <v/>
      </c>
      <c r="I5958" s="16" t="str">
        <f t="shared" ca="1" si="658"/>
        <v/>
      </c>
      <c r="J5958" s="17" t="str">
        <f t="shared" ca="1" si="659"/>
        <v/>
      </c>
    </row>
    <row r="5959" spans="1:10" x14ac:dyDescent="0.25">
      <c r="A5959" t="s">
        <v>932</v>
      </c>
      <c r="B5959" t="str">
        <f>ADDRESS(ROW('Loan 1'!$B$28),COLUMN('Loan 1'!$B$28),4)</f>
        <v>B28</v>
      </c>
      <c r="C5959" t="str">
        <f>ADDRESS(ROW('Loan 1'!$D$28),COLUMN('Loan 1'!$D$28),4)</f>
        <v>D28</v>
      </c>
      <c r="D5959" t="b" cm="1">
        <f t="array" aca="1" ref="D5959" ca="1">IF(INDIRECT("'"&amp;A5959&amp;"'!"&amp;B5959)="",FALSE,IF(TRUNC(INDIRECT("'"&amp;A5959&amp;"'!"&amp;B5959))=INDIRECT("'"&amp;A5959&amp;"'!"&amp;B5959),FALSE,TRUE))</f>
        <v>0</v>
      </c>
      <c r="E5959" t="s">
        <v>436</v>
      </c>
      <c r="F5959" t="str">
        <f>INDEX(Lists!I:I,MATCH(Validation!E5959,Lists!G:G,0))</f>
        <v>Error</v>
      </c>
      <c r="G5959" t="str">
        <f>INDEX(Lists!H:H,MATCH(Validation!E5959,Lists!G:G,0))</f>
        <v>Amount must be rounded to the nearest dollar.</v>
      </c>
      <c r="H5959" s="16" t="str">
        <f t="shared" ca="1" si="657"/>
        <v/>
      </c>
      <c r="I5959" s="16" t="str">
        <f t="shared" ca="1" si="658"/>
        <v/>
      </c>
      <c r="J5959" s="17" t="str">
        <f t="shared" ca="1" si="659"/>
        <v/>
      </c>
    </row>
    <row r="5960" spans="1:10" x14ac:dyDescent="0.25">
      <c r="A5960" t="s">
        <v>933</v>
      </c>
      <c r="B5960" t="str">
        <f>ADDRESS(ROW('Loan 1'!$B$28),COLUMN('Loan 1'!$B$28),4)</f>
        <v>B28</v>
      </c>
      <c r="C5960" t="str">
        <f>ADDRESS(ROW('Loan 1'!$D$28),COLUMN('Loan 1'!$D$28),4)</f>
        <v>D28</v>
      </c>
      <c r="D5960" t="b" cm="1">
        <f t="array" aca="1" ref="D5960" ca="1">IF(INDIRECT("'"&amp;A5960&amp;"'!"&amp;B5960)="",FALSE,IF(TRUNC(INDIRECT("'"&amp;A5960&amp;"'!"&amp;B5960))=INDIRECT("'"&amp;A5960&amp;"'!"&amp;B5960),FALSE,TRUE))</f>
        <v>0</v>
      </c>
      <c r="E5960" t="s">
        <v>436</v>
      </c>
      <c r="F5960" t="str">
        <f>INDEX(Lists!I:I,MATCH(Validation!E5960,Lists!G:G,0))</f>
        <v>Error</v>
      </c>
      <c r="G5960" t="str">
        <f>INDEX(Lists!H:H,MATCH(Validation!E5960,Lists!G:G,0))</f>
        <v>Amount must be rounded to the nearest dollar.</v>
      </c>
      <c r="H5960" s="16" t="str">
        <f t="shared" ca="1" si="657"/>
        <v/>
      </c>
      <c r="I5960" s="16" t="str">
        <f t="shared" ca="1" si="658"/>
        <v/>
      </c>
      <c r="J5960" s="17" t="str">
        <f t="shared" ca="1" si="659"/>
        <v/>
      </c>
    </row>
    <row r="5961" spans="1:10" x14ac:dyDescent="0.25">
      <c r="A5961" t="s">
        <v>934</v>
      </c>
      <c r="B5961" t="str">
        <f>ADDRESS(ROW('Loan 1'!$B$28),COLUMN('Loan 1'!$B$28),4)</f>
        <v>B28</v>
      </c>
      <c r="C5961" t="str">
        <f>ADDRESS(ROW('Loan 1'!$D$28),COLUMN('Loan 1'!$D$28),4)</f>
        <v>D28</v>
      </c>
      <c r="D5961" t="b" cm="1">
        <f t="array" aca="1" ref="D5961" ca="1">IF(INDIRECT("'"&amp;A5961&amp;"'!"&amp;B5961)="",FALSE,IF(TRUNC(INDIRECT("'"&amp;A5961&amp;"'!"&amp;B5961))=INDIRECT("'"&amp;A5961&amp;"'!"&amp;B5961),FALSE,TRUE))</f>
        <v>0</v>
      </c>
      <c r="E5961" t="s">
        <v>436</v>
      </c>
      <c r="F5961" t="str">
        <f>INDEX(Lists!I:I,MATCH(Validation!E5961,Lists!G:G,0))</f>
        <v>Error</v>
      </c>
      <c r="G5961" t="str">
        <f>INDEX(Lists!H:H,MATCH(Validation!E5961,Lists!G:G,0))</f>
        <v>Amount must be rounded to the nearest dollar.</v>
      </c>
      <c r="H5961" s="16" t="str">
        <f t="shared" ca="1" si="657"/>
        <v/>
      </c>
      <c r="I5961" s="16" t="str">
        <f t="shared" ca="1" si="658"/>
        <v/>
      </c>
      <c r="J5961" s="17" t="str">
        <f t="shared" ca="1" si="659"/>
        <v/>
      </c>
    </row>
    <row r="5962" spans="1:10" x14ac:dyDescent="0.25">
      <c r="A5962" t="s">
        <v>935</v>
      </c>
      <c r="B5962" t="str">
        <f>ADDRESS(ROW('Loan 1'!$B$28),COLUMN('Loan 1'!$B$28),4)</f>
        <v>B28</v>
      </c>
      <c r="C5962" t="str">
        <f>ADDRESS(ROW('Loan 1'!$D$28),COLUMN('Loan 1'!$D$28),4)</f>
        <v>D28</v>
      </c>
      <c r="D5962" t="b" cm="1">
        <f t="array" aca="1" ref="D5962" ca="1">IF(INDIRECT("'"&amp;A5962&amp;"'!"&amp;B5962)="",FALSE,IF(TRUNC(INDIRECT("'"&amp;A5962&amp;"'!"&amp;B5962))=INDIRECT("'"&amp;A5962&amp;"'!"&amp;B5962),FALSE,TRUE))</f>
        <v>0</v>
      </c>
      <c r="E5962" t="s">
        <v>436</v>
      </c>
      <c r="F5962" t="str">
        <f>INDEX(Lists!I:I,MATCH(Validation!E5962,Lists!G:G,0))</f>
        <v>Error</v>
      </c>
      <c r="G5962" t="str">
        <f>INDEX(Lists!H:H,MATCH(Validation!E5962,Lists!G:G,0))</f>
        <v>Amount must be rounded to the nearest dollar.</v>
      </c>
      <c r="H5962" s="16" t="str">
        <f t="shared" ca="1" si="657"/>
        <v/>
      </c>
      <c r="I5962" s="16" t="str">
        <f t="shared" ca="1" si="658"/>
        <v/>
      </c>
      <c r="J5962" s="17" t="str">
        <f t="shared" ca="1" si="659"/>
        <v/>
      </c>
    </row>
    <row r="5963" spans="1:10" x14ac:dyDescent="0.25">
      <c r="A5963" t="s">
        <v>936</v>
      </c>
      <c r="B5963" t="str">
        <f>ADDRESS(ROW('Loan 1'!$B$28),COLUMN('Loan 1'!$B$28),4)</f>
        <v>B28</v>
      </c>
      <c r="C5963" t="str">
        <f>ADDRESS(ROW('Loan 1'!$D$28),COLUMN('Loan 1'!$D$28),4)</f>
        <v>D28</v>
      </c>
      <c r="D5963" t="b" cm="1">
        <f t="array" aca="1" ref="D5963" ca="1">IF(INDIRECT("'"&amp;A5963&amp;"'!"&amp;B5963)="",FALSE,IF(TRUNC(INDIRECT("'"&amp;A5963&amp;"'!"&amp;B5963))=INDIRECT("'"&amp;A5963&amp;"'!"&amp;B5963),FALSE,TRUE))</f>
        <v>0</v>
      </c>
      <c r="E5963" t="s">
        <v>436</v>
      </c>
      <c r="F5963" t="str">
        <f>INDEX(Lists!I:I,MATCH(Validation!E5963,Lists!G:G,0))</f>
        <v>Error</v>
      </c>
      <c r="G5963" t="str">
        <f>INDEX(Lists!H:H,MATCH(Validation!E5963,Lists!G:G,0))</f>
        <v>Amount must be rounded to the nearest dollar.</v>
      </c>
      <c r="H5963" s="16" t="str">
        <f t="shared" ca="1" si="657"/>
        <v/>
      </c>
      <c r="I5963" s="16" t="str">
        <f t="shared" ca="1" si="658"/>
        <v/>
      </c>
      <c r="J5963" s="17" t="str">
        <f t="shared" ca="1" si="659"/>
        <v/>
      </c>
    </row>
    <row r="5964" spans="1:10" x14ac:dyDescent="0.25">
      <c r="A5964" t="s">
        <v>937</v>
      </c>
      <c r="B5964" t="str">
        <f>ADDRESS(ROW('Loan 1'!$B$28),COLUMN('Loan 1'!$B$28),4)</f>
        <v>B28</v>
      </c>
      <c r="C5964" t="str">
        <f>ADDRESS(ROW('Loan 1'!$D$28),COLUMN('Loan 1'!$D$28),4)</f>
        <v>D28</v>
      </c>
      <c r="D5964" t="b" cm="1">
        <f t="array" aca="1" ref="D5964" ca="1">IF(INDIRECT("'"&amp;A5964&amp;"'!"&amp;B5964)="",FALSE,IF(TRUNC(INDIRECT("'"&amp;A5964&amp;"'!"&amp;B5964))=INDIRECT("'"&amp;A5964&amp;"'!"&amp;B5964),FALSE,TRUE))</f>
        <v>0</v>
      </c>
      <c r="E5964" t="s">
        <v>436</v>
      </c>
      <c r="F5964" t="str">
        <f>INDEX(Lists!I:I,MATCH(Validation!E5964,Lists!G:G,0))</f>
        <v>Error</v>
      </c>
      <c r="G5964" t="str">
        <f>INDEX(Lists!H:H,MATCH(Validation!E5964,Lists!G:G,0))</f>
        <v>Amount must be rounded to the nearest dollar.</v>
      </c>
      <c r="H5964" s="16" t="str">
        <f t="shared" ca="1" si="657"/>
        <v/>
      </c>
      <c r="I5964" s="16" t="str">
        <f t="shared" ca="1" si="658"/>
        <v/>
      </c>
      <c r="J5964" s="17" t="str">
        <f t="shared" ca="1" si="659"/>
        <v/>
      </c>
    </row>
    <row r="5965" spans="1:10" x14ac:dyDescent="0.25">
      <c r="A5965" t="s">
        <v>938</v>
      </c>
      <c r="B5965" t="str">
        <f>ADDRESS(ROW('Loan 1'!$B$28),COLUMN('Loan 1'!$B$28),4)</f>
        <v>B28</v>
      </c>
      <c r="C5965" t="str">
        <f>ADDRESS(ROW('Loan 1'!$D$28),COLUMN('Loan 1'!$D$28),4)</f>
        <v>D28</v>
      </c>
      <c r="D5965" t="b" cm="1">
        <f t="array" aca="1" ref="D5965" ca="1">IF(INDIRECT("'"&amp;A5965&amp;"'!"&amp;B5965)="",FALSE,IF(TRUNC(INDIRECT("'"&amp;A5965&amp;"'!"&amp;B5965))=INDIRECT("'"&amp;A5965&amp;"'!"&amp;B5965),FALSE,TRUE))</f>
        <v>0</v>
      </c>
      <c r="E5965" t="s">
        <v>436</v>
      </c>
      <c r="F5965" t="str">
        <f>INDEX(Lists!I:I,MATCH(Validation!E5965,Lists!G:G,0))</f>
        <v>Error</v>
      </c>
      <c r="G5965" t="str">
        <f>INDEX(Lists!H:H,MATCH(Validation!E5965,Lists!G:G,0))</f>
        <v>Amount must be rounded to the nearest dollar.</v>
      </c>
      <c r="H5965" s="16" t="str">
        <f t="shared" ca="1" si="657"/>
        <v/>
      </c>
      <c r="I5965" s="16" t="str">
        <f t="shared" ca="1" si="658"/>
        <v/>
      </c>
      <c r="J5965" s="17" t="str">
        <f t="shared" ca="1" si="659"/>
        <v/>
      </c>
    </row>
    <row r="5966" spans="1:10" x14ac:dyDescent="0.25">
      <c r="A5966" t="s">
        <v>939</v>
      </c>
      <c r="B5966" t="str">
        <f>ADDRESS(ROW('Loan 1'!$B$28),COLUMN('Loan 1'!$B$28),4)</f>
        <v>B28</v>
      </c>
      <c r="C5966" t="str">
        <f>ADDRESS(ROW('Loan 1'!$D$28),COLUMN('Loan 1'!$D$28),4)</f>
        <v>D28</v>
      </c>
      <c r="D5966" t="b" cm="1">
        <f t="array" aca="1" ref="D5966" ca="1">IF(INDIRECT("'"&amp;A5966&amp;"'!"&amp;B5966)="",FALSE,IF(TRUNC(INDIRECT("'"&amp;A5966&amp;"'!"&amp;B5966))=INDIRECT("'"&amp;A5966&amp;"'!"&amp;B5966),FALSE,TRUE))</f>
        <v>0</v>
      </c>
      <c r="E5966" t="s">
        <v>436</v>
      </c>
      <c r="F5966" t="str">
        <f>INDEX(Lists!I:I,MATCH(Validation!E5966,Lists!G:G,0))</f>
        <v>Error</v>
      </c>
      <c r="G5966" t="str">
        <f>INDEX(Lists!H:H,MATCH(Validation!E5966,Lists!G:G,0))</f>
        <v>Amount must be rounded to the nearest dollar.</v>
      </c>
      <c r="H5966" s="16" t="str">
        <f t="shared" ca="1" si="657"/>
        <v/>
      </c>
      <c r="I5966" s="16" t="str">
        <f t="shared" ca="1" si="658"/>
        <v/>
      </c>
      <c r="J5966" s="17" t="str">
        <f t="shared" ca="1" si="659"/>
        <v/>
      </c>
    </row>
    <row r="5967" spans="1:10" x14ac:dyDescent="0.25">
      <c r="A5967" t="s">
        <v>940</v>
      </c>
      <c r="B5967" t="str">
        <f>ADDRESS(ROW('Loan 1'!$B$28),COLUMN('Loan 1'!$B$28),4)</f>
        <v>B28</v>
      </c>
      <c r="C5967" t="str">
        <f>ADDRESS(ROW('Loan 1'!$D$28),COLUMN('Loan 1'!$D$28),4)</f>
        <v>D28</v>
      </c>
      <c r="D5967" t="b" cm="1">
        <f t="array" aca="1" ref="D5967" ca="1">IF(INDIRECT("'"&amp;A5967&amp;"'!"&amp;B5967)="",FALSE,IF(TRUNC(INDIRECT("'"&amp;A5967&amp;"'!"&amp;B5967))=INDIRECT("'"&amp;A5967&amp;"'!"&amp;B5967),FALSE,TRUE))</f>
        <v>0</v>
      </c>
      <c r="E5967" t="s">
        <v>436</v>
      </c>
      <c r="F5967" t="str">
        <f>INDEX(Lists!I:I,MATCH(Validation!E5967,Lists!G:G,0))</f>
        <v>Error</v>
      </c>
      <c r="G5967" t="str">
        <f>INDEX(Lists!H:H,MATCH(Validation!E5967,Lists!G:G,0))</f>
        <v>Amount must be rounded to the nearest dollar.</v>
      </c>
      <c r="H5967" s="16" t="str">
        <f t="shared" ca="1" si="657"/>
        <v/>
      </c>
      <c r="I5967" s="16" t="str">
        <f t="shared" ca="1" si="658"/>
        <v/>
      </c>
      <c r="J5967" s="17" t="str">
        <f t="shared" ca="1" si="659"/>
        <v/>
      </c>
    </row>
    <row r="5968" spans="1:10" x14ac:dyDescent="0.25">
      <c r="A5968" t="s">
        <v>941</v>
      </c>
      <c r="B5968" t="str">
        <f>ADDRESS(ROW('Loan 1'!$B$28),COLUMN('Loan 1'!$B$28),4)</f>
        <v>B28</v>
      </c>
      <c r="C5968" t="str">
        <f>ADDRESS(ROW('Loan 1'!$D$28),COLUMN('Loan 1'!$D$28),4)</f>
        <v>D28</v>
      </c>
      <c r="D5968" t="b" cm="1">
        <f t="array" aca="1" ref="D5968" ca="1">IF(INDIRECT("'"&amp;A5968&amp;"'!"&amp;B5968)="",FALSE,IF(TRUNC(INDIRECT("'"&amp;A5968&amp;"'!"&amp;B5968))=INDIRECT("'"&amp;A5968&amp;"'!"&amp;B5968),FALSE,TRUE))</f>
        <v>0</v>
      </c>
      <c r="E5968" t="s">
        <v>436</v>
      </c>
      <c r="F5968" t="str">
        <f>INDEX(Lists!I:I,MATCH(Validation!E5968,Lists!G:G,0))</f>
        <v>Error</v>
      </c>
      <c r="G5968" t="str">
        <f>INDEX(Lists!H:H,MATCH(Validation!E5968,Lists!G:G,0))</f>
        <v>Amount must be rounded to the nearest dollar.</v>
      </c>
      <c r="H5968" s="16" t="str">
        <f t="shared" ca="1" si="657"/>
        <v/>
      </c>
      <c r="I5968" s="16" t="str">
        <f t="shared" ca="1" si="658"/>
        <v/>
      </c>
      <c r="J5968" s="17" t="str">
        <f t="shared" ca="1" si="659"/>
        <v/>
      </c>
    </row>
    <row r="5969" spans="1:10" x14ac:dyDescent="0.25">
      <c r="A5969" t="s">
        <v>942</v>
      </c>
      <c r="B5969" t="str">
        <f>ADDRESS(ROW('Loan 1'!$B$28),COLUMN('Loan 1'!$B$28),4)</f>
        <v>B28</v>
      </c>
      <c r="C5969" t="str">
        <f>ADDRESS(ROW('Loan 1'!$D$28),COLUMN('Loan 1'!$D$28),4)</f>
        <v>D28</v>
      </c>
      <c r="D5969" t="b" cm="1">
        <f t="array" aca="1" ref="D5969" ca="1">IF(INDIRECT("'"&amp;A5969&amp;"'!"&amp;B5969)="",FALSE,IF(TRUNC(INDIRECT("'"&amp;A5969&amp;"'!"&amp;B5969))=INDIRECT("'"&amp;A5969&amp;"'!"&amp;B5969),FALSE,TRUE))</f>
        <v>0</v>
      </c>
      <c r="E5969" t="s">
        <v>436</v>
      </c>
      <c r="F5969" t="str">
        <f>INDEX(Lists!I:I,MATCH(Validation!E5969,Lists!G:G,0))</f>
        <v>Error</v>
      </c>
      <c r="G5969" t="str">
        <f>INDEX(Lists!H:H,MATCH(Validation!E5969,Lists!G:G,0))</f>
        <v>Amount must be rounded to the nearest dollar.</v>
      </c>
      <c r="H5969" s="16" t="str">
        <f t="shared" ca="1" si="657"/>
        <v/>
      </c>
      <c r="I5969" s="16" t="str">
        <f t="shared" ca="1" si="658"/>
        <v/>
      </c>
      <c r="J5969" s="17" t="str">
        <f t="shared" ca="1" si="659"/>
        <v/>
      </c>
    </row>
    <row r="5970" spans="1:10" x14ac:dyDescent="0.25">
      <c r="A5970" t="s">
        <v>943</v>
      </c>
      <c r="B5970" t="str">
        <f>ADDRESS(ROW('Loan 1'!$B$28),COLUMN('Loan 1'!$B$28),4)</f>
        <v>B28</v>
      </c>
      <c r="C5970" t="str">
        <f>ADDRESS(ROW('Loan 1'!$D$28),COLUMN('Loan 1'!$D$28),4)</f>
        <v>D28</v>
      </c>
      <c r="D5970" t="b" cm="1">
        <f t="array" aca="1" ref="D5970" ca="1">IF(INDIRECT("'"&amp;A5970&amp;"'!"&amp;B5970)="",FALSE,IF(TRUNC(INDIRECT("'"&amp;A5970&amp;"'!"&amp;B5970))=INDIRECT("'"&amp;A5970&amp;"'!"&amp;B5970),FALSE,TRUE))</f>
        <v>0</v>
      </c>
      <c r="E5970" t="s">
        <v>436</v>
      </c>
      <c r="F5970" t="str">
        <f>INDEX(Lists!I:I,MATCH(Validation!E5970,Lists!G:G,0))</f>
        <v>Error</v>
      </c>
      <c r="G5970" t="str">
        <f>INDEX(Lists!H:H,MATCH(Validation!E5970,Lists!G:G,0))</f>
        <v>Amount must be rounded to the nearest dollar.</v>
      </c>
      <c r="H5970" s="16" t="str">
        <f t="shared" ca="1" si="657"/>
        <v/>
      </c>
      <c r="I5970" s="16" t="str">
        <f t="shared" ca="1" si="658"/>
        <v/>
      </c>
      <c r="J5970" s="17" t="str">
        <f t="shared" ca="1" si="659"/>
        <v/>
      </c>
    </row>
    <row r="5971" spans="1:10" x14ac:dyDescent="0.25">
      <c r="A5971" t="s">
        <v>944</v>
      </c>
      <c r="B5971" t="str">
        <f>ADDRESS(ROW('Loan 1'!$B$28),COLUMN('Loan 1'!$B$28),4)</f>
        <v>B28</v>
      </c>
      <c r="C5971" t="str">
        <f>ADDRESS(ROW('Loan 1'!$D$28),COLUMN('Loan 1'!$D$28),4)</f>
        <v>D28</v>
      </c>
      <c r="D5971" t="b" cm="1">
        <f t="array" aca="1" ref="D5971" ca="1">IF(INDIRECT("'"&amp;A5971&amp;"'!"&amp;B5971)="",FALSE,IF(TRUNC(INDIRECT("'"&amp;A5971&amp;"'!"&amp;B5971))=INDIRECT("'"&amp;A5971&amp;"'!"&amp;B5971),FALSE,TRUE))</f>
        <v>0</v>
      </c>
      <c r="E5971" t="s">
        <v>436</v>
      </c>
      <c r="F5971" t="str">
        <f>INDEX(Lists!I:I,MATCH(Validation!E5971,Lists!G:G,0))</f>
        <v>Error</v>
      </c>
      <c r="G5971" t="str">
        <f>INDEX(Lists!H:H,MATCH(Validation!E5971,Lists!G:G,0))</f>
        <v>Amount must be rounded to the nearest dollar.</v>
      </c>
      <c r="H5971" s="16" t="str">
        <f t="shared" ca="1" si="657"/>
        <v/>
      </c>
      <c r="I5971" s="16" t="str">
        <f t="shared" ca="1" si="658"/>
        <v/>
      </c>
      <c r="J5971" s="17" t="str">
        <f t="shared" ca="1" si="659"/>
        <v/>
      </c>
    </row>
    <row r="5972" spans="1:10" x14ac:dyDescent="0.25">
      <c r="A5972" t="s">
        <v>945</v>
      </c>
      <c r="B5972" t="str">
        <f>ADDRESS(ROW('Loan 1'!$B$28),COLUMN('Loan 1'!$B$28),4)</f>
        <v>B28</v>
      </c>
      <c r="C5972" t="str">
        <f>ADDRESS(ROW('Loan 1'!$D$28),COLUMN('Loan 1'!$D$28),4)</f>
        <v>D28</v>
      </c>
      <c r="D5972" t="b" cm="1">
        <f t="array" aca="1" ref="D5972" ca="1">IF(INDIRECT("'"&amp;A5972&amp;"'!"&amp;B5972)="",FALSE,IF(TRUNC(INDIRECT("'"&amp;A5972&amp;"'!"&amp;B5972))=INDIRECT("'"&amp;A5972&amp;"'!"&amp;B5972),FALSE,TRUE))</f>
        <v>0</v>
      </c>
      <c r="E5972" t="s">
        <v>436</v>
      </c>
      <c r="F5972" t="str">
        <f>INDEX(Lists!I:I,MATCH(Validation!E5972,Lists!G:G,0))</f>
        <v>Error</v>
      </c>
      <c r="G5972" t="str">
        <f>INDEX(Lists!H:H,MATCH(Validation!E5972,Lists!G:G,0))</f>
        <v>Amount must be rounded to the nearest dollar.</v>
      </c>
      <c r="H5972" s="16" t="str">
        <f t="shared" ca="1" si="657"/>
        <v/>
      </c>
      <c r="I5972" s="16" t="str">
        <f t="shared" ca="1" si="658"/>
        <v/>
      </c>
      <c r="J5972" s="17" t="str">
        <f t="shared" ca="1" si="659"/>
        <v/>
      </c>
    </row>
    <row r="5973" spans="1:10" x14ac:dyDescent="0.25">
      <c r="A5973" t="s">
        <v>205</v>
      </c>
      <c r="B5973" t="str">
        <f>ADDRESS(ROW('Loan 1'!$C$28),COLUMN('Loan 1'!$C$28),4)</f>
        <v>C28</v>
      </c>
      <c r="C5973" t="str">
        <f>ADDRESS(ROW('Loan 1'!$D$28),COLUMN('Loan 1'!$D$28),4)</f>
        <v>D28</v>
      </c>
      <c r="D5973" t="b" cm="1">
        <f t="array" aca="1" ref="D5973" ca="1">IF(INDIRECT("'"&amp;A5973&amp;"'!"&amp;B5973)="",FALSE,IF(NOT(ISNUMBER(INDIRECT("'"&amp;A5973&amp;"'!"&amp;B5973))),TRUE,FALSE))</f>
        <v>0</v>
      </c>
      <c r="E5973" t="s">
        <v>435</v>
      </c>
      <c r="F5973" t="str">
        <f>INDEX(Lists!I:I,MATCH(Validation!E5973,Lists!G:G,0))</f>
        <v>Error</v>
      </c>
      <c r="G5973" t="str">
        <f>INDEX(Lists!H:H,MATCH(Validation!E5973,Lists!G:G,0))</f>
        <v>Enter an amount only. Do not enter text or spaces.</v>
      </c>
      <c r="H5973" s="16" t="str">
        <f ca="1">IFERROR(IF(OR(NOT(D5973),F5973&lt;&gt;"Error"),"",A5973&amp;CELL("address",INDIRECT(B5973))),"")</f>
        <v/>
      </c>
      <c r="I5973" s="16" t="str">
        <f ca="1">IFERROR(IF(NOT(D5973),"",A5973&amp;CELL("address",INDIRECT(C5973))),"")</f>
        <v/>
      </c>
      <c r="J5973" s="17" t="str">
        <f ca="1">IFERROR(IF(NOT(D5973),"",A5973),"")</f>
        <v/>
      </c>
    </row>
    <row r="5974" spans="1:10" x14ac:dyDescent="0.25">
      <c r="A5974" t="s">
        <v>932</v>
      </c>
      <c r="B5974" t="str">
        <f>ADDRESS(ROW('Loan 1'!$C$28),COLUMN('Loan 1'!$C$28),4)</f>
        <v>C28</v>
      </c>
      <c r="C5974" t="str">
        <f>ADDRESS(ROW('Loan 1'!$D$28),COLUMN('Loan 1'!$D$28),4)</f>
        <v>D28</v>
      </c>
      <c r="D5974" t="b" cm="1">
        <f t="array" aca="1" ref="D5974" ca="1">IF(INDIRECT("'"&amp;A5974&amp;"'!"&amp;B5974)="",FALSE,IF(NOT(ISNUMBER(INDIRECT("'"&amp;A5974&amp;"'!"&amp;B5974))),TRUE,FALSE))</f>
        <v>0</v>
      </c>
      <c r="E5974" t="s">
        <v>435</v>
      </c>
      <c r="F5974" t="str">
        <f>INDEX(Lists!I:I,MATCH(Validation!E5974,Lists!G:G,0))</f>
        <v>Error</v>
      </c>
      <c r="G5974" t="str">
        <f>INDEX(Lists!H:H,MATCH(Validation!E5974,Lists!G:G,0))</f>
        <v>Enter an amount only. Do not enter text or spaces.</v>
      </c>
      <c r="H5974" s="16" t="str">
        <f t="shared" ref="H5974:H5987" ca="1" si="660">IFERROR(IF(OR(NOT(D5974),F5974&lt;&gt;"Error"),"",A5974&amp;CELL("address",INDIRECT(B5974))),"")</f>
        <v/>
      </c>
      <c r="I5974" s="16" t="str">
        <f t="shared" ref="I5974:I5987" ca="1" si="661">IFERROR(IF(NOT(D5974),"",A5974&amp;CELL("address",INDIRECT(C5974))),"")</f>
        <v/>
      </c>
      <c r="J5974" s="17" t="str">
        <f t="shared" ref="J5974:J5987" ca="1" si="662">IFERROR(IF(NOT(D5974),"",A5974),"")</f>
        <v/>
      </c>
    </row>
    <row r="5975" spans="1:10" x14ac:dyDescent="0.25">
      <c r="A5975" t="s">
        <v>933</v>
      </c>
      <c r="B5975" t="str">
        <f>ADDRESS(ROW('Loan 1'!$C$28),COLUMN('Loan 1'!$C$28),4)</f>
        <v>C28</v>
      </c>
      <c r="C5975" t="str">
        <f>ADDRESS(ROW('Loan 1'!$D$28),COLUMN('Loan 1'!$D$28),4)</f>
        <v>D28</v>
      </c>
      <c r="D5975" t="b" cm="1">
        <f t="array" aca="1" ref="D5975" ca="1">IF(INDIRECT("'"&amp;A5975&amp;"'!"&amp;B5975)="",FALSE,IF(NOT(ISNUMBER(INDIRECT("'"&amp;A5975&amp;"'!"&amp;B5975))),TRUE,FALSE))</f>
        <v>0</v>
      </c>
      <c r="E5975" t="s">
        <v>435</v>
      </c>
      <c r="F5975" t="str">
        <f>INDEX(Lists!I:I,MATCH(Validation!E5975,Lists!G:G,0))</f>
        <v>Error</v>
      </c>
      <c r="G5975" t="str">
        <f>INDEX(Lists!H:H,MATCH(Validation!E5975,Lists!G:G,0))</f>
        <v>Enter an amount only. Do not enter text or spaces.</v>
      </c>
      <c r="H5975" s="16" t="str">
        <f t="shared" ca="1" si="660"/>
        <v/>
      </c>
      <c r="I5975" s="16" t="str">
        <f t="shared" ca="1" si="661"/>
        <v/>
      </c>
      <c r="J5975" s="17" t="str">
        <f t="shared" ca="1" si="662"/>
        <v/>
      </c>
    </row>
    <row r="5976" spans="1:10" x14ac:dyDescent="0.25">
      <c r="A5976" t="s">
        <v>934</v>
      </c>
      <c r="B5976" t="str">
        <f>ADDRESS(ROW('Loan 1'!$C$28),COLUMN('Loan 1'!$C$28),4)</f>
        <v>C28</v>
      </c>
      <c r="C5976" t="str">
        <f>ADDRESS(ROW('Loan 1'!$D$28),COLUMN('Loan 1'!$D$28),4)</f>
        <v>D28</v>
      </c>
      <c r="D5976" t="b" cm="1">
        <f t="array" aca="1" ref="D5976" ca="1">IF(INDIRECT("'"&amp;A5976&amp;"'!"&amp;B5976)="",FALSE,IF(NOT(ISNUMBER(INDIRECT("'"&amp;A5976&amp;"'!"&amp;B5976))),TRUE,FALSE))</f>
        <v>0</v>
      </c>
      <c r="E5976" t="s">
        <v>435</v>
      </c>
      <c r="F5976" t="str">
        <f>INDEX(Lists!I:I,MATCH(Validation!E5976,Lists!G:G,0))</f>
        <v>Error</v>
      </c>
      <c r="G5976" t="str">
        <f>INDEX(Lists!H:H,MATCH(Validation!E5976,Lists!G:G,0))</f>
        <v>Enter an amount only. Do not enter text or spaces.</v>
      </c>
      <c r="H5976" s="16" t="str">
        <f t="shared" ca="1" si="660"/>
        <v/>
      </c>
      <c r="I5976" s="16" t="str">
        <f t="shared" ca="1" si="661"/>
        <v/>
      </c>
      <c r="J5976" s="17" t="str">
        <f t="shared" ca="1" si="662"/>
        <v/>
      </c>
    </row>
    <row r="5977" spans="1:10" x14ac:dyDescent="0.25">
      <c r="A5977" t="s">
        <v>935</v>
      </c>
      <c r="B5977" t="str">
        <f>ADDRESS(ROW('Loan 1'!$C$28),COLUMN('Loan 1'!$C$28),4)</f>
        <v>C28</v>
      </c>
      <c r="C5977" t="str">
        <f>ADDRESS(ROW('Loan 1'!$D$28),COLUMN('Loan 1'!$D$28),4)</f>
        <v>D28</v>
      </c>
      <c r="D5977" t="b" cm="1">
        <f t="array" aca="1" ref="D5977" ca="1">IF(INDIRECT("'"&amp;A5977&amp;"'!"&amp;B5977)="",FALSE,IF(NOT(ISNUMBER(INDIRECT("'"&amp;A5977&amp;"'!"&amp;B5977))),TRUE,FALSE))</f>
        <v>0</v>
      </c>
      <c r="E5977" t="s">
        <v>435</v>
      </c>
      <c r="F5977" t="str">
        <f>INDEX(Lists!I:I,MATCH(Validation!E5977,Lists!G:G,0))</f>
        <v>Error</v>
      </c>
      <c r="G5977" t="str">
        <f>INDEX(Lists!H:H,MATCH(Validation!E5977,Lists!G:G,0))</f>
        <v>Enter an amount only. Do not enter text or spaces.</v>
      </c>
      <c r="H5977" s="16" t="str">
        <f t="shared" ca="1" si="660"/>
        <v/>
      </c>
      <c r="I5977" s="16" t="str">
        <f t="shared" ca="1" si="661"/>
        <v/>
      </c>
      <c r="J5977" s="17" t="str">
        <f t="shared" ca="1" si="662"/>
        <v/>
      </c>
    </row>
    <row r="5978" spans="1:10" x14ac:dyDescent="0.25">
      <c r="A5978" t="s">
        <v>936</v>
      </c>
      <c r="B5978" t="str">
        <f>ADDRESS(ROW('Loan 1'!$C$28),COLUMN('Loan 1'!$C$28),4)</f>
        <v>C28</v>
      </c>
      <c r="C5978" t="str">
        <f>ADDRESS(ROW('Loan 1'!$D$28),COLUMN('Loan 1'!$D$28),4)</f>
        <v>D28</v>
      </c>
      <c r="D5978" t="b" cm="1">
        <f t="array" aca="1" ref="D5978" ca="1">IF(INDIRECT("'"&amp;A5978&amp;"'!"&amp;B5978)="",FALSE,IF(NOT(ISNUMBER(INDIRECT("'"&amp;A5978&amp;"'!"&amp;B5978))),TRUE,FALSE))</f>
        <v>0</v>
      </c>
      <c r="E5978" t="s">
        <v>435</v>
      </c>
      <c r="F5978" t="str">
        <f>INDEX(Lists!I:I,MATCH(Validation!E5978,Lists!G:G,0))</f>
        <v>Error</v>
      </c>
      <c r="G5978" t="str">
        <f>INDEX(Lists!H:H,MATCH(Validation!E5978,Lists!G:G,0))</f>
        <v>Enter an amount only. Do not enter text or spaces.</v>
      </c>
      <c r="H5978" s="16" t="str">
        <f t="shared" ca="1" si="660"/>
        <v/>
      </c>
      <c r="I5978" s="16" t="str">
        <f t="shared" ca="1" si="661"/>
        <v/>
      </c>
      <c r="J5978" s="17" t="str">
        <f t="shared" ca="1" si="662"/>
        <v/>
      </c>
    </row>
    <row r="5979" spans="1:10" x14ac:dyDescent="0.25">
      <c r="A5979" t="s">
        <v>937</v>
      </c>
      <c r="B5979" t="str">
        <f>ADDRESS(ROW('Loan 1'!$C$28),COLUMN('Loan 1'!$C$28),4)</f>
        <v>C28</v>
      </c>
      <c r="C5979" t="str">
        <f>ADDRESS(ROW('Loan 1'!$D$28),COLUMN('Loan 1'!$D$28),4)</f>
        <v>D28</v>
      </c>
      <c r="D5979" t="b" cm="1">
        <f t="array" aca="1" ref="D5979" ca="1">IF(INDIRECT("'"&amp;A5979&amp;"'!"&amp;B5979)="",FALSE,IF(NOT(ISNUMBER(INDIRECT("'"&amp;A5979&amp;"'!"&amp;B5979))),TRUE,FALSE))</f>
        <v>0</v>
      </c>
      <c r="E5979" t="s">
        <v>435</v>
      </c>
      <c r="F5979" t="str">
        <f>INDEX(Lists!I:I,MATCH(Validation!E5979,Lists!G:G,0))</f>
        <v>Error</v>
      </c>
      <c r="G5979" t="str">
        <f>INDEX(Lists!H:H,MATCH(Validation!E5979,Lists!G:G,0))</f>
        <v>Enter an amount only. Do not enter text or spaces.</v>
      </c>
      <c r="H5979" s="16" t="str">
        <f t="shared" ca="1" si="660"/>
        <v/>
      </c>
      <c r="I5979" s="16" t="str">
        <f t="shared" ca="1" si="661"/>
        <v/>
      </c>
      <c r="J5979" s="17" t="str">
        <f t="shared" ca="1" si="662"/>
        <v/>
      </c>
    </row>
    <row r="5980" spans="1:10" x14ac:dyDescent="0.25">
      <c r="A5980" t="s">
        <v>938</v>
      </c>
      <c r="B5980" t="str">
        <f>ADDRESS(ROW('Loan 1'!$C$28),COLUMN('Loan 1'!$C$28),4)</f>
        <v>C28</v>
      </c>
      <c r="C5980" t="str">
        <f>ADDRESS(ROW('Loan 1'!$D$28),COLUMN('Loan 1'!$D$28),4)</f>
        <v>D28</v>
      </c>
      <c r="D5980" t="b" cm="1">
        <f t="array" aca="1" ref="D5980" ca="1">IF(INDIRECT("'"&amp;A5980&amp;"'!"&amp;B5980)="",FALSE,IF(NOT(ISNUMBER(INDIRECT("'"&amp;A5980&amp;"'!"&amp;B5980))),TRUE,FALSE))</f>
        <v>0</v>
      </c>
      <c r="E5980" t="s">
        <v>435</v>
      </c>
      <c r="F5980" t="str">
        <f>INDEX(Lists!I:I,MATCH(Validation!E5980,Lists!G:G,0))</f>
        <v>Error</v>
      </c>
      <c r="G5980" t="str">
        <f>INDEX(Lists!H:H,MATCH(Validation!E5980,Lists!G:G,0))</f>
        <v>Enter an amount only. Do not enter text or spaces.</v>
      </c>
      <c r="H5980" s="16" t="str">
        <f t="shared" ca="1" si="660"/>
        <v/>
      </c>
      <c r="I5980" s="16" t="str">
        <f t="shared" ca="1" si="661"/>
        <v/>
      </c>
      <c r="J5980" s="17" t="str">
        <f t="shared" ca="1" si="662"/>
        <v/>
      </c>
    </row>
    <row r="5981" spans="1:10" x14ac:dyDescent="0.25">
      <c r="A5981" t="s">
        <v>939</v>
      </c>
      <c r="B5981" t="str">
        <f>ADDRESS(ROW('Loan 1'!$C$28),COLUMN('Loan 1'!$C$28),4)</f>
        <v>C28</v>
      </c>
      <c r="C5981" t="str">
        <f>ADDRESS(ROW('Loan 1'!$D$28),COLUMN('Loan 1'!$D$28),4)</f>
        <v>D28</v>
      </c>
      <c r="D5981" t="b" cm="1">
        <f t="array" aca="1" ref="D5981" ca="1">IF(INDIRECT("'"&amp;A5981&amp;"'!"&amp;B5981)="",FALSE,IF(NOT(ISNUMBER(INDIRECT("'"&amp;A5981&amp;"'!"&amp;B5981))),TRUE,FALSE))</f>
        <v>0</v>
      </c>
      <c r="E5981" t="s">
        <v>435</v>
      </c>
      <c r="F5981" t="str">
        <f>INDEX(Lists!I:I,MATCH(Validation!E5981,Lists!G:G,0))</f>
        <v>Error</v>
      </c>
      <c r="G5981" t="str">
        <f>INDEX(Lists!H:H,MATCH(Validation!E5981,Lists!G:G,0))</f>
        <v>Enter an amount only. Do not enter text or spaces.</v>
      </c>
      <c r="H5981" s="16" t="str">
        <f t="shared" ca="1" si="660"/>
        <v/>
      </c>
      <c r="I5981" s="16" t="str">
        <f t="shared" ca="1" si="661"/>
        <v/>
      </c>
      <c r="J5981" s="17" t="str">
        <f t="shared" ca="1" si="662"/>
        <v/>
      </c>
    </row>
    <row r="5982" spans="1:10" x14ac:dyDescent="0.25">
      <c r="A5982" t="s">
        <v>940</v>
      </c>
      <c r="B5982" t="str">
        <f>ADDRESS(ROW('Loan 1'!$C$28),COLUMN('Loan 1'!$C$28),4)</f>
        <v>C28</v>
      </c>
      <c r="C5982" t="str">
        <f>ADDRESS(ROW('Loan 1'!$D$28),COLUMN('Loan 1'!$D$28),4)</f>
        <v>D28</v>
      </c>
      <c r="D5982" t="b" cm="1">
        <f t="array" aca="1" ref="D5982" ca="1">IF(INDIRECT("'"&amp;A5982&amp;"'!"&amp;B5982)="",FALSE,IF(NOT(ISNUMBER(INDIRECT("'"&amp;A5982&amp;"'!"&amp;B5982))),TRUE,FALSE))</f>
        <v>0</v>
      </c>
      <c r="E5982" t="s">
        <v>435</v>
      </c>
      <c r="F5982" t="str">
        <f>INDEX(Lists!I:I,MATCH(Validation!E5982,Lists!G:G,0))</f>
        <v>Error</v>
      </c>
      <c r="G5982" t="str">
        <f>INDEX(Lists!H:H,MATCH(Validation!E5982,Lists!G:G,0))</f>
        <v>Enter an amount only. Do not enter text or spaces.</v>
      </c>
      <c r="H5982" s="16" t="str">
        <f t="shared" ca="1" si="660"/>
        <v/>
      </c>
      <c r="I5982" s="16" t="str">
        <f t="shared" ca="1" si="661"/>
        <v/>
      </c>
      <c r="J5982" s="17" t="str">
        <f t="shared" ca="1" si="662"/>
        <v/>
      </c>
    </row>
    <row r="5983" spans="1:10" x14ac:dyDescent="0.25">
      <c r="A5983" t="s">
        <v>941</v>
      </c>
      <c r="B5983" t="str">
        <f>ADDRESS(ROW('Loan 1'!$C$28),COLUMN('Loan 1'!$C$28),4)</f>
        <v>C28</v>
      </c>
      <c r="C5983" t="str">
        <f>ADDRESS(ROW('Loan 1'!$D$28),COLUMN('Loan 1'!$D$28),4)</f>
        <v>D28</v>
      </c>
      <c r="D5983" t="b" cm="1">
        <f t="array" aca="1" ref="D5983" ca="1">IF(INDIRECT("'"&amp;A5983&amp;"'!"&amp;B5983)="",FALSE,IF(NOT(ISNUMBER(INDIRECT("'"&amp;A5983&amp;"'!"&amp;B5983))),TRUE,FALSE))</f>
        <v>0</v>
      </c>
      <c r="E5983" t="s">
        <v>435</v>
      </c>
      <c r="F5983" t="str">
        <f>INDEX(Lists!I:I,MATCH(Validation!E5983,Lists!G:G,0))</f>
        <v>Error</v>
      </c>
      <c r="G5983" t="str">
        <f>INDEX(Lists!H:H,MATCH(Validation!E5983,Lists!G:G,0))</f>
        <v>Enter an amount only. Do not enter text or spaces.</v>
      </c>
      <c r="H5983" s="16" t="str">
        <f t="shared" ca="1" si="660"/>
        <v/>
      </c>
      <c r="I5983" s="16" t="str">
        <f t="shared" ca="1" si="661"/>
        <v/>
      </c>
      <c r="J5983" s="17" t="str">
        <f t="shared" ca="1" si="662"/>
        <v/>
      </c>
    </row>
    <row r="5984" spans="1:10" x14ac:dyDescent="0.25">
      <c r="A5984" t="s">
        <v>942</v>
      </c>
      <c r="B5984" t="str">
        <f>ADDRESS(ROW('Loan 1'!$C$28),COLUMN('Loan 1'!$C$28),4)</f>
        <v>C28</v>
      </c>
      <c r="C5984" t="str">
        <f>ADDRESS(ROW('Loan 1'!$D$28),COLUMN('Loan 1'!$D$28),4)</f>
        <v>D28</v>
      </c>
      <c r="D5984" t="b" cm="1">
        <f t="array" aca="1" ref="D5984" ca="1">IF(INDIRECT("'"&amp;A5984&amp;"'!"&amp;B5984)="",FALSE,IF(NOT(ISNUMBER(INDIRECT("'"&amp;A5984&amp;"'!"&amp;B5984))),TRUE,FALSE))</f>
        <v>0</v>
      </c>
      <c r="E5984" t="s">
        <v>435</v>
      </c>
      <c r="F5984" t="str">
        <f>INDEX(Lists!I:I,MATCH(Validation!E5984,Lists!G:G,0))</f>
        <v>Error</v>
      </c>
      <c r="G5984" t="str">
        <f>INDEX(Lists!H:H,MATCH(Validation!E5984,Lists!G:G,0))</f>
        <v>Enter an amount only. Do not enter text or spaces.</v>
      </c>
      <c r="H5984" s="16" t="str">
        <f t="shared" ca="1" si="660"/>
        <v/>
      </c>
      <c r="I5984" s="16" t="str">
        <f t="shared" ca="1" si="661"/>
        <v/>
      </c>
      <c r="J5984" s="17" t="str">
        <f t="shared" ca="1" si="662"/>
        <v/>
      </c>
    </row>
    <row r="5985" spans="1:10" x14ac:dyDescent="0.25">
      <c r="A5985" t="s">
        <v>943</v>
      </c>
      <c r="B5985" t="str">
        <f>ADDRESS(ROW('Loan 1'!$C$28),COLUMN('Loan 1'!$C$28),4)</f>
        <v>C28</v>
      </c>
      <c r="C5985" t="str">
        <f>ADDRESS(ROW('Loan 1'!$D$28),COLUMN('Loan 1'!$D$28),4)</f>
        <v>D28</v>
      </c>
      <c r="D5985" t="b" cm="1">
        <f t="array" aca="1" ref="D5985" ca="1">IF(INDIRECT("'"&amp;A5985&amp;"'!"&amp;B5985)="",FALSE,IF(NOT(ISNUMBER(INDIRECT("'"&amp;A5985&amp;"'!"&amp;B5985))),TRUE,FALSE))</f>
        <v>0</v>
      </c>
      <c r="E5985" t="s">
        <v>435</v>
      </c>
      <c r="F5985" t="str">
        <f>INDEX(Lists!I:I,MATCH(Validation!E5985,Lists!G:G,0))</f>
        <v>Error</v>
      </c>
      <c r="G5985" t="str">
        <f>INDEX(Lists!H:H,MATCH(Validation!E5985,Lists!G:G,0))</f>
        <v>Enter an amount only. Do not enter text or spaces.</v>
      </c>
      <c r="H5985" s="16" t="str">
        <f t="shared" ca="1" si="660"/>
        <v/>
      </c>
      <c r="I5985" s="16" t="str">
        <f t="shared" ca="1" si="661"/>
        <v/>
      </c>
      <c r="J5985" s="17" t="str">
        <f t="shared" ca="1" si="662"/>
        <v/>
      </c>
    </row>
    <row r="5986" spans="1:10" x14ac:dyDescent="0.25">
      <c r="A5986" t="s">
        <v>944</v>
      </c>
      <c r="B5986" t="str">
        <f>ADDRESS(ROW('Loan 1'!$C$28),COLUMN('Loan 1'!$C$28),4)</f>
        <v>C28</v>
      </c>
      <c r="C5986" t="str">
        <f>ADDRESS(ROW('Loan 1'!$D$28),COLUMN('Loan 1'!$D$28),4)</f>
        <v>D28</v>
      </c>
      <c r="D5986" t="b" cm="1">
        <f t="array" aca="1" ref="D5986" ca="1">IF(INDIRECT("'"&amp;A5986&amp;"'!"&amp;B5986)="",FALSE,IF(NOT(ISNUMBER(INDIRECT("'"&amp;A5986&amp;"'!"&amp;B5986))),TRUE,FALSE))</f>
        <v>0</v>
      </c>
      <c r="E5986" t="s">
        <v>435</v>
      </c>
      <c r="F5986" t="str">
        <f>INDEX(Lists!I:I,MATCH(Validation!E5986,Lists!G:G,0))</f>
        <v>Error</v>
      </c>
      <c r="G5986" t="str">
        <f>INDEX(Lists!H:H,MATCH(Validation!E5986,Lists!G:G,0))</f>
        <v>Enter an amount only. Do not enter text or spaces.</v>
      </c>
      <c r="H5986" s="16" t="str">
        <f t="shared" ca="1" si="660"/>
        <v/>
      </c>
      <c r="I5986" s="16" t="str">
        <f t="shared" ca="1" si="661"/>
        <v/>
      </c>
      <c r="J5986" s="17" t="str">
        <f t="shared" ca="1" si="662"/>
        <v/>
      </c>
    </row>
    <row r="5987" spans="1:10" x14ac:dyDescent="0.25">
      <c r="A5987" t="s">
        <v>945</v>
      </c>
      <c r="B5987" t="str">
        <f>ADDRESS(ROW('Loan 1'!$C$28),COLUMN('Loan 1'!$C$28),4)</f>
        <v>C28</v>
      </c>
      <c r="C5987" t="str">
        <f>ADDRESS(ROW('Loan 1'!$D$28),COLUMN('Loan 1'!$D$28),4)</f>
        <v>D28</v>
      </c>
      <c r="D5987" t="b" cm="1">
        <f t="array" aca="1" ref="D5987" ca="1">IF(INDIRECT("'"&amp;A5987&amp;"'!"&amp;B5987)="",FALSE,IF(NOT(ISNUMBER(INDIRECT("'"&amp;A5987&amp;"'!"&amp;B5987))),TRUE,FALSE))</f>
        <v>0</v>
      </c>
      <c r="E5987" t="s">
        <v>435</v>
      </c>
      <c r="F5987" t="str">
        <f>INDEX(Lists!I:I,MATCH(Validation!E5987,Lists!G:G,0))</f>
        <v>Error</v>
      </c>
      <c r="G5987" t="str">
        <f>INDEX(Lists!H:H,MATCH(Validation!E5987,Lists!G:G,0))</f>
        <v>Enter an amount only. Do not enter text or spaces.</v>
      </c>
      <c r="H5987" s="16" t="str">
        <f t="shared" ca="1" si="660"/>
        <v/>
      </c>
      <c r="I5987" s="16" t="str">
        <f t="shared" ca="1" si="661"/>
        <v/>
      </c>
      <c r="J5987" s="17" t="str">
        <f t="shared" ca="1" si="662"/>
        <v/>
      </c>
    </row>
    <row r="5988" spans="1:10" x14ac:dyDescent="0.25">
      <c r="A5988" t="s">
        <v>205</v>
      </c>
      <c r="B5988" t="str">
        <f>ADDRESS(ROW('Loan 1'!$C$28),COLUMN('Loan 1'!$C$28),4)</f>
        <v>C28</v>
      </c>
      <c r="C5988" t="str">
        <f>ADDRESS(ROW('Loan 1'!$D$28),COLUMN('Loan 1'!$D$28),4)</f>
        <v>D28</v>
      </c>
      <c r="D5988" t="b" cm="1">
        <f t="array" aca="1" ref="D5988" ca="1">IF(INDIRECT("'"&amp;A5988&amp;"'!"&amp;B5988)="",FALSE,IF(INDIRECT("'"&amp;A5988&amp;"'!"&amp;B5988)&lt;0,TRUE,FALSE))</f>
        <v>0</v>
      </c>
      <c r="E5988" t="s">
        <v>434</v>
      </c>
      <c r="F5988" t="str">
        <f>INDEX(Lists!I:I,MATCH(Validation!E5988,Lists!G:G,0))</f>
        <v>Error</v>
      </c>
      <c r="G5988" t="str">
        <f>INDEX(Lists!H:H,MATCH(Validation!E5988,Lists!G:G,0))</f>
        <v>Amount may not be negative. Enter an amount greater than or equal to zero.</v>
      </c>
      <c r="H5988" s="16" t="str">
        <f ca="1">IFERROR(IF(OR(NOT(D5988),F5988&lt;&gt;"Error"),"",A5988&amp;CELL("address",INDIRECT(B5988))),"")</f>
        <v/>
      </c>
      <c r="I5988" s="16" t="str">
        <f ca="1">IFERROR(IF(NOT(D5988),"",A5988&amp;CELL("address",INDIRECT(C5988))),"")</f>
        <v/>
      </c>
      <c r="J5988" s="17" t="str">
        <f ca="1">IFERROR(IF(NOT(D5988),"",A5988),"")</f>
        <v/>
      </c>
    </row>
    <row r="5989" spans="1:10" x14ac:dyDescent="0.25">
      <c r="A5989" t="s">
        <v>932</v>
      </c>
      <c r="B5989" t="str">
        <f>ADDRESS(ROW('Loan 1'!$C$28),COLUMN('Loan 1'!$C$28),4)</f>
        <v>C28</v>
      </c>
      <c r="C5989" t="str">
        <f>ADDRESS(ROW('Loan 1'!$D$28),COLUMN('Loan 1'!$D$28),4)</f>
        <v>D28</v>
      </c>
      <c r="D5989" t="b" cm="1">
        <f t="array" aca="1" ref="D5989" ca="1">IF(INDIRECT("'"&amp;A5989&amp;"'!"&amp;B5989)="",FALSE,IF(INDIRECT("'"&amp;A5989&amp;"'!"&amp;B5989)&lt;0,TRUE,FALSE))</f>
        <v>0</v>
      </c>
      <c r="E5989" t="s">
        <v>434</v>
      </c>
      <c r="F5989" t="str">
        <f>INDEX(Lists!I:I,MATCH(Validation!E5989,Lists!G:G,0))</f>
        <v>Error</v>
      </c>
      <c r="G5989" t="str">
        <f>INDEX(Lists!H:H,MATCH(Validation!E5989,Lists!G:G,0))</f>
        <v>Amount may not be negative. Enter an amount greater than or equal to zero.</v>
      </c>
      <c r="H5989" s="16" t="str">
        <f t="shared" ref="H5989:H6062" ca="1" si="663">IFERROR(IF(OR(NOT(D5989),F5989&lt;&gt;"Error"),"",A5989&amp;CELL("address",INDIRECT(B5989))),"")</f>
        <v/>
      </c>
      <c r="I5989" s="16" t="str">
        <f t="shared" ref="I5989:I6062" ca="1" si="664">IFERROR(IF(NOT(D5989),"",A5989&amp;CELL("address",INDIRECT(C5989))),"")</f>
        <v/>
      </c>
      <c r="J5989" s="17" t="str">
        <f t="shared" ref="J5989:J6062" ca="1" si="665">IFERROR(IF(NOT(D5989),"",A5989),"")</f>
        <v/>
      </c>
    </row>
    <row r="5990" spans="1:10" x14ac:dyDescent="0.25">
      <c r="A5990" t="s">
        <v>933</v>
      </c>
      <c r="B5990" t="str">
        <f>ADDRESS(ROW('Loan 1'!$C$28),COLUMN('Loan 1'!$C$28),4)</f>
        <v>C28</v>
      </c>
      <c r="C5990" t="str">
        <f>ADDRESS(ROW('Loan 1'!$D$28),COLUMN('Loan 1'!$D$28),4)</f>
        <v>D28</v>
      </c>
      <c r="D5990" t="b" cm="1">
        <f t="array" aca="1" ref="D5990" ca="1">IF(INDIRECT("'"&amp;A5990&amp;"'!"&amp;B5990)="",FALSE,IF(INDIRECT("'"&amp;A5990&amp;"'!"&amp;B5990)&lt;0,TRUE,FALSE))</f>
        <v>0</v>
      </c>
      <c r="E5990" t="s">
        <v>434</v>
      </c>
      <c r="F5990" t="str">
        <f>INDEX(Lists!I:I,MATCH(Validation!E5990,Lists!G:G,0))</f>
        <v>Error</v>
      </c>
      <c r="G5990" t="str">
        <f>INDEX(Lists!H:H,MATCH(Validation!E5990,Lists!G:G,0))</f>
        <v>Amount may not be negative. Enter an amount greater than or equal to zero.</v>
      </c>
      <c r="H5990" s="16" t="str">
        <f t="shared" ca="1" si="663"/>
        <v/>
      </c>
      <c r="I5990" s="16" t="str">
        <f t="shared" ca="1" si="664"/>
        <v/>
      </c>
      <c r="J5990" s="17" t="str">
        <f t="shared" ca="1" si="665"/>
        <v/>
      </c>
    </row>
    <row r="5991" spans="1:10" x14ac:dyDescent="0.25">
      <c r="A5991" t="s">
        <v>934</v>
      </c>
      <c r="B5991" t="str">
        <f>ADDRESS(ROW('Loan 1'!$C$28),COLUMN('Loan 1'!$C$28),4)</f>
        <v>C28</v>
      </c>
      <c r="C5991" t="str">
        <f>ADDRESS(ROW('Loan 1'!$D$28),COLUMN('Loan 1'!$D$28),4)</f>
        <v>D28</v>
      </c>
      <c r="D5991" t="b" cm="1">
        <f t="array" aca="1" ref="D5991" ca="1">IF(INDIRECT("'"&amp;A5991&amp;"'!"&amp;B5991)="",FALSE,IF(INDIRECT("'"&amp;A5991&amp;"'!"&amp;B5991)&lt;0,TRUE,FALSE))</f>
        <v>0</v>
      </c>
      <c r="E5991" t="s">
        <v>434</v>
      </c>
      <c r="F5991" t="str">
        <f>INDEX(Lists!I:I,MATCH(Validation!E5991,Lists!G:G,0))</f>
        <v>Error</v>
      </c>
      <c r="G5991" t="str">
        <f>INDEX(Lists!H:H,MATCH(Validation!E5991,Lists!G:G,0))</f>
        <v>Amount may not be negative. Enter an amount greater than or equal to zero.</v>
      </c>
      <c r="H5991" s="16" t="str">
        <f t="shared" ca="1" si="663"/>
        <v/>
      </c>
      <c r="I5991" s="16" t="str">
        <f t="shared" ca="1" si="664"/>
        <v/>
      </c>
      <c r="J5991" s="17" t="str">
        <f t="shared" ca="1" si="665"/>
        <v/>
      </c>
    </row>
    <row r="5992" spans="1:10" x14ac:dyDescent="0.25">
      <c r="A5992" t="s">
        <v>935</v>
      </c>
      <c r="B5992" t="str">
        <f>ADDRESS(ROW('Loan 1'!$C$28),COLUMN('Loan 1'!$C$28),4)</f>
        <v>C28</v>
      </c>
      <c r="C5992" t="str">
        <f>ADDRESS(ROW('Loan 1'!$D$28),COLUMN('Loan 1'!$D$28),4)</f>
        <v>D28</v>
      </c>
      <c r="D5992" t="b" cm="1">
        <f t="array" aca="1" ref="D5992" ca="1">IF(INDIRECT("'"&amp;A5992&amp;"'!"&amp;B5992)="",FALSE,IF(INDIRECT("'"&amp;A5992&amp;"'!"&amp;B5992)&lt;0,TRUE,FALSE))</f>
        <v>0</v>
      </c>
      <c r="E5992" t="s">
        <v>434</v>
      </c>
      <c r="F5992" t="str">
        <f>INDEX(Lists!I:I,MATCH(Validation!E5992,Lists!G:G,0))</f>
        <v>Error</v>
      </c>
      <c r="G5992" t="str">
        <f>INDEX(Lists!H:H,MATCH(Validation!E5992,Lists!G:G,0))</f>
        <v>Amount may not be negative. Enter an amount greater than or equal to zero.</v>
      </c>
      <c r="H5992" s="16" t="str">
        <f t="shared" ca="1" si="663"/>
        <v/>
      </c>
      <c r="I5992" s="16" t="str">
        <f t="shared" ca="1" si="664"/>
        <v/>
      </c>
      <c r="J5992" s="17" t="str">
        <f t="shared" ca="1" si="665"/>
        <v/>
      </c>
    </row>
    <row r="5993" spans="1:10" x14ac:dyDescent="0.25">
      <c r="A5993" t="s">
        <v>936</v>
      </c>
      <c r="B5993" t="str">
        <f>ADDRESS(ROW('Loan 1'!$C$28),COLUMN('Loan 1'!$C$28),4)</f>
        <v>C28</v>
      </c>
      <c r="C5993" t="str">
        <f>ADDRESS(ROW('Loan 1'!$D$28),COLUMN('Loan 1'!$D$28),4)</f>
        <v>D28</v>
      </c>
      <c r="D5993" t="b" cm="1">
        <f t="array" aca="1" ref="D5993" ca="1">IF(INDIRECT("'"&amp;A5993&amp;"'!"&amp;B5993)="",FALSE,IF(INDIRECT("'"&amp;A5993&amp;"'!"&amp;B5993)&lt;0,TRUE,FALSE))</f>
        <v>0</v>
      </c>
      <c r="E5993" t="s">
        <v>434</v>
      </c>
      <c r="F5993" t="str">
        <f>INDEX(Lists!I:I,MATCH(Validation!E5993,Lists!G:G,0))</f>
        <v>Error</v>
      </c>
      <c r="G5993" t="str">
        <f>INDEX(Lists!H:H,MATCH(Validation!E5993,Lists!G:G,0))</f>
        <v>Amount may not be negative. Enter an amount greater than or equal to zero.</v>
      </c>
      <c r="H5993" s="16" t="str">
        <f t="shared" ca="1" si="663"/>
        <v/>
      </c>
      <c r="I5993" s="16" t="str">
        <f t="shared" ca="1" si="664"/>
        <v/>
      </c>
      <c r="J5993" s="17" t="str">
        <f t="shared" ca="1" si="665"/>
        <v/>
      </c>
    </row>
    <row r="5994" spans="1:10" x14ac:dyDescent="0.25">
      <c r="A5994" t="s">
        <v>937</v>
      </c>
      <c r="B5994" t="str">
        <f>ADDRESS(ROW('Loan 1'!$C$28),COLUMN('Loan 1'!$C$28),4)</f>
        <v>C28</v>
      </c>
      <c r="C5994" t="str">
        <f>ADDRESS(ROW('Loan 1'!$D$28),COLUMN('Loan 1'!$D$28),4)</f>
        <v>D28</v>
      </c>
      <c r="D5994" t="b" cm="1">
        <f t="array" aca="1" ref="D5994" ca="1">IF(INDIRECT("'"&amp;A5994&amp;"'!"&amp;B5994)="",FALSE,IF(INDIRECT("'"&amp;A5994&amp;"'!"&amp;B5994)&lt;0,TRUE,FALSE))</f>
        <v>0</v>
      </c>
      <c r="E5994" t="s">
        <v>434</v>
      </c>
      <c r="F5994" t="str">
        <f>INDEX(Lists!I:I,MATCH(Validation!E5994,Lists!G:G,0))</f>
        <v>Error</v>
      </c>
      <c r="G5994" t="str">
        <f>INDEX(Lists!H:H,MATCH(Validation!E5994,Lists!G:G,0))</f>
        <v>Amount may not be negative. Enter an amount greater than or equal to zero.</v>
      </c>
      <c r="H5994" s="16" t="str">
        <f t="shared" ca="1" si="663"/>
        <v/>
      </c>
      <c r="I5994" s="16" t="str">
        <f t="shared" ca="1" si="664"/>
        <v/>
      </c>
      <c r="J5994" s="17" t="str">
        <f t="shared" ca="1" si="665"/>
        <v/>
      </c>
    </row>
    <row r="5995" spans="1:10" x14ac:dyDescent="0.25">
      <c r="A5995" t="s">
        <v>938</v>
      </c>
      <c r="B5995" t="str">
        <f>ADDRESS(ROW('Loan 1'!$C$28),COLUMN('Loan 1'!$C$28),4)</f>
        <v>C28</v>
      </c>
      <c r="C5995" t="str">
        <f>ADDRESS(ROW('Loan 1'!$D$28),COLUMN('Loan 1'!$D$28),4)</f>
        <v>D28</v>
      </c>
      <c r="D5995" t="b" cm="1">
        <f t="array" aca="1" ref="D5995" ca="1">IF(INDIRECT("'"&amp;A5995&amp;"'!"&amp;B5995)="",FALSE,IF(INDIRECT("'"&amp;A5995&amp;"'!"&amp;B5995)&lt;0,TRUE,FALSE))</f>
        <v>0</v>
      </c>
      <c r="E5995" t="s">
        <v>434</v>
      </c>
      <c r="F5995" t="str">
        <f>INDEX(Lists!I:I,MATCH(Validation!E5995,Lists!G:G,0))</f>
        <v>Error</v>
      </c>
      <c r="G5995" t="str">
        <f>INDEX(Lists!H:H,MATCH(Validation!E5995,Lists!G:G,0))</f>
        <v>Amount may not be negative. Enter an amount greater than or equal to zero.</v>
      </c>
      <c r="H5995" s="16" t="str">
        <f t="shared" ca="1" si="663"/>
        <v/>
      </c>
      <c r="I5995" s="16" t="str">
        <f t="shared" ca="1" si="664"/>
        <v/>
      </c>
      <c r="J5995" s="17" t="str">
        <f t="shared" ca="1" si="665"/>
        <v/>
      </c>
    </row>
    <row r="5996" spans="1:10" x14ac:dyDescent="0.25">
      <c r="A5996" t="s">
        <v>939</v>
      </c>
      <c r="B5996" t="str">
        <f>ADDRESS(ROW('Loan 1'!$C$28),COLUMN('Loan 1'!$C$28),4)</f>
        <v>C28</v>
      </c>
      <c r="C5996" t="str">
        <f>ADDRESS(ROW('Loan 1'!$D$28),COLUMN('Loan 1'!$D$28),4)</f>
        <v>D28</v>
      </c>
      <c r="D5996" t="b" cm="1">
        <f t="array" aca="1" ref="D5996" ca="1">IF(INDIRECT("'"&amp;A5996&amp;"'!"&amp;B5996)="",FALSE,IF(INDIRECT("'"&amp;A5996&amp;"'!"&amp;B5996)&lt;0,TRUE,FALSE))</f>
        <v>0</v>
      </c>
      <c r="E5996" t="s">
        <v>434</v>
      </c>
      <c r="F5996" t="str">
        <f>INDEX(Lists!I:I,MATCH(Validation!E5996,Lists!G:G,0))</f>
        <v>Error</v>
      </c>
      <c r="G5996" t="str">
        <f>INDEX(Lists!H:H,MATCH(Validation!E5996,Lists!G:G,0))</f>
        <v>Amount may not be negative. Enter an amount greater than or equal to zero.</v>
      </c>
      <c r="H5996" s="16" t="str">
        <f t="shared" ca="1" si="663"/>
        <v/>
      </c>
      <c r="I5996" s="16" t="str">
        <f t="shared" ca="1" si="664"/>
        <v/>
      </c>
      <c r="J5996" s="17" t="str">
        <f t="shared" ca="1" si="665"/>
        <v/>
      </c>
    </row>
    <row r="5997" spans="1:10" x14ac:dyDescent="0.25">
      <c r="A5997" t="s">
        <v>940</v>
      </c>
      <c r="B5997" t="str">
        <f>ADDRESS(ROW('Loan 1'!$C$28),COLUMN('Loan 1'!$C$28),4)</f>
        <v>C28</v>
      </c>
      <c r="C5997" t="str">
        <f>ADDRESS(ROW('Loan 1'!$D$28),COLUMN('Loan 1'!$D$28),4)</f>
        <v>D28</v>
      </c>
      <c r="D5997" t="b" cm="1">
        <f t="array" aca="1" ref="D5997" ca="1">IF(INDIRECT("'"&amp;A5997&amp;"'!"&amp;B5997)="",FALSE,IF(INDIRECT("'"&amp;A5997&amp;"'!"&amp;B5997)&lt;0,TRUE,FALSE))</f>
        <v>0</v>
      </c>
      <c r="E5997" t="s">
        <v>434</v>
      </c>
      <c r="F5997" t="str">
        <f>INDEX(Lists!I:I,MATCH(Validation!E5997,Lists!G:G,0))</f>
        <v>Error</v>
      </c>
      <c r="G5997" t="str">
        <f>INDEX(Lists!H:H,MATCH(Validation!E5997,Lists!G:G,0))</f>
        <v>Amount may not be negative. Enter an amount greater than or equal to zero.</v>
      </c>
      <c r="H5997" s="16" t="str">
        <f t="shared" ca="1" si="663"/>
        <v/>
      </c>
      <c r="I5997" s="16" t="str">
        <f t="shared" ca="1" si="664"/>
        <v/>
      </c>
      <c r="J5997" s="17" t="str">
        <f t="shared" ca="1" si="665"/>
        <v/>
      </c>
    </row>
    <row r="5998" spans="1:10" x14ac:dyDescent="0.25">
      <c r="A5998" t="s">
        <v>941</v>
      </c>
      <c r="B5998" t="str">
        <f>ADDRESS(ROW('Loan 1'!$C$28),COLUMN('Loan 1'!$C$28),4)</f>
        <v>C28</v>
      </c>
      <c r="C5998" t="str">
        <f>ADDRESS(ROW('Loan 1'!$D$28),COLUMN('Loan 1'!$D$28),4)</f>
        <v>D28</v>
      </c>
      <c r="D5998" t="b" cm="1">
        <f t="array" aca="1" ref="D5998" ca="1">IF(INDIRECT("'"&amp;A5998&amp;"'!"&amp;B5998)="",FALSE,IF(INDIRECT("'"&amp;A5998&amp;"'!"&amp;B5998)&lt;0,TRUE,FALSE))</f>
        <v>0</v>
      </c>
      <c r="E5998" t="s">
        <v>434</v>
      </c>
      <c r="F5998" t="str">
        <f>INDEX(Lists!I:I,MATCH(Validation!E5998,Lists!G:G,0))</f>
        <v>Error</v>
      </c>
      <c r="G5998" t="str">
        <f>INDEX(Lists!H:H,MATCH(Validation!E5998,Lists!G:G,0))</f>
        <v>Amount may not be negative. Enter an amount greater than or equal to zero.</v>
      </c>
      <c r="H5998" s="16" t="str">
        <f t="shared" ca="1" si="663"/>
        <v/>
      </c>
      <c r="I5998" s="16" t="str">
        <f t="shared" ca="1" si="664"/>
        <v/>
      </c>
      <c r="J5998" s="17" t="str">
        <f t="shared" ca="1" si="665"/>
        <v/>
      </c>
    </row>
    <row r="5999" spans="1:10" x14ac:dyDescent="0.25">
      <c r="A5999" t="s">
        <v>942</v>
      </c>
      <c r="B5999" t="str">
        <f>ADDRESS(ROW('Loan 1'!$C$28),COLUMN('Loan 1'!$C$28),4)</f>
        <v>C28</v>
      </c>
      <c r="C5999" t="str">
        <f>ADDRESS(ROW('Loan 1'!$D$28),COLUMN('Loan 1'!$D$28),4)</f>
        <v>D28</v>
      </c>
      <c r="D5999" t="b" cm="1">
        <f t="array" aca="1" ref="D5999" ca="1">IF(INDIRECT("'"&amp;A5999&amp;"'!"&amp;B5999)="",FALSE,IF(INDIRECT("'"&amp;A5999&amp;"'!"&amp;B5999)&lt;0,TRUE,FALSE))</f>
        <v>0</v>
      </c>
      <c r="E5999" t="s">
        <v>434</v>
      </c>
      <c r="F5999" t="str">
        <f>INDEX(Lists!I:I,MATCH(Validation!E5999,Lists!G:G,0))</f>
        <v>Error</v>
      </c>
      <c r="G5999" t="str">
        <f>INDEX(Lists!H:H,MATCH(Validation!E5999,Lists!G:G,0))</f>
        <v>Amount may not be negative. Enter an amount greater than or equal to zero.</v>
      </c>
      <c r="H5999" s="16" t="str">
        <f t="shared" ca="1" si="663"/>
        <v/>
      </c>
      <c r="I5999" s="16" t="str">
        <f t="shared" ca="1" si="664"/>
        <v/>
      </c>
      <c r="J5999" s="17" t="str">
        <f t="shared" ca="1" si="665"/>
        <v/>
      </c>
    </row>
    <row r="6000" spans="1:10" x14ac:dyDescent="0.25">
      <c r="A6000" t="s">
        <v>943</v>
      </c>
      <c r="B6000" t="str">
        <f>ADDRESS(ROW('Loan 1'!$C$28),COLUMN('Loan 1'!$C$28),4)</f>
        <v>C28</v>
      </c>
      <c r="C6000" t="str">
        <f>ADDRESS(ROW('Loan 1'!$D$28),COLUMN('Loan 1'!$D$28),4)</f>
        <v>D28</v>
      </c>
      <c r="D6000" t="b" cm="1">
        <f t="array" aca="1" ref="D6000" ca="1">IF(INDIRECT("'"&amp;A6000&amp;"'!"&amp;B6000)="",FALSE,IF(INDIRECT("'"&amp;A6000&amp;"'!"&amp;B6000)&lt;0,TRUE,FALSE))</f>
        <v>0</v>
      </c>
      <c r="E6000" t="s">
        <v>434</v>
      </c>
      <c r="F6000" t="str">
        <f>INDEX(Lists!I:I,MATCH(Validation!E6000,Lists!G:G,0))</f>
        <v>Error</v>
      </c>
      <c r="G6000" t="str">
        <f>INDEX(Lists!H:H,MATCH(Validation!E6000,Lists!G:G,0))</f>
        <v>Amount may not be negative. Enter an amount greater than or equal to zero.</v>
      </c>
      <c r="H6000" s="16" t="str">
        <f t="shared" ca="1" si="663"/>
        <v/>
      </c>
      <c r="I6000" s="16" t="str">
        <f t="shared" ca="1" si="664"/>
        <v/>
      </c>
      <c r="J6000" s="17" t="str">
        <f t="shared" ca="1" si="665"/>
        <v/>
      </c>
    </row>
    <row r="6001" spans="1:10" x14ac:dyDescent="0.25">
      <c r="A6001" t="s">
        <v>944</v>
      </c>
      <c r="B6001" t="str">
        <f>ADDRESS(ROW('Loan 1'!$C$28),COLUMN('Loan 1'!$C$28),4)</f>
        <v>C28</v>
      </c>
      <c r="C6001" t="str">
        <f>ADDRESS(ROW('Loan 1'!$D$28),COLUMN('Loan 1'!$D$28),4)</f>
        <v>D28</v>
      </c>
      <c r="D6001" t="b" cm="1">
        <f t="array" aca="1" ref="D6001" ca="1">IF(INDIRECT("'"&amp;A6001&amp;"'!"&amp;B6001)="",FALSE,IF(INDIRECT("'"&amp;A6001&amp;"'!"&amp;B6001)&lt;0,TRUE,FALSE))</f>
        <v>0</v>
      </c>
      <c r="E6001" t="s">
        <v>434</v>
      </c>
      <c r="F6001" t="str">
        <f>INDEX(Lists!I:I,MATCH(Validation!E6001,Lists!G:G,0))</f>
        <v>Error</v>
      </c>
      <c r="G6001" t="str">
        <f>INDEX(Lists!H:H,MATCH(Validation!E6001,Lists!G:G,0))</f>
        <v>Amount may not be negative. Enter an amount greater than or equal to zero.</v>
      </c>
      <c r="H6001" s="16" t="str">
        <f t="shared" ca="1" si="663"/>
        <v/>
      </c>
      <c r="I6001" s="16" t="str">
        <f t="shared" ca="1" si="664"/>
        <v/>
      </c>
      <c r="J6001" s="17" t="str">
        <f t="shared" ca="1" si="665"/>
        <v/>
      </c>
    </row>
    <row r="6002" spans="1:10" x14ac:dyDescent="0.25">
      <c r="A6002" t="s">
        <v>945</v>
      </c>
      <c r="B6002" t="str">
        <f>ADDRESS(ROW('Loan 1'!$C$28),COLUMN('Loan 1'!$C$28),4)</f>
        <v>C28</v>
      </c>
      <c r="C6002" t="str">
        <f>ADDRESS(ROW('Loan 1'!$D$28),COLUMN('Loan 1'!$D$28),4)</f>
        <v>D28</v>
      </c>
      <c r="D6002" t="b" cm="1">
        <f t="array" aca="1" ref="D6002" ca="1">IF(INDIRECT("'"&amp;A6002&amp;"'!"&amp;B6002)="",FALSE,IF(INDIRECT("'"&amp;A6002&amp;"'!"&amp;B6002)&lt;0,TRUE,FALSE))</f>
        <v>0</v>
      </c>
      <c r="E6002" t="s">
        <v>434</v>
      </c>
      <c r="F6002" t="str">
        <f>INDEX(Lists!I:I,MATCH(Validation!E6002,Lists!G:G,0))</f>
        <v>Error</v>
      </c>
      <c r="G6002" t="str">
        <f>INDEX(Lists!H:H,MATCH(Validation!E6002,Lists!G:G,0))</f>
        <v>Amount may not be negative. Enter an amount greater than or equal to zero.</v>
      </c>
      <c r="H6002" s="16" t="str">
        <f t="shared" ca="1" si="663"/>
        <v/>
      </c>
      <c r="I6002" s="16" t="str">
        <f t="shared" ca="1" si="664"/>
        <v/>
      </c>
      <c r="J6002" s="17" t="str">
        <f t="shared" ca="1" si="665"/>
        <v/>
      </c>
    </row>
    <row r="6003" spans="1:10" x14ac:dyDescent="0.25">
      <c r="A6003" t="s">
        <v>205</v>
      </c>
      <c r="B6003" t="str">
        <f>ADDRESS(ROW('Loan 1'!$C$28),COLUMN('Loan 1'!$C$28),4)</f>
        <v>C28</v>
      </c>
      <c r="C6003" t="str">
        <f>ADDRESS(ROW('Loan 1'!$D$28),COLUMN('Loan 1'!$D$28),4)</f>
        <v>D28</v>
      </c>
      <c r="D6003" t="b" cm="1">
        <f t="array" aca="1" ref="D6003" ca="1">IF(INDIRECT("'"&amp;A6003&amp;"'!"&amp;B6003)="",FALSE,IF(TRUNC(INDIRECT("'"&amp;A6003&amp;"'!"&amp;B6003))=INDIRECT("'"&amp;A6003&amp;"'!"&amp;B6003),FALSE,TRUE))</f>
        <v>0</v>
      </c>
      <c r="E6003" t="s">
        <v>436</v>
      </c>
      <c r="F6003" t="str">
        <f>INDEX(Lists!I:I,MATCH(Validation!E6003,Lists!G:G,0))</f>
        <v>Error</v>
      </c>
      <c r="G6003" t="str">
        <f>INDEX(Lists!H:H,MATCH(Validation!E6003,Lists!G:G,0))</f>
        <v>Amount must be rounded to the nearest dollar.</v>
      </c>
      <c r="H6003" s="16" t="str">
        <f t="shared" ca="1" si="663"/>
        <v/>
      </c>
      <c r="I6003" s="16" t="str">
        <f t="shared" ca="1" si="664"/>
        <v/>
      </c>
      <c r="J6003" s="17" t="str">
        <f t="shared" ca="1" si="665"/>
        <v/>
      </c>
    </row>
    <row r="6004" spans="1:10" x14ac:dyDescent="0.25">
      <c r="A6004" t="s">
        <v>932</v>
      </c>
      <c r="B6004" t="str">
        <f>ADDRESS(ROW('Loan 1'!$C$28),COLUMN('Loan 1'!$C$28),4)</f>
        <v>C28</v>
      </c>
      <c r="C6004" t="str">
        <f>ADDRESS(ROW('Loan 1'!$D$28),COLUMN('Loan 1'!$D$28),4)</f>
        <v>D28</v>
      </c>
      <c r="D6004" t="b" cm="1">
        <f t="array" aca="1" ref="D6004" ca="1">IF(INDIRECT("'"&amp;A6004&amp;"'!"&amp;B6004)="",FALSE,IF(TRUNC(INDIRECT("'"&amp;A6004&amp;"'!"&amp;B6004))=INDIRECT("'"&amp;A6004&amp;"'!"&amp;B6004),FALSE,TRUE))</f>
        <v>0</v>
      </c>
      <c r="E6004" t="s">
        <v>436</v>
      </c>
      <c r="F6004" t="str">
        <f>INDEX(Lists!I:I,MATCH(Validation!E6004,Lists!G:G,0))</f>
        <v>Error</v>
      </c>
      <c r="G6004" t="str">
        <f>INDEX(Lists!H:H,MATCH(Validation!E6004,Lists!G:G,0))</f>
        <v>Amount must be rounded to the nearest dollar.</v>
      </c>
      <c r="H6004" s="16" t="str">
        <f t="shared" ca="1" si="663"/>
        <v/>
      </c>
      <c r="I6004" s="16" t="str">
        <f t="shared" ca="1" si="664"/>
        <v/>
      </c>
      <c r="J6004" s="17" t="str">
        <f t="shared" ca="1" si="665"/>
        <v/>
      </c>
    </row>
    <row r="6005" spans="1:10" x14ac:dyDescent="0.25">
      <c r="A6005" t="s">
        <v>933</v>
      </c>
      <c r="B6005" t="str">
        <f>ADDRESS(ROW('Loan 1'!$C$28),COLUMN('Loan 1'!$C$28),4)</f>
        <v>C28</v>
      </c>
      <c r="C6005" t="str">
        <f>ADDRESS(ROW('Loan 1'!$D$28),COLUMN('Loan 1'!$D$28),4)</f>
        <v>D28</v>
      </c>
      <c r="D6005" t="b" cm="1">
        <f t="array" aca="1" ref="D6005" ca="1">IF(INDIRECT("'"&amp;A6005&amp;"'!"&amp;B6005)="",FALSE,IF(TRUNC(INDIRECT("'"&amp;A6005&amp;"'!"&amp;B6005))=INDIRECT("'"&amp;A6005&amp;"'!"&amp;B6005),FALSE,TRUE))</f>
        <v>0</v>
      </c>
      <c r="E6005" t="s">
        <v>436</v>
      </c>
      <c r="F6005" t="str">
        <f>INDEX(Lists!I:I,MATCH(Validation!E6005,Lists!G:G,0))</f>
        <v>Error</v>
      </c>
      <c r="G6005" t="str">
        <f>INDEX(Lists!H:H,MATCH(Validation!E6005,Lists!G:G,0))</f>
        <v>Amount must be rounded to the nearest dollar.</v>
      </c>
      <c r="H6005" s="16" t="str">
        <f t="shared" ca="1" si="663"/>
        <v/>
      </c>
      <c r="I6005" s="16" t="str">
        <f t="shared" ca="1" si="664"/>
        <v/>
      </c>
      <c r="J6005" s="17" t="str">
        <f t="shared" ca="1" si="665"/>
        <v/>
      </c>
    </row>
    <row r="6006" spans="1:10" x14ac:dyDescent="0.25">
      <c r="A6006" t="s">
        <v>934</v>
      </c>
      <c r="B6006" t="str">
        <f>ADDRESS(ROW('Loan 1'!$C$28),COLUMN('Loan 1'!$C$28),4)</f>
        <v>C28</v>
      </c>
      <c r="C6006" t="str">
        <f>ADDRESS(ROW('Loan 1'!$D$28),COLUMN('Loan 1'!$D$28),4)</f>
        <v>D28</v>
      </c>
      <c r="D6006" t="b" cm="1">
        <f t="array" aca="1" ref="D6006" ca="1">IF(INDIRECT("'"&amp;A6006&amp;"'!"&amp;B6006)="",FALSE,IF(TRUNC(INDIRECT("'"&amp;A6006&amp;"'!"&amp;B6006))=INDIRECT("'"&amp;A6006&amp;"'!"&amp;B6006),FALSE,TRUE))</f>
        <v>0</v>
      </c>
      <c r="E6006" t="s">
        <v>436</v>
      </c>
      <c r="F6006" t="str">
        <f>INDEX(Lists!I:I,MATCH(Validation!E6006,Lists!G:G,0))</f>
        <v>Error</v>
      </c>
      <c r="G6006" t="str">
        <f>INDEX(Lists!H:H,MATCH(Validation!E6006,Lists!G:G,0))</f>
        <v>Amount must be rounded to the nearest dollar.</v>
      </c>
      <c r="H6006" s="16" t="str">
        <f t="shared" ca="1" si="663"/>
        <v/>
      </c>
      <c r="I6006" s="16" t="str">
        <f t="shared" ca="1" si="664"/>
        <v/>
      </c>
      <c r="J6006" s="17" t="str">
        <f t="shared" ca="1" si="665"/>
        <v/>
      </c>
    </row>
    <row r="6007" spans="1:10" x14ac:dyDescent="0.25">
      <c r="A6007" t="s">
        <v>935</v>
      </c>
      <c r="B6007" t="str">
        <f>ADDRESS(ROW('Loan 1'!$C$28),COLUMN('Loan 1'!$C$28),4)</f>
        <v>C28</v>
      </c>
      <c r="C6007" t="str">
        <f>ADDRESS(ROW('Loan 1'!$D$28),COLUMN('Loan 1'!$D$28),4)</f>
        <v>D28</v>
      </c>
      <c r="D6007" t="b" cm="1">
        <f t="array" aca="1" ref="D6007" ca="1">IF(INDIRECT("'"&amp;A6007&amp;"'!"&amp;B6007)="",FALSE,IF(TRUNC(INDIRECT("'"&amp;A6007&amp;"'!"&amp;B6007))=INDIRECT("'"&amp;A6007&amp;"'!"&amp;B6007),FALSE,TRUE))</f>
        <v>0</v>
      </c>
      <c r="E6007" t="s">
        <v>436</v>
      </c>
      <c r="F6007" t="str">
        <f>INDEX(Lists!I:I,MATCH(Validation!E6007,Lists!G:G,0))</f>
        <v>Error</v>
      </c>
      <c r="G6007" t="str">
        <f>INDEX(Lists!H:H,MATCH(Validation!E6007,Lists!G:G,0))</f>
        <v>Amount must be rounded to the nearest dollar.</v>
      </c>
      <c r="H6007" s="16" t="str">
        <f t="shared" ca="1" si="663"/>
        <v/>
      </c>
      <c r="I6007" s="16" t="str">
        <f t="shared" ca="1" si="664"/>
        <v/>
      </c>
      <c r="J6007" s="17" t="str">
        <f t="shared" ca="1" si="665"/>
        <v/>
      </c>
    </row>
    <row r="6008" spans="1:10" x14ac:dyDescent="0.25">
      <c r="A6008" t="s">
        <v>936</v>
      </c>
      <c r="B6008" t="str">
        <f>ADDRESS(ROW('Loan 1'!$C$28),COLUMN('Loan 1'!$C$28),4)</f>
        <v>C28</v>
      </c>
      <c r="C6008" t="str">
        <f>ADDRESS(ROW('Loan 1'!$D$28),COLUMN('Loan 1'!$D$28),4)</f>
        <v>D28</v>
      </c>
      <c r="D6008" t="b" cm="1">
        <f t="array" aca="1" ref="D6008" ca="1">IF(INDIRECT("'"&amp;A6008&amp;"'!"&amp;B6008)="",FALSE,IF(TRUNC(INDIRECT("'"&amp;A6008&amp;"'!"&amp;B6008))=INDIRECT("'"&amp;A6008&amp;"'!"&amp;B6008),FALSE,TRUE))</f>
        <v>0</v>
      </c>
      <c r="E6008" t="s">
        <v>436</v>
      </c>
      <c r="F6008" t="str">
        <f>INDEX(Lists!I:I,MATCH(Validation!E6008,Lists!G:G,0))</f>
        <v>Error</v>
      </c>
      <c r="G6008" t="str">
        <f>INDEX(Lists!H:H,MATCH(Validation!E6008,Lists!G:G,0))</f>
        <v>Amount must be rounded to the nearest dollar.</v>
      </c>
      <c r="H6008" s="16" t="str">
        <f t="shared" ca="1" si="663"/>
        <v/>
      </c>
      <c r="I6008" s="16" t="str">
        <f t="shared" ca="1" si="664"/>
        <v/>
      </c>
      <c r="J6008" s="17" t="str">
        <f t="shared" ca="1" si="665"/>
        <v/>
      </c>
    </row>
    <row r="6009" spans="1:10" x14ac:dyDescent="0.25">
      <c r="A6009" t="s">
        <v>937</v>
      </c>
      <c r="B6009" t="str">
        <f>ADDRESS(ROW('Loan 1'!$C$28),COLUMN('Loan 1'!$C$28),4)</f>
        <v>C28</v>
      </c>
      <c r="C6009" t="str">
        <f>ADDRESS(ROW('Loan 1'!$D$28),COLUMN('Loan 1'!$D$28),4)</f>
        <v>D28</v>
      </c>
      <c r="D6009" t="b" cm="1">
        <f t="array" aca="1" ref="D6009" ca="1">IF(INDIRECT("'"&amp;A6009&amp;"'!"&amp;B6009)="",FALSE,IF(TRUNC(INDIRECT("'"&amp;A6009&amp;"'!"&amp;B6009))=INDIRECT("'"&amp;A6009&amp;"'!"&amp;B6009),FALSE,TRUE))</f>
        <v>0</v>
      </c>
      <c r="E6009" t="s">
        <v>436</v>
      </c>
      <c r="F6009" t="str">
        <f>INDEX(Lists!I:I,MATCH(Validation!E6009,Lists!G:G,0))</f>
        <v>Error</v>
      </c>
      <c r="G6009" t="str">
        <f>INDEX(Lists!H:H,MATCH(Validation!E6009,Lists!G:G,0))</f>
        <v>Amount must be rounded to the nearest dollar.</v>
      </c>
      <c r="H6009" s="16" t="str">
        <f t="shared" ca="1" si="663"/>
        <v/>
      </c>
      <c r="I6009" s="16" t="str">
        <f t="shared" ca="1" si="664"/>
        <v/>
      </c>
      <c r="J6009" s="17" t="str">
        <f t="shared" ca="1" si="665"/>
        <v/>
      </c>
    </row>
    <row r="6010" spans="1:10" x14ac:dyDescent="0.25">
      <c r="A6010" t="s">
        <v>938</v>
      </c>
      <c r="B6010" t="str">
        <f>ADDRESS(ROW('Loan 1'!$C$28),COLUMN('Loan 1'!$C$28),4)</f>
        <v>C28</v>
      </c>
      <c r="C6010" t="str">
        <f>ADDRESS(ROW('Loan 1'!$D$28),COLUMN('Loan 1'!$D$28),4)</f>
        <v>D28</v>
      </c>
      <c r="D6010" t="b" cm="1">
        <f t="array" aca="1" ref="D6010" ca="1">IF(INDIRECT("'"&amp;A6010&amp;"'!"&amp;B6010)="",FALSE,IF(TRUNC(INDIRECT("'"&amp;A6010&amp;"'!"&amp;B6010))=INDIRECT("'"&amp;A6010&amp;"'!"&amp;B6010),FALSE,TRUE))</f>
        <v>0</v>
      </c>
      <c r="E6010" t="s">
        <v>436</v>
      </c>
      <c r="F6010" t="str">
        <f>INDEX(Lists!I:I,MATCH(Validation!E6010,Lists!G:G,0))</f>
        <v>Error</v>
      </c>
      <c r="G6010" t="str">
        <f>INDEX(Lists!H:H,MATCH(Validation!E6010,Lists!G:G,0))</f>
        <v>Amount must be rounded to the nearest dollar.</v>
      </c>
      <c r="H6010" s="16" t="str">
        <f t="shared" ca="1" si="663"/>
        <v/>
      </c>
      <c r="I6010" s="16" t="str">
        <f t="shared" ca="1" si="664"/>
        <v/>
      </c>
      <c r="J6010" s="17" t="str">
        <f t="shared" ca="1" si="665"/>
        <v/>
      </c>
    </row>
    <row r="6011" spans="1:10" x14ac:dyDescent="0.25">
      <c r="A6011" t="s">
        <v>939</v>
      </c>
      <c r="B6011" t="str">
        <f>ADDRESS(ROW('Loan 1'!$C$28),COLUMN('Loan 1'!$C$28),4)</f>
        <v>C28</v>
      </c>
      <c r="C6011" t="str">
        <f>ADDRESS(ROW('Loan 1'!$D$28),COLUMN('Loan 1'!$D$28),4)</f>
        <v>D28</v>
      </c>
      <c r="D6011" t="b" cm="1">
        <f t="array" aca="1" ref="D6011" ca="1">IF(INDIRECT("'"&amp;A6011&amp;"'!"&amp;B6011)="",FALSE,IF(TRUNC(INDIRECT("'"&amp;A6011&amp;"'!"&amp;B6011))=INDIRECT("'"&amp;A6011&amp;"'!"&amp;B6011),FALSE,TRUE))</f>
        <v>0</v>
      </c>
      <c r="E6011" t="s">
        <v>436</v>
      </c>
      <c r="F6011" t="str">
        <f>INDEX(Lists!I:I,MATCH(Validation!E6011,Lists!G:G,0))</f>
        <v>Error</v>
      </c>
      <c r="G6011" t="str">
        <f>INDEX(Lists!H:H,MATCH(Validation!E6011,Lists!G:G,0))</f>
        <v>Amount must be rounded to the nearest dollar.</v>
      </c>
      <c r="H6011" s="16" t="str">
        <f t="shared" ca="1" si="663"/>
        <v/>
      </c>
      <c r="I6011" s="16" t="str">
        <f t="shared" ca="1" si="664"/>
        <v/>
      </c>
      <c r="J6011" s="17" t="str">
        <f t="shared" ca="1" si="665"/>
        <v/>
      </c>
    </row>
    <row r="6012" spans="1:10" x14ac:dyDescent="0.25">
      <c r="A6012" t="s">
        <v>940</v>
      </c>
      <c r="B6012" t="str">
        <f>ADDRESS(ROW('Loan 1'!$C$28),COLUMN('Loan 1'!$C$28),4)</f>
        <v>C28</v>
      </c>
      <c r="C6012" t="str">
        <f>ADDRESS(ROW('Loan 1'!$D$28),COLUMN('Loan 1'!$D$28),4)</f>
        <v>D28</v>
      </c>
      <c r="D6012" t="b" cm="1">
        <f t="array" aca="1" ref="D6012" ca="1">IF(INDIRECT("'"&amp;A6012&amp;"'!"&amp;B6012)="",FALSE,IF(TRUNC(INDIRECT("'"&amp;A6012&amp;"'!"&amp;B6012))=INDIRECT("'"&amp;A6012&amp;"'!"&amp;B6012),FALSE,TRUE))</f>
        <v>0</v>
      </c>
      <c r="E6012" t="s">
        <v>436</v>
      </c>
      <c r="F6012" t="str">
        <f>INDEX(Lists!I:I,MATCH(Validation!E6012,Lists!G:G,0))</f>
        <v>Error</v>
      </c>
      <c r="G6012" t="str">
        <f>INDEX(Lists!H:H,MATCH(Validation!E6012,Lists!G:G,0))</f>
        <v>Amount must be rounded to the nearest dollar.</v>
      </c>
      <c r="H6012" s="16" t="str">
        <f t="shared" ca="1" si="663"/>
        <v/>
      </c>
      <c r="I6012" s="16" t="str">
        <f t="shared" ca="1" si="664"/>
        <v/>
      </c>
      <c r="J6012" s="17" t="str">
        <f t="shared" ca="1" si="665"/>
        <v/>
      </c>
    </row>
    <row r="6013" spans="1:10" x14ac:dyDescent="0.25">
      <c r="A6013" t="s">
        <v>941</v>
      </c>
      <c r="B6013" t="str">
        <f>ADDRESS(ROW('Loan 1'!$C$28),COLUMN('Loan 1'!$C$28),4)</f>
        <v>C28</v>
      </c>
      <c r="C6013" t="str">
        <f>ADDRESS(ROW('Loan 1'!$D$28),COLUMN('Loan 1'!$D$28),4)</f>
        <v>D28</v>
      </c>
      <c r="D6013" t="b" cm="1">
        <f t="array" aca="1" ref="D6013" ca="1">IF(INDIRECT("'"&amp;A6013&amp;"'!"&amp;B6013)="",FALSE,IF(TRUNC(INDIRECT("'"&amp;A6013&amp;"'!"&amp;B6013))=INDIRECT("'"&amp;A6013&amp;"'!"&amp;B6013),FALSE,TRUE))</f>
        <v>0</v>
      </c>
      <c r="E6013" t="s">
        <v>436</v>
      </c>
      <c r="F6013" t="str">
        <f>INDEX(Lists!I:I,MATCH(Validation!E6013,Lists!G:G,0))</f>
        <v>Error</v>
      </c>
      <c r="G6013" t="str">
        <f>INDEX(Lists!H:H,MATCH(Validation!E6013,Lists!G:G,0))</f>
        <v>Amount must be rounded to the nearest dollar.</v>
      </c>
      <c r="H6013" s="16" t="str">
        <f t="shared" ca="1" si="663"/>
        <v/>
      </c>
      <c r="I6013" s="16" t="str">
        <f t="shared" ca="1" si="664"/>
        <v/>
      </c>
      <c r="J6013" s="17" t="str">
        <f t="shared" ca="1" si="665"/>
        <v/>
      </c>
    </row>
    <row r="6014" spans="1:10" x14ac:dyDescent="0.25">
      <c r="A6014" t="s">
        <v>942</v>
      </c>
      <c r="B6014" t="str">
        <f>ADDRESS(ROW('Loan 1'!$C$28),COLUMN('Loan 1'!$C$28),4)</f>
        <v>C28</v>
      </c>
      <c r="C6014" t="str">
        <f>ADDRESS(ROW('Loan 1'!$D$28),COLUMN('Loan 1'!$D$28),4)</f>
        <v>D28</v>
      </c>
      <c r="D6014" t="b" cm="1">
        <f t="array" aca="1" ref="D6014" ca="1">IF(INDIRECT("'"&amp;A6014&amp;"'!"&amp;B6014)="",FALSE,IF(TRUNC(INDIRECT("'"&amp;A6014&amp;"'!"&amp;B6014))=INDIRECT("'"&amp;A6014&amp;"'!"&amp;B6014),FALSE,TRUE))</f>
        <v>0</v>
      </c>
      <c r="E6014" t="s">
        <v>436</v>
      </c>
      <c r="F6014" t="str">
        <f>INDEX(Lists!I:I,MATCH(Validation!E6014,Lists!G:G,0))</f>
        <v>Error</v>
      </c>
      <c r="G6014" t="str">
        <f>INDEX(Lists!H:H,MATCH(Validation!E6014,Lists!G:G,0))</f>
        <v>Amount must be rounded to the nearest dollar.</v>
      </c>
      <c r="H6014" s="16" t="str">
        <f t="shared" ca="1" si="663"/>
        <v/>
      </c>
      <c r="I6014" s="16" t="str">
        <f t="shared" ca="1" si="664"/>
        <v/>
      </c>
      <c r="J6014" s="17" t="str">
        <f t="shared" ca="1" si="665"/>
        <v/>
      </c>
    </row>
    <row r="6015" spans="1:10" x14ac:dyDescent="0.25">
      <c r="A6015" t="s">
        <v>943</v>
      </c>
      <c r="B6015" t="str">
        <f>ADDRESS(ROW('Loan 1'!$C$28),COLUMN('Loan 1'!$C$28),4)</f>
        <v>C28</v>
      </c>
      <c r="C6015" t="str">
        <f>ADDRESS(ROW('Loan 1'!$D$28),COLUMN('Loan 1'!$D$28),4)</f>
        <v>D28</v>
      </c>
      <c r="D6015" t="b" cm="1">
        <f t="array" aca="1" ref="D6015" ca="1">IF(INDIRECT("'"&amp;A6015&amp;"'!"&amp;B6015)="",FALSE,IF(TRUNC(INDIRECT("'"&amp;A6015&amp;"'!"&amp;B6015))=INDIRECT("'"&amp;A6015&amp;"'!"&amp;B6015),FALSE,TRUE))</f>
        <v>0</v>
      </c>
      <c r="E6015" t="s">
        <v>436</v>
      </c>
      <c r="F6015" t="str">
        <f>INDEX(Lists!I:I,MATCH(Validation!E6015,Lists!G:G,0))</f>
        <v>Error</v>
      </c>
      <c r="G6015" t="str">
        <f>INDEX(Lists!H:H,MATCH(Validation!E6015,Lists!G:G,0))</f>
        <v>Amount must be rounded to the nearest dollar.</v>
      </c>
      <c r="H6015" s="16" t="str">
        <f t="shared" ca="1" si="663"/>
        <v/>
      </c>
      <c r="I6015" s="16" t="str">
        <f t="shared" ca="1" si="664"/>
        <v/>
      </c>
      <c r="J6015" s="17" t="str">
        <f t="shared" ca="1" si="665"/>
        <v/>
      </c>
    </row>
    <row r="6016" spans="1:10" x14ac:dyDescent="0.25">
      <c r="A6016" t="s">
        <v>944</v>
      </c>
      <c r="B6016" t="str">
        <f>ADDRESS(ROW('Loan 1'!$C$28),COLUMN('Loan 1'!$C$28),4)</f>
        <v>C28</v>
      </c>
      <c r="C6016" t="str">
        <f>ADDRESS(ROW('Loan 1'!$D$28),COLUMN('Loan 1'!$D$28),4)</f>
        <v>D28</v>
      </c>
      <c r="D6016" t="b" cm="1">
        <f t="array" aca="1" ref="D6016" ca="1">IF(INDIRECT("'"&amp;A6016&amp;"'!"&amp;B6016)="",FALSE,IF(TRUNC(INDIRECT("'"&amp;A6016&amp;"'!"&amp;B6016))=INDIRECT("'"&amp;A6016&amp;"'!"&amp;B6016),FALSE,TRUE))</f>
        <v>0</v>
      </c>
      <c r="E6016" t="s">
        <v>436</v>
      </c>
      <c r="F6016" t="str">
        <f>INDEX(Lists!I:I,MATCH(Validation!E6016,Lists!G:G,0))</f>
        <v>Error</v>
      </c>
      <c r="G6016" t="str">
        <f>INDEX(Lists!H:H,MATCH(Validation!E6016,Lists!G:G,0))</f>
        <v>Amount must be rounded to the nearest dollar.</v>
      </c>
      <c r="H6016" s="16" t="str">
        <f t="shared" ca="1" si="663"/>
        <v/>
      </c>
      <c r="I6016" s="16" t="str">
        <f t="shared" ca="1" si="664"/>
        <v/>
      </c>
      <c r="J6016" s="17" t="str">
        <f t="shared" ca="1" si="665"/>
        <v/>
      </c>
    </row>
    <row r="6017" spans="1:10" x14ac:dyDescent="0.25">
      <c r="A6017" t="s">
        <v>945</v>
      </c>
      <c r="B6017" t="str">
        <f>ADDRESS(ROW('Loan 1'!$C$28),COLUMN('Loan 1'!$C$28),4)</f>
        <v>C28</v>
      </c>
      <c r="C6017" t="str">
        <f>ADDRESS(ROW('Loan 1'!$D$28),COLUMN('Loan 1'!$D$28),4)</f>
        <v>D28</v>
      </c>
      <c r="D6017" t="b" cm="1">
        <f t="array" aca="1" ref="D6017" ca="1">IF(INDIRECT("'"&amp;A6017&amp;"'!"&amp;B6017)="",FALSE,IF(TRUNC(INDIRECT("'"&amp;A6017&amp;"'!"&amp;B6017))=INDIRECT("'"&amp;A6017&amp;"'!"&amp;B6017),FALSE,TRUE))</f>
        <v>0</v>
      </c>
      <c r="E6017" t="s">
        <v>436</v>
      </c>
      <c r="F6017" t="str">
        <f>INDEX(Lists!I:I,MATCH(Validation!E6017,Lists!G:G,0))</f>
        <v>Error</v>
      </c>
      <c r="G6017" t="str">
        <f>INDEX(Lists!H:H,MATCH(Validation!E6017,Lists!G:G,0))</f>
        <v>Amount must be rounded to the nearest dollar.</v>
      </c>
      <c r="H6017" s="16" t="str">
        <f t="shared" ca="1" si="663"/>
        <v/>
      </c>
      <c r="I6017" s="16" t="str">
        <f t="shared" ca="1" si="664"/>
        <v/>
      </c>
      <c r="J6017" s="17" t="str">
        <f t="shared" ca="1" si="665"/>
        <v/>
      </c>
    </row>
    <row r="6018" spans="1:10" x14ac:dyDescent="0.25">
      <c r="A6018" t="s">
        <v>205</v>
      </c>
      <c r="B6018" t="str">
        <f>ADDRESS(ROW('Bond 1'!$C$29),COLUMN('Bond 1'!$C$29),4)</f>
        <v>C29</v>
      </c>
      <c r="C6018" t="str">
        <f>ADDRESS(ROW('Bond 1'!$D$29),COLUMN('Bond 1'!$D$29),4)</f>
        <v>D29</v>
      </c>
      <c r="D6018" t="b" cm="1">
        <f t="array" aca="1" ref="D6018" ca="1">IF(OR(INDIRECT("'"&amp;A6018&amp;"'!B$29")="",INDIRECT("'"&amp;A6018&amp;"'!C$29")="",INDIRECT("'"&amp;A6018&amp;"'!B$34")="",INDIRECT("'"&amp;A6018&amp;"'!C$34")=""),FALSE,IF((INDIRECT("'"&amp;A6018&amp;"'!B$29")+INDIRECT("'"&amp;A6018&amp;"'!C$29"))&gt;(INDIRECT("'"&amp;A6018&amp;"'!B$34")+INDIRECT("'"&amp;A6018&amp;"'!C$34")),TRUE,FALSE))</f>
        <v>0</v>
      </c>
      <c r="E6018" t="s">
        <v>1307</v>
      </c>
      <c r="F6018" t="str">
        <f>INDEX(Lists!I:I,MATCH(Validation!E6018,Lists!G:G,0))</f>
        <v>Error</v>
      </c>
      <c r="G6018" t="str">
        <f>INDEX(Lists!H:H,MATCH(Validation!E6018,Lists!G:G,0))</f>
        <v>Uses cannot exceed total proceeds. Correct entries.</v>
      </c>
      <c r="H6018" s="25" t="str">
        <f t="shared" ca="1" si="663"/>
        <v/>
      </c>
      <c r="I6018" s="25" t="str">
        <f t="shared" ca="1" si="664"/>
        <v/>
      </c>
      <c r="J6018" s="26" t="str">
        <f t="shared" ca="1" si="665"/>
        <v/>
      </c>
    </row>
    <row r="6019" spans="1:10" x14ac:dyDescent="0.25">
      <c r="A6019" t="s">
        <v>932</v>
      </c>
      <c r="B6019" t="str">
        <f>ADDRESS(ROW('Bond 1'!$C$29),COLUMN('Bond 1'!$C$29),4)</f>
        <v>C29</v>
      </c>
      <c r="C6019" t="str">
        <f>ADDRESS(ROW('Bond 1'!$D$29),COLUMN('Bond 1'!$D$29),4)</f>
        <v>D29</v>
      </c>
      <c r="D6019" t="b" cm="1">
        <f t="array" aca="1" ref="D6019" ca="1">IF(OR(INDIRECT("'"&amp;A6019&amp;"'!B$29")="",INDIRECT("'"&amp;A6019&amp;"'!C$29")="",INDIRECT("'"&amp;A6019&amp;"'!B$34")="",INDIRECT("'"&amp;A6019&amp;"'!C$34")=""),FALSE,IF((INDIRECT("'"&amp;A6019&amp;"'!B$29")+INDIRECT("'"&amp;A6019&amp;"'!C$29"))&gt;(INDIRECT("'"&amp;A6019&amp;"'!B$34")+INDIRECT("'"&amp;A6019&amp;"'!C$34")),TRUE,FALSE))</f>
        <v>0</v>
      </c>
      <c r="E6019" t="s">
        <v>1307</v>
      </c>
      <c r="F6019" t="str">
        <f>INDEX(Lists!I:I,MATCH(Validation!E6019,Lists!G:G,0))</f>
        <v>Error</v>
      </c>
      <c r="G6019" t="str">
        <f>INDEX(Lists!H:H,MATCH(Validation!E6019,Lists!G:G,0))</f>
        <v>Uses cannot exceed total proceeds. Correct entries.</v>
      </c>
      <c r="H6019" s="25" t="str">
        <f t="shared" ca="1" si="663"/>
        <v/>
      </c>
      <c r="I6019" s="25" t="str">
        <f t="shared" ca="1" si="664"/>
        <v/>
      </c>
      <c r="J6019" s="26" t="str">
        <f t="shared" ca="1" si="665"/>
        <v/>
      </c>
    </row>
    <row r="6020" spans="1:10" x14ac:dyDescent="0.25">
      <c r="A6020" t="s">
        <v>933</v>
      </c>
      <c r="B6020" t="str">
        <f>ADDRESS(ROW('Bond 1'!$C$29),COLUMN('Bond 1'!$C$29),4)</f>
        <v>C29</v>
      </c>
      <c r="C6020" t="str">
        <f>ADDRESS(ROW('Bond 1'!$D$29),COLUMN('Bond 1'!$D$29),4)</f>
        <v>D29</v>
      </c>
      <c r="D6020" t="b" cm="1">
        <f t="array" aca="1" ref="D6020" ca="1">IF(OR(INDIRECT("'"&amp;A6020&amp;"'!B$29")="",INDIRECT("'"&amp;A6020&amp;"'!C$29")="",INDIRECT("'"&amp;A6020&amp;"'!B$34")="",INDIRECT("'"&amp;A6020&amp;"'!C$34")=""),FALSE,IF((INDIRECT("'"&amp;A6020&amp;"'!B$29")+INDIRECT("'"&amp;A6020&amp;"'!C$29"))&gt;(INDIRECT("'"&amp;A6020&amp;"'!B$34")+INDIRECT("'"&amp;A6020&amp;"'!C$34")),TRUE,FALSE))</f>
        <v>0</v>
      </c>
      <c r="E6020" t="s">
        <v>1307</v>
      </c>
      <c r="F6020" t="str">
        <f>INDEX(Lists!I:I,MATCH(Validation!E6020,Lists!G:G,0))</f>
        <v>Error</v>
      </c>
      <c r="G6020" t="str">
        <f>INDEX(Lists!H:H,MATCH(Validation!E6020,Lists!G:G,0))</f>
        <v>Uses cannot exceed total proceeds. Correct entries.</v>
      </c>
      <c r="H6020" s="25" t="str">
        <f t="shared" ca="1" si="663"/>
        <v/>
      </c>
      <c r="I6020" s="25" t="str">
        <f t="shared" ca="1" si="664"/>
        <v/>
      </c>
      <c r="J6020" s="26" t="str">
        <f t="shared" ca="1" si="665"/>
        <v/>
      </c>
    </row>
    <row r="6021" spans="1:10" x14ac:dyDescent="0.25">
      <c r="A6021" t="s">
        <v>934</v>
      </c>
      <c r="B6021" t="str">
        <f>ADDRESS(ROW('Bond 1'!$C$29),COLUMN('Bond 1'!$C$29),4)</f>
        <v>C29</v>
      </c>
      <c r="C6021" t="str">
        <f>ADDRESS(ROW('Bond 1'!$D$29),COLUMN('Bond 1'!$D$29),4)</f>
        <v>D29</v>
      </c>
      <c r="D6021" t="b" cm="1">
        <f t="array" aca="1" ref="D6021" ca="1">IF(OR(INDIRECT("'"&amp;A6021&amp;"'!B$29")="",INDIRECT("'"&amp;A6021&amp;"'!C$29")="",INDIRECT("'"&amp;A6021&amp;"'!B$34")="",INDIRECT("'"&amp;A6021&amp;"'!C$34")=""),FALSE,IF((INDIRECT("'"&amp;A6021&amp;"'!B$29")+INDIRECT("'"&amp;A6021&amp;"'!C$29"))&gt;(INDIRECT("'"&amp;A6021&amp;"'!B$34")+INDIRECT("'"&amp;A6021&amp;"'!C$34")),TRUE,FALSE))</f>
        <v>0</v>
      </c>
      <c r="E6021" t="s">
        <v>1307</v>
      </c>
      <c r="F6021" t="str">
        <f>INDEX(Lists!I:I,MATCH(Validation!E6021,Lists!G:G,0))</f>
        <v>Error</v>
      </c>
      <c r="G6021" t="str">
        <f>INDEX(Lists!H:H,MATCH(Validation!E6021,Lists!G:G,0))</f>
        <v>Uses cannot exceed total proceeds. Correct entries.</v>
      </c>
      <c r="H6021" s="25" t="str">
        <f t="shared" ca="1" si="663"/>
        <v/>
      </c>
      <c r="I6021" s="25" t="str">
        <f t="shared" ca="1" si="664"/>
        <v/>
      </c>
      <c r="J6021" s="26" t="str">
        <f t="shared" ca="1" si="665"/>
        <v/>
      </c>
    </row>
    <row r="6022" spans="1:10" x14ac:dyDescent="0.25">
      <c r="A6022" t="s">
        <v>935</v>
      </c>
      <c r="B6022" t="str">
        <f>ADDRESS(ROW('Bond 1'!$C$29),COLUMN('Bond 1'!$C$29),4)</f>
        <v>C29</v>
      </c>
      <c r="C6022" t="str">
        <f>ADDRESS(ROW('Bond 1'!$D$29),COLUMN('Bond 1'!$D$29),4)</f>
        <v>D29</v>
      </c>
      <c r="D6022" t="b" cm="1">
        <f t="array" aca="1" ref="D6022" ca="1">IF(OR(INDIRECT("'"&amp;A6022&amp;"'!B$29")="",INDIRECT("'"&amp;A6022&amp;"'!C$29")="",INDIRECT("'"&amp;A6022&amp;"'!B$34")="",INDIRECT("'"&amp;A6022&amp;"'!C$34")=""),FALSE,IF((INDIRECT("'"&amp;A6022&amp;"'!B$29")+INDIRECT("'"&amp;A6022&amp;"'!C$29"))&gt;(INDIRECT("'"&amp;A6022&amp;"'!B$34")+INDIRECT("'"&amp;A6022&amp;"'!C$34")),TRUE,FALSE))</f>
        <v>0</v>
      </c>
      <c r="E6022" t="s">
        <v>1307</v>
      </c>
      <c r="F6022" t="str">
        <f>INDEX(Lists!I:I,MATCH(Validation!E6022,Lists!G:G,0))</f>
        <v>Error</v>
      </c>
      <c r="G6022" t="str">
        <f>INDEX(Lists!H:H,MATCH(Validation!E6022,Lists!G:G,0))</f>
        <v>Uses cannot exceed total proceeds. Correct entries.</v>
      </c>
      <c r="H6022" s="25" t="str">
        <f t="shared" ca="1" si="663"/>
        <v/>
      </c>
      <c r="I6022" s="25" t="str">
        <f t="shared" ca="1" si="664"/>
        <v/>
      </c>
      <c r="J6022" s="26" t="str">
        <f t="shared" ca="1" si="665"/>
        <v/>
      </c>
    </row>
    <row r="6023" spans="1:10" x14ac:dyDescent="0.25">
      <c r="A6023" t="s">
        <v>936</v>
      </c>
      <c r="B6023" t="str">
        <f>ADDRESS(ROW('Bond 1'!$C$29),COLUMN('Bond 1'!$C$29),4)</f>
        <v>C29</v>
      </c>
      <c r="C6023" t="str">
        <f>ADDRESS(ROW('Bond 1'!$D$29),COLUMN('Bond 1'!$D$29),4)</f>
        <v>D29</v>
      </c>
      <c r="D6023" t="b" cm="1">
        <f t="array" aca="1" ref="D6023" ca="1">IF(OR(INDIRECT("'"&amp;A6023&amp;"'!B$29")="",INDIRECT("'"&amp;A6023&amp;"'!C$29")="",INDIRECT("'"&amp;A6023&amp;"'!B$34")="",INDIRECT("'"&amp;A6023&amp;"'!C$34")=""),FALSE,IF((INDIRECT("'"&amp;A6023&amp;"'!B$29")+INDIRECT("'"&amp;A6023&amp;"'!C$29"))&gt;(INDIRECT("'"&amp;A6023&amp;"'!B$34")+INDIRECT("'"&amp;A6023&amp;"'!C$34")),TRUE,FALSE))</f>
        <v>0</v>
      </c>
      <c r="E6023" t="s">
        <v>1307</v>
      </c>
      <c r="F6023" t="str">
        <f>INDEX(Lists!I:I,MATCH(Validation!E6023,Lists!G:G,0))</f>
        <v>Error</v>
      </c>
      <c r="G6023" t="str">
        <f>INDEX(Lists!H:H,MATCH(Validation!E6023,Lists!G:G,0))</f>
        <v>Uses cannot exceed total proceeds. Correct entries.</v>
      </c>
      <c r="H6023" s="25" t="str">
        <f t="shared" ca="1" si="663"/>
        <v/>
      </c>
      <c r="I6023" s="25" t="str">
        <f t="shared" ca="1" si="664"/>
        <v/>
      </c>
      <c r="J6023" s="26" t="str">
        <f t="shared" ca="1" si="665"/>
        <v/>
      </c>
    </row>
    <row r="6024" spans="1:10" x14ac:dyDescent="0.25">
      <c r="A6024" t="s">
        <v>937</v>
      </c>
      <c r="B6024" t="str">
        <f>ADDRESS(ROW('Bond 1'!$C$29),COLUMN('Bond 1'!$C$29),4)</f>
        <v>C29</v>
      </c>
      <c r="C6024" t="str">
        <f>ADDRESS(ROW('Bond 1'!$D$29),COLUMN('Bond 1'!$D$29),4)</f>
        <v>D29</v>
      </c>
      <c r="D6024" t="b" cm="1">
        <f t="array" aca="1" ref="D6024" ca="1">IF(OR(INDIRECT("'"&amp;A6024&amp;"'!B$29")="",INDIRECT("'"&amp;A6024&amp;"'!C$29")="",INDIRECT("'"&amp;A6024&amp;"'!B$34")="",INDIRECT("'"&amp;A6024&amp;"'!C$34")=""),FALSE,IF((INDIRECT("'"&amp;A6024&amp;"'!B$29")+INDIRECT("'"&amp;A6024&amp;"'!C$29"))&gt;(INDIRECT("'"&amp;A6024&amp;"'!B$34")+INDIRECT("'"&amp;A6024&amp;"'!C$34")),TRUE,FALSE))</f>
        <v>0</v>
      </c>
      <c r="E6024" t="s">
        <v>1307</v>
      </c>
      <c r="F6024" t="str">
        <f>INDEX(Lists!I:I,MATCH(Validation!E6024,Lists!G:G,0))</f>
        <v>Error</v>
      </c>
      <c r="G6024" t="str">
        <f>INDEX(Lists!H:H,MATCH(Validation!E6024,Lists!G:G,0))</f>
        <v>Uses cannot exceed total proceeds. Correct entries.</v>
      </c>
      <c r="H6024" s="25" t="str">
        <f t="shared" ca="1" si="663"/>
        <v/>
      </c>
      <c r="I6024" s="25" t="str">
        <f t="shared" ca="1" si="664"/>
        <v/>
      </c>
      <c r="J6024" s="26" t="str">
        <f t="shared" ca="1" si="665"/>
        <v/>
      </c>
    </row>
    <row r="6025" spans="1:10" x14ac:dyDescent="0.25">
      <c r="A6025" t="s">
        <v>938</v>
      </c>
      <c r="B6025" t="str">
        <f>ADDRESS(ROW('Bond 1'!$C$29),COLUMN('Bond 1'!$C$29),4)</f>
        <v>C29</v>
      </c>
      <c r="C6025" t="str">
        <f>ADDRESS(ROW('Bond 1'!$D$29),COLUMN('Bond 1'!$D$29),4)</f>
        <v>D29</v>
      </c>
      <c r="D6025" t="b" cm="1">
        <f t="array" aca="1" ref="D6025" ca="1">IF(OR(INDIRECT("'"&amp;A6025&amp;"'!B$29")="",INDIRECT("'"&amp;A6025&amp;"'!C$29")="",INDIRECT("'"&amp;A6025&amp;"'!B$34")="",INDIRECT("'"&amp;A6025&amp;"'!C$34")=""),FALSE,IF((INDIRECT("'"&amp;A6025&amp;"'!B$29")+INDIRECT("'"&amp;A6025&amp;"'!C$29"))&gt;(INDIRECT("'"&amp;A6025&amp;"'!B$34")+INDIRECT("'"&amp;A6025&amp;"'!C$34")),TRUE,FALSE))</f>
        <v>0</v>
      </c>
      <c r="E6025" t="s">
        <v>1307</v>
      </c>
      <c r="F6025" t="str">
        <f>INDEX(Lists!I:I,MATCH(Validation!E6025,Lists!G:G,0))</f>
        <v>Error</v>
      </c>
      <c r="G6025" t="str">
        <f>INDEX(Lists!H:H,MATCH(Validation!E6025,Lists!G:G,0))</f>
        <v>Uses cannot exceed total proceeds. Correct entries.</v>
      </c>
      <c r="H6025" s="25" t="str">
        <f t="shared" ca="1" si="663"/>
        <v/>
      </c>
      <c r="I6025" s="25" t="str">
        <f t="shared" ca="1" si="664"/>
        <v/>
      </c>
      <c r="J6025" s="26" t="str">
        <f t="shared" ca="1" si="665"/>
        <v/>
      </c>
    </row>
    <row r="6026" spans="1:10" x14ac:dyDescent="0.25">
      <c r="A6026" t="s">
        <v>939</v>
      </c>
      <c r="B6026" t="str">
        <f>ADDRESS(ROW('Bond 1'!$C$29),COLUMN('Bond 1'!$C$29),4)</f>
        <v>C29</v>
      </c>
      <c r="C6026" t="str">
        <f>ADDRESS(ROW('Bond 1'!$D$29),COLUMN('Bond 1'!$D$29),4)</f>
        <v>D29</v>
      </c>
      <c r="D6026" t="b" cm="1">
        <f t="array" aca="1" ref="D6026" ca="1">IF(OR(INDIRECT("'"&amp;A6026&amp;"'!B$29")="",INDIRECT("'"&amp;A6026&amp;"'!C$29")="",INDIRECT("'"&amp;A6026&amp;"'!B$34")="",INDIRECT("'"&amp;A6026&amp;"'!C$34")=""),FALSE,IF((INDIRECT("'"&amp;A6026&amp;"'!B$29")+INDIRECT("'"&amp;A6026&amp;"'!C$29"))&gt;(INDIRECT("'"&amp;A6026&amp;"'!B$34")+INDIRECT("'"&amp;A6026&amp;"'!C$34")),TRUE,FALSE))</f>
        <v>0</v>
      </c>
      <c r="E6026" t="s">
        <v>1307</v>
      </c>
      <c r="F6026" t="str">
        <f>INDEX(Lists!I:I,MATCH(Validation!E6026,Lists!G:G,0))</f>
        <v>Error</v>
      </c>
      <c r="G6026" t="str">
        <f>INDEX(Lists!H:H,MATCH(Validation!E6026,Lists!G:G,0))</f>
        <v>Uses cannot exceed total proceeds. Correct entries.</v>
      </c>
      <c r="H6026" s="25" t="str">
        <f t="shared" ca="1" si="663"/>
        <v/>
      </c>
      <c r="I6026" s="25" t="str">
        <f t="shared" ca="1" si="664"/>
        <v/>
      </c>
      <c r="J6026" s="26" t="str">
        <f t="shared" ca="1" si="665"/>
        <v/>
      </c>
    </row>
    <row r="6027" spans="1:10" x14ac:dyDescent="0.25">
      <c r="A6027" t="s">
        <v>940</v>
      </c>
      <c r="B6027" t="str">
        <f>ADDRESS(ROW('Bond 1'!$C$29),COLUMN('Bond 1'!$C$29),4)</f>
        <v>C29</v>
      </c>
      <c r="C6027" t="str">
        <f>ADDRESS(ROW('Bond 1'!$D$29),COLUMN('Bond 1'!$D$29),4)</f>
        <v>D29</v>
      </c>
      <c r="D6027" t="b" cm="1">
        <f t="array" aca="1" ref="D6027" ca="1">IF(OR(INDIRECT("'"&amp;A6027&amp;"'!B$29")="",INDIRECT("'"&amp;A6027&amp;"'!C$29")="",INDIRECT("'"&amp;A6027&amp;"'!B$34")="",INDIRECT("'"&amp;A6027&amp;"'!C$34")=""),FALSE,IF((INDIRECT("'"&amp;A6027&amp;"'!B$29")+INDIRECT("'"&amp;A6027&amp;"'!C$29"))&gt;(INDIRECT("'"&amp;A6027&amp;"'!B$34")+INDIRECT("'"&amp;A6027&amp;"'!C$34")),TRUE,FALSE))</f>
        <v>0</v>
      </c>
      <c r="E6027" t="s">
        <v>1307</v>
      </c>
      <c r="F6027" t="str">
        <f>INDEX(Lists!I:I,MATCH(Validation!E6027,Lists!G:G,0))</f>
        <v>Error</v>
      </c>
      <c r="G6027" t="str">
        <f>INDEX(Lists!H:H,MATCH(Validation!E6027,Lists!G:G,0))</f>
        <v>Uses cannot exceed total proceeds. Correct entries.</v>
      </c>
      <c r="H6027" s="25" t="str">
        <f t="shared" ca="1" si="663"/>
        <v/>
      </c>
      <c r="I6027" s="25" t="str">
        <f t="shared" ca="1" si="664"/>
        <v/>
      </c>
      <c r="J6027" s="26" t="str">
        <f t="shared" ca="1" si="665"/>
        <v/>
      </c>
    </row>
    <row r="6028" spans="1:10" x14ac:dyDescent="0.25">
      <c r="A6028" t="s">
        <v>941</v>
      </c>
      <c r="B6028" t="str">
        <f>ADDRESS(ROW('Bond 1'!$C$29),COLUMN('Bond 1'!$C$29),4)</f>
        <v>C29</v>
      </c>
      <c r="C6028" t="str">
        <f>ADDRESS(ROW('Bond 1'!$D$29),COLUMN('Bond 1'!$D$29),4)</f>
        <v>D29</v>
      </c>
      <c r="D6028" t="b" cm="1">
        <f t="array" aca="1" ref="D6028" ca="1">IF(OR(INDIRECT("'"&amp;A6028&amp;"'!B$29")="",INDIRECT("'"&amp;A6028&amp;"'!C$29")="",INDIRECT("'"&amp;A6028&amp;"'!B$34")="",INDIRECT("'"&amp;A6028&amp;"'!C$34")=""),FALSE,IF((INDIRECT("'"&amp;A6028&amp;"'!B$29")+INDIRECT("'"&amp;A6028&amp;"'!C$29"))&gt;(INDIRECT("'"&amp;A6028&amp;"'!B$34")+INDIRECT("'"&amp;A6028&amp;"'!C$34")),TRUE,FALSE))</f>
        <v>0</v>
      </c>
      <c r="E6028" t="s">
        <v>1307</v>
      </c>
      <c r="F6028" t="str">
        <f>INDEX(Lists!I:I,MATCH(Validation!E6028,Lists!G:G,0))</f>
        <v>Error</v>
      </c>
      <c r="G6028" t="str">
        <f>INDEX(Lists!H:H,MATCH(Validation!E6028,Lists!G:G,0))</f>
        <v>Uses cannot exceed total proceeds. Correct entries.</v>
      </c>
      <c r="H6028" s="25" t="str">
        <f t="shared" ca="1" si="663"/>
        <v/>
      </c>
      <c r="I6028" s="25" t="str">
        <f t="shared" ca="1" si="664"/>
        <v/>
      </c>
      <c r="J6028" s="26" t="str">
        <f t="shared" ca="1" si="665"/>
        <v/>
      </c>
    </row>
    <row r="6029" spans="1:10" x14ac:dyDescent="0.25">
      <c r="A6029" t="s">
        <v>942</v>
      </c>
      <c r="B6029" t="str">
        <f>ADDRESS(ROW('Bond 1'!$C$29),COLUMN('Bond 1'!$C$29),4)</f>
        <v>C29</v>
      </c>
      <c r="C6029" t="str">
        <f>ADDRESS(ROW('Bond 1'!$D$29),COLUMN('Bond 1'!$D$29),4)</f>
        <v>D29</v>
      </c>
      <c r="D6029" t="b" cm="1">
        <f t="array" aca="1" ref="D6029" ca="1">IF(OR(INDIRECT("'"&amp;A6029&amp;"'!B$29")="",INDIRECT("'"&amp;A6029&amp;"'!C$29")="",INDIRECT("'"&amp;A6029&amp;"'!B$34")="",INDIRECT("'"&amp;A6029&amp;"'!C$34")=""),FALSE,IF((INDIRECT("'"&amp;A6029&amp;"'!B$29")+INDIRECT("'"&amp;A6029&amp;"'!C$29"))&gt;(INDIRECT("'"&amp;A6029&amp;"'!B$34")+INDIRECT("'"&amp;A6029&amp;"'!C$34")),TRUE,FALSE))</f>
        <v>0</v>
      </c>
      <c r="E6029" t="s">
        <v>1307</v>
      </c>
      <c r="F6029" t="str">
        <f>INDEX(Lists!I:I,MATCH(Validation!E6029,Lists!G:G,0))</f>
        <v>Error</v>
      </c>
      <c r="G6029" t="str">
        <f>INDEX(Lists!H:H,MATCH(Validation!E6029,Lists!G:G,0))</f>
        <v>Uses cannot exceed total proceeds. Correct entries.</v>
      </c>
      <c r="H6029" s="25" t="str">
        <f t="shared" ca="1" si="663"/>
        <v/>
      </c>
      <c r="I6029" s="25" t="str">
        <f t="shared" ca="1" si="664"/>
        <v/>
      </c>
      <c r="J6029" s="26" t="str">
        <f t="shared" ca="1" si="665"/>
        <v/>
      </c>
    </row>
    <row r="6030" spans="1:10" x14ac:dyDescent="0.25">
      <c r="A6030" t="s">
        <v>943</v>
      </c>
      <c r="B6030" t="str">
        <f>ADDRESS(ROW('Bond 1'!$C$29),COLUMN('Bond 1'!$C$29),4)</f>
        <v>C29</v>
      </c>
      <c r="C6030" t="str">
        <f>ADDRESS(ROW('Bond 1'!$D$29),COLUMN('Bond 1'!$D$29),4)</f>
        <v>D29</v>
      </c>
      <c r="D6030" t="b" cm="1">
        <f t="array" aca="1" ref="D6030" ca="1">IF(OR(INDIRECT("'"&amp;A6030&amp;"'!B$29")="",INDIRECT("'"&amp;A6030&amp;"'!C$29")="",INDIRECT("'"&amp;A6030&amp;"'!B$34")="",INDIRECT("'"&amp;A6030&amp;"'!C$34")=""),FALSE,IF((INDIRECT("'"&amp;A6030&amp;"'!B$29")+INDIRECT("'"&amp;A6030&amp;"'!C$29"))&gt;(INDIRECT("'"&amp;A6030&amp;"'!B$34")+INDIRECT("'"&amp;A6030&amp;"'!C$34")),TRUE,FALSE))</f>
        <v>0</v>
      </c>
      <c r="E6030" t="s">
        <v>1307</v>
      </c>
      <c r="F6030" t="str">
        <f>INDEX(Lists!I:I,MATCH(Validation!E6030,Lists!G:G,0))</f>
        <v>Error</v>
      </c>
      <c r="G6030" t="str">
        <f>INDEX(Lists!H:H,MATCH(Validation!E6030,Lists!G:G,0))</f>
        <v>Uses cannot exceed total proceeds. Correct entries.</v>
      </c>
      <c r="H6030" s="25" t="str">
        <f t="shared" ca="1" si="663"/>
        <v/>
      </c>
      <c r="I6030" s="25" t="str">
        <f t="shared" ca="1" si="664"/>
        <v/>
      </c>
      <c r="J6030" s="26" t="str">
        <f t="shared" ca="1" si="665"/>
        <v/>
      </c>
    </row>
    <row r="6031" spans="1:10" x14ac:dyDescent="0.25">
      <c r="A6031" t="s">
        <v>944</v>
      </c>
      <c r="B6031" t="str">
        <f>ADDRESS(ROW('Bond 1'!$C$29),COLUMN('Bond 1'!$C$29),4)</f>
        <v>C29</v>
      </c>
      <c r="C6031" t="str">
        <f>ADDRESS(ROW('Bond 1'!$D$29),COLUMN('Bond 1'!$D$29),4)</f>
        <v>D29</v>
      </c>
      <c r="D6031" t="b" cm="1">
        <f t="array" aca="1" ref="D6031" ca="1">IF(OR(INDIRECT("'"&amp;A6031&amp;"'!B$29")="",INDIRECT("'"&amp;A6031&amp;"'!C$29")="",INDIRECT("'"&amp;A6031&amp;"'!B$34")="",INDIRECT("'"&amp;A6031&amp;"'!C$34")=""),FALSE,IF((INDIRECT("'"&amp;A6031&amp;"'!B$29")+INDIRECT("'"&amp;A6031&amp;"'!C$29"))&gt;(INDIRECT("'"&amp;A6031&amp;"'!B$34")+INDIRECT("'"&amp;A6031&amp;"'!C$34")),TRUE,FALSE))</f>
        <v>0</v>
      </c>
      <c r="E6031" t="s">
        <v>1307</v>
      </c>
      <c r="F6031" t="str">
        <f>INDEX(Lists!I:I,MATCH(Validation!E6031,Lists!G:G,0))</f>
        <v>Error</v>
      </c>
      <c r="G6031" t="str">
        <f>INDEX(Lists!H:H,MATCH(Validation!E6031,Lists!G:G,0))</f>
        <v>Uses cannot exceed total proceeds. Correct entries.</v>
      </c>
      <c r="H6031" s="25" t="str">
        <f t="shared" ca="1" si="663"/>
        <v/>
      </c>
      <c r="I6031" s="25" t="str">
        <f t="shared" ca="1" si="664"/>
        <v/>
      </c>
      <c r="J6031" s="26" t="str">
        <f t="shared" ca="1" si="665"/>
        <v/>
      </c>
    </row>
    <row r="6032" spans="1:10" x14ac:dyDescent="0.25">
      <c r="A6032" t="s">
        <v>945</v>
      </c>
      <c r="B6032" t="str">
        <f>ADDRESS(ROW('Bond 1'!$C$29),COLUMN('Bond 1'!$C$29),4)</f>
        <v>C29</v>
      </c>
      <c r="C6032" t="str">
        <f>ADDRESS(ROW('Bond 1'!$D$29),COLUMN('Bond 1'!$D$29),4)</f>
        <v>D29</v>
      </c>
      <c r="D6032" t="b" cm="1">
        <f t="array" aca="1" ref="D6032" ca="1">IF(OR(INDIRECT("'"&amp;A6032&amp;"'!B$29")="",INDIRECT("'"&amp;A6032&amp;"'!C$29")="",INDIRECT("'"&amp;A6032&amp;"'!B$34")="",INDIRECT("'"&amp;A6032&amp;"'!C$34")=""),FALSE,IF((INDIRECT("'"&amp;A6032&amp;"'!B$29")+INDIRECT("'"&amp;A6032&amp;"'!C$29"))&gt;(INDIRECT("'"&amp;A6032&amp;"'!B$34")+INDIRECT("'"&amp;A6032&amp;"'!C$34")),TRUE,FALSE))</f>
        <v>0</v>
      </c>
      <c r="E6032" t="s">
        <v>1307</v>
      </c>
      <c r="F6032" t="str">
        <f>INDEX(Lists!I:I,MATCH(Validation!E6032,Lists!G:G,0))</f>
        <v>Error</v>
      </c>
      <c r="G6032" t="str">
        <f>INDEX(Lists!H:H,MATCH(Validation!E6032,Lists!G:G,0))</f>
        <v>Uses cannot exceed total proceeds. Correct entries.</v>
      </c>
      <c r="H6032" s="25" t="str">
        <f t="shared" ca="1" si="663"/>
        <v/>
      </c>
      <c r="I6032" s="25" t="str">
        <f t="shared" ca="1" si="664"/>
        <v/>
      </c>
      <c r="J6032" s="26" t="str">
        <f t="shared" ca="1" si="665"/>
        <v/>
      </c>
    </row>
    <row r="6033" spans="1:10" x14ac:dyDescent="0.25">
      <c r="A6033" t="s">
        <v>205</v>
      </c>
      <c r="B6033" t="str">
        <f>ADDRESS(ROW('Bond 1'!$B$29),COLUMN('Bond 1'!$B$29),4)</f>
        <v>B29</v>
      </c>
      <c r="C6033" t="str">
        <f>ADDRESS(ROW('Bond 1'!$D$29),COLUMN('Bond 1'!$D$29),4)</f>
        <v>D29</v>
      </c>
      <c r="D6033" t="b" cm="1">
        <f t="array" aca="1" ref="D6033" ca="1">IF(INDIRECT("'"&amp;A6033&amp;"'!"&amp;B6033)="",FALSE,IF(INDIRECT("'"&amp;A6033&amp;"'!"&amp;B6033)&lt;0,TRUE,FALSE))</f>
        <v>0</v>
      </c>
      <c r="E6033" t="s">
        <v>1310</v>
      </c>
      <c r="F6033" t="str">
        <f>INDEX(Lists!I:I,MATCH(Validation!E6033,Lists!G:G,0))</f>
        <v>Error</v>
      </c>
      <c r="G6033" t="str">
        <f>INDEX(Lists!H:H,MATCH(Validation!E6033,Lists!G:G,0))</f>
        <v>Remaining proceeds cannot be negative. Correct entries.</v>
      </c>
      <c r="H6033" s="25" t="str">
        <f t="shared" ref="H6033:H6047" ca="1" si="666">IFERROR(IF(OR(NOT(D6033),F6033&lt;&gt;"Error"),"",A6033&amp;CELL("address",INDIRECT(B6033))),"")</f>
        <v/>
      </c>
      <c r="I6033" s="25" t="str">
        <f t="shared" ref="I6033:I6047" ca="1" si="667">IFERROR(IF(NOT(D6033),"",A6033&amp;CELL("address",INDIRECT(C6033))),"")</f>
        <v/>
      </c>
      <c r="J6033" s="26" t="str">
        <f t="shared" ref="J6033:J6047" ca="1" si="668">IFERROR(IF(NOT(D6033),"",A6033),"")</f>
        <v/>
      </c>
    </row>
    <row r="6034" spans="1:10" x14ac:dyDescent="0.25">
      <c r="A6034" t="s">
        <v>932</v>
      </c>
      <c r="B6034" t="str">
        <f>ADDRESS(ROW('Bond 1'!$B$29),COLUMN('Bond 1'!$B$29),4)</f>
        <v>B29</v>
      </c>
      <c r="C6034" t="str">
        <f>ADDRESS(ROW('Bond 1'!$D$29),COLUMN('Bond 1'!$D$29),4)</f>
        <v>D29</v>
      </c>
      <c r="D6034" t="b" cm="1">
        <f t="array" aca="1" ref="D6034" ca="1">IF(INDIRECT("'"&amp;A6034&amp;"'!"&amp;B6034)="",FALSE,IF(INDIRECT("'"&amp;A6034&amp;"'!"&amp;B6034)&lt;0,TRUE,FALSE))</f>
        <v>0</v>
      </c>
      <c r="E6034" t="s">
        <v>1310</v>
      </c>
      <c r="F6034" t="str">
        <f>INDEX(Lists!I:I,MATCH(Validation!E6034,Lists!G:G,0))</f>
        <v>Error</v>
      </c>
      <c r="G6034" t="str">
        <f>INDEX(Lists!H:H,MATCH(Validation!E6034,Lists!G:G,0))</f>
        <v>Remaining proceeds cannot be negative. Correct entries.</v>
      </c>
      <c r="H6034" s="25" t="str">
        <f t="shared" ca="1" si="666"/>
        <v/>
      </c>
      <c r="I6034" s="25" t="str">
        <f t="shared" ca="1" si="667"/>
        <v/>
      </c>
      <c r="J6034" s="26" t="str">
        <f t="shared" ca="1" si="668"/>
        <v/>
      </c>
    </row>
    <row r="6035" spans="1:10" x14ac:dyDescent="0.25">
      <c r="A6035" t="s">
        <v>933</v>
      </c>
      <c r="B6035" t="str">
        <f>ADDRESS(ROW('Bond 1'!$B$29),COLUMN('Bond 1'!$B$29),4)</f>
        <v>B29</v>
      </c>
      <c r="C6035" t="str">
        <f>ADDRESS(ROW('Bond 1'!$D$29),COLUMN('Bond 1'!$D$29),4)</f>
        <v>D29</v>
      </c>
      <c r="D6035" t="b" cm="1">
        <f t="array" aca="1" ref="D6035" ca="1">IF(INDIRECT("'"&amp;A6035&amp;"'!"&amp;B6035)="",FALSE,IF(INDIRECT("'"&amp;A6035&amp;"'!"&amp;B6035)&lt;0,TRUE,FALSE))</f>
        <v>0</v>
      </c>
      <c r="E6035" t="s">
        <v>1310</v>
      </c>
      <c r="F6035" t="str">
        <f>INDEX(Lists!I:I,MATCH(Validation!E6035,Lists!G:G,0))</f>
        <v>Error</v>
      </c>
      <c r="G6035" t="str">
        <f>INDEX(Lists!H:H,MATCH(Validation!E6035,Lists!G:G,0))</f>
        <v>Remaining proceeds cannot be negative. Correct entries.</v>
      </c>
      <c r="H6035" s="25" t="str">
        <f t="shared" ca="1" si="666"/>
        <v/>
      </c>
      <c r="I6035" s="25" t="str">
        <f t="shared" ca="1" si="667"/>
        <v/>
      </c>
      <c r="J6035" s="26" t="str">
        <f t="shared" ca="1" si="668"/>
        <v/>
      </c>
    </row>
    <row r="6036" spans="1:10" x14ac:dyDescent="0.25">
      <c r="A6036" t="s">
        <v>934</v>
      </c>
      <c r="B6036" t="str">
        <f>ADDRESS(ROW('Bond 1'!$B$29),COLUMN('Bond 1'!$B$29),4)</f>
        <v>B29</v>
      </c>
      <c r="C6036" t="str">
        <f>ADDRESS(ROW('Bond 1'!$D$29),COLUMN('Bond 1'!$D$29),4)</f>
        <v>D29</v>
      </c>
      <c r="D6036" t="b" cm="1">
        <f t="array" aca="1" ref="D6036" ca="1">IF(INDIRECT("'"&amp;A6036&amp;"'!"&amp;B6036)="",FALSE,IF(INDIRECT("'"&amp;A6036&amp;"'!"&amp;B6036)&lt;0,TRUE,FALSE))</f>
        <v>0</v>
      </c>
      <c r="E6036" t="s">
        <v>1310</v>
      </c>
      <c r="F6036" t="str">
        <f>INDEX(Lists!I:I,MATCH(Validation!E6036,Lists!G:G,0))</f>
        <v>Error</v>
      </c>
      <c r="G6036" t="str">
        <f>INDEX(Lists!H:H,MATCH(Validation!E6036,Lists!G:G,0))</f>
        <v>Remaining proceeds cannot be negative. Correct entries.</v>
      </c>
      <c r="H6036" s="25" t="str">
        <f t="shared" ca="1" si="666"/>
        <v/>
      </c>
      <c r="I6036" s="25" t="str">
        <f t="shared" ca="1" si="667"/>
        <v/>
      </c>
      <c r="J6036" s="26" t="str">
        <f t="shared" ca="1" si="668"/>
        <v/>
      </c>
    </row>
    <row r="6037" spans="1:10" x14ac:dyDescent="0.25">
      <c r="A6037" t="s">
        <v>935</v>
      </c>
      <c r="B6037" t="str">
        <f>ADDRESS(ROW('Bond 1'!$B$29),COLUMN('Bond 1'!$B$29),4)</f>
        <v>B29</v>
      </c>
      <c r="C6037" t="str">
        <f>ADDRESS(ROW('Bond 1'!$D$29),COLUMN('Bond 1'!$D$29),4)</f>
        <v>D29</v>
      </c>
      <c r="D6037" t="b" cm="1">
        <f t="array" aca="1" ref="D6037" ca="1">IF(INDIRECT("'"&amp;A6037&amp;"'!"&amp;B6037)="",FALSE,IF(INDIRECT("'"&amp;A6037&amp;"'!"&amp;B6037)&lt;0,TRUE,FALSE))</f>
        <v>0</v>
      </c>
      <c r="E6037" t="s">
        <v>1310</v>
      </c>
      <c r="F6037" t="str">
        <f>INDEX(Lists!I:I,MATCH(Validation!E6037,Lists!G:G,0))</f>
        <v>Error</v>
      </c>
      <c r="G6037" t="str">
        <f>INDEX(Lists!H:H,MATCH(Validation!E6037,Lists!G:G,0))</f>
        <v>Remaining proceeds cannot be negative. Correct entries.</v>
      </c>
      <c r="H6037" s="25" t="str">
        <f t="shared" ca="1" si="666"/>
        <v/>
      </c>
      <c r="I6037" s="25" t="str">
        <f t="shared" ca="1" si="667"/>
        <v/>
      </c>
      <c r="J6037" s="26" t="str">
        <f t="shared" ca="1" si="668"/>
        <v/>
      </c>
    </row>
    <row r="6038" spans="1:10" x14ac:dyDescent="0.25">
      <c r="A6038" t="s">
        <v>936</v>
      </c>
      <c r="B6038" t="str">
        <f>ADDRESS(ROW('Bond 1'!$B$29),COLUMN('Bond 1'!$B$29),4)</f>
        <v>B29</v>
      </c>
      <c r="C6038" t="str">
        <f>ADDRESS(ROW('Bond 1'!$D$29),COLUMN('Bond 1'!$D$29),4)</f>
        <v>D29</v>
      </c>
      <c r="D6038" t="b" cm="1">
        <f t="array" aca="1" ref="D6038" ca="1">IF(INDIRECT("'"&amp;A6038&amp;"'!"&amp;B6038)="",FALSE,IF(INDIRECT("'"&amp;A6038&amp;"'!"&amp;B6038)&lt;0,TRUE,FALSE))</f>
        <v>0</v>
      </c>
      <c r="E6038" t="s">
        <v>1310</v>
      </c>
      <c r="F6038" t="str">
        <f>INDEX(Lists!I:I,MATCH(Validation!E6038,Lists!G:G,0))</f>
        <v>Error</v>
      </c>
      <c r="G6038" t="str">
        <f>INDEX(Lists!H:H,MATCH(Validation!E6038,Lists!G:G,0))</f>
        <v>Remaining proceeds cannot be negative. Correct entries.</v>
      </c>
      <c r="H6038" s="25" t="str">
        <f t="shared" ca="1" si="666"/>
        <v/>
      </c>
      <c r="I6038" s="25" t="str">
        <f t="shared" ca="1" si="667"/>
        <v/>
      </c>
      <c r="J6038" s="26" t="str">
        <f t="shared" ca="1" si="668"/>
        <v/>
      </c>
    </row>
    <row r="6039" spans="1:10" x14ac:dyDescent="0.25">
      <c r="A6039" t="s">
        <v>937</v>
      </c>
      <c r="B6039" t="str">
        <f>ADDRESS(ROW('Bond 1'!$B$29),COLUMN('Bond 1'!$B$29),4)</f>
        <v>B29</v>
      </c>
      <c r="C6039" t="str">
        <f>ADDRESS(ROW('Bond 1'!$D$29),COLUMN('Bond 1'!$D$29),4)</f>
        <v>D29</v>
      </c>
      <c r="D6039" t="b" cm="1">
        <f t="array" aca="1" ref="D6039" ca="1">IF(INDIRECT("'"&amp;A6039&amp;"'!"&amp;B6039)="",FALSE,IF(INDIRECT("'"&amp;A6039&amp;"'!"&amp;B6039)&lt;0,TRUE,FALSE))</f>
        <v>0</v>
      </c>
      <c r="E6039" t="s">
        <v>1310</v>
      </c>
      <c r="F6039" t="str">
        <f>INDEX(Lists!I:I,MATCH(Validation!E6039,Lists!G:G,0))</f>
        <v>Error</v>
      </c>
      <c r="G6039" t="str">
        <f>INDEX(Lists!H:H,MATCH(Validation!E6039,Lists!G:G,0))</f>
        <v>Remaining proceeds cannot be negative. Correct entries.</v>
      </c>
      <c r="H6039" s="25" t="str">
        <f t="shared" ca="1" si="666"/>
        <v/>
      </c>
      <c r="I6039" s="25" t="str">
        <f t="shared" ca="1" si="667"/>
        <v/>
      </c>
      <c r="J6039" s="26" t="str">
        <f t="shared" ca="1" si="668"/>
        <v/>
      </c>
    </row>
    <row r="6040" spans="1:10" x14ac:dyDescent="0.25">
      <c r="A6040" t="s">
        <v>938</v>
      </c>
      <c r="B6040" t="str">
        <f>ADDRESS(ROW('Bond 1'!$B$29),COLUMN('Bond 1'!$B$29),4)</f>
        <v>B29</v>
      </c>
      <c r="C6040" t="str">
        <f>ADDRESS(ROW('Bond 1'!$D$29),COLUMN('Bond 1'!$D$29),4)</f>
        <v>D29</v>
      </c>
      <c r="D6040" t="b" cm="1">
        <f t="array" aca="1" ref="D6040" ca="1">IF(INDIRECT("'"&amp;A6040&amp;"'!"&amp;B6040)="",FALSE,IF(INDIRECT("'"&amp;A6040&amp;"'!"&amp;B6040)&lt;0,TRUE,FALSE))</f>
        <v>0</v>
      </c>
      <c r="E6040" t="s">
        <v>1310</v>
      </c>
      <c r="F6040" t="str">
        <f>INDEX(Lists!I:I,MATCH(Validation!E6040,Lists!G:G,0))</f>
        <v>Error</v>
      </c>
      <c r="G6040" t="str">
        <f>INDEX(Lists!H:H,MATCH(Validation!E6040,Lists!G:G,0))</f>
        <v>Remaining proceeds cannot be negative. Correct entries.</v>
      </c>
      <c r="H6040" s="25" t="str">
        <f t="shared" ca="1" si="666"/>
        <v/>
      </c>
      <c r="I6040" s="25" t="str">
        <f t="shared" ca="1" si="667"/>
        <v/>
      </c>
      <c r="J6040" s="26" t="str">
        <f t="shared" ca="1" si="668"/>
        <v/>
      </c>
    </row>
    <row r="6041" spans="1:10" x14ac:dyDescent="0.25">
      <c r="A6041" t="s">
        <v>939</v>
      </c>
      <c r="B6041" t="str">
        <f>ADDRESS(ROW('Bond 1'!$B$29),COLUMN('Bond 1'!$B$29),4)</f>
        <v>B29</v>
      </c>
      <c r="C6041" t="str">
        <f>ADDRESS(ROW('Bond 1'!$D$29),COLUMN('Bond 1'!$D$29),4)</f>
        <v>D29</v>
      </c>
      <c r="D6041" t="b" cm="1">
        <f t="array" aca="1" ref="D6041" ca="1">IF(INDIRECT("'"&amp;A6041&amp;"'!"&amp;B6041)="",FALSE,IF(INDIRECT("'"&amp;A6041&amp;"'!"&amp;B6041)&lt;0,TRUE,FALSE))</f>
        <v>0</v>
      </c>
      <c r="E6041" t="s">
        <v>1310</v>
      </c>
      <c r="F6041" t="str">
        <f>INDEX(Lists!I:I,MATCH(Validation!E6041,Lists!G:G,0))</f>
        <v>Error</v>
      </c>
      <c r="G6041" t="str">
        <f>INDEX(Lists!H:H,MATCH(Validation!E6041,Lists!G:G,0))</f>
        <v>Remaining proceeds cannot be negative. Correct entries.</v>
      </c>
      <c r="H6041" s="25" t="str">
        <f t="shared" ca="1" si="666"/>
        <v/>
      </c>
      <c r="I6041" s="25" t="str">
        <f t="shared" ca="1" si="667"/>
        <v/>
      </c>
      <c r="J6041" s="26" t="str">
        <f t="shared" ca="1" si="668"/>
        <v/>
      </c>
    </row>
    <row r="6042" spans="1:10" x14ac:dyDescent="0.25">
      <c r="A6042" t="s">
        <v>940</v>
      </c>
      <c r="B6042" t="str">
        <f>ADDRESS(ROW('Bond 1'!$B$29),COLUMN('Bond 1'!$B$29),4)</f>
        <v>B29</v>
      </c>
      <c r="C6042" t="str">
        <f>ADDRESS(ROW('Bond 1'!$D$29),COLUMN('Bond 1'!$D$29),4)</f>
        <v>D29</v>
      </c>
      <c r="D6042" t="b" cm="1">
        <f t="array" aca="1" ref="D6042" ca="1">IF(INDIRECT("'"&amp;A6042&amp;"'!"&amp;B6042)="",FALSE,IF(INDIRECT("'"&amp;A6042&amp;"'!"&amp;B6042)&lt;0,TRUE,FALSE))</f>
        <v>0</v>
      </c>
      <c r="E6042" t="s">
        <v>1310</v>
      </c>
      <c r="F6042" t="str">
        <f>INDEX(Lists!I:I,MATCH(Validation!E6042,Lists!G:G,0))</f>
        <v>Error</v>
      </c>
      <c r="G6042" t="str">
        <f>INDEX(Lists!H:H,MATCH(Validation!E6042,Lists!G:G,0))</f>
        <v>Remaining proceeds cannot be negative. Correct entries.</v>
      </c>
      <c r="H6042" s="25" t="str">
        <f t="shared" ca="1" si="666"/>
        <v/>
      </c>
      <c r="I6042" s="25" t="str">
        <f t="shared" ca="1" si="667"/>
        <v/>
      </c>
      <c r="J6042" s="26" t="str">
        <f t="shared" ca="1" si="668"/>
        <v/>
      </c>
    </row>
    <row r="6043" spans="1:10" x14ac:dyDescent="0.25">
      <c r="A6043" t="s">
        <v>941</v>
      </c>
      <c r="B6043" t="str">
        <f>ADDRESS(ROW('Bond 1'!$B$29),COLUMN('Bond 1'!$B$29),4)</f>
        <v>B29</v>
      </c>
      <c r="C6043" t="str">
        <f>ADDRESS(ROW('Bond 1'!$D$29),COLUMN('Bond 1'!$D$29),4)</f>
        <v>D29</v>
      </c>
      <c r="D6043" t="b" cm="1">
        <f t="array" aca="1" ref="D6043" ca="1">IF(INDIRECT("'"&amp;A6043&amp;"'!"&amp;B6043)="",FALSE,IF(INDIRECT("'"&amp;A6043&amp;"'!"&amp;B6043)&lt;0,TRUE,FALSE))</f>
        <v>0</v>
      </c>
      <c r="E6043" t="s">
        <v>1310</v>
      </c>
      <c r="F6043" t="str">
        <f>INDEX(Lists!I:I,MATCH(Validation!E6043,Lists!G:G,0))</f>
        <v>Error</v>
      </c>
      <c r="G6043" t="str">
        <f>INDEX(Lists!H:H,MATCH(Validation!E6043,Lists!G:G,0))</f>
        <v>Remaining proceeds cannot be negative. Correct entries.</v>
      </c>
      <c r="H6043" s="25" t="str">
        <f t="shared" ca="1" si="666"/>
        <v/>
      </c>
      <c r="I6043" s="25" t="str">
        <f t="shared" ca="1" si="667"/>
        <v/>
      </c>
      <c r="J6043" s="26" t="str">
        <f t="shared" ca="1" si="668"/>
        <v/>
      </c>
    </row>
    <row r="6044" spans="1:10" x14ac:dyDescent="0.25">
      <c r="A6044" t="s">
        <v>942</v>
      </c>
      <c r="B6044" t="str">
        <f>ADDRESS(ROW('Bond 1'!$B$29),COLUMN('Bond 1'!$B$29),4)</f>
        <v>B29</v>
      </c>
      <c r="C6044" t="str">
        <f>ADDRESS(ROW('Bond 1'!$D$29),COLUMN('Bond 1'!$D$29),4)</f>
        <v>D29</v>
      </c>
      <c r="D6044" t="b" cm="1">
        <f t="array" aca="1" ref="D6044" ca="1">IF(INDIRECT("'"&amp;A6044&amp;"'!"&amp;B6044)="",FALSE,IF(INDIRECT("'"&amp;A6044&amp;"'!"&amp;B6044)&lt;0,TRUE,FALSE))</f>
        <v>0</v>
      </c>
      <c r="E6044" t="s">
        <v>1310</v>
      </c>
      <c r="F6044" t="str">
        <f>INDEX(Lists!I:I,MATCH(Validation!E6044,Lists!G:G,0))</f>
        <v>Error</v>
      </c>
      <c r="G6044" t="str">
        <f>INDEX(Lists!H:H,MATCH(Validation!E6044,Lists!G:G,0))</f>
        <v>Remaining proceeds cannot be negative. Correct entries.</v>
      </c>
      <c r="H6044" s="25" t="str">
        <f t="shared" ca="1" si="666"/>
        <v/>
      </c>
      <c r="I6044" s="25" t="str">
        <f t="shared" ca="1" si="667"/>
        <v/>
      </c>
      <c r="J6044" s="26" t="str">
        <f t="shared" ca="1" si="668"/>
        <v/>
      </c>
    </row>
    <row r="6045" spans="1:10" x14ac:dyDescent="0.25">
      <c r="A6045" t="s">
        <v>943</v>
      </c>
      <c r="B6045" t="str">
        <f>ADDRESS(ROW('Bond 1'!$B$29),COLUMN('Bond 1'!$B$29),4)</f>
        <v>B29</v>
      </c>
      <c r="C6045" t="str">
        <f>ADDRESS(ROW('Bond 1'!$D$29),COLUMN('Bond 1'!$D$29),4)</f>
        <v>D29</v>
      </c>
      <c r="D6045" t="b" cm="1">
        <f t="array" aca="1" ref="D6045" ca="1">IF(INDIRECT("'"&amp;A6045&amp;"'!"&amp;B6045)="",FALSE,IF(INDIRECT("'"&amp;A6045&amp;"'!"&amp;B6045)&lt;0,TRUE,FALSE))</f>
        <v>0</v>
      </c>
      <c r="E6045" t="s">
        <v>1310</v>
      </c>
      <c r="F6045" t="str">
        <f>INDEX(Lists!I:I,MATCH(Validation!E6045,Lists!G:G,0))</f>
        <v>Error</v>
      </c>
      <c r="G6045" t="str">
        <f>INDEX(Lists!H:H,MATCH(Validation!E6045,Lists!G:G,0))</f>
        <v>Remaining proceeds cannot be negative. Correct entries.</v>
      </c>
      <c r="H6045" s="25" t="str">
        <f t="shared" ca="1" si="666"/>
        <v/>
      </c>
      <c r="I6045" s="25" t="str">
        <f t="shared" ca="1" si="667"/>
        <v/>
      </c>
      <c r="J6045" s="26" t="str">
        <f t="shared" ca="1" si="668"/>
        <v/>
      </c>
    </row>
    <row r="6046" spans="1:10" x14ac:dyDescent="0.25">
      <c r="A6046" t="s">
        <v>944</v>
      </c>
      <c r="B6046" t="str">
        <f>ADDRESS(ROW('Bond 1'!$B$29),COLUMN('Bond 1'!$B$29),4)</f>
        <v>B29</v>
      </c>
      <c r="C6046" t="str">
        <f>ADDRESS(ROW('Bond 1'!$D$29),COLUMN('Bond 1'!$D$29),4)</f>
        <v>D29</v>
      </c>
      <c r="D6046" t="b" cm="1">
        <f t="array" aca="1" ref="D6046" ca="1">IF(INDIRECT("'"&amp;A6046&amp;"'!"&amp;B6046)="",FALSE,IF(INDIRECT("'"&amp;A6046&amp;"'!"&amp;B6046)&lt;0,TRUE,FALSE))</f>
        <v>0</v>
      </c>
      <c r="E6046" t="s">
        <v>1310</v>
      </c>
      <c r="F6046" t="str">
        <f>INDEX(Lists!I:I,MATCH(Validation!E6046,Lists!G:G,0))</f>
        <v>Error</v>
      </c>
      <c r="G6046" t="str">
        <f>INDEX(Lists!H:H,MATCH(Validation!E6046,Lists!G:G,0))</f>
        <v>Remaining proceeds cannot be negative. Correct entries.</v>
      </c>
      <c r="H6046" s="25" t="str">
        <f t="shared" ca="1" si="666"/>
        <v/>
      </c>
      <c r="I6046" s="25" t="str">
        <f t="shared" ca="1" si="667"/>
        <v/>
      </c>
      <c r="J6046" s="26" t="str">
        <f t="shared" ca="1" si="668"/>
        <v/>
      </c>
    </row>
    <row r="6047" spans="1:10" x14ac:dyDescent="0.25">
      <c r="A6047" t="s">
        <v>945</v>
      </c>
      <c r="B6047" t="str">
        <f>ADDRESS(ROW('Bond 1'!$B$29),COLUMN('Bond 1'!$B$29),4)</f>
        <v>B29</v>
      </c>
      <c r="C6047" t="str">
        <f>ADDRESS(ROW('Bond 1'!$D$29),COLUMN('Bond 1'!$D$29),4)</f>
        <v>D29</v>
      </c>
      <c r="D6047" t="b" cm="1">
        <f t="array" aca="1" ref="D6047" ca="1">IF(INDIRECT("'"&amp;A6047&amp;"'!"&amp;B6047)="",FALSE,IF(INDIRECT("'"&amp;A6047&amp;"'!"&amp;B6047)&lt;0,TRUE,FALSE))</f>
        <v>0</v>
      </c>
      <c r="E6047" t="s">
        <v>1310</v>
      </c>
      <c r="F6047" t="str">
        <f>INDEX(Lists!I:I,MATCH(Validation!E6047,Lists!G:G,0))</f>
        <v>Error</v>
      </c>
      <c r="G6047" t="str">
        <f>INDEX(Lists!H:H,MATCH(Validation!E6047,Lists!G:G,0))</f>
        <v>Remaining proceeds cannot be negative. Correct entries.</v>
      </c>
      <c r="H6047" s="25" t="str">
        <f t="shared" ca="1" si="666"/>
        <v/>
      </c>
      <c r="I6047" s="25" t="str">
        <f t="shared" ca="1" si="667"/>
        <v/>
      </c>
      <c r="J6047" s="26" t="str">
        <f t="shared" ca="1" si="668"/>
        <v/>
      </c>
    </row>
    <row r="6048" spans="1:10" x14ac:dyDescent="0.25">
      <c r="A6048" t="s">
        <v>205</v>
      </c>
      <c r="B6048" t="str">
        <f>ADDRESS(ROW('Bond 1'!$C$29),COLUMN('Bond 1'!$C$29),4)</f>
        <v>C29</v>
      </c>
      <c r="C6048" t="str">
        <f>ADDRESS(ROW('Bond 1'!$D$29),COLUMN('Bond 1'!$D$29),4)</f>
        <v>D29</v>
      </c>
      <c r="D6048" t="b" cm="1">
        <f t="array" aca="1" ref="D6048" ca="1">IF(INDIRECT("'"&amp;A6048&amp;"'!"&amp;B6048)="",FALSE,IF(INDIRECT("'"&amp;A6048&amp;"'!"&amp;B6048)&lt;0,TRUE,FALSE))</f>
        <v>0</v>
      </c>
      <c r="E6048" t="s">
        <v>1310</v>
      </c>
      <c r="F6048" t="str">
        <f>INDEX(Lists!I:I,MATCH(Validation!E6048,Lists!G:G,0))</f>
        <v>Error</v>
      </c>
      <c r="G6048" t="str">
        <f>INDEX(Lists!H:H,MATCH(Validation!E6048,Lists!G:G,0))</f>
        <v>Remaining proceeds cannot be negative. Correct entries.</v>
      </c>
      <c r="H6048" s="25" t="str">
        <f t="shared" ca="1" si="663"/>
        <v/>
      </c>
      <c r="I6048" s="25" t="str">
        <f t="shared" ca="1" si="664"/>
        <v/>
      </c>
      <c r="J6048" s="26" t="str">
        <f t="shared" ca="1" si="665"/>
        <v/>
      </c>
    </row>
    <row r="6049" spans="1:10" x14ac:dyDescent="0.25">
      <c r="A6049" t="s">
        <v>932</v>
      </c>
      <c r="B6049" t="str">
        <f>ADDRESS(ROW('Bond 1'!$C$29),COLUMN('Bond 1'!$C$29),4)</f>
        <v>C29</v>
      </c>
      <c r="C6049" t="str">
        <f>ADDRESS(ROW('Bond 1'!$D$29),COLUMN('Bond 1'!$D$29),4)</f>
        <v>D29</v>
      </c>
      <c r="D6049" t="b" cm="1">
        <f t="array" aca="1" ref="D6049" ca="1">IF(INDIRECT("'"&amp;A6049&amp;"'!"&amp;B6049)="",FALSE,IF(INDIRECT("'"&amp;A6049&amp;"'!"&amp;B6049)&lt;0,TRUE,FALSE))</f>
        <v>0</v>
      </c>
      <c r="E6049" t="s">
        <v>1310</v>
      </c>
      <c r="F6049" t="str">
        <f>INDEX(Lists!I:I,MATCH(Validation!E6049,Lists!G:G,0))</f>
        <v>Error</v>
      </c>
      <c r="G6049" t="str">
        <f>INDEX(Lists!H:H,MATCH(Validation!E6049,Lists!G:G,0))</f>
        <v>Remaining proceeds cannot be negative. Correct entries.</v>
      </c>
      <c r="H6049" s="25" t="str">
        <f t="shared" ca="1" si="663"/>
        <v/>
      </c>
      <c r="I6049" s="25" t="str">
        <f t="shared" ca="1" si="664"/>
        <v/>
      </c>
      <c r="J6049" s="26" t="str">
        <f t="shared" ca="1" si="665"/>
        <v/>
      </c>
    </row>
    <row r="6050" spans="1:10" x14ac:dyDescent="0.25">
      <c r="A6050" t="s">
        <v>933</v>
      </c>
      <c r="B6050" t="str">
        <f>ADDRESS(ROW('Bond 1'!$C$29),COLUMN('Bond 1'!$C$29),4)</f>
        <v>C29</v>
      </c>
      <c r="C6050" t="str">
        <f>ADDRESS(ROW('Bond 1'!$D$29),COLUMN('Bond 1'!$D$29),4)</f>
        <v>D29</v>
      </c>
      <c r="D6050" t="b" cm="1">
        <f t="array" aca="1" ref="D6050" ca="1">IF(INDIRECT("'"&amp;A6050&amp;"'!"&amp;B6050)="",FALSE,IF(INDIRECT("'"&amp;A6050&amp;"'!"&amp;B6050)&lt;0,TRUE,FALSE))</f>
        <v>0</v>
      </c>
      <c r="E6050" t="s">
        <v>1310</v>
      </c>
      <c r="F6050" t="str">
        <f>INDEX(Lists!I:I,MATCH(Validation!E6050,Lists!G:G,0))</f>
        <v>Error</v>
      </c>
      <c r="G6050" t="str">
        <f>INDEX(Lists!H:H,MATCH(Validation!E6050,Lists!G:G,0))</f>
        <v>Remaining proceeds cannot be negative. Correct entries.</v>
      </c>
      <c r="H6050" s="25" t="str">
        <f t="shared" ca="1" si="663"/>
        <v/>
      </c>
      <c r="I6050" s="25" t="str">
        <f t="shared" ca="1" si="664"/>
        <v/>
      </c>
      <c r="J6050" s="26" t="str">
        <f t="shared" ca="1" si="665"/>
        <v/>
      </c>
    </row>
    <row r="6051" spans="1:10" x14ac:dyDescent="0.25">
      <c r="A6051" t="s">
        <v>934</v>
      </c>
      <c r="B6051" t="str">
        <f>ADDRESS(ROW('Bond 1'!$C$29),COLUMN('Bond 1'!$C$29),4)</f>
        <v>C29</v>
      </c>
      <c r="C6051" t="str">
        <f>ADDRESS(ROW('Bond 1'!$D$29),COLUMN('Bond 1'!$D$29),4)</f>
        <v>D29</v>
      </c>
      <c r="D6051" t="b" cm="1">
        <f t="array" aca="1" ref="D6051" ca="1">IF(INDIRECT("'"&amp;A6051&amp;"'!"&amp;B6051)="",FALSE,IF(INDIRECT("'"&amp;A6051&amp;"'!"&amp;B6051)&lt;0,TRUE,FALSE))</f>
        <v>0</v>
      </c>
      <c r="E6051" t="s">
        <v>1310</v>
      </c>
      <c r="F6051" t="str">
        <f>INDEX(Lists!I:I,MATCH(Validation!E6051,Lists!G:G,0))</f>
        <v>Error</v>
      </c>
      <c r="G6051" t="str">
        <f>INDEX(Lists!H:H,MATCH(Validation!E6051,Lists!G:G,0))</f>
        <v>Remaining proceeds cannot be negative. Correct entries.</v>
      </c>
      <c r="H6051" s="25" t="str">
        <f t="shared" ca="1" si="663"/>
        <v/>
      </c>
      <c r="I6051" s="25" t="str">
        <f t="shared" ca="1" si="664"/>
        <v/>
      </c>
      <c r="J6051" s="26" t="str">
        <f t="shared" ca="1" si="665"/>
        <v/>
      </c>
    </row>
    <row r="6052" spans="1:10" x14ac:dyDescent="0.25">
      <c r="A6052" t="s">
        <v>935</v>
      </c>
      <c r="B6052" t="str">
        <f>ADDRESS(ROW('Bond 1'!$C$29),COLUMN('Bond 1'!$C$29),4)</f>
        <v>C29</v>
      </c>
      <c r="C6052" t="str">
        <f>ADDRESS(ROW('Bond 1'!$D$29),COLUMN('Bond 1'!$D$29),4)</f>
        <v>D29</v>
      </c>
      <c r="D6052" t="b" cm="1">
        <f t="array" aca="1" ref="D6052" ca="1">IF(INDIRECT("'"&amp;A6052&amp;"'!"&amp;B6052)="",FALSE,IF(INDIRECT("'"&amp;A6052&amp;"'!"&amp;B6052)&lt;0,TRUE,FALSE))</f>
        <v>0</v>
      </c>
      <c r="E6052" t="s">
        <v>1310</v>
      </c>
      <c r="F6052" t="str">
        <f>INDEX(Lists!I:I,MATCH(Validation!E6052,Lists!G:G,0))</f>
        <v>Error</v>
      </c>
      <c r="G6052" t="str">
        <f>INDEX(Lists!H:H,MATCH(Validation!E6052,Lists!G:G,0))</f>
        <v>Remaining proceeds cannot be negative. Correct entries.</v>
      </c>
      <c r="H6052" s="25" t="str">
        <f t="shared" ca="1" si="663"/>
        <v/>
      </c>
      <c r="I6052" s="25" t="str">
        <f t="shared" ca="1" si="664"/>
        <v/>
      </c>
      <c r="J6052" s="26" t="str">
        <f t="shared" ca="1" si="665"/>
        <v/>
      </c>
    </row>
    <row r="6053" spans="1:10" x14ac:dyDescent="0.25">
      <c r="A6053" t="s">
        <v>936</v>
      </c>
      <c r="B6053" t="str">
        <f>ADDRESS(ROW('Bond 1'!$C$29),COLUMN('Bond 1'!$C$29),4)</f>
        <v>C29</v>
      </c>
      <c r="C6053" t="str">
        <f>ADDRESS(ROW('Bond 1'!$D$29),COLUMN('Bond 1'!$D$29),4)</f>
        <v>D29</v>
      </c>
      <c r="D6053" t="b" cm="1">
        <f t="array" aca="1" ref="D6053" ca="1">IF(INDIRECT("'"&amp;A6053&amp;"'!"&amp;B6053)="",FALSE,IF(INDIRECT("'"&amp;A6053&amp;"'!"&amp;B6053)&lt;0,TRUE,FALSE))</f>
        <v>0</v>
      </c>
      <c r="E6053" t="s">
        <v>1310</v>
      </c>
      <c r="F6053" t="str">
        <f>INDEX(Lists!I:I,MATCH(Validation!E6053,Lists!G:G,0))</f>
        <v>Error</v>
      </c>
      <c r="G6053" t="str">
        <f>INDEX(Lists!H:H,MATCH(Validation!E6053,Lists!G:G,0))</f>
        <v>Remaining proceeds cannot be negative. Correct entries.</v>
      </c>
      <c r="H6053" s="25" t="str">
        <f t="shared" ca="1" si="663"/>
        <v/>
      </c>
      <c r="I6053" s="25" t="str">
        <f t="shared" ca="1" si="664"/>
        <v/>
      </c>
      <c r="J6053" s="26" t="str">
        <f t="shared" ca="1" si="665"/>
        <v/>
      </c>
    </row>
    <row r="6054" spans="1:10" x14ac:dyDescent="0.25">
      <c r="A6054" t="s">
        <v>937</v>
      </c>
      <c r="B6054" t="str">
        <f>ADDRESS(ROW('Bond 1'!$C$29),COLUMN('Bond 1'!$C$29),4)</f>
        <v>C29</v>
      </c>
      <c r="C6054" t="str">
        <f>ADDRESS(ROW('Bond 1'!$D$29),COLUMN('Bond 1'!$D$29),4)</f>
        <v>D29</v>
      </c>
      <c r="D6054" t="b" cm="1">
        <f t="array" aca="1" ref="D6054" ca="1">IF(INDIRECT("'"&amp;A6054&amp;"'!"&amp;B6054)="",FALSE,IF(INDIRECT("'"&amp;A6054&amp;"'!"&amp;B6054)&lt;0,TRUE,FALSE))</f>
        <v>0</v>
      </c>
      <c r="E6054" t="s">
        <v>1310</v>
      </c>
      <c r="F6054" t="str">
        <f>INDEX(Lists!I:I,MATCH(Validation!E6054,Lists!G:G,0))</f>
        <v>Error</v>
      </c>
      <c r="G6054" t="str">
        <f>INDEX(Lists!H:H,MATCH(Validation!E6054,Lists!G:G,0))</f>
        <v>Remaining proceeds cannot be negative. Correct entries.</v>
      </c>
      <c r="H6054" s="25" t="str">
        <f t="shared" ca="1" si="663"/>
        <v/>
      </c>
      <c r="I6054" s="25" t="str">
        <f t="shared" ca="1" si="664"/>
        <v/>
      </c>
      <c r="J6054" s="26" t="str">
        <f t="shared" ca="1" si="665"/>
        <v/>
      </c>
    </row>
    <row r="6055" spans="1:10" x14ac:dyDescent="0.25">
      <c r="A6055" t="s">
        <v>938</v>
      </c>
      <c r="B6055" t="str">
        <f>ADDRESS(ROW('Bond 1'!$C$29),COLUMN('Bond 1'!$C$29),4)</f>
        <v>C29</v>
      </c>
      <c r="C6055" t="str">
        <f>ADDRESS(ROW('Bond 1'!$D$29),COLUMN('Bond 1'!$D$29),4)</f>
        <v>D29</v>
      </c>
      <c r="D6055" t="b" cm="1">
        <f t="array" aca="1" ref="D6055" ca="1">IF(INDIRECT("'"&amp;A6055&amp;"'!"&amp;B6055)="",FALSE,IF(INDIRECT("'"&amp;A6055&amp;"'!"&amp;B6055)&lt;0,TRUE,FALSE))</f>
        <v>0</v>
      </c>
      <c r="E6055" t="s">
        <v>1310</v>
      </c>
      <c r="F6055" t="str">
        <f>INDEX(Lists!I:I,MATCH(Validation!E6055,Lists!G:G,0))</f>
        <v>Error</v>
      </c>
      <c r="G6055" t="str">
        <f>INDEX(Lists!H:H,MATCH(Validation!E6055,Lists!G:G,0))</f>
        <v>Remaining proceeds cannot be negative. Correct entries.</v>
      </c>
      <c r="H6055" s="25" t="str">
        <f t="shared" ca="1" si="663"/>
        <v/>
      </c>
      <c r="I6055" s="25" t="str">
        <f t="shared" ca="1" si="664"/>
        <v/>
      </c>
      <c r="J6055" s="26" t="str">
        <f t="shared" ca="1" si="665"/>
        <v/>
      </c>
    </row>
    <row r="6056" spans="1:10" x14ac:dyDescent="0.25">
      <c r="A6056" t="s">
        <v>939</v>
      </c>
      <c r="B6056" t="str">
        <f>ADDRESS(ROW('Bond 1'!$C$29),COLUMN('Bond 1'!$C$29),4)</f>
        <v>C29</v>
      </c>
      <c r="C6056" t="str">
        <f>ADDRESS(ROW('Bond 1'!$D$29),COLUMN('Bond 1'!$D$29),4)</f>
        <v>D29</v>
      </c>
      <c r="D6056" t="b" cm="1">
        <f t="array" aca="1" ref="D6056" ca="1">IF(INDIRECT("'"&amp;A6056&amp;"'!"&amp;B6056)="",FALSE,IF(INDIRECT("'"&amp;A6056&amp;"'!"&amp;B6056)&lt;0,TRUE,FALSE))</f>
        <v>0</v>
      </c>
      <c r="E6056" t="s">
        <v>1310</v>
      </c>
      <c r="F6056" t="str">
        <f>INDEX(Lists!I:I,MATCH(Validation!E6056,Lists!G:G,0))</f>
        <v>Error</v>
      </c>
      <c r="G6056" t="str">
        <f>INDEX(Lists!H:H,MATCH(Validation!E6056,Lists!G:G,0))</f>
        <v>Remaining proceeds cannot be negative. Correct entries.</v>
      </c>
      <c r="H6056" s="25" t="str">
        <f t="shared" ca="1" si="663"/>
        <v/>
      </c>
      <c r="I6056" s="25" t="str">
        <f t="shared" ca="1" si="664"/>
        <v/>
      </c>
      <c r="J6056" s="26" t="str">
        <f t="shared" ca="1" si="665"/>
        <v/>
      </c>
    </row>
    <row r="6057" spans="1:10" x14ac:dyDescent="0.25">
      <c r="A6057" t="s">
        <v>940</v>
      </c>
      <c r="B6057" t="str">
        <f>ADDRESS(ROW('Bond 1'!$C$29),COLUMN('Bond 1'!$C$29),4)</f>
        <v>C29</v>
      </c>
      <c r="C6057" t="str">
        <f>ADDRESS(ROW('Bond 1'!$D$29),COLUMN('Bond 1'!$D$29),4)</f>
        <v>D29</v>
      </c>
      <c r="D6057" t="b" cm="1">
        <f t="array" aca="1" ref="D6057" ca="1">IF(INDIRECT("'"&amp;A6057&amp;"'!"&amp;B6057)="",FALSE,IF(INDIRECT("'"&amp;A6057&amp;"'!"&amp;B6057)&lt;0,TRUE,FALSE))</f>
        <v>0</v>
      </c>
      <c r="E6057" t="s">
        <v>1310</v>
      </c>
      <c r="F6057" t="str">
        <f>INDEX(Lists!I:I,MATCH(Validation!E6057,Lists!G:G,0))</f>
        <v>Error</v>
      </c>
      <c r="G6057" t="str">
        <f>INDEX(Lists!H:H,MATCH(Validation!E6057,Lists!G:G,0))</f>
        <v>Remaining proceeds cannot be negative. Correct entries.</v>
      </c>
      <c r="H6057" s="25" t="str">
        <f t="shared" ca="1" si="663"/>
        <v/>
      </c>
      <c r="I6057" s="25" t="str">
        <f t="shared" ca="1" si="664"/>
        <v/>
      </c>
      <c r="J6057" s="26" t="str">
        <f t="shared" ca="1" si="665"/>
        <v/>
      </c>
    </row>
    <row r="6058" spans="1:10" x14ac:dyDescent="0.25">
      <c r="A6058" t="s">
        <v>941</v>
      </c>
      <c r="B6058" t="str">
        <f>ADDRESS(ROW('Bond 1'!$C$29),COLUMN('Bond 1'!$C$29),4)</f>
        <v>C29</v>
      </c>
      <c r="C6058" t="str">
        <f>ADDRESS(ROW('Bond 1'!$D$29),COLUMN('Bond 1'!$D$29),4)</f>
        <v>D29</v>
      </c>
      <c r="D6058" t="b" cm="1">
        <f t="array" aca="1" ref="D6058" ca="1">IF(INDIRECT("'"&amp;A6058&amp;"'!"&amp;B6058)="",FALSE,IF(INDIRECT("'"&amp;A6058&amp;"'!"&amp;B6058)&lt;0,TRUE,FALSE))</f>
        <v>0</v>
      </c>
      <c r="E6058" t="s">
        <v>1310</v>
      </c>
      <c r="F6058" t="str">
        <f>INDEX(Lists!I:I,MATCH(Validation!E6058,Lists!G:G,0))</f>
        <v>Error</v>
      </c>
      <c r="G6058" t="str">
        <f>INDEX(Lists!H:H,MATCH(Validation!E6058,Lists!G:G,0))</f>
        <v>Remaining proceeds cannot be negative. Correct entries.</v>
      </c>
      <c r="H6058" s="25" t="str">
        <f t="shared" ca="1" si="663"/>
        <v/>
      </c>
      <c r="I6058" s="25" t="str">
        <f t="shared" ca="1" si="664"/>
        <v/>
      </c>
      <c r="J6058" s="26" t="str">
        <f t="shared" ca="1" si="665"/>
        <v/>
      </c>
    </row>
    <row r="6059" spans="1:10" x14ac:dyDescent="0.25">
      <c r="A6059" t="s">
        <v>942</v>
      </c>
      <c r="B6059" t="str">
        <f>ADDRESS(ROW('Bond 1'!$C$29),COLUMN('Bond 1'!$C$29),4)</f>
        <v>C29</v>
      </c>
      <c r="C6059" t="str">
        <f>ADDRESS(ROW('Bond 1'!$D$29),COLUMN('Bond 1'!$D$29),4)</f>
        <v>D29</v>
      </c>
      <c r="D6059" t="b" cm="1">
        <f t="array" aca="1" ref="D6059" ca="1">IF(INDIRECT("'"&amp;A6059&amp;"'!"&amp;B6059)="",FALSE,IF(INDIRECT("'"&amp;A6059&amp;"'!"&amp;B6059)&lt;0,TRUE,FALSE))</f>
        <v>0</v>
      </c>
      <c r="E6059" t="s">
        <v>1310</v>
      </c>
      <c r="F6059" t="str">
        <f>INDEX(Lists!I:I,MATCH(Validation!E6059,Lists!G:G,0))</f>
        <v>Error</v>
      </c>
      <c r="G6059" t="str">
        <f>INDEX(Lists!H:H,MATCH(Validation!E6059,Lists!G:G,0))</f>
        <v>Remaining proceeds cannot be negative. Correct entries.</v>
      </c>
      <c r="H6059" s="25" t="str">
        <f t="shared" ca="1" si="663"/>
        <v/>
      </c>
      <c r="I6059" s="25" t="str">
        <f t="shared" ca="1" si="664"/>
        <v/>
      </c>
      <c r="J6059" s="26" t="str">
        <f t="shared" ca="1" si="665"/>
        <v/>
      </c>
    </row>
    <row r="6060" spans="1:10" x14ac:dyDescent="0.25">
      <c r="A6060" t="s">
        <v>943</v>
      </c>
      <c r="B6060" t="str">
        <f>ADDRESS(ROW('Bond 1'!$C$29),COLUMN('Bond 1'!$C$29),4)</f>
        <v>C29</v>
      </c>
      <c r="C6060" t="str">
        <f>ADDRESS(ROW('Bond 1'!$D$29),COLUMN('Bond 1'!$D$29),4)</f>
        <v>D29</v>
      </c>
      <c r="D6060" t="b" cm="1">
        <f t="array" aca="1" ref="D6060" ca="1">IF(INDIRECT("'"&amp;A6060&amp;"'!"&amp;B6060)="",FALSE,IF(INDIRECT("'"&amp;A6060&amp;"'!"&amp;B6060)&lt;0,TRUE,FALSE))</f>
        <v>0</v>
      </c>
      <c r="E6060" t="s">
        <v>1310</v>
      </c>
      <c r="F6060" t="str">
        <f>INDEX(Lists!I:I,MATCH(Validation!E6060,Lists!G:G,0))</f>
        <v>Error</v>
      </c>
      <c r="G6060" t="str">
        <f>INDEX(Lists!H:H,MATCH(Validation!E6060,Lists!G:G,0))</f>
        <v>Remaining proceeds cannot be negative. Correct entries.</v>
      </c>
      <c r="H6060" s="25" t="str">
        <f t="shared" ca="1" si="663"/>
        <v/>
      </c>
      <c r="I6060" s="25" t="str">
        <f t="shared" ca="1" si="664"/>
        <v/>
      </c>
      <c r="J6060" s="26" t="str">
        <f t="shared" ca="1" si="665"/>
        <v/>
      </c>
    </row>
    <row r="6061" spans="1:10" x14ac:dyDescent="0.25">
      <c r="A6061" t="s">
        <v>944</v>
      </c>
      <c r="B6061" t="str">
        <f>ADDRESS(ROW('Bond 1'!$C$29),COLUMN('Bond 1'!$C$29),4)</f>
        <v>C29</v>
      </c>
      <c r="C6061" t="str">
        <f>ADDRESS(ROW('Bond 1'!$D$29),COLUMN('Bond 1'!$D$29),4)</f>
        <v>D29</v>
      </c>
      <c r="D6061" t="b" cm="1">
        <f t="array" aca="1" ref="D6061" ca="1">IF(INDIRECT("'"&amp;A6061&amp;"'!"&amp;B6061)="",FALSE,IF(INDIRECT("'"&amp;A6061&amp;"'!"&amp;B6061)&lt;0,TRUE,FALSE))</f>
        <v>0</v>
      </c>
      <c r="E6061" t="s">
        <v>1310</v>
      </c>
      <c r="F6061" t="str">
        <f>INDEX(Lists!I:I,MATCH(Validation!E6061,Lists!G:G,0))</f>
        <v>Error</v>
      </c>
      <c r="G6061" t="str">
        <f>INDEX(Lists!H:H,MATCH(Validation!E6061,Lists!G:G,0))</f>
        <v>Remaining proceeds cannot be negative. Correct entries.</v>
      </c>
      <c r="H6061" s="25" t="str">
        <f t="shared" ca="1" si="663"/>
        <v/>
      </c>
      <c r="I6061" s="25" t="str">
        <f t="shared" ca="1" si="664"/>
        <v/>
      </c>
      <c r="J6061" s="26" t="str">
        <f t="shared" ca="1" si="665"/>
        <v/>
      </c>
    </row>
    <row r="6062" spans="1:10" x14ac:dyDescent="0.25">
      <c r="A6062" t="s">
        <v>945</v>
      </c>
      <c r="B6062" t="str">
        <f>ADDRESS(ROW('Bond 1'!$C$29),COLUMN('Bond 1'!$C$29),4)</f>
        <v>C29</v>
      </c>
      <c r="C6062" t="str">
        <f>ADDRESS(ROW('Bond 1'!$D$29),COLUMN('Bond 1'!$D$29),4)</f>
        <v>D29</v>
      </c>
      <c r="D6062" t="b" cm="1">
        <f t="array" aca="1" ref="D6062" ca="1">IF(INDIRECT("'"&amp;A6062&amp;"'!"&amp;B6062)="",FALSE,IF(INDIRECT("'"&amp;A6062&amp;"'!"&amp;B6062)&lt;0,TRUE,FALSE))</f>
        <v>0</v>
      </c>
      <c r="E6062" t="s">
        <v>1310</v>
      </c>
      <c r="F6062" t="str">
        <f>INDEX(Lists!I:I,MATCH(Validation!E6062,Lists!G:G,0))</f>
        <v>Error</v>
      </c>
      <c r="G6062" t="str">
        <f>INDEX(Lists!H:H,MATCH(Validation!E6062,Lists!G:G,0))</f>
        <v>Remaining proceeds cannot be negative. Correct entries.</v>
      </c>
      <c r="H6062" s="25" t="str">
        <f t="shared" ca="1" si="663"/>
        <v/>
      </c>
      <c r="I6062" s="25" t="str">
        <f t="shared" ca="1" si="664"/>
        <v/>
      </c>
      <c r="J6062" s="26" t="str">
        <f t="shared" ca="1" si="665"/>
        <v/>
      </c>
    </row>
    <row r="6063" spans="1:10" x14ac:dyDescent="0.25">
      <c r="A6063" t="s">
        <v>205</v>
      </c>
      <c r="B6063" t="str">
        <f>ADDRESS(ROW('Loan 1'!$B$31),COLUMN('Loan 1'!$B$31),4)</f>
        <v>B31</v>
      </c>
      <c r="C6063" t="str">
        <f>ADDRESS(ROW('Loan 1'!$D$31),COLUMN('Loan 1'!$D$31),4)</f>
        <v>D31</v>
      </c>
      <c r="D6063" t="b" cm="1">
        <f t="array" aca="1" ref="D6063" ca="1">IF(INDIRECT("'"&amp;A6063&amp;"'!"&amp;B6063)="",FALSE,IF(NOT(ISNUMBER(INDIRECT("'"&amp;A6063&amp;"'!"&amp;B6063))),TRUE,FALSE))</f>
        <v>0</v>
      </c>
      <c r="E6063" t="s">
        <v>435</v>
      </c>
      <c r="F6063" t="str">
        <f>INDEX(Lists!I:I,MATCH(Validation!E6063,Lists!G:G,0))</f>
        <v>Error</v>
      </c>
      <c r="G6063" t="str">
        <f>INDEX(Lists!H:H,MATCH(Validation!E6063,Lists!G:G,0))</f>
        <v>Enter an amount only. Do not enter text or spaces.</v>
      </c>
      <c r="H6063" s="16" t="str">
        <f ca="1">IFERROR(IF(OR(NOT(D6063),F6063&lt;&gt;"Error"),"",A6063&amp;CELL("address",INDIRECT(B6063))),"")</f>
        <v/>
      </c>
      <c r="I6063" s="16" t="str">
        <f ca="1">IFERROR(IF(NOT(D6063),"",A6063&amp;CELL("address",INDIRECT(C6063))),"")</f>
        <v/>
      </c>
      <c r="J6063" s="17" t="str">
        <f ca="1">IFERROR(IF(NOT(D6063),"",A6063),"")</f>
        <v/>
      </c>
    </row>
    <row r="6064" spans="1:10" x14ac:dyDescent="0.25">
      <c r="A6064" t="s">
        <v>932</v>
      </c>
      <c r="B6064" t="str">
        <f>ADDRESS(ROW('Loan 1'!$B$31),COLUMN('Loan 1'!$B$31),4)</f>
        <v>B31</v>
      </c>
      <c r="C6064" t="str">
        <f>ADDRESS(ROW('Loan 1'!$D$31),COLUMN('Loan 1'!$D$31),4)</f>
        <v>D31</v>
      </c>
      <c r="D6064" t="b" cm="1">
        <f t="array" aca="1" ref="D6064" ca="1">IF(INDIRECT("'"&amp;A6064&amp;"'!"&amp;B6064)="",FALSE,IF(NOT(ISNUMBER(INDIRECT("'"&amp;A6064&amp;"'!"&amp;B6064))),TRUE,FALSE))</f>
        <v>0</v>
      </c>
      <c r="E6064" t="s">
        <v>435</v>
      </c>
      <c r="F6064" t="str">
        <f>INDEX(Lists!I:I,MATCH(Validation!E6064,Lists!G:G,0))</f>
        <v>Error</v>
      </c>
      <c r="G6064" t="str">
        <f>INDEX(Lists!H:H,MATCH(Validation!E6064,Lists!G:G,0))</f>
        <v>Enter an amount only. Do not enter text or spaces.</v>
      </c>
      <c r="H6064" s="16" t="str">
        <f t="shared" ref="H6064:H6077" ca="1" si="669">IFERROR(IF(OR(NOT(D6064),F6064&lt;&gt;"Error"),"",A6064&amp;CELL("address",INDIRECT(B6064))),"")</f>
        <v/>
      </c>
      <c r="I6064" s="16" t="str">
        <f t="shared" ref="I6064:I6077" ca="1" si="670">IFERROR(IF(NOT(D6064),"",A6064&amp;CELL("address",INDIRECT(C6064))),"")</f>
        <v/>
      </c>
      <c r="J6064" s="17" t="str">
        <f t="shared" ref="J6064:J6077" ca="1" si="671">IFERROR(IF(NOT(D6064),"",A6064),"")</f>
        <v/>
      </c>
    </row>
    <row r="6065" spans="1:10" x14ac:dyDescent="0.25">
      <c r="A6065" t="s">
        <v>933</v>
      </c>
      <c r="B6065" t="str">
        <f>ADDRESS(ROW('Loan 1'!$B$31),COLUMN('Loan 1'!$B$31),4)</f>
        <v>B31</v>
      </c>
      <c r="C6065" t="str">
        <f>ADDRESS(ROW('Loan 1'!$D$31),COLUMN('Loan 1'!$D$31),4)</f>
        <v>D31</v>
      </c>
      <c r="D6065" t="b" cm="1">
        <f t="array" aca="1" ref="D6065" ca="1">IF(INDIRECT("'"&amp;A6065&amp;"'!"&amp;B6065)="",FALSE,IF(NOT(ISNUMBER(INDIRECT("'"&amp;A6065&amp;"'!"&amp;B6065))),TRUE,FALSE))</f>
        <v>0</v>
      </c>
      <c r="E6065" t="s">
        <v>435</v>
      </c>
      <c r="F6065" t="str">
        <f>INDEX(Lists!I:I,MATCH(Validation!E6065,Lists!G:G,0))</f>
        <v>Error</v>
      </c>
      <c r="G6065" t="str">
        <f>INDEX(Lists!H:H,MATCH(Validation!E6065,Lists!G:G,0))</f>
        <v>Enter an amount only. Do not enter text or spaces.</v>
      </c>
      <c r="H6065" s="16" t="str">
        <f t="shared" ca="1" si="669"/>
        <v/>
      </c>
      <c r="I6065" s="16" t="str">
        <f t="shared" ca="1" si="670"/>
        <v/>
      </c>
      <c r="J6065" s="17" t="str">
        <f t="shared" ca="1" si="671"/>
        <v/>
      </c>
    </row>
    <row r="6066" spans="1:10" x14ac:dyDescent="0.25">
      <c r="A6066" t="s">
        <v>934</v>
      </c>
      <c r="B6066" t="str">
        <f>ADDRESS(ROW('Loan 1'!$B$31),COLUMN('Loan 1'!$B$31),4)</f>
        <v>B31</v>
      </c>
      <c r="C6066" t="str">
        <f>ADDRESS(ROW('Loan 1'!$D$31),COLUMN('Loan 1'!$D$31),4)</f>
        <v>D31</v>
      </c>
      <c r="D6066" t="b" cm="1">
        <f t="array" aca="1" ref="D6066" ca="1">IF(INDIRECT("'"&amp;A6066&amp;"'!"&amp;B6066)="",FALSE,IF(NOT(ISNUMBER(INDIRECT("'"&amp;A6066&amp;"'!"&amp;B6066))),TRUE,FALSE))</f>
        <v>0</v>
      </c>
      <c r="E6066" t="s">
        <v>435</v>
      </c>
      <c r="F6066" t="str">
        <f>INDEX(Lists!I:I,MATCH(Validation!E6066,Lists!G:G,0))</f>
        <v>Error</v>
      </c>
      <c r="G6066" t="str">
        <f>INDEX(Lists!H:H,MATCH(Validation!E6066,Lists!G:G,0))</f>
        <v>Enter an amount only. Do not enter text or spaces.</v>
      </c>
      <c r="H6066" s="16" t="str">
        <f t="shared" ca="1" si="669"/>
        <v/>
      </c>
      <c r="I6066" s="16" t="str">
        <f t="shared" ca="1" si="670"/>
        <v/>
      </c>
      <c r="J6066" s="17" t="str">
        <f t="shared" ca="1" si="671"/>
        <v/>
      </c>
    </row>
    <row r="6067" spans="1:10" x14ac:dyDescent="0.25">
      <c r="A6067" t="s">
        <v>935</v>
      </c>
      <c r="B6067" t="str">
        <f>ADDRESS(ROW('Loan 1'!$B$31),COLUMN('Loan 1'!$B$31),4)</f>
        <v>B31</v>
      </c>
      <c r="C6067" t="str">
        <f>ADDRESS(ROW('Loan 1'!$D$31),COLUMN('Loan 1'!$D$31),4)</f>
        <v>D31</v>
      </c>
      <c r="D6067" t="b" cm="1">
        <f t="array" aca="1" ref="D6067" ca="1">IF(INDIRECT("'"&amp;A6067&amp;"'!"&amp;B6067)="",FALSE,IF(NOT(ISNUMBER(INDIRECT("'"&amp;A6067&amp;"'!"&amp;B6067))),TRUE,FALSE))</f>
        <v>0</v>
      </c>
      <c r="E6067" t="s">
        <v>435</v>
      </c>
      <c r="F6067" t="str">
        <f>INDEX(Lists!I:I,MATCH(Validation!E6067,Lists!G:G,0))</f>
        <v>Error</v>
      </c>
      <c r="G6067" t="str">
        <f>INDEX(Lists!H:H,MATCH(Validation!E6067,Lists!G:G,0))</f>
        <v>Enter an amount only. Do not enter text or spaces.</v>
      </c>
      <c r="H6067" s="16" t="str">
        <f t="shared" ca="1" si="669"/>
        <v/>
      </c>
      <c r="I6067" s="16" t="str">
        <f t="shared" ca="1" si="670"/>
        <v/>
      </c>
      <c r="J6067" s="17" t="str">
        <f t="shared" ca="1" si="671"/>
        <v/>
      </c>
    </row>
    <row r="6068" spans="1:10" x14ac:dyDescent="0.25">
      <c r="A6068" t="s">
        <v>936</v>
      </c>
      <c r="B6068" t="str">
        <f>ADDRESS(ROW('Loan 1'!$B$31),COLUMN('Loan 1'!$B$31),4)</f>
        <v>B31</v>
      </c>
      <c r="C6068" t="str">
        <f>ADDRESS(ROW('Loan 1'!$D$31),COLUMN('Loan 1'!$D$31),4)</f>
        <v>D31</v>
      </c>
      <c r="D6068" t="b" cm="1">
        <f t="array" aca="1" ref="D6068" ca="1">IF(INDIRECT("'"&amp;A6068&amp;"'!"&amp;B6068)="",FALSE,IF(NOT(ISNUMBER(INDIRECT("'"&amp;A6068&amp;"'!"&amp;B6068))),TRUE,FALSE))</f>
        <v>0</v>
      </c>
      <c r="E6068" t="s">
        <v>435</v>
      </c>
      <c r="F6068" t="str">
        <f>INDEX(Lists!I:I,MATCH(Validation!E6068,Lists!G:G,0))</f>
        <v>Error</v>
      </c>
      <c r="G6068" t="str">
        <f>INDEX(Lists!H:H,MATCH(Validation!E6068,Lists!G:G,0))</f>
        <v>Enter an amount only. Do not enter text or spaces.</v>
      </c>
      <c r="H6068" s="16" t="str">
        <f t="shared" ca="1" si="669"/>
        <v/>
      </c>
      <c r="I6068" s="16" t="str">
        <f t="shared" ca="1" si="670"/>
        <v/>
      </c>
      <c r="J6068" s="17" t="str">
        <f t="shared" ca="1" si="671"/>
        <v/>
      </c>
    </row>
    <row r="6069" spans="1:10" x14ac:dyDescent="0.25">
      <c r="A6069" t="s">
        <v>937</v>
      </c>
      <c r="B6069" t="str">
        <f>ADDRESS(ROW('Loan 1'!$B$31),COLUMN('Loan 1'!$B$31),4)</f>
        <v>B31</v>
      </c>
      <c r="C6069" t="str">
        <f>ADDRESS(ROW('Loan 1'!$D$31),COLUMN('Loan 1'!$D$31),4)</f>
        <v>D31</v>
      </c>
      <c r="D6069" t="b" cm="1">
        <f t="array" aca="1" ref="D6069" ca="1">IF(INDIRECT("'"&amp;A6069&amp;"'!"&amp;B6069)="",FALSE,IF(NOT(ISNUMBER(INDIRECT("'"&amp;A6069&amp;"'!"&amp;B6069))),TRUE,FALSE))</f>
        <v>0</v>
      </c>
      <c r="E6069" t="s">
        <v>435</v>
      </c>
      <c r="F6069" t="str">
        <f>INDEX(Lists!I:I,MATCH(Validation!E6069,Lists!G:G,0))</f>
        <v>Error</v>
      </c>
      <c r="G6069" t="str">
        <f>INDEX(Lists!H:H,MATCH(Validation!E6069,Lists!G:G,0))</f>
        <v>Enter an amount only. Do not enter text or spaces.</v>
      </c>
      <c r="H6069" s="16" t="str">
        <f t="shared" ca="1" si="669"/>
        <v/>
      </c>
      <c r="I6069" s="16" t="str">
        <f t="shared" ca="1" si="670"/>
        <v/>
      </c>
      <c r="J6069" s="17" t="str">
        <f t="shared" ca="1" si="671"/>
        <v/>
      </c>
    </row>
    <row r="6070" spans="1:10" x14ac:dyDescent="0.25">
      <c r="A6070" t="s">
        <v>938</v>
      </c>
      <c r="B6070" t="str">
        <f>ADDRESS(ROW('Loan 1'!$B$31),COLUMN('Loan 1'!$B$31),4)</f>
        <v>B31</v>
      </c>
      <c r="C6070" t="str">
        <f>ADDRESS(ROW('Loan 1'!$D$31),COLUMN('Loan 1'!$D$31),4)</f>
        <v>D31</v>
      </c>
      <c r="D6070" t="b" cm="1">
        <f t="array" aca="1" ref="D6070" ca="1">IF(INDIRECT("'"&amp;A6070&amp;"'!"&amp;B6070)="",FALSE,IF(NOT(ISNUMBER(INDIRECT("'"&amp;A6070&amp;"'!"&amp;B6070))),TRUE,FALSE))</f>
        <v>0</v>
      </c>
      <c r="E6070" t="s">
        <v>435</v>
      </c>
      <c r="F6070" t="str">
        <f>INDEX(Lists!I:I,MATCH(Validation!E6070,Lists!G:G,0))</f>
        <v>Error</v>
      </c>
      <c r="G6070" t="str">
        <f>INDEX(Lists!H:H,MATCH(Validation!E6070,Lists!G:G,0))</f>
        <v>Enter an amount only. Do not enter text or spaces.</v>
      </c>
      <c r="H6070" s="16" t="str">
        <f t="shared" ca="1" si="669"/>
        <v/>
      </c>
      <c r="I6070" s="16" t="str">
        <f t="shared" ca="1" si="670"/>
        <v/>
      </c>
      <c r="J6070" s="17" t="str">
        <f t="shared" ca="1" si="671"/>
        <v/>
      </c>
    </row>
    <row r="6071" spans="1:10" x14ac:dyDescent="0.25">
      <c r="A6071" t="s">
        <v>939</v>
      </c>
      <c r="B6071" t="str">
        <f>ADDRESS(ROW('Loan 1'!$B$31),COLUMN('Loan 1'!$B$31),4)</f>
        <v>B31</v>
      </c>
      <c r="C6071" t="str">
        <f>ADDRESS(ROW('Loan 1'!$D$31),COLUMN('Loan 1'!$D$31),4)</f>
        <v>D31</v>
      </c>
      <c r="D6071" t="b" cm="1">
        <f t="array" aca="1" ref="D6071" ca="1">IF(INDIRECT("'"&amp;A6071&amp;"'!"&amp;B6071)="",FALSE,IF(NOT(ISNUMBER(INDIRECT("'"&amp;A6071&amp;"'!"&amp;B6071))),TRUE,FALSE))</f>
        <v>0</v>
      </c>
      <c r="E6071" t="s">
        <v>435</v>
      </c>
      <c r="F6071" t="str">
        <f>INDEX(Lists!I:I,MATCH(Validation!E6071,Lists!G:G,0))</f>
        <v>Error</v>
      </c>
      <c r="G6071" t="str">
        <f>INDEX(Lists!H:H,MATCH(Validation!E6071,Lists!G:G,0))</f>
        <v>Enter an amount only. Do not enter text or spaces.</v>
      </c>
      <c r="H6071" s="16" t="str">
        <f t="shared" ca="1" si="669"/>
        <v/>
      </c>
      <c r="I6071" s="16" t="str">
        <f t="shared" ca="1" si="670"/>
        <v/>
      </c>
      <c r="J6071" s="17" t="str">
        <f t="shared" ca="1" si="671"/>
        <v/>
      </c>
    </row>
    <row r="6072" spans="1:10" x14ac:dyDescent="0.25">
      <c r="A6072" t="s">
        <v>940</v>
      </c>
      <c r="B6072" t="str">
        <f>ADDRESS(ROW('Loan 1'!$B$31),COLUMN('Loan 1'!$B$31),4)</f>
        <v>B31</v>
      </c>
      <c r="C6072" t="str">
        <f>ADDRESS(ROW('Loan 1'!$D$31),COLUMN('Loan 1'!$D$31),4)</f>
        <v>D31</v>
      </c>
      <c r="D6072" t="b" cm="1">
        <f t="array" aca="1" ref="D6072" ca="1">IF(INDIRECT("'"&amp;A6072&amp;"'!"&amp;B6072)="",FALSE,IF(NOT(ISNUMBER(INDIRECT("'"&amp;A6072&amp;"'!"&amp;B6072))),TRUE,FALSE))</f>
        <v>0</v>
      </c>
      <c r="E6072" t="s">
        <v>435</v>
      </c>
      <c r="F6072" t="str">
        <f>INDEX(Lists!I:I,MATCH(Validation!E6072,Lists!G:G,0))</f>
        <v>Error</v>
      </c>
      <c r="G6072" t="str">
        <f>INDEX(Lists!H:H,MATCH(Validation!E6072,Lists!G:G,0))</f>
        <v>Enter an amount only. Do not enter text or spaces.</v>
      </c>
      <c r="H6072" s="16" t="str">
        <f t="shared" ca="1" si="669"/>
        <v/>
      </c>
      <c r="I6072" s="16" t="str">
        <f t="shared" ca="1" si="670"/>
        <v/>
      </c>
      <c r="J6072" s="17" t="str">
        <f t="shared" ca="1" si="671"/>
        <v/>
      </c>
    </row>
    <row r="6073" spans="1:10" x14ac:dyDescent="0.25">
      <c r="A6073" t="s">
        <v>941</v>
      </c>
      <c r="B6073" t="str">
        <f>ADDRESS(ROW('Loan 1'!$B$31),COLUMN('Loan 1'!$B$31),4)</f>
        <v>B31</v>
      </c>
      <c r="C6073" t="str">
        <f>ADDRESS(ROW('Loan 1'!$D$31),COLUMN('Loan 1'!$D$31),4)</f>
        <v>D31</v>
      </c>
      <c r="D6073" t="b" cm="1">
        <f t="array" aca="1" ref="D6073" ca="1">IF(INDIRECT("'"&amp;A6073&amp;"'!"&amp;B6073)="",FALSE,IF(NOT(ISNUMBER(INDIRECT("'"&amp;A6073&amp;"'!"&amp;B6073))),TRUE,FALSE))</f>
        <v>0</v>
      </c>
      <c r="E6073" t="s">
        <v>435</v>
      </c>
      <c r="F6073" t="str">
        <f>INDEX(Lists!I:I,MATCH(Validation!E6073,Lists!G:G,0))</f>
        <v>Error</v>
      </c>
      <c r="G6073" t="str">
        <f>INDEX(Lists!H:H,MATCH(Validation!E6073,Lists!G:G,0))</f>
        <v>Enter an amount only. Do not enter text or spaces.</v>
      </c>
      <c r="H6073" s="16" t="str">
        <f t="shared" ca="1" si="669"/>
        <v/>
      </c>
      <c r="I6073" s="16" t="str">
        <f t="shared" ca="1" si="670"/>
        <v/>
      </c>
      <c r="J6073" s="17" t="str">
        <f t="shared" ca="1" si="671"/>
        <v/>
      </c>
    </row>
    <row r="6074" spans="1:10" x14ac:dyDescent="0.25">
      <c r="A6074" t="s">
        <v>942</v>
      </c>
      <c r="B6074" t="str">
        <f>ADDRESS(ROW('Loan 1'!$B$31),COLUMN('Loan 1'!$B$31),4)</f>
        <v>B31</v>
      </c>
      <c r="C6074" t="str">
        <f>ADDRESS(ROW('Loan 1'!$D$31),COLUMN('Loan 1'!$D$31),4)</f>
        <v>D31</v>
      </c>
      <c r="D6074" t="b" cm="1">
        <f t="array" aca="1" ref="D6074" ca="1">IF(INDIRECT("'"&amp;A6074&amp;"'!"&amp;B6074)="",FALSE,IF(NOT(ISNUMBER(INDIRECT("'"&amp;A6074&amp;"'!"&amp;B6074))),TRUE,FALSE))</f>
        <v>0</v>
      </c>
      <c r="E6074" t="s">
        <v>435</v>
      </c>
      <c r="F6074" t="str">
        <f>INDEX(Lists!I:I,MATCH(Validation!E6074,Lists!G:G,0))</f>
        <v>Error</v>
      </c>
      <c r="G6074" t="str">
        <f>INDEX(Lists!H:H,MATCH(Validation!E6074,Lists!G:G,0))</f>
        <v>Enter an amount only. Do not enter text or spaces.</v>
      </c>
      <c r="H6074" s="16" t="str">
        <f t="shared" ca="1" si="669"/>
        <v/>
      </c>
      <c r="I6074" s="16" t="str">
        <f t="shared" ca="1" si="670"/>
        <v/>
      </c>
      <c r="J6074" s="17" t="str">
        <f t="shared" ca="1" si="671"/>
        <v/>
      </c>
    </row>
    <row r="6075" spans="1:10" x14ac:dyDescent="0.25">
      <c r="A6075" t="s">
        <v>943</v>
      </c>
      <c r="B6075" t="str">
        <f>ADDRESS(ROW('Loan 1'!$B$31),COLUMN('Loan 1'!$B$31),4)</f>
        <v>B31</v>
      </c>
      <c r="C6075" t="str">
        <f>ADDRESS(ROW('Loan 1'!$D$31),COLUMN('Loan 1'!$D$31),4)</f>
        <v>D31</v>
      </c>
      <c r="D6075" t="b" cm="1">
        <f t="array" aca="1" ref="D6075" ca="1">IF(INDIRECT("'"&amp;A6075&amp;"'!"&amp;B6075)="",FALSE,IF(NOT(ISNUMBER(INDIRECT("'"&amp;A6075&amp;"'!"&amp;B6075))),TRUE,FALSE))</f>
        <v>0</v>
      </c>
      <c r="E6075" t="s">
        <v>435</v>
      </c>
      <c r="F6075" t="str">
        <f>INDEX(Lists!I:I,MATCH(Validation!E6075,Lists!G:G,0))</f>
        <v>Error</v>
      </c>
      <c r="G6075" t="str">
        <f>INDEX(Lists!H:H,MATCH(Validation!E6075,Lists!G:G,0))</f>
        <v>Enter an amount only. Do not enter text or spaces.</v>
      </c>
      <c r="H6075" s="16" t="str">
        <f t="shared" ca="1" si="669"/>
        <v/>
      </c>
      <c r="I6075" s="16" t="str">
        <f t="shared" ca="1" si="670"/>
        <v/>
      </c>
      <c r="J6075" s="17" t="str">
        <f t="shared" ca="1" si="671"/>
        <v/>
      </c>
    </row>
    <row r="6076" spans="1:10" x14ac:dyDescent="0.25">
      <c r="A6076" t="s">
        <v>944</v>
      </c>
      <c r="B6076" t="str">
        <f>ADDRESS(ROW('Loan 1'!$B$31),COLUMN('Loan 1'!$B$31),4)</f>
        <v>B31</v>
      </c>
      <c r="C6076" t="str">
        <f>ADDRESS(ROW('Loan 1'!$D$31),COLUMN('Loan 1'!$D$31),4)</f>
        <v>D31</v>
      </c>
      <c r="D6076" t="b" cm="1">
        <f t="array" aca="1" ref="D6076" ca="1">IF(INDIRECT("'"&amp;A6076&amp;"'!"&amp;B6076)="",FALSE,IF(NOT(ISNUMBER(INDIRECT("'"&amp;A6076&amp;"'!"&amp;B6076))),TRUE,FALSE))</f>
        <v>0</v>
      </c>
      <c r="E6076" t="s">
        <v>435</v>
      </c>
      <c r="F6076" t="str">
        <f>INDEX(Lists!I:I,MATCH(Validation!E6076,Lists!G:G,0))</f>
        <v>Error</v>
      </c>
      <c r="G6076" t="str">
        <f>INDEX(Lists!H:H,MATCH(Validation!E6076,Lists!G:G,0))</f>
        <v>Enter an amount only. Do not enter text or spaces.</v>
      </c>
      <c r="H6076" s="16" t="str">
        <f t="shared" ca="1" si="669"/>
        <v/>
      </c>
      <c r="I6076" s="16" t="str">
        <f t="shared" ca="1" si="670"/>
        <v/>
      </c>
      <c r="J6076" s="17" t="str">
        <f t="shared" ca="1" si="671"/>
        <v/>
      </c>
    </row>
    <row r="6077" spans="1:10" x14ac:dyDescent="0.25">
      <c r="A6077" t="s">
        <v>945</v>
      </c>
      <c r="B6077" t="str">
        <f>ADDRESS(ROW('Loan 1'!$B$31),COLUMN('Loan 1'!$B$31),4)</f>
        <v>B31</v>
      </c>
      <c r="C6077" t="str">
        <f>ADDRESS(ROW('Loan 1'!$D$31),COLUMN('Loan 1'!$D$31),4)</f>
        <v>D31</v>
      </c>
      <c r="D6077" t="b" cm="1">
        <f t="array" aca="1" ref="D6077" ca="1">IF(INDIRECT("'"&amp;A6077&amp;"'!"&amp;B6077)="",FALSE,IF(NOT(ISNUMBER(INDIRECT("'"&amp;A6077&amp;"'!"&amp;B6077))),TRUE,FALSE))</f>
        <v>0</v>
      </c>
      <c r="E6077" t="s">
        <v>435</v>
      </c>
      <c r="F6077" t="str">
        <f>INDEX(Lists!I:I,MATCH(Validation!E6077,Lists!G:G,0))</f>
        <v>Error</v>
      </c>
      <c r="G6077" t="str">
        <f>INDEX(Lists!H:H,MATCH(Validation!E6077,Lists!G:G,0))</f>
        <v>Enter an amount only. Do not enter text or spaces.</v>
      </c>
      <c r="H6077" s="16" t="str">
        <f t="shared" ca="1" si="669"/>
        <v/>
      </c>
      <c r="I6077" s="16" t="str">
        <f t="shared" ca="1" si="670"/>
        <v/>
      </c>
      <c r="J6077" s="17" t="str">
        <f t="shared" ca="1" si="671"/>
        <v/>
      </c>
    </row>
    <row r="6078" spans="1:10" x14ac:dyDescent="0.25">
      <c r="A6078" t="s">
        <v>205</v>
      </c>
      <c r="B6078" t="str">
        <f>ADDRESS(ROW('Loan 1'!$B$31),COLUMN('Loan 1'!$B$31),4)</f>
        <v>B31</v>
      </c>
      <c r="C6078" t="str">
        <f>ADDRESS(ROW('Loan 1'!$D$31),COLUMN('Loan 1'!$D$31),4)</f>
        <v>D31</v>
      </c>
      <c r="D6078" t="b" cm="1">
        <f t="array" aca="1" ref="D6078" ca="1">IF(INDIRECT("'"&amp;A6078&amp;"'!"&amp;B6078)="",FALSE,IF(INDIRECT("'"&amp;A6078&amp;"'!"&amp;B6078)&lt;0,TRUE,FALSE))</f>
        <v>0</v>
      </c>
      <c r="E6078" t="s">
        <v>434</v>
      </c>
      <c r="F6078" t="str">
        <f>INDEX(Lists!I:I,MATCH(Validation!E6078,Lists!G:G,0))</f>
        <v>Error</v>
      </c>
      <c r="G6078" t="str">
        <f>INDEX(Lists!H:H,MATCH(Validation!E6078,Lists!G:G,0))</f>
        <v>Amount may not be negative. Enter an amount greater than or equal to zero.</v>
      </c>
      <c r="H6078" s="16" t="str">
        <f ca="1">IFERROR(IF(OR(NOT(D6078),F6078&lt;&gt;"Error"),"",A6078&amp;CELL("address",INDIRECT(B6078))),"")</f>
        <v/>
      </c>
      <c r="I6078" s="16" t="str">
        <f ca="1">IFERROR(IF(NOT(D6078),"",A6078&amp;CELL("address",INDIRECT(C6078))),"")</f>
        <v/>
      </c>
      <c r="J6078" s="17" t="str">
        <f ca="1">IFERROR(IF(NOT(D6078),"",A6078),"")</f>
        <v/>
      </c>
    </row>
    <row r="6079" spans="1:10" x14ac:dyDescent="0.25">
      <c r="A6079" t="s">
        <v>932</v>
      </c>
      <c r="B6079" t="str">
        <f>ADDRESS(ROW('Loan 1'!$B$31),COLUMN('Loan 1'!$B$31),4)</f>
        <v>B31</v>
      </c>
      <c r="C6079" t="str">
        <f>ADDRESS(ROW('Loan 1'!$D$31),COLUMN('Loan 1'!$D$31),4)</f>
        <v>D31</v>
      </c>
      <c r="D6079" t="b" cm="1">
        <f t="array" aca="1" ref="D6079" ca="1">IF(INDIRECT("'"&amp;A6079&amp;"'!"&amp;B6079)="",FALSE,IF(INDIRECT("'"&amp;A6079&amp;"'!"&amp;B6079)&lt;0,TRUE,FALSE))</f>
        <v>0</v>
      </c>
      <c r="E6079" t="s">
        <v>434</v>
      </c>
      <c r="F6079" t="str">
        <f>INDEX(Lists!I:I,MATCH(Validation!E6079,Lists!G:G,0))</f>
        <v>Error</v>
      </c>
      <c r="G6079" t="str">
        <f>INDEX(Lists!H:H,MATCH(Validation!E6079,Lists!G:G,0))</f>
        <v>Amount may not be negative. Enter an amount greater than or equal to zero.</v>
      </c>
      <c r="H6079" s="16" t="str">
        <f t="shared" ref="H6079:H6107" ca="1" si="672">IFERROR(IF(OR(NOT(D6079),F6079&lt;&gt;"Error"),"",A6079&amp;CELL("address",INDIRECT(B6079))),"")</f>
        <v/>
      </c>
      <c r="I6079" s="16" t="str">
        <f t="shared" ref="I6079:I6107" ca="1" si="673">IFERROR(IF(NOT(D6079),"",A6079&amp;CELL("address",INDIRECT(C6079))),"")</f>
        <v/>
      </c>
      <c r="J6079" s="17" t="str">
        <f t="shared" ref="J6079:J6107" ca="1" si="674">IFERROR(IF(NOT(D6079),"",A6079),"")</f>
        <v/>
      </c>
    </row>
    <row r="6080" spans="1:10" x14ac:dyDescent="0.25">
      <c r="A6080" t="s">
        <v>933</v>
      </c>
      <c r="B6080" t="str">
        <f>ADDRESS(ROW('Loan 1'!$B$31),COLUMN('Loan 1'!$B$31),4)</f>
        <v>B31</v>
      </c>
      <c r="C6080" t="str">
        <f>ADDRESS(ROW('Loan 1'!$D$31),COLUMN('Loan 1'!$D$31),4)</f>
        <v>D31</v>
      </c>
      <c r="D6080" t="b" cm="1">
        <f t="array" aca="1" ref="D6080" ca="1">IF(INDIRECT("'"&amp;A6080&amp;"'!"&amp;B6080)="",FALSE,IF(INDIRECT("'"&amp;A6080&amp;"'!"&amp;B6080)&lt;0,TRUE,FALSE))</f>
        <v>0</v>
      </c>
      <c r="E6080" t="s">
        <v>434</v>
      </c>
      <c r="F6080" t="str">
        <f>INDEX(Lists!I:I,MATCH(Validation!E6080,Lists!G:G,0))</f>
        <v>Error</v>
      </c>
      <c r="G6080" t="str">
        <f>INDEX(Lists!H:H,MATCH(Validation!E6080,Lists!G:G,0))</f>
        <v>Amount may not be negative. Enter an amount greater than or equal to zero.</v>
      </c>
      <c r="H6080" s="16" t="str">
        <f t="shared" ca="1" si="672"/>
        <v/>
      </c>
      <c r="I6080" s="16" t="str">
        <f t="shared" ca="1" si="673"/>
        <v/>
      </c>
      <c r="J6080" s="17" t="str">
        <f t="shared" ca="1" si="674"/>
        <v/>
      </c>
    </row>
    <row r="6081" spans="1:10" x14ac:dyDescent="0.25">
      <c r="A6081" t="s">
        <v>934</v>
      </c>
      <c r="B6081" t="str">
        <f>ADDRESS(ROW('Loan 1'!$B$31),COLUMN('Loan 1'!$B$31),4)</f>
        <v>B31</v>
      </c>
      <c r="C6081" t="str">
        <f>ADDRESS(ROW('Loan 1'!$D$31),COLUMN('Loan 1'!$D$31),4)</f>
        <v>D31</v>
      </c>
      <c r="D6081" t="b" cm="1">
        <f t="array" aca="1" ref="D6081" ca="1">IF(INDIRECT("'"&amp;A6081&amp;"'!"&amp;B6081)="",FALSE,IF(INDIRECT("'"&amp;A6081&amp;"'!"&amp;B6081)&lt;0,TRUE,FALSE))</f>
        <v>0</v>
      </c>
      <c r="E6081" t="s">
        <v>434</v>
      </c>
      <c r="F6081" t="str">
        <f>INDEX(Lists!I:I,MATCH(Validation!E6081,Lists!G:G,0))</f>
        <v>Error</v>
      </c>
      <c r="G6081" t="str">
        <f>INDEX(Lists!H:H,MATCH(Validation!E6081,Lists!G:G,0))</f>
        <v>Amount may not be negative. Enter an amount greater than or equal to zero.</v>
      </c>
      <c r="H6081" s="16" t="str">
        <f t="shared" ca="1" si="672"/>
        <v/>
      </c>
      <c r="I6081" s="16" t="str">
        <f t="shared" ca="1" si="673"/>
        <v/>
      </c>
      <c r="J6081" s="17" t="str">
        <f t="shared" ca="1" si="674"/>
        <v/>
      </c>
    </row>
    <row r="6082" spans="1:10" x14ac:dyDescent="0.25">
      <c r="A6082" t="s">
        <v>935</v>
      </c>
      <c r="B6082" t="str">
        <f>ADDRESS(ROW('Loan 1'!$B$31),COLUMN('Loan 1'!$B$31),4)</f>
        <v>B31</v>
      </c>
      <c r="C6082" t="str">
        <f>ADDRESS(ROW('Loan 1'!$D$31),COLUMN('Loan 1'!$D$31),4)</f>
        <v>D31</v>
      </c>
      <c r="D6082" t="b" cm="1">
        <f t="array" aca="1" ref="D6082" ca="1">IF(INDIRECT("'"&amp;A6082&amp;"'!"&amp;B6082)="",FALSE,IF(INDIRECT("'"&amp;A6082&amp;"'!"&amp;B6082)&lt;0,TRUE,FALSE))</f>
        <v>0</v>
      </c>
      <c r="E6082" t="s">
        <v>434</v>
      </c>
      <c r="F6082" t="str">
        <f>INDEX(Lists!I:I,MATCH(Validation!E6082,Lists!G:G,0))</f>
        <v>Error</v>
      </c>
      <c r="G6082" t="str">
        <f>INDEX(Lists!H:H,MATCH(Validation!E6082,Lists!G:G,0))</f>
        <v>Amount may not be negative. Enter an amount greater than or equal to zero.</v>
      </c>
      <c r="H6082" s="16" t="str">
        <f t="shared" ca="1" si="672"/>
        <v/>
      </c>
      <c r="I6082" s="16" t="str">
        <f t="shared" ca="1" si="673"/>
        <v/>
      </c>
      <c r="J6082" s="17" t="str">
        <f t="shared" ca="1" si="674"/>
        <v/>
      </c>
    </row>
    <row r="6083" spans="1:10" x14ac:dyDescent="0.25">
      <c r="A6083" t="s">
        <v>936</v>
      </c>
      <c r="B6083" t="str">
        <f>ADDRESS(ROW('Loan 1'!$B$31),COLUMN('Loan 1'!$B$31),4)</f>
        <v>B31</v>
      </c>
      <c r="C6083" t="str">
        <f>ADDRESS(ROW('Loan 1'!$D$31),COLUMN('Loan 1'!$D$31),4)</f>
        <v>D31</v>
      </c>
      <c r="D6083" t="b" cm="1">
        <f t="array" aca="1" ref="D6083" ca="1">IF(INDIRECT("'"&amp;A6083&amp;"'!"&amp;B6083)="",FALSE,IF(INDIRECT("'"&amp;A6083&amp;"'!"&amp;B6083)&lt;0,TRUE,FALSE))</f>
        <v>0</v>
      </c>
      <c r="E6083" t="s">
        <v>434</v>
      </c>
      <c r="F6083" t="str">
        <f>INDEX(Lists!I:I,MATCH(Validation!E6083,Lists!G:G,0))</f>
        <v>Error</v>
      </c>
      <c r="G6083" t="str">
        <f>INDEX(Lists!H:H,MATCH(Validation!E6083,Lists!G:G,0))</f>
        <v>Amount may not be negative. Enter an amount greater than or equal to zero.</v>
      </c>
      <c r="H6083" s="16" t="str">
        <f t="shared" ca="1" si="672"/>
        <v/>
      </c>
      <c r="I6083" s="16" t="str">
        <f t="shared" ca="1" si="673"/>
        <v/>
      </c>
      <c r="J6083" s="17" t="str">
        <f t="shared" ca="1" si="674"/>
        <v/>
      </c>
    </row>
    <row r="6084" spans="1:10" x14ac:dyDescent="0.25">
      <c r="A6084" t="s">
        <v>937</v>
      </c>
      <c r="B6084" t="str">
        <f>ADDRESS(ROW('Loan 1'!$B$31),COLUMN('Loan 1'!$B$31),4)</f>
        <v>B31</v>
      </c>
      <c r="C6084" t="str">
        <f>ADDRESS(ROW('Loan 1'!$D$31),COLUMN('Loan 1'!$D$31),4)</f>
        <v>D31</v>
      </c>
      <c r="D6084" t="b" cm="1">
        <f t="array" aca="1" ref="D6084" ca="1">IF(INDIRECT("'"&amp;A6084&amp;"'!"&amp;B6084)="",FALSE,IF(INDIRECT("'"&amp;A6084&amp;"'!"&amp;B6084)&lt;0,TRUE,FALSE))</f>
        <v>0</v>
      </c>
      <c r="E6084" t="s">
        <v>434</v>
      </c>
      <c r="F6084" t="str">
        <f>INDEX(Lists!I:I,MATCH(Validation!E6084,Lists!G:G,0))</f>
        <v>Error</v>
      </c>
      <c r="G6084" t="str">
        <f>INDEX(Lists!H:H,MATCH(Validation!E6084,Lists!G:G,0))</f>
        <v>Amount may not be negative. Enter an amount greater than or equal to zero.</v>
      </c>
      <c r="H6084" s="16" t="str">
        <f t="shared" ca="1" si="672"/>
        <v/>
      </c>
      <c r="I6084" s="16" t="str">
        <f t="shared" ca="1" si="673"/>
        <v/>
      </c>
      <c r="J6084" s="17" t="str">
        <f t="shared" ca="1" si="674"/>
        <v/>
      </c>
    </row>
    <row r="6085" spans="1:10" x14ac:dyDescent="0.25">
      <c r="A6085" t="s">
        <v>938</v>
      </c>
      <c r="B6085" t="str">
        <f>ADDRESS(ROW('Loan 1'!$B$31),COLUMN('Loan 1'!$B$31),4)</f>
        <v>B31</v>
      </c>
      <c r="C6085" t="str">
        <f>ADDRESS(ROW('Loan 1'!$D$31),COLUMN('Loan 1'!$D$31),4)</f>
        <v>D31</v>
      </c>
      <c r="D6085" t="b" cm="1">
        <f t="array" aca="1" ref="D6085" ca="1">IF(INDIRECT("'"&amp;A6085&amp;"'!"&amp;B6085)="",FALSE,IF(INDIRECT("'"&amp;A6085&amp;"'!"&amp;B6085)&lt;0,TRUE,FALSE))</f>
        <v>0</v>
      </c>
      <c r="E6085" t="s">
        <v>434</v>
      </c>
      <c r="F6085" t="str">
        <f>INDEX(Lists!I:I,MATCH(Validation!E6085,Lists!G:G,0))</f>
        <v>Error</v>
      </c>
      <c r="G6085" t="str">
        <f>INDEX(Lists!H:H,MATCH(Validation!E6085,Lists!G:G,0))</f>
        <v>Amount may not be negative. Enter an amount greater than or equal to zero.</v>
      </c>
      <c r="H6085" s="16" t="str">
        <f t="shared" ca="1" si="672"/>
        <v/>
      </c>
      <c r="I6085" s="16" t="str">
        <f t="shared" ca="1" si="673"/>
        <v/>
      </c>
      <c r="J6085" s="17" t="str">
        <f t="shared" ca="1" si="674"/>
        <v/>
      </c>
    </row>
    <row r="6086" spans="1:10" x14ac:dyDescent="0.25">
      <c r="A6086" t="s">
        <v>939</v>
      </c>
      <c r="B6086" t="str">
        <f>ADDRESS(ROW('Loan 1'!$B$31),COLUMN('Loan 1'!$B$31),4)</f>
        <v>B31</v>
      </c>
      <c r="C6086" t="str">
        <f>ADDRESS(ROW('Loan 1'!$D$31),COLUMN('Loan 1'!$D$31),4)</f>
        <v>D31</v>
      </c>
      <c r="D6086" t="b" cm="1">
        <f t="array" aca="1" ref="D6086" ca="1">IF(INDIRECT("'"&amp;A6086&amp;"'!"&amp;B6086)="",FALSE,IF(INDIRECT("'"&amp;A6086&amp;"'!"&amp;B6086)&lt;0,TRUE,FALSE))</f>
        <v>0</v>
      </c>
      <c r="E6086" t="s">
        <v>434</v>
      </c>
      <c r="F6086" t="str">
        <f>INDEX(Lists!I:I,MATCH(Validation!E6086,Lists!G:G,0))</f>
        <v>Error</v>
      </c>
      <c r="G6086" t="str">
        <f>INDEX(Lists!H:H,MATCH(Validation!E6086,Lists!G:G,0))</f>
        <v>Amount may not be negative. Enter an amount greater than or equal to zero.</v>
      </c>
      <c r="H6086" s="16" t="str">
        <f t="shared" ca="1" si="672"/>
        <v/>
      </c>
      <c r="I6086" s="16" t="str">
        <f t="shared" ca="1" si="673"/>
        <v/>
      </c>
      <c r="J6086" s="17" t="str">
        <f t="shared" ca="1" si="674"/>
        <v/>
      </c>
    </row>
    <row r="6087" spans="1:10" x14ac:dyDescent="0.25">
      <c r="A6087" t="s">
        <v>940</v>
      </c>
      <c r="B6087" t="str">
        <f>ADDRESS(ROW('Loan 1'!$B$31),COLUMN('Loan 1'!$B$31),4)</f>
        <v>B31</v>
      </c>
      <c r="C6087" t="str">
        <f>ADDRESS(ROW('Loan 1'!$D$31),COLUMN('Loan 1'!$D$31),4)</f>
        <v>D31</v>
      </c>
      <c r="D6087" t="b" cm="1">
        <f t="array" aca="1" ref="D6087" ca="1">IF(INDIRECT("'"&amp;A6087&amp;"'!"&amp;B6087)="",FALSE,IF(INDIRECT("'"&amp;A6087&amp;"'!"&amp;B6087)&lt;0,TRUE,FALSE))</f>
        <v>0</v>
      </c>
      <c r="E6087" t="s">
        <v>434</v>
      </c>
      <c r="F6087" t="str">
        <f>INDEX(Lists!I:I,MATCH(Validation!E6087,Lists!G:G,0))</f>
        <v>Error</v>
      </c>
      <c r="G6087" t="str">
        <f>INDEX(Lists!H:H,MATCH(Validation!E6087,Lists!G:G,0))</f>
        <v>Amount may not be negative. Enter an amount greater than or equal to zero.</v>
      </c>
      <c r="H6087" s="16" t="str">
        <f t="shared" ca="1" si="672"/>
        <v/>
      </c>
      <c r="I6087" s="16" t="str">
        <f t="shared" ca="1" si="673"/>
        <v/>
      </c>
      <c r="J6087" s="17" t="str">
        <f t="shared" ca="1" si="674"/>
        <v/>
      </c>
    </row>
    <row r="6088" spans="1:10" x14ac:dyDescent="0.25">
      <c r="A6088" t="s">
        <v>941</v>
      </c>
      <c r="B6088" t="str">
        <f>ADDRESS(ROW('Loan 1'!$B$31),COLUMN('Loan 1'!$B$31),4)</f>
        <v>B31</v>
      </c>
      <c r="C6088" t="str">
        <f>ADDRESS(ROW('Loan 1'!$D$31),COLUMN('Loan 1'!$D$31),4)</f>
        <v>D31</v>
      </c>
      <c r="D6088" t="b" cm="1">
        <f t="array" aca="1" ref="D6088" ca="1">IF(INDIRECT("'"&amp;A6088&amp;"'!"&amp;B6088)="",FALSE,IF(INDIRECT("'"&amp;A6088&amp;"'!"&amp;B6088)&lt;0,TRUE,FALSE))</f>
        <v>0</v>
      </c>
      <c r="E6088" t="s">
        <v>434</v>
      </c>
      <c r="F6088" t="str">
        <f>INDEX(Lists!I:I,MATCH(Validation!E6088,Lists!G:G,0))</f>
        <v>Error</v>
      </c>
      <c r="G6088" t="str">
        <f>INDEX(Lists!H:H,MATCH(Validation!E6088,Lists!G:G,0))</f>
        <v>Amount may not be negative. Enter an amount greater than or equal to zero.</v>
      </c>
      <c r="H6088" s="16" t="str">
        <f t="shared" ca="1" si="672"/>
        <v/>
      </c>
      <c r="I6088" s="16" t="str">
        <f t="shared" ca="1" si="673"/>
        <v/>
      </c>
      <c r="J6088" s="17" t="str">
        <f t="shared" ca="1" si="674"/>
        <v/>
      </c>
    </row>
    <row r="6089" spans="1:10" x14ac:dyDescent="0.25">
      <c r="A6089" t="s">
        <v>942</v>
      </c>
      <c r="B6089" t="str">
        <f>ADDRESS(ROW('Loan 1'!$B$31),COLUMN('Loan 1'!$B$31),4)</f>
        <v>B31</v>
      </c>
      <c r="C6089" t="str">
        <f>ADDRESS(ROW('Loan 1'!$D$31),COLUMN('Loan 1'!$D$31),4)</f>
        <v>D31</v>
      </c>
      <c r="D6089" t="b" cm="1">
        <f t="array" aca="1" ref="D6089" ca="1">IF(INDIRECT("'"&amp;A6089&amp;"'!"&amp;B6089)="",FALSE,IF(INDIRECT("'"&amp;A6089&amp;"'!"&amp;B6089)&lt;0,TRUE,FALSE))</f>
        <v>0</v>
      </c>
      <c r="E6089" t="s">
        <v>434</v>
      </c>
      <c r="F6089" t="str">
        <f>INDEX(Lists!I:I,MATCH(Validation!E6089,Lists!G:G,0))</f>
        <v>Error</v>
      </c>
      <c r="G6089" t="str">
        <f>INDEX(Lists!H:H,MATCH(Validation!E6089,Lists!G:G,0))</f>
        <v>Amount may not be negative. Enter an amount greater than or equal to zero.</v>
      </c>
      <c r="H6089" s="16" t="str">
        <f t="shared" ca="1" si="672"/>
        <v/>
      </c>
      <c r="I6089" s="16" t="str">
        <f t="shared" ca="1" si="673"/>
        <v/>
      </c>
      <c r="J6089" s="17" t="str">
        <f t="shared" ca="1" si="674"/>
        <v/>
      </c>
    </row>
    <row r="6090" spans="1:10" x14ac:dyDescent="0.25">
      <c r="A6090" t="s">
        <v>943</v>
      </c>
      <c r="B6090" t="str">
        <f>ADDRESS(ROW('Loan 1'!$B$31),COLUMN('Loan 1'!$B$31),4)</f>
        <v>B31</v>
      </c>
      <c r="C6090" t="str">
        <f>ADDRESS(ROW('Loan 1'!$D$31),COLUMN('Loan 1'!$D$31),4)</f>
        <v>D31</v>
      </c>
      <c r="D6090" t="b" cm="1">
        <f t="array" aca="1" ref="D6090" ca="1">IF(INDIRECT("'"&amp;A6090&amp;"'!"&amp;B6090)="",FALSE,IF(INDIRECT("'"&amp;A6090&amp;"'!"&amp;B6090)&lt;0,TRUE,FALSE))</f>
        <v>0</v>
      </c>
      <c r="E6090" t="s">
        <v>434</v>
      </c>
      <c r="F6090" t="str">
        <f>INDEX(Lists!I:I,MATCH(Validation!E6090,Lists!G:G,0))</f>
        <v>Error</v>
      </c>
      <c r="G6090" t="str">
        <f>INDEX(Lists!H:H,MATCH(Validation!E6090,Lists!G:G,0))</f>
        <v>Amount may not be negative. Enter an amount greater than or equal to zero.</v>
      </c>
      <c r="H6090" s="16" t="str">
        <f t="shared" ca="1" si="672"/>
        <v/>
      </c>
      <c r="I6090" s="16" t="str">
        <f t="shared" ca="1" si="673"/>
        <v/>
      </c>
      <c r="J6090" s="17" t="str">
        <f t="shared" ca="1" si="674"/>
        <v/>
      </c>
    </row>
    <row r="6091" spans="1:10" x14ac:dyDescent="0.25">
      <c r="A6091" t="s">
        <v>944</v>
      </c>
      <c r="B6091" t="str">
        <f>ADDRESS(ROW('Loan 1'!$B$31),COLUMN('Loan 1'!$B$31),4)</f>
        <v>B31</v>
      </c>
      <c r="C6091" t="str">
        <f>ADDRESS(ROW('Loan 1'!$D$31),COLUMN('Loan 1'!$D$31),4)</f>
        <v>D31</v>
      </c>
      <c r="D6091" t="b" cm="1">
        <f t="array" aca="1" ref="D6091" ca="1">IF(INDIRECT("'"&amp;A6091&amp;"'!"&amp;B6091)="",FALSE,IF(INDIRECT("'"&amp;A6091&amp;"'!"&amp;B6091)&lt;0,TRUE,FALSE))</f>
        <v>0</v>
      </c>
      <c r="E6091" t="s">
        <v>434</v>
      </c>
      <c r="F6091" t="str">
        <f>INDEX(Lists!I:I,MATCH(Validation!E6091,Lists!G:G,0))</f>
        <v>Error</v>
      </c>
      <c r="G6091" t="str">
        <f>INDEX(Lists!H:H,MATCH(Validation!E6091,Lists!G:G,0))</f>
        <v>Amount may not be negative. Enter an amount greater than or equal to zero.</v>
      </c>
      <c r="H6091" s="16" t="str">
        <f t="shared" ca="1" si="672"/>
        <v/>
      </c>
      <c r="I6091" s="16" t="str">
        <f t="shared" ca="1" si="673"/>
        <v/>
      </c>
      <c r="J6091" s="17" t="str">
        <f t="shared" ca="1" si="674"/>
        <v/>
      </c>
    </row>
    <row r="6092" spans="1:10" x14ac:dyDescent="0.25">
      <c r="A6092" t="s">
        <v>945</v>
      </c>
      <c r="B6092" t="str">
        <f>ADDRESS(ROW('Loan 1'!$B$31),COLUMN('Loan 1'!$B$31),4)</f>
        <v>B31</v>
      </c>
      <c r="C6092" t="str">
        <f>ADDRESS(ROW('Loan 1'!$D$31),COLUMN('Loan 1'!$D$31),4)</f>
        <v>D31</v>
      </c>
      <c r="D6092" t="b" cm="1">
        <f t="array" aca="1" ref="D6092" ca="1">IF(INDIRECT("'"&amp;A6092&amp;"'!"&amp;B6092)="",FALSE,IF(INDIRECT("'"&amp;A6092&amp;"'!"&amp;B6092)&lt;0,TRUE,FALSE))</f>
        <v>0</v>
      </c>
      <c r="E6092" t="s">
        <v>434</v>
      </c>
      <c r="F6092" t="str">
        <f>INDEX(Lists!I:I,MATCH(Validation!E6092,Lists!G:G,0))</f>
        <v>Error</v>
      </c>
      <c r="G6092" t="str">
        <f>INDEX(Lists!H:H,MATCH(Validation!E6092,Lists!G:G,0))</f>
        <v>Amount may not be negative. Enter an amount greater than or equal to zero.</v>
      </c>
      <c r="H6092" s="16" t="str">
        <f t="shared" ca="1" si="672"/>
        <v/>
      </c>
      <c r="I6092" s="16" t="str">
        <f t="shared" ca="1" si="673"/>
        <v/>
      </c>
      <c r="J6092" s="17" t="str">
        <f t="shared" ca="1" si="674"/>
        <v/>
      </c>
    </row>
    <row r="6093" spans="1:10" x14ac:dyDescent="0.25">
      <c r="A6093" t="s">
        <v>205</v>
      </c>
      <c r="B6093" t="str">
        <f>ADDRESS(ROW('Loan 1'!$B$31),COLUMN('Loan 1'!$B$31),4)</f>
        <v>B31</v>
      </c>
      <c r="C6093" t="str">
        <f>ADDRESS(ROW('Loan 1'!$D$31),COLUMN('Loan 1'!$D$31),4)</f>
        <v>D31</v>
      </c>
      <c r="D6093" t="b" cm="1">
        <f t="array" aca="1" ref="D6093" ca="1">IF(INDIRECT("'"&amp;A6093&amp;"'!"&amp;B6093)="",FALSE,IF(TRUNC(INDIRECT("'"&amp;A6093&amp;"'!"&amp;B6093))=INDIRECT("'"&amp;A6093&amp;"'!"&amp;B6093),FALSE,TRUE))</f>
        <v>0</v>
      </c>
      <c r="E6093" t="s">
        <v>436</v>
      </c>
      <c r="F6093" t="str">
        <f>INDEX(Lists!I:I,MATCH(Validation!E6093,Lists!G:G,0))</f>
        <v>Error</v>
      </c>
      <c r="G6093" t="str">
        <f>INDEX(Lists!H:H,MATCH(Validation!E6093,Lists!G:G,0))</f>
        <v>Amount must be rounded to the nearest dollar.</v>
      </c>
      <c r="H6093" s="16" t="str">
        <f t="shared" ca="1" si="672"/>
        <v/>
      </c>
      <c r="I6093" s="16" t="str">
        <f t="shared" ca="1" si="673"/>
        <v/>
      </c>
      <c r="J6093" s="17" t="str">
        <f t="shared" ca="1" si="674"/>
        <v/>
      </c>
    </row>
    <row r="6094" spans="1:10" x14ac:dyDescent="0.25">
      <c r="A6094" t="s">
        <v>932</v>
      </c>
      <c r="B6094" t="str">
        <f>ADDRESS(ROW('Loan 1'!$B$31),COLUMN('Loan 1'!$B$31),4)</f>
        <v>B31</v>
      </c>
      <c r="C6094" t="str">
        <f>ADDRESS(ROW('Loan 1'!$D$31),COLUMN('Loan 1'!$D$31),4)</f>
        <v>D31</v>
      </c>
      <c r="D6094" t="b" cm="1">
        <f t="array" aca="1" ref="D6094" ca="1">IF(INDIRECT("'"&amp;A6094&amp;"'!"&amp;B6094)="",FALSE,IF(TRUNC(INDIRECT("'"&amp;A6094&amp;"'!"&amp;B6094))=INDIRECT("'"&amp;A6094&amp;"'!"&amp;B6094),FALSE,TRUE))</f>
        <v>0</v>
      </c>
      <c r="E6094" t="s">
        <v>436</v>
      </c>
      <c r="F6094" t="str">
        <f>INDEX(Lists!I:I,MATCH(Validation!E6094,Lists!G:G,0))</f>
        <v>Error</v>
      </c>
      <c r="G6094" t="str">
        <f>INDEX(Lists!H:H,MATCH(Validation!E6094,Lists!G:G,0))</f>
        <v>Amount must be rounded to the nearest dollar.</v>
      </c>
      <c r="H6094" s="16" t="str">
        <f t="shared" ca="1" si="672"/>
        <v/>
      </c>
      <c r="I6094" s="16" t="str">
        <f t="shared" ca="1" si="673"/>
        <v/>
      </c>
      <c r="J6094" s="17" t="str">
        <f t="shared" ca="1" si="674"/>
        <v/>
      </c>
    </row>
    <row r="6095" spans="1:10" x14ac:dyDescent="0.25">
      <c r="A6095" t="s">
        <v>933</v>
      </c>
      <c r="B6095" t="str">
        <f>ADDRESS(ROW('Loan 1'!$B$31),COLUMN('Loan 1'!$B$31),4)</f>
        <v>B31</v>
      </c>
      <c r="C6095" t="str">
        <f>ADDRESS(ROW('Loan 1'!$D$31),COLUMN('Loan 1'!$D$31),4)</f>
        <v>D31</v>
      </c>
      <c r="D6095" t="b" cm="1">
        <f t="array" aca="1" ref="D6095" ca="1">IF(INDIRECT("'"&amp;A6095&amp;"'!"&amp;B6095)="",FALSE,IF(TRUNC(INDIRECT("'"&amp;A6095&amp;"'!"&amp;B6095))=INDIRECT("'"&amp;A6095&amp;"'!"&amp;B6095),FALSE,TRUE))</f>
        <v>0</v>
      </c>
      <c r="E6095" t="s">
        <v>436</v>
      </c>
      <c r="F6095" t="str">
        <f>INDEX(Lists!I:I,MATCH(Validation!E6095,Lists!G:G,0))</f>
        <v>Error</v>
      </c>
      <c r="G6095" t="str">
        <f>INDEX(Lists!H:H,MATCH(Validation!E6095,Lists!G:G,0))</f>
        <v>Amount must be rounded to the nearest dollar.</v>
      </c>
      <c r="H6095" s="16" t="str">
        <f t="shared" ca="1" si="672"/>
        <v/>
      </c>
      <c r="I6095" s="16" t="str">
        <f t="shared" ca="1" si="673"/>
        <v/>
      </c>
      <c r="J6095" s="17" t="str">
        <f t="shared" ca="1" si="674"/>
        <v/>
      </c>
    </row>
    <row r="6096" spans="1:10" x14ac:dyDescent="0.25">
      <c r="A6096" t="s">
        <v>934</v>
      </c>
      <c r="B6096" t="str">
        <f>ADDRESS(ROW('Loan 1'!$B$31),COLUMN('Loan 1'!$B$31),4)</f>
        <v>B31</v>
      </c>
      <c r="C6096" t="str">
        <f>ADDRESS(ROW('Loan 1'!$D$31),COLUMN('Loan 1'!$D$31),4)</f>
        <v>D31</v>
      </c>
      <c r="D6096" t="b" cm="1">
        <f t="array" aca="1" ref="D6096" ca="1">IF(INDIRECT("'"&amp;A6096&amp;"'!"&amp;B6096)="",FALSE,IF(TRUNC(INDIRECT("'"&amp;A6096&amp;"'!"&amp;B6096))=INDIRECT("'"&amp;A6096&amp;"'!"&amp;B6096),FALSE,TRUE))</f>
        <v>0</v>
      </c>
      <c r="E6096" t="s">
        <v>436</v>
      </c>
      <c r="F6096" t="str">
        <f>INDEX(Lists!I:I,MATCH(Validation!E6096,Lists!G:G,0))</f>
        <v>Error</v>
      </c>
      <c r="G6096" t="str">
        <f>INDEX(Lists!H:H,MATCH(Validation!E6096,Lists!G:G,0))</f>
        <v>Amount must be rounded to the nearest dollar.</v>
      </c>
      <c r="H6096" s="16" t="str">
        <f t="shared" ca="1" si="672"/>
        <v/>
      </c>
      <c r="I6096" s="16" t="str">
        <f t="shared" ca="1" si="673"/>
        <v/>
      </c>
      <c r="J6096" s="17" t="str">
        <f t="shared" ca="1" si="674"/>
        <v/>
      </c>
    </row>
    <row r="6097" spans="1:10" x14ac:dyDescent="0.25">
      <c r="A6097" t="s">
        <v>935</v>
      </c>
      <c r="B6097" t="str">
        <f>ADDRESS(ROW('Loan 1'!$B$31),COLUMN('Loan 1'!$B$31),4)</f>
        <v>B31</v>
      </c>
      <c r="C6097" t="str">
        <f>ADDRESS(ROW('Loan 1'!$D$31),COLUMN('Loan 1'!$D$31),4)</f>
        <v>D31</v>
      </c>
      <c r="D6097" t="b" cm="1">
        <f t="array" aca="1" ref="D6097" ca="1">IF(INDIRECT("'"&amp;A6097&amp;"'!"&amp;B6097)="",FALSE,IF(TRUNC(INDIRECT("'"&amp;A6097&amp;"'!"&amp;B6097))=INDIRECT("'"&amp;A6097&amp;"'!"&amp;B6097),FALSE,TRUE))</f>
        <v>0</v>
      </c>
      <c r="E6097" t="s">
        <v>436</v>
      </c>
      <c r="F6097" t="str">
        <f>INDEX(Lists!I:I,MATCH(Validation!E6097,Lists!G:G,0))</f>
        <v>Error</v>
      </c>
      <c r="G6097" t="str">
        <f>INDEX(Lists!H:H,MATCH(Validation!E6097,Lists!G:G,0))</f>
        <v>Amount must be rounded to the nearest dollar.</v>
      </c>
      <c r="H6097" s="16" t="str">
        <f t="shared" ca="1" si="672"/>
        <v/>
      </c>
      <c r="I6097" s="16" t="str">
        <f t="shared" ca="1" si="673"/>
        <v/>
      </c>
      <c r="J6097" s="17" t="str">
        <f t="shared" ca="1" si="674"/>
        <v/>
      </c>
    </row>
    <row r="6098" spans="1:10" x14ac:dyDescent="0.25">
      <c r="A6098" t="s">
        <v>936</v>
      </c>
      <c r="B6098" t="str">
        <f>ADDRESS(ROW('Loan 1'!$B$31),COLUMN('Loan 1'!$B$31),4)</f>
        <v>B31</v>
      </c>
      <c r="C6098" t="str">
        <f>ADDRESS(ROW('Loan 1'!$D$31),COLUMN('Loan 1'!$D$31),4)</f>
        <v>D31</v>
      </c>
      <c r="D6098" t="b" cm="1">
        <f t="array" aca="1" ref="D6098" ca="1">IF(INDIRECT("'"&amp;A6098&amp;"'!"&amp;B6098)="",FALSE,IF(TRUNC(INDIRECT("'"&amp;A6098&amp;"'!"&amp;B6098))=INDIRECT("'"&amp;A6098&amp;"'!"&amp;B6098),FALSE,TRUE))</f>
        <v>0</v>
      </c>
      <c r="E6098" t="s">
        <v>436</v>
      </c>
      <c r="F6098" t="str">
        <f>INDEX(Lists!I:I,MATCH(Validation!E6098,Lists!G:G,0))</f>
        <v>Error</v>
      </c>
      <c r="G6098" t="str">
        <f>INDEX(Lists!H:H,MATCH(Validation!E6098,Lists!G:G,0))</f>
        <v>Amount must be rounded to the nearest dollar.</v>
      </c>
      <c r="H6098" s="16" t="str">
        <f t="shared" ca="1" si="672"/>
        <v/>
      </c>
      <c r="I6098" s="16" t="str">
        <f t="shared" ca="1" si="673"/>
        <v/>
      </c>
      <c r="J6098" s="17" t="str">
        <f t="shared" ca="1" si="674"/>
        <v/>
      </c>
    </row>
    <row r="6099" spans="1:10" x14ac:dyDescent="0.25">
      <c r="A6099" t="s">
        <v>937</v>
      </c>
      <c r="B6099" t="str">
        <f>ADDRESS(ROW('Loan 1'!$B$31),COLUMN('Loan 1'!$B$31),4)</f>
        <v>B31</v>
      </c>
      <c r="C6099" t="str">
        <f>ADDRESS(ROW('Loan 1'!$D$31),COLUMN('Loan 1'!$D$31),4)</f>
        <v>D31</v>
      </c>
      <c r="D6099" t="b" cm="1">
        <f t="array" aca="1" ref="D6099" ca="1">IF(INDIRECT("'"&amp;A6099&amp;"'!"&amp;B6099)="",FALSE,IF(TRUNC(INDIRECT("'"&amp;A6099&amp;"'!"&amp;B6099))=INDIRECT("'"&amp;A6099&amp;"'!"&amp;B6099),FALSE,TRUE))</f>
        <v>0</v>
      </c>
      <c r="E6099" t="s">
        <v>436</v>
      </c>
      <c r="F6099" t="str">
        <f>INDEX(Lists!I:I,MATCH(Validation!E6099,Lists!G:G,0))</f>
        <v>Error</v>
      </c>
      <c r="G6099" t="str">
        <f>INDEX(Lists!H:H,MATCH(Validation!E6099,Lists!G:G,0))</f>
        <v>Amount must be rounded to the nearest dollar.</v>
      </c>
      <c r="H6099" s="16" t="str">
        <f t="shared" ca="1" si="672"/>
        <v/>
      </c>
      <c r="I6099" s="16" t="str">
        <f t="shared" ca="1" si="673"/>
        <v/>
      </c>
      <c r="J6099" s="17" t="str">
        <f t="shared" ca="1" si="674"/>
        <v/>
      </c>
    </row>
    <row r="6100" spans="1:10" x14ac:dyDescent="0.25">
      <c r="A6100" t="s">
        <v>938</v>
      </c>
      <c r="B6100" t="str">
        <f>ADDRESS(ROW('Loan 1'!$B$31),COLUMN('Loan 1'!$B$31),4)</f>
        <v>B31</v>
      </c>
      <c r="C6100" t="str">
        <f>ADDRESS(ROW('Loan 1'!$D$31),COLUMN('Loan 1'!$D$31),4)</f>
        <v>D31</v>
      </c>
      <c r="D6100" t="b" cm="1">
        <f t="array" aca="1" ref="D6100" ca="1">IF(INDIRECT("'"&amp;A6100&amp;"'!"&amp;B6100)="",FALSE,IF(TRUNC(INDIRECT("'"&amp;A6100&amp;"'!"&amp;B6100))=INDIRECT("'"&amp;A6100&amp;"'!"&amp;B6100),FALSE,TRUE))</f>
        <v>0</v>
      </c>
      <c r="E6100" t="s">
        <v>436</v>
      </c>
      <c r="F6100" t="str">
        <f>INDEX(Lists!I:I,MATCH(Validation!E6100,Lists!G:G,0))</f>
        <v>Error</v>
      </c>
      <c r="G6100" t="str">
        <f>INDEX(Lists!H:H,MATCH(Validation!E6100,Lists!G:G,0))</f>
        <v>Amount must be rounded to the nearest dollar.</v>
      </c>
      <c r="H6100" s="16" t="str">
        <f t="shared" ca="1" si="672"/>
        <v/>
      </c>
      <c r="I6100" s="16" t="str">
        <f t="shared" ca="1" si="673"/>
        <v/>
      </c>
      <c r="J6100" s="17" t="str">
        <f t="shared" ca="1" si="674"/>
        <v/>
      </c>
    </row>
    <row r="6101" spans="1:10" x14ac:dyDescent="0.25">
      <c r="A6101" t="s">
        <v>939</v>
      </c>
      <c r="B6101" t="str">
        <f>ADDRESS(ROW('Loan 1'!$B$31),COLUMN('Loan 1'!$B$31),4)</f>
        <v>B31</v>
      </c>
      <c r="C6101" t="str">
        <f>ADDRESS(ROW('Loan 1'!$D$31),COLUMN('Loan 1'!$D$31),4)</f>
        <v>D31</v>
      </c>
      <c r="D6101" t="b" cm="1">
        <f t="array" aca="1" ref="D6101" ca="1">IF(INDIRECT("'"&amp;A6101&amp;"'!"&amp;B6101)="",FALSE,IF(TRUNC(INDIRECT("'"&amp;A6101&amp;"'!"&amp;B6101))=INDIRECT("'"&amp;A6101&amp;"'!"&amp;B6101),FALSE,TRUE))</f>
        <v>0</v>
      </c>
      <c r="E6101" t="s">
        <v>436</v>
      </c>
      <c r="F6101" t="str">
        <f>INDEX(Lists!I:I,MATCH(Validation!E6101,Lists!G:G,0))</f>
        <v>Error</v>
      </c>
      <c r="G6101" t="str">
        <f>INDEX(Lists!H:H,MATCH(Validation!E6101,Lists!G:G,0))</f>
        <v>Amount must be rounded to the nearest dollar.</v>
      </c>
      <c r="H6101" s="16" t="str">
        <f t="shared" ca="1" si="672"/>
        <v/>
      </c>
      <c r="I6101" s="16" t="str">
        <f t="shared" ca="1" si="673"/>
        <v/>
      </c>
      <c r="J6101" s="17" t="str">
        <f t="shared" ca="1" si="674"/>
        <v/>
      </c>
    </row>
    <row r="6102" spans="1:10" x14ac:dyDescent="0.25">
      <c r="A6102" t="s">
        <v>940</v>
      </c>
      <c r="B6102" t="str">
        <f>ADDRESS(ROW('Loan 1'!$B$31),COLUMN('Loan 1'!$B$31),4)</f>
        <v>B31</v>
      </c>
      <c r="C6102" t="str">
        <f>ADDRESS(ROW('Loan 1'!$D$31),COLUMN('Loan 1'!$D$31),4)</f>
        <v>D31</v>
      </c>
      <c r="D6102" t="b" cm="1">
        <f t="array" aca="1" ref="D6102" ca="1">IF(INDIRECT("'"&amp;A6102&amp;"'!"&amp;B6102)="",FALSE,IF(TRUNC(INDIRECT("'"&amp;A6102&amp;"'!"&amp;B6102))=INDIRECT("'"&amp;A6102&amp;"'!"&amp;B6102),FALSE,TRUE))</f>
        <v>0</v>
      </c>
      <c r="E6102" t="s">
        <v>436</v>
      </c>
      <c r="F6102" t="str">
        <f>INDEX(Lists!I:I,MATCH(Validation!E6102,Lists!G:G,0))</f>
        <v>Error</v>
      </c>
      <c r="G6102" t="str">
        <f>INDEX(Lists!H:H,MATCH(Validation!E6102,Lists!G:G,0))</f>
        <v>Amount must be rounded to the nearest dollar.</v>
      </c>
      <c r="H6102" s="16" t="str">
        <f t="shared" ca="1" si="672"/>
        <v/>
      </c>
      <c r="I6102" s="16" t="str">
        <f t="shared" ca="1" si="673"/>
        <v/>
      </c>
      <c r="J6102" s="17" t="str">
        <f t="shared" ca="1" si="674"/>
        <v/>
      </c>
    </row>
    <row r="6103" spans="1:10" x14ac:dyDescent="0.25">
      <c r="A6103" t="s">
        <v>941</v>
      </c>
      <c r="B6103" t="str">
        <f>ADDRESS(ROW('Loan 1'!$B$31),COLUMN('Loan 1'!$B$31),4)</f>
        <v>B31</v>
      </c>
      <c r="C6103" t="str">
        <f>ADDRESS(ROW('Loan 1'!$D$31),COLUMN('Loan 1'!$D$31),4)</f>
        <v>D31</v>
      </c>
      <c r="D6103" t="b" cm="1">
        <f t="array" aca="1" ref="D6103" ca="1">IF(INDIRECT("'"&amp;A6103&amp;"'!"&amp;B6103)="",FALSE,IF(TRUNC(INDIRECT("'"&amp;A6103&amp;"'!"&amp;B6103))=INDIRECT("'"&amp;A6103&amp;"'!"&amp;B6103),FALSE,TRUE))</f>
        <v>0</v>
      </c>
      <c r="E6103" t="s">
        <v>436</v>
      </c>
      <c r="F6103" t="str">
        <f>INDEX(Lists!I:I,MATCH(Validation!E6103,Lists!G:G,0))</f>
        <v>Error</v>
      </c>
      <c r="G6103" t="str">
        <f>INDEX(Lists!H:H,MATCH(Validation!E6103,Lists!G:G,0))</f>
        <v>Amount must be rounded to the nearest dollar.</v>
      </c>
      <c r="H6103" s="16" t="str">
        <f t="shared" ca="1" si="672"/>
        <v/>
      </c>
      <c r="I6103" s="16" t="str">
        <f t="shared" ca="1" si="673"/>
        <v/>
      </c>
      <c r="J6103" s="17" t="str">
        <f t="shared" ca="1" si="674"/>
        <v/>
      </c>
    </row>
    <row r="6104" spans="1:10" x14ac:dyDescent="0.25">
      <c r="A6104" t="s">
        <v>942</v>
      </c>
      <c r="B6104" t="str">
        <f>ADDRESS(ROW('Loan 1'!$B$31),COLUMN('Loan 1'!$B$31),4)</f>
        <v>B31</v>
      </c>
      <c r="C6104" t="str">
        <f>ADDRESS(ROW('Loan 1'!$D$31),COLUMN('Loan 1'!$D$31),4)</f>
        <v>D31</v>
      </c>
      <c r="D6104" t="b" cm="1">
        <f t="array" aca="1" ref="D6104" ca="1">IF(INDIRECT("'"&amp;A6104&amp;"'!"&amp;B6104)="",FALSE,IF(TRUNC(INDIRECT("'"&amp;A6104&amp;"'!"&amp;B6104))=INDIRECT("'"&amp;A6104&amp;"'!"&amp;B6104),FALSE,TRUE))</f>
        <v>0</v>
      </c>
      <c r="E6104" t="s">
        <v>436</v>
      </c>
      <c r="F6104" t="str">
        <f>INDEX(Lists!I:I,MATCH(Validation!E6104,Lists!G:G,0))</f>
        <v>Error</v>
      </c>
      <c r="G6104" t="str">
        <f>INDEX(Lists!H:H,MATCH(Validation!E6104,Lists!G:G,0))</f>
        <v>Amount must be rounded to the nearest dollar.</v>
      </c>
      <c r="H6104" s="16" t="str">
        <f t="shared" ca="1" si="672"/>
        <v/>
      </c>
      <c r="I6104" s="16" t="str">
        <f t="shared" ca="1" si="673"/>
        <v/>
      </c>
      <c r="J6104" s="17" t="str">
        <f t="shared" ca="1" si="674"/>
        <v/>
      </c>
    </row>
    <row r="6105" spans="1:10" x14ac:dyDescent="0.25">
      <c r="A6105" t="s">
        <v>943</v>
      </c>
      <c r="B6105" t="str">
        <f>ADDRESS(ROW('Loan 1'!$B$31),COLUMN('Loan 1'!$B$31),4)</f>
        <v>B31</v>
      </c>
      <c r="C6105" t="str">
        <f>ADDRESS(ROW('Loan 1'!$D$31),COLUMN('Loan 1'!$D$31),4)</f>
        <v>D31</v>
      </c>
      <c r="D6105" t="b" cm="1">
        <f t="array" aca="1" ref="D6105" ca="1">IF(INDIRECT("'"&amp;A6105&amp;"'!"&amp;B6105)="",FALSE,IF(TRUNC(INDIRECT("'"&amp;A6105&amp;"'!"&amp;B6105))=INDIRECT("'"&amp;A6105&amp;"'!"&amp;B6105),FALSE,TRUE))</f>
        <v>0</v>
      </c>
      <c r="E6105" t="s">
        <v>436</v>
      </c>
      <c r="F6105" t="str">
        <f>INDEX(Lists!I:I,MATCH(Validation!E6105,Lists!G:G,0))</f>
        <v>Error</v>
      </c>
      <c r="G6105" t="str">
        <f>INDEX(Lists!H:H,MATCH(Validation!E6105,Lists!G:G,0))</f>
        <v>Amount must be rounded to the nearest dollar.</v>
      </c>
      <c r="H6105" s="16" t="str">
        <f t="shared" ca="1" si="672"/>
        <v/>
      </c>
      <c r="I6105" s="16" t="str">
        <f t="shared" ca="1" si="673"/>
        <v/>
      </c>
      <c r="J6105" s="17" t="str">
        <f t="shared" ca="1" si="674"/>
        <v/>
      </c>
    </row>
    <row r="6106" spans="1:10" x14ac:dyDescent="0.25">
      <c r="A6106" t="s">
        <v>944</v>
      </c>
      <c r="B6106" t="str">
        <f>ADDRESS(ROW('Loan 1'!$B$31),COLUMN('Loan 1'!$B$31),4)</f>
        <v>B31</v>
      </c>
      <c r="C6106" t="str">
        <f>ADDRESS(ROW('Loan 1'!$D$31),COLUMN('Loan 1'!$D$31),4)</f>
        <v>D31</v>
      </c>
      <c r="D6106" t="b" cm="1">
        <f t="array" aca="1" ref="D6106" ca="1">IF(INDIRECT("'"&amp;A6106&amp;"'!"&amp;B6106)="",FALSE,IF(TRUNC(INDIRECT("'"&amp;A6106&amp;"'!"&amp;B6106))=INDIRECT("'"&amp;A6106&amp;"'!"&amp;B6106),FALSE,TRUE))</f>
        <v>0</v>
      </c>
      <c r="E6106" t="s">
        <v>436</v>
      </c>
      <c r="F6106" t="str">
        <f>INDEX(Lists!I:I,MATCH(Validation!E6106,Lists!G:G,0))</f>
        <v>Error</v>
      </c>
      <c r="G6106" t="str">
        <f>INDEX(Lists!H:H,MATCH(Validation!E6106,Lists!G:G,0))</f>
        <v>Amount must be rounded to the nearest dollar.</v>
      </c>
      <c r="H6106" s="16" t="str">
        <f t="shared" ca="1" si="672"/>
        <v/>
      </c>
      <c r="I6106" s="16" t="str">
        <f t="shared" ca="1" si="673"/>
        <v/>
      </c>
      <c r="J6106" s="17" t="str">
        <f t="shared" ca="1" si="674"/>
        <v/>
      </c>
    </row>
    <row r="6107" spans="1:10" x14ac:dyDescent="0.25">
      <c r="A6107" t="s">
        <v>945</v>
      </c>
      <c r="B6107" t="str">
        <f>ADDRESS(ROW('Loan 1'!$B$31),COLUMN('Loan 1'!$B$31),4)</f>
        <v>B31</v>
      </c>
      <c r="C6107" t="str">
        <f>ADDRESS(ROW('Loan 1'!$D$31),COLUMN('Loan 1'!$D$31),4)</f>
        <v>D31</v>
      </c>
      <c r="D6107" t="b" cm="1">
        <f t="array" aca="1" ref="D6107" ca="1">IF(INDIRECT("'"&amp;A6107&amp;"'!"&amp;B6107)="",FALSE,IF(TRUNC(INDIRECT("'"&amp;A6107&amp;"'!"&amp;B6107))=INDIRECT("'"&amp;A6107&amp;"'!"&amp;B6107),FALSE,TRUE))</f>
        <v>0</v>
      </c>
      <c r="E6107" t="s">
        <v>436</v>
      </c>
      <c r="F6107" t="str">
        <f>INDEX(Lists!I:I,MATCH(Validation!E6107,Lists!G:G,0))</f>
        <v>Error</v>
      </c>
      <c r="G6107" t="str">
        <f>INDEX(Lists!H:H,MATCH(Validation!E6107,Lists!G:G,0))</f>
        <v>Amount must be rounded to the nearest dollar.</v>
      </c>
      <c r="H6107" s="16" t="str">
        <f t="shared" ca="1" si="672"/>
        <v/>
      </c>
      <c r="I6107" s="16" t="str">
        <f t="shared" ca="1" si="673"/>
        <v/>
      </c>
      <c r="J6107" s="17" t="str">
        <f t="shared" ca="1" si="674"/>
        <v/>
      </c>
    </row>
    <row r="6108" spans="1:10" x14ac:dyDescent="0.25">
      <c r="A6108" t="s">
        <v>205</v>
      </c>
      <c r="B6108" t="str">
        <f>ADDRESS(ROW('Loan 1'!$C$31),COLUMN('Loan 1'!$C$31),4)</f>
        <v>C31</v>
      </c>
      <c r="C6108" t="str">
        <f>ADDRESS(ROW('Loan 1'!$D$31),COLUMN('Loan 1'!$D$31),4)</f>
        <v>D31</v>
      </c>
      <c r="D6108" t="b" cm="1">
        <f t="array" aca="1" ref="D6108" ca="1">IF(INDIRECT("'"&amp;A6108&amp;"'!"&amp;B6108)="",FALSE,IF(NOT(ISNUMBER(INDIRECT("'"&amp;A6108&amp;"'!"&amp;B6108))),TRUE,FALSE))</f>
        <v>0</v>
      </c>
      <c r="E6108" t="s">
        <v>435</v>
      </c>
      <c r="F6108" t="str">
        <f>INDEX(Lists!I:I,MATCH(Validation!E6108,Lists!G:G,0))</f>
        <v>Error</v>
      </c>
      <c r="G6108" t="str">
        <f>INDEX(Lists!H:H,MATCH(Validation!E6108,Lists!G:G,0))</f>
        <v>Enter an amount only. Do not enter text or spaces.</v>
      </c>
      <c r="H6108" s="16" t="str">
        <f ca="1">IFERROR(IF(OR(NOT(D6108),F6108&lt;&gt;"Error"),"",A6108&amp;CELL("address",INDIRECT(B6108))),"")</f>
        <v/>
      </c>
      <c r="I6108" s="16" t="str">
        <f ca="1">IFERROR(IF(NOT(D6108),"",A6108&amp;CELL("address",INDIRECT(C6108))),"")</f>
        <v/>
      </c>
      <c r="J6108" s="17" t="str">
        <f ca="1">IFERROR(IF(NOT(D6108),"",A6108),"")</f>
        <v/>
      </c>
    </row>
    <row r="6109" spans="1:10" x14ac:dyDescent="0.25">
      <c r="A6109" t="s">
        <v>932</v>
      </c>
      <c r="B6109" t="str">
        <f>ADDRESS(ROW('Loan 1'!$C$31),COLUMN('Loan 1'!$C$31),4)</f>
        <v>C31</v>
      </c>
      <c r="C6109" t="str">
        <f>ADDRESS(ROW('Loan 1'!$D$31),COLUMN('Loan 1'!$D$31),4)</f>
        <v>D31</v>
      </c>
      <c r="D6109" t="b" cm="1">
        <f t="array" aca="1" ref="D6109" ca="1">IF(INDIRECT("'"&amp;A6109&amp;"'!"&amp;B6109)="",FALSE,IF(NOT(ISNUMBER(INDIRECT("'"&amp;A6109&amp;"'!"&amp;B6109))),TRUE,FALSE))</f>
        <v>0</v>
      </c>
      <c r="E6109" t="s">
        <v>435</v>
      </c>
      <c r="F6109" t="str">
        <f>INDEX(Lists!I:I,MATCH(Validation!E6109,Lists!G:G,0))</f>
        <v>Error</v>
      </c>
      <c r="G6109" t="str">
        <f>INDEX(Lists!H:H,MATCH(Validation!E6109,Lists!G:G,0))</f>
        <v>Enter an amount only. Do not enter text or spaces.</v>
      </c>
      <c r="H6109" s="16" t="str">
        <f t="shared" ref="H6109:H6122" ca="1" si="675">IFERROR(IF(OR(NOT(D6109),F6109&lt;&gt;"Error"),"",A6109&amp;CELL("address",INDIRECT(B6109))),"")</f>
        <v/>
      </c>
      <c r="I6109" s="16" t="str">
        <f t="shared" ref="I6109:I6122" ca="1" si="676">IFERROR(IF(NOT(D6109),"",A6109&amp;CELL("address",INDIRECT(C6109))),"")</f>
        <v/>
      </c>
      <c r="J6109" s="17" t="str">
        <f t="shared" ref="J6109:J6122" ca="1" si="677">IFERROR(IF(NOT(D6109),"",A6109),"")</f>
        <v/>
      </c>
    </row>
    <row r="6110" spans="1:10" x14ac:dyDescent="0.25">
      <c r="A6110" t="s">
        <v>933</v>
      </c>
      <c r="B6110" t="str">
        <f>ADDRESS(ROW('Loan 1'!$C$31),COLUMN('Loan 1'!$C$31),4)</f>
        <v>C31</v>
      </c>
      <c r="C6110" t="str">
        <f>ADDRESS(ROW('Loan 1'!$D$31),COLUMN('Loan 1'!$D$31),4)</f>
        <v>D31</v>
      </c>
      <c r="D6110" t="b" cm="1">
        <f t="array" aca="1" ref="D6110" ca="1">IF(INDIRECT("'"&amp;A6110&amp;"'!"&amp;B6110)="",FALSE,IF(NOT(ISNUMBER(INDIRECT("'"&amp;A6110&amp;"'!"&amp;B6110))),TRUE,FALSE))</f>
        <v>0</v>
      </c>
      <c r="E6110" t="s">
        <v>435</v>
      </c>
      <c r="F6110" t="str">
        <f>INDEX(Lists!I:I,MATCH(Validation!E6110,Lists!G:G,0))</f>
        <v>Error</v>
      </c>
      <c r="G6110" t="str">
        <f>INDEX(Lists!H:H,MATCH(Validation!E6110,Lists!G:G,0))</f>
        <v>Enter an amount only. Do not enter text or spaces.</v>
      </c>
      <c r="H6110" s="16" t="str">
        <f t="shared" ca="1" si="675"/>
        <v/>
      </c>
      <c r="I6110" s="16" t="str">
        <f t="shared" ca="1" si="676"/>
        <v/>
      </c>
      <c r="J6110" s="17" t="str">
        <f t="shared" ca="1" si="677"/>
        <v/>
      </c>
    </row>
    <row r="6111" spans="1:10" x14ac:dyDescent="0.25">
      <c r="A6111" t="s">
        <v>934</v>
      </c>
      <c r="B6111" t="str">
        <f>ADDRESS(ROW('Loan 1'!$C$31),COLUMN('Loan 1'!$C$31),4)</f>
        <v>C31</v>
      </c>
      <c r="C6111" t="str">
        <f>ADDRESS(ROW('Loan 1'!$D$31),COLUMN('Loan 1'!$D$31),4)</f>
        <v>D31</v>
      </c>
      <c r="D6111" t="b" cm="1">
        <f t="array" aca="1" ref="D6111" ca="1">IF(INDIRECT("'"&amp;A6111&amp;"'!"&amp;B6111)="",FALSE,IF(NOT(ISNUMBER(INDIRECT("'"&amp;A6111&amp;"'!"&amp;B6111))),TRUE,FALSE))</f>
        <v>0</v>
      </c>
      <c r="E6111" t="s">
        <v>435</v>
      </c>
      <c r="F6111" t="str">
        <f>INDEX(Lists!I:I,MATCH(Validation!E6111,Lists!G:G,0))</f>
        <v>Error</v>
      </c>
      <c r="G6111" t="str">
        <f>INDEX(Lists!H:H,MATCH(Validation!E6111,Lists!G:G,0))</f>
        <v>Enter an amount only. Do not enter text or spaces.</v>
      </c>
      <c r="H6111" s="16" t="str">
        <f t="shared" ca="1" si="675"/>
        <v/>
      </c>
      <c r="I6111" s="16" t="str">
        <f t="shared" ca="1" si="676"/>
        <v/>
      </c>
      <c r="J6111" s="17" t="str">
        <f t="shared" ca="1" si="677"/>
        <v/>
      </c>
    </row>
    <row r="6112" spans="1:10" x14ac:dyDescent="0.25">
      <c r="A6112" t="s">
        <v>935</v>
      </c>
      <c r="B6112" t="str">
        <f>ADDRESS(ROW('Loan 1'!$C$31),COLUMN('Loan 1'!$C$31),4)</f>
        <v>C31</v>
      </c>
      <c r="C6112" t="str">
        <f>ADDRESS(ROW('Loan 1'!$D$31),COLUMN('Loan 1'!$D$31),4)</f>
        <v>D31</v>
      </c>
      <c r="D6112" t="b" cm="1">
        <f t="array" aca="1" ref="D6112" ca="1">IF(INDIRECT("'"&amp;A6112&amp;"'!"&amp;B6112)="",FALSE,IF(NOT(ISNUMBER(INDIRECT("'"&amp;A6112&amp;"'!"&amp;B6112))),TRUE,FALSE))</f>
        <v>0</v>
      </c>
      <c r="E6112" t="s">
        <v>435</v>
      </c>
      <c r="F6112" t="str">
        <f>INDEX(Lists!I:I,MATCH(Validation!E6112,Lists!G:G,0))</f>
        <v>Error</v>
      </c>
      <c r="G6112" t="str">
        <f>INDEX(Lists!H:H,MATCH(Validation!E6112,Lists!G:G,0))</f>
        <v>Enter an amount only. Do not enter text or spaces.</v>
      </c>
      <c r="H6112" s="16" t="str">
        <f t="shared" ca="1" si="675"/>
        <v/>
      </c>
      <c r="I6112" s="16" t="str">
        <f t="shared" ca="1" si="676"/>
        <v/>
      </c>
      <c r="J6112" s="17" t="str">
        <f t="shared" ca="1" si="677"/>
        <v/>
      </c>
    </row>
    <row r="6113" spans="1:10" x14ac:dyDescent="0.25">
      <c r="A6113" t="s">
        <v>936</v>
      </c>
      <c r="B6113" t="str">
        <f>ADDRESS(ROW('Loan 1'!$C$31),COLUMN('Loan 1'!$C$31),4)</f>
        <v>C31</v>
      </c>
      <c r="C6113" t="str">
        <f>ADDRESS(ROW('Loan 1'!$D$31),COLUMN('Loan 1'!$D$31),4)</f>
        <v>D31</v>
      </c>
      <c r="D6113" t="b" cm="1">
        <f t="array" aca="1" ref="D6113" ca="1">IF(INDIRECT("'"&amp;A6113&amp;"'!"&amp;B6113)="",FALSE,IF(NOT(ISNUMBER(INDIRECT("'"&amp;A6113&amp;"'!"&amp;B6113))),TRUE,FALSE))</f>
        <v>0</v>
      </c>
      <c r="E6113" t="s">
        <v>435</v>
      </c>
      <c r="F6113" t="str">
        <f>INDEX(Lists!I:I,MATCH(Validation!E6113,Lists!G:G,0))</f>
        <v>Error</v>
      </c>
      <c r="G6113" t="str">
        <f>INDEX(Lists!H:H,MATCH(Validation!E6113,Lists!G:G,0))</f>
        <v>Enter an amount only. Do not enter text or spaces.</v>
      </c>
      <c r="H6113" s="16" t="str">
        <f t="shared" ca="1" si="675"/>
        <v/>
      </c>
      <c r="I6113" s="16" t="str">
        <f t="shared" ca="1" si="676"/>
        <v/>
      </c>
      <c r="J6113" s="17" t="str">
        <f t="shared" ca="1" si="677"/>
        <v/>
      </c>
    </row>
    <row r="6114" spans="1:10" x14ac:dyDescent="0.25">
      <c r="A6114" t="s">
        <v>937</v>
      </c>
      <c r="B6114" t="str">
        <f>ADDRESS(ROW('Loan 1'!$C$31),COLUMN('Loan 1'!$C$31),4)</f>
        <v>C31</v>
      </c>
      <c r="C6114" t="str">
        <f>ADDRESS(ROW('Loan 1'!$D$31),COLUMN('Loan 1'!$D$31),4)</f>
        <v>D31</v>
      </c>
      <c r="D6114" t="b" cm="1">
        <f t="array" aca="1" ref="D6114" ca="1">IF(INDIRECT("'"&amp;A6114&amp;"'!"&amp;B6114)="",FALSE,IF(NOT(ISNUMBER(INDIRECT("'"&amp;A6114&amp;"'!"&amp;B6114))),TRUE,FALSE))</f>
        <v>0</v>
      </c>
      <c r="E6114" t="s">
        <v>435</v>
      </c>
      <c r="F6114" t="str">
        <f>INDEX(Lists!I:I,MATCH(Validation!E6114,Lists!G:G,0))</f>
        <v>Error</v>
      </c>
      <c r="G6114" t="str">
        <f>INDEX(Lists!H:H,MATCH(Validation!E6114,Lists!G:G,0))</f>
        <v>Enter an amount only. Do not enter text or spaces.</v>
      </c>
      <c r="H6114" s="16" t="str">
        <f t="shared" ca="1" si="675"/>
        <v/>
      </c>
      <c r="I6114" s="16" t="str">
        <f t="shared" ca="1" si="676"/>
        <v/>
      </c>
      <c r="J6114" s="17" t="str">
        <f t="shared" ca="1" si="677"/>
        <v/>
      </c>
    </row>
    <row r="6115" spans="1:10" x14ac:dyDescent="0.25">
      <c r="A6115" t="s">
        <v>938</v>
      </c>
      <c r="B6115" t="str">
        <f>ADDRESS(ROW('Loan 1'!$C$31),COLUMN('Loan 1'!$C$31),4)</f>
        <v>C31</v>
      </c>
      <c r="C6115" t="str">
        <f>ADDRESS(ROW('Loan 1'!$D$31),COLUMN('Loan 1'!$D$31),4)</f>
        <v>D31</v>
      </c>
      <c r="D6115" t="b" cm="1">
        <f t="array" aca="1" ref="D6115" ca="1">IF(INDIRECT("'"&amp;A6115&amp;"'!"&amp;B6115)="",FALSE,IF(NOT(ISNUMBER(INDIRECT("'"&amp;A6115&amp;"'!"&amp;B6115))),TRUE,FALSE))</f>
        <v>0</v>
      </c>
      <c r="E6115" t="s">
        <v>435</v>
      </c>
      <c r="F6115" t="str">
        <f>INDEX(Lists!I:I,MATCH(Validation!E6115,Lists!G:G,0))</f>
        <v>Error</v>
      </c>
      <c r="G6115" t="str">
        <f>INDEX(Lists!H:H,MATCH(Validation!E6115,Lists!G:G,0))</f>
        <v>Enter an amount only. Do not enter text or spaces.</v>
      </c>
      <c r="H6115" s="16" t="str">
        <f t="shared" ca="1" si="675"/>
        <v/>
      </c>
      <c r="I6115" s="16" t="str">
        <f t="shared" ca="1" si="676"/>
        <v/>
      </c>
      <c r="J6115" s="17" t="str">
        <f t="shared" ca="1" si="677"/>
        <v/>
      </c>
    </row>
    <row r="6116" spans="1:10" x14ac:dyDescent="0.25">
      <c r="A6116" t="s">
        <v>939</v>
      </c>
      <c r="B6116" t="str">
        <f>ADDRESS(ROW('Loan 1'!$C$31),COLUMN('Loan 1'!$C$31),4)</f>
        <v>C31</v>
      </c>
      <c r="C6116" t="str">
        <f>ADDRESS(ROW('Loan 1'!$D$31),COLUMN('Loan 1'!$D$31),4)</f>
        <v>D31</v>
      </c>
      <c r="D6116" t="b" cm="1">
        <f t="array" aca="1" ref="D6116" ca="1">IF(INDIRECT("'"&amp;A6116&amp;"'!"&amp;B6116)="",FALSE,IF(NOT(ISNUMBER(INDIRECT("'"&amp;A6116&amp;"'!"&amp;B6116))),TRUE,FALSE))</f>
        <v>0</v>
      </c>
      <c r="E6116" t="s">
        <v>435</v>
      </c>
      <c r="F6116" t="str">
        <f>INDEX(Lists!I:I,MATCH(Validation!E6116,Lists!G:G,0))</f>
        <v>Error</v>
      </c>
      <c r="G6116" t="str">
        <f>INDEX(Lists!H:H,MATCH(Validation!E6116,Lists!G:G,0))</f>
        <v>Enter an amount only. Do not enter text or spaces.</v>
      </c>
      <c r="H6116" s="16" t="str">
        <f t="shared" ca="1" si="675"/>
        <v/>
      </c>
      <c r="I6116" s="16" t="str">
        <f t="shared" ca="1" si="676"/>
        <v/>
      </c>
      <c r="J6116" s="17" t="str">
        <f t="shared" ca="1" si="677"/>
        <v/>
      </c>
    </row>
    <row r="6117" spans="1:10" x14ac:dyDescent="0.25">
      <c r="A6117" t="s">
        <v>940</v>
      </c>
      <c r="B6117" t="str">
        <f>ADDRESS(ROW('Loan 1'!$C$31),COLUMN('Loan 1'!$C$31),4)</f>
        <v>C31</v>
      </c>
      <c r="C6117" t="str">
        <f>ADDRESS(ROW('Loan 1'!$D$31),COLUMN('Loan 1'!$D$31),4)</f>
        <v>D31</v>
      </c>
      <c r="D6117" t="b" cm="1">
        <f t="array" aca="1" ref="D6117" ca="1">IF(INDIRECT("'"&amp;A6117&amp;"'!"&amp;B6117)="",FALSE,IF(NOT(ISNUMBER(INDIRECT("'"&amp;A6117&amp;"'!"&amp;B6117))),TRUE,FALSE))</f>
        <v>0</v>
      </c>
      <c r="E6117" t="s">
        <v>435</v>
      </c>
      <c r="F6117" t="str">
        <f>INDEX(Lists!I:I,MATCH(Validation!E6117,Lists!G:G,0))</f>
        <v>Error</v>
      </c>
      <c r="G6117" t="str">
        <f>INDEX(Lists!H:H,MATCH(Validation!E6117,Lists!G:G,0))</f>
        <v>Enter an amount only. Do not enter text or spaces.</v>
      </c>
      <c r="H6117" s="16" t="str">
        <f t="shared" ca="1" si="675"/>
        <v/>
      </c>
      <c r="I6117" s="16" t="str">
        <f t="shared" ca="1" si="676"/>
        <v/>
      </c>
      <c r="J6117" s="17" t="str">
        <f t="shared" ca="1" si="677"/>
        <v/>
      </c>
    </row>
    <row r="6118" spans="1:10" x14ac:dyDescent="0.25">
      <c r="A6118" t="s">
        <v>941</v>
      </c>
      <c r="B6118" t="str">
        <f>ADDRESS(ROW('Loan 1'!$C$31),COLUMN('Loan 1'!$C$31),4)</f>
        <v>C31</v>
      </c>
      <c r="C6118" t="str">
        <f>ADDRESS(ROW('Loan 1'!$D$31),COLUMN('Loan 1'!$D$31),4)</f>
        <v>D31</v>
      </c>
      <c r="D6118" t="b" cm="1">
        <f t="array" aca="1" ref="D6118" ca="1">IF(INDIRECT("'"&amp;A6118&amp;"'!"&amp;B6118)="",FALSE,IF(NOT(ISNUMBER(INDIRECT("'"&amp;A6118&amp;"'!"&amp;B6118))),TRUE,FALSE))</f>
        <v>0</v>
      </c>
      <c r="E6118" t="s">
        <v>435</v>
      </c>
      <c r="F6118" t="str">
        <f>INDEX(Lists!I:I,MATCH(Validation!E6118,Lists!G:G,0))</f>
        <v>Error</v>
      </c>
      <c r="G6118" t="str">
        <f>INDEX(Lists!H:H,MATCH(Validation!E6118,Lists!G:G,0))</f>
        <v>Enter an amount only. Do not enter text or spaces.</v>
      </c>
      <c r="H6118" s="16" t="str">
        <f t="shared" ca="1" si="675"/>
        <v/>
      </c>
      <c r="I6118" s="16" t="str">
        <f t="shared" ca="1" si="676"/>
        <v/>
      </c>
      <c r="J6118" s="17" t="str">
        <f t="shared" ca="1" si="677"/>
        <v/>
      </c>
    </row>
    <row r="6119" spans="1:10" x14ac:dyDescent="0.25">
      <c r="A6119" t="s">
        <v>942</v>
      </c>
      <c r="B6119" t="str">
        <f>ADDRESS(ROW('Loan 1'!$C$31),COLUMN('Loan 1'!$C$31),4)</f>
        <v>C31</v>
      </c>
      <c r="C6119" t="str">
        <f>ADDRESS(ROW('Loan 1'!$D$31),COLUMN('Loan 1'!$D$31),4)</f>
        <v>D31</v>
      </c>
      <c r="D6119" t="b" cm="1">
        <f t="array" aca="1" ref="D6119" ca="1">IF(INDIRECT("'"&amp;A6119&amp;"'!"&amp;B6119)="",FALSE,IF(NOT(ISNUMBER(INDIRECT("'"&amp;A6119&amp;"'!"&amp;B6119))),TRUE,FALSE))</f>
        <v>0</v>
      </c>
      <c r="E6119" t="s">
        <v>435</v>
      </c>
      <c r="F6119" t="str">
        <f>INDEX(Lists!I:I,MATCH(Validation!E6119,Lists!G:G,0))</f>
        <v>Error</v>
      </c>
      <c r="G6119" t="str">
        <f>INDEX(Lists!H:H,MATCH(Validation!E6119,Lists!G:G,0))</f>
        <v>Enter an amount only. Do not enter text or spaces.</v>
      </c>
      <c r="H6119" s="16" t="str">
        <f t="shared" ca="1" si="675"/>
        <v/>
      </c>
      <c r="I6119" s="16" t="str">
        <f t="shared" ca="1" si="676"/>
        <v/>
      </c>
      <c r="J6119" s="17" t="str">
        <f t="shared" ca="1" si="677"/>
        <v/>
      </c>
    </row>
    <row r="6120" spans="1:10" x14ac:dyDescent="0.25">
      <c r="A6120" t="s">
        <v>943</v>
      </c>
      <c r="B6120" t="str">
        <f>ADDRESS(ROW('Loan 1'!$C$31),COLUMN('Loan 1'!$C$31),4)</f>
        <v>C31</v>
      </c>
      <c r="C6120" t="str">
        <f>ADDRESS(ROW('Loan 1'!$D$31),COLUMN('Loan 1'!$D$31),4)</f>
        <v>D31</v>
      </c>
      <c r="D6120" t="b" cm="1">
        <f t="array" aca="1" ref="D6120" ca="1">IF(INDIRECT("'"&amp;A6120&amp;"'!"&amp;B6120)="",FALSE,IF(NOT(ISNUMBER(INDIRECT("'"&amp;A6120&amp;"'!"&amp;B6120))),TRUE,FALSE))</f>
        <v>0</v>
      </c>
      <c r="E6120" t="s">
        <v>435</v>
      </c>
      <c r="F6120" t="str">
        <f>INDEX(Lists!I:I,MATCH(Validation!E6120,Lists!G:G,0))</f>
        <v>Error</v>
      </c>
      <c r="G6120" t="str">
        <f>INDEX(Lists!H:H,MATCH(Validation!E6120,Lists!G:G,0))</f>
        <v>Enter an amount only. Do not enter text or spaces.</v>
      </c>
      <c r="H6120" s="16" t="str">
        <f t="shared" ca="1" si="675"/>
        <v/>
      </c>
      <c r="I6120" s="16" t="str">
        <f t="shared" ca="1" si="676"/>
        <v/>
      </c>
      <c r="J6120" s="17" t="str">
        <f t="shared" ca="1" si="677"/>
        <v/>
      </c>
    </row>
    <row r="6121" spans="1:10" x14ac:dyDescent="0.25">
      <c r="A6121" t="s">
        <v>944</v>
      </c>
      <c r="B6121" t="str">
        <f>ADDRESS(ROW('Loan 1'!$C$31),COLUMN('Loan 1'!$C$31),4)</f>
        <v>C31</v>
      </c>
      <c r="C6121" t="str">
        <f>ADDRESS(ROW('Loan 1'!$D$31),COLUMN('Loan 1'!$D$31),4)</f>
        <v>D31</v>
      </c>
      <c r="D6121" t="b" cm="1">
        <f t="array" aca="1" ref="D6121" ca="1">IF(INDIRECT("'"&amp;A6121&amp;"'!"&amp;B6121)="",FALSE,IF(NOT(ISNUMBER(INDIRECT("'"&amp;A6121&amp;"'!"&amp;B6121))),TRUE,FALSE))</f>
        <v>0</v>
      </c>
      <c r="E6121" t="s">
        <v>435</v>
      </c>
      <c r="F6121" t="str">
        <f>INDEX(Lists!I:I,MATCH(Validation!E6121,Lists!G:G,0))</f>
        <v>Error</v>
      </c>
      <c r="G6121" t="str">
        <f>INDEX(Lists!H:H,MATCH(Validation!E6121,Lists!G:G,0))</f>
        <v>Enter an amount only. Do not enter text or spaces.</v>
      </c>
      <c r="H6121" s="16" t="str">
        <f t="shared" ca="1" si="675"/>
        <v/>
      </c>
      <c r="I6121" s="16" t="str">
        <f t="shared" ca="1" si="676"/>
        <v/>
      </c>
      <c r="J6121" s="17" t="str">
        <f t="shared" ca="1" si="677"/>
        <v/>
      </c>
    </row>
    <row r="6122" spans="1:10" x14ac:dyDescent="0.25">
      <c r="A6122" t="s">
        <v>945</v>
      </c>
      <c r="B6122" t="str">
        <f>ADDRESS(ROW('Loan 1'!$C$31),COLUMN('Loan 1'!$C$31),4)</f>
        <v>C31</v>
      </c>
      <c r="C6122" t="str">
        <f>ADDRESS(ROW('Loan 1'!$D$31),COLUMN('Loan 1'!$D$31),4)</f>
        <v>D31</v>
      </c>
      <c r="D6122" t="b" cm="1">
        <f t="array" aca="1" ref="D6122" ca="1">IF(INDIRECT("'"&amp;A6122&amp;"'!"&amp;B6122)="",FALSE,IF(NOT(ISNUMBER(INDIRECT("'"&amp;A6122&amp;"'!"&amp;B6122))),TRUE,FALSE))</f>
        <v>0</v>
      </c>
      <c r="E6122" t="s">
        <v>435</v>
      </c>
      <c r="F6122" t="str">
        <f>INDEX(Lists!I:I,MATCH(Validation!E6122,Lists!G:G,0))</f>
        <v>Error</v>
      </c>
      <c r="G6122" t="str">
        <f>INDEX(Lists!H:H,MATCH(Validation!E6122,Lists!G:G,0))</f>
        <v>Enter an amount only. Do not enter text or spaces.</v>
      </c>
      <c r="H6122" s="16" t="str">
        <f t="shared" ca="1" si="675"/>
        <v/>
      </c>
      <c r="I6122" s="16" t="str">
        <f t="shared" ca="1" si="676"/>
        <v/>
      </c>
      <c r="J6122" s="17" t="str">
        <f t="shared" ca="1" si="677"/>
        <v/>
      </c>
    </row>
    <row r="6123" spans="1:10" x14ac:dyDescent="0.25">
      <c r="A6123" t="s">
        <v>205</v>
      </c>
      <c r="B6123" t="str">
        <f>ADDRESS(ROW('Loan 1'!$C$31),COLUMN('Loan 1'!$C$31),4)</f>
        <v>C31</v>
      </c>
      <c r="C6123" t="str">
        <f>ADDRESS(ROW('Loan 1'!$D$31),COLUMN('Loan 1'!$D$31),4)</f>
        <v>D31</v>
      </c>
      <c r="D6123" t="b" cm="1">
        <f t="array" aca="1" ref="D6123" ca="1">IF(INDIRECT("'"&amp;A6123&amp;"'!"&amp;B6123)="",FALSE,IF(INDIRECT("'"&amp;A6123&amp;"'!"&amp;B6123)&lt;0,TRUE,FALSE))</f>
        <v>0</v>
      </c>
      <c r="E6123" t="s">
        <v>434</v>
      </c>
      <c r="F6123" t="str">
        <f>INDEX(Lists!I:I,MATCH(Validation!E6123,Lists!G:G,0))</f>
        <v>Error</v>
      </c>
      <c r="G6123" t="str">
        <f>INDEX(Lists!H:H,MATCH(Validation!E6123,Lists!G:G,0))</f>
        <v>Amount may not be negative. Enter an amount greater than or equal to zero.</v>
      </c>
      <c r="H6123" s="16" t="str">
        <f ca="1">IFERROR(IF(OR(NOT(D6123),F6123&lt;&gt;"Error"),"",A6123&amp;CELL("address",INDIRECT(B6123))),"")</f>
        <v/>
      </c>
      <c r="I6123" s="16" t="str">
        <f ca="1">IFERROR(IF(NOT(D6123),"",A6123&amp;CELL("address",INDIRECT(C6123))),"")</f>
        <v/>
      </c>
      <c r="J6123" s="17" t="str">
        <f ca="1">IFERROR(IF(NOT(D6123),"",A6123),"")</f>
        <v/>
      </c>
    </row>
    <row r="6124" spans="1:10" x14ac:dyDescent="0.25">
      <c r="A6124" t="s">
        <v>932</v>
      </c>
      <c r="B6124" t="str">
        <f>ADDRESS(ROW('Loan 1'!$C$31),COLUMN('Loan 1'!$C$31),4)</f>
        <v>C31</v>
      </c>
      <c r="C6124" t="str">
        <f>ADDRESS(ROW('Loan 1'!$D$31),COLUMN('Loan 1'!$D$31),4)</f>
        <v>D31</v>
      </c>
      <c r="D6124" t="b" cm="1">
        <f t="array" aca="1" ref="D6124" ca="1">IF(INDIRECT("'"&amp;A6124&amp;"'!"&amp;B6124)="",FALSE,IF(INDIRECT("'"&amp;A6124&amp;"'!"&amp;B6124)&lt;0,TRUE,FALSE))</f>
        <v>0</v>
      </c>
      <c r="E6124" t="s">
        <v>434</v>
      </c>
      <c r="F6124" t="str">
        <f>INDEX(Lists!I:I,MATCH(Validation!E6124,Lists!G:G,0))</f>
        <v>Error</v>
      </c>
      <c r="G6124" t="str">
        <f>INDEX(Lists!H:H,MATCH(Validation!E6124,Lists!G:G,0))</f>
        <v>Amount may not be negative. Enter an amount greater than or equal to zero.</v>
      </c>
      <c r="H6124" s="16" t="str">
        <f t="shared" ref="H6124:H6152" ca="1" si="678">IFERROR(IF(OR(NOT(D6124),F6124&lt;&gt;"Error"),"",A6124&amp;CELL("address",INDIRECT(B6124))),"")</f>
        <v/>
      </c>
      <c r="I6124" s="16" t="str">
        <f t="shared" ref="I6124:I6152" ca="1" si="679">IFERROR(IF(NOT(D6124),"",A6124&amp;CELL("address",INDIRECT(C6124))),"")</f>
        <v/>
      </c>
      <c r="J6124" s="17" t="str">
        <f t="shared" ref="J6124:J6152" ca="1" si="680">IFERROR(IF(NOT(D6124),"",A6124),"")</f>
        <v/>
      </c>
    </row>
    <row r="6125" spans="1:10" x14ac:dyDescent="0.25">
      <c r="A6125" t="s">
        <v>933</v>
      </c>
      <c r="B6125" t="str">
        <f>ADDRESS(ROW('Loan 1'!$C$31),COLUMN('Loan 1'!$C$31),4)</f>
        <v>C31</v>
      </c>
      <c r="C6125" t="str">
        <f>ADDRESS(ROW('Loan 1'!$D$31),COLUMN('Loan 1'!$D$31),4)</f>
        <v>D31</v>
      </c>
      <c r="D6125" t="b" cm="1">
        <f t="array" aca="1" ref="D6125" ca="1">IF(INDIRECT("'"&amp;A6125&amp;"'!"&amp;B6125)="",FALSE,IF(INDIRECT("'"&amp;A6125&amp;"'!"&amp;B6125)&lt;0,TRUE,FALSE))</f>
        <v>0</v>
      </c>
      <c r="E6125" t="s">
        <v>434</v>
      </c>
      <c r="F6125" t="str">
        <f>INDEX(Lists!I:I,MATCH(Validation!E6125,Lists!G:G,0))</f>
        <v>Error</v>
      </c>
      <c r="G6125" t="str">
        <f>INDEX(Lists!H:H,MATCH(Validation!E6125,Lists!G:G,0))</f>
        <v>Amount may not be negative. Enter an amount greater than or equal to zero.</v>
      </c>
      <c r="H6125" s="16" t="str">
        <f t="shared" ca="1" si="678"/>
        <v/>
      </c>
      <c r="I6125" s="16" t="str">
        <f t="shared" ca="1" si="679"/>
        <v/>
      </c>
      <c r="J6125" s="17" t="str">
        <f t="shared" ca="1" si="680"/>
        <v/>
      </c>
    </row>
    <row r="6126" spans="1:10" x14ac:dyDescent="0.25">
      <c r="A6126" t="s">
        <v>934</v>
      </c>
      <c r="B6126" t="str">
        <f>ADDRESS(ROW('Loan 1'!$C$31),COLUMN('Loan 1'!$C$31),4)</f>
        <v>C31</v>
      </c>
      <c r="C6126" t="str">
        <f>ADDRESS(ROW('Loan 1'!$D$31),COLUMN('Loan 1'!$D$31),4)</f>
        <v>D31</v>
      </c>
      <c r="D6126" t="b" cm="1">
        <f t="array" aca="1" ref="D6126" ca="1">IF(INDIRECT("'"&amp;A6126&amp;"'!"&amp;B6126)="",FALSE,IF(INDIRECT("'"&amp;A6126&amp;"'!"&amp;B6126)&lt;0,TRUE,FALSE))</f>
        <v>0</v>
      </c>
      <c r="E6126" t="s">
        <v>434</v>
      </c>
      <c r="F6126" t="str">
        <f>INDEX(Lists!I:I,MATCH(Validation!E6126,Lists!G:G,0))</f>
        <v>Error</v>
      </c>
      <c r="G6126" t="str">
        <f>INDEX(Lists!H:H,MATCH(Validation!E6126,Lists!G:G,0))</f>
        <v>Amount may not be negative. Enter an amount greater than or equal to zero.</v>
      </c>
      <c r="H6126" s="16" t="str">
        <f t="shared" ca="1" si="678"/>
        <v/>
      </c>
      <c r="I6126" s="16" t="str">
        <f t="shared" ca="1" si="679"/>
        <v/>
      </c>
      <c r="J6126" s="17" t="str">
        <f t="shared" ca="1" si="680"/>
        <v/>
      </c>
    </row>
    <row r="6127" spans="1:10" x14ac:dyDescent="0.25">
      <c r="A6127" t="s">
        <v>935</v>
      </c>
      <c r="B6127" t="str">
        <f>ADDRESS(ROW('Loan 1'!$C$31),COLUMN('Loan 1'!$C$31),4)</f>
        <v>C31</v>
      </c>
      <c r="C6127" t="str">
        <f>ADDRESS(ROW('Loan 1'!$D$31),COLUMN('Loan 1'!$D$31),4)</f>
        <v>D31</v>
      </c>
      <c r="D6127" t="b" cm="1">
        <f t="array" aca="1" ref="D6127" ca="1">IF(INDIRECT("'"&amp;A6127&amp;"'!"&amp;B6127)="",FALSE,IF(INDIRECT("'"&amp;A6127&amp;"'!"&amp;B6127)&lt;0,TRUE,FALSE))</f>
        <v>0</v>
      </c>
      <c r="E6127" t="s">
        <v>434</v>
      </c>
      <c r="F6127" t="str">
        <f>INDEX(Lists!I:I,MATCH(Validation!E6127,Lists!G:G,0))</f>
        <v>Error</v>
      </c>
      <c r="G6127" t="str">
        <f>INDEX(Lists!H:H,MATCH(Validation!E6127,Lists!G:G,0))</f>
        <v>Amount may not be negative. Enter an amount greater than or equal to zero.</v>
      </c>
      <c r="H6127" s="16" t="str">
        <f t="shared" ca="1" si="678"/>
        <v/>
      </c>
      <c r="I6127" s="16" t="str">
        <f t="shared" ca="1" si="679"/>
        <v/>
      </c>
      <c r="J6127" s="17" t="str">
        <f t="shared" ca="1" si="680"/>
        <v/>
      </c>
    </row>
    <row r="6128" spans="1:10" x14ac:dyDescent="0.25">
      <c r="A6128" t="s">
        <v>936</v>
      </c>
      <c r="B6128" t="str">
        <f>ADDRESS(ROW('Loan 1'!$C$31),COLUMN('Loan 1'!$C$31),4)</f>
        <v>C31</v>
      </c>
      <c r="C6128" t="str">
        <f>ADDRESS(ROW('Loan 1'!$D$31),COLUMN('Loan 1'!$D$31),4)</f>
        <v>D31</v>
      </c>
      <c r="D6128" t="b" cm="1">
        <f t="array" aca="1" ref="D6128" ca="1">IF(INDIRECT("'"&amp;A6128&amp;"'!"&amp;B6128)="",FALSE,IF(INDIRECT("'"&amp;A6128&amp;"'!"&amp;B6128)&lt;0,TRUE,FALSE))</f>
        <v>0</v>
      </c>
      <c r="E6128" t="s">
        <v>434</v>
      </c>
      <c r="F6128" t="str">
        <f>INDEX(Lists!I:I,MATCH(Validation!E6128,Lists!G:G,0))</f>
        <v>Error</v>
      </c>
      <c r="G6128" t="str">
        <f>INDEX(Lists!H:H,MATCH(Validation!E6128,Lists!G:G,0))</f>
        <v>Amount may not be negative. Enter an amount greater than or equal to zero.</v>
      </c>
      <c r="H6128" s="16" t="str">
        <f t="shared" ca="1" si="678"/>
        <v/>
      </c>
      <c r="I6128" s="16" t="str">
        <f t="shared" ca="1" si="679"/>
        <v/>
      </c>
      <c r="J6128" s="17" t="str">
        <f t="shared" ca="1" si="680"/>
        <v/>
      </c>
    </row>
    <row r="6129" spans="1:10" x14ac:dyDescent="0.25">
      <c r="A6129" t="s">
        <v>937</v>
      </c>
      <c r="B6129" t="str">
        <f>ADDRESS(ROW('Loan 1'!$C$31),COLUMN('Loan 1'!$C$31),4)</f>
        <v>C31</v>
      </c>
      <c r="C6129" t="str">
        <f>ADDRESS(ROW('Loan 1'!$D$31),COLUMN('Loan 1'!$D$31),4)</f>
        <v>D31</v>
      </c>
      <c r="D6129" t="b" cm="1">
        <f t="array" aca="1" ref="D6129" ca="1">IF(INDIRECT("'"&amp;A6129&amp;"'!"&amp;B6129)="",FALSE,IF(INDIRECT("'"&amp;A6129&amp;"'!"&amp;B6129)&lt;0,TRUE,FALSE))</f>
        <v>0</v>
      </c>
      <c r="E6129" t="s">
        <v>434</v>
      </c>
      <c r="F6129" t="str">
        <f>INDEX(Lists!I:I,MATCH(Validation!E6129,Lists!G:G,0))</f>
        <v>Error</v>
      </c>
      <c r="G6129" t="str">
        <f>INDEX(Lists!H:H,MATCH(Validation!E6129,Lists!G:G,0))</f>
        <v>Amount may not be negative. Enter an amount greater than or equal to zero.</v>
      </c>
      <c r="H6129" s="16" t="str">
        <f t="shared" ca="1" si="678"/>
        <v/>
      </c>
      <c r="I6129" s="16" t="str">
        <f t="shared" ca="1" si="679"/>
        <v/>
      </c>
      <c r="J6129" s="17" t="str">
        <f t="shared" ca="1" si="680"/>
        <v/>
      </c>
    </row>
    <row r="6130" spans="1:10" x14ac:dyDescent="0.25">
      <c r="A6130" t="s">
        <v>938</v>
      </c>
      <c r="B6130" t="str">
        <f>ADDRESS(ROW('Loan 1'!$C$31),COLUMN('Loan 1'!$C$31),4)</f>
        <v>C31</v>
      </c>
      <c r="C6130" t="str">
        <f>ADDRESS(ROW('Loan 1'!$D$31),COLUMN('Loan 1'!$D$31),4)</f>
        <v>D31</v>
      </c>
      <c r="D6130" t="b" cm="1">
        <f t="array" aca="1" ref="D6130" ca="1">IF(INDIRECT("'"&amp;A6130&amp;"'!"&amp;B6130)="",FALSE,IF(INDIRECT("'"&amp;A6130&amp;"'!"&amp;B6130)&lt;0,TRUE,FALSE))</f>
        <v>0</v>
      </c>
      <c r="E6130" t="s">
        <v>434</v>
      </c>
      <c r="F6130" t="str">
        <f>INDEX(Lists!I:I,MATCH(Validation!E6130,Lists!G:G,0))</f>
        <v>Error</v>
      </c>
      <c r="G6130" t="str">
        <f>INDEX(Lists!H:H,MATCH(Validation!E6130,Lists!G:G,0))</f>
        <v>Amount may not be negative. Enter an amount greater than or equal to zero.</v>
      </c>
      <c r="H6130" s="16" t="str">
        <f t="shared" ca="1" si="678"/>
        <v/>
      </c>
      <c r="I6130" s="16" t="str">
        <f t="shared" ca="1" si="679"/>
        <v/>
      </c>
      <c r="J6130" s="17" t="str">
        <f t="shared" ca="1" si="680"/>
        <v/>
      </c>
    </row>
    <row r="6131" spans="1:10" x14ac:dyDescent="0.25">
      <c r="A6131" t="s">
        <v>939</v>
      </c>
      <c r="B6131" t="str">
        <f>ADDRESS(ROW('Loan 1'!$C$31),COLUMN('Loan 1'!$C$31),4)</f>
        <v>C31</v>
      </c>
      <c r="C6131" t="str">
        <f>ADDRESS(ROW('Loan 1'!$D$31),COLUMN('Loan 1'!$D$31),4)</f>
        <v>D31</v>
      </c>
      <c r="D6131" t="b" cm="1">
        <f t="array" aca="1" ref="D6131" ca="1">IF(INDIRECT("'"&amp;A6131&amp;"'!"&amp;B6131)="",FALSE,IF(INDIRECT("'"&amp;A6131&amp;"'!"&amp;B6131)&lt;0,TRUE,FALSE))</f>
        <v>0</v>
      </c>
      <c r="E6131" t="s">
        <v>434</v>
      </c>
      <c r="F6131" t="str">
        <f>INDEX(Lists!I:I,MATCH(Validation!E6131,Lists!G:G,0))</f>
        <v>Error</v>
      </c>
      <c r="G6131" t="str">
        <f>INDEX(Lists!H:H,MATCH(Validation!E6131,Lists!G:G,0))</f>
        <v>Amount may not be negative. Enter an amount greater than or equal to zero.</v>
      </c>
      <c r="H6131" s="16" t="str">
        <f t="shared" ca="1" si="678"/>
        <v/>
      </c>
      <c r="I6131" s="16" t="str">
        <f t="shared" ca="1" si="679"/>
        <v/>
      </c>
      <c r="J6131" s="17" t="str">
        <f t="shared" ca="1" si="680"/>
        <v/>
      </c>
    </row>
    <row r="6132" spans="1:10" x14ac:dyDescent="0.25">
      <c r="A6132" t="s">
        <v>940</v>
      </c>
      <c r="B6132" t="str">
        <f>ADDRESS(ROW('Loan 1'!$C$31),COLUMN('Loan 1'!$C$31),4)</f>
        <v>C31</v>
      </c>
      <c r="C6132" t="str">
        <f>ADDRESS(ROW('Loan 1'!$D$31),COLUMN('Loan 1'!$D$31),4)</f>
        <v>D31</v>
      </c>
      <c r="D6132" t="b" cm="1">
        <f t="array" aca="1" ref="D6132" ca="1">IF(INDIRECT("'"&amp;A6132&amp;"'!"&amp;B6132)="",FALSE,IF(INDIRECT("'"&amp;A6132&amp;"'!"&amp;B6132)&lt;0,TRUE,FALSE))</f>
        <v>0</v>
      </c>
      <c r="E6132" t="s">
        <v>434</v>
      </c>
      <c r="F6132" t="str">
        <f>INDEX(Lists!I:I,MATCH(Validation!E6132,Lists!G:G,0))</f>
        <v>Error</v>
      </c>
      <c r="G6132" t="str">
        <f>INDEX(Lists!H:H,MATCH(Validation!E6132,Lists!G:G,0))</f>
        <v>Amount may not be negative. Enter an amount greater than or equal to zero.</v>
      </c>
      <c r="H6132" s="16" t="str">
        <f t="shared" ca="1" si="678"/>
        <v/>
      </c>
      <c r="I6132" s="16" t="str">
        <f t="shared" ca="1" si="679"/>
        <v/>
      </c>
      <c r="J6132" s="17" t="str">
        <f t="shared" ca="1" si="680"/>
        <v/>
      </c>
    </row>
    <row r="6133" spans="1:10" x14ac:dyDescent="0.25">
      <c r="A6133" t="s">
        <v>941</v>
      </c>
      <c r="B6133" t="str">
        <f>ADDRESS(ROW('Loan 1'!$C$31),COLUMN('Loan 1'!$C$31),4)</f>
        <v>C31</v>
      </c>
      <c r="C6133" t="str">
        <f>ADDRESS(ROW('Loan 1'!$D$31),COLUMN('Loan 1'!$D$31),4)</f>
        <v>D31</v>
      </c>
      <c r="D6133" t="b" cm="1">
        <f t="array" aca="1" ref="D6133" ca="1">IF(INDIRECT("'"&amp;A6133&amp;"'!"&amp;B6133)="",FALSE,IF(INDIRECT("'"&amp;A6133&amp;"'!"&amp;B6133)&lt;0,TRUE,FALSE))</f>
        <v>0</v>
      </c>
      <c r="E6133" t="s">
        <v>434</v>
      </c>
      <c r="F6133" t="str">
        <f>INDEX(Lists!I:I,MATCH(Validation!E6133,Lists!G:G,0))</f>
        <v>Error</v>
      </c>
      <c r="G6133" t="str">
        <f>INDEX(Lists!H:H,MATCH(Validation!E6133,Lists!G:G,0))</f>
        <v>Amount may not be negative. Enter an amount greater than or equal to zero.</v>
      </c>
      <c r="H6133" s="16" t="str">
        <f t="shared" ca="1" si="678"/>
        <v/>
      </c>
      <c r="I6133" s="16" t="str">
        <f t="shared" ca="1" si="679"/>
        <v/>
      </c>
      <c r="J6133" s="17" t="str">
        <f t="shared" ca="1" si="680"/>
        <v/>
      </c>
    </row>
    <row r="6134" spans="1:10" x14ac:dyDescent="0.25">
      <c r="A6134" t="s">
        <v>942</v>
      </c>
      <c r="B6134" t="str">
        <f>ADDRESS(ROW('Loan 1'!$C$31),COLUMN('Loan 1'!$C$31),4)</f>
        <v>C31</v>
      </c>
      <c r="C6134" t="str">
        <f>ADDRESS(ROW('Loan 1'!$D$31),COLUMN('Loan 1'!$D$31),4)</f>
        <v>D31</v>
      </c>
      <c r="D6134" t="b" cm="1">
        <f t="array" aca="1" ref="D6134" ca="1">IF(INDIRECT("'"&amp;A6134&amp;"'!"&amp;B6134)="",FALSE,IF(INDIRECT("'"&amp;A6134&amp;"'!"&amp;B6134)&lt;0,TRUE,FALSE))</f>
        <v>0</v>
      </c>
      <c r="E6134" t="s">
        <v>434</v>
      </c>
      <c r="F6134" t="str">
        <f>INDEX(Lists!I:I,MATCH(Validation!E6134,Lists!G:G,0))</f>
        <v>Error</v>
      </c>
      <c r="G6134" t="str">
        <f>INDEX(Lists!H:H,MATCH(Validation!E6134,Lists!G:G,0))</f>
        <v>Amount may not be negative. Enter an amount greater than or equal to zero.</v>
      </c>
      <c r="H6134" s="16" t="str">
        <f t="shared" ca="1" si="678"/>
        <v/>
      </c>
      <c r="I6134" s="16" t="str">
        <f t="shared" ca="1" si="679"/>
        <v/>
      </c>
      <c r="J6134" s="17" t="str">
        <f t="shared" ca="1" si="680"/>
        <v/>
      </c>
    </row>
    <row r="6135" spans="1:10" x14ac:dyDescent="0.25">
      <c r="A6135" t="s">
        <v>943</v>
      </c>
      <c r="B6135" t="str">
        <f>ADDRESS(ROW('Loan 1'!$C$31),COLUMN('Loan 1'!$C$31),4)</f>
        <v>C31</v>
      </c>
      <c r="C6135" t="str">
        <f>ADDRESS(ROW('Loan 1'!$D$31),COLUMN('Loan 1'!$D$31),4)</f>
        <v>D31</v>
      </c>
      <c r="D6135" t="b" cm="1">
        <f t="array" aca="1" ref="D6135" ca="1">IF(INDIRECT("'"&amp;A6135&amp;"'!"&amp;B6135)="",FALSE,IF(INDIRECT("'"&amp;A6135&amp;"'!"&amp;B6135)&lt;0,TRUE,FALSE))</f>
        <v>0</v>
      </c>
      <c r="E6135" t="s">
        <v>434</v>
      </c>
      <c r="F6135" t="str">
        <f>INDEX(Lists!I:I,MATCH(Validation!E6135,Lists!G:G,0))</f>
        <v>Error</v>
      </c>
      <c r="G6135" t="str">
        <f>INDEX(Lists!H:H,MATCH(Validation!E6135,Lists!G:G,0))</f>
        <v>Amount may not be negative. Enter an amount greater than or equal to zero.</v>
      </c>
      <c r="H6135" s="16" t="str">
        <f t="shared" ca="1" si="678"/>
        <v/>
      </c>
      <c r="I6135" s="16" t="str">
        <f t="shared" ca="1" si="679"/>
        <v/>
      </c>
      <c r="J6135" s="17" t="str">
        <f t="shared" ca="1" si="680"/>
        <v/>
      </c>
    </row>
    <row r="6136" spans="1:10" x14ac:dyDescent="0.25">
      <c r="A6136" t="s">
        <v>944</v>
      </c>
      <c r="B6136" t="str">
        <f>ADDRESS(ROW('Loan 1'!$C$31),COLUMN('Loan 1'!$C$31),4)</f>
        <v>C31</v>
      </c>
      <c r="C6136" t="str">
        <f>ADDRESS(ROW('Loan 1'!$D$31),COLUMN('Loan 1'!$D$31),4)</f>
        <v>D31</v>
      </c>
      <c r="D6136" t="b" cm="1">
        <f t="array" aca="1" ref="D6136" ca="1">IF(INDIRECT("'"&amp;A6136&amp;"'!"&amp;B6136)="",FALSE,IF(INDIRECT("'"&amp;A6136&amp;"'!"&amp;B6136)&lt;0,TRUE,FALSE))</f>
        <v>0</v>
      </c>
      <c r="E6136" t="s">
        <v>434</v>
      </c>
      <c r="F6136" t="str">
        <f>INDEX(Lists!I:I,MATCH(Validation!E6136,Lists!G:G,0))</f>
        <v>Error</v>
      </c>
      <c r="G6136" t="str">
        <f>INDEX(Lists!H:H,MATCH(Validation!E6136,Lists!G:G,0))</f>
        <v>Amount may not be negative. Enter an amount greater than or equal to zero.</v>
      </c>
      <c r="H6136" s="16" t="str">
        <f t="shared" ca="1" si="678"/>
        <v/>
      </c>
      <c r="I6136" s="16" t="str">
        <f t="shared" ca="1" si="679"/>
        <v/>
      </c>
      <c r="J6136" s="17" t="str">
        <f t="shared" ca="1" si="680"/>
        <v/>
      </c>
    </row>
    <row r="6137" spans="1:10" x14ac:dyDescent="0.25">
      <c r="A6137" t="s">
        <v>945</v>
      </c>
      <c r="B6137" t="str">
        <f>ADDRESS(ROW('Loan 1'!$C$31),COLUMN('Loan 1'!$C$31),4)</f>
        <v>C31</v>
      </c>
      <c r="C6137" t="str">
        <f>ADDRESS(ROW('Loan 1'!$D$31),COLUMN('Loan 1'!$D$31),4)</f>
        <v>D31</v>
      </c>
      <c r="D6137" t="b" cm="1">
        <f t="array" aca="1" ref="D6137" ca="1">IF(INDIRECT("'"&amp;A6137&amp;"'!"&amp;B6137)="",FALSE,IF(INDIRECT("'"&amp;A6137&amp;"'!"&amp;B6137)&lt;0,TRUE,FALSE))</f>
        <v>0</v>
      </c>
      <c r="E6137" t="s">
        <v>434</v>
      </c>
      <c r="F6137" t="str">
        <f>INDEX(Lists!I:I,MATCH(Validation!E6137,Lists!G:G,0))</f>
        <v>Error</v>
      </c>
      <c r="G6137" t="str">
        <f>INDEX(Lists!H:H,MATCH(Validation!E6137,Lists!G:G,0))</f>
        <v>Amount may not be negative. Enter an amount greater than or equal to zero.</v>
      </c>
      <c r="H6137" s="16" t="str">
        <f t="shared" ca="1" si="678"/>
        <v/>
      </c>
      <c r="I6137" s="16" t="str">
        <f t="shared" ca="1" si="679"/>
        <v/>
      </c>
      <c r="J6137" s="17" t="str">
        <f t="shared" ca="1" si="680"/>
        <v/>
      </c>
    </row>
    <row r="6138" spans="1:10" x14ac:dyDescent="0.25">
      <c r="A6138" t="s">
        <v>205</v>
      </c>
      <c r="B6138" t="str">
        <f>ADDRESS(ROW('Loan 1'!$C$31),COLUMN('Loan 1'!$C$31),4)</f>
        <v>C31</v>
      </c>
      <c r="C6138" t="str">
        <f>ADDRESS(ROW('Loan 1'!$D$31),COLUMN('Loan 1'!$D$31),4)</f>
        <v>D31</v>
      </c>
      <c r="D6138" t="b" cm="1">
        <f t="array" aca="1" ref="D6138" ca="1">IF(INDIRECT("'"&amp;A6138&amp;"'!"&amp;B6138)="",FALSE,IF(TRUNC(INDIRECT("'"&amp;A6138&amp;"'!"&amp;B6138))=INDIRECT("'"&amp;A6138&amp;"'!"&amp;B6138),FALSE,TRUE))</f>
        <v>0</v>
      </c>
      <c r="E6138" t="s">
        <v>436</v>
      </c>
      <c r="F6138" t="str">
        <f>INDEX(Lists!I:I,MATCH(Validation!E6138,Lists!G:G,0))</f>
        <v>Error</v>
      </c>
      <c r="G6138" t="str">
        <f>INDEX(Lists!H:H,MATCH(Validation!E6138,Lists!G:G,0))</f>
        <v>Amount must be rounded to the nearest dollar.</v>
      </c>
      <c r="H6138" s="16" t="str">
        <f t="shared" ca="1" si="678"/>
        <v/>
      </c>
      <c r="I6138" s="16" t="str">
        <f t="shared" ca="1" si="679"/>
        <v/>
      </c>
      <c r="J6138" s="17" t="str">
        <f t="shared" ca="1" si="680"/>
        <v/>
      </c>
    </row>
    <row r="6139" spans="1:10" x14ac:dyDescent="0.25">
      <c r="A6139" t="s">
        <v>932</v>
      </c>
      <c r="B6139" t="str">
        <f>ADDRESS(ROW('Loan 1'!$C$31),COLUMN('Loan 1'!$C$31),4)</f>
        <v>C31</v>
      </c>
      <c r="C6139" t="str">
        <f>ADDRESS(ROW('Loan 1'!$D$31),COLUMN('Loan 1'!$D$31),4)</f>
        <v>D31</v>
      </c>
      <c r="D6139" t="b" cm="1">
        <f t="array" aca="1" ref="D6139" ca="1">IF(INDIRECT("'"&amp;A6139&amp;"'!"&amp;B6139)="",FALSE,IF(TRUNC(INDIRECT("'"&amp;A6139&amp;"'!"&amp;B6139))=INDIRECT("'"&amp;A6139&amp;"'!"&amp;B6139),FALSE,TRUE))</f>
        <v>0</v>
      </c>
      <c r="E6139" t="s">
        <v>436</v>
      </c>
      <c r="F6139" t="str">
        <f>INDEX(Lists!I:I,MATCH(Validation!E6139,Lists!G:G,0))</f>
        <v>Error</v>
      </c>
      <c r="G6139" t="str">
        <f>INDEX(Lists!H:H,MATCH(Validation!E6139,Lists!G:G,0))</f>
        <v>Amount must be rounded to the nearest dollar.</v>
      </c>
      <c r="H6139" s="16" t="str">
        <f t="shared" ca="1" si="678"/>
        <v/>
      </c>
      <c r="I6139" s="16" t="str">
        <f t="shared" ca="1" si="679"/>
        <v/>
      </c>
      <c r="J6139" s="17" t="str">
        <f t="shared" ca="1" si="680"/>
        <v/>
      </c>
    </row>
    <row r="6140" spans="1:10" x14ac:dyDescent="0.25">
      <c r="A6140" t="s">
        <v>933</v>
      </c>
      <c r="B6140" t="str">
        <f>ADDRESS(ROW('Loan 1'!$C$31),COLUMN('Loan 1'!$C$31),4)</f>
        <v>C31</v>
      </c>
      <c r="C6140" t="str">
        <f>ADDRESS(ROW('Loan 1'!$D$31),COLUMN('Loan 1'!$D$31),4)</f>
        <v>D31</v>
      </c>
      <c r="D6140" t="b" cm="1">
        <f t="array" aca="1" ref="D6140" ca="1">IF(INDIRECT("'"&amp;A6140&amp;"'!"&amp;B6140)="",FALSE,IF(TRUNC(INDIRECT("'"&amp;A6140&amp;"'!"&amp;B6140))=INDIRECT("'"&amp;A6140&amp;"'!"&amp;B6140),FALSE,TRUE))</f>
        <v>0</v>
      </c>
      <c r="E6140" t="s">
        <v>436</v>
      </c>
      <c r="F6140" t="str">
        <f>INDEX(Lists!I:I,MATCH(Validation!E6140,Lists!G:G,0))</f>
        <v>Error</v>
      </c>
      <c r="G6140" t="str">
        <f>INDEX(Lists!H:H,MATCH(Validation!E6140,Lists!G:G,0))</f>
        <v>Amount must be rounded to the nearest dollar.</v>
      </c>
      <c r="H6140" s="16" t="str">
        <f t="shared" ca="1" si="678"/>
        <v/>
      </c>
      <c r="I6140" s="16" t="str">
        <f t="shared" ca="1" si="679"/>
        <v/>
      </c>
      <c r="J6140" s="17" t="str">
        <f t="shared" ca="1" si="680"/>
        <v/>
      </c>
    </row>
    <row r="6141" spans="1:10" x14ac:dyDescent="0.25">
      <c r="A6141" t="s">
        <v>934</v>
      </c>
      <c r="B6141" t="str">
        <f>ADDRESS(ROW('Loan 1'!$C$31),COLUMN('Loan 1'!$C$31),4)</f>
        <v>C31</v>
      </c>
      <c r="C6141" t="str">
        <f>ADDRESS(ROW('Loan 1'!$D$31),COLUMN('Loan 1'!$D$31),4)</f>
        <v>D31</v>
      </c>
      <c r="D6141" t="b" cm="1">
        <f t="array" aca="1" ref="D6141" ca="1">IF(INDIRECT("'"&amp;A6141&amp;"'!"&amp;B6141)="",FALSE,IF(TRUNC(INDIRECT("'"&amp;A6141&amp;"'!"&amp;B6141))=INDIRECT("'"&amp;A6141&amp;"'!"&amp;B6141),FALSE,TRUE))</f>
        <v>0</v>
      </c>
      <c r="E6141" t="s">
        <v>436</v>
      </c>
      <c r="F6141" t="str">
        <f>INDEX(Lists!I:I,MATCH(Validation!E6141,Lists!G:G,0))</f>
        <v>Error</v>
      </c>
      <c r="G6141" t="str">
        <f>INDEX(Lists!H:H,MATCH(Validation!E6141,Lists!G:G,0))</f>
        <v>Amount must be rounded to the nearest dollar.</v>
      </c>
      <c r="H6141" s="16" t="str">
        <f t="shared" ca="1" si="678"/>
        <v/>
      </c>
      <c r="I6141" s="16" t="str">
        <f t="shared" ca="1" si="679"/>
        <v/>
      </c>
      <c r="J6141" s="17" t="str">
        <f t="shared" ca="1" si="680"/>
        <v/>
      </c>
    </row>
    <row r="6142" spans="1:10" x14ac:dyDescent="0.25">
      <c r="A6142" t="s">
        <v>935</v>
      </c>
      <c r="B6142" t="str">
        <f>ADDRESS(ROW('Loan 1'!$C$31),COLUMN('Loan 1'!$C$31),4)</f>
        <v>C31</v>
      </c>
      <c r="C6142" t="str">
        <f>ADDRESS(ROW('Loan 1'!$D$31),COLUMN('Loan 1'!$D$31),4)</f>
        <v>D31</v>
      </c>
      <c r="D6142" t="b" cm="1">
        <f t="array" aca="1" ref="D6142" ca="1">IF(INDIRECT("'"&amp;A6142&amp;"'!"&amp;B6142)="",FALSE,IF(TRUNC(INDIRECT("'"&amp;A6142&amp;"'!"&amp;B6142))=INDIRECT("'"&amp;A6142&amp;"'!"&amp;B6142),FALSE,TRUE))</f>
        <v>0</v>
      </c>
      <c r="E6142" t="s">
        <v>436</v>
      </c>
      <c r="F6142" t="str">
        <f>INDEX(Lists!I:I,MATCH(Validation!E6142,Lists!G:G,0))</f>
        <v>Error</v>
      </c>
      <c r="G6142" t="str">
        <f>INDEX(Lists!H:H,MATCH(Validation!E6142,Lists!G:G,0))</f>
        <v>Amount must be rounded to the nearest dollar.</v>
      </c>
      <c r="H6142" s="16" t="str">
        <f t="shared" ca="1" si="678"/>
        <v/>
      </c>
      <c r="I6142" s="16" t="str">
        <f t="shared" ca="1" si="679"/>
        <v/>
      </c>
      <c r="J6142" s="17" t="str">
        <f t="shared" ca="1" si="680"/>
        <v/>
      </c>
    </row>
    <row r="6143" spans="1:10" x14ac:dyDescent="0.25">
      <c r="A6143" t="s">
        <v>936</v>
      </c>
      <c r="B6143" t="str">
        <f>ADDRESS(ROW('Loan 1'!$C$31),COLUMN('Loan 1'!$C$31),4)</f>
        <v>C31</v>
      </c>
      <c r="C6143" t="str">
        <f>ADDRESS(ROW('Loan 1'!$D$31),COLUMN('Loan 1'!$D$31),4)</f>
        <v>D31</v>
      </c>
      <c r="D6143" t="b" cm="1">
        <f t="array" aca="1" ref="D6143" ca="1">IF(INDIRECT("'"&amp;A6143&amp;"'!"&amp;B6143)="",FALSE,IF(TRUNC(INDIRECT("'"&amp;A6143&amp;"'!"&amp;B6143))=INDIRECT("'"&amp;A6143&amp;"'!"&amp;B6143),FALSE,TRUE))</f>
        <v>0</v>
      </c>
      <c r="E6143" t="s">
        <v>436</v>
      </c>
      <c r="F6143" t="str">
        <f>INDEX(Lists!I:I,MATCH(Validation!E6143,Lists!G:G,0))</f>
        <v>Error</v>
      </c>
      <c r="G6143" t="str">
        <f>INDEX(Lists!H:H,MATCH(Validation!E6143,Lists!G:G,0))</f>
        <v>Amount must be rounded to the nearest dollar.</v>
      </c>
      <c r="H6143" s="16" t="str">
        <f t="shared" ca="1" si="678"/>
        <v/>
      </c>
      <c r="I6143" s="16" t="str">
        <f t="shared" ca="1" si="679"/>
        <v/>
      </c>
      <c r="J6143" s="17" t="str">
        <f t="shared" ca="1" si="680"/>
        <v/>
      </c>
    </row>
    <row r="6144" spans="1:10" x14ac:dyDescent="0.25">
      <c r="A6144" t="s">
        <v>937</v>
      </c>
      <c r="B6144" t="str">
        <f>ADDRESS(ROW('Loan 1'!$C$31),COLUMN('Loan 1'!$C$31),4)</f>
        <v>C31</v>
      </c>
      <c r="C6144" t="str">
        <f>ADDRESS(ROW('Loan 1'!$D$31),COLUMN('Loan 1'!$D$31),4)</f>
        <v>D31</v>
      </c>
      <c r="D6144" t="b" cm="1">
        <f t="array" aca="1" ref="D6144" ca="1">IF(INDIRECT("'"&amp;A6144&amp;"'!"&amp;B6144)="",FALSE,IF(TRUNC(INDIRECT("'"&amp;A6144&amp;"'!"&amp;B6144))=INDIRECT("'"&amp;A6144&amp;"'!"&amp;B6144),FALSE,TRUE))</f>
        <v>0</v>
      </c>
      <c r="E6144" t="s">
        <v>436</v>
      </c>
      <c r="F6144" t="str">
        <f>INDEX(Lists!I:I,MATCH(Validation!E6144,Lists!G:G,0))</f>
        <v>Error</v>
      </c>
      <c r="G6144" t="str">
        <f>INDEX(Lists!H:H,MATCH(Validation!E6144,Lists!G:G,0))</f>
        <v>Amount must be rounded to the nearest dollar.</v>
      </c>
      <c r="H6144" s="16" t="str">
        <f t="shared" ca="1" si="678"/>
        <v/>
      </c>
      <c r="I6144" s="16" t="str">
        <f t="shared" ca="1" si="679"/>
        <v/>
      </c>
      <c r="J6144" s="17" t="str">
        <f t="shared" ca="1" si="680"/>
        <v/>
      </c>
    </row>
    <row r="6145" spans="1:10" x14ac:dyDescent="0.25">
      <c r="A6145" t="s">
        <v>938</v>
      </c>
      <c r="B6145" t="str">
        <f>ADDRESS(ROW('Loan 1'!$C$31),COLUMN('Loan 1'!$C$31),4)</f>
        <v>C31</v>
      </c>
      <c r="C6145" t="str">
        <f>ADDRESS(ROW('Loan 1'!$D$31),COLUMN('Loan 1'!$D$31),4)</f>
        <v>D31</v>
      </c>
      <c r="D6145" t="b" cm="1">
        <f t="array" aca="1" ref="D6145" ca="1">IF(INDIRECT("'"&amp;A6145&amp;"'!"&amp;B6145)="",FALSE,IF(TRUNC(INDIRECT("'"&amp;A6145&amp;"'!"&amp;B6145))=INDIRECT("'"&amp;A6145&amp;"'!"&amp;B6145),FALSE,TRUE))</f>
        <v>0</v>
      </c>
      <c r="E6145" t="s">
        <v>436</v>
      </c>
      <c r="F6145" t="str">
        <f>INDEX(Lists!I:I,MATCH(Validation!E6145,Lists!G:G,0))</f>
        <v>Error</v>
      </c>
      <c r="G6145" t="str">
        <f>INDEX(Lists!H:H,MATCH(Validation!E6145,Lists!G:G,0))</f>
        <v>Amount must be rounded to the nearest dollar.</v>
      </c>
      <c r="H6145" s="16" t="str">
        <f t="shared" ca="1" si="678"/>
        <v/>
      </c>
      <c r="I6145" s="16" t="str">
        <f t="shared" ca="1" si="679"/>
        <v/>
      </c>
      <c r="J6145" s="17" t="str">
        <f t="shared" ca="1" si="680"/>
        <v/>
      </c>
    </row>
    <row r="6146" spans="1:10" x14ac:dyDescent="0.25">
      <c r="A6146" t="s">
        <v>939</v>
      </c>
      <c r="B6146" t="str">
        <f>ADDRESS(ROW('Loan 1'!$C$31),COLUMN('Loan 1'!$C$31),4)</f>
        <v>C31</v>
      </c>
      <c r="C6146" t="str">
        <f>ADDRESS(ROW('Loan 1'!$D$31),COLUMN('Loan 1'!$D$31),4)</f>
        <v>D31</v>
      </c>
      <c r="D6146" t="b" cm="1">
        <f t="array" aca="1" ref="D6146" ca="1">IF(INDIRECT("'"&amp;A6146&amp;"'!"&amp;B6146)="",FALSE,IF(TRUNC(INDIRECT("'"&amp;A6146&amp;"'!"&amp;B6146))=INDIRECT("'"&amp;A6146&amp;"'!"&amp;B6146),FALSE,TRUE))</f>
        <v>0</v>
      </c>
      <c r="E6146" t="s">
        <v>436</v>
      </c>
      <c r="F6146" t="str">
        <f>INDEX(Lists!I:I,MATCH(Validation!E6146,Lists!G:G,0))</f>
        <v>Error</v>
      </c>
      <c r="G6146" t="str">
        <f>INDEX(Lists!H:H,MATCH(Validation!E6146,Lists!G:G,0))</f>
        <v>Amount must be rounded to the nearest dollar.</v>
      </c>
      <c r="H6146" s="16" t="str">
        <f t="shared" ca="1" si="678"/>
        <v/>
      </c>
      <c r="I6146" s="16" t="str">
        <f t="shared" ca="1" si="679"/>
        <v/>
      </c>
      <c r="J6146" s="17" t="str">
        <f t="shared" ca="1" si="680"/>
        <v/>
      </c>
    </row>
    <row r="6147" spans="1:10" x14ac:dyDescent="0.25">
      <c r="A6147" t="s">
        <v>940</v>
      </c>
      <c r="B6147" t="str">
        <f>ADDRESS(ROW('Loan 1'!$C$31),COLUMN('Loan 1'!$C$31),4)</f>
        <v>C31</v>
      </c>
      <c r="C6147" t="str">
        <f>ADDRESS(ROW('Loan 1'!$D$31),COLUMN('Loan 1'!$D$31),4)</f>
        <v>D31</v>
      </c>
      <c r="D6147" t="b" cm="1">
        <f t="array" aca="1" ref="D6147" ca="1">IF(INDIRECT("'"&amp;A6147&amp;"'!"&amp;B6147)="",FALSE,IF(TRUNC(INDIRECT("'"&amp;A6147&amp;"'!"&amp;B6147))=INDIRECT("'"&amp;A6147&amp;"'!"&amp;B6147),FALSE,TRUE))</f>
        <v>0</v>
      </c>
      <c r="E6147" t="s">
        <v>436</v>
      </c>
      <c r="F6147" t="str">
        <f>INDEX(Lists!I:I,MATCH(Validation!E6147,Lists!G:G,0))</f>
        <v>Error</v>
      </c>
      <c r="G6147" t="str">
        <f>INDEX(Lists!H:H,MATCH(Validation!E6147,Lists!G:G,0))</f>
        <v>Amount must be rounded to the nearest dollar.</v>
      </c>
      <c r="H6147" s="16" t="str">
        <f t="shared" ca="1" si="678"/>
        <v/>
      </c>
      <c r="I6147" s="16" t="str">
        <f t="shared" ca="1" si="679"/>
        <v/>
      </c>
      <c r="J6147" s="17" t="str">
        <f t="shared" ca="1" si="680"/>
        <v/>
      </c>
    </row>
    <row r="6148" spans="1:10" x14ac:dyDescent="0.25">
      <c r="A6148" t="s">
        <v>941</v>
      </c>
      <c r="B6148" t="str">
        <f>ADDRESS(ROW('Loan 1'!$C$31),COLUMN('Loan 1'!$C$31),4)</f>
        <v>C31</v>
      </c>
      <c r="C6148" t="str">
        <f>ADDRESS(ROW('Loan 1'!$D$31),COLUMN('Loan 1'!$D$31),4)</f>
        <v>D31</v>
      </c>
      <c r="D6148" t="b" cm="1">
        <f t="array" aca="1" ref="D6148" ca="1">IF(INDIRECT("'"&amp;A6148&amp;"'!"&amp;B6148)="",FALSE,IF(TRUNC(INDIRECT("'"&amp;A6148&amp;"'!"&amp;B6148))=INDIRECT("'"&amp;A6148&amp;"'!"&amp;B6148),FALSE,TRUE))</f>
        <v>0</v>
      </c>
      <c r="E6148" t="s">
        <v>436</v>
      </c>
      <c r="F6148" t="str">
        <f>INDEX(Lists!I:I,MATCH(Validation!E6148,Lists!G:G,0))</f>
        <v>Error</v>
      </c>
      <c r="G6148" t="str">
        <f>INDEX(Lists!H:H,MATCH(Validation!E6148,Lists!G:G,0))</f>
        <v>Amount must be rounded to the nearest dollar.</v>
      </c>
      <c r="H6148" s="16" t="str">
        <f t="shared" ca="1" si="678"/>
        <v/>
      </c>
      <c r="I6148" s="16" t="str">
        <f t="shared" ca="1" si="679"/>
        <v/>
      </c>
      <c r="J6148" s="17" t="str">
        <f t="shared" ca="1" si="680"/>
        <v/>
      </c>
    </row>
    <row r="6149" spans="1:10" x14ac:dyDescent="0.25">
      <c r="A6149" t="s">
        <v>942</v>
      </c>
      <c r="B6149" t="str">
        <f>ADDRESS(ROW('Loan 1'!$C$31),COLUMN('Loan 1'!$C$31),4)</f>
        <v>C31</v>
      </c>
      <c r="C6149" t="str">
        <f>ADDRESS(ROW('Loan 1'!$D$31),COLUMN('Loan 1'!$D$31),4)</f>
        <v>D31</v>
      </c>
      <c r="D6149" t="b" cm="1">
        <f t="array" aca="1" ref="D6149" ca="1">IF(INDIRECT("'"&amp;A6149&amp;"'!"&amp;B6149)="",FALSE,IF(TRUNC(INDIRECT("'"&amp;A6149&amp;"'!"&amp;B6149))=INDIRECT("'"&amp;A6149&amp;"'!"&amp;B6149),FALSE,TRUE))</f>
        <v>0</v>
      </c>
      <c r="E6149" t="s">
        <v>436</v>
      </c>
      <c r="F6149" t="str">
        <f>INDEX(Lists!I:I,MATCH(Validation!E6149,Lists!G:G,0))</f>
        <v>Error</v>
      </c>
      <c r="G6149" t="str">
        <f>INDEX(Lists!H:H,MATCH(Validation!E6149,Lists!G:G,0))</f>
        <v>Amount must be rounded to the nearest dollar.</v>
      </c>
      <c r="H6149" s="16" t="str">
        <f t="shared" ca="1" si="678"/>
        <v/>
      </c>
      <c r="I6149" s="16" t="str">
        <f t="shared" ca="1" si="679"/>
        <v/>
      </c>
      <c r="J6149" s="17" t="str">
        <f t="shared" ca="1" si="680"/>
        <v/>
      </c>
    </row>
    <row r="6150" spans="1:10" x14ac:dyDescent="0.25">
      <c r="A6150" t="s">
        <v>943</v>
      </c>
      <c r="B6150" t="str">
        <f>ADDRESS(ROW('Loan 1'!$C$31),COLUMN('Loan 1'!$C$31),4)</f>
        <v>C31</v>
      </c>
      <c r="C6150" t="str">
        <f>ADDRESS(ROW('Loan 1'!$D$31),COLUMN('Loan 1'!$D$31),4)</f>
        <v>D31</v>
      </c>
      <c r="D6150" t="b" cm="1">
        <f t="array" aca="1" ref="D6150" ca="1">IF(INDIRECT("'"&amp;A6150&amp;"'!"&amp;B6150)="",FALSE,IF(TRUNC(INDIRECT("'"&amp;A6150&amp;"'!"&amp;B6150))=INDIRECT("'"&amp;A6150&amp;"'!"&amp;B6150),FALSE,TRUE))</f>
        <v>0</v>
      </c>
      <c r="E6150" t="s">
        <v>436</v>
      </c>
      <c r="F6150" t="str">
        <f>INDEX(Lists!I:I,MATCH(Validation!E6150,Lists!G:G,0))</f>
        <v>Error</v>
      </c>
      <c r="G6150" t="str">
        <f>INDEX(Lists!H:H,MATCH(Validation!E6150,Lists!G:G,0))</f>
        <v>Amount must be rounded to the nearest dollar.</v>
      </c>
      <c r="H6150" s="16" t="str">
        <f t="shared" ca="1" si="678"/>
        <v/>
      </c>
      <c r="I6150" s="16" t="str">
        <f t="shared" ca="1" si="679"/>
        <v/>
      </c>
      <c r="J6150" s="17" t="str">
        <f t="shared" ca="1" si="680"/>
        <v/>
      </c>
    </row>
    <row r="6151" spans="1:10" x14ac:dyDescent="0.25">
      <c r="A6151" t="s">
        <v>944</v>
      </c>
      <c r="B6151" t="str">
        <f>ADDRESS(ROW('Loan 1'!$C$31),COLUMN('Loan 1'!$C$31),4)</f>
        <v>C31</v>
      </c>
      <c r="C6151" t="str">
        <f>ADDRESS(ROW('Loan 1'!$D$31),COLUMN('Loan 1'!$D$31),4)</f>
        <v>D31</v>
      </c>
      <c r="D6151" t="b" cm="1">
        <f t="array" aca="1" ref="D6151" ca="1">IF(INDIRECT("'"&amp;A6151&amp;"'!"&amp;B6151)="",FALSE,IF(TRUNC(INDIRECT("'"&amp;A6151&amp;"'!"&amp;B6151))=INDIRECT("'"&amp;A6151&amp;"'!"&amp;B6151),FALSE,TRUE))</f>
        <v>0</v>
      </c>
      <c r="E6151" t="s">
        <v>436</v>
      </c>
      <c r="F6151" t="str">
        <f>INDEX(Lists!I:I,MATCH(Validation!E6151,Lists!G:G,0))</f>
        <v>Error</v>
      </c>
      <c r="G6151" t="str">
        <f>INDEX(Lists!H:H,MATCH(Validation!E6151,Lists!G:G,0))</f>
        <v>Amount must be rounded to the nearest dollar.</v>
      </c>
      <c r="H6151" s="16" t="str">
        <f t="shared" ca="1" si="678"/>
        <v/>
      </c>
      <c r="I6151" s="16" t="str">
        <f t="shared" ca="1" si="679"/>
        <v/>
      </c>
      <c r="J6151" s="17" t="str">
        <f t="shared" ca="1" si="680"/>
        <v/>
      </c>
    </row>
    <row r="6152" spans="1:10" x14ac:dyDescent="0.25">
      <c r="A6152" t="s">
        <v>945</v>
      </c>
      <c r="B6152" t="str">
        <f>ADDRESS(ROW('Loan 1'!$C$31),COLUMN('Loan 1'!$C$31),4)</f>
        <v>C31</v>
      </c>
      <c r="C6152" t="str">
        <f>ADDRESS(ROW('Loan 1'!$D$31),COLUMN('Loan 1'!$D$31),4)</f>
        <v>D31</v>
      </c>
      <c r="D6152" t="b" cm="1">
        <f t="array" aca="1" ref="D6152" ca="1">IF(INDIRECT("'"&amp;A6152&amp;"'!"&amp;B6152)="",FALSE,IF(TRUNC(INDIRECT("'"&amp;A6152&amp;"'!"&amp;B6152))=INDIRECT("'"&amp;A6152&amp;"'!"&amp;B6152),FALSE,TRUE))</f>
        <v>0</v>
      </c>
      <c r="E6152" t="s">
        <v>436</v>
      </c>
      <c r="F6152" t="str">
        <f>INDEX(Lists!I:I,MATCH(Validation!E6152,Lists!G:G,0))</f>
        <v>Error</v>
      </c>
      <c r="G6152" t="str">
        <f>INDEX(Lists!H:H,MATCH(Validation!E6152,Lists!G:G,0))</f>
        <v>Amount must be rounded to the nearest dollar.</v>
      </c>
      <c r="H6152" s="16" t="str">
        <f t="shared" ca="1" si="678"/>
        <v/>
      </c>
      <c r="I6152" s="16" t="str">
        <f t="shared" ca="1" si="679"/>
        <v/>
      </c>
      <c r="J6152" s="17" t="str">
        <f t="shared" ca="1" si="680"/>
        <v/>
      </c>
    </row>
    <row r="6153" spans="1:10" x14ac:dyDescent="0.25">
      <c r="A6153" t="s">
        <v>205</v>
      </c>
      <c r="B6153" t="str">
        <f>ADDRESS(ROW('Loan 1'!$B$32),COLUMN('Loan 1'!$B$32),4)</f>
        <v>B32</v>
      </c>
      <c r="C6153" t="str">
        <f>ADDRESS(ROW('Loan 1'!$D$32),COLUMN('Loan 1'!$D$32),4)</f>
        <v>D32</v>
      </c>
      <c r="D6153" t="b" cm="1">
        <f t="array" aca="1" ref="D6153" ca="1">IF(INDIRECT("'"&amp;A6153&amp;"'!"&amp;B6153)="",FALSE,IF(NOT(ISNUMBER(INDIRECT("'"&amp;A6153&amp;"'!"&amp;B6153))),TRUE,FALSE))</f>
        <v>0</v>
      </c>
      <c r="E6153" t="s">
        <v>435</v>
      </c>
      <c r="F6153" t="str">
        <f>INDEX(Lists!I:I,MATCH(Validation!E6153,Lists!G:G,0))</f>
        <v>Error</v>
      </c>
      <c r="G6153" t="str">
        <f>INDEX(Lists!H:H,MATCH(Validation!E6153,Lists!G:G,0))</f>
        <v>Enter an amount only. Do not enter text or spaces.</v>
      </c>
      <c r="H6153" s="16" t="str">
        <f ca="1">IFERROR(IF(OR(NOT(D6153),F6153&lt;&gt;"Error"),"",A6153&amp;CELL("address",INDIRECT(B6153))),"")</f>
        <v/>
      </c>
      <c r="I6153" s="16" t="str">
        <f ca="1">IFERROR(IF(NOT(D6153),"",A6153&amp;CELL("address",INDIRECT(C6153))),"")</f>
        <v/>
      </c>
      <c r="J6153" s="17" t="str">
        <f ca="1">IFERROR(IF(NOT(D6153),"",A6153),"")</f>
        <v/>
      </c>
    </row>
    <row r="6154" spans="1:10" x14ac:dyDescent="0.25">
      <c r="A6154" t="s">
        <v>932</v>
      </c>
      <c r="B6154" t="str">
        <f>ADDRESS(ROW('Loan 1'!$B$32),COLUMN('Loan 1'!$B$32),4)</f>
        <v>B32</v>
      </c>
      <c r="C6154" t="str">
        <f>ADDRESS(ROW('Loan 1'!$D$32),COLUMN('Loan 1'!$D$32),4)</f>
        <v>D32</v>
      </c>
      <c r="D6154" t="b" cm="1">
        <f t="array" aca="1" ref="D6154" ca="1">IF(INDIRECT("'"&amp;A6154&amp;"'!"&amp;B6154)="",FALSE,IF(NOT(ISNUMBER(INDIRECT("'"&amp;A6154&amp;"'!"&amp;B6154))),TRUE,FALSE))</f>
        <v>0</v>
      </c>
      <c r="E6154" t="s">
        <v>435</v>
      </c>
      <c r="F6154" t="str">
        <f>INDEX(Lists!I:I,MATCH(Validation!E6154,Lists!G:G,0))</f>
        <v>Error</v>
      </c>
      <c r="G6154" t="str">
        <f>INDEX(Lists!H:H,MATCH(Validation!E6154,Lists!G:G,0))</f>
        <v>Enter an amount only. Do not enter text or spaces.</v>
      </c>
      <c r="H6154" s="16" t="str">
        <f t="shared" ref="H6154:H6167" ca="1" si="681">IFERROR(IF(OR(NOT(D6154),F6154&lt;&gt;"Error"),"",A6154&amp;CELL("address",INDIRECT(B6154))),"")</f>
        <v/>
      </c>
      <c r="I6154" s="16" t="str">
        <f t="shared" ref="I6154:I6167" ca="1" si="682">IFERROR(IF(NOT(D6154),"",A6154&amp;CELL("address",INDIRECT(C6154))),"")</f>
        <v/>
      </c>
      <c r="J6154" s="17" t="str">
        <f t="shared" ref="J6154:J6167" ca="1" si="683">IFERROR(IF(NOT(D6154),"",A6154),"")</f>
        <v/>
      </c>
    </row>
    <row r="6155" spans="1:10" x14ac:dyDescent="0.25">
      <c r="A6155" t="s">
        <v>933</v>
      </c>
      <c r="B6155" t="str">
        <f>ADDRESS(ROW('Loan 1'!$B$32),COLUMN('Loan 1'!$B$32),4)</f>
        <v>B32</v>
      </c>
      <c r="C6155" t="str">
        <f>ADDRESS(ROW('Loan 1'!$D$32),COLUMN('Loan 1'!$D$32),4)</f>
        <v>D32</v>
      </c>
      <c r="D6155" t="b" cm="1">
        <f t="array" aca="1" ref="D6155" ca="1">IF(INDIRECT("'"&amp;A6155&amp;"'!"&amp;B6155)="",FALSE,IF(NOT(ISNUMBER(INDIRECT("'"&amp;A6155&amp;"'!"&amp;B6155))),TRUE,FALSE))</f>
        <v>0</v>
      </c>
      <c r="E6155" t="s">
        <v>435</v>
      </c>
      <c r="F6155" t="str">
        <f>INDEX(Lists!I:I,MATCH(Validation!E6155,Lists!G:G,0))</f>
        <v>Error</v>
      </c>
      <c r="G6155" t="str">
        <f>INDEX(Lists!H:H,MATCH(Validation!E6155,Lists!G:G,0))</f>
        <v>Enter an amount only. Do not enter text or spaces.</v>
      </c>
      <c r="H6155" s="16" t="str">
        <f t="shared" ca="1" si="681"/>
        <v/>
      </c>
      <c r="I6155" s="16" t="str">
        <f t="shared" ca="1" si="682"/>
        <v/>
      </c>
      <c r="J6155" s="17" t="str">
        <f t="shared" ca="1" si="683"/>
        <v/>
      </c>
    </row>
    <row r="6156" spans="1:10" x14ac:dyDescent="0.25">
      <c r="A6156" t="s">
        <v>934</v>
      </c>
      <c r="B6156" t="str">
        <f>ADDRESS(ROW('Loan 1'!$B$32),COLUMN('Loan 1'!$B$32),4)</f>
        <v>B32</v>
      </c>
      <c r="C6156" t="str">
        <f>ADDRESS(ROW('Loan 1'!$D$32),COLUMN('Loan 1'!$D$32),4)</f>
        <v>D32</v>
      </c>
      <c r="D6156" t="b" cm="1">
        <f t="array" aca="1" ref="D6156" ca="1">IF(INDIRECT("'"&amp;A6156&amp;"'!"&amp;B6156)="",FALSE,IF(NOT(ISNUMBER(INDIRECT("'"&amp;A6156&amp;"'!"&amp;B6156))),TRUE,FALSE))</f>
        <v>0</v>
      </c>
      <c r="E6156" t="s">
        <v>435</v>
      </c>
      <c r="F6156" t="str">
        <f>INDEX(Lists!I:I,MATCH(Validation!E6156,Lists!G:G,0))</f>
        <v>Error</v>
      </c>
      <c r="G6156" t="str">
        <f>INDEX(Lists!H:H,MATCH(Validation!E6156,Lists!G:G,0))</f>
        <v>Enter an amount only. Do not enter text or spaces.</v>
      </c>
      <c r="H6156" s="16" t="str">
        <f t="shared" ca="1" si="681"/>
        <v/>
      </c>
      <c r="I6156" s="16" t="str">
        <f t="shared" ca="1" si="682"/>
        <v/>
      </c>
      <c r="J6156" s="17" t="str">
        <f t="shared" ca="1" si="683"/>
        <v/>
      </c>
    </row>
    <row r="6157" spans="1:10" x14ac:dyDescent="0.25">
      <c r="A6157" t="s">
        <v>935</v>
      </c>
      <c r="B6157" t="str">
        <f>ADDRESS(ROW('Loan 1'!$B$32),COLUMN('Loan 1'!$B$32),4)</f>
        <v>B32</v>
      </c>
      <c r="C6157" t="str">
        <f>ADDRESS(ROW('Loan 1'!$D$32),COLUMN('Loan 1'!$D$32),4)</f>
        <v>D32</v>
      </c>
      <c r="D6157" t="b" cm="1">
        <f t="array" aca="1" ref="D6157" ca="1">IF(INDIRECT("'"&amp;A6157&amp;"'!"&amp;B6157)="",FALSE,IF(NOT(ISNUMBER(INDIRECT("'"&amp;A6157&amp;"'!"&amp;B6157))),TRUE,FALSE))</f>
        <v>0</v>
      </c>
      <c r="E6157" t="s">
        <v>435</v>
      </c>
      <c r="F6157" t="str">
        <f>INDEX(Lists!I:I,MATCH(Validation!E6157,Lists!G:G,0))</f>
        <v>Error</v>
      </c>
      <c r="G6157" t="str">
        <f>INDEX(Lists!H:H,MATCH(Validation!E6157,Lists!G:G,0))</f>
        <v>Enter an amount only. Do not enter text or spaces.</v>
      </c>
      <c r="H6157" s="16" t="str">
        <f t="shared" ca="1" si="681"/>
        <v/>
      </c>
      <c r="I6157" s="16" t="str">
        <f t="shared" ca="1" si="682"/>
        <v/>
      </c>
      <c r="J6157" s="17" t="str">
        <f t="shared" ca="1" si="683"/>
        <v/>
      </c>
    </row>
    <row r="6158" spans="1:10" x14ac:dyDescent="0.25">
      <c r="A6158" t="s">
        <v>936</v>
      </c>
      <c r="B6158" t="str">
        <f>ADDRESS(ROW('Loan 1'!$B$32),COLUMN('Loan 1'!$B$32),4)</f>
        <v>B32</v>
      </c>
      <c r="C6158" t="str">
        <f>ADDRESS(ROW('Loan 1'!$D$32),COLUMN('Loan 1'!$D$32),4)</f>
        <v>D32</v>
      </c>
      <c r="D6158" t="b" cm="1">
        <f t="array" aca="1" ref="D6158" ca="1">IF(INDIRECT("'"&amp;A6158&amp;"'!"&amp;B6158)="",FALSE,IF(NOT(ISNUMBER(INDIRECT("'"&amp;A6158&amp;"'!"&amp;B6158))),TRUE,FALSE))</f>
        <v>0</v>
      </c>
      <c r="E6158" t="s">
        <v>435</v>
      </c>
      <c r="F6158" t="str">
        <f>INDEX(Lists!I:I,MATCH(Validation!E6158,Lists!G:G,0))</f>
        <v>Error</v>
      </c>
      <c r="G6158" t="str">
        <f>INDEX(Lists!H:H,MATCH(Validation!E6158,Lists!G:G,0))</f>
        <v>Enter an amount only. Do not enter text or spaces.</v>
      </c>
      <c r="H6158" s="16" t="str">
        <f t="shared" ca="1" si="681"/>
        <v/>
      </c>
      <c r="I6158" s="16" t="str">
        <f t="shared" ca="1" si="682"/>
        <v/>
      </c>
      <c r="J6158" s="17" t="str">
        <f t="shared" ca="1" si="683"/>
        <v/>
      </c>
    </row>
    <row r="6159" spans="1:10" x14ac:dyDescent="0.25">
      <c r="A6159" t="s">
        <v>937</v>
      </c>
      <c r="B6159" t="str">
        <f>ADDRESS(ROW('Loan 1'!$B$32),COLUMN('Loan 1'!$B$32),4)</f>
        <v>B32</v>
      </c>
      <c r="C6159" t="str">
        <f>ADDRESS(ROW('Loan 1'!$D$32),COLUMN('Loan 1'!$D$32),4)</f>
        <v>D32</v>
      </c>
      <c r="D6159" t="b" cm="1">
        <f t="array" aca="1" ref="D6159" ca="1">IF(INDIRECT("'"&amp;A6159&amp;"'!"&amp;B6159)="",FALSE,IF(NOT(ISNUMBER(INDIRECT("'"&amp;A6159&amp;"'!"&amp;B6159))),TRUE,FALSE))</f>
        <v>0</v>
      </c>
      <c r="E6159" t="s">
        <v>435</v>
      </c>
      <c r="F6159" t="str">
        <f>INDEX(Lists!I:I,MATCH(Validation!E6159,Lists!G:G,0))</f>
        <v>Error</v>
      </c>
      <c r="G6159" t="str">
        <f>INDEX(Lists!H:H,MATCH(Validation!E6159,Lists!G:G,0))</f>
        <v>Enter an amount only. Do not enter text or spaces.</v>
      </c>
      <c r="H6159" s="16" t="str">
        <f t="shared" ca="1" si="681"/>
        <v/>
      </c>
      <c r="I6159" s="16" t="str">
        <f t="shared" ca="1" si="682"/>
        <v/>
      </c>
      <c r="J6159" s="17" t="str">
        <f t="shared" ca="1" si="683"/>
        <v/>
      </c>
    </row>
    <row r="6160" spans="1:10" x14ac:dyDescent="0.25">
      <c r="A6160" t="s">
        <v>938</v>
      </c>
      <c r="B6160" t="str">
        <f>ADDRESS(ROW('Loan 1'!$B$32),COLUMN('Loan 1'!$B$32),4)</f>
        <v>B32</v>
      </c>
      <c r="C6160" t="str">
        <f>ADDRESS(ROW('Loan 1'!$D$32),COLUMN('Loan 1'!$D$32),4)</f>
        <v>D32</v>
      </c>
      <c r="D6160" t="b" cm="1">
        <f t="array" aca="1" ref="D6160" ca="1">IF(INDIRECT("'"&amp;A6160&amp;"'!"&amp;B6160)="",FALSE,IF(NOT(ISNUMBER(INDIRECT("'"&amp;A6160&amp;"'!"&amp;B6160))),TRUE,FALSE))</f>
        <v>0</v>
      </c>
      <c r="E6160" t="s">
        <v>435</v>
      </c>
      <c r="F6160" t="str">
        <f>INDEX(Lists!I:I,MATCH(Validation!E6160,Lists!G:G,0))</f>
        <v>Error</v>
      </c>
      <c r="G6160" t="str">
        <f>INDEX(Lists!H:H,MATCH(Validation!E6160,Lists!G:G,0))</f>
        <v>Enter an amount only. Do not enter text or spaces.</v>
      </c>
      <c r="H6160" s="16" t="str">
        <f t="shared" ca="1" si="681"/>
        <v/>
      </c>
      <c r="I6160" s="16" t="str">
        <f t="shared" ca="1" si="682"/>
        <v/>
      </c>
      <c r="J6160" s="17" t="str">
        <f t="shared" ca="1" si="683"/>
        <v/>
      </c>
    </row>
    <row r="6161" spans="1:10" x14ac:dyDescent="0.25">
      <c r="A6161" t="s">
        <v>939</v>
      </c>
      <c r="B6161" t="str">
        <f>ADDRESS(ROW('Loan 1'!$B$32),COLUMN('Loan 1'!$B$32),4)</f>
        <v>B32</v>
      </c>
      <c r="C6161" t="str">
        <f>ADDRESS(ROW('Loan 1'!$D$32),COLUMN('Loan 1'!$D$32),4)</f>
        <v>D32</v>
      </c>
      <c r="D6161" t="b" cm="1">
        <f t="array" aca="1" ref="D6161" ca="1">IF(INDIRECT("'"&amp;A6161&amp;"'!"&amp;B6161)="",FALSE,IF(NOT(ISNUMBER(INDIRECT("'"&amp;A6161&amp;"'!"&amp;B6161))),TRUE,FALSE))</f>
        <v>0</v>
      </c>
      <c r="E6161" t="s">
        <v>435</v>
      </c>
      <c r="F6161" t="str">
        <f>INDEX(Lists!I:I,MATCH(Validation!E6161,Lists!G:G,0))</f>
        <v>Error</v>
      </c>
      <c r="G6161" t="str">
        <f>INDEX(Lists!H:H,MATCH(Validation!E6161,Lists!G:G,0))</f>
        <v>Enter an amount only. Do not enter text or spaces.</v>
      </c>
      <c r="H6161" s="16" t="str">
        <f t="shared" ca="1" si="681"/>
        <v/>
      </c>
      <c r="I6161" s="16" t="str">
        <f t="shared" ca="1" si="682"/>
        <v/>
      </c>
      <c r="J6161" s="17" t="str">
        <f t="shared" ca="1" si="683"/>
        <v/>
      </c>
    </row>
    <row r="6162" spans="1:10" x14ac:dyDescent="0.25">
      <c r="A6162" t="s">
        <v>940</v>
      </c>
      <c r="B6162" t="str">
        <f>ADDRESS(ROW('Loan 1'!$B$32),COLUMN('Loan 1'!$B$32),4)</f>
        <v>B32</v>
      </c>
      <c r="C6162" t="str">
        <f>ADDRESS(ROW('Loan 1'!$D$32),COLUMN('Loan 1'!$D$32),4)</f>
        <v>D32</v>
      </c>
      <c r="D6162" t="b" cm="1">
        <f t="array" aca="1" ref="D6162" ca="1">IF(INDIRECT("'"&amp;A6162&amp;"'!"&amp;B6162)="",FALSE,IF(NOT(ISNUMBER(INDIRECT("'"&amp;A6162&amp;"'!"&amp;B6162))),TRUE,FALSE))</f>
        <v>0</v>
      </c>
      <c r="E6162" t="s">
        <v>435</v>
      </c>
      <c r="F6162" t="str">
        <f>INDEX(Lists!I:I,MATCH(Validation!E6162,Lists!G:G,0))</f>
        <v>Error</v>
      </c>
      <c r="G6162" t="str">
        <f>INDEX(Lists!H:H,MATCH(Validation!E6162,Lists!G:G,0))</f>
        <v>Enter an amount only. Do not enter text or spaces.</v>
      </c>
      <c r="H6162" s="16" t="str">
        <f t="shared" ca="1" si="681"/>
        <v/>
      </c>
      <c r="I6162" s="16" t="str">
        <f t="shared" ca="1" si="682"/>
        <v/>
      </c>
      <c r="J6162" s="17" t="str">
        <f t="shared" ca="1" si="683"/>
        <v/>
      </c>
    </row>
    <row r="6163" spans="1:10" x14ac:dyDescent="0.25">
      <c r="A6163" t="s">
        <v>941</v>
      </c>
      <c r="B6163" t="str">
        <f>ADDRESS(ROW('Loan 1'!$B$32),COLUMN('Loan 1'!$B$32),4)</f>
        <v>B32</v>
      </c>
      <c r="C6163" t="str">
        <f>ADDRESS(ROW('Loan 1'!$D$32),COLUMN('Loan 1'!$D$32),4)</f>
        <v>D32</v>
      </c>
      <c r="D6163" t="b" cm="1">
        <f t="array" aca="1" ref="D6163" ca="1">IF(INDIRECT("'"&amp;A6163&amp;"'!"&amp;B6163)="",FALSE,IF(NOT(ISNUMBER(INDIRECT("'"&amp;A6163&amp;"'!"&amp;B6163))),TRUE,FALSE))</f>
        <v>0</v>
      </c>
      <c r="E6163" t="s">
        <v>435</v>
      </c>
      <c r="F6163" t="str">
        <f>INDEX(Lists!I:I,MATCH(Validation!E6163,Lists!G:G,0))</f>
        <v>Error</v>
      </c>
      <c r="G6163" t="str">
        <f>INDEX(Lists!H:H,MATCH(Validation!E6163,Lists!G:G,0))</f>
        <v>Enter an amount only. Do not enter text or spaces.</v>
      </c>
      <c r="H6163" s="16" t="str">
        <f t="shared" ca="1" si="681"/>
        <v/>
      </c>
      <c r="I6163" s="16" t="str">
        <f t="shared" ca="1" si="682"/>
        <v/>
      </c>
      <c r="J6163" s="17" t="str">
        <f t="shared" ca="1" si="683"/>
        <v/>
      </c>
    </row>
    <row r="6164" spans="1:10" x14ac:dyDescent="0.25">
      <c r="A6164" t="s">
        <v>942</v>
      </c>
      <c r="B6164" t="str">
        <f>ADDRESS(ROW('Loan 1'!$B$32),COLUMN('Loan 1'!$B$32),4)</f>
        <v>B32</v>
      </c>
      <c r="C6164" t="str">
        <f>ADDRESS(ROW('Loan 1'!$D$32),COLUMN('Loan 1'!$D$32),4)</f>
        <v>D32</v>
      </c>
      <c r="D6164" t="b" cm="1">
        <f t="array" aca="1" ref="D6164" ca="1">IF(INDIRECT("'"&amp;A6164&amp;"'!"&amp;B6164)="",FALSE,IF(NOT(ISNUMBER(INDIRECT("'"&amp;A6164&amp;"'!"&amp;B6164))),TRUE,FALSE))</f>
        <v>0</v>
      </c>
      <c r="E6164" t="s">
        <v>435</v>
      </c>
      <c r="F6164" t="str">
        <f>INDEX(Lists!I:I,MATCH(Validation!E6164,Lists!G:G,0))</f>
        <v>Error</v>
      </c>
      <c r="G6164" t="str">
        <f>INDEX(Lists!H:H,MATCH(Validation!E6164,Lists!G:G,0))</f>
        <v>Enter an amount only. Do not enter text or spaces.</v>
      </c>
      <c r="H6164" s="16" t="str">
        <f t="shared" ca="1" si="681"/>
        <v/>
      </c>
      <c r="I6164" s="16" t="str">
        <f t="shared" ca="1" si="682"/>
        <v/>
      </c>
      <c r="J6164" s="17" t="str">
        <f t="shared" ca="1" si="683"/>
        <v/>
      </c>
    </row>
    <row r="6165" spans="1:10" x14ac:dyDescent="0.25">
      <c r="A6165" t="s">
        <v>943</v>
      </c>
      <c r="B6165" t="str">
        <f>ADDRESS(ROW('Loan 1'!$B$32),COLUMN('Loan 1'!$B$32),4)</f>
        <v>B32</v>
      </c>
      <c r="C6165" t="str">
        <f>ADDRESS(ROW('Loan 1'!$D$32),COLUMN('Loan 1'!$D$32),4)</f>
        <v>D32</v>
      </c>
      <c r="D6165" t="b" cm="1">
        <f t="array" aca="1" ref="D6165" ca="1">IF(INDIRECT("'"&amp;A6165&amp;"'!"&amp;B6165)="",FALSE,IF(NOT(ISNUMBER(INDIRECT("'"&amp;A6165&amp;"'!"&amp;B6165))),TRUE,FALSE))</f>
        <v>0</v>
      </c>
      <c r="E6165" t="s">
        <v>435</v>
      </c>
      <c r="F6165" t="str">
        <f>INDEX(Lists!I:I,MATCH(Validation!E6165,Lists!G:G,0))</f>
        <v>Error</v>
      </c>
      <c r="G6165" t="str">
        <f>INDEX(Lists!H:H,MATCH(Validation!E6165,Lists!G:G,0))</f>
        <v>Enter an amount only. Do not enter text or spaces.</v>
      </c>
      <c r="H6165" s="16" t="str">
        <f t="shared" ca="1" si="681"/>
        <v/>
      </c>
      <c r="I6165" s="16" t="str">
        <f t="shared" ca="1" si="682"/>
        <v/>
      </c>
      <c r="J6165" s="17" t="str">
        <f t="shared" ca="1" si="683"/>
        <v/>
      </c>
    </row>
    <row r="6166" spans="1:10" x14ac:dyDescent="0.25">
      <c r="A6166" t="s">
        <v>944</v>
      </c>
      <c r="B6166" t="str">
        <f>ADDRESS(ROW('Loan 1'!$B$32),COLUMN('Loan 1'!$B$32),4)</f>
        <v>B32</v>
      </c>
      <c r="C6166" t="str">
        <f>ADDRESS(ROW('Loan 1'!$D$32),COLUMN('Loan 1'!$D$32),4)</f>
        <v>D32</v>
      </c>
      <c r="D6166" t="b" cm="1">
        <f t="array" aca="1" ref="D6166" ca="1">IF(INDIRECT("'"&amp;A6166&amp;"'!"&amp;B6166)="",FALSE,IF(NOT(ISNUMBER(INDIRECT("'"&amp;A6166&amp;"'!"&amp;B6166))),TRUE,FALSE))</f>
        <v>0</v>
      </c>
      <c r="E6166" t="s">
        <v>435</v>
      </c>
      <c r="F6166" t="str">
        <f>INDEX(Lists!I:I,MATCH(Validation!E6166,Lists!G:G,0))</f>
        <v>Error</v>
      </c>
      <c r="G6166" t="str">
        <f>INDEX(Lists!H:H,MATCH(Validation!E6166,Lists!G:G,0))</f>
        <v>Enter an amount only. Do not enter text or spaces.</v>
      </c>
      <c r="H6166" s="16" t="str">
        <f t="shared" ca="1" si="681"/>
        <v/>
      </c>
      <c r="I6166" s="16" t="str">
        <f t="shared" ca="1" si="682"/>
        <v/>
      </c>
      <c r="J6166" s="17" t="str">
        <f t="shared" ca="1" si="683"/>
        <v/>
      </c>
    </row>
    <row r="6167" spans="1:10" x14ac:dyDescent="0.25">
      <c r="A6167" t="s">
        <v>945</v>
      </c>
      <c r="B6167" t="str">
        <f>ADDRESS(ROW('Loan 1'!$B$32),COLUMN('Loan 1'!$B$32),4)</f>
        <v>B32</v>
      </c>
      <c r="C6167" t="str">
        <f>ADDRESS(ROW('Loan 1'!$D$32),COLUMN('Loan 1'!$D$32),4)</f>
        <v>D32</v>
      </c>
      <c r="D6167" t="b" cm="1">
        <f t="array" aca="1" ref="D6167" ca="1">IF(INDIRECT("'"&amp;A6167&amp;"'!"&amp;B6167)="",FALSE,IF(NOT(ISNUMBER(INDIRECT("'"&amp;A6167&amp;"'!"&amp;B6167))),TRUE,FALSE))</f>
        <v>0</v>
      </c>
      <c r="E6167" t="s">
        <v>435</v>
      </c>
      <c r="F6167" t="str">
        <f>INDEX(Lists!I:I,MATCH(Validation!E6167,Lists!G:G,0))</f>
        <v>Error</v>
      </c>
      <c r="G6167" t="str">
        <f>INDEX(Lists!H:H,MATCH(Validation!E6167,Lists!G:G,0))</f>
        <v>Enter an amount only. Do not enter text or spaces.</v>
      </c>
      <c r="H6167" s="16" t="str">
        <f t="shared" ca="1" si="681"/>
        <v/>
      </c>
      <c r="I6167" s="16" t="str">
        <f t="shared" ca="1" si="682"/>
        <v/>
      </c>
      <c r="J6167" s="17" t="str">
        <f t="shared" ca="1" si="683"/>
        <v/>
      </c>
    </row>
    <row r="6168" spans="1:10" x14ac:dyDescent="0.25">
      <c r="A6168" t="s">
        <v>205</v>
      </c>
      <c r="B6168" t="str">
        <f>ADDRESS(ROW('Loan 1'!$B$32),COLUMN('Loan 1'!$B$32),4)</f>
        <v>B32</v>
      </c>
      <c r="C6168" t="str">
        <f>ADDRESS(ROW('Loan 1'!$D$32),COLUMN('Loan 1'!$D$32),4)</f>
        <v>D32</v>
      </c>
      <c r="D6168" t="b" cm="1">
        <f t="array" aca="1" ref="D6168" ca="1">IF(INDIRECT("'"&amp;A6168&amp;"'!"&amp;B6168)="",FALSE,IF(INDIRECT("'"&amp;A6168&amp;"'!"&amp;B6168)&lt;0,TRUE,FALSE))</f>
        <v>0</v>
      </c>
      <c r="E6168" t="s">
        <v>434</v>
      </c>
      <c r="F6168" t="str">
        <f>INDEX(Lists!I:I,MATCH(Validation!E6168,Lists!G:G,0))</f>
        <v>Error</v>
      </c>
      <c r="G6168" t="str">
        <f>INDEX(Lists!H:H,MATCH(Validation!E6168,Lists!G:G,0))</f>
        <v>Amount may not be negative. Enter an amount greater than or equal to zero.</v>
      </c>
      <c r="H6168" s="16" t="str">
        <f ca="1">IFERROR(IF(OR(NOT(D6168),F6168&lt;&gt;"Error"),"",A6168&amp;CELL("address",INDIRECT(B6168))),"")</f>
        <v/>
      </c>
      <c r="I6168" s="16" t="str">
        <f ca="1">IFERROR(IF(NOT(D6168),"",A6168&amp;CELL("address",INDIRECT(C6168))),"")</f>
        <v/>
      </c>
      <c r="J6168" s="17" t="str">
        <f ca="1">IFERROR(IF(NOT(D6168),"",A6168),"")</f>
        <v/>
      </c>
    </row>
    <row r="6169" spans="1:10" x14ac:dyDescent="0.25">
      <c r="A6169" t="s">
        <v>932</v>
      </c>
      <c r="B6169" t="str">
        <f>ADDRESS(ROW('Loan 1'!$B$32),COLUMN('Loan 1'!$B$32),4)</f>
        <v>B32</v>
      </c>
      <c r="C6169" t="str">
        <f>ADDRESS(ROW('Loan 1'!$D$32),COLUMN('Loan 1'!$D$32),4)</f>
        <v>D32</v>
      </c>
      <c r="D6169" t="b" cm="1">
        <f t="array" aca="1" ref="D6169" ca="1">IF(INDIRECT("'"&amp;A6169&amp;"'!"&amp;B6169)="",FALSE,IF(INDIRECT("'"&amp;A6169&amp;"'!"&amp;B6169)&lt;0,TRUE,FALSE))</f>
        <v>0</v>
      </c>
      <c r="E6169" t="s">
        <v>434</v>
      </c>
      <c r="F6169" t="str">
        <f>INDEX(Lists!I:I,MATCH(Validation!E6169,Lists!G:G,0))</f>
        <v>Error</v>
      </c>
      <c r="G6169" t="str">
        <f>INDEX(Lists!H:H,MATCH(Validation!E6169,Lists!G:G,0))</f>
        <v>Amount may not be negative. Enter an amount greater than or equal to zero.</v>
      </c>
      <c r="H6169" s="16" t="str">
        <f t="shared" ref="H6169:H6197" ca="1" si="684">IFERROR(IF(OR(NOT(D6169),F6169&lt;&gt;"Error"),"",A6169&amp;CELL("address",INDIRECT(B6169))),"")</f>
        <v/>
      </c>
      <c r="I6169" s="16" t="str">
        <f t="shared" ref="I6169:I6197" ca="1" si="685">IFERROR(IF(NOT(D6169),"",A6169&amp;CELL("address",INDIRECT(C6169))),"")</f>
        <v/>
      </c>
      <c r="J6169" s="17" t="str">
        <f t="shared" ref="J6169:J6197" ca="1" si="686">IFERROR(IF(NOT(D6169),"",A6169),"")</f>
        <v/>
      </c>
    </row>
    <row r="6170" spans="1:10" x14ac:dyDescent="0.25">
      <c r="A6170" t="s">
        <v>933</v>
      </c>
      <c r="B6170" t="str">
        <f>ADDRESS(ROW('Loan 1'!$B$32),COLUMN('Loan 1'!$B$32),4)</f>
        <v>B32</v>
      </c>
      <c r="C6170" t="str">
        <f>ADDRESS(ROW('Loan 1'!$D$32),COLUMN('Loan 1'!$D$32),4)</f>
        <v>D32</v>
      </c>
      <c r="D6170" t="b" cm="1">
        <f t="array" aca="1" ref="D6170" ca="1">IF(INDIRECT("'"&amp;A6170&amp;"'!"&amp;B6170)="",FALSE,IF(INDIRECT("'"&amp;A6170&amp;"'!"&amp;B6170)&lt;0,TRUE,FALSE))</f>
        <v>0</v>
      </c>
      <c r="E6170" t="s">
        <v>434</v>
      </c>
      <c r="F6170" t="str">
        <f>INDEX(Lists!I:I,MATCH(Validation!E6170,Lists!G:G,0))</f>
        <v>Error</v>
      </c>
      <c r="G6170" t="str">
        <f>INDEX(Lists!H:H,MATCH(Validation!E6170,Lists!G:G,0))</f>
        <v>Amount may not be negative. Enter an amount greater than or equal to zero.</v>
      </c>
      <c r="H6170" s="16" t="str">
        <f t="shared" ca="1" si="684"/>
        <v/>
      </c>
      <c r="I6170" s="16" t="str">
        <f t="shared" ca="1" si="685"/>
        <v/>
      </c>
      <c r="J6170" s="17" t="str">
        <f t="shared" ca="1" si="686"/>
        <v/>
      </c>
    </row>
    <row r="6171" spans="1:10" x14ac:dyDescent="0.25">
      <c r="A6171" t="s">
        <v>934</v>
      </c>
      <c r="B6171" t="str">
        <f>ADDRESS(ROW('Loan 1'!$B$32),COLUMN('Loan 1'!$B$32),4)</f>
        <v>B32</v>
      </c>
      <c r="C6171" t="str">
        <f>ADDRESS(ROW('Loan 1'!$D$32),COLUMN('Loan 1'!$D$32),4)</f>
        <v>D32</v>
      </c>
      <c r="D6171" t="b" cm="1">
        <f t="array" aca="1" ref="D6171" ca="1">IF(INDIRECT("'"&amp;A6171&amp;"'!"&amp;B6171)="",FALSE,IF(INDIRECT("'"&amp;A6171&amp;"'!"&amp;B6171)&lt;0,TRUE,FALSE))</f>
        <v>0</v>
      </c>
      <c r="E6171" t="s">
        <v>434</v>
      </c>
      <c r="F6171" t="str">
        <f>INDEX(Lists!I:I,MATCH(Validation!E6171,Lists!G:G,0))</f>
        <v>Error</v>
      </c>
      <c r="G6171" t="str">
        <f>INDEX(Lists!H:H,MATCH(Validation!E6171,Lists!G:G,0))</f>
        <v>Amount may not be negative. Enter an amount greater than or equal to zero.</v>
      </c>
      <c r="H6171" s="16" t="str">
        <f t="shared" ca="1" si="684"/>
        <v/>
      </c>
      <c r="I6171" s="16" t="str">
        <f t="shared" ca="1" si="685"/>
        <v/>
      </c>
      <c r="J6171" s="17" t="str">
        <f t="shared" ca="1" si="686"/>
        <v/>
      </c>
    </row>
    <row r="6172" spans="1:10" x14ac:dyDescent="0.25">
      <c r="A6172" t="s">
        <v>935</v>
      </c>
      <c r="B6172" t="str">
        <f>ADDRESS(ROW('Loan 1'!$B$32),COLUMN('Loan 1'!$B$32),4)</f>
        <v>B32</v>
      </c>
      <c r="C6172" t="str">
        <f>ADDRESS(ROW('Loan 1'!$D$32),COLUMN('Loan 1'!$D$32),4)</f>
        <v>D32</v>
      </c>
      <c r="D6172" t="b" cm="1">
        <f t="array" aca="1" ref="D6172" ca="1">IF(INDIRECT("'"&amp;A6172&amp;"'!"&amp;B6172)="",FALSE,IF(INDIRECT("'"&amp;A6172&amp;"'!"&amp;B6172)&lt;0,TRUE,FALSE))</f>
        <v>0</v>
      </c>
      <c r="E6172" t="s">
        <v>434</v>
      </c>
      <c r="F6172" t="str">
        <f>INDEX(Lists!I:I,MATCH(Validation!E6172,Lists!G:G,0))</f>
        <v>Error</v>
      </c>
      <c r="G6172" t="str">
        <f>INDEX(Lists!H:H,MATCH(Validation!E6172,Lists!G:G,0))</f>
        <v>Amount may not be negative. Enter an amount greater than or equal to zero.</v>
      </c>
      <c r="H6172" s="16" t="str">
        <f t="shared" ca="1" si="684"/>
        <v/>
      </c>
      <c r="I6172" s="16" t="str">
        <f t="shared" ca="1" si="685"/>
        <v/>
      </c>
      <c r="J6172" s="17" t="str">
        <f t="shared" ca="1" si="686"/>
        <v/>
      </c>
    </row>
    <row r="6173" spans="1:10" x14ac:dyDescent="0.25">
      <c r="A6173" t="s">
        <v>936</v>
      </c>
      <c r="B6173" t="str">
        <f>ADDRESS(ROW('Loan 1'!$B$32),COLUMN('Loan 1'!$B$32),4)</f>
        <v>B32</v>
      </c>
      <c r="C6173" t="str">
        <f>ADDRESS(ROW('Loan 1'!$D$32),COLUMN('Loan 1'!$D$32),4)</f>
        <v>D32</v>
      </c>
      <c r="D6173" t="b" cm="1">
        <f t="array" aca="1" ref="D6173" ca="1">IF(INDIRECT("'"&amp;A6173&amp;"'!"&amp;B6173)="",FALSE,IF(INDIRECT("'"&amp;A6173&amp;"'!"&amp;B6173)&lt;0,TRUE,FALSE))</f>
        <v>0</v>
      </c>
      <c r="E6173" t="s">
        <v>434</v>
      </c>
      <c r="F6173" t="str">
        <f>INDEX(Lists!I:I,MATCH(Validation!E6173,Lists!G:G,0))</f>
        <v>Error</v>
      </c>
      <c r="G6173" t="str">
        <f>INDEX(Lists!H:H,MATCH(Validation!E6173,Lists!G:G,0))</f>
        <v>Amount may not be negative. Enter an amount greater than or equal to zero.</v>
      </c>
      <c r="H6173" s="16" t="str">
        <f t="shared" ca="1" si="684"/>
        <v/>
      </c>
      <c r="I6173" s="16" t="str">
        <f t="shared" ca="1" si="685"/>
        <v/>
      </c>
      <c r="J6173" s="17" t="str">
        <f t="shared" ca="1" si="686"/>
        <v/>
      </c>
    </row>
    <row r="6174" spans="1:10" x14ac:dyDescent="0.25">
      <c r="A6174" t="s">
        <v>937</v>
      </c>
      <c r="B6174" t="str">
        <f>ADDRESS(ROW('Loan 1'!$B$32),COLUMN('Loan 1'!$B$32),4)</f>
        <v>B32</v>
      </c>
      <c r="C6174" t="str">
        <f>ADDRESS(ROW('Loan 1'!$D$32),COLUMN('Loan 1'!$D$32),4)</f>
        <v>D32</v>
      </c>
      <c r="D6174" t="b" cm="1">
        <f t="array" aca="1" ref="D6174" ca="1">IF(INDIRECT("'"&amp;A6174&amp;"'!"&amp;B6174)="",FALSE,IF(INDIRECT("'"&amp;A6174&amp;"'!"&amp;B6174)&lt;0,TRUE,FALSE))</f>
        <v>0</v>
      </c>
      <c r="E6174" t="s">
        <v>434</v>
      </c>
      <c r="F6174" t="str">
        <f>INDEX(Lists!I:I,MATCH(Validation!E6174,Lists!G:G,0))</f>
        <v>Error</v>
      </c>
      <c r="G6174" t="str">
        <f>INDEX(Lists!H:H,MATCH(Validation!E6174,Lists!G:G,0))</f>
        <v>Amount may not be negative. Enter an amount greater than or equal to zero.</v>
      </c>
      <c r="H6174" s="16" t="str">
        <f t="shared" ca="1" si="684"/>
        <v/>
      </c>
      <c r="I6174" s="16" t="str">
        <f t="shared" ca="1" si="685"/>
        <v/>
      </c>
      <c r="J6174" s="17" t="str">
        <f t="shared" ca="1" si="686"/>
        <v/>
      </c>
    </row>
    <row r="6175" spans="1:10" x14ac:dyDescent="0.25">
      <c r="A6175" t="s">
        <v>938</v>
      </c>
      <c r="B6175" t="str">
        <f>ADDRESS(ROW('Loan 1'!$B$32),COLUMN('Loan 1'!$B$32),4)</f>
        <v>B32</v>
      </c>
      <c r="C6175" t="str">
        <f>ADDRESS(ROW('Loan 1'!$D$32),COLUMN('Loan 1'!$D$32),4)</f>
        <v>D32</v>
      </c>
      <c r="D6175" t="b" cm="1">
        <f t="array" aca="1" ref="D6175" ca="1">IF(INDIRECT("'"&amp;A6175&amp;"'!"&amp;B6175)="",FALSE,IF(INDIRECT("'"&amp;A6175&amp;"'!"&amp;B6175)&lt;0,TRUE,FALSE))</f>
        <v>0</v>
      </c>
      <c r="E6175" t="s">
        <v>434</v>
      </c>
      <c r="F6175" t="str">
        <f>INDEX(Lists!I:I,MATCH(Validation!E6175,Lists!G:G,0))</f>
        <v>Error</v>
      </c>
      <c r="G6175" t="str">
        <f>INDEX(Lists!H:H,MATCH(Validation!E6175,Lists!G:G,0))</f>
        <v>Amount may not be negative. Enter an amount greater than or equal to zero.</v>
      </c>
      <c r="H6175" s="16" t="str">
        <f t="shared" ca="1" si="684"/>
        <v/>
      </c>
      <c r="I6175" s="16" t="str">
        <f t="shared" ca="1" si="685"/>
        <v/>
      </c>
      <c r="J6175" s="17" t="str">
        <f t="shared" ca="1" si="686"/>
        <v/>
      </c>
    </row>
    <row r="6176" spans="1:10" x14ac:dyDescent="0.25">
      <c r="A6176" t="s">
        <v>939</v>
      </c>
      <c r="B6176" t="str">
        <f>ADDRESS(ROW('Loan 1'!$B$32),COLUMN('Loan 1'!$B$32),4)</f>
        <v>B32</v>
      </c>
      <c r="C6176" t="str">
        <f>ADDRESS(ROW('Loan 1'!$D$32),COLUMN('Loan 1'!$D$32),4)</f>
        <v>D32</v>
      </c>
      <c r="D6176" t="b" cm="1">
        <f t="array" aca="1" ref="D6176" ca="1">IF(INDIRECT("'"&amp;A6176&amp;"'!"&amp;B6176)="",FALSE,IF(INDIRECT("'"&amp;A6176&amp;"'!"&amp;B6176)&lt;0,TRUE,FALSE))</f>
        <v>0</v>
      </c>
      <c r="E6176" t="s">
        <v>434</v>
      </c>
      <c r="F6176" t="str">
        <f>INDEX(Lists!I:I,MATCH(Validation!E6176,Lists!G:G,0))</f>
        <v>Error</v>
      </c>
      <c r="G6176" t="str">
        <f>INDEX(Lists!H:H,MATCH(Validation!E6176,Lists!G:G,0))</f>
        <v>Amount may not be negative. Enter an amount greater than or equal to zero.</v>
      </c>
      <c r="H6176" s="16" t="str">
        <f t="shared" ca="1" si="684"/>
        <v/>
      </c>
      <c r="I6176" s="16" t="str">
        <f t="shared" ca="1" si="685"/>
        <v/>
      </c>
      <c r="J6176" s="17" t="str">
        <f t="shared" ca="1" si="686"/>
        <v/>
      </c>
    </row>
    <row r="6177" spans="1:10" x14ac:dyDescent="0.25">
      <c r="A6177" t="s">
        <v>940</v>
      </c>
      <c r="B6177" t="str">
        <f>ADDRESS(ROW('Loan 1'!$B$32),COLUMN('Loan 1'!$B$32),4)</f>
        <v>B32</v>
      </c>
      <c r="C6177" t="str">
        <f>ADDRESS(ROW('Loan 1'!$D$32),COLUMN('Loan 1'!$D$32),4)</f>
        <v>D32</v>
      </c>
      <c r="D6177" t="b" cm="1">
        <f t="array" aca="1" ref="D6177" ca="1">IF(INDIRECT("'"&amp;A6177&amp;"'!"&amp;B6177)="",FALSE,IF(INDIRECT("'"&amp;A6177&amp;"'!"&amp;B6177)&lt;0,TRUE,FALSE))</f>
        <v>0</v>
      </c>
      <c r="E6177" t="s">
        <v>434</v>
      </c>
      <c r="F6177" t="str">
        <f>INDEX(Lists!I:I,MATCH(Validation!E6177,Lists!G:G,0))</f>
        <v>Error</v>
      </c>
      <c r="G6177" t="str">
        <f>INDEX(Lists!H:H,MATCH(Validation!E6177,Lists!G:G,0))</f>
        <v>Amount may not be negative. Enter an amount greater than or equal to zero.</v>
      </c>
      <c r="H6177" s="16" t="str">
        <f t="shared" ca="1" si="684"/>
        <v/>
      </c>
      <c r="I6177" s="16" t="str">
        <f t="shared" ca="1" si="685"/>
        <v/>
      </c>
      <c r="J6177" s="17" t="str">
        <f t="shared" ca="1" si="686"/>
        <v/>
      </c>
    </row>
    <row r="6178" spans="1:10" x14ac:dyDescent="0.25">
      <c r="A6178" t="s">
        <v>941</v>
      </c>
      <c r="B6178" t="str">
        <f>ADDRESS(ROW('Loan 1'!$B$32),COLUMN('Loan 1'!$B$32),4)</f>
        <v>B32</v>
      </c>
      <c r="C6178" t="str">
        <f>ADDRESS(ROW('Loan 1'!$D$32),COLUMN('Loan 1'!$D$32),4)</f>
        <v>D32</v>
      </c>
      <c r="D6178" t="b" cm="1">
        <f t="array" aca="1" ref="D6178" ca="1">IF(INDIRECT("'"&amp;A6178&amp;"'!"&amp;B6178)="",FALSE,IF(INDIRECT("'"&amp;A6178&amp;"'!"&amp;B6178)&lt;0,TRUE,FALSE))</f>
        <v>0</v>
      </c>
      <c r="E6178" t="s">
        <v>434</v>
      </c>
      <c r="F6178" t="str">
        <f>INDEX(Lists!I:I,MATCH(Validation!E6178,Lists!G:G,0))</f>
        <v>Error</v>
      </c>
      <c r="G6178" t="str">
        <f>INDEX(Lists!H:H,MATCH(Validation!E6178,Lists!G:G,0))</f>
        <v>Amount may not be negative. Enter an amount greater than or equal to zero.</v>
      </c>
      <c r="H6178" s="16" t="str">
        <f t="shared" ca="1" si="684"/>
        <v/>
      </c>
      <c r="I6178" s="16" t="str">
        <f t="shared" ca="1" si="685"/>
        <v/>
      </c>
      <c r="J6178" s="17" t="str">
        <f t="shared" ca="1" si="686"/>
        <v/>
      </c>
    </row>
    <row r="6179" spans="1:10" x14ac:dyDescent="0.25">
      <c r="A6179" t="s">
        <v>942</v>
      </c>
      <c r="B6179" t="str">
        <f>ADDRESS(ROW('Loan 1'!$B$32),COLUMN('Loan 1'!$B$32),4)</f>
        <v>B32</v>
      </c>
      <c r="C6179" t="str">
        <f>ADDRESS(ROW('Loan 1'!$D$32),COLUMN('Loan 1'!$D$32),4)</f>
        <v>D32</v>
      </c>
      <c r="D6179" t="b" cm="1">
        <f t="array" aca="1" ref="D6179" ca="1">IF(INDIRECT("'"&amp;A6179&amp;"'!"&amp;B6179)="",FALSE,IF(INDIRECT("'"&amp;A6179&amp;"'!"&amp;B6179)&lt;0,TRUE,FALSE))</f>
        <v>0</v>
      </c>
      <c r="E6179" t="s">
        <v>434</v>
      </c>
      <c r="F6179" t="str">
        <f>INDEX(Lists!I:I,MATCH(Validation!E6179,Lists!G:G,0))</f>
        <v>Error</v>
      </c>
      <c r="G6179" t="str">
        <f>INDEX(Lists!H:H,MATCH(Validation!E6179,Lists!G:G,0))</f>
        <v>Amount may not be negative. Enter an amount greater than or equal to zero.</v>
      </c>
      <c r="H6179" s="16" t="str">
        <f t="shared" ca="1" si="684"/>
        <v/>
      </c>
      <c r="I6179" s="16" t="str">
        <f t="shared" ca="1" si="685"/>
        <v/>
      </c>
      <c r="J6179" s="17" t="str">
        <f t="shared" ca="1" si="686"/>
        <v/>
      </c>
    </row>
    <row r="6180" spans="1:10" x14ac:dyDescent="0.25">
      <c r="A6180" t="s">
        <v>943</v>
      </c>
      <c r="B6180" t="str">
        <f>ADDRESS(ROW('Loan 1'!$B$32),COLUMN('Loan 1'!$B$32),4)</f>
        <v>B32</v>
      </c>
      <c r="C6180" t="str">
        <f>ADDRESS(ROW('Loan 1'!$D$32),COLUMN('Loan 1'!$D$32),4)</f>
        <v>D32</v>
      </c>
      <c r="D6180" t="b" cm="1">
        <f t="array" aca="1" ref="D6180" ca="1">IF(INDIRECT("'"&amp;A6180&amp;"'!"&amp;B6180)="",FALSE,IF(INDIRECT("'"&amp;A6180&amp;"'!"&amp;B6180)&lt;0,TRUE,FALSE))</f>
        <v>0</v>
      </c>
      <c r="E6180" t="s">
        <v>434</v>
      </c>
      <c r="F6180" t="str">
        <f>INDEX(Lists!I:I,MATCH(Validation!E6180,Lists!G:G,0))</f>
        <v>Error</v>
      </c>
      <c r="G6180" t="str">
        <f>INDEX(Lists!H:H,MATCH(Validation!E6180,Lists!G:G,0))</f>
        <v>Amount may not be negative. Enter an amount greater than or equal to zero.</v>
      </c>
      <c r="H6180" s="16" t="str">
        <f t="shared" ca="1" si="684"/>
        <v/>
      </c>
      <c r="I6180" s="16" t="str">
        <f t="shared" ca="1" si="685"/>
        <v/>
      </c>
      <c r="J6180" s="17" t="str">
        <f t="shared" ca="1" si="686"/>
        <v/>
      </c>
    </row>
    <row r="6181" spans="1:10" x14ac:dyDescent="0.25">
      <c r="A6181" t="s">
        <v>944</v>
      </c>
      <c r="B6181" t="str">
        <f>ADDRESS(ROW('Loan 1'!$B$32),COLUMN('Loan 1'!$B$32),4)</f>
        <v>B32</v>
      </c>
      <c r="C6181" t="str">
        <f>ADDRESS(ROW('Loan 1'!$D$32),COLUMN('Loan 1'!$D$32),4)</f>
        <v>D32</v>
      </c>
      <c r="D6181" t="b" cm="1">
        <f t="array" aca="1" ref="D6181" ca="1">IF(INDIRECT("'"&amp;A6181&amp;"'!"&amp;B6181)="",FALSE,IF(INDIRECT("'"&amp;A6181&amp;"'!"&amp;B6181)&lt;0,TRUE,FALSE))</f>
        <v>0</v>
      </c>
      <c r="E6181" t="s">
        <v>434</v>
      </c>
      <c r="F6181" t="str">
        <f>INDEX(Lists!I:I,MATCH(Validation!E6181,Lists!G:G,0))</f>
        <v>Error</v>
      </c>
      <c r="G6181" t="str">
        <f>INDEX(Lists!H:H,MATCH(Validation!E6181,Lists!G:G,0))</f>
        <v>Amount may not be negative. Enter an amount greater than or equal to zero.</v>
      </c>
      <c r="H6181" s="16" t="str">
        <f t="shared" ca="1" si="684"/>
        <v/>
      </c>
      <c r="I6181" s="16" t="str">
        <f t="shared" ca="1" si="685"/>
        <v/>
      </c>
      <c r="J6181" s="17" t="str">
        <f t="shared" ca="1" si="686"/>
        <v/>
      </c>
    </row>
    <row r="6182" spans="1:10" x14ac:dyDescent="0.25">
      <c r="A6182" t="s">
        <v>945</v>
      </c>
      <c r="B6182" t="str">
        <f>ADDRESS(ROW('Loan 1'!$B$32),COLUMN('Loan 1'!$B$32),4)</f>
        <v>B32</v>
      </c>
      <c r="C6182" t="str">
        <f>ADDRESS(ROW('Loan 1'!$D$32),COLUMN('Loan 1'!$D$32),4)</f>
        <v>D32</v>
      </c>
      <c r="D6182" t="b" cm="1">
        <f t="array" aca="1" ref="D6182" ca="1">IF(INDIRECT("'"&amp;A6182&amp;"'!"&amp;B6182)="",FALSE,IF(INDIRECT("'"&amp;A6182&amp;"'!"&amp;B6182)&lt;0,TRUE,FALSE))</f>
        <v>0</v>
      </c>
      <c r="E6182" t="s">
        <v>434</v>
      </c>
      <c r="F6182" t="str">
        <f>INDEX(Lists!I:I,MATCH(Validation!E6182,Lists!G:G,0))</f>
        <v>Error</v>
      </c>
      <c r="G6182" t="str">
        <f>INDEX(Lists!H:H,MATCH(Validation!E6182,Lists!G:G,0))</f>
        <v>Amount may not be negative. Enter an amount greater than or equal to zero.</v>
      </c>
      <c r="H6182" s="16" t="str">
        <f t="shared" ca="1" si="684"/>
        <v/>
      </c>
      <c r="I6182" s="16" t="str">
        <f t="shared" ca="1" si="685"/>
        <v/>
      </c>
      <c r="J6182" s="17" t="str">
        <f t="shared" ca="1" si="686"/>
        <v/>
      </c>
    </row>
    <row r="6183" spans="1:10" x14ac:dyDescent="0.25">
      <c r="A6183" t="s">
        <v>205</v>
      </c>
      <c r="B6183" t="str">
        <f>ADDRESS(ROW('Loan 1'!$B$32),COLUMN('Loan 1'!$B$32),4)</f>
        <v>B32</v>
      </c>
      <c r="C6183" t="str">
        <f>ADDRESS(ROW('Loan 1'!$D$32),COLUMN('Loan 1'!$D$32),4)</f>
        <v>D32</v>
      </c>
      <c r="D6183" t="b" cm="1">
        <f t="array" aca="1" ref="D6183" ca="1">IF(INDIRECT("'"&amp;A6183&amp;"'!"&amp;B6183)="",FALSE,IF(TRUNC(INDIRECT("'"&amp;A6183&amp;"'!"&amp;B6183))=INDIRECT("'"&amp;A6183&amp;"'!"&amp;B6183),FALSE,TRUE))</f>
        <v>0</v>
      </c>
      <c r="E6183" t="s">
        <v>436</v>
      </c>
      <c r="F6183" t="str">
        <f>INDEX(Lists!I:I,MATCH(Validation!E6183,Lists!G:G,0))</f>
        <v>Error</v>
      </c>
      <c r="G6183" t="str">
        <f>INDEX(Lists!H:H,MATCH(Validation!E6183,Lists!G:G,0))</f>
        <v>Amount must be rounded to the nearest dollar.</v>
      </c>
      <c r="H6183" s="16" t="str">
        <f t="shared" ca="1" si="684"/>
        <v/>
      </c>
      <c r="I6183" s="16" t="str">
        <f t="shared" ca="1" si="685"/>
        <v/>
      </c>
      <c r="J6183" s="17" t="str">
        <f t="shared" ca="1" si="686"/>
        <v/>
      </c>
    </row>
    <row r="6184" spans="1:10" x14ac:dyDescent="0.25">
      <c r="A6184" t="s">
        <v>932</v>
      </c>
      <c r="B6184" t="str">
        <f>ADDRESS(ROW('Loan 1'!$B$32),COLUMN('Loan 1'!$B$32),4)</f>
        <v>B32</v>
      </c>
      <c r="C6184" t="str">
        <f>ADDRESS(ROW('Loan 1'!$D$32),COLUMN('Loan 1'!$D$32),4)</f>
        <v>D32</v>
      </c>
      <c r="D6184" t="b" cm="1">
        <f t="array" aca="1" ref="D6184" ca="1">IF(INDIRECT("'"&amp;A6184&amp;"'!"&amp;B6184)="",FALSE,IF(TRUNC(INDIRECT("'"&amp;A6184&amp;"'!"&amp;B6184))=INDIRECT("'"&amp;A6184&amp;"'!"&amp;B6184),FALSE,TRUE))</f>
        <v>0</v>
      </c>
      <c r="E6184" t="s">
        <v>436</v>
      </c>
      <c r="F6184" t="str">
        <f>INDEX(Lists!I:I,MATCH(Validation!E6184,Lists!G:G,0))</f>
        <v>Error</v>
      </c>
      <c r="G6184" t="str">
        <f>INDEX(Lists!H:H,MATCH(Validation!E6184,Lists!G:G,0))</f>
        <v>Amount must be rounded to the nearest dollar.</v>
      </c>
      <c r="H6184" s="16" t="str">
        <f t="shared" ca="1" si="684"/>
        <v/>
      </c>
      <c r="I6184" s="16" t="str">
        <f t="shared" ca="1" si="685"/>
        <v/>
      </c>
      <c r="J6184" s="17" t="str">
        <f t="shared" ca="1" si="686"/>
        <v/>
      </c>
    </row>
    <row r="6185" spans="1:10" x14ac:dyDescent="0.25">
      <c r="A6185" t="s">
        <v>933</v>
      </c>
      <c r="B6185" t="str">
        <f>ADDRESS(ROW('Loan 1'!$B$32),COLUMN('Loan 1'!$B$32),4)</f>
        <v>B32</v>
      </c>
      <c r="C6185" t="str">
        <f>ADDRESS(ROW('Loan 1'!$D$32),COLUMN('Loan 1'!$D$32),4)</f>
        <v>D32</v>
      </c>
      <c r="D6185" t="b" cm="1">
        <f t="array" aca="1" ref="D6185" ca="1">IF(INDIRECT("'"&amp;A6185&amp;"'!"&amp;B6185)="",FALSE,IF(TRUNC(INDIRECT("'"&amp;A6185&amp;"'!"&amp;B6185))=INDIRECT("'"&amp;A6185&amp;"'!"&amp;B6185),FALSE,TRUE))</f>
        <v>0</v>
      </c>
      <c r="E6185" t="s">
        <v>436</v>
      </c>
      <c r="F6185" t="str">
        <f>INDEX(Lists!I:I,MATCH(Validation!E6185,Lists!G:G,0))</f>
        <v>Error</v>
      </c>
      <c r="G6185" t="str">
        <f>INDEX(Lists!H:H,MATCH(Validation!E6185,Lists!G:G,0))</f>
        <v>Amount must be rounded to the nearest dollar.</v>
      </c>
      <c r="H6185" s="16" t="str">
        <f t="shared" ca="1" si="684"/>
        <v/>
      </c>
      <c r="I6185" s="16" t="str">
        <f t="shared" ca="1" si="685"/>
        <v/>
      </c>
      <c r="J6185" s="17" t="str">
        <f t="shared" ca="1" si="686"/>
        <v/>
      </c>
    </row>
    <row r="6186" spans="1:10" x14ac:dyDescent="0.25">
      <c r="A6186" t="s">
        <v>934</v>
      </c>
      <c r="B6186" t="str">
        <f>ADDRESS(ROW('Loan 1'!$B$32),COLUMN('Loan 1'!$B$32),4)</f>
        <v>B32</v>
      </c>
      <c r="C6186" t="str">
        <f>ADDRESS(ROW('Loan 1'!$D$32),COLUMN('Loan 1'!$D$32),4)</f>
        <v>D32</v>
      </c>
      <c r="D6186" t="b" cm="1">
        <f t="array" aca="1" ref="D6186" ca="1">IF(INDIRECT("'"&amp;A6186&amp;"'!"&amp;B6186)="",FALSE,IF(TRUNC(INDIRECT("'"&amp;A6186&amp;"'!"&amp;B6186))=INDIRECT("'"&amp;A6186&amp;"'!"&amp;B6186),FALSE,TRUE))</f>
        <v>0</v>
      </c>
      <c r="E6186" t="s">
        <v>436</v>
      </c>
      <c r="F6186" t="str">
        <f>INDEX(Lists!I:I,MATCH(Validation!E6186,Lists!G:G,0))</f>
        <v>Error</v>
      </c>
      <c r="G6186" t="str">
        <f>INDEX(Lists!H:H,MATCH(Validation!E6186,Lists!G:G,0))</f>
        <v>Amount must be rounded to the nearest dollar.</v>
      </c>
      <c r="H6186" s="16" t="str">
        <f t="shared" ca="1" si="684"/>
        <v/>
      </c>
      <c r="I6186" s="16" t="str">
        <f t="shared" ca="1" si="685"/>
        <v/>
      </c>
      <c r="J6186" s="17" t="str">
        <f t="shared" ca="1" si="686"/>
        <v/>
      </c>
    </row>
    <row r="6187" spans="1:10" x14ac:dyDescent="0.25">
      <c r="A6187" t="s">
        <v>935</v>
      </c>
      <c r="B6187" t="str">
        <f>ADDRESS(ROW('Loan 1'!$B$32),COLUMN('Loan 1'!$B$32),4)</f>
        <v>B32</v>
      </c>
      <c r="C6187" t="str">
        <f>ADDRESS(ROW('Loan 1'!$D$32),COLUMN('Loan 1'!$D$32),4)</f>
        <v>D32</v>
      </c>
      <c r="D6187" t="b" cm="1">
        <f t="array" aca="1" ref="D6187" ca="1">IF(INDIRECT("'"&amp;A6187&amp;"'!"&amp;B6187)="",FALSE,IF(TRUNC(INDIRECT("'"&amp;A6187&amp;"'!"&amp;B6187))=INDIRECT("'"&amp;A6187&amp;"'!"&amp;B6187),FALSE,TRUE))</f>
        <v>0</v>
      </c>
      <c r="E6187" t="s">
        <v>436</v>
      </c>
      <c r="F6187" t="str">
        <f>INDEX(Lists!I:I,MATCH(Validation!E6187,Lists!G:G,0))</f>
        <v>Error</v>
      </c>
      <c r="G6187" t="str">
        <f>INDEX(Lists!H:H,MATCH(Validation!E6187,Lists!G:G,0))</f>
        <v>Amount must be rounded to the nearest dollar.</v>
      </c>
      <c r="H6187" s="16" t="str">
        <f t="shared" ca="1" si="684"/>
        <v/>
      </c>
      <c r="I6187" s="16" t="str">
        <f t="shared" ca="1" si="685"/>
        <v/>
      </c>
      <c r="J6187" s="17" t="str">
        <f t="shared" ca="1" si="686"/>
        <v/>
      </c>
    </row>
    <row r="6188" spans="1:10" x14ac:dyDescent="0.25">
      <c r="A6188" t="s">
        <v>936</v>
      </c>
      <c r="B6188" t="str">
        <f>ADDRESS(ROW('Loan 1'!$B$32),COLUMN('Loan 1'!$B$32),4)</f>
        <v>B32</v>
      </c>
      <c r="C6188" t="str">
        <f>ADDRESS(ROW('Loan 1'!$D$32),COLUMN('Loan 1'!$D$32),4)</f>
        <v>D32</v>
      </c>
      <c r="D6188" t="b" cm="1">
        <f t="array" aca="1" ref="D6188" ca="1">IF(INDIRECT("'"&amp;A6188&amp;"'!"&amp;B6188)="",FALSE,IF(TRUNC(INDIRECT("'"&amp;A6188&amp;"'!"&amp;B6188))=INDIRECT("'"&amp;A6188&amp;"'!"&amp;B6188),FALSE,TRUE))</f>
        <v>0</v>
      </c>
      <c r="E6188" t="s">
        <v>436</v>
      </c>
      <c r="F6188" t="str">
        <f>INDEX(Lists!I:I,MATCH(Validation!E6188,Lists!G:G,0))</f>
        <v>Error</v>
      </c>
      <c r="G6188" t="str">
        <f>INDEX(Lists!H:H,MATCH(Validation!E6188,Lists!G:G,0))</f>
        <v>Amount must be rounded to the nearest dollar.</v>
      </c>
      <c r="H6188" s="16" t="str">
        <f t="shared" ca="1" si="684"/>
        <v/>
      </c>
      <c r="I6188" s="16" t="str">
        <f t="shared" ca="1" si="685"/>
        <v/>
      </c>
      <c r="J6188" s="17" t="str">
        <f t="shared" ca="1" si="686"/>
        <v/>
      </c>
    </row>
    <row r="6189" spans="1:10" x14ac:dyDescent="0.25">
      <c r="A6189" t="s">
        <v>937</v>
      </c>
      <c r="B6189" t="str">
        <f>ADDRESS(ROW('Loan 1'!$B$32),COLUMN('Loan 1'!$B$32),4)</f>
        <v>B32</v>
      </c>
      <c r="C6189" t="str">
        <f>ADDRESS(ROW('Loan 1'!$D$32),COLUMN('Loan 1'!$D$32),4)</f>
        <v>D32</v>
      </c>
      <c r="D6189" t="b" cm="1">
        <f t="array" aca="1" ref="D6189" ca="1">IF(INDIRECT("'"&amp;A6189&amp;"'!"&amp;B6189)="",FALSE,IF(TRUNC(INDIRECT("'"&amp;A6189&amp;"'!"&amp;B6189))=INDIRECT("'"&amp;A6189&amp;"'!"&amp;B6189),FALSE,TRUE))</f>
        <v>0</v>
      </c>
      <c r="E6189" t="s">
        <v>436</v>
      </c>
      <c r="F6189" t="str">
        <f>INDEX(Lists!I:I,MATCH(Validation!E6189,Lists!G:G,0))</f>
        <v>Error</v>
      </c>
      <c r="G6189" t="str">
        <f>INDEX(Lists!H:H,MATCH(Validation!E6189,Lists!G:G,0))</f>
        <v>Amount must be rounded to the nearest dollar.</v>
      </c>
      <c r="H6189" s="16" t="str">
        <f t="shared" ca="1" si="684"/>
        <v/>
      </c>
      <c r="I6189" s="16" t="str">
        <f t="shared" ca="1" si="685"/>
        <v/>
      </c>
      <c r="J6189" s="17" t="str">
        <f t="shared" ca="1" si="686"/>
        <v/>
      </c>
    </row>
    <row r="6190" spans="1:10" x14ac:dyDescent="0.25">
      <c r="A6190" t="s">
        <v>938</v>
      </c>
      <c r="B6190" t="str">
        <f>ADDRESS(ROW('Loan 1'!$B$32),COLUMN('Loan 1'!$B$32),4)</f>
        <v>B32</v>
      </c>
      <c r="C6190" t="str">
        <f>ADDRESS(ROW('Loan 1'!$D$32),COLUMN('Loan 1'!$D$32),4)</f>
        <v>D32</v>
      </c>
      <c r="D6190" t="b" cm="1">
        <f t="array" aca="1" ref="D6190" ca="1">IF(INDIRECT("'"&amp;A6190&amp;"'!"&amp;B6190)="",FALSE,IF(TRUNC(INDIRECT("'"&amp;A6190&amp;"'!"&amp;B6190))=INDIRECT("'"&amp;A6190&amp;"'!"&amp;B6190),FALSE,TRUE))</f>
        <v>0</v>
      </c>
      <c r="E6190" t="s">
        <v>436</v>
      </c>
      <c r="F6190" t="str">
        <f>INDEX(Lists!I:I,MATCH(Validation!E6190,Lists!G:G,0))</f>
        <v>Error</v>
      </c>
      <c r="G6190" t="str">
        <f>INDEX(Lists!H:H,MATCH(Validation!E6190,Lists!G:G,0))</f>
        <v>Amount must be rounded to the nearest dollar.</v>
      </c>
      <c r="H6190" s="16" t="str">
        <f t="shared" ca="1" si="684"/>
        <v/>
      </c>
      <c r="I6190" s="16" t="str">
        <f t="shared" ca="1" si="685"/>
        <v/>
      </c>
      <c r="J6190" s="17" t="str">
        <f t="shared" ca="1" si="686"/>
        <v/>
      </c>
    </row>
    <row r="6191" spans="1:10" x14ac:dyDescent="0.25">
      <c r="A6191" t="s">
        <v>939</v>
      </c>
      <c r="B6191" t="str">
        <f>ADDRESS(ROW('Loan 1'!$B$32),COLUMN('Loan 1'!$B$32),4)</f>
        <v>B32</v>
      </c>
      <c r="C6191" t="str">
        <f>ADDRESS(ROW('Loan 1'!$D$32),COLUMN('Loan 1'!$D$32),4)</f>
        <v>D32</v>
      </c>
      <c r="D6191" t="b" cm="1">
        <f t="array" aca="1" ref="D6191" ca="1">IF(INDIRECT("'"&amp;A6191&amp;"'!"&amp;B6191)="",FALSE,IF(TRUNC(INDIRECT("'"&amp;A6191&amp;"'!"&amp;B6191))=INDIRECT("'"&amp;A6191&amp;"'!"&amp;B6191),FALSE,TRUE))</f>
        <v>0</v>
      </c>
      <c r="E6191" t="s">
        <v>436</v>
      </c>
      <c r="F6191" t="str">
        <f>INDEX(Lists!I:I,MATCH(Validation!E6191,Lists!G:G,0))</f>
        <v>Error</v>
      </c>
      <c r="G6191" t="str">
        <f>INDEX(Lists!H:H,MATCH(Validation!E6191,Lists!G:G,0))</f>
        <v>Amount must be rounded to the nearest dollar.</v>
      </c>
      <c r="H6191" s="16" t="str">
        <f t="shared" ca="1" si="684"/>
        <v/>
      </c>
      <c r="I6191" s="16" t="str">
        <f t="shared" ca="1" si="685"/>
        <v/>
      </c>
      <c r="J6191" s="17" t="str">
        <f t="shared" ca="1" si="686"/>
        <v/>
      </c>
    </row>
    <row r="6192" spans="1:10" x14ac:dyDescent="0.25">
      <c r="A6192" t="s">
        <v>940</v>
      </c>
      <c r="B6192" t="str">
        <f>ADDRESS(ROW('Loan 1'!$B$32),COLUMN('Loan 1'!$B$32),4)</f>
        <v>B32</v>
      </c>
      <c r="C6192" t="str">
        <f>ADDRESS(ROW('Loan 1'!$D$32),COLUMN('Loan 1'!$D$32),4)</f>
        <v>D32</v>
      </c>
      <c r="D6192" t="b" cm="1">
        <f t="array" aca="1" ref="D6192" ca="1">IF(INDIRECT("'"&amp;A6192&amp;"'!"&amp;B6192)="",FALSE,IF(TRUNC(INDIRECT("'"&amp;A6192&amp;"'!"&amp;B6192))=INDIRECT("'"&amp;A6192&amp;"'!"&amp;B6192),FALSE,TRUE))</f>
        <v>0</v>
      </c>
      <c r="E6192" t="s">
        <v>436</v>
      </c>
      <c r="F6192" t="str">
        <f>INDEX(Lists!I:I,MATCH(Validation!E6192,Lists!G:G,0))</f>
        <v>Error</v>
      </c>
      <c r="G6192" t="str">
        <f>INDEX(Lists!H:H,MATCH(Validation!E6192,Lists!G:G,0))</f>
        <v>Amount must be rounded to the nearest dollar.</v>
      </c>
      <c r="H6192" s="16" t="str">
        <f t="shared" ca="1" si="684"/>
        <v/>
      </c>
      <c r="I6192" s="16" t="str">
        <f t="shared" ca="1" si="685"/>
        <v/>
      </c>
      <c r="J6192" s="17" t="str">
        <f t="shared" ca="1" si="686"/>
        <v/>
      </c>
    </row>
    <row r="6193" spans="1:10" x14ac:dyDescent="0.25">
      <c r="A6193" t="s">
        <v>941</v>
      </c>
      <c r="B6193" t="str">
        <f>ADDRESS(ROW('Loan 1'!$B$32),COLUMN('Loan 1'!$B$32),4)</f>
        <v>B32</v>
      </c>
      <c r="C6193" t="str">
        <f>ADDRESS(ROW('Loan 1'!$D$32),COLUMN('Loan 1'!$D$32),4)</f>
        <v>D32</v>
      </c>
      <c r="D6193" t="b" cm="1">
        <f t="array" aca="1" ref="D6193" ca="1">IF(INDIRECT("'"&amp;A6193&amp;"'!"&amp;B6193)="",FALSE,IF(TRUNC(INDIRECT("'"&amp;A6193&amp;"'!"&amp;B6193))=INDIRECT("'"&amp;A6193&amp;"'!"&amp;B6193),FALSE,TRUE))</f>
        <v>0</v>
      </c>
      <c r="E6193" t="s">
        <v>436</v>
      </c>
      <c r="F6193" t="str">
        <f>INDEX(Lists!I:I,MATCH(Validation!E6193,Lists!G:G,0))</f>
        <v>Error</v>
      </c>
      <c r="G6193" t="str">
        <f>INDEX(Lists!H:H,MATCH(Validation!E6193,Lists!G:G,0))</f>
        <v>Amount must be rounded to the nearest dollar.</v>
      </c>
      <c r="H6193" s="16" t="str">
        <f t="shared" ca="1" si="684"/>
        <v/>
      </c>
      <c r="I6193" s="16" t="str">
        <f t="shared" ca="1" si="685"/>
        <v/>
      </c>
      <c r="J6193" s="17" t="str">
        <f t="shared" ca="1" si="686"/>
        <v/>
      </c>
    </row>
    <row r="6194" spans="1:10" x14ac:dyDescent="0.25">
      <c r="A6194" t="s">
        <v>942</v>
      </c>
      <c r="B6194" t="str">
        <f>ADDRESS(ROW('Loan 1'!$B$32),COLUMN('Loan 1'!$B$32),4)</f>
        <v>B32</v>
      </c>
      <c r="C6194" t="str">
        <f>ADDRESS(ROW('Loan 1'!$D$32),COLUMN('Loan 1'!$D$32),4)</f>
        <v>D32</v>
      </c>
      <c r="D6194" t="b" cm="1">
        <f t="array" aca="1" ref="D6194" ca="1">IF(INDIRECT("'"&amp;A6194&amp;"'!"&amp;B6194)="",FALSE,IF(TRUNC(INDIRECT("'"&amp;A6194&amp;"'!"&amp;B6194))=INDIRECT("'"&amp;A6194&amp;"'!"&amp;B6194),FALSE,TRUE))</f>
        <v>0</v>
      </c>
      <c r="E6194" t="s">
        <v>436</v>
      </c>
      <c r="F6194" t="str">
        <f>INDEX(Lists!I:I,MATCH(Validation!E6194,Lists!G:G,0))</f>
        <v>Error</v>
      </c>
      <c r="G6194" t="str">
        <f>INDEX(Lists!H:H,MATCH(Validation!E6194,Lists!G:G,0))</f>
        <v>Amount must be rounded to the nearest dollar.</v>
      </c>
      <c r="H6194" s="16" t="str">
        <f t="shared" ca="1" si="684"/>
        <v/>
      </c>
      <c r="I6194" s="16" t="str">
        <f t="shared" ca="1" si="685"/>
        <v/>
      </c>
      <c r="J6194" s="17" t="str">
        <f t="shared" ca="1" si="686"/>
        <v/>
      </c>
    </row>
    <row r="6195" spans="1:10" x14ac:dyDescent="0.25">
      <c r="A6195" t="s">
        <v>943</v>
      </c>
      <c r="B6195" t="str">
        <f>ADDRESS(ROW('Loan 1'!$B$32),COLUMN('Loan 1'!$B$32),4)</f>
        <v>B32</v>
      </c>
      <c r="C6195" t="str">
        <f>ADDRESS(ROW('Loan 1'!$D$32),COLUMN('Loan 1'!$D$32),4)</f>
        <v>D32</v>
      </c>
      <c r="D6195" t="b" cm="1">
        <f t="array" aca="1" ref="D6195" ca="1">IF(INDIRECT("'"&amp;A6195&amp;"'!"&amp;B6195)="",FALSE,IF(TRUNC(INDIRECT("'"&amp;A6195&amp;"'!"&amp;B6195))=INDIRECT("'"&amp;A6195&amp;"'!"&amp;B6195),FALSE,TRUE))</f>
        <v>0</v>
      </c>
      <c r="E6195" t="s">
        <v>436</v>
      </c>
      <c r="F6195" t="str">
        <f>INDEX(Lists!I:I,MATCH(Validation!E6195,Lists!G:G,0))</f>
        <v>Error</v>
      </c>
      <c r="G6195" t="str">
        <f>INDEX(Lists!H:H,MATCH(Validation!E6195,Lists!G:G,0))</f>
        <v>Amount must be rounded to the nearest dollar.</v>
      </c>
      <c r="H6195" s="16" t="str">
        <f t="shared" ca="1" si="684"/>
        <v/>
      </c>
      <c r="I6195" s="16" t="str">
        <f t="shared" ca="1" si="685"/>
        <v/>
      </c>
      <c r="J6195" s="17" t="str">
        <f t="shared" ca="1" si="686"/>
        <v/>
      </c>
    </row>
    <row r="6196" spans="1:10" x14ac:dyDescent="0.25">
      <c r="A6196" t="s">
        <v>944</v>
      </c>
      <c r="B6196" t="str">
        <f>ADDRESS(ROW('Loan 1'!$B$32),COLUMN('Loan 1'!$B$32),4)</f>
        <v>B32</v>
      </c>
      <c r="C6196" t="str">
        <f>ADDRESS(ROW('Loan 1'!$D$32),COLUMN('Loan 1'!$D$32),4)</f>
        <v>D32</v>
      </c>
      <c r="D6196" t="b" cm="1">
        <f t="array" aca="1" ref="D6196" ca="1">IF(INDIRECT("'"&amp;A6196&amp;"'!"&amp;B6196)="",FALSE,IF(TRUNC(INDIRECT("'"&amp;A6196&amp;"'!"&amp;B6196))=INDIRECT("'"&amp;A6196&amp;"'!"&amp;B6196),FALSE,TRUE))</f>
        <v>0</v>
      </c>
      <c r="E6196" t="s">
        <v>436</v>
      </c>
      <c r="F6196" t="str">
        <f>INDEX(Lists!I:I,MATCH(Validation!E6196,Lists!G:G,0))</f>
        <v>Error</v>
      </c>
      <c r="G6196" t="str">
        <f>INDEX(Lists!H:H,MATCH(Validation!E6196,Lists!G:G,0))</f>
        <v>Amount must be rounded to the nearest dollar.</v>
      </c>
      <c r="H6196" s="16" t="str">
        <f t="shared" ca="1" si="684"/>
        <v/>
      </c>
      <c r="I6196" s="16" t="str">
        <f t="shared" ca="1" si="685"/>
        <v/>
      </c>
      <c r="J6196" s="17" t="str">
        <f t="shared" ca="1" si="686"/>
        <v/>
      </c>
    </row>
    <row r="6197" spans="1:10" x14ac:dyDescent="0.25">
      <c r="A6197" t="s">
        <v>945</v>
      </c>
      <c r="B6197" t="str">
        <f>ADDRESS(ROW('Loan 1'!$B$32),COLUMN('Loan 1'!$B$32),4)</f>
        <v>B32</v>
      </c>
      <c r="C6197" t="str">
        <f>ADDRESS(ROW('Loan 1'!$D$32),COLUMN('Loan 1'!$D$32),4)</f>
        <v>D32</v>
      </c>
      <c r="D6197" t="b" cm="1">
        <f t="array" aca="1" ref="D6197" ca="1">IF(INDIRECT("'"&amp;A6197&amp;"'!"&amp;B6197)="",FALSE,IF(TRUNC(INDIRECT("'"&amp;A6197&amp;"'!"&amp;B6197))=INDIRECT("'"&amp;A6197&amp;"'!"&amp;B6197),FALSE,TRUE))</f>
        <v>0</v>
      </c>
      <c r="E6197" t="s">
        <v>436</v>
      </c>
      <c r="F6197" t="str">
        <f>INDEX(Lists!I:I,MATCH(Validation!E6197,Lists!G:G,0))</f>
        <v>Error</v>
      </c>
      <c r="G6197" t="str">
        <f>INDEX(Lists!H:H,MATCH(Validation!E6197,Lists!G:G,0))</f>
        <v>Amount must be rounded to the nearest dollar.</v>
      </c>
      <c r="H6197" s="16" t="str">
        <f t="shared" ca="1" si="684"/>
        <v/>
      </c>
      <c r="I6197" s="16" t="str">
        <f t="shared" ca="1" si="685"/>
        <v/>
      </c>
      <c r="J6197" s="17" t="str">
        <f t="shared" ca="1" si="686"/>
        <v/>
      </c>
    </row>
    <row r="6198" spans="1:10" x14ac:dyDescent="0.25">
      <c r="A6198" t="s">
        <v>205</v>
      </c>
      <c r="B6198" t="str">
        <f>ADDRESS(ROW('Loan 1'!$C$32),COLUMN('Loan 1'!$C$32),4)</f>
        <v>C32</v>
      </c>
      <c r="C6198" t="str">
        <f>ADDRESS(ROW('Loan 1'!$D$32),COLUMN('Loan 1'!$D$32),4)</f>
        <v>D32</v>
      </c>
      <c r="D6198" t="b" cm="1">
        <f t="array" aca="1" ref="D6198" ca="1">IF(INDIRECT("'"&amp;A6198&amp;"'!"&amp;B6198)="",FALSE,IF(NOT(ISNUMBER(INDIRECT("'"&amp;A6198&amp;"'!"&amp;B6198))),TRUE,FALSE))</f>
        <v>0</v>
      </c>
      <c r="E6198" t="s">
        <v>435</v>
      </c>
      <c r="F6198" t="str">
        <f>INDEX(Lists!I:I,MATCH(Validation!E6198,Lists!G:G,0))</f>
        <v>Error</v>
      </c>
      <c r="G6198" t="str">
        <f>INDEX(Lists!H:H,MATCH(Validation!E6198,Lists!G:G,0))</f>
        <v>Enter an amount only. Do not enter text or spaces.</v>
      </c>
      <c r="H6198" s="16" t="str">
        <f ca="1">IFERROR(IF(OR(NOT(D6198),F6198&lt;&gt;"Error"),"",A6198&amp;CELL("address",INDIRECT(B6198))),"")</f>
        <v/>
      </c>
      <c r="I6198" s="16" t="str">
        <f ca="1">IFERROR(IF(NOT(D6198),"",A6198&amp;CELL("address",INDIRECT(C6198))),"")</f>
        <v/>
      </c>
      <c r="J6198" s="17" t="str">
        <f ca="1">IFERROR(IF(NOT(D6198),"",A6198),"")</f>
        <v/>
      </c>
    </row>
    <row r="6199" spans="1:10" x14ac:dyDescent="0.25">
      <c r="A6199" t="s">
        <v>932</v>
      </c>
      <c r="B6199" t="str">
        <f>ADDRESS(ROW('Loan 1'!$C$32),COLUMN('Loan 1'!$C$32),4)</f>
        <v>C32</v>
      </c>
      <c r="C6199" t="str">
        <f>ADDRESS(ROW('Loan 1'!$D$32),COLUMN('Loan 1'!$D$32),4)</f>
        <v>D32</v>
      </c>
      <c r="D6199" t="b" cm="1">
        <f t="array" aca="1" ref="D6199" ca="1">IF(INDIRECT("'"&amp;A6199&amp;"'!"&amp;B6199)="",FALSE,IF(NOT(ISNUMBER(INDIRECT("'"&amp;A6199&amp;"'!"&amp;B6199))),TRUE,FALSE))</f>
        <v>0</v>
      </c>
      <c r="E6199" t="s">
        <v>435</v>
      </c>
      <c r="F6199" t="str">
        <f>INDEX(Lists!I:I,MATCH(Validation!E6199,Lists!G:G,0))</f>
        <v>Error</v>
      </c>
      <c r="G6199" t="str">
        <f>INDEX(Lists!H:H,MATCH(Validation!E6199,Lists!G:G,0))</f>
        <v>Enter an amount only. Do not enter text or spaces.</v>
      </c>
      <c r="H6199" s="16" t="str">
        <f t="shared" ref="H6199:H6212" ca="1" si="687">IFERROR(IF(OR(NOT(D6199),F6199&lt;&gt;"Error"),"",A6199&amp;CELL("address",INDIRECT(B6199))),"")</f>
        <v/>
      </c>
      <c r="I6199" s="16" t="str">
        <f t="shared" ref="I6199:I6212" ca="1" si="688">IFERROR(IF(NOT(D6199),"",A6199&amp;CELL("address",INDIRECT(C6199))),"")</f>
        <v/>
      </c>
      <c r="J6199" s="17" t="str">
        <f t="shared" ref="J6199:J6212" ca="1" si="689">IFERROR(IF(NOT(D6199),"",A6199),"")</f>
        <v/>
      </c>
    </row>
    <row r="6200" spans="1:10" x14ac:dyDescent="0.25">
      <c r="A6200" t="s">
        <v>933</v>
      </c>
      <c r="B6200" t="str">
        <f>ADDRESS(ROW('Loan 1'!$C$32),COLUMN('Loan 1'!$C$32),4)</f>
        <v>C32</v>
      </c>
      <c r="C6200" t="str">
        <f>ADDRESS(ROW('Loan 1'!$D$32),COLUMN('Loan 1'!$D$32),4)</f>
        <v>D32</v>
      </c>
      <c r="D6200" t="b" cm="1">
        <f t="array" aca="1" ref="D6200" ca="1">IF(INDIRECT("'"&amp;A6200&amp;"'!"&amp;B6200)="",FALSE,IF(NOT(ISNUMBER(INDIRECT("'"&amp;A6200&amp;"'!"&amp;B6200))),TRUE,FALSE))</f>
        <v>0</v>
      </c>
      <c r="E6200" t="s">
        <v>435</v>
      </c>
      <c r="F6200" t="str">
        <f>INDEX(Lists!I:I,MATCH(Validation!E6200,Lists!G:G,0))</f>
        <v>Error</v>
      </c>
      <c r="G6200" t="str">
        <f>INDEX(Lists!H:H,MATCH(Validation!E6200,Lists!G:G,0))</f>
        <v>Enter an amount only. Do not enter text or spaces.</v>
      </c>
      <c r="H6200" s="16" t="str">
        <f t="shared" ca="1" si="687"/>
        <v/>
      </c>
      <c r="I6200" s="16" t="str">
        <f t="shared" ca="1" si="688"/>
        <v/>
      </c>
      <c r="J6200" s="17" t="str">
        <f t="shared" ca="1" si="689"/>
        <v/>
      </c>
    </row>
    <row r="6201" spans="1:10" x14ac:dyDescent="0.25">
      <c r="A6201" t="s">
        <v>934</v>
      </c>
      <c r="B6201" t="str">
        <f>ADDRESS(ROW('Loan 1'!$C$32),COLUMN('Loan 1'!$C$32),4)</f>
        <v>C32</v>
      </c>
      <c r="C6201" t="str">
        <f>ADDRESS(ROW('Loan 1'!$D$32),COLUMN('Loan 1'!$D$32),4)</f>
        <v>D32</v>
      </c>
      <c r="D6201" t="b" cm="1">
        <f t="array" aca="1" ref="D6201" ca="1">IF(INDIRECT("'"&amp;A6201&amp;"'!"&amp;B6201)="",FALSE,IF(NOT(ISNUMBER(INDIRECT("'"&amp;A6201&amp;"'!"&amp;B6201))),TRUE,FALSE))</f>
        <v>0</v>
      </c>
      <c r="E6201" t="s">
        <v>435</v>
      </c>
      <c r="F6201" t="str">
        <f>INDEX(Lists!I:I,MATCH(Validation!E6201,Lists!G:G,0))</f>
        <v>Error</v>
      </c>
      <c r="G6201" t="str">
        <f>INDEX(Lists!H:H,MATCH(Validation!E6201,Lists!G:G,0))</f>
        <v>Enter an amount only. Do not enter text or spaces.</v>
      </c>
      <c r="H6201" s="16" t="str">
        <f t="shared" ca="1" si="687"/>
        <v/>
      </c>
      <c r="I6201" s="16" t="str">
        <f t="shared" ca="1" si="688"/>
        <v/>
      </c>
      <c r="J6201" s="17" t="str">
        <f t="shared" ca="1" si="689"/>
        <v/>
      </c>
    </row>
    <row r="6202" spans="1:10" x14ac:dyDescent="0.25">
      <c r="A6202" t="s">
        <v>935</v>
      </c>
      <c r="B6202" t="str">
        <f>ADDRESS(ROW('Loan 1'!$C$32),COLUMN('Loan 1'!$C$32),4)</f>
        <v>C32</v>
      </c>
      <c r="C6202" t="str">
        <f>ADDRESS(ROW('Loan 1'!$D$32),COLUMN('Loan 1'!$D$32),4)</f>
        <v>D32</v>
      </c>
      <c r="D6202" t="b" cm="1">
        <f t="array" aca="1" ref="D6202" ca="1">IF(INDIRECT("'"&amp;A6202&amp;"'!"&amp;B6202)="",FALSE,IF(NOT(ISNUMBER(INDIRECT("'"&amp;A6202&amp;"'!"&amp;B6202))),TRUE,FALSE))</f>
        <v>0</v>
      </c>
      <c r="E6202" t="s">
        <v>435</v>
      </c>
      <c r="F6202" t="str">
        <f>INDEX(Lists!I:I,MATCH(Validation!E6202,Lists!G:G,0))</f>
        <v>Error</v>
      </c>
      <c r="G6202" t="str">
        <f>INDEX(Lists!H:H,MATCH(Validation!E6202,Lists!G:G,0))</f>
        <v>Enter an amount only. Do not enter text or spaces.</v>
      </c>
      <c r="H6202" s="16" t="str">
        <f t="shared" ca="1" si="687"/>
        <v/>
      </c>
      <c r="I6202" s="16" t="str">
        <f t="shared" ca="1" si="688"/>
        <v/>
      </c>
      <c r="J6202" s="17" t="str">
        <f t="shared" ca="1" si="689"/>
        <v/>
      </c>
    </row>
    <row r="6203" spans="1:10" x14ac:dyDescent="0.25">
      <c r="A6203" t="s">
        <v>936</v>
      </c>
      <c r="B6203" t="str">
        <f>ADDRESS(ROW('Loan 1'!$C$32),COLUMN('Loan 1'!$C$32),4)</f>
        <v>C32</v>
      </c>
      <c r="C6203" t="str">
        <f>ADDRESS(ROW('Loan 1'!$D$32),COLUMN('Loan 1'!$D$32),4)</f>
        <v>D32</v>
      </c>
      <c r="D6203" t="b" cm="1">
        <f t="array" aca="1" ref="D6203" ca="1">IF(INDIRECT("'"&amp;A6203&amp;"'!"&amp;B6203)="",FALSE,IF(NOT(ISNUMBER(INDIRECT("'"&amp;A6203&amp;"'!"&amp;B6203))),TRUE,FALSE))</f>
        <v>0</v>
      </c>
      <c r="E6203" t="s">
        <v>435</v>
      </c>
      <c r="F6203" t="str">
        <f>INDEX(Lists!I:I,MATCH(Validation!E6203,Lists!G:G,0))</f>
        <v>Error</v>
      </c>
      <c r="G6203" t="str">
        <f>INDEX(Lists!H:H,MATCH(Validation!E6203,Lists!G:G,0))</f>
        <v>Enter an amount only. Do not enter text or spaces.</v>
      </c>
      <c r="H6203" s="16" t="str">
        <f t="shared" ca="1" si="687"/>
        <v/>
      </c>
      <c r="I6203" s="16" t="str">
        <f t="shared" ca="1" si="688"/>
        <v/>
      </c>
      <c r="J6203" s="17" t="str">
        <f t="shared" ca="1" si="689"/>
        <v/>
      </c>
    </row>
    <row r="6204" spans="1:10" x14ac:dyDescent="0.25">
      <c r="A6204" t="s">
        <v>937</v>
      </c>
      <c r="B6204" t="str">
        <f>ADDRESS(ROW('Loan 1'!$C$32),COLUMN('Loan 1'!$C$32),4)</f>
        <v>C32</v>
      </c>
      <c r="C6204" t="str">
        <f>ADDRESS(ROW('Loan 1'!$D$32),COLUMN('Loan 1'!$D$32),4)</f>
        <v>D32</v>
      </c>
      <c r="D6204" t="b" cm="1">
        <f t="array" aca="1" ref="D6204" ca="1">IF(INDIRECT("'"&amp;A6204&amp;"'!"&amp;B6204)="",FALSE,IF(NOT(ISNUMBER(INDIRECT("'"&amp;A6204&amp;"'!"&amp;B6204))),TRUE,FALSE))</f>
        <v>0</v>
      </c>
      <c r="E6204" t="s">
        <v>435</v>
      </c>
      <c r="F6204" t="str">
        <f>INDEX(Lists!I:I,MATCH(Validation!E6204,Lists!G:G,0))</f>
        <v>Error</v>
      </c>
      <c r="G6204" t="str">
        <f>INDEX(Lists!H:H,MATCH(Validation!E6204,Lists!G:G,0))</f>
        <v>Enter an amount only. Do not enter text or spaces.</v>
      </c>
      <c r="H6204" s="16" t="str">
        <f t="shared" ca="1" si="687"/>
        <v/>
      </c>
      <c r="I6204" s="16" t="str">
        <f t="shared" ca="1" si="688"/>
        <v/>
      </c>
      <c r="J6204" s="17" t="str">
        <f t="shared" ca="1" si="689"/>
        <v/>
      </c>
    </row>
    <row r="6205" spans="1:10" x14ac:dyDescent="0.25">
      <c r="A6205" t="s">
        <v>938</v>
      </c>
      <c r="B6205" t="str">
        <f>ADDRESS(ROW('Loan 1'!$C$32),COLUMN('Loan 1'!$C$32),4)</f>
        <v>C32</v>
      </c>
      <c r="C6205" t="str">
        <f>ADDRESS(ROW('Loan 1'!$D$32),COLUMN('Loan 1'!$D$32),4)</f>
        <v>D32</v>
      </c>
      <c r="D6205" t="b" cm="1">
        <f t="array" aca="1" ref="D6205" ca="1">IF(INDIRECT("'"&amp;A6205&amp;"'!"&amp;B6205)="",FALSE,IF(NOT(ISNUMBER(INDIRECT("'"&amp;A6205&amp;"'!"&amp;B6205))),TRUE,FALSE))</f>
        <v>0</v>
      </c>
      <c r="E6205" t="s">
        <v>435</v>
      </c>
      <c r="F6205" t="str">
        <f>INDEX(Lists!I:I,MATCH(Validation!E6205,Lists!G:G,0))</f>
        <v>Error</v>
      </c>
      <c r="G6205" t="str">
        <f>INDEX(Lists!H:H,MATCH(Validation!E6205,Lists!G:G,0))</f>
        <v>Enter an amount only. Do not enter text or spaces.</v>
      </c>
      <c r="H6205" s="16" t="str">
        <f t="shared" ca="1" si="687"/>
        <v/>
      </c>
      <c r="I6205" s="16" t="str">
        <f t="shared" ca="1" si="688"/>
        <v/>
      </c>
      <c r="J6205" s="17" t="str">
        <f t="shared" ca="1" si="689"/>
        <v/>
      </c>
    </row>
    <row r="6206" spans="1:10" x14ac:dyDescent="0.25">
      <c r="A6206" t="s">
        <v>939</v>
      </c>
      <c r="B6206" t="str">
        <f>ADDRESS(ROW('Loan 1'!$C$32),COLUMN('Loan 1'!$C$32),4)</f>
        <v>C32</v>
      </c>
      <c r="C6206" t="str">
        <f>ADDRESS(ROW('Loan 1'!$D$32),COLUMN('Loan 1'!$D$32),4)</f>
        <v>D32</v>
      </c>
      <c r="D6206" t="b" cm="1">
        <f t="array" aca="1" ref="D6206" ca="1">IF(INDIRECT("'"&amp;A6206&amp;"'!"&amp;B6206)="",FALSE,IF(NOT(ISNUMBER(INDIRECT("'"&amp;A6206&amp;"'!"&amp;B6206))),TRUE,FALSE))</f>
        <v>0</v>
      </c>
      <c r="E6206" t="s">
        <v>435</v>
      </c>
      <c r="F6206" t="str">
        <f>INDEX(Lists!I:I,MATCH(Validation!E6206,Lists!G:G,0))</f>
        <v>Error</v>
      </c>
      <c r="G6206" t="str">
        <f>INDEX(Lists!H:H,MATCH(Validation!E6206,Lists!G:G,0))</f>
        <v>Enter an amount only. Do not enter text or spaces.</v>
      </c>
      <c r="H6206" s="16" t="str">
        <f t="shared" ca="1" si="687"/>
        <v/>
      </c>
      <c r="I6206" s="16" t="str">
        <f t="shared" ca="1" si="688"/>
        <v/>
      </c>
      <c r="J6206" s="17" t="str">
        <f t="shared" ca="1" si="689"/>
        <v/>
      </c>
    </row>
    <row r="6207" spans="1:10" x14ac:dyDescent="0.25">
      <c r="A6207" t="s">
        <v>940</v>
      </c>
      <c r="B6207" t="str">
        <f>ADDRESS(ROW('Loan 1'!$C$32),COLUMN('Loan 1'!$C$32),4)</f>
        <v>C32</v>
      </c>
      <c r="C6207" t="str">
        <f>ADDRESS(ROW('Loan 1'!$D$32),COLUMN('Loan 1'!$D$32),4)</f>
        <v>D32</v>
      </c>
      <c r="D6207" t="b" cm="1">
        <f t="array" aca="1" ref="D6207" ca="1">IF(INDIRECT("'"&amp;A6207&amp;"'!"&amp;B6207)="",FALSE,IF(NOT(ISNUMBER(INDIRECT("'"&amp;A6207&amp;"'!"&amp;B6207))),TRUE,FALSE))</f>
        <v>0</v>
      </c>
      <c r="E6207" t="s">
        <v>435</v>
      </c>
      <c r="F6207" t="str">
        <f>INDEX(Lists!I:I,MATCH(Validation!E6207,Lists!G:G,0))</f>
        <v>Error</v>
      </c>
      <c r="G6207" t="str">
        <f>INDEX(Lists!H:H,MATCH(Validation!E6207,Lists!G:G,0))</f>
        <v>Enter an amount only. Do not enter text or spaces.</v>
      </c>
      <c r="H6207" s="16" t="str">
        <f t="shared" ca="1" si="687"/>
        <v/>
      </c>
      <c r="I6207" s="16" t="str">
        <f t="shared" ca="1" si="688"/>
        <v/>
      </c>
      <c r="J6207" s="17" t="str">
        <f t="shared" ca="1" si="689"/>
        <v/>
      </c>
    </row>
    <row r="6208" spans="1:10" x14ac:dyDescent="0.25">
      <c r="A6208" t="s">
        <v>941</v>
      </c>
      <c r="B6208" t="str">
        <f>ADDRESS(ROW('Loan 1'!$C$32),COLUMN('Loan 1'!$C$32),4)</f>
        <v>C32</v>
      </c>
      <c r="C6208" t="str">
        <f>ADDRESS(ROW('Loan 1'!$D$32),COLUMN('Loan 1'!$D$32),4)</f>
        <v>D32</v>
      </c>
      <c r="D6208" t="b" cm="1">
        <f t="array" aca="1" ref="D6208" ca="1">IF(INDIRECT("'"&amp;A6208&amp;"'!"&amp;B6208)="",FALSE,IF(NOT(ISNUMBER(INDIRECT("'"&amp;A6208&amp;"'!"&amp;B6208))),TRUE,FALSE))</f>
        <v>0</v>
      </c>
      <c r="E6208" t="s">
        <v>435</v>
      </c>
      <c r="F6208" t="str">
        <f>INDEX(Lists!I:I,MATCH(Validation!E6208,Lists!G:G,0))</f>
        <v>Error</v>
      </c>
      <c r="G6208" t="str">
        <f>INDEX(Lists!H:H,MATCH(Validation!E6208,Lists!G:G,0))</f>
        <v>Enter an amount only. Do not enter text or spaces.</v>
      </c>
      <c r="H6208" s="16" t="str">
        <f t="shared" ca="1" si="687"/>
        <v/>
      </c>
      <c r="I6208" s="16" t="str">
        <f t="shared" ca="1" si="688"/>
        <v/>
      </c>
      <c r="J6208" s="17" t="str">
        <f t="shared" ca="1" si="689"/>
        <v/>
      </c>
    </row>
    <row r="6209" spans="1:10" x14ac:dyDescent="0.25">
      <c r="A6209" t="s">
        <v>942</v>
      </c>
      <c r="B6209" t="str">
        <f>ADDRESS(ROW('Loan 1'!$C$32),COLUMN('Loan 1'!$C$32),4)</f>
        <v>C32</v>
      </c>
      <c r="C6209" t="str">
        <f>ADDRESS(ROW('Loan 1'!$D$32),COLUMN('Loan 1'!$D$32),4)</f>
        <v>D32</v>
      </c>
      <c r="D6209" t="b" cm="1">
        <f t="array" aca="1" ref="D6209" ca="1">IF(INDIRECT("'"&amp;A6209&amp;"'!"&amp;B6209)="",FALSE,IF(NOT(ISNUMBER(INDIRECT("'"&amp;A6209&amp;"'!"&amp;B6209))),TRUE,FALSE))</f>
        <v>0</v>
      </c>
      <c r="E6209" t="s">
        <v>435</v>
      </c>
      <c r="F6209" t="str">
        <f>INDEX(Lists!I:I,MATCH(Validation!E6209,Lists!G:G,0))</f>
        <v>Error</v>
      </c>
      <c r="G6209" t="str">
        <f>INDEX(Lists!H:H,MATCH(Validation!E6209,Lists!G:G,0))</f>
        <v>Enter an amount only. Do not enter text or spaces.</v>
      </c>
      <c r="H6209" s="16" t="str">
        <f t="shared" ca="1" si="687"/>
        <v/>
      </c>
      <c r="I6209" s="16" t="str">
        <f t="shared" ca="1" si="688"/>
        <v/>
      </c>
      <c r="J6209" s="17" t="str">
        <f t="shared" ca="1" si="689"/>
        <v/>
      </c>
    </row>
    <row r="6210" spans="1:10" x14ac:dyDescent="0.25">
      <c r="A6210" t="s">
        <v>943</v>
      </c>
      <c r="B6210" t="str">
        <f>ADDRESS(ROW('Loan 1'!$C$32),COLUMN('Loan 1'!$C$32),4)</f>
        <v>C32</v>
      </c>
      <c r="C6210" t="str">
        <f>ADDRESS(ROW('Loan 1'!$D$32),COLUMN('Loan 1'!$D$32),4)</f>
        <v>D32</v>
      </c>
      <c r="D6210" t="b" cm="1">
        <f t="array" aca="1" ref="D6210" ca="1">IF(INDIRECT("'"&amp;A6210&amp;"'!"&amp;B6210)="",FALSE,IF(NOT(ISNUMBER(INDIRECT("'"&amp;A6210&amp;"'!"&amp;B6210))),TRUE,FALSE))</f>
        <v>0</v>
      </c>
      <c r="E6210" t="s">
        <v>435</v>
      </c>
      <c r="F6210" t="str">
        <f>INDEX(Lists!I:I,MATCH(Validation!E6210,Lists!G:G,0))</f>
        <v>Error</v>
      </c>
      <c r="G6210" t="str">
        <f>INDEX(Lists!H:H,MATCH(Validation!E6210,Lists!G:G,0))</f>
        <v>Enter an amount only. Do not enter text or spaces.</v>
      </c>
      <c r="H6210" s="16" t="str">
        <f t="shared" ca="1" si="687"/>
        <v/>
      </c>
      <c r="I6210" s="16" t="str">
        <f t="shared" ca="1" si="688"/>
        <v/>
      </c>
      <c r="J6210" s="17" t="str">
        <f t="shared" ca="1" si="689"/>
        <v/>
      </c>
    </row>
    <row r="6211" spans="1:10" x14ac:dyDescent="0.25">
      <c r="A6211" t="s">
        <v>944</v>
      </c>
      <c r="B6211" t="str">
        <f>ADDRESS(ROW('Loan 1'!$C$32),COLUMN('Loan 1'!$C$32),4)</f>
        <v>C32</v>
      </c>
      <c r="C6211" t="str">
        <f>ADDRESS(ROW('Loan 1'!$D$32),COLUMN('Loan 1'!$D$32),4)</f>
        <v>D32</v>
      </c>
      <c r="D6211" t="b" cm="1">
        <f t="array" aca="1" ref="D6211" ca="1">IF(INDIRECT("'"&amp;A6211&amp;"'!"&amp;B6211)="",FALSE,IF(NOT(ISNUMBER(INDIRECT("'"&amp;A6211&amp;"'!"&amp;B6211))),TRUE,FALSE))</f>
        <v>0</v>
      </c>
      <c r="E6211" t="s">
        <v>435</v>
      </c>
      <c r="F6211" t="str">
        <f>INDEX(Lists!I:I,MATCH(Validation!E6211,Lists!G:G,0))</f>
        <v>Error</v>
      </c>
      <c r="G6211" t="str">
        <f>INDEX(Lists!H:H,MATCH(Validation!E6211,Lists!G:G,0))</f>
        <v>Enter an amount only. Do not enter text or spaces.</v>
      </c>
      <c r="H6211" s="16" t="str">
        <f t="shared" ca="1" si="687"/>
        <v/>
      </c>
      <c r="I6211" s="16" t="str">
        <f t="shared" ca="1" si="688"/>
        <v/>
      </c>
      <c r="J6211" s="17" t="str">
        <f t="shared" ca="1" si="689"/>
        <v/>
      </c>
    </row>
    <row r="6212" spans="1:10" x14ac:dyDescent="0.25">
      <c r="A6212" t="s">
        <v>945</v>
      </c>
      <c r="B6212" t="str">
        <f>ADDRESS(ROW('Loan 1'!$C$32),COLUMN('Loan 1'!$C$32),4)</f>
        <v>C32</v>
      </c>
      <c r="C6212" t="str">
        <f>ADDRESS(ROW('Loan 1'!$D$32),COLUMN('Loan 1'!$D$32),4)</f>
        <v>D32</v>
      </c>
      <c r="D6212" t="b" cm="1">
        <f t="array" aca="1" ref="D6212" ca="1">IF(INDIRECT("'"&amp;A6212&amp;"'!"&amp;B6212)="",FALSE,IF(NOT(ISNUMBER(INDIRECT("'"&amp;A6212&amp;"'!"&amp;B6212))),TRUE,FALSE))</f>
        <v>0</v>
      </c>
      <c r="E6212" t="s">
        <v>435</v>
      </c>
      <c r="F6212" t="str">
        <f>INDEX(Lists!I:I,MATCH(Validation!E6212,Lists!G:G,0))</f>
        <v>Error</v>
      </c>
      <c r="G6212" t="str">
        <f>INDEX(Lists!H:H,MATCH(Validation!E6212,Lists!G:G,0))</f>
        <v>Enter an amount only. Do not enter text or spaces.</v>
      </c>
      <c r="H6212" s="16" t="str">
        <f t="shared" ca="1" si="687"/>
        <v/>
      </c>
      <c r="I6212" s="16" t="str">
        <f t="shared" ca="1" si="688"/>
        <v/>
      </c>
      <c r="J6212" s="17" t="str">
        <f t="shared" ca="1" si="689"/>
        <v/>
      </c>
    </row>
    <row r="6213" spans="1:10" x14ac:dyDescent="0.25">
      <c r="A6213" t="s">
        <v>205</v>
      </c>
      <c r="B6213" t="str">
        <f>ADDRESS(ROW('Loan 1'!$C$32),COLUMN('Loan 1'!$C$32),4)</f>
        <v>C32</v>
      </c>
      <c r="C6213" t="str">
        <f>ADDRESS(ROW('Loan 1'!$D$32),COLUMN('Loan 1'!$D$32),4)</f>
        <v>D32</v>
      </c>
      <c r="D6213" t="b" cm="1">
        <f t="array" aca="1" ref="D6213" ca="1">IF(INDIRECT("'"&amp;A6213&amp;"'!"&amp;B6213)="",FALSE,IF(INDIRECT("'"&amp;A6213&amp;"'!"&amp;B6213)&lt;0,TRUE,FALSE))</f>
        <v>0</v>
      </c>
      <c r="E6213" t="s">
        <v>434</v>
      </c>
      <c r="F6213" t="str">
        <f>INDEX(Lists!I:I,MATCH(Validation!E6213,Lists!G:G,0))</f>
        <v>Error</v>
      </c>
      <c r="G6213" t="str">
        <f>INDEX(Lists!H:H,MATCH(Validation!E6213,Lists!G:G,0))</f>
        <v>Amount may not be negative. Enter an amount greater than or equal to zero.</v>
      </c>
      <c r="H6213" s="16" t="str">
        <f ca="1">IFERROR(IF(OR(NOT(D6213),F6213&lt;&gt;"Error"),"",A6213&amp;CELL("address",INDIRECT(B6213))),"")</f>
        <v/>
      </c>
      <c r="I6213" s="16" t="str">
        <f ca="1">IFERROR(IF(NOT(D6213),"",A6213&amp;CELL("address",INDIRECT(C6213))),"")</f>
        <v/>
      </c>
      <c r="J6213" s="17" t="str">
        <f ca="1">IFERROR(IF(NOT(D6213),"",A6213),"")</f>
        <v/>
      </c>
    </row>
    <row r="6214" spans="1:10" x14ac:dyDescent="0.25">
      <c r="A6214" t="s">
        <v>932</v>
      </c>
      <c r="B6214" t="str">
        <f>ADDRESS(ROW('Loan 1'!$C$32),COLUMN('Loan 1'!$C$32),4)</f>
        <v>C32</v>
      </c>
      <c r="C6214" t="str">
        <f>ADDRESS(ROW('Loan 1'!$D$32),COLUMN('Loan 1'!$D$32),4)</f>
        <v>D32</v>
      </c>
      <c r="D6214" t="b" cm="1">
        <f t="array" aca="1" ref="D6214" ca="1">IF(INDIRECT("'"&amp;A6214&amp;"'!"&amp;B6214)="",FALSE,IF(INDIRECT("'"&amp;A6214&amp;"'!"&amp;B6214)&lt;0,TRUE,FALSE))</f>
        <v>0</v>
      </c>
      <c r="E6214" t="s">
        <v>434</v>
      </c>
      <c r="F6214" t="str">
        <f>INDEX(Lists!I:I,MATCH(Validation!E6214,Lists!G:G,0))</f>
        <v>Error</v>
      </c>
      <c r="G6214" t="str">
        <f>INDEX(Lists!H:H,MATCH(Validation!E6214,Lists!G:G,0))</f>
        <v>Amount may not be negative. Enter an amount greater than or equal to zero.</v>
      </c>
      <c r="H6214" s="16" t="str">
        <f t="shared" ref="H6214:H6272" ca="1" si="690">IFERROR(IF(OR(NOT(D6214),F6214&lt;&gt;"Error"),"",A6214&amp;CELL("address",INDIRECT(B6214))),"")</f>
        <v/>
      </c>
      <c r="I6214" s="16" t="str">
        <f t="shared" ref="I6214:I6272" ca="1" si="691">IFERROR(IF(NOT(D6214),"",A6214&amp;CELL("address",INDIRECT(C6214))),"")</f>
        <v/>
      </c>
      <c r="J6214" s="17" t="str">
        <f t="shared" ref="J6214:J6272" ca="1" si="692">IFERROR(IF(NOT(D6214),"",A6214),"")</f>
        <v/>
      </c>
    </row>
    <row r="6215" spans="1:10" x14ac:dyDescent="0.25">
      <c r="A6215" t="s">
        <v>933</v>
      </c>
      <c r="B6215" t="str">
        <f>ADDRESS(ROW('Loan 1'!$C$32),COLUMN('Loan 1'!$C$32),4)</f>
        <v>C32</v>
      </c>
      <c r="C6215" t="str">
        <f>ADDRESS(ROW('Loan 1'!$D$32),COLUMN('Loan 1'!$D$32),4)</f>
        <v>D32</v>
      </c>
      <c r="D6215" t="b" cm="1">
        <f t="array" aca="1" ref="D6215" ca="1">IF(INDIRECT("'"&amp;A6215&amp;"'!"&amp;B6215)="",FALSE,IF(INDIRECT("'"&amp;A6215&amp;"'!"&amp;B6215)&lt;0,TRUE,FALSE))</f>
        <v>0</v>
      </c>
      <c r="E6215" t="s">
        <v>434</v>
      </c>
      <c r="F6215" t="str">
        <f>INDEX(Lists!I:I,MATCH(Validation!E6215,Lists!G:G,0))</f>
        <v>Error</v>
      </c>
      <c r="G6215" t="str">
        <f>INDEX(Lists!H:H,MATCH(Validation!E6215,Lists!G:G,0))</f>
        <v>Amount may not be negative. Enter an amount greater than or equal to zero.</v>
      </c>
      <c r="H6215" s="16" t="str">
        <f t="shared" ca="1" si="690"/>
        <v/>
      </c>
      <c r="I6215" s="16" t="str">
        <f t="shared" ca="1" si="691"/>
        <v/>
      </c>
      <c r="J6215" s="17" t="str">
        <f t="shared" ca="1" si="692"/>
        <v/>
      </c>
    </row>
    <row r="6216" spans="1:10" x14ac:dyDescent="0.25">
      <c r="A6216" t="s">
        <v>934</v>
      </c>
      <c r="B6216" t="str">
        <f>ADDRESS(ROW('Loan 1'!$C$32),COLUMN('Loan 1'!$C$32),4)</f>
        <v>C32</v>
      </c>
      <c r="C6216" t="str">
        <f>ADDRESS(ROW('Loan 1'!$D$32),COLUMN('Loan 1'!$D$32),4)</f>
        <v>D32</v>
      </c>
      <c r="D6216" t="b" cm="1">
        <f t="array" aca="1" ref="D6216" ca="1">IF(INDIRECT("'"&amp;A6216&amp;"'!"&amp;B6216)="",FALSE,IF(INDIRECT("'"&amp;A6216&amp;"'!"&amp;B6216)&lt;0,TRUE,FALSE))</f>
        <v>0</v>
      </c>
      <c r="E6216" t="s">
        <v>434</v>
      </c>
      <c r="F6216" t="str">
        <f>INDEX(Lists!I:I,MATCH(Validation!E6216,Lists!G:G,0))</f>
        <v>Error</v>
      </c>
      <c r="G6216" t="str">
        <f>INDEX(Lists!H:H,MATCH(Validation!E6216,Lists!G:G,0))</f>
        <v>Amount may not be negative. Enter an amount greater than or equal to zero.</v>
      </c>
      <c r="H6216" s="16" t="str">
        <f t="shared" ca="1" si="690"/>
        <v/>
      </c>
      <c r="I6216" s="16" t="str">
        <f t="shared" ca="1" si="691"/>
        <v/>
      </c>
      <c r="J6216" s="17" t="str">
        <f t="shared" ca="1" si="692"/>
        <v/>
      </c>
    </row>
    <row r="6217" spans="1:10" x14ac:dyDescent="0.25">
      <c r="A6217" t="s">
        <v>935</v>
      </c>
      <c r="B6217" t="str">
        <f>ADDRESS(ROW('Loan 1'!$C$32),COLUMN('Loan 1'!$C$32),4)</f>
        <v>C32</v>
      </c>
      <c r="C6217" t="str">
        <f>ADDRESS(ROW('Loan 1'!$D$32),COLUMN('Loan 1'!$D$32),4)</f>
        <v>D32</v>
      </c>
      <c r="D6217" t="b" cm="1">
        <f t="array" aca="1" ref="D6217" ca="1">IF(INDIRECT("'"&amp;A6217&amp;"'!"&amp;B6217)="",FALSE,IF(INDIRECT("'"&amp;A6217&amp;"'!"&amp;B6217)&lt;0,TRUE,FALSE))</f>
        <v>0</v>
      </c>
      <c r="E6217" t="s">
        <v>434</v>
      </c>
      <c r="F6217" t="str">
        <f>INDEX(Lists!I:I,MATCH(Validation!E6217,Lists!G:G,0))</f>
        <v>Error</v>
      </c>
      <c r="G6217" t="str">
        <f>INDEX(Lists!H:H,MATCH(Validation!E6217,Lists!G:G,0))</f>
        <v>Amount may not be negative. Enter an amount greater than or equal to zero.</v>
      </c>
      <c r="H6217" s="16" t="str">
        <f t="shared" ca="1" si="690"/>
        <v/>
      </c>
      <c r="I6217" s="16" t="str">
        <f t="shared" ca="1" si="691"/>
        <v/>
      </c>
      <c r="J6217" s="17" t="str">
        <f t="shared" ca="1" si="692"/>
        <v/>
      </c>
    </row>
    <row r="6218" spans="1:10" x14ac:dyDescent="0.25">
      <c r="A6218" t="s">
        <v>936</v>
      </c>
      <c r="B6218" t="str">
        <f>ADDRESS(ROW('Loan 1'!$C$32),COLUMN('Loan 1'!$C$32),4)</f>
        <v>C32</v>
      </c>
      <c r="C6218" t="str">
        <f>ADDRESS(ROW('Loan 1'!$D$32),COLUMN('Loan 1'!$D$32),4)</f>
        <v>D32</v>
      </c>
      <c r="D6218" t="b" cm="1">
        <f t="array" aca="1" ref="D6218" ca="1">IF(INDIRECT("'"&amp;A6218&amp;"'!"&amp;B6218)="",FALSE,IF(INDIRECT("'"&amp;A6218&amp;"'!"&amp;B6218)&lt;0,TRUE,FALSE))</f>
        <v>0</v>
      </c>
      <c r="E6218" t="s">
        <v>434</v>
      </c>
      <c r="F6218" t="str">
        <f>INDEX(Lists!I:I,MATCH(Validation!E6218,Lists!G:G,0))</f>
        <v>Error</v>
      </c>
      <c r="G6218" t="str">
        <f>INDEX(Lists!H:H,MATCH(Validation!E6218,Lists!G:G,0))</f>
        <v>Amount may not be negative. Enter an amount greater than or equal to zero.</v>
      </c>
      <c r="H6218" s="16" t="str">
        <f t="shared" ca="1" si="690"/>
        <v/>
      </c>
      <c r="I6218" s="16" t="str">
        <f t="shared" ca="1" si="691"/>
        <v/>
      </c>
      <c r="J6218" s="17" t="str">
        <f t="shared" ca="1" si="692"/>
        <v/>
      </c>
    </row>
    <row r="6219" spans="1:10" x14ac:dyDescent="0.25">
      <c r="A6219" t="s">
        <v>937</v>
      </c>
      <c r="B6219" t="str">
        <f>ADDRESS(ROW('Loan 1'!$C$32),COLUMN('Loan 1'!$C$32),4)</f>
        <v>C32</v>
      </c>
      <c r="C6219" t="str">
        <f>ADDRESS(ROW('Loan 1'!$D$32),COLUMN('Loan 1'!$D$32),4)</f>
        <v>D32</v>
      </c>
      <c r="D6219" t="b" cm="1">
        <f t="array" aca="1" ref="D6219" ca="1">IF(INDIRECT("'"&amp;A6219&amp;"'!"&amp;B6219)="",FALSE,IF(INDIRECT("'"&amp;A6219&amp;"'!"&amp;B6219)&lt;0,TRUE,FALSE))</f>
        <v>0</v>
      </c>
      <c r="E6219" t="s">
        <v>434</v>
      </c>
      <c r="F6219" t="str">
        <f>INDEX(Lists!I:I,MATCH(Validation!E6219,Lists!G:G,0))</f>
        <v>Error</v>
      </c>
      <c r="G6219" t="str">
        <f>INDEX(Lists!H:H,MATCH(Validation!E6219,Lists!G:G,0))</f>
        <v>Amount may not be negative. Enter an amount greater than or equal to zero.</v>
      </c>
      <c r="H6219" s="16" t="str">
        <f t="shared" ca="1" si="690"/>
        <v/>
      </c>
      <c r="I6219" s="16" t="str">
        <f t="shared" ca="1" si="691"/>
        <v/>
      </c>
      <c r="J6219" s="17" t="str">
        <f t="shared" ca="1" si="692"/>
        <v/>
      </c>
    </row>
    <row r="6220" spans="1:10" x14ac:dyDescent="0.25">
      <c r="A6220" t="s">
        <v>938</v>
      </c>
      <c r="B6220" t="str">
        <f>ADDRESS(ROW('Loan 1'!$C$32),COLUMN('Loan 1'!$C$32),4)</f>
        <v>C32</v>
      </c>
      <c r="C6220" t="str">
        <f>ADDRESS(ROW('Loan 1'!$D$32),COLUMN('Loan 1'!$D$32),4)</f>
        <v>D32</v>
      </c>
      <c r="D6220" t="b" cm="1">
        <f t="array" aca="1" ref="D6220" ca="1">IF(INDIRECT("'"&amp;A6220&amp;"'!"&amp;B6220)="",FALSE,IF(INDIRECT("'"&amp;A6220&amp;"'!"&amp;B6220)&lt;0,TRUE,FALSE))</f>
        <v>0</v>
      </c>
      <c r="E6220" t="s">
        <v>434</v>
      </c>
      <c r="F6220" t="str">
        <f>INDEX(Lists!I:I,MATCH(Validation!E6220,Lists!G:G,0))</f>
        <v>Error</v>
      </c>
      <c r="G6220" t="str">
        <f>INDEX(Lists!H:H,MATCH(Validation!E6220,Lists!G:G,0))</f>
        <v>Amount may not be negative. Enter an amount greater than or equal to zero.</v>
      </c>
      <c r="H6220" s="16" t="str">
        <f t="shared" ca="1" si="690"/>
        <v/>
      </c>
      <c r="I6220" s="16" t="str">
        <f t="shared" ca="1" si="691"/>
        <v/>
      </c>
      <c r="J6220" s="17" t="str">
        <f t="shared" ca="1" si="692"/>
        <v/>
      </c>
    </row>
    <row r="6221" spans="1:10" x14ac:dyDescent="0.25">
      <c r="A6221" t="s">
        <v>939</v>
      </c>
      <c r="B6221" t="str">
        <f>ADDRESS(ROW('Loan 1'!$C$32),COLUMN('Loan 1'!$C$32),4)</f>
        <v>C32</v>
      </c>
      <c r="C6221" t="str">
        <f>ADDRESS(ROW('Loan 1'!$D$32),COLUMN('Loan 1'!$D$32),4)</f>
        <v>D32</v>
      </c>
      <c r="D6221" t="b" cm="1">
        <f t="array" aca="1" ref="D6221" ca="1">IF(INDIRECT("'"&amp;A6221&amp;"'!"&amp;B6221)="",FALSE,IF(INDIRECT("'"&amp;A6221&amp;"'!"&amp;B6221)&lt;0,TRUE,FALSE))</f>
        <v>0</v>
      </c>
      <c r="E6221" t="s">
        <v>434</v>
      </c>
      <c r="F6221" t="str">
        <f>INDEX(Lists!I:I,MATCH(Validation!E6221,Lists!G:G,0))</f>
        <v>Error</v>
      </c>
      <c r="G6221" t="str">
        <f>INDEX(Lists!H:H,MATCH(Validation!E6221,Lists!G:G,0))</f>
        <v>Amount may not be negative. Enter an amount greater than or equal to zero.</v>
      </c>
      <c r="H6221" s="16" t="str">
        <f t="shared" ca="1" si="690"/>
        <v/>
      </c>
      <c r="I6221" s="16" t="str">
        <f t="shared" ca="1" si="691"/>
        <v/>
      </c>
      <c r="J6221" s="17" t="str">
        <f t="shared" ca="1" si="692"/>
        <v/>
      </c>
    </row>
    <row r="6222" spans="1:10" x14ac:dyDescent="0.25">
      <c r="A6222" t="s">
        <v>940</v>
      </c>
      <c r="B6222" t="str">
        <f>ADDRESS(ROW('Loan 1'!$C$32),COLUMN('Loan 1'!$C$32),4)</f>
        <v>C32</v>
      </c>
      <c r="C6222" t="str">
        <f>ADDRESS(ROW('Loan 1'!$D$32),COLUMN('Loan 1'!$D$32),4)</f>
        <v>D32</v>
      </c>
      <c r="D6222" t="b" cm="1">
        <f t="array" aca="1" ref="D6222" ca="1">IF(INDIRECT("'"&amp;A6222&amp;"'!"&amp;B6222)="",FALSE,IF(INDIRECT("'"&amp;A6222&amp;"'!"&amp;B6222)&lt;0,TRUE,FALSE))</f>
        <v>0</v>
      </c>
      <c r="E6222" t="s">
        <v>434</v>
      </c>
      <c r="F6222" t="str">
        <f>INDEX(Lists!I:I,MATCH(Validation!E6222,Lists!G:G,0))</f>
        <v>Error</v>
      </c>
      <c r="G6222" t="str">
        <f>INDEX(Lists!H:H,MATCH(Validation!E6222,Lists!G:G,0))</f>
        <v>Amount may not be negative. Enter an amount greater than or equal to zero.</v>
      </c>
      <c r="H6222" s="16" t="str">
        <f t="shared" ca="1" si="690"/>
        <v/>
      </c>
      <c r="I6222" s="16" t="str">
        <f t="shared" ca="1" si="691"/>
        <v/>
      </c>
      <c r="J6222" s="17" t="str">
        <f t="shared" ca="1" si="692"/>
        <v/>
      </c>
    </row>
    <row r="6223" spans="1:10" x14ac:dyDescent="0.25">
      <c r="A6223" t="s">
        <v>941</v>
      </c>
      <c r="B6223" t="str">
        <f>ADDRESS(ROW('Loan 1'!$C$32),COLUMN('Loan 1'!$C$32),4)</f>
        <v>C32</v>
      </c>
      <c r="C6223" t="str">
        <f>ADDRESS(ROW('Loan 1'!$D$32),COLUMN('Loan 1'!$D$32),4)</f>
        <v>D32</v>
      </c>
      <c r="D6223" t="b" cm="1">
        <f t="array" aca="1" ref="D6223" ca="1">IF(INDIRECT("'"&amp;A6223&amp;"'!"&amp;B6223)="",FALSE,IF(INDIRECT("'"&amp;A6223&amp;"'!"&amp;B6223)&lt;0,TRUE,FALSE))</f>
        <v>0</v>
      </c>
      <c r="E6223" t="s">
        <v>434</v>
      </c>
      <c r="F6223" t="str">
        <f>INDEX(Lists!I:I,MATCH(Validation!E6223,Lists!G:G,0))</f>
        <v>Error</v>
      </c>
      <c r="G6223" t="str">
        <f>INDEX(Lists!H:H,MATCH(Validation!E6223,Lists!G:G,0))</f>
        <v>Amount may not be negative. Enter an amount greater than or equal to zero.</v>
      </c>
      <c r="H6223" s="16" t="str">
        <f t="shared" ca="1" si="690"/>
        <v/>
      </c>
      <c r="I6223" s="16" t="str">
        <f t="shared" ca="1" si="691"/>
        <v/>
      </c>
      <c r="J6223" s="17" t="str">
        <f t="shared" ca="1" si="692"/>
        <v/>
      </c>
    </row>
    <row r="6224" spans="1:10" x14ac:dyDescent="0.25">
      <c r="A6224" t="s">
        <v>942</v>
      </c>
      <c r="B6224" t="str">
        <f>ADDRESS(ROW('Loan 1'!$C$32),COLUMN('Loan 1'!$C$32),4)</f>
        <v>C32</v>
      </c>
      <c r="C6224" t="str">
        <f>ADDRESS(ROW('Loan 1'!$D$32),COLUMN('Loan 1'!$D$32),4)</f>
        <v>D32</v>
      </c>
      <c r="D6224" t="b" cm="1">
        <f t="array" aca="1" ref="D6224" ca="1">IF(INDIRECT("'"&amp;A6224&amp;"'!"&amp;B6224)="",FALSE,IF(INDIRECT("'"&amp;A6224&amp;"'!"&amp;B6224)&lt;0,TRUE,FALSE))</f>
        <v>0</v>
      </c>
      <c r="E6224" t="s">
        <v>434</v>
      </c>
      <c r="F6224" t="str">
        <f>INDEX(Lists!I:I,MATCH(Validation!E6224,Lists!G:G,0))</f>
        <v>Error</v>
      </c>
      <c r="G6224" t="str">
        <f>INDEX(Lists!H:H,MATCH(Validation!E6224,Lists!G:G,0))</f>
        <v>Amount may not be negative. Enter an amount greater than or equal to zero.</v>
      </c>
      <c r="H6224" s="16" t="str">
        <f t="shared" ca="1" si="690"/>
        <v/>
      </c>
      <c r="I6224" s="16" t="str">
        <f t="shared" ca="1" si="691"/>
        <v/>
      </c>
      <c r="J6224" s="17" t="str">
        <f t="shared" ca="1" si="692"/>
        <v/>
      </c>
    </row>
    <row r="6225" spans="1:10" x14ac:dyDescent="0.25">
      <c r="A6225" t="s">
        <v>943</v>
      </c>
      <c r="B6225" t="str">
        <f>ADDRESS(ROW('Loan 1'!$C$32),COLUMN('Loan 1'!$C$32),4)</f>
        <v>C32</v>
      </c>
      <c r="C6225" t="str">
        <f>ADDRESS(ROW('Loan 1'!$D$32),COLUMN('Loan 1'!$D$32),4)</f>
        <v>D32</v>
      </c>
      <c r="D6225" t="b" cm="1">
        <f t="array" aca="1" ref="D6225" ca="1">IF(INDIRECT("'"&amp;A6225&amp;"'!"&amp;B6225)="",FALSE,IF(INDIRECT("'"&amp;A6225&amp;"'!"&amp;B6225)&lt;0,TRUE,FALSE))</f>
        <v>0</v>
      </c>
      <c r="E6225" t="s">
        <v>434</v>
      </c>
      <c r="F6225" t="str">
        <f>INDEX(Lists!I:I,MATCH(Validation!E6225,Lists!G:G,0))</f>
        <v>Error</v>
      </c>
      <c r="G6225" t="str">
        <f>INDEX(Lists!H:H,MATCH(Validation!E6225,Lists!G:G,0))</f>
        <v>Amount may not be negative. Enter an amount greater than or equal to zero.</v>
      </c>
      <c r="H6225" s="16" t="str">
        <f t="shared" ca="1" si="690"/>
        <v/>
      </c>
      <c r="I6225" s="16" t="str">
        <f t="shared" ca="1" si="691"/>
        <v/>
      </c>
      <c r="J6225" s="17" t="str">
        <f t="shared" ca="1" si="692"/>
        <v/>
      </c>
    </row>
    <row r="6226" spans="1:10" x14ac:dyDescent="0.25">
      <c r="A6226" t="s">
        <v>944</v>
      </c>
      <c r="B6226" t="str">
        <f>ADDRESS(ROW('Loan 1'!$C$32),COLUMN('Loan 1'!$C$32),4)</f>
        <v>C32</v>
      </c>
      <c r="C6226" t="str">
        <f>ADDRESS(ROW('Loan 1'!$D$32),COLUMN('Loan 1'!$D$32),4)</f>
        <v>D32</v>
      </c>
      <c r="D6226" t="b" cm="1">
        <f t="array" aca="1" ref="D6226" ca="1">IF(INDIRECT("'"&amp;A6226&amp;"'!"&amp;B6226)="",FALSE,IF(INDIRECT("'"&amp;A6226&amp;"'!"&amp;B6226)&lt;0,TRUE,FALSE))</f>
        <v>0</v>
      </c>
      <c r="E6226" t="s">
        <v>434</v>
      </c>
      <c r="F6226" t="str">
        <f>INDEX(Lists!I:I,MATCH(Validation!E6226,Lists!G:G,0))</f>
        <v>Error</v>
      </c>
      <c r="G6226" t="str">
        <f>INDEX(Lists!H:H,MATCH(Validation!E6226,Lists!G:G,0))</f>
        <v>Amount may not be negative. Enter an amount greater than or equal to zero.</v>
      </c>
      <c r="H6226" s="16" t="str">
        <f t="shared" ca="1" si="690"/>
        <v/>
      </c>
      <c r="I6226" s="16" t="str">
        <f t="shared" ca="1" si="691"/>
        <v/>
      </c>
      <c r="J6226" s="17" t="str">
        <f t="shared" ca="1" si="692"/>
        <v/>
      </c>
    </row>
    <row r="6227" spans="1:10" x14ac:dyDescent="0.25">
      <c r="A6227" t="s">
        <v>945</v>
      </c>
      <c r="B6227" t="str">
        <f>ADDRESS(ROW('Loan 1'!$C$32),COLUMN('Loan 1'!$C$32),4)</f>
        <v>C32</v>
      </c>
      <c r="C6227" t="str">
        <f>ADDRESS(ROW('Loan 1'!$D$32),COLUMN('Loan 1'!$D$32),4)</f>
        <v>D32</v>
      </c>
      <c r="D6227" t="b" cm="1">
        <f t="array" aca="1" ref="D6227" ca="1">IF(INDIRECT("'"&amp;A6227&amp;"'!"&amp;B6227)="",FALSE,IF(INDIRECT("'"&amp;A6227&amp;"'!"&amp;B6227)&lt;0,TRUE,FALSE))</f>
        <v>0</v>
      </c>
      <c r="E6227" t="s">
        <v>434</v>
      </c>
      <c r="F6227" t="str">
        <f>INDEX(Lists!I:I,MATCH(Validation!E6227,Lists!G:G,0))</f>
        <v>Error</v>
      </c>
      <c r="G6227" t="str">
        <f>INDEX(Lists!H:H,MATCH(Validation!E6227,Lists!G:G,0))</f>
        <v>Amount may not be negative. Enter an amount greater than or equal to zero.</v>
      </c>
      <c r="H6227" s="16" t="str">
        <f t="shared" ca="1" si="690"/>
        <v/>
      </c>
      <c r="I6227" s="16" t="str">
        <f t="shared" ca="1" si="691"/>
        <v/>
      </c>
      <c r="J6227" s="17" t="str">
        <f t="shared" ca="1" si="692"/>
        <v/>
      </c>
    </row>
    <row r="6228" spans="1:10" x14ac:dyDescent="0.25">
      <c r="A6228" t="s">
        <v>205</v>
      </c>
      <c r="B6228" t="str">
        <f>ADDRESS(ROW('Loan 1'!$C$32),COLUMN('Loan 1'!$C$32),4)</f>
        <v>C32</v>
      </c>
      <c r="C6228" t="str">
        <f>ADDRESS(ROW('Loan 1'!$D$32),COLUMN('Loan 1'!$D$32),4)</f>
        <v>D32</v>
      </c>
      <c r="D6228" t="b" cm="1">
        <f t="array" aca="1" ref="D6228" ca="1">IF(INDIRECT("'"&amp;A6228&amp;"'!"&amp;B6228)="",FALSE,IF(TRUNC(INDIRECT("'"&amp;A6228&amp;"'!"&amp;B6228))=INDIRECT("'"&amp;A6228&amp;"'!"&amp;B6228),FALSE,TRUE))</f>
        <v>0</v>
      </c>
      <c r="E6228" t="s">
        <v>436</v>
      </c>
      <c r="F6228" t="str">
        <f>INDEX(Lists!I:I,MATCH(Validation!E6228,Lists!G:G,0))</f>
        <v>Error</v>
      </c>
      <c r="G6228" t="str">
        <f>INDEX(Lists!H:H,MATCH(Validation!E6228,Lists!G:G,0))</f>
        <v>Amount must be rounded to the nearest dollar.</v>
      </c>
      <c r="H6228" s="16" t="str">
        <f t="shared" ca="1" si="690"/>
        <v/>
      </c>
      <c r="I6228" s="16" t="str">
        <f t="shared" ca="1" si="691"/>
        <v/>
      </c>
      <c r="J6228" s="17" t="str">
        <f t="shared" ca="1" si="692"/>
        <v/>
      </c>
    </row>
    <row r="6229" spans="1:10" x14ac:dyDescent="0.25">
      <c r="A6229" t="s">
        <v>932</v>
      </c>
      <c r="B6229" t="str">
        <f>ADDRESS(ROW('Loan 1'!$C$32),COLUMN('Loan 1'!$C$32),4)</f>
        <v>C32</v>
      </c>
      <c r="C6229" t="str">
        <f>ADDRESS(ROW('Loan 1'!$D$32),COLUMN('Loan 1'!$D$32),4)</f>
        <v>D32</v>
      </c>
      <c r="D6229" t="b" cm="1">
        <f t="array" aca="1" ref="D6229" ca="1">IF(INDIRECT("'"&amp;A6229&amp;"'!"&amp;B6229)="",FALSE,IF(TRUNC(INDIRECT("'"&amp;A6229&amp;"'!"&amp;B6229))=INDIRECT("'"&amp;A6229&amp;"'!"&amp;B6229),FALSE,TRUE))</f>
        <v>0</v>
      </c>
      <c r="E6229" t="s">
        <v>436</v>
      </c>
      <c r="F6229" t="str">
        <f>INDEX(Lists!I:I,MATCH(Validation!E6229,Lists!G:G,0))</f>
        <v>Error</v>
      </c>
      <c r="G6229" t="str">
        <f>INDEX(Lists!H:H,MATCH(Validation!E6229,Lists!G:G,0))</f>
        <v>Amount must be rounded to the nearest dollar.</v>
      </c>
      <c r="H6229" s="16" t="str">
        <f t="shared" ca="1" si="690"/>
        <v/>
      </c>
      <c r="I6229" s="16" t="str">
        <f t="shared" ca="1" si="691"/>
        <v/>
      </c>
      <c r="J6229" s="17" t="str">
        <f t="shared" ca="1" si="692"/>
        <v/>
      </c>
    </row>
    <row r="6230" spans="1:10" x14ac:dyDescent="0.25">
      <c r="A6230" t="s">
        <v>933</v>
      </c>
      <c r="B6230" t="str">
        <f>ADDRESS(ROW('Loan 1'!$C$32),COLUMN('Loan 1'!$C$32),4)</f>
        <v>C32</v>
      </c>
      <c r="C6230" t="str">
        <f>ADDRESS(ROW('Loan 1'!$D$32),COLUMN('Loan 1'!$D$32),4)</f>
        <v>D32</v>
      </c>
      <c r="D6230" t="b" cm="1">
        <f t="array" aca="1" ref="D6230" ca="1">IF(INDIRECT("'"&amp;A6230&amp;"'!"&amp;B6230)="",FALSE,IF(TRUNC(INDIRECT("'"&amp;A6230&amp;"'!"&amp;B6230))=INDIRECT("'"&amp;A6230&amp;"'!"&amp;B6230),FALSE,TRUE))</f>
        <v>0</v>
      </c>
      <c r="E6230" t="s">
        <v>436</v>
      </c>
      <c r="F6230" t="str">
        <f>INDEX(Lists!I:I,MATCH(Validation!E6230,Lists!G:G,0))</f>
        <v>Error</v>
      </c>
      <c r="G6230" t="str">
        <f>INDEX(Lists!H:H,MATCH(Validation!E6230,Lists!G:G,0))</f>
        <v>Amount must be rounded to the nearest dollar.</v>
      </c>
      <c r="H6230" s="16" t="str">
        <f t="shared" ca="1" si="690"/>
        <v/>
      </c>
      <c r="I6230" s="16" t="str">
        <f t="shared" ca="1" si="691"/>
        <v/>
      </c>
      <c r="J6230" s="17" t="str">
        <f t="shared" ca="1" si="692"/>
        <v/>
      </c>
    </row>
    <row r="6231" spans="1:10" x14ac:dyDescent="0.25">
      <c r="A6231" t="s">
        <v>934</v>
      </c>
      <c r="B6231" t="str">
        <f>ADDRESS(ROW('Loan 1'!$C$32),COLUMN('Loan 1'!$C$32),4)</f>
        <v>C32</v>
      </c>
      <c r="C6231" t="str">
        <f>ADDRESS(ROW('Loan 1'!$D$32),COLUMN('Loan 1'!$D$32),4)</f>
        <v>D32</v>
      </c>
      <c r="D6231" t="b" cm="1">
        <f t="array" aca="1" ref="D6231" ca="1">IF(INDIRECT("'"&amp;A6231&amp;"'!"&amp;B6231)="",FALSE,IF(TRUNC(INDIRECT("'"&amp;A6231&amp;"'!"&amp;B6231))=INDIRECT("'"&amp;A6231&amp;"'!"&amp;B6231),FALSE,TRUE))</f>
        <v>0</v>
      </c>
      <c r="E6231" t="s">
        <v>436</v>
      </c>
      <c r="F6231" t="str">
        <f>INDEX(Lists!I:I,MATCH(Validation!E6231,Lists!G:G,0))</f>
        <v>Error</v>
      </c>
      <c r="G6231" t="str">
        <f>INDEX(Lists!H:H,MATCH(Validation!E6231,Lists!G:G,0))</f>
        <v>Amount must be rounded to the nearest dollar.</v>
      </c>
      <c r="H6231" s="16" t="str">
        <f t="shared" ca="1" si="690"/>
        <v/>
      </c>
      <c r="I6231" s="16" t="str">
        <f t="shared" ca="1" si="691"/>
        <v/>
      </c>
      <c r="J6231" s="17" t="str">
        <f t="shared" ca="1" si="692"/>
        <v/>
      </c>
    </row>
    <row r="6232" spans="1:10" x14ac:dyDescent="0.25">
      <c r="A6232" t="s">
        <v>935</v>
      </c>
      <c r="B6232" t="str">
        <f>ADDRESS(ROW('Loan 1'!$C$32),COLUMN('Loan 1'!$C$32),4)</f>
        <v>C32</v>
      </c>
      <c r="C6232" t="str">
        <f>ADDRESS(ROW('Loan 1'!$D$32),COLUMN('Loan 1'!$D$32),4)</f>
        <v>D32</v>
      </c>
      <c r="D6232" t="b" cm="1">
        <f t="array" aca="1" ref="D6232" ca="1">IF(INDIRECT("'"&amp;A6232&amp;"'!"&amp;B6232)="",FALSE,IF(TRUNC(INDIRECT("'"&amp;A6232&amp;"'!"&amp;B6232))=INDIRECT("'"&amp;A6232&amp;"'!"&amp;B6232),FALSE,TRUE))</f>
        <v>0</v>
      </c>
      <c r="E6232" t="s">
        <v>436</v>
      </c>
      <c r="F6232" t="str">
        <f>INDEX(Lists!I:I,MATCH(Validation!E6232,Lists!G:G,0))</f>
        <v>Error</v>
      </c>
      <c r="G6232" t="str">
        <f>INDEX(Lists!H:H,MATCH(Validation!E6232,Lists!G:G,0))</f>
        <v>Amount must be rounded to the nearest dollar.</v>
      </c>
      <c r="H6232" s="16" t="str">
        <f t="shared" ca="1" si="690"/>
        <v/>
      </c>
      <c r="I6232" s="16" t="str">
        <f t="shared" ca="1" si="691"/>
        <v/>
      </c>
      <c r="J6232" s="17" t="str">
        <f t="shared" ca="1" si="692"/>
        <v/>
      </c>
    </row>
    <row r="6233" spans="1:10" x14ac:dyDescent="0.25">
      <c r="A6233" t="s">
        <v>936</v>
      </c>
      <c r="B6233" t="str">
        <f>ADDRESS(ROW('Loan 1'!$C$32),COLUMN('Loan 1'!$C$32),4)</f>
        <v>C32</v>
      </c>
      <c r="C6233" t="str">
        <f>ADDRESS(ROW('Loan 1'!$D$32),COLUMN('Loan 1'!$D$32),4)</f>
        <v>D32</v>
      </c>
      <c r="D6233" t="b" cm="1">
        <f t="array" aca="1" ref="D6233" ca="1">IF(INDIRECT("'"&amp;A6233&amp;"'!"&amp;B6233)="",FALSE,IF(TRUNC(INDIRECT("'"&amp;A6233&amp;"'!"&amp;B6233))=INDIRECT("'"&amp;A6233&amp;"'!"&amp;B6233),FALSE,TRUE))</f>
        <v>0</v>
      </c>
      <c r="E6233" t="s">
        <v>436</v>
      </c>
      <c r="F6233" t="str">
        <f>INDEX(Lists!I:I,MATCH(Validation!E6233,Lists!G:G,0))</f>
        <v>Error</v>
      </c>
      <c r="G6233" t="str">
        <f>INDEX(Lists!H:H,MATCH(Validation!E6233,Lists!G:G,0))</f>
        <v>Amount must be rounded to the nearest dollar.</v>
      </c>
      <c r="H6233" s="16" t="str">
        <f t="shared" ca="1" si="690"/>
        <v/>
      </c>
      <c r="I6233" s="16" t="str">
        <f t="shared" ca="1" si="691"/>
        <v/>
      </c>
      <c r="J6233" s="17" t="str">
        <f t="shared" ca="1" si="692"/>
        <v/>
      </c>
    </row>
    <row r="6234" spans="1:10" x14ac:dyDescent="0.25">
      <c r="A6234" t="s">
        <v>937</v>
      </c>
      <c r="B6234" t="str">
        <f>ADDRESS(ROW('Loan 1'!$C$32),COLUMN('Loan 1'!$C$32),4)</f>
        <v>C32</v>
      </c>
      <c r="C6234" t="str">
        <f>ADDRESS(ROW('Loan 1'!$D$32),COLUMN('Loan 1'!$D$32),4)</f>
        <v>D32</v>
      </c>
      <c r="D6234" t="b" cm="1">
        <f t="array" aca="1" ref="D6234" ca="1">IF(INDIRECT("'"&amp;A6234&amp;"'!"&amp;B6234)="",FALSE,IF(TRUNC(INDIRECT("'"&amp;A6234&amp;"'!"&amp;B6234))=INDIRECT("'"&amp;A6234&amp;"'!"&amp;B6234),FALSE,TRUE))</f>
        <v>0</v>
      </c>
      <c r="E6234" t="s">
        <v>436</v>
      </c>
      <c r="F6234" t="str">
        <f>INDEX(Lists!I:I,MATCH(Validation!E6234,Lists!G:G,0))</f>
        <v>Error</v>
      </c>
      <c r="G6234" t="str">
        <f>INDEX(Lists!H:H,MATCH(Validation!E6234,Lists!G:G,0))</f>
        <v>Amount must be rounded to the nearest dollar.</v>
      </c>
      <c r="H6234" s="16" t="str">
        <f t="shared" ca="1" si="690"/>
        <v/>
      </c>
      <c r="I6234" s="16" t="str">
        <f t="shared" ca="1" si="691"/>
        <v/>
      </c>
      <c r="J6234" s="17" t="str">
        <f t="shared" ca="1" si="692"/>
        <v/>
      </c>
    </row>
    <row r="6235" spans="1:10" x14ac:dyDescent="0.25">
      <c r="A6235" t="s">
        <v>938</v>
      </c>
      <c r="B6235" t="str">
        <f>ADDRESS(ROW('Loan 1'!$C$32),COLUMN('Loan 1'!$C$32),4)</f>
        <v>C32</v>
      </c>
      <c r="C6235" t="str">
        <f>ADDRESS(ROW('Loan 1'!$D$32),COLUMN('Loan 1'!$D$32),4)</f>
        <v>D32</v>
      </c>
      <c r="D6235" t="b" cm="1">
        <f t="array" aca="1" ref="D6235" ca="1">IF(INDIRECT("'"&amp;A6235&amp;"'!"&amp;B6235)="",FALSE,IF(TRUNC(INDIRECT("'"&amp;A6235&amp;"'!"&amp;B6235))=INDIRECT("'"&amp;A6235&amp;"'!"&amp;B6235),FALSE,TRUE))</f>
        <v>0</v>
      </c>
      <c r="E6235" t="s">
        <v>436</v>
      </c>
      <c r="F6235" t="str">
        <f>INDEX(Lists!I:I,MATCH(Validation!E6235,Lists!G:G,0))</f>
        <v>Error</v>
      </c>
      <c r="G6235" t="str">
        <f>INDEX(Lists!H:H,MATCH(Validation!E6235,Lists!G:G,0))</f>
        <v>Amount must be rounded to the nearest dollar.</v>
      </c>
      <c r="H6235" s="16" t="str">
        <f t="shared" ca="1" si="690"/>
        <v/>
      </c>
      <c r="I6235" s="16" t="str">
        <f t="shared" ca="1" si="691"/>
        <v/>
      </c>
      <c r="J6235" s="17" t="str">
        <f t="shared" ca="1" si="692"/>
        <v/>
      </c>
    </row>
    <row r="6236" spans="1:10" x14ac:dyDescent="0.25">
      <c r="A6236" t="s">
        <v>939</v>
      </c>
      <c r="B6236" t="str">
        <f>ADDRESS(ROW('Loan 1'!$C$32),COLUMN('Loan 1'!$C$32),4)</f>
        <v>C32</v>
      </c>
      <c r="C6236" t="str">
        <f>ADDRESS(ROW('Loan 1'!$D$32),COLUMN('Loan 1'!$D$32),4)</f>
        <v>D32</v>
      </c>
      <c r="D6236" t="b" cm="1">
        <f t="array" aca="1" ref="D6236" ca="1">IF(INDIRECT("'"&amp;A6236&amp;"'!"&amp;B6236)="",FALSE,IF(TRUNC(INDIRECT("'"&amp;A6236&amp;"'!"&amp;B6236))=INDIRECT("'"&amp;A6236&amp;"'!"&amp;B6236),FALSE,TRUE))</f>
        <v>0</v>
      </c>
      <c r="E6236" t="s">
        <v>436</v>
      </c>
      <c r="F6236" t="str">
        <f>INDEX(Lists!I:I,MATCH(Validation!E6236,Lists!G:G,0))</f>
        <v>Error</v>
      </c>
      <c r="G6236" t="str">
        <f>INDEX(Lists!H:H,MATCH(Validation!E6236,Lists!G:G,0))</f>
        <v>Amount must be rounded to the nearest dollar.</v>
      </c>
      <c r="H6236" s="16" t="str">
        <f t="shared" ca="1" si="690"/>
        <v/>
      </c>
      <c r="I6236" s="16" t="str">
        <f t="shared" ca="1" si="691"/>
        <v/>
      </c>
      <c r="J6236" s="17" t="str">
        <f t="shared" ca="1" si="692"/>
        <v/>
      </c>
    </row>
    <row r="6237" spans="1:10" x14ac:dyDescent="0.25">
      <c r="A6237" t="s">
        <v>940</v>
      </c>
      <c r="B6237" t="str">
        <f>ADDRESS(ROW('Loan 1'!$C$32),COLUMN('Loan 1'!$C$32),4)</f>
        <v>C32</v>
      </c>
      <c r="C6237" t="str">
        <f>ADDRESS(ROW('Loan 1'!$D$32),COLUMN('Loan 1'!$D$32),4)</f>
        <v>D32</v>
      </c>
      <c r="D6237" t="b" cm="1">
        <f t="array" aca="1" ref="D6237" ca="1">IF(INDIRECT("'"&amp;A6237&amp;"'!"&amp;B6237)="",FALSE,IF(TRUNC(INDIRECT("'"&amp;A6237&amp;"'!"&amp;B6237))=INDIRECT("'"&amp;A6237&amp;"'!"&amp;B6237),FALSE,TRUE))</f>
        <v>0</v>
      </c>
      <c r="E6237" t="s">
        <v>436</v>
      </c>
      <c r="F6237" t="str">
        <f>INDEX(Lists!I:I,MATCH(Validation!E6237,Lists!G:G,0))</f>
        <v>Error</v>
      </c>
      <c r="G6237" t="str">
        <f>INDEX(Lists!H:H,MATCH(Validation!E6237,Lists!G:G,0))</f>
        <v>Amount must be rounded to the nearest dollar.</v>
      </c>
      <c r="H6237" s="16" t="str">
        <f t="shared" ca="1" si="690"/>
        <v/>
      </c>
      <c r="I6237" s="16" t="str">
        <f t="shared" ca="1" si="691"/>
        <v/>
      </c>
      <c r="J6237" s="17" t="str">
        <f t="shared" ca="1" si="692"/>
        <v/>
      </c>
    </row>
    <row r="6238" spans="1:10" x14ac:dyDescent="0.25">
      <c r="A6238" t="s">
        <v>941</v>
      </c>
      <c r="B6238" t="str">
        <f>ADDRESS(ROW('Loan 1'!$C$32),COLUMN('Loan 1'!$C$32),4)</f>
        <v>C32</v>
      </c>
      <c r="C6238" t="str">
        <f>ADDRESS(ROW('Loan 1'!$D$32),COLUMN('Loan 1'!$D$32),4)</f>
        <v>D32</v>
      </c>
      <c r="D6238" t="b" cm="1">
        <f t="array" aca="1" ref="D6238" ca="1">IF(INDIRECT("'"&amp;A6238&amp;"'!"&amp;B6238)="",FALSE,IF(TRUNC(INDIRECT("'"&amp;A6238&amp;"'!"&amp;B6238))=INDIRECT("'"&amp;A6238&amp;"'!"&amp;B6238),FALSE,TRUE))</f>
        <v>0</v>
      </c>
      <c r="E6238" t="s">
        <v>436</v>
      </c>
      <c r="F6238" t="str">
        <f>INDEX(Lists!I:I,MATCH(Validation!E6238,Lists!G:G,0))</f>
        <v>Error</v>
      </c>
      <c r="G6238" t="str">
        <f>INDEX(Lists!H:H,MATCH(Validation!E6238,Lists!G:G,0))</f>
        <v>Amount must be rounded to the nearest dollar.</v>
      </c>
      <c r="H6238" s="16" t="str">
        <f t="shared" ca="1" si="690"/>
        <v/>
      </c>
      <c r="I6238" s="16" t="str">
        <f t="shared" ca="1" si="691"/>
        <v/>
      </c>
      <c r="J6238" s="17" t="str">
        <f t="shared" ca="1" si="692"/>
        <v/>
      </c>
    </row>
    <row r="6239" spans="1:10" x14ac:dyDescent="0.25">
      <c r="A6239" t="s">
        <v>942</v>
      </c>
      <c r="B6239" t="str">
        <f>ADDRESS(ROW('Loan 1'!$C$32),COLUMN('Loan 1'!$C$32),4)</f>
        <v>C32</v>
      </c>
      <c r="C6239" t="str">
        <f>ADDRESS(ROW('Loan 1'!$D$32),COLUMN('Loan 1'!$D$32),4)</f>
        <v>D32</v>
      </c>
      <c r="D6239" t="b" cm="1">
        <f t="array" aca="1" ref="D6239" ca="1">IF(INDIRECT("'"&amp;A6239&amp;"'!"&amp;B6239)="",FALSE,IF(TRUNC(INDIRECT("'"&amp;A6239&amp;"'!"&amp;B6239))=INDIRECT("'"&amp;A6239&amp;"'!"&amp;B6239),FALSE,TRUE))</f>
        <v>0</v>
      </c>
      <c r="E6239" t="s">
        <v>436</v>
      </c>
      <c r="F6239" t="str">
        <f>INDEX(Lists!I:I,MATCH(Validation!E6239,Lists!G:G,0))</f>
        <v>Error</v>
      </c>
      <c r="G6239" t="str">
        <f>INDEX(Lists!H:H,MATCH(Validation!E6239,Lists!G:G,0))</f>
        <v>Amount must be rounded to the nearest dollar.</v>
      </c>
      <c r="H6239" s="16" t="str">
        <f t="shared" ca="1" si="690"/>
        <v/>
      </c>
      <c r="I6239" s="16" t="str">
        <f t="shared" ca="1" si="691"/>
        <v/>
      </c>
      <c r="J6239" s="17" t="str">
        <f t="shared" ca="1" si="692"/>
        <v/>
      </c>
    </row>
    <row r="6240" spans="1:10" x14ac:dyDescent="0.25">
      <c r="A6240" t="s">
        <v>943</v>
      </c>
      <c r="B6240" t="str">
        <f>ADDRESS(ROW('Loan 1'!$C$32),COLUMN('Loan 1'!$C$32),4)</f>
        <v>C32</v>
      </c>
      <c r="C6240" t="str">
        <f>ADDRESS(ROW('Loan 1'!$D$32),COLUMN('Loan 1'!$D$32),4)</f>
        <v>D32</v>
      </c>
      <c r="D6240" t="b" cm="1">
        <f t="array" aca="1" ref="D6240" ca="1">IF(INDIRECT("'"&amp;A6240&amp;"'!"&amp;B6240)="",FALSE,IF(TRUNC(INDIRECT("'"&amp;A6240&amp;"'!"&amp;B6240))=INDIRECT("'"&amp;A6240&amp;"'!"&amp;B6240),FALSE,TRUE))</f>
        <v>0</v>
      </c>
      <c r="E6240" t="s">
        <v>436</v>
      </c>
      <c r="F6240" t="str">
        <f>INDEX(Lists!I:I,MATCH(Validation!E6240,Lists!G:G,0))</f>
        <v>Error</v>
      </c>
      <c r="G6240" t="str">
        <f>INDEX(Lists!H:H,MATCH(Validation!E6240,Lists!G:G,0))</f>
        <v>Amount must be rounded to the nearest dollar.</v>
      </c>
      <c r="H6240" s="16" t="str">
        <f t="shared" ca="1" si="690"/>
        <v/>
      </c>
      <c r="I6240" s="16" t="str">
        <f t="shared" ca="1" si="691"/>
        <v/>
      </c>
      <c r="J6240" s="17" t="str">
        <f t="shared" ca="1" si="692"/>
        <v/>
      </c>
    </row>
    <row r="6241" spans="1:10" x14ac:dyDescent="0.25">
      <c r="A6241" t="s">
        <v>944</v>
      </c>
      <c r="B6241" t="str">
        <f>ADDRESS(ROW('Loan 1'!$C$32),COLUMN('Loan 1'!$C$32),4)</f>
        <v>C32</v>
      </c>
      <c r="C6241" t="str">
        <f>ADDRESS(ROW('Loan 1'!$D$32),COLUMN('Loan 1'!$D$32),4)</f>
        <v>D32</v>
      </c>
      <c r="D6241" t="b" cm="1">
        <f t="array" aca="1" ref="D6241" ca="1">IF(INDIRECT("'"&amp;A6241&amp;"'!"&amp;B6241)="",FALSE,IF(TRUNC(INDIRECT("'"&amp;A6241&amp;"'!"&amp;B6241))=INDIRECT("'"&amp;A6241&amp;"'!"&amp;B6241),FALSE,TRUE))</f>
        <v>0</v>
      </c>
      <c r="E6241" t="s">
        <v>436</v>
      </c>
      <c r="F6241" t="str">
        <f>INDEX(Lists!I:I,MATCH(Validation!E6241,Lists!G:G,0))</f>
        <v>Error</v>
      </c>
      <c r="G6241" t="str">
        <f>INDEX(Lists!H:H,MATCH(Validation!E6241,Lists!G:G,0))</f>
        <v>Amount must be rounded to the nearest dollar.</v>
      </c>
      <c r="H6241" s="16" t="str">
        <f t="shared" ca="1" si="690"/>
        <v/>
      </c>
      <c r="I6241" s="16" t="str">
        <f t="shared" ca="1" si="691"/>
        <v/>
      </c>
      <c r="J6241" s="17" t="str">
        <f t="shared" ca="1" si="692"/>
        <v/>
      </c>
    </row>
    <row r="6242" spans="1:10" x14ac:dyDescent="0.25">
      <c r="A6242" t="s">
        <v>945</v>
      </c>
      <c r="B6242" t="str">
        <f>ADDRESS(ROW('Loan 1'!$C$32),COLUMN('Loan 1'!$C$32),4)</f>
        <v>C32</v>
      </c>
      <c r="C6242" t="str">
        <f>ADDRESS(ROW('Loan 1'!$D$30),COLUMN('Loan 1'!$D$30),4)</f>
        <v>D30</v>
      </c>
      <c r="D6242" t="b" cm="1">
        <f t="array" aca="1" ref="D6242" ca="1">IF(INDIRECT("'"&amp;A6242&amp;"'!"&amp;B6242)="",FALSE,IF(TRUNC(INDIRECT("'"&amp;A6242&amp;"'!"&amp;B6242))=INDIRECT("'"&amp;A6242&amp;"'!"&amp;B6242),FALSE,TRUE))</f>
        <v>0</v>
      </c>
      <c r="E6242" t="s">
        <v>436</v>
      </c>
      <c r="F6242" t="str">
        <f>INDEX(Lists!I:I,MATCH(Validation!E6242,Lists!G:G,0))</f>
        <v>Error</v>
      </c>
      <c r="G6242" t="str">
        <f>INDEX(Lists!H:H,MATCH(Validation!E6242,Lists!G:G,0))</f>
        <v>Amount must be rounded to the nearest dollar.</v>
      </c>
      <c r="H6242" s="16" t="str">
        <f t="shared" ca="1" si="690"/>
        <v/>
      </c>
      <c r="I6242" s="16" t="str">
        <f t="shared" ca="1" si="691"/>
        <v/>
      </c>
      <c r="J6242" s="17" t="str">
        <f t="shared" ca="1" si="692"/>
        <v/>
      </c>
    </row>
    <row r="6243" spans="1:10" x14ac:dyDescent="0.25">
      <c r="A6243" t="s">
        <v>205</v>
      </c>
      <c r="B6243" t="str">
        <f>ADDRESS(ROW('Loan 1'!$B$32),COLUMN('Loan 1'!$B$32),4)</f>
        <v>B32</v>
      </c>
      <c r="C6243" t="str">
        <f>ADDRESS(ROW('Loan 1'!$D$30),COLUMN('Loan 1'!$D$30),4)</f>
        <v>D30</v>
      </c>
      <c r="D6243" t="b">
        <f>IF('Loan 1'!B$10="",FALSE,IF('Loan 1'!B$31+'Loan 1'!B$32='Loan 1'!B$30,FALSE,TRUE))</f>
        <v>1</v>
      </c>
      <c r="E6243" t="s">
        <v>1445</v>
      </c>
      <c r="F6243" t="str">
        <f>INDEX(Lists!I:I,MATCH(Validation!E6243,Lists!G:G,0))</f>
        <v>Error</v>
      </c>
      <c r="G6243" t="str">
        <f>INDEX(Lists!H:H,MATCH(Validation!E6243,Lists!G:G,0))</f>
        <v>The sum of Rows 31 and 32 must equal Row 29.</v>
      </c>
      <c r="H6243" s="16" t="str">
        <f t="shared" ref="H6243:H6257" ca="1" si="693">IFERROR(IF(OR(NOT(D6243),F6243&lt;&gt;"Error"),"",A6243&amp;CELL("address",INDIRECT(B6243))),"")</f>
        <v>Loan 1$B$32</v>
      </c>
      <c r="I6243" s="16" t="str">
        <f t="shared" ref="I6243:I6257" ca="1" si="694">IFERROR(IF(NOT(D6243),"",A6243&amp;CELL("address",INDIRECT(C6243))),"")</f>
        <v>Loan 1$D$30</v>
      </c>
      <c r="J6243" s="17" t="str">
        <f t="shared" ref="J6243:J6257" si="695">IFERROR(IF(NOT(D6243),"",A6243),"")</f>
        <v>Loan 1</v>
      </c>
    </row>
    <row r="6244" spans="1:10" x14ac:dyDescent="0.25">
      <c r="A6244" t="s">
        <v>932</v>
      </c>
      <c r="B6244" t="str">
        <f>ADDRESS(ROW('Loan 1'!$B$32),COLUMN('Loan 1'!$B$32),4)</f>
        <v>B32</v>
      </c>
      <c r="C6244" t="str">
        <f>ADDRESS(ROW('Loan 1'!$D$30),COLUMN('Loan 1'!$D$30),4)</f>
        <v>D30</v>
      </c>
      <c r="D6244" t="b">
        <f>IF('Loan 2'!B$10="",FALSE,IF('Loan 2'!B$31+'Loan 2'!B$32='Loan 2'!B$30,FALSE,TRUE))</f>
        <v>0</v>
      </c>
      <c r="E6244" t="s">
        <v>1445</v>
      </c>
      <c r="F6244" t="str">
        <f>INDEX(Lists!I:I,MATCH(Validation!E6244,Lists!G:G,0))</f>
        <v>Error</v>
      </c>
      <c r="G6244" t="str">
        <f>INDEX(Lists!H:H,MATCH(Validation!E6244,Lists!G:G,0))</f>
        <v>The sum of Rows 31 and 32 must equal Row 29.</v>
      </c>
      <c r="H6244" s="16" t="str">
        <f t="shared" ca="1" si="693"/>
        <v/>
      </c>
      <c r="I6244" s="16" t="str">
        <f t="shared" ca="1" si="694"/>
        <v/>
      </c>
      <c r="J6244" s="17" t="str">
        <f t="shared" si="695"/>
        <v/>
      </c>
    </row>
    <row r="6245" spans="1:10" x14ac:dyDescent="0.25">
      <c r="A6245" t="s">
        <v>933</v>
      </c>
      <c r="B6245" t="str">
        <f>ADDRESS(ROW('Loan 1'!$B$32),COLUMN('Loan 1'!$B$32),4)</f>
        <v>B32</v>
      </c>
      <c r="C6245" t="str">
        <f>ADDRESS(ROW('Loan 1'!$D$30),COLUMN('Loan 1'!$D$30),4)</f>
        <v>D30</v>
      </c>
      <c r="D6245" t="b">
        <f>IF('Loan 3'!B$10="",FALSE,IF('Loan 3'!B$31+'Loan 3'!B$32='Loan 3'!B$30,FALSE,TRUE))</f>
        <v>0</v>
      </c>
      <c r="E6245" t="s">
        <v>1445</v>
      </c>
      <c r="F6245" t="str">
        <f>INDEX(Lists!I:I,MATCH(Validation!E6245,Lists!G:G,0))</f>
        <v>Error</v>
      </c>
      <c r="G6245" t="str">
        <f>INDEX(Lists!H:H,MATCH(Validation!E6245,Lists!G:G,0))</f>
        <v>The sum of Rows 31 and 32 must equal Row 29.</v>
      </c>
      <c r="H6245" s="16" t="str">
        <f t="shared" ca="1" si="693"/>
        <v/>
      </c>
      <c r="I6245" s="16" t="str">
        <f t="shared" ca="1" si="694"/>
        <v/>
      </c>
      <c r="J6245" s="17" t="str">
        <f t="shared" si="695"/>
        <v/>
      </c>
    </row>
    <row r="6246" spans="1:10" x14ac:dyDescent="0.25">
      <c r="A6246" t="s">
        <v>934</v>
      </c>
      <c r="B6246" t="str">
        <f>ADDRESS(ROW('Loan 1'!$B$32),COLUMN('Loan 1'!$B$32),4)</f>
        <v>B32</v>
      </c>
      <c r="C6246" t="str">
        <f>ADDRESS(ROW('Loan 1'!$D$30),COLUMN('Loan 1'!$D$30),4)</f>
        <v>D30</v>
      </c>
      <c r="D6246" t="b">
        <f>IF('Loan 4'!B$10="",FALSE,IF('Loan 4'!B$31+'Loan 4'!B$32='Loan 4'!B$30,FALSE,TRUE))</f>
        <v>0</v>
      </c>
      <c r="E6246" t="s">
        <v>1445</v>
      </c>
      <c r="F6246" t="str">
        <f>INDEX(Lists!I:I,MATCH(Validation!E6246,Lists!G:G,0))</f>
        <v>Error</v>
      </c>
      <c r="G6246" t="str">
        <f>INDEX(Lists!H:H,MATCH(Validation!E6246,Lists!G:G,0))</f>
        <v>The sum of Rows 31 and 32 must equal Row 29.</v>
      </c>
      <c r="H6246" s="16" t="str">
        <f t="shared" ca="1" si="693"/>
        <v/>
      </c>
      <c r="I6246" s="16" t="str">
        <f t="shared" ca="1" si="694"/>
        <v/>
      </c>
      <c r="J6246" s="17" t="str">
        <f t="shared" si="695"/>
        <v/>
      </c>
    </row>
    <row r="6247" spans="1:10" x14ac:dyDescent="0.25">
      <c r="A6247" t="s">
        <v>935</v>
      </c>
      <c r="B6247" t="str">
        <f>ADDRESS(ROW('Loan 1'!$B$32),COLUMN('Loan 1'!$B$32),4)</f>
        <v>B32</v>
      </c>
      <c r="C6247" t="str">
        <f>ADDRESS(ROW('Loan 1'!$D$30),COLUMN('Loan 1'!$D$30),4)</f>
        <v>D30</v>
      </c>
      <c r="D6247" t="b">
        <f>IF('Loan 5'!B$10="",FALSE,IF('Loan 5'!B$31+'Loan 5'!B$32='Loan 5'!B$30,FALSE,TRUE))</f>
        <v>0</v>
      </c>
      <c r="E6247" t="s">
        <v>1445</v>
      </c>
      <c r="F6247" t="str">
        <f>INDEX(Lists!I:I,MATCH(Validation!E6247,Lists!G:G,0))</f>
        <v>Error</v>
      </c>
      <c r="G6247" t="str">
        <f>INDEX(Lists!H:H,MATCH(Validation!E6247,Lists!G:G,0))</f>
        <v>The sum of Rows 31 and 32 must equal Row 29.</v>
      </c>
      <c r="H6247" s="16" t="str">
        <f t="shared" ca="1" si="693"/>
        <v/>
      </c>
      <c r="I6247" s="16" t="str">
        <f t="shared" ca="1" si="694"/>
        <v/>
      </c>
      <c r="J6247" s="17" t="str">
        <f t="shared" si="695"/>
        <v/>
      </c>
    </row>
    <row r="6248" spans="1:10" x14ac:dyDescent="0.25">
      <c r="A6248" t="s">
        <v>936</v>
      </c>
      <c r="B6248" t="str">
        <f>ADDRESS(ROW('Loan 1'!$B$32),COLUMN('Loan 1'!$B$32),4)</f>
        <v>B32</v>
      </c>
      <c r="C6248" t="str">
        <f>ADDRESS(ROW('Loan 1'!$D$30),COLUMN('Loan 1'!$D$30),4)</f>
        <v>D30</v>
      </c>
      <c r="D6248" t="b">
        <f>IF('Loan 6'!B$10="",FALSE,IF('Loan 6'!B$31+'Loan 6'!B$32='Loan 6'!B$30,FALSE,TRUE))</f>
        <v>0</v>
      </c>
      <c r="E6248" t="s">
        <v>1445</v>
      </c>
      <c r="F6248" t="str">
        <f>INDEX(Lists!I:I,MATCH(Validation!E6248,Lists!G:G,0))</f>
        <v>Error</v>
      </c>
      <c r="G6248" t="str">
        <f>INDEX(Lists!H:H,MATCH(Validation!E6248,Lists!G:G,0))</f>
        <v>The sum of Rows 31 and 32 must equal Row 29.</v>
      </c>
      <c r="H6248" s="16" t="str">
        <f t="shared" ca="1" si="693"/>
        <v/>
      </c>
      <c r="I6248" s="16" t="str">
        <f t="shared" ca="1" si="694"/>
        <v/>
      </c>
      <c r="J6248" s="17" t="str">
        <f t="shared" si="695"/>
        <v/>
      </c>
    </row>
    <row r="6249" spans="1:10" x14ac:dyDescent="0.25">
      <c r="A6249" t="s">
        <v>937</v>
      </c>
      <c r="B6249" t="str">
        <f>ADDRESS(ROW('Loan 1'!$B$32),COLUMN('Loan 1'!$B$32),4)</f>
        <v>B32</v>
      </c>
      <c r="C6249" t="str">
        <f>ADDRESS(ROW('Loan 1'!$D$30),COLUMN('Loan 1'!$D$30),4)</f>
        <v>D30</v>
      </c>
      <c r="D6249" t="b">
        <f>IF('Loan 7'!B$10="",FALSE,IF('Loan 7'!B$31+'Loan 7'!B$32='Loan 7'!B$30,FALSE,TRUE))</f>
        <v>0</v>
      </c>
      <c r="E6249" t="s">
        <v>1445</v>
      </c>
      <c r="F6249" t="str">
        <f>INDEX(Lists!I:I,MATCH(Validation!E6249,Lists!G:G,0))</f>
        <v>Error</v>
      </c>
      <c r="G6249" t="str">
        <f>INDEX(Lists!H:H,MATCH(Validation!E6249,Lists!G:G,0))</f>
        <v>The sum of Rows 31 and 32 must equal Row 29.</v>
      </c>
      <c r="H6249" s="16" t="str">
        <f t="shared" ca="1" si="693"/>
        <v/>
      </c>
      <c r="I6249" s="16" t="str">
        <f t="shared" ca="1" si="694"/>
        <v/>
      </c>
      <c r="J6249" s="17" t="str">
        <f t="shared" si="695"/>
        <v/>
      </c>
    </row>
    <row r="6250" spans="1:10" x14ac:dyDescent="0.25">
      <c r="A6250" t="s">
        <v>938</v>
      </c>
      <c r="B6250" t="str">
        <f>ADDRESS(ROW('Loan 1'!$B$32),COLUMN('Loan 1'!$B$32),4)</f>
        <v>B32</v>
      </c>
      <c r="C6250" t="str">
        <f>ADDRESS(ROW('Loan 1'!$D$30),COLUMN('Loan 1'!$D$30),4)</f>
        <v>D30</v>
      </c>
      <c r="D6250" t="b">
        <f>IF('Loan 8'!B$10="",FALSE,IF('Loan 8'!B$31+'Loan 8'!B$32='Loan 8'!B$30,FALSE,TRUE))</f>
        <v>0</v>
      </c>
      <c r="E6250" t="s">
        <v>1445</v>
      </c>
      <c r="F6250" t="str">
        <f>INDEX(Lists!I:I,MATCH(Validation!E6250,Lists!G:G,0))</f>
        <v>Error</v>
      </c>
      <c r="G6250" t="str">
        <f>INDEX(Lists!H:H,MATCH(Validation!E6250,Lists!G:G,0))</f>
        <v>The sum of Rows 31 and 32 must equal Row 29.</v>
      </c>
      <c r="H6250" s="16" t="str">
        <f t="shared" ca="1" si="693"/>
        <v/>
      </c>
      <c r="I6250" s="16" t="str">
        <f t="shared" ca="1" si="694"/>
        <v/>
      </c>
      <c r="J6250" s="17" t="str">
        <f t="shared" si="695"/>
        <v/>
      </c>
    </row>
    <row r="6251" spans="1:10" x14ac:dyDescent="0.25">
      <c r="A6251" t="s">
        <v>939</v>
      </c>
      <c r="B6251" t="str">
        <f>ADDRESS(ROW('Loan 1'!$B$32),COLUMN('Loan 1'!$B$32),4)</f>
        <v>B32</v>
      </c>
      <c r="C6251" t="str">
        <f>ADDRESS(ROW('Loan 1'!$D$30),COLUMN('Loan 1'!$D$30),4)</f>
        <v>D30</v>
      </c>
      <c r="D6251" t="b">
        <f>IF('Loan 9'!B$10="",FALSE,IF('Loan 9'!B$31+'Loan 9'!B$32='Loan 9'!B$30,FALSE,TRUE))</f>
        <v>0</v>
      </c>
      <c r="E6251" t="s">
        <v>1445</v>
      </c>
      <c r="F6251" t="str">
        <f>INDEX(Lists!I:I,MATCH(Validation!E6251,Lists!G:G,0))</f>
        <v>Error</v>
      </c>
      <c r="G6251" t="str">
        <f>INDEX(Lists!H:H,MATCH(Validation!E6251,Lists!G:G,0))</f>
        <v>The sum of Rows 31 and 32 must equal Row 29.</v>
      </c>
      <c r="H6251" s="16" t="str">
        <f t="shared" ca="1" si="693"/>
        <v/>
      </c>
      <c r="I6251" s="16" t="str">
        <f t="shared" ca="1" si="694"/>
        <v/>
      </c>
      <c r="J6251" s="17" t="str">
        <f t="shared" si="695"/>
        <v/>
      </c>
    </row>
    <row r="6252" spans="1:10" x14ac:dyDescent="0.25">
      <c r="A6252" t="s">
        <v>940</v>
      </c>
      <c r="B6252" t="str">
        <f>ADDRESS(ROW('Loan 1'!$B$32),COLUMN('Loan 1'!$B$32),4)</f>
        <v>B32</v>
      </c>
      <c r="C6252" t="str">
        <f>ADDRESS(ROW('Loan 1'!$D$30),COLUMN('Loan 1'!$D$30),4)</f>
        <v>D30</v>
      </c>
      <c r="D6252" t="b">
        <f>IF('Loan 10'!B$10="",FALSE,IF('Loan 10'!B$31+'Loan 10'!B$32='Loan 10'!B$30,FALSE,TRUE))</f>
        <v>0</v>
      </c>
      <c r="E6252" t="s">
        <v>1445</v>
      </c>
      <c r="F6252" t="str">
        <f>INDEX(Lists!I:I,MATCH(Validation!E6252,Lists!G:G,0))</f>
        <v>Error</v>
      </c>
      <c r="G6252" t="str">
        <f>INDEX(Lists!H:H,MATCH(Validation!E6252,Lists!G:G,0))</f>
        <v>The sum of Rows 31 and 32 must equal Row 29.</v>
      </c>
      <c r="H6252" s="16" t="str">
        <f t="shared" ca="1" si="693"/>
        <v/>
      </c>
      <c r="I6252" s="16" t="str">
        <f t="shared" ca="1" si="694"/>
        <v/>
      </c>
      <c r="J6252" s="17" t="str">
        <f t="shared" si="695"/>
        <v/>
      </c>
    </row>
    <row r="6253" spans="1:10" x14ac:dyDescent="0.25">
      <c r="A6253" t="s">
        <v>941</v>
      </c>
      <c r="B6253" t="str">
        <f>ADDRESS(ROW('Loan 1'!$B$32),COLUMN('Loan 1'!$B$32),4)</f>
        <v>B32</v>
      </c>
      <c r="C6253" t="str">
        <f>ADDRESS(ROW('Loan 1'!$D$30),COLUMN('Loan 1'!$D$30),4)</f>
        <v>D30</v>
      </c>
      <c r="D6253" t="b">
        <f>IF('Loan 11'!B$10="",FALSE,IF('Loan 11'!B$31+'Loan 11'!B$32='Loan 11'!B$30,FALSE,TRUE))</f>
        <v>0</v>
      </c>
      <c r="E6253" t="s">
        <v>1445</v>
      </c>
      <c r="F6253" t="str">
        <f>INDEX(Lists!I:I,MATCH(Validation!E6253,Lists!G:G,0))</f>
        <v>Error</v>
      </c>
      <c r="G6253" t="str">
        <f>INDEX(Lists!H:H,MATCH(Validation!E6253,Lists!G:G,0))</f>
        <v>The sum of Rows 31 and 32 must equal Row 29.</v>
      </c>
      <c r="H6253" s="16" t="str">
        <f t="shared" ca="1" si="693"/>
        <v/>
      </c>
      <c r="I6253" s="16" t="str">
        <f t="shared" ca="1" si="694"/>
        <v/>
      </c>
      <c r="J6253" s="17" t="str">
        <f t="shared" si="695"/>
        <v/>
      </c>
    </row>
    <row r="6254" spans="1:10" x14ac:dyDescent="0.25">
      <c r="A6254" t="s">
        <v>942</v>
      </c>
      <c r="B6254" t="str">
        <f>ADDRESS(ROW('Loan 1'!$B$32),COLUMN('Loan 1'!$B$32),4)</f>
        <v>B32</v>
      </c>
      <c r="C6254" t="str">
        <f>ADDRESS(ROW('Loan 1'!$D$30),COLUMN('Loan 1'!$D$30),4)</f>
        <v>D30</v>
      </c>
      <c r="D6254" t="b">
        <f>IF('Loan 12'!B$10="",FALSE,IF('Loan 12'!B$31+'Loan 12'!B$32='Loan 12'!B$30,FALSE,TRUE))</f>
        <v>0</v>
      </c>
      <c r="E6254" t="s">
        <v>1445</v>
      </c>
      <c r="F6254" t="str">
        <f>INDEX(Lists!I:I,MATCH(Validation!E6254,Lists!G:G,0))</f>
        <v>Error</v>
      </c>
      <c r="G6254" t="str">
        <f>INDEX(Lists!H:H,MATCH(Validation!E6254,Lists!G:G,0))</f>
        <v>The sum of Rows 31 and 32 must equal Row 29.</v>
      </c>
      <c r="H6254" s="16" t="str">
        <f t="shared" ca="1" si="693"/>
        <v/>
      </c>
      <c r="I6254" s="16" t="str">
        <f t="shared" ca="1" si="694"/>
        <v/>
      </c>
      <c r="J6254" s="17" t="str">
        <f t="shared" si="695"/>
        <v/>
      </c>
    </row>
    <row r="6255" spans="1:10" x14ac:dyDescent="0.25">
      <c r="A6255" t="s">
        <v>943</v>
      </c>
      <c r="B6255" t="str">
        <f>ADDRESS(ROW('Loan 1'!$B$32),COLUMN('Loan 1'!$B$32),4)</f>
        <v>B32</v>
      </c>
      <c r="C6255" t="str">
        <f>ADDRESS(ROW('Loan 1'!$D$30),COLUMN('Loan 1'!$D$30),4)</f>
        <v>D30</v>
      </c>
      <c r="D6255" t="b">
        <f>IF('Loan 13'!B$10="",FALSE,IF('Loan 13'!B$31+'Loan 13'!B$32='Loan 13'!B$30,FALSE,TRUE))</f>
        <v>0</v>
      </c>
      <c r="E6255" t="s">
        <v>1445</v>
      </c>
      <c r="F6255" t="str">
        <f>INDEX(Lists!I:I,MATCH(Validation!E6255,Lists!G:G,0))</f>
        <v>Error</v>
      </c>
      <c r="G6255" t="str">
        <f>INDEX(Lists!H:H,MATCH(Validation!E6255,Lists!G:G,0))</f>
        <v>The sum of Rows 31 and 32 must equal Row 29.</v>
      </c>
      <c r="H6255" s="16" t="str">
        <f t="shared" ca="1" si="693"/>
        <v/>
      </c>
      <c r="I6255" s="16" t="str">
        <f t="shared" ca="1" si="694"/>
        <v/>
      </c>
      <c r="J6255" s="17" t="str">
        <f t="shared" si="695"/>
        <v/>
      </c>
    </row>
    <row r="6256" spans="1:10" x14ac:dyDescent="0.25">
      <c r="A6256" t="s">
        <v>944</v>
      </c>
      <c r="B6256" t="str">
        <f>ADDRESS(ROW('Loan 1'!$B$32),COLUMN('Loan 1'!$B$32),4)</f>
        <v>B32</v>
      </c>
      <c r="C6256" t="str">
        <f>ADDRESS(ROW('Loan 1'!$D$30),COLUMN('Loan 1'!$D$30),4)</f>
        <v>D30</v>
      </c>
      <c r="D6256" t="b">
        <f>IF('Loan 14'!B$10="",FALSE,IF('Loan 14'!B$31+'Loan 14'!B$32='Loan 14'!B$30,FALSE,TRUE))</f>
        <v>0</v>
      </c>
      <c r="E6256" t="s">
        <v>1445</v>
      </c>
      <c r="F6256" t="str">
        <f>INDEX(Lists!I:I,MATCH(Validation!E6256,Lists!G:G,0))</f>
        <v>Error</v>
      </c>
      <c r="G6256" t="str">
        <f>INDEX(Lists!H:H,MATCH(Validation!E6256,Lists!G:G,0))</f>
        <v>The sum of Rows 31 and 32 must equal Row 29.</v>
      </c>
      <c r="H6256" s="16" t="str">
        <f t="shared" ca="1" si="693"/>
        <v/>
      </c>
      <c r="I6256" s="16" t="str">
        <f t="shared" ca="1" si="694"/>
        <v/>
      </c>
      <c r="J6256" s="17" t="str">
        <f t="shared" si="695"/>
        <v/>
      </c>
    </row>
    <row r="6257" spans="1:10" x14ac:dyDescent="0.25">
      <c r="A6257" t="s">
        <v>945</v>
      </c>
      <c r="B6257" t="str">
        <f>ADDRESS(ROW('Loan 1'!$B$32),COLUMN('Loan 1'!$B$32),4)</f>
        <v>B32</v>
      </c>
      <c r="C6257" t="str">
        <f>ADDRESS(ROW('Loan 1'!$D$30),COLUMN('Loan 1'!$D$30),4)</f>
        <v>D30</v>
      </c>
      <c r="D6257" t="b">
        <f>IF('Loan 15'!B$10="",FALSE,IF('Loan 15'!B$31+'Loan 15'!B$32='Loan 15'!B$30,FALSE,TRUE))</f>
        <v>0</v>
      </c>
      <c r="E6257" t="s">
        <v>1445</v>
      </c>
      <c r="F6257" t="str">
        <f>INDEX(Lists!I:I,MATCH(Validation!E6257,Lists!G:G,0))</f>
        <v>Error</v>
      </c>
      <c r="G6257" t="str">
        <f>INDEX(Lists!H:H,MATCH(Validation!E6257,Lists!G:G,0))</f>
        <v>The sum of Rows 31 and 32 must equal Row 29.</v>
      </c>
      <c r="H6257" s="16" t="str">
        <f t="shared" ca="1" si="693"/>
        <v/>
      </c>
      <c r="I6257" s="16" t="str">
        <f t="shared" ca="1" si="694"/>
        <v/>
      </c>
      <c r="J6257" s="17" t="str">
        <f t="shared" si="695"/>
        <v/>
      </c>
    </row>
    <row r="6258" spans="1:10" x14ac:dyDescent="0.25">
      <c r="A6258" t="s">
        <v>205</v>
      </c>
      <c r="B6258" t="str">
        <f>ADDRESS(ROW('Loan 1'!$C$32),COLUMN('Loan 1'!$C$32),4)</f>
        <v>C32</v>
      </c>
      <c r="C6258" t="str">
        <f>ADDRESS(ROW('Loan 1'!$D$30),COLUMN('Loan 1'!$D$30),4)</f>
        <v>D30</v>
      </c>
      <c r="D6258" t="b">
        <f>IF('Loan 1'!B$10="",FALSE,IF('Loan 1'!C$31+'Loan 1'!C$32='Loan 1'!C$30,FALSE,TRUE))</f>
        <v>1</v>
      </c>
      <c r="E6258" t="s">
        <v>1445</v>
      </c>
      <c r="F6258" t="str">
        <f>INDEX(Lists!I:I,MATCH(Validation!E6258,Lists!G:G,0))</f>
        <v>Error</v>
      </c>
      <c r="G6258" t="str">
        <f>INDEX(Lists!H:H,MATCH(Validation!E6258,Lists!G:G,0))</f>
        <v>The sum of Rows 31 and 32 must equal Row 29.</v>
      </c>
      <c r="H6258" s="16" t="str">
        <f t="shared" ca="1" si="690"/>
        <v>Loan 1$C$32</v>
      </c>
      <c r="I6258" s="16" t="str">
        <f t="shared" ca="1" si="691"/>
        <v>Loan 1$D$30</v>
      </c>
      <c r="J6258" s="17" t="str">
        <f t="shared" si="692"/>
        <v>Loan 1</v>
      </c>
    </row>
    <row r="6259" spans="1:10" x14ac:dyDescent="0.25">
      <c r="A6259" t="s">
        <v>932</v>
      </c>
      <c r="B6259" t="str">
        <f>ADDRESS(ROW('Loan 1'!$C$32),COLUMN('Loan 1'!$C$32),4)</f>
        <v>C32</v>
      </c>
      <c r="C6259" t="str">
        <f>ADDRESS(ROW('Loan 1'!$D$30),COLUMN('Loan 1'!$D$30),4)</f>
        <v>D30</v>
      </c>
      <c r="D6259" t="b">
        <f>IF('Loan 2'!B$10="",FALSE,IF('Loan 2'!C$31+'Loan 2'!C$32='Loan 2'!C$30,FALSE,TRUE))</f>
        <v>0</v>
      </c>
      <c r="E6259" t="s">
        <v>1445</v>
      </c>
      <c r="F6259" t="str">
        <f>INDEX(Lists!I:I,MATCH(Validation!E6259,Lists!G:G,0))</f>
        <v>Error</v>
      </c>
      <c r="G6259" t="str">
        <f>INDEX(Lists!H:H,MATCH(Validation!E6259,Lists!G:G,0))</f>
        <v>The sum of Rows 31 and 32 must equal Row 29.</v>
      </c>
      <c r="H6259" s="16" t="str">
        <f t="shared" ca="1" si="690"/>
        <v/>
      </c>
      <c r="I6259" s="16" t="str">
        <f t="shared" ca="1" si="691"/>
        <v/>
      </c>
      <c r="J6259" s="17" t="str">
        <f t="shared" si="692"/>
        <v/>
      </c>
    </row>
    <row r="6260" spans="1:10" x14ac:dyDescent="0.25">
      <c r="A6260" t="s">
        <v>933</v>
      </c>
      <c r="B6260" t="str">
        <f>ADDRESS(ROW('Loan 1'!$C$32),COLUMN('Loan 1'!$C$32),4)</f>
        <v>C32</v>
      </c>
      <c r="C6260" t="str">
        <f>ADDRESS(ROW('Loan 1'!$D$30),COLUMN('Loan 1'!$D$30),4)</f>
        <v>D30</v>
      </c>
      <c r="D6260" t="b">
        <f>IF('Loan 3'!B$10="",FALSE,IF('Loan 3'!C$31+'Loan 3'!C$32='Loan 3'!C$30,FALSE,TRUE))</f>
        <v>0</v>
      </c>
      <c r="E6260" t="s">
        <v>1445</v>
      </c>
      <c r="F6260" t="str">
        <f>INDEX(Lists!I:I,MATCH(Validation!E6260,Lists!G:G,0))</f>
        <v>Error</v>
      </c>
      <c r="G6260" t="str">
        <f>INDEX(Lists!H:H,MATCH(Validation!E6260,Lists!G:G,0))</f>
        <v>The sum of Rows 31 and 32 must equal Row 29.</v>
      </c>
      <c r="H6260" s="16" t="str">
        <f t="shared" ca="1" si="690"/>
        <v/>
      </c>
      <c r="I6260" s="16" t="str">
        <f t="shared" ca="1" si="691"/>
        <v/>
      </c>
      <c r="J6260" s="17" t="str">
        <f t="shared" si="692"/>
        <v/>
      </c>
    </row>
    <row r="6261" spans="1:10" x14ac:dyDescent="0.25">
      <c r="A6261" t="s">
        <v>934</v>
      </c>
      <c r="B6261" t="str">
        <f>ADDRESS(ROW('Loan 1'!$C$32),COLUMN('Loan 1'!$C$32),4)</f>
        <v>C32</v>
      </c>
      <c r="C6261" t="str">
        <f>ADDRESS(ROW('Loan 1'!$D$30),COLUMN('Loan 1'!$D$30),4)</f>
        <v>D30</v>
      </c>
      <c r="D6261" t="b">
        <f>IF('Loan 4'!B$10="",FALSE,IF('Loan 4'!C$31+'Loan 4'!C$32='Loan 4'!C$30,FALSE,TRUE))</f>
        <v>0</v>
      </c>
      <c r="E6261" t="s">
        <v>1445</v>
      </c>
      <c r="F6261" t="str">
        <f>INDEX(Lists!I:I,MATCH(Validation!E6261,Lists!G:G,0))</f>
        <v>Error</v>
      </c>
      <c r="G6261" t="str">
        <f>INDEX(Lists!H:H,MATCH(Validation!E6261,Lists!G:G,0))</f>
        <v>The sum of Rows 31 and 32 must equal Row 29.</v>
      </c>
      <c r="H6261" s="16" t="str">
        <f t="shared" ca="1" si="690"/>
        <v/>
      </c>
      <c r="I6261" s="16" t="str">
        <f t="shared" ca="1" si="691"/>
        <v/>
      </c>
      <c r="J6261" s="17" t="str">
        <f t="shared" si="692"/>
        <v/>
      </c>
    </row>
    <row r="6262" spans="1:10" x14ac:dyDescent="0.25">
      <c r="A6262" t="s">
        <v>935</v>
      </c>
      <c r="B6262" t="str">
        <f>ADDRESS(ROW('Loan 1'!$C$32),COLUMN('Loan 1'!$C$32),4)</f>
        <v>C32</v>
      </c>
      <c r="C6262" t="str">
        <f>ADDRESS(ROW('Loan 1'!$D$30),COLUMN('Loan 1'!$D$30),4)</f>
        <v>D30</v>
      </c>
      <c r="D6262" t="b">
        <f>IF('Loan 5'!B$10="",FALSE,IF('Loan 5'!C$31+'Loan 5'!C$32='Loan 5'!C$30,FALSE,TRUE))</f>
        <v>0</v>
      </c>
      <c r="E6262" t="s">
        <v>1445</v>
      </c>
      <c r="F6262" t="str">
        <f>INDEX(Lists!I:I,MATCH(Validation!E6262,Lists!G:G,0))</f>
        <v>Error</v>
      </c>
      <c r="G6262" t="str">
        <f>INDEX(Lists!H:H,MATCH(Validation!E6262,Lists!G:G,0))</f>
        <v>The sum of Rows 31 and 32 must equal Row 29.</v>
      </c>
      <c r="H6262" s="16" t="str">
        <f t="shared" ca="1" si="690"/>
        <v/>
      </c>
      <c r="I6262" s="16" t="str">
        <f t="shared" ca="1" si="691"/>
        <v/>
      </c>
      <c r="J6262" s="17" t="str">
        <f t="shared" si="692"/>
        <v/>
      </c>
    </row>
    <row r="6263" spans="1:10" x14ac:dyDescent="0.25">
      <c r="A6263" t="s">
        <v>936</v>
      </c>
      <c r="B6263" t="str">
        <f>ADDRESS(ROW('Loan 1'!$C$32),COLUMN('Loan 1'!$C$32),4)</f>
        <v>C32</v>
      </c>
      <c r="C6263" t="str">
        <f>ADDRESS(ROW('Loan 1'!$D$30),COLUMN('Loan 1'!$D$30),4)</f>
        <v>D30</v>
      </c>
      <c r="D6263" t="b">
        <f>IF('Loan 6'!B$10="",FALSE,IF('Loan 6'!C$31+'Loan 6'!C$32='Loan 6'!C$30,FALSE,TRUE))</f>
        <v>0</v>
      </c>
      <c r="E6263" t="s">
        <v>1445</v>
      </c>
      <c r="F6263" t="str">
        <f>INDEX(Lists!I:I,MATCH(Validation!E6263,Lists!G:G,0))</f>
        <v>Error</v>
      </c>
      <c r="G6263" t="str">
        <f>INDEX(Lists!H:H,MATCH(Validation!E6263,Lists!G:G,0))</f>
        <v>The sum of Rows 31 and 32 must equal Row 29.</v>
      </c>
      <c r="H6263" s="16" t="str">
        <f t="shared" ca="1" si="690"/>
        <v/>
      </c>
      <c r="I6263" s="16" t="str">
        <f t="shared" ca="1" si="691"/>
        <v/>
      </c>
      <c r="J6263" s="17" t="str">
        <f t="shared" si="692"/>
        <v/>
      </c>
    </row>
    <row r="6264" spans="1:10" x14ac:dyDescent="0.25">
      <c r="A6264" t="s">
        <v>937</v>
      </c>
      <c r="B6264" t="str">
        <f>ADDRESS(ROW('Loan 1'!$C$32),COLUMN('Loan 1'!$C$32),4)</f>
        <v>C32</v>
      </c>
      <c r="C6264" t="str">
        <f>ADDRESS(ROW('Loan 1'!$D$30),COLUMN('Loan 1'!$D$30),4)</f>
        <v>D30</v>
      </c>
      <c r="D6264" t="b">
        <f>IF('Loan 7'!B$10="",FALSE,IF('Loan 7'!C$31+'Loan 7'!C$32='Loan 7'!C$30,FALSE,TRUE))</f>
        <v>0</v>
      </c>
      <c r="E6264" t="s">
        <v>1445</v>
      </c>
      <c r="F6264" t="str">
        <f>INDEX(Lists!I:I,MATCH(Validation!E6264,Lists!G:G,0))</f>
        <v>Error</v>
      </c>
      <c r="G6264" t="str">
        <f>INDEX(Lists!H:H,MATCH(Validation!E6264,Lists!G:G,0))</f>
        <v>The sum of Rows 31 and 32 must equal Row 29.</v>
      </c>
      <c r="H6264" s="16" t="str">
        <f t="shared" ca="1" si="690"/>
        <v/>
      </c>
      <c r="I6264" s="16" t="str">
        <f t="shared" ca="1" si="691"/>
        <v/>
      </c>
      <c r="J6264" s="17" t="str">
        <f t="shared" si="692"/>
        <v/>
      </c>
    </row>
    <row r="6265" spans="1:10" x14ac:dyDescent="0.25">
      <c r="A6265" t="s">
        <v>938</v>
      </c>
      <c r="B6265" t="str">
        <f>ADDRESS(ROW('Loan 1'!$C$32),COLUMN('Loan 1'!$C$32),4)</f>
        <v>C32</v>
      </c>
      <c r="C6265" t="str">
        <f>ADDRESS(ROW('Loan 1'!$D$30),COLUMN('Loan 1'!$D$30),4)</f>
        <v>D30</v>
      </c>
      <c r="D6265" t="b">
        <f>IF('Loan 8'!B$10="",FALSE,IF('Loan 8'!C$31+'Loan 8'!C$32='Loan 8'!C$30,FALSE,TRUE))</f>
        <v>0</v>
      </c>
      <c r="E6265" t="s">
        <v>1445</v>
      </c>
      <c r="F6265" t="str">
        <f>INDEX(Lists!I:I,MATCH(Validation!E6265,Lists!G:G,0))</f>
        <v>Error</v>
      </c>
      <c r="G6265" t="str">
        <f>INDEX(Lists!H:H,MATCH(Validation!E6265,Lists!G:G,0))</f>
        <v>The sum of Rows 31 and 32 must equal Row 29.</v>
      </c>
      <c r="H6265" s="16" t="str">
        <f t="shared" ca="1" si="690"/>
        <v/>
      </c>
      <c r="I6265" s="16" t="str">
        <f t="shared" ca="1" si="691"/>
        <v/>
      </c>
      <c r="J6265" s="17" t="str">
        <f t="shared" si="692"/>
        <v/>
      </c>
    </row>
    <row r="6266" spans="1:10" x14ac:dyDescent="0.25">
      <c r="A6266" t="s">
        <v>939</v>
      </c>
      <c r="B6266" t="str">
        <f>ADDRESS(ROW('Loan 1'!$C$32),COLUMN('Loan 1'!$C$32),4)</f>
        <v>C32</v>
      </c>
      <c r="C6266" t="str">
        <f>ADDRESS(ROW('Loan 1'!$D$30),COLUMN('Loan 1'!$D$30),4)</f>
        <v>D30</v>
      </c>
      <c r="D6266" t="b">
        <f>IF('Loan 9'!B$10="",FALSE,IF('Loan 9'!C$31+'Loan 9'!C$32='Loan 9'!C$30,FALSE,TRUE))</f>
        <v>0</v>
      </c>
      <c r="E6266" t="s">
        <v>1445</v>
      </c>
      <c r="F6266" t="str">
        <f>INDEX(Lists!I:I,MATCH(Validation!E6266,Lists!G:G,0))</f>
        <v>Error</v>
      </c>
      <c r="G6266" t="str">
        <f>INDEX(Lists!H:H,MATCH(Validation!E6266,Lists!G:G,0))</f>
        <v>The sum of Rows 31 and 32 must equal Row 29.</v>
      </c>
      <c r="H6266" s="16" t="str">
        <f t="shared" ca="1" si="690"/>
        <v/>
      </c>
      <c r="I6266" s="16" t="str">
        <f t="shared" ca="1" si="691"/>
        <v/>
      </c>
      <c r="J6266" s="17" t="str">
        <f t="shared" si="692"/>
        <v/>
      </c>
    </row>
    <row r="6267" spans="1:10" x14ac:dyDescent="0.25">
      <c r="A6267" t="s">
        <v>940</v>
      </c>
      <c r="B6267" t="str">
        <f>ADDRESS(ROW('Loan 1'!$C$32),COLUMN('Loan 1'!$C$32),4)</f>
        <v>C32</v>
      </c>
      <c r="C6267" t="str">
        <f>ADDRESS(ROW('Loan 1'!$D$30),COLUMN('Loan 1'!$D$30),4)</f>
        <v>D30</v>
      </c>
      <c r="D6267" t="b">
        <f>IF('Loan 10'!B$10="",FALSE,IF('Loan 10'!C$31+'Loan 10'!C$32='Loan 10'!C$30,FALSE,TRUE))</f>
        <v>0</v>
      </c>
      <c r="E6267" t="s">
        <v>1445</v>
      </c>
      <c r="F6267" t="str">
        <f>INDEX(Lists!I:I,MATCH(Validation!E6267,Lists!G:G,0))</f>
        <v>Error</v>
      </c>
      <c r="G6267" t="str">
        <f>INDEX(Lists!H:H,MATCH(Validation!E6267,Lists!G:G,0))</f>
        <v>The sum of Rows 31 and 32 must equal Row 29.</v>
      </c>
      <c r="H6267" s="16" t="str">
        <f t="shared" ca="1" si="690"/>
        <v/>
      </c>
      <c r="I6267" s="16" t="str">
        <f t="shared" ca="1" si="691"/>
        <v/>
      </c>
      <c r="J6267" s="17" t="str">
        <f t="shared" si="692"/>
        <v/>
      </c>
    </row>
    <row r="6268" spans="1:10" x14ac:dyDescent="0.25">
      <c r="A6268" t="s">
        <v>941</v>
      </c>
      <c r="B6268" t="str">
        <f>ADDRESS(ROW('Loan 1'!$C$32),COLUMN('Loan 1'!$C$32),4)</f>
        <v>C32</v>
      </c>
      <c r="C6268" t="str">
        <f>ADDRESS(ROW('Loan 1'!$D$30),COLUMN('Loan 1'!$D$30),4)</f>
        <v>D30</v>
      </c>
      <c r="D6268" t="b">
        <f>IF('Loan 11'!B$10="",FALSE,IF('Loan 11'!C$31+'Loan 11'!C$32='Loan 11'!C$30,FALSE,TRUE))</f>
        <v>0</v>
      </c>
      <c r="E6268" t="s">
        <v>1445</v>
      </c>
      <c r="F6268" t="str">
        <f>INDEX(Lists!I:I,MATCH(Validation!E6268,Lists!G:G,0))</f>
        <v>Error</v>
      </c>
      <c r="G6268" t="str">
        <f>INDEX(Lists!H:H,MATCH(Validation!E6268,Lists!G:G,0))</f>
        <v>The sum of Rows 31 and 32 must equal Row 29.</v>
      </c>
      <c r="H6268" s="16" t="str">
        <f t="shared" ca="1" si="690"/>
        <v/>
      </c>
      <c r="I6268" s="16" t="str">
        <f t="shared" ca="1" si="691"/>
        <v/>
      </c>
      <c r="J6268" s="17" t="str">
        <f t="shared" si="692"/>
        <v/>
      </c>
    </row>
    <row r="6269" spans="1:10" x14ac:dyDescent="0.25">
      <c r="A6269" t="s">
        <v>942</v>
      </c>
      <c r="B6269" t="str">
        <f>ADDRESS(ROW('Loan 1'!$C$32),COLUMN('Loan 1'!$C$32),4)</f>
        <v>C32</v>
      </c>
      <c r="C6269" t="str">
        <f>ADDRESS(ROW('Loan 1'!$D$30),COLUMN('Loan 1'!$D$30),4)</f>
        <v>D30</v>
      </c>
      <c r="D6269" t="b">
        <f>IF('Loan 12'!B$10="",FALSE,IF('Loan 12'!C$31+'Loan 12'!C$32='Loan 12'!C$30,FALSE,TRUE))</f>
        <v>0</v>
      </c>
      <c r="E6269" t="s">
        <v>1445</v>
      </c>
      <c r="F6269" t="str">
        <f>INDEX(Lists!I:I,MATCH(Validation!E6269,Lists!G:G,0))</f>
        <v>Error</v>
      </c>
      <c r="G6269" t="str">
        <f>INDEX(Lists!H:H,MATCH(Validation!E6269,Lists!G:G,0))</f>
        <v>The sum of Rows 31 and 32 must equal Row 29.</v>
      </c>
      <c r="H6269" s="16" t="str">
        <f t="shared" ca="1" si="690"/>
        <v/>
      </c>
      <c r="I6269" s="16" t="str">
        <f t="shared" ca="1" si="691"/>
        <v/>
      </c>
      <c r="J6269" s="17" t="str">
        <f t="shared" si="692"/>
        <v/>
      </c>
    </row>
    <row r="6270" spans="1:10" x14ac:dyDescent="0.25">
      <c r="A6270" t="s">
        <v>943</v>
      </c>
      <c r="B6270" t="str">
        <f>ADDRESS(ROW('Loan 1'!$C$32),COLUMN('Loan 1'!$C$32),4)</f>
        <v>C32</v>
      </c>
      <c r="C6270" t="str">
        <f>ADDRESS(ROW('Loan 1'!$D$30),COLUMN('Loan 1'!$D$30),4)</f>
        <v>D30</v>
      </c>
      <c r="D6270" t="b">
        <f>IF('Loan 13'!B$10="",FALSE,IF('Loan 13'!C$31+'Loan 13'!C$32='Loan 13'!C$30,FALSE,TRUE))</f>
        <v>0</v>
      </c>
      <c r="E6270" t="s">
        <v>1445</v>
      </c>
      <c r="F6270" t="str">
        <f>INDEX(Lists!I:I,MATCH(Validation!E6270,Lists!G:G,0))</f>
        <v>Error</v>
      </c>
      <c r="G6270" t="str">
        <f>INDEX(Lists!H:H,MATCH(Validation!E6270,Lists!G:G,0))</f>
        <v>The sum of Rows 31 and 32 must equal Row 29.</v>
      </c>
      <c r="H6270" s="16" t="str">
        <f t="shared" ca="1" si="690"/>
        <v/>
      </c>
      <c r="I6270" s="16" t="str">
        <f t="shared" ca="1" si="691"/>
        <v/>
      </c>
      <c r="J6270" s="17" t="str">
        <f t="shared" si="692"/>
        <v/>
      </c>
    </row>
    <row r="6271" spans="1:10" x14ac:dyDescent="0.25">
      <c r="A6271" t="s">
        <v>944</v>
      </c>
      <c r="B6271" t="str">
        <f>ADDRESS(ROW('Loan 1'!$C$32),COLUMN('Loan 1'!$C$32),4)</f>
        <v>C32</v>
      </c>
      <c r="C6271" t="str">
        <f>ADDRESS(ROW('Loan 1'!$D$30),COLUMN('Loan 1'!$D$30),4)</f>
        <v>D30</v>
      </c>
      <c r="D6271" t="b">
        <f>IF('Loan 14'!B$10="",FALSE,IF('Loan 14'!C$31+'Loan 14'!C$32='Loan 14'!C$30,FALSE,TRUE))</f>
        <v>0</v>
      </c>
      <c r="E6271" t="s">
        <v>1445</v>
      </c>
      <c r="F6271" t="str">
        <f>INDEX(Lists!I:I,MATCH(Validation!E6271,Lists!G:G,0))</f>
        <v>Error</v>
      </c>
      <c r="G6271" t="str">
        <f>INDEX(Lists!H:H,MATCH(Validation!E6271,Lists!G:G,0))</f>
        <v>The sum of Rows 31 and 32 must equal Row 29.</v>
      </c>
      <c r="H6271" s="16" t="str">
        <f t="shared" ca="1" si="690"/>
        <v/>
      </c>
      <c r="I6271" s="16" t="str">
        <f t="shared" ca="1" si="691"/>
        <v/>
      </c>
      <c r="J6271" s="17" t="str">
        <f t="shared" si="692"/>
        <v/>
      </c>
    </row>
    <row r="6272" spans="1:10" x14ac:dyDescent="0.25">
      <c r="A6272" t="s">
        <v>945</v>
      </c>
      <c r="B6272" t="str">
        <f>ADDRESS(ROW('Loan 1'!$C$32),COLUMN('Loan 1'!$C$32),4)</f>
        <v>C32</v>
      </c>
      <c r="C6272" t="str">
        <f>ADDRESS(ROW('Loan 1'!$D$30),COLUMN('Loan 1'!$D$30),4)</f>
        <v>D30</v>
      </c>
      <c r="D6272" t="b">
        <f>IF('Loan 15'!B$10="",FALSE,IF('Loan 15'!C$31+'Loan 15'!C$32='Loan 15'!C$30,FALSE,TRUE))</f>
        <v>0</v>
      </c>
      <c r="E6272" t="s">
        <v>1445</v>
      </c>
      <c r="F6272" t="str">
        <f>INDEX(Lists!I:I,MATCH(Validation!E6272,Lists!G:G,0))</f>
        <v>Error</v>
      </c>
      <c r="G6272" t="str">
        <f>INDEX(Lists!H:H,MATCH(Validation!E6272,Lists!G:G,0))</f>
        <v>The sum of Rows 31 and 32 must equal Row 29.</v>
      </c>
      <c r="H6272" s="16" t="str">
        <f t="shared" ca="1" si="690"/>
        <v/>
      </c>
      <c r="I6272" s="16" t="str">
        <f t="shared" ca="1" si="691"/>
        <v/>
      </c>
      <c r="J6272" s="17" t="str">
        <f t="shared" si="692"/>
        <v/>
      </c>
    </row>
    <row r="6273" spans="1:10" x14ac:dyDescent="0.25">
      <c r="A6273" t="s">
        <v>205</v>
      </c>
      <c r="B6273" t="str">
        <f>ADDRESS(ROW('Loan 1'!$B$34),COLUMN('Loan 1'!$B$34),4)</f>
        <v>B34</v>
      </c>
      <c r="C6273" t="str">
        <f>ADDRESS(ROW('Loan 1'!$D$34),COLUMN('Loan 1'!$D$34),4)</f>
        <v>D34</v>
      </c>
      <c r="D6273" t="b" cm="1">
        <f t="array" aca="1" ref="D6273" ca="1">IF(INDIRECT("'"&amp;A6273&amp;"'!"&amp;B6273)="",FALSE,IF(NOT(ISNUMBER(INDIRECT("'"&amp;A6273&amp;"'!"&amp;B6273))),TRUE,FALSE))</f>
        <v>0</v>
      </c>
      <c r="E6273" t="s">
        <v>435</v>
      </c>
      <c r="F6273" t="str">
        <f>INDEX(Lists!I:I,MATCH(Validation!E6273,Lists!G:G,0))</f>
        <v>Error</v>
      </c>
      <c r="G6273" t="str">
        <f>INDEX(Lists!H:H,MATCH(Validation!E6273,Lists!G:G,0))</f>
        <v>Enter an amount only. Do not enter text or spaces.</v>
      </c>
      <c r="H6273" s="16" t="str">
        <f ca="1">IFERROR(IF(OR(NOT(D6273),F6273&lt;&gt;"Error"),"",A6273&amp;CELL("address",INDIRECT(B6273))),"")</f>
        <v/>
      </c>
      <c r="I6273" s="16" t="str">
        <f ca="1">IFERROR(IF(NOT(D6273),"",A6273&amp;CELL("address",INDIRECT(C6273))),"")</f>
        <v/>
      </c>
      <c r="J6273" s="17" t="str">
        <f ca="1">IFERROR(IF(NOT(D6273),"",A6273),"")</f>
        <v/>
      </c>
    </row>
    <row r="6274" spans="1:10" x14ac:dyDescent="0.25">
      <c r="A6274" t="s">
        <v>932</v>
      </c>
      <c r="B6274" t="str">
        <f>ADDRESS(ROW('Loan 1'!$B$34),COLUMN('Loan 1'!$B$34),4)</f>
        <v>B34</v>
      </c>
      <c r="C6274" t="str">
        <f>ADDRESS(ROW('Loan 1'!$D$34),COLUMN('Loan 1'!$D$34),4)</f>
        <v>D34</v>
      </c>
      <c r="D6274" t="b" cm="1">
        <f t="array" aca="1" ref="D6274" ca="1">IF(INDIRECT("'"&amp;A6274&amp;"'!"&amp;B6274)="",FALSE,IF(NOT(ISNUMBER(INDIRECT("'"&amp;A6274&amp;"'!"&amp;B6274))),TRUE,FALSE))</f>
        <v>0</v>
      </c>
      <c r="E6274" t="s">
        <v>435</v>
      </c>
      <c r="F6274" t="str">
        <f>INDEX(Lists!I:I,MATCH(Validation!E6274,Lists!G:G,0))</f>
        <v>Error</v>
      </c>
      <c r="G6274" t="str">
        <f>INDEX(Lists!H:H,MATCH(Validation!E6274,Lists!G:G,0))</f>
        <v>Enter an amount only. Do not enter text or spaces.</v>
      </c>
      <c r="H6274" s="16" t="str">
        <f t="shared" ref="H6274:H6287" ca="1" si="696">IFERROR(IF(OR(NOT(D6274),F6274&lt;&gt;"Error"),"",A6274&amp;CELL("address",INDIRECT(B6274))),"")</f>
        <v/>
      </c>
      <c r="I6274" s="16" t="str">
        <f t="shared" ref="I6274:I6287" ca="1" si="697">IFERROR(IF(NOT(D6274),"",A6274&amp;CELL("address",INDIRECT(C6274))),"")</f>
        <v/>
      </c>
      <c r="J6274" s="17" t="str">
        <f t="shared" ref="J6274:J6287" ca="1" si="698">IFERROR(IF(NOT(D6274),"",A6274),"")</f>
        <v/>
      </c>
    </row>
    <row r="6275" spans="1:10" x14ac:dyDescent="0.25">
      <c r="A6275" t="s">
        <v>933</v>
      </c>
      <c r="B6275" t="str">
        <f>ADDRESS(ROW('Loan 1'!$B$34),COLUMN('Loan 1'!$B$34),4)</f>
        <v>B34</v>
      </c>
      <c r="C6275" t="str">
        <f>ADDRESS(ROW('Loan 1'!$D$34),COLUMN('Loan 1'!$D$34),4)</f>
        <v>D34</v>
      </c>
      <c r="D6275" t="b" cm="1">
        <f t="array" aca="1" ref="D6275" ca="1">IF(INDIRECT("'"&amp;A6275&amp;"'!"&amp;B6275)="",FALSE,IF(NOT(ISNUMBER(INDIRECT("'"&amp;A6275&amp;"'!"&amp;B6275))),TRUE,FALSE))</f>
        <v>0</v>
      </c>
      <c r="E6275" t="s">
        <v>435</v>
      </c>
      <c r="F6275" t="str">
        <f>INDEX(Lists!I:I,MATCH(Validation!E6275,Lists!G:G,0))</f>
        <v>Error</v>
      </c>
      <c r="G6275" t="str">
        <f>INDEX(Lists!H:H,MATCH(Validation!E6275,Lists!G:G,0))</f>
        <v>Enter an amount only. Do not enter text or spaces.</v>
      </c>
      <c r="H6275" s="16" t="str">
        <f t="shared" ca="1" si="696"/>
        <v/>
      </c>
      <c r="I6275" s="16" t="str">
        <f t="shared" ca="1" si="697"/>
        <v/>
      </c>
      <c r="J6275" s="17" t="str">
        <f t="shared" ca="1" si="698"/>
        <v/>
      </c>
    </row>
    <row r="6276" spans="1:10" x14ac:dyDescent="0.25">
      <c r="A6276" t="s">
        <v>934</v>
      </c>
      <c r="B6276" t="str">
        <f>ADDRESS(ROW('Loan 1'!$B$34),COLUMN('Loan 1'!$B$34),4)</f>
        <v>B34</v>
      </c>
      <c r="C6276" t="str">
        <f>ADDRESS(ROW('Loan 1'!$D$34),COLUMN('Loan 1'!$D$34),4)</f>
        <v>D34</v>
      </c>
      <c r="D6276" t="b" cm="1">
        <f t="array" aca="1" ref="D6276" ca="1">IF(INDIRECT("'"&amp;A6276&amp;"'!"&amp;B6276)="",FALSE,IF(NOT(ISNUMBER(INDIRECT("'"&amp;A6276&amp;"'!"&amp;B6276))),TRUE,FALSE))</f>
        <v>0</v>
      </c>
      <c r="E6276" t="s">
        <v>435</v>
      </c>
      <c r="F6276" t="str">
        <f>INDEX(Lists!I:I,MATCH(Validation!E6276,Lists!G:G,0))</f>
        <v>Error</v>
      </c>
      <c r="G6276" t="str">
        <f>INDEX(Lists!H:H,MATCH(Validation!E6276,Lists!G:G,0))</f>
        <v>Enter an amount only. Do not enter text or spaces.</v>
      </c>
      <c r="H6276" s="16" t="str">
        <f t="shared" ca="1" si="696"/>
        <v/>
      </c>
      <c r="I6276" s="16" t="str">
        <f t="shared" ca="1" si="697"/>
        <v/>
      </c>
      <c r="J6276" s="17" t="str">
        <f t="shared" ca="1" si="698"/>
        <v/>
      </c>
    </row>
    <row r="6277" spans="1:10" x14ac:dyDescent="0.25">
      <c r="A6277" t="s">
        <v>935</v>
      </c>
      <c r="B6277" t="str">
        <f>ADDRESS(ROW('Loan 1'!$B$34),COLUMN('Loan 1'!$B$34),4)</f>
        <v>B34</v>
      </c>
      <c r="C6277" t="str">
        <f>ADDRESS(ROW('Loan 1'!$D$34),COLUMN('Loan 1'!$D$34),4)</f>
        <v>D34</v>
      </c>
      <c r="D6277" t="b" cm="1">
        <f t="array" aca="1" ref="D6277" ca="1">IF(INDIRECT("'"&amp;A6277&amp;"'!"&amp;B6277)="",FALSE,IF(NOT(ISNUMBER(INDIRECT("'"&amp;A6277&amp;"'!"&amp;B6277))),TRUE,FALSE))</f>
        <v>0</v>
      </c>
      <c r="E6277" t="s">
        <v>435</v>
      </c>
      <c r="F6277" t="str">
        <f>INDEX(Lists!I:I,MATCH(Validation!E6277,Lists!G:G,0))</f>
        <v>Error</v>
      </c>
      <c r="G6277" t="str">
        <f>INDEX(Lists!H:H,MATCH(Validation!E6277,Lists!G:G,0))</f>
        <v>Enter an amount only. Do not enter text or spaces.</v>
      </c>
      <c r="H6277" s="16" t="str">
        <f t="shared" ca="1" si="696"/>
        <v/>
      </c>
      <c r="I6277" s="16" t="str">
        <f t="shared" ca="1" si="697"/>
        <v/>
      </c>
      <c r="J6277" s="17" t="str">
        <f t="shared" ca="1" si="698"/>
        <v/>
      </c>
    </row>
    <row r="6278" spans="1:10" x14ac:dyDescent="0.25">
      <c r="A6278" t="s">
        <v>936</v>
      </c>
      <c r="B6278" t="str">
        <f>ADDRESS(ROW('Loan 1'!$B$34),COLUMN('Loan 1'!$B$34),4)</f>
        <v>B34</v>
      </c>
      <c r="C6278" t="str">
        <f>ADDRESS(ROW('Loan 1'!$D$34),COLUMN('Loan 1'!$D$34),4)</f>
        <v>D34</v>
      </c>
      <c r="D6278" t="b" cm="1">
        <f t="array" aca="1" ref="D6278" ca="1">IF(INDIRECT("'"&amp;A6278&amp;"'!"&amp;B6278)="",FALSE,IF(NOT(ISNUMBER(INDIRECT("'"&amp;A6278&amp;"'!"&amp;B6278))),TRUE,FALSE))</f>
        <v>0</v>
      </c>
      <c r="E6278" t="s">
        <v>435</v>
      </c>
      <c r="F6278" t="str">
        <f>INDEX(Lists!I:I,MATCH(Validation!E6278,Lists!G:G,0))</f>
        <v>Error</v>
      </c>
      <c r="G6278" t="str">
        <f>INDEX(Lists!H:H,MATCH(Validation!E6278,Lists!G:G,0))</f>
        <v>Enter an amount only. Do not enter text or spaces.</v>
      </c>
      <c r="H6278" s="16" t="str">
        <f t="shared" ca="1" si="696"/>
        <v/>
      </c>
      <c r="I6278" s="16" t="str">
        <f t="shared" ca="1" si="697"/>
        <v/>
      </c>
      <c r="J6278" s="17" t="str">
        <f t="shared" ca="1" si="698"/>
        <v/>
      </c>
    </row>
    <row r="6279" spans="1:10" x14ac:dyDescent="0.25">
      <c r="A6279" t="s">
        <v>937</v>
      </c>
      <c r="B6279" t="str">
        <f>ADDRESS(ROW('Loan 1'!$B$34),COLUMN('Loan 1'!$B$34),4)</f>
        <v>B34</v>
      </c>
      <c r="C6279" t="str">
        <f>ADDRESS(ROW('Loan 1'!$D$34),COLUMN('Loan 1'!$D$34),4)</f>
        <v>D34</v>
      </c>
      <c r="D6279" t="b" cm="1">
        <f t="array" aca="1" ref="D6279" ca="1">IF(INDIRECT("'"&amp;A6279&amp;"'!"&amp;B6279)="",FALSE,IF(NOT(ISNUMBER(INDIRECT("'"&amp;A6279&amp;"'!"&amp;B6279))),TRUE,FALSE))</f>
        <v>0</v>
      </c>
      <c r="E6279" t="s">
        <v>435</v>
      </c>
      <c r="F6279" t="str">
        <f>INDEX(Lists!I:I,MATCH(Validation!E6279,Lists!G:G,0))</f>
        <v>Error</v>
      </c>
      <c r="G6279" t="str">
        <f>INDEX(Lists!H:H,MATCH(Validation!E6279,Lists!G:G,0))</f>
        <v>Enter an amount only. Do not enter text or spaces.</v>
      </c>
      <c r="H6279" s="16" t="str">
        <f t="shared" ca="1" si="696"/>
        <v/>
      </c>
      <c r="I6279" s="16" t="str">
        <f t="shared" ca="1" si="697"/>
        <v/>
      </c>
      <c r="J6279" s="17" t="str">
        <f t="shared" ca="1" si="698"/>
        <v/>
      </c>
    </row>
    <row r="6280" spans="1:10" x14ac:dyDescent="0.25">
      <c r="A6280" t="s">
        <v>938</v>
      </c>
      <c r="B6280" t="str">
        <f>ADDRESS(ROW('Loan 1'!$B$34),COLUMN('Loan 1'!$B$34),4)</f>
        <v>B34</v>
      </c>
      <c r="C6280" t="str">
        <f>ADDRESS(ROW('Loan 1'!$D$34),COLUMN('Loan 1'!$D$34),4)</f>
        <v>D34</v>
      </c>
      <c r="D6280" t="b" cm="1">
        <f t="array" aca="1" ref="D6280" ca="1">IF(INDIRECT("'"&amp;A6280&amp;"'!"&amp;B6280)="",FALSE,IF(NOT(ISNUMBER(INDIRECT("'"&amp;A6280&amp;"'!"&amp;B6280))),TRUE,FALSE))</f>
        <v>0</v>
      </c>
      <c r="E6280" t="s">
        <v>435</v>
      </c>
      <c r="F6280" t="str">
        <f>INDEX(Lists!I:I,MATCH(Validation!E6280,Lists!G:G,0))</f>
        <v>Error</v>
      </c>
      <c r="G6280" t="str">
        <f>INDEX(Lists!H:H,MATCH(Validation!E6280,Lists!G:G,0))</f>
        <v>Enter an amount only. Do not enter text or spaces.</v>
      </c>
      <c r="H6280" s="16" t="str">
        <f t="shared" ca="1" si="696"/>
        <v/>
      </c>
      <c r="I6280" s="16" t="str">
        <f t="shared" ca="1" si="697"/>
        <v/>
      </c>
      <c r="J6280" s="17" t="str">
        <f t="shared" ca="1" si="698"/>
        <v/>
      </c>
    </row>
    <row r="6281" spans="1:10" x14ac:dyDescent="0.25">
      <c r="A6281" t="s">
        <v>939</v>
      </c>
      <c r="B6281" t="str">
        <f>ADDRESS(ROW('Loan 1'!$B$34),COLUMN('Loan 1'!$B$34),4)</f>
        <v>B34</v>
      </c>
      <c r="C6281" t="str">
        <f>ADDRESS(ROW('Loan 1'!$D$34),COLUMN('Loan 1'!$D$34),4)</f>
        <v>D34</v>
      </c>
      <c r="D6281" t="b" cm="1">
        <f t="array" aca="1" ref="D6281" ca="1">IF(INDIRECT("'"&amp;A6281&amp;"'!"&amp;B6281)="",FALSE,IF(NOT(ISNUMBER(INDIRECT("'"&amp;A6281&amp;"'!"&amp;B6281))),TRUE,FALSE))</f>
        <v>0</v>
      </c>
      <c r="E6281" t="s">
        <v>435</v>
      </c>
      <c r="F6281" t="str">
        <f>INDEX(Lists!I:I,MATCH(Validation!E6281,Lists!G:G,0))</f>
        <v>Error</v>
      </c>
      <c r="G6281" t="str">
        <f>INDEX(Lists!H:H,MATCH(Validation!E6281,Lists!G:G,0))</f>
        <v>Enter an amount only. Do not enter text or spaces.</v>
      </c>
      <c r="H6281" s="16" t="str">
        <f t="shared" ca="1" si="696"/>
        <v/>
      </c>
      <c r="I6281" s="16" t="str">
        <f t="shared" ca="1" si="697"/>
        <v/>
      </c>
      <c r="J6281" s="17" t="str">
        <f t="shared" ca="1" si="698"/>
        <v/>
      </c>
    </row>
    <row r="6282" spans="1:10" x14ac:dyDescent="0.25">
      <c r="A6282" t="s">
        <v>940</v>
      </c>
      <c r="B6282" t="str">
        <f>ADDRESS(ROW('Loan 1'!$B$34),COLUMN('Loan 1'!$B$34),4)</f>
        <v>B34</v>
      </c>
      <c r="C6282" t="str">
        <f>ADDRESS(ROW('Loan 1'!$D$34),COLUMN('Loan 1'!$D$34),4)</f>
        <v>D34</v>
      </c>
      <c r="D6282" t="b" cm="1">
        <f t="array" aca="1" ref="D6282" ca="1">IF(INDIRECT("'"&amp;A6282&amp;"'!"&amp;B6282)="",FALSE,IF(NOT(ISNUMBER(INDIRECT("'"&amp;A6282&amp;"'!"&amp;B6282))),TRUE,FALSE))</f>
        <v>0</v>
      </c>
      <c r="E6282" t="s">
        <v>435</v>
      </c>
      <c r="F6282" t="str">
        <f>INDEX(Lists!I:I,MATCH(Validation!E6282,Lists!G:G,0))</f>
        <v>Error</v>
      </c>
      <c r="G6282" t="str">
        <f>INDEX(Lists!H:H,MATCH(Validation!E6282,Lists!G:G,0))</f>
        <v>Enter an amount only. Do not enter text or spaces.</v>
      </c>
      <c r="H6282" s="16" t="str">
        <f t="shared" ca="1" si="696"/>
        <v/>
      </c>
      <c r="I6282" s="16" t="str">
        <f t="shared" ca="1" si="697"/>
        <v/>
      </c>
      <c r="J6282" s="17" t="str">
        <f t="shared" ca="1" si="698"/>
        <v/>
      </c>
    </row>
    <row r="6283" spans="1:10" x14ac:dyDescent="0.25">
      <c r="A6283" t="s">
        <v>941</v>
      </c>
      <c r="B6283" t="str">
        <f>ADDRESS(ROW('Loan 1'!$B$34),COLUMN('Loan 1'!$B$34),4)</f>
        <v>B34</v>
      </c>
      <c r="C6283" t="str">
        <f>ADDRESS(ROW('Loan 1'!$D$34),COLUMN('Loan 1'!$D$34),4)</f>
        <v>D34</v>
      </c>
      <c r="D6283" t="b" cm="1">
        <f t="array" aca="1" ref="D6283" ca="1">IF(INDIRECT("'"&amp;A6283&amp;"'!"&amp;B6283)="",FALSE,IF(NOT(ISNUMBER(INDIRECT("'"&amp;A6283&amp;"'!"&amp;B6283))),TRUE,FALSE))</f>
        <v>0</v>
      </c>
      <c r="E6283" t="s">
        <v>435</v>
      </c>
      <c r="F6283" t="str">
        <f>INDEX(Lists!I:I,MATCH(Validation!E6283,Lists!G:G,0))</f>
        <v>Error</v>
      </c>
      <c r="G6283" t="str">
        <f>INDEX(Lists!H:H,MATCH(Validation!E6283,Lists!G:G,0))</f>
        <v>Enter an amount only. Do not enter text or spaces.</v>
      </c>
      <c r="H6283" s="16" t="str">
        <f t="shared" ca="1" si="696"/>
        <v/>
      </c>
      <c r="I6283" s="16" t="str">
        <f t="shared" ca="1" si="697"/>
        <v/>
      </c>
      <c r="J6283" s="17" t="str">
        <f t="shared" ca="1" si="698"/>
        <v/>
      </c>
    </row>
    <row r="6284" spans="1:10" x14ac:dyDescent="0.25">
      <c r="A6284" t="s">
        <v>942</v>
      </c>
      <c r="B6284" t="str">
        <f>ADDRESS(ROW('Loan 1'!$B$34),COLUMN('Loan 1'!$B$34),4)</f>
        <v>B34</v>
      </c>
      <c r="C6284" t="str">
        <f>ADDRESS(ROW('Loan 1'!$D$34),COLUMN('Loan 1'!$D$34),4)</f>
        <v>D34</v>
      </c>
      <c r="D6284" t="b" cm="1">
        <f t="array" aca="1" ref="D6284" ca="1">IF(INDIRECT("'"&amp;A6284&amp;"'!"&amp;B6284)="",FALSE,IF(NOT(ISNUMBER(INDIRECT("'"&amp;A6284&amp;"'!"&amp;B6284))),TRUE,FALSE))</f>
        <v>0</v>
      </c>
      <c r="E6284" t="s">
        <v>435</v>
      </c>
      <c r="F6284" t="str">
        <f>INDEX(Lists!I:I,MATCH(Validation!E6284,Lists!G:G,0))</f>
        <v>Error</v>
      </c>
      <c r="G6284" t="str">
        <f>INDEX(Lists!H:H,MATCH(Validation!E6284,Lists!G:G,0))</f>
        <v>Enter an amount only. Do not enter text or spaces.</v>
      </c>
      <c r="H6284" s="16" t="str">
        <f t="shared" ca="1" si="696"/>
        <v/>
      </c>
      <c r="I6284" s="16" t="str">
        <f t="shared" ca="1" si="697"/>
        <v/>
      </c>
      <c r="J6284" s="17" t="str">
        <f t="shared" ca="1" si="698"/>
        <v/>
      </c>
    </row>
    <row r="6285" spans="1:10" x14ac:dyDescent="0.25">
      <c r="A6285" t="s">
        <v>943</v>
      </c>
      <c r="B6285" t="str">
        <f>ADDRESS(ROW('Loan 1'!$B$34),COLUMN('Loan 1'!$B$34),4)</f>
        <v>B34</v>
      </c>
      <c r="C6285" t="str">
        <f>ADDRESS(ROW('Loan 1'!$D$34),COLUMN('Loan 1'!$D$34),4)</f>
        <v>D34</v>
      </c>
      <c r="D6285" t="b" cm="1">
        <f t="array" aca="1" ref="D6285" ca="1">IF(INDIRECT("'"&amp;A6285&amp;"'!"&amp;B6285)="",FALSE,IF(NOT(ISNUMBER(INDIRECT("'"&amp;A6285&amp;"'!"&amp;B6285))),TRUE,FALSE))</f>
        <v>0</v>
      </c>
      <c r="E6285" t="s">
        <v>435</v>
      </c>
      <c r="F6285" t="str">
        <f>INDEX(Lists!I:I,MATCH(Validation!E6285,Lists!G:G,0))</f>
        <v>Error</v>
      </c>
      <c r="G6285" t="str">
        <f>INDEX(Lists!H:H,MATCH(Validation!E6285,Lists!G:G,0))</f>
        <v>Enter an amount only. Do not enter text or spaces.</v>
      </c>
      <c r="H6285" s="16" t="str">
        <f t="shared" ca="1" si="696"/>
        <v/>
      </c>
      <c r="I6285" s="16" t="str">
        <f t="shared" ca="1" si="697"/>
        <v/>
      </c>
      <c r="J6285" s="17" t="str">
        <f t="shared" ca="1" si="698"/>
        <v/>
      </c>
    </row>
    <row r="6286" spans="1:10" x14ac:dyDescent="0.25">
      <c r="A6286" t="s">
        <v>944</v>
      </c>
      <c r="B6286" t="str">
        <f>ADDRESS(ROW('Loan 1'!$B$34),COLUMN('Loan 1'!$B$34),4)</f>
        <v>B34</v>
      </c>
      <c r="C6286" t="str">
        <f>ADDRESS(ROW('Loan 1'!$D$34),COLUMN('Loan 1'!$D$34),4)</f>
        <v>D34</v>
      </c>
      <c r="D6286" t="b" cm="1">
        <f t="array" aca="1" ref="D6286" ca="1">IF(INDIRECT("'"&amp;A6286&amp;"'!"&amp;B6286)="",FALSE,IF(NOT(ISNUMBER(INDIRECT("'"&amp;A6286&amp;"'!"&amp;B6286))),TRUE,FALSE))</f>
        <v>0</v>
      </c>
      <c r="E6286" t="s">
        <v>435</v>
      </c>
      <c r="F6286" t="str">
        <f>INDEX(Lists!I:I,MATCH(Validation!E6286,Lists!G:G,0))</f>
        <v>Error</v>
      </c>
      <c r="G6286" t="str">
        <f>INDEX(Lists!H:H,MATCH(Validation!E6286,Lists!G:G,0))</f>
        <v>Enter an amount only. Do not enter text or spaces.</v>
      </c>
      <c r="H6286" s="16" t="str">
        <f t="shared" ca="1" si="696"/>
        <v/>
      </c>
      <c r="I6286" s="16" t="str">
        <f t="shared" ca="1" si="697"/>
        <v/>
      </c>
      <c r="J6286" s="17" t="str">
        <f t="shared" ca="1" si="698"/>
        <v/>
      </c>
    </row>
    <row r="6287" spans="1:10" x14ac:dyDescent="0.25">
      <c r="A6287" t="s">
        <v>945</v>
      </c>
      <c r="B6287" t="str">
        <f>ADDRESS(ROW('Loan 1'!$B$34),COLUMN('Loan 1'!$B$34),4)</f>
        <v>B34</v>
      </c>
      <c r="C6287" t="str">
        <f>ADDRESS(ROW('Loan 1'!$D$34),COLUMN('Loan 1'!$D$34),4)</f>
        <v>D34</v>
      </c>
      <c r="D6287" t="b" cm="1">
        <f t="array" aca="1" ref="D6287" ca="1">IF(INDIRECT("'"&amp;A6287&amp;"'!"&amp;B6287)="",FALSE,IF(NOT(ISNUMBER(INDIRECT("'"&amp;A6287&amp;"'!"&amp;B6287))),TRUE,FALSE))</f>
        <v>0</v>
      </c>
      <c r="E6287" t="s">
        <v>435</v>
      </c>
      <c r="F6287" t="str">
        <f>INDEX(Lists!I:I,MATCH(Validation!E6287,Lists!G:G,0))</f>
        <v>Error</v>
      </c>
      <c r="G6287" t="str">
        <f>INDEX(Lists!H:H,MATCH(Validation!E6287,Lists!G:G,0))</f>
        <v>Enter an amount only. Do not enter text or spaces.</v>
      </c>
      <c r="H6287" s="16" t="str">
        <f t="shared" ca="1" si="696"/>
        <v/>
      </c>
      <c r="I6287" s="16" t="str">
        <f t="shared" ca="1" si="697"/>
        <v/>
      </c>
      <c r="J6287" s="17" t="str">
        <f t="shared" ca="1" si="698"/>
        <v/>
      </c>
    </row>
    <row r="6288" spans="1:10" x14ac:dyDescent="0.25">
      <c r="A6288" t="s">
        <v>205</v>
      </c>
      <c r="B6288" t="str">
        <f>ADDRESS(ROW('Loan 1'!$B$34),COLUMN('Loan 1'!$B$34),4)</f>
        <v>B34</v>
      </c>
      <c r="C6288" t="str">
        <f>ADDRESS(ROW('Loan 1'!$D$34),COLUMN('Loan 1'!$D$34),4)</f>
        <v>D34</v>
      </c>
      <c r="D6288" t="b" cm="1">
        <f t="array" aca="1" ref="D6288" ca="1">IF(INDIRECT("'"&amp;A6288&amp;"'!"&amp;B6288)="",FALSE,IF(INDIRECT("'"&amp;A6288&amp;"'!"&amp;B6288)&lt;0,TRUE,FALSE))</f>
        <v>0</v>
      </c>
      <c r="E6288" t="s">
        <v>434</v>
      </c>
      <c r="F6288" t="str">
        <f>INDEX(Lists!I:I,MATCH(Validation!E6288,Lists!G:G,0))</f>
        <v>Error</v>
      </c>
      <c r="G6288" t="str">
        <f>INDEX(Lists!H:H,MATCH(Validation!E6288,Lists!G:G,0))</f>
        <v>Amount may not be negative. Enter an amount greater than or equal to zero.</v>
      </c>
      <c r="H6288" s="16" t="str">
        <f ca="1">IFERROR(IF(OR(NOT(D6288),F6288&lt;&gt;"Error"),"",A6288&amp;CELL("address",INDIRECT(B6288))),"")</f>
        <v/>
      </c>
      <c r="I6288" s="16" t="str">
        <f ca="1">IFERROR(IF(NOT(D6288),"",A6288&amp;CELL("address",INDIRECT(C6288))),"")</f>
        <v/>
      </c>
      <c r="J6288" s="17" t="str">
        <f ca="1">IFERROR(IF(NOT(D6288),"",A6288),"")</f>
        <v/>
      </c>
    </row>
    <row r="6289" spans="1:10" x14ac:dyDescent="0.25">
      <c r="A6289" t="s">
        <v>932</v>
      </c>
      <c r="B6289" t="str">
        <f>ADDRESS(ROW('Loan 1'!$B$34),COLUMN('Loan 1'!$B$34),4)</f>
        <v>B34</v>
      </c>
      <c r="C6289" t="str">
        <f>ADDRESS(ROW('Loan 1'!$D$34),COLUMN('Loan 1'!$D$34),4)</f>
        <v>D34</v>
      </c>
      <c r="D6289" t="b" cm="1">
        <f t="array" aca="1" ref="D6289" ca="1">IF(INDIRECT("'"&amp;A6289&amp;"'!"&amp;B6289)="",FALSE,IF(INDIRECT("'"&amp;A6289&amp;"'!"&amp;B6289)&lt;0,TRUE,FALSE))</f>
        <v>0</v>
      </c>
      <c r="E6289" t="s">
        <v>434</v>
      </c>
      <c r="F6289" t="str">
        <f>INDEX(Lists!I:I,MATCH(Validation!E6289,Lists!G:G,0))</f>
        <v>Error</v>
      </c>
      <c r="G6289" t="str">
        <f>INDEX(Lists!H:H,MATCH(Validation!E6289,Lists!G:G,0))</f>
        <v>Amount may not be negative. Enter an amount greater than or equal to zero.</v>
      </c>
      <c r="H6289" s="16" t="str">
        <f t="shared" ref="H6289:H6302" ca="1" si="699">IFERROR(IF(OR(NOT(D6289),F6289&lt;&gt;"Error"),"",A6289&amp;CELL("address",INDIRECT(B6289))),"")</f>
        <v/>
      </c>
      <c r="I6289" s="16" t="str">
        <f t="shared" ref="I6289:I6302" ca="1" si="700">IFERROR(IF(NOT(D6289),"",A6289&amp;CELL("address",INDIRECT(C6289))),"")</f>
        <v/>
      </c>
      <c r="J6289" s="17" t="str">
        <f t="shared" ref="J6289:J6302" ca="1" si="701">IFERROR(IF(NOT(D6289),"",A6289),"")</f>
        <v/>
      </c>
    </row>
    <row r="6290" spans="1:10" x14ac:dyDescent="0.25">
      <c r="A6290" t="s">
        <v>933</v>
      </c>
      <c r="B6290" t="str">
        <f>ADDRESS(ROW('Loan 1'!$B$34),COLUMN('Loan 1'!$B$34),4)</f>
        <v>B34</v>
      </c>
      <c r="C6290" t="str">
        <f>ADDRESS(ROW('Loan 1'!$D$34),COLUMN('Loan 1'!$D$34),4)</f>
        <v>D34</v>
      </c>
      <c r="D6290" t="b" cm="1">
        <f t="array" aca="1" ref="D6290" ca="1">IF(INDIRECT("'"&amp;A6290&amp;"'!"&amp;B6290)="",FALSE,IF(INDIRECT("'"&amp;A6290&amp;"'!"&amp;B6290)&lt;0,TRUE,FALSE))</f>
        <v>0</v>
      </c>
      <c r="E6290" t="s">
        <v>434</v>
      </c>
      <c r="F6290" t="str">
        <f>INDEX(Lists!I:I,MATCH(Validation!E6290,Lists!G:G,0))</f>
        <v>Error</v>
      </c>
      <c r="G6290" t="str">
        <f>INDEX(Lists!H:H,MATCH(Validation!E6290,Lists!G:G,0))</f>
        <v>Amount may not be negative. Enter an amount greater than or equal to zero.</v>
      </c>
      <c r="H6290" s="16" t="str">
        <f t="shared" ca="1" si="699"/>
        <v/>
      </c>
      <c r="I6290" s="16" t="str">
        <f t="shared" ca="1" si="700"/>
        <v/>
      </c>
      <c r="J6290" s="17" t="str">
        <f t="shared" ca="1" si="701"/>
        <v/>
      </c>
    </row>
    <row r="6291" spans="1:10" x14ac:dyDescent="0.25">
      <c r="A6291" t="s">
        <v>934</v>
      </c>
      <c r="B6291" t="str">
        <f>ADDRESS(ROW('Loan 1'!$B$34),COLUMN('Loan 1'!$B$34),4)</f>
        <v>B34</v>
      </c>
      <c r="C6291" t="str">
        <f>ADDRESS(ROW('Loan 1'!$D$34),COLUMN('Loan 1'!$D$34),4)</f>
        <v>D34</v>
      </c>
      <c r="D6291" t="b" cm="1">
        <f t="array" aca="1" ref="D6291" ca="1">IF(INDIRECT("'"&amp;A6291&amp;"'!"&amp;B6291)="",FALSE,IF(INDIRECT("'"&amp;A6291&amp;"'!"&amp;B6291)&lt;0,TRUE,FALSE))</f>
        <v>0</v>
      </c>
      <c r="E6291" t="s">
        <v>434</v>
      </c>
      <c r="F6291" t="str">
        <f>INDEX(Lists!I:I,MATCH(Validation!E6291,Lists!G:G,0))</f>
        <v>Error</v>
      </c>
      <c r="G6291" t="str">
        <f>INDEX(Lists!H:H,MATCH(Validation!E6291,Lists!G:G,0))</f>
        <v>Amount may not be negative. Enter an amount greater than or equal to zero.</v>
      </c>
      <c r="H6291" s="16" t="str">
        <f t="shared" ca="1" si="699"/>
        <v/>
      </c>
      <c r="I6291" s="16" t="str">
        <f t="shared" ca="1" si="700"/>
        <v/>
      </c>
      <c r="J6291" s="17" t="str">
        <f t="shared" ca="1" si="701"/>
        <v/>
      </c>
    </row>
    <row r="6292" spans="1:10" x14ac:dyDescent="0.25">
      <c r="A6292" t="s">
        <v>935</v>
      </c>
      <c r="B6292" t="str">
        <f>ADDRESS(ROW('Loan 1'!$B$34),COLUMN('Loan 1'!$B$34),4)</f>
        <v>B34</v>
      </c>
      <c r="C6292" t="str">
        <f>ADDRESS(ROW('Loan 1'!$D$34),COLUMN('Loan 1'!$D$34),4)</f>
        <v>D34</v>
      </c>
      <c r="D6292" t="b" cm="1">
        <f t="array" aca="1" ref="D6292" ca="1">IF(INDIRECT("'"&amp;A6292&amp;"'!"&amp;B6292)="",FALSE,IF(INDIRECT("'"&amp;A6292&amp;"'!"&amp;B6292)&lt;0,TRUE,FALSE))</f>
        <v>0</v>
      </c>
      <c r="E6292" t="s">
        <v>434</v>
      </c>
      <c r="F6292" t="str">
        <f>INDEX(Lists!I:I,MATCH(Validation!E6292,Lists!G:G,0))</f>
        <v>Error</v>
      </c>
      <c r="G6292" t="str">
        <f>INDEX(Lists!H:H,MATCH(Validation!E6292,Lists!G:G,0))</f>
        <v>Amount may not be negative. Enter an amount greater than or equal to zero.</v>
      </c>
      <c r="H6292" s="16" t="str">
        <f t="shared" ca="1" si="699"/>
        <v/>
      </c>
      <c r="I6292" s="16" t="str">
        <f t="shared" ca="1" si="700"/>
        <v/>
      </c>
      <c r="J6292" s="17" t="str">
        <f t="shared" ca="1" si="701"/>
        <v/>
      </c>
    </row>
    <row r="6293" spans="1:10" x14ac:dyDescent="0.25">
      <c r="A6293" t="s">
        <v>936</v>
      </c>
      <c r="B6293" t="str">
        <f>ADDRESS(ROW('Loan 1'!$B$34),COLUMN('Loan 1'!$B$34),4)</f>
        <v>B34</v>
      </c>
      <c r="C6293" t="str">
        <f>ADDRESS(ROW('Loan 1'!$D$34),COLUMN('Loan 1'!$D$34),4)</f>
        <v>D34</v>
      </c>
      <c r="D6293" t="b" cm="1">
        <f t="array" aca="1" ref="D6293" ca="1">IF(INDIRECT("'"&amp;A6293&amp;"'!"&amp;B6293)="",FALSE,IF(INDIRECT("'"&amp;A6293&amp;"'!"&amp;B6293)&lt;0,TRUE,FALSE))</f>
        <v>0</v>
      </c>
      <c r="E6293" t="s">
        <v>434</v>
      </c>
      <c r="F6293" t="str">
        <f>INDEX(Lists!I:I,MATCH(Validation!E6293,Lists!G:G,0))</f>
        <v>Error</v>
      </c>
      <c r="G6293" t="str">
        <f>INDEX(Lists!H:H,MATCH(Validation!E6293,Lists!G:G,0))</f>
        <v>Amount may not be negative. Enter an amount greater than or equal to zero.</v>
      </c>
      <c r="H6293" s="16" t="str">
        <f t="shared" ca="1" si="699"/>
        <v/>
      </c>
      <c r="I6293" s="16" t="str">
        <f t="shared" ca="1" si="700"/>
        <v/>
      </c>
      <c r="J6293" s="17" t="str">
        <f t="shared" ca="1" si="701"/>
        <v/>
      </c>
    </row>
    <row r="6294" spans="1:10" x14ac:dyDescent="0.25">
      <c r="A6294" t="s">
        <v>937</v>
      </c>
      <c r="B6294" t="str">
        <f>ADDRESS(ROW('Loan 1'!$B$34),COLUMN('Loan 1'!$B$34),4)</f>
        <v>B34</v>
      </c>
      <c r="C6294" t="str">
        <f>ADDRESS(ROW('Loan 1'!$D$34),COLUMN('Loan 1'!$D$34),4)</f>
        <v>D34</v>
      </c>
      <c r="D6294" t="b" cm="1">
        <f t="array" aca="1" ref="D6294" ca="1">IF(INDIRECT("'"&amp;A6294&amp;"'!"&amp;B6294)="",FALSE,IF(INDIRECT("'"&amp;A6294&amp;"'!"&amp;B6294)&lt;0,TRUE,FALSE))</f>
        <v>0</v>
      </c>
      <c r="E6294" t="s">
        <v>434</v>
      </c>
      <c r="F6294" t="str">
        <f>INDEX(Lists!I:I,MATCH(Validation!E6294,Lists!G:G,0))</f>
        <v>Error</v>
      </c>
      <c r="G6294" t="str">
        <f>INDEX(Lists!H:H,MATCH(Validation!E6294,Lists!G:G,0))</f>
        <v>Amount may not be negative. Enter an amount greater than or equal to zero.</v>
      </c>
      <c r="H6294" s="16" t="str">
        <f t="shared" ca="1" si="699"/>
        <v/>
      </c>
      <c r="I6294" s="16" t="str">
        <f t="shared" ca="1" si="700"/>
        <v/>
      </c>
      <c r="J6294" s="17" t="str">
        <f t="shared" ca="1" si="701"/>
        <v/>
      </c>
    </row>
    <row r="6295" spans="1:10" x14ac:dyDescent="0.25">
      <c r="A6295" t="s">
        <v>938</v>
      </c>
      <c r="B6295" t="str">
        <f>ADDRESS(ROW('Loan 1'!$B$34),COLUMN('Loan 1'!$B$34),4)</f>
        <v>B34</v>
      </c>
      <c r="C6295" t="str">
        <f>ADDRESS(ROW('Loan 1'!$D$34),COLUMN('Loan 1'!$D$34),4)</f>
        <v>D34</v>
      </c>
      <c r="D6295" t="b" cm="1">
        <f t="array" aca="1" ref="D6295" ca="1">IF(INDIRECT("'"&amp;A6295&amp;"'!"&amp;B6295)="",FALSE,IF(INDIRECT("'"&amp;A6295&amp;"'!"&amp;B6295)&lt;0,TRUE,FALSE))</f>
        <v>0</v>
      </c>
      <c r="E6295" t="s">
        <v>434</v>
      </c>
      <c r="F6295" t="str">
        <f>INDEX(Lists!I:I,MATCH(Validation!E6295,Lists!G:G,0))</f>
        <v>Error</v>
      </c>
      <c r="G6295" t="str">
        <f>INDEX(Lists!H:H,MATCH(Validation!E6295,Lists!G:G,0))</f>
        <v>Amount may not be negative. Enter an amount greater than or equal to zero.</v>
      </c>
      <c r="H6295" s="16" t="str">
        <f t="shared" ca="1" si="699"/>
        <v/>
      </c>
      <c r="I6295" s="16" t="str">
        <f t="shared" ca="1" si="700"/>
        <v/>
      </c>
      <c r="J6295" s="17" t="str">
        <f t="shared" ca="1" si="701"/>
        <v/>
      </c>
    </row>
    <row r="6296" spans="1:10" x14ac:dyDescent="0.25">
      <c r="A6296" t="s">
        <v>939</v>
      </c>
      <c r="B6296" t="str">
        <f>ADDRESS(ROW('Loan 1'!$B$34),COLUMN('Loan 1'!$B$34),4)</f>
        <v>B34</v>
      </c>
      <c r="C6296" t="str">
        <f>ADDRESS(ROW('Loan 1'!$D$34),COLUMN('Loan 1'!$D$34),4)</f>
        <v>D34</v>
      </c>
      <c r="D6296" t="b" cm="1">
        <f t="array" aca="1" ref="D6296" ca="1">IF(INDIRECT("'"&amp;A6296&amp;"'!"&amp;B6296)="",FALSE,IF(INDIRECT("'"&amp;A6296&amp;"'!"&amp;B6296)&lt;0,TRUE,FALSE))</f>
        <v>0</v>
      </c>
      <c r="E6296" t="s">
        <v>434</v>
      </c>
      <c r="F6296" t="str">
        <f>INDEX(Lists!I:I,MATCH(Validation!E6296,Lists!G:G,0))</f>
        <v>Error</v>
      </c>
      <c r="G6296" t="str">
        <f>INDEX(Lists!H:H,MATCH(Validation!E6296,Lists!G:G,0))</f>
        <v>Amount may not be negative. Enter an amount greater than or equal to zero.</v>
      </c>
      <c r="H6296" s="16" t="str">
        <f t="shared" ca="1" si="699"/>
        <v/>
      </c>
      <c r="I6296" s="16" t="str">
        <f t="shared" ca="1" si="700"/>
        <v/>
      </c>
      <c r="J6296" s="17" t="str">
        <f t="shared" ca="1" si="701"/>
        <v/>
      </c>
    </row>
    <row r="6297" spans="1:10" x14ac:dyDescent="0.25">
      <c r="A6297" t="s">
        <v>940</v>
      </c>
      <c r="B6297" t="str">
        <f>ADDRESS(ROW('Loan 1'!$B$34),COLUMN('Loan 1'!$B$34),4)</f>
        <v>B34</v>
      </c>
      <c r="C6297" t="str">
        <f>ADDRESS(ROW('Loan 1'!$D$34),COLUMN('Loan 1'!$D$34),4)</f>
        <v>D34</v>
      </c>
      <c r="D6297" t="b" cm="1">
        <f t="array" aca="1" ref="D6297" ca="1">IF(INDIRECT("'"&amp;A6297&amp;"'!"&amp;B6297)="",FALSE,IF(INDIRECT("'"&amp;A6297&amp;"'!"&amp;B6297)&lt;0,TRUE,FALSE))</f>
        <v>0</v>
      </c>
      <c r="E6297" t="s">
        <v>434</v>
      </c>
      <c r="F6297" t="str">
        <f>INDEX(Lists!I:I,MATCH(Validation!E6297,Lists!G:G,0))</f>
        <v>Error</v>
      </c>
      <c r="G6297" t="str">
        <f>INDEX(Lists!H:H,MATCH(Validation!E6297,Lists!G:G,0))</f>
        <v>Amount may not be negative. Enter an amount greater than or equal to zero.</v>
      </c>
      <c r="H6297" s="16" t="str">
        <f t="shared" ca="1" si="699"/>
        <v/>
      </c>
      <c r="I6297" s="16" t="str">
        <f t="shared" ca="1" si="700"/>
        <v/>
      </c>
      <c r="J6297" s="17" t="str">
        <f t="shared" ca="1" si="701"/>
        <v/>
      </c>
    </row>
    <row r="6298" spans="1:10" x14ac:dyDescent="0.25">
      <c r="A6298" t="s">
        <v>941</v>
      </c>
      <c r="B6298" t="str">
        <f>ADDRESS(ROW('Loan 1'!$B$34),COLUMN('Loan 1'!$B$34),4)</f>
        <v>B34</v>
      </c>
      <c r="C6298" t="str">
        <f>ADDRESS(ROW('Loan 1'!$D$34),COLUMN('Loan 1'!$D$34),4)</f>
        <v>D34</v>
      </c>
      <c r="D6298" t="b" cm="1">
        <f t="array" aca="1" ref="D6298" ca="1">IF(INDIRECT("'"&amp;A6298&amp;"'!"&amp;B6298)="",FALSE,IF(INDIRECT("'"&amp;A6298&amp;"'!"&amp;B6298)&lt;0,TRUE,FALSE))</f>
        <v>0</v>
      </c>
      <c r="E6298" t="s">
        <v>434</v>
      </c>
      <c r="F6298" t="str">
        <f>INDEX(Lists!I:I,MATCH(Validation!E6298,Lists!G:G,0))</f>
        <v>Error</v>
      </c>
      <c r="G6298" t="str">
        <f>INDEX(Lists!H:H,MATCH(Validation!E6298,Lists!G:G,0))</f>
        <v>Amount may not be negative. Enter an amount greater than or equal to zero.</v>
      </c>
      <c r="H6298" s="16" t="str">
        <f t="shared" ca="1" si="699"/>
        <v/>
      </c>
      <c r="I6298" s="16" t="str">
        <f t="shared" ca="1" si="700"/>
        <v/>
      </c>
      <c r="J6298" s="17" t="str">
        <f t="shared" ca="1" si="701"/>
        <v/>
      </c>
    </row>
    <row r="6299" spans="1:10" x14ac:dyDescent="0.25">
      <c r="A6299" t="s">
        <v>942</v>
      </c>
      <c r="B6299" t="str">
        <f>ADDRESS(ROW('Loan 1'!$B$34),COLUMN('Loan 1'!$B$34),4)</f>
        <v>B34</v>
      </c>
      <c r="C6299" t="str">
        <f>ADDRESS(ROW('Loan 1'!$D$34),COLUMN('Loan 1'!$D$34),4)</f>
        <v>D34</v>
      </c>
      <c r="D6299" t="b" cm="1">
        <f t="array" aca="1" ref="D6299" ca="1">IF(INDIRECT("'"&amp;A6299&amp;"'!"&amp;B6299)="",FALSE,IF(INDIRECT("'"&amp;A6299&amp;"'!"&amp;B6299)&lt;0,TRUE,FALSE))</f>
        <v>0</v>
      </c>
      <c r="E6299" t="s">
        <v>434</v>
      </c>
      <c r="F6299" t="str">
        <f>INDEX(Lists!I:I,MATCH(Validation!E6299,Lists!G:G,0))</f>
        <v>Error</v>
      </c>
      <c r="G6299" t="str">
        <f>INDEX(Lists!H:H,MATCH(Validation!E6299,Lists!G:G,0))</f>
        <v>Amount may not be negative. Enter an amount greater than or equal to zero.</v>
      </c>
      <c r="H6299" s="16" t="str">
        <f t="shared" ca="1" si="699"/>
        <v/>
      </c>
      <c r="I6299" s="16" t="str">
        <f t="shared" ca="1" si="700"/>
        <v/>
      </c>
      <c r="J6299" s="17" t="str">
        <f t="shared" ca="1" si="701"/>
        <v/>
      </c>
    </row>
    <row r="6300" spans="1:10" x14ac:dyDescent="0.25">
      <c r="A6300" t="s">
        <v>943</v>
      </c>
      <c r="B6300" t="str">
        <f>ADDRESS(ROW('Loan 1'!$B$34),COLUMN('Loan 1'!$B$34),4)</f>
        <v>B34</v>
      </c>
      <c r="C6300" t="str">
        <f>ADDRESS(ROW('Loan 1'!$D$34),COLUMN('Loan 1'!$D$34),4)</f>
        <v>D34</v>
      </c>
      <c r="D6300" t="b" cm="1">
        <f t="array" aca="1" ref="D6300" ca="1">IF(INDIRECT("'"&amp;A6300&amp;"'!"&amp;B6300)="",FALSE,IF(INDIRECT("'"&amp;A6300&amp;"'!"&amp;B6300)&lt;0,TRUE,FALSE))</f>
        <v>0</v>
      </c>
      <c r="E6300" t="s">
        <v>434</v>
      </c>
      <c r="F6300" t="str">
        <f>INDEX(Lists!I:I,MATCH(Validation!E6300,Lists!G:G,0))</f>
        <v>Error</v>
      </c>
      <c r="G6300" t="str">
        <f>INDEX(Lists!H:H,MATCH(Validation!E6300,Lists!G:G,0))</f>
        <v>Amount may not be negative. Enter an amount greater than or equal to zero.</v>
      </c>
      <c r="H6300" s="16" t="str">
        <f t="shared" ca="1" si="699"/>
        <v/>
      </c>
      <c r="I6300" s="16" t="str">
        <f t="shared" ca="1" si="700"/>
        <v/>
      </c>
      <c r="J6300" s="17" t="str">
        <f t="shared" ca="1" si="701"/>
        <v/>
      </c>
    </row>
    <row r="6301" spans="1:10" x14ac:dyDescent="0.25">
      <c r="A6301" t="s">
        <v>944</v>
      </c>
      <c r="B6301" t="str">
        <f>ADDRESS(ROW('Loan 1'!$B$34),COLUMN('Loan 1'!$B$34),4)</f>
        <v>B34</v>
      </c>
      <c r="C6301" t="str">
        <f>ADDRESS(ROW('Loan 1'!$D$34),COLUMN('Loan 1'!$D$34),4)</f>
        <v>D34</v>
      </c>
      <c r="D6301" t="b" cm="1">
        <f t="array" aca="1" ref="D6301" ca="1">IF(INDIRECT("'"&amp;A6301&amp;"'!"&amp;B6301)="",FALSE,IF(INDIRECT("'"&amp;A6301&amp;"'!"&amp;B6301)&lt;0,TRUE,FALSE))</f>
        <v>0</v>
      </c>
      <c r="E6301" t="s">
        <v>434</v>
      </c>
      <c r="F6301" t="str">
        <f>INDEX(Lists!I:I,MATCH(Validation!E6301,Lists!G:G,0))</f>
        <v>Error</v>
      </c>
      <c r="G6301" t="str">
        <f>INDEX(Lists!H:H,MATCH(Validation!E6301,Lists!G:G,0))</f>
        <v>Amount may not be negative. Enter an amount greater than or equal to zero.</v>
      </c>
      <c r="H6301" s="16" t="str">
        <f t="shared" ca="1" si="699"/>
        <v/>
      </c>
      <c r="I6301" s="16" t="str">
        <f t="shared" ca="1" si="700"/>
        <v/>
      </c>
      <c r="J6301" s="17" t="str">
        <f t="shared" ca="1" si="701"/>
        <v/>
      </c>
    </row>
    <row r="6302" spans="1:10" x14ac:dyDescent="0.25">
      <c r="A6302" t="s">
        <v>945</v>
      </c>
      <c r="B6302" t="str">
        <f>ADDRESS(ROW('Loan 1'!$B$34),COLUMN('Loan 1'!$B$34),4)</f>
        <v>B34</v>
      </c>
      <c r="C6302" t="str">
        <f>ADDRESS(ROW('Loan 1'!$D$34),COLUMN('Loan 1'!$D$34),4)</f>
        <v>D34</v>
      </c>
      <c r="D6302" t="b" cm="1">
        <f t="array" aca="1" ref="D6302" ca="1">IF(INDIRECT("'"&amp;A6302&amp;"'!"&amp;B6302)="",FALSE,IF(INDIRECT("'"&amp;A6302&amp;"'!"&amp;B6302)&lt;0,TRUE,FALSE))</f>
        <v>0</v>
      </c>
      <c r="E6302" t="s">
        <v>434</v>
      </c>
      <c r="F6302" t="str">
        <f>INDEX(Lists!I:I,MATCH(Validation!E6302,Lists!G:G,0))</f>
        <v>Error</v>
      </c>
      <c r="G6302" t="str">
        <f>INDEX(Lists!H:H,MATCH(Validation!E6302,Lists!G:G,0))</f>
        <v>Amount may not be negative. Enter an amount greater than or equal to zero.</v>
      </c>
      <c r="H6302" s="16" t="str">
        <f t="shared" ca="1" si="699"/>
        <v/>
      </c>
      <c r="I6302" s="16" t="str">
        <f t="shared" ca="1" si="700"/>
        <v/>
      </c>
      <c r="J6302" s="17" t="str">
        <f t="shared" ca="1" si="701"/>
        <v/>
      </c>
    </row>
    <row r="6303" spans="1:10" x14ac:dyDescent="0.25">
      <c r="A6303" t="s">
        <v>205</v>
      </c>
      <c r="B6303" t="str">
        <f>ADDRESS(ROW('Loan 1'!$B$34),COLUMN('Loan 1'!$B$34),4)</f>
        <v>B34</v>
      </c>
      <c r="C6303" t="str">
        <f>ADDRESS(ROW('Loan 1'!$D$34),COLUMN('Loan 1'!$D$34),4)</f>
        <v>D34</v>
      </c>
      <c r="D6303" t="b" cm="1">
        <f t="array" aca="1" ref="D6303" ca="1">IF(INDIRECT("'"&amp;A6303&amp;"'!"&amp;B6303)="",FALSE,IF(TRUNC(INDIRECT("'"&amp;A6303&amp;"'!"&amp;B6303))=INDIRECT("'"&amp;A6303&amp;"'!"&amp;B6303),FALSE,TRUE))</f>
        <v>0</v>
      </c>
      <c r="E6303" t="s">
        <v>436</v>
      </c>
      <c r="F6303" t="str">
        <f>INDEX(Lists!I:I,MATCH(Validation!E6303,Lists!G:G,0))</f>
        <v>Error</v>
      </c>
      <c r="G6303" t="str">
        <f>INDEX(Lists!H:H,MATCH(Validation!E6303,Lists!G:G,0))</f>
        <v>Amount must be rounded to the nearest dollar.</v>
      </c>
      <c r="H6303" s="16" t="str">
        <f t="shared" ref="H6303:H6317" ca="1" si="702">IFERROR(IF(OR(NOT(D6303),F6303&lt;&gt;"Error"),"",A6303&amp;CELL("address",INDIRECT(B6303))),"")</f>
        <v/>
      </c>
      <c r="I6303" s="16" t="str">
        <f t="shared" ref="I6303:I6317" ca="1" si="703">IFERROR(IF(NOT(D6303),"",A6303&amp;CELL("address",INDIRECT(C6303))),"")</f>
        <v/>
      </c>
      <c r="J6303" s="17" t="str">
        <f t="shared" ref="J6303:J6317" ca="1" si="704">IFERROR(IF(NOT(D6303),"",A6303),"")</f>
        <v/>
      </c>
    </row>
    <row r="6304" spans="1:10" x14ac:dyDescent="0.25">
      <c r="A6304" t="s">
        <v>932</v>
      </c>
      <c r="B6304" t="str">
        <f>ADDRESS(ROW('Loan 1'!$B$34),COLUMN('Loan 1'!$B$34),4)</f>
        <v>B34</v>
      </c>
      <c r="C6304" t="str">
        <f>ADDRESS(ROW('Loan 1'!$D$34),COLUMN('Loan 1'!$D$34),4)</f>
        <v>D34</v>
      </c>
      <c r="D6304" t="b" cm="1">
        <f t="array" aca="1" ref="D6304" ca="1">IF(INDIRECT("'"&amp;A6304&amp;"'!"&amp;B6304)="",FALSE,IF(TRUNC(INDIRECT("'"&amp;A6304&amp;"'!"&amp;B6304))=INDIRECT("'"&amp;A6304&amp;"'!"&amp;B6304),FALSE,TRUE))</f>
        <v>0</v>
      </c>
      <c r="E6304" t="s">
        <v>436</v>
      </c>
      <c r="F6304" t="str">
        <f>INDEX(Lists!I:I,MATCH(Validation!E6304,Lists!G:G,0))</f>
        <v>Error</v>
      </c>
      <c r="G6304" t="str">
        <f>INDEX(Lists!H:H,MATCH(Validation!E6304,Lists!G:G,0))</f>
        <v>Amount must be rounded to the nearest dollar.</v>
      </c>
      <c r="H6304" s="16" t="str">
        <f t="shared" ca="1" si="702"/>
        <v/>
      </c>
      <c r="I6304" s="16" t="str">
        <f t="shared" ca="1" si="703"/>
        <v/>
      </c>
      <c r="J6304" s="17" t="str">
        <f t="shared" ca="1" si="704"/>
        <v/>
      </c>
    </row>
    <row r="6305" spans="1:10" x14ac:dyDescent="0.25">
      <c r="A6305" t="s">
        <v>933</v>
      </c>
      <c r="B6305" t="str">
        <f>ADDRESS(ROW('Loan 1'!$B$34),COLUMN('Loan 1'!$B$34),4)</f>
        <v>B34</v>
      </c>
      <c r="C6305" t="str">
        <f>ADDRESS(ROW('Loan 1'!$D$34),COLUMN('Loan 1'!$D$34),4)</f>
        <v>D34</v>
      </c>
      <c r="D6305" t="b" cm="1">
        <f t="array" aca="1" ref="D6305" ca="1">IF(INDIRECT("'"&amp;A6305&amp;"'!"&amp;B6305)="",FALSE,IF(TRUNC(INDIRECT("'"&amp;A6305&amp;"'!"&amp;B6305))=INDIRECT("'"&amp;A6305&amp;"'!"&amp;B6305),FALSE,TRUE))</f>
        <v>0</v>
      </c>
      <c r="E6305" t="s">
        <v>436</v>
      </c>
      <c r="F6305" t="str">
        <f>INDEX(Lists!I:I,MATCH(Validation!E6305,Lists!G:G,0))</f>
        <v>Error</v>
      </c>
      <c r="G6305" t="str">
        <f>INDEX(Lists!H:H,MATCH(Validation!E6305,Lists!G:G,0))</f>
        <v>Amount must be rounded to the nearest dollar.</v>
      </c>
      <c r="H6305" s="16" t="str">
        <f t="shared" ca="1" si="702"/>
        <v/>
      </c>
      <c r="I6305" s="16" t="str">
        <f t="shared" ca="1" si="703"/>
        <v/>
      </c>
      <c r="J6305" s="17" t="str">
        <f t="shared" ca="1" si="704"/>
        <v/>
      </c>
    </row>
    <row r="6306" spans="1:10" x14ac:dyDescent="0.25">
      <c r="A6306" t="s">
        <v>934</v>
      </c>
      <c r="B6306" t="str">
        <f>ADDRESS(ROW('Loan 1'!$B$34),COLUMN('Loan 1'!$B$34),4)</f>
        <v>B34</v>
      </c>
      <c r="C6306" t="str">
        <f>ADDRESS(ROW('Loan 1'!$D$34),COLUMN('Loan 1'!$D$34),4)</f>
        <v>D34</v>
      </c>
      <c r="D6306" t="b" cm="1">
        <f t="array" aca="1" ref="D6306" ca="1">IF(INDIRECT("'"&amp;A6306&amp;"'!"&amp;B6306)="",FALSE,IF(TRUNC(INDIRECT("'"&amp;A6306&amp;"'!"&amp;B6306))=INDIRECT("'"&amp;A6306&amp;"'!"&amp;B6306),FALSE,TRUE))</f>
        <v>0</v>
      </c>
      <c r="E6306" t="s">
        <v>436</v>
      </c>
      <c r="F6306" t="str">
        <f>INDEX(Lists!I:I,MATCH(Validation!E6306,Lists!G:G,0))</f>
        <v>Error</v>
      </c>
      <c r="G6306" t="str">
        <f>INDEX(Lists!H:H,MATCH(Validation!E6306,Lists!G:G,0))</f>
        <v>Amount must be rounded to the nearest dollar.</v>
      </c>
      <c r="H6306" s="16" t="str">
        <f t="shared" ca="1" si="702"/>
        <v/>
      </c>
      <c r="I6306" s="16" t="str">
        <f t="shared" ca="1" si="703"/>
        <v/>
      </c>
      <c r="J6306" s="17" t="str">
        <f t="shared" ca="1" si="704"/>
        <v/>
      </c>
    </row>
    <row r="6307" spans="1:10" x14ac:dyDescent="0.25">
      <c r="A6307" t="s">
        <v>935</v>
      </c>
      <c r="B6307" t="str">
        <f>ADDRESS(ROW('Loan 1'!$B$34),COLUMN('Loan 1'!$B$34),4)</f>
        <v>B34</v>
      </c>
      <c r="C6307" t="str">
        <f>ADDRESS(ROW('Loan 1'!$D$34),COLUMN('Loan 1'!$D$34),4)</f>
        <v>D34</v>
      </c>
      <c r="D6307" t="b" cm="1">
        <f t="array" aca="1" ref="D6307" ca="1">IF(INDIRECT("'"&amp;A6307&amp;"'!"&amp;B6307)="",FALSE,IF(TRUNC(INDIRECT("'"&amp;A6307&amp;"'!"&amp;B6307))=INDIRECT("'"&amp;A6307&amp;"'!"&amp;B6307),FALSE,TRUE))</f>
        <v>0</v>
      </c>
      <c r="E6307" t="s">
        <v>436</v>
      </c>
      <c r="F6307" t="str">
        <f>INDEX(Lists!I:I,MATCH(Validation!E6307,Lists!G:G,0))</f>
        <v>Error</v>
      </c>
      <c r="G6307" t="str">
        <f>INDEX(Lists!H:H,MATCH(Validation!E6307,Lists!G:G,0))</f>
        <v>Amount must be rounded to the nearest dollar.</v>
      </c>
      <c r="H6307" s="16" t="str">
        <f t="shared" ca="1" si="702"/>
        <v/>
      </c>
      <c r="I6307" s="16" t="str">
        <f t="shared" ca="1" si="703"/>
        <v/>
      </c>
      <c r="J6307" s="17" t="str">
        <f t="shared" ca="1" si="704"/>
        <v/>
      </c>
    </row>
    <row r="6308" spans="1:10" x14ac:dyDescent="0.25">
      <c r="A6308" t="s">
        <v>936</v>
      </c>
      <c r="B6308" t="str">
        <f>ADDRESS(ROW('Loan 1'!$B$34),COLUMN('Loan 1'!$B$34),4)</f>
        <v>B34</v>
      </c>
      <c r="C6308" t="str">
        <f>ADDRESS(ROW('Loan 1'!$D$34),COLUMN('Loan 1'!$D$34),4)</f>
        <v>D34</v>
      </c>
      <c r="D6308" t="b" cm="1">
        <f t="array" aca="1" ref="D6308" ca="1">IF(INDIRECT("'"&amp;A6308&amp;"'!"&amp;B6308)="",FALSE,IF(TRUNC(INDIRECT("'"&amp;A6308&amp;"'!"&amp;B6308))=INDIRECT("'"&amp;A6308&amp;"'!"&amp;B6308),FALSE,TRUE))</f>
        <v>0</v>
      </c>
      <c r="E6308" t="s">
        <v>436</v>
      </c>
      <c r="F6308" t="str">
        <f>INDEX(Lists!I:I,MATCH(Validation!E6308,Lists!G:G,0))</f>
        <v>Error</v>
      </c>
      <c r="G6308" t="str">
        <f>INDEX(Lists!H:H,MATCH(Validation!E6308,Lists!G:G,0))</f>
        <v>Amount must be rounded to the nearest dollar.</v>
      </c>
      <c r="H6308" s="16" t="str">
        <f t="shared" ca="1" si="702"/>
        <v/>
      </c>
      <c r="I6308" s="16" t="str">
        <f t="shared" ca="1" si="703"/>
        <v/>
      </c>
      <c r="J6308" s="17" t="str">
        <f t="shared" ca="1" si="704"/>
        <v/>
      </c>
    </row>
    <row r="6309" spans="1:10" x14ac:dyDescent="0.25">
      <c r="A6309" t="s">
        <v>937</v>
      </c>
      <c r="B6309" t="str">
        <f>ADDRESS(ROW('Loan 1'!$B$34),COLUMN('Loan 1'!$B$34),4)</f>
        <v>B34</v>
      </c>
      <c r="C6309" t="str">
        <f>ADDRESS(ROW('Loan 1'!$D$34),COLUMN('Loan 1'!$D$34),4)</f>
        <v>D34</v>
      </c>
      <c r="D6309" t="b" cm="1">
        <f t="array" aca="1" ref="D6309" ca="1">IF(INDIRECT("'"&amp;A6309&amp;"'!"&amp;B6309)="",FALSE,IF(TRUNC(INDIRECT("'"&amp;A6309&amp;"'!"&amp;B6309))=INDIRECT("'"&amp;A6309&amp;"'!"&amp;B6309),FALSE,TRUE))</f>
        <v>0</v>
      </c>
      <c r="E6309" t="s">
        <v>436</v>
      </c>
      <c r="F6309" t="str">
        <f>INDEX(Lists!I:I,MATCH(Validation!E6309,Lists!G:G,0))</f>
        <v>Error</v>
      </c>
      <c r="G6309" t="str">
        <f>INDEX(Lists!H:H,MATCH(Validation!E6309,Lists!G:G,0))</f>
        <v>Amount must be rounded to the nearest dollar.</v>
      </c>
      <c r="H6309" s="16" t="str">
        <f t="shared" ca="1" si="702"/>
        <v/>
      </c>
      <c r="I6309" s="16" t="str">
        <f t="shared" ca="1" si="703"/>
        <v/>
      </c>
      <c r="J6309" s="17" t="str">
        <f t="shared" ca="1" si="704"/>
        <v/>
      </c>
    </row>
    <row r="6310" spans="1:10" x14ac:dyDescent="0.25">
      <c r="A6310" t="s">
        <v>938</v>
      </c>
      <c r="B6310" t="str">
        <f>ADDRESS(ROW('Loan 1'!$B$34),COLUMN('Loan 1'!$B$34),4)</f>
        <v>B34</v>
      </c>
      <c r="C6310" t="str">
        <f>ADDRESS(ROW('Loan 1'!$D$34),COLUMN('Loan 1'!$D$34),4)</f>
        <v>D34</v>
      </c>
      <c r="D6310" t="b" cm="1">
        <f t="array" aca="1" ref="D6310" ca="1">IF(INDIRECT("'"&amp;A6310&amp;"'!"&amp;B6310)="",FALSE,IF(TRUNC(INDIRECT("'"&amp;A6310&amp;"'!"&amp;B6310))=INDIRECT("'"&amp;A6310&amp;"'!"&amp;B6310),FALSE,TRUE))</f>
        <v>0</v>
      </c>
      <c r="E6310" t="s">
        <v>436</v>
      </c>
      <c r="F6310" t="str">
        <f>INDEX(Lists!I:I,MATCH(Validation!E6310,Lists!G:G,0))</f>
        <v>Error</v>
      </c>
      <c r="G6310" t="str">
        <f>INDEX(Lists!H:H,MATCH(Validation!E6310,Lists!G:G,0))</f>
        <v>Amount must be rounded to the nearest dollar.</v>
      </c>
      <c r="H6310" s="16" t="str">
        <f t="shared" ca="1" si="702"/>
        <v/>
      </c>
      <c r="I6310" s="16" t="str">
        <f t="shared" ca="1" si="703"/>
        <v/>
      </c>
      <c r="J6310" s="17" t="str">
        <f t="shared" ca="1" si="704"/>
        <v/>
      </c>
    </row>
    <row r="6311" spans="1:10" x14ac:dyDescent="0.25">
      <c r="A6311" t="s">
        <v>939</v>
      </c>
      <c r="B6311" t="str">
        <f>ADDRESS(ROW('Loan 1'!$B$34),COLUMN('Loan 1'!$B$34),4)</f>
        <v>B34</v>
      </c>
      <c r="C6311" t="str">
        <f>ADDRESS(ROW('Loan 1'!$D$34),COLUMN('Loan 1'!$D$34),4)</f>
        <v>D34</v>
      </c>
      <c r="D6311" t="b" cm="1">
        <f t="array" aca="1" ref="D6311" ca="1">IF(INDIRECT("'"&amp;A6311&amp;"'!"&amp;B6311)="",FALSE,IF(TRUNC(INDIRECT("'"&amp;A6311&amp;"'!"&amp;B6311))=INDIRECT("'"&amp;A6311&amp;"'!"&amp;B6311),FALSE,TRUE))</f>
        <v>0</v>
      </c>
      <c r="E6311" t="s">
        <v>436</v>
      </c>
      <c r="F6311" t="str">
        <f>INDEX(Lists!I:I,MATCH(Validation!E6311,Lists!G:G,0))</f>
        <v>Error</v>
      </c>
      <c r="G6311" t="str">
        <f>INDEX(Lists!H:H,MATCH(Validation!E6311,Lists!G:G,0))</f>
        <v>Amount must be rounded to the nearest dollar.</v>
      </c>
      <c r="H6311" s="16" t="str">
        <f t="shared" ca="1" si="702"/>
        <v/>
      </c>
      <c r="I6311" s="16" t="str">
        <f t="shared" ca="1" si="703"/>
        <v/>
      </c>
      <c r="J6311" s="17" t="str">
        <f t="shared" ca="1" si="704"/>
        <v/>
      </c>
    </row>
    <row r="6312" spans="1:10" x14ac:dyDescent="0.25">
      <c r="A6312" t="s">
        <v>940</v>
      </c>
      <c r="B6312" t="str">
        <f>ADDRESS(ROW('Loan 1'!$B$34),COLUMN('Loan 1'!$B$34),4)</f>
        <v>B34</v>
      </c>
      <c r="C6312" t="str">
        <f>ADDRESS(ROW('Loan 1'!$D$34),COLUMN('Loan 1'!$D$34),4)</f>
        <v>D34</v>
      </c>
      <c r="D6312" t="b" cm="1">
        <f t="array" aca="1" ref="D6312" ca="1">IF(INDIRECT("'"&amp;A6312&amp;"'!"&amp;B6312)="",FALSE,IF(TRUNC(INDIRECT("'"&amp;A6312&amp;"'!"&amp;B6312))=INDIRECT("'"&amp;A6312&amp;"'!"&amp;B6312),FALSE,TRUE))</f>
        <v>0</v>
      </c>
      <c r="E6312" t="s">
        <v>436</v>
      </c>
      <c r="F6312" t="str">
        <f>INDEX(Lists!I:I,MATCH(Validation!E6312,Lists!G:G,0))</f>
        <v>Error</v>
      </c>
      <c r="G6312" t="str">
        <f>INDEX(Lists!H:H,MATCH(Validation!E6312,Lists!G:G,0))</f>
        <v>Amount must be rounded to the nearest dollar.</v>
      </c>
      <c r="H6312" s="16" t="str">
        <f t="shared" ca="1" si="702"/>
        <v/>
      </c>
      <c r="I6312" s="16" t="str">
        <f t="shared" ca="1" si="703"/>
        <v/>
      </c>
      <c r="J6312" s="17" t="str">
        <f t="shared" ca="1" si="704"/>
        <v/>
      </c>
    </row>
    <row r="6313" spans="1:10" x14ac:dyDescent="0.25">
      <c r="A6313" t="s">
        <v>941</v>
      </c>
      <c r="B6313" t="str">
        <f>ADDRESS(ROW('Loan 1'!$B$34),COLUMN('Loan 1'!$B$34),4)</f>
        <v>B34</v>
      </c>
      <c r="C6313" t="str">
        <f>ADDRESS(ROW('Loan 1'!$D$34),COLUMN('Loan 1'!$D$34),4)</f>
        <v>D34</v>
      </c>
      <c r="D6313" t="b" cm="1">
        <f t="array" aca="1" ref="D6313" ca="1">IF(INDIRECT("'"&amp;A6313&amp;"'!"&amp;B6313)="",FALSE,IF(TRUNC(INDIRECT("'"&amp;A6313&amp;"'!"&amp;B6313))=INDIRECT("'"&amp;A6313&amp;"'!"&amp;B6313),FALSE,TRUE))</f>
        <v>0</v>
      </c>
      <c r="E6313" t="s">
        <v>436</v>
      </c>
      <c r="F6313" t="str">
        <f>INDEX(Lists!I:I,MATCH(Validation!E6313,Lists!G:G,0))</f>
        <v>Error</v>
      </c>
      <c r="G6313" t="str">
        <f>INDEX(Lists!H:H,MATCH(Validation!E6313,Lists!G:G,0))</f>
        <v>Amount must be rounded to the nearest dollar.</v>
      </c>
      <c r="H6313" s="16" t="str">
        <f t="shared" ca="1" si="702"/>
        <v/>
      </c>
      <c r="I6313" s="16" t="str">
        <f t="shared" ca="1" si="703"/>
        <v/>
      </c>
      <c r="J6313" s="17" t="str">
        <f t="shared" ca="1" si="704"/>
        <v/>
      </c>
    </row>
    <row r="6314" spans="1:10" x14ac:dyDescent="0.25">
      <c r="A6314" t="s">
        <v>942</v>
      </c>
      <c r="B6314" t="str">
        <f>ADDRESS(ROW('Loan 1'!$B$34),COLUMN('Loan 1'!$B$34),4)</f>
        <v>B34</v>
      </c>
      <c r="C6314" t="str">
        <f>ADDRESS(ROW('Loan 1'!$D$34),COLUMN('Loan 1'!$D$34),4)</f>
        <v>D34</v>
      </c>
      <c r="D6314" t="b" cm="1">
        <f t="array" aca="1" ref="D6314" ca="1">IF(INDIRECT("'"&amp;A6314&amp;"'!"&amp;B6314)="",FALSE,IF(TRUNC(INDIRECT("'"&amp;A6314&amp;"'!"&amp;B6314))=INDIRECT("'"&amp;A6314&amp;"'!"&amp;B6314),FALSE,TRUE))</f>
        <v>0</v>
      </c>
      <c r="E6314" t="s">
        <v>436</v>
      </c>
      <c r="F6314" t="str">
        <f>INDEX(Lists!I:I,MATCH(Validation!E6314,Lists!G:G,0))</f>
        <v>Error</v>
      </c>
      <c r="G6314" t="str">
        <f>INDEX(Lists!H:H,MATCH(Validation!E6314,Lists!G:G,0))</f>
        <v>Amount must be rounded to the nearest dollar.</v>
      </c>
      <c r="H6314" s="16" t="str">
        <f t="shared" ca="1" si="702"/>
        <v/>
      </c>
      <c r="I6314" s="16" t="str">
        <f t="shared" ca="1" si="703"/>
        <v/>
      </c>
      <c r="J6314" s="17" t="str">
        <f t="shared" ca="1" si="704"/>
        <v/>
      </c>
    </row>
    <row r="6315" spans="1:10" x14ac:dyDescent="0.25">
      <c r="A6315" t="s">
        <v>943</v>
      </c>
      <c r="B6315" t="str">
        <f>ADDRESS(ROW('Loan 1'!$B$34),COLUMN('Loan 1'!$B$34),4)</f>
        <v>B34</v>
      </c>
      <c r="C6315" t="str">
        <f>ADDRESS(ROW('Loan 1'!$D$34),COLUMN('Loan 1'!$D$34),4)</f>
        <v>D34</v>
      </c>
      <c r="D6315" t="b" cm="1">
        <f t="array" aca="1" ref="D6315" ca="1">IF(INDIRECT("'"&amp;A6315&amp;"'!"&amp;B6315)="",FALSE,IF(TRUNC(INDIRECT("'"&amp;A6315&amp;"'!"&amp;B6315))=INDIRECT("'"&amp;A6315&amp;"'!"&amp;B6315),FALSE,TRUE))</f>
        <v>0</v>
      </c>
      <c r="E6315" t="s">
        <v>436</v>
      </c>
      <c r="F6315" t="str">
        <f>INDEX(Lists!I:I,MATCH(Validation!E6315,Lists!G:G,0))</f>
        <v>Error</v>
      </c>
      <c r="G6315" t="str">
        <f>INDEX(Lists!H:H,MATCH(Validation!E6315,Lists!G:G,0))</f>
        <v>Amount must be rounded to the nearest dollar.</v>
      </c>
      <c r="H6315" s="16" t="str">
        <f t="shared" ca="1" si="702"/>
        <v/>
      </c>
      <c r="I6315" s="16" t="str">
        <f t="shared" ca="1" si="703"/>
        <v/>
      </c>
      <c r="J6315" s="17" t="str">
        <f t="shared" ca="1" si="704"/>
        <v/>
      </c>
    </row>
    <row r="6316" spans="1:10" x14ac:dyDescent="0.25">
      <c r="A6316" t="s">
        <v>944</v>
      </c>
      <c r="B6316" t="str">
        <f>ADDRESS(ROW('Loan 1'!$B$34),COLUMN('Loan 1'!$B$34),4)</f>
        <v>B34</v>
      </c>
      <c r="C6316" t="str">
        <f>ADDRESS(ROW('Loan 1'!$D$34),COLUMN('Loan 1'!$D$34),4)</f>
        <v>D34</v>
      </c>
      <c r="D6316" t="b" cm="1">
        <f t="array" aca="1" ref="D6316" ca="1">IF(INDIRECT("'"&amp;A6316&amp;"'!"&amp;B6316)="",FALSE,IF(TRUNC(INDIRECT("'"&amp;A6316&amp;"'!"&amp;B6316))=INDIRECT("'"&amp;A6316&amp;"'!"&amp;B6316),FALSE,TRUE))</f>
        <v>0</v>
      </c>
      <c r="E6316" t="s">
        <v>436</v>
      </c>
      <c r="F6316" t="str">
        <f>INDEX(Lists!I:I,MATCH(Validation!E6316,Lists!G:G,0))</f>
        <v>Error</v>
      </c>
      <c r="G6316" t="str">
        <f>INDEX(Lists!H:H,MATCH(Validation!E6316,Lists!G:G,0))</f>
        <v>Amount must be rounded to the nearest dollar.</v>
      </c>
      <c r="H6316" s="16" t="str">
        <f t="shared" ca="1" si="702"/>
        <v/>
      </c>
      <c r="I6316" s="16" t="str">
        <f t="shared" ca="1" si="703"/>
        <v/>
      </c>
      <c r="J6316" s="17" t="str">
        <f t="shared" ca="1" si="704"/>
        <v/>
      </c>
    </row>
    <row r="6317" spans="1:10" x14ac:dyDescent="0.25">
      <c r="A6317" t="s">
        <v>945</v>
      </c>
      <c r="B6317" t="str">
        <f>ADDRESS(ROW('Loan 1'!$B$34),COLUMN('Loan 1'!$B$34),4)</f>
        <v>B34</v>
      </c>
      <c r="C6317" t="str">
        <f>ADDRESS(ROW('Loan 1'!$D$34),COLUMN('Loan 1'!$D$34),4)</f>
        <v>D34</v>
      </c>
      <c r="D6317" t="b" cm="1">
        <f t="array" aca="1" ref="D6317" ca="1">IF(INDIRECT("'"&amp;A6317&amp;"'!"&amp;B6317)="",FALSE,IF(TRUNC(INDIRECT("'"&amp;A6317&amp;"'!"&amp;B6317))=INDIRECT("'"&amp;A6317&amp;"'!"&amp;B6317),FALSE,TRUE))</f>
        <v>0</v>
      </c>
      <c r="E6317" t="s">
        <v>436</v>
      </c>
      <c r="F6317" t="str">
        <f>INDEX(Lists!I:I,MATCH(Validation!E6317,Lists!G:G,0))</f>
        <v>Error</v>
      </c>
      <c r="G6317" t="str">
        <f>INDEX(Lists!H:H,MATCH(Validation!E6317,Lists!G:G,0))</f>
        <v>Amount must be rounded to the nearest dollar.</v>
      </c>
      <c r="H6317" s="16" t="str">
        <f t="shared" ca="1" si="702"/>
        <v/>
      </c>
      <c r="I6317" s="16" t="str">
        <f t="shared" ca="1" si="703"/>
        <v/>
      </c>
      <c r="J6317" s="17" t="str">
        <f t="shared" ca="1" si="704"/>
        <v/>
      </c>
    </row>
    <row r="6318" spans="1:10" x14ac:dyDescent="0.25">
      <c r="A6318" t="s">
        <v>205</v>
      </c>
      <c r="B6318" t="str">
        <f>ADDRESS(ROW('Loan 1'!$C$34),COLUMN('Loan 1'!$C$34),4)</f>
        <v>C34</v>
      </c>
      <c r="C6318" t="str">
        <f>ADDRESS(ROW('Loan 1'!$D$34),COLUMN('Loan 1'!$D$34),4)</f>
        <v>D34</v>
      </c>
      <c r="D6318" t="b" cm="1">
        <f t="array" aca="1" ref="D6318" ca="1">IF(INDIRECT("'"&amp;A6318&amp;"'!"&amp;B6318)="",FALSE,IF(NOT(ISNUMBER(INDIRECT("'"&amp;A6318&amp;"'!"&amp;B6318))),TRUE,FALSE))</f>
        <v>0</v>
      </c>
      <c r="E6318" t="s">
        <v>435</v>
      </c>
      <c r="F6318" t="str">
        <f>INDEX(Lists!I:I,MATCH(Validation!E6318,Lists!G:G,0))</f>
        <v>Error</v>
      </c>
      <c r="G6318" t="str">
        <f>INDEX(Lists!H:H,MATCH(Validation!E6318,Lists!G:G,0))</f>
        <v>Enter an amount only. Do not enter text or spaces.</v>
      </c>
      <c r="H6318" s="16" t="str">
        <f t="shared" ref="H6318:H6393" ca="1" si="705">IFERROR(IF(OR(NOT(D6318),F6318&lt;&gt;"Error"),"",A6318&amp;CELL("address",INDIRECT(B6318))),"")</f>
        <v/>
      </c>
      <c r="I6318" s="16" t="str">
        <f t="shared" ref="I6318:I6393" ca="1" si="706">IFERROR(IF(NOT(D6318),"",A6318&amp;CELL("address",INDIRECT(C6318))),"")</f>
        <v/>
      </c>
      <c r="J6318" s="17" t="str">
        <f t="shared" ref="J6318:J6393" ca="1" si="707">IFERROR(IF(NOT(D6318),"",A6318),"")</f>
        <v/>
      </c>
    </row>
    <row r="6319" spans="1:10" x14ac:dyDescent="0.25">
      <c r="A6319" t="s">
        <v>932</v>
      </c>
      <c r="B6319" t="str">
        <f>ADDRESS(ROW('Loan 1'!$C$34),COLUMN('Loan 1'!$C$34),4)</f>
        <v>C34</v>
      </c>
      <c r="C6319" t="str">
        <f>ADDRESS(ROW('Loan 1'!$D$34),COLUMN('Loan 1'!$D$34),4)</f>
        <v>D34</v>
      </c>
      <c r="D6319" t="b" cm="1">
        <f t="array" aca="1" ref="D6319" ca="1">IF(INDIRECT("'"&amp;A6319&amp;"'!"&amp;B6319)="",FALSE,IF(NOT(ISNUMBER(INDIRECT("'"&amp;A6319&amp;"'!"&amp;B6319))),TRUE,FALSE))</f>
        <v>0</v>
      </c>
      <c r="E6319" t="s">
        <v>435</v>
      </c>
      <c r="F6319" t="str">
        <f>INDEX(Lists!I:I,MATCH(Validation!E6319,Lists!G:G,0))</f>
        <v>Error</v>
      </c>
      <c r="G6319" t="str">
        <f>INDEX(Lists!H:H,MATCH(Validation!E6319,Lists!G:G,0))</f>
        <v>Enter an amount only. Do not enter text or spaces.</v>
      </c>
      <c r="H6319" s="16" t="str">
        <f t="shared" ca="1" si="705"/>
        <v/>
      </c>
      <c r="I6319" s="16" t="str">
        <f t="shared" ca="1" si="706"/>
        <v/>
      </c>
      <c r="J6319" s="17" t="str">
        <f t="shared" ca="1" si="707"/>
        <v/>
      </c>
    </row>
    <row r="6320" spans="1:10" x14ac:dyDescent="0.25">
      <c r="A6320" t="s">
        <v>933</v>
      </c>
      <c r="B6320" t="str">
        <f>ADDRESS(ROW('Loan 1'!$C$34),COLUMN('Loan 1'!$C$34),4)</f>
        <v>C34</v>
      </c>
      <c r="C6320" t="str">
        <f>ADDRESS(ROW('Loan 1'!$D$34),COLUMN('Loan 1'!$D$34),4)</f>
        <v>D34</v>
      </c>
      <c r="D6320" t="b" cm="1">
        <f t="array" aca="1" ref="D6320" ca="1">IF(INDIRECT("'"&amp;A6320&amp;"'!"&amp;B6320)="",FALSE,IF(NOT(ISNUMBER(INDIRECT("'"&amp;A6320&amp;"'!"&amp;B6320))),TRUE,FALSE))</f>
        <v>0</v>
      </c>
      <c r="E6320" t="s">
        <v>435</v>
      </c>
      <c r="F6320" t="str">
        <f>INDEX(Lists!I:I,MATCH(Validation!E6320,Lists!G:G,0))</f>
        <v>Error</v>
      </c>
      <c r="G6320" t="str">
        <f>INDEX(Lists!H:H,MATCH(Validation!E6320,Lists!G:G,0))</f>
        <v>Enter an amount only. Do not enter text or spaces.</v>
      </c>
      <c r="H6320" s="16" t="str">
        <f t="shared" ca="1" si="705"/>
        <v/>
      </c>
      <c r="I6320" s="16" t="str">
        <f t="shared" ca="1" si="706"/>
        <v/>
      </c>
      <c r="J6320" s="17" t="str">
        <f t="shared" ca="1" si="707"/>
        <v/>
      </c>
    </row>
    <row r="6321" spans="1:10" x14ac:dyDescent="0.25">
      <c r="A6321" t="s">
        <v>934</v>
      </c>
      <c r="B6321" t="str">
        <f>ADDRESS(ROW('Loan 1'!$C$34),COLUMN('Loan 1'!$C$34),4)</f>
        <v>C34</v>
      </c>
      <c r="C6321" t="str">
        <f>ADDRESS(ROW('Loan 1'!$D$34),COLUMN('Loan 1'!$D$34),4)</f>
        <v>D34</v>
      </c>
      <c r="D6321" t="b" cm="1">
        <f t="array" aca="1" ref="D6321" ca="1">IF(INDIRECT("'"&amp;A6321&amp;"'!"&amp;B6321)="",FALSE,IF(NOT(ISNUMBER(INDIRECT("'"&amp;A6321&amp;"'!"&amp;B6321))),TRUE,FALSE))</f>
        <v>0</v>
      </c>
      <c r="E6321" t="s">
        <v>435</v>
      </c>
      <c r="F6321" t="str">
        <f>INDEX(Lists!I:I,MATCH(Validation!E6321,Lists!G:G,0))</f>
        <v>Error</v>
      </c>
      <c r="G6321" t="str">
        <f>INDEX(Lists!H:H,MATCH(Validation!E6321,Lists!G:G,0))</f>
        <v>Enter an amount only. Do not enter text or spaces.</v>
      </c>
      <c r="H6321" s="16" t="str">
        <f t="shared" ca="1" si="705"/>
        <v/>
      </c>
      <c r="I6321" s="16" t="str">
        <f t="shared" ca="1" si="706"/>
        <v/>
      </c>
      <c r="J6321" s="17" t="str">
        <f t="shared" ca="1" si="707"/>
        <v/>
      </c>
    </row>
    <row r="6322" spans="1:10" x14ac:dyDescent="0.25">
      <c r="A6322" t="s">
        <v>935</v>
      </c>
      <c r="B6322" t="str">
        <f>ADDRESS(ROW('Loan 1'!$C$34),COLUMN('Loan 1'!$C$34),4)</f>
        <v>C34</v>
      </c>
      <c r="C6322" t="str">
        <f>ADDRESS(ROW('Loan 1'!$D$34),COLUMN('Loan 1'!$D$34),4)</f>
        <v>D34</v>
      </c>
      <c r="D6322" t="b" cm="1">
        <f t="array" aca="1" ref="D6322" ca="1">IF(INDIRECT("'"&amp;A6322&amp;"'!"&amp;B6322)="",FALSE,IF(NOT(ISNUMBER(INDIRECT("'"&amp;A6322&amp;"'!"&amp;B6322))),TRUE,FALSE))</f>
        <v>0</v>
      </c>
      <c r="E6322" t="s">
        <v>435</v>
      </c>
      <c r="F6322" t="str">
        <f>INDEX(Lists!I:I,MATCH(Validation!E6322,Lists!G:G,0))</f>
        <v>Error</v>
      </c>
      <c r="G6322" t="str">
        <f>INDEX(Lists!H:H,MATCH(Validation!E6322,Lists!G:G,0))</f>
        <v>Enter an amount only. Do not enter text or spaces.</v>
      </c>
      <c r="H6322" s="16" t="str">
        <f t="shared" ca="1" si="705"/>
        <v/>
      </c>
      <c r="I6322" s="16" t="str">
        <f t="shared" ca="1" si="706"/>
        <v/>
      </c>
      <c r="J6322" s="17" t="str">
        <f t="shared" ca="1" si="707"/>
        <v/>
      </c>
    </row>
    <row r="6323" spans="1:10" x14ac:dyDescent="0.25">
      <c r="A6323" t="s">
        <v>936</v>
      </c>
      <c r="B6323" t="str">
        <f>ADDRESS(ROW('Loan 1'!$C$34),COLUMN('Loan 1'!$C$34),4)</f>
        <v>C34</v>
      </c>
      <c r="C6323" t="str">
        <f>ADDRESS(ROW('Loan 1'!$D$34),COLUMN('Loan 1'!$D$34),4)</f>
        <v>D34</v>
      </c>
      <c r="D6323" t="b" cm="1">
        <f t="array" aca="1" ref="D6323" ca="1">IF(INDIRECT("'"&amp;A6323&amp;"'!"&amp;B6323)="",FALSE,IF(NOT(ISNUMBER(INDIRECT("'"&amp;A6323&amp;"'!"&amp;B6323))),TRUE,FALSE))</f>
        <v>0</v>
      </c>
      <c r="E6323" t="s">
        <v>435</v>
      </c>
      <c r="F6323" t="str">
        <f>INDEX(Lists!I:I,MATCH(Validation!E6323,Lists!G:G,0))</f>
        <v>Error</v>
      </c>
      <c r="G6323" t="str">
        <f>INDEX(Lists!H:H,MATCH(Validation!E6323,Lists!G:G,0))</f>
        <v>Enter an amount only. Do not enter text or spaces.</v>
      </c>
      <c r="H6323" s="16" t="str">
        <f t="shared" ca="1" si="705"/>
        <v/>
      </c>
      <c r="I6323" s="16" t="str">
        <f t="shared" ca="1" si="706"/>
        <v/>
      </c>
      <c r="J6323" s="17" t="str">
        <f t="shared" ca="1" si="707"/>
        <v/>
      </c>
    </row>
    <row r="6324" spans="1:10" x14ac:dyDescent="0.25">
      <c r="A6324" t="s">
        <v>937</v>
      </c>
      <c r="B6324" t="str">
        <f>ADDRESS(ROW('Loan 1'!$C$34),COLUMN('Loan 1'!$C$34),4)</f>
        <v>C34</v>
      </c>
      <c r="C6324" t="str">
        <f>ADDRESS(ROW('Loan 1'!$D$34),COLUMN('Loan 1'!$D$34),4)</f>
        <v>D34</v>
      </c>
      <c r="D6324" t="b" cm="1">
        <f t="array" aca="1" ref="D6324" ca="1">IF(INDIRECT("'"&amp;A6324&amp;"'!"&amp;B6324)="",FALSE,IF(NOT(ISNUMBER(INDIRECT("'"&amp;A6324&amp;"'!"&amp;B6324))),TRUE,FALSE))</f>
        <v>0</v>
      </c>
      <c r="E6324" t="s">
        <v>435</v>
      </c>
      <c r="F6324" t="str">
        <f>INDEX(Lists!I:I,MATCH(Validation!E6324,Lists!G:G,0))</f>
        <v>Error</v>
      </c>
      <c r="G6324" t="str">
        <f>INDEX(Lists!H:H,MATCH(Validation!E6324,Lists!G:G,0))</f>
        <v>Enter an amount only. Do not enter text or spaces.</v>
      </c>
      <c r="H6324" s="16" t="str">
        <f t="shared" ca="1" si="705"/>
        <v/>
      </c>
      <c r="I6324" s="16" t="str">
        <f t="shared" ca="1" si="706"/>
        <v/>
      </c>
      <c r="J6324" s="17" t="str">
        <f t="shared" ca="1" si="707"/>
        <v/>
      </c>
    </row>
    <row r="6325" spans="1:10" x14ac:dyDescent="0.25">
      <c r="A6325" t="s">
        <v>938</v>
      </c>
      <c r="B6325" t="str">
        <f>ADDRESS(ROW('Loan 1'!$C$34),COLUMN('Loan 1'!$C$34),4)</f>
        <v>C34</v>
      </c>
      <c r="C6325" t="str">
        <f>ADDRESS(ROW('Loan 1'!$D$34),COLUMN('Loan 1'!$D$34),4)</f>
        <v>D34</v>
      </c>
      <c r="D6325" t="b" cm="1">
        <f t="array" aca="1" ref="D6325" ca="1">IF(INDIRECT("'"&amp;A6325&amp;"'!"&amp;B6325)="",FALSE,IF(NOT(ISNUMBER(INDIRECT("'"&amp;A6325&amp;"'!"&amp;B6325))),TRUE,FALSE))</f>
        <v>0</v>
      </c>
      <c r="E6325" t="s">
        <v>435</v>
      </c>
      <c r="F6325" t="str">
        <f>INDEX(Lists!I:I,MATCH(Validation!E6325,Lists!G:G,0))</f>
        <v>Error</v>
      </c>
      <c r="G6325" t="str">
        <f>INDEX(Lists!H:H,MATCH(Validation!E6325,Lists!G:G,0))</f>
        <v>Enter an amount only. Do not enter text or spaces.</v>
      </c>
      <c r="H6325" s="16" t="str">
        <f t="shared" ca="1" si="705"/>
        <v/>
      </c>
      <c r="I6325" s="16" t="str">
        <f t="shared" ca="1" si="706"/>
        <v/>
      </c>
      <c r="J6325" s="17" t="str">
        <f t="shared" ca="1" si="707"/>
        <v/>
      </c>
    </row>
    <row r="6326" spans="1:10" x14ac:dyDescent="0.25">
      <c r="A6326" t="s">
        <v>939</v>
      </c>
      <c r="B6326" t="str">
        <f>ADDRESS(ROW('Loan 1'!$C$34),COLUMN('Loan 1'!$C$34),4)</f>
        <v>C34</v>
      </c>
      <c r="C6326" t="str">
        <f>ADDRESS(ROW('Loan 1'!$D$34),COLUMN('Loan 1'!$D$34),4)</f>
        <v>D34</v>
      </c>
      <c r="D6326" t="b" cm="1">
        <f t="array" aca="1" ref="D6326" ca="1">IF(INDIRECT("'"&amp;A6326&amp;"'!"&amp;B6326)="",FALSE,IF(NOT(ISNUMBER(INDIRECT("'"&amp;A6326&amp;"'!"&amp;B6326))),TRUE,FALSE))</f>
        <v>0</v>
      </c>
      <c r="E6326" t="s">
        <v>435</v>
      </c>
      <c r="F6326" t="str">
        <f>INDEX(Lists!I:I,MATCH(Validation!E6326,Lists!G:G,0))</f>
        <v>Error</v>
      </c>
      <c r="G6326" t="str">
        <f>INDEX(Lists!H:H,MATCH(Validation!E6326,Lists!G:G,0))</f>
        <v>Enter an amount only. Do not enter text or spaces.</v>
      </c>
      <c r="H6326" s="16" t="str">
        <f t="shared" ca="1" si="705"/>
        <v/>
      </c>
      <c r="I6326" s="16" t="str">
        <f t="shared" ca="1" si="706"/>
        <v/>
      </c>
      <c r="J6326" s="17" t="str">
        <f t="shared" ca="1" si="707"/>
        <v/>
      </c>
    </row>
    <row r="6327" spans="1:10" x14ac:dyDescent="0.25">
      <c r="A6327" t="s">
        <v>940</v>
      </c>
      <c r="B6327" t="str">
        <f>ADDRESS(ROW('Loan 1'!$C$34),COLUMN('Loan 1'!$C$34),4)</f>
        <v>C34</v>
      </c>
      <c r="C6327" t="str">
        <f>ADDRESS(ROW('Loan 1'!$D$34),COLUMN('Loan 1'!$D$34),4)</f>
        <v>D34</v>
      </c>
      <c r="D6327" t="b" cm="1">
        <f t="array" aca="1" ref="D6327" ca="1">IF(INDIRECT("'"&amp;A6327&amp;"'!"&amp;B6327)="",FALSE,IF(NOT(ISNUMBER(INDIRECT("'"&amp;A6327&amp;"'!"&amp;B6327))),TRUE,FALSE))</f>
        <v>0</v>
      </c>
      <c r="E6327" t="s">
        <v>435</v>
      </c>
      <c r="F6327" t="str">
        <f>INDEX(Lists!I:I,MATCH(Validation!E6327,Lists!G:G,0))</f>
        <v>Error</v>
      </c>
      <c r="G6327" t="str">
        <f>INDEX(Lists!H:H,MATCH(Validation!E6327,Lists!G:G,0))</f>
        <v>Enter an amount only. Do not enter text or spaces.</v>
      </c>
      <c r="H6327" s="16" t="str">
        <f t="shared" ca="1" si="705"/>
        <v/>
      </c>
      <c r="I6327" s="16" t="str">
        <f t="shared" ca="1" si="706"/>
        <v/>
      </c>
      <c r="J6327" s="17" t="str">
        <f t="shared" ca="1" si="707"/>
        <v/>
      </c>
    </row>
    <row r="6328" spans="1:10" x14ac:dyDescent="0.25">
      <c r="A6328" t="s">
        <v>941</v>
      </c>
      <c r="B6328" t="str">
        <f>ADDRESS(ROW('Loan 1'!$C$34),COLUMN('Loan 1'!$C$34),4)</f>
        <v>C34</v>
      </c>
      <c r="C6328" t="str">
        <f>ADDRESS(ROW('Loan 1'!$D$34),COLUMN('Loan 1'!$D$34),4)</f>
        <v>D34</v>
      </c>
      <c r="D6328" t="b" cm="1">
        <f t="array" aca="1" ref="D6328" ca="1">IF(INDIRECT("'"&amp;A6328&amp;"'!"&amp;B6328)="",FALSE,IF(NOT(ISNUMBER(INDIRECT("'"&amp;A6328&amp;"'!"&amp;B6328))),TRUE,FALSE))</f>
        <v>0</v>
      </c>
      <c r="E6328" t="s">
        <v>435</v>
      </c>
      <c r="F6328" t="str">
        <f>INDEX(Lists!I:I,MATCH(Validation!E6328,Lists!G:G,0))</f>
        <v>Error</v>
      </c>
      <c r="G6328" t="str">
        <f>INDEX(Lists!H:H,MATCH(Validation!E6328,Lists!G:G,0))</f>
        <v>Enter an amount only. Do not enter text or spaces.</v>
      </c>
      <c r="H6328" s="16" t="str">
        <f t="shared" ca="1" si="705"/>
        <v/>
      </c>
      <c r="I6328" s="16" t="str">
        <f t="shared" ca="1" si="706"/>
        <v/>
      </c>
      <c r="J6328" s="17" t="str">
        <f t="shared" ca="1" si="707"/>
        <v/>
      </c>
    </row>
    <row r="6329" spans="1:10" x14ac:dyDescent="0.25">
      <c r="A6329" t="s">
        <v>942</v>
      </c>
      <c r="B6329" t="str">
        <f>ADDRESS(ROW('Loan 1'!$C$34),COLUMN('Loan 1'!$C$34),4)</f>
        <v>C34</v>
      </c>
      <c r="C6329" t="str">
        <f>ADDRESS(ROW('Loan 1'!$D$34),COLUMN('Loan 1'!$D$34),4)</f>
        <v>D34</v>
      </c>
      <c r="D6329" t="b" cm="1">
        <f t="array" aca="1" ref="D6329" ca="1">IF(INDIRECT("'"&amp;A6329&amp;"'!"&amp;B6329)="",FALSE,IF(NOT(ISNUMBER(INDIRECT("'"&amp;A6329&amp;"'!"&amp;B6329))),TRUE,FALSE))</f>
        <v>0</v>
      </c>
      <c r="E6329" t="s">
        <v>435</v>
      </c>
      <c r="F6329" t="str">
        <f>INDEX(Lists!I:I,MATCH(Validation!E6329,Lists!G:G,0))</f>
        <v>Error</v>
      </c>
      <c r="G6329" t="str">
        <f>INDEX(Lists!H:H,MATCH(Validation!E6329,Lists!G:G,0))</f>
        <v>Enter an amount only. Do not enter text or spaces.</v>
      </c>
      <c r="H6329" s="16" t="str">
        <f t="shared" ca="1" si="705"/>
        <v/>
      </c>
      <c r="I6329" s="16" t="str">
        <f t="shared" ca="1" si="706"/>
        <v/>
      </c>
      <c r="J6329" s="17" t="str">
        <f t="shared" ca="1" si="707"/>
        <v/>
      </c>
    </row>
    <row r="6330" spans="1:10" x14ac:dyDescent="0.25">
      <c r="A6330" t="s">
        <v>943</v>
      </c>
      <c r="B6330" t="str">
        <f>ADDRESS(ROW('Loan 1'!$C$34),COLUMN('Loan 1'!$C$34),4)</f>
        <v>C34</v>
      </c>
      <c r="C6330" t="str">
        <f>ADDRESS(ROW('Loan 1'!$D$34),COLUMN('Loan 1'!$D$34),4)</f>
        <v>D34</v>
      </c>
      <c r="D6330" t="b" cm="1">
        <f t="array" aca="1" ref="D6330" ca="1">IF(INDIRECT("'"&amp;A6330&amp;"'!"&amp;B6330)="",FALSE,IF(NOT(ISNUMBER(INDIRECT("'"&amp;A6330&amp;"'!"&amp;B6330))),TRUE,FALSE))</f>
        <v>0</v>
      </c>
      <c r="E6330" t="s">
        <v>435</v>
      </c>
      <c r="F6330" t="str">
        <f>INDEX(Lists!I:I,MATCH(Validation!E6330,Lists!G:G,0))</f>
        <v>Error</v>
      </c>
      <c r="G6330" t="str">
        <f>INDEX(Lists!H:H,MATCH(Validation!E6330,Lists!G:G,0))</f>
        <v>Enter an amount only. Do not enter text or spaces.</v>
      </c>
      <c r="H6330" s="16" t="str">
        <f t="shared" ca="1" si="705"/>
        <v/>
      </c>
      <c r="I6330" s="16" t="str">
        <f t="shared" ca="1" si="706"/>
        <v/>
      </c>
      <c r="J6330" s="17" t="str">
        <f t="shared" ca="1" si="707"/>
        <v/>
      </c>
    </row>
    <row r="6331" spans="1:10" x14ac:dyDescent="0.25">
      <c r="A6331" t="s">
        <v>944</v>
      </c>
      <c r="B6331" t="str">
        <f>ADDRESS(ROW('Loan 1'!$C$34),COLUMN('Loan 1'!$C$34),4)</f>
        <v>C34</v>
      </c>
      <c r="C6331" t="str">
        <f>ADDRESS(ROW('Loan 1'!$D$34),COLUMN('Loan 1'!$D$34),4)</f>
        <v>D34</v>
      </c>
      <c r="D6331" t="b" cm="1">
        <f t="array" aca="1" ref="D6331" ca="1">IF(INDIRECT("'"&amp;A6331&amp;"'!"&amp;B6331)="",FALSE,IF(NOT(ISNUMBER(INDIRECT("'"&amp;A6331&amp;"'!"&amp;B6331))),TRUE,FALSE))</f>
        <v>0</v>
      </c>
      <c r="E6331" t="s">
        <v>435</v>
      </c>
      <c r="F6331" t="str">
        <f>INDEX(Lists!I:I,MATCH(Validation!E6331,Lists!G:G,0))</f>
        <v>Error</v>
      </c>
      <c r="G6331" t="str">
        <f>INDEX(Lists!H:H,MATCH(Validation!E6331,Lists!G:G,0))</f>
        <v>Enter an amount only. Do not enter text or spaces.</v>
      </c>
      <c r="H6331" s="16" t="str">
        <f t="shared" ca="1" si="705"/>
        <v/>
      </c>
      <c r="I6331" s="16" t="str">
        <f t="shared" ca="1" si="706"/>
        <v/>
      </c>
      <c r="J6331" s="17" t="str">
        <f t="shared" ca="1" si="707"/>
        <v/>
      </c>
    </row>
    <row r="6332" spans="1:10" x14ac:dyDescent="0.25">
      <c r="A6332" t="s">
        <v>945</v>
      </c>
      <c r="B6332" t="str">
        <f>ADDRESS(ROW('Loan 1'!$C$34),COLUMN('Loan 1'!$C$34),4)</f>
        <v>C34</v>
      </c>
      <c r="C6332" t="str">
        <f>ADDRESS(ROW('Loan 1'!$D$34),COLUMN('Loan 1'!$D$34),4)</f>
        <v>D34</v>
      </c>
      <c r="D6332" t="b" cm="1">
        <f t="array" aca="1" ref="D6332" ca="1">IF(INDIRECT("'"&amp;A6332&amp;"'!"&amp;B6332)="",FALSE,IF(NOT(ISNUMBER(INDIRECT("'"&amp;A6332&amp;"'!"&amp;B6332))),TRUE,FALSE))</f>
        <v>0</v>
      </c>
      <c r="E6332" t="s">
        <v>435</v>
      </c>
      <c r="F6332" t="str">
        <f>INDEX(Lists!I:I,MATCH(Validation!E6332,Lists!G:G,0))</f>
        <v>Error</v>
      </c>
      <c r="G6332" t="str">
        <f>INDEX(Lists!H:H,MATCH(Validation!E6332,Lists!G:G,0))</f>
        <v>Enter an amount only. Do not enter text or spaces.</v>
      </c>
      <c r="H6332" s="16" t="str">
        <f t="shared" ca="1" si="705"/>
        <v/>
      </c>
      <c r="I6332" s="16" t="str">
        <f t="shared" ca="1" si="706"/>
        <v/>
      </c>
      <c r="J6332" s="17" t="str">
        <f t="shared" ca="1" si="707"/>
        <v/>
      </c>
    </row>
    <row r="6333" spans="1:10" x14ac:dyDescent="0.25">
      <c r="A6333" t="s">
        <v>205</v>
      </c>
      <c r="B6333" t="str">
        <f>ADDRESS(ROW('Loan 1'!$C$34),COLUMN('Loan 1'!$C$34),4)</f>
        <v>C34</v>
      </c>
      <c r="C6333" t="str">
        <f>ADDRESS(ROW('Loan 1'!$D$34),COLUMN('Loan 1'!$D$34),4)</f>
        <v>D34</v>
      </c>
      <c r="D6333" t="b" cm="1">
        <f t="array" aca="1" ref="D6333" ca="1">IF(INDIRECT("'"&amp;A6333&amp;"'!"&amp;B6333)="",FALSE,IF(INDIRECT("'"&amp;A6333&amp;"'!"&amp;B6333)&lt;0,TRUE,FALSE))</f>
        <v>0</v>
      </c>
      <c r="E6333" t="s">
        <v>434</v>
      </c>
      <c r="F6333" t="str">
        <f>INDEX(Lists!I:I,MATCH(Validation!E6333,Lists!G:G,0))</f>
        <v>Error</v>
      </c>
      <c r="G6333" t="str">
        <f>INDEX(Lists!H:H,MATCH(Validation!E6333,Lists!G:G,0))</f>
        <v>Amount may not be negative. Enter an amount greater than or equal to zero.</v>
      </c>
      <c r="H6333" s="16" t="str">
        <f t="shared" ca="1" si="705"/>
        <v/>
      </c>
      <c r="I6333" s="16" t="str">
        <f t="shared" ca="1" si="706"/>
        <v/>
      </c>
      <c r="J6333" s="17" t="str">
        <f t="shared" ca="1" si="707"/>
        <v/>
      </c>
    </row>
    <row r="6334" spans="1:10" x14ac:dyDescent="0.25">
      <c r="A6334" t="s">
        <v>932</v>
      </c>
      <c r="B6334" t="str">
        <f>ADDRESS(ROW('Loan 1'!$C$34),COLUMN('Loan 1'!$C$34),4)</f>
        <v>C34</v>
      </c>
      <c r="C6334" t="str">
        <f>ADDRESS(ROW('Loan 1'!$D$34),COLUMN('Loan 1'!$D$34),4)</f>
        <v>D34</v>
      </c>
      <c r="D6334" t="b" cm="1">
        <f t="array" aca="1" ref="D6334" ca="1">IF(INDIRECT("'"&amp;A6334&amp;"'!"&amp;B6334)="",FALSE,IF(INDIRECT("'"&amp;A6334&amp;"'!"&amp;B6334)&lt;0,TRUE,FALSE))</f>
        <v>0</v>
      </c>
      <c r="E6334" t="s">
        <v>434</v>
      </c>
      <c r="F6334" t="str">
        <f>INDEX(Lists!I:I,MATCH(Validation!E6334,Lists!G:G,0))</f>
        <v>Error</v>
      </c>
      <c r="G6334" t="str">
        <f>INDEX(Lists!H:H,MATCH(Validation!E6334,Lists!G:G,0))</f>
        <v>Amount may not be negative. Enter an amount greater than or equal to zero.</v>
      </c>
      <c r="H6334" s="16" t="str">
        <f t="shared" ref="H6334:H6347" ca="1" si="708">IFERROR(IF(OR(NOT(D6334),F6334&lt;&gt;"Error"),"",A6334&amp;CELL("address",INDIRECT(B6334))),"")</f>
        <v/>
      </c>
      <c r="I6334" s="16" t="str">
        <f t="shared" ref="I6334:I6347" ca="1" si="709">IFERROR(IF(NOT(D6334),"",A6334&amp;CELL("address",INDIRECT(C6334))),"")</f>
        <v/>
      </c>
      <c r="J6334" s="17" t="str">
        <f t="shared" ref="J6334:J6347" ca="1" si="710">IFERROR(IF(NOT(D6334),"",A6334),"")</f>
        <v/>
      </c>
    </row>
    <row r="6335" spans="1:10" x14ac:dyDescent="0.25">
      <c r="A6335" t="s">
        <v>933</v>
      </c>
      <c r="B6335" t="str">
        <f>ADDRESS(ROW('Loan 1'!$C$34),COLUMN('Loan 1'!$C$34),4)</f>
        <v>C34</v>
      </c>
      <c r="C6335" t="str">
        <f>ADDRESS(ROW('Loan 1'!$D$34),COLUMN('Loan 1'!$D$34),4)</f>
        <v>D34</v>
      </c>
      <c r="D6335" t="b" cm="1">
        <f t="array" aca="1" ref="D6335" ca="1">IF(INDIRECT("'"&amp;A6335&amp;"'!"&amp;B6335)="",FALSE,IF(INDIRECT("'"&amp;A6335&amp;"'!"&amp;B6335)&lt;0,TRUE,FALSE))</f>
        <v>0</v>
      </c>
      <c r="E6335" t="s">
        <v>434</v>
      </c>
      <c r="F6335" t="str">
        <f>INDEX(Lists!I:I,MATCH(Validation!E6335,Lists!G:G,0))</f>
        <v>Error</v>
      </c>
      <c r="G6335" t="str">
        <f>INDEX(Lists!H:H,MATCH(Validation!E6335,Lists!G:G,0))</f>
        <v>Amount may not be negative. Enter an amount greater than or equal to zero.</v>
      </c>
      <c r="H6335" s="16" t="str">
        <f t="shared" ca="1" si="708"/>
        <v/>
      </c>
      <c r="I6335" s="16" t="str">
        <f t="shared" ca="1" si="709"/>
        <v/>
      </c>
      <c r="J6335" s="17" t="str">
        <f t="shared" ca="1" si="710"/>
        <v/>
      </c>
    </row>
    <row r="6336" spans="1:10" x14ac:dyDescent="0.25">
      <c r="A6336" t="s">
        <v>934</v>
      </c>
      <c r="B6336" t="str">
        <f>ADDRESS(ROW('Loan 1'!$C$34),COLUMN('Loan 1'!$C$34),4)</f>
        <v>C34</v>
      </c>
      <c r="C6336" t="str">
        <f>ADDRESS(ROW('Loan 1'!$D$34),COLUMN('Loan 1'!$D$34),4)</f>
        <v>D34</v>
      </c>
      <c r="D6336" t="b" cm="1">
        <f t="array" aca="1" ref="D6336" ca="1">IF(INDIRECT("'"&amp;A6336&amp;"'!"&amp;B6336)="",FALSE,IF(INDIRECT("'"&amp;A6336&amp;"'!"&amp;B6336)&lt;0,TRUE,FALSE))</f>
        <v>0</v>
      </c>
      <c r="E6336" t="s">
        <v>434</v>
      </c>
      <c r="F6336" t="str">
        <f>INDEX(Lists!I:I,MATCH(Validation!E6336,Lists!G:G,0))</f>
        <v>Error</v>
      </c>
      <c r="G6336" t="str">
        <f>INDEX(Lists!H:H,MATCH(Validation!E6336,Lists!G:G,0))</f>
        <v>Amount may not be negative. Enter an amount greater than or equal to zero.</v>
      </c>
      <c r="H6336" s="16" t="str">
        <f t="shared" ca="1" si="708"/>
        <v/>
      </c>
      <c r="I6336" s="16" t="str">
        <f t="shared" ca="1" si="709"/>
        <v/>
      </c>
      <c r="J6336" s="17" t="str">
        <f t="shared" ca="1" si="710"/>
        <v/>
      </c>
    </row>
    <row r="6337" spans="1:10" x14ac:dyDescent="0.25">
      <c r="A6337" t="s">
        <v>935</v>
      </c>
      <c r="B6337" t="str">
        <f>ADDRESS(ROW('Loan 1'!$C$34),COLUMN('Loan 1'!$C$34),4)</f>
        <v>C34</v>
      </c>
      <c r="C6337" t="str">
        <f>ADDRESS(ROW('Loan 1'!$D$34),COLUMN('Loan 1'!$D$34),4)</f>
        <v>D34</v>
      </c>
      <c r="D6337" t="b" cm="1">
        <f t="array" aca="1" ref="D6337" ca="1">IF(INDIRECT("'"&amp;A6337&amp;"'!"&amp;B6337)="",FALSE,IF(INDIRECT("'"&amp;A6337&amp;"'!"&amp;B6337)&lt;0,TRUE,FALSE))</f>
        <v>0</v>
      </c>
      <c r="E6337" t="s">
        <v>434</v>
      </c>
      <c r="F6337" t="str">
        <f>INDEX(Lists!I:I,MATCH(Validation!E6337,Lists!G:G,0))</f>
        <v>Error</v>
      </c>
      <c r="G6337" t="str">
        <f>INDEX(Lists!H:H,MATCH(Validation!E6337,Lists!G:G,0))</f>
        <v>Amount may not be negative. Enter an amount greater than or equal to zero.</v>
      </c>
      <c r="H6337" s="16" t="str">
        <f t="shared" ca="1" si="708"/>
        <v/>
      </c>
      <c r="I6337" s="16" t="str">
        <f t="shared" ca="1" si="709"/>
        <v/>
      </c>
      <c r="J6337" s="17" t="str">
        <f t="shared" ca="1" si="710"/>
        <v/>
      </c>
    </row>
    <row r="6338" spans="1:10" x14ac:dyDescent="0.25">
      <c r="A6338" t="s">
        <v>936</v>
      </c>
      <c r="B6338" t="str">
        <f>ADDRESS(ROW('Loan 1'!$C$34),COLUMN('Loan 1'!$C$34),4)</f>
        <v>C34</v>
      </c>
      <c r="C6338" t="str">
        <f>ADDRESS(ROW('Loan 1'!$D$34),COLUMN('Loan 1'!$D$34),4)</f>
        <v>D34</v>
      </c>
      <c r="D6338" t="b" cm="1">
        <f t="array" aca="1" ref="D6338" ca="1">IF(INDIRECT("'"&amp;A6338&amp;"'!"&amp;B6338)="",FALSE,IF(INDIRECT("'"&amp;A6338&amp;"'!"&amp;B6338)&lt;0,TRUE,FALSE))</f>
        <v>0</v>
      </c>
      <c r="E6338" t="s">
        <v>434</v>
      </c>
      <c r="F6338" t="str">
        <f>INDEX(Lists!I:I,MATCH(Validation!E6338,Lists!G:G,0))</f>
        <v>Error</v>
      </c>
      <c r="G6338" t="str">
        <f>INDEX(Lists!H:H,MATCH(Validation!E6338,Lists!G:G,0))</f>
        <v>Amount may not be negative. Enter an amount greater than or equal to zero.</v>
      </c>
      <c r="H6338" s="16" t="str">
        <f t="shared" ca="1" si="708"/>
        <v/>
      </c>
      <c r="I6338" s="16" t="str">
        <f t="shared" ca="1" si="709"/>
        <v/>
      </c>
      <c r="J6338" s="17" t="str">
        <f t="shared" ca="1" si="710"/>
        <v/>
      </c>
    </row>
    <row r="6339" spans="1:10" x14ac:dyDescent="0.25">
      <c r="A6339" t="s">
        <v>937</v>
      </c>
      <c r="B6339" t="str">
        <f>ADDRESS(ROW('Loan 1'!$C$34),COLUMN('Loan 1'!$C$34),4)</f>
        <v>C34</v>
      </c>
      <c r="C6339" t="str">
        <f>ADDRESS(ROW('Loan 1'!$D$34),COLUMN('Loan 1'!$D$34),4)</f>
        <v>D34</v>
      </c>
      <c r="D6339" t="b" cm="1">
        <f t="array" aca="1" ref="D6339" ca="1">IF(INDIRECT("'"&amp;A6339&amp;"'!"&amp;B6339)="",FALSE,IF(INDIRECT("'"&amp;A6339&amp;"'!"&amp;B6339)&lt;0,TRUE,FALSE))</f>
        <v>0</v>
      </c>
      <c r="E6339" t="s">
        <v>434</v>
      </c>
      <c r="F6339" t="str">
        <f>INDEX(Lists!I:I,MATCH(Validation!E6339,Lists!G:G,0))</f>
        <v>Error</v>
      </c>
      <c r="G6339" t="str">
        <f>INDEX(Lists!H:H,MATCH(Validation!E6339,Lists!G:G,0))</f>
        <v>Amount may not be negative. Enter an amount greater than or equal to zero.</v>
      </c>
      <c r="H6339" s="16" t="str">
        <f t="shared" ca="1" si="708"/>
        <v/>
      </c>
      <c r="I6339" s="16" t="str">
        <f t="shared" ca="1" si="709"/>
        <v/>
      </c>
      <c r="J6339" s="17" t="str">
        <f t="shared" ca="1" si="710"/>
        <v/>
      </c>
    </row>
    <row r="6340" spans="1:10" x14ac:dyDescent="0.25">
      <c r="A6340" t="s">
        <v>938</v>
      </c>
      <c r="B6340" t="str">
        <f>ADDRESS(ROW('Loan 1'!$C$34),COLUMN('Loan 1'!$C$34),4)</f>
        <v>C34</v>
      </c>
      <c r="C6340" t="str">
        <f>ADDRESS(ROW('Loan 1'!$D$34),COLUMN('Loan 1'!$D$34),4)</f>
        <v>D34</v>
      </c>
      <c r="D6340" t="b" cm="1">
        <f t="array" aca="1" ref="D6340" ca="1">IF(INDIRECT("'"&amp;A6340&amp;"'!"&amp;B6340)="",FALSE,IF(INDIRECT("'"&amp;A6340&amp;"'!"&amp;B6340)&lt;0,TRUE,FALSE))</f>
        <v>0</v>
      </c>
      <c r="E6340" t="s">
        <v>434</v>
      </c>
      <c r="F6340" t="str">
        <f>INDEX(Lists!I:I,MATCH(Validation!E6340,Lists!G:G,0))</f>
        <v>Error</v>
      </c>
      <c r="G6340" t="str">
        <f>INDEX(Lists!H:H,MATCH(Validation!E6340,Lists!G:G,0))</f>
        <v>Amount may not be negative. Enter an amount greater than or equal to zero.</v>
      </c>
      <c r="H6340" s="16" t="str">
        <f t="shared" ca="1" si="708"/>
        <v/>
      </c>
      <c r="I6340" s="16" t="str">
        <f t="shared" ca="1" si="709"/>
        <v/>
      </c>
      <c r="J6340" s="17" t="str">
        <f t="shared" ca="1" si="710"/>
        <v/>
      </c>
    </row>
    <row r="6341" spans="1:10" x14ac:dyDescent="0.25">
      <c r="A6341" t="s">
        <v>939</v>
      </c>
      <c r="B6341" t="str">
        <f>ADDRESS(ROW('Loan 1'!$C$34),COLUMN('Loan 1'!$C$34),4)</f>
        <v>C34</v>
      </c>
      <c r="C6341" t="str">
        <f>ADDRESS(ROW('Loan 1'!$D$34),COLUMN('Loan 1'!$D$34),4)</f>
        <v>D34</v>
      </c>
      <c r="D6341" t="b" cm="1">
        <f t="array" aca="1" ref="D6341" ca="1">IF(INDIRECT("'"&amp;A6341&amp;"'!"&amp;B6341)="",FALSE,IF(INDIRECT("'"&amp;A6341&amp;"'!"&amp;B6341)&lt;0,TRUE,FALSE))</f>
        <v>0</v>
      </c>
      <c r="E6341" t="s">
        <v>434</v>
      </c>
      <c r="F6341" t="str">
        <f>INDEX(Lists!I:I,MATCH(Validation!E6341,Lists!G:G,0))</f>
        <v>Error</v>
      </c>
      <c r="G6341" t="str">
        <f>INDEX(Lists!H:H,MATCH(Validation!E6341,Lists!G:G,0))</f>
        <v>Amount may not be negative. Enter an amount greater than or equal to zero.</v>
      </c>
      <c r="H6341" s="16" t="str">
        <f t="shared" ca="1" si="708"/>
        <v/>
      </c>
      <c r="I6341" s="16" t="str">
        <f t="shared" ca="1" si="709"/>
        <v/>
      </c>
      <c r="J6341" s="17" t="str">
        <f t="shared" ca="1" si="710"/>
        <v/>
      </c>
    </row>
    <row r="6342" spans="1:10" x14ac:dyDescent="0.25">
      <c r="A6342" t="s">
        <v>940</v>
      </c>
      <c r="B6342" t="str">
        <f>ADDRESS(ROW('Loan 1'!$C$34),COLUMN('Loan 1'!$C$34),4)</f>
        <v>C34</v>
      </c>
      <c r="C6342" t="str">
        <f>ADDRESS(ROW('Loan 1'!$D$34),COLUMN('Loan 1'!$D$34),4)</f>
        <v>D34</v>
      </c>
      <c r="D6342" t="b" cm="1">
        <f t="array" aca="1" ref="D6342" ca="1">IF(INDIRECT("'"&amp;A6342&amp;"'!"&amp;B6342)="",FALSE,IF(INDIRECT("'"&amp;A6342&amp;"'!"&amp;B6342)&lt;0,TRUE,FALSE))</f>
        <v>0</v>
      </c>
      <c r="E6342" t="s">
        <v>434</v>
      </c>
      <c r="F6342" t="str">
        <f>INDEX(Lists!I:I,MATCH(Validation!E6342,Lists!G:G,0))</f>
        <v>Error</v>
      </c>
      <c r="G6342" t="str">
        <f>INDEX(Lists!H:H,MATCH(Validation!E6342,Lists!G:G,0))</f>
        <v>Amount may not be negative. Enter an amount greater than or equal to zero.</v>
      </c>
      <c r="H6342" s="16" t="str">
        <f t="shared" ca="1" si="708"/>
        <v/>
      </c>
      <c r="I6342" s="16" t="str">
        <f t="shared" ca="1" si="709"/>
        <v/>
      </c>
      <c r="J6342" s="17" t="str">
        <f t="shared" ca="1" si="710"/>
        <v/>
      </c>
    </row>
    <row r="6343" spans="1:10" x14ac:dyDescent="0.25">
      <c r="A6343" t="s">
        <v>941</v>
      </c>
      <c r="B6343" t="str">
        <f>ADDRESS(ROW('Loan 1'!$C$34),COLUMN('Loan 1'!$C$34),4)</f>
        <v>C34</v>
      </c>
      <c r="C6343" t="str">
        <f>ADDRESS(ROW('Loan 1'!$D$34),COLUMN('Loan 1'!$D$34),4)</f>
        <v>D34</v>
      </c>
      <c r="D6343" t="b" cm="1">
        <f t="array" aca="1" ref="D6343" ca="1">IF(INDIRECT("'"&amp;A6343&amp;"'!"&amp;B6343)="",FALSE,IF(INDIRECT("'"&amp;A6343&amp;"'!"&amp;B6343)&lt;0,TRUE,FALSE))</f>
        <v>0</v>
      </c>
      <c r="E6343" t="s">
        <v>434</v>
      </c>
      <c r="F6343" t="str">
        <f>INDEX(Lists!I:I,MATCH(Validation!E6343,Lists!G:G,0))</f>
        <v>Error</v>
      </c>
      <c r="G6343" t="str">
        <f>INDEX(Lists!H:H,MATCH(Validation!E6343,Lists!G:G,0))</f>
        <v>Amount may not be negative. Enter an amount greater than or equal to zero.</v>
      </c>
      <c r="H6343" s="16" t="str">
        <f t="shared" ca="1" si="708"/>
        <v/>
      </c>
      <c r="I6343" s="16" t="str">
        <f t="shared" ca="1" si="709"/>
        <v/>
      </c>
      <c r="J6343" s="17" t="str">
        <f t="shared" ca="1" si="710"/>
        <v/>
      </c>
    </row>
    <row r="6344" spans="1:10" x14ac:dyDescent="0.25">
      <c r="A6344" t="s">
        <v>942</v>
      </c>
      <c r="B6344" t="str">
        <f>ADDRESS(ROW('Loan 1'!$C$34),COLUMN('Loan 1'!$C$34),4)</f>
        <v>C34</v>
      </c>
      <c r="C6344" t="str">
        <f>ADDRESS(ROW('Loan 1'!$D$34),COLUMN('Loan 1'!$D$34),4)</f>
        <v>D34</v>
      </c>
      <c r="D6344" t="b" cm="1">
        <f t="array" aca="1" ref="D6344" ca="1">IF(INDIRECT("'"&amp;A6344&amp;"'!"&amp;B6344)="",FALSE,IF(INDIRECT("'"&amp;A6344&amp;"'!"&amp;B6344)&lt;0,TRUE,FALSE))</f>
        <v>0</v>
      </c>
      <c r="E6344" t="s">
        <v>434</v>
      </c>
      <c r="F6344" t="str">
        <f>INDEX(Lists!I:I,MATCH(Validation!E6344,Lists!G:G,0))</f>
        <v>Error</v>
      </c>
      <c r="G6344" t="str">
        <f>INDEX(Lists!H:H,MATCH(Validation!E6344,Lists!G:G,0))</f>
        <v>Amount may not be negative. Enter an amount greater than or equal to zero.</v>
      </c>
      <c r="H6344" s="16" t="str">
        <f t="shared" ca="1" si="708"/>
        <v/>
      </c>
      <c r="I6344" s="16" t="str">
        <f t="shared" ca="1" si="709"/>
        <v/>
      </c>
      <c r="J6344" s="17" t="str">
        <f t="shared" ca="1" si="710"/>
        <v/>
      </c>
    </row>
    <row r="6345" spans="1:10" x14ac:dyDescent="0.25">
      <c r="A6345" t="s">
        <v>943</v>
      </c>
      <c r="B6345" t="str">
        <f>ADDRESS(ROW('Loan 1'!$C$34),COLUMN('Loan 1'!$C$34),4)</f>
        <v>C34</v>
      </c>
      <c r="C6345" t="str">
        <f>ADDRESS(ROW('Loan 1'!$D$34),COLUMN('Loan 1'!$D$34),4)</f>
        <v>D34</v>
      </c>
      <c r="D6345" t="b" cm="1">
        <f t="array" aca="1" ref="D6345" ca="1">IF(INDIRECT("'"&amp;A6345&amp;"'!"&amp;B6345)="",FALSE,IF(INDIRECT("'"&amp;A6345&amp;"'!"&amp;B6345)&lt;0,TRUE,FALSE))</f>
        <v>0</v>
      </c>
      <c r="E6345" t="s">
        <v>434</v>
      </c>
      <c r="F6345" t="str">
        <f>INDEX(Lists!I:I,MATCH(Validation!E6345,Lists!G:G,0))</f>
        <v>Error</v>
      </c>
      <c r="G6345" t="str">
        <f>INDEX(Lists!H:H,MATCH(Validation!E6345,Lists!G:G,0))</f>
        <v>Amount may not be negative. Enter an amount greater than or equal to zero.</v>
      </c>
      <c r="H6345" s="16" t="str">
        <f t="shared" ca="1" si="708"/>
        <v/>
      </c>
      <c r="I6345" s="16" t="str">
        <f t="shared" ca="1" si="709"/>
        <v/>
      </c>
      <c r="J6345" s="17" t="str">
        <f t="shared" ca="1" si="710"/>
        <v/>
      </c>
    </row>
    <row r="6346" spans="1:10" x14ac:dyDescent="0.25">
      <c r="A6346" t="s">
        <v>944</v>
      </c>
      <c r="B6346" t="str">
        <f>ADDRESS(ROW('Loan 1'!$C$34),COLUMN('Loan 1'!$C$34),4)</f>
        <v>C34</v>
      </c>
      <c r="C6346" t="str">
        <f>ADDRESS(ROW('Loan 1'!$D$34),COLUMN('Loan 1'!$D$34),4)</f>
        <v>D34</v>
      </c>
      <c r="D6346" t="b" cm="1">
        <f t="array" aca="1" ref="D6346" ca="1">IF(INDIRECT("'"&amp;A6346&amp;"'!"&amp;B6346)="",FALSE,IF(INDIRECT("'"&amp;A6346&amp;"'!"&amp;B6346)&lt;0,TRUE,FALSE))</f>
        <v>0</v>
      </c>
      <c r="E6346" t="s">
        <v>434</v>
      </c>
      <c r="F6346" t="str">
        <f>INDEX(Lists!I:I,MATCH(Validation!E6346,Lists!G:G,0))</f>
        <v>Error</v>
      </c>
      <c r="G6346" t="str">
        <f>INDEX(Lists!H:H,MATCH(Validation!E6346,Lists!G:G,0))</f>
        <v>Amount may not be negative. Enter an amount greater than or equal to zero.</v>
      </c>
      <c r="H6346" s="16" t="str">
        <f t="shared" ca="1" si="708"/>
        <v/>
      </c>
      <c r="I6346" s="16" t="str">
        <f t="shared" ca="1" si="709"/>
        <v/>
      </c>
      <c r="J6346" s="17" t="str">
        <f t="shared" ca="1" si="710"/>
        <v/>
      </c>
    </row>
    <row r="6347" spans="1:10" x14ac:dyDescent="0.25">
      <c r="A6347" t="s">
        <v>945</v>
      </c>
      <c r="B6347" t="str">
        <f>ADDRESS(ROW('Loan 1'!$C$34),COLUMN('Loan 1'!$C$34),4)</f>
        <v>C34</v>
      </c>
      <c r="C6347" t="str">
        <f>ADDRESS(ROW('Loan 1'!$D$34),COLUMN('Loan 1'!$D$34),4)</f>
        <v>D34</v>
      </c>
      <c r="D6347" t="b" cm="1">
        <f t="array" aca="1" ref="D6347" ca="1">IF(INDIRECT("'"&amp;A6347&amp;"'!"&amp;B6347)="",FALSE,IF(INDIRECT("'"&amp;A6347&amp;"'!"&amp;B6347)&lt;0,TRUE,FALSE))</f>
        <v>0</v>
      </c>
      <c r="E6347" t="s">
        <v>434</v>
      </c>
      <c r="F6347" t="str">
        <f>INDEX(Lists!I:I,MATCH(Validation!E6347,Lists!G:G,0))</f>
        <v>Error</v>
      </c>
      <c r="G6347" t="str">
        <f>INDEX(Lists!H:H,MATCH(Validation!E6347,Lists!G:G,0))</f>
        <v>Amount may not be negative. Enter an amount greater than or equal to zero.</v>
      </c>
      <c r="H6347" s="16" t="str">
        <f t="shared" ca="1" si="708"/>
        <v/>
      </c>
      <c r="I6347" s="16" t="str">
        <f t="shared" ca="1" si="709"/>
        <v/>
      </c>
      <c r="J6347" s="17" t="str">
        <f t="shared" ca="1" si="710"/>
        <v/>
      </c>
    </row>
    <row r="6348" spans="1:10" x14ac:dyDescent="0.25">
      <c r="A6348" t="s">
        <v>205</v>
      </c>
      <c r="B6348" t="str">
        <f>ADDRESS(ROW('Loan 1'!$C$34),COLUMN('Loan 1'!$C$34),4)</f>
        <v>C34</v>
      </c>
      <c r="C6348" t="str">
        <f>ADDRESS(ROW('Loan 1'!$D$34),COLUMN('Loan 1'!$D$34),4)</f>
        <v>D34</v>
      </c>
      <c r="D6348" t="b" cm="1">
        <f t="array" aca="1" ref="D6348" ca="1">IF(INDIRECT("'"&amp;A6348&amp;"'!"&amp;B6348)="",FALSE,IF(TRUNC(INDIRECT("'"&amp;A6348&amp;"'!"&amp;B6348))=INDIRECT("'"&amp;A6348&amp;"'!"&amp;B6348),FALSE,TRUE))</f>
        <v>0</v>
      </c>
      <c r="E6348" t="s">
        <v>436</v>
      </c>
      <c r="F6348" t="str">
        <f>INDEX(Lists!I:I,MATCH(Validation!E6348,Lists!G:G,0))</f>
        <v>Error</v>
      </c>
      <c r="G6348" t="str">
        <f>INDEX(Lists!H:H,MATCH(Validation!E6348,Lists!G:G,0))</f>
        <v>Amount must be rounded to the nearest dollar.</v>
      </c>
      <c r="H6348" s="16" t="str">
        <f t="shared" ca="1" si="705"/>
        <v/>
      </c>
      <c r="I6348" s="16" t="str">
        <f t="shared" ca="1" si="706"/>
        <v/>
      </c>
      <c r="J6348" s="17" t="str">
        <f t="shared" ca="1" si="707"/>
        <v/>
      </c>
    </row>
    <row r="6349" spans="1:10" x14ac:dyDescent="0.25">
      <c r="A6349" t="s">
        <v>932</v>
      </c>
      <c r="B6349" t="str">
        <f>ADDRESS(ROW('Loan 1'!$C$34),COLUMN('Loan 1'!$C$34),4)</f>
        <v>C34</v>
      </c>
      <c r="C6349" t="str">
        <f>ADDRESS(ROW('Loan 1'!$D$34),COLUMN('Loan 1'!$D$34),4)</f>
        <v>D34</v>
      </c>
      <c r="D6349" t="b" cm="1">
        <f t="array" aca="1" ref="D6349" ca="1">IF(INDIRECT("'"&amp;A6349&amp;"'!"&amp;B6349)="",FALSE,IF(TRUNC(INDIRECT("'"&amp;A6349&amp;"'!"&amp;B6349))=INDIRECT("'"&amp;A6349&amp;"'!"&amp;B6349),FALSE,TRUE))</f>
        <v>0</v>
      </c>
      <c r="E6349" t="s">
        <v>436</v>
      </c>
      <c r="F6349" t="str">
        <f>INDEX(Lists!I:I,MATCH(Validation!E6349,Lists!G:G,0))</f>
        <v>Error</v>
      </c>
      <c r="G6349" t="str">
        <f>INDEX(Lists!H:H,MATCH(Validation!E6349,Lists!G:G,0))</f>
        <v>Amount must be rounded to the nearest dollar.</v>
      </c>
      <c r="H6349" s="16" t="str">
        <f t="shared" ca="1" si="705"/>
        <v/>
      </c>
      <c r="I6349" s="16" t="str">
        <f t="shared" ca="1" si="706"/>
        <v/>
      </c>
      <c r="J6349" s="17" t="str">
        <f t="shared" ca="1" si="707"/>
        <v/>
      </c>
    </row>
    <row r="6350" spans="1:10" x14ac:dyDescent="0.25">
      <c r="A6350" t="s">
        <v>933</v>
      </c>
      <c r="B6350" t="str">
        <f>ADDRESS(ROW('Loan 1'!$C$34),COLUMN('Loan 1'!$C$34),4)</f>
        <v>C34</v>
      </c>
      <c r="C6350" t="str">
        <f>ADDRESS(ROW('Loan 1'!$D$34),COLUMN('Loan 1'!$D$34),4)</f>
        <v>D34</v>
      </c>
      <c r="D6350" t="b" cm="1">
        <f t="array" aca="1" ref="D6350" ca="1">IF(INDIRECT("'"&amp;A6350&amp;"'!"&amp;B6350)="",FALSE,IF(TRUNC(INDIRECT("'"&amp;A6350&amp;"'!"&amp;B6350))=INDIRECT("'"&amp;A6350&amp;"'!"&amp;B6350),FALSE,TRUE))</f>
        <v>0</v>
      </c>
      <c r="E6350" t="s">
        <v>436</v>
      </c>
      <c r="F6350" t="str">
        <f>INDEX(Lists!I:I,MATCH(Validation!E6350,Lists!G:G,0))</f>
        <v>Error</v>
      </c>
      <c r="G6350" t="str">
        <f>INDEX(Lists!H:H,MATCH(Validation!E6350,Lists!G:G,0))</f>
        <v>Amount must be rounded to the nearest dollar.</v>
      </c>
      <c r="H6350" s="16" t="str">
        <f t="shared" ca="1" si="705"/>
        <v/>
      </c>
      <c r="I6350" s="16" t="str">
        <f t="shared" ca="1" si="706"/>
        <v/>
      </c>
      <c r="J6350" s="17" t="str">
        <f t="shared" ca="1" si="707"/>
        <v/>
      </c>
    </row>
    <row r="6351" spans="1:10" x14ac:dyDescent="0.25">
      <c r="A6351" t="s">
        <v>934</v>
      </c>
      <c r="B6351" t="str">
        <f>ADDRESS(ROW('Loan 1'!$C$34),COLUMN('Loan 1'!$C$34),4)</f>
        <v>C34</v>
      </c>
      <c r="C6351" t="str">
        <f>ADDRESS(ROW('Loan 1'!$D$34),COLUMN('Loan 1'!$D$34),4)</f>
        <v>D34</v>
      </c>
      <c r="D6351" t="b" cm="1">
        <f t="array" aca="1" ref="D6351" ca="1">IF(INDIRECT("'"&amp;A6351&amp;"'!"&amp;B6351)="",FALSE,IF(TRUNC(INDIRECT("'"&amp;A6351&amp;"'!"&amp;B6351))=INDIRECT("'"&amp;A6351&amp;"'!"&amp;B6351),FALSE,TRUE))</f>
        <v>0</v>
      </c>
      <c r="E6351" t="s">
        <v>436</v>
      </c>
      <c r="F6351" t="str">
        <f>INDEX(Lists!I:I,MATCH(Validation!E6351,Lists!G:G,0))</f>
        <v>Error</v>
      </c>
      <c r="G6351" t="str">
        <f>INDEX(Lists!H:H,MATCH(Validation!E6351,Lists!G:G,0))</f>
        <v>Amount must be rounded to the nearest dollar.</v>
      </c>
      <c r="H6351" s="16" t="str">
        <f t="shared" ca="1" si="705"/>
        <v/>
      </c>
      <c r="I6351" s="16" t="str">
        <f t="shared" ca="1" si="706"/>
        <v/>
      </c>
      <c r="J6351" s="17" t="str">
        <f t="shared" ca="1" si="707"/>
        <v/>
      </c>
    </row>
    <row r="6352" spans="1:10" x14ac:dyDescent="0.25">
      <c r="A6352" t="s">
        <v>935</v>
      </c>
      <c r="B6352" t="str">
        <f>ADDRESS(ROW('Loan 1'!$C$34),COLUMN('Loan 1'!$C$34),4)</f>
        <v>C34</v>
      </c>
      <c r="C6352" t="str">
        <f>ADDRESS(ROW('Loan 1'!$D$34),COLUMN('Loan 1'!$D$34),4)</f>
        <v>D34</v>
      </c>
      <c r="D6352" t="b" cm="1">
        <f t="array" aca="1" ref="D6352" ca="1">IF(INDIRECT("'"&amp;A6352&amp;"'!"&amp;B6352)="",FALSE,IF(TRUNC(INDIRECT("'"&amp;A6352&amp;"'!"&amp;B6352))=INDIRECT("'"&amp;A6352&amp;"'!"&amp;B6352),FALSE,TRUE))</f>
        <v>0</v>
      </c>
      <c r="E6352" t="s">
        <v>436</v>
      </c>
      <c r="F6352" t="str">
        <f>INDEX(Lists!I:I,MATCH(Validation!E6352,Lists!G:G,0))</f>
        <v>Error</v>
      </c>
      <c r="G6352" t="str">
        <f>INDEX(Lists!H:H,MATCH(Validation!E6352,Lists!G:G,0))</f>
        <v>Amount must be rounded to the nearest dollar.</v>
      </c>
      <c r="H6352" s="16" t="str">
        <f t="shared" ca="1" si="705"/>
        <v/>
      </c>
      <c r="I6352" s="16" t="str">
        <f t="shared" ca="1" si="706"/>
        <v/>
      </c>
      <c r="J6352" s="17" t="str">
        <f t="shared" ca="1" si="707"/>
        <v/>
      </c>
    </row>
    <row r="6353" spans="1:10" x14ac:dyDescent="0.25">
      <c r="A6353" t="s">
        <v>936</v>
      </c>
      <c r="B6353" t="str">
        <f>ADDRESS(ROW('Loan 1'!$C$34),COLUMN('Loan 1'!$C$34),4)</f>
        <v>C34</v>
      </c>
      <c r="C6353" t="str">
        <f>ADDRESS(ROW('Loan 1'!$D$34),COLUMN('Loan 1'!$D$34),4)</f>
        <v>D34</v>
      </c>
      <c r="D6353" t="b" cm="1">
        <f t="array" aca="1" ref="D6353" ca="1">IF(INDIRECT("'"&amp;A6353&amp;"'!"&amp;B6353)="",FALSE,IF(TRUNC(INDIRECT("'"&amp;A6353&amp;"'!"&amp;B6353))=INDIRECT("'"&amp;A6353&amp;"'!"&amp;B6353),FALSE,TRUE))</f>
        <v>0</v>
      </c>
      <c r="E6353" t="s">
        <v>436</v>
      </c>
      <c r="F6353" t="str">
        <f>INDEX(Lists!I:I,MATCH(Validation!E6353,Lists!G:G,0))</f>
        <v>Error</v>
      </c>
      <c r="G6353" t="str">
        <f>INDEX(Lists!H:H,MATCH(Validation!E6353,Lists!G:G,0))</f>
        <v>Amount must be rounded to the nearest dollar.</v>
      </c>
      <c r="H6353" s="16" t="str">
        <f t="shared" ca="1" si="705"/>
        <v/>
      </c>
      <c r="I6353" s="16" t="str">
        <f t="shared" ca="1" si="706"/>
        <v/>
      </c>
      <c r="J6353" s="17" t="str">
        <f t="shared" ca="1" si="707"/>
        <v/>
      </c>
    </row>
    <row r="6354" spans="1:10" x14ac:dyDescent="0.25">
      <c r="A6354" t="s">
        <v>937</v>
      </c>
      <c r="B6354" t="str">
        <f>ADDRESS(ROW('Loan 1'!$C$34),COLUMN('Loan 1'!$C$34),4)</f>
        <v>C34</v>
      </c>
      <c r="C6354" t="str">
        <f>ADDRESS(ROW('Loan 1'!$D$34),COLUMN('Loan 1'!$D$34),4)</f>
        <v>D34</v>
      </c>
      <c r="D6354" t="b" cm="1">
        <f t="array" aca="1" ref="D6354" ca="1">IF(INDIRECT("'"&amp;A6354&amp;"'!"&amp;B6354)="",FALSE,IF(TRUNC(INDIRECT("'"&amp;A6354&amp;"'!"&amp;B6354))=INDIRECT("'"&amp;A6354&amp;"'!"&amp;B6354),FALSE,TRUE))</f>
        <v>0</v>
      </c>
      <c r="E6354" t="s">
        <v>436</v>
      </c>
      <c r="F6354" t="str">
        <f>INDEX(Lists!I:I,MATCH(Validation!E6354,Lists!G:G,0))</f>
        <v>Error</v>
      </c>
      <c r="G6354" t="str">
        <f>INDEX(Lists!H:H,MATCH(Validation!E6354,Lists!G:G,0))</f>
        <v>Amount must be rounded to the nearest dollar.</v>
      </c>
      <c r="H6354" s="16" t="str">
        <f t="shared" ca="1" si="705"/>
        <v/>
      </c>
      <c r="I6354" s="16" t="str">
        <f t="shared" ca="1" si="706"/>
        <v/>
      </c>
      <c r="J6354" s="17" t="str">
        <f t="shared" ca="1" si="707"/>
        <v/>
      </c>
    </row>
    <row r="6355" spans="1:10" x14ac:dyDescent="0.25">
      <c r="A6355" t="s">
        <v>938</v>
      </c>
      <c r="B6355" t="str">
        <f>ADDRESS(ROW('Loan 1'!$C$34),COLUMN('Loan 1'!$C$34),4)</f>
        <v>C34</v>
      </c>
      <c r="C6355" t="str">
        <f>ADDRESS(ROW('Loan 1'!$D$34),COLUMN('Loan 1'!$D$34),4)</f>
        <v>D34</v>
      </c>
      <c r="D6355" t="b" cm="1">
        <f t="array" aca="1" ref="D6355" ca="1">IF(INDIRECT("'"&amp;A6355&amp;"'!"&amp;B6355)="",FALSE,IF(TRUNC(INDIRECT("'"&amp;A6355&amp;"'!"&amp;B6355))=INDIRECT("'"&amp;A6355&amp;"'!"&amp;B6355),FALSE,TRUE))</f>
        <v>0</v>
      </c>
      <c r="E6355" t="s">
        <v>436</v>
      </c>
      <c r="F6355" t="str">
        <f>INDEX(Lists!I:I,MATCH(Validation!E6355,Lists!G:G,0))</f>
        <v>Error</v>
      </c>
      <c r="G6355" t="str">
        <f>INDEX(Lists!H:H,MATCH(Validation!E6355,Lists!G:G,0))</f>
        <v>Amount must be rounded to the nearest dollar.</v>
      </c>
      <c r="H6355" s="16" t="str">
        <f t="shared" ca="1" si="705"/>
        <v/>
      </c>
      <c r="I6355" s="16" t="str">
        <f t="shared" ca="1" si="706"/>
        <v/>
      </c>
      <c r="J6355" s="17" t="str">
        <f t="shared" ca="1" si="707"/>
        <v/>
      </c>
    </row>
    <row r="6356" spans="1:10" x14ac:dyDescent="0.25">
      <c r="A6356" t="s">
        <v>939</v>
      </c>
      <c r="B6356" t="str">
        <f>ADDRESS(ROW('Loan 1'!$C$34),COLUMN('Loan 1'!$C$34),4)</f>
        <v>C34</v>
      </c>
      <c r="C6356" t="str">
        <f>ADDRESS(ROW('Loan 1'!$D$34),COLUMN('Loan 1'!$D$34),4)</f>
        <v>D34</v>
      </c>
      <c r="D6356" t="b" cm="1">
        <f t="array" aca="1" ref="D6356" ca="1">IF(INDIRECT("'"&amp;A6356&amp;"'!"&amp;B6356)="",FALSE,IF(TRUNC(INDIRECT("'"&amp;A6356&amp;"'!"&amp;B6356))=INDIRECT("'"&amp;A6356&amp;"'!"&amp;B6356),FALSE,TRUE))</f>
        <v>0</v>
      </c>
      <c r="E6356" t="s">
        <v>436</v>
      </c>
      <c r="F6356" t="str">
        <f>INDEX(Lists!I:I,MATCH(Validation!E6356,Lists!G:G,0))</f>
        <v>Error</v>
      </c>
      <c r="G6356" t="str">
        <f>INDEX(Lists!H:H,MATCH(Validation!E6356,Lists!G:G,0))</f>
        <v>Amount must be rounded to the nearest dollar.</v>
      </c>
      <c r="H6356" s="16" t="str">
        <f t="shared" ca="1" si="705"/>
        <v/>
      </c>
      <c r="I6356" s="16" t="str">
        <f t="shared" ca="1" si="706"/>
        <v/>
      </c>
      <c r="J6356" s="17" t="str">
        <f t="shared" ca="1" si="707"/>
        <v/>
      </c>
    </row>
    <row r="6357" spans="1:10" x14ac:dyDescent="0.25">
      <c r="A6357" t="s">
        <v>940</v>
      </c>
      <c r="B6357" t="str">
        <f>ADDRESS(ROW('Loan 1'!$C$34),COLUMN('Loan 1'!$C$34),4)</f>
        <v>C34</v>
      </c>
      <c r="C6357" t="str">
        <f>ADDRESS(ROW('Loan 1'!$D$34),COLUMN('Loan 1'!$D$34),4)</f>
        <v>D34</v>
      </c>
      <c r="D6357" t="b" cm="1">
        <f t="array" aca="1" ref="D6357" ca="1">IF(INDIRECT("'"&amp;A6357&amp;"'!"&amp;B6357)="",FALSE,IF(TRUNC(INDIRECT("'"&amp;A6357&amp;"'!"&amp;B6357))=INDIRECT("'"&amp;A6357&amp;"'!"&amp;B6357),FALSE,TRUE))</f>
        <v>0</v>
      </c>
      <c r="E6357" t="s">
        <v>436</v>
      </c>
      <c r="F6357" t="str">
        <f>INDEX(Lists!I:I,MATCH(Validation!E6357,Lists!G:G,0))</f>
        <v>Error</v>
      </c>
      <c r="G6357" t="str">
        <f>INDEX(Lists!H:H,MATCH(Validation!E6357,Lists!G:G,0))</f>
        <v>Amount must be rounded to the nearest dollar.</v>
      </c>
      <c r="H6357" s="16" t="str">
        <f t="shared" ca="1" si="705"/>
        <v/>
      </c>
      <c r="I6357" s="16" t="str">
        <f t="shared" ca="1" si="706"/>
        <v/>
      </c>
      <c r="J6357" s="17" t="str">
        <f t="shared" ca="1" si="707"/>
        <v/>
      </c>
    </row>
    <row r="6358" spans="1:10" x14ac:dyDescent="0.25">
      <c r="A6358" t="s">
        <v>941</v>
      </c>
      <c r="B6358" t="str">
        <f>ADDRESS(ROW('Loan 1'!$C$34),COLUMN('Loan 1'!$C$34),4)</f>
        <v>C34</v>
      </c>
      <c r="C6358" t="str">
        <f>ADDRESS(ROW('Loan 1'!$D$34),COLUMN('Loan 1'!$D$34),4)</f>
        <v>D34</v>
      </c>
      <c r="D6358" t="b" cm="1">
        <f t="array" aca="1" ref="D6358" ca="1">IF(INDIRECT("'"&amp;A6358&amp;"'!"&amp;B6358)="",FALSE,IF(TRUNC(INDIRECT("'"&amp;A6358&amp;"'!"&amp;B6358))=INDIRECT("'"&amp;A6358&amp;"'!"&amp;B6358),FALSE,TRUE))</f>
        <v>0</v>
      </c>
      <c r="E6358" t="s">
        <v>436</v>
      </c>
      <c r="F6358" t="str">
        <f>INDEX(Lists!I:I,MATCH(Validation!E6358,Lists!G:G,0))</f>
        <v>Error</v>
      </c>
      <c r="G6358" t="str">
        <f>INDEX(Lists!H:H,MATCH(Validation!E6358,Lists!G:G,0))</f>
        <v>Amount must be rounded to the nearest dollar.</v>
      </c>
      <c r="H6358" s="16" t="str">
        <f t="shared" ca="1" si="705"/>
        <v/>
      </c>
      <c r="I6358" s="16" t="str">
        <f t="shared" ca="1" si="706"/>
        <v/>
      </c>
      <c r="J6358" s="17" t="str">
        <f t="shared" ca="1" si="707"/>
        <v/>
      </c>
    </row>
    <row r="6359" spans="1:10" x14ac:dyDescent="0.25">
      <c r="A6359" t="s">
        <v>942</v>
      </c>
      <c r="B6359" t="str">
        <f>ADDRESS(ROW('Loan 1'!$C$34),COLUMN('Loan 1'!$C$34),4)</f>
        <v>C34</v>
      </c>
      <c r="C6359" t="str">
        <f>ADDRESS(ROW('Loan 1'!$D$34),COLUMN('Loan 1'!$D$34),4)</f>
        <v>D34</v>
      </c>
      <c r="D6359" t="b" cm="1">
        <f t="array" aca="1" ref="D6359" ca="1">IF(INDIRECT("'"&amp;A6359&amp;"'!"&amp;B6359)="",FALSE,IF(TRUNC(INDIRECT("'"&amp;A6359&amp;"'!"&amp;B6359))=INDIRECT("'"&amp;A6359&amp;"'!"&amp;B6359),FALSE,TRUE))</f>
        <v>0</v>
      </c>
      <c r="E6359" t="s">
        <v>436</v>
      </c>
      <c r="F6359" t="str">
        <f>INDEX(Lists!I:I,MATCH(Validation!E6359,Lists!G:G,0))</f>
        <v>Error</v>
      </c>
      <c r="G6359" t="str">
        <f>INDEX(Lists!H:H,MATCH(Validation!E6359,Lists!G:G,0))</f>
        <v>Amount must be rounded to the nearest dollar.</v>
      </c>
      <c r="H6359" s="16" t="str">
        <f t="shared" ca="1" si="705"/>
        <v/>
      </c>
      <c r="I6359" s="16" t="str">
        <f t="shared" ca="1" si="706"/>
        <v/>
      </c>
      <c r="J6359" s="17" t="str">
        <f t="shared" ca="1" si="707"/>
        <v/>
      </c>
    </row>
    <row r="6360" spans="1:10" x14ac:dyDescent="0.25">
      <c r="A6360" t="s">
        <v>943</v>
      </c>
      <c r="B6360" t="str">
        <f>ADDRESS(ROW('Loan 1'!$C$34),COLUMN('Loan 1'!$C$34),4)</f>
        <v>C34</v>
      </c>
      <c r="C6360" t="str">
        <f>ADDRESS(ROW('Loan 1'!$D$34),COLUMN('Loan 1'!$D$34),4)</f>
        <v>D34</v>
      </c>
      <c r="D6360" t="b" cm="1">
        <f t="array" aca="1" ref="D6360" ca="1">IF(INDIRECT("'"&amp;A6360&amp;"'!"&amp;B6360)="",FALSE,IF(TRUNC(INDIRECT("'"&amp;A6360&amp;"'!"&amp;B6360))=INDIRECT("'"&amp;A6360&amp;"'!"&amp;B6360),FALSE,TRUE))</f>
        <v>0</v>
      </c>
      <c r="E6360" t="s">
        <v>436</v>
      </c>
      <c r="F6360" t="str">
        <f>INDEX(Lists!I:I,MATCH(Validation!E6360,Lists!G:G,0))</f>
        <v>Error</v>
      </c>
      <c r="G6360" t="str">
        <f>INDEX(Lists!H:H,MATCH(Validation!E6360,Lists!G:G,0))</f>
        <v>Amount must be rounded to the nearest dollar.</v>
      </c>
      <c r="H6360" s="16" t="str">
        <f t="shared" ca="1" si="705"/>
        <v/>
      </c>
      <c r="I6360" s="16" t="str">
        <f t="shared" ca="1" si="706"/>
        <v/>
      </c>
      <c r="J6360" s="17" t="str">
        <f t="shared" ca="1" si="707"/>
        <v/>
      </c>
    </row>
    <row r="6361" spans="1:10" x14ac:dyDescent="0.25">
      <c r="A6361" t="s">
        <v>944</v>
      </c>
      <c r="B6361" t="str">
        <f>ADDRESS(ROW('Loan 1'!$C$34),COLUMN('Loan 1'!$C$34),4)</f>
        <v>C34</v>
      </c>
      <c r="C6361" t="str">
        <f>ADDRESS(ROW('Loan 1'!$D$34),COLUMN('Loan 1'!$D$34),4)</f>
        <v>D34</v>
      </c>
      <c r="D6361" t="b" cm="1">
        <f t="array" aca="1" ref="D6361" ca="1">IF(INDIRECT("'"&amp;A6361&amp;"'!"&amp;B6361)="",FALSE,IF(TRUNC(INDIRECT("'"&amp;A6361&amp;"'!"&amp;B6361))=INDIRECT("'"&amp;A6361&amp;"'!"&amp;B6361),FALSE,TRUE))</f>
        <v>0</v>
      </c>
      <c r="E6361" t="s">
        <v>436</v>
      </c>
      <c r="F6361" t="str">
        <f>INDEX(Lists!I:I,MATCH(Validation!E6361,Lists!G:G,0))</f>
        <v>Error</v>
      </c>
      <c r="G6361" t="str">
        <f>INDEX(Lists!H:H,MATCH(Validation!E6361,Lists!G:G,0))</f>
        <v>Amount must be rounded to the nearest dollar.</v>
      </c>
      <c r="H6361" s="16" t="str">
        <f t="shared" ca="1" si="705"/>
        <v/>
      </c>
      <c r="I6361" s="16" t="str">
        <f t="shared" ca="1" si="706"/>
        <v/>
      </c>
      <c r="J6361" s="17" t="str">
        <f t="shared" ca="1" si="707"/>
        <v/>
      </c>
    </row>
    <row r="6362" spans="1:10" x14ac:dyDescent="0.25">
      <c r="A6362" t="s">
        <v>945</v>
      </c>
      <c r="B6362" t="str">
        <f>ADDRESS(ROW('Loan 1'!$C$34),COLUMN('Loan 1'!$C$34),4)</f>
        <v>C34</v>
      </c>
      <c r="C6362" t="str">
        <f>ADDRESS(ROW('Loan 1'!$D$34),COLUMN('Loan 1'!$D$34),4)</f>
        <v>D34</v>
      </c>
      <c r="D6362" t="b" cm="1">
        <f t="array" aca="1" ref="D6362" ca="1">IF(INDIRECT("'"&amp;A6362&amp;"'!"&amp;B6362)="",FALSE,IF(TRUNC(INDIRECT("'"&amp;A6362&amp;"'!"&amp;B6362))=INDIRECT("'"&amp;A6362&amp;"'!"&amp;B6362),FALSE,TRUE))</f>
        <v>0</v>
      </c>
      <c r="E6362" t="s">
        <v>436</v>
      </c>
      <c r="F6362" t="str">
        <f>INDEX(Lists!I:I,MATCH(Validation!E6362,Lists!G:G,0))</f>
        <v>Error</v>
      </c>
      <c r="G6362" t="str">
        <f>INDEX(Lists!H:H,MATCH(Validation!E6362,Lists!G:G,0))</f>
        <v>Amount must be rounded to the nearest dollar.</v>
      </c>
      <c r="H6362" s="16" t="str">
        <f t="shared" ca="1" si="705"/>
        <v/>
      </c>
      <c r="I6362" s="16" t="str">
        <f t="shared" ca="1" si="706"/>
        <v/>
      </c>
      <c r="J6362" s="17" t="str">
        <f t="shared" ca="1" si="707"/>
        <v/>
      </c>
    </row>
    <row r="6363" spans="1:10" x14ac:dyDescent="0.25">
      <c r="A6363" t="s">
        <v>205</v>
      </c>
      <c r="B6363" t="str">
        <f>ADDRESS(ROW('Loan 1'!$C$34),COLUMN('Loan 1'!$C$34),4)</f>
        <v>C34</v>
      </c>
      <c r="C6363" t="str">
        <f>ADDRESS(ROW('Loan 1'!$D$34),COLUMN('Loan 1'!$D$34),4)</f>
        <v>D34</v>
      </c>
      <c r="D6363" t="b" cm="1">
        <f t="array" aca="1" ref="D6363" ca="1">IF(INDIRECT("'"&amp;A6363&amp;"'!"&amp;B6363)="",FALSE,IF(INDIRECT("'"&amp;A6363&amp;"'!"&amp;B6363)+INDIRECT("'"&amp;A6363&amp;"'!B$34")&gt;INDIRECT("'"&amp;A6363&amp;"'!$B$15"),TRUE,FALSE))</f>
        <v>0</v>
      </c>
      <c r="E6363" t="s">
        <v>930</v>
      </c>
      <c r="F6363" t="str">
        <f>INDEX(Lists!I:I,MATCH(Validation!E6363,Lists!G:G,0))</f>
        <v>Alert</v>
      </c>
      <c r="G6363" t="str">
        <f>INDEX(Lists!H:H,MATCH(Validation!E6363,Lists!G:G,0))</f>
        <v>Draw exceeds resolution amount! Submit form but explain in comments box and remedy.</v>
      </c>
      <c r="H6363" s="16" t="str">
        <f t="shared" ca="1" si="705"/>
        <v/>
      </c>
      <c r="I6363" s="16" t="str">
        <f t="shared" ca="1" si="706"/>
        <v/>
      </c>
      <c r="J6363" s="17" t="str">
        <f t="shared" ca="1" si="707"/>
        <v/>
      </c>
    </row>
    <row r="6364" spans="1:10" x14ac:dyDescent="0.25">
      <c r="A6364" t="s">
        <v>932</v>
      </c>
      <c r="B6364" t="str">
        <f>ADDRESS(ROW('Loan 1'!$C$34),COLUMN('Loan 1'!$C$34),4)</f>
        <v>C34</v>
      </c>
      <c r="C6364" t="str">
        <f>ADDRESS(ROW('Loan 1'!$D$34),COLUMN('Loan 1'!$D$34),4)</f>
        <v>D34</v>
      </c>
      <c r="D6364" t="b" cm="1">
        <f t="array" aca="1" ref="D6364" ca="1">IF(INDIRECT("'"&amp;A6364&amp;"'!"&amp;B6364)="",FALSE,IF(INDIRECT("'"&amp;A6364&amp;"'!"&amp;B6364)+INDIRECT("'"&amp;A6364&amp;"'!B$34")&gt;INDIRECT("'"&amp;A6364&amp;"'!$B$15"),TRUE,FALSE))</f>
        <v>0</v>
      </c>
      <c r="E6364" t="s">
        <v>930</v>
      </c>
      <c r="F6364" t="str">
        <f>INDEX(Lists!I:I,MATCH(Validation!E6364,Lists!G:G,0))</f>
        <v>Alert</v>
      </c>
      <c r="G6364" t="str">
        <f>INDEX(Lists!H:H,MATCH(Validation!E6364,Lists!G:G,0))</f>
        <v>Draw exceeds resolution amount! Submit form but explain in comments box and remedy.</v>
      </c>
      <c r="H6364" s="16" t="str">
        <f t="shared" ref="H6364:H6377" ca="1" si="711">IFERROR(IF(OR(NOT(D6364),F6364&lt;&gt;"Error"),"",A6364&amp;CELL("address",INDIRECT(B6364))),"")</f>
        <v/>
      </c>
      <c r="I6364" s="16" t="str">
        <f t="shared" ref="I6364:I6377" ca="1" si="712">IFERROR(IF(NOT(D6364),"",A6364&amp;CELL("address",INDIRECT(C6364))),"")</f>
        <v/>
      </c>
      <c r="J6364" s="17" t="str">
        <f t="shared" ref="J6364:J6377" ca="1" si="713">IFERROR(IF(NOT(D6364),"",A6364),"")</f>
        <v/>
      </c>
    </row>
    <row r="6365" spans="1:10" x14ac:dyDescent="0.25">
      <c r="A6365" t="s">
        <v>933</v>
      </c>
      <c r="B6365" t="str">
        <f>ADDRESS(ROW('Loan 1'!$C$34),COLUMN('Loan 1'!$C$34),4)</f>
        <v>C34</v>
      </c>
      <c r="C6365" t="str">
        <f>ADDRESS(ROW('Loan 1'!$D$34),COLUMN('Loan 1'!$D$34),4)</f>
        <v>D34</v>
      </c>
      <c r="D6365" t="b" cm="1">
        <f t="array" aca="1" ref="D6365" ca="1">IF(INDIRECT("'"&amp;A6365&amp;"'!"&amp;B6365)="",FALSE,IF(INDIRECT("'"&amp;A6365&amp;"'!"&amp;B6365)+INDIRECT("'"&amp;A6365&amp;"'!B$34")&gt;INDIRECT("'"&amp;A6365&amp;"'!$B$15"),TRUE,FALSE))</f>
        <v>0</v>
      </c>
      <c r="E6365" t="s">
        <v>930</v>
      </c>
      <c r="F6365" t="str">
        <f>INDEX(Lists!I:I,MATCH(Validation!E6365,Lists!G:G,0))</f>
        <v>Alert</v>
      </c>
      <c r="G6365" t="str">
        <f>INDEX(Lists!H:H,MATCH(Validation!E6365,Lists!G:G,0))</f>
        <v>Draw exceeds resolution amount! Submit form but explain in comments box and remedy.</v>
      </c>
      <c r="H6365" s="16" t="str">
        <f t="shared" ca="1" si="711"/>
        <v/>
      </c>
      <c r="I6365" s="16" t="str">
        <f t="shared" ca="1" si="712"/>
        <v/>
      </c>
      <c r="J6365" s="17" t="str">
        <f t="shared" ca="1" si="713"/>
        <v/>
      </c>
    </row>
    <row r="6366" spans="1:10" x14ac:dyDescent="0.25">
      <c r="A6366" t="s">
        <v>934</v>
      </c>
      <c r="B6366" t="str">
        <f>ADDRESS(ROW('Loan 1'!$C$34),COLUMN('Loan 1'!$C$34),4)</f>
        <v>C34</v>
      </c>
      <c r="C6366" t="str">
        <f>ADDRESS(ROW('Loan 1'!$D$34),COLUMN('Loan 1'!$D$34),4)</f>
        <v>D34</v>
      </c>
      <c r="D6366" t="b" cm="1">
        <f t="array" aca="1" ref="D6366" ca="1">IF(INDIRECT("'"&amp;A6366&amp;"'!"&amp;B6366)="",FALSE,IF(INDIRECT("'"&amp;A6366&amp;"'!"&amp;B6366)+INDIRECT("'"&amp;A6366&amp;"'!B$34")&gt;INDIRECT("'"&amp;A6366&amp;"'!$B$15"),TRUE,FALSE))</f>
        <v>0</v>
      </c>
      <c r="E6366" t="s">
        <v>930</v>
      </c>
      <c r="F6366" t="str">
        <f>INDEX(Lists!I:I,MATCH(Validation!E6366,Lists!G:G,0))</f>
        <v>Alert</v>
      </c>
      <c r="G6366" t="str">
        <f>INDEX(Lists!H:H,MATCH(Validation!E6366,Lists!G:G,0))</f>
        <v>Draw exceeds resolution amount! Submit form but explain in comments box and remedy.</v>
      </c>
      <c r="H6366" s="16" t="str">
        <f t="shared" ca="1" si="711"/>
        <v/>
      </c>
      <c r="I6366" s="16" t="str">
        <f t="shared" ca="1" si="712"/>
        <v/>
      </c>
      <c r="J6366" s="17" t="str">
        <f t="shared" ca="1" si="713"/>
        <v/>
      </c>
    </row>
    <row r="6367" spans="1:10" x14ac:dyDescent="0.25">
      <c r="A6367" t="s">
        <v>935</v>
      </c>
      <c r="B6367" t="str">
        <f>ADDRESS(ROW('Loan 1'!$C$34),COLUMN('Loan 1'!$C$34),4)</f>
        <v>C34</v>
      </c>
      <c r="C6367" t="str">
        <f>ADDRESS(ROW('Loan 1'!$D$34),COLUMN('Loan 1'!$D$34),4)</f>
        <v>D34</v>
      </c>
      <c r="D6367" t="b" cm="1">
        <f t="array" aca="1" ref="D6367" ca="1">IF(INDIRECT("'"&amp;A6367&amp;"'!"&amp;B6367)="",FALSE,IF(INDIRECT("'"&amp;A6367&amp;"'!"&amp;B6367)+INDIRECT("'"&amp;A6367&amp;"'!B$34")&gt;INDIRECT("'"&amp;A6367&amp;"'!$B$15"),TRUE,FALSE))</f>
        <v>0</v>
      </c>
      <c r="E6367" t="s">
        <v>930</v>
      </c>
      <c r="F6367" t="str">
        <f>INDEX(Lists!I:I,MATCH(Validation!E6367,Lists!G:G,0))</f>
        <v>Alert</v>
      </c>
      <c r="G6367" t="str">
        <f>INDEX(Lists!H:H,MATCH(Validation!E6367,Lists!G:G,0))</f>
        <v>Draw exceeds resolution amount! Submit form but explain in comments box and remedy.</v>
      </c>
      <c r="H6367" s="16" t="str">
        <f t="shared" ca="1" si="711"/>
        <v/>
      </c>
      <c r="I6367" s="16" t="str">
        <f t="shared" ca="1" si="712"/>
        <v/>
      </c>
      <c r="J6367" s="17" t="str">
        <f t="shared" ca="1" si="713"/>
        <v/>
      </c>
    </row>
    <row r="6368" spans="1:10" x14ac:dyDescent="0.25">
      <c r="A6368" t="s">
        <v>936</v>
      </c>
      <c r="B6368" t="str">
        <f>ADDRESS(ROW('Loan 1'!$C$34),COLUMN('Loan 1'!$C$34),4)</f>
        <v>C34</v>
      </c>
      <c r="C6368" t="str">
        <f>ADDRESS(ROW('Loan 1'!$D$34),COLUMN('Loan 1'!$D$34),4)</f>
        <v>D34</v>
      </c>
      <c r="D6368" t="b" cm="1">
        <f t="array" aca="1" ref="D6368" ca="1">IF(INDIRECT("'"&amp;A6368&amp;"'!"&amp;B6368)="",FALSE,IF(INDIRECT("'"&amp;A6368&amp;"'!"&amp;B6368)+INDIRECT("'"&amp;A6368&amp;"'!B$34")&gt;INDIRECT("'"&amp;A6368&amp;"'!$B$15"),TRUE,FALSE))</f>
        <v>0</v>
      </c>
      <c r="E6368" t="s">
        <v>930</v>
      </c>
      <c r="F6368" t="str">
        <f>INDEX(Lists!I:I,MATCH(Validation!E6368,Lists!G:G,0))</f>
        <v>Alert</v>
      </c>
      <c r="G6368" t="str">
        <f>INDEX(Lists!H:H,MATCH(Validation!E6368,Lists!G:G,0))</f>
        <v>Draw exceeds resolution amount! Submit form but explain in comments box and remedy.</v>
      </c>
      <c r="H6368" s="16" t="str">
        <f t="shared" ca="1" si="711"/>
        <v/>
      </c>
      <c r="I6368" s="16" t="str">
        <f t="shared" ca="1" si="712"/>
        <v/>
      </c>
      <c r="J6368" s="17" t="str">
        <f t="shared" ca="1" si="713"/>
        <v/>
      </c>
    </row>
    <row r="6369" spans="1:10" x14ac:dyDescent="0.25">
      <c r="A6369" t="s">
        <v>937</v>
      </c>
      <c r="B6369" t="str">
        <f>ADDRESS(ROW('Loan 1'!$C$34),COLUMN('Loan 1'!$C$34),4)</f>
        <v>C34</v>
      </c>
      <c r="C6369" t="str">
        <f>ADDRESS(ROW('Loan 1'!$D$34),COLUMN('Loan 1'!$D$34),4)</f>
        <v>D34</v>
      </c>
      <c r="D6369" t="b" cm="1">
        <f t="array" aca="1" ref="D6369" ca="1">IF(INDIRECT("'"&amp;A6369&amp;"'!"&amp;B6369)="",FALSE,IF(INDIRECT("'"&amp;A6369&amp;"'!"&amp;B6369)+INDIRECT("'"&amp;A6369&amp;"'!B$34")&gt;INDIRECT("'"&amp;A6369&amp;"'!$B$15"),TRUE,FALSE))</f>
        <v>0</v>
      </c>
      <c r="E6369" t="s">
        <v>930</v>
      </c>
      <c r="F6369" t="str">
        <f>INDEX(Lists!I:I,MATCH(Validation!E6369,Lists!G:G,0))</f>
        <v>Alert</v>
      </c>
      <c r="G6369" t="str">
        <f>INDEX(Lists!H:H,MATCH(Validation!E6369,Lists!G:G,0))</f>
        <v>Draw exceeds resolution amount! Submit form but explain in comments box and remedy.</v>
      </c>
      <c r="H6369" s="16" t="str">
        <f t="shared" ca="1" si="711"/>
        <v/>
      </c>
      <c r="I6369" s="16" t="str">
        <f t="shared" ca="1" si="712"/>
        <v/>
      </c>
      <c r="J6369" s="17" t="str">
        <f t="shared" ca="1" si="713"/>
        <v/>
      </c>
    </row>
    <row r="6370" spans="1:10" x14ac:dyDescent="0.25">
      <c r="A6370" t="s">
        <v>938</v>
      </c>
      <c r="B6370" t="str">
        <f>ADDRESS(ROW('Loan 1'!$C$34),COLUMN('Loan 1'!$C$34),4)</f>
        <v>C34</v>
      </c>
      <c r="C6370" t="str">
        <f>ADDRESS(ROW('Loan 1'!$D$34),COLUMN('Loan 1'!$D$34),4)</f>
        <v>D34</v>
      </c>
      <c r="D6370" t="b" cm="1">
        <f t="array" aca="1" ref="D6370" ca="1">IF(INDIRECT("'"&amp;A6370&amp;"'!"&amp;B6370)="",FALSE,IF(INDIRECT("'"&amp;A6370&amp;"'!"&amp;B6370)+INDIRECT("'"&amp;A6370&amp;"'!B$34")&gt;INDIRECT("'"&amp;A6370&amp;"'!$B$15"),TRUE,FALSE))</f>
        <v>0</v>
      </c>
      <c r="E6370" t="s">
        <v>930</v>
      </c>
      <c r="F6370" t="str">
        <f>INDEX(Lists!I:I,MATCH(Validation!E6370,Lists!G:G,0))</f>
        <v>Alert</v>
      </c>
      <c r="G6370" t="str">
        <f>INDEX(Lists!H:H,MATCH(Validation!E6370,Lists!G:G,0))</f>
        <v>Draw exceeds resolution amount! Submit form but explain in comments box and remedy.</v>
      </c>
      <c r="H6370" s="16" t="str">
        <f t="shared" ca="1" si="711"/>
        <v/>
      </c>
      <c r="I6370" s="16" t="str">
        <f t="shared" ca="1" si="712"/>
        <v/>
      </c>
      <c r="J6370" s="17" t="str">
        <f t="shared" ca="1" si="713"/>
        <v/>
      </c>
    </row>
    <row r="6371" spans="1:10" x14ac:dyDescent="0.25">
      <c r="A6371" t="s">
        <v>939</v>
      </c>
      <c r="B6371" t="str">
        <f>ADDRESS(ROW('Loan 1'!$C$34),COLUMN('Loan 1'!$C$34),4)</f>
        <v>C34</v>
      </c>
      <c r="C6371" t="str">
        <f>ADDRESS(ROW('Loan 1'!$D$34),COLUMN('Loan 1'!$D$34),4)</f>
        <v>D34</v>
      </c>
      <c r="D6371" t="b" cm="1">
        <f t="array" aca="1" ref="D6371" ca="1">IF(INDIRECT("'"&amp;A6371&amp;"'!"&amp;B6371)="",FALSE,IF(INDIRECT("'"&amp;A6371&amp;"'!"&amp;B6371)+INDIRECT("'"&amp;A6371&amp;"'!B$34")&gt;INDIRECT("'"&amp;A6371&amp;"'!$B$15"),TRUE,FALSE))</f>
        <v>0</v>
      </c>
      <c r="E6371" t="s">
        <v>930</v>
      </c>
      <c r="F6371" t="str">
        <f>INDEX(Lists!I:I,MATCH(Validation!E6371,Lists!G:G,0))</f>
        <v>Alert</v>
      </c>
      <c r="G6371" t="str">
        <f>INDEX(Lists!H:H,MATCH(Validation!E6371,Lists!G:G,0))</f>
        <v>Draw exceeds resolution amount! Submit form but explain in comments box and remedy.</v>
      </c>
      <c r="H6371" s="16" t="str">
        <f t="shared" ca="1" si="711"/>
        <v/>
      </c>
      <c r="I6371" s="16" t="str">
        <f t="shared" ca="1" si="712"/>
        <v/>
      </c>
      <c r="J6371" s="17" t="str">
        <f t="shared" ca="1" si="713"/>
        <v/>
      </c>
    </row>
    <row r="6372" spans="1:10" x14ac:dyDescent="0.25">
      <c r="A6372" t="s">
        <v>940</v>
      </c>
      <c r="B6372" t="str">
        <f>ADDRESS(ROW('Loan 1'!$C$34),COLUMN('Loan 1'!$C$34),4)</f>
        <v>C34</v>
      </c>
      <c r="C6372" t="str">
        <f>ADDRESS(ROW('Loan 1'!$D$34),COLUMN('Loan 1'!$D$34),4)</f>
        <v>D34</v>
      </c>
      <c r="D6372" t="b" cm="1">
        <f t="array" aca="1" ref="D6372" ca="1">IF(INDIRECT("'"&amp;A6372&amp;"'!"&amp;B6372)="",FALSE,IF(INDIRECT("'"&amp;A6372&amp;"'!"&amp;B6372)+INDIRECT("'"&amp;A6372&amp;"'!B$34")&gt;INDIRECT("'"&amp;A6372&amp;"'!$B$15"),TRUE,FALSE))</f>
        <v>0</v>
      </c>
      <c r="E6372" t="s">
        <v>930</v>
      </c>
      <c r="F6372" t="str">
        <f>INDEX(Lists!I:I,MATCH(Validation!E6372,Lists!G:G,0))</f>
        <v>Alert</v>
      </c>
      <c r="G6372" t="str">
        <f>INDEX(Lists!H:H,MATCH(Validation!E6372,Lists!G:G,0))</f>
        <v>Draw exceeds resolution amount! Submit form but explain in comments box and remedy.</v>
      </c>
      <c r="H6372" s="16" t="str">
        <f t="shared" ca="1" si="711"/>
        <v/>
      </c>
      <c r="I6372" s="16" t="str">
        <f t="shared" ca="1" si="712"/>
        <v/>
      </c>
      <c r="J6372" s="17" t="str">
        <f t="shared" ca="1" si="713"/>
        <v/>
      </c>
    </row>
    <row r="6373" spans="1:10" x14ac:dyDescent="0.25">
      <c r="A6373" t="s">
        <v>941</v>
      </c>
      <c r="B6373" t="str">
        <f>ADDRESS(ROW('Loan 1'!$C$34),COLUMN('Loan 1'!$C$34),4)</f>
        <v>C34</v>
      </c>
      <c r="C6373" t="str">
        <f>ADDRESS(ROW('Loan 1'!$D$34),COLUMN('Loan 1'!$D$34),4)</f>
        <v>D34</v>
      </c>
      <c r="D6373" t="b" cm="1">
        <f t="array" aca="1" ref="D6373" ca="1">IF(INDIRECT("'"&amp;A6373&amp;"'!"&amp;B6373)="",FALSE,IF(INDIRECT("'"&amp;A6373&amp;"'!"&amp;B6373)+INDIRECT("'"&amp;A6373&amp;"'!B$34")&gt;INDIRECT("'"&amp;A6373&amp;"'!$B$15"),TRUE,FALSE))</f>
        <v>0</v>
      </c>
      <c r="E6373" t="s">
        <v>930</v>
      </c>
      <c r="F6373" t="str">
        <f>INDEX(Lists!I:I,MATCH(Validation!E6373,Lists!G:G,0))</f>
        <v>Alert</v>
      </c>
      <c r="G6373" t="str">
        <f>INDEX(Lists!H:H,MATCH(Validation!E6373,Lists!G:G,0))</f>
        <v>Draw exceeds resolution amount! Submit form but explain in comments box and remedy.</v>
      </c>
      <c r="H6373" s="16" t="str">
        <f t="shared" ca="1" si="711"/>
        <v/>
      </c>
      <c r="I6373" s="16" t="str">
        <f t="shared" ca="1" si="712"/>
        <v/>
      </c>
      <c r="J6373" s="17" t="str">
        <f t="shared" ca="1" si="713"/>
        <v/>
      </c>
    </row>
    <row r="6374" spans="1:10" x14ac:dyDescent="0.25">
      <c r="A6374" t="s">
        <v>942</v>
      </c>
      <c r="B6374" t="str">
        <f>ADDRESS(ROW('Loan 1'!$C$34),COLUMN('Loan 1'!$C$34),4)</f>
        <v>C34</v>
      </c>
      <c r="C6374" t="str">
        <f>ADDRESS(ROW('Loan 1'!$D$34),COLUMN('Loan 1'!$D$34),4)</f>
        <v>D34</v>
      </c>
      <c r="D6374" t="b" cm="1">
        <f t="array" aca="1" ref="D6374" ca="1">IF(INDIRECT("'"&amp;A6374&amp;"'!"&amp;B6374)="",FALSE,IF(INDIRECT("'"&amp;A6374&amp;"'!"&amp;B6374)+INDIRECT("'"&amp;A6374&amp;"'!B$34")&gt;INDIRECT("'"&amp;A6374&amp;"'!$B$15"),TRUE,FALSE))</f>
        <v>0</v>
      </c>
      <c r="E6374" t="s">
        <v>930</v>
      </c>
      <c r="F6374" t="str">
        <f>INDEX(Lists!I:I,MATCH(Validation!E6374,Lists!G:G,0))</f>
        <v>Alert</v>
      </c>
      <c r="G6374" t="str">
        <f>INDEX(Lists!H:H,MATCH(Validation!E6374,Lists!G:G,0))</f>
        <v>Draw exceeds resolution amount! Submit form but explain in comments box and remedy.</v>
      </c>
      <c r="H6374" s="16" t="str">
        <f t="shared" ca="1" si="711"/>
        <v/>
      </c>
      <c r="I6374" s="16" t="str">
        <f t="shared" ca="1" si="712"/>
        <v/>
      </c>
      <c r="J6374" s="17" t="str">
        <f t="shared" ca="1" si="713"/>
        <v/>
      </c>
    </row>
    <row r="6375" spans="1:10" x14ac:dyDescent="0.25">
      <c r="A6375" t="s">
        <v>943</v>
      </c>
      <c r="B6375" t="str">
        <f>ADDRESS(ROW('Loan 1'!$C$34),COLUMN('Loan 1'!$C$34),4)</f>
        <v>C34</v>
      </c>
      <c r="C6375" t="str">
        <f>ADDRESS(ROW('Loan 1'!$D$34),COLUMN('Loan 1'!$D$34),4)</f>
        <v>D34</v>
      </c>
      <c r="D6375" t="b" cm="1">
        <f t="array" aca="1" ref="D6375" ca="1">IF(INDIRECT("'"&amp;A6375&amp;"'!"&amp;B6375)="",FALSE,IF(INDIRECT("'"&amp;A6375&amp;"'!"&amp;B6375)+INDIRECT("'"&amp;A6375&amp;"'!B$34")&gt;INDIRECT("'"&amp;A6375&amp;"'!$B$15"),TRUE,FALSE))</f>
        <v>0</v>
      </c>
      <c r="E6375" t="s">
        <v>930</v>
      </c>
      <c r="F6375" t="str">
        <f>INDEX(Lists!I:I,MATCH(Validation!E6375,Lists!G:G,0))</f>
        <v>Alert</v>
      </c>
      <c r="G6375" t="str">
        <f>INDEX(Lists!H:H,MATCH(Validation!E6375,Lists!G:G,0))</f>
        <v>Draw exceeds resolution amount! Submit form but explain in comments box and remedy.</v>
      </c>
      <c r="H6375" s="16" t="str">
        <f t="shared" ca="1" si="711"/>
        <v/>
      </c>
      <c r="I6375" s="16" t="str">
        <f t="shared" ca="1" si="712"/>
        <v/>
      </c>
      <c r="J6375" s="17" t="str">
        <f t="shared" ca="1" si="713"/>
        <v/>
      </c>
    </row>
    <row r="6376" spans="1:10" x14ac:dyDescent="0.25">
      <c r="A6376" t="s">
        <v>944</v>
      </c>
      <c r="B6376" t="str">
        <f>ADDRESS(ROW('Loan 1'!$C$34),COLUMN('Loan 1'!$C$34),4)</f>
        <v>C34</v>
      </c>
      <c r="C6376" t="str">
        <f>ADDRESS(ROW('Loan 1'!$D$34),COLUMN('Loan 1'!$D$34),4)</f>
        <v>D34</v>
      </c>
      <c r="D6376" t="b" cm="1">
        <f t="array" aca="1" ref="D6376" ca="1">IF(INDIRECT("'"&amp;A6376&amp;"'!"&amp;B6376)="",FALSE,IF(INDIRECT("'"&amp;A6376&amp;"'!"&amp;B6376)+INDIRECT("'"&amp;A6376&amp;"'!B$34")&gt;INDIRECT("'"&amp;A6376&amp;"'!$B$15"),TRUE,FALSE))</f>
        <v>0</v>
      </c>
      <c r="E6376" t="s">
        <v>930</v>
      </c>
      <c r="F6376" t="str">
        <f>INDEX(Lists!I:I,MATCH(Validation!E6376,Lists!G:G,0))</f>
        <v>Alert</v>
      </c>
      <c r="G6376" t="str">
        <f>INDEX(Lists!H:H,MATCH(Validation!E6376,Lists!G:G,0))</f>
        <v>Draw exceeds resolution amount! Submit form but explain in comments box and remedy.</v>
      </c>
      <c r="H6376" s="16" t="str">
        <f t="shared" ca="1" si="711"/>
        <v/>
      </c>
      <c r="I6376" s="16" t="str">
        <f t="shared" ca="1" si="712"/>
        <v/>
      </c>
      <c r="J6376" s="17" t="str">
        <f t="shared" ca="1" si="713"/>
        <v/>
      </c>
    </row>
    <row r="6377" spans="1:10" x14ac:dyDescent="0.25">
      <c r="A6377" t="s">
        <v>945</v>
      </c>
      <c r="B6377" t="str">
        <f>ADDRESS(ROW('Loan 1'!$C$34),COLUMN('Loan 1'!$C$34),4)</f>
        <v>C34</v>
      </c>
      <c r="C6377" t="str">
        <f>ADDRESS(ROW('Loan 1'!$D$34),COLUMN('Loan 1'!$D$34),4)</f>
        <v>D34</v>
      </c>
      <c r="D6377" t="b" cm="1">
        <f t="array" aca="1" ref="D6377" ca="1">IF(INDIRECT("'"&amp;A6377&amp;"'!"&amp;B6377)="",FALSE,IF(INDIRECT("'"&amp;A6377&amp;"'!"&amp;B6377)+INDIRECT("'"&amp;A6377&amp;"'!B$34")&gt;INDIRECT("'"&amp;A6377&amp;"'!$B$15"),TRUE,FALSE))</f>
        <v>0</v>
      </c>
      <c r="E6377" t="s">
        <v>930</v>
      </c>
      <c r="F6377" t="str">
        <f>INDEX(Lists!I:I,MATCH(Validation!E6377,Lists!G:G,0))</f>
        <v>Alert</v>
      </c>
      <c r="G6377" t="str">
        <f>INDEX(Lists!H:H,MATCH(Validation!E6377,Lists!G:G,0))</f>
        <v>Draw exceeds resolution amount! Submit form but explain in comments box and remedy.</v>
      </c>
      <c r="H6377" s="16" t="str">
        <f t="shared" ca="1" si="711"/>
        <v/>
      </c>
      <c r="I6377" s="16" t="str">
        <f t="shared" ca="1" si="712"/>
        <v/>
      </c>
      <c r="J6377" s="17" t="str">
        <f t="shared" ca="1" si="713"/>
        <v/>
      </c>
    </row>
    <row r="6378" spans="1:10" x14ac:dyDescent="0.25">
      <c r="A6378" t="s">
        <v>205</v>
      </c>
      <c r="B6378" t="str">
        <f>ADDRESS(ROW('Loan 1'!$B$35),COLUMN('Loan 1'!$B$35),4)</f>
        <v>B35</v>
      </c>
      <c r="C6378" t="str">
        <f>ADDRESS(ROW('Loan 1'!$D$35),COLUMN('Loan 1'!$D$35),4)</f>
        <v>D35</v>
      </c>
      <c r="D6378" t="b" cm="1">
        <f t="array" aca="1" ref="D6378" ca="1">IF(INDIRECT("'"&amp;A6378&amp;"'!"&amp;B6378)="",FALSE,IF(NOT(ISNUMBER(INDIRECT("'"&amp;A6378&amp;"'!"&amp;B6378))),TRUE,FALSE))</f>
        <v>0</v>
      </c>
      <c r="E6378" t="s">
        <v>435</v>
      </c>
      <c r="F6378" t="str">
        <f>INDEX(Lists!I:I,MATCH(Validation!E6378,Lists!G:G,0))</f>
        <v>Error</v>
      </c>
      <c r="G6378" t="str">
        <f>INDEX(Lists!H:H,MATCH(Validation!E6378,Lists!G:G,0))</f>
        <v>Enter an amount only. Do not enter text or spaces.</v>
      </c>
      <c r="H6378" s="16" t="str">
        <f t="shared" ca="1" si="705"/>
        <v/>
      </c>
      <c r="I6378" s="16" t="str">
        <f t="shared" ca="1" si="706"/>
        <v/>
      </c>
      <c r="J6378" s="17" t="str">
        <f t="shared" ca="1" si="707"/>
        <v/>
      </c>
    </row>
    <row r="6379" spans="1:10" x14ac:dyDescent="0.25">
      <c r="A6379" t="s">
        <v>932</v>
      </c>
      <c r="B6379" t="str">
        <f>ADDRESS(ROW('Loan 1'!$B$35),COLUMN('Loan 1'!$B$35),4)</f>
        <v>B35</v>
      </c>
      <c r="C6379" t="str">
        <f>ADDRESS(ROW('Loan 1'!$D$35),COLUMN('Loan 1'!$D$35),4)</f>
        <v>D35</v>
      </c>
      <c r="D6379" t="b" cm="1">
        <f t="array" aca="1" ref="D6379" ca="1">IF(INDIRECT("'"&amp;A6379&amp;"'!"&amp;B6379)="",FALSE,IF(NOT(ISNUMBER(INDIRECT("'"&amp;A6379&amp;"'!"&amp;B6379))),TRUE,FALSE))</f>
        <v>0</v>
      </c>
      <c r="E6379" t="s">
        <v>435</v>
      </c>
      <c r="F6379" t="str">
        <f>INDEX(Lists!I:I,MATCH(Validation!E6379,Lists!G:G,0))</f>
        <v>Error</v>
      </c>
      <c r="G6379" t="str">
        <f>INDEX(Lists!H:H,MATCH(Validation!E6379,Lists!G:G,0))</f>
        <v>Enter an amount only. Do not enter text or spaces.</v>
      </c>
      <c r="H6379" s="16" t="str">
        <f t="shared" ca="1" si="705"/>
        <v/>
      </c>
      <c r="I6379" s="16" t="str">
        <f t="shared" ca="1" si="706"/>
        <v/>
      </c>
      <c r="J6379" s="17" t="str">
        <f t="shared" ca="1" si="707"/>
        <v/>
      </c>
    </row>
    <row r="6380" spans="1:10" x14ac:dyDescent="0.25">
      <c r="A6380" t="s">
        <v>933</v>
      </c>
      <c r="B6380" t="str">
        <f>ADDRESS(ROW('Loan 1'!$B$35),COLUMN('Loan 1'!$B$35),4)</f>
        <v>B35</v>
      </c>
      <c r="C6380" t="str">
        <f>ADDRESS(ROW('Loan 1'!$D$35),COLUMN('Loan 1'!$D$35),4)</f>
        <v>D35</v>
      </c>
      <c r="D6380" t="b" cm="1">
        <f t="array" aca="1" ref="D6380" ca="1">IF(INDIRECT("'"&amp;A6380&amp;"'!"&amp;B6380)="",FALSE,IF(NOT(ISNUMBER(INDIRECT("'"&amp;A6380&amp;"'!"&amp;B6380))),TRUE,FALSE))</f>
        <v>0</v>
      </c>
      <c r="E6380" t="s">
        <v>435</v>
      </c>
      <c r="F6380" t="str">
        <f>INDEX(Lists!I:I,MATCH(Validation!E6380,Lists!G:G,0))</f>
        <v>Error</v>
      </c>
      <c r="G6380" t="str">
        <f>INDEX(Lists!H:H,MATCH(Validation!E6380,Lists!G:G,0))</f>
        <v>Enter an amount only. Do not enter text or spaces.</v>
      </c>
      <c r="H6380" s="16" t="str">
        <f t="shared" ca="1" si="705"/>
        <v/>
      </c>
      <c r="I6380" s="16" t="str">
        <f t="shared" ca="1" si="706"/>
        <v/>
      </c>
      <c r="J6380" s="17" t="str">
        <f t="shared" ca="1" si="707"/>
        <v/>
      </c>
    </row>
    <row r="6381" spans="1:10" x14ac:dyDescent="0.25">
      <c r="A6381" t="s">
        <v>934</v>
      </c>
      <c r="B6381" t="str">
        <f>ADDRESS(ROW('Loan 1'!$B$35),COLUMN('Loan 1'!$B$35),4)</f>
        <v>B35</v>
      </c>
      <c r="C6381" t="str">
        <f>ADDRESS(ROW('Loan 1'!$D$35),COLUMN('Loan 1'!$D$35),4)</f>
        <v>D35</v>
      </c>
      <c r="D6381" t="b" cm="1">
        <f t="array" aca="1" ref="D6381" ca="1">IF(INDIRECT("'"&amp;A6381&amp;"'!"&amp;B6381)="",FALSE,IF(NOT(ISNUMBER(INDIRECT("'"&amp;A6381&amp;"'!"&amp;B6381))),TRUE,FALSE))</f>
        <v>0</v>
      </c>
      <c r="E6381" t="s">
        <v>435</v>
      </c>
      <c r="F6381" t="str">
        <f>INDEX(Lists!I:I,MATCH(Validation!E6381,Lists!G:G,0))</f>
        <v>Error</v>
      </c>
      <c r="G6381" t="str">
        <f>INDEX(Lists!H:H,MATCH(Validation!E6381,Lists!G:G,0))</f>
        <v>Enter an amount only. Do not enter text or spaces.</v>
      </c>
      <c r="H6381" s="16" t="str">
        <f t="shared" ca="1" si="705"/>
        <v/>
      </c>
      <c r="I6381" s="16" t="str">
        <f t="shared" ca="1" si="706"/>
        <v/>
      </c>
      <c r="J6381" s="17" t="str">
        <f t="shared" ca="1" si="707"/>
        <v/>
      </c>
    </row>
    <row r="6382" spans="1:10" x14ac:dyDescent="0.25">
      <c r="A6382" t="s">
        <v>935</v>
      </c>
      <c r="B6382" t="str">
        <f>ADDRESS(ROW('Loan 1'!$B$35),COLUMN('Loan 1'!$B$35),4)</f>
        <v>B35</v>
      </c>
      <c r="C6382" t="str">
        <f>ADDRESS(ROW('Loan 1'!$D$35),COLUMN('Loan 1'!$D$35),4)</f>
        <v>D35</v>
      </c>
      <c r="D6382" t="b" cm="1">
        <f t="array" aca="1" ref="D6382" ca="1">IF(INDIRECT("'"&amp;A6382&amp;"'!"&amp;B6382)="",FALSE,IF(NOT(ISNUMBER(INDIRECT("'"&amp;A6382&amp;"'!"&amp;B6382))),TRUE,FALSE))</f>
        <v>0</v>
      </c>
      <c r="E6382" t="s">
        <v>435</v>
      </c>
      <c r="F6382" t="str">
        <f>INDEX(Lists!I:I,MATCH(Validation!E6382,Lists!G:G,0))</f>
        <v>Error</v>
      </c>
      <c r="G6382" t="str">
        <f>INDEX(Lists!H:H,MATCH(Validation!E6382,Lists!G:G,0))</f>
        <v>Enter an amount only. Do not enter text or spaces.</v>
      </c>
      <c r="H6382" s="16" t="str">
        <f t="shared" ca="1" si="705"/>
        <v/>
      </c>
      <c r="I6382" s="16" t="str">
        <f t="shared" ca="1" si="706"/>
        <v/>
      </c>
      <c r="J6382" s="17" t="str">
        <f t="shared" ca="1" si="707"/>
        <v/>
      </c>
    </row>
    <row r="6383" spans="1:10" x14ac:dyDescent="0.25">
      <c r="A6383" t="s">
        <v>936</v>
      </c>
      <c r="B6383" t="str">
        <f>ADDRESS(ROW('Loan 1'!$B$35),COLUMN('Loan 1'!$B$35),4)</f>
        <v>B35</v>
      </c>
      <c r="C6383" t="str">
        <f>ADDRESS(ROW('Loan 1'!$D$35),COLUMN('Loan 1'!$D$35),4)</f>
        <v>D35</v>
      </c>
      <c r="D6383" t="b" cm="1">
        <f t="array" aca="1" ref="D6383" ca="1">IF(INDIRECT("'"&amp;A6383&amp;"'!"&amp;B6383)="",FALSE,IF(NOT(ISNUMBER(INDIRECT("'"&amp;A6383&amp;"'!"&amp;B6383))),TRUE,FALSE))</f>
        <v>0</v>
      </c>
      <c r="E6383" t="s">
        <v>435</v>
      </c>
      <c r="F6383" t="str">
        <f>INDEX(Lists!I:I,MATCH(Validation!E6383,Lists!G:G,0))</f>
        <v>Error</v>
      </c>
      <c r="G6383" t="str">
        <f>INDEX(Lists!H:H,MATCH(Validation!E6383,Lists!G:G,0))</f>
        <v>Enter an amount only. Do not enter text or spaces.</v>
      </c>
      <c r="H6383" s="16" t="str">
        <f t="shared" ca="1" si="705"/>
        <v/>
      </c>
      <c r="I6383" s="16" t="str">
        <f t="shared" ca="1" si="706"/>
        <v/>
      </c>
      <c r="J6383" s="17" t="str">
        <f t="shared" ca="1" si="707"/>
        <v/>
      </c>
    </row>
    <row r="6384" spans="1:10" x14ac:dyDescent="0.25">
      <c r="A6384" t="s">
        <v>937</v>
      </c>
      <c r="B6384" t="str">
        <f>ADDRESS(ROW('Loan 1'!$B$35),COLUMN('Loan 1'!$B$35),4)</f>
        <v>B35</v>
      </c>
      <c r="C6384" t="str">
        <f>ADDRESS(ROW('Loan 1'!$D$35),COLUMN('Loan 1'!$D$35),4)</f>
        <v>D35</v>
      </c>
      <c r="D6384" t="b" cm="1">
        <f t="array" aca="1" ref="D6384" ca="1">IF(INDIRECT("'"&amp;A6384&amp;"'!"&amp;B6384)="",FALSE,IF(NOT(ISNUMBER(INDIRECT("'"&amp;A6384&amp;"'!"&amp;B6384))),TRUE,FALSE))</f>
        <v>0</v>
      </c>
      <c r="E6384" t="s">
        <v>435</v>
      </c>
      <c r="F6384" t="str">
        <f>INDEX(Lists!I:I,MATCH(Validation!E6384,Lists!G:G,0))</f>
        <v>Error</v>
      </c>
      <c r="G6384" t="str">
        <f>INDEX(Lists!H:H,MATCH(Validation!E6384,Lists!G:G,0))</f>
        <v>Enter an amount only. Do not enter text or spaces.</v>
      </c>
      <c r="H6384" s="16" t="str">
        <f t="shared" ca="1" si="705"/>
        <v/>
      </c>
      <c r="I6384" s="16" t="str">
        <f t="shared" ca="1" si="706"/>
        <v/>
      </c>
      <c r="J6384" s="17" t="str">
        <f t="shared" ca="1" si="707"/>
        <v/>
      </c>
    </row>
    <row r="6385" spans="1:10" x14ac:dyDescent="0.25">
      <c r="A6385" t="s">
        <v>938</v>
      </c>
      <c r="B6385" t="str">
        <f>ADDRESS(ROW('Loan 1'!$B$35),COLUMN('Loan 1'!$B$35),4)</f>
        <v>B35</v>
      </c>
      <c r="C6385" t="str">
        <f>ADDRESS(ROW('Loan 1'!$D$35),COLUMN('Loan 1'!$D$35),4)</f>
        <v>D35</v>
      </c>
      <c r="D6385" t="b" cm="1">
        <f t="array" aca="1" ref="D6385" ca="1">IF(INDIRECT("'"&amp;A6385&amp;"'!"&amp;B6385)="",FALSE,IF(NOT(ISNUMBER(INDIRECT("'"&amp;A6385&amp;"'!"&amp;B6385))),TRUE,FALSE))</f>
        <v>0</v>
      </c>
      <c r="E6385" t="s">
        <v>435</v>
      </c>
      <c r="F6385" t="str">
        <f>INDEX(Lists!I:I,MATCH(Validation!E6385,Lists!G:G,0))</f>
        <v>Error</v>
      </c>
      <c r="G6385" t="str">
        <f>INDEX(Lists!H:H,MATCH(Validation!E6385,Lists!G:G,0))</f>
        <v>Enter an amount only. Do not enter text or spaces.</v>
      </c>
      <c r="H6385" s="16" t="str">
        <f t="shared" ca="1" si="705"/>
        <v/>
      </c>
      <c r="I6385" s="16" t="str">
        <f t="shared" ca="1" si="706"/>
        <v/>
      </c>
      <c r="J6385" s="17" t="str">
        <f t="shared" ca="1" si="707"/>
        <v/>
      </c>
    </row>
    <row r="6386" spans="1:10" x14ac:dyDescent="0.25">
      <c r="A6386" t="s">
        <v>939</v>
      </c>
      <c r="B6386" t="str">
        <f>ADDRESS(ROW('Loan 1'!$B$35),COLUMN('Loan 1'!$B$35),4)</f>
        <v>B35</v>
      </c>
      <c r="C6386" t="str">
        <f>ADDRESS(ROW('Loan 1'!$D$35),COLUMN('Loan 1'!$D$35),4)</f>
        <v>D35</v>
      </c>
      <c r="D6386" t="b" cm="1">
        <f t="array" aca="1" ref="D6386" ca="1">IF(INDIRECT("'"&amp;A6386&amp;"'!"&amp;B6386)="",FALSE,IF(NOT(ISNUMBER(INDIRECT("'"&amp;A6386&amp;"'!"&amp;B6386))),TRUE,FALSE))</f>
        <v>0</v>
      </c>
      <c r="E6386" t="s">
        <v>435</v>
      </c>
      <c r="F6386" t="str">
        <f>INDEX(Lists!I:I,MATCH(Validation!E6386,Lists!G:G,0))</f>
        <v>Error</v>
      </c>
      <c r="G6386" t="str">
        <f>INDEX(Lists!H:H,MATCH(Validation!E6386,Lists!G:G,0))</f>
        <v>Enter an amount only. Do not enter text or spaces.</v>
      </c>
      <c r="H6386" s="16" t="str">
        <f t="shared" ca="1" si="705"/>
        <v/>
      </c>
      <c r="I6386" s="16" t="str">
        <f t="shared" ca="1" si="706"/>
        <v/>
      </c>
      <c r="J6386" s="17" t="str">
        <f t="shared" ca="1" si="707"/>
        <v/>
      </c>
    </row>
    <row r="6387" spans="1:10" x14ac:dyDescent="0.25">
      <c r="A6387" t="s">
        <v>940</v>
      </c>
      <c r="B6387" t="str">
        <f>ADDRESS(ROW('Loan 1'!$B$35),COLUMN('Loan 1'!$B$35),4)</f>
        <v>B35</v>
      </c>
      <c r="C6387" t="str">
        <f>ADDRESS(ROW('Loan 1'!$D$35),COLUMN('Loan 1'!$D$35),4)</f>
        <v>D35</v>
      </c>
      <c r="D6387" t="b" cm="1">
        <f t="array" aca="1" ref="D6387" ca="1">IF(INDIRECT("'"&amp;A6387&amp;"'!"&amp;B6387)="",FALSE,IF(NOT(ISNUMBER(INDIRECT("'"&amp;A6387&amp;"'!"&amp;B6387))),TRUE,FALSE))</f>
        <v>0</v>
      </c>
      <c r="E6387" t="s">
        <v>435</v>
      </c>
      <c r="F6387" t="str">
        <f>INDEX(Lists!I:I,MATCH(Validation!E6387,Lists!G:G,0))</f>
        <v>Error</v>
      </c>
      <c r="G6387" t="str">
        <f>INDEX(Lists!H:H,MATCH(Validation!E6387,Lists!G:G,0))</f>
        <v>Enter an amount only. Do not enter text or spaces.</v>
      </c>
      <c r="H6387" s="16" t="str">
        <f t="shared" ca="1" si="705"/>
        <v/>
      </c>
      <c r="I6387" s="16" t="str">
        <f t="shared" ca="1" si="706"/>
        <v/>
      </c>
      <c r="J6387" s="17" t="str">
        <f t="shared" ca="1" si="707"/>
        <v/>
      </c>
    </row>
    <row r="6388" spans="1:10" x14ac:dyDescent="0.25">
      <c r="A6388" t="s">
        <v>941</v>
      </c>
      <c r="B6388" t="str">
        <f>ADDRESS(ROW('Loan 1'!$B$35),COLUMN('Loan 1'!$B$35),4)</f>
        <v>B35</v>
      </c>
      <c r="C6388" t="str">
        <f>ADDRESS(ROW('Loan 1'!$D$35),COLUMN('Loan 1'!$D$35),4)</f>
        <v>D35</v>
      </c>
      <c r="D6388" t="b" cm="1">
        <f t="array" aca="1" ref="D6388" ca="1">IF(INDIRECT("'"&amp;A6388&amp;"'!"&amp;B6388)="",FALSE,IF(NOT(ISNUMBER(INDIRECT("'"&amp;A6388&amp;"'!"&amp;B6388))),TRUE,FALSE))</f>
        <v>0</v>
      </c>
      <c r="E6388" t="s">
        <v>435</v>
      </c>
      <c r="F6388" t="str">
        <f>INDEX(Lists!I:I,MATCH(Validation!E6388,Lists!G:G,0))</f>
        <v>Error</v>
      </c>
      <c r="G6388" t="str">
        <f>INDEX(Lists!H:H,MATCH(Validation!E6388,Lists!G:G,0))</f>
        <v>Enter an amount only. Do not enter text or spaces.</v>
      </c>
      <c r="H6388" s="16" t="str">
        <f t="shared" ca="1" si="705"/>
        <v/>
      </c>
      <c r="I6388" s="16" t="str">
        <f t="shared" ca="1" si="706"/>
        <v/>
      </c>
      <c r="J6388" s="17" t="str">
        <f t="shared" ca="1" si="707"/>
        <v/>
      </c>
    </row>
    <row r="6389" spans="1:10" x14ac:dyDescent="0.25">
      <c r="A6389" t="s">
        <v>942</v>
      </c>
      <c r="B6389" t="str">
        <f>ADDRESS(ROW('Loan 1'!$B$35),COLUMN('Loan 1'!$B$35),4)</f>
        <v>B35</v>
      </c>
      <c r="C6389" t="str">
        <f>ADDRESS(ROW('Loan 1'!$D$35),COLUMN('Loan 1'!$D$35),4)</f>
        <v>D35</v>
      </c>
      <c r="D6389" t="b" cm="1">
        <f t="array" aca="1" ref="D6389" ca="1">IF(INDIRECT("'"&amp;A6389&amp;"'!"&amp;B6389)="",FALSE,IF(NOT(ISNUMBER(INDIRECT("'"&amp;A6389&amp;"'!"&amp;B6389))),TRUE,FALSE))</f>
        <v>0</v>
      </c>
      <c r="E6389" t="s">
        <v>435</v>
      </c>
      <c r="F6389" t="str">
        <f>INDEX(Lists!I:I,MATCH(Validation!E6389,Lists!G:G,0))</f>
        <v>Error</v>
      </c>
      <c r="G6389" t="str">
        <f>INDEX(Lists!H:H,MATCH(Validation!E6389,Lists!G:G,0))</f>
        <v>Enter an amount only. Do not enter text or spaces.</v>
      </c>
      <c r="H6389" s="16" t="str">
        <f t="shared" ca="1" si="705"/>
        <v/>
      </c>
      <c r="I6389" s="16" t="str">
        <f t="shared" ca="1" si="706"/>
        <v/>
      </c>
      <c r="J6389" s="17" t="str">
        <f t="shared" ca="1" si="707"/>
        <v/>
      </c>
    </row>
    <row r="6390" spans="1:10" x14ac:dyDescent="0.25">
      <c r="A6390" t="s">
        <v>943</v>
      </c>
      <c r="B6390" t="str">
        <f>ADDRESS(ROW('Loan 1'!$B$35),COLUMN('Loan 1'!$B$35),4)</f>
        <v>B35</v>
      </c>
      <c r="C6390" t="str">
        <f>ADDRESS(ROW('Loan 1'!$D$35),COLUMN('Loan 1'!$D$35),4)</f>
        <v>D35</v>
      </c>
      <c r="D6390" t="b" cm="1">
        <f t="array" aca="1" ref="D6390" ca="1">IF(INDIRECT("'"&amp;A6390&amp;"'!"&amp;B6390)="",FALSE,IF(NOT(ISNUMBER(INDIRECT("'"&amp;A6390&amp;"'!"&amp;B6390))),TRUE,FALSE))</f>
        <v>0</v>
      </c>
      <c r="E6390" t="s">
        <v>435</v>
      </c>
      <c r="F6390" t="str">
        <f>INDEX(Lists!I:I,MATCH(Validation!E6390,Lists!G:G,0))</f>
        <v>Error</v>
      </c>
      <c r="G6390" t="str">
        <f>INDEX(Lists!H:H,MATCH(Validation!E6390,Lists!G:G,0))</f>
        <v>Enter an amount only. Do not enter text or spaces.</v>
      </c>
      <c r="H6390" s="16" t="str">
        <f t="shared" ca="1" si="705"/>
        <v/>
      </c>
      <c r="I6390" s="16" t="str">
        <f t="shared" ca="1" si="706"/>
        <v/>
      </c>
      <c r="J6390" s="17" t="str">
        <f t="shared" ca="1" si="707"/>
        <v/>
      </c>
    </row>
    <row r="6391" spans="1:10" x14ac:dyDescent="0.25">
      <c r="A6391" t="s">
        <v>944</v>
      </c>
      <c r="B6391" t="str">
        <f>ADDRESS(ROW('Loan 1'!$B$35),COLUMN('Loan 1'!$B$35),4)</f>
        <v>B35</v>
      </c>
      <c r="C6391" t="str">
        <f>ADDRESS(ROW('Loan 1'!$D$35),COLUMN('Loan 1'!$D$35),4)</f>
        <v>D35</v>
      </c>
      <c r="D6391" t="b" cm="1">
        <f t="array" aca="1" ref="D6391" ca="1">IF(INDIRECT("'"&amp;A6391&amp;"'!"&amp;B6391)="",FALSE,IF(NOT(ISNUMBER(INDIRECT("'"&amp;A6391&amp;"'!"&amp;B6391))),TRUE,FALSE))</f>
        <v>0</v>
      </c>
      <c r="E6391" t="s">
        <v>435</v>
      </c>
      <c r="F6391" t="str">
        <f>INDEX(Lists!I:I,MATCH(Validation!E6391,Lists!G:G,0))</f>
        <v>Error</v>
      </c>
      <c r="G6391" t="str">
        <f>INDEX(Lists!H:H,MATCH(Validation!E6391,Lists!G:G,0))</f>
        <v>Enter an amount only. Do not enter text or spaces.</v>
      </c>
      <c r="H6391" s="16" t="str">
        <f t="shared" ca="1" si="705"/>
        <v/>
      </c>
      <c r="I6391" s="16" t="str">
        <f t="shared" ca="1" si="706"/>
        <v/>
      </c>
      <c r="J6391" s="17" t="str">
        <f t="shared" ca="1" si="707"/>
        <v/>
      </c>
    </row>
    <row r="6392" spans="1:10" x14ac:dyDescent="0.25">
      <c r="A6392" t="s">
        <v>945</v>
      </c>
      <c r="B6392" t="str">
        <f>ADDRESS(ROW('Loan 1'!$B$35),COLUMN('Loan 1'!$B$35),4)</f>
        <v>B35</v>
      </c>
      <c r="C6392" t="str">
        <f>ADDRESS(ROW('Loan 1'!$D$35),COLUMN('Loan 1'!$D$35),4)</f>
        <v>D35</v>
      </c>
      <c r="D6392" t="b" cm="1">
        <f t="array" aca="1" ref="D6392" ca="1">IF(INDIRECT("'"&amp;A6392&amp;"'!"&amp;B6392)="",FALSE,IF(NOT(ISNUMBER(INDIRECT("'"&amp;A6392&amp;"'!"&amp;B6392))),TRUE,FALSE))</f>
        <v>0</v>
      </c>
      <c r="E6392" t="s">
        <v>435</v>
      </c>
      <c r="F6392" t="str">
        <f>INDEX(Lists!I:I,MATCH(Validation!E6392,Lists!G:G,0))</f>
        <v>Error</v>
      </c>
      <c r="G6392" t="str">
        <f>INDEX(Lists!H:H,MATCH(Validation!E6392,Lists!G:G,0))</f>
        <v>Enter an amount only. Do not enter text or spaces.</v>
      </c>
      <c r="H6392" s="16" t="str">
        <f t="shared" ca="1" si="705"/>
        <v/>
      </c>
      <c r="I6392" s="16" t="str">
        <f t="shared" ca="1" si="706"/>
        <v/>
      </c>
      <c r="J6392" s="17" t="str">
        <f t="shared" ca="1" si="707"/>
        <v/>
      </c>
    </row>
    <row r="6393" spans="1:10" x14ac:dyDescent="0.25">
      <c r="A6393" t="s">
        <v>205</v>
      </c>
      <c r="B6393" t="str">
        <f>ADDRESS(ROW('Loan 1'!$B$35),COLUMN('Loan 1'!$B$35),4)</f>
        <v>B35</v>
      </c>
      <c r="C6393" t="str">
        <f>ADDRESS(ROW('Loan 1'!$D$35),COLUMN('Loan 1'!$D$35),4)</f>
        <v>D35</v>
      </c>
      <c r="D6393" t="b" cm="1">
        <f t="array" aca="1" ref="D6393" ca="1">IF(INDIRECT("'"&amp;A6393&amp;"'!"&amp;B6393)="",FALSE,IF(INDIRECT("'"&amp;A6393&amp;"'!"&amp;B6393)&lt;0,TRUE,FALSE))</f>
        <v>0</v>
      </c>
      <c r="E6393" t="s">
        <v>434</v>
      </c>
      <c r="F6393" t="str">
        <f>INDEX(Lists!I:I,MATCH(Validation!E6393,Lists!G:G,0))</f>
        <v>Error</v>
      </c>
      <c r="G6393" t="str">
        <f>INDEX(Lists!H:H,MATCH(Validation!E6393,Lists!G:G,0))</f>
        <v>Amount may not be negative. Enter an amount greater than or equal to zero.</v>
      </c>
      <c r="H6393" s="16" t="str">
        <f t="shared" ca="1" si="705"/>
        <v/>
      </c>
      <c r="I6393" s="16" t="str">
        <f t="shared" ca="1" si="706"/>
        <v/>
      </c>
      <c r="J6393" s="17" t="str">
        <f t="shared" ca="1" si="707"/>
        <v/>
      </c>
    </row>
    <row r="6394" spans="1:10" x14ac:dyDescent="0.25">
      <c r="A6394" t="s">
        <v>932</v>
      </c>
      <c r="B6394" t="str">
        <f>ADDRESS(ROW('Loan 1'!$B$35),COLUMN('Loan 1'!$B$35),4)</f>
        <v>B35</v>
      </c>
      <c r="C6394" t="str">
        <f>ADDRESS(ROW('Loan 1'!$D$35),COLUMN('Loan 1'!$D$35),4)</f>
        <v>D35</v>
      </c>
      <c r="D6394" t="b" cm="1">
        <f t="array" aca="1" ref="D6394" ca="1">IF(INDIRECT("'"&amp;A6394&amp;"'!"&amp;B6394)="",FALSE,IF(INDIRECT("'"&amp;A6394&amp;"'!"&amp;B6394)&lt;0,TRUE,FALSE))</f>
        <v>0</v>
      </c>
      <c r="E6394" t="s">
        <v>434</v>
      </c>
      <c r="F6394" t="str">
        <f>INDEX(Lists!I:I,MATCH(Validation!E6394,Lists!G:G,0))</f>
        <v>Error</v>
      </c>
      <c r="G6394" t="str">
        <f>INDEX(Lists!H:H,MATCH(Validation!E6394,Lists!G:G,0))</f>
        <v>Amount may not be negative. Enter an amount greater than or equal to zero.</v>
      </c>
      <c r="H6394" s="16" t="str">
        <f t="shared" ref="H6394:H6407" ca="1" si="714">IFERROR(IF(OR(NOT(D6394),F6394&lt;&gt;"Error"),"",A6394&amp;CELL("address",INDIRECT(B6394))),"")</f>
        <v/>
      </c>
      <c r="I6394" s="16" t="str">
        <f t="shared" ref="I6394:I6407" ca="1" si="715">IFERROR(IF(NOT(D6394),"",A6394&amp;CELL("address",INDIRECT(C6394))),"")</f>
        <v/>
      </c>
      <c r="J6394" s="17" t="str">
        <f t="shared" ref="J6394:J6407" ca="1" si="716">IFERROR(IF(NOT(D6394),"",A6394),"")</f>
        <v/>
      </c>
    </row>
    <row r="6395" spans="1:10" x14ac:dyDescent="0.25">
      <c r="A6395" t="s">
        <v>933</v>
      </c>
      <c r="B6395" t="str">
        <f>ADDRESS(ROW('Loan 1'!$B$35),COLUMN('Loan 1'!$B$35),4)</f>
        <v>B35</v>
      </c>
      <c r="C6395" t="str">
        <f>ADDRESS(ROW('Loan 1'!$D$35),COLUMN('Loan 1'!$D$35),4)</f>
        <v>D35</v>
      </c>
      <c r="D6395" t="b" cm="1">
        <f t="array" aca="1" ref="D6395" ca="1">IF(INDIRECT("'"&amp;A6395&amp;"'!"&amp;B6395)="",FALSE,IF(INDIRECT("'"&amp;A6395&amp;"'!"&amp;B6395)&lt;0,TRUE,FALSE))</f>
        <v>0</v>
      </c>
      <c r="E6395" t="s">
        <v>434</v>
      </c>
      <c r="F6395" t="str">
        <f>INDEX(Lists!I:I,MATCH(Validation!E6395,Lists!G:G,0))</f>
        <v>Error</v>
      </c>
      <c r="G6395" t="str">
        <f>INDEX(Lists!H:H,MATCH(Validation!E6395,Lists!G:G,0))</f>
        <v>Amount may not be negative. Enter an amount greater than or equal to zero.</v>
      </c>
      <c r="H6395" s="16" t="str">
        <f t="shared" ca="1" si="714"/>
        <v/>
      </c>
      <c r="I6395" s="16" t="str">
        <f t="shared" ca="1" si="715"/>
        <v/>
      </c>
      <c r="J6395" s="17" t="str">
        <f t="shared" ca="1" si="716"/>
        <v/>
      </c>
    </row>
    <row r="6396" spans="1:10" x14ac:dyDescent="0.25">
      <c r="A6396" t="s">
        <v>934</v>
      </c>
      <c r="B6396" t="str">
        <f>ADDRESS(ROW('Loan 1'!$B$35),COLUMN('Loan 1'!$B$35),4)</f>
        <v>B35</v>
      </c>
      <c r="C6396" t="str">
        <f>ADDRESS(ROW('Loan 1'!$D$35),COLUMN('Loan 1'!$D$35),4)</f>
        <v>D35</v>
      </c>
      <c r="D6396" t="b" cm="1">
        <f t="array" aca="1" ref="D6396" ca="1">IF(INDIRECT("'"&amp;A6396&amp;"'!"&amp;B6396)="",FALSE,IF(INDIRECT("'"&amp;A6396&amp;"'!"&amp;B6396)&lt;0,TRUE,FALSE))</f>
        <v>0</v>
      </c>
      <c r="E6396" t="s">
        <v>434</v>
      </c>
      <c r="F6396" t="str">
        <f>INDEX(Lists!I:I,MATCH(Validation!E6396,Lists!G:G,0))</f>
        <v>Error</v>
      </c>
      <c r="G6396" t="str">
        <f>INDEX(Lists!H:H,MATCH(Validation!E6396,Lists!G:G,0))</f>
        <v>Amount may not be negative. Enter an amount greater than or equal to zero.</v>
      </c>
      <c r="H6396" s="16" t="str">
        <f t="shared" ca="1" si="714"/>
        <v/>
      </c>
      <c r="I6396" s="16" t="str">
        <f t="shared" ca="1" si="715"/>
        <v/>
      </c>
      <c r="J6396" s="17" t="str">
        <f t="shared" ca="1" si="716"/>
        <v/>
      </c>
    </row>
    <row r="6397" spans="1:10" x14ac:dyDescent="0.25">
      <c r="A6397" t="s">
        <v>935</v>
      </c>
      <c r="B6397" t="str">
        <f>ADDRESS(ROW('Loan 1'!$B$35),COLUMN('Loan 1'!$B$35),4)</f>
        <v>B35</v>
      </c>
      <c r="C6397" t="str">
        <f>ADDRESS(ROW('Loan 1'!$D$35),COLUMN('Loan 1'!$D$35),4)</f>
        <v>D35</v>
      </c>
      <c r="D6397" t="b" cm="1">
        <f t="array" aca="1" ref="D6397" ca="1">IF(INDIRECT("'"&amp;A6397&amp;"'!"&amp;B6397)="",FALSE,IF(INDIRECT("'"&amp;A6397&amp;"'!"&amp;B6397)&lt;0,TRUE,FALSE))</f>
        <v>0</v>
      </c>
      <c r="E6397" t="s">
        <v>434</v>
      </c>
      <c r="F6397" t="str">
        <f>INDEX(Lists!I:I,MATCH(Validation!E6397,Lists!G:G,0))</f>
        <v>Error</v>
      </c>
      <c r="G6397" t="str">
        <f>INDEX(Lists!H:H,MATCH(Validation!E6397,Lists!G:G,0))</f>
        <v>Amount may not be negative. Enter an amount greater than or equal to zero.</v>
      </c>
      <c r="H6397" s="16" t="str">
        <f t="shared" ca="1" si="714"/>
        <v/>
      </c>
      <c r="I6397" s="16" t="str">
        <f t="shared" ca="1" si="715"/>
        <v/>
      </c>
      <c r="J6397" s="17" t="str">
        <f t="shared" ca="1" si="716"/>
        <v/>
      </c>
    </row>
    <row r="6398" spans="1:10" x14ac:dyDescent="0.25">
      <c r="A6398" t="s">
        <v>936</v>
      </c>
      <c r="B6398" t="str">
        <f>ADDRESS(ROW('Loan 1'!$B$35),COLUMN('Loan 1'!$B$35),4)</f>
        <v>B35</v>
      </c>
      <c r="C6398" t="str">
        <f>ADDRESS(ROW('Loan 1'!$D$35),COLUMN('Loan 1'!$D$35),4)</f>
        <v>D35</v>
      </c>
      <c r="D6398" t="b" cm="1">
        <f t="array" aca="1" ref="D6398" ca="1">IF(INDIRECT("'"&amp;A6398&amp;"'!"&amp;B6398)="",FALSE,IF(INDIRECT("'"&amp;A6398&amp;"'!"&amp;B6398)&lt;0,TRUE,FALSE))</f>
        <v>0</v>
      </c>
      <c r="E6398" t="s">
        <v>434</v>
      </c>
      <c r="F6398" t="str">
        <f>INDEX(Lists!I:I,MATCH(Validation!E6398,Lists!G:G,0))</f>
        <v>Error</v>
      </c>
      <c r="G6398" t="str">
        <f>INDEX(Lists!H:H,MATCH(Validation!E6398,Lists!G:G,0))</f>
        <v>Amount may not be negative. Enter an amount greater than or equal to zero.</v>
      </c>
      <c r="H6398" s="16" t="str">
        <f t="shared" ca="1" si="714"/>
        <v/>
      </c>
      <c r="I6398" s="16" t="str">
        <f t="shared" ca="1" si="715"/>
        <v/>
      </c>
      <c r="J6398" s="17" t="str">
        <f t="shared" ca="1" si="716"/>
        <v/>
      </c>
    </row>
    <row r="6399" spans="1:10" x14ac:dyDescent="0.25">
      <c r="A6399" t="s">
        <v>937</v>
      </c>
      <c r="B6399" t="str">
        <f>ADDRESS(ROW('Loan 1'!$B$35),COLUMN('Loan 1'!$B$35),4)</f>
        <v>B35</v>
      </c>
      <c r="C6399" t="str">
        <f>ADDRESS(ROW('Loan 1'!$D$35),COLUMN('Loan 1'!$D$35),4)</f>
        <v>D35</v>
      </c>
      <c r="D6399" t="b" cm="1">
        <f t="array" aca="1" ref="D6399" ca="1">IF(INDIRECT("'"&amp;A6399&amp;"'!"&amp;B6399)="",FALSE,IF(INDIRECT("'"&amp;A6399&amp;"'!"&amp;B6399)&lt;0,TRUE,FALSE))</f>
        <v>0</v>
      </c>
      <c r="E6399" t="s">
        <v>434</v>
      </c>
      <c r="F6399" t="str">
        <f>INDEX(Lists!I:I,MATCH(Validation!E6399,Lists!G:G,0))</f>
        <v>Error</v>
      </c>
      <c r="G6399" t="str">
        <f>INDEX(Lists!H:H,MATCH(Validation!E6399,Lists!G:G,0))</f>
        <v>Amount may not be negative. Enter an amount greater than or equal to zero.</v>
      </c>
      <c r="H6399" s="16" t="str">
        <f t="shared" ca="1" si="714"/>
        <v/>
      </c>
      <c r="I6399" s="16" t="str">
        <f t="shared" ca="1" si="715"/>
        <v/>
      </c>
      <c r="J6399" s="17" t="str">
        <f t="shared" ca="1" si="716"/>
        <v/>
      </c>
    </row>
    <row r="6400" spans="1:10" x14ac:dyDescent="0.25">
      <c r="A6400" t="s">
        <v>938</v>
      </c>
      <c r="B6400" t="str">
        <f>ADDRESS(ROW('Loan 1'!$B$35),COLUMN('Loan 1'!$B$35),4)</f>
        <v>B35</v>
      </c>
      <c r="C6400" t="str">
        <f>ADDRESS(ROW('Loan 1'!$D$35),COLUMN('Loan 1'!$D$35),4)</f>
        <v>D35</v>
      </c>
      <c r="D6400" t="b" cm="1">
        <f t="array" aca="1" ref="D6400" ca="1">IF(INDIRECT("'"&amp;A6400&amp;"'!"&amp;B6400)="",FALSE,IF(INDIRECT("'"&amp;A6400&amp;"'!"&amp;B6400)&lt;0,TRUE,FALSE))</f>
        <v>0</v>
      </c>
      <c r="E6400" t="s">
        <v>434</v>
      </c>
      <c r="F6400" t="str">
        <f>INDEX(Lists!I:I,MATCH(Validation!E6400,Lists!G:G,0))</f>
        <v>Error</v>
      </c>
      <c r="G6400" t="str">
        <f>INDEX(Lists!H:H,MATCH(Validation!E6400,Lists!G:G,0))</f>
        <v>Amount may not be negative. Enter an amount greater than or equal to zero.</v>
      </c>
      <c r="H6400" s="16" t="str">
        <f t="shared" ca="1" si="714"/>
        <v/>
      </c>
      <c r="I6400" s="16" t="str">
        <f t="shared" ca="1" si="715"/>
        <v/>
      </c>
      <c r="J6400" s="17" t="str">
        <f t="shared" ca="1" si="716"/>
        <v/>
      </c>
    </row>
    <row r="6401" spans="1:10" x14ac:dyDescent="0.25">
      <c r="A6401" t="s">
        <v>939</v>
      </c>
      <c r="B6401" t="str">
        <f>ADDRESS(ROW('Loan 1'!$B$35),COLUMN('Loan 1'!$B$35),4)</f>
        <v>B35</v>
      </c>
      <c r="C6401" t="str">
        <f>ADDRESS(ROW('Loan 1'!$D$35),COLUMN('Loan 1'!$D$35),4)</f>
        <v>D35</v>
      </c>
      <c r="D6401" t="b" cm="1">
        <f t="array" aca="1" ref="D6401" ca="1">IF(INDIRECT("'"&amp;A6401&amp;"'!"&amp;B6401)="",FALSE,IF(INDIRECT("'"&amp;A6401&amp;"'!"&amp;B6401)&lt;0,TRUE,FALSE))</f>
        <v>0</v>
      </c>
      <c r="E6401" t="s">
        <v>434</v>
      </c>
      <c r="F6401" t="str">
        <f>INDEX(Lists!I:I,MATCH(Validation!E6401,Lists!G:G,0))</f>
        <v>Error</v>
      </c>
      <c r="G6401" t="str">
        <f>INDEX(Lists!H:H,MATCH(Validation!E6401,Lists!G:G,0))</f>
        <v>Amount may not be negative. Enter an amount greater than or equal to zero.</v>
      </c>
      <c r="H6401" s="16" t="str">
        <f t="shared" ca="1" si="714"/>
        <v/>
      </c>
      <c r="I6401" s="16" t="str">
        <f t="shared" ca="1" si="715"/>
        <v/>
      </c>
      <c r="J6401" s="17" t="str">
        <f t="shared" ca="1" si="716"/>
        <v/>
      </c>
    </row>
    <row r="6402" spans="1:10" x14ac:dyDescent="0.25">
      <c r="A6402" t="s">
        <v>940</v>
      </c>
      <c r="B6402" t="str">
        <f>ADDRESS(ROW('Loan 1'!$B$35),COLUMN('Loan 1'!$B$35),4)</f>
        <v>B35</v>
      </c>
      <c r="C6402" t="str">
        <f>ADDRESS(ROW('Loan 1'!$D$35),COLUMN('Loan 1'!$D$35),4)</f>
        <v>D35</v>
      </c>
      <c r="D6402" t="b" cm="1">
        <f t="array" aca="1" ref="D6402" ca="1">IF(INDIRECT("'"&amp;A6402&amp;"'!"&amp;B6402)="",FALSE,IF(INDIRECT("'"&amp;A6402&amp;"'!"&amp;B6402)&lt;0,TRUE,FALSE))</f>
        <v>0</v>
      </c>
      <c r="E6402" t="s">
        <v>434</v>
      </c>
      <c r="F6402" t="str">
        <f>INDEX(Lists!I:I,MATCH(Validation!E6402,Lists!G:G,0))</f>
        <v>Error</v>
      </c>
      <c r="G6402" t="str">
        <f>INDEX(Lists!H:H,MATCH(Validation!E6402,Lists!G:G,0))</f>
        <v>Amount may not be negative. Enter an amount greater than or equal to zero.</v>
      </c>
      <c r="H6402" s="16" t="str">
        <f t="shared" ca="1" si="714"/>
        <v/>
      </c>
      <c r="I6402" s="16" t="str">
        <f t="shared" ca="1" si="715"/>
        <v/>
      </c>
      <c r="J6402" s="17" t="str">
        <f t="shared" ca="1" si="716"/>
        <v/>
      </c>
    </row>
    <row r="6403" spans="1:10" x14ac:dyDescent="0.25">
      <c r="A6403" t="s">
        <v>941</v>
      </c>
      <c r="B6403" t="str">
        <f>ADDRESS(ROW('Loan 1'!$B$35),COLUMN('Loan 1'!$B$35),4)</f>
        <v>B35</v>
      </c>
      <c r="C6403" t="str">
        <f>ADDRESS(ROW('Loan 1'!$D$35),COLUMN('Loan 1'!$D$35),4)</f>
        <v>D35</v>
      </c>
      <c r="D6403" t="b" cm="1">
        <f t="array" aca="1" ref="D6403" ca="1">IF(INDIRECT("'"&amp;A6403&amp;"'!"&amp;B6403)="",FALSE,IF(INDIRECT("'"&amp;A6403&amp;"'!"&amp;B6403)&lt;0,TRUE,FALSE))</f>
        <v>0</v>
      </c>
      <c r="E6403" t="s">
        <v>434</v>
      </c>
      <c r="F6403" t="str">
        <f>INDEX(Lists!I:I,MATCH(Validation!E6403,Lists!G:G,0))</f>
        <v>Error</v>
      </c>
      <c r="G6403" t="str">
        <f>INDEX(Lists!H:H,MATCH(Validation!E6403,Lists!G:G,0))</f>
        <v>Amount may not be negative. Enter an amount greater than or equal to zero.</v>
      </c>
      <c r="H6403" s="16" t="str">
        <f t="shared" ca="1" si="714"/>
        <v/>
      </c>
      <c r="I6403" s="16" t="str">
        <f t="shared" ca="1" si="715"/>
        <v/>
      </c>
      <c r="J6403" s="17" t="str">
        <f t="shared" ca="1" si="716"/>
        <v/>
      </c>
    </row>
    <row r="6404" spans="1:10" x14ac:dyDescent="0.25">
      <c r="A6404" t="s">
        <v>942</v>
      </c>
      <c r="B6404" t="str">
        <f>ADDRESS(ROW('Loan 1'!$B$35),COLUMN('Loan 1'!$B$35),4)</f>
        <v>B35</v>
      </c>
      <c r="C6404" t="str">
        <f>ADDRESS(ROW('Loan 1'!$D$35),COLUMN('Loan 1'!$D$35),4)</f>
        <v>D35</v>
      </c>
      <c r="D6404" t="b" cm="1">
        <f t="array" aca="1" ref="D6404" ca="1">IF(INDIRECT("'"&amp;A6404&amp;"'!"&amp;B6404)="",FALSE,IF(INDIRECT("'"&amp;A6404&amp;"'!"&amp;B6404)&lt;0,TRUE,FALSE))</f>
        <v>0</v>
      </c>
      <c r="E6404" t="s">
        <v>434</v>
      </c>
      <c r="F6404" t="str">
        <f>INDEX(Lists!I:I,MATCH(Validation!E6404,Lists!G:G,0))</f>
        <v>Error</v>
      </c>
      <c r="G6404" t="str">
        <f>INDEX(Lists!H:H,MATCH(Validation!E6404,Lists!G:G,0))</f>
        <v>Amount may not be negative. Enter an amount greater than or equal to zero.</v>
      </c>
      <c r="H6404" s="16" t="str">
        <f t="shared" ca="1" si="714"/>
        <v/>
      </c>
      <c r="I6404" s="16" t="str">
        <f t="shared" ca="1" si="715"/>
        <v/>
      </c>
      <c r="J6404" s="17" t="str">
        <f t="shared" ca="1" si="716"/>
        <v/>
      </c>
    </row>
    <row r="6405" spans="1:10" x14ac:dyDescent="0.25">
      <c r="A6405" t="s">
        <v>943</v>
      </c>
      <c r="B6405" t="str">
        <f>ADDRESS(ROW('Loan 1'!$B$35),COLUMN('Loan 1'!$B$35),4)</f>
        <v>B35</v>
      </c>
      <c r="C6405" t="str">
        <f>ADDRESS(ROW('Loan 1'!$D$35),COLUMN('Loan 1'!$D$35),4)</f>
        <v>D35</v>
      </c>
      <c r="D6405" t="b" cm="1">
        <f t="array" aca="1" ref="D6405" ca="1">IF(INDIRECT("'"&amp;A6405&amp;"'!"&amp;B6405)="",FALSE,IF(INDIRECT("'"&amp;A6405&amp;"'!"&amp;B6405)&lt;0,TRUE,FALSE))</f>
        <v>0</v>
      </c>
      <c r="E6405" t="s">
        <v>434</v>
      </c>
      <c r="F6405" t="str">
        <f>INDEX(Lists!I:I,MATCH(Validation!E6405,Lists!G:G,0))</f>
        <v>Error</v>
      </c>
      <c r="G6405" t="str">
        <f>INDEX(Lists!H:H,MATCH(Validation!E6405,Lists!G:G,0))</f>
        <v>Amount may not be negative. Enter an amount greater than or equal to zero.</v>
      </c>
      <c r="H6405" s="16" t="str">
        <f t="shared" ca="1" si="714"/>
        <v/>
      </c>
      <c r="I6405" s="16" t="str">
        <f t="shared" ca="1" si="715"/>
        <v/>
      </c>
      <c r="J6405" s="17" t="str">
        <f t="shared" ca="1" si="716"/>
        <v/>
      </c>
    </row>
    <row r="6406" spans="1:10" x14ac:dyDescent="0.25">
      <c r="A6406" t="s">
        <v>944</v>
      </c>
      <c r="B6406" t="str">
        <f>ADDRESS(ROW('Loan 1'!$B$35),COLUMN('Loan 1'!$B$35),4)</f>
        <v>B35</v>
      </c>
      <c r="C6406" t="str">
        <f>ADDRESS(ROW('Loan 1'!$D$35),COLUMN('Loan 1'!$D$35),4)</f>
        <v>D35</v>
      </c>
      <c r="D6406" t="b" cm="1">
        <f t="array" aca="1" ref="D6406" ca="1">IF(INDIRECT("'"&amp;A6406&amp;"'!"&amp;B6406)="",FALSE,IF(INDIRECT("'"&amp;A6406&amp;"'!"&amp;B6406)&lt;0,TRUE,FALSE))</f>
        <v>0</v>
      </c>
      <c r="E6406" t="s">
        <v>434</v>
      </c>
      <c r="F6406" t="str">
        <f>INDEX(Lists!I:I,MATCH(Validation!E6406,Lists!G:G,0))</f>
        <v>Error</v>
      </c>
      <c r="G6406" t="str">
        <f>INDEX(Lists!H:H,MATCH(Validation!E6406,Lists!G:G,0))</f>
        <v>Amount may not be negative. Enter an amount greater than or equal to zero.</v>
      </c>
      <c r="H6406" s="16" t="str">
        <f t="shared" ca="1" si="714"/>
        <v/>
      </c>
      <c r="I6406" s="16" t="str">
        <f t="shared" ca="1" si="715"/>
        <v/>
      </c>
      <c r="J6406" s="17" t="str">
        <f t="shared" ca="1" si="716"/>
        <v/>
      </c>
    </row>
    <row r="6407" spans="1:10" x14ac:dyDescent="0.25">
      <c r="A6407" t="s">
        <v>945</v>
      </c>
      <c r="B6407" t="str">
        <f>ADDRESS(ROW('Loan 1'!$B$35),COLUMN('Loan 1'!$B$35),4)</f>
        <v>B35</v>
      </c>
      <c r="C6407" t="str">
        <f>ADDRESS(ROW('Loan 1'!$D$35),COLUMN('Loan 1'!$D$35),4)</f>
        <v>D35</v>
      </c>
      <c r="D6407" t="b" cm="1">
        <f t="array" aca="1" ref="D6407" ca="1">IF(INDIRECT("'"&amp;A6407&amp;"'!"&amp;B6407)="",FALSE,IF(INDIRECT("'"&amp;A6407&amp;"'!"&amp;B6407)&lt;0,TRUE,FALSE))</f>
        <v>0</v>
      </c>
      <c r="E6407" t="s">
        <v>434</v>
      </c>
      <c r="F6407" t="str">
        <f>INDEX(Lists!I:I,MATCH(Validation!E6407,Lists!G:G,0))</f>
        <v>Error</v>
      </c>
      <c r="G6407" t="str">
        <f>INDEX(Lists!H:H,MATCH(Validation!E6407,Lists!G:G,0))</f>
        <v>Amount may not be negative. Enter an amount greater than or equal to zero.</v>
      </c>
      <c r="H6407" s="16" t="str">
        <f t="shared" ca="1" si="714"/>
        <v/>
      </c>
      <c r="I6407" s="16" t="str">
        <f t="shared" ca="1" si="715"/>
        <v/>
      </c>
      <c r="J6407" s="17" t="str">
        <f t="shared" ca="1" si="716"/>
        <v/>
      </c>
    </row>
    <row r="6408" spans="1:10" x14ac:dyDescent="0.25">
      <c r="A6408" t="s">
        <v>205</v>
      </c>
      <c r="B6408" t="str">
        <f>ADDRESS(ROW('Loan 1'!$B$35),COLUMN('Loan 1'!$B$35),4)</f>
        <v>B35</v>
      </c>
      <c r="C6408" t="str">
        <f>ADDRESS(ROW('Loan 1'!$D$35),COLUMN('Loan 1'!$D$35),4)</f>
        <v>D35</v>
      </c>
      <c r="D6408" t="b" cm="1">
        <f t="array" aca="1" ref="D6408" ca="1">IF(INDIRECT("'"&amp;A6408&amp;"'!"&amp;B6408)="",FALSE,IF(TRUNC(INDIRECT("'"&amp;A6408&amp;"'!"&amp;B6408))=INDIRECT("'"&amp;A6408&amp;"'!"&amp;B6408),FALSE,TRUE))</f>
        <v>0</v>
      </c>
      <c r="E6408" t="s">
        <v>436</v>
      </c>
      <c r="F6408" t="str">
        <f>INDEX(Lists!I:I,MATCH(Validation!E6408,Lists!G:G,0))</f>
        <v>Error</v>
      </c>
      <c r="G6408" t="str">
        <f>INDEX(Lists!H:H,MATCH(Validation!E6408,Lists!G:G,0))</f>
        <v>Amount must be rounded to the nearest dollar.</v>
      </c>
      <c r="H6408" s="16" t="str">
        <f t="shared" ref="H6408:H6498" ca="1" si="717">IFERROR(IF(OR(NOT(D6408),F6408&lt;&gt;"Error"),"",A6408&amp;CELL("address",INDIRECT(B6408))),"")</f>
        <v/>
      </c>
      <c r="I6408" s="16" t="str">
        <f t="shared" ref="I6408:I6498" ca="1" si="718">IFERROR(IF(NOT(D6408),"",A6408&amp;CELL("address",INDIRECT(C6408))),"")</f>
        <v/>
      </c>
      <c r="J6408" s="17" t="str">
        <f t="shared" ref="J6408:J6498" ca="1" si="719">IFERROR(IF(NOT(D6408),"",A6408),"")</f>
        <v/>
      </c>
    </row>
    <row r="6409" spans="1:10" x14ac:dyDescent="0.25">
      <c r="A6409" t="s">
        <v>932</v>
      </c>
      <c r="B6409" t="str">
        <f>ADDRESS(ROW('Loan 1'!$B$35),COLUMN('Loan 1'!$B$35),4)</f>
        <v>B35</v>
      </c>
      <c r="C6409" t="str">
        <f>ADDRESS(ROW('Loan 1'!$D$35),COLUMN('Loan 1'!$D$35),4)</f>
        <v>D35</v>
      </c>
      <c r="D6409" t="b" cm="1">
        <f t="array" aca="1" ref="D6409" ca="1">IF(INDIRECT("'"&amp;A6409&amp;"'!"&amp;B6409)="",FALSE,IF(TRUNC(INDIRECT("'"&amp;A6409&amp;"'!"&amp;B6409))=INDIRECT("'"&amp;A6409&amp;"'!"&amp;B6409),FALSE,TRUE))</f>
        <v>0</v>
      </c>
      <c r="E6409" t="s">
        <v>436</v>
      </c>
      <c r="F6409" t="str">
        <f>INDEX(Lists!I:I,MATCH(Validation!E6409,Lists!G:G,0))</f>
        <v>Error</v>
      </c>
      <c r="G6409" t="str">
        <f>INDEX(Lists!H:H,MATCH(Validation!E6409,Lists!G:G,0))</f>
        <v>Amount must be rounded to the nearest dollar.</v>
      </c>
      <c r="H6409" s="16" t="str">
        <f t="shared" ca="1" si="717"/>
        <v/>
      </c>
      <c r="I6409" s="16" t="str">
        <f t="shared" ca="1" si="718"/>
        <v/>
      </c>
      <c r="J6409" s="17" t="str">
        <f t="shared" ca="1" si="719"/>
        <v/>
      </c>
    </row>
    <row r="6410" spans="1:10" x14ac:dyDescent="0.25">
      <c r="A6410" t="s">
        <v>933</v>
      </c>
      <c r="B6410" t="str">
        <f>ADDRESS(ROW('Loan 1'!$B$35),COLUMN('Loan 1'!$B$35),4)</f>
        <v>B35</v>
      </c>
      <c r="C6410" t="str">
        <f>ADDRESS(ROW('Loan 1'!$D$35),COLUMN('Loan 1'!$D$35),4)</f>
        <v>D35</v>
      </c>
      <c r="D6410" t="b" cm="1">
        <f t="array" aca="1" ref="D6410" ca="1">IF(INDIRECT("'"&amp;A6410&amp;"'!"&amp;B6410)="",FALSE,IF(TRUNC(INDIRECT("'"&amp;A6410&amp;"'!"&amp;B6410))=INDIRECT("'"&amp;A6410&amp;"'!"&amp;B6410),FALSE,TRUE))</f>
        <v>0</v>
      </c>
      <c r="E6410" t="s">
        <v>436</v>
      </c>
      <c r="F6410" t="str">
        <f>INDEX(Lists!I:I,MATCH(Validation!E6410,Lists!G:G,0))</f>
        <v>Error</v>
      </c>
      <c r="G6410" t="str">
        <f>INDEX(Lists!H:H,MATCH(Validation!E6410,Lists!G:G,0))</f>
        <v>Amount must be rounded to the nearest dollar.</v>
      </c>
      <c r="H6410" s="16" t="str">
        <f t="shared" ca="1" si="717"/>
        <v/>
      </c>
      <c r="I6410" s="16" t="str">
        <f t="shared" ca="1" si="718"/>
        <v/>
      </c>
      <c r="J6410" s="17" t="str">
        <f t="shared" ca="1" si="719"/>
        <v/>
      </c>
    </row>
    <row r="6411" spans="1:10" x14ac:dyDescent="0.25">
      <c r="A6411" t="s">
        <v>934</v>
      </c>
      <c r="B6411" t="str">
        <f>ADDRESS(ROW('Loan 1'!$B$35),COLUMN('Loan 1'!$B$35),4)</f>
        <v>B35</v>
      </c>
      <c r="C6411" t="str">
        <f>ADDRESS(ROW('Loan 1'!$D$35),COLUMN('Loan 1'!$D$35),4)</f>
        <v>D35</v>
      </c>
      <c r="D6411" t="b" cm="1">
        <f t="array" aca="1" ref="D6411" ca="1">IF(INDIRECT("'"&amp;A6411&amp;"'!"&amp;B6411)="",FALSE,IF(TRUNC(INDIRECT("'"&amp;A6411&amp;"'!"&amp;B6411))=INDIRECT("'"&amp;A6411&amp;"'!"&amp;B6411),FALSE,TRUE))</f>
        <v>0</v>
      </c>
      <c r="E6411" t="s">
        <v>436</v>
      </c>
      <c r="F6411" t="str">
        <f>INDEX(Lists!I:I,MATCH(Validation!E6411,Lists!G:G,0))</f>
        <v>Error</v>
      </c>
      <c r="G6411" t="str">
        <f>INDEX(Lists!H:H,MATCH(Validation!E6411,Lists!G:G,0))</f>
        <v>Amount must be rounded to the nearest dollar.</v>
      </c>
      <c r="H6411" s="16" t="str">
        <f t="shared" ca="1" si="717"/>
        <v/>
      </c>
      <c r="I6411" s="16" t="str">
        <f t="shared" ca="1" si="718"/>
        <v/>
      </c>
      <c r="J6411" s="17" t="str">
        <f t="shared" ca="1" si="719"/>
        <v/>
      </c>
    </row>
    <row r="6412" spans="1:10" x14ac:dyDescent="0.25">
      <c r="A6412" t="s">
        <v>935</v>
      </c>
      <c r="B6412" t="str">
        <f>ADDRESS(ROW('Loan 1'!$B$35),COLUMN('Loan 1'!$B$35),4)</f>
        <v>B35</v>
      </c>
      <c r="C6412" t="str">
        <f>ADDRESS(ROW('Loan 1'!$D$35),COLUMN('Loan 1'!$D$35),4)</f>
        <v>D35</v>
      </c>
      <c r="D6412" t="b" cm="1">
        <f t="array" aca="1" ref="D6412" ca="1">IF(INDIRECT("'"&amp;A6412&amp;"'!"&amp;B6412)="",FALSE,IF(TRUNC(INDIRECT("'"&amp;A6412&amp;"'!"&amp;B6412))=INDIRECT("'"&amp;A6412&amp;"'!"&amp;B6412),FALSE,TRUE))</f>
        <v>0</v>
      </c>
      <c r="E6412" t="s">
        <v>436</v>
      </c>
      <c r="F6412" t="str">
        <f>INDEX(Lists!I:I,MATCH(Validation!E6412,Lists!G:G,0))</f>
        <v>Error</v>
      </c>
      <c r="G6412" t="str">
        <f>INDEX(Lists!H:H,MATCH(Validation!E6412,Lists!G:G,0))</f>
        <v>Amount must be rounded to the nearest dollar.</v>
      </c>
      <c r="H6412" s="16" t="str">
        <f t="shared" ca="1" si="717"/>
        <v/>
      </c>
      <c r="I6412" s="16" t="str">
        <f t="shared" ca="1" si="718"/>
        <v/>
      </c>
      <c r="J6412" s="17" t="str">
        <f t="shared" ca="1" si="719"/>
        <v/>
      </c>
    </row>
    <row r="6413" spans="1:10" x14ac:dyDescent="0.25">
      <c r="A6413" t="s">
        <v>936</v>
      </c>
      <c r="B6413" t="str">
        <f>ADDRESS(ROW('Loan 1'!$B$35),COLUMN('Loan 1'!$B$35),4)</f>
        <v>B35</v>
      </c>
      <c r="C6413" t="str">
        <f>ADDRESS(ROW('Loan 1'!$D$35),COLUMN('Loan 1'!$D$35),4)</f>
        <v>D35</v>
      </c>
      <c r="D6413" t="b" cm="1">
        <f t="array" aca="1" ref="D6413" ca="1">IF(INDIRECT("'"&amp;A6413&amp;"'!"&amp;B6413)="",FALSE,IF(TRUNC(INDIRECT("'"&amp;A6413&amp;"'!"&amp;B6413))=INDIRECT("'"&amp;A6413&amp;"'!"&amp;B6413),FALSE,TRUE))</f>
        <v>0</v>
      </c>
      <c r="E6413" t="s">
        <v>436</v>
      </c>
      <c r="F6413" t="str">
        <f>INDEX(Lists!I:I,MATCH(Validation!E6413,Lists!G:G,0))</f>
        <v>Error</v>
      </c>
      <c r="G6413" t="str">
        <f>INDEX(Lists!H:H,MATCH(Validation!E6413,Lists!G:G,0))</f>
        <v>Amount must be rounded to the nearest dollar.</v>
      </c>
      <c r="H6413" s="16" t="str">
        <f t="shared" ca="1" si="717"/>
        <v/>
      </c>
      <c r="I6413" s="16" t="str">
        <f t="shared" ca="1" si="718"/>
        <v/>
      </c>
      <c r="J6413" s="17" t="str">
        <f t="shared" ca="1" si="719"/>
        <v/>
      </c>
    </row>
    <row r="6414" spans="1:10" x14ac:dyDescent="0.25">
      <c r="A6414" t="s">
        <v>937</v>
      </c>
      <c r="B6414" t="str">
        <f>ADDRESS(ROW('Loan 1'!$B$35),COLUMN('Loan 1'!$B$35),4)</f>
        <v>B35</v>
      </c>
      <c r="C6414" t="str">
        <f>ADDRESS(ROW('Loan 1'!$D$35),COLUMN('Loan 1'!$D$35),4)</f>
        <v>D35</v>
      </c>
      <c r="D6414" t="b" cm="1">
        <f t="array" aca="1" ref="D6414" ca="1">IF(INDIRECT("'"&amp;A6414&amp;"'!"&amp;B6414)="",FALSE,IF(TRUNC(INDIRECT("'"&amp;A6414&amp;"'!"&amp;B6414))=INDIRECT("'"&amp;A6414&amp;"'!"&amp;B6414),FALSE,TRUE))</f>
        <v>0</v>
      </c>
      <c r="E6414" t="s">
        <v>436</v>
      </c>
      <c r="F6414" t="str">
        <f>INDEX(Lists!I:I,MATCH(Validation!E6414,Lists!G:G,0))</f>
        <v>Error</v>
      </c>
      <c r="G6414" t="str">
        <f>INDEX(Lists!H:H,MATCH(Validation!E6414,Lists!G:G,0))</f>
        <v>Amount must be rounded to the nearest dollar.</v>
      </c>
      <c r="H6414" s="16" t="str">
        <f t="shared" ca="1" si="717"/>
        <v/>
      </c>
      <c r="I6414" s="16" t="str">
        <f t="shared" ca="1" si="718"/>
        <v/>
      </c>
      <c r="J6414" s="17" t="str">
        <f t="shared" ca="1" si="719"/>
        <v/>
      </c>
    </row>
    <row r="6415" spans="1:10" x14ac:dyDescent="0.25">
      <c r="A6415" t="s">
        <v>938</v>
      </c>
      <c r="B6415" t="str">
        <f>ADDRESS(ROW('Loan 1'!$B$35),COLUMN('Loan 1'!$B$35),4)</f>
        <v>B35</v>
      </c>
      <c r="C6415" t="str">
        <f>ADDRESS(ROW('Loan 1'!$D$35),COLUMN('Loan 1'!$D$35),4)</f>
        <v>D35</v>
      </c>
      <c r="D6415" t="b" cm="1">
        <f t="array" aca="1" ref="D6415" ca="1">IF(INDIRECT("'"&amp;A6415&amp;"'!"&amp;B6415)="",FALSE,IF(TRUNC(INDIRECT("'"&amp;A6415&amp;"'!"&amp;B6415))=INDIRECT("'"&amp;A6415&amp;"'!"&amp;B6415),FALSE,TRUE))</f>
        <v>0</v>
      </c>
      <c r="E6415" t="s">
        <v>436</v>
      </c>
      <c r="F6415" t="str">
        <f>INDEX(Lists!I:I,MATCH(Validation!E6415,Lists!G:G,0))</f>
        <v>Error</v>
      </c>
      <c r="G6415" t="str">
        <f>INDEX(Lists!H:H,MATCH(Validation!E6415,Lists!G:G,0))</f>
        <v>Amount must be rounded to the nearest dollar.</v>
      </c>
      <c r="H6415" s="16" t="str">
        <f t="shared" ca="1" si="717"/>
        <v/>
      </c>
      <c r="I6415" s="16" t="str">
        <f t="shared" ca="1" si="718"/>
        <v/>
      </c>
      <c r="J6415" s="17" t="str">
        <f t="shared" ca="1" si="719"/>
        <v/>
      </c>
    </row>
    <row r="6416" spans="1:10" x14ac:dyDescent="0.25">
      <c r="A6416" t="s">
        <v>939</v>
      </c>
      <c r="B6416" t="str">
        <f>ADDRESS(ROW('Loan 1'!$B$35),COLUMN('Loan 1'!$B$35),4)</f>
        <v>B35</v>
      </c>
      <c r="C6416" t="str">
        <f>ADDRESS(ROW('Loan 1'!$D$35),COLUMN('Loan 1'!$D$35),4)</f>
        <v>D35</v>
      </c>
      <c r="D6416" t="b" cm="1">
        <f t="array" aca="1" ref="D6416" ca="1">IF(INDIRECT("'"&amp;A6416&amp;"'!"&amp;B6416)="",FALSE,IF(TRUNC(INDIRECT("'"&amp;A6416&amp;"'!"&amp;B6416))=INDIRECT("'"&amp;A6416&amp;"'!"&amp;B6416),FALSE,TRUE))</f>
        <v>0</v>
      </c>
      <c r="E6416" t="s">
        <v>436</v>
      </c>
      <c r="F6416" t="str">
        <f>INDEX(Lists!I:I,MATCH(Validation!E6416,Lists!G:G,0))</f>
        <v>Error</v>
      </c>
      <c r="G6416" t="str">
        <f>INDEX(Lists!H:H,MATCH(Validation!E6416,Lists!G:G,0))</f>
        <v>Amount must be rounded to the nearest dollar.</v>
      </c>
      <c r="H6416" s="16" t="str">
        <f t="shared" ca="1" si="717"/>
        <v/>
      </c>
      <c r="I6416" s="16" t="str">
        <f t="shared" ca="1" si="718"/>
        <v/>
      </c>
      <c r="J6416" s="17" t="str">
        <f t="shared" ca="1" si="719"/>
        <v/>
      </c>
    </row>
    <row r="6417" spans="1:10" x14ac:dyDescent="0.25">
      <c r="A6417" t="s">
        <v>940</v>
      </c>
      <c r="B6417" t="str">
        <f>ADDRESS(ROW('Loan 1'!$B$35),COLUMN('Loan 1'!$B$35),4)</f>
        <v>B35</v>
      </c>
      <c r="C6417" t="str">
        <f>ADDRESS(ROW('Loan 1'!$D$35),COLUMN('Loan 1'!$D$35),4)</f>
        <v>D35</v>
      </c>
      <c r="D6417" t="b" cm="1">
        <f t="array" aca="1" ref="D6417" ca="1">IF(INDIRECT("'"&amp;A6417&amp;"'!"&amp;B6417)="",FALSE,IF(TRUNC(INDIRECT("'"&amp;A6417&amp;"'!"&amp;B6417))=INDIRECT("'"&amp;A6417&amp;"'!"&amp;B6417),FALSE,TRUE))</f>
        <v>0</v>
      </c>
      <c r="E6417" t="s">
        <v>436</v>
      </c>
      <c r="F6417" t="str">
        <f>INDEX(Lists!I:I,MATCH(Validation!E6417,Lists!G:G,0))</f>
        <v>Error</v>
      </c>
      <c r="G6417" t="str">
        <f>INDEX(Lists!H:H,MATCH(Validation!E6417,Lists!G:G,0))</f>
        <v>Amount must be rounded to the nearest dollar.</v>
      </c>
      <c r="H6417" s="16" t="str">
        <f t="shared" ca="1" si="717"/>
        <v/>
      </c>
      <c r="I6417" s="16" t="str">
        <f t="shared" ca="1" si="718"/>
        <v/>
      </c>
      <c r="J6417" s="17" t="str">
        <f t="shared" ca="1" si="719"/>
        <v/>
      </c>
    </row>
    <row r="6418" spans="1:10" x14ac:dyDescent="0.25">
      <c r="A6418" t="s">
        <v>941</v>
      </c>
      <c r="B6418" t="str">
        <f>ADDRESS(ROW('Loan 1'!$B$35),COLUMN('Loan 1'!$B$35),4)</f>
        <v>B35</v>
      </c>
      <c r="C6418" t="str">
        <f>ADDRESS(ROW('Loan 1'!$D$35),COLUMN('Loan 1'!$D$35),4)</f>
        <v>D35</v>
      </c>
      <c r="D6418" t="b" cm="1">
        <f t="array" aca="1" ref="D6418" ca="1">IF(INDIRECT("'"&amp;A6418&amp;"'!"&amp;B6418)="",FALSE,IF(TRUNC(INDIRECT("'"&amp;A6418&amp;"'!"&amp;B6418))=INDIRECT("'"&amp;A6418&amp;"'!"&amp;B6418),FALSE,TRUE))</f>
        <v>0</v>
      </c>
      <c r="E6418" t="s">
        <v>436</v>
      </c>
      <c r="F6418" t="str">
        <f>INDEX(Lists!I:I,MATCH(Validation!E6418,Lists!G:G,0))</f>
        <v>Error</v>
      </c>
      <c r="G6418" t="str">
        <f>INDEX(Lists!H:H,MATCH(Validation!E6418,Lists!G:G,0))</f>
        <v>Amount must be rounded to the nearest dollar.</v>
      </c>
      <c r="H6418" s="16" t="str">
        <f t="shared" ca="1" si="717"/>
        <v/>
      </c>
      <c r="I6418" s="16" t="str">
        <f t="shared" ca="1" si="718"/>
        <v/>
      </c>
      <c r="J6418" s="17" t="str">
        <f t="shared" ca="1" si="719"/>
        <v/>
      </c>
    </row>
    <row r="6419" spans="1:10" x14ac:dyDescent="0.25">
      <c r="A6419" t="s">
        <v>942</v>
      </c>
      <c r="B6419" t="str">
        <f>ADDRESS(ROW('Loan 1'!$B$35),COLUMN('Loan 1'!$B$35),4)</f>
        <v>B35</v>
      </c>
      <c r="C6419" t="str">
        <f>ADDRESS(ROW('Loan 1'!$D$35),COLUMN('Loan 1'!$D$35),4)</f>
        <v>D35</v>
      </c>
      <c r="D6419" t="b" cm="1">
        <f t="array" aca="1" ref="D6419" ca="1">IF(INDIRECT("'"&amp;A6419&amp;"'!"&amp;B6419)="",FALSE,IF(TRUNC(INDIRECT("'"&amp;A6419&amp;"'!"&amp;B6419))=INDIRECT("'"&amp;A6419&amp;"'!"&amp;B6419),FALSE,TRUE))</f>
        <v>0</v>
      </c>
      <c r="E6419" t="s">
        <v>436</v>
      </c>
      <c r="F6419" t="str">
        <f>INDEX(Lists!I:I,MATCH(Validation!E6419,Lists!G:G,0))</f>
        <v>Error</v>
      </c>
      <c r="G6419" t="str">
        <f>INDEX(Lists!H:H,MATCH(Validation!E6419,Lists!G:G,0))</f>
        <v>Amount must be rounded to the nearest dollar.</v>
      </c>
      <c r="H6419" s="16" t="str">
        <f t="shared" ca="1" si="717"/>
        <v/>
      </c>
      <c r="I6419" s="16" t="str">
        <f t="shared" ca="1" si="718"/>
        <v/>
      </c>
      <c r="J6419" s="17" t="str">
        <f t="shared" ca="1" si="719"/>
        <v/>
      </c>
    </row>
    <row r="6420" spans="1:10" x14ac:dyDescent="0.25">
      <c r="A6420" t="s">
        <v>943</v>
      </c>
      <c r="B6420" t="str">
        <f>ADDRESS(ROW('Loan 1'!$B$35),COLUMN('Loan 1'!$B$35),4)</f>
        <v>B35</v>
      </c>
      <c r="C6420" t="str">
        <f>ADDRESS(ROW('Loan 1'!$D$35),COLUMN('Loan 1'!$D$35),4)</f>
        <v>D35</v>
      </c>
      <c r="D6420" t="b" cm="1">
        <f t="array" aca="1" ref="D6420" ca="1">IF(INDIRECT("'"&amp;A6420&amp;"'!"&amp;B6420)="",FALSE,IF(TRUNC(INDIRECT("'"&amp;A6420&amp;"'!"&amp;B6420))=INDIRECT("'"&amp;A6420&amp;"'!"&amp;B6420),FALSE,TRUE))</f>
        <v>0</v>
      </c>
      <c r="E6420" t="s">
        <v>436</v>
      </c>
      <c r="F6420" t="str">
        <f>INDEX(Lists!I:I,MATCH(Validation!E6420,Lists!G:G,0))</f>
        <v>Error</v>
      </c>
      <c r="G6420" t="str">
        <f>INDEX(Lists!H:H,MATCH(Validation!E6420,Lists!G:G,0))</f>
        <v>Amount must be rounded to the nearest dollar.</v>
      </c>
      <c r="H6420" s="16" t="str">
        <f t="shared" ca="1" si="717"/>
        <v/>
      </c>
      <c r="I6420" s="16" t="str">
        <f t="shared" ca="1" si="718"/>
        <v/>
      </c>
      <c r="J6420" s="17" t="str">
        <f t="shared" ca="1" si="719"/>
        <v/>
      </c>
    </row>
    <row r="6421" spans="1:10" x14ac:dyDescent="0.25">
      <c r="A6421" t="s">
        <v>944</v>
      </c>
      <c r="B6421" t="str">
        <f>ADDRESS(ROW('Loan 1'!$B$35),COLUMN('Loan 1'!$B$35),4)</f>
        <v>B35</v>
      </c>
      <c r="C6421" t="str">
        <f>ADDRESS(ROW('Loan 1'!$D$35),COLUMN('Loan 1'!$D$35),4)</f>
        <v>D35</v>
      </c>
      <c r="D6421" t="b" cm="1">
        <f t="array" aca="1" ref="D6421" ca="1">IF(INDIRECT("'"&amp;A6421&amp;"'!"&amp;B6421)="",FALSE,IF(TRUNC(INDIRECT("'"&amp;A6421&amp;"'!"&amp;B6421))=INDIRECT("'"&amp;A6421&amp;"'!"&amp;B6421),FALSE,TRUE))</f>
        <v>0</v>
      </c>
      <c r="E6421" t="s">
        <v>436</v>
      </c>
      <c r="F6421" t="str">
        <f>INDEX(Lists!I:I,MATCH(Validation!E6421,Lists!G:G,0))</f>
        <v>Error</v>
      </c>
      <c r="G6421" t="str">
        <f>INDEX(Lists!H:H,MATCH(Validation!E6421,Lists!G:G,0))</f>
        <v>Amount must be rounded to the nearest dollar.</v>
      </c>
      <c r="H6421" s="16" t="str">
        <f t="shared" ca="1" si="717"/>
        <v/>
      </c>
      <c r="I6421" s="16" t="str">
        <f t="shared" ca="1" si="718"/>
        <v/>
      </c>
      <c r="J6421" s="17" t="str">
        <f t="shared" ca="1" si="719"/>
        <v/>
      </c>
    </row>
    <row r="6422" spans="1:10" x14ac:dyDescent="0.25">
      <c r="A6422" t="s">
        <v>945</v>
      </c>
      <c r="B6422" t="str">
        <f>ADDRESS(ROW('Loan 1'!$B$35),COLUMN('Loan 1'!$B$35),4)</f>
        <v>B35</v>
      </c>
      <c r="C6422" t="str">
        <f>ADDRESS(ROW('Loan 1'!$D$35),COLUMN('Loan 1'!$D$35),4)</f>
        <v>D35</v>
      </c>
      <c r="D6422" t="b" cm="1">
        <f t="array" aca="1" ref="D6422" ca="1">IF(INDIRECT("'"&amp;A6422&amp;"'!"&amp;B6422)="",FALSE,IF(TRUNC(INDIRECT("'"&amp;A6422&amp;"'!"&amp;B6422))=INDIRECT("'"&amp;A6422&amp;"'!"&amp;B6422),FALSE,TRUE))</f>
        <v>0</v>
      </c>
      <c r="E6422" t="s">
        <v>436</v>
      </c>
      <c r="F6422" t="str">
        <f>INDEX(Lists!I:I,MATCH(Validation!E6422,Lists!G:G,0))</f>
        <v>Error</v>
      </c>
      <c r="G6422" t="str">
        <f>INDEX(Lists!H:H,MATCH(Validation!E6422,Lists!G:G,0))</f>
        <v>Amount must be rounded to the nearest dollar.</v>
      </c>
      <c r="H6422" s="16" t="str">
        <f t="shared" ca="1" si="717"/>
        <v/>
      </c>
      <c r="I6422" s="16" t="str">
        <f t="shared" ca="1" si="718"/>
        <v/>
      </c>
      <c r="J6422" s="17" t="str">
        <f t="shared" ca="1" si="719"/>
        <v/>
      </c>
    </row>
    <row r="6423" spans="1:10" x14ac:dyDescent="0.25">
      <c r="A6423" t="s">
        <v>205</v>
      </c>
      <c r="B6423" t="str">
        <f>ADDRESS(ROW('Loan 1'!$C$35),COLUMN('Loan 1'!$C$35),4)</f>
        <v>C35</v>
      </c>
      <c r="C6423" t="str">
        <f>ADDRESS(ROW('Loan 1'!$D$35),COLUMN('Loan 1'!$D$35),4)</f>
        <v>D35</v>
      </c>
      <c r="D6423" t="b" cm="1">
        <f t="array" aca="1" ref="D6423" ca="1">IF(INDIRECT("'"&amp;A6423&amp;"'!"&amp;B6423)="",FALSE,IF(NOT(ISNUMBER(INDIRECT("'"&amp;A6423&amp;"'!"&amp;B6423))),TRUE,FALSE))</f>
        <v>0</v>
      </c>
      <c r="E6423" t="s">
        <v>435</v>
      </c>
      <c r="F6423" t="str">
        <f>INDEX(Lists!I:I,MATCH(Validation!E6423,Lists!G:G,0))</f>
        <v>Error</v>
      </c>
      <c r="G6423" t="str">
        <f>INDEX(Lists!H:H,MATCH(Validation!E6423,Lists!G:G,0))</f>
        <v>Enter an amount only. Do not enter text or spaces.</v>
      </c>
      <c r="H6423" s="16" t="str">
        <f t="shared" ref="H6423:H6438" ca="1" si="720">IFERROR(IF(OR(NOT(D6423),F6423&lt;&gt;"Error"),"",A6423&amp;CELL("address",INDIRECT(B6423))),"")</f>
        <v/>
      </c>
      <c r="I6423" s="16" t="str">
        <f t="shared" ref="I6423:I6438" ca="1" si="721">IFERROR(IF(NOT(D6423),"",A6423&amp;CELL("address",INDIRECT(C6423))),"")</f>
        <v/>
      </c>
      <c r="J6423" s="17" t="str">
        <f t="shared" ref="J6423:J6438" ca="1" si="722">IFERROR(IF(NOT(D6423),"",A6423),"")</f>
        <v/>
      </c>
    </row>
    <row r="6424" spans="1:10" x14ac:dyDescent="0.25">
      <c r="A6424" t="s">
        <v>932</v>
      </c>
      <c r="B6424" t="str">
        <f>ADDRESS(ROW('Loan 1'!$C$35),COLUMN('Loan 1'!$C$35),4)</f>
        <v>C35</v>
      </c>
      <c r="C6424" t="str">
        <f>ADDRESS(ROW('Loan 1'!$D$35),COLUMN('Loan 1'!$D$35),4)</f>
        <v>D35</v>
      </c>
      <c r="D6424" t="b" cm="1">
        <f t="array" aca="1" ref="D6424" ca="1">IF(INDIRECT("'"&amp;A6424&amp;"'!"&amp;B6424)="",FALSE,IF(NOT(ISNUMBER(INDIRECT("'"&amp;A6424&amp;"'!"&amp;B6424))),TRUE,FALSE))</f>
        <v>0</v>
      </c>
      <c r="E6424" t="s">
        <v>435</v>
      </c>
      <c r="F6424" t="str">
        <f>INDEX(Lists!I:I,MATCH(Validation!E6424,Lists!G:G,0))</f>
        <v>Error</v>
      </c>
      <c r="G6424" t="str">
        <f>INDEX(Lists!H:H,MATCH(Validation!E6424,Lists!G:G,0))</f>
        <v>Enter an amount only. Do not enter text or spaces.</v>
      </c>
      <c r="H6424" s="16" t="str">
        <f t="shared" ca="1" si="720"/>
        <v/>
      </c>
      <c r="I6424" s="16" t="str">
        <f t="shared" ca="1" si="721"/>
        <v/>
      </c>
      <c r="J6424" s="17" t="str">
        <f t="shared" ca="1" si="722"/>
        <v/>
      </c>
    </row>
    <row r="6425" spans="1:10" x14ac:dyDescent="0.25">
      <c r="A6425" t="s">
        <v>933</v>
      </c>
      <c r="B6425" t="str">
        <f>ADDRESS(ROW('Loan 1'!$C$35),COLUMN('Loan 1'!$C$35),4)</f>
        <v>C35</v>
      </c>
      <c r="C6425" t="str">
        <f>ADDRESS(ROW('Loan 1'!$D$35),COLUMN('Loan 1'!$D$35),4)</f>
        <v>D35</v>
      </c>
      <c r="D6425" t="b" cm="1">
        <f t="array" aca="1" ref="D6425" ca="1">IF(INDIRECT("'"&amp;A6425&amp;"'!"&amp;B6425)="",FALSE,IF(NOT(ISNUMBER(INDIRECT("'"&amp;A6425&amp;"'!"&amp;B6425))),TRUE,FALSE))</f>
        <v>0</v>
      </c>
      <c r="E6425" t="s">
        <v>435</v>
      </c>
      <c r="F6425" t="str">
        <f>INDEX(Lists!I:I,MATCH(Validation!E6425,Lists!G:G,0))</f>
        <v>Error</v>
      </c>
      <c r="G6425" t="str">
        <f>INDEX(Lists!H:H,MATCH(Validation!E6425,Lists!G:G,0))</f>
        <v>Enter an amount only. Do not enter text or spaces.</v>
      </c>
      <c r="H6425" s="16" t="str">
        <f t="shared" ca="1" si="720"/>
        <v/>
      </c>
      <c r="I6425" s="16" t="str">
        <f t="shared" ca="1" si="721"/>
        <v/>
      </c>
      <c r="J6425" s="17" t="str">
        <f t="shared" ca="1" si="722"/>
        <v/>
      </c>
    </row>
    <row r="6426" spans="1:10" x14ac:dyDescent="0.25">
      <c r="A6426" t="s">
        <v>934</v>
      </c>
      <c r="B6426" t="str">
        <f>ADDRESS(ROW('Loan 1'!$C$35),COLUMN('Loan 1'!$C$35),4)</f>
        <v>C35</v>
      </c>
      <c r="C6426" t="str">
        <f>ADDRESS(ROW('Loan 1'!$D$35),COLUMN('Loan 1'!$D$35),4)</f>
        <v>D35</v>
      </c>
      <c r="D6426" t="b" cm="1">
        <f t="array" aca="1" ref="D6426" ca="1">IF(INDIRECT("'"&amp;A6426&amp;"'!"&amp;B6426)="",FALSE,IF(NOT(ISNUMBER(INDIRECT("'"&amp;A6426&amp;"'!"&amp;B6426))),TRUE,FALSE))</f>
        <v>0</v>
      </c>
      <c r="E6426" t="s">
        <v>435</v>
      </c>
      <c r="F6426" t="str">
        <f>INDEX(Lists!I:I,MATCH(Validation!E6426,Lists!G:G,0))</f>
        <v>Error</v>
      </c>
      <c r="G6426" t="str">
        <f>INDEX(Lists!H:H,MATCH(Validation!E6426,Lists!G:G,0))</f>
        <v>Enter an amount only. Do not enter text or spaces.</v>
      </c>
      <c r="H6426" s="16" t="str">
        <f t="shared" ca="1" si="720"/>
        <v/>
      </c>
      <c r="I6426" s="16" t="str">
        <f t="shared" ca="1" si="721"/>
        <v/>
      </c>
      <c r="J6426" s="17" t="str">
        <f t="shared" ca="1" si="722"/>
        <v/>
      </c>
    </row>
    <row r="6427" spans="1:10" x14ac:dyDescent="0.25">
      <c r="A6427" t="s">
        <v>935</v>
      </c>
      <c r="B6427" t="str">
        <f>ADDRESS(ROW('Loan 1'!$C$35),COLUMN('Loan 1'!$C$35),4)</f>
        <v>C35</v>
      </c>
      <c r="C6427" t="str">
        <f>ADDRESS(ROW('Loan 1'!$D$35),COLUMN('Loan 1'!$D$35),4)</f>
        <v>D35</v>
      </c>
      <c r="D6427" t="b" cm="1">
        <f t="array" aca="1" ref="D6427" ca="1">IF(INDIRECT("'"&amp;A6427&amp;"'!"&amp;B6427)="",FALSE,IF(NOT(ISNUMBER(INDIRECT("'"&amp;A6427&amp;"'!"&amp;B6427))),TRUE,FALSE))</f>
        <v>0</v>
      </c>
      <c r="E6427" t="s">
        <v>435</v>
      </c>
      <c r="F6427" t="str">
        <f>INDEX(Lists!I:I,MATCH(Validation!E6427,Lists!G:G,0))</f>
        <v>Error</v>
      </c>
      <c r="G6427" t="str">
        <f>INDEX(Lists!H:H,MATCH(Validation!E6427,Lists!G:G,0))</f>
        <v>Enter an amount only. Do not enter text or spaces.</v>
      </c>
      <c r="H6427" s="16" t="str">
        <f t="shared" ca="1" si="720"/>
        <v/>
      </c>
      <c r="I6427" s="16" t="str">
        <f t="shared" ca="1" si="721"/>
        <v/>
      </c>
      <c r="J6427" s="17" t="str">
        <f t="shared" ca="1" si="722"/>
        <v/>
      </c>
    </row>
    <row r="6428" spans="1:10" x14ac:dyDescent="0.25">
      <c r="A6428" t="s">
        <v>936</v>
      </c>
      <c r="B6428" t="str">
        <f>ADDRESS(ROW('Loan 1'!$C$35),COLUMN('Loan 1'!$C$35),4)</f>
        <v>C35</v>
      </c>
      <c r="C6428" t="str">
        <f>ADDRESS(ROW('Loan 1'!$D$35),COLUMN('Loan 1'!$D$35),4)</f>
        <v>D35</v>
      </c>
      <c r="D6428" t="b" cm="1">
        <f t="array" aca="1" ref="D6428" ca="1">IF(INDIRECT("'"&amp;A6428&amp;"'!"&amp;B6428)="",FALSE,IF(NOT(ISNUMBER(INDIRECT("'"&amp;A6428&amp;"'!"&amp;B6428))),TRUE,FALSE))</f>
        <v>0</v>
      </c>
      <c r="E6428" t="s">
        <v>435</v>
      </c>
      <c r="F6428" t="str">
        <f>INDEX(Lists!I:I,MATCH(Validation!E6428,Lists!G:G,0))</f>
        <v>Error</v>
      </c>
      <c r="G6428" t="str">
        <f>INDEX(Lists!H:H,MATCH(Validation!E6428,Lists!G:G,0))</f>
        <v>Enter an amount only. Do not enter text or spaces.</v>
      </c>
      <c r="H6428" s="16" t="str">
        <f t="shared" ca="1" si="720"/>
        <v/>
      </c>
      <c r="I6428" s="16" t="str">
        <f t="shared" ca="1" si="721"/>
        <v/>
      </c>
      <c r="J6428" s="17" t="str">
        <f t="shared" ca="1" si="722"/>
        <v/>
      </c>
    </row>
    <row r="6429" spans="1:10" x14ac:dyDescent="0.25">
      <c r="A6429" t="s">
        <v>937</v>
      </c>
      <c r="B6429" t="str">
        <f>ADDRESS(ROW('Loan 1'!$C$35),COLUMN('Loan 1'!$C$35),4)</f>
        <v>C35</v>
      </c>
      <c r="C6429" t="str">
        <f>ADDRESS(ROW('Loan 1'!$D$35),COLUMN('Loan 1'!$D$35),4)</f>
        <v>D35</v>
      </c>
      <c r="D6429" t="b" cm="1">
        <f t="array" aca="1" ref="D6429" ca="1">IF(INDIRECT("'"&amp;A6429&amp;"'!"&amp;B6429)="",FALSE,IF(NOT(ISNUMBER(INDIRECT("'"&amp;A6429&amp;"'!"&amp;B6429))),TRUE,FALSE))</f>
        <v>0</v>
      </c>
      <c r="E6429" t="s">
        <v>435</v>
      </c>
      <c r="F6429" t="str">
        <f>INDEX(Lists!I:I,MATCH(Validation!E6429,Lists!G:G,0))</f>
        <v>Error</v>
      </c>
      <c r="G6429" t="str">
        <f>INDEX(Lists!H:H,MATCH(Validation!E6429,Lists!G:G,0))</f>
        <v>Enter an amount only. Do not enter text or spaces.</v>
      </c>
      <c r="H6429" s="16" t="str">
        <f t="shared" ca="1" si="720"/>
        <v/>
      </c>
      <c r="I6429" s="16" t="str">
        <f t="shared" ca="1" si="721"/>
        <v/>
      </c>
      <c r="J6429" s="17" t="str">
        <f t="shared" ca="1" si="722"/>
        <v/>
      </c>
    </row>
    <row r="6430" spans="1:10" x14ac:dyDescent="0.25">
      <c r="A6430" t="s">
        <v>938</v>
      </c>
      <c r="B6430" t="str">
        <f>ADDRESS(ROW('Loan 1'!$C$35),COLUMN('Loan 1'!$C$35),4)</f>
        <v>C35</v>
      </c>
      <c r="C6430" t="str">
        <f>ADDRESS(ROW('Loan 1'!$D$35),COLUMN('Loan 1'!$D$35),4)</f>
        <v>D35</v>
      </c>
      <c r="D6430" t="b" cm="1">
        <f t="array" aca="1" ref="D6430" ca="1">IF(INDIRECT("'"&amp;A6430&amp;"'!"&amp;B6430)="",FALSE,IF(NOT(ISNUMBER(INDIRECT("'"&amp;A6430&amp;"'!"&amp;B6430))),TRUE,FALSE))</f>
        <v>0</v>
      </c>
      <c r="E6430" t="s">
        <v>435</v>
      </c>
      <c r="F6430" t="str">
        <f>INDEX(Lists!I:I,MATCH(Validation!E6430,Lists!G:G,0))</f>
        <v>Error</v>
      </c>
      <c r="G6430" t="str">
        <f>INDEX(Lists!H:H,MATCH(Validation!E6430,Lists!G:G,0))</f>
        <v>Enter an amount only. Do not enter text or spaces.</v>
      </c>
      <c r="H6430" s="16" t="str">
        <f t="shared" ca="1" si="720"/>
        <v/>
      </c>
      <c r="I6430" s="16" t="str">
        <f t="shared" ca="1" si="721"/>
        <v/>
      </c>
      <c r="J6430" s="17" t="str">
        <f t="shared" ca="1" si="722"/>
        <v/>
      </c>
    </row>
    <row r="6431" spans="1:10" x14ac:dyDescent="0.25">
      <c r="A6431" t="s">
        <v>939</v>
      </c>
      <c r="B6431" t="str">
        <f>ADDRESS(ROW('Loan 1'!$C$35),COLUMN('Loan 1'!$C$35),4)</f>
        <v>C35</v>
      </c>
      <c r="C6431" t="str">
        <f>ADDRESS(ROW('Loan 1'!$D$35),COLUMN('Loan 1'!$D$35),4)</f>
        <v>D35</v>
      </c>
      <c r="D6431" t="b" cm="1">
        <f t="array" aca="1" ref="D6431" ca="1">IF(INDIRECT("'"&amp;A6431&amp;"'!"&amp;B6431)="",FALSE,IF(NOT(ISNUMBER(INDIRECT("'"&amp;A6431&amp;"'!"&amp;B6431))),TRUE,FALSE))</f>
        <v>0</v>
      </c>
      <c r="E6431" t="s">
        <v>435</v>
      </c>
      <c r="F6431" t="str">
        <f>INDEX(Lists!I:I,MATCH(Validation!E6431,Lists!G:G,0))</f>
        <v>Error</v>
      </c>
      <c r="G6431" t="str">
        <f>INDEX(Lists!H:H,MATCH(Validation!E6431,Lists!G:G,0))</f>
        <v>Enter an amount only. Do not enter text or spaces.</v>
      </c>
      <c r="H6431" s="16" t="str">
        <f t="shared" ca="1" si="720"/>
        <v/>
      </c>
      <c r="I6431" s="16" t="str">
        <f t="shared" ca="1" si="721"/>
        <v/>
      </c>
      <c r="J6431" s="17" t="str">
        <f t="shared" ca="1" si="722"/>
        <v/>
      </c>
    </row>
    <row r="6432" spans="1:10" x14ac:dyDescent="0.25">
      <c r="A6432" t="s">
        <v>940</v>
      </c>
      <c r="B6432" t="str">
        <f>ADDRESS(ROW('Loan 1'!$C$35),COLUMN('Loan 1'!$C$35),4)</f>
        <v>C35</v>
      </c>
      <c r="C6432" t="str">
        <f>ADDRESS(ROW('Loan 1'!$D$35),COLUMN('Loan 1'!$D$35),4)</f>
        <v>D35</v>
      </c>
      <c r="D6432" t="b" cm="1">
        <f t="array" aca="1" ref="D6432" ca="1">IF(INDIRECT("'"&amp;A6432&amp;"'!"&amp;B6432)="",FALSE,IF(NOT(ISNUMBER(INDIRECT("'"&amp;A6432&amp;"'!"&amp;B6432))),TRUE,FALSE))</f>
        <v>0</v>
      </c>
      <c r="E6432" t="s">
        <v>435</v>
      </c>
      <c r="F6432" t="str">
        <f>INDEX(Lists!I:I,MATCH(Validation!E6432,Lists!G:G,0))</f>
        <v>Error</v>
      </c>
      <c r="G6432" t="str">
        <f>INDEX(Lists!H:H,MATCH(Validation!E6432,Lists!G:G,0))</f>
        <v>Enter an amount only. Do not enter text or spaces.</v>
      </c>
      <c r="H6432" s="16" t="str">
        <f t="shared" ca="1" si="720"/>
        <v/>
      </c>
      <c r="I6432" s="16" t="str">
        <f t="shared" ca="1" si="721"/>
        <v/>
      </c>
      <c r="J6432" s="17" t="str">
        <f t="shared" ca="1" si="722"/>
        <v/>
      </c>
    </row>
    <row r="6433" spans="1:10" x14ac:dyDescent="0.25">
      <c r="A6433" t="s">
        <v>941</v>
      </c>
      <c r="B6433" t="str">
        <f>ADDRESS(ROW('Loan 1'!$C$35),COLUMN('Loan 1'!$C$35),4)</f>
        <v>C35</v>
      </c>
      <c r="C6433" t="str">
        <f>ADDRESS(ROW('Loan 1'!$D$35),COLUMN('Loan 1'!$D$35),4)</f>
        <v>D35</v>
      </c>
      <c r="D6433" t="b" cm="1">
        <f t="array" aca="1" ref="D6433" ca="1">IF(INDIRECT("'"&amp;A6433&amp;"'!"&amp;B6433)="",FALSE,IF(NOT(ISNUMBER(INDIRECT("'"&amp;A6433&amp;"'!"&amp;B6433))),TRUE,FALSE))</f>
        <v>0</v>
      </c>
      <c r="E6433" t="s">
        <v>435</v>
      </c>
      <c r="F6433" t="str">
        <f>INDEX(Lists!I:I,MATCH(Validation!E6433,Lists!G:G,0))</f>
        <v>Error</v>
      </c>
      <c r="G6433" t="str">
        <f>INDEX(Lists!H:H,MATCH(Validation!E6433,Lists!G:G,0))</f>
        <v>Enter an amount only. Do not enter text or spaces.</v>
      </c>
      <c r="H6433" s="16" t="str">
        <f t="shared" ca="1" si="720"/>
        <v/>
      </c>
      <c r="I6433" s="16" t="str">
        <f t="shared" ca="1" si="721"/>
        <v/>
      </c>
      <c r="J6433" s="17" t="str">
        <f t="shared" ca="1" si="722"/>
        <v/>
      </c>
    </row>
    <row r="6434" spans="1:10" x14ac:dyDescent="0.25">
      <c r="A6434" t="s">
        <v>942</v>
      </c>
      <c r="B6434" t="str">
        <f>ADDRESS(ROW('Loan 1'!$C$35),COLUMN('Loan 1'!$C$35),4)</f>
        <v>C35</v>
      </c>
      <c r="C6434" t="str">
        <f>ADDRESS(ROW('Loan 1'!$D$35),COLUMN('Loan 1'!$D$35),4)</f>
        <v>D35</v>
      </c>
      <c r="D6434" t="b" cm="1">
        <f t="array" aca="1" ref="D6434" ca="1">IF(INDIRECT("'"&amp;A6434&amp;"'!"&amp;B6434)="",FALSE,IF(NOT(ISNUMBER(INDIRECT("'"&amp;A6434&amp;"'!"&amp;B6434))),TRUE,FALSE))</f>
        <v>0</v>
      </c>
      <c r="E6434" t="s">
        <v>435</v>
      </c>
      <c r="F6434" t="str">
        <f>INDEX(Lists!I:I,MATCH(Validation!E6434,Lists!G:G,0))</f>
        <v>Error</v>
      </c>
      <c r="G6434" t="str">
        <f>INDEX(Lists!H:H,MATCH(Validation!E6434,Lists!G:G,0))</f>
        <v>Enter an amount only. Do not enter text or spaces.</v>
      </c>
      <c r="H6434" s="16" t="str">
        <f t="shared" ca="1" si="720"/>
        <v/>
      </c>
      <c r="I6434" s="16" t="str">
        <f t="shared" ca="1" si="721"/>
        <v/>
      </c>
      <c r="J6434" s="17" t="str">
        <f t="shared" ca="1" si="722"/>
        <v/>
      </c>
    </row>
    <row r="6435" spans="1:10" x14ac:dyDescent="0.25">
      <c r="A6435" t="s">
        <v>943</v>
      </c>
      <c r="B6435" t="str">
        <f>ADDRESS(ROW('Loan 1'!$C$35),COLUMN('Loan 1'!$C$35),4)</f>
        <v>C35</v>
      </c>
      <c r="C6435" t="str">
        <f>ADDRESS(ROW('Loan 1'!$D$35),COLUMN('Loan 1'!$D$35),4)</f>
        <v>D35</v>
      </c>
      <c r="D6435" t="b" cm="1">
        <f t="array" aca="1" ref="D6435" ca="1">IF(INDIRECT("'"&amp;A6435&amp;"'!"&amp;B6435)="",FALSE,IF(NOT(ISNUMBER(INDIRECT("'"&amp;A6435&amp;"'!"&amp;B6435))),TRUE,FALSE))</f>
        <v>0</v>
      </c>
      <c r="E6435" t="s">
        <v>435</v>
      </c>
      <c r="F6435" t="str">
        <f>INDEX(Lists!I:I,MATCH(Validation!E6435,Lists!G:G,0))</f>
        <v>Error</v>
      </c>
      <c r="G6435" t="str">
        <f>INDEX(Lists!H:H,MATCH(Validation!E6435,Lists!G:G,0))</f>
        <v>Enter an amount only. Do not enter text or spaces.</v>
      </c>
      <c r="H6435" s="16" t="str">
        <f t="shared" ca="1" si="720"/>
        <v/>
      </c>
      <c r="I6435" s="16" t="str">
        <f t="shared" ca="1" si="721"/>
        <v/>
      </c>
      <c r="J6435" s="17" t="str">
        <f t="shared" ca="1" si="722"/>
        <v/>
      </c>
    </row>
    <row r="6436" spans="1:10" x14ac:dyDescent="0.25">
      <c r="A6436" t="s">
        <v>944</v>
      </c>
      <c r="B6436" t="str">
        <f>ADDRESS(ROW('Loan 1'!$C$35),COLUMN('Loan 1'!$C$35),4)</f>
        <v>C35</v>
      </c>
      <c r="C6436" t="str">
        <f>ADDRESS(ROW('Loan 1'!$D$35),COLUMN('Loan 1'!$D$35),4)</f>
        <v>D35</v>
      </c>
      <c r="D6436" t="b" cm="1">
        <f t="array" aca="1" ref="D6436" ca="1">IF(INDIRECT("'"&amp;A6436&amp;"'!"&amp;B6436)="",FALSE,IF(NOT(ISNUMBER(INDIRECT("'"&amp;A6436&amp;"'!"&amp;B6436))),TRUE,FALSE))</f>
        <v>0</v>
      </c>
      <c r="E6436" t="s">
        <v>435</v>
      </c>
      <c r="F6436" t="str">
        <f>INDEX(Lists!I:I,MATCH(Validation!E6436,Lists!G:G,0))</f>
        <v>Error</v>
      </c>
      <c r="G6436" t="str">
        <f>INDEX(Lists!H:H,MATCH(Validation!E6436,Lists!G:G,0))</f>
        <v>Enter an amount only. Do not enter text or spaces.</v>
      </c>
      <c r="H6436" s="16" t="str">
        <f t="shared" ca="1" si="720"/>
        <v/>
      </c>
      <c r="I6436" s="16" t="str">
        <f t="shared" ca="1" si="721"/>
        <v/>
      </c>
      <c r="J6436" s="17" t="str">
        <f t="shared" ca="1" si="722"/>
        <v/>
      </c>
    </row>
    <row r="6437" spans="1:10" x14ac:dyDescent="0.25">
      <c r="A6437" t="s">
        <v>945</v>
      </c>
      <c r="B6437" t="str">
        <f>ADDRESS(ROW('Loan 1'!$C$35),COLUMN('Loan 1'!$C$35),4)</f>
        <v>C35</v>
      </c>
      <c r="C6437" t="str">
        <f>ADDRESS(ROW('Loan 1'!$D$35),COLUMN('Loan 1'!$D$35),4)</f>
        <v>D35</v>
      </c>
      <c r="D6437" t="b" cm="1">
        <f t="array" aca="1" ref="D6437" ca="1">IF(INDIRECT("'"&amp;A6437&amp;"'!"&amp;B6437)="",FALSE,IF(NOT(ISNUMBER(INDIRECT("'"&amp;A6437&amp;"'!"&amp;B6437))),TRUE,FALSE))</f>
        <v>0</v>
      </c>
      <c r="E6437" t="s">
        <v>435</v>
      </c>
      <c r="F6437" t="str">
        <f>INDEX(Lists!I:I,MATCH(Validation!E6437,Lists!G:G,0))</f>
        <v>Error</v>
      </c>
      <c r="G6437" t="str">
        <f>INDEX(Lists!H:H,MATCH(Validation!E6437,Lists!G:G,0))</f>
        <v>Enter an amount only. Do not enter text or spaces.</v>
      </c>
      <c r="H6437" s="16" t="str">
        <f t="shared" ca="1" si="720"/>
        <v/>
      </c>
      <c r="I6437" s="16" t="str">
        <f t="shared" ca="1" si="721"/>
        <v/>
      </c>
      <c r="J6437" s="17" t="str">
        <f t="shared" ca="1" si="722"/>
        <v/>
      </c>
    </row>
    <row r="6438" spans="1:10" x14ac:dyDescent="0.25">
      <c r="A6438" t="s">
        <v>205</v>
      </c>
      <c r="B6438" t="str">
        <f>ADDRESS(ROW('Loan 1'!$C$35),COLUMN('Loan 1'!$C$35),4)</f>
        <v>C35</v>
      </c>
      <c r="C6438" t="str">
        <f>ADDRESS(ROW('Loan 1'!$D$35),COLUMN('Loan 1'!$D$35),4)</f>
        <v>D35</v>
      </c>
      <c r="D6438" t="b" cm="1">
        <f t="array" aca="1" ref="D6438" ca="1">IF(INDIRECT("'"&amp;A6438&amp;"'!"&amp;B6438)="",FALSE,IF(INDIRECT("'"&amp;A6438&amp;"'!"&amp;B6438)&lt;0,TRUE,FALSE))</f>
        <v>0</v>
      </c>
      <c r="E6438" t="s">
        <v>434</v>
      </c>
      <c r="F6438" t="str">
        <f>INDEX(Lists!I:I,MATCH(Validation!E6438,Lists!G:G,0))</f>
        <v>Error</v>
      </c>
      <c r="G6438" t="str">
        <f>INDEX(Lists!H:H,MATCH(Validation!E6438,Lists!G:G,0))</f>
        <v>Amount may not be negative. Enter an amount greater than or equal to zero.</v>
      </c>
      <c r="H6438" s="16" t="str">
        <f t="shared" ca="1" si="720"/>
        <v/>
      </c>
      <c r="I6438" s="16" t="str">
        <f t="shared" ca="1" si="721"/>
        <v/>
      </c>
      <c r="J6438" s="17" t="str">
        <f t="shared" ca="1" si="722"/>
        <v/>
      </c>
    </row>
    <row r="6439" spans="1:10" x14ac:dyDescent="0.25">
      <c r="A6439" t="s">
        <v>932</v>
      </c>
      <c r="B6439" t="str">
        <f>ADDRESS(ROW('Loan 1'!$C$35),COLUMN('Loan 1'!$C$35),4)</f>
        <v>C35</v>
      </c>
      <c r="C6439" t="str">
        <f>ADDRESS(ROW('Loan 1'!$D$35),COLUMN('Loan 1'!$D$35),4)</f>
        <v>D35</v>
      </c>
      <c r="D6439" t="b" cm="1">
        <f t="array" aca="1" ref="D6439" ca="1">IF(INDIRECT("'"&amp;A6439&amp;"'!"&amp;B6439)="",FALSE,IF(INDIRECT("'"&amp;A6439&amp;"'!"&amp;B6439)&lt;0,TRUE,FALSE))</f>
        <v>0</v>
      </c>
      <c r="E6439" t="s">
        <v>434</v>
      </c>
      <c r="F6439" t="str">
        <f>INDEX(Lists!I:I,MATCH(Validation!E6439,Lists!G:G,0))</f>
        <v>Error</v>
      </c>
      <c r="G6439" t="str">
        <f>INDEX(Lists!H:H,MATCH(Validation!E6439,Lists!G:G,0))</f>
        <v>Amount may not be negative. Enter an amount greater than or equal to zero.</v>
      </c>
      <c r="H6439" s="16" t="str">
        <f t="shared" ref="H6439:H6452" ca="1" si="723">IFERROR(IF(OR(NOT(D6439),F6439&lt;&gt;"Error"),"",A6439&amp;CELL("address",INDIRECT(B6439))),"")</f>
        <v/>
      </c>
      <c r="I6439" s="16" t="str">
        <f t="shared" ref="I6439:I6452" ca="1" si="724">IFERROR(IF(NOT(D6439),"",A6439&amp;CELL("address",INDIRECT(C6439))),"")</f>
        <v/>
      </c>
      <c r="J6439" s="17" t="str">
        <f t="shared" ref="J6439:J6452" ca="1" si="725">IFERROR(IF(NOT(D6439),"",A6439),"")</f>
        <v/>
      </c>
    </row>
    <row r="6440" spans="1:10" x14ac:dyDescent="0.25">
      <c r="A6440" t="s">
        <v>933</v>
      </c>
      <c r="B6440" t="str">
        <f>ADDRESS(ROW('Loan 1'!$C$35),COLUMN('Loan 1'!$C$35),4)</f>
        <v>C35</v>
      </c>
      <c r="C6440" t="str">
        <f>ADDRESS(ROW('Loan 1'!$D$35),COLUMN('Loan 1'!$D$35),4)</f>
        <v>D35</v>
      </c>
      <c r="D6440" t="b" cm="1">
        <f t="array" aca="1" ref="D6440" ca="1">IF(INDIRECT("'"&amp;A6440&amp;"'!"&amp;B6440)="",FALSE,IF(INDIRECT("'"&amp;A6440&amp;"'!"&amp;B6440)&lt;0,TRUE,FALSE))</f>
        <v>0</v>
      </c>
      <c r="E6440" t="s">
        <v>434</v>
      </c>
      <c r="F6440" t="str">
        <f>INDEX(Lists!I:I,MATCH(Validation!E6440,Lists!G:G,0))</f>
        <v>Error</v>
      </c>
      <c r="G6440" t="str">
        <f>INDEX(Lists!H:H,MATCH(Validation!E6440,Lists!G:G,0))</f>
        <v>Amount may not be negative. Enter an amount greater than or equal to zero.</v>
      </c>
      <c r="H6440" s="16" t="str">
        <f t="shared" ca="1" si="723"/>
        <v/>
      </c>
      <c r="I6440" s="16" t="str">
        <f t="shared" ca="1" si="724"/>
        <v/>
      </c>
      <c r="J6440" s="17" t="str">
        <f t="shared" ca="1" si="725"/>
        <v/>
      </c>
    </row>
    <row r="6441" spans="1:10" x14ac:dyDescent="0.25">
      <c r="A6441" t="s">
        <v>934</v>
      </c>
      <c r="B6441" t="str">
        <f>ADDRESS(ROW('Loan 1'!$C$35),COLUMN('Loan 1'!$C$35),4)</f>
        <v>C35</v>
      </c>
      <c r="C6441" t="str">
        <f>ADDRESS(ROW('Loan 1'!$D$35),COLUMN('Loan 1'!$D$35),4)</f>
        <v>D35</v>
      </c>
      <c r="D6441" t="b" cm="1">
        <f t="array" aca="1" ref="D6441" ca="1">IF(INDIRECT("'"&amp;A6441&amp;"'!"&amp;B6441)="",FALSE,IF(INDIRECT("'"&amp;A6441&amp;"'!"&amp;B6441)&lt;0,TRUE,FALSE))</f>
        <v>0</v>
      </c>
      <c r="E6441" t="s">
        <v>434</v>
      </c>
      <c r="F6441" t="str">
        <f>INDEX(Lists!I:I,MATCH(Validation!E6441,Lists!G:G,0))</f>
        <v>Error</v>
      </c>
      <c r="G6441" t="str">
        <f>INDEX(Lists!H:H,MATCH(Validation!E6441,Lists!G:G,0))</f>
        <v>Amount may not be negative. Enter an amount greater than or equal to zero.</v>
      </c>
      <c r="H6441" s="16" t="str">
        <f t="shared" ca="1" si="723"/>
        <v/>
      </c>
      <c r="I6441" s="16" t="str">
        <f t="shared" ca="1" si="724"/>
        <v/>
      </c>
      <c r="J6441" s="17" t="str">
        <f t="shared" ca="1" si="725"/>
        <v/>
      </c>
    </row>
    <row r="6442" spans="1:10" x14ac:dyDescent="0.25">
      <c r="A6442" t="s">
        <v>935</v>
      </c>
      <c r="B6442" t="str">
        <f>ADDRESS(ROW('Loan 1'!$C$35),COLUMN('Loan 1'!$C$35),4)</f>
        <v>C35</v>
      </c>
      <c r="C6442" t="str">
        <f>ADDRESS(ROW('Loan 1'!$D$35),COLUMN('Loan 1'!$D$35),4)</f>
        <v>D35</v>
      </c>
      <c r="D6442" t="b" cm="1">
        <f t="array" aca="1" ref="D6442" ca="1">IF(INDIRECT("'"&amp;A6442&amp;"'!"&amp;B6442)="",FALSE,IF(INDIRECT("'"&amp;A6442&amp;"'!"&amp;B6442)&lt;0,TRUE,FALSE))</f>
        <v>0</v>
      </c>
      <c r="E6442" t="s">
        <v>434</v>
      </c>
      <c r="F6442" t="str">
        <f>INDEX(Lists!I:I,MATCH(Validation!E6442,Lists!G:G,0))</f>
        <v>Error</v>
      </c>
      <c r="G6442" t="str">
        <f>INDEX(Lists!H:H,MATCH(Validation!E6442,Lists!G:G,0))</f>
        <v>Amount may not be negative. Enter an amount greater than or equal to zero.</v>
      </c>
      <c r="H6442" s="16" t="str">
        <f t="shared" ca="1" si="723"/>
        <v/>
      </c>
      <c r="I6442" s="16" t="str">
        <f t="shared" ca="1" si="724"/>
        <v/>
      </c>
      <c r="J6442" s="17" t="str">
        <f t="shared" ca="1" si="725"/>
        <v/>
      </c>
    </row>
    <row r="6443" spans="1:10" x14ac:dyDescent="0.25">
      <c r="A6443" t="s">
        <v>936</v>
      </c>
      <c r="B6443" t="str">
        <f>ADDRESS(ROW('Loan 1'!$C$35),COLUMN('Loan 1'!$C$35),4)</f>
        <v>C35</v>
      </c>
      <c r="C6443" t="str">
        <f>ADDRESS(ROW('Loan 1'!$D$35),COLUMN('Loan 1'!$D$35),4)</f>
        <v>D35</v>
      </c>
      <c r="D6443" t="b" cm="1">
        <f t="array" aca="1" ref="D6443" ca="1">IF(INDIRECT("'"&amp;A6443&amp;"'!"&amp;B6443)="",FALSE,IF(INDIRECT("'"&amp;A6443&amp;"'!"&amp;B6443)&lt;0,TRUE,FALSE))</f>
        <v>0</v>
      </c>
      <c r="E6443" t="s">
        <v>434</v>
      </c>
      <c r="F6443" t="str">
        <f>INDEX(Lists!I:I,MATCH(Validation!E6443,Lists!G:G,0))</f>
        <v>Error</v>
      </c>
      <c r="G6443" t="str">
        <f>INDEX(Lists!H:H,MATCH(Validation!E6443,Lists!G:G,0))</f>
        <v>Amount may not be negative. Enter an amount greater than or equal to zero.</v>
      </c>
      <c r="H6443" s="16" t="str">
        <f t="shared" ca="1" si="723"/>
        <v/>
      </c>
      <c r="I6443" s="16" t="str">
        <f t="shared" ca="1" si="724"/>
        <v/>
      </c>
      <c r="J6443" s="17" t="str">
        <f t="shared" ca="1" si="725"/>
        <v/>
      </c>
    </row>
    <row r="6444" spans="1:10" x14ac:dyDescent="0.25">
      <c r="A6444" t="s">
        <v>937</v>
      </c>
      <c r="B6444" t="str">
        <f>ADDRESS(ROW('Loan 1'!$C$35),COLUMN('Loan 1'!$C$35),4)</f>
        <v>C35</v>
      </c>
      <c r="C6444" t="str">
        <f>ADDRESS(ROW('Loan 1'!$D$35),COLUMN('Loan 1'!$D$35),4)</f>
        <v>D35</v>
      </c>
      <c r="D6444" t="b" cm="1">
        <f t="array" aca="1" ref="D6444" ca="1">IF(INDIRECT("'"&amp;A6444&amp;"'!"&amp;B6444)="",FALSE,IF(INDIRECT("'"&amp;A6444&amp;"'!"&amp;B6444)&lt;0,TRUE,FALSE))</f>
        <v>0</v>
      </c>
      <c r="E6444" t="s">
        <v>434</v>
      </c>
      <c r="F6444" t="str">
        <f>INDEX(Lists!I:I,MATCH(Validation!E6444,Lists!G:G,0))</f>
        <v>Error</v>
      </c>
      <c r="G6444" t="str">
        <f>INDEX(Lists!H:H,MATCH(Validation!E6444,Lists!G:G,0))</f>
        <v>Amount may not be negative. Enter an amount greater than or equal to zero.</v>
      </c>
      <c r="H6444" s="16" t="str">
        <f t="shared" ca="1" si="723"/>
        <v/>
      </c>
      <c r="I6444" s="16" t="str">
        <f t="shared" ca="1" si="724"/>
        <v/>
      </c>
      <c r="J6444" s="17" t="str">
        <f t="shared" ca="1" si="725"/>
        <v/>
      </c>
    </row>
    <row r="6445" spans="1:10" x14ac:dyDescent="0.25">
      <c r="A6445" t="s">
        <v>938</v>
      </c>
      <c r="B6445" t="str">
        <f>ADDRESS(ROW('Loan 1'!$C$35),COLUMN('Loan 1'!$C$35),4)</f>
        <v>C35</v>
      </c>
      <c r="C6445" t="str">
        <f>ADDRESS(ROW('Loan 1'!$D$35),COLUMN('Loan 1'!$D$35),4)</f>
        <v>D35</v>
      </c>
      <c r="D6445" t="b" cm="1">
        <f t="array" aca="1" ref="D6445" ca="1">IF(INDIRECT("'"&amp;A6445&amp;"'!"&amp;B6445)="",FALSE,IF(INDIRECT("'"&amp;A6445&amp;"'!"&amp;B6445)&lt;0,TRUE,FALSE))</f>
        <v>0</v>
      </c>
      <c r="E6445" t="s">
        <v>434</v>
      </c>
      <c r="F6445" t="str">
        <f>INDEX(Lists!I:I,MATCH(Validation!E6445,Lists!G:G,0))</f>
        <v>Error</v>
      </c>
      <c r="G6445" t="str">
        <f>INDEX(Lists!H:H,MATCH(Validation!E6445,Lists!G:G,0))</f>
        <v>Amount may not be negative. Enter an amount greater than or equal to zero.</v>
      </c>
      <c r="H6445" s="16" t="str">
        <f t="shared" ca="1" si="723"/>
        <v/>
      </c>
      <c r="I6445" s="16" t="str">
        <f t="shared" ca="1" si="724"/>
        <v/>
      </c>
      <c r="J6445" s="17" t="str">
        <f t="shared" ca="1" si="725"/>
        <v/>
      </c>
    </row>
    <row r="6446" spans="1:10" x14ac:dyDescent="0.25">
      <c r="A6446" t="s">
        <v>939</v>
      </c>
      <c r="B6446" t="str">
        <f>ADDRESS(ROW('Loan 1'!$C$35),COLUMN('Loan 1'!$C$35),4)</f>
        <v>C35</v>
      </c>
      <c r="C6446" t="str">
        <f>ADDRESS(ROW('Loan 1'!$D$35),COLUMN('Loan 1'!$D$35),4)</f>
        <v>D35</v>
      </c>
      <c r="D6446" t="b" cm="1">
        <f t="array" aca="1" ref="D6446" ca="1">IF(INDIRECT("'"&amp;A6446&amp;"'!"&amp;B6446)="",FALSE,IF(INDIRECT("'"&amp;A6446&amp;"'!"&amp;B6446)&lt;0,TRUE,FALSE))</f>
        <v>0</v>
      </c>
      <c r="E6446" t="s">
        <v>434</v>
      </c>
      <c r="F6446" t="str">
        <f>INDEX(Lists!I:I,MATCH(Validation!E6446,Lists!G:G,0))</f>
        <v>Error</v>
      </c>
      <c r="G6446" t="str">
        <f>INDEX(Lists!H:H,MATCH(Validation!E6446,Lists!G:G,0))</f>
        <v>Amount may not be negative. Enter an amount greater than or equal to zero.</v>
      </c>
      <c r="H6446" s="16" t="str">
        <f t="shared" ca="1" si="723"/>
        <v/>
      </c>
      <c r="I6446" s="16" t="str">
        <f t="shared" ca="1" si="724"/>
        <v/>
      </c>
      <c r="J6446" s="17" t="str">
        <f t="shared" ca="1" si="725"/>
        <v/>
      </c>
    </row>
    <row r="6447" spans="1:10" x14ac:dyDescent="0.25">
      <c r="A6447" t="s">
        <v>940</v>
      </c>
      <c r="B6447" t="str">
        <f>ADDRESS(ROW('Loan 1'!$C$35),COLUMN('Loan 1'!$C$35),4)</f>
        <v>C35</v>
      </c>
      <c r="C6447" t="str">
        <f>ADDRESS(ROW('Loan 1'!$D$35),COLUMN('Loan 1'!$D$35),4)</f>
        <v>D35</v>
      </c>
      <c r="D6447" t="b" cm="1">
        <f t="array" aca="1" ref="D6447" ca="1">IF(INDIRECT("'"&amp;A6447&amp;"'!"&amp;B6447)="",FALSE,IF(INDIRECT("'"&amp;A6447&amp;"'!"&amp;B6447)&lt;0,TRUE,FALSE))</f>
        <v>0</v>
      </c>
      <c r="E6447" t="s">
        <v>434</v>
      </c>
      <c r="F6447" t="str">
        <f>INDEX(Lists!I:I,MATCH(Validation!E6447,Lists!G:G,0))</f>
        <v>Error</v>
      </c>
      <c r="G6447" t="str">
        <f>INDEX(Lists!H:H,MATCH(Validation!E6447,Lists!G:G,0))</f>
        <v>Amount may not be negative. Enter an amount greater than or equal to zero.</v>
      </c>
      <c r="H6447" s="16" t="str">
        <f t="shared" ca="1" si="723"/>
        <v/>
      </c>
      <c r="I6447" s="16" t="str">
        <f t="shared" ca="1" si="724"/>
        <v/>
      </c>
      <c r="J6447" s="17" t="str">
        <f t="shared" ca="1" si="725"/>
        <v/>
      </c>
    </row>
    <row r="6448" spans="1:10" x14ac:dyDescent="0.25">
      <c r="A6448" t="s">
        <v>941</v>
      </c>
      <c r="B6448" t="str">
        <f>ADDRESS(ROW('Loan 1'!$C$35),COLUMN('Loan 1'!$C$35),4)</f>
        <v>C35</v>
      </c>
      <c r="C6448" t="str">
        <f>ADDRESS(ROW('Loan 1'!$D$35),COLUMN('Loan 1'!$D$35),4)</f>
        <v>D35</v>
      </c>
      <c r="D6448" t="b" cm="1">
        <f t="array" aca="1" ref="D6448" ca="1">IF(INDIRECT("'"&amp;A6448&amp;"'!"&amp;B6448)="",FALSE,IF(INDIRECT("'"&amp;A6448&amp;"'!"&amp;B6448)&lt;0,TRUE,FALSE))</f>
        <v>0</v>
      </c>
      <c r="E6448" t="s">
        <v>434</v>
      </c>
      <c r="F6448" t="str">
        <f>INDEX(Lists!I:I,MATCH(Validation!E6448,Lists!G:G,0))</f>
        <v>Error</v>
      </c>
      <c r="G6448" t="str">
        <f>INDEX(Lists!H:H,MATCH(Validation!E6448,Lists!G:G,0))</f>
        <v>Amount may not be negative. Enter an amount greater than or equal to zero.</v>
      </c>
      <c r="H6448" s="16" t="str">
        <f t="shared" ca="1" si="723"/>
        <v/>
      </c>
      <c r="I6448" s="16" t="str">
        <f t="shared" ca="1" si="724"/>
        <v/>
      </c>
      <c r="J6448" s="17" t="str">
        <f t="shared" ca="1" si="725"/>
        <v/>
      </c>
    </row>
    <row r="6449" spans="1:10" x14ac:dyDescent="0.25">
      <c r="A6449" t="s">
        <v>942</v>
      </c>
      <c r="B6449" t="str">
        <f>ADDRESS(ROW('Loan 1'!$C$35),COLUMN('Loan 1'!$C$35),4)</f>
        <v>C35</v>
      </c>
      <c r="C6449" t="str">
        <f>ADDRESS(ROW('Loan 1'!$D$35),COLUMN('Loan 1'!$D$35),4)</f>
        <v>D35</v>
      </c>
      <c r="D6449" t="b" cm="1">
        <f t="array" aca="1" ref="D6449" ca="1">IF(INDIRECT("'"&amp;A6449&amp;"'!"&amp;B6449)="",FALSE,IF(INDIRECT("'"&amp;A6449&amp;"'!"&amp;B6449)&lt;0,TRUE,FALSE))</f>
        <v>0</v>
      </c>
      <c r="E6449" t="s">
        <v>434</v>
      </c>
      <c r="F6449" t="str">
        <f>INDEX(Lists!I:I,MATCH(Validation!E6449,Lists!G:G,0))</f>
        <v>Error</v>
      </c>
      <c r="G6449" t="str">
        <f>INDEX(Lists!H:H,MATCH(Validation!E6449,Lists!G:G,0))</f>
        <v>Amount may not be negative. Enter an amount greater than or equal to zero.</v>
      </c>
      <c r="H6449" s="16" t="str">
        <f t="shared" ca="1" si="723"/>
        <v/>
      </c>
      <c r="I6449" s="16" t="str">
        <f t="shared" ca="1" si="724"/>
        <v/>
      </c>
      <c r="J6449" s="17" t="str">
        <f t="shared" ca="1" si="725"/>
        <v/>
      </c>
    </row>
    <row r="6450" spans="1:10" x14ac:dyDescent="0.25">
      <c r="A6450" t="s">
        <v>943</v>
      </c>
      <c r="B6450" t="str">
        <f>ADDRESS(ROW('Loan 1'!$C$35),COLUMN('Loan 1'!$C$35),4)</f>
        <v>C35</v>
      </c>
      <c r="C6450" t="str">
        <f>ADDRESS(ROW('Loan 1'!$D$35),COLUMN('Loan 1'!$D$35),4)</f>
        <v>D35</v>
      </c>
      <c r="D6450" t="b" cm="1">
        <f t="array" aca="1" ref="D6450" ca="1">IF(INDIRECT("'"&amp;A6450&amp;"'!"&amp;B6450)="",FALSE,IF(INDIRECT("'"&amp;A6450&amp;"'!"&amp;B6450)&lt;0,TRUE,FALSE))</f>
        <v>0</v>
      </c>
      <c r="E6450" t="s">
        <v>434</v>
      </c>
      <c r="F6450" t="str">
        <f>INDEX(Lists!I:I,MATCH(Validation!E6450,Lists!G:G,0))</f>
        <v>Error</v>
      </c>
      <c r="G6450" t="str">
        <f>INDEX(Lists!H:H,MATCH(Validation!E6450,Lists!G:G,0))</f>
        <v>Amount may not be negative. Enter an amount greater than or equal to zero.</v>
      </c>
      <c r="H6450" s="16" t="str">
        <f t="shared" ca="1" si="723"/>
        <v/>
      </c>
      <c r="I6450" s="16" t="str">
        <f t="shared" ca="1" si="724"/>
        <v/>
      </c>
      <c r="J6450" s="17" t="str">
        <f t="shared" ca="1" si="725"/>
        <v/>
      </c>
    </row>
    <row r="6451" spans="1:10" x14ac:dyDescent="0.25">
      <c r="A6451" t="s">
        <v>944</v>
      </c>
      <c r="B6451" t="str">
        <f>ADDRESS(ROW('Loan 1'!$C$35),COLUMN('Loan 1'!$C$35),4)</f>
        <v>C35</v>
      </c>
      <c r="C6451" t="str">
        <f>ADDRESS(ROW('Loan 1'!$D$35),COLUMN('Loan 1'!$D$35),4)</f>
        <v>D35</v>
      </c>
      <c r="D6451" t="b" cm="1">
        <f t="array" aca="1" ref="D6451" ca="1">IF(INDIRECT("'"&amp;A6451&amp;"'!"&amp;B6451)="",FALSE,IF(INDIRECT("'"&amp;A6451&amp;"'!"&amp;B6451)&lt;0,TRUE,FALSE))</f>
        <v>0</v>
      </c>
      <c r="E6451" t="s">
        <v>434</v>
      </c>
      <c r="F6451" t="str">
        <f>INDEX(Lists!I:I,MATCH(Validation!E6451,Lists!G:G,0))</f>
        <v>Error</v>
      </c>
      <c r="G6451" t="str">
        <f>INDEX(Lists!H:H,MATCH(Validation!E6451,Lists!G:G,0))</f>
        <v>Amount may not be negative. Enter an amount greater than or equal to zero.</v>
      </c>
      <c r="H6451" s="16" t="str">
        <f t="shared" ca="1" si="723"/>
        <v/>
      </c>
      <c r="I6451" s="16" t="str">
        <f t="shared" ca="1" si="724"/>
        <v/>
      </c>
      <c r="J6451" s="17" t="str">
        <f t="shared" ca="1" si="725"/>
        <v/>
      </c>
    </row>
    <row r="6452" spans="1:10" x14ac:dyDescent="0.25">
      <c r="A6452" t="s">
        <v>945</v>
      </c>
      <c r="B6452" t="str">
        <f>ADDRESS(ROW('Loan 1'!$C$35),COLUMN('Loan 1'!$C$35),4)</f>
        <v>C35</v>
      </c>
      <c r="C6452" t="str">
        <f>ADDRESS(ROW('Loan 1'!$D$35),COLUMN('Loan 1'!$D$35),4)</f>
        <v>D35</v>
      </c>
      <c r="D6452" t="b" cm="1">
        <f t="array" aca="1" ref="D6452" ca="1">IF(INDIRECT("'"&amp;A6452&amp;"'!"&amp;B6452)="",FALSE,IF(INDIRECT("'"&amp;A6452&amp;"'!"&amp;B6452)&lt;0,TRUE,FALSE))</f>
        <v>0</v>
      </c>
      <c r="E6452" t="s">
        <v>434</v>
      </c>
      <c r="F6452" t="str">
        <f>INDEX(Lists!I:I,MATCH(Validation!E6452,Lists!G:G,0))</f>
        <v>Error</v>
      </c>
      <c r="G6452" t="str">
        <f>INDEX(Lists!H:H,MATCH(Validation!E6452,Lists!G:G,0))</f>
        <v>Amount may not be negative. Enter an amount greater than or equal to zero.</v>
      </c>
      <c r="H6452" s="16" t="str">
        <f t="shared" ca="1" si="723"/>
        <v/>
      </c>
      <c r="I6452" s="16" t="str">
        <f t="shared" ca="1" si="724"/>
        <v/>
      </c>
      <c r="J6452" s="17" t="str">
        <f t="shared" ca="1" si="725"/>
        <v/>
      </c>
    </row>
    <row r="6453" spans="1:10" x14ac:dyDescent="0.25">
      <c r="A6453" t="s">
        <v>205</v>
      </c>
      <c r="B6453" t="str">
        <f>ADDRESS(ROW('Loan 1'!$C$35),COLUMN('Loan 1'!$C$35),4)</f>
        <v>C35</v>
      </c>
      <c r="C6453" t="str">
        <f>ADDRESS(ROW('Loan 1'!$D$35),COLUMN('Loan 1'!$D$35),4)</f>
        <v>D35</v>
      </c>
      <c r="D6453" t="b" cm="1">
        <f t="array" aca="1" ref="D6453" ca="1">IF(INDIRECT("'"&amp;A6453&amp;"'!"&amp;B6453)="",FALSE,IF(TRUNC(INDIRECT("'"&amp;A6453&amp;"'!"&amp;B6453))=INDIRECT("'"&amp;A6453&amp;"'!"&amp;B6453),FALSE,TRUE))</f>
        <v>0</v>
      </c>
      <c r="E6453" t="s">
        <v>436</v>
      </c>
      <c r="F6453" t="str">
        <f>INDEX(Lists!I:I,MATCH(Validation!E6453,Lists!G:G,0))</f>
        <v>Error</v>
      </c>
      <c r="G6453" t="str">
        <f>INDEX(Lists!H:H,MATCH(Validation!E6453,Lists!G:G,0))</f>
        <v>Amount must be rounded to the nearest dollar.</v>
      </c>
      <c r="H6453" s="16" t="str">
        <f t="shared" ref="H6453:H6467" ca="1" si="726">IFERROR(IF(OR(NOT(D6453),F6453&lt;&gt;"Error"),"",A6453&amp;CELL("address",INDIRECT(B6453))),"")</f>
        <v/>
      </c>
      <c r="I6453" s="16" t="str">
        <f t="shared" ref="I6453:I6467" ca="1" si="727">IFERROR(IF(NOT(D6453),"",A6453&amp;CELL("address",INDIRECT(C6453))),"")</f>
        <v/>
      </c>
      <c r="J6453" s="17" t="str">
        <f t="shared" ref="J6453:J6467" ca="1" si="728">IFERROR(IF(NOT(D6453),"",A6453),"")</f>
        <v/>
      </c>
    </row>
    <row r="6454" spans="1:10" x14ac:dyDescent="0.25">
      <c r="A6454" t="s">
        <v>932</v>
      </c>
      <c r="B6454" t="str">
        <f>ADDRESS(ROW('Loan 1'!$C$35),COLUMN('Loan 1'!$C$35),4)</f>
        <v>C35</v>
      </c>
      <c r="C6454" t="str">
        <f>ADDRESS(ROW('Loan 1'!$D$35),COLUMN('Loan 1'!$D$35),4)</f>
        <v>D35</v>
      </c>
      <c r="D6454" t="b" cm="1">
        <f t="array" aca="1" ref="D6454" ca="1">IF(INDIRECT("'"&amp;A6454&amp;"'!"&amp;B6454)="",FALSE,IF(TRUNC(INDIRECT("'"&amp;A6454&amp;"'!"&amp;B6454))=INDIRECT("'"&amp;A6454&amp;"'!"&amp;B6454),FALSE,TRUE))</f>
        <v>0</v>
      </c>
      <c r="E6454" t="s">
        <v>436</v>
      </c>
      <c r="F6454" t="str">
        <f>INDEX(Lists!I:I,MATCH(Validation!E6454,Lists!G:G,0))</f>
        <v>Error</v>
      </c>
      <c r="G6454" t="str">
        <f>INDEX(Lists!H:H,MATCH(Validation!E6454,Lists!G:G,0))</f>
        <v>Amount must be rounded to the nearest dollar.</v>
      </c>
      <c r="H6454" s="16" t="str">
        <f t="shared" ca="1" si="726"/>
        <v/>
      </c>
      <c r="I6454" s="16" t="str">
        <f t="shared" ca="1" si="727"/>
        <v/>
      </c>
      <c r="J6454" s="17" t="str">
        <f t="shared" ca="1" si="728"/>
        <v/>
      </c>
    </row>
    <row r="6455" spans="1:10" x14ac:dyDescent="0.25">
      <c r="A6455" t="s">
        <v>933</v>
      </c>
      <c r="B6455" t="str">
        <f>ADDRESS(ROW('Loan 1'!$C$35),COLUMN('Loan 1'!$C$35),4)</f>
        <v>C35</v>
      </c>
      <c r="C6455" t="str">
        <f>ADDRESS(ROW('Loan 1'!$D$35),COLUMN('Loan 1'!$D$35),4)</f>
        <v>D35</v>
      </c>
      <c r="D6455" t="b" cm="1">
        <f t="array" aca="1" ref="D6455" ca="1">IF(INDIRECT("'"&amp;A6455&amp;"'!"&amp;B6455)="",FALSE,IF(TRUNC(INDIRECT("'"&amp;A6455&amp;"'!"&amp;B6455))=INDIRECT("'"&amp;A6455&amp;"'!"&amp;B6455),FALSE,TRUE))</f>
        <v>0</v>
      </c>
      <c r="E6455" t="s">
        <v>436</v>
      </c>
      <c r="F6455" t="str">
        <f>INDEX(Lists!I:I,MATCH(Validation!E6455,Lists!G:G,0))</f>
        <v>Error</v>
      </c>
      <c r="G6455" t="str">
        <f>INDEX(Lists!H:H,MATCH(Validation!E6455,Lists!G:G,0))</f>
        <v>Amount must be rounded to the nearest dollar.</v>
      </c>
      <c r="H6455" s="16" t="str">
        <f t="shared" ca="1" si="726"/>
        <v/>
      </c>
      <c r="I6455" s="16" t="str">
        <f t="shared" ca="1" si="727"/>
        <v/>
      </c>
      <c r="J6455" s="17" t="str">
        <f t="shared" ca="1" si="728"/>
        <v/>
      </c>
    </row>
    <row r="6456" spans="1:10" x14ac:dyDescent="0.25">
      <c r="A6456" t="s">
        <v>934</v>
      </c>
      <c r="B6456" t="str">
        <f>ADDRESS(ROW('Loan 1'!$C$35),COLUMN('Loan 1'!$C$35),4)</f>
        <v>C35</v>
      </c>
      <c r="C6456" t="str">
        <f>ADDRESS(ROW('Loan 1'!$D$35),COLUMN('Loan 1'!$D$35),4)</f>
        <v>D35</v>
      </c>
      <c r="D6456" t="b" cm="1">
        <f t="array" aca="1" ref="D6456" ca="1">IF(INDIRECT("'"&amp;A6456&amp;"'!"&amp;B6456)="",FALSE,IF(TRUNC(INDIRECT("'"&amp;A6456&amp;"'!"&amp;B6456))=INDIRECT("'"&amp;A6456&amp;"'!"&amp;B6456),FALSE,TRUE))</f>
        <v>0</v>
      </c>
      <c r="E6456" t="s">
        <v>436</v>
      </c>
      <c r="F6456" t="str">
        <f>INDEX(Lists!I:I,MATCH(Validation!E6456,Lists!G:G,0))</f>
        <v>Error</v>
      </c>
      <c r="G6456" t="str">
        <f>INDEX(Lists!H:H,MATCH(Validation!E6456,Lists!G:G,0))</f>
        <v>Amount must be rounded to the nearest dollar.</v>
      </c>
      <c r="H6456" s="16" t="str">
        <f t="shared" ca="1" si="726"/>
        <v/>
      </c>
      <c r="I6456" s="16" t="str">
        <f t="shared" ca="1" si="727"/>
        <v/>
      </c>
      <c r="J6456" s="17" t="str">
        <f t="shared" ca="1" si="728"/>
        <v/>
      </c>
    </row>
    <row r="6457" spans="1:10" x14ac:dyDescent="0.25">
      <c r="A6457" t="s">
        <v>935</v>
      </c>
      <c r="B6457" t="str">
        <f>ADDRESS(ROW('Loan 1'!$C$35),COLUMN('Loan 1'!$C$35),4)</f>
        <v>C35</v>
      </c>
      <c r="C6457" t="str">
        <f>ADDRESS(ROW('Loan 1'!$D$35),COLUMN('Loan 1'!$D$35),4)</f>
        <v>D35</v>
      </c>
      <c r="D6457" t="b" cm="1">
        <f t="array" aca="1" ref="D6457" ca="1">IF(INDIRECT("'"&amp;A6457&amp;"'!"&amp;B6457)="",FALSE,IF(TRUNC(INDIRECT("'"&amp;A6457&amp;"'!"&amp;B6457))=INDIRECT("'"&amp;A6457&amp;"'!"&amp;B6457),FALSE,TRUE))</f>
        <v>0</v>
      </c>
      <c r="E6457" t="s">
        <v>436</v>
      </c>
      <c r="F6457" t="str">
        <f>INDEX(Lists!I:I,MATCH(Validation!E6457,Lists!G:G,0))</f>
        <v>Error</v>
      </c>
      <c r="G6457" t="str">
        <f>INDEX(Lists!H:H,MATCH(Validation!E6457,Lists!G:G,0))</f>
        <v>Amount must be rounded to the nearest dollar.</v>
      </c>
      <c r="H6457" s="16" t="str">
        <f t="shared" ca="1" si="726"/>
        <v/>
      </c>
      <c r="I6457" s="16" t="str">
        <f t="shared" ca="1" si="727"/>
        <v/>
      </c>
      <c r="J6457" s="17" t="str">
        <f t="shared" ca="1" si="728"/>
        <v/>
      </c>
    </row>
    <row r="6458" spans="1:10" x14ac:dyDescent="0.25">
      <c r="A6458" t="s">
        <v>936</v>
      </c>
      <c r="B6458" t="str">
        <f>ADDRESS(ROW('Loan 1'!$C$35),COLUMN('Loan 1'!$C$35),4)</f>
        <v>C35</v>
      </c>
      <c r="C6458" t="str">
        <f>ADDRESS(ROW('Loan 1'!$D$35),COLUMN('Loan 1'!$D$35),4)</f>
        <v>D35</v>
      </c>
      <c r="D6458" t="b" cm="1">
        <f t="array" aca="1" ref="D6458" ca="1">IF(INDIRECT("'"&amp;A6458&amp;"'!"&amp;B6458)="",FALSE,IF(TRUNC(INDIRECT("'"&amp;A6458&amp;"'!"&amp;B6458))=INDIRECT("'"&amp;A6458&amp;"'!"&amp;B6458),FALSE,TRUE))</f>
        <v>0</v>
      </c>
      <c r="E6458" t="s">
        <v>436</v>
      </c>
      <c r="F6458" t="str">
        <f>INDEX(Lists!I:I,MATCH(Validation!E6458,Lists!G:G,0))</f>
        <v>Error</v>
      </c>
      <c r="G6458" t="str">
        <f>INDEX(Lists!H:H,MATCH(Validation!E6458,Lists!G:G,0))</f>
        <v>Amount must be rounded to the nearest dollar.</v>
      </c>
      <c r="H6458" s="16" t="str">
        <f t="shared" ca="1" si="726"/>
        <v/>
      </c>
      <c r="I6458" s="16" t="str">
        <f t="shared" ca="1" si="727"/>
        <v/>
      </c>
      <c r="J6458" s="17" t="str">
        <f t="shared" ca="1" si="728"/>
        <v/>
      </c>
    </row>
    <row r="6459" spans="1:10" x14ac:dyDescent="0.25">
      <c r="A6459" t="s">
        <v>937</v>
      </c>
      <c r="B6459" t="str">
        <f>ADDRESS(ROW('Loan 1'!$C$35),COLUMN('Loan 1'!$C$35),4)</f>
        <v>C35</v>
      </c>
      <c r="C6459" t="str">
        <f>ADDRESS(ROW('Loan 1'!$D$35),COLUMN('Loan 1'!$D$35),4)</f>
        <v>D35</v>
      </c>
      <c r="D6459" t="b" cm="1">
        <f t="array" aca="1" ref="D6459" ca="1">IF(INDIRECT("'"&amp;A6459&amp;"'!"&amp;B6459)="",FALSE,IF(TRUNC(INDIRECT("'"&amp;A6459&amp;"'!"&amp;B6459))=INDIRECT("'"&amp;A6459&amp;"'!"&amp;B6459),FALSE,TRUE))</f>
        <v>0</v>
      </c>
      <c r="E6459" t="s">
        <v>436</v>
      </c>
      <c r="F6459" t="str">
        <f>INDEX(Lists!I:I,MATCH(Validation!E6459,Lists!G:G,0))</f>
        <v>Error</v>
      </c>
      <c r="G6459" t="str">
        <f>INDEX(Lists!H:H,MATCH(Validation!E6459,Lists!G:G,0))</f>
        <v>Amount must be rounded to the nearest dollar.</v>
      </c>
      <c r="H6459" s="16" t="str">
        <f t="shared" ca="1" si="726"/>
        <v/>
      </c>
      <c r="I6459" s="16" t="str">
        <f t="shared" ca="1" si="727"/>
        <v/>
      </c>
      <c r="J6459" s="17" t="str">
        <f t="shared" ca="1" si="728"/>
        <v/>
      </c>
    </row>
    <row r="6460" spans="1:10" x14ac:dyDescent="0.25">
      <c r="A6460" t="s">
        <v>938</v>
      </c>
      <c r="B6460" t="str">
        <f>ADDRESS(ROW('Loan 1'!$C$35),COLUMN('Loan 1'!$C$35),4)</f>
        <v>C35</v>
      </c>
      <c r="C6460" t="str">
        <f>ADDRESS(ROW('Loan 1'!$D$35),COLUMN('Loan 1'!$D$35),4)</f>
        <v>D35</v>
      </c>
      <c r="D6460" t="b" cm="1">
        <f t="array" aca="1" ref="D6460" ca="1">IF(INDIRECT("'"&amp;A6460&amp;"'!"&amp;B6460)="",FALSE,IF(TRUNC(INDIRECT("'"&amp;A6460&amp;"'!"&amp;B6460))=INDIRECT("'"&amp;A6460&amp;"'!"&amp;B6460),FALSE,TRUE))</f>
        <v>0</v>
      </c>
      <c r="E6460" t="s">
        <v>436</v>
      </c>
      <c r="F6460" t="str">
        <f>INDEX(Lists!I:I,MATCH(Validation!E6460,Lists!G:G,0))</f>
        <v>Error</v>
      </c>
      <c r="G6460" t="str">
        <f>INDEX(Lists!H:H,MATCH(Validation!E6460,Lists!G:G,0))</f>
        <v>Amount must be rounded to the nearest dollar.</v>
      </c>
      <c r="H6460" s="16" t="str">
        <f t="shared" ca="1" si="726"/>
        <v/>
      </c>
      <c r="I6460" s="16" t="str">
        <f t="shared" ca="1" si="727"/>
        <v/>
      </c>
      <c r="J6460" s="17" t="str">
        <f t="shared" ca="1" si="728"/>
        <v/>
      </c>
    </row>
    <row r="6461" spans="1:10" x14ac:dyDescent="0.25">
      <c r="A6461" t="s">
        <v>939</v>
      </c>
      <c r="B6461" t="str">
        <f>ADDRESS(ROW('Loan 1'!$C$35),COLUMN('Loan 1'!$C$35),4)</f>
        <v>C35</v>
      </c>
      <c r="C6461" t="str">
        <f>ADDRESS(ROW('Loan 1'!$D$35),COLUMN('Loan 1'!$D$35),4)</f>
        <v>D35</v>
      </c>
      <c r="D6461" t="b" cm="1">
        <f t="array" aca="1" ref="D6461" ca="1">IF(INDIRECT("'"&amp;A6461&amp;"'!"&amp;B6461)="",FALSE,IF(TRUNC(INDIRECT("'"&amp;A6461&amp;"'!"&amp;B6461))=INDIRECT("'"&amp;A6461&amp;"'!"&amp;B6461),FALSE,TRUE))</f>
        <v>0</v>
      </c>
      <c r="E6461" t="s">
        <v>436</v>
      </c>
      <c r="F6461" t="str">
        <f>INDEX(Lists!I:I,MATCH(Validation!E6461,Lists!G:G,0))</f>
        <v>Error</v>
      </c>
      <c r="G6461" t="str">
        <f>INDEX(Lists!H:H,MATCH(Validation!E6461,Lists!G:G,0))</f>
        <v>Amount must be rounded to the nearest dollar.</v>
      </c>
      <c r="H6461" s="16" t="str">
        <f t="shared" ca="1" si="726"/>
        <v/>
      </c>
      <c r="I6461" s="16" t="str">
        <f t="shared" ca="1" si="727"/>
        <v/>
      </c>
      <c r="J6461" s="17" t="str">
        <f t="shared" ca="1" si="728"/>
        <v/>
      </c>
    </row>
    <row r="6462" spans="1:10" x14ac:dyDescent="0.25">
      <c r="A6462" t="s">
        <v>940</v>
      </c>
      <c r="B6462" t="str">
        <f>ADDRESS(ROW('Loan 1'!$C$35),COLUMN('Loan 1'!$C$35),4)</f>
        <v>C35</v>
      </c>
      <c r="C6462" t="str">
        <f>ADDRESS(ROW('Loan 1'!$D$35),COLUMN('Loan 1'!$D$35),4)</f>
        <v>D35</v>
      </c>
      <c r="D6462" t="b" cm="1">
        <f t="array" aca="1" ref="D6462" ca="1">IF(INDIRECT("'"&amp;A6462&amp;"'!"&amp;B6462)="",FALSE,IF(TRUNC(INDIRECT("'"&amp;A6462&amp;"'!"&amp;B6462))=INDIRECT("'"&amp;A6462&amp;"'!"&amp;B6462),FALSE,TRUE))</f>
        <v>0</v>
      </c>
      <c r="E6462" t="s">
        <v>436</v>
      </c>
      <c r="F6462" t="str">
        <f>INDEX(Lists!I:I,MATCH(Validation!E6462,Lists!G:G,0))</f>
        <v>Error</v>
      </c>
      <c r="G6462" t="str">
        <f>INDEX(Lists!H:H,MATCH(Validation!E6462,Lists!G:G,0))</f>
        <v>Amount must be rounded to the nearest dollar.</v>
      </c>
      <c r="H6462" s="16" t="str">
        <f t="shared" ca="1" si="726"/>
        <v/>
      </c>
      <c r="I6462" s="16" t="str">
        <f t="shared" ca="1" si="727"/>
        <v/>
      </c>
      <c r="J6462" s="17" t="str">
        <f t="shared" ca="1" si="728"/>
        <v/>
      </c>
    </row>
    <row r="6463" spans="1:10" x14ac:dyDescent="0.25">
      <c r="A6463" t="s">
        <v>941</v>
      </c>
      <c r="B6463" t="str">
        <f>ADDRESS(ROW('Loan 1'!$C$35),COLUMN('Loan 1'!$C$35),4)</f>
        <v>C35</v>
      </c>
      <c r="C6463" t="str">
        <f>ADDRESS(ROW('Loan 1'!$D$35),COLUMN('Loan 1'!$D$35),4)</f>
        <v>D35</v>
      </c>
      <c r="D6463" t="b" cm="1">
        <f t="array" aca="1" ref="D6463" ca="1">IF(INDIRECT("'"&amp;A6463&amp;"'!"&amp;B6463)="",FALSE,IF(TRUNC(INDIRECT("'"&amp;A6463&amp;"'!"&amp;B6463))=INDIRECT("'"&amp;A6463&amp;"'!"&amp;B6463),FALSE,TRUE))</f>
        <v>0</v>
      </c>
      <c r="E6463" t="s">
        <v>436</v>
      </c>
      <c r="F6463" t="str">
        <f>INDEX(Lists!I:I,MATCH(Validation!E6463,Lists!G:G,0))</f>
        <v>Error</v>
      </c>
      <c r="G6463" t="str">
        <f>INDEX(Lists!H:H,MATCH(Validation!E6463,Lists!G:G,0))</f>
        <v>Amount must be rounded to the nearest dollar.</v>
      </c>
      <c r="H6463" s="16" t="str">
        <f t="shared" ca="1" si="726"/>
        <v/>
      </c>
      <c r="I6463" s="16" t="str">
        <f t="shared" ca="1" si="727"/>
        <v/>
      </c>
      <c r="J6463" s="17" t="str">
        <f t="shared" ca="1" si="728"/>
        <v/>
      </c>
    </row>
    <row r="6464" spans="1:10" x14ac:dyDescent="0.25">
      <c r="A6464" t="s">
        <v>942</v>
      </c>
      <c r="B6464" t="str">
        <f>ADDRESS(ROW('Loan 1'!$C$35),COLUMN('Loan 1'!$C$35),4)</f>
        <v>C35</v>
      </c>
      <c r="C6464" t="str">
        <f>ADDRESS(ROW('Loan 1'!$D$35),COLUMN('Loan 1'!$D$35),4)</f>
        <v>D35</v>
      </c>
      <c r="D6464" t="b" cm="1">
        <f t="array" aca="1" ref="D6464" ca="1">IF(INDIRECT("'"&amp;A6464&amp;"'!"&amp;B6464)="",FALSE,IF(TRUNC(INDIRECT("'"&amp;A6464&amp;"'!"&amp;B6464))=INDIRECT("'"&amp;A6464&amp;"'!"&amp;B6464),FALSE,TRUE))</f>
        <v>0</v>
      </c>
      <c r="E6464" t="s">
        <v>436</v>
      </c>
      <c r="F6464" t="str">
        <f>INDEX(Lists!I:I,MATCH(Validation!E6464,Lists!G:G,0))</f>
        <v>Error</v>
      </c>
      <c r="G6464" t="str">
        <f>INDEX(Lists!H:H,MATCH(Validation!E6464,Lists!G:G,0))</f>
        <v>Amount must be rounded to the nearest dollar.</v>
      </c>
      <c r="H6464" s="16" t="str">
        <f t="shared" ca="1" si="726"/>
        <v/>
      </c>
      <c r="I6464" s="16" t="str">
        <f t="shared" ca="1" si="727"/>
        <v/>
      </c>
      <c r="J6464" s="17" t="str">
        <f t="shared" ca="1" si="728"/>
        <v/>
      </c>
    </row>
    <row r="6465" spans="1:10" x14ac:dyDescent="0.25">
      <c r="A6465" t="s">
        <v>943</v>
      </c>
      <c r="B6465" t="str">
        <f>ADDRESS(ROW('Loan 1'!$C$35),COLUMN('Loan 1'!$C$35),4)</f>
        <v>C35</v>
      </c>
      <c r="C6465" t="str">
        <f>ADDRESS(ROW('Loan 1'!$D$35),COLUMN('Loan 1'!$D$35),4)</f>
        <v>D35</v>
      </c>
      <c r="D6465" t="b" cm="1">
        <f t="array" aca="1" ref="D6465" ca="1">IF(INDIRECT("'"&amp;A6465&amp;"'!"&amp;B6465)="",FALSE,IF(TRUNC(INDIRECT("'"&amp;A6465&amp;"'!"&amp;B6465))=INDIRECT("'"&amp;A6465&amp;"'!"&amp;B6465),FALSE,TRUE))</f>
        <v>0</v>
      </c>
      <c r="E6465" t="s">
        <v>436</v>
      </c>
      <c r="F6465" t="str">
        <f>INDEX(Lists!I:I,MATCH(Validation!E6465,Lists!G:G,0))</f>
        <v>Error</v>
      </c>
      <c r="G6465" t="str">
        <f>INDEX(Lists!H:H,MATCH(Validation!E6465,Lists!G:G,0))</f>
        <v>Amount must be rounded to the nearest dollar.</v>
      </c>
      <c r="H6465" s="16" t="str">
        <f t="shared" ca="1" si="726"/>
        <v/>
      </c>
      <c r="I6465" s="16" t="str">
        <f t="shared" ca="1" si="727"/>
        <v/>
      </c>
      <c r="J6465" s="17" t="str">
        <f t="shared" ca="1" si="728"/>
        <v/>
      </c>
    </row>
    <row r="6466" spans="1:10" x14ac:dyDescent="0.25">
      <c r="A6466" t="s">
        <v>944</v>
      </c>
      <c r="B6466" t="str">
        <f>ADDRESS(ROW('Loan 1'!$C$35),COLUMN('Loan 1'!$C$35),4)</f>
        <v>C35</v>
      </c>
      <c r="C6466" t="str">
        <f>ADDRESS(ROW('Loan 1'!$D$35),COLUMN('Loan 1'!$D$35),4)</f>
        <v>D35</v>
      </c>
      <c r="D6466" t="b" cm="1">
        <f t="array" aca="1" ref="D6466" ca="1">IF(INDIRECT("'"&amp;A6466&amp;"'!"&amp;B6466)="",FALSE,IF(TRUNC(INDIRECT("'"&amp;A6466&amp;"'!"&amp;B6466))=INDIRECT("'"&amp;A6466&amp;"'!"&amp;B6466),FALSE,TRUE))</f>
        <v>0</v>
      </c>
      <c r="E6466" t="s">
        <v>436</v>
      </c>
      <c r="F6466" t="str">
        <f>INDEX(Lists!I:I,MATCH(Validation!E6466,Lists!G:G,0))</f>
        <v>Error</v>
      </c>
      <c r="G6466" t="str">
        <f>INDEX(Lists!H:H,MATCH(Validation!E6466,Lists!G:G,0))</f>
        <v>Amount must be rounded to the nearest dollar.</v>
      </c>
      <c r="H6466" s="16" t="str">
        <f t="shared" ca="1" si="726"/>
        <v/>
      </c>
      <c r="I6466" s="16" t="str">
        <f t="shared" ca="1" si="727"/>
        <v/>
      </c>
      <c r="J6466" s="17" t="str">
        <f t="shared" ca="1" si="728"/>
        <v/>
      </c>
    </row>
    <row r="6467" spans="1:10" x14ac:dyDescent="0.25">
      <c r="A6467" t="s">
        <v>945</v>
      </c>
      <c r="B6467" t="str">
        <f>ADDRESS(ROW('Loan 1'!$C$35),COLUMN('Loan 1'!$C$35),4)</f>
        <v>C35</v>
      </c>
      <c r="C6467" t="str">
        <f>ADDRESS(ROW('Loan 1'!$D$35),COLUMN('Loan 1'!$D$35),4)</f>
        <v>D35</v>
      </c>
      <c r="D6467" t="b" cm="1">
        <f t="array" aca="1" ref="D6467" ca="1">IF(INDIRECT("'"&amp;A6467&amp;"'!"&amp;B6467)="",FALSE,IF(TRUNC(INDIRECT("'"&amp;A6467&amp;"'!"&amp;B6467))=INDIRECT("'"&amp;A6467&amp;"'!"&amp;B6467),FALSE,TRUE))</f>
        <v>0</v>
      </c>
      <c r="E6467" t="s">
        <v>436</v>
      </c>
      <c r="F6467" t="str">
        <f>INDEX(Lists!I:I,MATCH(Validation!E6467,Lists!G:G,0))</f>
        <v>Error</v>
      </c>
      <c r="G6467" t="str">
        <f>INDEX(Lists!H:H,MATCH(Validation!E6467,Lists!G:G,0))</f>
        <v>Amount must be rounded to the nearest dollar.</v>
      </c>
      <c r="H6467" s="16" t="str">
        <f t="shared" ca="1" si="726"/>
        <v/>
      </c>
      <c r="I6467" s="16" t="str">
        <f t="shared" ca="1" si="727"/>
        <v/>
      </c>
      <c r="J6467" s="17" t="str">
        <f t="shared" ca="1" si="728"/>
        <v/>
      </c>
    </row>
    <row r="6468" spans="1:10" x14ac:dyDescent="0.25">
      <c r="A6468" t="s">
        <v>205</v>
      </c>
      <c r="B6468" t="str">
        <f>ADDRESS(ROW('Loan 1'!$B$36),COLUMN('Loan 1'!$B$36),4)</f>
        <v>B36</v>
      </c>
      <c r="C6468" t="str">
        <f>ADDRESS(ROW('Loan 1'!$D$36),COLUMN('Loan 1'!$D$36),4)</f>
        <v>D36</v>
      </c>
      <c r="D6468" t="b" cm="1">
        <f t="array" aca="1" ref="D6468" ca="1">IF(INDIRECT("'"&amp;A6468&amp;"'!"&amp;B6468)="",FALSE,IF(NOT(ISNUMBER(INDIRECT("'"&amp;A6468&amp;"'!"&amp;B6468))),TRUE,FALSE))</f>
        <v>0</v>
      </c>
      <c r="E6468" t="s">
        <v>435</v>
      </c>
      <c r="F6468" t="str">
        <f>INDEX(Lists!I:I,MATCH(Validation!E6468,Lists!G:G,0))</f>
        <v>Error</v>
      </c>
      <c r="G6468" t="str">
        <f>INDEX(Lists!H:H,MATCH(Validation!E6468,Lists!G:G,0))</f>
        <v>Enter an amount only. Do not enter text or spaces.</v>
      </c>
      <c r="H6468" s="16" t="str">
        <f t="shared" ca="1" si="717"/>
        <v/>
      </c>
      <c r="I6468" s="16" t="str">
        <f t="shared" ca="1" si="718"/>
        <v/>
      </c>
      <c r="J6468" s="17" t="str">
        <f t="shared" ca="1" si="719"/>
        <v/>
      </c>
    </row>
    <row r="6469" spans="1:10" x14ac:dyDescent="0.25">
      <c r="A6469" t="s">
        <v>932</v>
      </c>
      <c r="B6469" t="str">
        <f>ADDRESS(ROW('Loan 1'!$B$36),COLUMN('Loan 1'!$B$36),4)</f>
        <v>B36</v>
      </c>
      <c r="C6469" t="str">
        <f>ADDRESS(ROW('Loan 1'!$D$36),COLUMN('Loan 1'!$D$36),4)</f>
        <v>D36</v>
      </c>
      <c r="D6469" t="b" cm="1">
        <f t="array" aca="1" ref="D6469" ca="1">IF(INDIRECT("'"&amp;A6469&amp;"'!"&amp;B6469)="",FALSE,IF(NOT(ISNUMBER(INDIRECT("'"&amp;A6469&amp;"'!"&amp;B6469))),TRUE,FALSE))</f>
        <v>0</v>
      </c>
      <c r="E6469" t="s">
        <v>435</v>
      </c>
      <c r="F6469" t="str">
        <f>INDEX(Lists!I:I,MATCH(Validation!E6469,Lists!G:G,0))</f>
        <v>Error</v>
      </c>
      <c r="G6469" t="str">
        <f>INDEX(Lists!H:H,MATCH(Validation!E6469,Lists!G:G,0))</f>
        <v>Enter an amount only. Do not enter text or spaces.</v>
      </c>
      <c r="H6469" s="16" t="str">
        <f t="shared" ref="H6469:H6482" ca="1" si="729">IFERROR(IF(OR(NOT(D6469),F6469&lt;&gt;"Error"),"",A6469&amp;CELL("address",INDIRECT(B6469))),"")</f>
        <v/>
      </c>
      <c r="I6469" s="16" t="str">
        <f t="shared" ref="I6469:I6482" ca="1" si="730">IFERROR(IF(NOT(D6469),"",A6469&amp;CELL("address",INDIRECT(C6469))),"")</f>
        <v/>
      </c>
      <c r="J6469" s="17" t="str">
        <f t="shared" ref="J6469:J6482" ca="1" si="731">IFERROR(IF(NOT(D6469),"",A6469),"")</f>
        <v/>
      </c>
    </row>
    <row r="6470" spans="1:10" x14ac:dyDescent="0.25">
      <c r="A6470" t="s">
        <v>933</v>
      </c>
      <c r="B6470" t="str">
        <f>ADDRESS(ROW('Loan 1'!$B$36),COLUMN('Loan 1'!$B$36),4)</f>
        <v>B36</v>
      </c>
      <c r="C6470" t="str">
        <f>ADDRESS(ROW('Loan 1'!$D$36),COLUMN('Loan 1'!$D$36),4)</f>
        <v>D36</v>
      </c>
      <c r="D6470" t="b" cm="1">
        <f t="array" aca="1" ref="D6470" ca="1">IF(INDIRECT("'"&amp;A6470&amp;"'!"&amp;B6470)="",FALSE,IF(NOT(ISNUMBER(INDIRECT("'"&amp;A6470&amp;"'!"&amp;B6470))),TRUE,FALSE))</f>
        <v>0</v>
      </c>
      <c r="E6470" t="s">
        <v>435</v>
      </c>
      <c r="F6470" t="str">
        <f>INDEX(Lists!I:I,MATCH(Validation!E6470,Lists!G:G,0))</f>
        <v>Error</v>
      </c>
      <c r="G6470" t="str">
        <f>INDEX(Lists!H:H,MATCH(Validation!E6470,Lists!G:G,0))</f>
        <v>Enter an amount only. Do not enter text or spaces.</v>
      </c>
      <c r="H6470" s="16" t="str">
        <f t="shared" ca="1" si="729"/>
        <v/>
      </c>
      <c r="I6470" s="16" t="str">
        <f t="shared" ca="1" si="730"/>
        <v/>
      </c>
      <c r="J6470" s="17" t="str">
        <f t="shared" ca="1" si="731"/>
        <v/>
      </c>
    </row>
    <row r="6471" spans="1:10" x14ac:dyDescent="0.25">
      <c r="A6471" t="s">
        <v>934</v>
      </c>
      <c r="B6471" t="str">
        <f>ADDRESS(ROW('Loan 1'!$B$36),COLUMN('Loan 1'!$B$36),4)</f>
        <v>B36</v>
      </c>
      <c r="C6471" t="str">
        <f>ADDRESS(ROW('Loan 1'!$D$36),COLUMN('Loan 1'!$D$36),4)</f>
        <v>D36</v>
      </c>
      <c r="D6471" t="b" cm="1">
        <f t="array" aca="1" ref="D6471" ca="1">IF(INDIRECT("'"&amp;A6471&amp;"'!"&amp;B6471)="",FALSE,IF(NOT(ISNUMBER(INDIRECT("'"&amp;A6471&amp;"'!"&amp;B6471))),TRUE,FALSE))</f>
        <v>0</v>
      </c>
      <c r="E6471" t="s">
        <v>435</v>
      </c>
      <c r="F6471" t="str">
        <f>INDEX(Lists!I:I,MATCH(Validation!E6471,Lists!G:G,0))</f>
        <v>Error</v>
      </c>
      <c r="G6471" t="str">
        <f>INDEX(Lists!H:H,MATCH(Validation!E6471,Lists!G:G,0))</f>
        <v>Enter an amount only. Do not enter text or spaces.</v>
      </c>
      <c r="H6471" s="16" t="str">
        <f t="shared" ca="1" si="729"/>
        <v/>
      </c>
      <c r="I6471" s="16" t="str">
        <f t="shared" ca="1" si="730"/>
        <v/>
      </c>
      <c r="J6471" s="17" t="str">
        <f t="shared" ca="1" si="731"/>
        <v/>
      </c>
    </row>
    <row r="6472" spans="1:10" x14ac:dyDescent="0.25">
      <c r="A6472" t="s">
        <v>935</v>
      </c>
      <c r="B6472" t="str">
        <f>ADDRESS(ROW('Loan 1'!$B$36),COLUMN('Loan 1'!$B$36),4)</f>
        <v>B36</v>
      </c>
      <c r="C6472" t="str">
        <f>ADDRESS(ROW('Loan 1'!$D$36),COLUMN('Loan 1'!$D$36),4)</f>
        <v>D36</v>
      </c>
      <c r="D6472" t="b" cm="1">
        <f t="array" aca="1" ref="D6472" ca="1">IF(INDIRECT("'"&amp;A6472&amp;"'!"&amp;B6472)="",FALSE,IF(NOT(ISNUMBER(INDIRECT("'"&amp;A6472&amp;"'!"&amp;B6472))),TRUE,FALSE))</f>
        <v>0</v>
      </c>
      <c r="E6472" t="s">
        <v>435</v>
      </c>
      <c r="F6472" t="str">
        <f>INDEX(Lists!I:I,MATCH(Validation!E6472,Lists!G:G,0))</f>
        <v>Error</v>
      </c>
      <c r="G6472" t="str">
        <f>INDEX(Lists!H:H,MATCH(Validation!E6472,Lists!G:G,0))</f>
        <v>Enter an amount only. Do not enter text or spaces.</v>
      </c>
      <c r="H6472" s="16" t="str">
        <f t="shared" ca="1" si="729"/>
        <v/>
      </c>
      <c r="I6472" s="16" t="str">
        <f t="shared" ca="1" si="730"/>
        <v/>
      </c>
      <c r="J6472" s="17" t="str">
        <f t="shared" ca="1" si="731"/>
        <v/>
      </c>
    </row>
    <row r="6473" spans="1:10" x14ac:dyDescent="0.25">
      <c r="A6473" t="s">
        <v>936</v>
      </c>
      <c r="B6473" t="str">
        <f>ADDRESS(ROW('Loan 1'!$B$36),COLUMN('Loan 1'!$B$36),4)</f>
        <v>B36</v>
      </c>
      <c r="C6473" t="str">
        <f>ADDRESS(ROW('Loan 1'!$D$36),COLUMN('Loan 1'!$D$36),4)</f>
        <v>D36</v>
      </c>
      <c r="D6473" t="b" cm="1">
        <f t="array" aca="1" ref="D6473" ca="1">IF(INDIRECT("'"&amp;A6473&amp;"'!"&amp;B6473)="",FALSE,IF(NOT(ISNUMBER(INDIRECT("'"&amp;A6473&amp;"'!"&amp;B6473))),TRUE,FALSE))</f>
        <v>0</v>
      </c>
      <c r="E6473" t="s">
        <v>435</v>
      </c>
      <c r="F6473" t="str">
        <f>INDEX(Lists!I:I,MATCH(Validation!E6473,Lists!G:G,0))</f>
        <v>Error</v>
      </c>
      <c r="G6473" t="str">
        <f>INDEX(Lists!H:H,MATCH(Validation!E6473,Lists!G:G,0))</f>
        <v>Enter an amount only. Do not enter text or spaces.</v>
      </c>
      <c r="H6473" s="16" t="str">
        <f t="shared" ca="1" si="729"/>
        <v/>
      </c>
      <c r="I6473" s="16" t="str">
        <f t="shared" ca="1" si="730"/>
        <v/>
      </c>
      <c r="J6473" s="17" t="str">
        <f t="shared" ca="1" si="731"/>
        <v/>
      </c>
    </row>
    <row r="6474" spans="1:10" x14ac:dyDescent="0.25">
      <c r="A6474" t="s">
        <v>937</v>
      </c>
      <c r="B6474" t="str">
        <f>ADDRESS(ROW('Loan 1'!$B$36),COLUMN('Loan 1'!$B$36),4)</f>
        <v>B36</v>
      </c>
      <c r="C6474" t="str">
        <f>ADDRESS(ROW('Loan 1'!$D$36),COLUMN('Loan 1'!$D$36),4)</f>
        <v>D36</v>
      </c>
      <c r="D6474" t="b" cm="1">
        <f t="array" aca="1" ref="D6474" ca="1">IF(INDIRECT("'"&amp;A6474&amp;"'!"&amp;B6474)="",FALSE,IF(NOT(ISNUMBER(INDIRECT("'"&amp;A6474&amp;"'!"&amp;B6474))),TRUE,FALSE))</f>
        <v>0</v>
      </c>
      <c r="E6474" t="s">
        <v>435</v>
      </c>
      <c r="F6474" t="str">
        <f>INDEX(Lists!I:I,MATCH(Validation!E6474,Lists!G:G,0))</f>
        <v>Error</v>
      </c>
      <c r="G6474" t="str">
        <f>INDEX(Lists!H:H,MATCH(Validation!E6474,Lists!G:G,0))</f>
        <v>Enter an amount only. Do not enter text or spaces.</v>
      </c>
      <c r="H6474" s="16" t="str">
        <f t="shared" ca="1" si="729"/>
        <v/>
      </c>
      <c r="I6474" s="16" t="str">
        <f t="shared" ca="1" si="730"/>
        <v/>
      </c>
      <c r="J6474" s="17" t="str">
        <f t="shared" ca="1" si="731"/>
        <v/>
      </c>
    </row>
    <row r="6475" spans="1:10" x14ac:dyDescent="0.25">
      <c r="A6475" t="s">
        <v>938</v>
      </c>
      <c r="B6475" t="str">
        <f>ADDRESS(ROW('Loan 1'!$B$36),COLUMN('Loan 1'!$B$36),4)</f>
        <v>B36</v>
      </c>
      <c r="C6475" t="str">
        <f>ADDRESS(ROW('Loan 1'!$D$36),COLUMN('Loan 1'!$D$36),4)</f>
        <v>D36</v>
      </c>
      <c r="D6475" t="b" cm="1">
        <f t="array" aca="1" ref="D6475" ca="1">IF(INDIRECT("'"&amp;A6475&amp;"'!"&amp;B6475)="",FALSE,IF(NOT(ISNUMBER(INDIRECT("'"&amp;A6475&amp;"'!"&amp;B6475))),TRUE,FALSE))</f>
        <v>0</v>
      </c>
      <c r="E6475" t="s">
        <v>435</v>
      </c>
      <c r="F6475" t="str">
        <f>INDEX(Lists!I:I,MATCH(Validation!E6475,Lists!G:G,0))</f>
        <v>Error</v>
      </c>
      <c r="G6475" t="str">
        <f>INDEX(Lists!H:H,MATCH(Validation!E6475,Lists!G:G,0))</f>
        <v>Enter an amount only. Do not enter text or spaces.</v>
      </c>
      <c r="H6475" s="16" t="str">
        <f t="shared" ca="1" si="729"/>
        <v/>
      </c>
      <c r="I6475" s="16" t="str">
        <f t="shared" ca="1" si="730"/>
        <v/>
      </c>
      <c r="J6475" s="17" t="str">
        <f t="shared" ca="1" si="731"/>
        <v/>
      </c>
    </row>
    <row r="6476" spans="1:10" x14ac:dyDescent="0.25">
      <c r="A6476" t="s">
        <v>939</v>
      </c>
      <c r="B6476" t="str">
        <f>ADDRESS(ROW('Loan 1'!$B$36),COLUMN('Loan 1'!$B$36),4)</f>
        <v>B36</v>
      </c>
      <c r="C6476" t="str">
        <f>ADDRESS(ROW('Loan 1'!$D$36),COLUMN('Loan 1'!$D$36),4)</f>
        <v>D36</v>
      </c>
      <c r="D6476" t="b" cm="1">
        <f t="array" aca="1" ref="D6476" ca="1">IF(INDIRECT("'"&amp;A6476&amp;"'!"&amp;B6476)="",FALSE,IF(NOT(ISNUMBER(INDIRECT("'"&amp;A6476&amp;"'!"&amp;B6476))),TRUE,FALSE))</f>
        <v>0</v>
      </c>
      <c r="E6476" t="s">
        <v>435</v>
      </c>
      <c r="F6476" t="str">
        <f>INDEX(Lists!I:I,MATCH(Validation!E6476,Lists!G:G,0))</f>
        <v>Error</v>
      </c>
      <c r="G6476" t="str">
        <f>INDEX(Lists!H:H,MATCH(Validation!E6476,Lists!G:G,0))</f>
        <v>Enter an amount only. Do not enter text or spaces.</v>
      </c>
      <c r="H6476" s="16" t="str">
        <f t="shared" ca="1" si="729"/>
        <v/>
      </c>
      <c r="I6476" s="16" t="str">
        <f t="shared" ca="1" si="730"/>
        <v/>
      </c>
      <c r="J6476" s="17" t="str">
        <f t="shared" ca="1" si="731"/>
        <v/>
      </c>
    </row>
    <row r="6477" spans="1:10" x14ac:dyDescent="0.25">
      <c r="A6477" t="s">
        <v>940</v>
      </c>
      <c r="B6477" t="str">
        <f>ADDRESS(ROW('Loan 1'!$B$36),COLUMN('Loan 1'!$B$36),4)</f>
        <v>B36</v>
      </c>
      <c r="C6477" t="str">
        <f>ADDRESS(ROW('Loan 1'!$D$36),COLUMN('Loan 1'!$D$36),4)</f>
        <v>D36</v>
      </c>
      <c r="D6477" t="b" cm="1">
        <f t="array" aca="1" ref="D6477" ca="1">IF(INDIRECT("'"&amp;A6477&amp;"'!"&amp;B6477)="",FALSE,IF(NOT(ISNUMBER(INDIRECT("'"&amp;A6477&amp;"'!"&amp;B6477))),TRUE,FALSE))</f>
        <v>0</v>
      </c>
      <c r="E6477" t="s">
        <v>435</v>
      </c>
      <c r="F6477" t="str">
        <f>INDEX(Lists!I:I,MATCH(Validation!E6477,Lists!G:G,0))</f>
        <v>Error</v>
      </c>
      <c r="G6477" t="str">
        <f>INDEX(Lists!H:H,MATCH(Validation!E6477,Lists!G:G,0))</f>
        <v>Enter an amount only. Do not enter text or spaces.</v>
      </c>
      <c r="H6477" s="16" t="str">
        <f t="shared" ca="1" si="729"/>
        <v/>
      </c>
      <c r="I6477" s="16" t="str">
        <f t="shared" ca="1" si="730"/>
        <v/>
      </c>
      <c r="J6477" s="17" t="str">
        <f t="shared" ca="1" si="731"/>
        <v/>
      </c>
    </row>
    <row r="6478" spans="1:10" x14ac:dyDescent="0.25">
      <c r="A6478" t="s">
        <v>941</v>
      </c>
      <c r="B6478" t="str">
        <f>ADDRESS(ROW('Loan 1'!$B$36),COLUMN('Loan 1'!$B$36),4)</f>
        <v>B36</v>
      </c>
      <c r="C6478" t="str">
        <f>ADDRESS(ROW('Loan 1'!$D$36),COLUMN('Loan 1'!$D$36),4)</f>
        <v>D36</v>
      </c>
      <c r="D6478" t="b" cm="1">
        <f t="array" aca="1" ref="D6478" ca="1">IF(INDIRECT("'"&amp;A6478&amp;"'!"&amp;B6478)="",FALSE,IF(NOT(ISNUMBER(INDIRECT("'"&amp;A6478&amp;"'!"&amp;B6478))),TRUE,FALSE))</f>
        <v>0</v>
      </c>
      <c r="E6478" t="s">
        <v>435</v>
      </c>
      <c r="F6478" t="str">
        <f>INDEX(Lists!I:I,MATCH(Validation!E6478,Lists!G:G,0))</f>
        <v>Error</v>
      </c>
      <c r="G6478" t="str">
        <f>INDEX(Lists!H:H,MATCH(Validation!E6478,Lists!G:G,0))</f>
        <v>Enter an amount only. Do not enter text or spaces.</v>
      </c>
      <c r="H6478" s="16" t="str">
        <f t="shared" ca="1" si="729"/>
        <v/>
      </c>
      <c r="I6478" s="16" t="str">
        <f t="shared" ca="1" si="730"/>
        <v/>
      </c>
      <c r="J6478" s="17" t="str">
        <f t="shared" ca="1" si="731"/>
        <v/>
      </c>
    </row>
    <row r="6479" spans="1:10" x14ac:dyDescent="0.25">
      <c r="A6479" t="s">
        <v>942</v>
      </c>
      <c r="B6479" t="str">
        <f>ADDRESS(ROW('Loan 1'!$B$36),COLUMN('Loan 1'!$B$36),4)</f>
        <v>B36</v>
      </c>
      <c r="C6479" t="str">
        <f>ADDRESS(ROW('Loan 1'!$D$36),COLUMN('Loan 1'!$D$36),4)</f>
        <v>D36</v>
      </c>
      <c r="D6479" t="b" cm="1">
        <f t="array" aca="1" ref="D6479" ca="1">IF(INDIRECT("'"&amp;A6479&amp;"'!"&amp;B6479)="",FALSE,IF(NOT(ISNUMBER(INDIRECT("'"&amp;A6479&amp;"'!"&amp;B6479))),TRUE,FALSE))</f>
        <v>0</v>
      </c>
      <c r="E6479" t="s">
        <v>435</v>
      </c>
      <c r="F6479" t="str">
        <f>INDEX(Lists!I:I,MATCH(Validation!E6479,Lists!G:G,0))</f>
        <v>Error</v>
      </c>
      <c r="G6479" t="str">
        <f>INDEX(Lists!H:H,MATCH(Validation!E6479,Lists!G:G,0))</f>
        <v>Enter an amount only. Do not enter text or spaces.</v>
      </c>
      <c r="H6479" s="16" t="str">
        <f t="shared" ca="1" si="729"/>
        <v/>
      </c>
      <c r="I6479" s="16" t="str">
        <f t="shared" ca="1" si="730"/>
        <v/>
      </c>
      <c r="J6479" s="17" t="str">
        <f t="shared" ca="1" si="731"/>
        <v/>
      </c>
    </row>
    <row r="6480" spans="1:10" x14ac:dyDescent="0.25">
      <c r="A6480" t="s">
        <v>943</v>
      </c>
      <c r="B6480" t="str">
        <f>ADDRESS(ROW('Loan 1'!$B$36),COLUMN('Loan 1'!$B$36),4)</f>
        <v>B36</v>
      </c>
      <c r="C6480" t="str">
        <f>ADDRESS(ROW('Loan 1'!$D$36),COLUMN('Loan 1'!$D$36),4)</f>
        <v>D36</v>
      </c>
      <c r="D6480" t="b" cm="1">
        <f t="array" aca="1" ref="D6480" ca="1">IF(INDIRECT("'"&amp;A6480&amp;"'!"&amp;B6480)="",FALSE,IF(NOT(ISNUMBER(INDIRECT("'"&amp;A6480&amp;"'!"&amp;B6480))),TRUE,FALSE))</f>
        <v>0</v>
      </c>
      <c r="E6480" t="s">
        <v>435</v>
      </c>
      <c r="F6480" t="str">
        <f>INDEX(Lists!I:I,MATCH(Validation!E6480,Lists!G:G,0))</f>
        <v>Error</v>
      </c>
      <c r="G6480" t="str">
        <f>INDEX(Lists!H:H,MATCH(Validation!E6480,Lists!G:G,0))</f>
        <v>Enter an amount only. Do not enter text or spaces.</v>
      </c>
      <c r="H6480" s="16" t="str">
        <f t="shared" ca="1" si="729"/>
        <v/>
      </c>
      <c r="I6480" s="16" t="str">
        <f t="shared" ca="1" si="730"/>
        <v/>
      </c>
      <c r="J6480" s="17" t="str">
        <f t="shared" ca="1" si="731"/>
        <v/>
      </c>
    </row>
    <row r="6481" spans="1:10" x14ac:dyDescent="0.25">
      <c r="A6481" t="s">
        <v>944</v>
      </c>
      <c r="B6481" t="str">
        <f>ADDRESS(ROW('Loan 1'!$B$36),COLUMN('Loan 1'!$B$36),4)</f>
        <v>B36</v>
      </c>
      <c r="C6481" t="str">
        <f>ADDRESS(ROW('Loan 1'!$D$36),COLUMN('Loan 1'!$D$36),4)</f>
        <v>D36</v>
      </c>
      <c r="D6481" t="b" cm="1">
        <f t="array" aca="1" ref="D6481" ca="1">IF(INDIRECT("'"&amp;A6481&amp;"'!"&amp;B6481)="",FALSE,IF(NOT(ISNUMBER(INDIRECT("'"&amp;A6481&amp;"'!"&amp;B6481))),TRUE,FALSE))</f>
        <v>0</v>
      </c>
      <c r="E6481" t="s">
        <v>435</v>
      </c>
      <c r="F6481" t="str">
        <f>INDEX(Lists!I:I,MATCH(Validation!E6481,Lists!G:G,0))</f>
        <v>Error</v>
      </c>
      <c r="G6481" t="str">
        <f>INDEX(Lists!H:H,MATCH(Validation!E6481,Lists!G:G,0))</f>
        <v>Enter an amount only. Do not enter text or spaces.</v>
      </c>
      <c r="H6481" s="16" t="str">
        <f t="shared" ca="1" si="729"/>
        <v/>
      </c>
      <c r="I6481" s="16" t="str">
        <f t="shared" ca="1" si="730"/>
        <v/>
      </c>
      <c r="J6481" s="17" t="str">
        <f t="shared" ca="1" si="731"/>
        <v/>
      </c>
    </row>
    <row r="6482" spans="1:10" x14ac:dyDescent="0.25">
      <c r="A6482" t="s">
        <v>945</v>
      </c>
      <c r="B6482" t="str">
        <f>ADDRESS(ROW('Loan 1'!$B$36),COLUMN('Loan 1'!$B$36),4)</f>
        <v>B36</v>
      </c>
      <c r="C6482" t="str">
        <f>ADDRESS(ROW('Loan 1'!$D$36),COLUMN('Loan 1'!$D$36),4)</f>
        <v>D36</v>
      </c>
      <c r="D6482" t="b" cm="1">
        <f t="array" aca="1" ref="D6482" ca="1">IF(INDIRECT("'"&amp;A6482&amp;"'!"&amp;B6482)="",FALSE,IF(NOT(ISNUMBER(INDIRECT("'"&amp;A6482&amp;"'!"&amp;B6482))),TRUE,FALSE))</f>
        <v>0</v>
      </c>
      <c r="E6482" t="s">
        <v>435</v>
      </c>
      <c r="F6482" t="str">
        <f>INDEX(Lists!I:I,MATCH(Validation!E6482,Lists!G:G,0))</f>
        <v>Error</v>
      </c>
      <c r="G6482" t="str">
        <f>INDEX(Lists!H:H,MATCH(Validation!E6482,Lists!G:G,0))</f>
        <v>Enter an amount only. Do not enter text or spaces.</v>
      </c>
      <c r="H6482" s="16" t="str">
        <f t="shared" ca="1" si="729"/>
        <v/>
      </c>
      <c r="I6482" s="16" t="str">
        <f t="shared" ca="1" si="730"/>
        <v/>
      </c>
      <c r="J6482" s="17" t="str">
        <f t="shared" ca="1" si="731"/>
        <v/>
      </c>
    </row>
    <row r="6483" spans="1:10" x14ac:dyDescent="0.25">
      <c r="A6483" t="s">
        <v>205</v>
      </c>
      <c r="B6483" t="str">
        <f>ADDRESS(ROW('Loan 1'!$B$36),COLUMN('Loan 1'!$B$36),4)</f>
        <v>B36</v>
      </c>
      <c r="C6483" t="str">
        <f>ADDRESS(ROW('Loan 1'!$D$36),COLUMN('Loan 1'!$D$36),4)</f>
        <v>D36</v>
      </c>
      <c r="D6483" t="b" cm="1">
        <f t="array" aca="1" ref="D6483" ca="1">IF(INDIRECT("'"&amp;A6483&amp;"'!"&amp;B6483)="",FALSE,IF(INDIRECT("'"&amp;A6483&amp;"'!"&amp;B6483)&lt;0,TRUE,FALSE))</f>
        <v>0</v>
      </c>
      <c r="E6483" t="s">
        <v>434</v>
      </c>
      <c r="F6483" t="str">
        <f>INDEX(Lists!I:I,MATCH(Validation!E6483,Lists!G:G,0))</f>
        <v>Error</v>
      </c>
      <c r="G6483" t="str">
        <f>INDEX(Lists!H:H,MATCH(Validation!E6483,Lists!G:G,0))</f>
        <v>Amount may not be negative. Enter an amount greater than or equal to zero.</v>
      </c>
      <c r="H6483" s="16" t="str">
        <f t="shared" ca="1" si="717"/>
        <v/>
      </c>
      <c r="I6483" s="16" t="str">
        <f t="shared" ca="1" si="718"/>
        <v/>
      </c>
      <c r="J6483" s="17" t="str">
        <f t="shared" ca="1" si="719"/>
        <v/>
      </c>
    </row>
    <row r="6484" spans="1:10" x14ac:dyDescent="0.25">
      <c r="A6484" t="s">
        <v>932</v>
      </c>
      <c r="B6484" t="str">
        <f>ADDRESS(ROW('Loan 1'!$B$36),COLUMN('Loan 1'!$B$36),4)</f>
        <v>B36</v>
      </c>
      <c r="C6484" t="str">
        <f>ADDRESS(ROW('Loan 1'!$D$36),COLUMN('Loan 1'!$D$36),4)</f>
        <v>D36</v>
      </c>
      <c r="D6484" t="b" cm="1">
        <f t="array" aca="1" ref="D6484" ca="1">IF(INDIRECT("'"&amp;A6484&amp;"'!"&amp;B6484)="",FALSE,IF(INDIRECT("'"&amp;A6484&amp;"'!"&amp;B6484)&lt;0,TRUE,FALSE))</f>
        <v>0</v>
      </c>
      <c r="E6484" t="s">
        <v>434</v>
      </c>
      <c r="F6484" t="str">
        <f>INDEX(Lists!I:I,MATCH(Validation!E6484,Lists!G:G,0))</f>
        <v>Error</v>
      </c>
      <c r="G6484" t="str">
        <f>INDEX(Lists!H:H,MATCH(Validation!E6484,Lists!G:G,0))</f>
        <v>Amount may not be negative. Enter an amount greater than or equal to zero.</v>
      </c>
      <c r="H6484" s="16" t="str">
        <f t="shared" ca="1" si="717"/>
        <v/>
      </c>
      <c r="I6484" s="16" t="str">
        <f t="shared" ca="1" si="718"/>
        <v/>
      </c>
      <c r="J6484" s="17" t="str">
        <f t="shared" ca="1" si="719"/>
        <v/>
      </c>
    </row>
    <row r="6485" spans="1:10" x14ac:dyDescent="0.25">
      <c r="A6485" t="s">
        <v>933</v>
      </c>
      <c r="B6485" t="str">
        <f>ADDRESS(ROW('Loan 1'!$B$36),COLUMN('Loan 1'!$B$36),4)</f>
        <v>B36</v>
      </c>
      <c r="C6485" t="str">
        <f>ADDRESS(ROW('Loan 1'!$D$36),COLUMN('Loan 1'!$D$36),4)</f>
        <v>D36</v>
      </c>
      <c r="D6485" t="b" cm="1">
        <f t="array" aca="1" ref="D6485" ca="1">IF(INDIRECT("'"&amp;A6485&amp;"'!"&amp;B6485)="",FALSE,IF(INDIRECT("'"&amp;A6485&amp;"'!"&amp;B6485)&lt;0,TRUE,FALSE))</f>
        <v>0</v>
      </c>
      <c r="E6485" t="s">
        <v>434</v>
      </c>
      <c r="F6485" t="str">
        <f>INDEX(Lists!I:I,MATCH(Validation!E6485,Lists!G:G,0))</f>
        <v>Error</v>
      </c>
      <c r="G6485" t="str">
        <f>INDEX(Lists!H:H,MATCH(Validation!E6485,Lists!G:G,0))</f>
        <v>Amount may not be negative. Enter an amount greater than or equal to zero.</v>
      </c>
      <c r="H6485" s="16" t="str">
        <f t="shared" ca="1" si="717"/>
        <v/>
      </c>
      <c r="I6485" s="16" t="str">
        <f t="shared" ca="1" si="718"/>
        <v/>
      </c>
      <c r="J6485" s="17" t="str">
        <f t="shared" ca="1" si="719"/>
        <v/>
      </c>
    </row>
    <row r="6486" spans="1:10" x14ac:dyDescent="0.25">
      <c r="A6486" t="s">
        <v>934</v>
      </c>
      <c r="B6486" t="str">
        <f>ADDRESS(ROW('Loan 1'!$B$36),COLUMN('Loan 1'!$B$36),4)</f>
        <v>B36</v>
      </c>
      <c r="C6486" t="str">
        <f>ADDRESS(ROW('Loan 1'!$D$36),COLUMN('Loan 1'!$D$36),4)</f>
        <v>D36</v>
      </c>
      <c r="D6486" t="b" cm="1">
        <f t="array" aca="1" ref="D6486" ca="1">IF(INDIRECT("'"&amp;A6486&amp;"'!"&amp;B6486)="",FALSE,IF(INDIRECT("'"&amp;A6486&amp;"'!"&amp;B6486)&lt;0,TRUE,FALSE))</f>
        <v>0</v>
      </c>
      <c r="E6486" t="s">
        <v>434</v>
      </c>
      <c r="F6486" t="str">
        <f>INDEX(Lists!I:I,MATCH(Validation!E6486,Lists!G:G,0))</f>
        <v>Error</v>
      </c>
      <c r="G6486" t="str">
        <f>INDEX(Lists!H:H,MATCH(Validation!E6486,Lists!G:G,0))</f>
        <v>Amount may not be negative. Enter an amount greater than or equal to zero.</v>
      </c>
      <c r="H6486" s="16" t="str">
        <f t="shared" ca="1" si="717"/>
        <v/>
      </c>
      <c r="I6486" s="16" t="str">
        <f t="shared" ca="1" si="718"/>
        <v/>
      </c>
      <c r="J6486" s="17" t="str">
        <f t="shared" ca="1" si="719"/>
        <v/>
      </c>
    </row>
    <row r="6487" spans="1:10" x14ac:dyDescent="0.25">
      <c r="A6487" t="s">
        <v>935</v>
      </c>
      <c r="B6487" t="str">
        <f>ADDRESS(ROW('Loan 1'!$B$36),COLUMN('Loan 1'!$B$36),4)</f>
        <v>B36</v>
      </c>
      <c r="C6487" t="str">
        <f>ADDRESS(ROW('Loan 1'!$D$36),COLUMN('Loan 1'!$D$36),4)</f>
        <v>D36</v>
      </c>
      <c r="D6487" t="b" cm="1">
        <f t="array" aca="1" ref="D6487" ca="1">IF(INDIRECT("'"&amp;A6487&amp;"'!"&amp;B6487)="",FALSE,IF(INDIRECT("'"&amp;A6487&amp;"'!"&amp;B6487)&lt;0,TRUE,FALSE))</f>
        <v>0</v>
      </c>
      <c r="E6487" t="s">
        <v>434</v>
      </c>
      <c r="F6487" t="str">
        <f>INDEX(Lists!I:I,MATCH(Validation!E6487,Lists!G:G,0))</f>
        <v>Error</v>
      </c>
      <c r="G6487" t="str">
        <f>INDEX(Lists!H:H,MATCH(Validation!E6487,Lists!G:G,0))</f>
        <v>Amount may not be negative. Enter an amount greater than or equal to zero.</v>
      </c>
      <c r="H6487" s="16" t="str">
        <f t="shared" ca="1" si="717"/>
        <v/>
      </c>
      <c r="I6487" s="16" t="str">
        <f t="shared" ca="1" si="718"/>
        <v/>
      </c>
      <c r="J6487" s="17" t="str">
        <f t="shared" ca="1" si="719"/>
        <v/>
      </c>
    </row>
    <row r="6488" spans="1:10" x14ac:dyDescent="0.25">
      <c r="A6488" t="s">
        <v>936</v>
      </c>
      <c r="B6488" t="str">
        <f>ADDRESS(ROW('Loan 1'!$B$36),COLUMN('Loan 1'!$B$36),4)</f>
        <v>B36</v>
      </c>
      <c r="C6488" t="str">
        <f>ADDRESS(ROW('Loan 1'!$D$36),COLUMN('Loan 1'!$D$36),4)</f>
        <v>D36</v>
      </c>
      <c r="D6488" t="b" cm="1">
        <f t="array" aca="1" ref="D6488" ca="1">IF(INDIRECT("'"&amp;A6488&amp;"'!"&amp;B6488)="",FALSE,IF(INDIRECT("'"&amp;A6488&amp;"'!"&amp;B6488)&lt;0,TRUE,FALSE))</f>
        <v>0</v>
      </c>
      <c r="E6488" t="s">
        <v>434</v>
      </c>
      <c r="F6488" t="str">
        <f>INDEX(Lists!I:I,MATCH(Validation!E6488,Lists!G:G,0))</f>
        <v>Error</v>
      </c>
      <c r="G6488" t="str">
        <f>INDEX(Lists!H:H,MATCH(Validation!E6488,Lists!G:G,0))</f>
        <v>Amount may not be negative. Enter an amount greater than or equal to zero.</v>
      </c>
      <c r="H6488" s="16" t="str">
        <f t="shared" ca="1" si="717"/>
        <v/>
      </c>
      <c r="I6488" s="16" t="str">
        <f t="shared" ca="1" si="718"/>
        <v/>
      </c>
      <c r="J6488" s="17" t="str">
        <f t="shared" ca="1" si="719"/>
        <v/>
      </c>
    </row>
    <row r="6489" spans="1:10" x14ac:dyDescent="0.25">
      <c r="A6489" t="s">
        <v>937</v>
      </c>
      <c r="B6489" t="str">
        <f>ADDRESS(ROW('Loan 1'!$B$36),COLUMN('Loan 1'!$B$36),4)</f>
        <v>B36</v>
      </c>
      <c r="C6489" t="str">
        <f>ADDRESS(ROW('Loan 1'!$D$36),COLUMN('Loan 1'!$D$36),4)</f>
        <v>D36</v>
      </c>
      <c r="D6489" t="b" cm="1">
        <f t="array" aca="1" ref="D6489" ca="1">IF(INDIRECT("'"&amp;A6489&amp;"'!"&amp;B6489)="",FALSE,IF(INDIRECT("'"&amp;A6489&amp;"'!"&amp;B6489)&lt;0,TRUE,FALSE))</f>
        <v>0</v>
      </c>
      <c r="E6489" t="s">
        <v>434</v>
      </c>
      <c r="F6489" t="str">
        <f>INDEX(Lists!I:I,MATCH(Validation!E6489,Lists!G:G,0))</f>
        <v>Error</v>
      </c>
      <c r="G6489" t="str">
        <f>INDEX(Lists!H:H,MATCH(Validation!E6489,Lists!G:G,0))</f>
        <v>Amount may not be negative. Enter an amount greater than or equal to zero.</v>
      </c>
      <c r="H6489" s="16" t="str">
        <f t="shared" ca="1" si="717"/>
        <v/>
      </c>
      <c r="I6489" s="16" t="str">
        <f t="shared" ca="1" si="718"/>
        <v/>
      </c>
      <c r="J6489" s="17" t="str">
        <f t="shared" ca="1" si="719"/>
        <v/>
      </c>
    </row>
    <row r="6490" spans="1:10" x14ac:dyDescent="0.25">
      <c r="A6490" t="s">
        <v>938</v>
      </c>
      <c r="B6490" t="str">
        <f>ADDRESS(ROW('Loan 1'!$B$36),COLUMN('Loan 1'!$B$36),4)</f>
        <v>B36</v>
      </c>
      <c r="C6490" t="str">
        <f>ADDRESS(ROW('Loan 1'!$D$36),COLUMN('Loan 1'!$D$36),4)</f>
        <v>D36</v>
      </c>
      <c r="D6490" t="b" cm="1">
        <f t="array" aca="1" ref="D6490" ca="1">IF(INDIRECT("'"&amp;A6490&amp;"'!"&amp;B6490)="",FALSE,IF(INDIRECT("'"&amp;A6490&amp;"'!"&amp;B6490)&lt;0,TRUE,FALSE))</f>
        <v>0</v>
      </c>
      <c r="E6490" t="s">
        <v>434</v>
      </c>
      <c r="F6490" t="str">
        <f>INDEX(Lists!I:I,MATCH(Validation!E6490,Lists!G:G,0))</f>
        <v>Error</v>
      </c>
      <c r="G6490" t="str">
        <f>INDEX(Lists!H:H,MATCH(Validation!E6490,Lists!G:G,0))</f>
        <v>Amount may not be negative. Enter an amount greater than or equal to zero.</v>
      </c>
      <c r="H6490" s="16" t="str">
        <f t="shared" ca="1" si="717"/>
        <v/>
      </c>
      <c r="I6490" s="16" t="str">
        <f t="shared" ca="1" si="718"/>
        <v/>
      </c>
      <c r="J6490" s="17" t="str">
        <f t="shared" ca="1" si="719"/>
        <v/>
      </c>
    </row>
    <row r="6491" spans="1:10" x14ac:dyDescent="0.25">
      <c r="A6491" t="s">
        <v>939</v>
      </c>
      <c r="B6491" t="str">
        <f>ADDRESS(ROW('Loan 1'!$B$36),COLUMN('Loan 1'!$B$36),4)</f>
        <v>B36</v>
      </c>
      <c r="C6491" t="str">
        <f>ADDRESS(ROW('Loan 1'!$D$36),COLUMN('Loan 1'!$D$36),4)</f>
        <v>D36</v>
      </c>
      <c r="D6491" t="b" cm="1">
        <f t="array" aca="1" ref="D6491" ca="1">IF(INDIRECT("'"&amp;A6491&amp;"'!"&amp;B6491)="",FALSE,IF(INDIRECT("'"&amp;A6491&amp;"'!"&amp;B6491)&lt;0,TRUE,FALSE))</f>
        <v>0</v>
      </c>
      <c r="E6491" t="s">
        <v>434</v>
      </c>
      <c r="F6491" t="str">
        <f>INDEX(Lists!I:I,MATCH(Validation!E6491,Lists!G:G,0))</f>
        <v>Error</v>
      </c>
      <c r="G6491" t="str">
        <f>INDEX(Lists!H:H,MATCH(Validation!E6491,Lists!G:G,0))</f>
        <v>Amount may not be negative. Enter an amount greater than or equal to zero.</v>
      </c>
      <c r="H6491" s="16" t="str">
        <f t="shared" ca="1" si="717"/>
        <v/>
      </c>
      <c r="I6491" s="16" t="str">
        <f t="shared" ca="1" si="718"/>
        <v/>
      </c>
      <c r="J6491" s="17" t="str">
        <f t="shared" ca="1" si="719"/>
        <v/>
      </c>
    </row>
    <row r="6492" spans="1:10" x14ac:dyDescent="0.25">
      <c r="A6492" t="s">
        <v>940</v>
      </c>
      <c r="B6492" t="str">
        <f>ADDRESS(ROW('Loan 1'!$B$36),COLUMN('Loan 1'!$B$36),4)</f>
        <v>B36</v>
      </c>
      <c r="C6492" t="str">
        <f>ADDRESS(ROW('Loan 1'!$D$36),COLUMN('Loan 1'!$D$36),4)</f>
        <v>D36</v>
      </c>
      <c r="D6492" t="b" cm="1">
        <f t="array" aca="1" ref="D6492" ca="1">IF(INDIRECT("'"&amp;A6492&amp;"'!"&amp;B6492)="",FALSE,IF(INDIRECT("'"&amp;A6492&amp;"'!"&amp;B6492)&lt;0,TRUE,FALSE))</f>
        <v>0</v>
      </c>
      <c r="E6492" t="s">
        <v>434</v>
      </c>
      <c r="F6492" t="str">
        <f>INDEX(Lists!I:I,MATCH(Validation!E6492,Lists!G:G,0))</f>
        <v>Error</v>
      </c>
      <c r="G6492" t="str">
        <f>INDEX(Lists!H:H,MATCH(Validation!E6492,Lists!G:G,0))</f>
        <v>Amount may not be negative. Enter an amount greater than or equal to zero.</v>
      </c>
      <c r="H6492" s="16" t="str">
        <f t="shared" ca="1" si="717"/>
        <v/>
      </c>
      <c r="I6492" s="16" t="str">
        <f t="shared" ca="1" si="718"/>
        <v/>
      </c>
      <c r="J6492" s="17" t="str">
        <f t="shared" ca="1" si="719"/>
        <v/>
      </c>
    </row>
    <row r="6493" spans="1:10" x14ac:dyDescent="0.25">
      <c r="A6493" t="s">
        <v>941</v>
      </c>
      <c r="B6493" t="str">
        <f>ADDRESS(ROW('Loan 1'!$B$36),COLUMN('Loan 1'!$B$36),4)</f>
        <v>B36</v>
      </c>
      <c r="C6493" t="str">
        <f>ADDRESS(ROW('Loan 1'!$D$36),COLUMN('Loan 1'!$D$36),4)</f>
        <v>D36</v>
      </c>
      <c r="D6493" t="b" cm="1">
        <f t="array" aca="1" ref="D6493" ca="1">IF(INDIRECT("'"&amp;A6493&amp;"'!"&amp;B6493)="",FALSE,IF(INDIRECT("'"&amp;A6493&amp;"'!"&amp;B6493)&lt;0,TRUE,FALSE))</f>
        <v>0</v>
      </c>
      <c r="E6493" t="s">
        <v>434</v>
      </c>
      <c r="F6493" t="str">
        <f>INDEX(Lists!I:I,MATCH(Validation!E6493,Lists!G:G,0))</f>
        <v>Error</v>
      </c>
      <c r="G6493" t="str">
        <f>INDEX(Lists!H:H,MATCH(Validation!E6493,Lists!G:G,0))</f>
        <v>Amount may not be negative. Enter an amount greater than or equal to zero.</v>
      </c>
      <c r="H6493" s="16" t="str">
        <f t="shared" ca="1" si="717"/>
        <v/>
      </c>
      <c r="I6493" s="16" t="str">
        <f t="shared" ca="1" si="718"/>
        <v/>
      </c>
      <c r="J6493" s="17" t="str">
        <f t="shared" ca="1" si="719"/>
        <v/>
      </c>
    </row>
    <row r="6494" spans="1:10" x14ac:dyDescent="0.25">
      <c r="A6494" t="s">
        <v>942</v>
      </c>
      <c r="B6494" t="str">
        <f>ADDRESS(ROW('Loan 1'!$B$36),COLUMN('Loan 1'!$B$36),4)</f>
        <v>B36</v>
      </c>
      <c r="C6494" t="str">
        <f>ADDRESS(ROW('Loan 1'!$D$36),COLUMN('Loan 1'!$D$36),4)</f>
        <v>D36</v>
      </c>
      <c r="D6494" t="b" cm="1">
        <f t="array" aca="1" ref="D6494" ca="1">IF(INDIRECT("'"&amp;A6494&amp;"'!"&amp;B6494)="",FALSE,IF(INDIRECT("'"&amp;A6494&amp;"'!"&amp;B6494)&lt;0,TRUE,FALSE))</f>
        <v>0</v>
      </c>
      <c r="E6494" t="s">
        <v>434</v>
      </c>
      <c r="F6494" t="str">
        <f>INDEX(Lists!I:I,MATCH(Validation!E6494,Lists!G:G,0))</f>
        <v>Error</v>
      </c>
      <c r="G6494" t="str">
        <f>INDEX(Lists!H:H,MATCH(Validation!E6494,Lists!G:G,0))</f>
        <v>Amount may not be negative. Enter an amount greater than or equal to zero.</v>
      </c>
      <c r="H6494" s="16" t="str">
        <f t="shared" ca="1" si="717"/>
        <v/>
      </c>
      <c r="I6494" s="16" t="str">
        <f t="shared" ca="1" si="718"/>
        <v/>
      </c>
      <c r="J6494" s="17" t="str">
        <f t="shared" ca="1" si="719"/>
        <v/>
      </c>
    </row>
    <row r="6495" spans="1:10" x14ac:dyDescent="0.25">
      <c r="A6495" t="s">
        <v>943</v>
      </c>
      <c r="B6495" t="str">
        <f>ADDRESS(ROW('Loan 1'!$B$36),COLUMN('Loan 1'!$B$36),4)</f>
        <v>B36</v>
      </c>
      <c r="C6495" t="str">
        <f>ADDRESS(ROW('Loan 1'!$D$36),COLUMN('Loan 1'!$D$36),4)</f>
        <v>D36</v>
      </c>
      <c r="D6495" t="b" cm="1">
        <f t="array" aca="1" ref="D6495" ca="1">IF(INDIRECT("'"&amp;A6495&amp;"'!"&amp;B6495)="",FALSE,IF(INDIRECT("'"&amp;A6495&amp;"'!"&amp;B6495)&lt;0,TRUE,FALSE))</f>
        <v>0</v>
      </c>
      <c r="E6495" t="s">
        <v>434</v>
      </c>
      <c r="F6495" t="str">
        <f>INDEX(Lists!I:I,MATCH(Validation!E6495,Lists!G:G,0))</f>
        <v>Error</v>
      </c>
      <c r="G6495" t="str">
        <f>INDEX(Lists!H:H,MATCH(Validation!E6495,Lists!G:G,0))</f>
        <v>Amount may not be negative. Enter an amount greater than or equal to zero.</v>
      </c>
      <c r="H6495" s="16" t="str">
        <f t="shared" ca="1" si="717"/>
        <v/>
      </c>
      <c r="I6495" s="16" t="str">
        <f t="shared" ca="1" si="718"/>
        <v/>
      </c>
      <c r="J6495" s="17" t="str">
        <f t="shared" ca="1" si="719"/>
        <v/>
      </c>
    </row>
    <row r="6496" spans="1:10" x14ac:dyDescent="0.25">
      <c r="A6496" t="s">
        <v>944</v>
      </c>
      <c r="B6496" t="str">
        <f>ADDRESS(ROW('Loan 1'!$B$36),COLUMN('Loan 1'!$B$36),4)</f>
        <v>B36</v>
      </c>
      <c r="C6496" t="str">
        <f>ADDRESS(ROW('Loan 1'!$D$36),COLUMN('Loan 1'!$D$36),4)</f>
        <v>D36</v>
      </c>
      <c r="D6496" t="b" cm="1">
        <f t="array" aca="1" ref="D6496" ca="1">IF(INDIRECT("'"&amp;A6496&amp;"'!"&amp;B6496)="",FALSE,IF(INDIRECT("'"&amp;A6496&amp;"'!"&amp;B6496)&lt;0,TRUE,FALSE))</f>
        <v>0</v>
      </c>
      <c r="E6496" t="s">
        <v>434</v>
      </c>
      <c r="F6496" t="str">
        <f>INDEX(Lists!I:I,MATCH(Validation!E6496,Lists!G:G,0))</f>
        <v>Error</v>
      </c>
      <c r="G6496" t="str">
        <f>INDEX(Lists!H:H,MATCH(Validation!E6496,Lists!G:G,0))</f>
        <v>Amount may not be negative. Enter an amount greater than or equal to zero.</v>
      </c>
      <c r="H6496" s="16" t="str">
        <f t="shared" ca="1" si="717"/>
        <v/>
      </c>
      <c r="I6496" s="16" t="str">
        <f t="shared" ca="1" si="718"/>
        <v/>
      </c>
      <c r="J6496" s="17" t="str">
        <f t="shared" ca="1" si="719"/>
        <v/>
      </c>
    </row>
    <row r="6497" spans="1:10" x14ac:dyDescent="0.25">
      <c r="A6497" t="s">
        <v>945</v>
      </c>
      <c r="B6497" t="str">
        <f>ADDRESS(ROW('Loan 1'!$B$36),COLUMN('Loan 1'!$B$36),4)</f>
        <v>B36</v>
      </c>
      <c r="C6497" t="str">
        <f>ADDRESS(ROW('Loan 1'!$D$36),COLUMN('Loan 1'!$D$36),4)</f>
        <v>D36</v>
      </c>
      <c r="D6497" t="b" cm="1">
        <f t="array" aca="1" ref="D6497" ca="1">IF(INDIRECT("'"&amp;A6497&amp;"'!"&amp;B6497)="",FALSE,IF(INDIRECT("'"&amp;A6497&amp;"'!"&amp;B6497)&lt;0,TRUE,FALSE))</f>
        <v>0</v>
      </c>
      <c r="E6497" t="s">
        <v>434</v>
      </c>
      <c r="F6497" t="str">
        <f>INDEX(Lists!I:I,MATCH(Validation!E6497,Lists!G:G,0))</f>
        <v>Error</v>
      </c>
      <c r="G6497" t="str">
        <f>INDEX(Lists!H:H,MATCH(Validation!E6497,Lists!G:G,0))</f>
        <v>Amount may not be negative. Enter an amount greater than or equal to zero.</v>
      </c>
      <c r="H6497" s="16" t="str">
        <f t="shared" ca="1" si="717"/>
        <v/>
      </c>
      <c r="I6497" s="16" t="str">
        <f t="shared" ca="1" si="718"/>
        <v/>
      </c>
      <c r="J6497" s="17" t="str">
        <f t="shared" ca="1" si="719"/>
        <v/>
      </c>
    </row>
    <row r="6498" spans="1:10" x14ac:dyDescent="0.25">
      <c r="A6498" t="s">
        <v>205</v>
      </c>
      <c r="B6498" t="str">
        <f>ADDRESS(ROW('Loan 1'!$B$36),COLUMN('Loan 1'!$B$36),4)</f>
        <v>B36</v>
      </c>
      <c r="C6498" t="str">
        <f>ADDRESS(ROW('Loan 1'!$D$36),COLUMN('Loan 1'!$D$36),4)</f>
        <v>D36</v>
      </c>
      <c r="D6498" t="b" cm="1">
        <f t="array" aca="1" ref="D6498" ca="1">IF(INDIRECT("'"&amp;A6498&amp;"'!"&amp;B6498)="",FALSE,IF(TRUNC(INDIRECT("'"&amp;A6498&amp;"'!"&amp;B6498))=INDIRECT("'"&amp;A6498&amp;"'!"&amp;B6498),FALSE,TRUE))</f>
        <v>0</v>
      </c>
      <c r="E6498" t="s">
        <v>436</v>
      </c>
      <c r="F6498" t="str">
        <f>INDEX(Lists!I:I,MATCH(Validation!E6498,Lists!G:G,0))</f>
        <v>Error</v>
      </c>
      <c r="G6498" t="str">
        <f>INDEX(Lists!H:H,MATCH(Validation!E6498,Lists!G:G,0))</f>
        <v>Amount must be rounded to the nearest dollar.</v>
      </c>
      <c r="H6498" s="16" t="str">
        <f t="shared" ca="1" si="717"/>
        <v/>
      </c>
      <c r="I6498" s="16" t="str">
        <f t="shared" ca="1" si="718"/>
        <v/>
      </c>
      <c r="J6498" s="17" t="str">
        <f t="shared" ca="1" si="719"/>
        <v/>
      </c>
    </row>
    <row r="6499" spans="1:10" x14ac:dyDescent="0.25">
      <c r="A6499" t="s">
        <v>932</v>
      </c>
      <c r="B6499" t="str">
        <f>ADDRESS(ROW('Loan 1'!$B$36),COLUMN('Loan 1'!$B$36),4)</f>
        <v>B36</v>
      </c>
      <c r="C6499" t="str">
        <f>ADDRESS(ROW('Loan 1'!$D$36),COLUMN('Loan 1'!$D$36),4)</f>
        <v>D36</v>
      </c>
      <c r="D6499" t="b" cm="1">
        <f t="array" aca="1" ref="D6499" ca="1">IF(INDIRECT("'"&amp;A6499&amp;"'!"&amp;B6499)="",FALSE,IF(TRUNC(INDIRECT("'"&amp;A6499&amp;"'!"&amp;B6499))=INDIRECT("'"&amp;A6499&amp;"'!"&amp;B6499),FALSE,TRUE))</f>
        <v>0</v>
      </c>
      <c r="E6499" t="s">
        <v>436</v>
      </c>
      <c r="F6499" t="str">
        <f>INDEX(Lists!I:I,MATCH(Validation!E6499,Lists!G:G,0))</f>
        <v>Error</v>
      </c>
      <c r="G6499" t="str">
        <f>INDEX(Lists!H:H,MATCH(Validation!E6499,Lists!G:G,0))</f>
        <v>Amount must be rounded to the nearest dollar.</v>
      </c>
      <c r="H6499" s="16" t="str">
        <f t="shared" ref="H6499:H6512" ca="1" si="732">IFERROR(IF(OR(NOT(D6499),F6499&lt;&gt;"Error"),"",A6499&amp;CELL("address",INDIRECT(B6499))),"")</f>
        <v/>
      </c>
      <c r="I6499" s="16" t="str">
        <f t="shared" ref="I6499:I6512" ca="1" si="733">IFERROR(IF(NOT(D6499),"",A6499&amp;CELL("address",INDIRECT(C6499))),"")</f>
        <v/>
      </c>
      <c r="J6499" s="17" t="str">
        <f t="shared" ref="J6499:J6512" ca="1" si="734">IFERROR(IF(NOT(D6499),"",A6499),"")</f>
        <v/>
      </c>
    </row>
    <row r="6500" spans="1:10" x14ac:dyDescent="0.25">
      <c r="A6500" t="s">
        <v>933</v>
      </c>
      <c r="B6500" t="str">
        <f>ADDRESS(ROW('Loan 1'!$B$36),COLUMN('Loan 1'!$B$36),4)</f>
        <v>B36</v>
      </c>
      <c r="C6500" t="str">
        <f>ADDRESS(ROW('Loan 1'!$D$36),COLUMN('Loan 1'!$D$36),4)</f>
        <v>D36</v>
      </c>
      <c r="D6500" t="b" cm="1">
        <f t="array" aca="1" ref="D6500" ca="1">IF(INDIRECT("'"&amp;A6500&amp;"'!"&amp;B6500)="",FALSE,IF(TRUNC(INDIRECT("'"&amp;A6500&amp;"'!"&amp;B6500))=INDIRECT("'"&amp;A6500&amp;"'!"&amp;B6500),FALSE,TRUE))</f>
        <v>0</v>
      </c>
      <c r="E6500" t="s">
        <v>436</v>
      </c>
      <c r="F6500" t="str">
        <f>INDEX(Lists!I:I,MATCH(Validation!E6500,Lists!G:G,0))</f>
        <v>Error</v>
      </c>
      <c r="G6500" t="str">
        <f>INDEX(Lists!H:H,MATCH(Validation!E6500,Lists!G:G,0))</f>
        <v>Amount must be rounded to the nearest dollar.</v>
      </c>
      <c r="H6500" s="16" t="str">
        <f t="shared" ca="1" si="732"/>
        <v/>
      </c>
      <c r="I6500" s="16" t="str">
        <f t="shared" ca="1" si="733"/>
        <v/>
      </c>
      <c r="J6500" s="17" t="str">
        <f t="shared" ca="1" si="734"/>
        <v/>
      </c>
    </row>
    <row r="6501" spans="1:10" x14ac:dyDescent="0.25">
      <c r="A6501" t="s">
        <v>934</v>
      </c>
      <c r="B6501" t="str">
        <f>ADDRESS(ROW('Loan 1'!$B$36),COLUMN('Loan 1'!$B$36),4)</f>
        <v>B36</v>
      </c>
      <c r="C6501" t="str">
        <f>ADDRESS(ROW('Loan 1'!$D$36),COLUMN('Loan 1'!$D$36),4)</f>
        <v>D36</v>
      </c>
      <c r="D6501" t="b" cm="1">
        <f t="array" aca="1" ref="D6501" ca="1">IF(INDIRECT("'"&amp;A6501&amp;"'!"&amp;B6501)="",FALSE,IF(TRUNC(INDIRECT("'"&amp;A6501&amp;"'!"&amp;B6501))=INDIRECT("'"&amp;A6501&amp;"'!"&amp;B6501),FALSE,TRUE))</f>
        <v>0</v>
      </c>
      <c r="E6501" t="s">
        <v>436</v>
      </c>
      <c r="F6501" t="str">
        <f>INDEX(Lists!I:I,MATCH(Validation!E6501,Lists!G:G,0))</f>
        <v>Error</v>
      </c>
      <c r="G6501" t="str">
        <f>INDEX(Lists!H:H,MATCH(Validation!E6501,Lists!G:G,0))</f>
        <v>Amount must be rounded to the nearest dollar.</v>
      </c>
      <c r="H6501" s="16" t="str">
        <f t="shared" ca="1" si="732"/>
        <v/>
      </c>
      <c r="I6501" s="16" t="str">
        <f t="shared" ca="1" si="733"/>
        <v/>
      </c>
      <c r="J6501" s="17" t="str">
        <f t="shared" ca="1" si="734"/>
        <v/>
      </c>
    </row>
    <row r="6502" spans="1:10" x14ac:dyDescent="0.25">
      <c r="A6502" t="s">
        <v>935</v>
      </c>
      <c r="B6502" t="str">
        <f>ADDRESS(ROW('Loan 1'!$B$36),COLUMN('Loan 1'!$B$36),4)</f>
        <v>B36</v>
      </c>
      <c r="C6502" t="str">
        <f>ADDRESS(ROW('Loan 1'!$D$36),COLUMN('Loan 1'!$D$36),4)</f>
        <v>D36</v>
      </c>
      <c r="D6502" t="b" cm="1">
        <f t="array" aca="1" ref="D6502" ca="1">IF(INDIRECT("'"&amp;A6502&amp;"'!"&amp;B6502)="",FALSE,IF(TRUNC(INDIRECT("'"&amp;A6502&amp;"'!"&amp;B6502))=INDIRECT("'"&amp;A6502&amp;"'!"&amp;B6502),FALSE,TRUE))</f>
        <v>0</v>
      </c>
      <c r="E6502" t="s">
        <v>436</v>
      </c>
      <c r="F6502" t="str">
        <f>INDEX(Lists!I:I,MATCH(Validation!E6502,Lists!G:G,0))</f>
        <v>Error</v>
      </c>
      <c r="G6502" t="str">
        <f>INDEX(Lists!H:H,MATCH(Validation!E6502,Lists!G:G,0))</f>
        <v>Amount must be rounded to the nearest dollar.</v>
      </c>
      <c r="H6502" s="16" t="str">
        <f t="shared" ca="1" si="732"/>
        <v/>
      </c>
      <c r="I6502" s="16" t="str">
        <f t="shared" ca="1" si="733"/>
        <v/>
      </c>
      <c r="J6502" s="17" t="str">
        <f t="shared" ca="1" si="734"/>
        <v/>
      </c>
    </row>
    <row r="6503" spans="1:10" x14ac:dyDescent="0.25">
      <c r="A6503" t="s">
        <v>936</v>
      </c>
      <c r="B6503" t="str">
        <f>ADDRESS(ROW('Loan 1'!$B$36),COLUMN('Loan 1'!$B$36),4)</f>
        <v>B36</v>
      </c>
      <c r="C6503" t="str">
        <f>ADDRESS(ROW('Loan 1'!$D$36),COLUMN('Loan 1'!$D$36),4)</f>
        <v>D36</v>
      </c>
      <c r="D6503" t="b" cm="1">
        <f t="array" aca="1" ref="D6503" ca="1">IF(INDIRECT("'"&amp;A6503&amp;"'!"&amp;B6503)="",FALSE,IF(TRUNC(INDIRECT("'"&amp;A6503&amp;"'!"&amp;B6503))=INDIRECT("'"&amp;A6503&amp;"'!"&amp;B6503),FALSE,TRUE))</f>
        <v>0</v>
      </c>
      <c r="E6503" t="s">
        <v>436</v>
      </c>
      <c r="F6503" t="str">
        <f>INDEX(Lists!I:I,MATCH(Validation!E6503,Lists!G:G,0))</f>
        <v>Error</v>
      </c>
      <c r="G6503" t="str">
        <f>INDEX(Lists!H:H,MATCH(Validation!E6503,Lists!G:G,0))</f>
        <v>Amount must be rounded to the nearest dollar.</v>
      </c>
      <c r="H6503" s="16" t="str">
        <f t="shared" ca="1" si="732"/>
        <v/>
      </c>
      <c r="I6503" s="16" t="str">
        <f t="shared" ca="1" si="733"/>
        <v/>
      </c>
      <c r="J6503" s="17" t="str">
        <f t="shared" ca="1" si="734"/>
        <v/>
      </c>
    </row>
    <row r="6504" spans="1:10" x14ac:dyDescent="0.25">
      <c r="A6504" t="s">
        <v>937</v>
      </c>
      <c r="B6504" t="str">
        <f>ADDRESS(ROW('Loan 1'!$B$36),COLUMN('Loan 1'!$B$36),4)</f>
        <v>B36</v>
      </c>
      <c r="C6504" t="str">
        <f>ADDRESS(ROW('Loan 1'!$D$36),COLUMN('Loan 1'!$D$36),4)</f>
        <v>D36</v>
      </c>
      <c r="D6504" t="b" cm="1">
        <f t="array" aca="1" ref="D6504" ca="1">IF(INDIRECT("'"&amp;A6504&amp;"'!"&amp;B6504)="",FALSE,IF(TRUNC(INDIRECT("'"&amp;A6504&amp;"'!"&amp;B6504))=INDIRECT("'"&amp;A6504&amp;"'!"&amp;B6504),FALSE,TRUE))</f>
        <v>0</v>
      </c>
      <c r="E6504" t="s">
        <v>436</v>
      </c>
      <c r="F6504" t="str">
        <f>INDEX(Lists!I:I,MATCH(Validation!E6504,Lists!G:G,0))</f>
        <v>Error</v>
      </c>
      <c r="G6504" t="str">
        <f>INDEX(Lists!H:H,MATCH(Validation!E6504,Lists!G:G,0))</f>
        <v>Amount must be rounded to the nearest dollar.</v>
      </c>
      <c r="H6504" s="16" t="str">
        <f t="shared" ca="1" si="732"/>
        <v/>
      </c>
      <c r="I6504" s="16" t="str">
        <f t="shared" ca="1" si="733"/>
        <v/>
      </c>
      <c r="J6504" s="17" t="str">
        <f t="shared" ca="1" si="734"/>
        <v/>
      </c>
    </row>
    <row r="6505" spans="1:10" x14ac:dyDescent="0.25">
      <c r="A6505" t="s">
        <v>938</v>
      </c>
      <c r="B6505" t="str">
        <f>ADDRESS(ROW('Loan 1'!$B$36),COLUMN('Loan 1'!$B$36),4)</f>
        <v>B36</v>
      </c>
      <c r="C6505" t="str">
        <f>ADDRESS(ROW('Loan 1'!$D$36),COLUMN('Loan 1'!$D$36),4)</f>
        <v>D36</v>
      </c>
      <c r="D6505" t="b" cm="1">
        <f t="array" aca="1" ref="D6505" ca="1">IF(INDIRECT("'"&amp;A6505&amp;"'!"&amp;B6505)="",FALSE,IF(TRUNC(INDIRECT("'"&amp;A6505&amp;"'!"&amp;B6505))=INDIRECT("'"&amp;A6505&amp;"'!"&amp;B6505),FALSE,TRUE))</f>
        <v>0</v>
      </c>
      <c r="E6505" t="s">
        <v>436</v>
      </c>
      <c r="F6505" t="str">
        <f>INDEX(Lists!I:I,MATCH(Validation!E6505,Lists!G:G,0))</f>
        <v>Error</v>
      </c>
      <c r="G6505" t="str">
        <f>INDEX(Lists!H:H,MATCH(Validation!E6505,Lists!G:G,0))</f>
        <v>Amount must be rounded to the nearest dollar.</v>
      </c>
      <c r="H6505" s="16" t="str">
        <f t="shared" ca="1" si="732"/>
        <v/>
      </c>
      <c r="I6505" s="16" t="str">
        <f t="shared" ca="1" si="733"/>
        <v/>
      </c>
      <c r="J6505" s="17" t="str">
        <f t="shared" ca="1" si="734"/>
        <v/>
      </c>
    </row>
    <row r="6506" spans="1:10" x14ac:dyDescent="0.25">
      <c r="A6506" t="s">
        <v>939</v>
      </c>
      <c r="B6506" t="str">
        <f>ADDRESS(ROW('Loan 1'!$B$36),COLUMN('Loan 1'!$B$36),4)</f>
        <v>B36</v>
      </c>
      <c r="C6506" t="str">
        <f>ADDRESS(ROW('Loan 1'!$D$36),COLUMN('Loan 1'!$D$36),4)</f>
        <v>D36</v>
      </c>
      <c r="D6506" t="b" cm="1">
        <f t="array" aca="1" ref="D6506" ca="1">IF(INDIRECT("'"&amp;A6506&amp;"'!"&amp;B6506)="",FALSE,IF(TRUNC(INDIRECT("'"&amp;A6506&amp;"'!"&amp;B6506))=INDIRECT("'"&amp;A6506&amp;"'!"&amp;B6506),FALSE,TRUE))</f>
        <v>0</v>
      </c>
      <c r="E6506" t="s">
        <v>436</v>
      </c>
      <c r="F6506" t="str">
        <f>INDEX(Lists!I:I,MATCH(Validation!E6506,Lists!G:G,0))</f>
        <v>Error</v>
      </c>
      <c r="G6506" t="str">
        <f>INDEX(Lists!H:H,MATCH(Validation!E6506,Lists!G:G,0))</f>
        <v>Amount must be rounded to the nearest dollar.</v>
      </c>
      <c r="H6506" s="16" t="str">
        <f t="shared" ca="1" si="732"/>
        <v/>
      </c>
      <c r="I6506" s="16" t="str">
        <f t="shared" ca="1" si="733"/>
        <v/>
      </c>
      <c r="J6506" s="17" t="str">
        <f t="shared" ca="1" si="734"/>
        <v/>
      </c>
    </row>
    <row r="6507" spans="1:10" x14ac:dyDescent="0.25">
      <c r="A6507" t="s">
        <v>940</v>
      </c>
      <c r="B6507" t="str">
        <f>ADDRESS(ROW('Loan 1'!$B$36),COLUMN('Loan 1'!$B$36),4)</f>
        <v>B36</v>
      </c>
      <c r="C6507" t="str">
        <f>ADDRESS(ROW('Loan 1'!$D$36),COLUMN('Loan 1'!$D$36),4)</f>
        <v>D36</v>
      </c>
      <c r="D6507" t="b" cm="1">
        <f t="array" aca="1" ref="D6507" ca="1">IF(INDIRECT("'"&amp;A6507&amp;"'!"&amp;B6507)="",FALSE,IF(TRUNC(INDIRECT("'"&amp;A6507&amp;"'!"&amp;B6507))=INDIRECT("'"&amp;A6507&amp;"'!"&amp;B6507),FALSE,TRUE))</f>
        <v>0</v>
      </c>
      <c r="E6507" t="s">
        <v>436</v>
      </c>
      <c r="F6507" t="str">
        <f>INDEX(Lists!I:I,MATCH(Validation!E6507,Lists!G:G,0))</f>
        <v>Error</v>
      </c>
      <c r="G6507" t="str">
        <f>INDEX(Lists!H:H,MATCH(Validation!E6507,Lists!G:G,0))</f>
        <v>Amount must be rounded to the nearest dollar.</v>
      </c>
      <c r="H6507" s="16" t="str">
        <f t="shared" ca="1" si="732"/>
        <v/>
      </c>
      <c r="I6507" s="16" t="str">
        <f t="shared" ca="1" si="733"/>
        <v/>
      </c>
      <c r="J6507" s="17" t="str">
        <f t="shared" ca="1" si="734"/>
        <v/>
      </c>
    </row>
    <row r="6508" spans="1:10" x14ac:dyDescent="0.25">
      <c r="A6508" t="s">
        <v>941</v>
      </c>
      <c r="B6508" t="str">
        <f>ADDRESS(ROW('Loan 1'!$B$36),COLUMN('Loan 1'!$B$36),4)</f>
        <v>B36</v>
      </c>
      <c r="C6508" t="str">
        <f>ADDRESS(ROW('Loan 1'!$D$36),COLUMN('Loan 1'!$D$36),4)</f>
        <v>D36</v>
      </c>
      <c r="D6508" t="b" cm="1">
        <f t="array" aca="1" ref="D6508" ca="1">IF(INDIRECT("'"&amp;A6508&amp;"'!"&amp;B6508)="",FALSE,IF(TRUNC(INDIRECT("'"&amp;A6508&amp;"'!"&amp;B6508))=INDIRECT("'"&amp;A6508&amp;"'!"&amp;B6508),FALSE,TRUE))</f>
        <v>0</v>
      </c>
      <c r="E6508" t="s">
        <v>436</v>
      </c>
      <c r="F6508" t="str">
        <f>INDEX(Lists!I:I,MATCH(Validation!E6508,Lists!G:G,0))</f>
        <v>Error</v>
      </c>
      <c r="G6508" t="str">
        <f>INDEX(Lists!H:H,MATCH(Validation!E6508,Lists!G:G,0))</f>
        <v>Amount must be rounded to the nearest dollar.</v>
      </c>
      <c r="H6508" s="16" t="str">
        <f t="shared" ca="1" si="732"/>
        <v/>
      </c>
      <c r="I6508" s="16" t="str">
        <f t="shared" ca="1" si="733"/>
        <v/>
      </c>
      <c r="J6508" s="17" t="str">
        <f t="shared" ca="1" si="734"/>
        <v/>
      </c>
    </row>
    <row r="6509" spans="1:10" x14ac:dyDescent="0.25">
      <c r="A6509" t="s">
        <v>942</v>
      </c>
      <c r="B6509" t="str">
        <f>ADDRESS(ROW('Loan 1'!$B$36),COLUMN('Loan 1'!$B$36),4)</f>
        <v>B36</v>
      </c>
      <c r="C6509" t="str">
        <f>ADDRESS(ROW('Loan 1'!$D$36),COLUMN('Loan 1'!$D$36),4)</f>
        <v>D36</v>
      </c>
      <c r="D6509" t="b" cm="1">
        <f t="array" aca="1" ref="D6509" ca="1">IF(INDIRECT("'"&amp;A6509&amp;"'!"&amp;B6509)="",FALSE,IF(TRUNC(INDIRECT("'"&amp;A6509&amp;"'!"&amp;B6509))=INDIRECT("'"&amp;A6509&amp;"'!"&amp;B6509),FALSE,TRUE))</f>
        <v>0</v>
      </c>
      <c r="E6509" t="s">
        <v>436</v>
      </c>
      <c r="F6509" t="str">
        <f>INDEX(Lists!I:I,MATCH(Validation!E6509,Lists!G:G,0))</f>
        <v>Error</v>
      </c>
      <c r="G6509" t="str">
        <f>INDEX(Lists!H:H,MATCH(Validation!E6509,Lists!G:G,0))</f>
        <v>Amount must be rounded to the nearest dollar.</v>
      </c>
      <c r="H6509" s="16" t="str">
        <f t="shared" ca="1" si="732"/>
        <v/>
      </c>
      <c r="I6509" s="16" t="str">
        <f t="shared" ca="1" si="733"/>
        <v/>
      </c>
      <c r="J6509" s="17" t="str">
        <f t="shared" ca="1" si="734"/>
        <v/>
      </c>
    </row>
    <row r="6510" spans="1:10" x14ac:dyDescent="0.25">
      <c r="A6510" t="s">
        <v>943</v>
      </c>
      <c r="B6510" t="str">
        <f>ADDRESS(ROW('Loan 1'!$B$36),COLUMN('Loan 1'!$B$36),4)</f>
        <v>B36</v>
      </c>
      <c r="C6510" t="str">
        <f>ADDRESS(ROW('Loan 1'!$D$36),COLUMN('Loan 1'!$D$36),4)</f>
        <v>D36</v>
      </c>
      <c r="D6510" t="b" cm="1">
        <f t="array" aca="1" ref="D6510" ca="1">IF(INDIRECT("'"&amp;A6510&amp;"'!"&amp;B6510)="",FALSE,IF(TRUNC(INDIRECT("'"&amp;A6510&amp;"'!"&amp;B6510))=INDIRECT("'"&amp;A6510&amp;"'!"&amp;B6510),FALSE,TRUE))</f>
        <v>0</v>
      </c>
      <c r="E6510" t="s">
        <v>436</v>
      </c>
      <c r="F6510" t="str">
        <f>INDEX(Lists!I:I,MATCH(Validation!E6510,Lists!G:G,0))</f>
        <v>Error</v>
      </c>
      <c r="G6510" t="str">
        <f>INDEX(Lists!H:H,MATCH(Validation!E6510,Lists!G:G,0))</f>
        <v>Amount must be rounded to the nearest dollar.</v>
      </c>
      <c r="H6510" s="16" t="str">
        <f t="shared" ca="1" si="732"/>
        <v/>
      </c>
      <c r="I6510" s="16" t="str">
        <f t="shared" ca="1" si="733"/>
        <v/>
      </c>
      <c r="J6510" s="17" t="str">
        <f t="shared" ca="1" si="734"/>
        <v/>
      </c>
    </row>
    <row r="6511" spans="1:10" x14ac:dyDescent="0.25">
      <c r="A6511" t="s">
        <v>944</v>
      </c>
      <c r="B6511" t="str">
        <f>ADDRESS(ROW('Loan 1'!$B$36),COLUMN('Loan 1'!$B$36),4)</f>
        <v>B36</v>
      </c>
      <c r="C6511" t="str">
        <f>ADDRESS(ROW('Loan 1'!$D$36),COLUMN('Loan 1'!$D$36),4)</f>
        <v>D36</v>
      </c>
      <c r="D6511" t="b" cm="1">
        <f t="array" aca="1" ref="D6511" ca="1">IF(INDIRECT("'"&amp;A6511&amp;"'!"&amp;B6511)="",FALSE,IF(TRUNC(INDIRECT("'"&amp;A6511&amp;"'!"&amp;B6511))=INDIRECT("'"&amp;A6511&amp;"'!"&amp;B6511),FALSE,TRUE))</f>
        <v>0</v>
      </c>
      <c r="E6511" t="s">
        <v>436</v>
      </c>
      <c r="F6511" t="str">
        <f>INDEX(Lists!I:I,MATCH(Validation!E6511,Lists!G:G,0))</f>
        <v>Error</v>
      </c>
      <c r="G6511" t="str">
        <f>INDEX(Lists!H:H,MATCH(Validation!E6511,Lists!G:G,0))</f>
        <v>Amount must be rounded to the nearest dollar.</v>
      </c>
      <c r="H6511" s="16" t="str">
        <f t="shared" ca="1" si="732"/>
        <v/>
      </c>
      <c r="I6511" s="16" t="str">
        <f t="shared" ca="1" si="733"/>
        <v/>
      </c>
      <c r="J6511" s="17" t="str">
        <f t="shared" ca="1" si="734"/>
        <v/>
      </c>
    </row>
    <row r="6512" spans="1:10" x14ac:dyDescent="0.25">
      <c r="A6512" t="s">
        <v>945</v>
      </c>
      <c r="B6512" t="str">
        <f>ADDRESS(ROW('Loan 1'!$B$36),COLUMN('Loan 1'!$B$36),4)</f>
        <v>B36</v>
      </c>
      <c r="C6512" t="str">
        <f>ADDRESS(ROW('Loan 1'!$D$36),COLUMN('Loan 1'!$D$36),4)</f>
        <v>D36</v>
      </c>
      <c r="D6512" t="b" cm="1">
        <f t="array" aca="1" ref="D6512" ca="1">IF(INDIRECT("'"&amp;A6512&amp;"'!"&amp;B6512)="",FALSE,IF(TRUNC(INDIRECT("'"&amp;A6512&amp;"'!"&amp;B6512))=INDIRECT("'"&amp;A6512&amp;"'!"&amp;B6512),FALSE,TRUE))</f>
        <v>0</v>
      </c>
      <c r="E6512" t="s">
        <v>436</v>
      </c>
      <c r="F6512" t="str">
        <f>INDEX(Lists!I:I,MATCH(Validation!E6512,Lists!G:G,0))</f>
        <v>Error</v>
      </c>
      <c r="G6512" t="str">
        <f>INDEX(Lists!H:H,MATCH(Validation!E6512,Lists!G:G,0))</f>
        <v>Amount must be rounded to the nearest dollar.</v>
      </c>
      <c r="H6512" s="16" t="str">
        <f t="shared" ca="1" si="732"/>
        <v/>
      </c>
      <c r="I6512" s="16" t="str">
        <f t="shared" ca="1" si="733"/>
        <v/>
      </c>
      <c r="J6512" s="17" t="str">
        <f t="shared" ca="1" si="734"/>
        <v/>
      </c>
    </row>
    <row r="6513" spans="1:10" x14ac:dyDescent="0.25">
      <c r="A6513" t="s">
        <v>205</v>
      </c>
      <c r="B6513" t="str">
        <f>ADDRESS(ROW('Loan 1'!$C$36),COLUMN('Loan 1'!$C$36),4)</f>
        <v>C36</v>
      </c>
      <c r="C6513" t="str">
        <f>ADDRESS(ROW('Loan 1'!$D$36),COLUMN('Loan 1'!$D$36),4)</f>
        <v>D36</v>
      </c>
      <c r="D6513" t="b" cm="1">
        <f t="array" aca="1" ref="D6513" ca="1">IF(INDIRECT("'"&amp;A6513&amp;"'!"&amp;B6513)="",FALSE,IF(NOT(ISNUMBER(INDIRECT("'"&amp;A6513&amp;"'!"&amp;B6513))),TRUE,FALSE))</f>
        <v>0</v>
      </c>
      <c r="E6513" t="s">
        <v>435</v>
      </c>
      <c r="F6513" t="str">
        <f>INDEX(Lists!I:I,MATCH(Validation!E6513,Lists!G:G,0))</f>
        <v>Error</v>
      </c>
      <c r="G6513" t="str">
        <f>INDEX(Lists!H:H,MATCH(Validation!E6513,Lists!G:G,0))</f>
        <v>Enter an amount only. Do not enter text or spaces.</v>
      </c>
      <c r="H6513" s="16" t="str">
        <f t="shared" ref="H6513:H6543" ca="1" si="735">IFERROR(IF(OR(NOT(D6513),F6513&lt;&gt;"Error"),"",A6513&amp;CELL("address",INDIRECT(B6513))),"")</f>
        <v/>
      </c>
      <c r="I6513" s="16" t="str">
        <f t="shared" ref="I6513:I6543" ca="1" si="736">IFERROR(IF(NOT(D6513),"",A6513&amp;CELL("address",INDIRECT(C6513))),"")</f>
        <v/>
      </c>
      <c r="J6513" s="17" t="str">
        <f t="shared" ref="J6513:J6543" ca="1" si="737">IFERROR(IF(NOT(D6513),"",A6513),"")</f>
        <v/>
      </c>
    </row>
    <row r="6514" spans="1:10" x14ac:dyDescent="0.25">
      <c r="A6514" t="s">
        <v>932</v>
      </c>
      <c r="B6514" t="str">
        <f>ADDRESS(ROW('Loan 1'!$C$36),COLUMN('Loan 1'!$C$36),4)</f>
        <v>C36</v>
      </c>
      <c r="C6514" t="str">
        <f>ADDRESS(ROW('Loan 1'!$D$36),COLUMN('Loan 1'!$D$36),4)</f>
        <v>D36</v>
      </c>
      <c r="D6514" t="b" cm="1">
        <f t="array" aca="1" ref="D6514" ca="1">IF(INDIRECT("'"&amp;A6514&amp;"'!"&amp;B6514)="",FALSE,IF(NOT(ISNUMBER(INDIRECT("'"&amp;A6514&amp;"'!"&amp;B6514))),TRUE,FALSE))</f>
        <v>0</v>
      </c>
      <c r="E6514" t="s">
        <v>435</v>
      </c>
      <c r="F6514" t="str">
        <f>INDEX(Lists!I:I,MATCH(Validation!E6514,Lists!G:G,0))</f>
        <v>Error</v>
      </c>
      <c r="G6514" t="str">
        <f>INDEX(Lists!H:H,MATCH(Validation!E6514,Lists!G:G,0))</f>
        <v>Enter an amount only. Do not enter text or spaces.</v>
      </c>
      <c r="H6514" s="16" t="str">
        <f t="shared" ref="H6514:H6527" ca="1" si="738">IFERROR(IF(OR(NOT(D6514),F6514&lt;&gt;"Error"),"",A6514&amp;CELL("address",INDIRECT(B6514))),"")</f>
        <v/>
      </c>
      <c r="I6514" s="16" t="str">
        <f t="shared" ref="I6514:I6527" ca="1" si="739">IFERROR(IF(NOT(D6514),"",A6514&amp;CELL("address",INDIRECT(C6514))),"")</f>
        <v/>
      </c>
      <c r="J6514" s="17" t="str">
        <f t="shared" ref="J6514:J6527" ca="1" si="740">IFERROR(IF(NOT(D6514),"",A6514),"")</f>
        <v/>
      </c>
    </row>
    <row r="6515" spans="1:10" x14ac:dyDescent="0.25">
      <c r="A6515" t="s">
        <v>933</v>
      </c>
      <c r="B6515" t="str">
        <f>ADDRESS(ROW('Loan 1'!$C$36),COLUMN('Loan 1'!$C$36),4)</f>
        <v>C36</v>
      </c>
      <c r="C6515" t="str">
        <f>ADDRESS(ROW('Loan 1'!$D$36),COLUMN('Loan 1'!$D$36),4)</f>
        <v>D36</v>
      </c>
      <c r="D6515" t="b" cm="1">
        <f t="array" aca="1" ref="D6515" ca="1">IF(INDIRECT("'"&amp;A6515&amp;"'!"&amp;B6515)="",FALSE,IF(NOT(ISNUMBER(INDIRECT("'"&amp;A6515&amp;"'!"&amp;B6515))),TRUE,FALSE))</f>
        <v>0</v>
      </c>
      <c r="E6515" t="s">
        <v>435</v>
      </c>
      <c r="F6515" t="str">
        <f>INDEX(Lists!I:I,MATCH(Validation!E6515,Lists!G:G,0))</f>
        <v>Error</v>
      </c>
      <c r="G6515" t="str">
        <f>INDEX(Lists!H:H,MATCH(Validation!E6515,Lists!G:G,0))</f>
        <v>Enter an amount only. Do not enter text or spaces.</v>
      </c>
      <c r="H6515" s="16" t="str">
        <f t="shared" ca="1" si="738"/>
        <v/>
      </c>
      <c r="I6515" s="16" t="str">
        <f t="shared" ca="1" si="739"/>
        <v/>
      </c>
      <c r="J6515" s="17" t="str">
        <f t="shared" ca="1" si="740"/>
        <v/>
      </c>
    </row>
    <row r="6516" spans="1:10" x14ac:dyDescent="0.25">
      <c r="A6516" t="s">
        <v>934</v>
      </c>
      <c r="B6516" t="str">
        <f>ADDRESS(ROW('Loan 1'!$C$36),COLUMN('Loan 1'!$C$36),4)</f>
        <v>C36</v>
      </c>
      <c r="C6516" t="str">
        <f>ADDRESS(ROW('Loan 1'!$D$36),COLUMN('Loan 1'!$D$36),4)</f>
        <v>D36</v>
      </c>
      <c r="D6516" t="b" cm="1">
        <f t="array" aca="1" ref="D6516" ca="1">IF(INDIRECT("'"&amp;A6516&amp;"'!"&amp;B6516)="",FALSE,IF(NOT(ISNUMBER(INDIRECT("'"&amp;A6516&amp;"'!"&amp;B6516))),TRUE,FALSE))</f>
        <v>0</v>
      </c>
      <c r="E6516" t="s">
        <v>435</v>
      </c>
      <c r="F6516" t="str">
        <f>INDEX(Lists!I:I,MATCH(Validation!E6516,Lists!G:G,0))</f>
        <v>Error</v>
      </c>
      <c r="G6516" t="str">
        <f>INDEX(Lists!H:H,MATCH(Validation!E6516,Lists!G:G,0))</f>
        <v>Enter an amount only. Do not enter text or spaces.</v>
      </c>
      <c r="H6516" s="16" t="str">
        <f t="shared" ca="1" si="738"/>
        <v/>
      </c>
      <c r="I6516" s="16" t="str">
        <f t="shared" ca="1" si="739"/>
        <v/>
      </c>
      <c r="J6516" s="17" t="str">
        <f t="shared" ca="1" si="740"/>
        <v/>
      </c>
    </row>
    <row r="6517" spans="1:10" x14ac:dyDescent="0.25">
      <c r="A6517" t="s">
        <v>935</v>
      </c>
      <c r="B6517" t="str">
        <f>ADDRESS(ROW('Loan 1'!$C$36),COLUMN('Loan 1'!$C$36),4)</f>
        <v>C36</v>
      </c>
      <c r="C6517" t="str">
        <f>ADDRESS(ROW('Loan 1'!$D$36),COLUMN('Loan 1'!$D$36),4)</f>
        <v>D36</v>
      </c>
      <c r="D6517" t="b" cm="1">
        <f t="array" aca="1" ref="D6517" ca="1">IF(INDIRECT("'"&amp;A6517&amp;"'!"&amp;B6517)="",FALSE,IF(NOT(ISNUMBER(INDIRECT("'"&amp;A6517&amp;"'!"&amp;B6517))),TRUE,FALSE))</f>
        <v>0</v>
      </c>
      <c r="E6517" t="s">
        <v>435</v>
      </c>
      <c r="F6517" t="str">
        <f>INDEX(Lists!I:I,MATCH(Validation!E6517,Lists!G:G,0))</f>
        <v>Error</v>
      </c>
      <c r="G6517" t="str">
        <f>INDEX(Lists!H:H,MATCH(Validation!E6517,Lists!G:G,0))</f>
        <v>Enter an amount only. Do not enter text or spaces.</v>
      </c>
      <c r="H6517" s="16" t="str">
        <f t="shared" ca="1" si="738"/>
        <v/>
      </c>
      <c r="I6517" s="16" t="str">
        <f t="shared" ca="1" si="739"/>
        <v/>
      </c>
      <c r="J6517" s="17" t="str">
        <f t="shared" ca="1" si="740"/>
        <v/>
      </c>
    </row>
    <row r="6518" spans="1:10" x14ac:dyDescent="0.25">
      <c r="A6518" t="s">
        <v>936</v>
      </c>
      <c r="B6518" t="str">
        <f>ADDRESS(ROW('Loan 1'!$C$36),COLUMN('Loan 1'!$C$36),4)</f>
        <v>C36</v>
      </c>
      <c r="C6518" t="str">
        <f>ADDRESS(ROW('Loan 1'!$D$36),COLUMN('Loan 1'!$D$36),4)</f>
        <v>D36</v>
      </c>
      <c r="D6518" t="b" cm="1">
        <f t="array" aca="1" ref="D6518" ca="1">IF(INDIRECT("'"&amp;A6518&amp;"'!"&amp;B6518)="",FALSE,IF(NOT(ISNUMBER(INDIRECT("'"&amp;A6518&amp;"'!"&amp;B6518))),TRUE,FALSE))</f>
        <v>0</v>
      </c>
      <c r="E6518" t="s">
        <v>435</v>
      </c>
      <c r="F6518" t="str">
        <f>INDEX(Lists!I:I,MATCH(Validation!E6518,Lists!G:G,0))</f>
        <v>Error</v>
      </c>
      <c r="G6518" t="str">
        <f>INDEX(Lists!H:H,MATCH(Validation!E6518,Lists!G:G,0))</f>
        <v>Enter an amount only. Do not enter text or spaces.</v>
      </c>
      <c r="H6518" s="16" t="str">
        <f t="shared" ca="1" si="738"/>
        <v/>
      </c>
      <c r="I6518" s="16" t="str">
        <f t="shared" ca="1" si="739"/>
        <v/>
      </c>
      <c r="J6518" s="17" t="str">
        <f t="shared" ca="1" si="740"/>
        <v/>
      </c>
    </row>
    <row r="6519" spans="1:10" x14ac:dyDescent="0.25">
      <c r="A6519" t="s">
        <v>937</v>
      </c>
      <c r="B6519" t="str">
        <f>ADDRESS(ROW('Loan 1'!$C$36),COLUMN('Loan 1'!$C$36),4)</f>
        <v>C36</v>
      </c>
      <c r="C6519" t="str">
        <f>ADDRESS(ROW('Loan 1'!$D$36),COLUMN('Loan 1'!$D$36),4)</f>
        <v>D36</v>
      </c>
      <c r="D6519" t="b" cm="1">
        <f t="array" aca="1" ref="D6519" ca="1">IF(INDIRECT("'"&amp;A6519&amp;"'!"&amp;B6519)="",FALSE,IF(NOT(ISNUMBER(INDIRECT("'"&amp;A6519&amp;"'!"&amp;B6519))),TRUE,FALSE))</f>
        <v>0</v>
      </c>
      <c r="E6519" t="s">
        <v>435</v>
      </c>
      <c r="F6519" t="str">
        <f>INDEX(Lists!I:I,MATCH(Validation!E6519,Lists!G:G,0))</f>
        <v>Error</v>
      </c>
      <c r="G6519" t="str">
        <f>INDEX(Lists!H:H,MATCH(Validation!E6519,Lists!G:G,0))</f>
        <v>Enter an amount only. Do not enter text or spaces.</v>
      </c>
      <c r="H6519" s="16" t="str">
        <f t="shared" ca="1" si="738"/>
        <v/>
      </c>
      <c r="I6519" s="16" t="str">
        <f t="shared" ca="1" si="739"/>
        <v/>
      </c>
      <c r="J6519" s="17" t="str">
        <f t="shared" ca="1" si="740"/>
        <v/>
      </c>
    </row>
    <row r="6520" spans="1:10" x14ac:dyDescent="0.25">
      <c r="A6520" t="s">
        <v>938</v>
      </c>
      <c r="B6520" t="str">
        <f>ADDRESS(ROW('Loan 1'!$C$36),COLUMN('Loan 1'!$C$36),4)</f>
        <v>C36</v>
      </c>
      <c r="C6520" t="str">
        <f>ADDRESS(ROW('Loan 1'!$D$36),COLUMN('Loan 1'!$D$36),4)</f>
        <v>D36</v>
      </c>
      <c r="D6520" t="b" cm="1">
        <f t="array" aca="1" ref="D6520" ca="1">IF(INDIRECT("'"&amp;A6520&amp;"'!"&amp;B6520)="",FALSE,IF(NOT(ISNUMBER(INDIRECT("'"&amp;A6520&amp;"'!"&amp;B6520))),TRUE,FALSE))</f>
        <v>0</v>
      </c>
      <c r="E6520" t="s">
        <v>435</v>
      </c>
      <c r="F6520" t="str">
        <f>INDEX(Lists!I:I,MATCH(Validation!E6520,Lists!G:G,0))</f>
        <v>Error</v>
      </c>
      <c r="G6520" t="str">
        <f>INDEX(Lists!H:H,MATCH(Validation!E6520,Lists!G:G,0))</f>
        <v>Enter an amount only. Do not enter text or spaces.</v>
      </c>
      <c r="H6520" s="16" t="str">
        <f t="shared" ca="1" si="738"/>
        <v/>
      </c>
      <c r="I6520" s="16" t="str">
        <f t="shared" ca="1" si="739"/>
        <v/>
      </c>
      <c r="J6520" s="17" t="str">
        <f t="shared" ca="1" si="740"/>
        <v/>
      </c>
    </row>
    <row r="6521" spans="1:10" x14ac:dyDescent="0.25">
      <c r="A6521" t="s">
        <v>939</v>
      </c>
      <c r="B6521" t="str">
        <f>ADDRESS(ROW('Loan 1'!$C$36),COLUMN('Loan 1'!$C$36),4)</f>
        <v>C36</v>
      </c>
      <c r="C6521" t="str">
        <f>ADDRESS(ROW('Loan 1'!$D$36),COLUMN('Loan 1'!$D$36),4)</f>
        <v>D36</v>
      </c>
      <c r="D6521" t="b" cm="1">
        <f t="array" aca="1" ref="D6521" ca="1">IF(INDIRECT("'"&amp;A6521&amp;"'!"&amp;B6521)="",FALSE,IF(NOT(ISNUMBER(INDIRECT("'"&amp;A6521&amp;"'!"&amp;B6521))),TRUE,FALSE))</f>
        <v>0</v>
      </c>
      <c r="E6521" t="s">
        <v>435</v>
      </c>
      <c r="F6521" t="str">
        <f>INDEX(Lists!I:I,MATCH(Validation!E6521,Lists!G:G,0))</f>
        <v>Error</v>
      </c>
      <c r="G6521" t="str">
        <f>INDEX(Lists!H:H,MATCH(Validation!E6521,Lists!G:G,0))</f>
        <v>Enter an amount only. Do not enter text or spaces.</v>
      </c>
      <c r="H6521" s="16" t="str">
        <f t="shared" ca="1" si="738"/>
        <v/>
      </c>
      <c r="I6521" s="16" t="str">
        <f t="shared" ca="1" si="739"/>
        <v/>
      </c>
      <c r="J6521" s="17" t="str">
        <f t="shared" ca="1" si="740"/>
        <v/>
      </c>
    </row>
    <row r="6522" spans="1:10" x14ac:dyDescent="0.25">
      <c r="A6522" t="s">
        <v>940</v>
      </c>
      <c r="B6522" t="str">
        <f>ADDRESS(ROW('Loan 1'!$C$36),COLUMN('Loan 1'!$C$36),4)</f>
        <v>C36</v>
      </c>
      <c r="C6522" t="str">
        <f>ADDRESS(ROW('Loan 1'!$D$36),COLUMN('Loan 1'!$D$36),4)</f>
        <v>D36</v>
      </c>
      <c r="D6522" t="b" cm="1">
        <f t="array" aca="1" ref="D6522" ca="1">IF(INDIRECT("'"&amp;A6522&amp;"'!"&amp;B6522)="",FALSE,IF(NOT(ISNUMBER(INDIRECT("'"&amp;A6522&amp;"'!"&amp;B6522))),TRUE,FALSE))</f>
        <v>0</v>
      </c>
      <c r="E6522" t="s">
        <v>435</v>
      </c>
      <c r="F6522" t="str">
        <f>INDEX(Lists!I:I,MATCH(Validation!E6522,Lists!G:G,0))</f>
        <v>Error</v>
      </c>
      <c r="G6522" t="str">
        <f>INDEX(Lists!H:H,MATCH(Validation!E6522,Lists!G:G,0))</f>
        <v>Enter an amount only. Do not enter text or spaces.</v>
      </c>
      <c r="H6522" s="16" t="str">
        <f t="shared" ca="1" si="738"/>
        <v/>
      </c>
      <c r="I6522" s="16" t="str">
        <f t="shared" ca="1" si="739"/>
        <v/>
      </c>
      <c r="J6522" s="17" t="str">
        <f t="shared" ca="1" si="740"/>
        <v/>
      </c>
    </row>
    <row r="6523" spans="1:10" x14ac:dyDescent="0.25">
      <c r="A6523" t="s">
        <v>941</v>
      </c>
      <c r="B6523" t="str">
        <f>ADDRESS(ROW('Loan 1'!$C$36),COLUMN('Loan 1'!$C$36),4)</f>
        <v>C36</v>
      </c>
      <c r="C6523" t="str">
        <f>ADDRESS(ROW('Loan 1'!$D$36),COLUMN('Loan 1'!$D$36),4)</f>
        <v>D36</v>
      </c>
      <c r="D6523" t="b" cm="1">
        <f t="array" aca="1" ref="D6523" ca="1">IF(INDIRECT("'"&amp;A6523&amp;"'!"&amp;B6523)="",FALSE,IF(NOT(ISNUMBER(INDIRECT("'"&amp;A6523&amp;"'!"&amp;B6523))),TRUE,FALSE))</f>
        <v>0</v>
      </c>
      <c r="E6523" t="s">
        <v>435</v>
      </c>
      <c r="F6523" t="str">
        <f>INDEX(Lists!I:I,MATCH(Validation!E6523,Lists!G:G,0))</f>
        <v>Error</v>
      </c>
      <c r="G6523" t="str">
        <f>INDEX(Lists!H:H,MATCH(Validation!E6523,Lists!G:G,0))</f>
        <v>Enter an amount only. Do not enter text or spaces.</v>
      </c>
      <c r="H6523" s="16" t="str">
        <f t="shared" ca="1" si="738"/>
        <v/>
      </c>
      <c r="I6523" s="16" t="str">
        <f t="shared" ca="1" si="739"/>
        <v/>
      </c>
      <c r="J6523" s="17" t="str">
        <f t="shared" ca="1" si="740"/>
        <v/>
      </c>
    </row>
    <row r="6524" spans="1:10" x14ac:dyDescent="0.25">
      <c r="A6524" t="s">
        <v>942</v>
      </c>
      <c r="B6524" t="str">
        <f>ADDRESS(ROW('Loan 1'!$C$36),COLUMN('Loan 1'!$C$36),4)</f>
        <v>C36</v>
      </c>
      <c r="C6524" t="str">
        <f>ADDRESS(ROW('Loan 1'!$D$36),COLUMN('Loan 1'!$D$36),4)</f>
        <v>D36</v>
      </c>
      <c r="D6524" t="b" cm="1">
        <f t="array" aca="1" ref="D6524" ca="1">IF(INDIRECT("'"&amp;A6524&amp;"'!"&amp;B6524)="",FALSE,IF(NOT(ISNUMBER(INDIRECT("'"&amp;A6524&amp;"'!"&amp;B6524))),TRUE,FALSE))</f>
        <v>0</v>
      </c>
      <c r="E6524" t="s">
        <v>435</v>
      </c>
      <c r="F6524" t="str">
        <f>INDEX(Lists!I:I,MATCH(Validation!E6524,Lists!G:G,0))</f>
        <v>Error</v>
      </c>
      <c r="G6524" t="str">
        <f>INDEX(Lists!H:H,MATCH(Validation!E6524,Lists!G:G,0))</f>
        <v>Enter an amount only. Do not enter text or spaces.</v>
      </c>
      <c r="H6524" s="16" t="str">
        <f t="shared" ca="1" si="738"/>
        <v/>
      </c>
      <c r="I6524" s="16" t="str">
        <f t="shared" ca="1" si="739"/>
        <v/>
      </c>
      <c r="J6524" s="17" t="str">
        <f t="shared" ca="1" si="740"/>
        <v/>
      </c>
    </row>
    <row r="6525" spans="1:10" x14ac:dyDescent="0.25">
      <c r="A6525" t="s">
        <v>943</v>
      </c>
      <c r="B6525" t="str">
        <f>ADDRESS(ROW('Loan 1'!$C$36),COLUMN('Loan 1'!$C$36),4)</f>
        <v>C36</v>
      </c>
      <c r="C6525" t="str">
        <f>ADDRESS(ROW('Loan 1'!$D$36),COLUMN('Loan 1'!$D$36),4)</f>
        <v>D36</v>
      </c>
      <c r="D6525" t="b" cm="1">
        <f t="array" aca="1" ref="D6525" ca="1">IF(INDIRECT("'"&amp;A6525&amp;"'!"&amp;B6525)="",FALSE,IF(NOT(ISNUMBER(INDIRECT("'"&amp;A6525&amp;"'!"&amp;B6525))),TRUE,FALSE))</f>
        <v>0</v>
      </c>
      <c r="E6525" t="s">
        <v>435</v>
      </c>
      <c r="F6525" t="str">
        <f>INDEX(Lists!I:I,MATCH(Validation!E6525,Lists!G:G,0))</f>
        <v>Error</v>
      </c>
      <c r="G6525" t="str">
        <f>INDEX(Lists!H:H,MATCH(Validation!E6525,Lists!G:G,0))</f>
        <v>Enter an amount only. Do not enter text or spaces.</v>
      </c>
      <c r="H6525" s="16" t="str">
        <f t="shared" ca="1" si="738"/>
        <v/>
      </c>
      <c r="I6525" s="16" t="str">
        <f t="shared" ca="1" si="739"/>
        <v/>
      </c>
      <c r="J6525" s="17" t="str">
        <f t="shared" ca="1" si="740"/>
        <v/>
      </c>
    </row>
    <row r="6526" spans="1:10" x14ac:dyDescent="0.25">
      <c r="A6526" t="s">
        <v>944</v>
      </c>
      <c r="B6526" t="str">
        <f>ADDRESS(ROW('Loan 1'!$C$36),COLUMN('Loan 1'!$C$36),4)</f>
        <v>C36</v>
      </c>
      <c r="C6526" t="str">
        <f>ADDRESS(ROW('Loan 1'!$D$36),COLUMN('Loan 1'!$D$36),4)</f>
        <v>D36</v>
      </c>
      <c r="D6526" t="b" cm="1">
        <f t="array" aca="1" ref="D6526" ca="1">IF(INDIRECT("'"&amp;A6526&amp;"'!"&amp;B6526)="",FALSE,IF(NOT(ISNUMBER(INDIRECT("'"&amp;A6526&amp;"'!"&amp;B6526))),TRUE,FALSE))</f>
        <v>0</v>
      </c>
      <c r="E6526" t="s">
        <v>435</v>
      </c>
      <c r="F6526" t="str">
        <f>INDEX(Lists!I:I,MATCH(Validation!E6526,Lists!G:G,0))</f>
        <v>Error</v>
      </c>
      <c r="G6526" t="str">
        <f>INDEX(Lists!H:H,MATCH(Validation!E6526,Lists!G:G,0))</f>
        <v>Enter an amount only. Do not enter text or spaces.</v>
      </c>
      <c r="H6526" s="16" t="str">
        <f t="shared" ca="1" si="738"/>
        <v/>
      </c>
      <c r="I6526" s="16" t="str">
        <f t="shared" ca="1" si="739"/>
        <v/>
      </c>
      <c r="J6526" s="17" t="str">
        <f t="shared" ca="1" si="740"/>
        <v/>
      </c>
    </row>
    <row r="6527" spans="1:10" x14ac:dyDescent="0.25">
      <c r="A6527" t="s">
        <v>945</v>
      </c>
      <c r="B6527" t="str">
        <f>ADDRESS(ROW('Loan 1'!$C$36),COLUMN('Loan 1'!$C$36),4)</f>
        <v>C36</v>
      </c>
      <c r="C6527" t="str">
        <f>ADDRESS(ROW('Loan 1'!$D$36),COLUMN('Loan 1'!$D$36),4)</f>
        <v>D36</v>
      </c>
      <c r="D6527" t="b" cm="1">
        <f t="array" aca="1" ref="D6527" ca="1">IF(INDIRECT("'"&amp;A6527&amp;"'!"&amp;B6527)="",FALSE,IF(NOT(ISNUMBER(INDIRECT("'"&amp;A6527&amp;"'!"&amp;B6527))),TRUE,FALSE))</f>
        <v>0</v>
      </c>
      <c r="E6527" t="s">
        <v>435</v>
      </c>
      <c r="F6527" t="str">
        <f>INDEX(Lists!I:I,MATCH(Validation!E6527,Lists!G:G,0))</f>
        <v>Error</v>
      </c>
      <c r="G6527" t="str">
        <f>INDEX(Lists!H:H,MATCH(Validation!E6527,Lists!G:G,0))</f>
        <v>Enter an amount only. Do not enter text or spaces.</v>
      </c>
      <c r="H6527" s="16" t="str">
        <f t="shared" ca="1" si="738"/>
        <v/>
      </c>
      <c r="I6527" s="16" t="str">
        <f t="shared" ca="1" si="739"/>
        <v/>
      </c>
      <c r="J6527" s="17" t="str">
        <f t="shared" ca="1" si="740"/>
        <v/>
      </c>
    </row>
    <row r="6528" spans="1:10" x14ac:dyDescent="0.25">
      <c r="A6528" t="s">
        <v>205</v>
      </c>
      <c r="B6528" t="str">
        <f>ADDRESS(ROW('Loan 1'!$C$36),COLUMN('Loan 1'!$C$36),4)</f>
        <v>C36</v>
      </c>
      <c r="C6528" t="str">
        <f>ADDRESS(ROW('Loan 1'!$D$36),COLUMN('Loan 1'!$D$36),4)</f>
        <v>D36</v>
      </c>
      <c r="D6528" t="b" cm="1">
        <f t="array" aca="1" ref="D6528" ca="1">IF(INDIRECT("'"&amp;A6528&amp;"'!"&amp;B6528)="",FALSE,IF(INDIRECT("'"&amp;A6528&amp;"'!"&amp;B6528)&lt;0,TRUE,FALSE))</f>
        <v>0</v>
      </c>
      <c r="E6528" t="s">
        <v>434</v>
      </c>
      <c r="F6528" t="str">
        <f>INDEX(Lists!I:I,MATCH(Validation!E6528,Lists!G:G,0))</f>
        <v>Error</v>
      </c>
      <c r="G6528" t="str">
        <f>INDEX(Lists!H:H,MATCH(Validation!E6528,Lists!G:G,0))</f>
        <v>Amount may not be negative. Enter an amount greater than or equal to zero.</v>
      </c>
      <c r="H6528" s="16" t="str">
        <f t="shared" ca="1" si="735"/>
        <v/>
      </c>
      <c r="I6528" s="16" t="str">
        <f t="shared" ca="1" si="736"/>
        <v/>
      </c>
      <c r="J6528" s="17" t="str">
        <f t="shared" ca="1" si="737"/>
        <v/>
      </c>
    </row>
    <row r="6529" spans="1:10" x14ac:dyDescent="0.25">
      <c r="A6529" t="s">
        <v>932</v>
      </c>
      <c r="B6529" t="str">
        <f>ADDRESS(ROW('Loan 1'!$C$36),COLUMN('Loan 1'!$C$36),4)</f>
        <v>C36</v>
      </c>
      <c r="C6529" t="str">
        <f>ADDRESS(ROW('Loan 1'!$D$36),COLUMN('Loan 1'!$D$36),4)</f>
        <v>D36</v>
      </c>
      <c r="D6529" t="b" cm="1">
        <f t="array" aca="1" ref="D6529" ca="1">IF(INDIRECT("'"&amp;A6529&amp;"'!"&amp;B6529)="",FALSE,IF(INDIRECT("'"&amp;A6529&amp;"'!"&amp;B6529)&lt;0,TRUE,FALSE))</f>
        <v>0</v>
      </c>
      <c r="E6529" t="s">
        <v>434</v>
      </c>
      <c r="F6529" t="str">
        <f>INDEX(Lists!I:I,MATCH(Validation!E6529,Lists!G:G,0))</f>
        <v>Error</v>
      </c>
      <c r="G6529" t="str">
        <f>INDEX(Lists!H:H,MATCH(Validation!E6529,Lists!G:G,0))</f>
        <v>Amount may not be negative. Enter an amount greater than or equal to zero.</v>
      </c>
      <c r="H6529" s="16" t="str">
        <f t="shared" ca="1" si="735"/>
        <v/>
      </c>
      <c r="I6529" s="16" t="str">
        <f t="shared" ca="1" si="736"/>
        <v/>
      </c>
      <c r="J6529" s="17" t="str">
        <f t="shared" ca="1" si="737"/>
        <v/>
      </c>
    </row>
    <row r="6530" spans="1:10" x14ac:dyDescent="0.25">
      <c r="A6530" t="s">
        <v>933</v>
      </c>
      <c r="B6530" t="str">
        <f>ADDRESS(ROW('Loan 1'!$C$36),COLUMN('Loan 1'!$C$36),4)</f>
        <v>C36</v>
      </c>
      <c r="C6530" t="str">
        <f>ADDRESS(ROW('Loan 1'!$D$36),COLUMN('Loan 1'!$D$36),4)</f>
        <v>D36</v>
      </c>
      <c r="D6530" t="b" cm="1">
        <f t="array" aca="1" ref="D6530" ca="1">IF(INDIRECT("'"&amp;A6530&amp;"'!"&amp;B6530)="",FALSE,IF(INDIRECT("'"&amp;A6530&amp;"'!"&amp;B6530)&lt;0,TRUE,FALSE))</f>
        <v>0</v>
      </c>
      <c r="E6530" t="s">
        <v>434</v>
      </c>
      <c r="F6530" t="str">
        <f>INDEX(Lists!I:I,MATCH(Validation!E6530,Lists!G:G,0))</f>
        <v>Error</v>
      </c>
      <c r="G6530" t="str">
        <f>INDEX(Lists!H:H,MATCH(Validation!E6530,Lists!G:G,0))</f>
        <v>Amount may not be negative. Enter an amount greater than or equal to zero.</v>
      </c>
      <c r="H6530" s="16" t="str">
        <f t="shared" ca="1" si="735"/>
        <v/>
      </c>
      <c r="I6530" s="16" t="str">
        <f t="shared" ca="1" si="736"/>
        <v/>
      </c>
      <c r="J6530" s="17" t="str">
        <f t="shared" ca="1" si="737"/>
        <v/>
      </c>
    </row>
    <row r="6531" spans="1:10" x14ac:dyDescent="0.25">
      <c r="A6531" t="s">
        <v>934</v>
      </c>
      <c r="B6531" t="str">
        <f>ADDRESS(ROW('Loan 1'!$C$36),COLUMN('Loan 1'!$C$36),4)</f>
        <v>C36</v>
      </c>
      <c r="C6531" t="str">
        <f>ADDRESS(ROW('Loan 1'!$D$36),COLUMN('Loan 1'!$D$36),4)</f>
        <v>D36</v>
      </c>
      <c r="D6531" t="b" cm="1">
        <f t="array" aca="1" ref="D6531" ca="1">IF(INDIRECT("'"&amp;A6531&amp;"'!"&amp;B6531)="",FALSE,IF(INDIRECT("'"&amp;A6531&amp;"'!"&amp;B6531)&lt;0,TRUE,FALSE))</f>
        <v>0</v>
      </c>
      <c r="E6531" t="s">
        <v>434</v>
      </c>
      <c r="F6531" t="str">
        <f>INDEX(Lists!I:I,MATCH(Validation!E6531,Lists!G:G,0))</f>
        <v>Error</v>
      </c>
      <c r="G6531" t="str">
        <f>INDEX(Lists!H:H,MATCH(Validation!E6531,Lists!G:G,0))</f>
        <v>Amount may not be negative. Enter an amount greater than or equal to zero.</v>
      </c>
      <c r="H6531" s="16" t="str">
        <f t="shared" ca="1" si="735"/>
        <v/>
      </c>
      <c r="I6531" s="16" t="str">
        <f t="shared" ca="1" si="736"/>
        <v/>
      </c>
      <c r="J6531" s="17" t="str">
        <f t="shared" ca="1" si="737"/>
        <v/>
      </c>
    </row>
    <row r="6532" spans="1:10" x14ac:dyDescent="0.25">
      <c r="A6532" t="s">
        <v>935</v>
      </c>
      <c r="B6532" t="str">
        <f>ADDRESS(ROW('Loan 1'!$C$36),COLUMN('Loan 1'!$C$36),4)</f>
        <v>C36</v>
      </c>
      <c r="C6532" t="str">
        <f>ADDRESS(ROW('Loan 1'!$D$36),COLUMN('Loan 1'!$D$36),4)</f>
        <v>D36</v>
      </c>
      <c r="D6532" t="b" cm="1">
        <f t="array" aca="1" ref="D6532" ca="1">IF(INDIRECT("'"&amp;A6532&amp;"'!"&amp;B6532)="",FALSE,IF(INDIRECT("'"&amp;A6532&amp;"'!"&amp;B6532)&lt;0,TRUE,FALSE))</f>
        <v>0</v>
      </c>
      <c r="E6532" t="s">
        <v>434</v>
      </c>
      <c r="F6532" t="str">
        <f>INDEX(Lists!I:I,MATCH(Validation!E6532,Lists!G:G,0))</f>
        <v>Error</v>
      </c>
      <c r="G6532" t="str">
        <f>INDEX(Lists!H:H,MATCH(Validation!E6532,Lists!G:G,0))</f>
        <v>Amount may not be negative. Enter an amount greater than or equal to zero.</v>
      </c>
      <c r="H6532" s="16" t="str">
        <f t="shared" ca="1" si="735"/>
        <v/>
      </c>
      <c r="I6532" s="16" t="str">
        <f t="shared" ca="1" si="736"/>
        <v/>
      </c>
      <c r="J6532" s="17" t="str">
        <f t="shared" ca="1" si="737"/>
        <v/>
      </c>
    </row>
    <row r="6533" spans="1:10" x14ac:dyDescent="0.25">
      <c r="A6533" t="s">
        <v>936</v>
      </c>
      <c r="B6533" t="str">
        <f>ADDRESS(ROW('Loan 1'!$C$36),COLUMN('Loan 1'!$C$36),4)</f>
        <v>C36</v>
      </c>
      <c r="C6533" t="str">
        <f>ADDRESS(ROW('Loan 1'!$D$36),COLUMN('Loan 1'!$D$36),4)</f>
        <v>D36</v>
      </c>
      <c r="D6533" t="b" cm="1">
        <f t="array" aca="1" ref="D6533" ca="1">IF(INDIRECT("'"&amp;A6533&amp;"'!"&amp;B6533)="",FALSE,IF(INDIRECT("'"&amp;A6533&amp;"'!"&amp;B6533)&lt;0,TRUE,FALSE))</f>
        <v>0</v>
      </c>
      <c r="E6533" t="s">
        <v>434</v>
      </c>
      <c r="F6533" t="str">
        <f>INDEX(Lists!I:I,MATCH(Validation!E6533,Lists!G:G,0))</f>
        <v>Error</v>
      </c>
      <c r="G6533" t="str">
        <f>INDEX(Lists!H:H,MATCH(Validation!E6533,Lists!G:G,0))</f>
        <v>Amount may not be negative. Enter an amount greater than or equal to zero.</v>
      </c>
      <c r="H6533" s="16" t="str">
        <f t="shared" ca="1" si="735"/>
        <v/>
      </c>
      <c r="I6533" s="16" t="str">
        <f t="shared" ca="1" si="736"/>
        <v/>
      </c>
      <c r="J6533" s="17" t="str">
        <f t="shared" ca="1" si="737"/>
        <v/>
      </c>
    </row>
    <row r="6534" spans="1:10" x14ac:dyDescent="0.25">
      <c r="A6534" t="s">
        <v>937</v>
      </c>
      <c r="B6534" t="str">
        <f>ADDRESS(ROW('Loan 1'!$C$36),COLUMN('Loan 1'!$C$36),4)</f>
        <v>C36</v>
      </c>
      <c r="C6534" t="str">
        <f>ADDRESS(ROW('Loan 1'!$D$36),COLUMN('Loan 1'!$D$36),4)</f>
        <v>D36</v>
      </c>
      <c r="D6534" t="b" cm="1">
        <f t="array" aca="1" ref="D6534" ca="1">IF(INDIRECT("'"&amp;A6534&amp;"'!"&amp;B6534)="",FALSE,IF(INDIRECT("'"&amp;A6534&amp;"'!"&amp;B6534)&lt;0,TRUE,FALSE))</f>
        <v>0</v>
      </c>
      <c r="E6534" t="s">
        <v>434</v>
      </c>
      <c r="F6534" t="str">
        <f>INDEX(Lists!I:I,MATCH(Validation!E6534,Lists!G:G,0))</f>
        <v>Error</v>
      </c>
      <c r="G6534" t="str">
        <f>INDEX(Lists!H:H,MATCH(Validation!E6534,Lists!G:G,0))</f>
        <v>Amount may not be negative. Enter an amount greater than or equal to zero.</v>
      </c>
      <c r="H6534" s="16" t="str">
        <f t="shared" ca="1" si="735"/>
        <v/>
      </c>
      <c r="I6534" s="16" t="str">
        <f t="shared" ca="1" si="736"/>
        <v/>
      </c>
      <c r="J6534" s="17" t="str">
        <f t="shared" ca="1" si="737"/>
        <v/>
      </c>
    </row>
    <row r="6535" spans="1:10" x14ac:dyDescent="0.25">
      <c r="A6535" t="s">
        <v>938</v>
      </c>
      <c r="B6535" t="str">
        <f>ADDRESS(ROW('Loan 1'!$C$36),COLUMN('Loan 1'!$C$36),4)</f>
        <v>C36</v>
      </c>
      <c r="C6535" t="str">
        <f>ADDRESS(ROW('Loan 1'!$D$36),COLUMN('Loan 1'!$D$36),4)</f>
        <v>D36</v>
      </c>
      <c r="D6535" t="b" cm="1">
        <f t="array" aca="1" ref="D6535" ca="1">IF(INDIRECT("'"&amp;A6535&amp;"'!"&amp;B6535)="",FALSE,IF(INDIRECT("'"&amp;A6535&amp;"'!"&amp;B6535)&lt;0,TRUE,FALSE))</f>
        <v>0</v>
      </c>
      <c r="E6535" t="s">
        <v>434</v>
      </c>
      <c r="F6535" t="str">
        <f>INDEX(Lists!I:I,MATCH(Validation!E6535,Lists!G:G,0))</f>
        <v>Error</v>
      </c>
      <c r="G6535" t="str">
        <f>INDEX(Lists!H:H,MATCH(Validation!E6535,Lists!G:G,0))</f>
        <v>Amount may not be negative. Enter an amount greater than or equal to zero.</v>
      </c>
      <c r="H6535" s="16" t="str">
        <f t="shared" ca="1" si="735"/>
        <v/>
      </c>
      <c r="I6535" s="16" t="str">
        <f t="shared" ca="1" si="736"/>
        <v/>
      </c>
      <c r="J6535" s="17" t="str">
        <f t="shared" ca="1" si="737"/>
        <v/>
      </c>
    </row>
    <row r="6536" spans="1:10" x14ac:dyDescent="0.25">
      <c r="A6536" t="s">
        <v>939</v>
      </c>
      <c r="B6536" t="str">
        <f>ADDRESS(ROW('Loan 1'!$C$36),COLUMN('Loan 1'!$C$36),4)</f>
        <v>C36</v>
      </c>
      <c r="C6536" t="str">
        <f>ADDRESS(ROW('Loan 1'!$D$36),COLUMN('Loan 1'!$D$36),4)</f>
        <v>D36</v>
      </c>
      <c r="D6536" t="b" cm="1">
        <f t="array" aca="1" ref="D6536" ca="1">IF(INDIRECT("'"&amp;A6536&amp;"'!"&amp;B6536)="",FALSE,IF(INDIRECT("'"&amp;A6536&amp;"'!"&amp;B6536)&lt;0,TRUE,FALSE))</f>
        <v>0</v>
      </c>
      <c r="E6536" t="s">
        <v>434</v>
      </c>
      <c r="F6536" t="str">
        <f>INDEX(Lists!I:I,MATCH(Validation!E6536,Lists!G:G,0))</f>
        <v>Error</v>
      </c>
      <c r="G6536" t="str">
        <f>INDEX(Lists!H:H,MATCH(Validation!E6536,Lists!G:G,0))</f>
        <v>Amount may not be negative. Enter an amount greater than or equal to zero.</v>
      </c>
      <c r="H6536" s="16" t="str">
        <f t="shared" ca="1" si="735"/>
        <v/>
      </c>
      <c r="I6536" s="16" t="str">
        <f t="shared" ca="1" si="736"/>
        <v/>
      </c>
      <c r="J6536" s="17" t="str">
        <f t="shared" ca="1" si="737"/>
        <v/>
      </c>
    </row>
    <row r="6537" spans="1:10" x14ac:dyDescent="0.25">
      <c r="A6537" t="s">
        <v>940</v>
      </c>
      <c r="B6537" t="str">
        <f>ADDRESS(ROW('Loan 1'!$C$36),COLUMN('Loan 1'!$C$36),4)</f>
        <v>C36</v>
      </c>
      <c r="C6537" t="str">
        <f>ADDRESS(ROW('Loan 1'!$D$36),COLUMN('Loan 1'!$D$36),4)</f>
        <v>D36</v>
      </c>
      <c r="D6537" t="b" cm="1">
        <f t="array" aca="1" ref="D6537" ca="1">IF(INDIRECT("'"&amp;A6537&amp;"'!"&amp;B6537)="",FALSE,IF(INDIRECT("'"&amp;A6537&amp;"'!"&amp;B6537)&lt;0,TRUE,FALSE))</f>
        <v>0</v>
      </c>
      <c r="E6537" t="s">
        <v>434</v>
      </c>
      <c r="F6537" t="str">
        <f>INDEX(Lists!I:I,MATCH(Validation!E6537,Lists!G:G,0))</f>
        <v>Error</v>
      </c>
      <c r="G6537" t="str">
        <f>INDEX(Lists!H:H,MATCH(Validation!E6537,Lists!G:G,0))</f>
        <v>Amount may not be negative. Enter an amount greater than or equal to zero.</v>
      </c>
      <c r="H6537" s="16" t="str">
        <f t="shared" ca="1" si="735"/>
        <v/>
      </c>
      <c r="I6537" s="16" t="str">
        <f t="shared" ca="1" si="736"/>
        <v/>
      </c>
      <c r="J6537" s="17" t="str">
        <f t="shared" ca="1" si="737"/>
        <v/>
      </c>
    </row>
    <row r="6538" spans="1:10" x14ac:dyDescent="0.25">
      <c r="A6538" t="s">
        <v>941</v>
      </c>
      <c r="B6538" t="str">
        <f>ADDRESS(ROW('Loan 1'!$C$36),COLUMN('Loan 1'!$C$36),4)</f>
        <v>C36</v>
      </c>
      <c r="C6538" t="str">
        <f>ADDRESS(ROW('Loan 1'!$D$36),COLUMN('Loan 1'!$D$36),4)</f>
        <v>D36</v>
      </c>
      <c r="D6538" t="b" cm="1">
        <f t="array" aca="1" ref="D6538" ca="1">IF(INDIRECT("'"&amp;A6538&amp;"'!"&amp;B6538)="",FALSE,IF(INDIRECT("'"&amp;A6538&amp;"'!"&amp;B6538)&lt;0,TRUE,FALSE))</f>
        <v>0</v>
      </c>
      <c r="E6538" t="s">
        <v>434</v>
      </c>
      <c r="F6538" t="str">
        <f>INDEX(Lists!I:I,MATCH(Validation!E6538,Lists!G:G,0))</f>
        <v>Error</v>
      </c>
      <c r="G6538" t="str">
        <f>INDEX(Lists!H:H,MATCH(Validation!E6538,Lists!G:G,0))</f>
        <v>Amount may not be negative. Enter an amount greater than or equal to zero.</v>
      </c>
      <c r="H6538" s="16" t="str">
        <f t="shared" ca="1" si="735"/>
        <v/>
      </c>
      <c r="I6538" s="16" t="str">
        <f t="shared" ca="1" si="736"/>
        <v/>
      </c>
      <c r="J6538" s="17" t="str">
        <f t="shared" ca="1" si="737"/>
        <v/>
      </c>
    </row>
    <row r="6539" spans="1:10" x14ac:dyDescent="0.25">
      <c r="A6539" t="s">
        <v>942</v>
      </c>
      <c r="B6539" t="str">
        <f>ADDRESS(ROW('Loan 1'!$C$36),COLUMN('Loan 1'!$C$36),4)</f>
        <v>C36</v>
      </c>
      <c r="C6539" t="str">
        <f>ADDRESS(ROW('Loan 1'!$D$36),COLUMN('Loan 1'!$D$36),4)</f>
        <v>D36</v>
      </c>
      <c r="D6539" t="b" cm="1">
        <f t="array" aca="1" ref="D6539" ca="1">IF(INDIRECT("'"&amp;A6539&amp;"'!"&amp;B6539)="",FALSE,IF(INDIRECT("'"&amp;A6539&amp;"'!"&amp;B6539)&lt;0,TRUE,FALSE))</f>
        <v>0</v>
      </c>
      <c r="E6539" t="s">
        <v>434</v>
      </c>
      <c r="F6539" t="str">
        <f>INDEX(Lists!I:I,MATCH(Validation!E6539,Lists!G:G,0))</f>
        <v>Error</v>
      </c>
      <c r="G6539" t="str">
        <f>INDEX(Lists!H:H,MATCH(Validation!E6539,Lists!G:G,0))</f>
        <v>Amount may not be negative. Enter an amount greater than or equal to zero.</v>
      </c>
      <c r="H6539" s="16" t="str">
        <f t="shared" ca="1" si="735"/>
        <v/>
      </c>
      <c r="I6539" s="16" t="str">
        <f t="shared" ca="1" si="736"/>
        <v/>
      </c>
      <c r="J6539" s="17" t="str">
        <f t="shared" ca="1" si="737"/>
        <v/>
      </c>
    </row>
    <row r="6540" spans="1:10" x14ac:dyDescent="0.25">
      <c r="A6540" t="s">
        <v>943</v>
      </c>
      <c r="B6540" t="str">
        <f>ADDRESS(ROW('Loan 1'!$C$36),COLUMN('Loan 1'!$C$36),4)</f>
        <v>C36</v>
      </c>
      <c r="C6540" t="str">
        <f>ADDRESS(ROW('Loan 1'!$D$36),COLUMN('Loan 1'!$D$36),4)</f>
        <v>D36</v>
      </c>
      <c r="D6540" t="b" cm="1">
        <f t="array" aca="1" ref="D6540" ca="1">IF(INDIRECT("'"&amp;A6540&amp;"'!"&amp;B6540)="",FALSE,IF(INDIRECT("'"&amp;A6540&amp;"'!"&amp;B6540)&lt;0,TRUE,FALSE))</f>
        <v>0</v>
      </c>
      <c r="E6540" t="s">
        <v>434</v>
      </c>
      <c r="F6540" t="str">
        <f>INDEX(Lists!I:I,MATCH(Validation!E6540,Lists!G:G,0))</f>
        <v>Error</v>
      </c>
      <c r="G6540" t="str">
        <f>INDEX(Lists!H:H,MATCH(Validation!E6540,Lists!G:G,0))</f>
        <v>Amount may not be negative. Enter an amount greater than or equal to zero.</v>
      </c>
      <c r="H6540" s="16" t="str">
        <f t="shared" ca="1" si="735"/>
        <v/>
      </c>
      <c r="I6540" s="16" t="str">
        <f t="shared" ca="1" si="736"/>
        <v/>
      </c>
      <c r="J6540" s="17" t="str">
        <f t="shared" ca="1" si="737"/>
        <v/>
      </c>
    </row>
    <row r="6541" spans="1:10" x14ac:dyDescent="0.25">
      <c r="A6541" t="s">
        <v>944</v>
      </c>
      <c r="B6541" t="str">
        <f>ADDRESS(ROW('Loan 1'!$C$36),COLUMN('Loan 1'!$C$36),4)</f>
        <v>C36</v>
      </c>
      <c r="C6541" t="str">
        <f>ADDRESS(ROW('Loan 1'!$D$36),COLUMN('Loan 1'!$D$36),4)</f>
        <v>D36</v>
      </c>
      <c r="D6541" t="b" cm="1">
        <f t="array" aca="1" ref="D6541" ca="1">IF(INDIRECT("'"&amp;A6541&amp;"'!"&amp;B6541)="",FALSE,IF(INDIRECT("'"&amp;A6541&amp;"'!"&amp;B6541)&lt;0,TRUE,FALSE))</f>
        <v>0</v>
      </c>
      <c r="E6541" t="s">
        <v>434</v>
      </c>
      <c r="F6541" t="str">
        <f>INDEX(Lists!I:I,MATCH(Validation!E6541,Lists!G:G,0))</f>
        <v>Error</v>
      </c>
      <c r="G6541" t="str">
        <f>INDEX(Lists!H:H,MATCH(Validation!E6541,Lists!G:G,0))</f>
        <v>Amount may not be negative. Enter an amount greater than or equal to zero.</v>
      </c>
      <c r="H6541" s="16" t="str">
        <f t="shared" ca="1" si="735"/>
        <v/>
      </c>
      <c r="I6541" s="16" t="str">
        <f t="shared" ca="1" si="736"/>
        <v/>
      </c>
      <c r="J6541" s="17" t="str">
        <f t="shared" ca="1" si="737"/>
        <v/>
      </c>
    </row>
    <row r="6542" spans="1:10" x14ac:dyDescent="0.25">
      <c r="A6542" t="s">
        <v>945</v>
      </c>
      <c r="B6542" t="str">
        <f>ADDRESS(ROW('Loan 1'!$C$36),COLUMN('Loan 1'!$C$36),4)</f>
        <v>C36</v>
      </c>
      <c r="C6542" t="str">
        <f>ADDRESS(ROW('Loan 1'!$D$36),COLUMN('Loan 1'!$D$36),4)</f>
        <v>D36</v>
      </c>
      <c r="D6542" t="b" cm="1">
        <f t="array" aca="1" ref="D6542" ca="1">IF(INDIRECT("'"&amp;A6542&amp;"'!"&amp;B6542)="",FALSE,IF(INDIRECT("'"&amp;A6542&amp;"'!"&amp;B6542)&lt;0,TRUE,FALSE))</f>
        <v>0</v>
      </c>
      <c r="E6542" t="s">
        <v>434</v>
      </c>
      <c r="F6542" t="str">
        <f>INDEX(Lists!I:I,MATCH(Validation!E6542,Lists!G:G,0))</f>
        <v>Error</v>
      </c>
      <c r="G6542" t="str">
        <f>INDEX(Lists!H:H,MATCH(Validation!E6542,Lists!G:G,0))</f>
        <v>Amount may not be negative. Enter an amount greater than or equal to zero.</v>
      </c>
      <c r="H6542" s="16" t="str">
        <f t="shared" ca="1" si="735"/>
        <v/>
      </c>
      <c r="I6542" s="16" t="str">
        <f t="shared" ca="1" si="736"/>
        <v/>
      </c>
      <c r="J6542" s="17" t="str">
        <f t="shared" ca="1" si="737"/>
        <v/>
      </c>
    </row>
    <row r="6543" spans="1:10" x14ac:dyDescent="0.25">
      <c r="A6543" t="s">
        <v>205</v>
      </c>
      <c r="B6543" t="str">
        <f>ADDRESS(ROW('Loan 1'!$C$36),COLUMN('Loan 1'!$C$36),4)</f>
        <v>C36</v>
      </c>
      <c r="C6543" t="str">
        <f>ADDRESS(ROW('Loan 1'!$D$36),COLUMN('Loan 1'!$D$36),4)</f>
        <v>D36</v>
      </c>
      <c r="D6543" t="b" cm="1">
        <f t="array" aca="1" ref="D6543" ca="1">IF(INDIRECT("'"&amp;A6543&amp;"'!"&amp;B6543)="",FALSE,IF(TRUNC(INDIRECT("'"&amp;A6543&amp;"'!"&amp;B6543))=INDIRECT("'"&amp;A6543&amp;"'!"&amp;B6543),FALSE,TRUE))</f>
        <v>0</v>
      </c>
      <c r="E6543" t="s">
        <v>436</v>
      </c>
      <c r="F6543" t="str">
        <f>INDEX(Lists!I:I,MATCH(Validation!E6543,Lists!G:G,0))</f>
        <v>Error</v>
      </c>
      <c r="G6543" t="str">
        <f>INDEX(Lists!H:H,MATCH(Validation!E6543,Lists!G:G,0))</f>
        <v>Amount must be rounded to the nearest dollar.</v>
      </c>
      <c r="H6543" s="16" t="str">
        <f t="shared" ca="1" si="735"/>
        <v/>
      </c>
      <c r="I6543" s="16" t="str">
        <f t="shared" ca="1" si="736"/>
        <v/>
      </c>
      <c r="J6543" s="17" t="str">
        <f t="shared" ca="1" si="737"/>
        <v/>
      </c>
    </row>
    <row r="6544" spans="1:10" x14ac:dyDescent="0.25">
      <c r="A6544" t="s">
        <v>932</v>
      </c>
      <c r="B6544" t="str">
        <f>ADDRESS(ROW('Loan 1'!$C$36),COLUMN('Loan 1'!$C$36),4)</f>
        <v>C36</v>
      </c>
      <c r="C6544" t="str">
        <f>ADDRESS(ROW('Loan 1'!$D$36),COLUMN('Loan 1'!$D$36),4)</f>
        <v>D36</v>
      </c>
      <c r="D6544" t="b" cm="1">
        <f t="array" aca="1" ref="D6544" ca="1">IF(INDIRECT("'"&amp;A6544&amp;"'!"&amp;B6544)="",FALSE,IF(TRUNC(INDIRECT("'"&amp;A6544&amp;"'!"&amp;B6544))=INDIRECT("'"&amp;A6544&amp;"'!"&amp;B6544),FALSE,TRUE))</f>
        <v>0</v>
      </c>
      <c r="E6544" t="s">
        <v>436</v>
      </c>
      <c r="F6544" t="str">
        <f>INDEX(Lists!I:I,MATCH(Validation!E6544,Lists!G:G,0))</f>
        <v>Error</v>
      </c>
      <c r="G6544" t="str">
        <f>INDEX(Lists!H:H,MATCH(Validation!E6544,Lists!G:G,0))</f>
        <v>Amount must be rounded to the nearest dollar.</v>
      </c>
      <c r="H6544" s="16" t="str">
        <f t="shared" ref="H6544:H6557" ca="1" si="741">IFERROR(IF(OR(NOT(D6544),F6544&lt;&gt;"Error"),"",A6544&amp;CELL("address",INDIRECT(B6544))),"")</f>
        <v/>
      </c>
      <c r="I6544" s="16" t="str">
        <f t="shared" ref="I6544:I6557" ca="1" si="742">IFERROR(IF(NOT(D6544),"",A6544&amp;CELL("address",INDIRECT(C6544))),"")</f>
        <v/>
      </c>
      <c r="J6544" s="17" t="str">
        <f t="shared" ref="J6544:J6557" ca="1" si="743">IFERROR(IF(NOT(D6544),"",A6544),"")</f>
        <v/>
      </c>
    </row>
    <row r="6545" spans="1:10" x14ac:dyDescent="0.25">
      <c r="A6545" t="s">
        <v>933</v>
      </c>
      <c r="B6545" t="str">
        <f>ADDRESS(ROW('Loan 1'!$C$36),COLUMN('Loan 1'!$C$36),4)</f>
        <v>C36</v>
      </c>
      <c r="C6545" t="str">
        <f>ADDRESS(ROW('Loan 1'!$D$36),COLUMN('Loan 1'!$D$36),4)</f>
        <v>D36</v>
      </c>
      <c r="D6545" t="b" cm="1">
        <f t="array" aca="1" ref="D6545" ca="1">IF(INDIRECT("'"&amp;A6545&amp;"'!"&amp;B6545)="",FALSE,IF(TRUNC(INDIRECT("'"&amp;A6545&amp;"'!"&amp;B6545))=INDIRECT("'"&amp;A6545&amp;"'!"&amp;B6545),FALSE,TRUE))</f>
        <v>0</v>
      </c>
      <c r="E6545" t="s">
        <v>436</v>
      </c>
      <c r="F6545" t="str">
        <f>INDEX(Lists!I:I,MATCH(Validation!E6545,Lists!G:G,0))</f>
        <v>Error</v>
      </c>
      <c r="G6545" t="str">
        <f>INDEX(Lists!H:H,MATCH(Validation!E6545,Lists!G:G,0))</f>
        <v>Amount must be rounded to the nearest dollar.</v>
      </c>
      <c r="H6545" s="16" t="str">
        <f t="shared" ca="1" si="741"/>
        <v/>
      </c>
      <c r="I6545" s="16" t="str">
        <f t="shared" ca="1" si="742"/>
        <v/>
      </c>
      <c r="J6545" s="17" t="str">
        <f t="shared" ca="1" si="743"/>
        <v/>
      </c>
    </row>
    <row r="6546" spans="1:10" x14ac:dyDescent="0.25">
      <c r="A6546" t="s">
        <v>934</v>
      </c>
      <c r="B6546" t="str">
        <f>ADDRESS(ROW('Loan 1'!$C$36),COLUMN('Loan 1'!$C$36),4)</f>
        <v>C36</v>
      </c>
      <c r="C6546" t="str">
        <f>ADDRESS(ROW('Loan 1'!$D$36),COLUMN('Loan 1'!$D$36),4)</f>
        <v>D36</v>
      </c>
      <c r="D6546" t="b" cm="1">
        <f t="array" aca="1" ref="D6546" ca="1">IF(INDIRECT("'"&amp;A6546&amp;"'!"&amp;B6546)="",FALSE,IF(TRUNC(INDIRECT("'"&amp;A6546&amp;"'!"&amp;B6546))=INDIRECT("'"&amp;A6546&amp;"'!"&amp;B6546),FALSE,TRUE))</f>
        <v>0</v>
      </c>
      <c r="E6546" t="s">
        <v>436</v>
      </c>
      <c r="F6546" t="str">
        <f>INDEX(Lists!I:I,MATCH(Validation!E6546,Lists!G:G,0))</f>
        <v>Error</v>
      </c>
      <c r="G6546" t="str">
        <f>INDEX(Lists!H:H,MATCH(Validation!E6546,Lists!G:G,0))</f>
        <v>Amount must be rounded to the nearest dollar.</v>
      </c>
      <c r="H6546" s="16" t="str">
        <f t="shared" ca="1" si="741"/>
        <v/>
      </c>
      <c r="I6546" s="16" t="str">
        <f t="shared" ca="1" si="742"/>
        <v/>
      </c>
      <c r="J6546" s="17" t="str">
        <f t="shared" ca="1" si="743"/>
        <v/>
      </c>
    </row>
    <row r="6547" spans="1:10" x14ac:dyDescent="0.25">
      <c r="A6547" t="s">
        <v>935</v>
      </c>
      <c r="B6547" t="str">
        <f>ADDRESS(ROW('Loan 1'!$C$36),COLUMN('Loan 1'!$C$36),4)</f>
        <v>C36</v>
      </c>
      <c r="C6547" t="str">
        <f>ADDRESS(ROW('Loan 1'!$D$36),COLUMN('Loan 1'!$D$36),4)</f>
        <v>D36</v>
      </c>
      <c r="D6547" t="b" cm="1">
        <f t="array" aca="1" ref="D6547" ca="1">IF(INDIRECT("'"&amp;A6547&amp;"'!"&amp;B6547)="",FALSE,IF(TRUNC(INDIRECT("'"&amp;A6547&amp;"'!"&amp;B6547))=INDIRECT("'"&amp;A6547&amp;"'!"&amp;B6547),FALSE,TRUE))</f>
        <v>0</v>
      </c>
      <c r="E6547" t="s">
        <v>436</v>
      </c>
      <c r="F6547" t="str">
        <f>INDEX(Lists!I:I,MATCH(Validation!E6547,Lists!G:G,0))</f>
        <v>Error</v>
      </c>
      <c r="G6547" t="str">
        <f>INDEX(Lists!H:H,MATCH(Validation!E6547,Lists!G:G,0))</f>
        <v>Amount must be rounded to the nearest dollar.</v>
      </c>
      <c r="H6547" s="16" t="str">
        <f t="shared" ca="1" si="741"/>
        <v/>
      </c>
      <c r="I6547" s="16" t="str">
        <f t="shared" ca="1" si="742"/>
        <v/>
      </c>
      <c r="J6547" s="17" t="str">
        <f t="shared" ca="1" si="743"/>
        <v/>
      </c>
    </row>
    <row r="6548" spans="1:10" x14ac:dyDescent="0.25">
      <c r="A6548" t="s">
        <v>936</v>
      </c>
      <c r="B6548" t="str">
        <f>ADDRESS(ROW('Loan 1'!$C$36),COLUMN('Loan 1'!$C$36),4)</f>
        <v>C36</v>
      </c>
      <c r="C6548" t="str">
        <f>ADDRESS(ROW('Loan 1'!$D$36),COLUMN('Loan 1'!$D$36),4)</f>
        <v>D36</v>
      </c>
      <c r="D6548" t="b" cm="1">
        <f t="array" aca="1" ref="D6548" ca="1">IF(INDIRECT("'"&amp;A6548&amp;"'!"&amp;B6548)="",FALSE,IF(TRUNC(INDIRECT("'"&amp;A6548&amp;"'!"&amp;B6548))=INDIRECT("'"&amp;A6548&amp;"'!"&amp;B6548),FALSE,TRUE))</f>
        <v>0</v>
      </c>
      <c r="E6548" t="s">
        <v>436</v>
      </c>
      <c r="F6548" t="str">
        <f>INDEX(Lists!I:I,MATCH(Validation!E6548,Lists!G:G,0))</f>
        <v>Error</v>
      </c>
      <c r="G6548" t="str">
        <f>INDEX(Lists!H:H,MATCH(Validation!E6548,Lists!G:G,0))</f>
        <v>Amount must be rounded to the nearest dollar.</v>
      </c>
      <c r="H6548" s="16" t="str">
        <f t="shared" ca="1" si="741"/>
        <v/>
      </c>
      <c r="I6548" s="16" t="str">
        <f t="shared" ca="1" si="742"/>
        <v/>
      </c>
      <c r="J6548" s="17" t="str">
        <f t="shared" ca="1" si="743"/>
        <v/>
      </c>
    </row>
    <row r="6549" spans="1:10" x14ac:dyDescent="0.25">
      <c r="A6549" t="s">
        <v>937</v>
      </c>
      <c r="B6549" t="str">
        <f>ADDRESS(ROW('Loan 1'!$C$36),COLUMN('Loan 1'!$C$36),4)</f>
        <v>C36</v>
      </c>
      <c r="C6549" t="str">
        <f>ADDRESS(ROW('Loan 1'!$D$36),COLUMN('Loan 1'!$D$36),4)</f>
        <v>D36</v>
      </c>
      <c r="D6549" t="b" cm="1">
        <f t="array" aca="1" ref="D6549" ca="1">IF(INDIRECT("'"&amp;A6549&amp;"'!"&amp;B6549)="",FALSE,IF(TRUNC(INDIRECT("'"&amp;A6549&amp;"'!"&amp;B6549))=INDIRECT("'"&amp;A6549&amp;"'!"&amp;B6549),FALSE,TRUE))</f>
        <v>0</v>
      </c>
      <c r="E6549" t="s">
        <v>436</v>
      </c>
      <c r="F6549" t="str">
        <f>INDEX(Lists!I:I,MATCH(Validation!E6549,Lists!G:G,0))</f>
        <v>Error</v>
      </c>
      <c r="G6549" t="str">
        <f>INDEX(Lists!H:H,MATCH(Validation!E6549,Lists!G:G,0))</f>
        <v>Amount must be rounded to the nearest dollar.</v>
      </c>
      <c r="H6549" s="16" t="str">
        <f t="shared" ca="1" si="741"/>
        <v/>
      </c>
      <c r="I6549" s="16" t="str">
        <f t="shared" ca="1" si="742"/>
        <v/>
      </c>
      <c r="J6549" s="17" t="str">
        <f t="shared" ca="1" si="743"/>
        <v/>
      </c>
    </row>
    <row r="6550" spans="1:10" x14ac:dyDescent="0.25">
      <c r="A6550" t="s">
        <v>938</v>
      </c>
      <c r="B6550" t="str">
        <f>ADDRESS(ROW('Loan 1'!$C$36),COLUMN('Loan 1'!$C$36),4)</f>
        <v>C36</v>
      </c>
      <c r="C6550" t="str">
        <f>ADDRESS(ROW('Loan 1'!$D$36),COLUMN('Loan 1'!$D$36),4)</f>
        <v>D36</v>
      </c>
      <c r="D6550" t="b" cm="1">
        <f t="array" aca="1" ref="D6550" ca="1">IF(INDIRECT("'"&amp;A6550&amp;"'!"&amp;B6550)="",FALSE,IF(TRUNC(INDIRECT("'"&amp;A6550&amp;"'!"&amp;B6550))=INDIRECT("'"&amp;A6550&amp;"'!"&amp;B6550),FALSE,TRUE))</f>
        <v>0</v>
      </c>
      <c r="E6550" t="s">
        <v>436</v>
      </c>
      <c r="F6550" t="str">
        <f>INDEX(Lists!I:I,MATCH(Validation!E6550,Lists!G:G,0))</f>
        <v>Error</v>
      </c>
      <c r="G6550" t="str">
        <f>INDEX(Lists!H:H,MATCH(Validation!E6550,Lists!G:G,0))</f>
        <v>Amount must be rounded to the nearest dollar.</v>
      </c>
      <c r="H6550" s="16" t="str">
        <f t="shared" ca="1" si="741"/>
        <v/>
      </c>
      <c r="I6550" s="16" t="str">
        <f t="shared" ca="1" si="742"/>
        <v/>
      </c>
      <c r="J6550" s="17" t="str">
        <f t="shared" ca="1" si="743"/>
        <v/>
      </c>
    </row>
    <row r="6551" spans="1:10" x14ac:dyDescent="0.25">
      <c r="A6551" t="s">
        <v>939</v>
      </c>
      <c r="B6551" t="str">
        <f>ADDRESS(ROW('Loan 1'!$C$36),COLUMN('Loan 1'!$C$36),4)</f>
        <v>C36</v>
      </c>
      <c r="C6551" t="str">
        <f>ADDRESS(ROW('Loan 1'!$D$36),COLUMN('Loan 1'!$D$36),4)</f>
        <v>D36</v>
      </c>
      <c r="D6551" t="b" cm="1">
        <f t="array" aca="1" ref="D6551" ca="1">IF(INDIRECT("'"&amp;A6551&amp;"'!"&amp;B6551)="",FALSE,IF(TRUNC(INDIRECT("'"&amp;A6551&amp;"'!"&amp;B6551))=INDIRECT("'"&amp;A6551&amp;"'!"&amp;B6551),FALSE,TRUE))</f>
        <v>0</v>
      </c>
      <c r="E6551" t="s">
        <v>436</v>
      </c>
      <c r="F6551" t="str">
        <f>INDEX(Lists!I:I,MATCH(Validation!E6551,Lists!G:G,0))</f>
        <v>Error</v>
      </c>
      <c r="G6551" t="str">
        <f>INDEX(Lists!H:H,MATCH(Validation!E6551,Lists!G:G,0))</f>
        <v>Amount must be rounded to the nearest dollar.</v>
      </c>
      <c r="H6551" s="16" t="str">
        <f t="shared" ca="1" si="741"/>
        <v/>
      </c>
      <c r="I6551" s="16" t="str">
        <f t="shared" ca="1" si="742"/>
        <v/>
      </c>
      <c r="J6551" s="17" t="str">
        <f t="shared" ca="1" si="743"/>
        <v/>
      </c>
    </row>
    <row r="6552" spans="1:10" x14ac:dyDescent="0.25">
      <c r="A6552" t="s">
        <v>940</v>
      </c>
      <c r="B6552" t="str">
        <f>ADDRESS(ROW('Loan 1'!$C$36),COLUMN('Loan 1'!$C$36),4)</f>
        <v>C36</v>
      </c>
      <c r="C6552" t="str">
        <f>ADDRESS(ROW('Loan 1'!$D$36),COLUMN('Loan 1'!$D$36),4)</f>
        <v>D36</v>
      </c>
      <c r="D6552" t="b" cm="1">
        <f t="array" aca="1" ref="D6552" ca="1">IF(INDIRECT("'"&amp;A6552&amp;"'!"&amp;B6552)="",FALSE,IF(TRUNC(INDIRECT("'"&amp;A6552&amp;"'!"&amp;B6552))=INDIRECT("'"&amp;A6552&amp;"'!"&amp;B6552),FALSE,TRUE))</f>
        <v>0</v>
      </c>
      <c r="E6552" t="s">
        <v>436</v>
      </c>
      <c r="F6552" t="str">
        <f>INDEX(Lists!I:I,MATCH(Validation!E6552,Lists!G:G,0))</f>
        <v>Error</v>
      </c>
      <c r="G6552" t="str">
        <f>INDEX(Lists!H:H,MATCH(Validation!E6552,Lists!G:G,0))</f>
        <v>Amount must be rounded to the nearest dollar.</v>
      </c>
      <c r="H6552" s="16" t="str">
        <f t="shared" ca="1" si="741"/>
        <v/>
      </c>
      <c r="I6552" s="16" t="str">
        <f t="shared" ca="1" si="742"/>
        <v/>
      </c>
      <c r="J6552" s="17" t="str">
        <f t="shared" ca="1" si="743"/>
        <v/>
      </c>
    </row>
    <row r="6553" spans="1:10" x14ac:dyDescent="0.25">
      <c r="A6553" t="s">
        <v>941</v>
      </c>
      <c r="B6553" t="str">
        <f>ADDRESS(ROW('Loan 1'!$C$36),COLUMN('Loan 1'!$C$36),4)</f>
        <v>C36</v>
      </c>
      <c r="C6553" t="str">
        <f>ADDRESS(ROW('Loan 1'!$D$36),COLUMN('Loan 1'!$D$36),4)</f>
        <v>D36</v>
      </c>
      <c r="D6553" t="b" cm="1">
        <f t="array" aca="1" ref="D6553" ca="1">IF(INDIRECT("'"&amp;A6553&amp;"'!"&amp;B6553)="",FALSE,IF(TRUNC(INDIRECT("'"&amp;A6553&amp;"'!"&amp;B6553))=INDIRECT("'"&amp;A6553&amp;"'!"&amp;B6553),FALSE,TRUE))</f>
        <v>0</v>
      </c>
      <c r="E6553" t="s">
        <v>436</v>
      </c>
      <c r="F6553" t="str">
        <f>INDEX(Lists!I:I,MATCH(Validation!E6553,Lists!G:G,0))</f>
        <v>Error</v>
      </c>
      <c r="G6553" t="str">
        <f>INDEX(Lists!H:H,MATCH(Validation!E6553,Lists!G:G,0))</f>
        <v>Amount must be rounded to the nearest dollar.</v>
      </c>
      <c r="H6553" s="16" t="str">
        <f t="shared" ca="1" si="741"/>
        <v/>
      </c>
      <c r="I6553" s="16" t="str">
        <f t="shared" ca="1" si="742"/>
        <v/>
      </c>
      <c r="J6553" s="17" t="str">
        <f t="shared" ca="1" si="743"/>
        <v/>
      </c>
    </row>
    <row r="6554" spans="1:10" x14ac:dyDescent="0.25">
      <c r="A6554" t="s">
        <v>942</v>
      </c>
      <c r="B6554" t="str">
        <f>ADDRESS(ROW('Loan 1'!$C$36),COLUMN('Loan 1'!$C$36),4)</f>
        <v>C36</v>
      </c>
      <c r="C6554" t="str">
        <f>ADDRESS(ROW('Loan 1'!$D$36),COLUMN('Loan 1'!$D$36),4)</f>
        <v>D36</v>
      </c>
      <c r="D6554" t="b" cm="1">
        <f t="array" aca="1" ref="D6554" ca="1">IF(INDIRECT("'"&amp;A6554&amp;"'!"&amp;B6554)="",FALSE,IF(TRUNC(INDIRECT("'"&amp;A6554&amp;"'!"&amp;B6554))=INDIRECT("'"&amp;A6554&amp;"'!"&amp;B6554),FALSE,TRUE))</f>
        <v>0</v>
      </c>
      <c r="E6554" t="s">
        <v>436</v>
      </c>
      <c r="F6554" t="str">
        <f>INDEX(Lists!I:I,MATCH(Validation!E6554,Lists!G:G,0))</f>
        <v>Error</v>
      </c>
      <c r="G6554" t="str">
        <f>INDEX(Lists!H:H,MATCH(Validation!E6554,Lists!G:G,0))</f>
        <v>Amount must be rounded to the nearest dollar.</v>
      </c>
      <c r="H6554" s="16" t="str">
        <f t="shared" ca="1" si="741"/>
        <v/>
      </c>
      <c r="I6554" s="16" t="str">
        <f t="shared" ca="1" si="742"/>
        <v/>
      </c>
      <c r="J6554" s="17" t="str">
        <f t="shared" ca="1" si="743"/>
        <v/>
      </c>
    </row>
    <row r="6555" spans="1:10" x14ac:dyDescent="0.25">
      <c r="A6555" t="s">
        <v>943</v>
      </c>
      <c r="B6555" t="str">
        <f>ADDRESS(ROW('Loan 1'!$C$36),COLUMN('Loan 1'!$C$36),4)</f>
        <v>C36</v>
      </c>
      <c r="C6555" t="str">
        <f>ADDRESS(ROW('Loan 1'!$D$36),COLUMN('Loan 1'!$D$36),4)</f>
        <v>D36</v>
      </c>
      <c r="D6555" t="b" cm="1">
        <f t="array" aca="1" ref="D6555" ca="1">IF(INDIRECT("'"&amp;A6555&amp;"'!"&amp;B6555)="",FALSE,IF(TRUNC(INDIRECT("'"&amp;A6555&amp;"'!"&amp;B6555))=INDIRECT("'"&amp;A6555&amp;"'!"&amp;B6555),FALSE,TRUE))</f>
        <v>0</v>
      </c>
      <c r="E6555" t="s">
        <v>436</v>
      </c>
      <c r="F6555" t="str">
        <f>INDEX(Lists!I:I,MATCH(Validation!E6555,Lists!G:G,0))</f>
        <v>Error</v>
      </c>
      <c r="G6555" t="str">
        <f>INDEX(Lists!H:H,MATCH(Validation!E6555,Lists!G:G,0))</f>
        <v>Amount must be rounded to the nearest dollar.</v>
      </c>
      <c r="H6555" s="16" t="str">
        <f t="shared" ca="1" si="741"/>
        <v/>
      </c>
      <c r="I6555" s="16" t="str">
        <f t="shared" ca="1" si="742"/>
        <v/>
      </c>
      <c r="J6555" s="17" t="str">
        <f t="shared" ca="1" si="743"/>
        <v/>
      </c>
    </row>
    <row r="6556" spans="1:10" x14ac:dyDescent="0.25">
      <c r="A6556" t="s">
        <v>944</v>
      </c>
      <c r="B6556" t="str">
        <f>ADDRESS(ROW('Loan 1'!$C$36),COLUMN('Loan 1'!$C$36),4)</f>
        <v>C36</v>
      </c>
      <c r="C6556" t="str">
        <f>ADDRESS(ROW('Loan 1'!$D$36),COLUMN('Loan 1'!$D$36),4)</f>
        <v>D36</v>
      </c>
      <c r="D6556" t="b" cm="1">
        <f t="array" aca="1" ref="D6556" ca="1">IF(INDIRECT("'"&amp;A6556&amp;"'!"&amp;B6556)="",FALSE,IF(TRUNC(INDIRECT("'"&amp;A6556&amp;"'!"&amp;B6556))=INDIRECT("'"&amp;A6556&amp;"'!"&amp;B6556),FALSE,TRUE))</f>
        <v>0</v>
      </c>
      <c r="E6556" t="s">
        <v>436</v>
      </c>
      <c r="F6556" t="str">
        <f>INDEX(Lists!I:I,MATCH(Validation!E6556,Lists!G:G,0))</f>
        <v>Error</v>
      </c>
      <c r="G6556" t="str">
        <f>INDEX(Lists!H:H,MATCH(Validation!E6556,Lists!G:G,0))</f>
        <v>Amount must be rounded to the nearest dollar.</v>
      </c>
      <c r="H6556" s="16" t="str">
        <f t="shared" ca="1" si="741"/>
        <v/>
      </c>
      <c r="I6556" s="16" t="str">
        <f t="shared" ca="1" si="742"/>
        <v/>
      </c>
      <c r="J6556" s="17" t="str">
        <f t="shared" ca="1" si="743"/>
        <v/>
      </c>
    </row>
    <row r="6557" spans="1:10" x14ac:dyDescent="0.25">
      <c r="A6557" t="s">
        <v>945</v>
      </c>
      <c r="B6557" t="str">
        <f>ADDRESS(ROW('Loan 1'!$C$36),COLUMN('Loan 1'!$C$36),4)</f>
        <v>C36</v>
      </c>
      <c r="C6557" t="str">
        <f>ADDRESS(ROW('Loan 1'!$D$36),COLUMN('Loan 1'!$D$36),4)</f>
        <v>D36</v>
      </c>
      <c r="D6557" t="b" cm="1">
        <f t="array" aca="1" ref="D6557" ca="1">IF(INDIRECT("'"&amp;A6557&amp;"'!"&amp;B6557)="",FALSE,IF(TRUNC(INDIRECT("'"&amp;A6557&amp;"'!"&amp;B6557))=INDIRECT("'"&amp;A6557&amp;"'!"&amp;B6557),FALSE,TRUE))</f>
        <v>0</v>
      </c>
      <c r="E6557" t="s">
        <v>436</v>
      </c>
      <c r="F6557" t="str">
        <f>INDEX(Lists!I:I,MATCH(Validation!E6557,Lists!G:G,0))</f>
        <v>Error</v>
      </c>
      <c r="G6557" t="str">
        <f>INDEX(Lists!H:H,MATCH(Validation!E6557,Lists!G:G,0))</f>
        <v>Amount must be rounded to the nearest dollar.</v>
      </c>
      <c r="H6557" s="16" t="str">
        <f t="shared" ca="1" si="741"/>
        <v/>
      </c>
      <c r="I6557" s="16" t="str">
        <f t="shared" ca="1" si="742"/>
        <v/>
      </c>
      <c r="J6557" s="17" t="str">
        <f t="shared" ca="1" si="743"/>
        <v/>
      </c>
    </row>
    <row r="6558" spans="1:10" x14ac:dyDescent="0.25">
      <c r="A6558" t="s">
        <v>205</v>
      </c>
      <c r="B6558" t="str">
        <f>ADDRESS(ROW('Loan 1'!$B$37),COLUMN('Loan 1'!$B$37),4)</f>
        <v>B37</v>
      </c>
      <c r="C6558" t="str">
        <f>ADDRESS(ROW('Loan 1'!$D$37),COLUMN('Loan 1'!$D$37),4)</f>
        <v>D37</v>
      </c>
      <c r="D6558" t="b" cm="1">
        <f t="array" aca="1" ref="D6558" ca="1">IF(INDIRECT("'"&amp;A6558&amp;"'!"&amp;B6558)="",FALSE,IF(NOT(ISNUMBER(INDIRECT("'"&amp;A6558&amp;"'!"&amp;B6558))),TRUE,FALSE))</f>
        <v>0</v>
      </c>
      <c r="E6558" t="s">
        <v>435</v>
      </c>
      <c r="F6558" t="str">
        <f>INDEX(Lists!I:I,MATCH(Validation!E6558,Lists!G:G,0))</f>
        <v>Error</v>
      </c>
      <c r="G6558" t="str">
        <f>INDEX(Lists!H:H,MATCH(Validation!E6558,Lists!G:G,0))</f>
        <v>Enter an amount only. Do not enter text or spaces.</v>
      </c>
      <c r="H6558" s="16" t="str">
        <f t="shared" ref="H6558:H6663" ca="1" si="744">IFERROR(IF(OR(NOT(D6558),F6558&lt;&gt;"Error"),"",A6558&amp;CELL("address",INDIRECT(B6558))),"")</f>
        <v/>
      </c>
      <c r="I6558" s="16" t="str">
        <f t="shared" ref="I6558:I6663" ca="1" si="745">IFERROR(IF(NOT(D6558),"",A6558&amp;CELL("address",INDIRECT(C6558))),"")</f>
        <v/>
      </c>
      <c r="J6558" s="17" t="str">
        <f t="shared" ref="J6558:J6663" ca="1" si="746">IFERROR(IF(NOT(D6558),"",A6558),"")</f>
        <v/>
      </c>
    </row>
    <row r="6559" spans="1:10" x14ac:dyDescent="0.25">
      <c r="A6559" t="s">
        <v>932</v>
      </c>
      <c r="B6559" t="str">
        <f>ADDRESS(ROW('Loan 1'!$B$37),COLUMN('Loan 1'!$B$37),4)</f>
        <v>B37</v>
      </c>
      <c r="C6559" t="str">
        <f>ADDRESS(ROW('Loan 1'!$D$37),COLUMN('Loan 1'!$D$37),4)</f>
        <v>D37</v>
      </c>
      <c r="D6559" t="b" cm="1">
        <f t="array" aca="1" ref="D6559" ca="1">IF(INDIRECT("'"&amp;A6559&amp;"'!"&amp;B6559)="",FALSE,IF(NOT(ISNUMBER(INDIRECT("'"&amp;A6559&amp;"'!"&amp;B6559))),TRUE,FALSE))</f>
        <v>0</v>
      </c>
      <c r="E6559" t="s">
        <v>435</v>
      </c>
      <c r="F6559" t="str">
        <f>INDEX(Lists!I:I,MATCH(Validation!E6559,Lists!G:G,0))</f>
        <v>Error</v>
      </c>
      <c r="G6559" t="str">
        <f>INDEX(Lists!H:H,MATCH(Validation!E6559,Lists!G:G,0))</f>
        <v>Enter an amount only. Do not enter text or spaces.</v>
      </c>
      <c r="H6559" s="16" t="str">
        <f t="shared" ca="1" si="744"/>
        <v/>
      </c>
      <c r="I6559" s="16" t="str">
        <f t="shared" ca="1" si="745"/>
        <v/>
      </c>
      <c r="J6559" s="17" t="str">
        <f t="shared" ca="1" si="746"/>
        <v/>
      </c>
    </row>
    <row r="6560" spans="1:10" x14ac:dyDescent="0.25">
      <c r="A6560" t="s">
        <v>933</v>
      </c>
      <c r="B6560" t="str">
        <f>ADDRESS(ROW('Loan 1'!$B$37),COLUMN('Loan 1'!$B$37),4)</f>
        <v>B37</v>
      </c>
      <c r="C6560" t="str">
        <f>ADDRESS(ROW('Loan 1'!$D$37),COLUMN('Loan 1'!$D$37),4)</f>
        <v>D37</v>
      </c>
      <c r="D6560" t="b" cm="1">
        <f t="array" aca="1" ref="D6560" ca="1">IF(INDIRECT("'"&amp;A6560&amp;"'!"&amp;B6560)="",FALSE,IF(NOT(ISNUMBER(INDIRECT("'"&amp;A6560&amp;"'!"&amp;B6560))),TRUE,FALSE))</f>
        <v>0</v>
      </c>
      <c r="E6560" t="s">
        <v>435</v>
      </c>
      <c r="F6560" t="str">
        <f>INDEX(Lists!I:I,MATCH(Validation!E6560,Lists!G:G,0))</f>
        <v>Error</v>
      </c>
      <c r="G6560" t="str">
        <f>INDEX(Lists!H:H,MATCH(Validation!E6560,Lists!G:G,0))</f>
        <v>Enter an amount only. Do not enter text or spaces.</v>
      </c>
      <c r="H6560" s="16" t="str">
        <f t="shared" ca="1" si="744"/>
        <v/>
      </c>
      <c r="I6560" s="16" t="str">
        <f t="shared" ca="1" si="745"/>
        <v/>
      </c>
      <c r="J6560" s="17" t="str">
        <f t="shared" ca="1" si="746"/>
        <v/>
      </c>
    </row>
    <row r="6561" spans="1:10" x14ac:dyDescent="0.25">
      <c r="A6561" t="s">
        <v>934</v>
      </c>
      <c r="B6561" t="str">
        <f>ADDRESS(ROW('Loan 1'!$B$37),COLUMN('Loan 1'!$B$37),4)</f>
        <v>B37</v>
      </c>
      <c r="C6561" t="str">
        <f>ADDRESS(ROW('Loan 1'!$D$37),COLUMN('Loan 1'!$D$37),4)</f>
        <v>D37</v>
      </c>
      <c r="D6561" t="b" cm="1">
        <f t="array" aca="1" ref="D6561" ca="1">IF(INDIRECT("'"&amp;A6561&amp;"'!"&amp;B6561)="",FALSE,IF(NOT(ISNUMBER(INDIRECT("'"&amp;A6561&amp;"'!"&amp;B6561))),TRUE,FALSE))</f>
        <v>0</v>
      </c>
      <c r="E6561" t="s">
        <v>435</v>
      </c>
      <c r="F6561" t="str">
        <f>INDEX(Lists!I:I,MATCH(Validation!E6561,Lists!G:G,0))</f>
        <v>Error</v>
      </c>
      <c r="G6561" t="str">
        <f>INDEX(Lists!H:H,MATCH(Validation!E6561,Lists!G:G,0))</f>
        <v>Enter an amount only. Do not enter text or spaces.</v>
      </c>
      <c r="H6561" s="16" t="str">
        <f t="shared" ca="1" si="744"/>
        <v/>
      </c>
      <c r="I6561" s="16" t="str">
        <f t="shared" ca="1" si="745"/>
        <v/>
      </c>
      <c r="J6561" s="17" t="str">
        <f t="shared" ca="1" si="746"/>
        <v/>
      </c>
    </row>
    <row r="6562" spans="1:10" x14ac:dyDescent="0.25">
      <c r="A6562" t="s">
        <v>935</v>
      </c>
      <c r="B6562" t="str">
        <f>ADDRESS(ROW('Loan 1'!$B$37),COLUMN('Loan 1'!$B$37),4)</f>
        <v>B37</v>
      </c>
      <c r="C6562" t="str">
        <f>ADDRESS(ROW('Loan 1'!$D$37),COLUMN('Loan 1'!$D$37),4)</f>
        <v>D37</v>
      </c>
      <c r="D6562" t="b" cm="1">
        <f t="array" aca="1" ref="D6562" ca="1">IF(INDIRECT("'"&amp;A6562&amp;"'!"&amp;B6562)="",FALSE,IF(NOT(ISNUMBER(INDIRECT("'"&amp;A6562&amp;"'!"&amp;B6562))),TRUE,FALSE))</f>
        <v>0</v>
      </c>
      <c r="E6562" t="s">
        <v>435</v>
      </c>
      <c r="F6562" t="str">
        <f>INDEX(Lists!I:I,MATCH(Validation!E6562,Lists!G:G,0))</f>
        <v>Error</v>
      </c>
      <c r="G6562" t="str">
        <f>INDEX(Lists!H:H,MATCH(Validation!E6562,Lists!G:G,0))</f>
        <v>Enter an amount only. Do not enter text or spaces.</v>
      </c>
      <c r="H6562" s="16" t="str">
        <f t="shared" ca="1" si="744"/>
        <v/>
      </c>
      <c r="I6562" s="16" t="str">
        <f t="shared" ca="1" si="745"/>
        <v/>
      </c>
      <c r="J6562" s="17" t="str">
        <f t="shared" ca="1" si="746"/>
        <v/>
      </c>
    </row>
    <row r="6563" spans="1:10" x14ac:dyDescent="0.25">
      <c r="A6563" t="s">
        <v>936</v>
      </c>
      <c r="B6563" t="str">
        <f>ADDRESS(ROW('Loan 1'!$B$37),COLUMN('Loan 1'!$B$37),4)</f>
        <v>B37</v>
      </c>
      <c r="C6563" t="str">
        <f>ADDRESS(ROW('Loan 1'!$D$37),COLUMN('Loan 1'!$D$37),4)</f>
        <v>D37</v>
      </c>
      <c r="D6563" t="b" cm="1">
        <f t="array" aca="1" ref="D6563" ca="1">IF(INDIRECT("'"&amp;A6563&amp;"'!"&amp;B6563)="",FALSE,IF(NOT(ISNUMBER(INDIRECT("'"&amp;A6563&amp;"'!"&amp;B6563))),TRUE,FALSE))</f>
        <v>0</v>
      </c>
      <c r="E6563" t="s">
        <v>435</v>
      </c>
      <c r="F6563" t="str">
        <f>INDEX(Lists!I:I,MATCH(Validation!E6563,Lists!G:G,0))</f>
        <v>Error</v>
      </c>
      <c r="G6563" t="str">
        <f>INDEX(Lists!H:H,MATCH(Validation!E6563,Lists!G:G,0))</f>
        <v>Enter an amount only. Do not enter text or spaces.</v>
      </c>
      <c r="H6563" s="16" t="str">
        <f t="shared" ca="1" si="744"/>
        <v/>
      </c>
      <c r="I6563" s="16" t="str">
        <f t="shared" ca="1" si="745"/>
        <v/>
      </c>
      <c r="J6563" s="17" t="str">
        <f t="shared" ca="1" si="746"/>
        <v/>
      </c>
    </row>
    <row r="6564" spans="1:10" x14ac:dyDescent="0.25">
      <c r="A6564" t="s">
        <v>937</v>
      </c>
      <c r="B6564" t="str">
        <f>ADDRESS(ROW('Loan 1'!$B$37),COLUMN('Loan 1'!$B$37),4)</f>
        <v>B37</v>
      </c>
      <c r="C6564" t="str">
        <f>ADDRESS(ROW('Loan 1'!$D$37),COLUMN('Loan 1'!$D$37),4)</f>
        <v>D37</v>
      </c>
      <c r="D6564" t="b" cm="1">
        <f t="array" aca="1" ref="D6564" ca="1">IF(INDIRECT("'"&amp;A6564&amp;"'!"&amp;B6564)="",FALSE,IF(NOT(ISNUMBER(INDIRECT("'"&amp;A6564&amp;"'!"&amp;B6564))),TRUE,FALSE))</f>
        <v>0</v>
      </c>
      <c r="E6564" t="s">
        <v>435</v>
      </c>
      <c r="F6564" t="str">
        <f>INDEX(Lists!I:I,MATCH(Validation!E6564,Lists!G:G,0))</f>
        <v>Error</v>
      </c>
      <c r="G6564" t="str">
        <f>INDEX(Lists!H:H,MATCH(Validation!E6564,Lists!G:G,0))</f>
        <v>Enter an amount only. Do not enter text or spaces.</v>
      </c>
      <c r="H6564" s="16" t="str">
        <f t="shared" ca="1" si="744"/>
        <v/>
      </c>
      <c r="I6564" s="16" t="str">
        <f t="shared" ca="1" si="745"/>
        <v/>
      </c>
      <c r="J6564" s="17" t="str">
        <f t="shared" ca="1" si="746"/>
        <v/>
      </c>
    </row>
    <row r="6565" spans="1:10" x14ac:dyDescent="0.25">
      <c r="A6565" t="s">
        <v>938</v>
      </c>
      <c r="B6565" t="str">
        <f>ADDRESS(ROW('Loan 1'!$B$37),COLUMN('Loan 1'!$B$37),4)</f>
        <v>B37</v>
      </c>
      <c r="C6565" t="str">
        <f>ADDRESS(ROW('Loan 1'!$D$37),COLUMN('Loan 1'!$D$37),4)</f>
        <v>D37</v>
      </c>
      <c r="D6565" t="b" cm="1">
        <f t="array" aca="1" ref="D6565" ca="1">IF(INDIRECT("'"&amp;A6565&amp;"'!"&amp;B6565)="",FALSE,IF(NOT(ISNUMBER(INDIRECT("'"&amp;A6565&amp;"'!"&amp;B6565))),TRUE,FALSE))</f>
        <v>0</v>
      </c>
      <c r="E6565" t="s">
        <v>435</v>
      </c>
      <c r="F6565" t="str">
        <f>INDEX(Lists!I:I,MATCH(Validation!E6565,Lists!G:G,0))</f>
        <v>Error</v>
      </c>
      <c r="G6565" t="str">
        <f>INDEX(Lists!H:H,MATCH(Validation!E6565,Lists!G:G,0))</f>
        <v>Enter an amount only. Do not enter text or spaces.</v>
      </c>
      <c r="H6565" s="16" t="str">
        <f t="shared" ca="1" si="744"/>
        <v/>
      </c>
      <c r="I6565" s="16" t="str">
        <f t="shared" ca="1" si="745"/>
        <v/>
      </c>
      <c r="J6565" s="17" t="str">
        <f t="shared" ca="1" si="746"/>
        <v/>
      </c>
    </row>
    <row r="6566" spans="1:10" x14ac:dyDescent="0.25">
      <c r="A6566" t="s">
        <v>939</v>
      </c>
      <c r="B6566" t="str">
        <f>ADDRESS(ROW('Loan 1'!$B$37),COLUMN('Loan 1'!$B$37),4)</f>
        <v>B37</v>
      </c>
      <c r="C6566" t="str">
        <f>ADDRESS(ROW('Loan 1'!$D$37),COLUMN('Loan 1'!$D$37),4)</f>
        <v>D37</v>
      </c>
      <c r="D6566" t="b" cm="1">
        <f t="array" aca="1" ref="D6566" ca="1">IF(INDIRECT("'"&amp;A6566&amp;"'!"&amp;B6566)="",FALSE,IF(NOT(ISNUMBER(INDIRECT("'"&amp;A6566&amp;"'!"&amp;B6566))),TRUE,FALSE))</f>
        <v>0</v>
      </c>
      <c r="E6566" t="s">
        <v>435</v>
      </c>
      <c r="F6566" t="str">
        <f>INDEX(Lists!I:I,MATCH(Validation!E6566,Lists!G:G,0))</f>
        <v>Error</v>
      </c>
      <c r="G6566" t="str">
        <f>INDEX(Lists!H:H,MATCH(Validation!E6566,Lists!G:G,0))</f>
        <v>Enter an amount only. Do not enter text or spaces.</v>
      </c>
      <c r="H6566" s="16" t="str">
        <f t="shared" ca="1" si="744"/>
        <v/>
      </c>
      <c r="I6566" s="16" t="str">
        <f t="shared" ca="1" si="745"/>
        <v/>
      </c>
      <c r="J6566" s="17" t="str">
        <f t="shared" ca="1" si="746"/>
        <v/>
      </c>
    </row>
    <row r="6567" spans="1:10" x14ac:dyDescent="0.25">
      <c r="A6567" t="s">
        <v>940</v>
      </c>
      <c r="B6567" t="str">
        <f>ADDRESS(ROW('Loan 1'!$B$37),COLUMN('Loan 1'!$B$37),4)</f>
        <v>B37</v>
      </c>
      <c r="C6567" t="str">
        <f>ADDRESS(ROW('Loan 1'!$D$37),COLUMN('Loan 1'!$D$37),4)</f>
        <v>D37</v>
      </c>
      <c r="D6567" t="b" cm="1">
        <f t="array" aca="1" ref="D6567" ca="1">IF(INDIRECT("'"&amp;A6567&amp;"'!"&amp;B6567)="",FALSE,IF(NOT(ISNUMBER(INDIRECT("'"&amp;A6567&amp;"'!"&amp;B6567))),TRUE,FALSE))</f>
        <v>0</v>
      </c>
      <c r="E6567" t="s">
        <v>435</v>
      </c>
      <c r="F6567" t="str">
        <f>INDEX(Lists!I:I,MATCH(Validation!E6567,Lists!G:G,0))</f>
        <v>Error</v>
      </c>
      <c r="G6567" t="str">
        <f>INDEX(Lists!H:H,MATCH(Validation!E6567,Lists!G:G,0))</f>
        <v>Enter an amount only. Do not enter text or spaces.</v>
      </c>
      <c r="H6567" s="16" t="str">
        <f t="shared" ca="1" si="744"/>
        <v/>
      </c>
      <c r="I6567" s="16" t="str">
        <f t="shared" ca="1" si="745"/>
        <v/>
      </c>
      <c r="J6567" s="17" t="str">
        <f t="shared" ca="1" si="746"/>
        <v/>
      </c>
    </row>
    <row r="6568" spans="1:10" x14ac:dyDescent="0.25">
      <c r="A6568" t="s">
        <v>941</v>
      </c>
      <c r="B6568" t="str">
        <f>ADDRESS(ROW('Loan 1'!$B$37),COLUMN('Loan 1'!$B$37),4)</f>
        <v>B37</v>
      </c>
      <c r="C6568" t="str">
        <f>ADDRESS(ROW('Loan 1'!$D$37),COLUMN('Loan 1'!$D$37),4)</f>
        <v>D37</v>
      </c>
      <c r="D6568" t="b" cm="1">
        <f t="array" aca="1" ref="D6568" ca="1">IF(INDIRECT("'"&amp;A6568&amp;"'!"&amp;B6568)="",FALSE,IF(NOT(ISNUMBER(INDIRECT("'"&amp;A6568&amp;"'!"&amp;B6568))),TRUE,FALSE))</f>
        <v>0</v>
      </c>
      <c r="E6568" t="s">
        <v>435</v>
      </c>
      <c r="F6568" t="str">
        <f>INDEX(Lists!I:I,MATCH(Validation!E6568,Lists!G:G,0))</f>
        <v>Error</v>
      </c>
      <c r="G6568" t="str">
        <f>INDEX(Lists!H:H,MATCH(Validation!E6568,Lists!G:G,0))</f>
        <v>Enter an amount only. Do not enter text or spaces.</v>
      </c>
      <c r="H6568" s="16" t="str">
        <f t="shared" ca="1" si="744"/>
        <v/>
      </c>
      <c r="I6568" s="16" t="str">
        <f t="shared" ca="1" si="745"/>
        <v/>
      </c>
      <c r="J6568" s="17" t="str">
        <f t="shared" ca="1" si="746"/>
        <v/>
      </c>
    </row>
    <row r="6569" spans="1:10" x14ac:dyDescent="0.25">
      <c r="A6569" t="s">
        <v>942</v>
      </c>
      <c r="B6569" t="str">
        <f>ADDRESS(ROW('Loan 1'!$B$37),COLUMN('Loan 1'!$B$37),4)</f>
        <v>B37</v>
      </c>
      <c r="C6569" t="str">
        <f>ADDRESS(ROW('Loan 1'!$D$37),COLUMN('Loan 1'!$D$37),4)</f>
        <v>D37</v>
      </c>
      <c r="D6569" t="b" cm="1">
        <f t="array" aca="1" ref="D6569" ca="1">IF(INDIRECT("'"&amp;A6569&amp;"'!"&amp;B6569)="",FALSE,IF(NOT(ISNUMBER(INDIRECT("'"&amp;A6569&amp;"'!"&amp;B6569))),TRUE,FALSE))</f>
        <v>0</v>
      </c>
      <c r="E6569" t="s">
        <v>435</v>
      </c>
      <c r="F6569" t="str">
        <f>INDEX(Lists!I:I,MATCH(Validation!E6569,Lists!G:G,0))</f>
        <v>Error</v>
      </c>
      <c r="G6569" t="str">
        <f>INDEX(Lists!H:H,MATCH(Validation!E6569,Lists!G:G,0))</f>
        <v>Enter an amount only. Do not enter text or spaces.</v>
      </c>
      <c r="H6569" s="16" t="str">
        <f t="shared" ca="1" si="744"/>
        <v/>
      </c>
      <c r="I6569" s="16" t="str">
        <f t="shared" ca="1" si="745"/>
        <v/>
      </c>
      <c r="J6569" s="17" t="str">
        <f t="shared" ca="1" si="746"/>
        <v/>
      </c>
    </row>
    <row r="6570" spans="1:10" x14ac:dyDescent="0.25">
      <c r="A6570" t="s">
        <v>943</v>
      </c>
      <c r="B6570" t="str">
        <f>ADDRESS(ROW('Loan 1'!$B$37),COLUMN('Loan 1'!$B$37),4)</f>
        <v>B37</v>
      </c>
      <c r="C6570" t="str">
        <f>ADDRESS(ROW('Loan 1'!$D$37),COLUMN('Loan 1'!$D$37),4)</f>
        <v>D37</v>
      </c>
      <c r="D6570" t="b" cm="1">
        <f t="array" aca="1" ref="D6570" ca="1">IF(INDIRECT("'"&amp;A6570&amp;"'!"&amp;B6570)="",FALSE,IF(NOT(ISNUMBER(INDIRECT("'"&amp;A6570&amp;"'!"&amp;B6570))),TRUE,FALSE))</f>
        <v>0</v>
      </c>
      <c r="E6570" t="s">
        <v>435</v>
      </c>
      <c r="F6570" t="str">
        <f>INDEX(Lists!I:I,MATCH(Validation!E6570,Lists!G:G,0))</f>
        <v>Error</v>
      </c>
      <c r="G6570" t="str">
        <f>INDEX(Lists!H:H,MATCH(Validation!E6570,Lists!G:G,0))</f>
        <v>Enter an amount only. Do not enter text or spaces.</v>
      </c>
      <c r="H6570" s="16" t="str">
        <f t="shared" ca="1" si="744"/>
        <v/>
      </c>
      <c r="I6570" s="16" t="str">
        <f t="shared" ca="1" si="745"/>
        <v/>
      </c>
      <c r="J6570" s="17" t="str">
        <f t="shared" ca="1" si="746"/>
        <v/>
      </c>
    </row>
    <row r="6571" spans="1:10" x14ac:dyDescent="0.25">
      <c r="A6571" t="s">
        <v>944</v>
      </c>
      <c r="B6571" t="str">
        <f>ADDRESS(ROW('Loan 1'!$B$37),COLUMN('Loan 1'!$B$37),4)</f>
        <v>B37</v>
      </c>
      <c r="C6571" t="str">
        <f>ADDRESS(ROW('Loan 1'!$D$37),COLUMN('Loan 1'!$D$37),4)</f>
        <v>D37</v>
      </c>
      <c r="D6571" t="b" cm="1">
        <f t="array" aca="1" ref="D6571" ca="1">IF(INDIRECT("'"&amp;A6571&amp;"'!"&amp;B6571)="",FALSE,IF(NOT(ISNUMBER(INDIRECT("'"&amp;A6571&amp;"'!"&amp;B6571))),TRUE,FALSE))</f>
        <v>0</v>
      </c>
      <c r="E6571" t="s">
        <v>435</v>
      </c>
      <c r="F6571" t="str">
        <f>INDEX(Lists!I:I,MATCH(Validation!E6571,Lists!G:G,0))</f>
        <v>Error</v>
      </c>
      <c r="G6571" t="str">
        <f>INDEX(Lists!H:H,MATCH(Validation!E6571,Lists!G:G,0))</f>
        <v>Enter an amount only. Do not enter text or spaces.</v>
      </c>
      <c r="H6571" s="16" t="str">
        <f t="shared" ca="1" si="744"/>
        <v/>
      </c>
      <c r="I6571" s="16" t="str">
        <f t="shared" ca="1" si="745"/>
        <v/>
      </c>
      <c r="J6571" s="17" t="str">
        <f t="shared" ca="1" si="746"/>
        <v/>
      </c>
    </row>
    <row r="6572" spans="1:10" x14ac:dyDescent="0.25">
      <c r="A6572" t="s">
        <v>945</v>
      </c>
      <c r="B6572" t="str">
        <f>ADDRESS(ROW('Loan 1'!$B$37),COLUMN('Loan 1'!$B$37),4)</f>
        <v>B37</v>
      </c>
      <c r="C6572" t="str">
        <f>ADDRESS(ROW('Loan 1'!$D$37),COLUMN('Loan 1'!$D$37),4)</f>
        <v>D37</v>
      </c>
      <c r="D6572" t="b" cm="1">
        <f t="array" aca="1" ref="D6572" ca="1">IF(INDIRECT("'"&amp;A6572&amp;"'!"&amp;B6572)="",FALSE,IF(NOT(ISNUMBER(INDIRECT("'"&amp;A6572&amp;"'!"&amp;B6572))),TRUE,FALSE))</f>
        <v>0</v>
      </c>
      <c r="E6572" t="s">
        <v>435</v>
      </c>
      <c r="F6572" t="str">
        <f>INDEX(Lists!I:I,MATCH(Validation!E6572,Lists!G:G,0))</f>
        <v>Error</v>
      </c>
      <c r="G6572" t="str">
        <f>INDEX(Lists!H:H,MATCH(Validation!E6572,Lists!G:G,0))</f>
        <v>Enter an amount only. Do not enter text or spaces.</v>
      </c>
      <c r="H6572" s="16" t="str">
        <f t="shared" ca="1" si="744"/>
        <v/>
      </c>
      <c r="I6572" s="16" t="str">
        <f t="shared" ca="1" si="745"/>
        <v/>
      </c>
      <c r="J6572" s="17" t="str">
        <f t="shared" ca="1" si="746"/>
        <v/>
      </c>
    </row>
    <row r="6573" spans="1:10" x14ac:dyDescent="0.25">
      <c r="A6573" t="s">
        <v>205</v>
      </c>
      <c r="B6573" t="str">
        <f>ADDRESS(ROW('Loan 1'!$B$37),COLUMN('Loan 1'!$B$37),4)</f>
        <v>B37</v>
      </c>
      <c r="C6573" t="str">
        <f>ADDRESS(ROW('Loan 1'!$D$37),COLUMN('Loan 1'!$D$37),4)</f>
        <v>D37</v>
      </c>
      <c r="D6573" t="b" cm="1">
        <f t="array" aca="1" ref="D6573" ca="1">IF(INDIRECT("'"&amp;A6573&amp;"'!"&amp;B6573)="",FALSE,IF(TRUNC(INDIRECT("'"&amp;A6573&amp;"'!"&amp;B6573))=INDIRECT("'"&amp;A6573&amp;"'!"&amp;B6573),FALSE,TRUE))</f>
        <v>0</v>
      </c>
      <c r="E6573" t="s">
        <v>436</v>
      </c>
      <c r="F6573" t="str">
        <f>INDEX(Lists!I:I,MATCH(Validation!E6573,Lists!G:G,0))</f>
        <v>Error</v>
      </c>
      <c r="G6573" t="str">
        <f>INDEX(Lists!H:H,MATCH(Validation!E6573,Lists!G:G,0))</f>
        <v>Amount must be rounded to the nearest dollar.</v>
      </c>
      <c r="H6573" s="16" t="str">
        <f t="shared" ca="1" si="744"/>
        <v/>
      </c>
      <c r="I6573" s="16" t="str">
        <f t="shared" ca="1" si="745"/>
        <v/>
      </c>
      <c r="J6573" s="17" t="str">
        <f t="shared" ca="1" si="746"/>
        <v/>
      </c>
    </row>
    <row r="6574" spans="1:10" x14ac:dyDescent="0.25">
      <c r="A6574" t="s">
        <v>932</v>
      </c>
      <c r="B6574" t="str">
        <f>ADDRESS(ROW('Loan 1'!$B$37),COLUMN('Loan 1'!$B$37),4)</f>
        <v>B37</v>
      </c>
      <c r="C6574" t="str">
        <f>ADDRESS(ROW('Loan 1'!$D$37),COLUMN('Loan 1'!$D$37),4)</f>
        <v>D37</v>
      </c>
      <c r="D6574" t="b" cm="1">
        <f t="array" aca="1" ref="D6574" ca="1">IF(INDIRECT("'"&amp;A6574&amp;"'!"&amp;B6574)="",FALSE,IF(TRUNC(INDIRECT("'"&amp;A6574&amp;"'!"&amp;B6574))=INDIRECT("'"&amp;A6574&amp;"'!"&amp;B6574),FALSE,TRUE))</f>
        <v>0</v>
      </c>
      <c r="E6574" t="s">
        <v>436</v>
      </c>
      <c r="F6574" t="str">
        <f>INDEX(Lists!I:I,MATCH(Validation!E6574,Lists!G:G,0))</f>
        <v>Error</v>
      </c>
      <c r="G6574" t="str">
        <f>INDEX(Lists!H:H,MATCH(Validation!E6574,Lists!G:G,0))</f>
        <v>Amount must be rounded to the nearest dollar.</v>
      </c>
      <c r="H6574" s="16" t="str">
        <f t="shared" ref="H6574:H6587" ca="1" si="747">IFERROR(IF(OR(NOT(D6574),F6574&lt;&gt;"Error"),"",A6574&amp;CELL("address",INDIRECT(B6574))),"")</f>
        <v/>
      </c>
      <c r="I6574" s="16" t="str">
        <f t="shared" ref="I6574:I6587" ca="1" si="748">IFERROR(IF(NOT(D6574),"",A6574&amp;CELL("address",INDIRECT(C6574))),"")</f>
        <v/>
      </c>
      <c r="J6574" s="17" t="str">
        <f t="shared" ref="J6574:J6587" ca="1" si="749">IFERROR(IF(NOT(D6574),"",A6574),"")</f>
        <v/>
      </c>
    </row>
    <row r="6575" spans="1:10" x14ac:dyDescent="0.25">
      <c r="A6575" t="s">
        <v>933</v>
      </c>
      <c r="B6575" t="str">
        <f>ADDRESS(ROW('Loan 1'!$B$37),COLUMN('Loan 1'!$B$37),4)</f>
        <v>B37</v>
      </c>
      <c r="C6575" t="str">
        <f>ADDRESS(ROW('Loan 1'!$D$37),COLUMN('Loan 1'!$D$37),4)</f>
        <v>D37</v>
      </c>
      <c r="D6575" t="b" cm="1">
        <f t="array" aca="1" ref="D6575" ca="1">IF(INDIRECT("'"&amp;A6575&amp;"'!"&amp;B6575)="",FALSE,IF(TRUNC(INDIRECT("'"&amp;A6575&amp;"'!"&amp;B6575))=INDIRECT("'"&amp;A6575&amp;"'!"&amp;B6575),FALSE,TRUE))</f>
        <v>0</v>
      </c>
      <c r="E6575" t="s">
        <v>436</v>
      </c>
      <c r="F6575" t="str">
        <f>INDEX(Lists!I:I,MATCH(Validation!E6575,Lists!G:G,0))</f>
        <v>Error</v>
      </c>
      <c r="G6575" t="str">
        <f>INDEX(Lists!H:H,MATCH(Validation!E6575,Lists!G:G,0))</f>
        <v>Amount must be rounded to the nearest dollar.</v>
      </c>
      <c r="H6575" s="16" t="str">
        <f t="shared" ca="1" si="747"/>
        <v/>
      </c>
      <c r="I6575" s="16" t="str">
        <f t="shared" ca="1" si="748"/>
        <v/>
      </c>
      <c r="J6575" s="17" t="str">
        <f t="shared" ca="1" si="749"/>
        <v/>
      </c>
    </row>
    <row r="6576" spans="1:10" x14ac:dyDescent="0.25">
      <c r="A6576" t="s">
        <v>934</v>
      </c>
      <c r="B6576" t="str">
        <f>ADDRESS(ROW('Loan 1'!$B$37),COLUMN('Loan 1'!$B$37),4)</f>
        <v>B37</v>
      </c>
      <c r="C6576" t="str">
        <f>ADDRESS(ROW('Loan 1'!$D$37),COLUMN('Loan 1'!$D$37),4)</f>
        <v>D37</v>
      </c>
      <c r="D6576" t="b" cm="1">
        <f t="array" aca="1" ref="D6576" ca="1">IF(INDIRECT("'"&amp;A6576&amp;"'!"&amp;B6576)="",FALSE,IF(TRUNC(INDIRECT("'"&amp;A6576&amp;"'!"&amp;B6576))=INDIRECT("'"&amp;A6576&amp;"'!"&amp;B6576),FALSE,TRUE))</f>
        <v>0</v>
      </c>
      <c r="E6576" t="s">
        <v>436</v>
      </c>
      <c r="F6576" t="str">
        <f>INDEX(Lists!I:I,MATCH(Validation!E6576,Lists!G:G,0))</f>
        <v>Error</v>
      </c>
      <c r="G6576" t="str">
        <f>INDEX(Lists!H:H,MATCH(Validation!E6576,Lists!G:G,0))</f>
        <v>Amount must be rounded to the nearest dollar.</v>
      </c>
      <c r="H6576" s="16" t="str">
        <f t="shared" ca="1" si="747"/>
        <v/>
      </c>
      <c r="I6576" s="16" t="str">
        <f t="shared" ca="1" si="748"/>
        <v/>
      </c>
      <c r="J6576" s="17" t="str">
        <f t="shared" ca="1" si="749"/>
        <v/>
      </c>
    </row>
    <row r="6577" spans="1:10" x14ac:dyDescent="0.25">
      <c r="A6577" t="s">
        <v>935</v>
      </c>
      <c r="B6577" t="str">
        <f>ADDRESS(ROW('Loan 1'!$B$37),COLUMN('Loan 1'!$B$37),4)</f>
        <v>B37</v>
      </c>
      <c r="C6577" t="str">
        <f>ADDRESS(ROW('Loan 1'!$D$37),COLUMN('Loan 1'!$D$37),4)</f>
        <v>D37</v>
      </c>
      <c r="D6577" t="b" cm="1">
        <f t="array" aca="1" ref="D6577" ca="1">IF(INDIRECT("'"&amp;A6577&amp;"'!"&amp;B6577)="",FALSE,IF(TRUNC(INDIRECT("'"&amp;A6577&amp;"'!"&amp;B6577))=INDIRECT("'"&amp;A6577&amp;"'!"&amp;B6577),FALSE,TRUE))</f>
        <v>0</v>
      </c>
      <c r="E6577" t="s">
        <v>436</v>
      </c>
      <c r="F6577" t="str">
        <f>INDEX(Lists!I:I,MATCH(Validation!E6577,Lists!G:G,0))</f>
        <v>Error</v>
      </c>
      <c r="G6577" t="str">
        <f>INDEX(Lists!H:H,MATCH(Validation!E6577,Lists!G:G,0))</f>
        <v>Amount must be rounded to the nearest dollar.</v>
      </c>
      <c r="H6577" s="16" t="str">
        <f t="shared" ca="1" si="747"/>
        <v/>
      </c>
      <c r="I6577" s="16" t="str">
        <f t="shared" ca="1" si="748"/>
        <v/>
      </c>
      <c r="J6577" s="17" t="str">
        <f t="shared" ca="1" si="749"/>
        <v/>
      </c>
    </row>
    <row r="6578" spans="1:10" x14ac:dyDescent="0.25">
      <c r="A6578" t="s">
        <v>936</v>
      </c>
      <c r="B6578" t="str">
        <f>ADDRESS(ROW('Loan 1'!$B$37),COLUMN('Loan 1'!$B$37),4)</f>
        <v>B37</v>
      </c>
      <c r="C6578" t="str">
        <f>ADDRESS(ROW('Loan 1'!$D$37),COLUMN('Loan 1'!$D$37),4)</f>
        <v>D37</v>
      </c>
      <c r="D6578" t="b" cm="1">
        <f t="array" aca="1" ref="D6578" ca="1">IF(INDIRECT("'"&amp;A6578&amp;"'!"&amp;B6578)="",FALSE,IF(TRUNC(INDIRECT("'"&amp;A6578&amp;"'!"&amp;B6578))=INDIRECT("'"&amp;A6578&amp;"'!"&amp;B6578),FALSE,TRUE))</f>
        <v>0</v>
      </c>
      <c r="E6578" t="s">
        <v>436</v>
      </c>
      <c r="F6578" t="str">
        <f>INDEX(Lists!I:I,MATCH(Validation!E6578,Lists!G:G,0))</f>
        <v>Error</v>
      </c>
      <c r="G6578" t="str">
        <f>INDEX(Lists!H:H,MATCH(Validation!E6578,Lists!G:G,0))</f>
        <v>Amount must be rounded to the nearest dollar.</v>
      </c>
      <c r="H6578" s="16" t="str">
        <f t="shared" ca="1" si="747"/>
        <v/>
      </c>
      <c r="I6578" s="16" t="str">
        <f t="shared" ca="1" si="748"/>
        <v/>
      </c>
      <c r="J6578" s="17" t="str">
        <f t="shared" ca="1" si="749"/>
        <v/>
      </c>
    </row>
    <row r="6579" spans="1:10" x14ac:dyDescent="0.25">
      <c r="A6579" t="s">
        <v>937</v>
      </c>
      <c r="B6579" t="str">
        <f>ADDRESS(ROW('Loan 1'!$B$37),COLUMN('Loan 1'!$B$37),4)</f>
        <v>B37</v>
      </c>
      <c r="C6579" t="str">
        <f>ADDRESS(ROW('Loan 1'!$D$37),COLUMN('Loan 1'!$D$37),4)</f>
        <v>D37</v>
      </c>
      <c r="D6579" t="b" cm="1">
        <f t="array" aca="1" ref="D6579" ca="1">IF(INDIRECT("'"&amp;A6579&amp;"'!"&amp;B6579)="",FALSE,IF(TRUNC(INDIRECT("'"&amp;A6579&amp;"'!"&amp;B6579))=INDIRECT("'"&amp;A6579&amp;"'!"&amp;B6579),FALSE,TRUE))</f>
        <v>0</v>
      </c>
      <c r="E6579" t="s">
        <v>436</v>
      </c>
      <c r="F6579" t="str">
        <f>INDEX(Lists!I:I,MATCH(Validation!E6579,Lists!G:G,0))</f>
        <v>Error</v>
      </c>
      <c r="G6579" t="str">
        <f>INDEX(Lists!H:H,MATCH(Validation!E6579,Lists!G:G,0))</f>
        <v>Amount must be rounded to the nearest dollar.</v>
      </c>
      <c r="H6579" s="16" t="str">
        <f t="shared" ca="1" si="747"/>
        <v/>
      </c>
      <c r="I6579" s="16" t="str">
        <f t="shared" ca="1" si="748"/>
        <v/>
      </c>
      <c r="J6579" s="17" t="str">
        <f t="shared" ca="1" si="749"/>
        <v/>
      </c>
    </row>
    <row r="6580" spans="1:10" x14ac:dyDescent="0.25">
      <c r="A6580" t="s">
        <v>938</v>
      </c>
      <c r="B6580" t="str">
        <f>ADDRESS(ROW('Loan 1'!$B$37),COLUMN('Loan 1'!$B$37),4)</f>
        <v>B37</v>
      </c>
      <c r="C6580" t="str">
        <f>ADDRESS(ROW('Loan 1'!$D$37),COLUMN('Loan 1'!$D$37),4)</f>
        <v>D37</v>
      </c>
      <c r="D6580" t="b" cm="1">
        <f t="array" aca="1" ref="D6580" ca="1">IF(INDIRECT("'"&amp;A6580&amp;"'!"&amp;B6580)="",FALSE,IF(TRUNC(INDIRECT("'"&amp;A6580&amp;"'!"&amp;B6580))=INDIRECT("'"&amp;A6580&amp;"'!"&amp;B6580),FALSE,TRUE))</f>
        <v>0</v>
      </c>
      <c r="E6580" t="s">
        <v>436</v>
      </c>
      <c r="F6580" t="str">
        <f>INDEX(Lists!I:I,MATCH(Validation!E6580,Lists!G:G,0))</f>
        <v>Error</v>
      </c>
      <c r="G6580" t="str">
        <f>INDEX(Lists!H:H,MATCH(Validation!E6580,Lists!G:G,0))</f>
        <v>Amount must be rounded to the nearest dollar.</v>
      </c>
      <c r="H6580" s="16" t="str">
        <f t="shared" ca="1" si="747"/>
        <v/>
      </c>
      <c r="I6580" s="16" t="str">
        <f t="shared" ca="1" si="748"/>
        <v/>
      </c>
      <c r="J6580" s="17" t="str">
        <f t="shared" ca="1" si="749"/>
        <v/>
      </c>
    </row>
    <row r="6581" spans="1:10" x14ac:dyDescent="0.25">
      <c r="A6581" t="s">
        <v>939</v>
      </c>
      <c r="B6581" t="str">
        <f>ADDRESS(ROW('Loan 1'!$B$37),COLUMN('Loan 1'!$B$37),4)</f>
        <v>B37</v>
      </c>
      <c r="C6581" t="str">
        <f>ADDRESS(ROW('Loan 1'!$D$37),COLUMN('Loan 1'!$D$37),4)</f>
        <v>D37</v>
      </c>
      <c r="D6581" t="b" cm="1">
        <f t="array" aca="1" ref="D6581" ca="1">IF(INDIRECT("'"&amp;A6581&amp;"'!"&amp;B6581)="",FALSE,IF(TRUNC(INDIRECT("'"&amp;A6581&amp;"'!"&amp;B6581))=INDIRECT("'"&amp;A6581&amp;"'!"&amp;B6581),FALSE,TRUE))</f>
        <v>0</v>
      </c>
      <c r="E6581" t="s">
        <v>436</v>
      </c>
      <c r="F6581" t="str">
        <f>INDEX(Lists!I:I,MATCH(Validation!E6581,Lists!G:G,0))</f>
        <v>Error</v>
      </c>
      <c r="G6581" t="str">
        <f>INDEX(Lists!H:H,MATCH(Validation!E6581,Lists!G:G,0))</f>
        <v>Amount must be rounded to the nearest dollar.</v>
      </c>
      <c r="H6581" s="16" t="str">
        <f t="shared" ca="1" si="747"/>
        <v/>
      </c>
      <c r="I6581" s="16" t="str">
        <f t="shared" ca="1" si="748"/>
        <v/>
      </c>
      <c r="J6581" s="17" t="str">
        <f t="shared" ca="1" si="749"/>
        <v/>
      </c>
    </row>
    <row r="6582" spans="1:10" x14ac:dyDescent="0.25">
      <c r="A6582" t="s">
        <v>940</v>
      </c>
      <c r="B6582" t="str">
        <f>ADDRESS(ROW('Loan 1'!$B$37),COLUMN('Loan 1'!$B$37),4)</f>
        <v>B37</v>
      </c>
      <c r="C6582" t="str">
        <f>ADDRESS(ROW('Loan 1'!$D$37),COLUMN('Loan 1'!$D$37),4)</f>
        <v>D37</v>
      </c>
      <c r="D6582" t="b" cm="1">
        <f t="array" aca="1" ref="D6582" ca="1">IF(INDIRECT("'"&amp;A6582&amp;"'!"&amp;B6582)="",FALSE,IF(TRUNC(INDIRECT("'"&amp;A6582&amp;"'!"&amp;B6582))=INDIRECT("'"&amp;A6582&amp;"'!"&amp;B6582),FALSE,TRUE))</f>
        <v>0</v>
      </c>
      <c r="E6582" t="s">
        <v>436</v>
      </c>
      <c r="F6582" t="str">
        <f>INDEX(Lists!I:I,MATCH(Validation!E6582,Lists!G:G,0))</f>
        <v>Error</v>
      </c>
      <c r="G6582" t="str">
        <f>INDEX(Lists!H:H,MATCH(Validation!E6582,Lists!G:G,0))</f>
        <v>Amount must be rounded to the nearest dollar.</v>
      </c>
      <c r="H6582" s="16" t="str">
        <f t="shared" ca="1" si="747"/>
        <v/>
      </c>
      <c r="I6582" s="16" t="str">
        <f t="shared" ca="1" si="748"/>
        <v/>
      </c>
      <c r="J6582" s="17" t="str">
        <f t="shared" ca="1" si="749"/>
        <v/>
      </c>
    </row>
    <row r="6583" spans="1:10" x14ac:dyDescent="0.25">
      <c r="A6583" t="s">
        <v>941</v>
      </c>
      <c r="B6583" t="str">
        <f>ADDRESS(ROW('Loan 1'!$B$37),COLUMN('Loan 1'!$B$37),4)</f>
        <v>B37</v>
      </c>
      <c r="C6583" t="str">
        <f>ADDRESS(ROW('Loan 1'!$D$37),COLUMN('Loan 1'!$D$37),4)</f>
        <v>D37</v>
      </c>
      <c r="D6583" t="b" cm="1">
        <f t="array" aca="1" ref="D6583" ca="1">IF(INDIRECT("'"&amp;A6583&amp;"'!"&amp;B6583)="",FALSE,IF(TRUNC(INDIRECT("'"&amp;A6583&amp;"'!"&amp;B6583))=INDIRECT("'"&amp;A6583&amp;"'!"&amp;B6583),FALSE,TRUE))</f>
        <v>0</v>
      </c>
      <c r="E6583" t="s">
        <v>436</v>
      </c>
      <c r="F6583" t="str">
        <f>INDEX(Lists!I:I,MATCH(Validation!E6583,Lists!G:G,0))</f>
        <v>Error</v>
      </c>
      <c r="G6583" t="str">
        <f>INDEX(Lists!H:H,MATCH(Validation!E6583,Lists!G:G,0))</f>
        <v>Amount must be rounded to the nearest dollar.</v>
      </c>
      <c r="H6583" s="16" t="str">
        <f t="shared" ca="1" si="747"/>
        <v/>
      </c>
      <c r="I6583" s="16" t="str">
        <f t="shared" ca="1" si="748"/>
        <v/>
      </c>
      <c r="J6583" s="17" t="str">
        <f t="shared" ca="1" si="749"/>
        <v/>
      </c>
    </row>
    <row r="6584" spans="1:10" x14ac:dyDescent="0.25">
      <c r="A6584" t="s">
        <v>942</v>
      </c>
      <c r="B6584" t="str">
        <f>ADDRESS(ROW('Loan 1'!$B$37),COLUMN('Loan 1'!$B$37),4)</f>
        <v>B37</v>
      </c>
      <c r="C6584" t="str">
        <f>ADDRESS(ROW('Loan 1'!$D$37),COLUMN('Loan 1'!$D$37),4)</f>
        <v>D37</v>
      </c>
      <c r="D6584" t="b" cm="1">
        <f t="array" aca="1" ref="D6584" ca="1">IF(INDIRECT("'"&amp;A6584&amp;"'!"&amp;B6584)="",FALSE,IF(TRUNC(INDIRECT("'"&amp;A6584&amp;"'!"&amp;B6584))=INDIRECT("'"&amp;A6584&amp;"'!"&amp;B6584),FALSE,TRUE))</f>
        <v>0</v>
      </c>
      <c r="E6584" t="s">
        <v>436</v>
      </c>
      <c r="F6584" t="str">
        <f>INDEX(Lists!I:I,MATCH(Validation!E6584,Lists!G:G,0))</f>
        <v>Error</v>
      </c>
      <c r="G6584" t="str">
        <f>INDEX(Lists!H:H,MATCH(Validation!E6584,Lists!G:G,0))</f>
        <v>Amount must be rounded to the nearest dollar.</v>
      </c>
      <c r="H6584" s="16" t="str">
        <f t="shared" ca="1" si="747"/>
        <v/>
      </c>
      <c r="I6584" s="16" t="str">
        <f t="shared" ca="1" si="748"/>
        <v/>
      </c>
      <c r="J6584" s="17" t="str">
        <f t="shared" ca="1" si="749"/>
        <v/>
      </c>
    </row>
    <row r="6585" spans="1:10" x14ac:dyDescent="0.25">
      <c r="A6585" t="s">
        <v>943</v>
      </c>
      <c r="B6585" t="str">
        <f>ADDRESS(ROW('Loan 1'!$B$37),COLUMN('Loan 1'!$B$37),4)</f>
        <v>B37</v>
      </c>
      <c r="C6585" t="str">
        <f>ADDRESS(ROW('Loan 1'!$D$37),COLUMN('Loan 1'!$D$37),4)</f>
        <v>D37</v>
      </c>
      <c r="D6585" t="b" cm="1">
        <f t="array" aca="1" ref="D6585" ca="1">IF(INDIRECT("'"&amp;A6585&amp;"'!"&amp;B6585)="",FALSE,IF(TRUNC(INDIRECT("'"&amp;A6585&amp;"'!"&amp;B6585))=INDIRECT("'"&amp;A6585&amp;"'!"&amp;B6585),FALSE,TRUE))</f>
        <v>0</v>
      </c>
      <c r="E6585" t="s">
        <v>436</v>
      </c>
      <c r="F6585" t="str">
        <f>INDEX(Lists!I:I,MATCH(Validation!E6585,Lists!G:G,0))</f>
        <v>Error</v>
      </c>
      <c r="G6585" t="str">
        <f>INDEX(Lists!H:H,MATCH(Validation!E6585,Lists!G:G,0))</f>
        <v>Amount must be rounded to the nearest dollar.</v>
      </c>
      <c r="H6585" s="16" t="str">
        <f t="shared" ca="1" si="747"/>
        <v/>
      </c>
      <c r="I6585" s="16" t="str">
        <f t="shared" ca="1" si="748"/>
        <v/>
      </c>
      <c r="J6585" s="17" t="str">
        <f t="shared" ca="1" si="749"/>
        <v/>
      </c>
    </row>
    <row r="6586" spans="1:10" x14ac:dyDescent="0.25">
      <c r="A6586" t="s">
        <v>944</v>
      </c>
      <c r="B6586" t="str">
        <f>ADDRESS(ROW('Loan 1'!$B$37),COLUMN('Loan 1'!$B$37),4)</f>
        <v>B37</v>
      </c>
      <c r="C6586" t="str">
        <f>ADDRESS(ROW('Loan 1'!$D$37),COLUMN('Loan 1'!$D$37),4)</f>
        <v>D37</v>
      </c>
      <c r="D6586" t="b" cm="1">
        <f t="array" aca="1" ref="D6586" ca="1">IF(INDIRECT("'"&amp;A6586&amp;"'!"&amp;B6586)="",FALSE,IF(TRUNC(INDIRECT("'"&amp;A6586&amp;"'!"&amp;B6586))=INDIRECT("'"&amp;A6586&amp;"'!"&amp;B6586),FALSE,TRUE))</f>
        <v>0</v>
      </c>
      <c r="E6586" t="s">
        <v>436</v>
      </c>
      <c r="F6586" t="str">
        <f>INDEX(Lists!I:I,MATCH(Validation!E6586,Lists!G:G,0))</f>
        <v>Error</v>
      </c>
      <c r="G6586" t="str">
        <f>INDEX(Lists!H:H,MATCH(Validation!E6586,Lists!G:G,0))</f>
        <v>Amount must be rounded to the nearest dollar.</v>
      </c>
      <c r="H6586" s="16" t="str">
        <f t="shared" ca="1" si="747"/>
        <v/>
      </c>
      <c r="I6586" s="16" t="str">
        <f t="shared" ca="1" si="748"/>
        <v/>
      </c>
      <c r="J6586" s="17" t="str">
        <f t="shared" ca="1" si="749"/>
        <v/>
      </c>
    </row>
    <row r="6587" spans="1:10" x14ac:dyDescent="0.25">
      <c r="A6587" t="s">
        <v>945</v>
      </c>
      <c r="B6587" t="str">
        <f>ADDRESS(ROW('Loan 1'!$B$37),COLUMN('Loan 1'!$B$37),4)</f>
        <v>B37</v>
      </c>
      <c r="C6587" t="str">
        <f>ADDRESS(ROW('Loan 1'!$D$37),COLUMN('Loan 1'!$D$37),4)</f>
        <v>D37</v>
      </c>
      <c r="D6587" t="b" cm="1">
        <f t="array" aca="1" ref="D6587" ca="1">IF(INDIRECT("'"&amp;A6587&amp;"'!"&amp;B6587)="",FALSE,IF(TRUNC(INDIRECT("'"&amp;A6587&amp;"'!"&amp;B6587))=INDIRECT("'"&amp;A6587&amp;"'!"&amp;B6587),FALSE,TRUE))</f>
        <v>0</v>
      </c>
      <c r="E6587" t="s">
        <v>436</v>
      </c>
      <c r="F6587" t="str">
        <f>INDEX(Lists!I:I,MATCH(Validation!E6587,Lists!G:G,0))</f>
        <v>Error</v>
      </c>
      <c r="G6587" t="str">
        <f>INDEX(Lists!H:H,MATCH(Validation!E6587,Lists!G:G,0))</f>
        <v>Amount must be rounded to the nearest dollar.</v>
      </c>
      <c r="H6587" s="16" t="str">
        <f t="shared" ca="1" si="747"/>
        <v/>
      </c>
      <c r="I6587" s="16" t="str">
        <f t="shared" ca="1" si="748"/>
        <v/>
      </c>
      <c r="J6587" s="17" t="str">
        <f t="shared" ca="1" si="749"/>
        <v/>
      </c>
    </row>
    <row r="6588" spans="1:10" x14ac:dyDescent="0.25">
      <c r="A6588" t="s">
        <v>205</v>
      </c>
      <c r="B6588" t="str">
        <f>ADDRESS(ROW('Loan 1'!$C$37),COLUMN('Loan 1'!$C$37),4)</f>
        <v>C37</v>
      </c>
      <c r="C6588" t="str">
        <f>ADDRESS(ROW('Loan 1'!$D$37),COLUMN('Loan 1'!$D$37),4)</f>
        <v>D37</v>
      </c>
      <c r="D6588" t="b" cm="1">
        <f t="array" aca="1" ref="D6588" ca="1">IF(INDIRECT("'"&amp;A6588&amp;"'!"&amp;B6588)="",FALSE,IF(NOT(ISNUMBER(INDIRECT("'"&amp;A6588&amp;"'!"&amp;B6588))),TRUE,FALSE))</f>
        <v>0</v>
      </c>
      <c r="E6588" t="s">
        <v>435</v>
      </c>
      <c r="F6588" t="str">
        <f>INDEX(Lists!I:I,MATCH(Validation!E6588,Lists!G:G,0))</f>
        <v>Error</v>
      </c>
      <c r="G6588" t="str">
        <f>INDEX(Lists!H:H,MATCH(Validation!E6588,Lists!G:G,0))</f>
        <v>Enter an amount only. Do not enter text or spaces.</v>
      </c>
      <c r="H6588" s="16" t="str">
        <f t="shared" ca="1" si="744"/>
        <v/>
      </c>
      <c r="I6588" s="16" t="str">
        <f t="shared" ca="1" si="745"/>
        <v/>
      </c>
      <c r="J6588" s="17" t="str">
        <f t="shared" ca="1" si="746"/>
        <v/>
      </c>
    </row>
    <row r="6589" spans="1:10" x14ac:dyDescent="0.25">
      <c r="A6589" t="s">
        <v>932</v>
      </c>
      <c r="B6589" t="str">
        <f>ADDRESS(ROW('Loan 1'!$C$37),COLUMN('Loan 1'!$C$37),4)</f>
        <v>C37</v>
      </c>
      <c r="C6589" t="str">
        <f>ADDRESS(ROW('Loan 1'!$D$37),COLUMN('Loan 1'!$D$37),4)</f>
        <v>D37</v>
      </c>
      <c r="D6589" t="b" cm="1">
        <f t="array" aca="1" ref="D6589" ca="1">IF(INDIRECT("'"&amp;A6589&amp;"'!"&amp;B6589)="",FALSE,IF(NOT(ISNUMBER(INDIRECT("'"&amp;A6589&amp;"'!"&amp;B6589))),TRUE,FALSE))</f>
        <v>0</v>
      </c>
      <c r="E6589" t="s">
        <v>435</v>
      </c>
      <c r="F6589" t="str">
        <f>INDEX(Lists!I:I,MATCH(Validation!E6589,Lists!G:G,0))</f>
        <v>Error</v>
      </c>
      <c r="G6589" t="str">
        <f>INDEX(Lists!H:H,MATCH(Validation!E6589,Lists!G:G,0))</f>
        <v>Enter an amount only. Do not enter text or spaces.</v>
      </c>
      <c r="H6589" s="16" t="str">
        <f t="shared" ca="1" si="744"/>
        <v/>
      </c>
      <c r="I6589" s="16" t="str">
        <f t="shared" ca="1" si="745"/>
        <v/>
      </c>
      <c r="J6589" s="17" t="str">
        <f t="shared" ca="1" si="746"/>
        <v/>
      </c>
    </row>
    <row r="6590" spans="1:10" x14ac:dyDescent="0.25">
      <c r="A6590" t="s">
        <v>933</v>
      </c>
      <c r="B6590" t="str">
        <f>ADDRESS(ROW('Loan 1'!$C$37),COLUMN('Loan 1'!$C$37),4)</f>
        <v>C37</v>
      </c>
      <c r="C6590" t="str">
        <f>ADDRESS(ROW('Loan 1'!$D$37),COLUMN('Loan 1'!$D$37),4)</f>
        <v>D37</v>
      </c>
      <c r="D6590" t="b" cm="1">
        <f t="array" aca="1" ref="D6590" ca="1">IF(INDIRECT("'"&amp;A6590&amp;"'!"&amp;B6590)="",FALSE,IF(NOT(ISNUMBER(INDIRECT("'"&amp;A6590&amp;"'!"&amp;B6590))),TRUE,FALSE))</f>
        <v>0</v>
      </c>
      <c r="E6590" t="s">
        <v>435</v>
      </c>
      <c r="F6590" t="str">
        <f>INDEX(Lists!I:I,MATCH(Validation!E6590,Lists!G:G,0))</f>
        <v>Error</v>
      </c>
      <c r="G6590" t="str">
        <f>INDEX(Lists!H:H,MATCH(Validation!E6590,Lists!G:G,0))</f>
        <v>Enter an amount only. Do not enter text or spaces.</v>
      </c>
      <c r="H6590" s="16" t="str">
        <f t="shared" ca="1" si="744"/>
        <v/>
      </c>
      <c r="I6590" s="16" t="str">
        <f t="shared" ca="1" si="745"/>
        <v/>
      </c>
      <c r="J6590" s="17" t="str">
        <f t="shared" ca="1" si="746"/>
        <v/>
      </c>
    </row>
    <row r="6591" spans="1:10" x14ac:dyDescent="0.25">
      <c r="A6591" t="s">
        <v>934</v>
      </c>
      <c r="B6591" t="str">
        <f>ADDRESS(ROW('Loan 1'!$C$37),COLUMN('Loan 1'!$C$37),4)</f>
        <v>C37</v>
      </c>
      <c r="C6591" t="str">
        <f>ADDRESS(ROW('Loan 1'!$D$37),COLUMN('Loan 1'!$D$37),4)</f>
        <v>D37</v>
      </c>
      <c r="D6591" t="b" cm="1">
        <f t="array" aca="1" ref="D6591" ca="1">IF(INDIRECT("'"&amp;A6591&amp;"'!"&amp;B6591)="",FALSE,IF(NOT(ISNUMBER(INDIRECT("'"&amp;A6591&amp;"'!"&amp;B6591))),TRUE,FALSE))</f>
        <v>0</v>
      </c>
      <c r="E6591" t="s">
        <v>435</v>
      </c>
      <c r="F6591" t="str">
        <f>INDEX(Lists!I:I,MATCH(Validation!E6591,Lists!G:G,0))</f>
        <v>Error</v>
      </c>
      <c r="G6591" t="str">
        <f>INDEX(Lists!H:H,MATCH(Validation!E6591,Lists!G:G,0))</f>
        <v>Enter an amount only. Do not enter text or spaces.</v>
      </c>
      <c r="H6591" s="16" t="str">
        <f t="shared" ca="1" si="744"/>
        <v/>
      </c>
      <c r="I6591" s="16" t="str">
        <f t="shared" ca="1" si="745"/>
        <v/>
      </c>
      <c r="J6591" s="17" t="str">
        <f t="shared" ca="1" si="746"/>
        <v/>
      </c>
    </row>
    <row r="6592" spans="1:10" x14ac:dyDescent="0.25">
      <c r="A6592" t="s">
        <v>935</v>
      </c>
      <c r="B6592" t="str">
        <f>ADDRESS(ROW('Loan 1'!$C$37),COLUMN('Loan 1'!$C$37),4)</f>
        <v>C37</v>
      </c>
      <c r="C6592" t="str">
        <f>ADDRESS(ROW('Loan 1'!$D$37),COLUMN('Loan 1'!$D$37),4)</f>
        <v>D37</v>
      </c>
      <c r="D6592" t="b" cm="1">
        <f t="array" aca="1" ref="D6592" ca="1">IF(INDIRECT("'"&amp;A6592&amp;"'!"&amp;B6592)="",FALSE,IF(NOT(ISNUMBER(INDIRECT("'"&amp;A6592&amp;"'!"&amp;B6592))),TRUE,FALSE))</f>
        <v>0</v>
      </c>
      <c r="E6592" t="s">
        <v>435</v>
      </c>
      <c r="F6592" t="str">
        <f>INDEX(Lists!I:I,MATCH(Validation!E6592,Lists!G:G,0))</f>
        <v>Error</v>
      </c>
      <c r="G6592" t="str">
        <f>INDEX(Lists!H:H,MATCH(Validation!E6592,Lists!G:G,0))</f>
        <v>Enter an amount only. Do not enter text or spaces.</v>
      </c>
      <c r="H6592" s="16" t="str">
        <f t="shared" ca="1" si="744"/>
        <v/>
      </c>
      <c r="I6592" s="16" t="str">
        <f t="shared" ca="1" si="745"/>
        <v/>
      </c>
      <c r="J6592" s="17" t="str">
        <f t="shared" ca="1" si="746"/>
        <v/>
      </c>
    </row>
    <row r="6593" spans="1:10" x14ac:dyDescent="0.25">
      <c r="A6593" t="s">
        <v>936</v>
      </c>
      <c r="B6593" t="str">
        <f>ADDRESS(ROW('Loan 1'!$C$37),COLUMN('Loan 1'!$C$37),4)</f>
        <v>C37</v>
      </c>
      <c r="C6593" t="str">
        <f>ADDRESS(ROW('Loan 1'!$D$37),COLUMN('Loan 1'!$D$37),4)</f>
        <v>D37</v>
      </c>
      <c r="D6593" t="b" cm="1">
        <f t="array" aca="1" ref="D6593" ca="1">IF(INDIRECT("'"&amp;A6593&amp;"'!"&amp;B6593)="",FALSE,IF(NOT(ISNUMBER(INDIRECT("'"&amp;A6593&amp;"'!"&amp;B6593))),TRUE,FALSE))</f>
        <v>0</v>
      </c>
      <c r="E6593" t="s">
        <v>435</v>
      </c>
      <c r="F6593" t="str">
        <f>INDEX(Lists!I:I,MATCH(Validation!E6593,Lists!G:G,0))</f>
        <v>Error</v>
      </c>
      <c r="G6593" t="str">
        <f>INDEX(Lists!H:H,MATCH(Validation!E6593,Lists!G:G,0))</f>
        <v>Enter an amount only. Do not enter text or spaces.</v>
      </c>
      <c r="H6593" s="16" t="str">
        <f t="shared" ca="1" si="744"/>
        <v/>
      </c>
      <c r="I6593" s="16" t="str">
        <f t="shared" ca="1" si="745"/>
        <v/>
      </c>
      <c r="J6593" s="17" t="str">
        <f t="shared" ca="1" si="746"/>
        <v/>
      </c>
    </row>
    <row r="6594" spans="1:10" x14ac:dyDescent="0.25">
      <c r="A6594" t="s">
        <v>937</v>
      </c>
      <c r="B6594" t="str">
        <f>ADDRESS(ROW('Loan 1'!$C$37),COLUMN('Loan 1'!$C$37),4)</f>
        <v>C37</v>
      </c>
      <c r="C6594" t="str">
        <f>ADDRESS(ROW('Loan 1'!$D$37),COLUMN('Loan 1'!$D$37),4)</f>
        <v>D37</v>
      </c>
      <c r="D6594" t="b" cm="1">
        <f t="array" aca="1" ref="D6594" ca="1">IF(INDIRECT("'"&amp;A6594&amp;"'!"&amp;B6594)="",FALSE,IF(NOT(ISNUMBER(INDIRECT("'"&amp;A6594&amp;"'!"&amp;B6594))),TRUE,FALSE))</f>
        <v>0</v>
      </c>
      <c r="E6594" t="s">
        <v>435</v>
      </c>
      <c r="F6594" t="str">
        <f>INDEX(Lists!I:I,MATCH(Validation!E6594,Lists!G:G,0))</f>
        <v>Error</v>
      </c>
      <c r="G6594" t="str">
        <f>INDEX(Lists!H:H,MATCH(Validation!E6594,Lists!G:G,0))</f>
        <v>Enter an amount only. Do not enter text or spaces.</v>
      </c>
      <c r="H6594" s="16" t="str">
        <f t="shared" ca="1" si="744"/>
        <v/>
      </c>
      <c r="I6594" s="16" t="str">
        <f t="shared" ca="1" si="745"/>
        <v/>
      </c>
      <c r="J6594" s="17" t="str">
        <f t="shared" ca="1" si="746"/>
        <v/>
      </c>
    </row>
    <row r="6595" spans="1:10" x14ac:dyDescent="0.25">
      <c r="A6595" t="s">
        <v>938</v>
      </c>
      <c r="B6595" t="str">
        <f>ADDRESS(ROW('Loan 1'!$C$37),COLUMN('Loan 1'!$C$37),4)</f>
        <v>C37</v>
      </c>
      <c r="C6595" t="str">
        <f>ADDRESS(ROW('Loan 1'!$D$37),COLUMN('Loan 1'!$D$37),4)</f>
        <v>D37</v>
      </c>
      <c r="D6595" t="b" cm="1">
        <f t="array" aca="1" ref="D6595" ca="1">IF(INDIRECT("'"&amp;A6595&amp;"'!"&amp;B6595)="",FALSE,IF(NOT(ISNUMBER(INDIRECT("'"&amp;A6595&amp;"'!"&amp;B6595))),TRUE,FALSE))</f>
        <v>0</v>
      </c>
      <c r="E6595" t="s">
        <v>435</v>
      </c>
      <c r="F6595" t="str">
        <f>INDEX(Lists!I:I,MATCH(Validation!E6595,Lists!G:G,0))</f>
        <v>Error</v>
      </c>
      <c r="G6595" t="str">
        <f>INDEX(Lists!H:H,MATCH(Validation!E6595,Lists!G:G,0))</f>
        <v>Enter an amount only. Do not enter text or spaces.</v>
      </c>
      <c r="H6595" s="16" t="str">
        <f t="shared" ca="1" si="744"/>
        <v/>
      </c>
      <c r="I6595" s="16" t="str">
        <f t="shared" ca="1" si="745"/>
        <v/>
      </c>
      <c r="J6595" s="17" t="str">
        <f t="shared" ca="1" si="746"/>
        <v/>
      </c>
    </row>
    <row r="6596" spans="1:10" x14ac:dyDescent="0.25">
      <c r="A6596" t="s">
        <v>939</v>
      </c>
      <c r="B6596" t="str">
        <f>ADDRESS(ROW('Loan 1'!$C$37),COLUMN('Loan 1'!$C$37),4)</f>
        <v>C37</v>
      </c>
      <c r="C6596" t="str">
        <f>ADDRESS(ROW('Loan 1'!$D$37),COLUMN('Loan 1'!$D$37),4)</f>
        <v>D37</v>
      </c>
      <c r="D6596" t="b" cm="1">
        <f t="array" aca="1" ref="D6596" ca="1">IF(INDIRECT("'"&amp;A6596&amp;"'!"&amp;B6596)="",FALSE,IF(NOT(ISNUMBER(INDIRECT("'"&amp;A6596&amp;"'!"&amp;B6596))),TRUE,FALSE))</f>
        <v>0</v>
      </c>
      <c r="E6596" t="s">
        <v>435</v>
      </c>
      <c r="F6596" t="str">
        <f>INDEX(Lists!I:I,MATCH(Validation!E6596,Lists!G:G,0))</f>
        <v>Error</v>
      </c>
      <c r="G6596" t="str">
        <f>INDEX(Lists!H:H,MATCH(Validation!E6596,Lists!G:G,0))</f>
        <v>Enter an amount only. Do not enter text or spaces.</v>
      </c>
      <c r="H6596" s="16" t="str">
        <f t="shared" ca="1" si="744"/>
        <v/>
      </c>
      <c r="I6596" s="16" t="str">
        <f t="shared" ca="1" si="745"/>
        <v/>
      </c>
      <c r="J6596" s="17" t="str">
        <f t="shared" ca="1" si="746"/>
        <v/>
      </c>
    </row>
    <row r="6597" spans="1:10" x14ac:dyDescent="0.25">
      <c r="A6597" t="s">
        <v>940</v>
      </c>
      <c r="B6597" t="str">
        <f>ADDRESS(ROW('Loan 1'!$C$37),COLUMN('Loan 1'!$C$37),4)</f>
        <v>C37</v>
      </c>
      <c r="C6597" t="str">
        <f>ADDRESS(ROW('Loan 1'!$D$37),COLUMN('Loan 1'!$D$37),4)</f>
        <v>D37</v>
      </c>
      <c r="D6597" t="b" cm="1">
        <f t="array" aca="1" ref="D6597" ca="1">IF(INDIRECT("'"&amp;A6597&amp;"'!"&amp;B6597)="",FALSE,IF(NOT(ISNUMBER(INDIRECT("'"&amp;A6597&amp;"'!"&amp;B6597))),TRUE,FALSE))</f>
        <v>0</v>
      </c>
      <c r="E6597" t="s">
        <v>435</v>
      </c>
      <c r="F6597" t="str">
        <f>INDEX(Lists!I:I,MATCH(Validation!E6597,Lists!G:G,0))</f>
        <v>Error</v>
      </c>
      <c r="G6597" t="str">
        <f>INDEX(Lists!H:H,MATCH(Validation!E6597,Lists!G:G,0))</f>
        <v>Enter an amount only. Do not enter text or spaces.</v>
      </c>
      <c r="H6597" s="16" t="str">
        <f t="shared" ca="1" si="744"/>
        <v/>
      </c>
      <c r="I6597" s="16" t="str">
        <f t="shared" ca="1" si="745"/>
        <v/>
      </c>
      <c r="J6597" s="17" t="str">
        <f t="shared" ca="1" si="746"/>
        <v/>
      </c>
    </row>
    <row r="6598" spans="1:10" x14ac:dyDescent="0.25">
      <c r="A6598" t="s">
        <v>941</v>
      </c>
      <c r="B6598" t="str">
        <f>ADDRESS(ROW('Loan 1'!$C$37),COLUMN('Loan 1'!$C$37),4)</f>
        <v>C37</v>
      </c>
      <c r="C6598" t="str">
        <f>ADDRESS(ROW('Loan 1'!$D$37),COLUMN('Loan 1'!$D$37),4)</f>
        <v>D37</v>
      </c>
      <c r="D6598" t="b" cm="1">
        <f t="array" aca="1" ref="D6598" ca="1">IF(INDIRECT("'"&amp;A6598&amp;"'!"&amp;B6598)="",FALSE,IF(NOT(ISNUMBER(INDIRECT("'"&amp;A6598&amp;"'!"&amp;B6598))),TRUE,FALSE))</f>
        <v>0</v>
      </c>
      <c r="E6598" t="s">
        <v>435</v>
      </c>
      <c r="F6598" t="str">
        <f>INDEX(Lists!I:I,MATCH(Validation!E6598,Lists!G:G,0))</f>
        <v>Error</v>
      </c>
      <c r="G6598" t="str">
        <f>INDEX(Lists!H:H,MATCH(Validation!E6598,Lists!G:G,0))</f>
        <v>Enter an amount only. Do not enter text or spaces.</v>
      </c>
      <c r="H6598" s="16" t="str">
        <f t="shared" ca="1" si="744"/>
        <v/>
      </c>
      <c r="I6598" s="16" t="str">
        <f t="shared" ca="1" si="745"/>
        <v/>
      </c>
      <c r="J6598" s="17" t="str">
        <f t="shared" ca="1" si="746"/>
        <v/>
      </c>
    </row>
    <row r="6599" spans="1:10" x14ac:dyDescent="0.25">
      <c r="A6599" t="s">
        <v>942</v>
      </c>
      <c r="B6599" t="str">
        <f>ADDRESS(ROW('Loan 1'!$C$37),COLUMN('Loan 1'!$C$37),4)</f>
        <v>C37</v>
      </c>
      <c r="C6599" t="str">
        <f>ADDRESS(ROW('Loan 1'!$D$37),COLUMN('Loan 1'!$D$37),4)</f>
        <v>D37</v>
      </c>
      <c r="D6599" t="b" cm="1">
        <f t="array" aca="1" ref="D6599" ca="1">IF(INDIRECT("'"&amp;A6599&amp;"'!"&amp;B6599)="",FALSE,IF(NOT(ISNUMBER(INDIRECT("'"&amp;A6599&amp;"'!"&amp;B6599))),TRUE,FALSE))</f>
        <v>0</v>
      </c>
      <c r="E6599" t="s">
        <v>435</v>
      </c>
      <c r="F6599" t="str">
        <f>INDEX(Lists!I:I,MATCH(Validation!E6599,Lists!G:G,0))</f>
        <v>Error</v>
      </c>
      <c r="G6599" t="str">
        <f>INDEX(Lists!H:H,MATCH(Validation!E6599,Lists!G:G,0))</f>
        <v>Enter an amount only. Do not enter text or spaces.</v>
      </c>
      <c r="H6599" s="16" t="str">
        <f t="shared" ca="1" si="744"/>
        <v/>
      </c>
      <c r="I6599" s="16" t="str">
        <f t="shared" ca="1" si="745"/>
        <v/>
      </c>
      <c r="J6599" s="17" t="str">
        <f t="shared" ca="1" si="746"/>
        <v/>
      </c>
    </row>
    <row r="6600" spans="1:10" x14ac:dyDescent="0.25">
      <c r="A6600" t="s">
        <v>943</v>
      </c>
      <c r="B6600" t="str">
        <f>ADDRESS(ROW('Loan 1'!$C$37),COLUMN('Loan 1'!$C$37),4)</f>
        <v>C37</v>
      </c>
      <c r="C6600" t="str">
        <f>ADDRESS(ROW('Loan 1'!$D$37),COLUMN('Loan 1'!$D$37),4)</f>
        <v>D37</v>
      </c>
      <c r="D6600" t="b" cm="1">
        <f t="array" aca="1" ref="D6600" ca="1">IF(INDIRECT("'"&amp;A6600&amp;"'!"&amp;B6600)="",FALSE,IF(NOT(ISNUMBER(INDIRECT("'"&amp;A6600&amp;"'!"&amp;B6600))),TRUE,FALSE))</f>
        <v>0</v>
      </c>
      <c r="E6600" t="s">
        <v>435</v>
      </c>
      <c r="F6600" t="str">
        <f>INDEX(Lists!I:I,MATCH(Validation!E6600,Lists!G:G,0))</f>
        <v>Error</v>
      </c>
      <c r="G6600" t="str">
        <f>INDEX(Lists!H:H,MATCH(Validation!E6600,Lists!G:G,0))</f>
        <v>Enter an amount only. Do not enter text or spaces.</v>
      </c>
      <c r="H6600" s="16" t="str">
        <f t="shared" ca="1" si="744"/>
        <v/>
      </c>
      <c r="I6600" s="16" t="str">
        <f t="shared" ca="1" si="745"/>
        <v/>
      </c>
      <c r="J6600" s="17" t="str">
        <f t="shared" ca="1" si="746"/>
        <v/>
      </c>
    </row>
    <row r="6601" spans="1:10" x14ac:dyDescent="0.25">
      <c r="A6601" t="s">
        <v>944</v>
      </c>
      <c r="B6601" t="str">
        <f>ADDRESS(ROW('Loan 1'!$C$37),COLUMN('Loan 1'!$C$37),4)</f>
        <v>C37</v>
      </c>
      <c r="C6601" t="str">
        <f>ADDRESS(ROW('Loan 1'!$D$37),COLUMN('Loan 1'!$D$37),4)</f>
        <v>D37</v>
      </c>
      <c r="D6601" t="b" cm="1">
        <f t="array" aca="1" ref="D6601" ca="1">IF(INDIRECT("'"&amp;A6601&amp;"'!"&amp;B6601)="",FALSE,IF(NOT(ISNUMBER(INDIRECT("'"&amp;A6601&amp;"'!"&amp;B6601))),TRUE,FALSE))</f>
        <v>0</v>
      </c>
      <c r="E6601" t="s">
        <v>435</v>
      </c>
      <c r="F6601" t="str">
        <f>INDEX(Lists!I:I,MATCH(Validation!E6601,Lists!G:G,0))</f>
        <v>Error</v>
      </c>
      <c r="G6601" t="str">
        <f>INDEX(Lists!H:H,MATCH(Validation!E6601,Lists!G:G,0))</f>
        <v>Enter an amount only. Do not enter text or spaces.</v>
      </c>
      <c r="H6601" s="16" t="str">
        <f t="shared" ca="1" si="744"/>
        <v/>
      </c>
      <c r="I6601" s="16" t="str">
        <f t="shared" ca="1" si="745"/>
        <v/>
      </c>
      <c r="J6601" s="17" t="str">
        <f t="shared" ca="1" si="746"/>
        <v/>
      </c>
    </row>
    <row r="6602" spans="1:10" x14ac:dyDescent="0.25">
      <c r="A6602" t="s">
        <v>945</v>
      </c>
      <c r="B6602" t="str">
        <f>ADDRESS(ROW('Loan 1'!$C$37),COLUMN('Loan 1'!$C$37),4)</f>
        <v>C37</v>
      </c>
      <c r="C6602" t="str">
        <f>ADDRESS(ROW('Loan 1'!$D$37),COLUMN('Loan 1'!$D$37),4)</f>
        <v>D37</v>
      </c>
      <c r="D6602" t="b" cm="1">
        <f t="array" aca="1" ref="D6602" ca="1">IF(INDIRECT("'"&amp;A6602&amp;"'!"&amp;B6602)="",FALSE,IF(NOT(ISNUMBER(INDIRECT("'"&amp;A6602&amp;"'!"&amp;B6602))),TRUE,FALSE))</f>
        <v>0</v>
      </c>
      <c r="E6602" t="s">
        <v>435</v>
      </c>
      <c r="F6602" t="str">
        <f>INDEX(Lists!I:I,MATCH(Validation!E6602,Lists!G:G,0))</f>
        <v>Error</v>
      </c>
      <c r="G6602" t="str">
        <f>INDEX(Lists!H:H,MATCH(Validation!E6602,Lists!G:G,0))</f>
        <v>Enter an amount only. Do not enter text or spaces.</v>
      </c>
      <c r="H6602" s="16" t="str">
        <f t="shared" ca="1" si="744"/>
        <v/>
      </c>
      <c r="I6602" s="16" t="str">
        <f t="shared" ca="1" si="745"/>
        <v/>
      </c>
      <c r="J6602" s="17" t="str">
        <f t="shared" ca="1" si="746"/>
        <v/>
      </c>
    </row>
    <row r="6603" spans="1:10" x14ac:dyDescent="0.25">
      <c r="A6603" t="s">
        <v>205</v>
      </c>
      <c r="B6603" t="str">
        <f>ADDRESS(ROW('Loan 1'!$C$37),COLUMN('Loan 1'!$C$37),4)</f>
        <v>C37</v>
      </c>
      <c r="C6603" t="str">
        <f>ADDRESS(ROW('Loan 1'!$D$37),COLUMN('Loan 1'!$D$37),4)</f>
        <v>D37</v>
      </c>
      <c r="D6603" t="b" cm="1">
        <f t="array" aca="1" ref="D6603" ca="1">IF(INDIRECT("'"&amp;A6603&amp;"'!"&amp;B6603)="",FALSE,IF(TRUNC(INDIRECT("'"&amp;A6603&amp;"'!"&amp;B6603))=INDIRECT("'"&amp;A6603&amp;"'!"&amp;B6603),FALSE,TRUE))</f>
        <v>0</v>
      </c>
      <c r="E6603" t="s">
        <v>436</v>
      </c>
      <c r="F6603" t="str">
        <f>INDEX(Lists!I:I,MATCH(Validation!E6603,Lists!G:G,0))</f>
        <v>Error</v>
      </c>
      <c r="G6603" t="str">
        <f>INDEX(Lists!H:H,MATCH(Validation!E6603,Lists!G:G,0))</f>
        <v>Amount must be rounded to the nearest dollar.</v>
      </c>
      <c r="H6603" s="16" t="str">
        <f t="shared" ca="1" si="744"/>
        <v/>
      </c>
      <c r="I6603" s="16" t="str">
        <f t="shared" ca="1" si="745"/>
        <v/>
      </c>
      <c r="J6603" s="17" t="str">
        <f t="shared" ca="1" si="746"/>
        <v/>
      </c>
    </row>
    <row r="6604" spans="1:10" x14ac:dyDescent="0.25">
      <c r="A6604" t="s">
        <v>932</v>
      </c>
      <c r="B6604" t="str">
        <f>ADDRESS(ROW('Loan 1'!$C$37),COLUMN('Loan 1'!$C$37),4)</f>
        <v>C37</v>
      </c>
      <c r="C6604" t="str">
        <f>ADDRESS(ROW('Loan 1'!$D$37),COLUMN('Loan 1'!$D$37),4)</f>
        <v>D37</v>
      </c>
      <c r="D6604" t="b" cm="1">
        <f t="array" aca="1" ref="D6604" ca="1">IF(INDIRECT("'"&amp;A6604&amp;"'!"&amp;B6604)="",FALSE,IF(TRUNC(INDIRECT("'"&amp;A6604&amp;"'!"&amp;B6604))=INDIRECT("'"&amp;A6604&amp;"'!"&amp;B6604),FALSE,TRUE))</f>
        <v>0</v>
      </c>
      <c r="E6604" t="s">
        <v>436</v>
      </c>
      <c r="F6604" t="str">
        <f>INDEX(Lists!I:I,MATCH(Validation!E6604,Lists!G:G,0))</f>
        <v>Error</v>
      </c>
      <c r="G6604" t="str">
        <f>INDEX(Lists!H:H,MATCH(Validation!E6604,Lists!G:G,0))</f>
        <v>Amount must be rounded to the nearest dollar.</v>
      </c>
      <c r="H6604" s="16" t="str">
        <f t="shared" ref="H6604:H6617" ca="1" si="750">IFERROR(IF(OR(NOT(D6604),F6604&lt;&gt;"Error"),"",A6604&amp;CELL("address",INDIRECT(B6604))),"")</f>
        <v/>
      </c>
      <c r="I6604" s="16" t="str">
        <f t="shared" ref="I6604:I6617" ca="1" si="751">IFERROR(IF(NOT(D6604),"",A6604&amp;CELL("address",INDIRECT(C6604))),"")</f>
        <v/>
      </c>
      <c r="J6604" s="17" t="str">
        <f t="shared" ref="J6604:J6617" ca="1" si="752">IFERROR(IF(NOT(D6604),"",A6604),"")</f>
        <v/>
      </c>
    </row>
    <row r="6605" spans="1:10" x14ac:dyDescent="0.25">
      <c r="A6605" t="s">
        <v>933</v>
      </c>
      <c r="B6605" t="str">
        <f>ADDRESS(ROW('Loan 1'!$C$37),COLUMN('Loan 1'!$C$37),4)</f>
        <v>C37</v>
      </c>
      <c r="C6605" t="str">
        <f>ADDRESS(ROW('Loan 1'!$D$37),COLUMN('Loan 1'!$D$37),4)</f>
        <v>D37</v>
      </c>
      <c r="D6605" t="b" cm="1">
        <f t="array" aca="1" ref="D6605" ca="1">IF(INDIRECT("'"&amp;A6605&amp;"'!"&amp;B6605)="",FALSE,IF(TRUNC(INDIRECT("'"&amp;A6605&amp;"'!"&amp;B6605))=INDIRECT("'"&amp;A6605&amp;"'!"&amp;B6605),FALSE,TRUE))</f>
        <v>0</v>
      </c>
      <c r="E6605" t="s">
        <v>436</v>
      </c>
      <c r="F6605" t="str">
        <f>INDEX(Lists!I:I,MATCH(Validation!E6605,Lists!G:G,0))</f>
        <v>Error</v>
      </c>
      <c r="G6605" t="str">
        <f>INDEX(Lists!H:H,MATCH(Validation!E6605,Lists!G:G,0))</f>
        <v>Amount must be rounded to the nearest dollar.</v>
      </c>
      <c r="H6605" s="16" t="str">
        <f t="shared" ca="1" si="750"/>
        <v/>
      </c>
      <c r="I6605" s="16" t="str">
        <f t="shared" ca="1" si="751"/>
        <v/>
      </c>
      <c r="J6605" s="17" t="str">
        <f t="shared" ca="1" si="752"/>
        <v/>
      </c>
    </row>
    <row r="6606" spans="1:10" x14ac:dyDescent="0.25">
      <c r="A6606" t="s">
        <v>934</v>
      </c>
      <c r="B6606" t="str">
        <f>ADDRESS(ROW('Loan 1'!$C$37),COLUMN('Loan 1'!$C$37),4)</f>
        <v>C37</v>
      </c>
      <c r="C6606" t="str">
        <f>ADDRESS(ROW('Loan 1'!$D$37),COLUMN('Loan 1'!$D$37),4)</f>
        <v>D37</v>
      </c>
      <c r="D6606" t="b" cm="1">
        <f t="array" aca="1" ref="D6606" ca="1">IF(INDIRECT("'"&amp;A6606&amp;"'!"&amp;B6606)="",FALSE,IF(TRUNC(INDIRECT("'"&amp;A6606&amp;"'!"&amp;B6606))=INDIRECT("'"&amp;A6606&amp;"'!"&amp;B6606),FALSE,TRUE))</f>
        <v>0</v>
      </c>
      <c r="E6606" t="s">
        <v>436</v>
      </c>
      <c r="F6606" t="str">
        <f>INDEX(Lists!I:I,MATCH(Validation!E6606,Lists!G:G,0))</f>
        <v>Error</v>
      </c>
      <c r="G6606" t="str">
        <f>INDEX(Lists!H:H,MATCH(Validation!E6606,Lists!G:G,0))</f>
        <v>Amount must be rounded to the nearest dollar.</v>
      </c>
      <c r="H6606" s="16" t="str">
        <f t="shared" ca="1" si="750"/>
        <v/>
      </c>
      <c r="I6606" s="16" t="str">
        <f t="shared" ca="1" si="751"/>
        <v/>
      </c>
      <c r="J6606" s="17" t="str">
        <f t="shared" ca="1" si="752"/>
        <v/>
      </c>
    </row>
    <row r="6607" spans="1:10" x14ac:dyDescent="0.25">
      <c r="A6607" t="s">
        <v>935</v>
      </c>
      <c r="B6607" t="str">
        <f>ADDRESS(ROW('Loan 1'!$C$37),COLUMN('Loan 1'!$C$37),4)</f>
        <v>C37</v>
      </c>
      <c r="C6607" t="str">
        <f>ADDRESS(ROW('Loan 1'!$D$37),COLUMN('Loan 1'!$D$37),4)</f>
        <v>D37</v>
      </c>
      <c r="D6607" t="b" cm="1">
        <f t="array" aca="1" ref="D6607" ca="1">IF(INDIRECT("'"&amp;A6607&amp;"'!"&amp;B6607)="",FALSE,IF(TRUNC(INDIRECT("'"&amp;A6607&amp;"'!"&amp;B6607))=INDIRECT("'"&amp;A6607&amp;"'!"&amp;B6607),FALSE,TRUE))</f>
        <v>0</v>
      </c>
      <c r="E6607" t="s">
        <v>436</v>
      </c>
      <c r="F6607" t="str">
        <f>INDEX(Lists!I:I,MATCH(Validation!E6607,Lists!G:G,0))</f>
        <v>Error</v>
      </c>
      <c r="G6607" t="str">
        <f>INDEX(Lists!H:H,MATCH(Validation!E6607,Lists!G:G,0))</f>
        <v>Amount must be rounded to the nearest dollar.</v>
      </c>
      <c r="H6607" s="16" t="str">
        <f t="shared" ca="1" si="750"/>
        <v/>
      </c>
      <c r="I6607" s="16" t="str">
        <f t="shared" ca="1" si="751"/>
        <v/>
      </c>
      <c r="J6607" s="17" t="str">
        <f t="shared" ca="1" si="752"/>
        <v/>
      </c>
    </row>
    <row r="6608" spans="1:10" x14ac:dyDescent="0.25">
      <c r="A6608" t="s">
        <v>936</v>
      </c>
      <c r="B6608" t="str">
        <f>ADDRESS(ROW('Loan 1'!$C$37),COLUMN('Loan 1'!$C$37),4)</f>
        <v>C37</v>
      </c>
      <c r="C6608" t="str">
        <f>ADDRESS(ROW('Loan 1'!$D$37),COLUMN('Loan 1'!$D$37),4)</f>
        <v>D37</v>
      </c>
      <c r="D6608" t="b" cm="1">
        <f t="array" aca="1" ref="D6608" ca="1">IF(INDIRECT("'"&amp;A6608&amp;"'!"&amp;B6608)="",FALSE,IF(TRUNC(INDIRECT("'"&amp;A6608&amp;"'!"&amp;B6608))=INDIRECT("'"&amp;A6608&amp;"'!"&amp;B6608),FALSE,TRUE))</f>
        <v>0</v>
      </c>
      <c r="E6608" t="s">
        <v>436</v>
      </c>
      <c r="F6608" t="str">
        <f>INDEX(Lists!I:I,MATCH(Validation!E6608,Lists!G:G,0))</f>
        <v>Error</v>
      </c>
      <c r="G6608" t="str">
        <f>INDEX(Lists!H:H,MATCH(Validation!E6608,Lists!G:G,0))</f>
        <v>Amount must be rounded to the nearest dollar.</v>
      </c>
      <c r="H6608" s="16" t="str">
        <f t="shared" ca="1" si="750"/>
        <v/>
      </c>
      <c r="I6608" s="16" t="str">
        <f t="shared" ca="1" si="751"/>
        <v/>
      </c>
      <c r="J6608" s="17" t="str">
        <f t="shared" ca="1" si="752"/>
        <v/>
      </c>
    </row>
    <row r="6609" spans="1:10" x14ac:dyDescent="0.25">
      <c r="A6609" t="s">
        <v>937</v>
      </c>
      <c r="B6609" t="str">
        <f>ADDRESS(ROW('Loan 1'!$C$37),COLUMN('Loan 1'!$C$37),4)</f>
        <v>C37</v>
      </c>
      <c r="C6609" t="str">
        <f>ADDRESS(ROW('Loan 1'!$D$37),COLUMN('Loan 1'!$D$37),4)</f>
        <v>D37</v>
      </c>
      <c r="D6609" t="b" cm="1">
        <f t="array" aca="1" ref="D6609" ca="1">IF(INDIRECT("'"&amp;A6609&amp;"'!"&amp;B6609)="",FALSE,IF(TRUNC(INDIRECT("'"&amp;A6609&amp;"'!"&amp;B6609))=INDIRECT("'"&amp;A6609&amp;"'!"&amp;B6609),FALSE,TRUE))</f>
        <v>0</v>
      </c>
      <c r="E6609" t="s">
        <v>436</v>
      </c>
      <c r="F6609" t="str">
        <f>INDEX(Lists!I:I,MATCH(Validation!E6609,Lists!G:G,0))</f>
        <v>Error</v>
      </c>
      <c r="G6609" t="str">
        <f>INDEX(Lists!H:H,MATCH(Validation!E6609,Lists!G:G,0))</f>
        <v>Amount must be rounded to the nearest dollar.</v>
      </c>
      <c r="H6609" s="16" t="str">
        <f t="shared" ca="1" si="750"/>
        <v/>
      </c>
      <c r="I6609" s="16" t="str">
        <f t="shared" ca="1" si="751"/>
        <v/>
      </c>
      <c r="J6609" s="17" t="str">
        <f t="shared" ca="1" si="752"/>
        <v/>
      </c>
    </row>
    <row r="6610" spans="1:10" x14ac:dyDescent="0.25">
      <c r="A6610" t="s">
        <v>938</v>
      </c>
      <c r="B6610" t="str">
        <f>ADDRESS(ROW('Loan 1'!$C$37),COLUMN('Loan 1'!$C$37),4)</f>
        <v>C37</v>
      </c>
      <c r="C6610" t="str">
        <f>ADDRESS(ROW('Loan 1'!$D$37),COLUMN('Loan 1'!$D$37),4)</f>
        <v>D37</v>
      </c>
      <c r="D6610" t="b" cm="1">
        <f t="array" aca="1" ref="D6610" ca="1">IF(INDIRECT("'"&amp;A6610&amp;"'!"&amp;B6610)="",FALSE,IF(TRUNC(INDIRECT("'"&amp;A6610&amp;"'!"&amp;B6610))=INDIRECT("'"&amp;A6610&amp;"'!"&amp;B6610),FALSE,TRUE))</f>
        <v>0</v>
      </c>
      <c r="E6610" t="s">
        <v>436</v>
      </c>
      <c r="F6610" t="str">
        <f>INDEX(Lists!I:I,MATCH(Validation!E6610,Lists!G:G,0))</f>
        <v>Error</v>
      </c>
      <c r="G6610" t="str">
        <f>INDEX(Lists!H:H,MATCH(Validation!E6610,Lists!G:G,0))</f>
        <v>Amount must be rounded to the nearest dollar.</v>
      </c>
      <c r="H6610" s="16" t="str">
        <f t="shared" ca="1" si="750"/>
        <v/>
      </c>
      <c r="I6610" s="16" t="str">
        <f t="shared" ca="1" si="751"/>
        <v/>
      </c>
      <c r="J6610" s="17" t="str">
        <f t="shared" ca="1" si="752"/>
        <v/>
      </c>
    </row>
    <row r="6611" spans="1:10" x14ac:dyDescent="0.25">
      <c r="A6611" t="s">
        <v>939</v>
      </c>
      <c r="B6611" t="str">
        <f>ADDRESS(ROW('Loan 1'!$C$37),COLUMN('Loan 1'!$C$37),4)</f>
        <v>C37</v>
      </c>
      <c r="C6611" t="str">
        <f>ADDRESS(ROW('Loan 1'!$D$37),COLUMN('Loan 1'!$D$37),4)</f>
        <v>D37</v>
      </c>
      <c r="D6611" t="b" cm="1">
        <f t="array" aca="1" ref="D6611" ca="1">IF(INDIRECT("'"&amp;A6611&amp;"'!"&amp;B6611)="",FALSE,IF(TRUNC(INDIRECT("'"&amp;A6611&amp;"'!"&amp;B6611))=INDIRECT("'"&amp;A6611&amp;"'!"&amp;B6611),FALSE,TRUE))</f>
        <v>0</v>
      </c>
      <c r="E6611" t="s">
        <v>436</v>
      </c>
      <c r="F6611" t="str">
        <f>INDEX(Lists!I:I,MATCH(Validation!E6611,Lists!G:G,0))</f>
        <v>Error</v>
      </c>
      <c r="G6611" t="str">
        <f>INDEX(Lists!H:H,MATCH(Validation!E6611,Lists!G:G,0))</f>
        <v>Amount must be rounded to the nearest dollar.</v>
      </c>
      <c r="H6611" s="16" t="str">
        <f t="shared" ca="1" si="750"/>
        <v/>
      </c>
      <c r="I6611" s="16" t="str">
        <f t="shared" ca="1" si="751"/>
        <v/>
      </c>
      <c r="J6611" s="17" t="str">
        <f t="shared" ca="1" si="752"/>
        <v/>
      </c>
    </row>
    <row r="6612" spans="1:10" x14ac:dyDescent="0.25">
      <c r="A6612" t="s">
        <v>940</v>
      </c>
      <c r="B6612" t="str">
        <f>ADDRESS(ROW('Loan 1'!$C$37),COLUMN('Loan 1'!$C$37),4)</f>
        <v>C37</v>
      </c>
      <c r="C6612" t="str">
        <f>ADDRESS(ROW('Loan 1'!$D$37),COLUMN('Loan 1'!$D$37),4)</f>
        <v>D37</v>
      </c>
      <c r="D6612" t="b" cm="1">
        <f t="array" aca="1" ref="D6612" ca="1">IF(INDIRECT("'"&amp;A6612&amp;"'!"&amp;B6612)="",FALSE,IF(TRUNC(INDIRECT("'"&amp;A6612&amp;"'!"&amp;B6612))=INDIRECT("'"&amp;A6612&amp;"'!"&amp;B6612),FALSE,TRUE))</f>
        <v>0</v>
      </c>
      <c r="E6612" t="s">
        <v>436</v>
      </c>
      <c r="F6612" t="str">
        <f>INDEX(Lists!I:I,MATCH(Validation!E6612,Lists!G:G,0))</f>
        <v>Error</v>
      </c>
      <c r="G6612" t="str">
        <f>INDEX(Lists!H:H,MATCH(Validation!E6612,Lists!G:G,0))</f>
        <v>Amount must be rounded to the nearest dollar.</v>
      </c>
      <c r="H6612" s="16" t="str">
        <f t="shared" ca="1" si="750"/>
        <v/>
      </c>
      <c r="I6612" s="16" t="str">
        <f t="shared" ca="1" si="751"/>
        <v/>
      </c>
      <c r="J6612" s="17" t="str">
        <f t="shared" ca="1" si="752"/>
        <v/>
      </c>
    </row>
    <row r="6613" spans="1:10" x14ac:dyDescent="0.25">
      <c r="A6613" t="s">
        <v>941</v>
      </c>
      <c r="B6613" t="str">
        <f>ADDRESS(ROW('Loan 1'!$C$37),COLUMN('Loan 1'!$C$37),4)</f>
        <v>C37</v>
      </c>
      <c r="C6613" t="str">
        <f>ADDRESS(ROW('Loan 1'!$D$37),COLUMN('Loan 1'!$D$37),4)</f>
        <v>D37</v>
      </c>
      <c r="D6613" t="b" cm="1">
        <f t="array" aca="1" ref="D6613" ca="1">IF(INDIRECT("'"&amp;A6613&amp;"'!"&amp;B6613)="",FALSE,IF(TRUNC(INDIRECT("'"&amp;A6613&amp;"'!"&amp;B6613))=INDIRECT("'"&amp;A6613&amp;"'!"&amp;B6613),FALSE,TRUE))</f>
        <v>0</v>
      </c>
      <c r="E6613" t="s">
        <v>436</v>
      </c>
      <c r="F6613" t="str">
        <f>INDEX(Lists!I:I,MATCH(Validation!E6613,Lists!G:G,0))</f>
        <v>Error</v>
      </c>
      <c r="G6613" t="str">
        <f>INDEX(Lists!H:H,MATCH(Validation!E6613,Lists!G:G,0))</f>
        <v>Amount must be rounded to the nearest dollar.</v>
      </c>
      <c r="H6613" s="16" t="str">
        <f t="shared" ca="1" si="750"/>
        <v/>
      </c>
      <c r="I6613" s="16" t="str">
        <f t="shared" ca="1" si="751"/>
        <v/>
      </c>
      <c r="J6613" s="17" t="str">
        <f t="shared" ca="1" si="752"/>
        <v/>
      </c>
    </row>
    <row r="6614" spans="1:10" x14ac:dyDescent="0.25">
      <c r="A6614" t="s">
        <v>942</v>
      </c>
      <c r="B6614" t="str">
        <f>ADDRESS(ROW('Loan 1'!$C$37),COLUMN('Loan 1'!$C$37),4)</f>
        <v>C37</v>
      </c>
      <c r="C6614" t="str">
        <f>ADDRESS(ROW('Loan 1'!$D$37),COLUMN('Loan 1'!$D$37),4)</f>
        <v>D37</v>
      </c>
      <c r="D6614" t="b" cm="1">
        <f t="array" aca="1" ref="D6614" ca="1">IF(INDIRECT("'"&amp;A6614&amp;"'!"&amp;B6614)="",FALSE,IF(TRUNC(INDIRECT("'"&amp;A6614&amp;"'!"&amp;B6614))=INDIRECT("'"&amp;A6614&amp;"'!"&amp;B6614),FALSE,TRUE))</f>
        <v>0</v>
      </c>
      <c r="E6614" t="s">
        <v>436</v>
      </c>
      <c r="F6614" t="str">
        <f>INDEX(Lists!I:I,MATCH(Validation!E6614,Lists!G:G,0))</f>
        <v>Error</v>
      </c>
      <c r="G6614" t="str">
        <f>INDEX(Lists!H:H,MATCH(Validation!E6614,Lists!G:G,0))</f>
        <v>Amount must be rounded to the nearest dollar.</v>
      </c>
      <c r="H6614" s="16" t="str">
        <f t="shared" ca="1" si="750"/>
        <v/>
      </c>
      <c r="I6614" s="16" t="str">
        <f t="shared" ca="1" si="751"/>
        <v/>
      </c>
      <c r="J6614" s="17" t="str">
        <f t="shared" ca="1" si="752"/>
        <v/>
      </c>
    </row>
    <row r="6615" spans="1:10" x14ac:dyDescent="0.25">
      <c r="A6615" t="s">
        <v>943</v>
      </c>
      <c r="B6615" t="str">
        <f>ADDRESS(ROW('Loan 1'!$C$37),COLUMN('Loan 1'!$C$37),4)</f>
        <v>C37</v>
      </c>
      <c r="C6615" t="str">
        <f>ADDRESS(ROW('Loan 1'!$D$37),COLUMN('Loan 1'!$D$37),4)</f>
        <v>D37</v>
      </c>
      <c r="D6615" t="b" cm="1">
        <f t="array" aca="1" ref="D6615" ca="1">IF(INDIRECT("'"&amp;A6615&amp;"'!"&amp;B6615)="",FALSE,IF(TRUNC(INDIRECT("'"&amp;A6615&amp;"'!"&amp;B6615))=INDIRECT("'"&amp;A6615&amp;"'!"&amp;B6615),FALSE,TRUE))</f>
        <v>0</v>
      </c>
      <c r="E6615" t="s">
        <v>436</v>
      </c>
      <c r="F6615" t="str">
        <f>INDEX(Lists!I:I,MATCH(Validation!E6615,Lists!G:G,0))</f>
        <v>Error</v>
      </c>
      <c r="G6615" t="str">
        <f>INDEX(Lists!H:H,MATCH(Validation!E6615,Lists!G:G,0))</f>
        <v>Amount must be rounded to the nearest dollar.</v>
      </c>
      <c r="H6615" s="16" t="str">
        <f t="shared" ca="1" si="750"/>
        <v/>
      </c>
      <c r="I6615" s="16" t="str">
        <f t="shared" ca="1" si="751"/>
        <v/>
      </c>
      <c r="J6615" s="17" t="str">
        <f t="shared" ca="1" si="752"/>
        <v/>
      </c>
    </row>
    <row r="6616" spans="1:10" x14ac:dyDescent="0.25">
      <c r="A6616" t="s">
        <v>944</v>
      </c>
      <c r="B6616" t="str">
        <f>ADDRESS(ROW('Loan 1'!$C$37),COLUMN('Loan 1'!$C$37),4)</f>
        <v>C37</v>
      </c>
      <c r="C6616" t="str">
        <f>ADDRESS(ROW('Loan 1'!$D$37),COLUMN('Loan 1'!$D$37),4)</f>
        <v>D37</v>
      </c>
      <c r="D6616" t="b" cm="1">
        <f t="array" aca="1" ref="D6616" ca="1">IF(INDIRECT("'"&amp;A6616&amp;"'!"&amp;B6616)="",FALSE,IF(TRUNC(INDIRECT("'"&amp;A6616&amp;"'!"&amp;B6616))=INDIRECT("'"&amp;A6616&amp;"'!"&amp;B6616),FALSE,TRUE))</f>
        <v>0</v>
      </c>
      <c r="E6616" t="s">
        <v>436</v>
      </c>
      <c r="F6616" t="str">
        <f>INDEX(Lists!I:I,MATCH(Validation!E6616,Lists!G:G,0))</f>
        <v>Error</v>
      </c>
      <c r="G6616" t="str">
        <f>INDEX(Lists!H:H,MATCH(Validation!E6616,Lists!G:G,0))</f>
        <v>Amount must be rounded to the nearest dollar.</v>
      </c>
      <c r="H6616" s="16" t="str">
        <f t="shared" ca="1" si="750"/>
        <v/>
      </c>
      <c r="I6616" s="16" t="str">
        <f t="shared" ca="1" si="751"/>
        <v/>
      </c>
      <c r="J6616" s="17" t="str">
        <f t="shared" ca="1" si="752"/>
        <v/>
      </c>
    </row>
    <row r="6617" spans="1:10" x14ac:dyDescent="0.25">
      <c r="A6617" t="s">
        <v>945</v>
      </c>
      <c r="B6617" t="str">
        <f>ADDRESS(ROW('Loan 1'!$C$37),COLUMN('Loan 1'!$C$37),4)</f>
        <v>C37</v>
      </c>
      <c r="C6617" t="str">
        <f>ADDRESS(ROW('Loan 1'!$D$37),COLUMN('Loan 1'!$D$37),4)</f>
        <v>D37</v>
      </c>
      <c r="D6617" t="b" cm="1">
        <f t="array" aca="1" ref="D6617" ca="1">IF(INDIRECT("'"&amp;A6617&amp;"'!"&amp;B6617)="",FALSE,IF(TRUNC(INDIRECT("'"&amp;A6617&amp;"'!"&amp;B6617))=INDIRECT("'"&amp;A6617&amp;"'!"&amp;B6617),FALSE,TRUE))</f>
        <v>0</v>
      </c>
      <c r="E6617" t="s">
        <v>436</v>
      </c>
      <c r="F6617" t="str">
        <f>INDEX(Lists!I:I,MATCH(Validation!E6617,Lists!G:G,0))</f>
        <v>Error</v>
      </c>
      <c r="G6617" t="str">
        <f>INDEX(Lists!H:H,MATCH(Validation!E6617,Lists!G:G,0))</f>
        <v>Amount must be rounded to the nearest dollar.</v>
      </c>
      <c r="H6617" s="16" t="str">
        <f t="shared" ca="1" si="750"/>
        <v/>
      </c>
      <c r="I6617" s="16" t="str">
        <f t="shared" ca="1" si="751"/>
        <v/>
      </c>
      <c r="J6617" s="17" t="str">
        <f t="shared" ca="1" si="752"/>
        <v/>
      </c>
    </row>
    <row r="6618" spans="1:10" x14ac:dyDescent="0.25">
      <c r="A6618" t="s">
        <v>205</v>
      </c>
      <c r="B6618" t="str">
        <f>ADDRESS(ROW('Loan 1'!$B$38),COLUMN('Loan 1'!$B$38),4)</f>
        <v>B38</v>
      </c>
      <c r="C6618" t="str">
        <f>ADDRESS(ROW('Loan 1'!$D$38),COLUMN('Loan 1'!$D$38),4)</f>
        <v>D38</v>
      </c>
      <c r="D6618" t="b" cm="1">
        <f t="array" aca="1" ref="D6618" ca="1">IF(INDIRECT("'"&amp;A6618&amp;"'!"&amp;B6618)&lt;0,TRUE,FALSE)</f>
        <v>0</v>
      </c>
      <c r="E6618" t="s">
        <v>626</v>
      </c>
      <c r="F6618" t="str">
        <f>INDEX(Lists!I:I,MATCH(Validation!E6618,Lists!G:G,0))</f>
        <v>Error</v>
      </c>
      <c r="G6618" t="str">
        <f>INDEX(Lists!H:H,MATCH(Validation!E6618,Lists!G:G,0))</f>
        <v>Principal outstanding cannot be negative.</v>
      </c>
      <c r="H6618" s="16" t="str">
        <f t="shared" ca="1" si="744"/>
        <v/>
      </c>
      <c r="I6618" s="16" t="str">
        <f t="shared" ca="1" si="745"/>
        <v/>
      </c>
      <c r="J6618" s="17" t="str">
        <f t="shared" ca="1" si="746"/>
        <v/>
      </c>
    </row>
    <row r="6619" spans="1:10" x14ac:dyDescent="0.25">
      <c r="A6619" t="s">
        <v>932</v>
      </c>
      <c r="B6619" t="str">
        <f>ADDRESS(ROW('Loan 1'!$B$38),COLUMN('Loan 1'!$B$38),4)</f>
        <v>B38</v>
      </c>
      <c r="C6619" t="str">
        <f>ADDRESS(ROW('Loan 1'!$D$38),COLUMN('Loan 1'!$D$38),4)</f>
        <v>D38</v>
      </c>
      <c r="D6619" t="b" cm="1">
        <f t="array" aca="1" ref="D6619" ca="1">IF(INDIRECT("'"&amp;A6619&amp;"'!"&amp;B6619)&lt;0,TRUE,FALSE)</f>
        <v>0</v>
      </c>
      <c r="E6619" t="s">
        <v>626</v>
      </c>
      <c r="F6619" t="str">
        <f>INDEX(Lists!I:I,MATCH(Validation!E6619,Lists!G:G,0))</f>
        <v>Error</v>
      </c>
      <c r="G6619" t="str">
        <f>INDEX(Lists!H:H,MATCH(Validation!E6619,Lists!G:G,0))</f>
        <v>Principal outstanding cannot be negative.</v>
      </c>
      <c r="H6619" s="16" t="str">
        <f t="shared" ca="1" si="744"/>
        <v/>
      </c>
      <c r="I6619" s="16" t="str">
        <f t="shared" ca="1" si="745"/>
        <v/>
      </c>
      <c r="J6619" s="17" t="str">
        <f t="shared" ca="1" si="746"/>
        <v/>
      </c>
    </row>
    <row r="6620" spans="1:10" x14ac:dyDescent="0.25">
      <c r="A6620" t="s">
        <v>933</v>
      </c>
      <c r="B6620" t="str">
        <f>ADDRESS(ROW('Loan 1'!$B$38),COLUMN('Loan 1'!$B$38),4)</f>
        <v>B38</v>
      </c>
      <c r="C6620" t="str">
        <f>ADDRESS(ROW('Loan 1'!$D$38),COLUMN('Loan 1'!$D$38),4)</f>
        <v>D38</v>
      </c>
      <c r="D6620" t="b" cm="1">
        <f t="array" aca="1" ref="D6620" ca="1">IF(INDIRECT("'"&amp;A6620&amp;"'!"&amp;B6620)&lt;0,TRUE,FALSE)</f>
        <v>0</v>
      </c>
      <c r="E6620" t="s">
        <v>626</v>
      </c>
      <c r="F6620" t="str">
        <f>INDEX(Lists!I:I,MATCH(Validation!E6620,Lists!G:G,0))</f>
        <v>Error</v>
      </c>
      <c r="G6620" t="str">
        <f>INDEX(Lists!H:H,MATCH(Validation!E6620,Lists!G:G,0))</f>
        <v>Principal outstanding cannot be negative.</v>
      </c>
      <c r="H6620" s="16" t="str">
        <f t="shared" ca="1" si="744"/>
        <v/>
      </c>
      <c r="I6620" s="16" t="str">
        <f t="shared" ca="1" si="745"/>
        <v/>
      </c>
      <c r="J6620" s="17" t="str">
        <f t="shared" ca="1" si="746"/>
        <v/>
      </c>
    </row>
    <row r="6621" spans="1:10" x14ac:dyDescent="0.25">
      <c r="A6621" t="s">
        <v>934</v>
      </c>
      <c r="B6621" t="str">
        <f>ADDRESS(ROW('Loan 1'!$B$38),COLUMN('Loan 1'!$B$38),4)</f>
        <v>B38</v>
      </c>
      <c r="C6621" t="str">
        <f>ADDRESS(ROW('Loan 1'!$D$38),COLUMN('Loan 1'!$D$38),4)</f>
        <v>D38</v>
      </c>
      <c r="D6621" t="b" cm="1">
        <f t="array" aca="1" ref="D6621" ca="1">IF(INDIRECT("'"&amp;A6621&amp;"'!"&amp;B6621)&lt;0,TRUE,FALSE)</f>
        <v>0</v>
      </c>
      <c r="E6621" t="s">
        <v>626</v>
      </c>
      <c r="F6621" t="str">
        <f>INDEX(Lists!I:I,MATCH(Validation!E6621,Lists!G:G,0))</f>
        <v>Error</v>
      </c>
      <c r="G6621" t="str">
        <f>INDEX(Lists!H:H,MATCH(Validation!E6621,Lists!G:G,0))</f>
        <v>Principal outstanding cannot be negative.</v>
      </c>
      <c r="H6621" s="16" t="str">
        <f t="shared" ca="1" si="744"/>
        <v/>
      </c>
      <c r="I6621" s="16" t="str">
        <f t="shared" ca="1" si="745"/>
        <v/>
      </c>
      <c r="J6621" s="17" t="str">
        <f t="shared" ca="1" si="746"/>
        <v/>
      </c>
    </row>
    <row r="6622" spans="1:10" x14ac:dyDescent="0.25">
      <c r="A6622" t="s">
        <v>935</v>
      </c>
      <c r="B6622" t="str">
        <f>ADDRESS(ROW('Loan 1'!$B$38),COLUMN('Loan 1'!$B$38),4)</f>
        <v>B38</v>
      </c>
      <c r="C6622" t="str">
        <f>ADDRESS(ROW('Loan 1'!$D$38),COLUMN('Loan 1'!$D$38),4)</f>
        <v>D38</v>
      </c>
      <c r="D6622" t="b" cm="1">
        <f t="array" aca="1" ref="D6622" ca="1">IF(INDIRECT("'"&amp;A6622&amp;"'!"&amp;B6622)&lt;0,TRUE,FALSE)</f>
        <v>0</v>
      </c>
      <c r="E6622" t="s">
        <v>626</v>
      </c>
      <c r="F6622" t="str">
        <f>INDEX(Lists!I:I,MATCH(Validation!E6622,Lists!G:G,0))</f>
        <v>Error</v>
      </c>
      <c r="G6622" t="str">
        <f>INDEX(Lists!H:H,MATCH(Validation!E6622,Lists!G:G,0))</f>
        <v>Principal outstanding cannot be negative.</v>
      </c>
      <c r="H6622" s="16" t="str">
        <f t="shared" ca="1" si="744"/>
        <v/>
      </c>
      <c r="I6622" s="16" t="str">
        <f t="shared" ca="1" si="745"/>
        <v/>
      </c>
      <c r="J6622" s="17" t="str">
        <f t="shared" ca="1" si="746"/>
        <v/>
      </c>
    </row>
    <row r="6623" spans="1:10" x14ac:dyDescent="0.25">
      <c r="A6623" t="s">
        <v>936</v>
      </c>
      <c r="B6623" t="str">
        <f>ADDRESS(ROW('Loan 1'!$B$38),COLUMN('Loan 1'!$B$38),4)</f>
        <v>B38</v>
      </c>
      <c r="C6623" t="str">
        <f>ADDRESS(ROW('Loan 1'!$D$38),COLUMN('Loan 1'!$D$38),4)</f>
        <v>D38</v>
      </c>
      <c r="D6623" t="b" cm="1">
        <f t="array" aca="1" ref="D6623" ca="1">IF(INDIRECT("'"&amp;A6623&amp;"'!"&amp;B6623)&lt;0,TRUE,FALSE)</f>
        <v>0</v>
      </c>
      <c r="E6623" t="s">
        <v>626</v>
      </c>
      <c r="F6623" t="str">
        <f>INDEX(Lists!I:I,MATCH(Validation!E6623,Lists!G:G,0))</f>
        <v>Error</v>
      </c>
      <c r="G6623" t="str">
        <f>INDEX(Lists!H:H,MATCH(Validation!E6623,Lists!G:G,0))</f>
        <v>Principal outstanding cannot be negative.</v>
      </c>
      <c r="H6623" s="16" t="str">
        <f t="shared" ca="1" si="744"/>
        <v/>
      </c>
      <c r="I6623" s="16" t="str">
        <f t="shared" ca="1" si="745"/>
        <v/>
      </c>
      <c r="J6623" s="17" t="str">
        <f t="shared" ca="1" si="746"/>
        <v/>
      </c>
    </row>
    <row r="6624" spans="1:10" x14ac:dyDescent="0.25">
      <c r="A6624" t="s">
        <v>937</v>
      </c>
      <c r="B6624" t="str">
        <f>ADDRESS(ROW('Loan 1'!$B$38),COLUMN('Loan 1'!$B$38),4)</f>
        <v>B38</v>
      </c>
      <c r="C6624" t="str">
        <f>ADDRESS(ROW('Loan 1'!$D$38),COLUMN('Loan 1'!$D$38),4)</f>
        <v>D38</v>
      </c>
      <c r="D6624" t="b" cm="1">
        <f t="array" aca="1" ref="D6624" ca="1">IF(INDIRECT("'"&amp;A6624&amp;"'!"&amp;B6624)&lt;0,TRUE,FALSE)</f>
        <v>0</v>
      </c>
      <c r="E6624" t="s">
        <v>626</v>
      </c>
      <c r="F6624" t="str">
        <f>INDEX(Lists!I:I,MATCH(Validation!E6624,Lists!G:G,0))</f>
        <v>Error</v>
      </c>
      <c r="G6624" t="str">
        <f>INDEX(Lists!H:H,MATCH(Validation!E6624,Lists!G:G,0))</f>
        <v>Principal outstanding cannot be negative.</v>
      </c>
      <c r="H6624" s="16" t="str">
        <f t="shared" ca="1" si="744"/>
        <v/>
      </c>
      <c r="I6624" s="16" t="str">
        <f t="shared" ca="1" si="745"/>
        <v/>
      </c>
      <c r="J6624" s="17" t="str">
        <f t="shared" ca="1" si="746"/>
        <v/>
      </c>
    </row>
    <row r="6625" spans="1:10" x14ac:dyDescent="0.25">
      <c r="A6625" t="s">
        <v>938</v>
      </c>
      <c r="B6625" t="str">
        <f>ADDRESS(ROW('Loan 1'!$B$38),COLUMN('Loan 1'!$B$38),4)</f>
        <v>B38</v>
      </c>
      <c r="C6625" t="str">
        <f>ADDRESS(ROW('Loan 1'!$D$38),COLUMN('Loan 1'!$D$38),4)</f>
        <v>D38</v>
      </c>
      <c r="D6625" t="b" cm="1">
        <f t="array" aca="1" ref="D6625" ca="1">IF(INDIRECT("'"&amp;A6625&amp;"'!"&amp;B6625)&lt;0,TRUE,FALSE)</f>
        <v>0</v>
      </c>
      <c r="E6625" t="s">
        <v>626</v>
      </c>
      <c r="F6625" t="str">
        <f>INDEX(Lists!I:I,MATCH(Validation!E6625,Lists!G:G,0))</f>
        <v>Error</v>
      </c>
      <c r="G6625" t="str">
        <f>INDEX(Lists!H:H,MATCH(Validation!E6625,Lists!G:G,0))</f>
        <v>Principal outstanding cannot be negative.</v>
      </c>
      <c r="H6625" s="16" t="str">
        <f t="shared" ca="1" si="744"/>
        <v/>
      </c>
      <c r="I6625" s="16" t="str">
        <f t="shared" ca="1" si="745"/>
        <v/>
      </c>
      <c r="J6625" s="17" t="str">
        <f t="shared" ca="1" si="746"/>
        <v/>
      </c>
    </row>
    <row r="6626" spans="1:10" x14ac:dyDescent="0.25">
      <c r="A6626" t="s">
        <v>939</v>
      </c>
      <c r="B6626" t="str">
        <f>ADDRESS(ROW('Loan 1'!$B$38),COLUMN('Loan 1'!$B$38),4)</f>
        <v>B38</v>
      </c>
      <c r="C6626" t="str">
        <f>ADDRESS(ROW('Loan 1'!$D$38),COLUMN('Loan 1'!$D$38),4)</f>
        <v>D38</v>
      </c>
      <c r="D6626" t="b" cm="1">
        <f t="array" aca="1" ref="D6626" ca="1">IF(INDIRECT("'"&amp;A6626&amp;"'!"&amp;B6626)&lt;0,TRUE,FALSE)</f>
        <v>0</v>
      </c>
      <c r="E6626" t="s">
        <v>626</v>
      </c>
      <c r="F6626" t="str">
        <f>INDEX(Lists!I:I,MATCH(Validation!E6626,Lists!G:G,0))</f>
        <v>Error</v>
      </c>
      <c r="G6626" t="str">
        <f>INDEX(Lists!H:H,MATCH(Validation!E6626,Lists!G:G,0))</f>
        <v>Principal outstanding cannot be negative.</v>
      </c>
      <c r="H6626" s="16" t="str">
        <f t="shared" ca="1" si="744"/>
        <v/>
      </c>
      <c r="I6626" s="16" t="str">
        <f t="shared" ca="1" si="745"/>
        <v/>
      </c>
      <c r="J6626" s="17" t="str">
        <f t="shared" ca="1" si="746"/>
        <v/>
      </c>
    </row>
    <row r="6627" spans="1:10" x14ac:dyDescent="0.25">
      <c r="A6627" t="s">
        <v>940</v>
      </c>
      <c r="B6627" t="str">
        <f>ADDRESS(ROW('Loan 1'!$B$38),COLUMN('Loan 1'!$B$38),4)</f>
        <v>B38</v>
      </c>
      <c r="C6627" t="str">
        <f>ADDRESS(ROW('Loan 1'!$D$38),COLUMN('Loan 1'!$D$38),4)</f>
        <v>D38</v>
      </c>
      <c r="D6627" t="b" cm="1">
        <f t="array" aca="1" ref="D6627" ca="1">IF(INDIRECT("'"&amp;A6627&amp;"'!"&amp;B6627)&lt;0,TRUE,FALSE)</f>
        <v>0</v>
      </c>
      <c r="E6627" t="s">
        <v>626</v>
      </c>
      <c r="F6627" t="str">
        <f>INDEX(Lists!I:I,MATCH(Validation!E6627,Lists!G:G,0))</f>
        <v>Error</v>
      </c>
      <c r="G6627" t="str">
        <f>INDEX(Lists!H:H,MATCH(Validation!E6627,Lists!G:G,0))</f>
        <v>Principal outstanding cannot be negative.</v>
      </c>
      <c r="H6627" s="16" t="str">
        <f t="shared" ca="1" si="744"/>
        <v/>
      </c>
      <c r="I6627" s="16" t="str">
        <f t="shared" ca="1" si="745"/>
        <v/>
      </c>
      <c r="J6627" s="17" t="str">
        <f t="shared" ca="1" si="746"/>
        <v/>
      </c>
    </row>
    <row r="6628" spans="1:10" x14ac:dyDescent="0.25">
      <c r="A6628" t="s">
        <v>941</v>
      </c>
      <c r="B6628" t="str">
        <f>ADDRESS(ROW('Loan 1'!$B$38),COLUMN('Loan 1'!$B$38),4)</f>
        <v>B38</v>
      </c>
      <c r="C6628" t="str">
        <f>ADDRESS(ROW('Loan 1'!$D$38),COLUMN('Loan 1'!$D$38),4)</f>
        <v>D38</v>
      </c>
      <c r="D6628" t="b" cm="1">
        <f t="array" aca="1" ref="D6628" ca="1">IF(INDIRECT("'"&amp;A6628&amp;"'!"&amp;B6628)&lt;0,TRUE,FALSE)</f>
        <v>0</v>
      </c>
      <c r="E6628" t="s">
        <v>626</v>
      </c>
      <c r="F6628" t="str">
        <f>INDEX(Lists!I:I,MATCH(Validation!E6628,Lists!G:G,0))</f>
        <v>Error</v>
      </c>
      <c r="G6628" t="str">
        <f>INDEX(Lists!H:H,MATCH(Validation!E6628,Lists!G:G,0))</f>
        <v>Principal outstanding cannot be negative.</v>
      </c>
      <c r="H6628" s="16" t="str">
        <f t="shared" ca="1" si="744"/>
        <v/>
      </c>
      <c r="I6628" s="16" t="str">
        <f t="shared" ca="1" si="745"/>
        <v/>
      </c>
      <c r="J6628" s="17" t="str">
        <f t="shared" ca="1" si="746"/>
        <v/>
      </c>
    </row>
    <row r="6629" spans="1:10" x14ac:dyDescent="0.25">
      <c r="A6629" t="s">
        <v>942</v>
      </c>
      <c r="B6629" t="str">
        <f>ADDRESS(ROW('Loan 1'!$B$38),COLUMN('Loan 1'!$B$38),4)</f>
        <v>B38</v>
      </c>
      <c r="C6629" t="str">
        <f>ADDRESS(ROW('Loan 1'!$D$38),COLUMN('Loan 1'!$D$38),4)</f>
        <v>D38</v>
      </c>
      <c r="D6629" t="b" cm="1">
        <f t="array" aca="1" ref="D6629" ca="1">IF(INDIRECT("'"&amp;A6629&amp;"'!"&amp;B6629)&lt;0,TRUE,FALSE)</f>
        <v>0</v>
      </c>
      <c r="E6629" t="s">
        <v>626</v>
      </c>
      <c r="F6629" t="str">
        <f>INDEX(Lists!I:I,MATCH(Validation!E6629,Lists!G:G,0))</f>
        <v>Error</v>
      </c>
      <c r="G6629" t="str">
        <f>INDEX(Lists!H:H,MATCH(Validation!E6629,Lists!G:G,0))</f>
        <v>Principal outstanding cannot be negative.</v>
      </c>
      <c r="H6629" s="16" t="str">
        <f t="shared" ca="1" si="744"/>
        <v/>
      </c>
      <c r="I6629" s="16" t="str">
        <f t="shared" ca="1" si="745"/>
        <v/>
      </c>
      <c r="J6629" s="17" t="str">
        <f t="shared" ca="1" si="746"/>
        <v/>
      </c>
    </row>
    <row r="6630" spans="1:10" x14ac:dyDescent="0.25">
      <c r="A6630" t="s">
        <v>943</v>
      </c>
      <c r="B6630" t="str">
        <f>ADDRESS(ROW('Loan 1'!$B$38),COLUMN('Loan 1'!$B$38),4)</f>
        <v>B38</v>
      </c>
      <c r="C6630" t="str">
        <f>ADDRESS(ROW('Loan 1'!$D$38),COLUMN('Loan 1'!$D$38),4)</f>
        <v>D38</v>
      </c>
      <c r="D6630" t="b" cm="1">
        <f t="array" aca="1" ref="D6630" ca="1">IF(INDIRECT("'"&amp;A6630&amp;"'!"&amp;B6630)&lt;0,TRUE,FALSE)</f>
        <v>0</v>
      </c>
      <c r="E6630" t="s">
        <v>626</v>
      </c>
      <c r="F6630" t="str">
        <f>INDEX(Lists!I:I,MATCH(Validation!E6630,Lists!G:G,0))</f>
        <v>Error</v>
      </c>
      <c r="G6630" t="str">
        <f>INDEX(Lists!H:H,MATCH(Validation!E6630,Lists!G:G,0))</f>
        <v>Principal outstanding cannot be negative.</v>
      </c>
      <c r="H6630" s="16" t="str">
        <f t="shared" ca="1" si="744"/>
        <v/>
      </c>
      <c r="I6630" s="16" t="str">
        <f t="shared" ca="1" si="745"/>
        <v/>
      </c>
      <c r="J6630" s="17" t="str">
        <f t="shared" ca="1" si="746"/>
        <v/>
      </c>
    </row>
    <row r="6631" spans="1:10" x14ac:dyDescent="0.25">
      <c r="A6631" t="s">
        <v>944</v>
      </c>
      <c r="B6631" t="str">
        <f>ADDRESS(ROW('Loan 1'!$B$38),COLUMN('Loan 1'!$B$38),4)</f>
        <v>B38</v>
      </c>
      <c r="C6631" t="str">
        <f>ADDRESS(ROW('Loan 1'!$D$38),COLUMN('Loan 1'!$D$38),4)</f>
        <v>D38</v>
      </c>
      <c r="D6631" t="b" cm="1">
        <f t="array" aca="1" ref="D6631" ca="1">IF(INDIRECT("'"&amp;A6631&amp;"'!"&amp;B6631)&lt;0,TRUE,FALSE)</f>
        <v>0</v>
      </c>
      <c r="E6631" t="s">
        <v>626</v>
      </c>
      <c r="F6631" t="str">
        <f>INDEX(Lists!I:I,MATCH(Validation!E6631,Lists!G:G,0))</f>
        <v>Error</v>
      </c>
      <c r="G6631" t="str">
        <f>INDEX(Lists!H:H,MATCH(Validation!E6631,Lists!G:G,0))</f>
        <v>Principal outstanding cannot be negative.</v>
      </c>
      <c r="H6631" s="16" t="str">
        <f t="shared" ca="1" si="744"/>
        <v/>
      </c>
      <c r="I6631" s="16" t="str">
        <f t="shared" ca="1" si="745"/>
        <v/>
      </c>
      <c r="J6631" s="17" t="str">
        <f t="shared" ca="1" si="746"/>
        <v/>
      </c>
    </row>
    <row r="6632" spans="1:10" x14ac:dyDescent="0.25">
      <c r="A6632" t="s">
        <v>945</v>
      </c>
      <c r="B6632" t="str">
        <f>ADDRESS(ROW('Loan 1'!$B$38),COLUMN('Loan 1'!$B$38),4)</f>
        <v>B38</v>
      </c>
      <c r="C6632" t="str">
        <f>ADDRESS(ROW('Loan 1'!$D$38),COLUMN('Loan 1'!$D$38),4)</f>
        <v>D38</v>
      </c>
      <c r="D6632" t="b" cm="1">
        <f t="array" aca="1" ref="D6632" ca="1">IF(INDIRECT("'"&amp;A6632&amp;"'!"&amp;B6632)&lt;0,TRUE,FALSE)</f>
        <v>0</v>
      </c>
      <c r="E6632" t="s">
        <v>626</v>
      </c>
      <c r="F6632" t="str">
        <f>INDEX(Lists!I:I,MATCH(Validation!E6632,Lists!G:G,0))</f>
        <v>Error</v>
      </c>
      <c r="G6632" t="str">
        <f>INDEX(Lists!H:H,MATCH(Validation!E6632,Lists!G:G,0))</f>
        <v>Principal outstanding cannot be negative.</v>
      </c>
      <c r="H6632" s="16" t="str">
        <f t="shared" ca="1" si="744"/>
        <v/>
      </c>
      <c r="I6632" s="16" t="str">
        <f t="shared" ca="1" si="745"/>
        <v/>
      </c>
      <c r="J6632" s="17" t="str">
        <f t="shared" ca="1" si="746"/>
        <v/>
      </c>
    </row>
    <row r="6633" spans="1:10" x14ac:dyDescent="0.25">
      <c r="A6633" t="s">
        <v>205</v>
      </c>
      <c r="B6633" t="str">
        <f>ADDRESS(ROW('Loan 1'!$C$38),COLUMN('Loan 1'!$C$38),4)</f>
        <v>C38</v>
      </c>
      <c r="C6633" t="str">
        <f>ADDRESS(ROW('Loan 1'!$D$38),COLUMN('Loan 1'!$D$38),4)</f>
        <v>D38</v>
      </c>
      <c r="D6633" t="b" cm="1">
        <f t="array" aca="1" ref="D6633" ca="1">IF(INDIRECT("'"&amp;A6633&amp;"'!"&amp;B6633)&lt;0,TRUE,FALSE)</f>
        <v>0</v>
      </c>
      <c r="E6633" t="s">
        <v>626</v>
      </c>
      <c r="F6633" t="str">
        <f>INDEX(Lists!I:I,MATCH(Validation!E6633,Lists!G:G,0))</f>
        <v>Error</v>
      </c>
      <c r="G6633" t="str">
        <f>INDEX(Lists!H:H,MATCH(Validation!E6633,Lists!G:G,0))</f>
        <v>Principal outstanding cannot be negative.</v>
      </c>
      <c r="H6633" s="16" t="str">
        <f t="shared" ref="H6633:H6647" ca="1" si="753">IFERROR(IF(OR(NOT(D6633),F6633&lt;&gt;"Error"),"",A6633&amp;CELL("address",INDIRECT(B6633))),"")</f>
        <v/>
      </c>
      <c r="I6633" s="16" t="str">
        <f t="shared" ref="I6633:I6647" ca="1" si="754">IFERROR(IF(NOT(D6633),"",A6633&amp;CELL("address",INDIRECT(C6633))),"")</f>
        <v/>
      </c>
      <c r="J6633" s="17" t="str">
        <f t="shared" ref="J6633:J6647" ca="1" si="755">IFERROR(IF(NOT(D6633),"",A6633),"")</f>
        <v/>
      </c>
    </row>
    <row r="6634" spans="1:10" x14ac:dyDescent="0.25">
      <c r="A6634" t="s">
        <v>932</v>
      </c>
      <c r="B6634" t="str">
        <f>ADDRESS(ROW('Loan 1'!$C$38),COLUMN('Loan 1'!$C$38),4)</f>
        <v>C38</v>
      </c>
      <c r="C6634" t="str">
        <f>ADDRESS(ROW('Loan 1'!$D$38),COLUMN('Loan 1'!$D$38),4)</f>
        <v>D38</v>
      </c>
      <c r="D6634" t="b" cm="1">
        <f t="array" aca="1" ref="D6634" ca="1">IF(INDIRECT("'"&amp;A6634&amp;"'!"&amp;B6634)&lt;0,TRUE,FALSE)</f>
        <v>0</v>
      </c>
      <c r="E6634" t="s">
        <v>626</v>
      </c>
      <c r="F6634" t="str">
        <f>INDEX(Lists!I:I,MATCH(Validation!E6634,Lists!G:G,0))</f>
        <v>Error</v>
      </c>
      <c r="G6634" t="str">
        <f>INDEX(Lists!H:H,MATCH(Validation!E6634,Lists!G:G,0))</f>
        <v>Principal outstanding cannot be negative.</v>
      </c>
      <c r="H6634" s="16" t="str">
        <f t="shared" ca="1" si="753"/>
        <v/>
      </c>
      <c r="I6634" s="16" t="str">
        <f t="shared" ca="1" si="754"/>
        <v/>
      </c>
      <c r="J6634" s="17" t="str">
        <f t="shared" ca="1" si="755"/>
        <v/>
      </c>
    </row>
    <row r="6635" spans="1:10" x14ac:dyDescent="0.25">
      <c r="A6635" t="s">
        <v>933</v>
      </c>
      <c r="B6635" t="str">
        <f>ADDRESS(ROW('Loan 1'!$C$38),COLUMN('Loan 1'!$C$38),4)</f>
        <v>C38</v>
      </c>
      <c r="C6635" t="str">
        <f>ADDRESS(ROW('Loan 1'!$D$38),COLUMN('Loan 1'!$D$38),4)</f>
        <v>D38</v>
      </c>
      <c r="D6635" t="b" cm="1">
        <f t="array" aca="1" ref="D6635" ca="1">IF(INDIRECT("'"&amp;A6635&amp;"'!"&amp;B6635)&lt;0,TRUE,FALSE)</f>
        <v>0</v>
      </c>
      <c r="E6635" t="s">
        <v>626</v>
      </c>
      <c r="F6635" t="str">
        <f>INDEX(Lists!I:I,MATCH(Validation!E6635,Lists!G:G,0))</f>
        <v>Error</v>
      </c>
      <c r="G6635" t="str">
        <f>INDEX(Lists!H:H,MATCH(Validation!E6635,Lists!G:G,0))</f>
        <v>Principal outstanding cannot be negative.</v>
      </c>
      <c r="H6635" s="16" t="str">
        <f t="shared" ca="1" si="753"/>
        <v/>
      </c>
      <c r="I6635" s="16" t="str">
        <f t="shared" ca="1" si="754"/>
        <v/>
      </c>
      <c r="J6635" s="17" t="str">
        <f t="shared" ca="1" si="755"/>
        <v/>
      </c>
    </row>
    <row r="6636" spans="1:10" x14ac:dyDescent="0.25">
      <c r="A6636" t="s">
        <v>934</v>
      </c>
      <c r="B6636" t="str">
        <f>ADDRESS(ROW('Loan 1'!$C$38),COLUMN('Loan 1'!$C$38),4)</f>
        <v>C38</v>
      </c>
      <c r="C6636" t="str">
        <f>ADDRESS(ROW('Loan 1'!$D$38),COLUMN('Loan 1'!$D$38),4)</f>
        <v>D38</v>
      </c>
      <c r="D6636" t="b" cm="1">
        <f t="array" aca="1" ref="D6636" ca="1">IF(INDIRECT("'"&amp;A6636&amp;"'!"&amp;B6636)&lt;0,TRUE,FALSE)</f>
        <v>0</v>
      </c>
      <c r="E6636" t="s">
        <v>626</v>
      </c>
      <c r="F6636" t="str">
        <f>INDEX(Lists!I:I,MATCH(Validation!E6636,Lists!G:G,0))</f>
        <v>Error</v>
      </c>
      <c r="G6636" t="str">
        <f>INDEX(Lists!H:H,MATCH(Validation!E6636,Lists!G:G,0))</f>
        <v>Principal outstanding cannot be negative.</v>
      </c>
      <c r="H6636" s="16" t="str">
        <f t="shared" ca="1" si="753"/>
        <v/>
      </c>
      <c r="I6636" s="16" t="str">
        <f t="shared" ca="1" si="754"/>
        <v/>
      </c>
      <c r="J6636" s="17" t="str">
        <f t="shared" ca="1" si="755"/>
        <v/>
      </c>
    </row>
    <row r="6637" spans="1:10" x14ac:dyDescent="0.25">
      <c r="A6637" t="s">
        <v>935</v>
      </c>
      <c r="B6637" t="str">
        <f>ADDRESS(ROW('Loan 1'!$C$38),COLUMN('Loan 1'!$C$38),4)</f>
        <v>C38</v>
      </c>
      <c r="C6637" t="str">
        <f>ADDRESS(ROW('Loan 1'!$D$38),COLUMN('Loan 1'!$D$38),4)</f>
        <v>D38</v>
      </c>
      <c r="D6637" t="b" cm="1">
        <f t="array" aca="1" ref="D6637" ca="1">IF(INDIRECT("'"&amp;A6637&amp;"'!"&amp;B6637)&lt;0,TRUE,FALSE)</f>
        <v>0</v>
      </c>
      <c r="E6637" t="s">
        <v>626</v>
      </c>
      <c r="F6637" t="str">
        <f>INDEX(Lists!I:I,MATCH(Validation!E6637,Lists!G:G,0))</f>
        <v>Error</v>
      </c>
      <c r="G6637" t="str">
        <f>INDEX(Lists!H:H,MATCH(Validation!E6637,Lists!G:G,0))</f>
        <v>Principal outstanding cannot be negative.</v>
      </c>
      <c r="H6637" s="16" t="str">
        <f t="shared" ca="1" si="753"/>
        <v/>
      </c>
      <c r="I6637" s="16" t="str">
        <f t="shared" ca="1" si="754"/>
        <v/>
      </c>
      <c r="J6637" s="17" t="str">
        <f t="shared" ca="1" si="755"/>
        <v/>
      </c>
    </row>
    <row r="6638" spans="1:10" x14ac:dyDescent="0.25">
      <c r="A6638" t="s">
        <v>936</v>
      </c>
      <c r="B6638" t="str">
        <f>ADDRESS(ROW('Loan 1'!$C$38),COLUMN('Loan 1'!$C$38),4)</f>
        <v>C38</v>
      </c>
      <c r="C6638" t="str">
        <f>ADDRESS(ROW('Loan 1'!$D$38),COLUMN('Loan 1'!$D$38),4)</f>
        <v>D38</v>
      </c>
      <c r="D6638" t="b" cm="1">
        <f t="array" aca="1" ref="D6638" ca="1">IF(INDIRECT("'"&amp;A6638&amp;"'!"&amp;B6638)&lt;0,TRUE,FALSE)</f>
        <v>0</v>
      </c>
      <c r="E6638" t="s">
        <v>626</v>
      </c>
      <c r="F6638" t="str">
        <f>INDEX(Lists!I:I,MATCH(Validation!E6638,Lists!G:G,0))</f>
        <v>Error</v>
      </c>
      <c r="G6638" t="str">
        <f>INDEX(Lists!H:H,MATCH(Validation!E6638,Lists!G:G,0))</f>
        <v>Principal outstanding cannot be negative.</v>
      </c>
      <c r="H6638" s="16" t="str">
        <f t="shared" ca="1" si="753"/>
        <v/>
      </c>
      <c r="I6638" s="16" t="str">
        <f t="shared" ca="1" si="754"/>
        <v/>
      </c>
      <c r="J6638" s="17" t="str">
        <f t="shared" ca="1" si="755"/>
        <v/>
      </c>
    </row>
    <row r="6639" spans="1:10" x14ac:dyDescent="0.25">
      <c r="A6639" t="s">
        <v>937</v>
      </c>
      <c r="B6639" t="str">
        <f>ADDRESS(ROW('Loan 1'!$C$38),COLUMN('Loan 1'!$C$38),4)</f>
        <v>C38</v>
      </c>
      <c r="C6639" t="str">
        <f>ADDRESS(ROW('Loan 1'!$D$38),COLUMN('Loan 1'!$D$38),4)</f>
        <v>D38</v>
      </c>
      <c r="D6639" t="b" cm="1">
        <f t="array" aca="1" ref="D6639" ca="1">IF(INDIRECT("'"&amp;A6639&amp;"'!"&amp;B6639)&lt;0,TRUE,FALSE)</f>
        <v>0</v>
      </c>
      <c r="E6639" t="s">
        <v>626</v>
      </c>
      <c r="F6639" t="str">
        <f>INDEX(Lists!I:I,MATCH(Validation!E6639,Lists!G:G,0))</f>
        <v>Error</v>
      </c>
      <c r="G6639" t="str">
        <f>INDEX(Lists!H:H,MATCH(Validation!E6639,Lists!G:G,0))</f>
        <v>Principal outstanding cannot be negative.</v>
      </c>
      <c r="H6639" s="16" t="str">
        <f t="shared" ca="1" si="753"/>
        <v/>
      </c>
      <c r="I6639" s="16" t="str">
        <f t="shared" ca="1" si="754"/>
        <v/>
      </c>
      <c r="J6639" s="17" t="str">
        <f t="shared" ca="1" si="755"/>
        <v/>
      </c>
    </row>
    <row r="6640" spans="1:10" x14ac:dyDescent="0.25">
      <c r="A6640" t="s">
        <v>938</v>
      </c>
      <c r="B6640" t="str">
        <f>ADDRESS(ROW('Loan 1'!$C$38),COLUMN('Loan 1'!$C$38),4)</f>
        <v>C38</v>
      </c>
      <c r="C6640" t="str">
        <f>ADDRESS(ROW('Loan 1'!$D$38),COLUMN('Loan 1'!$D$38),4)</f>
        <v>D38</v>
      </c>
      <c r="D6640" t="b" cm="1">
        <f t="array" aca="1" ref="D6640" ca="1">IF(INDIRECT("'"&amp;A6640&amp;"'!"&amp;B6640)&lt;0,TRUE,FALSE)</f>
        <v>0</v>
      </c>
      <c r="E6640" t="s">
        <v>626</v>
      </c>
      <c r="F6640" t="str">
        <f>INDEX(Lists!I:I,MATCH(Validation!E6640,Lists!G:G,0))</f>
        <v>Error</v>
      </c>
      <c r="G6640" t="str">
        <f>INDEX(Lists!H:H,MATCH(Validation!E6640,Lists!G:G,0))</f>
        <v>Principal outstanding cannot be negative.</v>
      </c>
      <c r="H6640" s="16" t="str">
        <f t="shared" ca="1" si="753"/>
        <v/>
      </c>
      <c r="I6640" s="16" t="str">
        <f t="shared" ca="1" si="754"/>
        <v/>
      </c>
      <c r="J6640" s="17" t="str">
        <f t="shared" ca="1" si="755"/>
        <v/>
      </c>
    </row>
    <row r="6641" spans="1:10" x14ac:dyDescent="0.25">
      <c r="A6641" t="s">
        <v>939</v>
      </c>
      <c r="B6641" t="str">
        <f>ADDRESS(ROW('Loan 1'!$C$38),COLUMN('Loan 1'!$C$38),4)</f>
        <v>C38</v>
      </c>
      <c r="C6641" t="str">
        <f>ADDRESS(ROW('Loan 1'!$D$38),COLUMN('Loan 1'!$D$38),4)</f>
        <v>D38</v>
      </c>
      <c r="D6641" t="b" cm="1">
        <f t="array" aca="1" ref="D6641" ca="1">IF(INDIRECT("'"&amp;A6641&amp;"'!"&amp;B6641)&lt;0,TRUE,FALSE)</f>
        <v>0</v>
      </c>
      <c r="E6641" t="s">
        <v>626</v>
      </c>
      <c r="F6641" t="str">
        <f>INDEX(Lists!I:I,MATCH(Validation!E6641,Lists!G:G,0))</f>
        <v>Error</v>
      </c>
      <c r="G6641" t="str">
        <f>INDEX(Lists!H:H,MATCH(Validation!E6641,Lists!G:G,0))</f>
        <v>Principal outstanding cannot be negative.</v>
      </c>
      <c r="H6641" s="16" t="str">
        <f t="shared" ca="1" si="753"/>
        <v/>
      </c>
      <c r="I6641" s="16" t="str">
        <f t="shared" ca="1" si="754"/>
        <v/>
      </c>
      <c r="J6641" s="17" t="str">
        <f t="shared" ca="1" si="755"/>
        <v/>
      </c>
    </row>
    <row r="6642" spans="1:10" x14ac:dyDescent="0.25">
      <c r="A6642" t="s">
        <v>940</v>
      </c>
      <c r="B6642" t="str">
        <f>ADDRESS(ROW('Loan 1'!$C$38),COLUMN('Loan 1'!$C$38),4)</f>
        <v>C38</v>
      </c>
      <c r="C6642" t="str">
        <f>ADDRESS(ROW('Loan 1'!$D$38),COLUMN('Loan 1'!$D$38),4)</f>
        <v>D38</v>
      </c>
      <c r="D6642" t="b" cm="1">
        <f t="array" aca="1" ref="D6642" ca="1">IF(INDIRECT("'"&amp;A6642&amp;"'!"&amp;B6642)&lt;0,TRUE,FALSE)</f>
        <v>0</v>
      </c>
      <c r="E6642" t="s">
        <v>626</v>
      </c>
      <c r="F6642" t="str">
        <f>INDEX(Lists!I:I,MATCH(Validation!E6642,Lists!G:G,0))</f>
        <v>Error</v>
      </c>
      <c r="G6642" t="str">
        <f>INDEX(Lists!H:H,MATCH(Validation!E6642,Lists!G:G,0))</f>
        <v>Principal outstanding cannot be negative.</v>
      </c>
      <c r="H6642" s="16" t="str">
        <f t="shared" ca="1" si="753"/>
        <v/>
      </c>
      <c r="I6642" s="16" t="str">
        <f t="shared" ca="1" si="754"/>
        <v/>
      </c>
      <c r="J6642" s="17" t="str">
        <f t="shared" ca="1" si="755"/>
        <v/>
      </c>
    </row>
    <row r="6643" spans="1:10" x14ac:dyDescent="0.25">
      <c r="A6643" t="s">
        <v>941</v>
      </c>
      <c r="B6643" t="str">
        <f>ADDRESS(ROW('Loan 1'!$C$38),COLUMN('Loan 1'!$C$38),4)</f>
        <v>C38</v>
      </c>
      <c r="C6643" t="str">
        <f>ADDRESS(ROW('Loan 1'!$D$38),COLUMN('Loan 1'!$D$38),4)</f>
        <v>D38</v>
      </c>
      <c r="D6643" t="b" cm="1">
        <f t="array" aca="1" ref="D6643" ca="1">IF(INDIRECT("'"&amp;A6643&amp;"'!"&amp;B6643)&lt;0,TRUE,FALSE)</f>
        <v>0</v>
      </c>
      <c r="E6643" t="s">
        <v>626</v>
      </c>
      <c r="F6643" t="str">
        <f>INDEX(Lists!I:I,MATCH(Validation!E6643,Lists!G:G,0))</f>
        <v>Error</v>
      </c>
      <c r="G6643" t="str">
        <f>INDEX(Lists!H:H,MATCH(Validation!E6643,Lists!G:G,0))</f>
        <v>Principal outstanding cannot be negative.</v>
      </c>
      <c r="H6643" s="16" t="str">
        <f t="shared" ca="1" si="753"/>
        <v/>
      </c>
      <c r="I6643" s="16" t="str">
        <f t="shared" ca="1" si="754"/>
        <v/>
      </c>
      <c r="J6643" s="17" t="str">
        <f t="shared" ca="1" si="755"/>
        <v/>
      </c>
    </row>
    <row r="6644" spans="1:10" x14ac:dyDescent="0.25">
      <c r="A6644" t="s">
        <v>942</v>
      </c>
      <c r="B6644" t="str">
        <f>ADDRESS(ROW('Loan 1'!$C$38),COLUMN('Loan 1'!$C$38),4)</f>
        <v>C38</v>
      </c>
      <c r="C6644" t="str">
        <f>ADDRESS(ROW('Loan 1'!$D$38),COLUMN('Loan 1'!$D$38),4)</f>
        <v>D38</v>
      </c>
      <c r="D6644" t="b" cm="1">
        <f t="array" aca="1" ref="D6644" ca="1">IF(INDIRECT("'"&amp;A6644&amp;"'!"&amp;B6644)&lt;0,TRUE,FALSE)</f>
        <v>0</v>
      </c>
      <c r="E6644" t="s">
        <v>626</v>
      </c>
      <c r="F6644" t="str">
        <f>INDEX(Lists!I:I,MATCH(Validation!E6644,Lists!G:G,0))</f>
        <v>Error</v>
      </c>
      <c r="G6644" t="str">
        <f>INDEX(Lists!H:H,MATCH(Validation!E6644,Lists!G:G,0))</f>
        <v>Principal outstanding cannot be negative.</v>
      </c>
      <c r="H6644" s="16" t="str">
        <f t="shared" ca="1" si="753"/>
        <v/>
      </c>
      <c r="I6644" s="16" t="str">
        <f t="shared" ca="1" si="754"/>
        <v/>
      </c>
      <c r="J6644" s="17" t="str">
        <f t="shared" ca="1" si="755"/>
        <v/>
      </c>
    </row>
    <row r="6645" spans="1:10" x14ac:dyDescent="0.25">
      <c r="A6645" t="s">
        <v>943</v>
      </c>
      <c r="B6645" t="str">
        <f>ADDRESS(ROW('Loan 1'!$C$38),COLUMN('Loan 1'!$C$38),4)</f>
        <v>C38</v>
      </c>
      <c r="C6645" t="str">
        <f>ADDRESS(ROW('Loan 1'!$D$38),COLUMN('Loan 1'!$D$38),4)</f>
        <v>D38</v>
      </c>
      <c r="D6645" t="b" cm="1">
        <f t="array" aca="1" ref="D6645" ca="1">IF(INDIRECT("'"&amp;A6645&amp;"'!"&amp;B6645)&lt;0,TRUE,FALSE)</f>
        <v>0</v>
      </c>
      <c r="E6645" t="s">
        <v>626</v>
      </c>
      <c r="F6645" t="str">
        <f>INDEX(Lists!I:I,MATCH(Validation!E6645,Lists!G:G,0))</f>
        <v>Error</v>
      </c>
      <c r="G6645" t="str">
        <f>INDEX(Lists!H:H,MATCH(Validation!E6645,Lists!G:G,0))</f>
        <v>Principal outstanding cannot be negative.</v>
      </c>
      <c r="H6645" s="16" t="str">
        <f t="shared" ca="1" si="753"/>
        <v/>
      </c>
      <c r="I6645" s="16" t="str">
        <f t="shared" ca="1" si="754"/>
        <v/>
      </c>
      <c r="J6645" s="17" t="str">
        <f t="shared" ca="1" si="755"/>
        <v/>
      </c>
    </row>
    <row r="6646" spans="1:10" x14ac:dyDescent="0.25">
      <c r="A6646" t="s">
        <v>944</v>
      </c>
      <c r="B6646" t="str">
        <f>ADDRESS(ROW('Loan 1'!$C$38),COLUMN('Loan 1'!$C$38),4)</f>
        <v>C38</v>
      </c>
      <c r="C6646" t="str">
        <f>ADDRESS(ROW('Loan 1'!$D$38),COLUMN('Loan 1'!$D$38),4)</f>
        <v>D38</v>
      </c>
      <c r="D6646" t="b" cm="1">
        <f t="array" aca="1" ref="D6646" ca="1">IF(INDIRECT("'"&amp;A6646&amp;"'!"&amp;B6646)&lt;0,TRUE,FALSE)</f>
        <v>0</v>
      </c>
      <c r="E6646" t="s">
        <v>626</v>
      </c>
      <c r="F6646" t="str">
        <f>INDEX(Lists!I:I,MATCH(Validation!E6646,Lists!G:G,0))</f>
        <v>Error</v>
      </c>
      <c r="G6646" t="str">
        <f>INDEX(Lists!H:H,MATCH(Validation!E6646,Lists!G:G,0))</f>
        <v>Principal outstanding cannot be negative.</v>
      </c>
      <c r="H6646" s="16" t="str">
        <f t="shared" ca="1" si="753"/>
        <v/>
      </c>
      <c r="I6646" s="16" t="str">
        <f t="shared" ca="1" si="754"/>
        <v/>
      </c>
      <c r="J6646" s="17" t="str">
        <f t="shared" ca="1" si="755"/>
        <v/>
      </c>
    </row>
    <row r="6647" spans="1:10" x14ac:dyDescent="0.25">
      <c r="A6647" t="s">
        <v>945</v>
      </c>
      <c r="B6647" t="str">
        <f>ADDRESS(ROW('Loan 1'!$C$38),COLUMN('Loan 1'!$C$38),4)</f>
        <v>C38</v>
      </c>
      <c r="C6647" t="str">
        <f>ADDRESS(ROW('Loan 1'!$D$38),COLUMN('Loan 1'!$D$38),4)</f>
        <v>D38</v>
      </c>
      <c r="D6647" t="b" cm="1">
        <f t="array" aca="1" ref="D6647" ca="1">IF(INDIRECT("'"&amp;A6647&amp;"'!"&amp;B6647)&lt;0,TRUE,FALSE)</f>
        <v>0</v>
      </c>
      <c r="E6647" t="s">
        <v>626</v>
      </c>
      <c r="F6647" t="str">
        <f>INDEX(Lists!I:I,MATCH(Validation!E6647,Lists!G:G,0))</f>
        <v>Error</v>
      </c>
      <c r="G6647" t="str">
        <f>INDEX(Lists!H:H,MATCH(Validation!E6647,Lists!G:G,0))</f>
        <v>Principal outstanding cannot be negative.</v>
      </c>
      <c r="H6647" s="16" t="str">
        <f t="shared" ca="1" si="753"/>
        <v/>
      </c>
      <c r="I6647" s="16" t="str">
        <f t="shared" ca="1" si="754"/>
        <v/>
      </c>
      <c r="J6647" s="17" t="str">
        <f t="shared" ca="1" si="755"/>
        <v/>
      </c>
    </row>
    <row r="6648" spans="1:10" x14ac:dyDescent="0.25">
      <c r="A6648" t="s">
        <v>205</v>
      </c>
      <c r="B6648" t="str">
        <f>ADDRESS(ROW('Loan 1'!$B$39),COLUMN('Loan 1'!$B$39),4)</f>
        <v>B39</v>
      </c>
      <c r="C6648" t="str">
        <f>ADDRESS(ROW('Loan 1'!$D$39),COLUMN('Loan 1'!$D$39),4)</f>
        <v>D39</v>
      </c>
      <c r="D6648" t="b" cm="1">
        <f t="array" aca="1" ref="D6648" ca="1">IF(INDIRECT("'"&amp;A6648&amp;"'!"&amp;B6648)="",FALSE,IF(NOT(ISNUMBER(INDIRECT("'"&amp;A6648&amp;"'!"&amp;B6648))),TRUE,FALSE))</f>
        <v>0</v>
      </c>
      <c r="E6648" t="s">
        <v>435</v>
      </c>
      <c r="F6648" t="str">
        <f>INDEX(Lists!I:I,MATCH(Validation!E6648,Lists!G:G,0))</f>
        <v>Error</v>
      </c>
      <c r="G6648" t="str">
        <f>INDEX(Lists!H:H,MATCH(Validation!E6648,Lists!G:G,0))</f>
        <v>Enter an amount only. Do not enter text or spaces.</v>
      </c>
      <c r="H6648" s="16" t="str">
        <f t="shared" ca="1" si="744"/>
        <v/>
      </c>
      <c r="I6648" s="16" t="str">
        <f t="shared" ca="1" si="745"/>
        <v/>
      </c>
      <c r="J6648" s="17" t="str">
        <f t="shared" ca="1" si="746"/>
        <v/>
      </c>
    </row>
    <row r="6649" spans="1:10" x14ac:dyDescent="0.25">
      <c r="A6649" t="s">
        <v>932</v>
      </c>
      <c r="B6649" t="str">
        <f>ADDRESS(ROW('Loan 1'!$B$39),COLUMN('Loan 1'!$B$39),4)</f>
        <v>B39</v>
      </c>
      <c r="C6649" t="str">
        <f>ADDRESS(ROW('Loan 1'!$D$39),COLUMN('Loan 1'!$D$39),4)</f>
        <v>D39</v>
      </c>
      <c r="D6649" t="b" cm="1">
        <f t="array" aca="1" ref="D6649" ca="1">IF(INDIRECT("'"&amp;A6649&amp;"'!"&amp;B6649)="",FALSE,IF(NOT(ISNUMBER(INDIRECT("'"&amp;A6649&amp;"'!"&amp;B6649))),TRUE,FALSE))</f>
        <v>0</v>
      </c>
      <c r="E6649" t="s">
        <v>435</v>
      </c>
      <c r="F6649" t="str">
        <f>INDEX(Lists!I:I,MATCH(Validation!E6649,Lists!G:G,0))</f>
        <v>Error</v>
      </c>
      <c r="G6649" t="str">
        <f>INDEX(Lists!H:H,MATCH(Validation!E6649,Lists!G:G,0))</f>
        <v>Enter an amount only. Do not enter text or spaces.</v>
      </c>
      <c r="H6649" s="16" t="str">
        <f t="shared" ca="1" si="744"/>
        <v/>
      </c>
      <c r="I6649" s="16" t="str">
        <f t="shared" ca="1" si="745"/>
        <v/>
      </c>
      <c r="J6649" s="17" t="str">
        <f t="shared" ca="1" si="746"/>
        <v/>
      </c>
    </row>
    <row r="6650" spans="1:10" x14ac:dyDescent="0.25">
      <c r="A6650" t="s">
        <v>933</v>
      </c>
      <c r="B6650" t="str">
        <f>ADDRESS(ROW('Loan 1'!$B$39),COLUMN('Loan 1'!$B$39),4)</f>
        <v>B39</v>
      </c>
      <c r="C6650" t="str">
        <f>ADDRESS(ROW('Loan 1'!$D$39),COLUMN('Loan 1'!$D$39),4)</f>
        <v>D39</v>
      </c>
      <c r="D6650" t="b" cm="1">
        <f t="array" aca="1" ref="D6650" ca="1">IF(INDIRECT("'"&amp;A6650&amp;"'!"&amp;B6650)="",FALSE,IF(NOT(ISNUMBER(INDIRECT("'"&amp;A6650&amp;"'!"&amp;B6650))),TRUE,FALSE))</f>
        <v>0</v>
      </c>
      <c r="E6650" t="s">
        <v>435</v>
      </c>
      <c r="F6650" t="str">
        <f>INDEX(Lists!I:I,MATCH(Validation!E6650,Lists!G:G,0))</f>
        <v>Error</v>
      </c>
      <c r="G6650" t="str">
        <f>INDEX(Lists!H:H,MATCH(Validation!E6650,Lists!G:G,0))</f>
        <v>Enter an amount only. Do not enter text or spaces.</v>
      </c>
      <c r="H6650" s="16" t="str">
        <f t="shared" ca="1" si="744"/>
        <v/>
      </c>
      <c r="I6650" s="16" t="str">
        <f t="shared" ca="1" si="745"/>
        <v/>
      </c>
      <c r="J6650" s="17" t="str">
        <f t="shared" ca="1" si="746"/>
        <v/>
      </c>
    </row>
    <row r="6651" spans="1:10" x14ac:dyDescent="0.25">
      <c r="A6651" t="s">
        <v>934</v>
      </c>
      <c r="B6651" t="str">
        <f>ADDRESS(ROW('Loan 1'!$B$39),COLUMN('Loan 1'!$B$39),4)</f>
        <v>B39</v>
      </c>
      <c r="C6651" t="str">
        <f>ADDRESS(ROW('Loan 1'!$D$39),COLUMN('Loan 1'!$D$39),4)</f>
        <v>D39</v>
      </c>
      <c r="D6651" t="b" cm="1">
        <f t="array" aca="1" ref="D6651" ca="1">IF(INDIRECT("'"&amp;A6651&amp;"'!"&amp;B6651)="",FALSE,IF(NOT(ISNUMBER(INDIRECT("'"&amp;A6651&amp;"'!"&amp;B6651))),TRUE,FALSE))</f>
        <v>0</v>
      </c>
      <c r="E6651" t="s">
        <v>435</v>
      </c>
      <c r="F6651" t="str">
        <f>INDEX(Lists!I:I,MATCH(Validation!E6651,Lists!G:G,0))</f>
        <v>Error</v>
      </c>
      <c r="G6651" t="str">
        <f>INDEX(Lists!H:H,MATCH(Validation!E6651,Lists!G:G,0))</f>
        <v>Enter an amount only. Do not enter text or spaces.</v>
      </c>
      <c r="H6651" s="16" t="str">
        <f t="shared" ca="1" si="744"/>
        <v/>
      </c>
      <c r="I6651" s="16" t="str">
        <f t="shared" ca="1" si="745"/>
        <v/>
      </c>
      <c r="J6651" s="17" t="str">
        <f t="shared" ca="1" si="746"/>
        <v/>
      </c>
    </row>
    <row r="6652" spans="1:10" x14ac:dyDescent="0.25">
      <c r="A6652" t="s">
        <v>935</v>
      </c>
      <c r="B6652" t="str">
        <f>ADDRESS(ROW('Loan 1'!$B$39),COLUMN('Loan 1'!$B$39),4)</f>
        <v>B39</v>
      </c>
      <c r="C6652" t="str">
        <f>ADDRESS(ROW('Loan 1'!$D$39),COLUMN('Loan 1'!$D$39),4)</f>
        <v>D39</v>
      </c>
      <c r="D6652" t="b" cm="1">
        <f t="array" aca="1" ref="D6652" ca="1">IF(INDIRECT("'"&amp;A6652&amp;"'!"&amp;B6652)="",FALSE,IF(NOT(ISNUMBER(INDIRECT("'"&amp;A6652&amp;"'!"&amp;B6652))),TRUE,FALSE))</f>
        <v>0</v>
      </c>
      <c r="E6652" t="s">
        <v>435</v>
      </c>
      <c r="F6652" t="str">
        <f>INDEX(Lists!I:I,MATCH(Validation!E6652,Lists!G:G,0))</f>
        <v>Error</v>
      </c>
      <c r="G6652" t="str">
        <f>INDEX(Lists!H:H,MATCH(Validation!E6652,Lists!G:G,0))</f>
        <v>Enter an amount only. Do not enter text or spaces.</v>
      </c>
      <c r="H6652" s="16" t="str">
        <f t="shared" ca="1" si="744"/>
        <v/>
      </c>
      <c r="I6652" s="16" t="str">
        <f t="shared" ca="1" si="745"/>
        <v/>
      </c>
      <c r="J6652" s="17" t="str">
        <f t="shared" ca="1" si="746"/>
        <v/>
      </c>
    </row>
    <row r="6653" spans="1:10" x14ac:dyDescent="0.25">
      <c r="A6653" t="s">
        <v>936</v>
      </c>
      <c r="B6653" t="str">
        <f>ADDRESS(ROW('Loan 1'!$B$39),COLUMN('Loan 1'!$B$39),4)</f>
        <v>B39</v>
      </c>
      <c r="C6653" t="str">
        <f>ADDRESS(ROW('Loan 1'!$D$39),COLUMN('Loan 1'!$D$39),4)</f>
        <v>D39</v>
      </c>
      <c r="D6653" t="b" cm="1">
        <f t="array" aca="1" ref="D6653" ca="1">IF(INDIRECT("'"&amp;A6653&amp;"'!"&amp;B6653)="",FALSE,IF(NOT(ISNUMBER(INDIRECT("'"&amp;A6653&amp;"'!"&amp;B6653))),TRUE,FALSE))</f>
        <v>0</v>
      </c>
      <c r="E6653" t="s">
        <v>435</v>
      </c>
      <c r="F6653" t="str">
        <f>INDEX(Lists!I:I,MATCH(Validation!E6653,Lists!G:G,0))</f>
        <v>Error</v>
      </c>
      <c r="G6653" t="str">
        <f>INDEX(Lists!H:H,MATCH(Validation!E6653,Lists!G:G,0))</f>
        <v>Enter an amount only. Do not enter text or spaces.</v>
      </c>
      <c r="H6653" s="16" t="str">
        <f t="shared" ca="1" si="744"/>
        <v/>
      </c>
      <c r="I6653" s="16" t="str">
        <f t="shared" ca="1" si="745"/>
        <v/>
      </c>
      <c r="J6653" s="17" t="str">
        <f t="shared" ca="1" si="746"/>
        <v/>
      </c>
    </row>
    <row r="6654" spans="1:10" x14ac:dyDescent="0.25">
      <c r="A6654" t="s">
        <v>937</v>
      </c>
      <c r="B6654" t="str">
        <f>ADDRESS(ROW('Loan 1'!$B$39),COLUMN('Loan 1'!$B$39),4)</f>
        <v>B39</v>
      </c>
      <c r="C6654" t="str">
        <f>ADDRESS(ROW('Loan 1'!$D$39),COLUMN('Loan 1'!$D$39),4)</f>
        <v>D39</v>
      </c>
      <c r="D6654" t="b" cm="1">
        <f t="array" aca="1" ref="D6654" ca="1">IF(INDIRECT("'"&amp;A6654&amp;"'!"&amp;B6654)="",FALSE,IF(NOT(ISNUMBER(INDIRECT("'"&amp;A6654&amp;"'!"&amp;B6654))),TRUE,FALSE))</f>
        <v>0</v>
      </c>
      <c r="E6654" t="s">
        <v>435</v>
      </c>
      <c r="F6654" t="str">
        <f>INDEX(Lists!I:I,MATCH(Validation!E6654,Lists!G:G,0))</f>
        <v>Error</v>
      </c>
      <c r="G6654" t="str">
        <f>INDEX(Lists!H:H,MATCH(Validation!E6654,Lists!G:G,0))</f>
        <v>Enter an amount only. Do not enter text or spaces.</v>
      </c>
      <c r="H6654" s="16" t="str">
        <f t="shared" ca="1" si="744"/>
        <v/>
      </c>
      <c r="I6654" s="16" t="str">
        <f t="shared" ca="1" si="745"/>
        <v/>
      </c>
      <c r="J6654" s="17" t="str">
        <f t="shared" ca="1" si="746"/>
        <v/>
      </c>
    </row>
    <row r="6655" spans="1:10" x14ac:dyDescent="0.25">
      <c r="A6655" t="s">
        <v>938</v>
      </c>
      <c r="B6655" t="str">
        <f>ADDRESS(ROW('Loan 1'!$B$39),COLUMN('Loan 1'!$B$39),4)</f>
        <v>B39</v>
      </c>
      <c r="C6655" t="str">
        <f>ADDRESS(ROW('Loan 1'!$D$39),COLUMN('Loan 1'!$D$39),4)</f>
        <v>D39</v>
      </c>
      <c r="D6655" t="b" cm="1">
        <f t="array" aca="1" ref="D6655" ca="1">IF(INDIRECT("'"&amp;A6655&amp;"'!"&amp;B6655)="",FALSE,IF(NOT(ISNUMBER(INDIRECT("'"&amp;A6655&amp;"'!"&amp;B6655))),TRUE,FALSE))</f>
        <v>0</v>
      </c>
      <c r="E6655" t="s">
        <v>435</v>
      </c>
      <c r="F6655" t="str">
        <f>INDEX(Lists!I:I,MATCH(Validation!E6655,Lists!G:G,0))</f>
        <v>Error</v>
      </c>
      <c r="G6655" t="str">
        <f>INDEX(Lists!H:H,MATCH(Validation!E6655,Lists!G:G,0))</f>
        <v>Enter an amount only. Do not enter text or spaces.</v>
      </c>
      <c r="H6655" s="16" t="str">
        <f t="shared" ca="1" si="744"/>
        <v/>
      </c>
      <c r="I6655" s="16" t="str">
        <f t="shared" ca="1" si="745"/>
        <v/>
      </c>
      <c r="J6655" s="17" t="str">
        <f t="shared" ca="1" si="746"/>
        <v/>
      </c>
    </row>
    <row r="6656" spans="1:10" x14ac:dyDescent="0.25">
      <c r="A6656" t="s">
        <v>939</v>
      </c>
      <c r="B6656" t="str">
        <f>ADDRESS(ROW('Loan 1'!$B$39),COLUMN('Loan 1'!$B$39),4)</f>
        <v>B39</v>
      </c>
      <c r="C6656" t="str">
        <f>ADDRESS(ROW('Loan 1'!$D$39),COLUMN('Loan 1'!$D$39),4)</f>
        <v>D39</v>
      </c>
      <c r="D6656" t="b" cm="1">
        <f t="array" aca="1" ref="D6656" ca="1">IF(INDIRECT("'"&amp;A6656&amp;"'!"&amp;B6656)="",FALSE,IF(NOT(ISNUMBER(INDIRECT("'"&amp;A6656&amp;"'!"&amp;B6656))),TRUE,FALSE))</f>
        <v>0</v>
      </c>
      <c r="E6656" t="s">
        <v>435</v>
      </c>
      <c r="F6656" t="str">
        <f>INDEX(Lists!I:I,MATCH(Validation!E6656,Lists!G:G,0))</f>
        <v>Error</v>
      </c>
      <c r="G6656" t="str">
        <f>INDEX(Lists!H:H,MATCH(Validation!E6656,Lists!G:G,0))</f>
        <v>Enter an amount only. Do not enter text or spaces.</v>
      </c>
      <c r="H6656" s="16" t="str">
        <f t="shared" ca="1" si="744"/>
        <v/>
      </c>
      <c r="I6656" s="16" t="str">
        <f t="shared" ca="1" si="745"/>
        <v/>
      </c>
      <c r="J6656" s="17" t="str">
        <f t="shared" ca="1" si="746"/>
        <v/>
      </c>
    </row>
    <row r="6657" spans="1:10" x14ac:dyDescent="0.25">
      <c r="A6657" t="s">
        <v>940</v>
      </c>
      <c r="B6657" t="str">
        <f>ADDRESS(ROW('Loan 1'!$B$39),COLUMN('Loan 1'!$B$39),4)</f>
        <v>B39</v>
      </c>
      <c r="C6657" t="str">
        <f>ADDRESS(ROW('Loan 1'!$D$39),COLUMN('Loan 1'!$D$39),4)</f>
        <v>D39</v>
      </c>
      <c r="D6657" t="b" cm="1">
        <f t="array" aca="1" ref="D6657" ca="1">IF(INDIRECT("'"&amp;A6657&amp;"'!"&amp;B6657)="",FALSE,IF(NOT(ISNUMBER(INDIRECT("'"&amp;A6657&amp;"'!"&amp;B6657))),TRUE,FALSE))</f>
        <v>0</v>
      </c>
      <c r="E6657" t="s">
        <v>435</v>
      </c>
      <c r="F6657" t="str">
        <f>INDEX(Lists!I:I,MATCH(Validation!E6657,Lists!G:G,0))</f>
        <v>Error</v>
      </c>
      <c r="G6657" t="str">
        <f>INDEX(Lists!H:H,MATCH(Validation!E6657,Lists!G:G,0))</f>
        <v>Enter an amount only. Do not enter text or spaces.</v>
      </c>
      <c r="H6657" s="16" t="str">
        <f t="shared" ca="1" si="744"/>
        <v/>
      </c>
      <c r="I6657" s="16" t="str">
        <f t="shared" ca="1" si="745"/>
        <v/>
      </c>
      <c r="J6657" s="17" t="str">
        <f t="shared" ca="1" si="746"/>
        <v/>
      </c>
    </row>
    <row r="6658" spans="1:10" x14ac:dyDescent="0.25">
      <c r="A6658" t="s">
        <v>941</v>
      </c>
      <c r="B6658" t="str">
        <f>ADDRESS(ROW('Loan 1'!$B$39),COLUMN('Loan 1'!$B$39),4)</f>
        <v>B39</v>
      </c>
      <c r="C6658" t="str">
        <f>ADDRESS(ROW('Loan 1'!$D$39),COLUMN('Loan 1'!$D$39),4)</f>
        <v>D39</v>
      </c>
      <c r="D6658" t="b" cm="1">
        <f t="array" aca="1" ref="D6658" ca="1">IF(INDIRECT("'"&amp;A6658&amp;"'!"&amp;B6658)="",FALSE,IF(NOT(ISNUMBER(INDIRECT("'"&amp;A6658&amp;"'!"&amp;B6658))),TRUE,FALSE))</f>
        <v>0</v>
      </c>
      <c r="E6658" t="s">
        <v>435</v>
      </c>
      <c r="F6658" t="str">
        <f>INDEX(Lists!I:I,MATCH(Validation!E6658,Lists!G:G,0))</f>
        <v>Error</v>
      </c>
      <c r="G6658" t="str">
        <f>INDEX(Lists!H:H,MATCH(Validation!E6658,Lists!G:G,0))</f>
        <v>Enter an amount only. Do not enter text or spaces.</v>
      </c>
      <c r="H6658" s="16" t="str">
        <f t="shared" ca="1" si="744"/>
        <v/>
      </c>
      <c r="I6658" s="16" t="str">
        <f t="shared" ca="1" si="745"/>
        <v/>
      </c>
      <c r="J6658" s="17" t="str">
        <f t="shared" ca="1" si="746"/>
        <v/>
      </c>
    </row>
    <row r="6659" spans="1:10" x14ac:dyDescent="0.25">
      <c r="A6659" t="s">
        <v>942</v>
      </c>
      <c r="B6659" t="str">
        <f>ADDRESS(ROW('Loan 1'!$B$39),COLUMN('Loan 1'!$B$39),4)</f>
        <v>B39</v>
      </c>
      <c r="C6659" t="str">
        <f>ADDRESS(ROW('Loan 1'!$D$39),COLUMN('Loan 1'!$D$39),4)</f>
        <v>D39</v>
      </c>
      <c r="D6659" t="b" cm="1">
        <f t="array" aca="1" ref="D6659" ca="1">IF(INDIRECT("'"&amp;A6659&amp;"'!"&amp;B6659)="",FALSE,IF(NOT(ISNUMBER(INDIRECT("'"&amp;A6659&amp;"'!"&amp;B6659))),TRUE,FALSE))</f>
        <v>0</v>
      </c>
      <c r="E6659" t="s">
        <v>435</v>
      </c>
      <c r="F6659" t="str">
        <f>INDEX(Lists!I:I,MATCH(Validation!E6659,Lists!G:G,0))</f>
        <v>Error</v>
      </c>
      <c r="G6659" t="str">
        <f>INDEX(Lists!H:H,MATCH(Validation!E6659,Lists!G:G,0))</f>
        <v>Enter an amount only. Do not enter text or spaces.</v>
      </c>
      <c r="H6659" s="16" t="str">
        <f t="shared" ca="1" si="744"/>
        <v/>
      </c>
      <c r="I6659" s="16" t="str">
        <f t="shared" ca="1" si="745"/>
        <v/>
      </c>
      <c r="J6659" s="17" t="str">
        <f t="shared" ca="1" si="746"/>
        <v/>
      </c>
    </row>
    <row r="6660" spans="1:10" x14ac:dyDescent="0.25">
      <c r="A6660" t="s">
        <v>943</v>
      </c>
      <c r="B6660" t="str">
        <f>ADDRESS(ROW('Loan 1'!$B$39),COLUMN('Loan 1'!$B$39),4)</f>
        <v>B39</v>
      </c>
      <c r="C6660" t="str">
        <f>ADDRESS(ROW('Loan 1'!$D$39),COLUMN('Loan 1'!$D$39),4)</f>
        <v>D39</v>
      </c>
      <c r="D6660" t="b" cm="1">
        <f t="array" aca="1" ref="D6660" ca="1">IF(INDIRECT("'"&amp;A6660&amp;"'!"&amp;B6660)="",FALSE,IF(NOT(ISNUMBER(INDIRECT("'"&amp;A6660&amp;"'!"&amp;B6660))),TRUE,FALSE))</f>
        <v>0</v>
      </c>
      <c r="E6660" t="s">
        <v>435</v>
      </c>
      <c r="F6660" t="str">
        <f>INDEX(Lists!I:I,MATCH(Validation!E6660,Lists!G:G,0))</f>
        <v>Error</v>
      </c>
      <c r="G6660" t="str">
        <f>INDEX(Lists!H:H,MATCH(Validation!E6660,Lists!G:G,0))</f>
        <v>Enter an amount only. Do not enter text or spaces.</v>
      </c>
      <c r="H6660" s="16" t="str">
        <f t="shared" ca="1" si="744"/>
        <v/>
      </c>
      <c r="I6660" s="16" t="str">
        <f t="shared" ca="1" si="745"/>
        <v/>
      </c>
      <c r="J6660" s="17" t="str">
        <f t="shared" ca="1" si="746"/>
        <v/>
      </c>
    </row>
    <row r="6661" spans="1:10" x14ac:dyDescent="0.25">
      <c r="A6661" t="s">
        <v>944</v>
      </c>
      <c r="B6661" t="str">
        <f>ADDRESS(ROW('Loan 1'!$B$39),COLUMN('Loan 1'!$B$39),4)</f>
        <v>B39</v>
      </c>
      <c r="C6661" t="str">
        <f>ADDRESS(ROW('Loan 1'!$D$39),COLUMN('Loan 1'!$D$39),4)</f>
        <v>D39</v>
      </c>
      <c r="D6661" t="b" cm="1">
        <f t="array" aca="1" ref="D6661" ca="1">IF(INDIRECT("'"&amp;A6661&amp;"'!"&amp;B6661)="",FALSE,IF(NOT(ISNUMBER(INDIRECT("'"&amp;A6661&amp;"'!"&amp;B6661))),TRUE,FALSE))</f>
        <v>0</v>
      </c>
      <c r="E6661" t="s">
        <v>435</v>
      </c>
      <c r="F6661" t="str">
        <f>INDEX(Lists!I:I,MATCH(Validation!E6661,Lists!G:G,0))</f>
        <v>Error</v>
      </c>
      <c r="G6661" t="str">
        <f>INDEX(Lists!H:H,MATCH(Validation!E6661,Lists!G:G,0))</f>
        <v>Enter an amount only. Do not enter text or spaces.</v>
      </c>
      <c r="H6661" s="16" t="str">
        <f t="shared" ca="1" si="744"/>
        <v/>
      </c>
      <c r="I6661" s="16" t="str">
        <f t="shared" ca="1" si="745"/>
        <v/>
      </c>
      <c r="J6661" s="17" t="str">
        <f t="shared" ca="1" si="746"/>
        <v/>
      </c>
    </row>
    <row r="6662" spans="1:10" x14ac:dyDescent="0.25">
      <c r="A6662" t="s">
        <v>945</v>
      </c>
      <c r="B6662" t="str">
        <f>ADDRESS(ROW('Loan 1'!$B$39),COLUMN('Loan 1'!$B$39),4)</f>
        <v>B39</v>
      </c>
      <c r="C6662" t="str">
        <f>ADDRESS(ROW('Loan 1'!$D$39),COLUMN('Loan 1'!$D$39),4)</f>
        <v>D39</v>
      </c>
      <c r="D6662" t="b" cm="1">
        <f t="array" aca="1" ref="D6662" ca="1">IF(INDIRECT("'"&amp;A6662&amp;"'!"&amp;B6662)="",FALSE,IF(NOT(ISNUMBER(INDIRECT("'"&amp;A6662&amp;"'!"&amp;B6662))),TRUE,FALSE))</f>
        <v>0</v>
      </c>
      <c r="E6662" t="s">
        <v>435</v>
      </c>
      <c r="F6662" t="str">
        <f>INDEX(Lists!I:I,MATCH(Validation!E6662,Lists!G:G,0))</f>
        <v>Error</v>
      </c>
      <c r="G6662" t="str">
        <f>INDEX(Lists!H:H,MATCH(Validation!E6662,Lists!G:G,0))</f>
        <v>Enter an amount only. Do not enter text or spaces.</v>
      </c>
      <c r="H6662" s="16" t="str">
        <f t="shared" ca="1" si="744"/>
        <v/>
      </c>
      <c r="I6662" s="16" t="str">
        <f t="shared" ca="1" si="745"/>
        <v/>
      </c>
      <c r="J6662" s="17" t="str">
        <f t="shared" ca="1" si="746"/>
        <v/>
      </c>
    </row>
    <row r="6663" spans="1:10" x14ac:dyDescent="0.25">
      <c r="A6663" t="s">
        <v>205</v>
      </c>
      <c r="B6663" t="str">
        <f>ADDRESS(ROW('Loan 1'!$B$39),COLUMN('Loan 1'!$B$39),4)</f>
        <v>B39</v>
      </c>
      <c r="C6663" t="str">
        <f>ADDRESS(ROW('Loan 1'!$D$39),COLUMN('Loan 1'!$D$39),4)</f>
        <v>D39</v>
      </c>
      <c r="D6663" t="b" cm="1">
        <f t="array" aca="1" ref="D6663" ca="1">IF(INDIRECT("'"&amp;A6663&amp;"'!"&amp;B6663)="",FALSE,IF(INDIRECT("'"&amp;A6663&amp;"'!"&amp;B6663)&lt;0,TRUE,FALSE))</f>
        <v>0</v>
      </c>
      <c r="E6663" t="s">
        <v>434</v>
      </c>
      <c r="F6663" t="str">
        <f>INDEX(Lists!I:I,MATCH(Validation!E6663,Lists!G:G,0))</f>
        <v>Error</v>
      </c>
      <c r="G6663" t="str">
        <f>INDEX(Lists!H:H,MATCH(Validation!E6663,Lists!G:G,0))</f>
        <v>Amount may not be negative. Enter an amount greater than or equal to zero.</v>
      </c>
      <c r="H6663" s="16" t="str">
        <f t="shared" ca="1" si="744"/>
        <v/>
      </c>
      <c r="I6663" s="16" t="str">
        <f t="shared" ca="1" si="745"/>
        <v/>
      </c>
      <c r="J6663" s="17" t="str">
        <f t="shared" ca="1" si="746"/>
        <v/>
      </c>
    </row>
    <row r="6664" spans="1:10" x14ac:dyDescent="0.25">
      <c r="A6664" t="s">
        <v>932</v>
      </c>
      <c r="B6664" t="str">
        <f>ADDRESS(ROW('Loan 1'!$B$39),COLUMN('Loan 1'!$B$39),4)</f>
        <v>B39</v>
      </c>
      <c r="C6664" t="str">
        <f>ADDRESS(ROW('Loan 1'!$D$39),COLUMN('Loan 1'!$D$39),4)</f>
        <v>D39</v>
      </c>
      <c r="D6664" t="b" cm="1">
        <f t="array" aca="1" ref="D6664" ca="1">IF(INDIRECT("'"&amp;A6664&amp;"'!"&amp;B6664)="",FALSE,IF(INDIRECT("'"&amp;A6664&amp;"'!"&amp;B6664)&lt;0,TRUE,FALSE))</f>
        <v>0</v>
      </c>
      <c r="E6664" t="s">
        <v>434</v>
      </c>
      <c r="F6664" t="str">
        <f>INDEX(Lists!I:I,MATCH(Validation!E6664,Lists!G:G,0))</f>
        <v>Error</v>
      </c>
      <c r="G6664" t="str">
        <f>INDEX(Lists!H:H,MATCH(Validation!E6664,Lists!G:G,0))</f>
        <v>Amount may not be negative. Enter an amount greater than or equal to zero.</v>
      </c>
      <c r="H6664" s="16" t="str">
        <f t="shared" ref="H6664:H6677" ca="1" si="756">IFERROR(IF(OR(NOT(D6664),F6664&lt;&gt;"Error"),"",A6664&amp;CELL("address",INDIRECT(B6664))),"")</f>
        <v/>
      </c>
      <c r="I6664" s="16" t="str">
        <f t="shared" ref="I6664:I6677" ca="1" si="757">IFERROR(IF(NOT(D6664),"",A6664&amp;CELL("address",INDIRECT(C6664))),"")</f>
        <v/>
      </c>
      <c r="J6664" s="17" t="str">
        <f t="shared" ref="J6664:J6677" ca="1" si="758">IFERROR(IF(NOT(D6664),"",A6664),"")</f>
        <v/>
      </c>
    </row>
    <row r="6665" spans="1:10" x14ac:dyDescent="0.25">
      <c r="A6665" t="s">
        <v>933</v>
      </c>
      <c r="B6665" t="str">
        <f>ADDRESS(ROW('Loan 1'!$B$39),COLUMN('Loan 1'!$B$39),4)</f>
        <v>B39</v>
      </c>
      <c r="C6665" t="str">
        <f>ADDRESS(ROW('Loan 1'!$D$39),COLUMN('Loan 1'!$D$39),4)</f>
        <v>D39</v>
      </c>
      <c r="D6665" t="b" cm="1">
        <f t="array" aca="1" ref="D6665" ca="1">IF(INDIRECT("'"&amp;A6665&amp;"'!"&amp;B6665)="",FALSE,IF(INDIRECT("'"&amp;A6665&amp;"'!"&amp;B6665)&lt;0,TRUE,FALSE))</f>
        <v>0</v>
      </c>
      <c r="E6665" t="s">
        <v>434</v>
      </c>
      <c r="F6665" t="str">
        <f>INDEX(Lists!I:I,MATCH(Validation!E6665,Lists!G:G,0))</f>
        <v>Error</v>
      </c>
      <c r="G6665" t="str">
        <f>INDEX(Lists!H:H,MATCH(Validation!E6665,Lists!G:G,0))</f>
        <v>Amount may not be negative. Enter an amount greater than or equal to zero.</v>
      </c>
      <c r="H6665" s="16" t="str">
        <f t="shared" ca="1" si="756"/>
        <v/>
      </c>
      <c r="I6665" s="16" t="str">
        <f t="shared" ca="1" si="757"/>
        <v/>
      </c>
      <c r="J6665" s="17" t="str">
        <f t="shared" ca="1" si="758"/>
        <v/>
      </c>
    </row>
    <row r="6666" spans="1:10" x14ac:dyDescent="0.25">
      <c r="A6666" t="s">
        <v>934</v>
      </c>
      <c r="B6666" t="str">
        <f>ADDRESS(ROW('Loan 1'!$B$39),COLUMN('Loan 1'!$B$39),4)</f>
        <v>B39</v>
      </c>
      <c r="C6666" t="str">
        <f>ADDRESS(ROW('Loan 1'!$D$39),COLUMN('Loan 1'!$D$39),4)</f>
        <v>D39</v>
      </c>
      <c r="D6666" t="b" cm="1">
        <f t="array" aca="1" ref="D6666" ca="1">IF(INDIRECT("'"&amp;A6666&amp;"'!"&amp;B6666)="",FALSE,IF(INDIRECT("'"&amp;A6666&amp;"'!"&amp;B6666)&lt;0,TRUE,FALSE))</f>
        <v>0</v>
      </c>
      <c r="E6666" t="s">
        <v>434</v>
      </c>
      <c r="F6666" t="str">
        <f>INDEX(Lists!I:I,MATCH(Validation!E6666,Lists!G:G,0))</f>
        <v>Error</v>
      </c>
      <c r="G6666" t="str">
        <f>INDEX(Lists!H:H,MATCH(Validation!E6666,Lists!G:G,0))</f>
        <v>Amount may not be negative. Enter an amount greater than or equal to zero.</v>
      </c>
      <c r="H6666" s="16" t="str">
        <f t="shared" ca="1" si="756"/>
        <v/>
      </c>
      <c r="I6666" s="16" t="str">
        <f t="shared" ca="1" si="757"/>
        <v/>
      </c>
      <c r="J6666" s="17" t="str">
        <f t="shared" ca="1" si="758"/>
        <v/>
      </c>
    </row>
    <row r="6667" spans="1:10" x14ac:dyDescent="0.25">
      <c r="A6667" t="s">
        <v>935</v>
      </c>
      <c r="B6667" t="str">
        <f>ADDRESS(ROW('Loan 1'!$B$39),COLUMN('Loan 1'!$B$39),4)</f>
        <v>B39</v>
      </c>
      <c r="C6667" t="str">
        <f>ADDRESS(ROW('Loan 1'!$D$39),COLUMN('Loan 1'!$D$39),4)</f>
        <v>D39</v>
      </c>
      <c r="D6667" t="b" cm="1">
        <f t="array" aca="1" ref="D6667" ca="1">IF(INDIRECT("'"&amp;A6667&amp;"'!"&amp;B6667)="",FALSE,IF(INDIRECT("'"&amp;A6667&amp;"'!"&amp;B6667)&lt;0,TRUE,FALSE))</f>
        <v>0</v>
      </c>
      <c r="E6667" t="s">
        <v>434</v>
      </c>
      <c r="F6667" t="str">
        <f>INDEX(Lists!I:I,MATCH(Validation!E6667,Lists!G:G,0))</f>
        <v>Error</v>
      </c>
      <c r="G6667" t="str">
        <f>INDEX(Lists!H:H,MATCH(Validation!E6667,Lists!G:G,0))</f>
        <v>Amount may not be negative. Enter an amount greater than or equal to zero.</v>
      </c>
      <c r="H6667" s="16" t="str">
        <f t="shared" ca="1" si="756"/>
        <v/>
      </c>
      <c r="I6667" s="16" t="str">
        <f t="shared" ca="1" si="757"/>
        <v/>
      </c>
      <c r="J6667" s="17" t="str">
        <f t="shared" ca="1" si="758"/>
        <v/>
      </c>
    </row>
    <row r="6668" spans="1:10" x14ac:dyDescent="0.25">
      <c r="A6668" t="s">
        <v>936</v>
      </c>
      <c r="B6668" t="str">
        <f>ADDRESS(ROW('Loan 1'!$B$39),COLUMN('Loan 1'!$B$39),4)</f>
        <v>B39</v>
      </c>
      <c r="C6668" t="str">
        <f>ADDRESS(ROW('Loan 1'!$D$39),COLUMN('Loan 1'!$D$39),4)</f>
        <v>D39</v>
      </c>
      <c r="D6668" t="b" cm="1">
        <f t="array" aca="1" ref="D6668" ca="1">IF(INDIRECT("'"&amp;A6668&amp;"'!"&amp;B6668)="",FALSE,IF(INDIRECT("'"&amp;A6668&amp;"'!"&amp;B6668)&lt;0,TRUE,FALSE))</f>
        <v>0</v>
      </c>
      <c r="E6668" t="s">
        <v>434</v>
      </c>
      <c r="F6668" t="str">
        <f>INDEX(Lists!I:I,MATCH(Validation!E6668,Lists!G:G,0))</f>
        <v>Error</v>
      </c>
      <c r="G6668" t="str">
        <f>INDEX(Lists!H:H,MATCH(Validation!E6668,Lists!G:G,0))</f>
        <v>Amount may not be negative. Enter an amount greater than or equal to zero.</v>
      </c>
      <c r="H6668" s="16" t="str">
        <f t="shared" ca="1" si="756"/>
        <v/>
      </c>
      <c r="I6668" s="16" t="str">
        <f t="shared" ca="1" si="757"/>
        <v/>
      </c>
      <c r="J6668" s="17" t="str">
        <f t="shared" ca="1" si="758"/>
        <v/>
      </c>
    </row>
    <row r="6669" spans="1:10" x14ac:dyDescent="0.25">
      <c r="A6669" t="s">
        <v>937</v>
      </c>
      <c r="B6669" t="str">
        <f>ADDRESS(ROW('Loan 1'!$B$39),COLUMN('Loan 1'!$B$39),4)</f>
        <v>B39</v>
      </c>
      <c r="C6669" t="str">
        <f>ADDRESS(ROW('Loan 1'!$D$39),COLUMN('Loan 1'!$D$39),4)</f>
        <v>D39</v>
      </c>
      <c r="D6669" t="b" cm="1">
        <f t="array" aca="1" ref="D6669" ca="1">IF(INDIRECT("'"&amp;A6669&amp;"'!"&amp;B6669)="",FALSE,IF(INDIRECT("'"&amp;A6669&amp;"'!"&amp;B6669)&lt;0,TRUE,FALSE))</f>
        <v>0</v>
      </c>
      <c r="E6669" t="s">
        <v>434</v>
      </c>
      <c r="F6669" t="str">
        <f>INDEX(Lists!I:I,MATCH(Validation!E6669,Lists!G:G,0))</f>
        <v>Error</v>
      </c>
      <c r="G6669" t="str">
        <f>INDEX(Lists!H:H,MATCH(Validation!E6669,Lists!G:G,0))</f>
        <v>Amount may not be negative. Enter an amount greater than or equal to zero.</v>
      </c>
      <c r="H6669" s="16" t="str">
        <f t="shared" ca="1" si="756"/>
        <v/>
      </c>
      <c r="I6669" s="16" t="str">
        <f t="shared" ca="1" si="757"/>
        <v/>
      </c>
      <c r="J6669" s="17" t="str">
        <f t="shared" ca="1" si="758"/>
        <v/>
      </c>
    </row>
    <row r="6670" spans="1:10" x14ac:dyDescent="0.25">
      <c r="A6670" t="s">
        <v>938</v>
      </c>
      <c r="B6670" t="str">
        <f>ADDRESS(ROW('Loan 1'!$B$39),COLUMN('Loan 1'!$B$39),4)</f>
        <v>B39</v>
      </c>
      <c r="C6670" t="str">
        <f>ADDRESS(ROW('Loan 1'!$D$39),COLUMN('Loan 1'!$D$39),4)</f>
        <v>D39</v>
      </c>
      <c r="D6670" t="b" cm="1">
        <f t="array" aca="1" ref="D6670" ca="1">IF(INDIRECT("'"&amp;A6670&amp;"'!"&amp;B6670)="",FALSE,IF(INDIRECT("'"&amp;A6670&amp;"'!"&amp;B6670)&lt;0,TRUE,FALSE))</f>
        <v>0</v>
      </c>
      <c r="E6670" t="s">
        <v>434</v>
      </c>
      <c r="F6670" t="str">
        <f>INDEX(Lists!I:I,MATCH(Validation!E6670,Lists!G:G,0))</f>
        <v>Error</v>
      </c>
      <c r="G6670" t="str">
        <f>INDEX(Lists!H:H,MATCH(Validation!E6670,Lists!G:G,0))</f>
        <v>Amount may not be negative. Enter an amount greater than or equal to zero.</v>
      </c>
      <c r="H6670" s="16" t="str">
        <f t="shared" ca="1" si="756"/>
        <v/>
      </c>
      <c r="I6670" s="16" t="str">
        <f t="shared" ca="1" si="757"/>
        <v/>
      </c>
      <c r="J6670" s="17" t="str">
        <f t="shared" ca="1" si="758"/>
        <v/>
      </c>
    </row>
    <row r="6671" spans="1:10" x14ac:dyDescent="0.25">
      <c r="A6671" t="s">
        <v>939</v>
      </c>
      <c r="B6671" t="str">
        <f>ADDRESS(ROW('Loan 1'!$B$39),COLUMN('Loan 1'!$B$39),4)</f>
        <v>B39</v>
      </c>
      <c r="C6671" t="str">
        <f>ADDRESS(ROW('Loan 1'!$D$39),COLUMN('Loan 1'!$D$39),4)</f>
        <v>D39</v>
      </c>
      <c r="D6671" t="b" cm="1">
        <f t="array" aca="1" ref="D6671" ca="1">IF(INDIRECT("'"&amp;A6671&amp;"'!"&amp;B6671)="",FALSE,IF(INDIRECT("'"&amp;A6671&amp;"'!"&amp;B6671)&lt;0,TRUE,FALSE))</f>
        <v>0</v>
      </c>
      <c r="E6671" t="s">
        <v>434</v>
      </c>
      <c r="F6671" t="str">
        <f>INDEX(Lists!I:I,MATCH(Validation!E6671,Lists!G:G,0))</f>
        <v>Error</v>
      </c>
      <c r="G6671" t="str">
        <f>INDEX(Lists!H:H,MATCH(Validation!E6671,Lists!G:G,0))</f>
        <v>Amount may not be negative. Enter an amount greater than or equal to zero.</v>
      </c>
      <c r="H6671" s="16" t="str">
        <f t="shared" ca="1" si="756"/>
        <v/>
      </c>
      <c r="I6671" s="16" t="str">
        <f t="shared" ca="1" si="757"/>
        <v/>
      </c>
      <c r="J6671" s="17" t="str">
        <f t="shared" ca="1" si="758"/>
        <v/>
      </c>
    </row>
    <row r="6672" spans="1:10" x14ac:dyDescent="0.25">
      <c r="A6672" t="s">
        <v>940</v>
      </c>
      <c r="B6672" t="str">
        <f>ADDRESS(ROW('Loan 1'!$B$39),COLUMN('Loan 1'!$B$39),4)</f>
        <v>B39</v>
      </c>
      <c r="C6672" t="str">
        <f>ADDRESS(ROW('Loan 1'!$D$39),COLUMN('Loan 1'!$D$39),4)</f>
        <v>D39</v>
      </c>
      <c r="D6672" t="b" cm="1">
        <f t="array" aca="1" ref="D6672" ca="1">IF(INDIRECT("'"&amp;A6672&amp;"'!"&amp;B6672)="",FALSE,IF(INDIRECT("'"&amp;A6672&amp;"'!"&amp;B6672)&lt;0,TRUE,FALSE))</f>
        <v>0</v>
      </c>
      <c r="E6672" t="s">
        <v>434</v>
      </c>
      <c r="F6672" t="str">
        <f>INDEX(Lists!I:I,MATCH(Validation!E6672,Lists!G:G,0))</f>
        <v>Error</v>
      </c>
      <c r="G6672" t="str">
        <f>INDEX(Lists!H:H,MATCH(Validation!E6672,Lists!G:G,0))</f>
        <v>Amount may not be negative. Enter an amount greater than or equal to zero.</v>
      </c>
      <c r="H6672" s="16" t="str">
        <f t="shared" ca="1" si="756"/>
        <v/>
      </c>
      <c r="I6672" s="16" t="str">
        <f t="shared" ca="1" si="757"/>
        <v/>
      </c>
      <c r="J6672" s="17" t="str">
        <f t="shared" ca="1" si="758"/>
        <v/>
      </c>
    </row>
    <row r="6673" spans="1:10" x14ac:dyDescent="0.25">
      <c r="A6673" t="s">
        <v>941</v>
      </c>
      <c r="B6673" t="str">
        <f>ADDRESS(ROW('Loan 1'!$B$39),COLUMN('Loan 1'!$B$39),4)</f>
        <v>B39</v>
      </c>
      <c r="C6673" t="str">
        <f>ADDRESS(ROW('Loan 1'!$D$39),COLUMN('Loan 1'!$D$39),4)</f>
        <v>D39</v>
      </c>
      <c r="D6673" t="b" cm="1">
        <f t="array" aca="1" ref="D6673" ca="1">IF(INDIRECT("'"&amp;A6673&amp;"'!"&amp;B6673)="",FALSE,IF(INDIRECT("'"&amp;A6673&amp;"'!"&amp;B6673)&lt;0,TRUE,FALSE))</f>
        <v>0</v>
      </c>
      <c r="E6673" t="s">
        <v>434</v>
      </c>
      <c r="F6673" t="str">
        <f>INDEX(Lists!I:I,MATCH(Validation!E6673,Lists!G:G,0))</f>
        <v>Error</v>
      </c>
      <c r="G6673" t="str">
        <f>INDEX(Lists!H:H,MATCH(Validation!E6673,Lists!G:G,0))</f>
        <v>Amount may not be negative. Enter an amount greater than or equal to zero.</v>
      </c>
      <c r="H6673" s="16" t="str">
        <f t="shared" ca="1" si="756"/>
        <v/>
      </c>
      <c r="I6673" s="16" t="str">
        <f t="shared" ca="1" si="757"/>
        <v/>
      </c>
      <c r="J6673" s="17" t="str">
        <f t="shared" ca="1" si="758"/>
        <v/>
      </c>
    </row>
    <row r="6674" spans="1:10" x14ac:dyDescent="0.25">
      <c r="A6674" t="s">
        <v>942</v>
      </c>
      <c r="B6674" t="str">
        <f>ADDRESS(ROW('Loan 1'!$B$39),COLUMN('Loan 1'!$B$39),4)</f>
        <v>B39</v>
      </c>
      <c r="C6674" t="str">
        <f>ADDRESS(ROW('Loan 1'!$D$39),COLUMN('Loan 1'!$D$39),4)</f>
        <v>D39</v>
      </c>
      <c r="D6674" t="b" cm="1">
        <f t="array" aca="1" ref="D6674" ca="1">IF(INDIRECT("'"&amp;A6674&amp;"'!"&amp;B6674)="",FALSE,IF(INDIRECT("'"&amp;A6674&amp;"'!"&amp;B6674)&lt;0,TRUE,FALSE))</f>
        <v>0</v>
      </c>
      <c r="E6674" t="s">
        <v>434</v>
      </c>
      <c r="F6674" t="str">
        <f>INDEX(Lists!I:I,MATCH(Validation!E6674,Lists!G:G,0))</f>
        <v>Error</v>
      </c>
      <c r="G6674" t="str">
        <f>INDEX(Lists!H:H,MATCH(Validation!E6674,Lists!G:G,0))</f>
        <v>Amount may not be negative. Enter an amount greater than or equal to zero.</v>
      </c>
      <c r="H6674" s="16" t="str">
        <f t="shared" ca="1" si="756"/>
        <v/>
      </c>
      <c r="I6674" s="16" t="str">
        <f t="shared" ca="1" si="757"/>
        <v/>
      </c>
      <c r="J6674" s="17" t="str">
        <f t="shared" ca="1" si="758"/>
        <v/>
      </c>
    </row>
    <row r="6675" spans="1:10" x14ac:dyDescent="0.25">
      <c r="A6675" t="s">
        <v>943</v>
      </c>
      <c r="B6675" t="str">
        <f>ADDRESS(ROW('Loan 1'!$B$39),COLUMN('Loan 1'!$B$39),4)</f>
        <v>B39</v>
      </c>
      <c r="C6675" t="str">
        <f>ADDRESS(ROW('Loan 1'!$D$39),COLUMN('Loan 1'!$D$39),4)</f>
        <v>D39</v>
      </c>
      <c r="D6675" t="b" cm="1">
        <f t="array" aca="1" ref="D6675" ca="1">IF(INDIRECT("'"&amp;A6675&amp;"'!"&amp;B6675)="",FALSE,IF(INDIRECT("'"&amp;A6675&amp;"'!"&amp;B6675)&lt;0,TRUE,FALSE))</f>
        <v>0</v>
      </c>
      <c r="E6675" t="s">
        <v>434</v>
      </c>
      <c r="F6675" t="str">
        <f>INDEX(Lists!I:I,MATCH(Validation!E6675,Lists!G:G,0))</f>
        <v>Error</v>
      </c>
      <c r="G6675" t="str">
        <f>INDEX(Lists!H:H,MATCH(Validation!E6675,Lists!G:G,0))</f>
        <v>Amount may not be negative. Enter an amount greater than or equal to zero.</v>
      </c>
      <c r="H6675" s="16" t="str">
        <f t="shared" ca="1" si="756"/>
        <v/>
      </c>
      <c r="I6675" s="16" t="str">
        <f t="shared" ca="1" si="757"/>
        <v/>
      </c>
      <c r="J6675" s="17" t="str">
        <f t="shared" ca="1" si="758"/>
        <v/>
      </c>
    </row>
    <row r="6676" spans="1:10" x14ac:dyDescent="0.25">
      <c r="A6676" t="s">
        <v>944</v>
      </c>
      <c r="B6676" t="str">
        <f>ADDRESS(ROW('Loan 1'!$B$39),COLUMN('Loan 1'!$B$39),4)</f>
        <v>B39</v>
      </c>
      <c r="C6676" t="str">
        <f>ADDRESS(ROW('Loan 1'!$D$39),COLUMN('Loan 1'!$D$39),4)</f>
        <v>D39</v>
      </c>
      <c r="D6676" t="b" cm="1">
        <f t="array" aca="1" ref="D6676" ca="1">IF(INDIRECT("'"&amp;A6676&amp;"'!"&amp;B6676)="",FALSE,IF(INDIRECT("'"&amp;A6676&amp;"'!"&amp;B6676)&lt;0,TRUE,FALSE))</f>
        <v>0</v>
      </c>
      <c r="E6676" t="s">
        <v>434</v>
      </c>
      <c r="F6676" t="str">
        <f>INDEX(Lists!I:I,MATCH(Validation!E6676,Lists!G:G,0))</f>
        <v>Error</v>
      </c>
      <c r="G6676" t="str">
        <f>INDEX(Lists!H:H,MATCH(Validation!E6676,Lists!G:G,0))</f>
        <v>Amount may not be negative. Enter an amount greater than or equal to zero.</v>
      </c>
      <c r="H6676" s="16" t="str">
        <f t="shared" ca="1" si="756"/>
        <v/>
      </c>
      <c r="I6676" s="16" t="str">
        <f t="shared" ca="1" si="757"/>
        <v/>
      </c>
      <c r="J6676" s="17" t="str">
        <f t="shared" ca="1" si="758"/>
        <v/>
      </c>
    </row>
    <row r="6677" spans="1:10" x14ac:dyDescent="0.25">
      <c r="A6677" t="s">
        <v>945</v>
      </c>
      <c r="B6677" t="str">
        <f>ADDRESS(ROW('Loan 1'!$B$39),COLUMN('Loan 1'!$B$39),4)</f>
        <v>B39</v>
      </c>
      <c r="C6677" t="str">
        <f>ADDRESS(ROW('Loan 1'!$D$39),COLUMN('Loan 1'!$D$39),4)</f>
        <v>D39</v>
      </c>
      <c r="D6677" t="b" cm="1">
        <f t="array" aca="1" ref="D6677" ca="1">IF(INDIRECT("'"&amp;A6677&amp;"'!"&amp;B6677)="",FALSE,IF(INDIRECT("'"&amp;A6677&amp;"'!"&amp;B6677)&lt;0,TRUE,FALSE))</f>
        <v>0</v>
      </c>
      <c r="E6677" t="s">
        <v>434</v>
      </c>
      <c r="F6677" t="str">
        <f>INDEX(Lists!I:I,MATCH(Validation!E6677,Lists!G:G,0))</f>
        <v>Error</v>
      </c>
      <c r="G6677" t="str">
        <f>INDEX(Lists!H:H,MATCH(Validation!E6677,Lists!G:G,0))</f>
        <v>Amount may not be negative. Enter an amount greater than or equal to zero.</v>
      </c>
      <c r="H6677" s="16" t="str">
        <f t="shared" ca="1" si="756"/>
        <v/>
      </c>
      <c r="I6677" s="16" t="str">
        <f t="shared" ca="1" si="757"/>
        <v/>
      </c>
      <c r="J6677" s="17" t="str">
        <f t="shared" ca="1" si="758"/>
        <v/>
      </c>
    </row>
    <row r="6678" spans="1:10" x14ac:dyDescent="0.25">
      <c r="A6678" t="s">
        <v>205</v>
      </c>
      <c r="B6678" t="str">
        <f>ADDRESS(ROW('Loan 1'!$B$39),COLUMN('Loan 1'!$B$39),4)</f>
        <v>B39</v>
      </c>
      <c r="C6678" t="str">
        <f>ADDRESS(ROW('Loan 1'!$D$39),COLUMN('Loan 1'!$D$39),4)</f>
        <v>D39</v>
      </c>
      <c r="D6678" t="b" cm="1">
        <f t="array" aca="1" ref="D6678" ca="1">IF(INDIRECT("'"&amp;A6678&amp;"'!"&amp;B6678)="",FALSE,IF(TRUNC(INDIRECT("'"&amp;A6678&amp;"'!"&amp;B6678))=INDIRECT("'"&amp;A6678&amp;"'!"&amp;B6678),FALSE,TRUE))</f>
        <v>0</v>
      </c>
      <c r="E6678" t="s">
        <v>436</v>
      </c>
      <c r="F6678" t="str">
        <f>INDEX(Lists!I:I,MATCH(Validation!E6678,Lists!G:G,0))</f>
        <v>Error</v>
      </c>
      <c r="G6678" t="str">
        <f>INDEX(Lists!H:H,MATCH(Validation!E6678,Lists!G:G,0))</f>
        <v>Amount must be rounded to the nearest dollar.</v>
      </c>
      <c r="H6678" s="16" t="str">
        <f t="shared" ref="H6678:H7008" ca="1" si="759">IFERROR(IF(OR(NOT(D6678),F6678&lt;&gt;"Error"),"",A6678&amp;CELL("address",INDIRECT(B6678))),"")</f>
        <v/>
      </c>
      <c r="I6678" s="16" t="str">
        <f t="shared" ref="I6678:I7008" ca="1" si="760">IFERROR(IF(NOT(D6678),"",A6678&amp;CELL("address",INDIRECT(C6678))),"")</f>
        <v/>
      </c>
      <c r="J6678" s="17" t="str">
        <f t="shared" ref="J6678:J7008" ca="1" si="761">IFERROR(IF(NOT(D6678),"",A6678),"")</f>
        <v/>
      </c>
    </row>
    <row r="6679" spans="1:10" x14ac:dyDescent="0.25">
      <c r="A6679" t="s">
        <v>932</v>
      </c>
      <c r="B6679" t="str">
        <f>ADDRESS(ROW('Loan 1'!$B$39),COLUMN('Loan 1'!$B$39),4)</f>
        <v>B39</v>
      </c>
      <c r="C6679" t="str">
        <f>ADDRESS(ROW('Loan 1'!$D$39),COLUMN('Loan 1'!$D$39),4)</f>
        <v>D39</v>
      </c>
      <c r="D6679" t="b" cm="1">
        <f t="array" aca="1" ref="D6679" ca="1">IF(INDIRECT("'"&amp;A6679&amp;"'!"&amp;B6679)="",FALSE,IF(TRUNC(INDIRECT("'"&amp;A6679&amp;"'!"&amp;B6679))=INDIRECT("'"&amp;A6679&amp;"'!"&amp;B6679),FALSE,TRUE))</f>
        <v>0</v>
      </c>
      <c r="E6679" t="s">
        <v>436</v>
      </c>
      <c r="F6679" t="str">
        <f>INDEX(Lists!I:I,MATCH(Validation!E6679,Lists!G:G,0))</f>
        <v>Error</v>
      </c>
      <c r="G6679" t="str">
        <f>INDEX(Lists!H:H,MATCH(Validation!E6679,Lists!G:G,0))</f>
        <v>Amount must be rounded to the nearest dollar.</v>
      </c>
      <c r="H6679" s="16" t="str">
        <f t="shared" ca="1" si="759"/>
        <v/>
      </c>
      <c r="I6679" s="16" t="str">
        <f t="shared" ca="1" si="760"/>
        <v/>
      </c>
      <c r="J6679" s="17" t="str">
        <f t="shared" ca="1" si="761"/>
        <v/>
      </c>
    </row>
    <row r="6680" spans="1:10" x14ac:dyDescent="0.25">
      <c r="A6680" t="s">
        <v>933</v>
      </c>
      <c r="B6680" t="str">
        <f>ADDRESS(ROW('Loan 1'!$B$39),COLUMN('Loan 1'!$B$39),4)</f>
        <v>B39</v>
      </c>
      <c r="C6680" t="str">
        <f>ADDRESS(ROW('Loan 1'!$D$39),COLUMN('Loan 1'!$D$39),4)</f>
        <v>D39</v>
      </c>
      <c r="D6680" t="b" cm="1">
        <f t="array" aca="1" ref="D6680" ca="1">IF(INDIRECT("'"&amp;A6680&amp;"'!"&amp;B6680)="",FALSE,IF(TRUNC(INDIRECT("'"&amp;A6680&amp;"'!"&amp;B6680))=INDIRECT("'"&amp;A6680&amp;"'!"&amp;B6680),FALSE,TRUE))</f>
        <v>0</v>
      </c>
      <c r="E6680" t="s">
        <v>436</v>
      </c>
      <c r="F6680" t="str">
        <f>INDEX(Lists!I:I,MATCH(Validation!E6680,Lists!G:G,0))</f>
        <v>Error</v>
      </c>
      <c r="G6680" t="str">
        <f>INDEX(Lists!H:H,MATCH(Validation!E6680,Lists!G:G,0))</f>
        <v>Amount must be rounded to the nearest dollar.</v>
      </c>
      <c r="H6680" s="16" t="str">
        <f t="shared" ca="1" si="759"/>
        <v/>
      </c>
      <c r="I6680" s="16" t="str">
        <f t="shared" ca="1" si="760"/>
        <v/>
      </c>
      <c r="J6680" s="17" t="str">
        <f t="shared" ca="1" si="761"/>
        <v/>
      </c>
    </row>
    <row r="6681" spans="1:10" x14ac:dyDescent="0.25">
      <c r="A6681" t="s">
        <v>934</v>
      </c>
      <c r="B6681" t="str">
        <f>ADDRESS(ROW('Loan 1'!$B$39),COLUMN('Loan 1'!$B$39),4)</f>
        <v>B39</v>
      </c>
      <c r="C6681" t="str">
        <f>ADDRESS(ROW('Loan 1'!$D$39),COLUMN('Loan 1'!$D$39),4)</f>
        <v>D39</v>
      </c>
      <c r="D6681" t="b" cm="1">
        <f t="array" aca="1" ref="D6681" ca="1">IF(INDIRECT("'"&amp;A6681&amp;"'!"&amp;B6681)="",FALSE,IF(TRUNC(INDIRECT("'"&amp;A6681&amp;"'!"&amp;B6681))=INDIRECT("'"&amp;A6681&amp;"'!"&amp;B6681),FALSE,TRUE))</f>
        <v>0</v>
      </c>
      <c r="E6681" t="s">
        <v>436</v>
      </c>
      <c r="F6681" t="str">
        <f>INDEX(Lists!I:I,MATCH(Validation!E6681,Lists!G:G,0))</f>
        <v>Error</v>
      </c>
      <c r="G6681" t="str">
        <f>INDEX(Lists!H:H,MATCH(Validation!E6681,Lists!G:G,0))</f>
        <v>Amount must be rounded to the nearest dollar.</v>
      </c>
      <c r="H6681" s="16" t="str">
        <f t="shared" ca="1" si="759"/>
        <v/>
      </c>
      <c r="I6681" s="16" t="str">
        <f t="shared" ca="1" si="760"/>
        <v/>
      </c>
      <c r="J6681" s="17" t="str">
        <f t="shared" ca="1" si="761"/>
        <v/>
      </c>
    </row>
    <row r="6682" spans="1:10" x14ac:dyDescent="0.25">
      <c r="A6682" t="s">
        <v>935</v>
      </c>
      <c r="B6682" t="str">
        <f>ADDRESS(ROW('Loan 1'!$B$39),COLUMN('Loan 1'!$B$39),4)</f>
        <v>B39</v>
      </c>
      <c r="C6682" t="str">
        <f>ADDRESS(ROW('Loan 1'!$D$39),COLUMN('Loan 1'!$D$39),4)</f>
        <v>D39</v>
      </c>
      <c r="D6682" t="b" cm="1">
        <f t="array" aca="1" ref="D6682" ca="1">IF(INDIRECT("'"&amp;A6682&amp;"'!"&amp;B6682)="",FALSE,IF(TRUNC(INDIRECT("'"&amp;A6682&amp;"'!"&amp;B6682))=INDIRECT("'"&amp;A6682&amp;"'!"&amp;B6682),FALSE,TRUE))</f>
        <v>0</v>
      </c>
      <c r="E6682" t="s">
        <v>436</v>
      </c>
      <c r="F6682" t="str">
        <f>INDEX(Lists!I:I,MATCH(Validation!E6682,Lists!G:G,0))</f>
        <v>Error</v>
      </c>
      <c r="G6682" t="str">
        <f>INDEX(Lists!H:H,MATCH(Validation!E6682,Lists!G:G,0))</f>
        <v>Amount must be rounded to the nearest dollar.</v>
      </c>
      <c r="H6682" s="16" t="str">
        <f t="shared" ca="1" si="759"/>
        <v/>
      </c>
      <c r="I6682" s="16" t="str">
        <f t="shared" ca="1" si="760"/>
        <v/>
      </c>
      <c r="J6682" s="17" t="str">
        <f t="shared" ca="1" si="761"/>
        <v/>
      </c>
    </row>
    <row r="6683" spans="1:10" x14ac:dyDescent="0.25">
      <c r="A6683" t="s">
        <v>936</v>
      </c>
      <c r="B6683" t="str">
        <f>ADDRESS(ROW('Loan 1'!$B$39),COLUMN('Loan 1'!$B$39),4)</f>
        <v>B39</v>
      </c>
      <c r="C6683" t="str">
        <f>ADDRESS(ROW('Loan 1'!$D$39),COLUMN('Loan 1'!$D$39),4)</f>
        <v>D39</v>
      </c>
      <c r="D6683" t="b" cm="1">
        <f t="array" aca="1" ref="D6683" ca="1">IF(INDIRECT("'"&amp;A6683&amp;"'!"&amp;B6683)="",FALSE,IF(TRUNC(INDIRECT("'"&amp;A6683&amp;"'!"&amp;B6683))=INDIRECT("'"&amp;A6683&amp;"'!"&amp;B6683),FALSE,TRUE))</f>
        <v>0</v>
      </c>
      <c r="E6683" t="s">
        <v>436</v>
      </c>
      <c r="F6683" t="str">
        <f>INDEX(Lists!I:I,MATCH(Validation!E6683,Lists!G:G,0))</f>
        <v>Error</v>
      </c>
      <c r="G6683" t="str">
        <f>INDEX(Lists!H:H,MATCH(Validation!E6683,Lists!G:G,0))</f>
        <v>Amount must be rounded to the nearest dollar.</v>
      </c>
      <c r="H6683" s="16" t="str">
        <f t="shared" ca="1" si="759"/>
        <v/>
      </c>
      <c r="I6683" s="16" t="str">
        <f t="shared" ca="1" si="760"/>
        <v/>
      </c>
      <c r="J6683" s="17" t="str">
        <f t="shared" ca="1" si="761"/>
        <v/>
      </c>
    </row>
    <row r="6684" spans="1:10" x14ac:dyDescent="0.25">
      <c r="A6684" t="s">
        <v>937</v>
      </c>
      <c r="B6684" t="str">
        <f>ADDRESS(ROW('Loan 1'!$B$39),COLUMN('Loan 1'!$B$39),4)</f>
        <v>B39</v>
      </c>
      <c r="C6684" t="str">
        <f>ADDRESS(ROW('Loan 1'!$D$39),COLUMN('Loan 1'!$D$39),4)</f>
        <v>D39</v>
      </c>
      <c r="D6684" t="b" cm="1">
        <f t="array" aca="1" ref="D6684" ca="1">IF(INDIRECT("'"&amp;A6684&amp;"'!"&amp;B6684)="",FALSE,IF(TRUNC(INDIRECT("'"&amp;A6684&amp;"'!"&amp;B6684))=INDIRECT("'"&amp;A6684&amp;"'!"&amp;B6684),FALSE,TRUE))</f>
        <v>0</v>
      </c>
      <c r="E6684" t="s">
        <v>436</v>
      </c>
      <c r="F6684" t="str">
        <f>INDEX(Lists!I:I,MATCH(Validation!E6684,Lists!G:G,0))</f>
        <v>Error</v>
      </c>
      <c r="G6684" t="str">
        <f>INDEX(Lists!H:H,MATCH(Validation!E6684,Lists!G:G,0))</f>
        <v>Amount must be rounded to the nearest dollar.</v>
      </c>
      <c r="H6684" s="16" t="str">
        <f t="shared" ca="1" si="759"/>
        <v/>
      </c>
      <c r="I6684" s="16" t="str">
        <f t="shared" ca="1" si="760"/>
        <v/>
      </c>
      <c r="J6684" s="17" t="str">
        <f t="shared" ca="1" si="761"/>
        <v/>
      </c>
    </row>
    <row r="6685" spans="1:10" x14ac:dyDescent="0.25">
      <c r="A6685" t="s">
        <v>938</v>
      </c>
      <c r="B6685" t="str">
        <f>ADDRESS(ROW('Loan 1'!$B$39),COLUMN('Loan 1'!$B$39),4)</f>
        <v>B39</v>
      </c>
      <c r="C6685" t="str">
        <f>ADDRESS(ROW('Loan 1'!$D$39),COLUMN('Loan 1'!$D$39),4)</f>
        <v>D39</v>
      </c>
      <c r="D6685" t="b" cm="1">
        <f t="array" aca="1" ref="D6685" ca="1">IF(INDIRECT("'"&amp;A6685&amp;"'!"&amp;B6685)="",FALSE,IF(TRUNC(INDIRECT("'"&amp;A6685&amp;"'!"&amp;B6685))=INDIRECT("'"&amp;A6685&amp;"'!"&amp;B6685),FALSE,TRUE))</f>
        <v>0</v>
      </c>
      <c r="E6685" t="s">
        <v>436</v>
      </c>
      <c r="F6685" t="str">
        <f>INDEX(Lists!I:I,MATCH(Validation!E6685,Lists!G:G,0))</f>
        <v>Error</v>
      </c>
      <c r="G6685" t="str">
        <f>INDEX(Lists!H:H,MATCH(Validation!E6685,Lists!G:G,0))</f>
        <v>Amount must be rounded to the nearest dollar.</v>
      </c>
      <c r="H6685" s="16" t="str">
        <f t="shared" ca="1" si="759"/>
        <v/>
      </c>
      <c r="I6685" s="16" t="str">
        <f t="shared" ca="1" si="760"/>
        <v/>
      </c>
      <c r="J6685" s="17" t="str">
        <f t="shared" ca="1" si="761"/>
        <v/>
      </c>
    </row>
    <row r="6686" spans="1:10" x14ac:dyDescent="0.25">
      <c r="A6686" t="s">
        <v>939</v>
      </c>
      <c r="B6686" t="str">
        <f>ADDRESS(ROW('Loan 1'!$B$39),COLUMN('Loan 1'!$B$39),4)</f>
        <v>B39</v>
      </c>
      <c r="C6686" t="str">
        <f>ADDRESS(ROW('Loan 1'!$D$39),COLUMN('Loan 1'!$D$39),4)</f>
        <v>D39</v>
      </c>
      <c r="D6686" t="b" cm="1">
        <f t="array" aca="1" ref="D6686" ca="1">IF(INDIRECT("'"&amp;A6686&amp;"'!"&amp;B6686)="",FALSE,IF(TRUNC(INDIRECT("'"&amp;A6686&amp;"'!"&amp;B6686))=INDIRECT("'"&amp;A6686&amp;"'!"&amp;B6686),FALSE,TRUE))</f>
        <v>0</v>
      </c>
      <c r="E6686" t="s">
        <v>436</v>
      </c>
      <c r="F6686" t="str">
        <f>INDEX(Lists!I:I,MATCH(Validation!E6686,Lists!G:G,0))</f>
        <v>Error</v>
      </c>
      <c r="G6686" t="str">
        <f>INDEX(Lists!H:H,MATCH(Validation!E6686,Lists!G:G,0))</f>
        <v>Amount must be rounded to the nearest dollar.</v>
      </c>
      <c r="H6686" s="16" t="str">
        <f t="shared" ca="1" si="759"/>
        <v/>
      </c>
      <c r="I6686" s="16" t="str">
        <f t="shared" ca="1" si="760"/>
        <v/>
      </c>
      <c r="J6686" s="17" t="str">
        <f t="shared" ca="1" si="761"/>
        <v/>
      </c>
    </row>
    <row r="6687" spans="1:10" x14ac:dyDescent="0.25">
      <c r="A6687" t="s">
        <v>940</v>
      </c>
      <c r="B6687" t="str">
        <f>ADDRESS(ROW('Loan 1'!$B$39),COLUMN('Loan 1'!$B$39),4)</f>
        <v>B39</v>
      </c>
      <c r="C6687" t="str">
        <f>ADDRESS(ROW('Loan 1'!$D$39),COLUMN('Loan 1'!$D$39),4)</f>
        <v>D39</v>
      </c>
      <c r="D6687" t="b" cm="1">
        <f t="array" aca="1" ref="D6687" ca="1">IF(INDIRECT("'"&amp;A6687&amp;"'!"&amp;B6687)="",FALSE,IF(TRUNC(INDIRECT("'"&amp;A6687&amp;"'!"&amp;B6687))=INDIRECT("'"&amp;A6687&amp;"'!"&amp;B6687),FALSE,TRUE))</f>
        <v>0</v>
      </c>
      <c r="E6687" t="s">
        <v>436</v>
      </c>
      <c r="F6687" t="str">
        <f>INDEX(Lists!I:I,MATCH(Validation!E6687,Lists!G:G,0))</f>
        <v>Error</v>
      </c>
      <c r="G6687" t="str">
        <f>INDEX(Lists!H:H,MATCH(Validation!E6687,Lists!G:G,0))</f>
        <v>Amount must be rounded to the nearest dollar.</v>
      </c>
      <c r="H6687" s="16" t="str">
        <f t="shared" ca="1" si="759"/>
        <v/>
      </c>
      <c r="I6687" s="16" t="str">
        <f t="shared" ca="1" si="760"/>
        <v/>
      </c>
      <c r="J6687" s="17" t="str">
        <f t="shared" ca="1" si="761"/>
        <v/>
      </c>
    </row>
    <row r="6688" spans="1:10" x14ac:dyDescent="0.25">
      <c r="A6688" t="s">
        <v>941</v>
      </c>
      <c r="B6688" t="str">
        <f>ADDRESS(ROW('Loan 1'!$B$39),COLUMN('Loan 1'!$B$39),4)</f>
        <v>B39</v>
      </c>
      <c r="C6688" t="str">
        <f>ADDRESS(ROW('Loan 1'!$D$39),COLUMN('Loan 1'!$D$39),4)</f>
        <v>D39</v>
      </c>
      <c r="D6688" t="b" cm="1">
        <f t="array" aca="1" ref="D6688" ca="1">IF(INDIRECT("'"&amp;A6688&amp;"'!"&amp;B6688)="",FALSE,IF(TRUNC(INDIRECT("'"&amp;A6688&amp;"'!"&amp;B6688))=INDIRECT("'"&amp;A6688&amp;"'!"&amp;B6688),FALSE,TRUE))</f>
        <v>0</v>
      </c>
      <c r="E6688" t="s">
        <v>436</v>
      </c>
      <c r="F6688" t="str">
        <f>INDEX(Lists!I:I,MATCH(Validation!E6688,Lists!G:G,0))</f>
        <v>Error</v>
      </c>
      <c r="G6688" t="str">
        <f>INDEX(Lists!H:H,MATCH(Validation!E6688,Lists!G:G,0))</f>
        <v>Amount must be rounded to the nearest dollar.</v>
      </c>
      <c r="H6688" s="16" t="str">
        <f t="shared" ca="1" si="759"/>
        <v/>
      </c>
      <c r="I6688" s="16" t="str">
        <f t="shared" ca="1" si="760"/>
        <v/>
      </c>
      <c r="J6688" s="17" t="str">
        <f t="shared" ca="1" si="761"/>
        <v/>
      </c>
    </row>
    <row r="6689" spans="1:10" x14ac:dyDescent="0.25">
      <c r="A6689" t="s">
        <v>942</v>
      </c>
      <c r="B6689" t="str">
        <f>ADDRESS(ROW('Loan 1'!$B$39),COLUMN('Loan 1'!$B$39),4)</f>
        <v>B39</v>
      </c>
      <c r="C6689" t="str">
        <f>ADDRESS(ROW('Loan 1'!$D$39),COLUMN('Loan 1'!$D$39),4)</f>
        <v>D39</v>
      </c>
      <c r="D6689" t="b" cm="1">
        <f t="array" aca="1" ref="D6689" ca="1">IF(INDIRECT("'"&amp;A6689&amp;"'!"&amp;B6689)="",FALSE,IF(TRUNC(INDIRECT("'"&amp;A6689&amp;"'!"&amp;B6689))=INDIRECT("'"&amp;A6689&amp;"'!"&amp;B6689),FALSE,TRUE))</f>
        <v>0</v>
      </c>
      <c r="E6689" t="s">
        <v>436</v>
      </c>
      <c r="F6689" t="str">
        <f>INDEX(Lists!I:I,MATCH(Validation!E6689,Lists!G:G,0))</f>
        <v>Error</v>
      </c>
      <c r="G6689" t="str">
        <f>INDEX(Lists!H:H,MATCH(Validation!E6689,Lists!G:G,0))</f>
        <v>Amount must be rounded to the nearest dollar.</v>
      </c>
      <c r="H6689" s="16" t="str">
        <f t="shared" ca="1" si="759"/>
        <v/>
      </c>
      <c r="I6689" s="16" t="str">
        <f t="shared" ca="1" si="760"/>
        <v/>
      </c>
      <c r="J6689" s="17" t="str">
        <f t="shared" ca="1" si="761"/>
        <v/>
      </c>
    </row>
    <row r="6690" spans="1:10" x14ac:dyDescent="0.25">
      <c r="A6690" t="s">
        <v>943</v>
      </c>
      <c r="B6690" t="str">
        <f>ADDRESS(ROW('Loan 1'!$B$39),COLUMN('Loan 1'!$B$39),4)</f>
        <v>B39</v>
      </c>
      <c r="C6690" t="str">
        <f>ADDRESS(ROW('Loan 1'!$D$39),COLUMN('Loan 1'!$D$39),4)</f>
        <v>D39</v>
      </c>
      <c r="D6690" t="b" cm="1">
        <f t="array" aca="1" ref="D6690" ca="1">IF(INDIRECT("'"&amp;A6690&amp;"'!"&amp;B6690)="",FALSE,IF(TRUNC(INDIRECT("'"&amp;A6690&amp;"'!"&amp;B6690))=INDIRECT("'"&amp;A6690&amp;"'!"&amp;B6690),FALSE,TRUE))</f>
        <v>0</v>
      </c>
      <c r="E6690" t="s">
        <v>436</v>
      </c>
      <c r="F6690" t="str">
        <f>INDEX(Lists!I:I,MATCH(Validation!E6690,Lists!G:G,0))</f>
        <v>Error</v>
      </c>
      <c r="G6690" t="str">
        <f>INDEX(Lists!H:H,MATCH(Validation!E6690,Lists!G:G,0))</f>
        <v>Amount must be rounded to the nearest dollar.</v>
      </c>
      <c r="H6690" s="16" t="str">
        <f t="shared" ca="1" si="759"/>
        <v/>
      </c>
      <c r="I6690" s="16" t="str">
        <f t="shared" ca="1" si="760"/>
        <v/>
      </c>
      <c r="J6690" s="17" t="str">
        <f t="shared" ca="1" si="761"/>
        <v/>
      </c>
    </row>
    <row r="6691" spans="1:10" x14ac:dyDescent="0.25">
      <c r="A6691" t="s">
        <v>944</v>
      </c>
      <c r="B6691" t="str">
        <f>ADDRESS(ROW('Loan 1'!$B$39),COLUMN('Loan 1'!$B$39),4)</f>
        <v>B39</v>
      </c>
      <c r="C6691" t="str">
        <f>ADDRESS(ROW('Loan 1'!$D$39),COLUMN('Loan 1'!$D$39),4)</f>
        <v>D39</v>
      </c>
      <c r="D6691" t="b" cm="1">
        <f t="array" aca="1" ref="D6691" ca="1">IF(INDIRECT("'"&amp;A6691&amp;"'!"&amp;B6691)="",FALSE,IF(TRUNC(INDIRECT("'"&amp;A6691&amp;"'!"&amp;B6691))=INDIRECT("'"&amp;A6691&amp;"'!"&amp;B6691),FALSE,TRUE))</f>
        <v>0</v>
      </c>
      <c r="E6691" t="s">
        <v>436</v>
      </c>
      <c r="F6691" t="str">
        <f>INDEX(Lists!I:I,MATCH(Validation!E6691,Lists!G:G,0))</f>
        <v>Error</v>
      </c>
      <c r="G6691" t="str">
        <f>INDEX(Lists!H:H,MATCH(Validation!E6691,Lists!G:G,0))</f>
        <v>Amount must be rounded to the nearest dollar.</v>
      </c>
      <c r="H6691" s="16" t="str">
        <f t="shared" ca="1" si="759"/>
        <v/>
      </c>
      <c r="I6691" s="16" t="str">
        <f t="shared" ca="1" si="760"/>
        <v/>
      </c>
      <c r="J6691" s="17" t="str">
        <f t="shared" ca="1" si="761"/>
        <v/>
      </c>
    </row>
    <row r="6692" spans="1:10" x14ac:dyDescent="0.25">
      <c r="A6692" t="s">
        <v>945</v>
      </c>
      <c r="B6692" t="str">
        <f>ADDRESS(ROW('Loan 1'!$B$39),COLUMN('Loan 1'!$B$39),4)</f>
        <v>B39</v>
      </c>
      <c r="C6692" t="str">
        <f>ADDRESS(ROW('Loan 1'!$D$39),COLUMN('Loan 1'!$D$39),4)</f>
        <v>D39</v>
      </c>
      <c r="D6692" t="b" cm="1">
        <f t="array" aca="1" ref="D6692" ca="1">IF(INDIRECT("'"&amp;A6692&amp;"'!"&amp;B6692)="",FALSE,IF(TRUNC(INDIRECT("'"&amp;A6692&amp;"'!"&amp;B6692))=INDIRECT("'"&amp;A6692&amp;"'!"&amp;B6692),FALSE,TRUE))</f>
        <v>0</v>
      </c>
      <c r="E6692" t="s">
        <v>436</v>
      </c>
      <c r="F6692" t="str">
        <f>INDEX(Lists!I:I,MATCH(Validation!E6692,Lists!G:G,0))</f>
        <v>Error</v>
      </c>
      <c r="G6692" t="str">
        <f>INDEX(Lists!H:H,MATCH(Validation!E6692,Lists!G:G,0))</f>
        <v>Amount must be rounded to the nearest dollar.</v>
      </c>
      <c r="H6692" s="16" t="str">
        <f t="shared" ca="1" si="759"/>
        <v/>
      </c>
      <c r="I6692" s="16" t="str">
        <f t="shared" ca="1" si="760"/>
        <v/>
      </c>
      <c r="J6692" s="17" t="str">
        <f t="shared" ca="1" si="761"/>
        <v/>
      </c>
    </row>
    <row r="6693" spans="1:10" x14ac:dyDescent="0.25">
      <c r="A6693" t="s">
        <v>205</v>
      </c>
      <c r="B6693" t="str">
        <f>ADDRESS(ROW('Loan 1'!$C$39),COLUMN('Loan 1'!$C$39),4)</f>
        <v>C39</v>
      </c>
      <c r="C6693" t="str">
        <f>ADDRESS(ROW('Loan 1'!$D$39),COLUMN('Loan 1'!$D$39),4)</f>
        <v>D39</v>
      </c>
      <c r="D6693" t="b" cm="1">
        <f t="array" aca="1" ref="D6693" ca="1">IF(INDIRECT("'"&amp;A6693&amp;"'!"&amp;B6693)="",FALSE,IF(NOT(ISNUMBER(INDIRECT("'"&amp;A6693&amp;"'!"&amp;B6693))),TRUE,FALSE))</f>
        <v>0</v>
      </c>
      <c r="E6693" t="s">
        <v>435</v>
      </c>
      <c r="F6693" t="str">
        <f>INDEX(Lists!I:I,MATCH(Validation!E6693,Lists!G:G,0))</f>
        <v>Error</v>
      </c>
      <c r="G6693" t="str">
        <f>INDEX(Lists!H:H,MATCH(Validation!E6693,Lists!G:G,0))</f>
        <v>Enter an amount only. Do not enter text or spaces.</v>
      </c>
      <c r="H6693" s="16" t="str">
        <f t="shared" ca="1" si="759"/>
        <v/>
      </c>
      <c r="I6693" s="16" t="str">
        <f t="shared" ca="1" si="760"/>
        <v/>
      </c>
      <c r="J6693" s="17" t="str">
        <f t="shared" ca="1" si="761"/>
        <v/>
      </c>
    </row>
    <row r="6694" spans="1:10" x14ac:dyDescent="0.25">
      <c r="A6694" t="s">
        <v>932</v>
      </c>
      <c r="B6694" t="str">
        <f>ADDRESS(ROW('Loan 1'!$C$39),COLUMN('Loan 1'!$C$39),4)</f>
        <v>C39</v>
      </c>
      <c r="C6694" t="str">
        <f>ADDRESS(ROW('Loan 1'!$D$39),COLUMN('Loan 1'!$D$39),4)</f>
        <v>D39</v>
      </c>
      <c r="D6694" t="b" cm="1">
        <f t="array" aca="1" ref="D6694" ca="1">IF(INDIRECT("'"&amp;A6694&amp;"'!"&amp;B6694)="",FALSE,IF(NOT(ISNUMBER(INDIRECT("'"&amp;A6694&amp;"'!"&amp;B6694))),TRUE,FALSE))</f>
        <v>0</v>
      </c>
      <c r="E6694" t="s">
        <v>435</v>
      </c>
      <c r="F6694" t="str">
        <f>INDEX(Lists!I:I,MATCH(Validation!E6694,Lists!G:G,0))</f>
        <v>Error</v>
      </c>
      <c r="G6694" t="str">
        <f>INDEX(Lists!H:H,MATCH(Validation!E6694,Lists!G:G,0))</f>
        <v>Enter an amount only. Do not enter text or spaces.</v>
      </c>
      <c r="H6694" s="16" t="str">
        <f t="shared" ca="1" si="759"/>
        <v/>
      </c>
      <c r="I6694" s="16" t="str">
        <f t="shared" ca="1" si="760"/>
        <v/>
      </c>
      <c r="J6694" s="17" t="str">
        <f t="shared" ca="1" si="761"/>
        <v/>
      </c>
    </row>
    <row r="6695" spans="1:10" x14ac:dyDescent="0.25">
      <c r="A6695" t="s">
        <v>933</v>
      </c>
      <c r="B6695" t="str">
        <f>ADDRESS(ROW('Loan 1'!$C$39),COLUMN('Loan 1'!$C$39),4)</f>
        <v>C39</v>
      </c>
      <c r="C6695" t="str">
        <f>ADDRESS(ROW('Loan 1'!$D$39),COLUMN('Loan 1'!$D$39),4)</f>
        <v>D39</v>
      </c>
      <c r="D6695" t="b" cm="1">
        <f t="array" aca="1" ref="D6695" ca="1">IF(INDIRECT("'"&amp;A6695&amp;"'!"&amp;B6695)="",FALSE,IF(NOT(ISNUMBER(INDIRECT("'"&amp;A6695&amp;"'!"&amp;B6695))),TRUE,FALSE))</f>
        <v>0</v>
      </c>
      <c r="E6695" t="s">
        <v>435</v>
      </c>
      <c r="F6695" t="str">
        <f>INDEX(Lists!I:I,MATCH(Validation!E6695,Lists!G:G,0))</f>
        <v>Error</v>
      </c>
      <c r="G6695" t="str">
        <f>INDEX(Lists!H:H,MATCH(Validation!E6695,Lists!G:G,0))</f>
        <v>Enter an amount only. Do not enter text or spaces.</v>
      </c>
      <c r="H6695" s="16" t="str">
        <f t="shared" ca="1" si="759"/>
        <v/>
      </c>
      <c r="I6695" s="16" t="str">
        <f t="shared" ca="1" si="760"/>
        <v/>
      </c>
      <c r="J6695" s="17" t="str">
        <f t="shared" ca="1" si="761"/>
        <v/>
      </c>
    </row>
    <row r="6696" spans="1:10" x14ac:dyDescent="0.25">
      <c r="A6696" t="s">
        <v>934</v>
      </c>
      <c r="B6696" t="str">
        <f>ADDRESS(ROW('Loan 1'!$C$39),COLUMN('Loan 1'!$C$39),4)</f>
        <v>C39</v>
      </c>
      <c r="C6696" t="str">
        <f>ADDRESS(ROW('Loan 1'!$D$39),COLUMN('Loan 1'!$D$39),4)</f>
        <v>D39</v>
      </c>
      <c r="D6696" t="b" cm="1">
        <f t="array" aca="1" ref="D6696" ca="1">IF(INDIRECT("'"&amp;A6696&amp;"'!"&amp;B6696)="",FALSE,IF(NOT(ISNUMBER(INDIRECT("'"&amp;A6696&amp;"'!"&amp;B6696))),TRUE,FALSE))</f>
        <v>0</v>
      </c>
      <c r="E6696" t="s">
        <v>435</v>
      </c>
      <c r="F6696" t="str">
        <f>INDEX(Lists!I:I,MATCH(Validation!E6696,Lists!G:G,0))</f>
        <v>Error</v>
      </c>
      <c r="G6696" t="str">
        <f>INDEX(Lists!H:H,MATCH(Validation!E6696,Lists!G:G,0))</f>
        <v>Enter an amount only. Do not enter text or spaces.</v>
      </c>
      <c r="H6696" s="16" t="str">
        <f t="shared" ca="1" si="759"/>
        <v/>
      </c>
      <c r="I6696" s="16" t="str">
        <f t="shared" ca="1" si="760"/>
        <v/>
      </c>
      <c r="J6696" s="17" t="str">
        <f t="shared" ca="1" si="761"/>
        <v/>
      </c>
    </row>
    <row r="6697" spans="1:10" x14ac:dyDescent="0.25">
      <c r="A6697" t="s">
        <v>935</v>
      </c>
      <c r="B6697" t="str">
        <f>ADDRESS(ROW('Loan 1'!$C$39),COLUMN('Loan 1'!$C$39),4)</f>
        <v>C39</v>
      </c>
      <c r="C6697" t="str">
        <f>ADDRESS(ROW('Loan 1'!$D$39),COLUMN('Loan 1'!$D$39),4)</f>
        <v>D39</v>
      </c>
      <c r="D6697" t="b" cm="1">
        <f t="array" aca="1" ref="D6697" ca="1">IF(INDIRECT("'"&amp;A6697&amp;"'!"&amp;B6697)="",FALSE,IF(NOT(ISNUMBER(INDIRECT("'"&amp;A6697&amp;"'!"&amp;B6697))),TRUE,FALSE))</f>
        <v>0</v>
      </c>
      <c r="E6697" t="s">
        <v>435</v>
      </c>
      <c r="F6697" t="str">
        <f>INDEX(Lists!I:I,MATCH(Validation!E6697,Lists!G:G,0))</f>
        <v>Error</v>
      </c>
      <c r="G6697" t="str">
        <f>INDEX(Lists!H:H,MATCH(Validation!E6697,Lists!G:G,0))</f>
        <v>Enter an amount only. Do not enter text or spaces.</v>
      </c>
      <c r="H6697" s="16" t="str">
        <f t="shared" ca="1" si="759"/>
        <v/>
      </c>
      <c r="I6697" s="16" t="str">
        <f t="shared" ca="1" si="760"/>
        <v/>
      </c>
      <c r="J6697" s="17" t="str">
        <f t="shared" ca="1" si="761"/>
        <v/>
      </c>
    </row>
    <row r="6698" spans="1:10" x14ac:dyDescent="0.25">
      <c r="A6698" t="s">
        <v>936</v>
      </c>
      <c r="B6698" t="str">
        <f>ADDRESS(ROW('Loan 1'!$C$39),COLUMN('Loan 1'!$C$39),4)</f>
        <v>C39</v>
      </c>
      <c r="C6698" t="str">
        <f>ADDRESS(ROW('Loan 1'!$D$39),COLUMN('Loan 1'!$D$39),4)</f>
        <v>D39</v>
      </c>
      <c r="D6698" t="b" cm="1">
        <f t="array" aca="1" ref="D6698" ca="1">IF(INDIRECT("'"&amp;A6698&amp;"'!"&amp;B6698)="",FALSE,IF(NOT(ISNUMBER(INDIRECT("'"&amp;A6698&amp;"'!"&amp;B6698))),TRUE,FALSE))</f>
        <v>0</v>
      </c>
      <c r="E6698" t="s">
        <v>435</v>
      </c>
      <c r="F6698" t="str">
        <f>INDEX(Lists!I:I,MATCH(Validation!E6698,Lists!G:G,0))</f>
        <v>Error</v>
      </c>
      <c r="G6698" t="str">
        <f>INDEX(Lists!H:H,MATCH(Validation!E6698,Lists!G:G,0))</f>
        <v>Enter an amount only. Do not enter text or spaces.</v>
      </c>
      <c r="H6698" s="16" t="str">
        <f t="shared" ca="1" si="759"/>
        <v/>
      </c>
      <c r="I6698" s="16" t="str">
        <f t="shared" ca="1" si="760"/>
        <v/>
      </c>
      <c r="J6698" s="17" t="str">
        <f t="shared" ca="1" si="761"/>
        <v/>
      </c>
    </row>
    <row r="6699" spans="1:10" x14ac:dyDescent="0.25">
      <c r="A6699" t="s">
        <v>937</v>
      </c>
      <c r="B6699" t="str">
        <f>ADDRESS(ROW('Loan 1'!$C$39),COLUMN('Loan 1'!$C$39),4)</f>
        <v>C39</v>
      </c>
      <c r="C6699" t="str">
        <f>ADDRESS(ROW('Loan 1'!$D$39),COLUMN('Loan 1'!$D$39),4)</f>
        <v>D39</v>
      </c>
      <c r="D6699" t="b" cm="1">
        <f t="array" aca="1" ref="D6699" ca="1">IF(INDIRECT("'"&amp;A6699&amp;"'!"&amp;B6699)="",FALSE,IF(NOT(ISNUMBER(INDIRECT("'"&amp;A6699&amp;"'!"&amp;B6699))),TRUE,FALSE))</f>
        <v>0</v>
      </c>
      <c r="E6699" t="s">
        <v>435</v>
      </c>
      <c r="F6699" t="str">
        <f>INDEX(Lists!I:I,MATCH(Validation!E6699,Lists!G:G,0))</f>
        <v>Error</v>
      </c>
      <c r="G6699" t="str">
        <f>INDEX(Lists!H:H,MATCH(Validation!E6699,Lists!G:G,0))</f>
        <v>Enter an amount only. Do not enter text or spaces.</v>
      </c>
      <c r="H6699" s="16" t="str">
        <f t="shared" ca="1" si="759"/>
        <v/>
      </c>
      <c r="I6699" s="16" t="str">
        <f t="shared" ca="1" si="760"/>
        <v/>
      </c>
      <c r="J6699" s="17" t="str">
        <f t="shared" ca="1" si="761"/>
        <v/>
      </c>
    </row>
    <row r="6700" spans="1:10" x14ac:dyDescent="0.25">
      <c r="A6700" t="s">
        <v>938</v>
      </c>
      <c r="B6700" t="str">
        <f>ADDRESS(ROW('Loan 1'!$C$39),COLUMN('Loan 1'!$C$39),4)</f>
        <v>C39</v>
      </c>
      <c r="C6700" t="str">
        <f>ADDRESS(ROW('Loan 1'!$D$39),COLUMN('Loan 1'!$D$39),4)</f>
        <v>D39</v>
      </c>
      <c r="D6700" t="b" cm="1">
        <f t="array" aca="1" ref="D6700" ca="1">IF(INDIRECT("'"&amp;A6700&amp;"'!"&amp;B6700)="",FALSE,IF(NOT(ISNUMBER(INDIRECT("'"&amp;A6700&amp;"'!"&amp;B6700))),TRUE,FALSE))</f>
        <v>0</v>
      </c>
      <c r="E6700" t="s">
        <v>435</v>
      </c>
      <c r="F6700" t="str">
        <f>INDEX(Lists!I:I,MATCH(Validation!E6700,Lists!G:G,0))</f>
        <v>Error</v>
      </c>
      <c r="G6700" t="str">
        <f>INDEX(Lists!H:H,MATCH(Validation!E6700,Lists!G:G,0))</f>
        <v>Enter an amount only. Do not enter text or spaces.</v>
      </c>
      <c r="H6700" s="16" t="str">
        <f t="shared" ca="1" si="759"/>
        <v/>
      </c>
      <c r="I6700" s="16" t="str">
        <f t="shared" ca="1" si="760"/>
        <v/>
      </c>
      <c r="J6700" s="17" t="str">
        <f t="shared" ca="1" si="761"/>
        <v/>
      </c>
    </row>
    <row r="6701" spans="1:10" x14ac:dyDescent="0.25">
      <c r="A6701" t="s">
        <v>939</v>
      </c>
      <c r="B6701" t="str">
        <f>ADDRESS(ROW('Loan 1'!$C$39),COLUMN('Loan 1'!$C$39),4)</f>
        <v>C39</v>
      </c>
      <c r="C6701" t="str">
        <f>ADDRESS(ROW('Loan 1'!$D$39),COLUMN('Loan 1'!$D$39),4)</f>
        <v>D39</v>
      </c>
      <c r="D6701" t="b" cm="1">
        <f t="array" aca="1" ref="D6701" ca="1">IF(INDIRECT("'"&amp;A6701&amp;"'!"&amp;B6701)="",FALSE,IF(NOT(ISNUMBER(INDIRECT("'"&amp;A6701&amp;"'!"&amp;B6701))),TRUE,FALSE))</f>
        <v>0</v>
      </c>
      <c r="E6701" t="s">
        <v>435</v>
      </c>
      <c r="F6701" t="str">
        <f>INDEX(Lists!I:I,MATCH(Validation!E6701,Lists!G:G,0))</f>
        <v>Error</v>
      </c>
      <c r="G6701" t="str">
        <f>INDEX(Lists!H:H,MATCH(Validation!E6701,Lists!G:G,0))</f>
        <v>Enter an amount only. Do not enter text or spaces.</v>
      </c>
      <c r="H6701" s="16" t="str">
        <f t="shared" ca="1" si="759"/>
        <v/>
      </c>
      <c r="I6701" s="16" t="str">
        <f t="shared" ca="1" si="760"/>
        <v/>
      </c>
      <c r="J6701" s="17" t="str">
        <f t="shared" ca="1" si="761"/>
        <v/>
      </c>
    </row>
    <row r="6702" spans="1:10" x14ac:dyDescent="0.25">
      <c r="A6702" t="s">
        <v>940</v>
      </c>
      <c r="B6702" t="str">
        <f>ADDRESS(ROW('Loan 1'!$C$39),COLUMN('Loan 1'!$C$39),4)</f>
        <v>C39</v>
      </c>
      <c r="C6702" t="str">
        <f>ADDRESS(ROW('Loan 1'!$D$39),COLUMN('Loan 1'!$D$39),4)</f>
        <v>D39</v>
      </c>
      <c r="D6702" t="b" cm="1">
        <f t="array" aca="1" ref="D6702" ca="1">IF(INDIRECT("'"&amp;A6702&amp;"'!"&amp;B6702)="",FALSE,IF(NOT(ISNUMBER(INDIRECT("'"&amp;A6702&amp;"'!"&amp;B6702))),TRUE,FALSE))</f>
        <v>0</v>
      </c>
      <c r="E6702" t="s">
        <v>435</v>
      </c>
      <c r="F6702" t="str">
        <f>INDEX(Lists!I:I,MATCH(Validation!E6702,Lists!G:G,0))</f>
        <v>Error</v>
      </c>
      <c r="G6702" t="str">
        <f>INDEX(Lists!H:H,MATCH(Validation!E6702,Lists!G:G,0))</f>
        <v>Enter an amount only. Do not enter text or spaces.</v>
      </c>
      <c r="H6702" s="16" t="str">
        <f t="shared" ca="1" si="759"/>
        <v/>
      </c>
      <c r="I6702" s="16" t="str">
        <f t="shared" ca="1" si="760"/>
        <v/>
      </c>
      <c r="J6702" s="17" t="str">
        <f t="shared" ca="1" si="761"/>
        <v/>
      </c>
    </row>
    <row r="6703" spans="1:10" x14ac:dyDescent="0.25">
      <c r="A6703" t="s">
        <v>941</v>
      </c>
      <c r="B6703" t="str">
        <f>ADDRESS(ROW('Loan 1'!$C$39),COLUMN('Loan 1'!$C$39),4)</f>
        <v>C39</v>
      </c>
      <c r="C6703" t="str">
        <f>ADDRESS(ROW('Loan 1'!$D$39),COLUMN('Loan 1'!$D$39),4)</f>
        <v>D39</v>
      </c>
      <c r="D6703" t="b" cm="1">
        <f t="array" aca="1" ref="D6703" ca="1">IF(INDIRECT("'"&amp;A6703&amp;"'!"&amp;B6703)="",FALSE,IF(NOT(ISNUMBER(INDIRECT("'"&amp;A6703&amp;"'!"&amp;B6703))),TRUE,FALSE))</f>
        <v>0</v>
      </c>
      <c r="E6703" t="s">
        <v>435</v>
      </c>
      <c r="F6703" t="str">
        <f>INDEX(Lists!I:I,MATCH(Validation!E6703,Lists!G:G,0))</f>
        <v>Error</v>
      </c>
      <c r="G6703" t="str">
        <f>INDEX(Lists!H:H,MATCH(Validation!E6703,Lists!G:G,0))</f>
        <v>Enter an amount only. Do not enter text or spaces.</v>
      </c>
      <c r="H6703" s="16" t="str">
        <f t="shared" ca="1" si="759"/>
        <v/>
      </c>
      <c r="I6703" s="16" t="str">
        <f t="shared" ca="1" si="760"/>
        <v/>
      </c>
      <c r="J6703" s="17" t="str">
        <f t="shared" ca="1" si="761"/>
        <v/>
      </c>
    </row>
    <row r="6704" spans="1:10" x14ac:dyDescent="0.25">
      <c r="A6704" t="s">
        <v>942</v>
      </c>
      <c r="B6704" t="str">
        <f>ADDRESS(ROW('Loan 1'!$C$39),COLUMN('Loan 1'!$C$39),4)</f>
        <v>C39</v>
      </c>
      <c r="C6704" t="str">
        <f>ADDRESS(ROW('Loan 1'!$D$39),COLUMN('Loan 1'!$D$39),4)</f>
        <v>D39</v>
      </c>
      <c r="D6704" t="b" cm="1">
        <f t="array" aca="1" ref="D6704" ca="1">IF(INDIRECT("'"&amp;A6704&amp;"'!"&amp;B6704)="",FALSE,IF(NOT(ISNUMBER(INDIRECT("'"&amp;A6704&amp;"'!"&amp;B6704))),TRUE,FALSE))</f>
        <v>0</v>
      </c>
      <c r="E6704" t="s">
        <v>435</v>
      </c>
      <c r="F6704" t="str">
        <f>INDEX(Lists!I:I,MATCH(Validation!E6704,Lists!G:G,0))</f>
        <v>Error</v>
      </c>
      <c r="G6704" t="str">
        <f>INDEX(Lists!H:H,MATCH(Validation!E6704,Lists!G:G,0))</f>
        <v>Enter an amount only. Do not enter text or spaces.</v>
      </c>
      <c r="H6704" s="16" t="str">
        <f t="shared" ca="1" si="759"/>
        <v/>
      </c>
      <c r="I6704" s="16" t="str">
        <f t="shared" ca="1" si="760"/>
        <v/>
      </c>
      <c r="J6704" s="17" t="str">
        <f t="shared" ca="1" si="761"/>
        <v/>
      </c>
    </row>
    <row r="6705" spans="1:10" x14ac:dyDescent="0.25">
      <c r="A6705" t="s">
        <v>943</v>
      </c>
      <c r="B6705" t="str">
        <f>ADDRESS(ROW('Loan 1'!$C$39),COLUMN('Loan 1'!$C$39),4)</f>
        <v>C39</v>
      </c>
      <c r="C6705" t="str">
        <f>ADDRESS(ROW('Loan 1'!$D$39),COLUMN('Loan 1'!$D$39),4)</f>
        <v>D39</v>
      </c>
      <c r="D6705" t="b" cm="1">
        <f t="array" aca="1" ref="D6705" ca="1">IF(INDIRECT("'"&amp;A6705&amp;"'!"&amp;B6705)="",FALSE,IF(NOT(ISNUMBER(INDIRECT("'"&amp;A6705&amp;"'!"&amp;B6705))),TRUE,FALSE))</f>
        <v>0</v>
      </c>
      <c r="E6705" t="s">
        <v>435</v>
      </c>
      <c r="F6705" t="str">
        <f>INDEX(Lists!I:I,MATCH(Validation!E6705,Lists!G:G,0))</f>
        <v>Error</v>
      </c>
      <c r="G6705" t="str">
        <f>INDEX(Lists!H:H,MATCH(Validation!E6705,Lists!G:G,0))</f>
        <v>Enter an amount only. Do not enter text or spaces.</v>
      </c>
      <c r="H6705" s="16" t="str">
        <f t="shared" ca="1" si="759"/>
        <v/>
      </c>
      <c r="I6705" s="16" t="str">
        <f t="shared" ca="1" si="760"/>
        <v/>
      </c>
      <c r="J6705" s="17" t="str">
        <f t="shared" ca="1" si="761"/>
        <v/>
      </c>
    </row>
    <row r="6706" spans="1:10" x14ac:dyDescent="0.25">
      <c r="A6706" t="s">
        <v>944</v>
      </c>
      <c r="B6706" t="str">
        <f>ADDRESS(ROW('Loan 1'!$C$39),COLUMN('Loan 1'!$C$39),4)</f>
        <v>C39</v>
      </c>
      <c r="C6706" t="str">
        <f>ADDRESS(ROW('Loan 1'!$D$39),COLUMN('Loan 1'!$D$39),4)</f>
        <v>D39</v>
      </c>
      <c r="D6706" t="b" cm="1">
        <f t="array" aca="1" ref="D6706" ca="1">IF(INDIRECT("'"&amp;A6706&amp;"'!"&amp;B6706)="",FALSE,IF(NOT(ISNUMBER(INDIRECT("'"&amp;A6706&amp;"'!"&amp;B6706))),TRUE,FALSE))</f>
        <v>0</v>
      </c>
      <c r="E6706" t="s">
        <v>435</v>
      </c>
      <c r="F6706" t="str">
        <f>INDEX(Lists!I:I,MATCH(Validation!E6706,Lists!G:G,0))</f>
        <v>Error</v>
      </c>
      <c r="G6706" t="str">
        <f>INDEX(Lists!H:H,MATCH(Validation!E6706,Lists!G:G,0))</f>
        <v>Enter an amount only. Do not enter text or spaces.</v>
      </c>
      <c r="H6706" s="16" t="str">
        <f t="shared" ca="1" si="759"/>
        <v/>
      </c>
      <c r="I6706" s="16" t="str">
        <f t="shared" ca="1" si="760"/>
        <v/>
      </c>
      <c r="J6706" s="17" t="str">
        <f t="shared" ca="1" si="761"/>
        <v/>
      </c>
    </row>
    <row r="6707" spans="1:10" x14ac:dyDescent="0.25">
      <c r="A6707" t="s">
        <v>945</v>
      </c>
      <c r="B6707" t="str">
        <f>ADDRESS(ROW('Loan 1'!$C$39),COLUMN('Loan 1'!$C$39),4)</f>
        <v>C39</v>
      </c>
      <c r="C6707" t="str">
        <f>ADDRESS(ROW('Loan 1'!$D$39),COLUMN('Loan 1'!$D$39),4)</f>
        <v>D39</v>
      </c>
      <c r="D6707" t="b" cm="1">
        <f t="array" aca="1" ref="D6707" ca="1">IF(INDIRECT("'"&amp;A6707&amp;"'!"&amp;B6707)="",FALSE,IF(NOT(ISNUMBER(INDIRECT("'"&amp;A6707&amp;"'!"&amp;B6707))),TRUE,FALSE))</f>
        <v>0</v>
      </c>
      <c r="E6707" t="s">
        <v>435</v>
      </c>
      <c r="F6707" t="str">
        <f>INDEX(Lists!I:I,MATCH(Validation!E6707,Lists!G:G,0))</f>
        <v>Error</v>
      </c>
      <c r="G6707" t="str">
        <f>INDEX(Lists!H:H,MATCH(Validation!E6707,Lists!G:G,0))</f>
        <v>Enter an amount only. Do not enter text or spaces.</v>
      </c>
      <c r="H6707" s="16" t="str">
        <f t="shared" ca="1" si="759"/>
        <v/>
      </c>
      <c r="I6707" s="16" t="str">
        <f t="shared" ca="1" si="760"/>
        <v/>
      </c>
      <c r="J6707" s="17" t="str">
        <f t="shared" ca="1" si="761"/>
        <v/>
      </c>
    </row>
    <row r="6708" spans="1:10" x14ac:dyDescent="0.25">
      <c r="A6708" t="s">
        <v>205</v>
      </c>
      <c r="B6708" t="str">
        <f>ADDRESS(ROW('Loan 1'!$C$39),COLUMN('Loan 1'!$C$39),4)</f>
        <v>C39</v>
      </c>
      <c r="C6708" t="str">
        <f>ADDRESS(ROW('Loan 1'!$D$39),COLUMN('Loan 1'!$D$39),4)</f>
        <v>D39</v>
      </c>
      <c r="D6708" t="b" cm="1">
        <f t="array" aca="1" ref="D6708" ca="1">IF(INDIRECT("'"&amp;A6708&amp;"'!"&amp;B6708)="",FALSE,IF(INDIRECT("'"&amp;A6708&amp;"'!"&amp;B6708)&lt;0,TRUE,FALSE))</f>
        <v>0</v>
      </c>
      <c r="E6708" t="s">
        <v>434</v>
      </c>
      <c r="F6708" t="str">
        <f>INDEX(Lists!I:I,MATCH(Validation!E6708,Lists!G:G,0))</f>
        <v>Error</v>
      </c>
      <c r="G6708" t="str">
        <f>INDEX(Lists!H:H,MATCH(Validation!E6708,Lists!G:G,0))</f>
        <v>Amount may not be negative. Enter an amount greater than or equal to zero.</v>
      </c>
      <c r="H6708" s="16" t="str">
        <f t="shared" ca="1" si="759"/>
        <v/>
      </c>
      <c r="I6708" s="16" t="str">
        <f t="shared" ca="1" si="760"/>
        <v/>
      </c>
      <c r="J6708" s="17" t="str">
        <f t="shared" ca="1" si="761"/>
        <v/>
      </c>
    </row>
    <row r="6709" spans="1:10" x14ac:dyDescent="0.25">
      <c r="A6709" t="s">
        <v>932</v>
      </c>
      <c r="B6709" t="str">
        <f>ADDRESS(ROW('Loan 1'!$C$39),COLUMN('Loan 1'!$C$39),4)</f>
        <v>C39</v>
      </c>
      <c r="C6709" t="str">
        <f>ADDRESS(ROW('Loan 1'!$D$39),COLUMN('Loan 1'!$D$39),4)</f>
        <v>D39</v>
      </c>
      <c r="D6709" t="b" cm="1">
        <f t="array" aca="1" ref="D6709" ca="1">IF(INDIRECT("'"&amp;A6709&amp;"'!"&amp;B6709)="",FALSE,IF(INDIRECT("'"&amp;A6709&amp;"'!"&amp;B6709)&lt;0,TRUE,FALSE))</f>
        <v>0</v>
      </c>
      <c r="E6709" t="s">
        <v>434</v>
      </c>
      <c r="F6709" t="str">
        <f>INDEX(Lists!I:I,MATCH(Validation!E6709,Lists!G:G,0))</f>
        <v>Error</v>
      </c>
      <c r="G6709" t="str">
        <f>INDEX(Lists!H:H,MATCH(Validation!E6709,Lists!G:G,0))</f>
        <v>Amount may not be negative. Enter an amount greater than or equal to zero.</v>
      </c>
      <c r="H6709" s="16" t="str">
        <f t="shared" ca="1" si="759"/>
        <v/>
      </c>
      <c r="I6709" s="16" t="str">
        <f t="shared" ca="1" si="760"/>
        <v/>
      </c>
      <c r="J6709" s="17" t="str">
        <f t="shared" ca="1" si="761"/>
        <v/>
      </c>
    </row>
    <row r="6710" spans="1:10" x14ac:dyDescent="0.25">
      <c r="A6710" t="s">
        <v>933</v>
      </c>
      <c r="B6710" t="str">
        <f>ADDRESS(ROW('Loan 1'!$C$39),COLUMN('Loan 1'!$C$39),4)</f>
        <v>C39</v>
      </c>
      <c r="C6710" t="str">
        <f>ADDRESS(ROW('Loan 1'!$D$39),COLUMN('Loan 1'!$D$39),4)</f>
        <v>D39</v>
      </c>
      <c r="D6710" t="b" cm="1">
        <f t="array" aca="1" ref="D6710" ca="1">IF(INDIRECT("'"&amp;A6710&amp;"'!"&amp;B6710)="",FALSE,IF(INDIRECT("'"&amp;A6710&amp;"'!"&amp;B6710)&lt;0,TRUE,FALSE))</f>
        <v>0</v>
      </c>
      <c r="E6710" t="s">
        <v>434</v>
      </c>
      <c r="F6710" t="str">
        <f>INDEX(Lists!I:I,MATCH(Validation!E6710,Lists!G:G,0))</f>
        <v>Error</v>
      </c>
      <c r="G6710" t="str">
        <f>INDEX(Lists!H:H,MATCH(Validation!E6710,Lists!G:G,0))</f>
        <v>Amount may not be negative. Enter an amount greater than or equal to zero.</v>
      </c>
      <c r="H6710" s="16" t="str">
        <f t="shared" ca="1" si="759"/>
        <v/>
      </c>
      <c r="I6710" s="16" t="str">
        <f t="shared" ca="1" si="760"/>
        <v/>
      </c>
      <c r="J6710" s="17" t="str">
        <f t="shared" ca="1" si="761"/>
        <v/>
      </c>
    </row>
    <row r="6711" spans="1:10" x14ac:dyDescent="0.25">
      <c r="A6711" t="s">
        <v>934</v>
      </c>
      <c r="B6711" t="str">
        <f>ADDRESS(ROW('Loan 1'!$C$39),COLUMN('Loan 1'!$C$39),4)</f>
        <v>C39</v>
      </c>
      <c r="C6711" t="str">
        <f>ADDRESS(ROW('Loan 1'!$D$39),COLUMN('Loan 1'!$D$39),4)</f>
        <v>D39</v>
      </c>
      <c r="D6711" t="b" cm="1">
        <f t="array" aca="1" ref="D6711" ca="1">IF(INDIRECT("'"&amp;A6711&amp;"'!"&amp;B6711)="",FALSE,IF(INDIRECT("'"&amp;A6711&amp;"'!"&amp;B6711)&lt;0,TRUE,FALSE))</f>
        <v>0</v>
      </c>
      <c r="E6711" t="s">
        <v>434</v>
      </c>
      <c r="F6711" t="str">
        <f>INDEX(Lists!I:I,MATCH(Validation!E6711,Lists!G:G,0))</f>
        <v>Error</v>
      </c>
      <c r="G6711" t="str">
        <f>INDEX(Lists!H:H,MATCH(Validation!E6711,Lists!G:G,0))</f>
        <v>Amount may not be negative. Enter an amount greater than or equal to zero.</v>
      </c>
      <c r="H6711" s="16" t="str">
        <f t="shared" ca="1" si="759"/>
        <v/>
      </c>
      <c r="I6711" s="16" t="str">
        <f t="shared" ca="1" si="760"/>
        <v/>
      </c>
      <c r="J6711" s="17" t="str">
        <f t="shared" ca="1" si="761"/>
        <v/>
      </c>
    </row>
    <row r="6712" spans="1:10" x14ac:dyDescent="0.25">
      <c r="A6712" t="s">
        <v>935</v>
      </c>
      <c r="B6712" t="str">
        <f>ADDRESS(ROW('Loan 1'!$C$39),COLUMN('Loan 1'!$C$39),4)</f>
        <v>C39</v>
      </c>
      <c r="C6712" t="str">
        <f>ADDRESS(ROW('Loan 1'!$D$39),COLUMN('Loan 1'!$D$39),4)</f>
        <v>D39</v>
      </c>
      <c r="D6712" t="b" cm="1">
        <f t="array" aca="1" ref="D6712" ca="1">IF(INDIRECT("'"&amp;A6712&amp;"'!"&amp;B6712)="",FALSE,IF(INDIRECT("'"&amp;A6712&amp;"'!"&amp;B6712)&lt;0,TRUE,FALSE))</f>
        <v>0</v>
      </c>
      <c r="E6712" t="s">
        <v>434</v>
      </c>
      <c r="F6712" t="str">
        <f>INDEX(Lists!I:I,MATCH(Validation!E6712,Lists!G:G,0))</f>
        <v>Error</v>
      </c>
      <c r="G6712" t="str">
        <f>INDEX(Lists!H:H,MATCH(Validation!E6712,Lists!G:G,0))</f>
        <v>Amount may not be negative. Enter an amount greater than or equal to zero.</v>
      </c>
      <c r="H6712" s="16" t="str">
        <f t="shared" ca="1" si="759"/>
        <v/>
      </c>
      <c r="I6712" s="16" t="str">
        <f t="shared" ca="1" si="760"/>
        <v/>
      </c>
      <c r="J6712" s="17" t="str">
        <f t="shared" ca="1" si="761"/>
        <v/>
      </c>
    </row>
    <row r="6713" spans="1:10" x14ac:dyDescent="0.25">
      <c r="A6713" t="s">
        <v>936</v>
      </c>
      <c r="B6713" t="str">
        <f>ADDRESS(ROW('Loan 1'!$C$39),COLUMN('Loan 1'!$C$39),4)</f>
        <v>C39</v>
      </c>
      <c r="C6713" t="str">
        <f>ADDRESS(ROW('Loan 1'!$D$39),COLUMN('Loan 1'!$D$39),4)</f>
        <v>D39</v>
      </c>
      <c r="D6713" t="b" cm="1">
        <f t="array" aca="1" ref="D6713" ca="1">IF(INDIRECT("'"&amp;A6713&amp;"'!"&amp;B6713)="",FALSE,IF(INDIRECT("'"&amp;A6713&amp;"'!"&amp;B6713)&lt;0,TRUE,FALSE))</f>
        <v>0</v>
      </c>
      <c r="E6713" t="s">
        <v>434</v>
      </c>
      <c r="F6713" t="str">
        <f>INDEX(Lists!I:I,MATCH(Validation!E6713,Lists!G:G,0))</f>
        <v>Error</v>
      </c>
      <c r="G6713" t="str">
        <f>INDEX(Lists!H:H,MATCH(Validation!E6713,Lists!G:G,0))</f>
        <v>Amount may not be negative. Enter an amount greater than or equal to zero.</v>
      </c>
      <c r="H6713" s="16" t="str">
        <f t="shared" ca="1" si="759"/>
        <v/>
      </c>
      <c r="I6713" s="16" t="str">
        <f t="shared" ca="1" si="760"/>
        <v/>
      </c>
      <c r="J6713" s="17" t="str">
        <f t="shared" ca="1" si="761"/>
        <v/>
      </c>
    </row>
    <row r="6714" spans="1:10" x14ac:dyDescent="0.25">
      <c r="A6714" t="s">
        <v>937</v>
      </c>
      <c r="B6714" t="str">
        <f>ADDRESS(ROW('Loan 1'!$C$39),COLUMN('Loan 1'!$C$39),4)</f>
        <v>C39</v>
      </c>
      <c r="C6714" t="str">
        <f>ADDRESS(ROW('Loan 1'!$D$39),COLUMN('Loan 1'!$D$39),4)</f>
        <v>D39</v>
      </c>
      <c r="D6714" t="b" cm="1">
        <f t="array" aca="1" ref="D6714" ca="1">IF(INDIRECT("'"&amp;A6714&amp;"'!"&amp;B6714)="",FALSE,IF(INDIRECT("'"&amp;A6714&amp;"'!"&amp;B6714)&lt;0,TRUE,FALSE))</f>
        <v>0</v>
      </c>
      <c r="E6714" t="s">
        <v>434</v>
      </c>
      <c r="F6714" t="str">
        <f>INDEX(Lists!I:I,MATCH(Validation!E6714,Lists!G:G,0))</f>
        <v>Error</v>
      </c>
      <c r="G6714" t="str">
        <f>INDEX(Lists!H:H,MATCH(Validation!E6714,Lists!G:G,0))</f>
        <v>Amount may not be negative. Enter an amount greater than or equal to zero.</v>
      </c>
      <c r="H6714" s="16" t="str">
        <f t="shared" ca="1" si="759"/>
        <v/>
      </c>
      <c r="I6714" s="16" t="str">
        <f t="shared" ca="1" si="760"/>
        <v/>
      </c>
      <c r="J6714" s="17" t="str">
        <f t="shared" ca="1" si="761"/>
        <v/>
      </c>
    </row>
    <row r="6715" spans="1:10" x14ac:dyDescent="0.25">
      <c r="A6715" t="s">
        <v>938</v>
      </c>
      <c r="B6715" t="str">
        <f>ADDRESS(ROW('Loan 1'!$C$39),COLUMN('Loan 1'!$C$39),4)</f>
        <v>C39</v>
      </c>
      <c r="C6715" t="str">
        <f>ADDRESS(ROW('Loan 1'!$D$39),COLUMN('Loan 1'!$D$39),4)</f>
        <v>D39</v>
      </c>
      <c r="D6715" t="b" cm="1">
        <f t="array" aca="1" ref="D6715" ca="1">IF(INDIRECT("'"&amp;A6715&amp;"'!"&amp;B6715)="",FALSE,IF(INDIRECT("'"&amp;A6715&amp;"'!"&amp;B6715)&lt;0,TRUE,FALSE))</f>
        <v>0</v>
      </c>
      <c r="E6715" t="s">
        <v>434</v>
      </c>
      <c r="F6715" t="str">
        <f>INDEX(Lists!I:I,MATCH(Validation!E6715,Lists!G:G,0))</f>
        <v>Error</v>
      </c>
      <c r="G6715" t="str">
        <f>INDEX(Lists!H:H,MATCH(Validation!E6715,Lists!G:G,0))</f>
        <v>Amount may not be negative. Enter an amount greater than or equal to zero.</v>
      </c>
      <c r="H6715" s="16" t="str">
        <f t="shared" ca="1" si="759"/>
        <v/>
      </c>
      <c r="I6715" s="16" t="str">
        <f t="shared" ca="1" si="760"/>
        <v/>
      </c>
      <c r="J6715" s="17" t="str">
        <f t="shared" ca="1" si="761"/>
        <v/>
      </c>
    </row>
    <row r="6716" spans="1:10" x14ac:dyDescent="0.25">
      <c r="A6716" t="s">
        <v>939</v>
      </c>
      <c r="B6716" t="str">
        <f>ADDRESS(ROW('Loan 1'!$C$39),COLUMN('Loan 1'!$C$39),4)</f>
        <v>C39</v>
      </c>
      <c r="C6716" t="str">
        <f>ADDRESS(ROW('Loan 1'!$D$39),COLUMN('Loan 1'!$D$39),4)</f>
        <v>D39</v>
      </c>
      <c r="D6716" t="b" cm="1">
        <f t="array" aca="1" ref="D6716" ca="1">IF(INDIRECT("'"&amp;A6716&amp;"'!"&amp;B6716)="",FALSE,IF(INDIRECT("'"&amp;A6716&amp;"'!"&amp;B6716)&lt;0,TRUE,FALSE))</f>
        <v>0</v>
      </c>
      <c r="E6716" t="s">
        <v>434</v>
      </c>
      <c r="F6716" t="str">
        <f>INDEX(Lists!I:I,MATCH(Validation!E6716,Lists!G:G,0))</f>
        <v>Error</v>
      </c>
      <c r="G6716" t="str">
        <f>INDEX(Lists!H:H,MATCH(Validation!E6716,Lists!G:G,0))</f>
        <v>Amount may not be negative. Enter an amount greater than or equal to zero.</v>
      </c>
      <c r="H6716" s="16" t="str">
        <f t="shared" ca="1" si="759"/>
        <v/>
      </c>
      <c r="I6716" s="16" t="str">
        <f t="shared" ca="1" si="760"/>
        <v/>
      </c>
      <c r="J6716" s="17" t="str">
        <f t="shared" ca="1" si="761"/>
        <v/>
      </c>
    </row>
    <row r="6717" spans="1:10" x14ac:dyDescent="0.25">
      <c r="A6717" t="s">
        <v>940</v>
      </c>
      <c r="B6717" t="str">
        <f>ADDRESS(ROW('Loan 1'!$C$39),COLUMN('Loan 1'!$C$39),4)</f>
        <v>C39</v>
      </c>
      <c r="C6717" t="str">
        <f>ADDRESS(ROW('Loan 1'!$D$39),COLUMN('Loan 1'!$D$39),4)</f>
        <v>D39</v>
      </c>
      <c r="D6717" t="b" cm="1">
        <f t="array" aca="1" ref="D6717" ca="1">IF(INDIRECT("'"&amp;A6717&amp;"'!"&amp;B6717)="",FALSE,IF(INDIRECT("'"&amp;A6717&amp;"'!"&amp;B6717)&lt;0,TRUE,FALSE))</f>
        <v>0</v>
      </c>
      <c r="E6717" t="s">
        <v>434</v>
      </c>
      <c r="F6717" t="str">
        <f>INDEX(Lists!I:I,MATCH(Validation!E6717,Lists!G:G,0))</f>
        <v>Error</v>
      </c>
      <c r="G6717" t="str">
        <f>INDEX(Lists!H:H,MATCH(Validation!E6717,Lists!G:G,0))</f>
        <v>Amount may not be negative. Enter an amount greater than or equal to zero.</v>
      </c>
      <c r="H6717" s="16" t="str">
        <f t="shared" ca="1" si="759"/>
        <v/>
      </c>
      <c r="I6717" s="16" t="str">
        <f t="shared" ca="1" si="760"/>
        <v/>
      </c>
      <c r="J6717" s="17" t="str">
        <f t="shared" ca="1" si="761"/>
        <v/>
      </c>
    </row>
    <row r="6718" spans="1:10" x14ac:dyDescent="0.25">
      <c r="A6718" t="s">
        <v>941</v>
      </c>
      <c r="B6718" t="str">
        <f>ADDRESS(ROW('Loan 1'!$C$39),COLUMN('Loan 1'!$C$39),4)</f>
        <v>C39</v>
      </c>
      <c r="C6718" t="str">
        <f>ADDRESS(ROW('Loan 1'!$D$39),COLUMN('Loan 1'!$D$39),4)</f>
        <v>D39</v>
      </c>
      <c r="D6718" t="b" cm="1">
        <f t="array" aca="1" ref="D6718" ca="1">IF(INDIRECT("'"&amp;A6718&amp;"'!"&amp;B6718)="",FALSE,IF(INDIRECT("'"&amp;A6718&amp;"'!"&amp;B6718)&lt;0,TRUE,FALSE))</f>
        <v>0</v>
      </c>
      <c r="E6718" t="s">
        <v>434</v>
      </c>
      <c r="F6718" t="str">
        <f>INDEX(Lists!I:I,MATCH(Validation!E6718,Lists!G:G,0))</f>
        <v>Error</v>
      </c>
      <c r="G6718" t="str">
        <f>INDEX(Lists!H:H,MATCH(Validation!E6718,Lists!G:G,0))</f>
        <v>Amount may not be negative. Enter an amount greater than or equal to zero.</v>
      </c>
      <c r="H6718" s="16" t="str">
        <f t="shared" ca="1" si="759"/>
        <v/>
      </c>
      <c r="I6718" s="16" t="str">
        <f t="shared" ca="1" si="760"/>
        <v/>
      </c>
      <c r="J6718" s="17" t="str">
        <f t="shared" ca="1" si="761"/>
        <v/>
      </c>
    </row>
    <row r="6719" spans="1:10" x14ac:dyDescent="0.25">
      <c r="A6719" t="s">
        <v>942</v>
      </c>
      <c r="B6719" t="str">
        <f>ADDRESS(ROW('Loan 1'!$C$39),COLUMN('Loan 1'!$C$39),4)</f>
        <v>C39</v>
      </c>
      <c r="C6719" t="str">
        <f>ADDRESS(ROW('Loan 1'!$D$39),COLUMN('Loan 1'!$D$39),4)</f>
        <v>D39</v>
      </c>
      <c r="D6719" t="b" cm="1">
        <f t="array" aca="1" ref="D6719" ca="1">IF(INDIRECT("'"&amp;A6719&amp;"'!"&amp;B6719)="",FALSE,IF(INDIRECT("'"&amp;A6719&amp;"'!"&amp;B6719)&lt;0,TRUE,FALSE))</f>
        <v>0</v>
      </c>
      <c r="E6719" t="s">
        <v>434</v>
      </c>
      <c r="F6719" t="str">
        <f>INDEX(Lists!I:I,MATCH(Validation!E6719,Lists!G:G,0))</f>
        <v>Error</v>
      </c>
      <c r="G6719" t="str">
        <f>INDEX(Lists!H:H,MATCH(Validation!E6719,Lists!G:G,0))</f>
        <v>Amount may not be negative. Enter an amount greater than or equal to zero.</v>
      </c>
      <c r="H6719" s="16" t="str">
        <f t="shared" ca="1" si="759"/>
        <v/>
      </c>
      <c r="I6719" s="16" t="str">
        <f t="shared" ca="1" si="760"/>
        <v/>
      </c>
      <c r="J6719" s="17" t="str">
        <f t="shared" ca="1" si="761"/>
        <v/>
      </c>
    </row>
    <row r="6720" spans="1:10" x14ac:dyDescent="0.25">
      <c r="A6720" t="s">
        <v>943</v>
      </c>
      <c r="B6720" t="str">
        <f>ADDRESS(ROW('Loan 1'!$C$39),COLUMN('Loan 1'!$C$39),4)</f>
        <v>C39</v>
      </c>
      <c r="C6720" t="str">
        <f>ADDRESS(ROW('Loan 1'!$D$39),COLUMN('Loan 1'!$D$39),4)</f>
        <v>D39</v>
      </c>
      <c r="D6720" t="b" cm="1">
        <f t="array" aca="1" ref="D6720" ca="1">IF(INDIRECT("'"&amp;A6720&amp;"'!"&amp;B6720)="",FALSE,IF(INDIRECT("'"&amp;A6720&amp;"'!"&amp;B6720)&lt;0,TRUE,FALSE))</f>
        <v>0</v>
      </c>
      <c r="E6720" t="s">
        <v>434</v>
      </c>
      <c r="F6720" t="str">
        <f>INDEX(Lists!I:I,MATCH(Validation!E6720,Lists!G:G,0))</f>
        <v>Error</v>
      </c>
      <c r="G6720" t="str">
        <f>INDEX(Lists!H:H,MATCH(Validation!E6720,Lists!G:G,0))</f>
        <v>Amount may not be negative. Enter an amount greater than or equal to zero.</v>
      </c>
      <c r="H6720" s="16" t="str">
        <f t="shared" ca="1" si="759"/>
        <v/>
      </c>
      <c r="I6720" s="16" t="str">
        <f t="shared" ca="1" si="760"/>
        <v/>
      </c>
      <c r="J6720" s="17" t="str">
        <f t="shared" ca="1" si="761"/>
        <v/>
      </c>
    </row>
    <row r="6721" spans="1:10" x14ac:dyDescent="0.25">
      <c r="A6721" t="s">
        <v>944</v>
      </c>
      <c r="B6721" t="str">
        <f>ADDRESS(ROW('Loan 1'!$C$39),COLUMN('Loan 1'!$C$39),4)</f>
        <v>C39</v>
      </c>
      <c r="C6721" t="str">
        <f>ADDRESS(ROW('Loan 1'!$D$39),COLUMN('Loan 1'!$D$39),4)</f>
        <v>D39</v>
      </c>
      <c r="D6721" t="b" cm="1">
        <f t="array" aca="1" ref="D6721" ca="1">IF(INDIRECT("'"&amp;A6721&amp;"'!"&amp;B6721)="",FALSE,IF(INDIRECT("'"&amp;A6721&amp;"'!"&amp;B6721)&lt;0,TRUE,FALSE))</f>
        <v>0</v>
      </c>
      <c r="E6721" t="s">
        <v>434</v>
      </c>
      <c r="F6721" t="str">
        <f>INDEX(Lists!I:I,MATCH(Validation!E6721,Lists!G:G,0))</f>
        <v>Error</v>
      </c>
      <c r="G6721" t="str">
        <f>INDEX(Lists!H:H,MATCH(Validation!E6721,Lists!G:G,0))</f>
        <v>Amount may not be negative. Enter an amount greater than or equal to zero.</v>
      </c>
      <c r="H6721" s="16" t="str">
        <f t="shared" ca="1" si="759"/>
        <v/>
      </c>
      <c r="I6721" s="16" t="str">
        <f t="shared" ca="1" si="760"/>
        <v/>
      </c>
      <c r="J6721" s="17" t="str">
        <f t="shared" ca="1" si="761"/>
        <v/>
      </c>
    </row>
    <row r="6722" spans="1:10" x14ac:dyDescent="0.25">
      <c r="A6722" t="s">
        <v>945</v>
      </c>
      <c r="B6722" t="str">
        <f>ADDRESS(ROW('Loan 1'!$C$39),COLUMN('Loan 1'!$C$39),4)</f>
        <v>C39</v>
      </c>
      <c r="C6722" t="str">
        <f>ADDRESS(ROW('Loan 1'!$D$39),COLUMN('Loan 1'!$D$39),4)</f>
        <v>D39</v>
      </c>
      <c r="D6722" t="b" cm="1">
        <f t="array" aca="1" ref="D6722" ca="1">IF(INDIRECT("'"&amp;A6722&amp;"'!"&amp;B6722)="",FALSE,IF(INDIRECT("'"&amp;A6722&amp;"'!"&amp;B6722)&lt;0,TRUE,FALSE))</f>
        <v>0</v>
      </c>
      <c r="E6722" t="s">
        <v>434</v>
      </c>
      <c r="F6722" t="str">
        <f>INDEX(Lists!I:I,MATCH(Validation!E6722,Lists!G:G,0))</f>
        <v>Error</v>
      </c>
      <c r="G6722" t="str">
        <f>INDEX(Lists!H:H,MATCH(Validation!E6722,Lists!G:G,0))</f>
        <v>Amount may not be negative. Enter an amount greater than or equal to zero.</v>
      </c>
      <c r="H6722" s="16" t="str">
        <f t="shared" ca="1" si="759"/>
        <v/>
      </c>
      <c r="I6722" s="16" t="str">
        <f t="shared" ca="1" si="760"/>
        <v/>
      </c>
      <c r="J6722" s="17" t="str">
        <f t="shared" ca="1" si="761"/>
        <v/>
      </c>
    </row>
    <row r="6723" spans="1:10" x14ac:dyDescent="0.25">
      <c r="A6723" t="s">
        <v>205</v>
      </c>
      <c r="B6723" t="str">
        <f>ADDRESS(ROW('Loan 1'!$C$39),COLUMN('Loan 1'!$C$39),4)</f>
        <v>C39</v>
      </c>
      <c r="C6723" t="str">
        <f>ADDRESS(ROW('Loan 1'!$D$39),COLUMN('Loan 1'!$D$39),4)</f>
        <v>D39</v>
      </c>
      <c r="D6723" t="b" cm="1">
        <f t="array" aca="1" ref="D6723" ca="1">IF(INDIRECT("'"&amp;A6723&amp;"'!"&amp;B6723)="",FALSE,IF(TRUNC(INDIRECT("'"&amp;A6723&amp;"'!"&amp;B6723))=INDIRECT("'"&amp;A6723&amp;"'!"&amp;B6723),FALSE,TRUE))</f>
        <v>0</v>
      </c>
      <c r="E6723" t="s">
        <v>436</v>
      </c>
      <c r="F6723" t="str">
        <f>INDEX(Lists!I:I,MATCH(Validation!E6723,Lists!G:G,0))</f>
        <v>Error</v>
      </c>
      <c r="G6723" t="str">
        <f>INDEX(Lists!H:H,MATCH(Validation!E6723,Lists!G:G,0))</f>
        <v>Amount must be rounded to the nearest dollar.</v>
      </c>
      <c r="H6723" s="16" t="str">
        <f t="shared" ref="H6723:H6737" ca="1" si="762">IFERROR(IF(OR(NOT(D6723),F6723&lt;&gt;"Error"),"",A6723&amp;CELL("address",INDIRECT(B6723))),"")</f>
        <v/>
      </c>
      <c r="I6723" s="16" t="str">
        <f t="shared" ref="I6723:I6737" ca="1" si="763">IFERROR(IF(NOT(D6723),"",A6723&amp;CELL("address",INDIRECT(C6723))),"")</f>
        <v/>
      </c>
      <c r="J6723" s="17" t="str">
        <f t="shared" ref="J6723:J6737" ca="1" si="764">IFERROR(IF(NOT(D6723),"",A6723),"")</f>
        <v/>
      </c>
    </row>
    <row r="6724" spans="1:10" x14ac:dyDescent="0.25">
      <c r="A6724" t="s">
        <v>932</v>
      </c>
      <c r="B6724" t="str">
        <f>ADDRESS(ROW('Loan 1'!$C$39),COLUMN('Loan 1'!$C$39),4)</f>
        <v>C39</v>
      </c>
      <c r="C6724" t="str">
        <f>ADDRESS(ROW('Loan 1'!$D$39),COLUMN('Loan 1'!$D$39),4)</f>
        <v>D39</v>
      </c>
      <c r="D6724" t="b" cm="1">
        <f t="array" aca="1" ref="D6724" ca="1">IF(INDIRECT("'"&amp;A6724&amp;"'!"&amp;B6724)="",FALSE,IF(TRUNC(INDIRECT("'"&amp;A6724&amp;"'!"&amp;B6724))=INDIRECT("'"&amp;A6724&amp;"'!"&amp;B6724),FALSE,TRUE))</f>
        <v>0</v>
      </c>
      <c r="E6724" t="s">
        <v>436</v>
      </c>
      <c r="F6724" t="str">
        <f>INDEX(Lists!I:I,MATCH(Validation!E6724,Lists!G:G,0))</f>
        <v>Error</v>
      </c>
      <c r="G6724" t="str">
        <f>INDEX(Lists!H:H,MATCH(Validation!E6724,Lists!G:G,0))</f>
        <v>Amount must be rounded to the nearest dollar.</v>
      </c>
      <c r="H6724" s="16" t="str">
        <f t="shared" ca="1" si="762"/>
        <v/>
      </c>
      <c r="I6724" s="16" t="str">
        <f t="shared" ca="1" si="763"/>
        <v/>
      </c>
      <c r="J6724" s="17" t="str">
        <f t="shared" ca="1" si="764"/>
        <v/>
      </c>
    </row>
    <row r="6725" spans="1:10" x14ac:dyDescent="0.25">
      <c r="A6725" t="s">
        <v>933</v>
      </c>
      <c r="B6725" t="str">
        <f>ADDRESS(ROW('Loan 1'!$C$39),COLUMN('Loan 1'!$C$39),4)</f>
        <v>C39</v>
      </c>
      <c r="C6725" t="str">
        <f>ADDRESS(ROW('Loan 1'!$D$39),COLUMN('Loan 1'!$D$39),4)</f>
        <v>D39</v>
      </c>
      <c r="D6725" t="b" cm="1">
        <f t="array" aca="1" ref="D6725" ca="1">IF(INDIRECT("'"&amp;A6725&amp;"'!"&amp;B6725)="",FALSE,IF(TRUNC(INDIRECT("'"&amp;A6725&amp;"'!"&amp;B6725))=INDIRECT("'"&amp;A6725&amp;"'!"&amp;B6725),FALSE,TRUE))</f>
        <v>0</v>
      </c>
      <c r="E6725" t="s">
        <v>436</v>
      </c>
      <c r="F6725" t="str">
        <f>INDEX(Lists!I:I,MATCH(Validation!E6725,Lists!G:G,0))</f>
        <v>Error</v>
      </c>
      <c r="G6725" t="str">
        <f>INDEX(Lists!H:H,MATCH(Validation!E6725,Lists!G:G,0))</f>
        <v>Amount must be rounded to the nearest dollar.</v>
      </c>
      <c r="H6725" s="16" t="str">
        <f t="shared" ca="1" si="762"/>
        <v/>
      </c>
      <c r="I6725" s="16" t="str">
        <f t="shared" ca="1" si="763"/>
        <v/>
      </c>
      <c r="J6725" s="17" t="str">
        <f t="shared" ca="1" si="764"/>
        <v/>
      </c>
    </row>
    <row r="6726" spans="1:10" x14ac:dyDescent="0.25">
      <c r="A6726" t="s">
        <v>934</v>
      </c>
      <c r="B6726" t="str">
        <f>ADDRESS(ROW('Loan 1'!$C$39),COLUMN('Loan 1'!$C$39),4)</f>
        <v>C39</v>
      </c>
      <c r="C6726" t="str">
        <f>ADDRESS(ROW('Loan 1'!$D$39),COLUMN('Loan 1'!$D$39),4)</f>
        <v>D39</v>
      </c>
      <c r="D6726" t="b" cm="1">
        <f t="array" aca="1" ref="D6726" ca="1">IF(INDIRECT("'"&amp;A6726&amp;"'!"&amp;B6726)="",FALSE,IF(TRUNC(INDIRECT("'"&amp;A6726&amp;"'!"&amp;B6726))=INDIRECT("'"&amp;A6726&amp;"'!"&amp;B6726),FALSE,TRUE))</f>
        <v>0</v>
      </c>
      <c r="E6726" t="s">
        <v>436</v>
      </c>
      <c r="F6726" t="str">
        <f>INDEX(Lists!I:I,MATCH(Validation!E6726,Lists!G:G,0))</f>
        <v>Error</v>
      </c>
      <c r="G6726" t="str">
        <f>INDEX(Lists!H:H,MATCH(Validation!E6726,Lists!G:G,0))</f>
        <v>Amount must be rounded to the nearest dollar.</v>
      </c>
      <c r="H6726" s="16" t="str">
        <f t="shared" ca="1" si="762"/>
        <v/>
      </c>
      <c r="I6726" s="16" t="str">
        <f t="shared" ca="1" si="763"/>
        <v/>
      </c>
      <c r="J6726" s="17" t="str">
        <f t="shared" ca="1" si="764"/>
        <v/>
      </c>
    </row>
    <row r="6727" spans="1:10" x14ac:dyDescent="0.25">
      <c r="A6727" t="s">
        <v>935</v>
      </c>
      <c r="B6727" t="str">
        <f>ADDRESS(ROW('Loan 1'!$C$39),COLUMN('Loan 1'!$C$39),4)</f>
        <v>C39</v>
      </c>
      <c r="C6727" t="str">
        <f>ADDRESS(ROW('Loan 1'!$D$39),COLUMN('Loan 1'!$D$39),4)</f>
        <v>D39</v>
      </c>
      <c r="D6727" t="b" cm="1">
        <f t="array" aca="1" ref="D6727" ca="1">IF(INDIRECT("'"&amp;A6727&amp;"'!"&amp;B6727)="",FALSE,IF(TRUNC(INDIRECT("'"&amp;A6727&amp;"'!"&amp;B6727))=INDIRECT("'"&amp;A6727&amp;"'!"&amp;B6727),FALSE,TRUE))</f>
        <v>0</v>
      </c>
      <c r="E6727" t="s">
        <v>436</v>
      </c>
      <c r="F6727" t="str">
        <f>INDEX(Lists!I:I,MATCH(Validation!E6727,Lists!G:G,0))</f>
        <v>Error</v>
      </c>
      <c r="G6727" t="str">
        <f>INDEX(Lists!H:H,MATCH(Validation!E6727,Lists!G:G,0))</f>
        <v>Amount must be rounded to the nearest dollar.</v>
      </c>
      <c r="H6727" s="16" t="str">
        <f t="shared" ca="1" si="762"/>
        <v/>
      </c>
      <c r="I6727" s="16" t="str">
        <f t="shared" ca="1" si="763"/>
        <v/>
      </c>
      <c r="J6727" s="17" t="str">
        <f t="shared" ca="1" si="764"/>
        <v/>
      </c>
    </row>
    <row r="6728" spans="1:10" x14ac:dyDescent="0.25">
      <c r="A6728" t="s">
        <v>936</v>
      </c>
      <c r="B6728" t="str">
        <f>ADDRESS(ROW('Loan 1'!$C$39),COLUMN('Loan 1'!$C$39),4)</f>
        <v>C39</v>
      </c>
      <c r="C6728" t="str">
        <f>ADDRESS(ROW('Loan 1'!$D$39),COLUMN('Loan 1'!$D$39),4)</f>
        <v>D39</v>
      </c>
      <c r="D6728" t="b" cm="1">
        <f t="array" aca="1" ref="D6728" ca="1">IF(INDIRECT("'"&amp;A6728&amp;"'!"&amp;B6728)="",FALSE,IF(TRUNC(INDIRECT("'"&amp;A6728&amp;"'!"&amp;B6728))=INDIRECT("'"&amp;A6728&amp;"'!"&amp;B6728),FALSE,TRUE))</f>
        <v>0</v>
      </c>
      <c r="E6728" t="s">
        <v>436</v>
      </c>
      <c r="F6728" t="str">
        <f>INDEX(Lists!I:I,MATCH(Validation!E6728,Lists!G:G,0))</f>
        <v>Error</v>
      </c>
      <c r="G6728" t="str">
        <f>INDEX(Lists!H:H,MATCH(Validation!E6728,Lists!G:G,0))</f>
        <v>Amount must be rounded to the nearest dollar.</v>
      </c>
      <c r="H6728" s="16" t="str">
        <f t="shared" ca="1" si="762"/>
        <v/>
      </c>
      <c r="I6728" s="16" t="str">
        <f t="shared" ca="1" si="763"/>
        <v/>
      </c>
      <c r="J6728" s="17" t="str">
        <f t="shared" ca="1" si="764"/>
        <v/>
      </c>
    </row>
    <row r="6729" spans="1:10" x14ac:dyDescent="0.25">
      <c r="A6729" t="s">
        <v>937</v>
      </c>
      <c r="B6729" t="str">
        <f>ADDRESS(ROW('Loan 1'!$C$39),COLUMN('Loan 1'!$C$39),4)</f>
        <v>C39</v>
      </c>
      <c r="C6729" t="str">
        <f>ADDRESS(ROW('Loan 1'!$D$39),COLUMN('Loan 1'!$D$39),4)</f>
        <v>D39</v>
      </c>
      <c r="D6729" t="b" cm="1">
        <f t="array" aca="1" ref="D6729" ca="1">IF(INDIRECT("'"&amp;A6729&amp;"'!"&amp;B6729)="",FALSE,IF(TRUNC(INDIRECT("'"&amp;A6729&amp;"'!"&amp;B6729))=INDIRECT("'"&amp;A6729&amp;"'!"&amp;B6729),FALSE,TRUE))</f>
        <v>0</v>
      </c>
      <c r="E6729" t="s">
        <v>436</v>
      </c>
      <c r="F6729" t="str">
        <f>INDEX(Lists!I:I,MATCH(Validation!E6729,Lists!G:G,0))</f>
        <v>Error</v>
      </c>
      <c r="G6729" t="str">
        <f>INDEX(Lists!H:H,MATCH(Validation!E6729,Lists!G:G,0))</f>
        <v>Amount must be rounded to the nearest dollar.</v>
      </c>
      <c r="H6729" s="16" t="str">
        <f t="shared" ca="1" si="762"/>
        <v/>
      </c>
      <c r="I6729" s="16" t="str">
        <f t="shared" ca="1" si="763"/>
        <v/>
      </c>
      <c r="J6729" s="17" t="str">
        <f t="shared" ca="1" si="764"/>
        <v/>
      </c>
    </row>
    <row r="6730" spans="1:10" x14ac:dyDescent="0.25">
      <c r="A6730" t="s">
        <v>938</v>
      </c>
      <c r="B6730" t="str">
        <f>ADDRESS(ROW('Loan 1'!$C$39),COLUMN('Loan 1'!$C$39),4)</f>
        <v>C39</v>
      </c>
      <c r="C6730" t="str">
        <f>ADDRESS(ROW('Loan 1'!$D$39),COLUMN('Loan 1'!$D$39),4)</f>
        <v>D39</v>
      </c>
      <c r="D6730" t="b" cm="1">
        <f t="array" aca="1" ref="D6730" ca="1">IF(INDIRECT("'"&amp;A6730&amp;"'!"&amp;B6730)="",FALSE,IF(TRUNC(INDIRECT("'"&amp;A6730&amp;"'!"&amp;B6730))=INDIRECT("'"&amp;A6730&amp;"'!"&amp;B6730),FALSE,TRUE))</f>
        <v>0</v>
      </c>
      <c r="E6730" t="s">
        <v>436</v>
      </c>
      <c r="F6730" t="str">
        <f>INDEX(Lists!I:I,MATCH(Validation!E6730,Lists!G:G,0))</f>
        <v>Error</v>
      </c>
      <c r="G6730" t="str">
        <f>INDEX(Lists!H:H,MATCH(Validation!E6730,Lists!G:G,0))</f>
        <v>Amount must be rounded to the nearest dollar.</v>
      </c>
      <c r="H6730" s="16" t="str">
        <f t="shared" ca="1" si="762"/>
        <v/>
      </c>
      <c r="I6730" s="16" t="str">
        <f t="shared" ca="1" si="763"/>
        <v/>
      </c>
      <c r="J6730" s="17" t="str">
        <f t="shared" ca="1" si="764"/>
        <v/>
      </c>
    </row>
    <row r="6731" spans="1:10" x14ac:dyDescent="0.25">
      <c r="A6731" t="s">
        <v>939</v>
      </c>
      <c r="B6731" t="str">
        <f>ADDRESS(ROW('Loan 1'!$C$39),COLUMN('Loan 1'!$C$39),4)</f>
        <v>C39</v>
      </c>
      <c r="C6731" t="str">
        <f>ADDRESS(ROW('Loan 1'!$D$39),COLUMN('Loan 1'!$D$39),4)</f>
        <v>D39</v>
      </c>
      <c r="D6731" t="b" cm="1">
        <f t="array" aca="1" ref="D6731" ca="1">IF(INDIRECT("'"&amp;A6731&amp;"'!"&amp;B6731)="",FALSE,IF(TRUNC(INDIRECT("'"&amp;A6731&amp;"'!"&amp;B6731))=INDIRECT("'"&amp;A6731&amp;"'!"&amp;B6731),FALSE,TRUE))</f>
        <v>0</v>
      </c>
      <c r="E6731" t="s">
        <v>436</v>
      </c>
      <c r="F6731" t="str">
        <f>INDEX(Lists!I:I,MATCH(Validation!E6731,Lists!G:G,0))</f>
        <v>Error</v>
      </c>
      <c r="G6731" t="str">
        <f>INDEX(Lists!H:H,MATCH(Validation!E6731,Lists!G:G,0))</f>
        <v>Amount must be rounded to the nearest dollar.</v>
      </c>
      <c r="H6731" s="16" t="str">
        <f t="shared" ca="1" si="762"/>
        <v/>
      </c>
      <c r="I6731" s="16" t="str">
        <f t="shared" ca="1" si="763"/>
        <v/>
      </c>
      <c r="J6731" s="17" t="str">
        <f t="shared" ca="1" si="764"/>
        <v/>
      </c>
    </row>
    <row r="6732" spans="1:10" x14ac:dyDescent="0.25">
      <c r="A6732" t="s">
        <v>940</v>
      </c>
      <c r="B6732" t="str">
        <f>ADDRESS(ROW('Loan 1'!$C$39),COLUMN('Loan 1'!$C$39),4)</f>
        <v>C39</v>
      </c>
      <c r="C6732" t="str">
        <f>ADDRESS(ROW('Loan 1'!$D$39),COLUMN('Loan 1'!$D$39),4)</f>
        <v>D39</v>
      </c>
      <c r="D6732" t="b" cm="1">
        <f t="array" aca="1" ref="D6732" ca="1">IF(INDIRECT("'"&amp;A6732&amp;"'!"&amp;B6732)="",FALSE,IF(TRUNC(INDIRECT("'"&amp;A6732&amp;"'!"&amp;B6732))=INDIRECT("'"&amp;A6732&amp;"'!"&amp;B6732),FALSE,TRUE))</f>
        <v>0</v>
      </c>
      <c r="E6732" t="s">
        <v>436</v>
      </c>
      <c r="F6732" t="str">
        <f>INDEX(Lists!I:I,MATCH(Validation!E6732,Lists!G:G,0))</f>
        <v>Error</v>
      </c>
      <c r="G6732" t="str">
        <f>INDEX(Lists!H:H,MATCH(Validation!E6732,Lists!G:G,0))</f>
        <v>Amount must be rounded to the nearest dollar.</v>
      </c>
      <c r="H6732" s="16" t="str">
        <f t="shared" ca="1" si="762"/>
        <v/>
      </c>
      <c r="I6732" s="16" t="str">
        <f t="shared" ca="1" si="763"/>
        <v/>
      </c>
      <c r="J6732" s="17" t="str">
        <f t="shared" ca="1" si="764"/>
        <v/>
      </c>
    </row>
    <row r="6733" spans="1:10" x14ac:dyDescent="0.25">
      <c r="A6733" t="s">
        <v>941</v>
      </c>
      <c r="B6733" t="str">
        <f>ADDRESS(ROW('Loan 1'!$C$39),COLUMN('Loan 1'!$C$39),4)</f>
        <v>C39</v>
      </c>
      <c r="C6733" t="str">
        <f>ADDRESS(ROW('Loan 1'!$D$39),COLUMN('Loan 1'!$D$39),4)</f>
        <v>D39</v>
      </c>
      <c r="D6733" t="b" cm="1">
        <f t="array" aca="1" ref="D6733" ca="1">IF(INDIRECT("'"&amp;A6733&amp;"'!"&amp;B6733)="",FALSE,IF(TRUNC(INDIRECT("'"&amp;A6733&amp;"'!"&amp;B6733))=INDIRECT("'"&amp;A6733&amp;"'!"&amp;B6733),FALSE,TRUE))</f>
        <v>0</v>
      </c>
      <c r="E6733" t="s">
        <v>436</v>
      </c>
      <c r="F6733" t="str">
        <f>INDEX(Lists!I:I,MATCH(Validation!E6733,Lists!G:G,0))</f>
        <v>Error</v>
      </c>
      <c r="G6733" t="str">
        <f>INDEX(Lists!H:H,MATCH(Validation!E6733,Lists!G:G,0))</f>
        <v>Amount must be rounded to the nearest dollar.</v>
      </c>
      <c r="H6733" s="16" t="str">
        <f t="shared" ca="1" si="762"/>
        <v/>
      </c>
      <c r="I6733" s="16" t="str">
        <f t="shared" ca="1" si="763"/>
        <v/>
      </c>
      <c r="J6733" s="17" t="str">
        <f t="shared" ca="1" si="764"/>
        <v/>
      </c>
    </row>
    <row r="6734" spans="1:10" x14ac:dyDescent="0.25">
      <c r="A6734" t="s">
        <v>942</v>
      </c>
      <c r="B6734" t="str">
        <f>ADDRESS(ROW('Loan 1'!$C$39),COLUMN('Loan 1'!$C$39),4)</f>
        <v>C39</v>
      </c>
      <c r="C6734" t="str">
        <f>ADDRESS(ROW('Loan 1'!$D$39),COLUMN('Loan 1'!$D$39),4)</f>
        <v>D39</v>
      </c>
      <c r="D6734" t="b" cm="1">
        <f t="array" aca="1" ref="D6734" ca="1">IF(INDIRECT("'"&amp;A6734&amp;"'!"&amp;B6734)="",FALSE,IF(TRUNC(INDIRECT("'"&amp;A6734&amp;"'!"&amp;B6734))=INDIRECT("'"&amp;A6734&amp;"'!"&amp;B6734),FALSE,TRUE))</f>
        <v>0</v>
      </c>
      <c r="E6734" t="s">
        <v>436</v>
      </c>
      <c r="F6734" t="str">
        <f>INDEX(Lists!I:I,MATCH(Validation!E6734,Lists!G:G,0))</f>
        <v>Error</v>
      </c>
      <c r="G6734" t="str">
        <f>INDEX(Lists!H:H,MATCH(Validation!E6734,Lists!G:G,0))</f>
        <v>Amount must be rounded to the nearest dollar.</v>
      </c>
      <c r="H6734" s="16" t="str">
        <f t="shared" ca="1" si="762"/>
        <v/>
      </c>
      <c r="I6734" s="16" t="str">
        <f t="shared" ca="1" si="763"/>
        <v/>
      </c>
      <c r="J6734" s="17" t="str">
        <f t="shared" ca="1" si="764"/>
        <v/>
      </c>
    </row>
    <row r="6735" spans="1:10" x14ac:dyDescent="0.25">
      <c r="A6735" t="s">
        <v>943</v>
      </c>
      <c r="B6735" t="str">
        <f>ADDRESS(ROW('Loan 1'!$C$39),COLUMN('Loan 1'!$C$39),4)</f>
        <v>C39</v>
      </c>
      <c r="C6735" t="str">
        <f>ADDRESS(ROW('Loan 1'!$D$39),COLUMN('Loan 1'!$D$39),4)</f>
        <v>D39</v>
      </c>
      <c r="D6735" t="b" cm="1">
        <f t="array" aca="1" ref="D6735" ca="1">IF(INDIRECT("'"&amp;A6735&amp;"'!"&amp;B6735)="",FALSE,IF(TRUNC(INDIRECT("'"&amp;A6735&amp;"'!"&amp;B6735))=INDIRECT("'"&amp;A6735&amp;"'!"&amp;B6735),FALSE,TRUE))</f>
        <v>0</v>
      </c>
      <c r="E6735" t="s">
        <v>436</v>
      </c>
      <c r="F6735" t="str">
        <f>INDEX(Lists!I:I,MATCH(Validation!E6735,Lists!G:G,0))</f>
        <v>Error</v>
      </c>
      <c r="G6735" t="str">
        <f>INDEX(Lists!H:H,MATCH(Validation!E6735,Lists!G:G,0))</f>
        <v>Amount must be rounded to the nearest dollar.</v>
      </c>
      <c r="H6735" s="16" t="str">
        <f t="shared" ca="1" si="762"/>
        <v/>
      </c>
      <c r="I6735" s="16" t="str">
        <f t="shared" ca="1" si="763"/>
        <v/>
      </c>
      <c r="J6735" s="17" t="str">
        <f t="shared" ca="1" si="764"/>
        <v/>
      </c>
    </row>
    <row r="6736" spans="1:10" x14ac:dyDescent="0.25">
      <c r="A6736" t="s">
        <v>944</v>
      </c>
      <c r="B6736" t="str">
        <f>ADDRESS(ROW('Loan 1'!$C$39),COLUMN('Loan 1'!$C$39),4)</f>
        <v>C39</v>
      </c>
      <c r="C6736" t="str">
        <f>ADDRESS(ROW('Loan 1'!$D$39),COLUMN('Loan 1'!$D$39),4)</f>
        <v>D39</v>
      </c>
      <c r="D6736" t="b" cm="1">
        <f t="array" aca="1" ref="D6736" ca="1">IF(INDIRECT("'"&amp;A6736&amp;"'!"&amp;B6736)="",FALSE,IF(TRUNC(INDIRECT("'"&amp;A6736&amp;"'!"&amp;B6736))=INDIRECT("'"&amp;A6736&amp;"'!"&amp;B6736),FALSE,TRUE))</f>
        <v>0</v>
      </c>
      <c r="E6736" t="s">
        <v>436</v>
      </c>
      <c r="F6736" t="str">
        <f>INDEX(Lists!I:I,MATCH(Validation!E6736,Lists!G:G,0))</f>
        <v>Error</v>
      </c>
      <c r="G6736" t="str">
        <f>INDEX(Lists!H:H,MATCH(Validation!E6736,Lists!G:G,0))</f>
        <v>Amount must be rounded to the nearest dollar.</v>
      </c>
      <c r="H6736" s="16" t="str">
        <f t="shared" ca="1" si="762"/>
        <v/>
      </c>
      <c r="I6736" s="16" t="str">
        <f t="shared" ca="1" si="763"/>
        <v/>
      </c>
      <c r="J6736" s="17" t="str">
        <f t="shared" ca="1" si="764"/>
        <v/>
      </c>
    </row>
    <row r="6737" spans="1:10" x14ac:dyDescent="0.25">
      <c r="A6737" t="s">
        <v>945</v>
      </c>
      <c r="B6737" t="str">
        <f>ADDRESS(ROW('Loan 1'!$C$39),COLUMN('Loan 1'!$C$39),4)</f>
        <v>C39</v>
      </c>
      <c r="C6737" t="str">
        <f>ADDRESS(ROW('Loan 1'!$D$39),COLUMN('Loan 1'!$D$39),4)</f>
        <v>D39</v>
      </c>
      <c r="D6737" t="b" cm="1">
        <f t="array" aca="1" ref="D6737" ca="1">IF(INDIRECT("'"&amp;A6737&amp;"'!"&amp;B6737)="",FALSE,IF(TRUNC(INDIRECT("'"&amp;A6737&amp;"'!"&amp;B6737))=INDIRECT("'"&amp;A6737&amp;"'!"&amp;B6737),FALSE,TRUE))</f>
        <v>0</v>
      </c>
      <c r="E6737" t="s">
        <v>436</v>
      </c>
      <c r="F6737" t="str">
        <f>INDEX(Lists!I:I,MATCH(Validation!E6737,Lists!G:G,0))</f>
        <v>Error</v>
      </c>
      <c r="G6737" t="str">
        <f>INDEX(Lists!H:H,MATCH(Validation!E6737,Lists!G:G,0))</f>
        <v>Amount must be rounded to the nearest dollar.</v>
      </c>
      <c r="H6737" s="16" t="str">
        <f t="shared" ca="1" si="762"/>
        <v/>
      </c>
      <c r="I6737" s="16" t="str">
        <f t="shared" ca="1" si="763"/>
        <v/>
      </c>
      <c r="J6737" s="17" t="str">
        <f t="shared" ca="1" si="764"/>
        <v/>
      </c>
    </row>
    <row r="6738" spans="1:10" x14ac:dyDescent="0.25">
      <c r="A6738" t="s">
        <v>205</v>
      </c>
      <c r="B6738" t="str">
        <f>ADDRESS(ROW('Loan 1'!$B$40),COLUMN('Loan 1'!$B$40),4)</f>
        <v>B40</v>
      </c>
      <c r="C6738" t="str">
        <f>ADDRESS(ROW('Loan 1'!$D$40),COLUMN('Loan 1'!$D$40),4)</f>
        <v>D40</v>
      </c>
      <c r="D6738" t="b" cm="1">
        <f t="array" aca="1" ref="D6738" ca="1">IF(INDIRECT("'"&amp;A6738&amp;"'!"&amp;B6738)="",FALSE,IF(NOT(ISNUMBER(INDIRECT("'"&amp;A6738&amp;"'!"&amp;B6738))),TRUE,FALSE))</f>
        <v>0</v>
      </c>
      <c r="E6738" t="s">
        <v>435</v>
      </c>
      <c r="F6738" t="str">
        <f>INDEX(Lists!I:I,MATCH(Validation!E6738,Lists!G:G,0))</f>
        <v>Error</v>
      </c>
      <c r="G6738" t="str">
        <f>INDEX(Lists!H:H,MATCH(Validation!E6738,Lists!G:G,0))</f>
        <v>Enter an amount only. Do not enter text or spaces.</v>
      </c>
      <c r="H6738" s="16" t="str">
        <f t="shared" ca="1" si="759"/>
        <v/>
      </c>
      <c r="I6738" s="16" t="str">
        <f t="shared" ca="1" si="760"/>
        <v/>
      </c>
      <c r="J6738" s="17" t="str">
        <f t="shared" ca="1" si="761"/>
        <v/>
      </c>
    </row>
    <row r="6739" spans="1:10" x14ac:dyDescent="0.25">
      <c r="A6739" t="s">
        <v>932</v>
      </c>
      <c r="B6739" t="str">
        <f>ADDRESS(ROW('Loan 1'!$B$40),COLUMN('Loan 1'!$B$40),4)</f>
        <v>B40</v>
      </c>
      <c r="C6739" t="str">
        <f>ADDRESS(ROW('Loan 1'!$D$40),COLUMN('Loan 1'!$D$40),4)</f>
        <v>D40</v>
      </c>
      <c r="D6739" t="b" cm="1">
        <f t="array" aca="1" ref="D6739" ca="1">IF(INDIRECT("'"&amp;A6739&amp;"'!"&amp;B6739)="",FALSE,IF(NOT(ISNUMBER(INDIRECT("'"&amp;A6739&amp;"'!"&amp;B6739))),TRUE,FALSE))</f>
        <v>0</v>
      </c>
      <c r="E6739" t="s">
        <v>435</v>
      </c>
      <c r="F6739" t="str">
        <f>INDEX(Lists!I:I,MATCH(Validation!E6739,Lists!G:G,0))</f>
        <v>Error</v>
      </c>
      <c r="G6739" t="str">
        <f>INDEX(Lists!H:H,MATCH(Validation!E6739,Lists!G:G,0))</f>
        <v>Enter an amount only. Do not enter text or spaces.</v>
      </c>
      <c r="H6739" s="16" t="str">
        <f t="shared" ref="H6739:H6752" ca="1" si="765">IFERROR(IF(OR(NOT(D6739),F6739&lt;&gt;"Error"),"",A6739&amp;CELL("address",INDIRECT(B6739))),"")</f>
        <v/>
      </c>
      <c r="I6739" s="16" t="str">
        <f t="shared" ref="I6739:I6752" ca="1" si="766">IFERROR(IF(NOT(D6739),"",A6739&amp;CELL("address",INDIRECT(C6739))),"")</f>
        <v/>
      </c>
      <c r="J6739" s="17" t="str">
        <f t="shared" ref="J6739:J6752" ca="1" si="767">IFERROR(IF(NOT(D6739),"",A6739),"")</f>
        <v/>
      </c>
    </row>
    <row r="6740" spans="1:10" x14ac:dyDescent="0.25">
      <c r="A6740" t="s">
        <v>933</v>
      </c>
      <c r="B6740" t="str">
        <f>ADDRESS(ROW('Loan 1'!$B$40),COLUMN('Loan 1'!$B$40),4)</f>
        <v>B40</v>
      </c>
      <c r="C6740" t="str">
        <f>ADDRESS(ROW('Loan 1'!$D$40),COLUMN('Loan 1'!$D$40),4)</f>
        <v>D40</v>
      </c>
      <c r="D6740" t="b" cm="1">
        <f t="array" aca="1" ref="D6740" ca="1">IF(INDIRECT("'"&amp;A6740&amp;"'!"&amp;B6740)="",FALSE,IF(NOT(ISNUMBER(INDIRECT("'"&amp;A6740&amp;"'!"&amp;B6740))),TRUE,FALSE))</f>
        <v>0</v>
      </c>
      <c r="E6740" t="s">
        <v>435</v>
      </c>
      <c r="F6740" t="str">
        <f>INDEX(Lists!I:I,MATCH(Validation!E6740,Lists!G:G,0))</f>
        <v>Error</v>
      </c>
      <c r="G6740" t="str">
        <f>INDEX(Lists!H:H,MATCH(Validation!E6740,Lists!G:G,0))</f>
        <v>Enter an amount only. Do not enter text or spaces.</v>
      </c>
      <c r="H6740" s="16" t="str">
        <f t="shared" ca="1" si="765"/>
        <v/>
      </c>
      <c r="I6740" s="16" t="str">
        <f t="shared" ca="1" si="766"/>
        <v/>
      </c>
      <c r="J6740" s="17" t="str">
        <f t="shared" ca="1" si="767"/>
        <v/>
      </c>
    </row>
    <row r="6741" spans="1:10" x14ac:dyDescent="0.25">
      <c r="A6741" t="s">
        <v>934</v>
      </c>
      <c r="B6741" t="str">
        <f>ADDRESS(ROW('Loan 1'!$B$40),COLUMN('Loan 1'!$B$40),4)</f>
        <v>B40</v>
      </c>
      <c r="C6741" t="str">
        <f>ADDRESS(ROW('Loan 1'!$D$40),COLUMN('Loan 1'!$D$40),4)</f>
        <v>D40</v>
      </c>
      <c r="D6741" t="b" cm="1">
        <f t="array" aca="1" ref="D6741" ca="1">IF(INDIRECT("'"&amp;A6741&amp;"'!"&amp;B6741)="",FALSE,IF(NOT(ISNUMBER(INDIRECT("'"&amp;A6741&amp;"'!"&amp;B6741))),TRUE,FALSE))</f>
        <v>0</v>
      </c>
      <c r="E6741" t="s">
        <v>435</v>
      </c>
      <c r="F6741" t="str">
        <f>INDEX(Lists!I:I,MATCH(Validation!E6741,Lists!G:G,0))</f>
        <v>Error</v>
      </c>
      <c r="G6741" t="str">
        <f>INDEX(Lists!H:H,MATCH(Validation!E6741,Lists!G:G,0))</f>
        <v>Enter an amount only. Do not enter text or spaces.</v>
      </c>
      <c r="H6741" s="16" t="str">
        <f t="shared" ca="1" si="765"/>
        <v/>
      </c>
      <c r="I6741" s="16" t="str">
        <f t="shared" ca="1" si="766"/>
        <v/>
      </c>
      <c r="J6741" s="17" t="str">
        <f t="shared" ca="1" si="767"/>
        <v/>
      </c>
    </row>
    <row r="6742" spans="1:10" x14ac:dyDescent="0.25">
      <c r="A6742" t="s">
        <v>935</v>
      </c>
      <c r="B6742" t="str">
        <f>ADDRESS(ROW('Loan 1'!$B$40),COLUMN('Loan 1'!$B$40),4)</f>
        <v>B40</v>
      </c>
      <c r="C6742" t="str">
        <f>ADDRESS(ROW('Loan 1'!$D$40),COLUMN('Loan 1'!$D$40),4)</f>
        <v>D40</v>
      </c>
      <c r="D6742" t="b" cm="1">
        <f t="array" aca="1" ref="D6742" ca="1">IF(INDIRECT("'"&amp;A6742&amp;"'!"&amp;B6742)="",FALSE,IF(NOT(ISNUMBER(INDIRECT("'"&amp;A6742&amp;"'!"&amp;B6742))),TRUE,FALSE))</f>
        <v>0</v>
      </c>
      <c r="E6742" t="s">
        <v>435</v>
      </c>
      <c r="F6742" t="str">
        <f>INDEX(Lists!I:I,MATCH(Validation!E6742,Lists!G:G,0))</f>
        <v>Error</v>
      </c>
      <c r="G6742" t="str">
        <f>INDEX(Lists!H:H,MATCH(Validation!E6742,Lists!G:G,0))</f>
        <v>Enter an amount only. Do not enter text or spaces.</v>
      </c>
      <c r="H6742" s="16" t="str">
        <f t="shared" ca="1" si="765"/>
        <v/>
      </c>
      <c r="I6742" s="16" t="str">
        <f t="shared" ca="1" si="766"/>
        <v/>
      </c>
      <c r="J6742" s="17" t="str">
        <f t="shared" ca="1" si="767"/>
        <v/>
      </c>
    </row>
    <row r="6743" spans="1:10" x14ac:dyDescent="0.25">
      <c r="A6743" t="s">
        <v>936</v>
      </c>
      <c r="B6743" t="str">
        <f>ADDRESS(ROW('Loan 1'!$B$40),COLUMN('Loan 1'!$B$40),4)</f>
        <v>B40</v>
      </c>
      <c r="C6743" t="str">
        <f>ADDRESS(ROW('Loan 1'!$D$40),COLUMN('Loan 1'!$D$40),4)</f>
        <v>D40</v>
      </c>
      <c r="D6743" t="b" cm="1">
        <f t="array" aca="1" ref="D6743" ca="1">IF(INDIRECT("'"&amp;A6743&amp;"'!"&amp;B6743)="",FALSE,IF(NOT(ISNUMBER(INDIRECT("'"&amp;A6743&amp;"'!"&amp;B6743))),TRUE,FALSE))</f>
        <v>0</v>
      </c>
      <c r="E6743" t="s">
        <v>435</v>
      </c>
      <c r="F6743" t="str">
        <f>INDEX(Lists!I:I,MATCH(Validation!E6743,Lists!G:G,0))</f>
        <v>Error</v>
      </c>
      <c r="G6743" t="str">
        <f>INDEX(Lists!H:H,MATCH(Validation!E6743,Lists!G:G,0))</f>
        <v>Enter an amount only. Do not enter text or spaces.</v>
      </c>
      <c r="H6743" s="16" t="str">
        <f t="shared" ca="1" si="765"/>
        <v/>
      </c>
      <c r="I6743" s="16" t="str">
        <f t="shared" ca="1" si="766"/>
        <v/>
      </c>
      <c r="J6743" s="17" t="str">
        <f t="shared" ca="1" si="767"/>
        <v/>
      </c>
    </row>
    <row r="6744" spans="1:10" x14ac:dyDescent="0.25">
      <c r="A6744" t="s">
        <v>937</v>
      </c>
      <c r="B6744" t="str">
        <f>ADDRESS(ROW('Loan 1'!$B$40),COLUMN('Loan 1'!$B$40),4)</f>
        <v>B40</v>
      </c>
      <c r="C6744" t="str">
        <f>ADDRESS(ROW('Loan 1'!$D$40),COLUMN('Loan 1'!$D$40),4)</f>
        <v>D40</v>
      </c>
      <c r="D6744" t="b" cm="1">
        <f t="array" aca="1" ref="D6744" ca="1">IF(INDIRECT("'"&amp;A6744&amp;"'!"&amp;B6744)="",FALSE,IF(NOT(ISNUMBER(INDIRECT("'"&amp;A6744&amp;"'!"&amp;B6744))),TRUE,FALSE))</f>
        <v>0</v>
      </c>
      <c r="E6744" t="s">
        <v>435</v>
      </c>
      <c r="F6744" t="str">
        <f>INDEX(Lists!I:I,MATCH(Validation!E6744,Lists!G:G,0))</f>
        <v>Error</v>
      </c>
      <c r="G6744" t="str">
        <f>INDEX(Lists!H:H,MATCH(Validation!E6744,Lists!G:G,0))</f>
        <v>Enter an amount only. Do not enter text or spaces.</v>
      </c>
      <c r="H6744" s="16" t="str">
        <f t="shared" ca="1" si="765"/>
        <v/>
      </c>
      <c r="I6744" s="16" t="str">
        <f t="shared" ca="1" si="766"/>
        <v/>
      </c>
      <c r="J6744" s="17" t="str">
        <f t="shared" ca="1" si="767"/>
        <v/>
      </c>
    </row>
    <row r="6745" spans="1:10" x14ac:dyDescent="0.25">
      <c r="A6745" t="s">
        <v>938</v>
      </c>
      <c r="B6745" t="str">
        <f>ADDRESS(ROW('Loan 1'!$B$40),COLUMN('Loan 1'!$B$40),4)</f>
        <v>B40</v>
      </c>
      <c r="C6745" t="str">
        <f>ADDRESS(ROW('Loan 1'!$D$40),COLUMN('Loan 1'!$D$40),4)</f>
        <v>D40</v>
      </c>
      <c r="D6745" t="b" cm="1">
        <f t="array" aca="1" ref="D6745" ca="1">IF(INDIRECT("'"&amp;A6745&amp;"'!"&amp;B6745)="",FALSE,IF(NOT(ISNUMBER(INDIRECT("'"&amp;A6745&amp;"'!"&amp;B6745))),TRUE,FALSE))</f>
        <v>0</v>
      </c>
      <c r="E6745" t="s">
        <v>435</v>
      </c>
      <c r="F6745" t="str">
        <f>INDEX(Lists!I:I,MATCH(Validation!E6745,Lists!G:G,0))</f>
        <v>Error</v>
      </c>
      <c r="G6745" t="str">
        <f>INDEX(Lists!H:H,MATCH(Validation!E6745,Lists!G:G,0))</f>
        <v>Enter an amount only. Do not enter text or spaces.</v>
      </c>
      <c r="H6745" s="16" t="str">
        <f t="shared" ca="1" si="765"/>
        <v/>
      </c>
      <c r="I6745" s="16" t="str">
        <f t="shared" ca="1" si="766"/>
        <v/>
      </c>
      <c r="J6745" s="17" t="str">
        <f t="shared" ca="1" si="767"/>
        <v/>
      </c>
    </row>
    <row r="6746" spans="1:10" x14ac:dyDescent="0.25">
      <c r="A6746" t="s">
        <v>939</v>
      </c>
      <c r="B6746" t="str">
        <f>ADDRESS(ROW('Loan 1'!$B$40),COLUMN('Loan 1'!$B$40),4)</f>
        <v>B40</v>
      </c>
      <c r="C6746" t="str">
        <f>ADDRESS(ROW('Loan 1'!$D$40),COLUMN('Loan 1'!$D$40),4)</f>
        <v>D40</v>
      </c>
      <c r="D6746" t="b" cm="1">
        <f t="array" aca="1" ref="D6746" ca="1">IF(INDIRECT("'"&amp;A6746&amp;"'!"&amp;B6746)="",FALSE,IF(NOT(ISNUMBER(INDIRECT("'"&amp;A6746&amp;"'!"&amp;B6746))),TRUE,FALSE))</f>
        <v>0</v>
      </c>
      <c r="E6746" t="s">
        <v>435</v>
      </c>
      <c r="F6746" t="str">
        <f>INDEX(Lists!I:I,MATCH(Validation!E6746,Lists!G:G,0))</f>
        <v>Error</v>
      </c>
      <c r="G6746" t="str">
        <f>INDEX(Lists!H:H,MATCH(Validation!E6746,Lists!G:G,0))</f>
        <v>Enter an amount only. Do not enter text or spaces.</v>
      </c>
      <c r="H6746" s="16" t="str">
        <f t="shared" ca="1" si="765"/>
        <v/>
      </c>
      <c r="I6746" s="16" t="str">
        <f t="shared" ca="1" si="766"/>
        <v/>
      </c>
      <c r="J6746" s="17" t="str">
        <f t="shared" ca="1" si="767"/>
        <v/>
      </c>
    </row>
    <row r="6747" spans="1:10" x14ac:dyDescent="0.25">
      <c r="A6747" t="s">
        <v>940</v>
      </c>
      <c r="B6747" t="str">
        <f>ADDRESS(ROW('Loan 1'!$B$40),COLUMN('Loan 1'!$B$40),4)</f>
        <v>B40</v>
      </c>
      <c r="C6747" t="str">
        <f>ADDRESS(ROW('Loan 1'!$D$40),COLUMN('Loan 1'!$D$40),4)</f>
        <v>D40</v>
      </c>
      <c r="D6747" t="b" cm="1">
        <f t="array" aca="1" ref="D6747" ca="1">IF(INDIRECT("'"&amp;A6747&amp;"'!"&amp;B6747)="",FALSE,IF(NOT(ISNUMBER(INDIRECT("'"&amp;A6747&amp;"'!"&amp;B6747))),TRUE,FALSE))</f>
        <v>0</v>
      </c>
      <c r="E6747" t="s">
        <v>435</v>
      </c>
      <c r="F6747" t="str">
        <f>INDEX(Lists!I:I,MATCH(Validation!E6747,Lists!G:G,0))</f>
        <v>Error</v>
      </c>
      <c r="G6747" t="str">
        <f>INDEX(Lists!H:H,MATCH(Validation!E6747,Lists!G:G,0))</f>
        <v>Enter an amount only. Do not enter text or spaces.</v>
      </c>
      <c r="H6747" s="16" t="str">
        <f t="shared" ca="1" si="765"/>
        <v/>
      </c>
      <c r="I6747" s="16" t="str">
        <f t="shared" ca="1" si="766"/>
        <v/>
      </c>
      <c r="J6747" s="17" t="str">
        <f t="shared" ca="1" si="767"/>
        <v/>
      </c>
    </row>
    <row r="6748" spans="1:10" x14ac:dyDescent="0.25">
      <c r="A6748" t="s">
        <v>941</v>
      </c>
      <c r="B6748" t="str">
        <f>ADDRESS(ROW('Loan 1'!$B$40),COLUMN('Loan 1'!$B$40),4)</f>
        <v>B40</v>
      </c>
      <c r="C6748" t="str">
        <f>ADDRESS(ROW('Loan 1'!$D$40),COLUMN('Loan 1'!$D$40),4)</f>
        <v>D40</v>
      </c>
      <c r="D6748" t="b" cm="1">
        <f t="array" aca="1" ref="D6748" ca="1">IF(INDIRECT("'"&amp;A6748&amp;"'!"&amp;B6748)="",FALSE,IF(NOT(ISNUMBER(INDIRECT("'"&amp;A6748&amp;"'!"&amp;B6748))),TRUE,FALSE))</f>
        <v>0</v>
      </c>
      <c r="E6748" t="s">
        <v>435</v>
      </c>
      <c r="F6748" t="str">
        <f>INDEX(Lists!I:I,MATCH(Validation!E6748,Lists!G:G,0))</f>
        <v>Error</v>
      </c>
      <c r="G6748" t="str">
        <f>INDEX(Lists!H:H,MATCH(Validation!E6748,Lists!G:G,0))</f>
        <v>Enter an amount only. Do not enter text or spaces.</v>
      </c>
      <c r="H6748" s="16" t="str">
        <f t="shared" ca="1" si="765"/>
        <v/>
      </c>
      <c r="I6748" s="16" t="str">
        <f t="shared" ca="1" si="766"/>
        <v/>
      </c>
      <c r="J6748" s="17" t="str">
        <f t="shared" ca="1" si="767"/>
        <v/>
      </c>
    </row>
    <row r="6749" spans="1:10" x14ac:dyDescent="0.25">
      <c r="A6749" t="s">
        <v>942</v>
      </c>
      <c r="B6749" t="str">
        <f>ADDRESS(ROW('Loan 1'!$B$40),COLUMN('Loan 1'!$B$40),4)</f>
        <v>B40</v>
      </c>
      <c r="C6749" t="str">
        <f>ADDRESS(ROW('Loan 1'!$D$40),COLUMN('Loan 1'!$D$40),4)</f>
        <v>D40</v>
      </c>
      <c r="D6749" t="b" cm="1">
        <f t="array" aca="1" ref="D6749" ca="1">IF(INDIRECT("'"&amp;A6749&amp;"'!"&amp;B6749)="",FALSE,IF(NOT(ISNUMBER(INDIRECT("'"&amp;A6749&amp;"'!"&amp;B6749))),TRUE,FALSE))</f>
        <v>0</v>
      </c>
      <c r="E6749" t="s">
        <v>435</v>
      </c>
      <c r="F6749" t="str">
        <f>INDEX(Lists!I:I,MATCH(Validation!E6749,Lists!G:G,0))</f>
        <v>Error</v>
      </c>
      <c r="G6749" t="str">
        <f>INDEX(Lists!H:H,MATCH(Validation!E6749,Lists!G:G,0))</f>
        <v>Enter an amount only. Do not enter text or spaces.</v>
      </c>
      <c r="H6749" s="16" t="str">
        <f t="shared" ca="1" si="765"/>
        <v/>
      </c>
      <c r="I6749" s="16" t="str">
        <f t="shared" ca="1" si="766"/>
        <v/>
      </c>
      <c r="J6749" s="17" t="str">
        <f t="shared" ca="1" si="767"/>
        <v/>
      </c>
    </row>
    <row r="6750" spans="1:10" x14ac:dyDescent="0.25">
      <c r="A6750" t="s">
        <v>943</v>
      </c>
      <c r="B6750" t="str">
        <f>ADDRESS(ROW('Loan 1'!$B$40),COLUMN('Loan 1'!$B$40),4)</f>
        <v>B40</v>
      </c>
      <c r="C6750" t="str">
        <f>ADDRESS(ROW('Loan 1'!$D$40),COLUMN('Loan 1'!$D$40),4)</f>
        <v>D40</v>
      </c>
      <c r="D6750" t="b" cm="1">
        <f t="array" aca="1" ref="D6750" ca="1">IF(INDIRECT("'"&amp;A6750&amp;"'!"&amp;B6750)="",FALSE,IF(NOT(ISNUMBER(INDIRECT("'"&amp;A6750&amp;"'!"&amp;B6750))),TRUE,FALSE))</f>
        <v>0</v>
      </c>
      <c r="E6750" t="s">
        <v>435</v>
      </c>
      <c r="F6750" t="str">
        <f>INDEX(Lists!I:I,MATCH(Validation!E6750,Lists!G:G,0))</f>
        <v>Error</v>
      </c>
      <c r="G6750" t="str">
        <f>INDEX(Lists!H:H,MATCH(Validation!E6750,Lists!G:G,0))</f>
        <v>Enter an amount only. Do not enter text or spaces.</v>
      </c>
      <c r="H6750" s="16" t="str">
        <f t="shared" ca="1" si="765"/>
        <v/>
      </c>
      <c r="I6750" s="16" t="str">
        <f t="shared" ca="1" si="766"/>
        <v/>
      </c>
      <c r="J6750" s="17" t="str">
        <f t="shared" ca="1" si="767"/>
        <v/>
      </c>
    </row>
    <row r="6751" spans="1:10" x14ac:dyDescent="0.25">
      <c r="A6751" t="s">
        <v>944</v>
      </c>
      <c r="B6751" t="str">
        <f>ADDRESS(ROW('Loan 1'!$B$40),COLUMN('Loan 1'!$B$40),4)</f>
        <v>B40</v>
      </c>
      <c r="C6751" t="str">
        <f>ADDRESS(ROW('Loan 1'!$D$40),COLUMN('Loan 1'!$D$40),4)</f>
        <v>D40</v>
      </c>
      <c r="D6751" t="b" cm="1">
        <f t="array" aca="1" ref="D6751" ca="1">IF(INDIRECT("'"&amp;A6751&amp;"'!"&amp;B6751)="",FALSE,IF(NOT(ISNUMBER(INDIRECT("'"&amp;A6751&amp;"'!"&amp;B6751))),TRUE,FALSE))</f>
        <v>0</v>
      </c>
      <c r="E6751" t="s">
        <v>435</v>
      </c>
      <c r="F6751" t="str">
        <f>INDEX(Lists!I:I,MATCH(Validation!E6751,Lists!G:G,0))</f>
        <v>Error</v>
      </c>
      <c r="G6751" t="str">
        <f>INDEX(Lists!H:H,MATCH(Validation!E6751,Lists!G:G,0))</f>
        <v>Enter an amount only. Do not enter text or spaces.</v>
      </c>
      <c r="H6751" s="16" t="str">
        <f t="shared" ca="1" si="765"/>
        <v/>
      </c>
      <c r="I6751" s="16" t="str">
        <f t="shared" ca="1" si="766"/>
        <v/>
      </c>
      <c r="J6751" s="17" t="str">
        <f t="shared" ca="1" si="767"/>
        <v/>
      </c>
    </row>
    <row r="6752" spans="1:10" x14ac:dyDescent="0.25">
      <c r="A6752" t="s">
        <v>945</v>
      </c>
      <c r="B6752" t="str">
        <f>ADDRESS(ROW('Loan 1'!$B$40),COLUMN('Loan 1'!$B$40),4)</f>
        <v>B40</v>
      </c>
      <c r="C6752" t="str">
        <f>ADDRESS(ROW('Loan 1'!$D$40),COLUMN('Loan 1'!$D$40),4)</f>
        <v>D40</v>
      </c>
      <c r="D6752" t="b" cm="1">
        <f t="array" aca="1" ref="D6752" ca="1">IF(INDIRECT("'"&amp;A6752&amp;"'!"&amp;B6752)="",FALSE,IF(NOT(ISNUMBER(INDIRECT("'"&amp;A6752&amp;"'!"&amp;B6752))),TRUE,FALSE))</f>
        <v>0</v>
      </c>
      <c r="E6752" t="s">
        <v>435</v>
      </c>
      <c r="F6752" t="str">
        <f>INDEX(Lists!I:I,MATCH(Validation!E6752,Lists!G:G,0))</f>
        <v>Error</v>
      </c>
      <c r="G6752" t="str">
        <f>INDEX(Lists!H:H,MATCH(Validation!E6752,Lists!G:G,0))</f>
        <v>Enter an amount only. Do not enter text or spaces.</v>
      </c>
      <c r="H6752" s="16" t="str">
        <f t="shared" ca="1" si="765"/>
        <v/>
      </c>
      <c r="I6752" s="16" t="str">
        <f t="shared" ca="1" si="766"/>
        <v/>
      </c>
      <c r="J6752" s="17" t="str">
        <f t="shared" ca="1" si="767"/>
        <v/>
      </c>
    </row>
    <row r="6753" spans="1:10" x14ac:dyDescent="0.25">
      <c r="A6753" t="s">
        <v>205</v>
      </c>
      <c r="B6753" t="str">
        <f>ADDRESS(ROW('Loan 1'!$B$40),COLUMN('Loan 1'!$B$40),4)</f>
        <v>B40</v>
      </c>
      <c r="C6753" t="str">
        <f>ADDRESS(ROW('Loan 1'!$D$40),COLUMN('Loan 1'!$D$40),4)</f>
        <v>D40</v>
      </c>
      <c r="D6753" t="b" cm="1">
        <f t="array" aca="1" ref="D6753" ca="1">IF(INDIRECT("'"&amp;A6753&amp;"'!"&amp;B6753)="",FALSE,IF(INDIRECT("'"&amp;A6753&amp;"'!"&amp;B6753)&lt;0,TRUE,FALSE))</f>
        <v>0</v>
      </c>
      <c r="E6753" t="s">
        <v>434</v>
      </c>
      <c r="F6753" t="str">
        <f>INDEX(Lists!I:I,MATCH(Validation!E6753,Lists!G:G,0))</f>
        <v>Error</v>
      </c>
      <c r="G6753" t="str">
        <f>INDEX(Lists!H:H,MATCH(Validation!E6753,Lists!G:G,0))</f>
        <v>Amount may not be negative. Enter an amount greater than or equal to zero.</v>
      </c>
      <c r="H6753" s="16" t="str">
        <f t="shared" ca="1" si="759"/>
        <v/>
      </c>
      <c r="I6753" s="16" t="str">
        <f t="shared" ca="1" si="760"/>
        <v/>
      </c>
      <c r="J6753" s="17" t="str">
        <f t="shared" ca="1" si="761"/>
        <v/>
      </c>
    </row>
    <row r="6754" spans="1:10" x14ac:dyDescent="0.25">
      <c r="A6754" t="s">
        <v>932</v>
      </c>
      <c r="B6754" t="str">
        <f>ADDRESS(ROW('Loan 1'!$B$40),COLUMN('Loan 1'!$B$40),4)</f>
        <v>B40</v>
      </c>
      <c r="C6754" t="str">
        <f>ADDRESS(ROW('Loan 1'!$D$40),COLUMN('Loan 1'!$D$40),4)</f>
        <v>D40</v>
      </c>
      <c r="D6754" t="b" cm="1">
        <f t="array" aca="1" ref="D6754" ca="1">IF(INDIRECT("'"&amp;A6754&amp;"'!"&amp;B6754)="",FALSE,IF(INDIRECT("'"&amp;A6754&amp;"'!"&amp;B6754)&lt;0,TRUE,FALSE))</f>
        <v>0</v>
      </c>
      <c r="E6754" t="s">
        <v>434</v>
      </c>
      <c r="F6754" t="str">
        <f>INDEX(Lists!I:I,MATCH(Validation!E6754,Lists!G:G,0))</f>
        <v>Error</v>
      </c>
      <c r="G6754" t="str">
        <f>INDEX(Lists!H:H,MATCH(Validation!E6754,Lists!G:G,0))</f>
        <v>Amount may not be negative. Enter an amount greater than or equal to zero.</v>
      </c>
      <c r="H6754" s="16" t="str">
        <f t="shared" ca="1" si="759"/>
        <v/>
      </c>
      <c r="I6754" s="16" t="str">
        <f t="shared" ca="1" si="760"/>
        <v/>
      </c>
      <c r="J6754" s="17" t="str">
        <f t="shared" ca="1" si="761"/>
        <v/>
      </c>
    </row>
    <row r="6755" spans="1:10" x14ac:dyDescent="0.25">
      <c r="A6755" t="s">
        <v>933</v>
      </c>
      <c r="B6755" t="str">
        <f>ADDRESS(ROW('Loan 1'!$B$40),COLUMN('Loan 1'!$B$40),4)</f>
        <v>B40</v>
      </c>
      <c r="C6755" t="str">
        <f>ADDRESS(ROW('Loan 1'!$D$40),COLUMN('Loan 1'!$D$40),4)</f>
        <v>D40</v>
      </c>
      <c r="D6755" t="b" cm="1">
        <f t="array" aca="1" ref="D6755" ca="1">IF(INDIRECT("'"&amp;A6755&amp;"'!"&amp;B6755)="",FALSE,IF(INDIRECT("'"&amp;A6755&amp;"'!"&amp;B6755)&lt;0,TRUE,FALSE))</f>
        <v>0</v>
      </c>
      <c r="E6755" t="s">
        <v>434</v>
      </c>
      <c r="F6755" t="str">
        <f>INDEX(Lists!I:I,MATCH(Validation!E6755,Lists!G:G,0))</f>
        <v>Error</v>
      </c>
      <c r="G6755" t="str">
        <f>INDEX(Lists!H:H,MATCH(Validation!E6755,Lists!G:G,0))</f>
        <v>Amount may not be negative. Enter an amount greater than or equal to zero.</v>
      </c>
      <c r="H6755" s="16" t="str">
        <f t="shared" ca="1" si="759"/>
        <v/>
      </c>
      <c r="I6755" s="16" t="str">
        <f t="shared" ca="1" si="760"/>
        <v/>
      </c>
      <c r="J6755" s="17" t="str">
        <f t="shared" ca="1" si="761"/>
        <v/>
      </c>
    </row>
    <row r="6756" spans="1:10" x14ac:dyDescent="0.25">
      <c r="A6756" t="s">
        <v>934</v>
      </c>
      <c r="B6756" t="str">
        <f>ADDRESS(ROW('Loan 1'!$B$40),COLUMN('Loan 1'!$B$40),4)</f>
        <v>B40</v>
      </c>
      <c r="C6756" t="str">
        <f>ADDRESS(ROW('Loan 1'!$D$40),COLUMN('Loan 1'!$D$40),4)</f>
        <v>D40</v>
      </c>
      <c r="D6756" t="b" cm="1">
        <f t="array" aca="1" ref="D6756" ca="1">IF(INDIRECT("'"&amp;A6756&amp;"'!"&amp;B6756)="",FALSE,IF(INDIRECT("'"&amp;A6756&amp;"'!"&amp;B6756)&lt;0,TRUE,FALSE))</f>
        <v>0</v>
      </c>
      <c r="E6756" t="s">
        <v>434</v>
      </c>
      <c r="F6756" t="str">
        <f>INDEX(Lists!I:I,MATCH(Validation!E6756,Lists!G:G,0))</f>
        <v>Error</v>
      </c>
      <c r="G6756" t="str">
        <f>INDEX(Lists!H:H,MATCH(Validation!E6756,Lists!G:G,0))</f>
        <v>Amount may not be negative. Enter an amount greater than or equal to zero.</v>
      </c>
      <c r="H6756" s="16" t="str">
        <f t="shared" ca="1" si="759"/>
        <v/>
      </c>
      <c r="I6756" s="16" t="str">
        <f t="shared" ca="1" si="760"/>
        <v/>
      </c>
      <c r="J6756" s="17" t="str">
        <f t="shared" ca="1" si="761"/>
        <v/>
      </c>
    </row>
    <row r="6757" spans="1:10" x14ac:dyDescent="0.25">
      <c r="A6757" t="s">
        <v>935</v>
      </c>
      <c r="B6757" t="str">
        <f>ADDRESS(ROW('Loan 1'!$B$40),COLUMN('Loan 1'!$B$40),4)</f>
        <v>B40</v>
      </c>
      <c r="C6757" t="str">
        <f>ADDRESS(ROW('Loan 1'!$D$40),COLUMN('Loan 1'!$D$40),4)</f>
        <v>D40</v>
      </c>
      <c r="D6757" t="b" cm="1">
        <f t="array" aca="1" ref="D6757" ca="1">IF(INDIRECT("'"&amp;A6757&amp;"'!"&amp;B6757)="",FALSE,IF(INDIRECT("'"&amp;A6757&amp;"'!"&amp;B6757)&lt;0,TRUE,FALSE))</f>
        <v>0</v>
      </c>
      <c r="E6757" t="s">
        <v>434</v>
      </c>
      <c r="F6757" t="str">
        <f>INDEX(Lists!I:I,MATCH(Validation!E6757,Lists!G:G,0))</f>
        <v>Error</v>
      </c>
      <c r="G6757" t="str">
        <f>INDEX(Lists!H:H,MATCH(Validation!E6757,Lists!G:G,0))</f>
        <v>Amount may not be negative. Enter an amount greater than or equal to zero.</v>
      </c>
      <c r="H6757" s="16" t="str">
        <f t="shared" ca="1" si="759"/>
        <v/>
      </c>
      <c r="I6757" s="16" t="str">
        <f t="shared" ca="1" si="760"/>
        <v/>
      </c>
      <c r="J6757" s="17" t="str">
        <f t="shared" ca="1" si="761"/>
        <v/>
      </c>
    </row>
    <row r="6758" spans="1:10" x14ac:dyDescent="0.25">
      <c r="A6758" t="s">
        <v>936</v>
      </c>
      <c r="B6758" t="str">
        <f>ADDRESS(ROW('Loan 1'!$B$40),COLUMN('Loan 1'!$B$40),4)</f>
        <v>B40</v>
      </c>
      <c r="C6758" t="str">
        <f>ADDRESS(ROW('Loan 1'!$D$40),COLUMN('Loan 1'!$D$40),4)</f>
        <v>D40</v>
      </c>
      <c r="D6758" t="b" cm="1">
        <f t="array" aca="1" ref="D6758" ca="1">IF(INDIRECT("'"&amp;A6758&amp;"'!"&amp;B6758)="",FALSE,IF(INDIRECT("'"&amp;A6758&amp;"'!"&amp;B6758)&lt;0,TRUE,FALSE))</f>
        <v>0</v>
      </c>
      <c r="E6758" t="s">
        <v>434</v>
      </c>
      <c r="F6758" t="str">
        <f>INDEX(Lists!I:I,MATCH(Validation!E6758,Lists!G:G,0))</f>
        <v>Error</v>
      </c>
      <c r="G6758" t="str">
        <f>INDEX(Lists!H:H,MATCH(Validation!E6758,Lists!G:G,0))</f>
        <v>Amount may not be negative. Enter an amount greater than or equal to zero.</v>
      </c>
      <c r="H6758" s="16" t="str">
        <f t="shared" ca="1" si="759"/>
        <v/>
      </c>
      <c r="I6758" s="16" t="str">
        <f t="shared" ca="1" si="760"/>
        <v/>
      </c>
      <c r="J6758" s="17" t="str">
        <f t="shared" ca="1" si="761"/>
        <v/>
      </c>
    </row>
    <row r="6759" spans="1:10" x14ac:dyDescent="0.25">
      <c r="A6759" t="s">
        <v>937</v>
      </c>
      <c r="B6759" t="str">
        <f>ADDRESS(ROW('Loan 1'!$B$40),COLUMN('Loan 1'!$B$40),4)</f>
        <v>B40</v>
      </c>
      <c r="C6759" t="str">
        <f>ADDRESS(ROW('Loan 1'!$D$40),COLUMN('Loan 1'!$D$40),4)</f>
        <v>D40</v>
      </c>
      <c r="D6759" t="b" cm="1">
        <f t="array" aca="1" ref="D6759" ca="1">IF(INDIRECT("'"&amp;A6759&amp;"'!"&amp;B6759)="",FALSE,IF(INDIRECT("'"&amp;A6759&amp;"'!"&amp;B6759)&lt;0,TRUE,FALSE))</f>
        <v>0</v>
      </c>
      <c r="E6759" t="s">
        <v>434</v>
      </c>
      <c r="F6759" t="str">
        <f>INDEX(Lists!I:I,MATCH(Validation!E6759,Lists!G:G,0))</f>
        <v>Error</v>
      </c>
      <c r="G6759" t="str">
        <f>INDEX(Lists!H:H,MATCH(Validation!E6759,Lists!G:G,0))</f>
        <v>Amount may not be negative. Enter an amount greater than or equal to zero.</v>
      </c>
      <c r="H6759" s="16" t="str">
        <f t="shared" ca="1" si="759"/>
        <v/>
      </c>
      <c r="I6759" s="16" t="str">
        <f t="shared" ca="1" si="760"/>
        <v/>
      </c>
      <c r="J6759" s="17" t="str">
        <f t="shared" ca="1" si="761"/>
        <v/>
      </c>
    </row>
    <row r="6760" spans="1:10" x14ac:dyDescent="0.25">
      <c r="A6760" t="s">
        <v>938</v>
      </c>
      <c r="B6760" t="str">
        <f>ADDRESS(ROW('Loan 1'!$B$40),COLUMN('Loan 1'!$B$40),4)</f>
        <v>B40</v>
      </c>
      <c r="C6760" t="str">
        <f>ADDRESS(ROW('Loan 1'!$D$40),COLUMN('Loan 1'!$D$40),4)</f>
        <v>D40</v>
      </c>
      <c r="D6760" t="b" cm="1">
        <f t="array" aca="1" ref="D6760" ca="1">IF(INDIRECT("'"&amp;A6760&amp;"'!"&amp;B6760)="",FALSE,IF(INDIRECT("'"&amp;A6760&amp;"'!"&amp;B6760)&lt;0,TRUE,FALSE))</f>
        <v>0</v>
      </c>
      <c r="E6760" t="s">
        <v>434</v>
      </c>
      <c r="F6760" t="str">
        <f>INDEX(Lists!I:I,MATCH(Validation!E6760,Lists!G:G,0))</f>
        <v>Error</v>
      </c>
      <c r="G6760" t="str">
        <f>INDEX(Lists!H:H,MATCH(Validation!E6760,Lists!G:G,0))</f>
        <v>Amount may not be negative. Enter an amount greater than or equal to zero.</v>
      </c>
      <c r="H6760" s="16" t="str">
        <f t="shared" ca="1" si="759"/>
        <v/>
      </c>
      <c r="I6760" s="16" t="str">
        <f t="shared" ca="1" si="760"/>
        <v/>
      </c>
      <c r="J6760" s="17" t="str">
        <f t="shared" ca="1" si="761"/>
        <v/>
      </c>
    </row>
    <row r="6761" spans="1:10" x14ac:dyDescent="0.25">
      <c r="A6761" t="s">
        <v>939</v>
      </c>
      <c r="B6761" t="str">
        <f>ADDRESS(ROW('Loan 1'!$B$40),COLUMN('Loan 1'!$B$40),4)</f>
        <v>B40</v>
      </c>
      <c r="C6761" t="str">
        <f>ADDRESS(ROW('Loan 1'!$D$40),COLUMN('Loan 1'!$D$40),4)</f>
        <v>D40</v>
      </c>
      <c r="D6761" t="b" cm="1">
        <f t="array" aca="1" ref="D6761" ca="1">IF(INDIRECT("'"&amp;A6761&amp;"'!"&amp;B6761)="",FALSE,IF(INDIRECT("'"&amp;A6761&amp;"'!"&amp;B6761)&lt;0,TRUE,FALSE))</f>
        <v>0</v>
      </c>
      <c r="E6761" t="s">
        <v>434</v>
      </c>
      <c r="F6761" t="str">
        <f>INDEX(Lists!I:I,MATCH(Validation!E6761,Lists!G:G,0))</f>
        <v>Error</v>
      </c>
      <c r="G6761" t="str">
        <f>INDEX(Lists!H:H,MATCH(Validation!E6761,Lists!G:G,0))</f>
        <v>Amount may not be negative. Enter an amount greater than or equal to zero.</v>
      </c>
      <c r="H6761" s="16" t="str">
        <f t="shared" ca="1" si="759"/>
        <v/>
      </c>
      <c r="I6761" s="16" t="str">
        <f t="shared" ca="1" si="760"/>
        <v/>
      </c>
      <c r="J6761" s="17" t="str">
        <f t="shared" ca="1" si="761"/>
        <v/>
      </c>
    </row>
    <row r="6762" spans="1:10" x14ac:dyDescent="0.25">
      <c r="A6762" t="s">
        <v>940</v>
      </c>
      <c r="B6762" t="str">
        <f>ADDRESS(ROW('Loan 1'!$B$40),COLUMN('Loan 1'!$B$40),4)</f>
        <v>B40</v>
      </c>
      <c r="C6762" t="str">
        <f>ADDRESS(ROW('Loan 1'!$D$40),COLUMN('Loan 1'!$D$40),4)</f>
        <v>D40</v>
      </c>
      <c r="D6762" t="b" cm="1">
        <f t="array" aca="1" ref="D6762" ca="1">IF(INDIRECT("'"&amp;A6762&amp;"'!"&amp;B6762)="",FALSE,IF(INDIRECT("'"&amp;A6762&amp;"'!"&amp;B6762)&lt;0,TRUE,FALSE))</f>
        <v>0</v>
      </c>
      <c r="E6762" t="s">
        <v>434</v>
      </c>
      <c r="F6762" t="str">
        <f>INDEX(Lists!I:I,MATCH(Validation!E6762,Lists!G:G,0))</f>
        <v>Error</v>
      </c>
      <c r="G6762" t="str">
        <f>INDEX(Lists!H:H,MATCH(Validation!E6762,Lists!G:G,0))</f>
        <v>Amount may not be negative. Enter an amount greater than or equal to zero.</v>
      </c>
      <c r="H6762" s="16" t="str">
        <f t="shared" ca="1" si="759"/>
        <v/>
      </c>
      <c r="I6762" s="16" t="str">
        <f t="shared" ca="1" si="760"/>
        <v/>
      </c>
      <c r="J6762" s="17" t="str">
        <f t="shared" ca="1" si="761"/>
        <v/>
      </c>
    </row>
    <row r="6763" spans="1:10" x14ac:dyDescent="0.25">
      <c r="A6763" t="s">
        <v>941</v>
      </c>
      <c r="B6763" t="str">
        <f>ADDRESS(ROW('Loan 1'!$B$40),COLUMN('Loan 1'!$B$40),4)</f>
        <v>B40</v>
      </c>
      <c r="C6763" t="str">
        <f>ADDRESS(ROW('Loan 1'!$D$40),COLUMN('Loan 1'!$D$40),4)</f>
        <v>D40</v>
      </c>
      <c r="D6763" t="b" cm="1">
        <f t="array" aca="1" ref="D6763" ca="1">IF(INDIRECT("'"&amp;A6763&amp;"'!"&amp;B6763)="",FALSE,IF(INDIRECT("'"&amp;A6763&amp;"'!"&amp;B6763)&lt;0,TRUE,FALSE))</f>
        <v>0</v>
      </c>
      <c r="E6763" t="s">
        <v>434</v>
      </c>
      <c r="F6763" t="str">
        <f>INDEX(Lists!I:I,MATCH(Validation!E6763,Lists!G:G,0))</f>
        <v>Error</v>
      </c>
      <c r="G6763" t="str">
        <f>INDEX(Lists!H:H,MATCH(Validation!E6763,Lists!G:G,0))</f>
        <v>Amount may not be negative. Enter an amount greater than or equal to zero.</v>
      </c>
      <c r="H6763" s="16" t="str">
        <f t="shared" ca="1" si="759"/>
        <v/>
      </c>
      <c r="I6763" s="16" t="str">
        <f t="shared" ca="1" si="760"/>
        <v/>
      </c>
      <c r="J6763" s="17" t="str">
        <f t="shared" ca="1" si="761"/>
        <v/>
      </c>
    </row>
    <row r="6764" spans="1:10" x14ac:dyDescent="0.25">
      <c r="A6764" t="s">
        <v>942</v>
      </c>
      <c r="B6764" t="str">
        <f>ADDRESS(ROW('Loan 1'!$B$40),COLUMN('Loan 1'!$B$40),4)</f>
        <v>B40</v>
      </c>
      <c r="C6764" t="str">
        <f>ADDRESS(ROW('Loan 1'!$D$40),COLUMN('Loan 1'!$D$40),4)</f>
        <v>D40</v>
      </c>
      <c r="D6764" t="b" cm="1">
        <f t="array" aca="1" ref="D6764" ca="1">IF(INDIRECT("'"&amp;A6764&amp;"'!"&amp;B6764)="",FALSE,IF(INDIRECT("'"&amp;A6764&amp;"'!"&amp;B6764)&lt;0,TRUE,FALSE))</f>
        <v>0</v>
      </c>
      <c r="E6764" t="s">
        <v>434</v>
      </c>
      <c r="F6764" t="str">
        <f>INDEX(Lists!I:I,MATCH(Validation!E6764,Lists!G:G,0))</f>
        <v>Error</v>
      </c>
      <c r="G6764" t="str">
        <f>INDEX(Lists!H:H,MATCH(Validation!E6764,Lists!G:G,0))</f>
        <v>Amount may not be negative. Enter an amount greater than or equal to zero.</v>
      </c>
      <c r="H6764" s="16" t="str">
        <f t="shared" ca="1" si="759"/>
        <v/>
      </c>
      <c r="I6764" s="16" t="str">
        <f t="shared" ca="1" si="760"/>
        <v/>
      </c>
      <c r="J6764" s="17" t="str">
        <f t="shared" ca="1" si="761"/>
        <v/>
      </c>
    </row>
    <row r="6765" spans="1:10" x14ac:dyDescent="0.25">
      <c r="A6765" t="s">
        <v>943</v>
      </c>
      <c r="B6765" t="str">
        <f>ADDRESS(ROW('Loan 1'!$B$40),COLUMN('Loan 1'!$B$40),4)</f>
        <v>B40</v>
      </c>
      <c r="C6765" t="str">
        <f>ADDRESS(ROW('Loan 1'!$D$40),COLUMN('Loan 1'!$D$40),4)</f>
        <v>D40</v>
      </c>
      <c r="D6765" t="b" cm="1">
        <f t="array" aca="1" ref="D6765" ca="1">IF(INDIRECT("'"&amp;A6765&amp;"'!"&amp;B6765)="",FALSE,IF(INDIRECT("'"&amp;A6765&amp;"'!"&amp;B6765)&lt;0,TRUE,FALSE))</f>
        <v>0</v>
      </c>
      <c r="E6765" t="s">
        <v>434</v>
      </c>
      <c r="F6765" t="str">
        <f>INDEX(Lists!I:I,MATCH(Validation!E6765,Lists!G:G,0))</f>
        <v>Error</v>
      </c>
      <c r="G6765" t="str">
        <f>INDEX(Lists!H:H,MATCH(Validation!E6765,Lists!G:G,0))</f>
        <v>Amount may not be negative. Enter an amount greater than or equal to zero.</v>
      </c>
      <c r="H6765" s="16" t="str">
        <f t="shared" ca="1" si="759"/>
        <v/>
      </c>
      <c r="I6765" s="16" t="str">
        <f t="shared" ca="1" si="760"/>
        <v/>
      </c>
      <c r="J6765" s="17" t="str">
        <f t="shared" ca="1" si="761"/>
        <v/>
      </c>
    </row>
    <row r="6766" spans="1:10" x14ac:dyDescent="0.25">
      <c r="A6766" t="s">
        <v>944</v>
      </c>
      <c r="B6766" t="str">
        <f>ADDRESS(ROW('Loan 1'!$B$40),COLUMN('Loan 1'!$B$40),4)</f>
        <v>B40</v>
      </c>
      <c r="C6766" t="str">
        <f>ADDRESS(ROW('Loan 1'!$D$40),COLUMN('Loan 1'!$D$40),4)</f>
        <v>D40</v>
      </c>
      <c r="D6766" t="b" cm="1">
        <f t="array" aca="1" ref="D6766" ca="1">IF(INDIRECT("'"&amp;A6766&amp;"'!"&amp;B6766)="",FALSE,IF(INDIRECT("'"&amp;A6766&amp;"'!"&amp;B6766)&lt;0,TRUE,FALSE))</f>
        <v>0</v>
      </c>
      <c r="E6766" t="s">
        <v>434</v>
      </c>
      <c r="F6766" t="str">
        <f>INDEX(Lists!I:I,MATCH(Validation!E6766,Lists!G:G,0))</f>
        <v>Error</v>
      </c>
      <c r="G6766" t="str">
        <f>INDEX(Lists!H:H,MATCH(Validation!E6766,Lists!G:G,0))</f>
        <v>Amount may not be negative. Enter an amount greater than or equal to zero.</v>
      </c>
      <c r="H6766" s="16" t="str">
        <f t="shared" ca="1" si="759"/>
        <v/>
      </c>
      <c r="I6766" s="16" t="str">
        <f t="shared" ca="1" si="760"/>
        <v/>
      </c>
      <c r="J6766" s="17" t="str">
        <f t="shared" ca="1" si="761"/>
        <v/>
      </c>
    </row>
    <row r="6767" spans="1:10" x14ac:dyDescent="0.25">
      <c r="A6767" t="s">
        <v>945</v>
      </c>
      <c r="B6767" t="str">
        <f>ADDRESS(ROW('Loan 1'!$B$40),COLUMN('Loan 1'!$B$40),4)</f>
        <v>B40</v>
      </c>
      <c r="C6767" t="str">
        <f>ADDRESS(ROW('Loan 1'!$D$40),COLUMN('Loan 1'!$D$40),4)</f>
        <v>D40</v>
      </c>
      <c r="D6767" t="b" cm="1">
        <f t="array" aca="1" ref="D6767" ca="1">IF(INDIRECT("'"&amp;A6767&amp;"'!"&amp;B6767)="",FALSE,IF(INDIRECT("'"&amp;A6767&amp;"'!"&amp;B6767)&lt;0,TRUE,FALSE))</f>
        <v>0</v>
      </c>
      <c r="E6767" t="s">
        <v>434</v>
      </c>
      <c r="F6767" t="str">
        <f>INDEX(Lists!I:I,MATCH(Validation!E6767,Lists!G:G,0))</f>
        <v>Error</v>
      </c>
      <c r="G6767" t="str">
        <f>INDEX(Lists!H:H,MATCH(Validation!E6767,Lists!G:G,0))</f>
        <v>Amount may not be negative. Enter an amount greater than or equal to zero.</v>
      </c>
      <c r="H6767" s="16" t="str">
        <f t="shared" ca="1" si="759"/>
        <v/>
      </c>
      <c r="I6767" s="16" t="str">
        <f t="shared" ca="1" si="760"/>
        <v/>
      </c>
      <c r="J6767" s="17" t="str">
        <f t="shared" ca="1" si="761"/>
        <v/>
      </c>
    </row>
    <row r="6768" spans="1:10" x14ac:dyDescent="0.25">
      <c r="A6768" t="s">
        <v>205</v>
      </c>
      <c r="B6768" t="str">
        <f>ADDRESS(ROW('Loan 1'!$B$40),COLUMN('Loan 1'!$B$40),4)</f>
        <v>B40</v>
      </c>
      <c r="C6768" t="str">
        <f>ADDRESS(ROW('Loan 1'!$D$40),COLUMN('Loan 1'!$D$40),4)</f>
        <v>D40</v>
      </c>
      <c r="D6768" t="b" cm="1">
        <f t="array" aca="1" ref="D6768" ca="1">IF(INDIRECT("'"&amp;A6768&amp;"'!"&amp;B6768)="",FALSE,IF(TRUNC(INDIRECT("'"&amp;A6768&amp;"'!"&amp;B6768))=INDIRECT("'"&amp;A6768&amp;"'!"&amp;B6768),FALSE,TRUE))</f>
        <v>0</v>
      </c>
      <c r="E6768" t="s">
        <v>436</v>
      </c>
      <c r="F6768" t="str">
        <f>INDEX(Lists!I:I,MATCH(Validation!E6768,Lists!G:G,0))</f>
        <v>Error</v>
      </c>
      <c r="G6768" t="str">
        <f>INDEX(Lists!H:H,MATCH(Validation!E6768,Lists!G:G,0))</f>
        <v>Amount must be rounded to the nearest dollar.</v>
      </c>
      <c r="H6768" s="16" t="str">
        <f t="shared" ca="1" si="759"/>
        <v/>
      </c>
      <c r="I6768" s="16" t="str">
        <f t="shared" ca="1" si="760"/>
        <v/>
      </c>
      <c r="J6768" s="17" t="str">
        <f t="shared" ca="1" si="761"/>
        <v/>
      </c>
    </row>
    <row r="6769" spans="1:10" x14ac:dyDescent="0.25">
      <c r="A6769" t="s">
        <v>932</v>
      </c>
      <c r="B6769" t="str">
        <f>ADDRESS(ROW('Loan 1'!$B$40),COLUMN('Loan 1'!$B$40),4)</f>
        <v>B40</v>
      </c>
      <c r="C6769" t="str">
        <f>ADDRESS(ROW('Loan 1'!$D$40),COLUMN('Loan 1'!$D$40),4)</f>
        <v>D40</v>
      </c>
      <c r="D6769" t="b" cm="1">
        <f t="array" aca="1" ref="D6769" ca="1">IF(INDIRECT("'"&amp;A6769&amp;"'!"&amp;B6769)="",FALSE,IF(TRUNC(INDIRECT("'"&amp;A6769&amp;"'!"&amp;B6769))=INDIRECT("'"&amp;A6769&amp;"'!"&amp;B6769),FALSE,TRUE))</f>
        <v>0</v>
      </c>
      <c r="E6769" t="s">
        <v>436</v>
      </c>
      <c r="F6769" t="str">
        <f>INDEX(Lists!I:I,MATCH(Validation!E6769,Lists!G:G,0))</f>
        <v>Error</v>
      </c>
      <c r="G6769" t="str">
        <f>INDEX(Lists!H:H,MATCH(Validation!E6769,Lists!G:G,0))</f>
        <v>Amount must be rounded to the nearest dollar.</v>
      </c>
      <c r="H6769" s="16" t="str">
        <f t="shared" ref="H6769:H6782" ca="1" si="768">IFERROR(IF(OR(NOT(D6769),F6769&lt;&gt;"Error"),"",A6769&amp;CELL("address",INDIRECT(B6769))),"")</f>
        <v/>
      </c>
      <c r="I6769" s="16" t="str">
        <f t="shared" ref="I6769:I6782" ca="1" si="769">IFERROR(IF(NOT(D6769),"",A6769&amp;CELL("address",INDIRECT(C6769))),"")</f>
        <v/>
      </c>
      <c r="J6769" s="17" t="str">
        <f t="shared" ref="J6769:J6782" ca="1" si="770">IFERROR(IF(NOT(D6769),"",A6769),"")</f>
        <v/>
      </c>
    </row>
    <row r="6770" spans="1:10" x14ac:dyDescent="0.25">
      <c r="A6770" t="s">
        <v>933</v>
      </c>
      <c r="B6770" t="str">
        <f>ADDRESS(ROW('Loan 1'!$B$40),COLUMN('Loan 1'!$B$40),4)</f>
        <v>B40</v>
      </c>
      <c r="C6770" t="str">
        <f>ADDRESS(ROW('Loan 1'!$D$40),COLUMN('Loan 1'!$D$40),4)</f>
        <v>D40</v>
      </c>
      <c r="D6770" t="b" cm="1">
        <f t="array" aca="1" ref="D6770" ca="1">IF(INDIRECT("'"&amp;A6770&amp;"'!"&amp;B6770)="",FALSE,IF(TRUNC(INDIRECT("'"&amp;A6770&amp;"'!"&amp;B6770))=INDIRECT("'"&amp;A6770&amp;"'!"&amp;B6770),FALSE,TRUE))</f>
        <v>0</v>
      </c>
      <c r="E6770" t="s">
        <v>436</v>
      </c>
      <c r="F6770" t="str">
        <f>INDEX(Lists!I:I,MATCH(Validation!E6770,Lists!G:G,0))</f>
        <v>Error</v>
      </c>
      <c r="G6770" t="str">
        <f>INDEX(Lists!H:H,MATCH(Validation!E6770,Lists!G:G,0))</f>
        <v>Amount must be rounded to the nearest dollar.</v>
      </c>
      <c r="H6770" s="16" t="str">
        <f t="shared" ca="1" si="768"/>
        <v/>
      </c>
      <c r="I6770" s="16" t="str">
        <f t="shared" ca="1" si="769"/>
        <v/>
      </c>
      <c r="J6770" s="17" t="str">
        <f t="shared" ca="1" si="770"/>
        <v/>
      </c>
    </row>
    <row r="6771" spans="1:10" x14ac:dyDescent="0.25">
      <c r="A6771" t="s">
        <v>934</v>
      </c>
      <c r="B6771" t="str">
        <f>ADDRESS(ROW('Loan 1'!$B$40),COLUMN('Loan 1'!$B$40),4)</f>
        <v>B40</v>
      </c>
      <c r="C6771" t="str">
        <f>ADDRESS(ROW('Loan 1'!$D$40),COLUMN('Loan 1'!$D$40),4)</f>
        <v>D40</v>
      </c>
      <c r="D6771" t="b" cm="1">
        <f t="array" aca="1" ref="D6771" ca="1">IF(INDIRECT("'"&amp;A6771&amp;"'!"&amp;B6771)="",FALSE,IF(TRUNC(INDIRECT("'"&amp;A6771&amp;"'!"&amp;B6771))=INDIRECT("'"&amp;A6771&amp;"'!"&amp;B6771),FALSE,TRUE))</f>
        <v>0</v>
      </c>
      <c r="E6771" t="s">
        <v>436</v>
      </c>
      <c r="F6771" t="str">
        <f>INDEX(Lists!I:I,MATCH(Validation!E6771,Lists!G:G,0))</f>
        <v>Error</v>
      </c>
      <c r="G6771" t="str">
        <f>INDEX(Lists!H:H,MATCH(Validation!E6771,Lists!G:G,0))</f>
        <v>Amount must be rounded to the nearest dollar.</v>
      </c>
      <c r="H6771" s="16" t="str">
        <f t="shared" ca="1" si="768"/>
        <v/>
      </c>
      <c r="I6771" s="16" t="str">
        <f t="shared" ca="1" si="769"/>
        <v/>
      </c>
      <c r="J6771" s="17" t="str">
        <f t="shared" ca="1" si="770"/>
        <v/>
      </c>
    </row>
    <row r="6772" spans="1:10" x14ac:dyDescent="0.25">
      <c r="A6772" t="s">
        <v>935</v>
      </c>
      <c r="B6772" t="str">
        <f>ADDRESS(ROW('Loan 1'!$B$40),COLUMN('Loan 1'!$B$40),4)</f>
        <v>B40</v>
      </c>
      <c r="C6772" t="str">
        <f>ADDRESS(ROW('Loan 1'!$D$40),COLUMN('Loan 1'!$D$40),4)</f>
        <v>D40</v>
      </c>
      <c r="D6772" t="b" cm="1">
        <f t="array" aca="1" ref="D6772" ca="1">IF(INDIRECT("'"&amp;A6772&amp;"'!"&amp;B6772)="",FALSE,IF(TRUNC(INDIRECT("'"&amp;A6772&amp;"'!"&amp;B6772))=INDIRECT("'"&amp;A6772&amp;"'!"&amp;B6772),FALSE,TRUE))</f>
        <v>0</v>
      </c>
      <c r="E6772" t="s">
        <v>436</v>
      </c>
      <c r="F6772" t="str">
        <f>INDEX(Lists!I:I,MATCH(Validation!E6772,Lists!G:G,0))</f>
        <v>Error</v>
      </c>
      <c r="G6772" t="str">
        <f>INDEX(Lists!H:H,MATCH(Validation!E6772,Lists!G:G,0))</f>
        <v>Amount must be rounded to the nearest dollar.</v>
      </c>
      <c r="H6772" s="16" t="str">
        <f t="shared" ca="1" si="768"/>
        <v/>
      </c>
      <c r="I6772" s="16" t="str">
        <f t="shared" ca="1" si="769"/>
        <v/>
      </c>
      <c r="J6772" s="17" t="str">
        <f t="shared" ca="1" si="770"/>
        <v/>
      </c>
    </row>
    <row r="6773" spans="1:10" x14ac:dyDescent="0.25">
      <c r="A6773" t="s">
        <v>936</v>
      </c>
      <c r="B6773" t="str">
        <f>ADDRESS(ROW('Loan 1'!$B$40),COLUMN('Loan 1'!$B$40),4)</f>
        <v>B40</v>
      </c>
      <c r="C6773" t="str">
        <f>ADDRESS(ROW('Loan 1'!$D$40),COLUMN('Loan 1'!$D$40),4)</f>
        <v>D40</v>
      </c>
      <c r="D6773" t="b" cm="1">
        <f t="array" aca="1" ref="D6773" ca="1">IF(INDIRECT("'"&amp;A6773&amp;"'!"&amp;B6773)="",FALSE,IF(TRUNC(INDIRECT("'"&amp;A6773&amp;"'!"&amp;B6773))=INDIRECT("'"&amp;A6773&amp;"'!"&amp;B6773),FALSE,TRUE))</f>
        <v>0</v>
      </c>
      <c r="E6773" t="s">
        <v>436</v>
      </c>
      <c r="F6773" t="str">
        <f>INDEX(Lists!I:I,MATCH(Validation!E6773,Lists!G:G,0))</f>
        <v>Error</v>
      </c>
      <c r="G6773" t="str">
        <f>INDEX(Lists!H:H,MATCH(Validation!E6773,Lists!G:G,0))</f>
        <v>Amount must be rounded to the nearest dollar.</v>
      </c>
      <c r="H6773" s="16" t="str">
        <f t="shared" ca="1" si="768"/>
        <v/>
      </c>
      <c r="I6773" s="16" t="str">
        <f t="shared" ca="1" si="769"/>
        <v/>
      </c>
      <c r="J6773" s="17" t="str">
        <f t="shared" ca="1" si="770"/>
        <v/>
      </c>
    </row>
    <row r="6774" spans="1:10" x14ac:dyDescent="0.25">
      <c r="A6774" t="s">
        <v>937</v>
      </c>
      <c r="B6774" t="str">
        <f>ADDRESS(ROW('Loan 1'!$B$40),COLUMN('Loan 1'!$B$40),4)</f>
        <v>B40</v>
      </c>
      <c r="C6774" t="str">
        <f>ADDRESS(ROW('Loan 1'!$D$40),COLUMN('Loan 1'!$D$40),4)</f>
        <v>D40</v>
      </c>
      <c r="D6774" t="b" cm="1">
        <f t="array" aca="1" ref="D6774" ca="1">IF(INDIRECT("'"&amp;A6774&amp;"'!"&amp;B6774)="",FALSE,IF(TRUNC(INDIRECT("'"&amp;A6774&amp;"'!"&amp;B6774))=INDIRECT("'"&amp;A6774&amp;"'!"&amp;B6774),FALSE,TRUE))</f>
        <v>0</v>
      </c>
      <c r="E6774" t="s">
        <v>436</v>
      </c>
      <c r="F6774" t="str">
        <f>INDEX(Lists!I:I,MATCH(Validation!E6774,Lists!G:G,0))</f>
        <v>Error</v>
      </c>
      <c r="G6774" t="str">
        <f>INDEX(Lists!H:H,MATCH(Validation!E6774,Lists!G:G,0))</f>
        <v>Amount must be rounded to the nearest dollar.</v>
      </c>
      <c r="H6774" s="16" t="str">
        <f t="shared" ca="1" si="768"/>
        <v/>
      </c>
      <c r="I6774" s="16" t="str">
        <f t="shared" ca="1" si="769"/>
        <v/>
      </c>
      <c r="J6774" s="17" t="str">
        <f t="shared" ca="1" si="770"/>
        <v/>
      </c>
    </row>
    <row r="6775" spans="1:10" x14ac:dyDescent="0.25">
      <c r="A6775" t="s">
        <v>938</v>
      </c>
      <c r="B6775" t="str">
        <f>ADDRESS(ROW('Loan 1'!$B$40),COLUMN('Loan 1'!$B$40),4)</f>
        <v>B40</v>
      </c>
      <c r="C6775" t="str">
        <f>ADDRESS(ROW('Loan 1'!$D$40),COLUMN('Loan 1'!$D$40),4)</f>
        <v>D40</v>
      </c>
      <c r="D6775" t="b" cm="1">
        <f t="array" aca="1" ref="D6775" ca="1">IF(INDIRECT("'"&amp;A6775&amp;"'!"&amp;B6775)="",FALSE,IF(TRUNC(INDIRECT("'"&amp;A6775&amp;"'!"&amp;B6775))=INDIRECT("'"&amp;A6775&amp;"'!"&amp;B6775),FALSE,TRUE))</f>
        <v>0</v>
      </c>
      <c r="E6775" t="s">
        <v>436</v>
      </c>
      <c r="F6775" t="str">
        <f>INDEX(Lists!I:I,MATCH(Validation!E6775,Lists!G:G,0))</f>
        <v>Error</v>
      </c>
      <c r="G6775" t="str">
        <f>INDEX(Lists!H:H,MATCH(Validation!E6775,Lists!G:G,0))</f>
        <v>Amount must be rounded to the nearest dollar.</v>
      </c>
      <c r="H6775" s="16" t="str">
        <f t="shared" ca="1" si="768"/>
        <v/>
      </c>
      <c r="I6775" s="16" t="str">
        <f t="shared" ca="1" si="769"/>
        <v/>
      </c>
      <c r="J6775" s="17" t="str">
        <f t="shared" ca="1" si="770"/>
        <v/>
      </c>
    </row>
    <row r="6776" spans="1:10" x14ac:dyDescent="0.25">
      <c r="A6776" t="s">
        <v>939</v>
      </c>
      <c r="B6776" t="str">
        <f>ADDRESS(ROW('Loan 1'!$B$40),COLUMN('Loan 1'!$B$40),4)</f>
        <v>B40</v>
      </c>
      <c r="C6776" t="str">
        <f>ADDRESS(ROW('Loan 1'!$D$40),COLUMN('Loan 1'!$D$40),4)</f>
        <v>D40</v>
      </c>
      <c r="D6776" t="b" cm="1">
        <f t="array" aca="1" ref="D6776" ca="1">IF(INDIRECT("'"&amp;A6776&amp;"'!"&amp;B6776)="",FALSE,IF(TRUNC(INDIRECT("'"&amp;A6776&amp;"'!"&amp;B6776))=INDIRECT("'"&amp;A6776&amp;"'!"&amp;B6776),FALSE,TRUE))</f>
        <v>0</v>
      </c>
      <c r="E6776" t="s">
        <v>436</v>
      </c>
      <c r="F6776" t="str">
        <f>INDEX(Lists!I:I,MATCH(Validation!E6776,Lists!G:G,0))</f>
        <v>Error</v>
      </c>
      <c r="G6776" t="str">
        <f>INDEX(Lists!H:H,MATCH(Validation!E6776,Lists!G:G,0))</f>
        <v>Amount must be rounded to the nearest dollar.</v>
      </c>
      <c r="H6776" s="16" t="str">
        <f t="shared" ca="1" si="768"/>
        <v/>
      </c>
      <c r="I6776" s="16" t="str">
        <f t="shared" ca="1" si="769"/>
        <v/>
      </c>
      <c r="J6776" s="17" t="str">
        <f t="shared" ca="1" si="770"/>
        <v/>
      </c>
    </row>
    <row r="6777" spans="1:10" x14ac:dyDescent="0.25">
      <c r="A6777" t="s">
        <v>940</v>
      </c>
      <c r="B6777" t="str">
        <f>ADDRESS(ROW('Loan 1'!$B$40),COLUMN('Loan 1'!$B$40),4)</f>
        <v>B40</v>
      </c>
      <c r="C6777" t="str">
        <f>ADDRESS(ROW('Loan 1'!$D$40),COLUMN('Loan 1'!$D$40),4)</f>
        <v>D40</v>
      </c>
      <c r="D6777" t="b" cm="1">
        <f t="array" aca="1" ref="D6777" ca="1">IF(INDIRECT("'"&amp;A6777&amp;"'!"&amp;B6777)="",FALSE,IF(TRUNC(INDIRECT("'"&amp;A6777&amp;"'!"&amp;B6777))=INDIRECT("'"&amp;A6777&amp;"'!"&amp;B6777),FALSE,TRUE))</f>
        <v>0</v>
      </c>
      <c r="E6777" t="s">
        <v>436</v>
      </c>
      <c r="F6777" t="str">
        <f>INDEX(Lists!I:I,MATCH(Validation!E6777,Lists!G:G,0))</f>
        <v>Error</v>
      </c>
      <c r="G6777" t="str">
        <f>INDEX(Lists!H:H,MATCH(Validation!E6777,Lists!G:G,0))</f>
        <v>Amount must be rounded to the nearest dollar.</v>
      </c>
      <c r="H6777" s="16" t="str">
        <f t="shared" ca="1" si="768"/>
        <v/>
      </c>
      <c r="I6777" s="16" t="str">
        <f t="shared" ca="1" si="769"/>
        <v/>
      </c>
      <c r="J6777" s="17" t="str">
        <f t="shared" ca="1" si="770"/>
        <v/>
      </c>
    </row>
    <row r="6778" spans="1:10" x14ac:dyDescent="0.25">
      <c r="A6778" t="s">
        <v>941</v>
      </c>
      <c r="B6778" t="str">
        <f>ADDRESS(ROW('Loan 1'!$B$40),COLUMN('Loan 1'!$B$40),4)</f>
        <v>B40</v>
      </c>
      <c r="C6778" t="str">
        <f>ADDRESS(ROW('Loan 1'!$D$40),COLUMN('Loan 1'!$D$40),4)</f>
        <v>D40</v>
      </c>
      <c r="D6778" t="b" cm="1">
        <f t="array" aca="1" ref="D6778" ca="1">IF(INDIRECT("'"&amp;A6778&amp;"'!"&amp;B6778)="",FALSE,IF(TRUNC(INDIRECT("'"&amp;A6778&amp;"'!"&amp;B6778))=INDIRECT("'"&amp;A6778&amp;"'!"&amp;B6778),FALSE,TRUE))</f>
        <v>0</v>
      </c>
      <c r="E6778" t="s">
        <v>436</v>
      </c>
      <c r="F6778" t="str">
        <f>INDEX(Lists!I:I,MATCH(Validation!E6778,Lists!G:G,0))</f>
        <v>Error</v>
      </c>
      <c r="G6778" t="str">
        <f>INDEX(Lists!H:H,MATCH(Validation!E6778,Lists!G:G,0))</f>
        <v>Amount must be rounded to the nearest dollar.</v>
      </c>
      <c r="H6778" s="16" t="str">
        <f t="shared" ca="1" si="768"/>
        <v/>
      </c>
      <c r="I6778" s="16" t="str">
        <f t="shared" ca="1" si="769"/>
        <v/>
      </c>
      <c r="J6778" s="17" t="str">
        <f t="shared" ca="1" si="770"/>
        <v/>
      </c>
    </row>
    <row r="6779" spans="1:10" x14ac:dyDescent="0.25">
      <c r="A6779" t="s">
        <v>942</v>
      </c>
      <c r="B6779" t="str">
        <f>ADDRESS(ROW('Loan 1'!$B$40),COLUMN('Loan 1'!$B$40),4)</f>
        <v>B40</v>
      </c>
      <c r="C6779" t="str">
        <f>ADDRESS(ROW('Loan 1'!$D$40),COLUMN('Loan 1'!$D$40),4)</f>
        <v>D40</v>
      </c>
      <c r="D6779" t="b" cm="1">
        <f t="array" aca="1" ref="D6779" ca="1">IF(INDIRECT("'"&amp;A6779&amp;"'!"&amp;B6779)="",FALSE,IF(TRUNC(INDIRECT("'"&amp;A6779&amp;"'!"&amp;B6779))=INDIRECT("'"&amp;A6779&amp;"'!"&amp;B6779),FALSE,TRUE))</f>
        <v>0</v>
      </c>
      <c r="E6779" t="s">
        <v>436</v>
      </c>
      <c r="F6779" t="str">
        <f>INDEX(Lists!I:I,MATCH(Validation!E6779,Lists!G:G,0))</f>
        <v>Error</v>
      </c>
      <c r="G6779" t="str">
        <f>INDEX(Lists!H:H,MATCH(Validation!E6779,Lists!G:G,0))</f>
        <v>Amount must be rounded to the nearest dollar.</v>
      </c>
      <c r="H6779" s="16" t="str">
        <f t="shared" ca="1" si="768"/>
        <v/>
      </c>
      <c r="I6779" s="16" t="str">
        <f t="shared" ca="1" si="769"/>
        <v/>
      </c>
      <c r="J6779" s="17" t="str">
        <f t="shared" ca="1" si="770"/>
        <v/>
      </c>
    </row>
    <row r="6780" spans="1:10" x14ac:dyDescent="0.25">
      <c r="A6780" t="s">
        <v>943</v>
      </c>
      <c r="B6780" t="str">
        <f>ADDRESS(ROW('Loan 1'!$B$40),COLUMN('Loan 1'!$B$40),4)</f>
        <v>B40</v>
      </c>
      <c r="C6780" t="str">
        <f>ADDRESS(ROW('Loan 1'!$D$40),COLUMN('Loan 1'!$D$40),4)</f>
        <v>D40</v>
      </c>
      <c r="D6780" t="b" cm="1">
        <f t="array" aca="1" ref="D6780" ca="1">IF(INDIRECT("'"&amp;A6780&amp;"'!"&amp;B6780)="",FALSE,IF(TRUNC(INDIRECT("'"&amp;A6780&amp;"'!"&amp;B6780))=INDIRECT("'"&amp;A6780&amp;"'!"&amp;B6780),FALSE,TRUE))</f>
        <v>0</v>
      </c>
      <c r="E6780" t="s">
        <v>436</v>
      </c>
      <c r="F6780" t="str">
        <f>INDEX(Lists!I:I,MATCH(Validation!E6780,Lists!G:G,0))</f>
        <v>Error</v>
      </c>
      <c r="G6780" t="str">
        <f>INDEX(Lists!H:H,MATCH(Validation!E6780,Lists!G:G,0))</f>
        <v>Amount must be rounded to the nearest dollar.</v>
      </c>
      <c r="H6780" s="16" t="str">
        <f t="shared" ca="1" si="768"/>
        <v/>
      </c>
      <c r="I6780" s="16" t="str">
        <f t="shared" ca="1" si="769"/>
        <v/>
      </c>
      <c r="J6780" s="17" t="str">
        <f t="shared" ca="1" si="770"/>
        <v/>
      </c>
    </row>
    <row r="6781" spans="1:10" x14ac:dyDescent="0.25">
      <c r="A6781" t="s">
        <v>944</v>
      </c>
      <c r="B6781" t="str">
        <f>ADDRESS(ROW('Loan 1'!$B$40),COLUMN('Loan 1'!$B$40),4)</f>
        <v>B40</v>
      </c>
      <c r="C6781" t="str">
        <f>ADDRESS(ROW('Loan 1'!$D$40),COLUMN('Loan 1'!$D$40),4)</f>
        <v>D40</v>
      </c>
      <c r="D6781" t="b" cm="1">
        <f t="array" aca="1" ref="D6781" ca="1">IF(INDIRECT("'"&amp;A6781&amp;"'!"&amp;B6781)="",FALSE,IF(TRUNC(INDIRECT("'"&amp;A6781&amp;"'!"&amp;B6781))=INDIRECT("'"&amp;A6781&amp;"'!"&amp;B6781),FALSE,TRUE))</f>
        <v>0</v>
      </c>
      <c r="E6781" t="s">
        <v>436</v>
      </c>
      <c r="F6781" t="str">
        <f>INDEX(Lists!I:I,MATCH(Validation!E6781,Lists!G:G,0))</f>
        <v>Error</v>
      </c>
      <c r="G6781" t="str">
        <f>INDEX(Lists!H:H,MATCH(Validation!E6781,Lists!G:G,0))</f>
        <v>Amount must be rounded to the nearest dollar.</v>
      </c>
      <c r="H6781" s="16" t="str">
        <f t="shared" ca="1" si="768"/>
        <v/>
      </c>
      <c r="I6781" s="16" t="str">
        <f t="shared" ca="1" si="769"/>
        <v/>
      </c>
      <c r="J6781" s="17" t="str">
        <f t="shared" ca="1" si="770"/>
        <v/>
      </c>
    </row>
    <row r="6782" spans="1:10" x14ac:dyDescent="0.25">
      <c r="A6782" t="s">
        <v>945</v>
      </c>
      <c r="B6782" t="str">
        <f>ADDRESS(ROW('Loan 1'!$B$40),COLUMN('Loan 1'!$B$40),4)</f>
        <v>B40</v>
      </c>
      <c r="C6782" t="str">
        <f>ADDRESS(ROW('Loan 1'!$D$40),COLUMN('Loan 1'!$D$40),4)</f>
        <v>D40</v>
      </c>
      <c r="D6782" t="b" cm="1">
        <f t="array" aca="1" ref="D6782" ca="1">IF(INDIRECT("'"&amp;A6782&amp;"'!"&amp;B6782)="",FALSE,IF(TRUNC(INDIRECT("'"&amp;A6782&amp;"'!"&amp;B6782))=INDIRECT("'"&amp;A6782&amp;"'!"&amp;B6782),FALSE,TRUE))</f>
        <v>0</v>
      </c>
      <c r="E6782" t="s">
        <v>436</v>
      </c>
      <c r="F6782" t="str">
        <f>INDEX(Lists!I:I,MATCH(Validation!E6782,Lists!G:G,0))</f>
        <v>Error</v>
      </c>
      <c r="G6782" t="str">
        <f>INDEX(Lists!H:H,MATCH(Validation!E6782,Lists!G:G,0))</f>
        <v>Amount must be rounded to the nearest dollar.</v>
      </c>
      <c r="H6782" s="16" t="str">
        <f t="shared" ca="1" si="768"/>
        <v/>
      </c>
      <c r="I6782" s="16" t="str">
        <f t="shared" ca="1" si="769"/>
        <v/>
      </c>
      <c r="J6782" s="17" t="str">
        <f t="shared" ca="1" si="770"/>
        <v/>
      </c>
    </row>
    <row r="6783" spans="1:10" x14ac:dyDescent="0.25">
      <c r="A6783" t="s">
        <v>205</v>
      </c>
      <c r="B6783" t="str">
        <f>ADDRESS(ROW('Loan 1'!$C$40),COLUMN('Loan 1'!$C$40),4)</f>
        <v>C40</v>
      </c>
      <c r="C6783" t="str">
        <f>ADDRESS(ROW('Loan 1'!$D$40),COLUMN('Loan 1'!$D$40),4)</f>
        <v>D40</v>
      </c>
      <c r="D6783" t="b" cm="1">
        <f t="array" aca="1" ref="D6783" ca="1">IF(INDIRECT("'"&amp;A6783&amp;"'!"&amp;B6783)="",FALSE,IF(NOT(ISNUMBER(INDIRECT("'"&amp;A6783&amp;"'!"&amp;B6783))),TRUE,FALSE))</f>
        <v>0</v>
      </c>
      <c r="E6783" t="s">
        <v>435</v>
      </c>
      <c r="F6783" t="str">
        <f>INDEX(Lists!I:I,MATCH(Validation!E6783,Lists!G:G,0))</f>
        <v>Error</v>
      </c>
      <c r="G6783" t="str">
        <f>INDEX(Lists!H:H,MATCH(Validation!E6783,Lists!G:G,0))</f>
        <v>Enter an amount only. Do not enter text or spaces.</v>
      </c>
      <c r="H6783" s="16" t="str">
        <f ca="1">IFERROR(IF(OR(NOT(D6783),F6783&lt;&gt;"Error"),"",A6783&amp;CELL("address",INDIRECT(B6783))),"")</f>
        <v/>
      </c>
      <c r="I6783" s="16" t="str">
        <f ca="1">IFERROR(IF(NOT(D6783),"",A6783&amp;CELL("address",INDIRECT(C6783))),"")</f>
        <v/>
      </c>
      <c r="J6783" s="17" t="str">
        <f ca="1">IFERROR(IF(NOT(D6783),"",A6783),"")</f>
        <v/>
      </c>
    </row>
    <row r="6784" spans="1:10" x14ac:dyDescent="0.25">
      <c r="A6784" t="s">
        <v>932</v>
      </c>
      <c r="B6784" t="str">
        <f>ADDRESS(ROW('Loan 1'!$C$40),COLUMN('Loan 1'!$C$40),4)</f>
        <v>C40</v>
      </c>
      <c r="C6784" t="str">
        <f>ADDRESS(ROW('Loan 1'!$D$40),COLUMN('Loan 1'!$D$40),4)</f>
        <v>D40</v>
      </c>
      <c r="D6784" t="b" cm="1">
        <f t="array" aca="1" ref="D6784" ca="1">IF(INDIRECT("'"&amp;A6784&amp;"'!"&amp;B6784)="",FALSE,IF(NOT(ISNUMBER(INDIRECT("'"&amp;A6784&amp;"'!"&amp;B6784))),TRUE,FALSE))</f>
        <v>0</v>
      </c>
      <c r="E6784" t="s">
        <v>435</v>
      </c>
      <c r="F6784" t="str">
        <f>INDEX(Lists!I:I,MATCH(Validation!E6784,Lists!G:G,0))</f>
        <v>Error</v>
      </c>
      <c r="G6784" t="str">
        <f>INDEX(Lists!H:H,MATCH(Validation!E6784,Lists!G:G,0))</f>
        <v>Enter an amount only. Do not enter text or spaces.</v>
      </c>
      <c r="H6784" s="16" t="str">
        <f t="shared" ref="H6784:H6797" ca="1" si="771">IFERROR(IF(OR(NOT(D6784),F6784&lt;&gt;"Error"),"",A6784&amp;CELL("address",INDIRECT(B6784))),"")</f>
        <v/>
      </c>
      <c r="I6784" s="16" t="str">
        <f t="shared" ref="I6784:I6797" ca="1" si="772">IFERROR(IF(NOT(D6784),"",A6784&amp;CELL("address",INDIRECT(C6784))),"")</f>
        <v/>
      </c>
      <c r="J6784" s="17" t="str">
        <f t="shared" ref="J6784:J6797" ca="1" si="773">IFERROR(IF(NOT(D6784),"",A6784),"")</f>
        <v/>
      </c>
    </row>
    <row r="6785" spans="1:10" x14ac:dyDescent="0.25">
      <c r="A6785" t="s">
        <v>933</v>
      </c>
      <c r="B6785" t="str">
        <f>ADDRESS(ROW('Loan 1'!$C$40),COLUMN('Loan 1'!$C$40),4)</f>
        <v>C40</v>
      </c>
      <c r="C6785" t="str">
        <f>ADDRESS(ROW('Loan 1'!$D$40),COLUMN('Loan 1'!$D$40),4)</f>
        <v>D40</v>
      </c>
      <c r="D6785" t="b" cm="1">
        <f t="array" aca="1" ref="D6785" ca="1">IF(INDIRECT("'"&amp;A6785&amp;"'!"&amp;B6785)="",FALSE,IF(NOT(ISNUMBER(INDIRECT("'"&amp;A6785&amp;"'!"&amp;B6785))),TRUE,FALSE))</f>
        <v>0</v>
      </c>
      <c r="E6785" t="s">
        <v>435</v>
      </c>
      <c r="F6785" t="str">
        <f>INDEX(Lists!I:I,MATCH(Validation!E6785,Lists!G:G,0))</f>
        <v>Error</v>
      </c>
      <c r="G6785" t="str">
        <f>INDEX(Lists!H:H,MATCH(Validation!E6785,Lists!G:G,0))</f>
        <v>Enter an amount only. Do not enter text or spaces.</v>
      </c>
      <c r="H6785" s="16" t="str">
        <f t="shared" ca="1" si="771"/>
        <v/>
      </c>
      <c r="I6785" s="16" t="str">
        <f t="shared" ca="1" si="772"/>
        <v/>
      </c>
      <c r="J6785" s="17" t="str">
        <f t="shared" ca="1" si="773"/>
        <v/>
      </c>
    </row>
    <row r="6786" spans="1:10" x14ac:dyDescent="0.25">
      <c r="A6786" t="s">
        <v>934</v>
      </c>
      <c r="B6786" t="str">
        <f>ADDRESS(ROW('Loan 1'!$C$40),COLUMN('Loan 1'!$C$40),4)</f>
        <v>C40</v>
      </c>
      <c r="C6786" t="str">
        <f>ADDRESS(ROW('Loan 1'!$D$40),COLUMN('Loan 1'!$D$40),4)</f>
        <v>D40</v>
      </c>
      <c r="D6786" t="b" cm="1">
        <f t="array" aca="1" ref="D6786" ca="1">IF(INDIRECT("'"&amp;A6786&amp;"'!"&amp;B6786)="",FALSE,IF(NOT(ISNUMBER(INDIRECT("'"&amp;A6786&amp;"'!"&amp;B6786))),TRUE,FALSE))</f>
        <v>0</v>
      </c>
      <c r="E6786" t="s">
        <v>435</v>
      </c>
      <c r="F6786" t="str">
        <f>INDEX(Lists!I:I,MATCH(Validation!E6786,Lists!G:G,0))</f>
        <v>Error</v>
      </c>
      <c r="G6786" t="str">
        <f>INDEX(Lists!H:H,MATCH(Validation!E6786,Lists!G:G,0))</f>
        <v>Enter an amount only. Do not enter text or spaces.</v>
      </c>
      <c r="H6786" s="16" t="str">
        <f t="shared" ca="1" si="771"/>
        <v/>
      </c>
      <c r="I6786" s="16" t="str">
        <f t="shared" ca="1" si="772"/>
        <v/>
      </c>
      <c r="J6786" s="17" t="str">
        <f t="shared" ca="1" si="773"/>
        <v/>
      </c>
    </row>
    <row r="6787" spans="1:10" x14ac:dyDescent="0.25">
      <c r="A6787" t="s">
        <v>935</v>
      </c>
      <c r="B6787" t="str">
        <f>ADDRESS(ROW('Loan 1'!$C$40),COLUMN('Loan 1'!$C$40),4)</f>
        <v>C40</v>
      </c>
      <c r="C6787" t="str">
        <f>ADDRESS(ROW('Loan 1'!$D$40),COLUMN('Loan 1'!$D$40),4)</f>
        <v>D40</v>
      </c>
      <c r="D6787" t="b" cm="1">
        <f t="array" aca="1" ref="D6787" ca="1">IF(INDIRECT("'"&amp;A6787&amp;"'!"&amp;B6787)="",FALSE,IF(NOT(ISNUMBER(INDIRECT("'"&amp;A6787&amp;"'!"&amp;B6787))),TRUE,FALSE))</f>
        <v>0</v>
      </c>
      <c r="E6787" t="s">
        <v>435</v>
      </c>
      <c r="F6787" t="str">
        <f>INDEX(Lists!I:I,MATCH(Validation!E6787,Lists!G:G,0))</f>
        <v>Error</v>
      </c>
      <c r="G6787" t="str">
        <f>INDEX(Lists!H:H,MATCH(Validation!E6787,Lists!G:G,0))</f>
        <v>Enter an amount only. Do not enter text or spaces.</v>
      </c>
      <c r="H6787" s="16" t="str">
        <f t="shared" ca="1" si="771"/>
        <v/>
      </c>
      <c r="I6787" s="16" t="str">
        <f t="shared" ca="1" si="772"/>
        <v/>
      </c>
      <c r="J6787" s="17" t="str">
        <f t="shared" ca="1" si="773"/>
        <v/>
      </c>
    </row>
    <row r="6788" spans="1:10" x14ac:dyDescent="0.25">
      <c r="A6788" t="s">
        <v>936</v>
      </c>
      <c r="B6788" t="str">
        <f>ADDRESS(ROW('Loan 1'!$C$40),COLUMN('Loan 1'!$C$40),4)</f>
        <v>C40</v>
      </c>
      <c r="C6788" t="str">
        <f>ADDRESS(ROW('Loan 1'!$D$40),COLUMN('Loan 1'!$D$40),4)</f>
        <v>D40</v>
      </c>
      <c r="D6788" t="b" cm="1">
        <f t="array" aca="1" ref="D6788" ca="1">IF(INDIRECT("'"&amp;A6788&amp;"'!"&amp;B6788)="",FALSE,IF(NOT(ISNUMBER(INDIRECT("'"&amp;A6788&amp;"'!"&amp;B6788))),TRUE,FALSE))</f>
        <v>0</v>
      </c>
      <c r="E6788" t="s">
        <v>435</v>
      </c>
      <c r="F6788" t="str">
        <f>INDEX(Lists!I:I,MATCH(Validation!E6788,Lists!G:G,0))</f>
        <v>Error</v>
      </c>
      <c r="G6788" t="str">
        <f>INDEX(Lists!H:H,MATCH(Validation!E6788,Lists!G:G,0))</f>
        <v>Enter an amount only. Do not enter text or spaces.</v>
      </c>
      <c r="H6788" s="16" t="str">
        <f t="shared" ca="1" si="771"/>
        <v/>
      </c>
      <c r="I6788" s="16" t="str">
        <f t="shared" ca="1" si="772"/>
        <v/>
      </c>
      <c r="J6788" s="17" t="str">
        <f t="shared" ca="1" si="773"/>
        <v/>
      </c>
    </row>
    <row r="6789" spans="1:10" x14ac:dyDescent="0.25">
      <c r="A6789" t="s">
        <v>937</v>
      </c>
      <c r="B6789" t="str">
        <f>ADDRESS(ROW('Loan 1'!$C$40),COLUMN('Loan 1'!$C$40),4)</f>
        <v>C40</v>
      </c>
      <c r="C6789" t="str">
        <f>ADDRESS(ROW('Loan 1'!$D$40),COLUMN('Loan 1'!$D$40),4)</f>
        <v>D40</v>
      </c>
      <c r="D6789" t="b" cm="1">
        <f t="array" aca="1" ref="D6789" ca="1">IF(INDIRECT("'"&amp;A6789&amp;"'!"&amp;B6789)="",FALSE,IF(NOT(ISNUMBER(INDIRECT("'"&amp;A6789&amp;"'!"&amp;B6789))),TRUE,FALSE))</f>
        <v>0</v>
      </c>
      <c r="E6789" t="s">
        <v>435</v>
      </c>
      <c r="F6789" t="str">
        <f>INDEX(Lists!I:I,MATCH(Validation!E6789,Lists!G:G,0))</f>
        <v>Error</v>
      </c>
      <c r="G6789" t="str">
        <f>INDEX(Lists!H:H,MATCH(Validation!E6789,Lists!G:G,0))</f>
        <v>Enter an amount only. Do not enter text or spaces.</v>
      </c>
      <c r="H6789" s="16" t="str">
        <f t="shared" ca="1" si="771"/>
        <v/>
      </c>
      <c r="I6789" s="16" t="str">
        <f t="shared" ca="1" si="772"/>
        <v/>
      </c>
      <c r="J6789" s="17" t="str">
        <f t="shared" ca="1" si="773"/>
        <v/>
      </c>
    </row>
    <row r="6790" spans="1:10" x14ac:dyDescent="0.25">
      <c r="A6790" t="s">
        <v>938</v>
      </c>
      <c r="B6790" t="str">
        <f>ADDRESS(ROW('Loan 1'!$C$40),COLUMN('Loan 1'!$C$40),4)</f>
        <v>C40</v>
      </c>
      <c r="C6790" t="str">
        <f>ADDRESS(ROW('Loan 1'!$D$40),COLUMN('Loan 1'!$D$40),4)</f>
        <v>D40</v>
      </c>
      <c r="D6790" t="b" cm="1">
        <f t="array" aca="1" ref="D6790" ca="1">IF(INDIRECT("'"&amp;A6790&amp;"'!"&amp;B6790)="",FALSE,IF(NOT(ISNUMBER(INDIRECT("'"&amp;A6790&amp;"'!"&amp;B6790))),TRUE,FALSE))</f>
        <v>0</v>
      </c>
      <c r="E6790" t="s">
        <v>435</v>
      </c>
      <c r="F6790" t="str">
        <f>INDEX(Lists!I:I,MATCH(Validation!E6790,Lists!G:G,0))</f>
        <v>Error</v>
      </c>
      <c r="G6790" t="str">
        <f>INDEX(Lists!H:H,MATCH(Validation!E6790,Lists!G:G,0))</f>
        <v>Enter an amount only. Do not enter text or spaces.</v>
      </c>
      <c r="H6790" s="16" t="str">
        <f t="shared" ca="1" si="771"/>
        <v/>
      </c>
      <c r="I6790" s="16" t="str">
        <f t="shared" ca="1" si="772"/>
        <v/>
      </c>
      <c r="J6790" s="17" t="str">
        <f t="shared" ca="1" si="773"/>
        <v/>
      </c>
    </row>
    <row r="6791" spans="1:10" x14ac:dyDescent="0.25">
      <c r="A6791" t="s">
        <v>939</v>
      </c>
      <c r="B6791" t="str">
        <f>ADDRESS(ROW('Loan 1'!$C$40),COLUMN('Loan 1'!$C$40),4)</f>
        <v>C40</v>
      </c>
      <c r="C6791" t="str">
        <f>ADDRESS(ROW('Loan 1'!$D$40),COLUMN('Loan 1'!$D$40),4)</f>
        <v>D40</v>
      </c>
      <c r="D6791" t="b" cm="1">
        <f t="array" aca="1" ref="D6791" ca="1">IF(INDIRECT("'"&amp;A6791&amp;"'!"&amp;B6791)="",FALSE,IF(NOT(ISNUMBER(INDIRECT("'"&amp;A6791&amp;"'!"&amp;B6791))),TRUE,FALSE))</f>
        <v>0</v>
      </c>
      <c r="E6791" t="s">
        <v>435</v>
      </c>
      <c r="F6791" t="str">
        <f>INDEX(Lists!I:I,MATCH(Validation!E6791,Lists!G:G,0))</f>
        <v>Error</v>
      </c>
      <c r="G6791" t="str">
        <f>INDEX(Lists!H:H,MATCH(Validation!E6791,Lists!G:G,0))</f>
        <v>Enter an amount only. Do not enter text or spaces.</v>
      </c>
      <c r="H6791" s="16" t="str">
        <f t="shared" ca="1" si="771"/>
        <v/>
      </c>
      <c r="I6791" s="16" t="str">
        <f t="shared" ca="1" si="772"/>
        <v/>
      </c>
      <c r="J6791" s="17" t="str">
        <f t="shared" ca="1" si="773"/>
        <v/>
      </c>
    </row>
    <row r="6792" spans="1:10" x14ac:dyDescent="0.25">
      <c r="A6792" t="s">
        <v>940</v>
      </c>
      <c r="B6792" t="str">
        <f>ADDRESS(ROW('Loan 1'!$C$40),COLUMN('Loan 1'!$C$40),4)</f>
        <v>C40</v>
      </c>
      <c r="C6792" t="str">
        <f>ADDRESS(ROW('Loan 1'!$D$40),COLUMN('Loan 1'!$D$40),4)</f>
        <v>D40</v>
      </c>
      <c r="D6792" t="b" cm="1">
        <f t="array" aca="1" ref="D6792" ca="1">IF(INDIRECT("'"&amp;A6792&amp;"'!"&amp;B6792)="",FALSE,IF(NOT(ISNUMBER(INDIRECT("'"&amp;A6792&amp;"'!"&amp;B6792))),TRUE,FALSE))</f>
        <v>0</v>
      </c>
      <c r="E6792" t="s">
        <v>435</v>
      </c>
      <c r="F6792" t="str">
        <f>INDEX(Lists!I:I,MATCH(Validation!E6792,Lists!G:G,0))</f>
        <v>Error</v>
      </c>
      <c r="G6792" t="str">
        <f>INDEX(Lists!H:H,MATCH(Validation!E6792,Lists!G:G,0))</f>
        <v>Enter an amount only. Do not enter text or spaces.</v>
      </c>
      <c r="H6792" s="16" t="str">
        <f t="shared" ca="1" si="771"/>
        <v/>
      </c>
      <c r="I6792" s="16" t="str">
        <f t="shared" ca="1" si="772"/>
        <v/>
      </c>
      <c r="J6792" s="17" t="str">
        <f t="shared" ca="1" si="773"/>
        <v/>
      </c>
    </row>
    <row r="6793" spans="1:10" x14ac:dyDescent="0.25">
      <c r="A6793" t="s">
        <v>941</v>
      </c>
      <c r="B6793" t="str">
        <f>ADDRESS(ROW('Loan 1'!$C$40),COLUMN('Loan 1'!$C$40),4)</f>
        <v>C40</v>
      </c>
      <c r="C6793" t="str">
        <f>ADDRESS(ROW('Loan 1'!$D$40),COLUMN('Loan 1'!$D$40),4)</f>
        <v>D40</v>
      </c>
      <c r="D6793" t="b" cm="1">
        <f t="array" aca="1" ref="D6793" ca="1">IF(INDIRECT("'"&amp;A6793&amp;"'!"&amp;B6793)="",FALSE,IF(NOT(ISNUMBER(INDIRECT("'"&amp;A6793&amp;"'!"&amp;B6793))),TRUE,FALSE))</f>
        <v>0</v>
      </c>
      <c r="E6793" t="s">
        <v>435</v>
      </c>
      <c r="F6793" t="str">
        <f>INDEX(Lists!I:I,MATCH(Validation!E6793,Lists!G:G,0))</f>
        <v>Error</v>
      </c>
      <c r="G6793" t="str">
        <f>INDEX(Lists!H:H,MATCH(Validation!E6793,Lists!G:G,0))</f>
        <v>Enter an amount only. Do not enter text or spaces.</v>
      </c>
      <c r="H6793" s="16" t="str">
        <f t="shared" ca="1" si="771"/>
        <v/>
      </c>
      <c r="I6793" s="16" t="str">
        <f t="shared" ca="1" si="772"/>
        <v/>
      </c>
      <c r="J6793" s="17" t="str">
        <f t="shared" ca="1" si="773"/>
        <v/>
      </c>
    </row>
    <row r="6794" spans="1:10" x14ac:dyDescent="0.25">
      <c r="A6794" t="s">
        <v>942</v>
      </c>
      <c r="B6794" t="str">
        <f>ADDRESS(ROW('Loan 1'!$C$40),COLUMN('Loan 1'!$C$40),4)</f>
        <v>C40</v>
      </c>
      <c r="C6794" t="str">
        <f>ADDRESS(ROW('Loan 1'!$D$40),COLUMN('Loan 1'!$D$40),4)</f>
        <v>D40</v>
      </c>
      <c r="D6794" t="b" cm="1">
        <f t="array" aca="1" ref="D6794" ca="1">IF(INDIRECT("'"&amp;A6794&amp;"'!"&amp;B6794)="",FALSE,IF(NOT(ISNUMBER(INDIRECT("'"&amp;A6794&amp;"'!"&amp;B6794))),TRUE,FALSE))</f>
        <v>0</v>
      </c>
      <c r="E6794" t="s">
        <v>435</v>
      </c>
      <c r="F6794" t="str">
        <f>INDEX(Lists!I:I,MATCH(Validation!E6794,Lists!G:G,0))</f>
        <v>Error</v>
      </c>
      <c r="G6794" t="str">
        <f>INDEX(Lists!H:H,MATCH(Validation!E6794,Lists!G:G,0))</f>
        <v>Enter an amount only. Do not enter text or spaces.</v>
      </c>
      <c r="H6794" s="16" t="str">
        <f t="shared" ca="1" si="771"/>
        <v/>
      </c>
      <c r="I6794" s="16" t="str">
        <f t="shared" ca="1" si="772"/>
        <v/>
      </c>
      <c r="J6794" s="17" t="str">
        <f t="shared" ca="1" si="773"/>
        <v/>
      </c>
    </row>
    <row r="6795" spans="1:10" x14ac:dyDescent="0.25">
      <c r="A6795" t="s">
        <v>943</v>
      </c>
      <c r="B6795" t="str">
        <f>ADDRESS(ROW('Loan 1'!$C$40),COLUMN('Loan 1'!$C$40),4)</f>
        <v>C40</v>
      </c>
      <c r="C6795" t="str">
        <f>ADDRESS(ROW('Loan 1'!$D$40),COLUMN('Loan 1'!$D$40),4)</f>
        <v>D40</v>
      </c>
      <c r="D6795" t="b" cm="1">
        <f t="array" aca="1" ref="D6795" ca="1">IF(INDIRECT("'"&amp;A6795&amp;"'!"&amp;B6795)="",FALSE,IF(NOT(ISNUMBER(INDIRECT("'"&amp;A6795&amp;"'!"&amp;B6795))),TRUE,FALSE))</f>
        <v>0</v>
      </c>
      <c r="E6795" t="s">
        <v>435</v>
      </c>
      <c r="F6795" t="str">
        <f>INDEX(Lists!I:I,MATCH(Validation!E6795,Lists!G:G,0))</f>
        <v>Error</v>
      </c>
      <c r="G6795" t="str">
        <f>INDEX(Lists!H:H,MATCH(Validation!E6795,Lists!G:G,0))</f>
        <v>Enter an amount only. Do not enter text or spaces.</v>
      </c>
      <c r="H6795" s="16" t="str">
        <f t="shared" ca="1" si="771"/>
        <v/>
      </c>
      <c r="I6795" s="16" t="str">
        <f t="shared" ca="1" si="772"/>
        <v/>
      </c>
      <c r="J6795" s="17" t="str">
        <f t="shared" ca="1" si="773"/>
        <v/>
      </c>
    </row>
    <row r="6796" spans="1:10" x14ac:dyDescent="0.25">
      <c r="A6796" t="s">
        <v>944</v>
      </c>
      <c r="B6796" t="str">
        <f>ADDRESS(ROW('Loan 1'!$C$40),COLUMN('Loan 1'!$C$40),4)</f>
        <v>C40</v>
      </c>
      <c r="C6796" t="str">
        <f>ADDRESS(ROW('Loan 1'!$D$40),COLUMN('Loan 1'!$D$40),4)</f>
        <v>D40</v>
      </c>
      <c r="D6796" t="b" cm="1">
        <f t="array" aca="1" ref="D6796" ca="1">IF(INDIRECT("'"&amp;A6796&amp;"'!"&amp;B6796)="",FALSE,IF(NOT(ISNUMBER(INDIRECT("'"&amp;A6796&amp;"'!"&amp;B6796))),TRUE,FALSE))</f>
        <v>0</v>
      </c>
      <c r="E6796" t="s">
        <v>435</v>
      </c>
      <c r="F6796" t="str">
        <f>INDEX(Lists!I:I,MATCH(Validation!E6796,Lists!G:G,0))</f>
        <v>Error</v>
      </c>
      <c r="G6796" t="str">
        <f>INDEX(Lists!H:H,MATCH(Validation!E6796,Lists!G:G,0))</f>
        <v>Enter an amount only. Do not enter text or spaces.</v>
      </c>
      <c r="H6796" s="16" t="str">
        <f t="shared" ca="1" si="771"/>
        <v/>
      </c>
      <c r="I6796" s="16" t="str">
        <f t="shared" ca="1" si="772"/>
        <v/>
      </c>
      <c r="J6796" s="17" t="str">
        <f t="shared" ca="1" si="773"/>
        <v/>
      </c>
    </row>
    <row r="6797" spans="1:10" x14ac:dyDescent="0.25">
      <c r="A6797" t="s">
        <v>945</v>
      </c>
      <c r="B6797" t="str">
        <f>ADDRESS(ROW('Loan 1'!$C$40),COLUMN('Loan 1'!$C$40),4)</f>
        <v>C40</v>
      </c>
      <c r="C6797" t="str">
        <f>ADDRESS(ROW('Loan 1'!$D$40),COLUMN('Loan 1'!$D$40),4)</f>
        <v>D40</v>
      </c>
      <c r="D6797" t="b" cm="1">
        <f t="array" aca="1" ref="D6797" ca="1">IF(INDIRECT("'"&amp;A6797&amp;"'!"&amp;B6797)="",FALSE,IF(NOT(ISNUMBER(INDIRECT("'"&amp;A6797&amp;"'!"&amp;B6797))),TRUE,FALSE))</f>
        <v>0</v>
      </c>
      <c r="E6797" t="s">
        <v>435</v>
      </c>
      <c r="F6797" t="str">
        <f>INDEX(Lists!I:I,MATCH(Validation!E6797,Lists!G:G,0))</f>
        <v>Error</v>
      </c>
      <c r="G6797" t="str">
        <f>INDEX(Lists!H:H,MATCH(Validation!E6797,Lists!G:G,0))</f>
        <v>Enter an amount only. Do not enter text or spaces.</v>
      </c>
      <c r="H6797" s="16" t="str">
        <f t="shared" ca="1" si="771"/>
        <v/>
      </c>
      <c r="I6797" s="16" t="str">
        <f t="shared" ca="1" si="772"/>
        <v/>
      </c>
      <c r="J6797" s="17" t="str">
        <f t="shared" ca="1" si="773"/>
        <v/>
      </c>
    </row>
    <row r="6798" spans="1:10" x14ac:dyDescent="0.25">
      <c r="A6798" t="s">
        <v>205</v>
      </c>
      <c r="B6798" t="str">
        <f>ADDRESS(ROW('Loan 1'!$C$40),COLUMN('Loan 1'!$C$40),4)</f>
        <v>C40</v>
      </c>
      <c r="C6798" t="str">
        <f>ADDRESS(ROW('Loan 1'!$D$40),COLUMN('Loan 1'!$D$40),4)</f>
        <v>D40</v>
      </c>
      <c r="D6798" t="b" cm="1">
        <f t="array" aca="1" ref="D6798" ca="1">IF(INDIRECT("'"&amp;A6798&amp;"'!"&amp;B6798)="",FALSE,IF(INDIRECT("'"&amp;A6798&amp;"'!"&amp;B6798)&lt;0,TRUE,FALSE))</f>
        <v>0</v>
      </c>
      <c r="E6798" t="s">
        <v>434</v>
      </c>
      <c r="F6798" t="str">
        <f>INDEX(Lists!I:I,MATCH(Validation!E6798,Lists!G:G,0))</f>
        <v>Error</v>
      </c>
      <c r="G6798" t="str">
        <f>INDEX(Lists!H:H,MATCH(Validation!E6798,Lists!G:G,0))</f>
        <v>Amount may not be negative. Enter an amount greater than or equal to zero.</v>
      </c>
      <c r="H6798" s="16" t="str">
        <f t="shared" ref="H6798:H6813" ca="1" si="774">IFERROR(IF(OR(NOT(D6798),F6798&lt;&gt;"Error"),"",A6798&amp;CELL("address",INDIRECT(B6798))),"")</f>
        <v/>
      </c>
      <c r="I6798" s="16" t="str">
        <f t="shared" ref="I6798:I6813" ca="1" si="775">IFERROR(IF(NOT(D6798),"",A6798&amp;CELL("address",INDIRECT(C6798))),"")</f>
        <v/>
      </c>
      <c r="J6798" s="17" t="str">
        <f t="shared" ref="J6798:J6813" ca="1" si="776">IFERROR(IF(NOT(D6798),"",A6798),"")</f>
        <v/>
      </c>
    </row>
    <row r="6799" spans="1:10" x14ac:dyDescent="0.25">
      <c r="A6799" t="s">
        <v>932</v>
      </c>
      <c r="B6799" t="str">
        <f>ADDRESS(ROW('Loan 1'!$C$40),COLUMN('Loan 1'!$C$40),4)</f>
        <v>C40</v>
      </c>
      <c r="C6799" t="str">
        <f>ADDRESS(ROW('Loan 1'!$D$40),COLUMN('Loan 1'!$D$40),4)</f>
        <v>D40</v>
      </c>
      <c r="D6799" t="b" cm="1">
        <f t="array" aca="1" ref="D6799" ca="1">IF(INDIRECT("'"&amp;A6799&amp;"'!"&amp;B6799)="",FALSE,IF(INDIRECT("'"&amp;A6799&amp;"'!"&amp;B6799)&lt;0,TRUE,FALSE))</f>
        <v>0</v>
      </c>
      <c r="E6799" t="s">
        <v>434</v>
      </c>
      <c r="F6799" t="str">
        <f>INDEX(Lists!I:I,MATCH(Validation!E6799,Lists!G:G,0))</f>
        <v>Error</v>
      </c>
      <c r="G6799" t="str">
        <f>INDEX(Lists!H:H,MATCH(Validation!E6799,Lists!G:G,0))</f>
        <v>Amount may not be negative. Enter an amount greater than or equal to zero.</v>
      </c>
      <c r="H6799" s="16" t="str">
        <f t="shared" ca="1" si="774"/>
        <v/>
      </c>
      <c r="I6799" s="16" t="str">
        <f t="shared" ca="1" si="775"/>
        <v/>
      </c>
      <c r="J6799" s="17" t="str">
        <f t="shared" ca="1" si="776"/>
        <v/>
      </c>
    </row>
    <row r="6800" spans="1:10" x14ac:dyDescent="0.25">
      <c r="A6800" t="s">
        <v>933</v>
      </c>
      <c r="B6800" t="str">
        <f>ADDRESS(ROW('Loan 1'!$C$40),COLUMN('Loan 1'!$C$40),4)</f>
        <v>C40</v>
      </c>
      <c r="C6800" t="str">
        <f>ADDRESS(ROW('Loan 1'!$D$40),COLUMN('Loan 1'!$D$40),4)</f>
        <v>D40</v>
      </c>
      <c r="D6800" t="b" cm="1">
        <f t="array" aca="1" ref="D6800" ca="1">IF(INDIRECT("'"&amp;A6800&amp;"'!"&amp;B6800)="",FALSE,IF(INDIRECT("'"&amp;A6800&amp;"'!"&amp;B6800)&lt;0,TRUE,FALSE))</f>
        <v>0</v>
      </c>
      <c r="E6800" t="s">
        <v>434</v>
      </c>
      <c r="F6800" t="str">
        <f>INDEX(Lists!I:I,MATCH(Validation!E6800,Lists!G:G,0))</f>
        <v>Error</v>
      </c>
      <c r="G6800" t="str">
        <f>INDEX(Lists!H:H,MATCH(Validation!E6800,Lists!G:G,0))</f>
        <v>Amount may not be negative. Enter an amount greater than or equal to zero.</v>
      </c>
      <c r="H6800" s="16" t="str">
        <f t="shared" ca="1" si="774"/>
        <v/>
      </c>
      <c r="I6800" s="16" t="str">
        <f t="shared" ca="1" si="775"/>
        <v/>
      </c>
      <c r="J6800" s="17" t="str">
        <f t="shared" ca="1" si="776"/>
        <v/>
      </c>
    </row>
    <row r="6801" spans="1:10" x14ac:dyDescent="0.25">
      <c r="A6801" t="s">
        <v>934</v>
      </c>
      <c r="B6801" t="str">
        <f>ADDRESS(ROW('Loan 1'!$C$40),COLUMN('Loan 1'!$C$40),4)</f>
        <v>C40</v>
      </c>
      <c r="C6801" t="str">
        <f>ADDRESS(ROW('Loan 1'!$D$40),COLUMN('Loan 1'!$D$40),4)</f>
        <v>D40</v>
      </c>
      <c r="D6801" t="b" cm="1">
        <f t="array" aca="1" ref="D6801" ca="1">IF(INDIRECT("'"&amp;A6801&amp;"'!"&amp;B6801)="",FALSE,IF(INDIRECT("'"&amp;A6801&amp;"'!"&amp;B6801)&lt;0,TRUE,FALSE))</f>
        <v>0</v>
      </c>
      <c r="E6801" t="s">
        <v>434</v>
      </c>
      <c r="F6801" t="str">
        <f>INDEX(Lists!I:I,MATCH(Validation!E6801,Lists!G:G,0))</f>
        <v>Error</v>
      </c>
      <c r="G6801" t="str">
        <f>INDEX(Lists!H:H,MATCH(Validation!E6801,Lists!G:G,0))</f>
        <v>Amount may not be negative. Enter an amount greater than or equal to zero.</v>
      </c>
      <c r="H6801" s="16" t="str">
        <f t="shared" ca="1" si="774"/>
        <v/>
      </c>
      <c r="I6801" s="16" t="str">
        <f t="shared" ca="1" si="775"/>
        <v/>
      </c>
      <c r="J6801" s="17" t="str">
        <f t="shared" ca="1" si="776"/>
        <v/>
      </c>
    </row>
    <row r="6802" spans="1:10" x14ac:dyDescent="0.25">
      <c r="A6802" t="s">
        <v>935</v>
      </c>
      <c r="B6802" t="str">
        <f>ADDRESS(ROW('Loan 1'!$C$40),COLUMN('Loan 1'!$C$40),4)</f>
        <v>C40</v>
      </c>
      <c r="C6802" t="str">
        <f>ADDRESS(ROW('Loan 1'!$D$40),COLUMN('Loan 1'!$D$40),4)</f>
        <v>D40</v>
      </c>
      <c r="D6802" t="b" cm="1">
        <f t="array" aca="1" ref="D6802" ca="1">IF(INDIRECT("'"&amp;A6802&amp;"'!"&amp;B6802)="",FALSE,IF(INDIRECT("'"&amp;A6802&amp;"'!"&amp;B6802)&lt;0,TRUE,FALSE))</f>
        <v>0</v>
      </c>
      <c r="E6802" t="s">
        <v>434</v>
      </c>
      <c r="F6802" t="str">
        <f>INDEX(Lists!I:I,MATCH(Validation!E6802,Lists!G:G,0))</f>
        <v>Error</v>
      </c>
      <c r="G6802" t="str">
        <f>INDEX(Lists!H:H,MATCH(Validation!E6802,Lists!G:G,0))</f>
        <v>Amount may not be negative. Enter an amount greater than or equal to zero.</v>
      </c>
      <c r="H6802" s="16" t="str">
        <f t="shared" ca="1" si="774"/>
        <v/>
      </c>
      <c r="I6802" s="16" t="str">
        <f t="shared" ca="1" si="775"/>
        <v/>
      </c>
      <c r="J6802" s="17" t="str">
        <f t="shared" ca="1" si="776"/>
        <v/>
      </c>
    </row>
    <row r="6803" spans="1:10" x14ac:dyDescent="0.25">
      <c r="A6803" t="s">
        <v>936</v>
      </c>
      <c r="B6803" t="str">
        <f>ADDRESS(ROW('Loan 1'!$C$40),COLUMN('Loan 1'!$C$40),4)</f>
        <v>C40</v>
      </c>
      <c r="C6803" t="str">
        <f>ADDRESS(ROW('Loan 1'!$D$40),COLUMN('Loan 1'!$D$40),4)</f>
        <v>D40</v>
      </c>
      <c r="D6803" t="b" cm="1">
        <f t="array" aca="1" ref="D6803" ca="1">IF(INDIRECT("'"&amp;A6803&amp;"'!"&amp;B6803)="",FALSE,IF(INDIRECT("'"&amp;A6803&amp;"'!"&amp;B6803)&lt;0,TRUE,FALSE))</f>
        <v>0</v>
      </c>
      <c r="E6803" t="s">
        <v>434</v>
      </c>
      <c r="F6803" t="str">
        <f>INDEX(Lists!I:I,MATCH(Validation!E6803,Lists!G:G,0))</f>
        <v>Error</v>
      </c>
      <c r="G6803" t="str">
        <f>INDEX(Lists!H:H,MATCH(Validation!E6803,Lists!G:G,0))</f>
        <v>Amount may not be negative. Enter an amount greater than or equal to zero.</v>
      </c>
      <c r="H6803" s="16" t="str">
        <f t="shared" ca="1" si="774"/>
        <v/>
      </c>
      <c r="I6803" s="16" t="str">
        <f t="shared" ca="1" si="775"/>
        <v/>
      </c>
      <c r="J6803" s="17" t="str">
        <f t="shared" ca="1" si="776"/>
        <v/>
      </c>
    </row>
    <row r="6804" spans="1:10" x14ac:dyDescent="0.25">
      <c r="A6804" t="s">
        <v>937</v>
      </c>
      <c r="B6804" t="str">
        <f>ADDRESS(ROW('Loan 1'!$C$40),COLUMN('Loan 1'!$C$40),4)</f>
        <v>C40</v>
      </c>
      <c r="C6804" t="str">
        <f>ADDRESS(ROW('Loan 1'!$D$40),COLUMN('Loan 1'!$D$40),4)</f>
        <v>D40</v>
      </c>
      <c r="D6804" t="b" cm="1">
        <f t="array" aca="1" ref="D6804" ca="1">IF(INDIRECT("'"&amp;A6804&amp;"'!"&amp;B6804)="",FALSE,IF(INDIRECT("'"&amp;A6804&amp;"'!"&amp;B6804)&lt;0,TRUE,FALSE))</f>
        <v>0</v>
      </c>
      <c r="E6804" t="s">
        <v>434</v>
      </c>
      <c r="F6804" t="str">
        <f>INDEX(Lists!I:I,MATCH(Validation!E6804,Lists!G:G,0))</f>
        <v>Error</v>
      </c>
      <c r="G6804" t="str">
        <f>INDEX(Lists!H:H,MATCH(Validation!E6804,Lists!G:G,0))</f>
        <v>Amount may not be negative. Enter an amount greater than or equal to zero.</v>
      </c>
      <c r="H6804" s="16" t="str">
        <f t="shared" ca="1" si="774"/>
        <v/>
      </c>
      <c r="I6804" s="16" t="str">
        <f t="shared" ca="1" si="775"/>
        <v/>
      </c>
      <c r="J6804" s="17" t="str">
        <f t="shared" ca="1" si="776"/>
        <v/>
      </c>
    </row>
    <row r="6805" spans="1:10" x14ac:dyDescent="0.25">
      <c r="A6805" t="s">
        <v>938</v>
      </c>
      <c r="B6805" t="str">
        <f>ADDRESS(ROW('Loan 1'!$C$40),COLUMN('Loan 1'!$C$40),4)</f>
        <v>C40</v>
      </c>
      <c r="C6805" t="str">
        <f>ADDRESS(ROW('Loan 1'!$D$40),COLUMN('Loan 1'!$D$40),4)</f>
        <v>D40</v>
      </c>
      <c r="D6805" t="b" cm="1">
        <f t="array" aca="1" ref="D6805" ca="1">IF(INDIRECT("'"&amp;A6805&amp;"'!"&amp;B6805)="",FALSE,IF(INDIRECT("'"&amp;A6805&amp;"'!"&amp;B6805)&lt;0,TRUE,FALSE))</f>
        <v>0</v>
      </c>
      <c r="E6805" t="s">
        <v>434</v>
      </c>
      <c r="F6805" t="str">
        <f>INDEX(Lists!I:I,MATCH(Validation!E6805,Lists!G:G,0))</f>
        <v>Error</v>
      </c>
      <c r="G6805" t="str">
        <f>INDEX(Lists!H:H,MATCH(Validation!E6805,Lists!G:G,0))</f>
        <v>Amount may not be negative. Enter an amount greater than or equal to zero.</v>
      </c>
      <c r="H6805" s="16" t="str">
        <f t="shared" ca="1" si="774"/>
        <v/>
      </c>
      <c r="I6805" s="16" t="str">
        <f t="shared" ca="1" si="775"/>
        <v/>
      </c>
      <c r="J6805" s="17" t="str">
        <f t="shared" ca="1" si="776"/>
        <v/>
      </c>
    </row>
    <row r="6806" spans="1:10" x14ac:dyDescent="0.25">
      <c r="A6806" t="s">
        <v>939</v>
      </c>
      <c r="B6806" t="str">
        <f>ADDRESS(ROW('Loan 1'!$C$40),COLUMN('Loan 1'!$C$40),4)</f>
        <v>C40</v>
      </c>
      <c r="C6806" t="str">
        <f>ADDRESS(ROW('Loan 1'!$D$40),COLUMN('Loan 1'!$D$40),4)</f>
        <v>D40</v>
      </c>
      <c r="D6806" t="b" cm="1">
        <f t="array" aca="1" ref="D6806" ca="1">IF(INDIRECT("'"&amp;A6806&amp;"'!"&amp;B6806)="",FALSE,IF(INDIRECT("'"&amp;A6806&amp;"'!"&amp;B6806)&lt;0,TRUE,FALSE))</f>
        <v>0</v>
      </c>
      <c r="E6806" t="s">
        <v>434</v>
      </c>
      <c r="F6806" t="str">
        <f>INDEX(Lists!I:I,MATCH(Validation!E6806,Lists!G:G,0))</f>
        <v>Error</v>
      </c>
      <c r="G6806" t="str">
        <f>INDEX(Lists!H:H,MATCH(Validation!E6806,Lists!G:G,0))</f>
        <v>Amount may not be negative. Enter an amount greater than or equal to zero.</v>
      </c>
      <c r="H6806" s="16" t="str">
        <f t="shared" ca="1" si="774"/>
        <v/>
      </c>
      <c r="I6806" s="16" t="str">
        <f t="shared" ca="1" si="775"/>
        <v/>
      </c>
      <c r="J6806" s="17" t="str">
        <f t="shared" ca="1" si="776"/>
        <v/>
      </c>
    </row>
    <row r="6807" spans="1:10" x14ac:dyDescent="0.25">
      <c r="A6807" t="s">
        <v>940</v>
      </c>
      <c r="B6807" t="str">
        <f>ADDRESS(ROW('Loan 1'!$C$40),COLUMN('Loan 1'!$C$40),4)</f>
        <v>C40</v>
      </c>
      <c r="C6807" t="str">
        <f>ADDRESS(ROW('Loan 1'!$D$40),COLUMN('Loan 1'!$D$40),4)</f>
        <v>D40</v>
      </c>
      <c r="D6807" t="b" cm="1">
        <f t="array" aca="1" ref="D6807" ca="1">IF(INDIRECT("'"&amp;A6807&amp;"'!"&amp;B6807)="",FALSE,IF(INDIRECT("'"&amp;A6807&amp;"'!"&amp;B6807)&lt;0,TRUE,FALSE))</f>
        <v>0</v>
      </c>
      <c r="E6807" t="s">
        <v>434</v>
      </c>
      <c r="F6807" t="str">
        <f>INDEX(Lists!I:I,MATCH(Validation!E6807,Lists!G:G,0))</f>
        <v>Error</v>
      </c>
      <c r="G6807" t="str">
        <f>INDEX(Lists!H:H,MATCH(Validation!E6807,Lists!G:G,0))</f>
        <v>Amount may not be negative. Enter an amount greater than or equal to zero.</v>
      </c>
      <c r="H6807" s="16" t="str">
        <f t="shared" ca="1" si="774"/>
        <v/>
      </c>
      <c r="I6807" s="16" t="str">
        <f t="shared" ca="1" si="775"/>
        <v/>
      </c>
      <c r="J6807" s="17" t="str">
        <f t="shared" ca="1" si="776"/>
        <v/>
      </c>
    </row>
    <row r="6808" spans="1:10" x14ac:dyDescent="0.25">
      <c r="A6808" t="s">
        <v>941</v>
      </c>
      <c r="B6808" t="str">
        <f>ADDRESS(ROW('Loan 1'!$C$40),COLUMN('Loan 1'!$C$40),4)</f>
        <v>C40</v>
      </c>
      <c r="C6808" t="str">
        <f>ADDRESS(ROW('Loan 1'!$D$40),COLUMN('Loan 1'!$D$40),4)</f>
        <v>D40</v>
      </c>
      <c r="D6808" t="b" cm="1">
        <f t="array" aca="1" ref="D6808" ca="1">IF(INDIRECT("'"&amp;A6808&amp;"'!"&amp;B6808)="",FALSE,IF(INDIRECT("'"&amp;A6808&amp;"'!"&amp;B6808)&lt;0,TRUE,FALSE))</f>
        <v>0</v>
      </c>
      <c r="E6808" t="s">
        <v>434</v>
      </c>
      <c r="F6808" t="str">
        <f>INDEX(Lists!I:I,MATCH(Validation!E6808,Lists!G:G,0))</f>
        <v>Error</v>
      </c>
      <c r="G6808" t="str">
        <f>INDEX(Lists!H:H,MATCH(Validation!E6808,Lists!G:G,0))</f>
        <v>Amount may not be negative. Enter an amount greater than or equal to zero.</v>
      </c>
      <c r="H6808" s="16" t="str">
        <f t="shared" ca="1" si="774"/>
        <v/>
      </c>
      <c r="I6808" s="16" t="str">
        <f t="shared" ca="1" si="775"/>
        <v/>
      </c>
      <c r="J6808" s="17" t="str">
        <f t="shared" ca="1" si="776"/>
        <v/>
      </c>
    </row>
    <row r="6809" spans="1:10" x14ac:dyDescent="0.25">
      <c r="A6809" t="s">
        <v>942</v>
      </c>
      <c r="B6809" t="str">
        <f>ADDRESS(ROW('Loan 1'!$C$40),COLUMN('Loan 1'!$C$40),4)</f>
        <v>C40</v>
      </c>
      <c r="C6809" t="str">
        <f>ADDRESS(ROW('Loan 1'!$D$40),COLUMN('Loan 1'!$D$40),4)</f>
        <v>D40</v>
      </c>
      <c r="D6809" t="b" cm="1">
        <f t="array" aca="1" ref="D6809" ca="1">IF(INDIRECT("'"&amp;A6809&amp;"'!"&amp;B6809)="",FALSE,IF(INDIRECT("'"&amp;A6809&amp;"'!"&amp;B6809)&lt;0,TRUE,FALSE))</f>
        <v>0</v>
      </c>
      <c r="E6809" t="s">
        <v>434</v>
      </c>
      <c r="F6809" t="str">
        <f>INDEX(Lists!I:I,MATCH(Validation!E6809,Lists!G:G,0))</f>
        <v>Error</v>
      </c>
      <c r="G6809" t="str">
        <f>INDEX(Lists!H:H,MATCH(Validation!E6809,Lists!G:G,0))</f>
        <v>Amount may not be negative. Enter an amount greater than or equal to zero.</v>
      </c>
      <c r="H6809" s="16" t="str">
        <f t="shared" ca="1" si="774"/>
        <v/>
      </c>
      <c r="I6809" s="16" t="str">
        <f t="shared" ca="1" si="775"/>
        <v/>
      </c>
      <c r="J6809" s="17" t="str">
        <f t="shared" ca="1" si="776"/>
        <v/>
      </c>
    </row>
    <row r="6810" spans="1:10" x14ac:dyDescent="0.25">
      <c r="A6810" t="s">
        <v>943</v>
      </c>
      <c r="B6810" t="str">
        <f>ADDRESS(ROW('Loan 1'!$C$40),COLUMN('Loan 1'!$C$40),4)</f>
        <v>C40</v>
      </c>
      <c r="C6810" t="str">
        <f>ADDRESS(ROW('Loan 1'!$D$40),COLUMN('Loan 1'!$D$40),4)</f>
        <v>D40</v>
      </c>
      <c r="D6810" t="b" cm="1">
        <f t="array" aca="1" ref="D6810" ca="1">IF(INDIRECT("'"&amp;A6810&amp;"'!"&amp;B6810)="",FALSE,IF(INDIRECT("'"&amp;A6810&amp;"'!"&amp;B6810)&lt;0,TRUE,FALSE))</f>
        <v>0</v>
      </c>
      <c r="E6810" t="s">
        <v>434</v>
      </c>
      <c r="F6810" t="str">
        <f>INDEX(Lists!I:I,MATCH(Validation!E6810,Lists!G:G,0))</f>
        <v>Error</v>
      </c>
      <c r="G6810" t="str">
        <f>INDEX(Lists!H:H,MATCH(Validation!E6810,Lists!G:G,0))</f>
        <v>Amount may not be negative. Enter an amount greater than or equal to zero.</v>
      </c>
      <c r="H6810" s="16" t="str">
        <f t="shared" ca="1" si="774"/>
        <v/>
      </c>
      <c r="I6810" s="16" t="str">
        <f t="shared" ca="1" si="775"/>
        <v/>
      </c>
      <c r="J6810" s="17" t="str">
        <f t="shared" ca="1" si="776"/>
        <v/>
      </c>
    </row>
    <row r="6811" spans="1:10" x14ac:dyDescent="0.25">
      <c r="A6811" t="s">
        <v>944</v>
      </c>
      <c r="B6811" t="str">
        <f>ADDRESS(ROW('Loan 1'!$C$40),COLUMN('Loan 1'!$C$40),4)</f>
        <v>C40</v>
      </c>
      <c r="C6811" t="str">
        <f>ADDRESS(ROW('Loan 1'!$D$40),COLUMN('Loan 1'!$D$40),4)</f>
        <v>D40</v>
      </c>
      <c r="D6811" t="b" cm="1">
        <f t="array" aca="1" ref="D6811" ca="1">IF(INDIRECT("'"&amp;A6811&amp;"'!"&amp;B6811)="",FALSE,IF(INDIRECT("'"&amp;A6811&amp;"'!"&amp;B6811)&lt;0,TRUE,FALSE))</f>
        <v>0</v>
      </c>
      <c r="E6811" t="s">
        <v>434</v>
      </c>
      <c r="F6811" t="str">
        <f>INDEX(Lists!I:I,MATCH(Validation!E6811,Lists!G:G,0))</f>
        <v>Error</v>
      </c>
      <c r="G6811" t="str">
        <f>INDEX(Lists!H:H,MATCH(Validation!E6811,Lists!G:G,0))</f>
        <v>Amount may not be negative. Enter an amount greater than or equal to zero.</v>
      </c>
      <c r="H6811" s="16" t="str">
        <f t="shared" ca="1" si="774"/>
        <v/>
      </c>
      <c r="I6811" s="16" t="str">
        <f t="shared" ca="1" si="775"/>
        <v/>
      </c>
      <c r="J6811" s="17" t="str">
        <f t="shared" ca="1" si="776"/>
        <v/>
      </c>
    </row>
    <row r="6812" spans="1:10" x14ac:dyDescent="0.25">
      <c r="A6812" t="s">
        <v>945</v>
      </c>
      <c r="B6812" t="str">
        <f>ADDRESS(ROW('Loan 1'!$C$40),COLUMN('Loan 1'!$C$40),4)</f>
        <v>C40</v>
      </c>
      <c r="C6812" t="str">
        <f>ADDRESS(ROW('Loan 1'!$D$40),COLUMN('Loan 1'!$D$40),4)</f>
        <v>D40</v>
      </c>
      <c r="D6812" t="b" cm="1">
        <f t="array" aca="1" ref="D6812" ca="1">IF(INDIRECT("'"&amp;A6812&amp;"'!"&amp;B6812)="",FALSE,IF(INDIRECT("'"&amp;A6812&amp;"'!"&amp;B6812)&lt;0,TRUE,FALSE))</f>
        <v>0</v>
      </c>
      <c r="E6812" t="s">
        <v>434</v>
      </c>
      <c r="F6812" t="str">
        <f>INDEX(Lists!I:I,MATCH(Validation!E6812,Lists!G:G,0))</f>
        <v>Error</v>
      </c>
      <c r="G6812" t="str">
        <f>INDEX(Lists!H:H,MATCH(Validation!E6812,Lists!G:G,0))</f>
        <v>Amount may not be negative. Enter an amount greater than or equal to zero.</v>
      </c>
      <c r="H6812" s="16" t="str">
        <f t="shared" ca="1" si="774"/>
        <v/>
      </c>
      <c r="I6812" s="16" t="str">
        <f t="shared" ca="1" si="775"/>
        <v/>
      </c>
      <c r="J6812" s="17" t="str">
        <f t="shared" ca="1" si="776"/>
        <v/>
      </c>
    </row>
    <row r="6813" spans="1:10" x14ac:dyDescent="0.25">
      <c r="A6813" t="s">
        <v>205</v>
      </c>
      <c r="B6813" t="str">
        <f>ADDRESS(ROW('Loan 1'!$C$40),COLUMN('Loan 1'!$C$40),4)</f>
        <v>C40</v>
      </c>
      <c r="C6813" t="str">
        <f>ADDRESS(ROW('Loan 1'!$D$40),COLUMN('Loan 1'!$D$40),4)</f>
        <v>D40</v>
      </c>
      <c r="D6813" t="b" cm="1">
        <f t="array" aca="1" ref="D6813" ca="1">IF(INDIRECT("'"&amp;A6813&amp;"'!"&amp;B6813)="",FALSE,IF(TRUNC(INDIRECT("'"&amp;A6813&amp;"'!"&amp;B6813))=INDIRECT("'"&amp;A6813&amp;"'!"&amp;B6813),FALSE,TRUE))</f>
        <v>0</v>
      </c>
      <c r="E6813" t="s">
        <v>436</v>
      </c>
      <c r="F6813" t="str">
        <f>INDEX(Lists!I:I,MATCH(Validation!E6813,Lists!G:G,0))</f>
        <v>Error</v>
      </c>
      <c r="G6813" t="str">
        <f>INDEX(Lists!H:H,MATCH(Validation!E6813,Lists!G:G,0))</f>
        <v>Amount must be rounded to the nearest dollar.</v>
      </c>
      <c r="H6813" s="16" t="str">
        <f t="shared" ca="1" si="774"/>
        <v/>
      </c>
      <c r="I6813" s="16" t="str">
        <f t="shared" ca="1" si="775"/>
        <v/>
      </c>
      <c r="J6813" s="17" t="str">
        <f t="shared" ca="1" si="776"/>
        <v/>
      </c>
    </row>
    <row r="6814" spans="1:10" x14ac:dyDescent="0.25">
      <c r="A6814" t="s">
        <v>932</v>
      </c>
      <c r="B6814" t="str">
        <f>ADDRESS(ROW('Loan 1'!$C$40),COLUMN('Loan 1'!$C$40),4)</f>
        <v>C40</v>
      </c>
      <c r="C6814" t="str">
        <f>ADDRESS(ROW('Loan 1'!$D$40),COLUMN('Loan 1'!$D$40),4)</f>
        <v>D40</v>
      </c>
      <c r="D6814" t="b" cm="1">
        <f t="array" aca="1" ref="D6814" ca="1">IF(INDIRECT("'"&amp;A6814&amp;"'!"&amp;B6814)="",FALSE,IF(TRUNC(INDIRECT("'"&amp;A6814&amp;"'!"&amp;B6814))=INDIRECT("'"&amp;A6814&amp;"'!"&amp;B6814),FALSE,TRUE))</f>
        <v>0</v>
      </c>
      <c r="E6814" t="s">
        <v>436</v>
      </c>
      <c r="F6814" t="str">
        <f>INDEX(Lists!I:I,MATCH(Validation!E6814,Lists!G:G,0))</f>
        <v>Error</v>
      </c>
      <c r="G6814" t="str">
        <f>INDEX(Lists!H:H,MATCH(Validation!E6814,Lists!G:G,0))</f>
        <v>Amount must be rounded to the nearest dollar.</v>
      </c>
      <c r="H6814" s="16" t="str">
        <f t="shared" ref="H6814:H6827" ca="1" si="777">IFERROR(IF(OR(NOT(D6814),F6814&lt;&gt;"Error"),"",A6814&amp;CELL("address",INDIRECT(B6814))),"")</f>
        <v/>
      </c>
      <c r="I6814" s="16" t="str">
        <f t="shared" ref="I6814:I6827" ca="1" si="778">IFERROR(IF(NOT(D6814),"",A6814&amp;CELL("address",INDIRECT(C6814))),"")</f>
        <v/>
      </c>
      <c r="J6814" s="17" t="str">
        <f t="shared" ref="J6814:J6827" ca="1" si="779">IFERROR(IF(NOT(D6814),"",A6814),"")</f>
        <v/>
      </c>
    </row>
    <row r="6815" spans="1:10" x14ac:dyDescent="0.25">
      <c r="A6815" t="s">
        <v>933</v>
      </c>
      <c r="B6815" t="str">
        <f>ADDRESS(ROW('Loan 1'!$C$40),COLUMN('Loan 1'!$C$40),4)</f>
        <v>C40</v>
      </c>
      <c r="C6815" t="str">
        <f>ADDRESS(ROW('Loan 1'!$D$40),COLUMN('Loan 1'!$D$40),4)</f>
        <v>D40</v>
      </c>
      <c r="D6815" t="b" cm="1">
        <f t="array" aca="1" ref="D6815" ca="1">IF(INDIRECT("'"&amp;A6815&amp;"'!"&amp;B6815)="",FALSE,IF(TRUNC(INDIRECT("'"&amp;A6815&amp;"'!"&amp;B6815))=INDIRECT("'"&amp;A6815&amp;"'!"&amp;B6815),FALSE,TRUE))</f>
        <v>0</v>
      </c>
      <c r="E6815" t="s">
        <v>436</v>
      </c>
      <c r="F6815" t="str">
        <f>INDEX(Lists!I:I,MATCH(Validation!E6815,Lists!G:G,0))</f>
        <v>Error</v>
      </c>
      <c r="G6815" t="str">
        <f>INDEX(Lists!H:H,MATCH(Validation!E6815,Lists!G:G,0))</f>
        <v>Amount must be rounded to the nearest dollar.</v>
      </c>
      <c r="H6815" s="16" t="str">
        <f t="shared" ca="1" si="777"/>
        <v/>
      </c>
      <c r="I6815" s="16" t="str">
        <f t="shared" ca="1" si="778"/>
        <v/>
      </c>
      <c r="J6815" s="17" t="str">
        <f t="shared" ca="1" si="779"/>
        <v/>
      </c>
    </row>
    <row r="6816" spans="1:10" x14ac:dyDescent="0.25">
      <c r="A6816" t="s">
        <v>934</v>
      </c>
      <c r="B6816" t="str">
        <f>ADDRESS(ROW('Loan 1'!$C$40),COLUMN('Loan 1'!$C$40),4)</f>
        <v>C40</v>
      </c>
      <c r="C6816" t="str">
        <f>ADDRESS(ROW('Loan 1'!$D$40),COLUMN('Loan 1'!$D$40),4)</f>
        <v>D40</v>
      </c>
      <c r="D6816" t="b" cm="1">
        <f t="array" aca="1" ref="D6816" ca="1">IF(INDIRECT("'"&amp;A6816&amp;"'!"&amp;B6816)="",FALSE,IF(TRUNC(INDIRECT("'"&amp;A6816&amp;"'!"&amp;B6816))=INDIRECT("'"&amp;A6816&amp;"'!"&amp;B6816),FALSE,TRUE))</f>
        <v>0</v>
      </c>
      <c r="E6816" t="s">
        <v>436</v>
      </c>
      <c r="F6816" t="str">
        <f>INDEX(Lists!I:I,MATCH(Validation!E6816,Lists!G:G,0))</f>
        <v>Error</v>
      </c>
      <c r="G6816" t="str">
        <f>INDEX(Lists!H:H,MATCH(Validation!E6816,Lists!G:G,0))</f>
        <v>Amount must be rounded to the nearest dollar.</v>
      </c>
      <c r="H6816" s="16" t="str">
        <f t="shared" ca="1" si="777"/>
        <v/>
      </c>
      <c r="I6816" s="16" t="str">
        <f t="shared" ca="1" si="778"/>
        <v/>
      </c>
      <c r="J6816" s="17" t="str">
        <f t="shared" ca="1" si="779"/>
        <v/>
      </c>
    </row>
    <row r="6817" spans="1:10" x14ac:dyDescent="0.25">
      <c r="A6817" t="s">
        <v>935</v>
      </c>
      <c r="B6817" t="str">
        <f>ADDRESS(ROW('Loan 1'!$C$40),COLUMN('Loan 1'!$C$40),4)</f>
        <v>C40</v>
      </c>
      <c r="C6817" t="str">
        <f>ADDRESS(ROW('Loan 1'!$D$40),COLUMN('Loan 1'!$D$40),4)</f>
        <v>D40</v>
      </c>
      <c r="D6817" t="b" cm="1">
        <f t="array" aca="1" ref="D6817" ca="1">IF(INDIRECT("'"&amp;A6817&amp;"'!"&amp;B6817)="",FALSE,IF(TRUNC(INDIRECT("'"&amp;A6817&amp;"'!"&amp;B6817))=INDIRECT("'"&amp;A6817&amp;"'!"&amp;B6817),FALSE,TRUE))</f>
        <v>0</v>
      </c>
      <c r="E6817" t="s">
        <v>436</v>
      </c>
      <c r="F6817" t="str">
        <f>INDEX(Lists!I:I,MATCH(Validation!E6817,Lists!G:G,0))</f>
        <v>Error</v>
      </c>
      <c r="G6817" t="str">
        <f>INDEX(Lists!H:H,MATCH(Validation!E6817,Lists!G:G,0))</f>
        <v>Amount must be rounded to the nearest dollar.</v>
      </c>
      <c r="H6817" s="16" t="str">
        <f t="shared" ca="1" si="777"/>
        <v/>
      </c>
      <c r="I6817" s="16" t="str">
        <f t="shared" ca="1" si="778"/>
        <v/>
      </c>
      <c r="J6817" s="17" t="str">
        <f t="shared" ca="1" si="779"/>
        <v/>
      </c>
    </row>
    <row r="6818" spans="1:10" x14ac:dyDescent="0.25">
      <c r="A6818" t="s">
        <v>936</v>
      </c>
      <c r="B6818" t="str">
        <f>ADDRESS(ROW('Loan 1'!$C$40),COLUMN('Loan 1'!$C$40),4)</f>
        <v>C40</v>
      </c>
      <c r="C6818" t="str">
        <f>ADDRESS(ROW('Loan 1'!$D$40),COLUMN('Loan 1'!$D$40),4)</f>
        <v>D40</v>
      </c>
      <c r="D6818" t="b" cm="1">
        <f t="array" aca="1" ref="D6818" ca="1">IF(INDIRECT("'"&amp;A6818&amp;"'!"&amp;B6818)="",FALSE,IF(TRUNC(INDIRECT("'"&amp;A6818&amp;"'!"&amp;B6818))=INDIRECT("'"&amp;A6818&amp;"'!"&amp;B6818),FALSE,TRUE))</f>
        <v>0</v>
      </c>
      <c r="E6818" t="s">
        <v>436</v>
      </c>
      <c r="F6818" t="str">
        <f>INDEX(Lists!I:I,MATCH(Validation!E6818,Lists!G:G,0))</f>
        <v>Error</v>
      </c>
      <c r="G6818" t="str">
        <f>INDEX(Lists!H:H,MATCH(Validation!E6818,Lists!G:G,0))</f>
        <v>Amount must be rounded to the nearest dollar.</v>
      </c>
      <c r="H6818" s="16" t="str">
        <f t="shared" ca="1" si="777"/>
        <v/>
      </c>
      <c r="I6818" s="16" t="str">
        <f t="shared" ca="1" si="778"/>
        <v/>
      </c>
      <c r="J6818" s="17" t="str">
        <f t="shared" ca="1" si="779"/>
        <v/>
      </c>
    </row>
    <row r="6819" spans="1:10" x14ac:dyDescent="0.25">
      <c r="A6819" t="s">
        <v>937</v>
      </c>
      <c r="B6819" t="str">
        <f>ADDRESS(ROW('Loan 1'!$C$40),COLUMN('Loan 1'!$C$40),4)</f>
        <v>C40</v>
      </c>
      <c r="C6819" t="str">
        <f>ADDRESS(ROW('Loan 1'!$D$40),COLUMN('Loan 1'!$D$40),4)</f>
        <v>D40</v>
      </c>
      <c r="D6819" t="b" cm="1">
        <f t="array" aca="1" ref="D6819" ca="1">IF(INDIRECT("'"&amp;A6819&amp;"'!"&amp;B6819)="",FALSE,IF(TRUNC(INDIRECT("'"&amp;A6819&amp;"'!"&amp;B6819))=INDIRECT("'"&amp;A6819&amp;"'!"&amp;B6819),FALSE,TRUE))</f>
        <v>0</v>
      </c>
      <c r="E6819" t="s">
        <v>436</v>
      </c>
      <c r="F6819" t="str">
        <f>INDEX(Lists!I:I,MATCH(Validation!E6819,Lists!G:G,0))</f>
        <v>Error</v>
      </c>
      <c r="G6819" t="str">
        <f>INDEX(Lists!H:H,MATCH(Validation!E6819,Lists!G:G,0))</f>
        <v>Amount must be rounded to the nearest dollar.</v>
      </c>
      <c r="H6819" s="16" t="str">
        <f t="shared" ca="1" si="777"/>
        <v/>
      </c>
      <c r="I6819" s="16" t="str">
        <f t="shared" ca="1" si="778"/>
        <v/>
      </c>
      <c r="J6819" s="17" t="str">
        <f t="shared" ca="1" si="779"/>
        <v/>
      </c>
    </row>
    <row r="6820" spans="1:10" x14ac:dyDescent="0.25">
      <c r="A6820" t="s">
        <v>938</v>
      </c>
      <c r="B6820" t="str">
        <f>ADDRESS(ROW('Loan 1'!$C$40),COLUMN('Loan 1'!$C$40),4)</f>
        <v>C40</v>
      </c>
      <c r="C6820" t="str">
        <f>ADDRESS(ROW('Loan 1'!$D$40),COLUMN('Loan 1'!$D$40),4)</f>
        <v>D40</v>
      </c>
      <c r="D6820" t="b" cm="1">
        <f t="array" aca="1" ref="D6820" ca="1">IF(INDIRECT("'"&amp;A6820&amp;"'!"&amp;B6820)="",FALSE,IF(TRUNC(INDIRECT("'"&amp;A6820&amp;"'!"&amp;B6820))=INDIRECT("'"&amp;A6820&amp;"'!"&amp;B6820),FALSE,TRUE))</f>
        <v>0</v>
      </c>
      <c r="E6820" t="s">
        <v>436</v>
      </c>
      <c r="F6820" t="str">
        <f>INDEX(Lists!I:I,MATCH(Validation!E6820,Lists!G:G,0))</f>
        <v>Error</v>
      </c>
      <c r="G6820" t="str">
        <f>INDEX(Lists!H:H,MATCH(Validation!E6820,Lists!G:G,0))</f>
        <v>Amount must be rounded to the nearest dollar.</v>
      </c>
      <c r="H6820" s="16" t="str">
        <f t="shared" ca="1" si="777"/>
        <v/>
      </c>
      <c r="I6820" s="16" t="str">
        <f t="shared" ca="1" si="778"/>
        <v/>
      </c>
      <c r="J6820" s="17" t="str">
        <f t="shared" ca="1" si="779"/>
        <v/>
      </c>
    </row>
    <row r="6821" spans="1:10" x14ac:dyDescent="0.25">
      <c r="A6821" t="s">
        <v>939</v>
      </c>
      <c r="B6821" t="str">
        <f>ADDRESS(ROW('Loan 1'!$C$40),COLUMN('Loan 1'!$C$40),4)</f>
        <v>C40</v>
      </c>
      <c r="C6821" t="str">
        <f>ADDRESS(ROW('Loan 1'!$D$40),COLUMN('Loan 1'!$D$40),4)</f>
        <v>D40</v>
      </c>
      <c r="D6821" t="b" cm="1">
        <f t="array" aca="1" ref="D6821" ca="1">IF(INDIRECT("'"&amp;A6821&amp;"'!"&amp;B6821)="",FALSE,IF(TRUNC(INDIRECT("'"&amp;A6821&amp;"'!"&amp;B6821))=INDIRECT("'"&amp;A6821&amp;"'!"&amp;B6821),FALSE,TRUE))</f>
        <v>0</v>
      </c>
      <c r="E6821" t="s">
        <v>436</v>
      </c>
      <c r="F6821" t="str">
        <f>INDEX(Lists!I:I,MATCH(Validation!E6821,Lists!G:G,0))</f>
        <v>Error</v>
      </c>
      <c r="G6821" t="str">
        <f>INDEX(Lists!H:H,MATCH(Validation!E6821,Lists!G:G,0))</f>
        <v>Amount must be rounded to the nearest dollar.</v>
      </c>
      <c r="H6821" s="16" t="str">
        <f t="shared" ca="1" si="777"/>
        <v/>
      </c>
      <c r="I6821" s="16" t="str">
        <f t="shared" ca="1" si="778"/>
        <v/>
      </c>
      <c r="J6821" s="17" t="str">
        <f t="shared" ca="1" si="779"/>
        <v/>
      </c>
    </row>
    <row r="6822" spans="1:10" x14ac:dyDescent="0.25">
      <c r="A6822" t="s">
        <v>940</v>
      </c>
      <c r="B6822" t="str">
        <f>ADDRESS(ROW('Loan 1'!$C$40),COLUMN('Loan 1'!$C$40),4)</f>
        <v>C40</v>
      </c>
      <c r="C6822" t="str">
        <f>ADDRESS(ROW('Loan 1'!$D$40),COLUMN('Loan 1'!$D$40),4)</f>
        <v>D40</v>
      </c>
      <c r="D6822" t="b" cm="1">
        <f t="array" aca="1" ref="D6822" ca="1">IF(INDIRECT("'"&amp;A6822&amp;"'!"&amp;B6822)="",FALSE,IF(TRUNC(INDIRECT("'"&amp;A6822&amp;"'!"&amp;B6822))=INDIRECT("'"&amp;A6822&amp;"'!"&amp;B6822),FALSE,TRUE))</f>
        <v>0</v>
      </c>
      <c r="E6822" t="s">
        <v>436</v>
      </c>
      <c r="F6822" t="str">
        <f>INDEX(Lists!I:I,MATCH(Validation!E6822,Lists!G:G,0))</f>
        <v>Error</v>
      </c>
      <c r="G6822" t="str">
        <f>INDEX(Lists!H:H,MATCH(Validation!E6822,Lists!G:G,0))</f>
        <v>Amount must be rounded to the nearest dollar.</v>
      </c>
      <c r="H6822" s="16" t="str">
        <f t="shared" ca="1" si="777"/>
        <v/>
      </c>
      <c r="I6822" s="16" t="str">
        <f t="shared" ca="1" si="778"/>
        <v/>
      </c>
      <c r="J6822" s="17" t="str">
        <f t="shared" ca="1" si="779"/>
        <v/>
      </c>
    </row>
    <row r="6823" spans="1:10" x14ac:dyDescent="0.25">
      <c r="A6823" t="s">
        <v>941</v>
      </c>
      <c r="B6823" t="str">
        <f>ADDRESS(ROW('Loan 1'!$C$40),COLUMN('Loan 1'!$C$40),4)</f>
        <v>C40</v>
      </c>
      <c r="C6823" t="str">
        <f>ADDRESS(ROW('Loan 1'!$D$40),COLUMN('Loan 1'!$D$40),4)</f>
        <v>D40</v>
      </c>
      <c r="D6823" t="b" cm="1">
        <f t="array" aca="1" ref="D6823" ca="1">IF(INDIRECT("'"&amp;A6823&amp;"'!"&amp;B6823)="",FALSE,IF(TRUNC(INDIRECT("'"&amp;A6823&amp;"'!"&amp;B6823))=INDIRECT("'"&amp;A6823&amp;"'!"&amp;B6823),FALSE,TRUE))</f>
        <v>0</v>
      </c>
      <c r="E6823" t="s">
        <v>436</v>
      </c>
      <c r="F6823" t="str">
        <f>INDEX(Lists!I:I,MATCH(Validation!E6823,Lists!G:G,0))</f>
        <v>Error</v>
      </c>
      <c r="G6823" t="str">
        <f>INDEX(Lists!H:H,MATCH(Validation!E6823,Lists!G:G,0))</f>
        <v>Amount must be rounded to the nearest dollar.</v>
      </c>
      <c r="H6823" s="16" t="str">
        <f t="shared" ca="1" si="777"/>
        <v/>
      </c>
      <c r="I6823" s="16" t="str">
        <f t="shared" ca="1" si="778"/>
        <v/>
      </c>
      <c r="J6823" s="17" t="str">
        <f t="shared" ca="1" si="779"/>
        <v/>
      </c>
    </row>
    <row r="6824" spans="1:10" x14ac:dyDescent="0.25">
      <c r="A6824" t="s">
        <v>942</v>
      </c>
      <c r="B6824" t="str">
        <f>ADDRESS(ROW('Loan 1'!$C$40),COLUMN('Loan 1'!$C$40),4)</f>
        <v>C40</v>
      </c>
      <c r="C6824" t="str">
        <f>ADDRESS(ROW('Loan 1'!$D$40),COLUMN('Loan 1'!$D$40),4)</f>
        <v>D40</v>
      </c>
      <c r="D6824" t="b" cm="1">
        <f t="array" aca="1" ref="D6824" ca="1">IF(INDIRECT("'"&amp;A6824&amp;"'!"&amp;B6824)="",FALSE,IF(TRUNC(INDIRECT("'"&amp;A6824&amp;"'!"&amp;B6824))=INDIRECT("'"&amp;A6824&amp;"'!"&amp;B6824),FALSE,TRUE))</f>
        <v>0</v>
      </c>
      <c r="E6824" t="s">
        <v>436</v>
      </c>
      <c r="F6824" t="str">
        <f>INDEX(Lists!I:I,MATCH(Validation!E6824,Lists!G:G,0))</f>
        <v>Error</v>
      </c>
      <c r="G6824" t="str">
        <f>INDEX(Lists!H:H,MATCH(Validation!E6824,Lists!G:G,0))</f>
        <v>Amount must be rounded to the nearest dollar.</v>
      </c>
      <c r="H6824" s="16" t="str">
        <f t="shared" ca="1" si="777"/>
        <v/>
      </c>
      <c r="I6824" s="16" t="str">
        <f t="shared" ca="1" si="778"/>
        <v/>
      </c>
      <c r="J6824" s="17" t="str">
        <f t="shared" ca="1" si="779"/>
        <v/>
      </c>
    </row>
    <row r="6825" spans="1:10" x14ac:dyDescent="0.25">
      <c r="A6825" t="s">
        <v>943</v>
      </c>
      <c r="B6825" t="str">
        <f>ADDRESS(ROW('Loan 1'!$C$40),COLUMN('Loan 1'!$C$40),4)</f>
        <v>C40</v>
      </c>
      <c r="C6825" t="str">
        <f>ADDRESS(ROW('Loan 1'!$D$40),COLUMN('Loan 1'!$D$40),4)</f>
        <v>D40</v>
      </c>
      <c r="D6825" t="b" cm="1">
        <f t="array" aca="1" ref="D6825" ca="1">IF(INDIRECT("'"&amp;A6825&amp;"'!"&amp;B6825)="",FALSE,IF(TRUNC(INDIRECT("'"&amp;A6825&amp;"'!"&amp;B6825))=INDIRECT("'"&amp;A6825&amp;"'!"&amp;B6825),FALSE,TRUE))</f>
        <v>0</v>
      </c>
      <c r="E6825" t="s">
        <v>436</v>
      </c>
      <c r="F6825" t="str">
        <f>INDEX(Lists!I:I,MATCH(Validation!E6825,Lists!G:G,0))</f>
        <v>Error</v>
      </c>
      <c r="G6825" t="str">
        <f>INDEX(Lists!H:H,MATCH(Validation!E6825,Lists!G:G,0))</f>
        <v>Amount must be rounded to the nearest dollar.</v>
      </c>
      <c r="H6825" s="16" t="str">
        <f t="shared" ca="1" si="777"/>
        <v/>
      </c>
      <c r="I6825" s="16" t="str">
        <f t="shared" ca="1" si="778"/>
        <v/>
      </c>
      <c r="J6825" s="17" t="str">
        <f t="shared" ca="1" si="779"/>
        <v/>
      </c>
    </row>
    <row r="6826" spans="1:10" x14ac:dyDescent="0.25">
      <c r="A6826" t="s">
        <v>944</v>
      </c>
      <c r="B6826" t="str">
        <f>ADDRESS(ROW('Loan 1'!$C$40),COLUMN('Loan 1'!$C$40),4)</f>
        <v>C40</v>
      </c>
      <c r="C6826" t="str">
        <f>ADDRESS(ROW('Loan 1'!$D$40),COLUMN('Loan 1'!$D$40),4)</f>
        <v>D40</v>
      </c>
      <c r="D6826" t="b" cm="1">
        <f t="array" aca="1" ref="D6826" ca="1">IF(INDIRECT("'"&amp;A6826&amp;"'!"&amp;B6826)="",FALSE,IF(TRUNC(INDIRECT("'"&amp;A6826&amp;"'!"&amp;B6826))=INDIRECT("'"&amp;A6826&amp;"'!"&amp;B6826),FALSE,TRUE))</f>
        <v>0</v>
      </c>
      <c r="E6826" t="s">
        <v>436</v>
      </c>
      <c r="F6826" t="str">
        <f>INDEX(Lists!I:I,MATCH(Validation!E6826,Lists!G:G,0))</f>
        <v>Error</v>
      </c>
      <c r="G6826" t="str">
        <f>INDEX(Lists!H:H,MATCH(Validation!E6826,Lists!G:G,0))</f>
        <v>Amount must be rounded to the nearest dollar.</v>
      </c>
      <c r="H6826" s="16" t="str">
        <f t="shared" ca="1" si="777"/>
        <v/>
      </c>
      <c r="I6826" s="16" t="str">
        <f t="shared" ca="1" si="778"/>
        <v/>
      </c>
      <c r="J6826" s="17" t="str">
        <f t="shared" ca="1" si="779"/>
        <v/>
      </c>
    </row>
    <row r="6827" spans="1:10" x14ac:dyDescent="0.25">
      <c r="A6827" t="s">
        <v>945</v>
      </c>
      <c r="B6827" t="str">
        <f>ADDRESS(ROW('Loan 1'!$C$40),COLUMN('Loan 1'!$C$40),4)</f>
        <v>C40</v>
      </c>
      <c r="C6827" t="str">
        <f>ADDRESS(ROW('Loan 1'!$D$40),COLUMN('Loan 1'!$D$40),4)</f>
        <v>D40</v>
      </c>
      <c r="D6827" t="b" cm="1">
        <f t="array" aca="1" ref="D6827" ca="1">IF(INDIRECT("'"&amp;A6827&amp;"'!"&amp;B6827)="",FALSE,IF(TRUNC(INDIRECT("'"&amp;A6827&amp;"'!"&amp;B6827))=INDIRECT("'"&amp;A6827&amp;"'!"&amp;B6827),FALSE,TRUE))</f>
        <v>0</v>
      </c>
      <c r="E6827" t="s">
        <v>436</v>
      </c>
      <c r="F6827" t="str">
        <f>INDEX(Lists!I:I,MATCH(Validation!E6827,Lists!G:G,0))</f>
        <v>Error</v>
      </c>
      <c r="G6827" t="str">
        <f>INDEX(Lists!H:H,MATCH(Validation!E6827,Lists!G:G,0))</f>
        <v>Amount must be rounded to the nearest dollar.</v>
      </c>
      <c r="H6827" s="16" t="str">
        <f t="shared" ca="1" si="777"/>
        <v/>
      </c>
      <c r="I6827" s="16" t="str">
        <f t="shared" ca="1" si="778"/>
        <v/>
      </c>
      <c r="J6827" s="17" t="str">
        <f t="shared" ca="1" si="779"/>
        <v/>
      </c>
    </row>
    <row r="6828" spans="1:10" x14ac:dyDescent="0.25">
      <c r="A6828" t="s">
        <v>205</v>
      </c>
      <c r="B6828" t="str">
        <f>ADDRESS(ROW('Loan 1'!$B$41),COLUMN('Loan 1'!$B$41),4)</f>
        <v>B41</v>
      </c>
      <c r="C6828" t="str">
        <f>ADDRESS(ROW('Loan 1'!$D$41),COLUMN('Loan 1'!$D$41),4)</f>
        <v>D41</v>
      </c>
      <c r="D6828" t="b" cm="1">
        <f t="array" aca="1" ref="D6828" ca="1">IF(INDIRECT("'"&amp;A6828&amp;"'!"&amp;B6828)="",FALSE,IF(NOT(ISNUMBER(INDIRECT("'"&amp;A6828&amp;"'!"&amp;B6828))),TRUE,FALSE))</f>
        <v>0</v>
      </c>
      <c r="E6828" t="s">
        <v>435</v>
      </c>
      <c r="F6828" t="str">
        <f>INDEX(Lists!I:I,MATCH(Validation!E6828,Lists!G:G,0))</f>
        <v>Error</v>
      </c>
      <c r="G6828" t="str">
        <f>INDEX(Lists!H:H,MATCH(Validation!E6828,Lists!G:G,0))</f>
        <v>Enter an amount only. Do not enter text or spaces.</v>
      </c>
      <c r="H6828" s="16" t="str">
        <f t="shared" ca="1" si="759"/>
        <v/>
      </c>
      <c r="I6828" s="16" t="str">
        <f t="shared" ca="1" si="760"/>
        <v/>
      </c>
      <c r="J6828" s="17" t="str">
        <f t="shared" ca="1" si="761"/>
        <v/>
      </c>
    </row>
    <row r="6829" spans="1:10" x14ac:dyDescent="0.25">
      <c r="A6829" t="s">
        <v>932</v>
      </c>
      <c r="B6829" t="str">
        <f>ADDRESS(ROW('Loan 1'!$B$41),COLUMN('Loan 1'!$B$41),4)</f>
        <v>B41</v>
      </c>
      <c r="C6829" t="str">
        <f>ADDRESS(ROW('Loan 1'!$D$41),COLUMN('Loan 1'!$D$41),4)</f>
        <v>D41</v>
      </c>
      <c r="D6829" t="b" cm="1">
        <f t="array" aca="1" ref="D6829" ca="1">IF(INDIRECT("'"&amp;A6829&amp;"'!"&amp;B6829)="",FALSE,IF(NOT(ISNUMBER(INDIRECT("'"&amp;A6829&amp;"'!"&amp;B6829))),TRUE,FALSE))</f>
        <v>0</v>
      </c>
      <c r="E6829" t="s">
        <v>435</v>
      </c>
      <c r="F6829" t="str">
        <f>INDEX(Lists!I:I,MATCH(Validation!E6829,Lists!G:G,0))</f>
        <v>Error</v>
      </c>
      <c r="G6829" t="str">
        <f>INDEX(Lists!H:H,MATCH(Validation!E6829,Lists!G:G,0))</f>
        <v>Enter an amount only. Do not enter text or spaces.</v>
      </c>
      <c r="H6829" s="16" t="str">
        <f t="shared" ca="1" si="759"/>
        <v/>
      </c>
      <c r="I6829" s="16" t="str">
        <f t="shared" ca="1" si="760"/>
        <v/>
      </c>
      <c r="J6829" s="17" t="str">
        <f t="shared" ca="1" si="761"/>
        <v/>
      </c>
    </row>
    <row r="6830" spans="1:10" x14ac:dyDescent="0.25">
      <c r="A6830" t="s">
        <v>933</v>
      </c>
      <c r="B6830" t="str">
        <f>ADDRESS(ROW('Loan 1'!$B$41),COLUMN('Loan 1'!$B$41),4)</f>
        <v>B41</v>
      </c>
      <c r="C6830" t="str">
        <f>ADDRESS(ROW('Loan 1'!$D$41),COLUMN('Loan 1'!$D$41),4)</f>
        <v>D41</v>
      </c>
      <c r="D6830" t="b" cm="1">
        <f t="array" aca="1" ref="D6830" ca="1">IF(INDIRECT("'"&amp;A6830&amp;"'!"&amp;B6830)="",FALSE,IF(NOT(ISNUMBER(INDIRECT("'"&amp;A6830&amp;"'!"&amp;B6830))),TRUE,FALSE))</f>
        <v>0</v>
      </c>
      <c r="E6830" t="s">
        <v>435</v>
      </c>
      <c r="F6830" t="str">
        <f>INDEX(Lists!I:I,MATCH(Validation!E6830,Lists!G:G,0))</f>
        <v>Error</v>
      </c>
      <c r="G6830" t="str">
        <f>INDEX(Lists!H:H,MATCH(Validation!E6830,Lists!G:G,0))</f>
        <v>Enter an amount only. Do not enter text or spaces.</v>
      </c>
      <c r="H6830" s="16" t="str">
        <f t="shared" ca="1" si="759"/>
        <v/>
      </c>
      <c r="I6830" s="16" t="str">
        <f t="shared" ca="1" si="760"/>
        <v/>
      </c>
      <c r="J6830" s="17" t="str">
        <f t="shared" ca="1" si="761"/>
        <v/>
      </c>
    </row>
    <row r="6831" spans="1:10" x14ac:dyDescent="0.25">
      <c r="A6831" t="s">
        <v>934</v>
      </c>
      <c r="B6831" t="str">
        <f>ADDRESS(ROW('Loan 1'!$B$41),COLUMN('Loan 1'!$B$41),4)</f>
        <v>B41</v>
      </c>
      <c r="C6831" t="str">
        <f>ADDRESS(ROW('Loan 1'!$D$41),COLUMN('Loan 1'!$D$41),4)</f>
        <v>D41</v>
      </c>
      <c r="D6831" t="b" cm="1">
        <f t="array" aca="1" ref="D6831" ca="1">IF(INDIRECT("'"&amp;A6831&amp;"'!"&amp;B6831)="",FALSE,IF(NOT(ISNUMBER(INDIRECT("'"&amp;A6831&amp;"'!"&amp;B6831))),TRUE,FALSE))</f>
        <v>0</v>
      </c>
      <c r="E6831" t="s">
        <v>435</v>
      </c>
      <c r="F6831" t="str">
        <f>INDEX(Lists!I:I,MATCH(Validation!E6831,Lists!G:G,0))</f>
        <v>Error</v>
      </c>
      <c r="G6831" t="str">
        <f>INDEX(Lists!H:H,MATCH(Validation!E6831,Lists!G:G,0))</f>
        <v>Enter an amount only. Do not enter text or spaces.</v>
      </c>
      <c r="H6831" s="16" t="str">
        <f t="shared" ca="1" si="759"/>
        <v/>
      </c>
      <c r="I6831" s="16" t="str">
        <f t="shared" ca="1" si="760"/>
        <v/>
      </c>
      <c r="J6831" s="17" t="str">
        <f t="shared" ca="1" si="761"/>
        <v/>
      </c>
    </row>
    <row r="6832" spans="1:10" x14ac:dyDescent="0.25">
      <c r="A6832" t="s">
        <v>935</v>
      </c>
      <c r="B6832" t="str">
        <f>ADDRESS(ROW('Loan 1'!$B$41),COLUMN('Loan 1'!$B$41),4)</f>
        <v>B41</v>
      </c>
      <c r="C6832" t="str">
        <f>ADDRESS(ROW('Loan 1'!$D$41),COLUMN('Loan 1'!$D$41),4)</f>
        <v>D41</v>
      </c>
      <c r="D6832" t="b" cm="1">
        <f t="array" aca="1" ref="D6832" ca="1">IF(INDIRECT("'"&amp;A6832&amp;"'!"&amp;B6832)="",FALSE,IF(NOT(ISNUMBER(INDIRECT("'"&amp;A6832&amp;"'!"&amp;B6832))),TRUE,FALSE))</f>
        <v>0</v>
      </c>
      <c r="E6832" t="s">
        <v>435</v>
      </c>
      <c r="F6832" t="str">
        <f>INDEX(Lists!I:I,MATCH(Validation!E6832,Lists!G:G,0))</f>
        <v>Error</v>
      </c>
      <c r="G6832" t="str">
        <f>INDEX(Lists!H:H,MATCH(Validation!E6832,Lists!G:G,0))</f>
        <v>Enter an amount only. Do not enter text or spaces.</v>
      </c>
      <c r="H6832" s="16" t="str">
        <f t="shared" ca="1" si="759"/>
        <v/>
      </c>
      <c r="I6832" s="16" t="str">
        <f t="shared" ca="1" si="760"/>
        <v/>
      </c>
      <c r="J6832" s="17" t="str">
        <f t="shared" ca="1" si="761"/>
        <v/>
      </c>
    </row>
    <row r="6833" spans="1:10" x14ac:dyDescent="0.25">
      <c r="A6833" t="s">
        <v>936</v>
      </c>
      <c r="B6833" t="str">
        <f>ADDRESS(ROW('Loan 1'!$B$41),COLUMN('Loan 1'!$B$41),4)</f>
        <v>B41</v>
      </c>
      <c r="C6833" t="str">
        <f>ADDRESS(ROW('Loan 1'!$D$41),COLUMN('Loan 1'!$D$41),4)</f>
        <v>D41</v>
      </c>
      <c r="D6833" t="b" cm="1">
        <f t="array" aca="1" ref="D6833" ca="1">IF(INDIRECT("'"&amp;A6833&amp;"'!"&amp;B6833)="",FALSE,IF(NOT(ISNUMBER(INDIRECT("'"&amp;A6833&amp;"'!"&amp;B6833))),TRUE,FALSE))</f>
        <v>0</v>
      </c>
      <c r="E6833" t="s">
        <v>435</v>
      </c>
      <c r="F6833" t="str">
        <f>INDEX(Lists!I:I,MATCH(Validation!E6833,Lists!G:G,0))</f>
        <v>Error</v>
      </c>
      <c r="G6833" t="str">
        <f>INDEX(Lists!H:H,MATCH(Validation!E6833,Lists!G:G,0))</f>
        <v>Enter an amount only. Do not enter text or spaces.</v>
      </c>
      <c r="H6833" s="16" t="str">
        <f t="shared" ca="1" si="759"/>
        <v/>
      </c>
      <c r="I6833" s="16" t="str">
        <f t="shared" ca="1" si="760"/>
        <v/>
      </c>
      <c r="J6833" s="17" t="str">
        <f t="shared" ca="1" si="761"/>
        <v/>
      </c>
    </row>
    <row r="6834" spans="1:10" x14ac:dyDescent="0.25">
      <c r="A6834" t="s">
        <v>937</v>
      </c>
      <c r="B6834" t="str">
        <f>ADDRESS(ROW('Loan 1'!$B$41),COLUMN('Loan 1'!$B$41),4)</f>
        <v>B41</v>
      </c>
      <c r="C6834" t="str">
        <f>ADDRESS(ROW('Loan 1'!$D$41),COLUMN('Loan 1'!$D$41),4)</f>
        <v>D41</v>
      </c>
      <c r="D6834" t="b" cm="1">
        <f t="array" aca="1" ref="D6834" ca="1">IF(INDIRECT("'"&amp;A6834&amp;"'!"&amp;B6834)="",FALSE,IF(NOT(ISNUMBER(INDIRECT("'"&amp;A6834&amp;"'!"&amp;B6834))),TRUE,FALSE))</f>
        <v>0</v>
      </c>
      <c r="E6834" t="s">
        <v>435</v>
      </c>
      <c r="F6834" t="str">
        <f>INDEX(Lists!I:I,MATCH(Validation!E6834,Lists!G:G,0))</f>
        <v>Error</v>
      </c>
      <c r="G6834" t="str">
        <f>INDEX(Lists!H:H,MATCH(Validation!E6834,Lists!G:G,0))</f>
        <v>Enter an amount only. Do not enter text or spaces.</v>
      </c>
      <c r="H6834" s="16" t="str">
        <f t="shared" ca="1" si="759"/>
        <v/>
      </c>
      <c r="I6834" s="16" t="str">
        <f t="shared" ca="1" si="760"/>
        <v/>
      </c>
      <c r="J6834" s="17" t="str">
        <f t="shared" ca="1" si="761"/>
        <v/>
      </c>
    </row>
    <row r="6835" spans="1:10" x14ac:dyDescent="0.25">
      <c r="A6835" t="s">
        <v>938</v>
      </c>
      <c r="B6835" t="str">
        <f>ADDRESS(ROW('Loan 1'!$B$41),COLUMN('Loan 1'!$B$41),4)</f>
        <v>B41</v>
      </c>
      <c r="C6835" t="str">
        <f>ADDRESS(ROW('Loan 1'!$D$41),COLUMN('Loan 1'!$D$41),4)</f>
        <v>D41</v>
      </c>
      <c r="D6835" t="b" cm="1">
        <f t="array" aca="1" ref="D6835" ca="1">IF(INDIRECT("'"&amp;A6835&amp;"'!"&amp;B6835)="",FALSE,IF(NOT(ISNUMBER(INDIRECT("'"&amp;A6835&amp;"'!"&amp;B6835))),TRUE,FALSE))</f>
        <v>0</v>
      </c>
      <c r="E6835" t="s">
        <v>435</v>
      </c>
      <c r="F6835" t="str">
        <f>INDEX(Lists!I:I,MATCH(Validation!E6835,Lists!G:G,0))</f>
        <v>Error</v>
      </c>
      <c r="G6835" t="str">
        <f>INDEX(Lists!H:H,MATCH(Validation!E6835,Lists!G:G,0))</f>
        <v>Enter an amount only. Do not enter text or spaces.</v>
      </c>
      <c r="H6835" s="16" t="str">
        <f t="shared" ca="1" si="759"/>
        <v/>
      </c>
      <c r="I6835" s="16" t="str">
        <f t="shared" ca="1" si="760"/>
        <v/>
      </c>
      <c r="J6835" s="17" t="str">
        <f t="shared" ca="1" si="761"/>
        <v/>
      </c>
    </row>
    <row r="6836" spans="1:10" x14ac:dyDescent="0.25">
      <c r="A6836" t="s">
        <v>939</v>
      </c>
      <c r="B6836" t="str">
        <f>ADDRESS(ROW('Loan 1'!$B$41),COLUMN('Loan 1'!$B$41),4)</f>
        <v>B41</v>
      </c>
      <c r="C6836" t="str">
        <f>ADDRESS(ROW('Loan 1'!$D$41),COLUMN('Loan 1'!$D$41),4)</f>
        <v>D41</v>
      </c>
      <c r="D6836" t="b" cm="1">
        <f t="array" aca="1" ref="D6836" ca="1">IF(INDIRECT("'"&amp;A6836&amp;"'!"&amp;B6836)="",FALSE,IF(NOT(ISNUMBER(INDIRECT("'"&amp;A6836&amp;"'!"&amp;B6836))),TRUE,FALSE))</f>
        <v>0</v>
      </c>
      <c r="E6836" t="s">
        <v>435</v>
      </c>
      <c r="F6836" t="str">
        <f>INDEX(Lists!I:I,MATCH(Validation!E6836,Lists!G:G,0))</f>
        <v>Error</v>
      </c>
      <c r="G6836" t="str">
        <f>INDEX(Lists!H:H,MATCH(Validation!E6836,Lists!G:G,0))</f>
        <v>Enter an amount only. Do not enter text or spaces.</v>
      </c>
      <c r="H6836" s="16" t="str">
        <f t="shared" ca="1" si="759"/>
        <v/>
      </c>
      <c r="I6836" s="16" t="str">
        <f t="shared" ca="1" si="760"/>
        <v/>
      </c>
      <c r="J6836" s="17" t="str">
        <f t="shared" ca="1" si="761"/>
        <v/>
      </c>
    </row>
    <row r="6837" spans="1:10" x14ac:dyDescent="0.25">
      <c r="A6837" t="s">
        <v>940</v>
      </c>
      <c r="B6837" t="str">
        <f>ADDRESS(ROW('Loan 1'!$B$41),COLUMN('Loan 1'!$B$41),4)</f>
        <v>B41</v>
      </c>
      <c r="C6837" t="str">
        <f>ADDRESS(ROW('Loan 1'!$D$41),COLUMN('Loan 1'!$D$41),4)</f>
        <v>D41</v>
      </c>
      <c r="D6837" t="b" cm="1">
        <f t="array" aca="1" ref="D6837" ca="1">IF(INDIRECT("'"&amp;A6837&amp;"'!"&amp;B6837)="",FALSE,IF(NOT(ISNUMBER(INDIRECT("'"&amp;A6837&amp;"'!"&amp;B6837))),TRUE,FALSE))</f>
        <v>0</v>
      </c>
      <c r="E6837" t="s">
        <v>435</v>
      </c>
      <c r="F6837" t="str">
        <f>INDEX(Lists!I:I,MATCH(Validation!E6837,Lists!G:G,0))</f>
        <v>Error</v>
      </c>
      <c r="G6837" t="str">
        <f>INDEX(Lists!H:H,MATCH(Validation!E6837,Lists!G:G,0))</f>
        <v>Enter an amount only. Do not enter text or spaces.</v>
      </c>
      <c r="H6837" s="16" t="str">
        <f t="shared" ca="1" si="759"/>
        <v/>
      </c>
      <c r="I6837" s="16" t="str">
        <f t="shared" ca="1" si="760"/>
        <v/>
      </c>
      <c r="J6837" s="17" t="str">
        <f t="shared" ca="1" si="761"/>
        <v/>
      </c>
    </row>
    <row r="6838" spans="1:10" x14ac:dyDescent="0.25">
      <c r="A6838" t="s">
        <v>941</v>
      </c>
      <c r="B6838" t="str">
        <f>ADDRESS(ROW('Loan 1'!$B$41),COLUMN('Loan 1'!$B$41),4)</f>
        <v>B41</v>
      </c>
      <c r="C6838" t="str">
        <f>ADDRESS(ROW('Loan 1'!$D$41),COLUMN('Loan 1'!$D$41),4)</f>
        <v>D41</v>
      </c>
      <c r="D6838" t="b" cm="1">
        <f t="array" aca="1" ref="D6838" ca="1">IF(INDIRECT("'"&amp;A6838&amp;"'!"&amp;B6838)="",FALSE,IF(NOT(ISNUMBER(INDIRECT("'"&amp;A6838&amp;"'!"&amp;B6838))),TRUE,FALSE))</f>
        <v>0</v>
      </c>
      <c r="E6838" t="s">
        <v>435</v>
      </c>
      <c r="F6838" t="str">
        <f>INDEX(Lists!I:I,MATCH(Validation!E6838,Lists!G:G,0))</f>
        <v>Error</v>
      </c>
      <c r="G6838" t="str">
        <f>INDEX(Lists!H:H,MATCH(Validation!E6838,Lists!G:G,0))</f>
        <v>Enter an amount only. Do not enter text or spaces.</v>
      </c>
      <c r="H6838" s="16" t="str">
        <f t="shared" ca="1" si="759"/>
        <v/>
      </c>
      <c r="I6838" s="16" t="str">
        <f t="shared" ca="1" si="760"/>
        <v/>
      </c>
      <c r="J6838" s="17" t="str">
        <f t="shared" ca="1" si="761"/>
        <v/>
      </c>
    </row>
    <row r="6839" spans="1:10" x14ac:dyDescent="0.25">
      <c r="A6839" t="s">
        <v>942</v>
      </c>
      <c r="B6839" t="str">
        <f>ADDRESS(ROW('Loan 1'!$B$41),COLUMN('Loan 1'!$B$41),4)</f>
        <v>B41</v>
      </c>
      <c r="C6839" t="str">
        <f>ADDRESS(ROW('Loan 1'!$D$41),COLUMN('Loan 1'!$D$41),4)</f>
        <v>D41</v>
      </c>
      <c r="D6839" t="b" cm="1">
        <f t="array" aca="1" ref="D6839" ca="1">IF(INDIRECT("'"&amp;A6839&amp;"'!"&amp;B6839)="",FALSE,IF(NOT(ISNUMBER(INDIRECT("'"&amp;A6839&amp;"'!"&amp;B6839))),TRUE,FALSE))</f>
        <v>0</v>
      </c>
      <c r="E6839" t="s">
        <v>435</v>
      </c>
      <c r="F6839" t="str">
        <f>INDEX(Lists!I:I,MATCH(Validation!E6839,Lists!G:G,0))</f>
        <v>Error</v>
      </c>
      <c r="G6839" t="str">
        <f>INDEX(Lists!H:H,MATCH(Validation!E6839,Lists!G:G,0))</f>
        <v>Enter an amount only. Do not enter text or spaces.</v>
      </c>
      <c r="H6839" s="16" t="str">
        <f t="shared" ca="1" si="759"/>
        <v/>
      </c>
      <c r="I6839" s="16" t="str">
        <f t="shared" ca="1" si="760"/>
        <v/>
      </c>
      <c r="J6839" s="17" t="str">
        <f t="shared" ca="1" si="761"/>
        <v/>
      </c>
    </row>
    <row r="6840" spans="1:10" x14ac:dyDescent="0.25">
      <c r="A6840" t="s">
        <v>943</v>
      </c>
      <c r="B6840" t="str">
        <f>ADDRESS(ROW('Loan 1'!$B$41),COLUMN('Loan 1'!$B$41),4)</f>
        <v>B41</v>
      </c>
      <c r="C6840" t="str">
        <f>ADDRESS(ROW('Loan 1'!$D$41),COLUMN('Loan 1'!$D$41),4)</f>
        <v>D41</v>
      </c>
      <c r="D6840" t="b" cm="1">
        <f t="array" aca="1" ref="D6840" ca="1">IF(INDIRECT("'"&amp;A6840&amp;"'!"&amp;B6840)="",FALSE,IF(NOT(ISNUMBER(INDIRECT("'"&amp;A6840&amp;"'!"&amp;B6840))),TRUE,FALSE))</f>
        <v>0</v>
      </c>
      <c r="E6840" t="s">
        <v>435</v>
      </c>
      <c r="F6840" t="str">
        <f>INDEX(Lists!I:I,MATCH(Validation!E6840,Lists!G:G,0))</f>
        <v>Error</v>
      </c>
      <c r="G6840" t="str">
        <f>INDEX(Lists!H:H,MATCH(Validation!E6840,Lists!G:G,0))</f>
        <v>Enter an amount only. Do not enter text or spaces.</v>
      </c>
      <c r="H6840" s="16" t="str">
        <f t="shared" ca="1" si="759"/>
        <v/>
      </c>
      <c r="I6840" s="16" t="str">
        <f t="shared" ca="1" si="760"/>
        <v/>
      </c>
      <c r="J6840" s="17" t="str">
        <f t="shared" ca="1" si="761"/>
        <v/>
      </c>
    </row>
    <row r="6841" spans="1:10" x14ac:dyDescent="0.25">
      <c r="A6841" t="s">
        <v>944</v>
      </c>
      <c r="B6841" t="str">
        <f>ADDRESS(ROW('Loan 1'!$B$41),COLUMN('Loan 1'!$B$41),4)</f>
        <v>B41</v>
      </c>
      <c r="C6841" t="str">
        <f>ADDRESS(ROW('Loan 1'!$D$41),COLUMN('Loan 1'!$D$41),4)</f>
        <v>D41</v>
      </c>
      <c r="D6841" t="b" cm="1">
        <f t="array" aca="1" ref="D6841" ca="1">IF(INDIRECT("'"&amp;A6841&amp;"'!"&amp;B6841)="",FALSE,IF(NOT(ISNUMBER(INDIRECT("'"&amp;A6841&amp;"'!"&amp;B6841))),TRUE,FALSE))</f>
        <v>0</v>
      </c>
      <c r="E6841" t="s">
        <v>435</v>
      </c>
      <c r="F6841" t="str">
        <f>INDEX(Lists!I:I,MATCH(Validation!E6841,Lists!G:G,0))</f>
        <v>Error</v>
      </c>
      <c r="G6841" t="str">
        <f>INDEX(Lists!H:H,MATCH(Validation!E6841,Lists!G:G,0))</f>
        <v>Enter an amount only. Do not enter text or spaces.</v>
      </c>
      <c r="H6841" s="16" t="str">
        <f t="shared" ca="1" si="759"/>
        <v/>
      </c>
      <c r="I6841" s="16" t="str">
        <f t="shared" ca="1" si="760"/>
        <v/>
      </c>
      <c r="J6841" s="17" t="str">
        <f t="shared" ca="1" si="761"/>
        <v/>
      </c>
    </row>
    <row r="6842" spans="1:10" x14ac:dyDescent="0.25">
      <c r="A6842" t="s">
        <v>945</v>
      </c>
      <c r="B6842" t="str">
        <f>ADDRESS(ROW('Loan 1'!$B$41),COLUMN('Loan 1'!$B$41),4)</f>
        <v>B41</v>
      </c>
      <c r="C6842" t="str">
        <f>ADDRESS(ROW('Loan 1'!$D$41),COLUMN('Loan 1'!$D$41),4)</f>
        <v>D41</v>
      </c>
      <c r="D6842" t="b" cm="1">
        <f t="array" aca="1" ref="D6842" ca="1">IF(INDIRECT("'"&amp;A6842&amp;"'!"&amp;B6842)="",FALSE,IF(NOT(ISNUMBER(INDIRECT("'"&amp;A6842&amp;"'!"&amp;B6842))),TRUE,FALSE))</f>
        <v>0</v>
      </c>
      <c r="E6842" t="s">
        <v>435</v>
      </c>
      <c r="F6842" t="str">
        <f>INDEX(Lists!I:I,MATCH(Validation!E6842,Lists!G:G,0))</f>
        <v>Error</v>
      </c>
      <c r="G6842" t="str">
        <f>INDEX(Lists!H:H,MATCH(Validation!E6842,Lists!G:G,0))</f>
        <v>Enter an amount only. Do not enter text or spaces.</v>
      </c>
      <c r="H6842" s="16" t="str">
        <f t="shared" ca="1" si="759"/>
        <v/>
      </c>
      <c r="I6842" s="16" t="str">
        <f t="shared" ca="1" si="760"/>
        <v/>
      </c>
      <c r="J6842" s="17" t="str">
        <f t="shared" ca="1" si="761"/>
        <v/>
      </c>
    </row>
    <row r="6843" spans="1:10" x14ac:dyDescent="0.25">
      <c r="A6843" t="s">
        <v>205</v>
      </c>
      <c r="B6843" t="str">
        <f>ADDRESS(ROW('Loan 1'!$B$41),COLUMN('Loan 1'!$B$41),4)</f>
        <v>B41</v>
      </c>
      <c r="C6843" t="str">
        <f>ADDRESS(ROW('Loan 1'!$D$41),COLUMN('Loan 1'!$D$41),4)</f>
        <v>D41</v>
      </c>
      <c r="D6843" t="b" cm="1">
        <f t="array" aca="1" ref="D6843" ca="1">IF(INDIRECT("'"&amp;A6843&amp;"'!"&amp;B6843)="",FALSE,IF(INDIRECT("'"&amp;A6843&amp;"'!"&amp;B6843)&lt;0,TRUE,FALSE))</f>
        <v>0</v>
      </c>
      <c r="E6843" t="s">
        <v>434</v>
      </c>
      <c r="F6843" t="str">
        <f>INDEX(Lists!I:I,MATCH(Validation!E6843,Lists!G:G,0))</f>
        <v>Error</v>
      </c>
      <c r="G6843" t="str">
        <f>INDEX(Lists!H:H,MATCH(Validation!E6843,Lists!G:G,0))</f>
        <v>Amount may not be negative. Enter an amount greater than or equal to zero.</v>
      </c>
      <c r="H6843" s="16" t="str">
        <f t="shared" ca="1" si="759"/>
        <v/>
      </c>
      <c r="I6843" s="16" t="str">
        <f t="shared" ca="1" si="760"/>
        <v/>
      </c>
      <c r="J6843" s="17" t="str">
        <f t="shared" ca="1" si="761"/>
        <v/>
      </c>
    </row>
    <row r="6844" spans="1:10" x14ac:dyDescent="0.25">
      <c r="A6844" t="s">
        <v>932</v>
      </c>
      <c r="B6844" t="str">
        <f>ADDRESS(ROW('Loan 1'!$B$41),COLUMN('Loan 1'!$B$41),4)</f>
        <v>B41</v>
      </c>
      <c r="C6844" t="str">
        <f>ADDRESS(ROW('Loan 1'!$D$41),COLUMN('Loan 1'!$D$41),4)</f>
        <v>D41</v>
      </c>
      <c r="D6844" t="b" cm="1">
        <f t="array" aca="1" ref="D6844" ca="1">IF(INDIRECT("'"&amp;A6844&amp;"'!"&amp;B6844)="",FALSE,IF(INDIRECT("'"&amp;A6844&amp;"'!"&amp;B6844)&lt;0,TRUE,FALSE))</f>
        <v>0</v>
      </c>
      <c r="E6844" t="s">
        <v>434</v>
      </c>
      <c r="F6844" t="str">
        <f>INDEX(Lists!I:I,MATCH(Validation!E6844,Lists!G:G,0))</f>
        <v>Error</v>
      </c>
      <c r="G6844" t="str">
        <f>INDEX(Lists!H:H,MATCH(Validation!E6844,Lists!G:G,0))</f>
        <v>Amount may not be negative. Enter an amount greater than or equal to zero.</v>
      </c>
      <c r="H6844" s="16" t="str">
        <f t="shared" ref="H6844:H6857" ca="1" si="780">IFERROR(IF(OR(NOT(D6844),F6844&lt;&gt;"Error"),"",A6844&amp;CELL("address",INDIRECT(B6844))),"")</f>
        <v/>
      </c>
      <c r="I6844" s="16" t="str">
        <f t="shared" ref="I6844:I6857" ca="1" si="781">IFERROR(IF(NOT(D6844),"",A6844&amp;CELL("address",INDIRECT(C6844))),"")</f>
        <v/>
      </c>
      <c r="J6844" s="17" t="str">
        <f t="shared" ref="J6844:J6857" ca="1" si="782">IFERROR(IF(NOT(D6844),"",A6844),"")</f>
        <v/>
      </c>
    </row>
    <row r="6845" spans="1:10" x14ac:dyDescent="0.25">
      <c r="A6845" t="s">
        <v>933</v>
      </c>
      <c r="B6845" t="str">
        <f>ADDRESS(ROW('Loan 1'!$B$41),COLUMN('Loan 1'!$B$41),4)</f>
        <v>B41</v>
      </c>
      <c r="C6845" t="str">
        <f>ADDRESS(ROW('Loan 1'!$D$41),COLUMN('Loan 1'!$D$41),4)</f>
        <v>D41</v>
      </c>
      <c r="D6845" t="b" cm="1">
        <f t="array" aca="1" ref="D6845" ca="1">IF(INDIRECT("'"&amp;A6845&amp;"'!"&amp;B6845)="",FALSE,IF(INDIRECT("'"&amp;A6845&amp;"'!"&amp;B6845)&lt;0,TRUE,FALSE))</f>
        <v>0</v>
      </c>
      <c r="E6845" t="s">
        <v>434</v>
      </c>
      <c r="F6845" t="str">
        <f>INDEX(Lists!I:I,MATCH(Validation!E6845,Lists!G:G,0))</f>
        <v>Error</v>
      </c>
      <c r="G6845" t="str">
        <f>INDEX(Lists!H:H,MATCH(Validation!E6845,Lists!G:G,0))</f>
        <v>Amount may not be negative. Enter an amount greater than or equal to zero.</v>
      </c>
      <c r="H6845" s="16" t="str">
        <f t="shared" ca="1" si="780"/>
        <v/>
      </c>
      <c r="I6845" s="16" t="str">
        <f t="shared" ca="1" si="781"/>
        <v/>
      </c>
      <c r="J6845" s="17" t="str">
        <f t="shared" ca="1" si="782"/>
        <v/>
      </c>
    </row>
    <row r="6846" spans="1:10" x14ac:dyDescent="0.25">
      <c r="A6846" t="s">
        <v>934</v>
      </c>
      <c r="B6846" t="str">
        <f>ADDRESS(ROW('Loan 1'!$B$41),COLUMN('Loan 1'!$B$41),4)</f>
        <v>B41</v>
      </c>
      <c r="C6846" t="str">
        <f>ADDRESS(ROW('Loan 1'!$D$41),COLUMN('Loan 1'!$D$41),4)</f>
        <v>D41</v>
      </c>
      <c r="D6846" t="b" cm="1">
        <f t="array" aca="1" ref="D6846" ca="1">IF(INDIRECT("'"&amp;A6846&amp;"'!"&amp;B6846)="",FALSE,IF(INDIRECT("'"&amp;A6846&amp;"'!"&amp;B6846)&lt;0,TRUE,FALSE))</f>
        <v>0</v>
      </c>
      <c r="E6846" t="s">
        <v>434</v>
      </c>
      <c r="F6846" t="str">
        <f>INDEX(Lists!I:I,MATCH(Validation!E6846,Lists!G:G,0))</f>
        <v>Error</v>
      </c>
      <c r="G6846" t="str">
        <f>INDEX(Lists!H:H,MATCH(Validation!E6846,Lists!G:G,0))</f>
        <v>Amount may not be negative. Enter an amount greater than or equal to zero.</v>
      </c>
      <c r="H6846" s="16" t="str">
        <f t="shared" ca="1" si="780"/>
        <v/>
      </c>
      <c r="I6846" s="16" t="str">
        <f t="shared" ca="1" si="781"/>
        <v/>
      </c>
      <c r="J6846" s="17" t="str">
        <f t="shared" ca="1" si="782"/>
        <v/>
      </c>
    </row>
    <row r="6847" spans="1:10" x14ac:dyDescent="0.25">
      <c r="A6847" t="s">
        <v>935</v>
      </c>
      <c r="B6847" t="str">
        <f>ADDRESS(ROW('Loan 1'!$B$41),COLUMN('Loan 1'!$B$41),4)</f>
        <v>B41</v>
      </c>
      <c r="C6847" t="str">
        <f>ADDRESS(ROW('Loan 1'!$D$41),COLUMN('Loan 1'!$D$41),4)</f>
        <v>D41</v>
      </c>
      <c r="D6847" t="b" cm="1">
        <f t="array" aca="1" ref="D6847" ca="1">IF(INDIRECT("'"&amp;A6847&amp;"'!"&amp;B6847)="",FALSE,IF(INDIRECT("'"&amp;A6847&amp;"'!"&amp;B6847)&lt;0,TRUE,FALSE))</f>
        <v>0</v>
      </c>
      <c r="E6847" t="s">
        <v>434</v>
      </c>
      <c r="F6847" t="str">
        <f>INDEX(Lists!I:I,MATCH(Validation!E6847,Lists!G:G,0))</f>
        <v>Error</v>
      </c>
      <c r="G6847" t="str">
        <f>INDEX(Lists!H:H,MATCH(Validation!E6847,Lists!G:G,0))</f>
        <v>Amount may not be negative. Enter an amount greater than or equal to zero.</v>
      </c>
      <c r="H6847" s="16" t="str">
        <f t="shared" ca="1" si="780"/>
        <v/>
      </c>
      <c r="I6847" s="16" t="str">
        <f t="shared" ca="1" si="781"/>
        <v/>
      </c>
      <c r="J6847" s="17" t="str">
        <f t="shared" ca="1" si="782"/>
        <v/>
      </c>
    </row>
    <row r="6848" spans="1:10" x14ac:dyDescent="0.25">
      <c r="A6848" t="s">
        <v>936</v>
      </c>
      <c r="B6848" t="str">
        <f>ADDRESS(ROW('Loan 1'!$B$41),COLUMN('Loan 1'!$B$41),4)</f>
        <v>B41</v>
      </c>
      <c r="C6848" t="str">
        <f>ADDRESS(ROW('Loan 1'!$D$41),COLUMN('Loan 1'!$D$41),4)</f>
        <v>D41</v>
      </c>
      <c r="D6848" t="b" cm="1">
        <f t="array" aca="1" ref="D6848" ca="1">IF(INDIRECT("'"&amp;A6848&amp;"'!"&amp;B6848)="",FALSE,IF(INDIRECT("'"&amp;A6848&amp;"'!"&amp;B6848)&lt;0,TRUE,FALSE))</f>
        <v>0</v>
      </c>
      <c r="E6848" t="s">
        <v>434</v>
      </c>
      <c r="F6848" t="str">
        <f>INDEX(Lists!I:I,MATCH(Validation!E6848,Lists!G:G,0))</f>
        <v>Error</v>
      </c>
      <c r="G6848" t="str">
        <f>INDEX(Lists!H:H,MATCH(Validation!E6848,Lists!G:G,0))</f>
        <v>Amount may not be negative. Enter an amount greater than or equal to zero.</v>
      </c>
      <c r="H6848" s="16" t="str">
        <f t="shared" ca="1" si="780"/>
        <v/>
      </c>
      <c r="I6848" s="16" t="str">
        <f t="shared" ca="1" si="781"/>
        <v/>
      </c>
      <c r="J6848" s="17" t="str">
        <f t="shared" ca="1" si="782"/>
        <v/>
      </c>
    </row>
    <row r="6849" spans="1:10" x14ac:dyDescent="0.25">
      <c r="A6849" t="s">
        <v>937</v>
      </c>
      <c r="B6849" t="str">
        <f>ADDRESS(ROW('Loan 1'!$B$41),COLUMN('Loan 1'!$B$41),4)</f>
        <v>B41</v>
      </c>
      <c r="C6849" t="str">
        <f>ADDRESS(ROW('Loan 1'!$D$41),COLUMN('Loan 1'!$D$41),4)</f>
        <v>D41</v>
      </c>
      <c r="D6849" t="b" cm="1">
        <f t="array" aca="1" ref="D6849" ca="1">IF(INDIRECT("'"&amp;A6849&amp;"'!"&amp;B6849)="",FALSE,IF(INDIRECT("'"&amp;A6849&amp;"'!"&amp;B6849)&lt;0,TRUE,FALSE))</f>
        <v>0</v>
      </c>
      <c r="E6849" t="s">
        <v>434</v>
      </c>
      <c r="F6849" t="str">
        <f>INDEX(Lists!I:I,MATCH(Validation!E6849,Lists!G:G,0))</f>
        <v>Error</v>
      </c>
      <c r="G6849" t="str">
        <f>INDEX(Lists!H:H,MATCH(Validation!E6849,Lists!G:G,0))</f>
        <v>Amount may not be negative. Enter an amount greater than or equal to zero.</v>
      </c>
      <c r="H6849" s="16" t="str">
        <f t="shared" ca="1" si="780"/>
        <v/>
      </c>
      <c r="I6849" s="16" t="str">
        <f t="shared" ca="1" si="781"/>
        <v/>
      </c>
      <c r="J6849" s="17" t="str">
        <f t="shared" ca="1" si="782"/>
        <v/>
      </c>
    </row>
    <row r="6850" spans="1:10" x14ac:dyDescent="0.25">
      <c r="A6850" t="s">
        <v>938</v>
      </c>
      <c r="B6850" t="str">
        <f>ADDRESS(ROW('Loan 1'!$B$41),COLUMN('Loan 1'!$B$41),4)</f>
        <v>B41</v>
      </c>
      <c r="C6850" t="str">
        <f>ADDRESS(ROW('Loan 1'!$D$41),COLUMN('Loan 1'!$D$41),4)</f>
        <v>D41</v>
      </c>
      <c r="D6850" t="b" cm="1">
        <f t="array" aca="1" ref="D6850" ca="1">IF(INDIRECT("'"&amp;A6850&amp;"'!"&amp;B6850)="",FALSE,IF(INDIRECT("'"&amp;A6850&amp;"'!"&amp;B6850)&lt;0,TRUE,FALSE))</f>
        <v>0</v>
      </c>
      <c r="E6850" t="s">
        <v>434</v>
      </c>
      <c r="F6850" t="str">
        <f>INDEX(Lists!I:I,MATCH(Validation!E6850,Lists!G:G,0))</f>
        <v>Error</v>
      </c>
      <c r="G6850" t="str">
        <f>INDEX(Lists!H:H,MATCH(Validation!E6850,Lists!G:G,0))</f>
        <v>Amount may not be negative. Enter an amount greater than or equal to zero.</v>
      </c>
      <c r="H6850" s="16" t="str">
        <f t="shared" ca="1" si="780"/>
        <v/>
      </c>
      <c r="I6850" s="16" t="str">
        <f t="shared" ca="1" si="781"/>
        <v/>
      </c>
      <c r="J6850" s="17" t="str">
        <f t="shared" ca="1" si="782"/>
        <v/>
      </c>
    </row>
    <row r="6851" spans="1:10" x14ac:dyDescent="0.25">
      <c r="A6851" t="s">
        <v>939</v>
      </c>
      <c r="B6851" t="str">
        <f>ADDRESS(ROW('Loan 1'!$B$41),COLUMN('Loan 1'!$B$41),4)</f>
        <v>B41</v>
      </c>
      <c r="C6851" t="str">
        <f>ADDRESS(ROW('Loan 1'!$D$41),COLUMN('Loan 1'!$D$41),4)</f>
        <v>D41</v>
      </c>
      <c r="D6851" t="b" cm="1">
        <f t="array" aca="1" ref="D6851" ca="1">IF(INDIRECT("'"&amp;A6851&amp;"'!"&amp;B6851)="",FALSE,IF(INDIRECT("'"&amp;A6851&amp;"'!"&amp;B6851)&lt;0,TRUE,FALSE))</f>
        <v>0</v>
      </c>
      <c r="E6851" t="s">
        <v>434</v>
      </c>
      <c r="F6851" t="str">
        <f>INDEX(Lists!I:I,MATCH(Validation!E6851,Lists!G:G,0))</f>
        <v>Error</v>
      </c>
      <c r="G6851" t="str">
        <f>INDEX(Lists!H:H,MATCH(Validation!E6851,Lists!G:G,0))</f>
        <v>Amount may not be negative. Enter an amount greater than or equal to zero.</v>
      </c>
      <c r="H6851" s="16" t="str">
        <f t="shared" ca="1" si="780"/>
        <v/>
      </c>
      <c r="I6851" s="16" t="str">
        <f t="shared" ca="1" si="781"/>
        <v/>
      </c>
      <c r="J6851" s="17" t="str">
        <f t="shared" ca="1" si="782"/>
        <v/>
      </c>
    </row>
    <row r="6852" spans="1:10" x14ac:dyDescent="0.25">
      <c r="A6852" t="s">
        <v>940</v>
      </c>
      <c r="B6852" t="str">
        <f>ADDRESS(ROW('Loan 1'!$B$41),COLUMN('Loan 1'!$B$41),4)</f>
        <v>B41</v>
      </c>
      <c r="C6852" t="str">
        <f>ADDRESS(ROW('Loan 1'!$D$41),COLUMN('Loan 1'!$D$41),4)</f>
        <v>D41</v>
      </c>
      <c r="D6852" t="b" cm="1">
        <f t="array" aca="1" ref="D6852" ca="1">IF(INDIRECT("'"&amp;A6852&amp;"'!"&amp;B6852)="",FALSE,IF(INDIRECT("'"&amp;A6852&amp;"'!"&amp;B6852)&lt;0,TRUE,FALSE))</f>
        <v>0</v>
      </c>
      <c r="E6852" t="s">
        <v>434</v>
      </c>
      <c r="F6852" t="str">
        <f>INDEX(Lists!I:I,MATCH(Validation!E6852,Lists!G:G,0))</f>
        <v>Error</v>
      </c>
      <c r="G6852" t="str">
        <f>INDEX(Lists!H:H,MATCH(Validation!E6852,Lists!G:G,0))</f>
        <v>Amount may not be negative. Enter an amount greater than or equal to zero.</v>
      </c>
      <c r="H6852" s="16" t="str">
        <f t="shared" ca="1" si="780"/>
        <v/>
      </c>
      <c r="I6852" s="16" t="str">
        <f t="shared" ca="1" si="781"/>
        <v/>
      </c>
      <c r="J6852" s="17" t="str">
        <f t="shared" ca="1" si="782"/>
        <v/>
      </c>
    </row>
    <row r="6853" spans="1:10" x14ac:dyDescent="0.25">
      <c r="A6853" t="s">
        <v>941</v>
      </c>
      <c r="B6853" t="str">
        <f>ADDRESS(ROW('Loan 1'!$B$41),COLUMN('Loan 1'!$B$41),4)</f>
        <v>B41</v>
      </c>
      <c r="C6853" t="str">
        <f>ADDRESS(ROW('Loan 1'!$D$41),COLUMN('Loan 1'!$D$41),4)</f>
        <v>D41</v>
      </c>
      <c r="D6853" t="b" cm="1">
        <f t="array" aca="1" ref="D6853" ca="1">IF(INDIRECT("'"&amp;A6853&amp;"'!"&amp;B6853)="",FALSE,IF(INDIRECT("'"&amp;A6853&amp;"'!"&amp;B6853)&lt;0,TRUE,FALSE))</f>
        <v>0</v>
      </c>
      <c r="E6853" t="s">
        <v>434</v>
      </c>
      <c r="F6853" t="str">
        <f>INDEX(Lists!I:I,MATCH(Validation!E6853,Lists!G:G,0))</f>
        <v>Error</v>
      </c>
      <c r="G6853" t="str">
        <f>INDEX(Lists!H:H,MATCH(Validation!E6853,Lists!G:G,0))</f>
        <v>Amount may not be negative. Enter an amount greater than or equal to zero.</v>
      </c>
      <c r="H6853" s="16" t="str">
        <f t="shared" ca="1" si="780"/>
        <v/>
      </c>
      <c r="I6853" s="16" t="str">
        <f t="shared" ca="1" si="781"/>
        <v/>
      </c>
      <c r="J6853" s="17" t="str">
        <f t="shared" ca="1" si="782"/>
        <v/>
      </c>
    </row>
    <row r="6854" spans="1:10" x14ac:dyDescent="0.25">
      <c r="A6854" t="s">
        <v>942</v>
      </c>
      <c r="B6854" t="str">
        <f>ADDRESS(ROW('Loan 1'!$B$41),COLUMN('Loan 1'!$B$41),4)</f>
        <v>B41</v>
      </c>
      <c r="C6854" t="str">
        <f>ADDRESS(ROW('Loan 1'!$D$41),COLUMN('Loan 1'!$D$41),4)</f>
        <v>D41</v>
      </c>
      <c r="D6854" t="b" cm="1">
        <f t="array" aca="1" ref="D6854" ca="1">IF(INDIRECT("'"&amp;A6854&amp;"'!"&amp;B6854)="",FALSE,IF(INDIRECT("'"&amp;A6854&amp;"'!"&amp;B6854)&lt;0,TRUE,FALSE))</f>
        <v>0</v>
      </c>
      <c r="E6854" t="s">
        <v>434</v>
      </c>
      <c r="F6854" t="str">
        <f>INDEX(Lists!I:I,MATCH(Validation!E6854,Lists!G:G,0))</f>
        <v>Error</v>
      </c>
      <c r="G6854" t="str">
        <f>INDEX(Lists!H:H,MATCH(Validation!E6854,Lists!G:G,0))</f>
        <v>Amount may not be negative. Enter an amount greater than or equal to zero.</v>
      </c>
      <c r="H6854" s="16" t="str">
        <f t="shared" ca="1" si="780"/>
        <v/>
      </c>
      <c r="I6854" s="16" t="str">
        <f t="shared" ca="1" si="781"/>
        <v/>
      </c>
      <c r="J6854" s="17" t="str">
        <f t="shared" ca="1" si="782"/>
        <v/>
      </c>
    </row>
    <row r="6855" spans="1:10" x14ac:dyDescent="0.25">
      <c r="A6855" t="s">
        <v>943</v>
      </c>
      <c r="B6855" t="str">
        <f>ADDRESS(ROW('Loan 1'!$B$41),COLUMN('Loan 1'!$B$41),4)</f>
        <v>B41</v>
      </c>
      <c r="C6855" t="str">
        <f>ADDRESS(ROW('Loan 1'!$D$41),COLUMN('Loan 1'!$D$41),4)</f>
        <v>D41</v>
      </c>
      <c r="D6855" t="b" cm="1">
        <f t="array" aca="1" ref="D6855" ca="1">IF(INDIRECT("'"&amp;A6855&amp;"'!"&amp;B6855)="",FALSE,IF(INDIRECT("'"&amp;A6855&amp;"'!"&amp;B6855)&lt;0,TRUE,FALSE))</f>
        <v>0</v>
      </c>
      <c r="E6855" t="s">
        <v>434</v>
      </c>
      <c r="F6855" t="str">
        <f>INDEX(Lists!I:I,MATCH(Validation!E6855,Lists!G:G,0))</f>
        <v>Error</v>
      </c>
      <c r="G6855" t="str">
        <f>INDEX(Lists!H:H,MATCH(Validation!E6855,Lists!G:G,0))</f>
        <v>Amount may not be negative. Enter an amount greater than or equal to zero.</v>
      </c>
      <c r="H6855" s="16" t="str">
        <f t="shared" ca="1" si="780"/>
        <v/>
      </c>
      <c r="I6855" s="16" t="str">
        <f t="shared" ca="1" si="781"/>
        <v/>
      </c>
      <c r="J6855" s="17" t="str">
        <f t="shared" ca="1" si="782"/>
        <v/>
      </c>
    </row>
    <row r="6856" spans="1:10" x14ac:dyDescent="0.25">
      <c r="A6856" t="s">
        <v>944</v>
      </c>
      <c r="B6856" t="str">
        <f>ADDRESS(ROW('Loan 1'!$B$41),COLUMN('Loan 1'!$B$41),4)</f>
        <v>B41</v>
      </c>
      <c r="C6856" t="str">
        <f>ADDRESS(ROW('Loan 1'!$D$41),COLUMN('Loan 1'!$D$41),4)</f>
        <v>D41</v>
      </c>
      <c r="D6856" t="b" cm="1">
        <f t="array" aca="1" ref="D6856" ca="1">IF(INDIRECT("'"&amp;A6856&amp;"'!"&amp;B6856)="",FALSE,IF(INDIRECT("'"&amp;A6856&amp;"'!"&amp;B6856)&lt;0,TRUE,FALSE))</f>
        <v>0</v>
      </c>
      <c r="E6856" t="s">
        <v>434</v>
      </c>
      <c r="F6856" t="str">
        <f>INDEX(Lists!I:I,MATCH(Validation!E6856,Lists!G:G,0))</f>
        <v>Error</v>
      </c>
      <c r="G6856" t="str">
        <f>INDEX(Lists!H:H,MATCH(Validation!E6856,Lists!G:G,0))</f>
        <v>Amount may not be negative. Enter an amount greater than or equal to zero.</v>
      </c>
      <c r="H6856" s="16" t="str">
        <f t="shared" ca="1" si="780"/>
        <v/>
      </c>
      <c r="I6856" s="16" t="str">
        <f t="shared" ca="1" si="781"/>
        <v/>
      </c>
      <c r="J6856" s="17" t="str">
        <f t="shared" ca="1" si="782"/>
        <v/>
      </c>
    </row>
    <row r="6857" spans="1:10" x14ac:dyDescent="0.25">
      <c r="A6857" t="s">
        <v>945</v>
      </c>
      <c r="B6857" t="str">
        <f>ADDRESS(ROW('Loan 1'!$B$41),COLUMN('Loan 1'!$B$41),4)</f>
        <v>B41</v>
      </c>
      <c r="C6857" t="str">
        <f>ADDRESS(ROW('Loan 1'!$D$41),COLUMN('Loan 1'!$D$41),4)</f>
        <v>D41</v>
      </c>
      <c r="D6857" t="b" cm="1">
        <f t="array" aca="1" ref="D6857" ca="1">IF(INDIRECT("'"&amp;A6857&amp;"'!"&amp;B6857)="",FALSE,IF(INDIRECT("'"&amp;A6857&amp;"'!"&amp;B6857)&lt;0,TRUE,FALSE))</f>
        <v>0</v>
      </c>
      <c r="E6857" t="s">
        <v>434</v>
      </c>
      <c r="F6857" t="str">
        <f>INDEX(Lists!I:I,MATCH(Validation!E6857,Lists!G:G,0))</f>
        <v>Error</v>
      </c>
      <c r="G6857" t="str">
        <f>INDEX(Lists!H:H,MATCH(Validation!E6857,Lists!G:G,0))</f>
        <v>Amount may not be negative. Enter an amount greater than or equal to zero.</v>
      </c>
      <c r="H6857" s="16" t="str">
        <f t="shared" ca="1" si="780"/>
        <v/>
      </c>
      <c r="I6857" s="16" t="str">
        <f t="shared" ca="1" si="781"/>
        <v/>
      </c>
      <c r="J6857" s="17" t="str">
        <f t="shared" ca="1" si="782"/>
        <v/>
      </c>
    </row>
    <row r="6858" spans="1:10" x14ac:dyDescent="0.25">
      <c r="A6858" t="s">
        <v>205</v>
      </c>
      <c r="B6858" t="str">
        <f>ADDRESS(ROW('Loan 1'!$B$41),COLUMN('Loan 1'!$B$41),4)</f>
        <v>B41</v>
      </c>
      <c r="C6858" t="str">
        <f>ADDRESS(ROW('Loan 1'!$D$41),COLUMN('Loan 1'!$D$41),4)</f>
        <v>D41</v>
      </c>
      <c r="D6858" t="b" cm="1">
        <f t="array" aca="1" ref="D6858" ca="1">IF(INDIRECT("'"&amp;A6858&amp;"'!"&amp;B6858)="",FALSE,IF(TRUNC(INDIRECT("'"&amp;A6858&amp;"'!"&amp;B6858))=INDIRECT("'"&amp;A6858&amp;"'!"&amp;B6858),FALSE,TRUE))</f>
        <v>0</v>
      </c>
      <c r="E6858" t="s">
        <v>436</v>
      </c>
      <c r="F6858" t="str">
        <f>INDEX(Lists!I:I,MATCH(Validation!E6858,Lists!G:G,0))</f>
        <v>Error</v>
      </c>
      <c r="G6858" t="str">
        <f>INDEX(Lists!H:H,MATCH(Validation!E6858,Lists!G:G,0))</f>
        <v>Amount must be rounded to the nearest dollar.</v>
      </c>
      <c r="H6858" s="16" t="str">
        <f t="shared" ca="1" si="759"/>
        <v/>
      </c>
      <c r="I6858" s="16" t="str">
        <f t="shared" ca="1" si="760"/>
        <v/>
      </c>
      <c r="J6858" s="17" t="str">
        <f t="shared" ca="1" si="761"/>
        <v/>
      </c>
    </row>
    <row r="6859" spans="1:10" x14ac:dyDescent="0.25">
      <c r="A6859" t="s">
        <v>932</v>
      </c>
      <c r="B6859" t="str">
        <f>ADDRESS(ROW('Loan 1'!$B$41),COLUMN('Loan 1'!$B$41),4)</f>
        <v>B41</v>
      </c>
      <c r="C6859" t="str">
        <f>ADDRESS(ROW('Loan 1'!$D$41),COLUMN('Loan 1'!$D$41),4)</f>
        <v>D41</v>
      </c>
      <c r="D6859" t="b" cm="1">
        <f t="array" aca="1" ref="D6859" ca="1">IF(INDIRECT("'"&amp;A6859&amp;"'!"&amp;B6859)="",FALSE,IF(TRUNC(INDIRECT("'"&amp;A6859&amp;"'!"&amp;B6859))=INDIRECT("'"&amp;A6859&amp;"'!"&amp;B6859),FALSE,TRUE))</f>
        <v>0</v>
      </c>
      <c r="E6859" t="s">
        <v>436</v>
      </c>
      <c r="F6859" t="str">
        <f>INDEX(Lists!I:I,MATCH(Validation!E6859,Lists!G:G,0))</f>
        <v>Error</v>
      </c>
      <c r="G6859" t="str">
        <f>INDEX(Lists!H:H,MATCH(Validation!E6859,Lists!G:G,0))</f>
        <v>Amount must be rounded to the nearest dollar.</v>
      </c>
      <c r="H6859" s="16" t="str">
        <f t="shared" ca="1" si="759"/>
        <v/>
      </c>
      <c r="I6859" s="16" t="str">
        <f t="shared" ca="1" si="760"/>
        <v/>
      </c>
      <c r="J6859" s="17" t="str">
        <f t="shared" ca="1" si="761"/>
        <v/>
      </c>
    </row>
    <row r="6860" spans="1:10" x14ac:dyDescent="0.25">
      <c r="A6860" t="s">
        <v>933</v>
      </c>
      <c r="B6860" t="str">
        <f>ADDRESS(ROW('Loan 1'!$B$41),COLUMN('Loan 1'!$B$41),4)</f>
        <v>B41</v>
      </c>
      <c r="C6860" t="str">
        <f>ADDRESS(ROW('Loan 1'!$D$41),COLUMN('Loan 1'!$D$41),4)</f>
        <v>D41</v>
      </c>
      <c r="D6860" t="b" cm="1">
        <f t="array" aca="1" ref="D6860" ca="1">IF(INDIRECT("'"&amp;A6860&amp;"'!"&amp;B6860)="",FALSE,IF(TRUNC(INDIRECT("'"&amp;A6860&amp;"'!"&amp;B6860))=INDIRECT("'"&amp;A6860&amp;"'!"&amp;B6860),FALSE,TRUE))</f>
        <v>0</v>
      </c>
      <c r="E6860" t="s">
        <v>436</v>
      </c>
      <c r="F6860" t="str">
        <f>INDEX(Lists!I:I,MATCH(Validation!E6860,Lists!G:G,0))</f>
        <v>Error</v>
      </c>
      <c r="G6860" t="str">
        <f>INDEX(Lists!H:H,MATCH(Validation!E6860,Lists!G:G,0))</f>
        <v>Amount must be rounded to the nearest dollar.</v>
      </c>
      <c r="H6860" s="16" t="str">
        <f t="shared" ca="1" si="759"/>
        <v/>
      </c>
      <c r="I6860" s="16" t="str">
        <f t="shared" ca="1" si="760"/>
        <v/>
      </c>
      <c r="J6860" s="17" t="str">
        <f t="shared" ca="1" si="761"/>
        <v/>
      </c>
    </row>
    <row r="6861" spans="1:10" x14ac:dyDescent="0.25">
      <c r="A6861" t="s">
        <v>934</v>
      </c>
      <c r="B6861" t="str">
        <f>ADDRESS(ROW('Loan 1'!$B$41),COLUMN('Loan 1'!$B$41),4)</f>
        <v>B41</v>
      </c>
      <c r="C6861" t="str">
        <f>ADDRESS(ROW('Loan 1'!$D$41),COLUMN('Loan 1'!$D$41),4)</f>
        <v>D41</v>
      </c>
      <c r="D6861" t="b" cm="1">
        <f t="array" aca="1" ref="D6861" ca="1">IF(INDIRECT("'"&amp;A6861&amp;"'!"&amp;B6861)="",FALSE,IF(TRUNC(INDIRECT("'"&amp;A6861&amp;"'!"&amp;B6861))=INDIRECT("'"&amp;A6861&amp;"'!"&amp;B6861),FALSE,TRUE))</f>
        <v>0</v>
      </c>
      <c r="E6861" t="s">
        <v>436</v>
      </c>
      <c r="F6861" t="str">
        <f>INDEX(Lists!I:I,MATCH(Validation!E6861,Lists!G:G,0))</f>
        <v>Error</v>
      </c>
      <c r="G6861" t="str">
        <f>INDEX(Lists!H:H,MATCH(Validation!E6861,Lists!G:G,0))</f>
        <v>Amount must be rounded to the nearest dollar.</v>
      </c>
      <c r="H6861" s="16" t="str">
        <f t="shared" ca="1" si="759"/>
        <v/>
      </c>
      <c r="I6861" s="16" t="str">
        <f t="shared" ca="1" si="760"/>
        <v/>
      </c>
      <c r="J6861" s="17" t="str">
        <f t="shared" ca="1" si="761"/>
        <v/>
      </c>
    </row>
    <row r="6862" spans="1:10" x14ac:dyDescent="0.25">
      <c r="A6862" t="s">
        <v>935</v>
      </c>
      <c r="B6862" t="str">
        <f>ADDRESS(ROW('Loan 1'!$B$41),COLUMN('Loan 1'!$B$41),4)</f>
        <v>B41</v>
      </c>
      <c r="C6862" t="str">
        <f>ADDRESS(ROW('Loan 1'!$D$41),COLUMN('Loan 1'!$D$41),4)</f>
        <v>D41</v>
      </c>
      <c r="D6862" t="b" cm="1">
        <f t="array" aca="1" ref="D6862" ca="1">IF(INDIRECT("'"&amp;A6862&amp;"'!"&amp;B6862)="",FALSE,IF(TRUNC(INDIRECT("'"&amp;A6862&amp;"'!"&amp;B6862))=INDIRECT("'"&amp;A6862&amp;"'!"&amp;B6862),FALSE,TRUE))</f>
        <v>0</v>
      </c>
      <c r="E6862" t="s">
        <v>436</v>
      </c>
      <c r="F6862" t="str">
        <f>INDEX(Lists!I:I,MATCH(Validation!E6862,Lists!G:G,0))</f>
        <v>Error</v>
      </c>
      <c r="G6862" t="str">
        <f>INDEX(Lists!H:H,MATCH(Validation!E6862,Lists!G:G,0))</f>
        <v>Amount must be rounded to the nearest dollar.</v>
      </c>
      <c r="H6862" s="16" t="str">
        <f t="shared" ca="1" si="759"/>
        <v/>
      </c>
      <c r="I6862" s="16" t="str">
        <f t="shared" ca="1" si="760"/>
        <v/>
      </c>
      <c r="J6862" s="17" t="str">
        <f t="shared" ca="1" si="761"/>
        <v/>
      </c>
    </row>
    <row r="6863" spans="1:10" x14ac:dyDescent="0.25">
      <c r="A6863" t="s">
        <v>936</v>
      </c>
      <c r="B6863" t="str">
        <f>ADDRESS(ROW('Loan 1'!$B$41),COLUMN('Loan 1'!$B$41),4)</f>
        <v>B41</v>
      </c>
      <c r="C6863" t="str">
        <f>ADDRESS(ROW('Loan 1'!$D$41),COLUMN('Loan 1'!$D$41),4)</f>
        <v>D41</v>
      </c>
      <c r="D6863" t="b" cm="1">
        <f t="array" aca="1" ref="D6863" ca="1">IF(INDIRECT("'"&amp;A6863&amp;"'!"&amp;B6863)="",FALSE,IF(TRUNC(INDIRECT("'"&amp;A6863&amp;"'!"&amp;B6863))=INDIRECT("'"&amp;A6863&amp;"'!"&amp;B6863),FALSE,TRUE))</f>
        <v>0</v>
      </c>
      <c r="E6863" t="s">
        <v>436</v>
      </c>
      <c r="F6863" t="str">
        <f>INDEX(Lists!I:I,MATCH(Validation!E6863,Lists!G:G,0))</f>
        <v>Error</v>
      </c>
      <c r="G6863" t="str">
        <f>INDEX(Lists!H:H,MATCH(Validation!E6863,Lists!G:G,0))</f>
        <v>Amount must be rounded to the nearest dollar.</v>
      </c>
      <c r="H6863" s="16" t="str">
        <f t="shared" ca="1" si="759"/>
        <v/>
      </c>
      <c r="I6863" s="16" t="str">
        <f t="shared" ca="1" si="760"/>
        <v/>
      </c>
      <c r="J6863" s="17" t="str">
        <f t="shared" ca="1" si="761"/>
        <v/>
      </c>
    </row>
    <row r="6864" spans="1:10" x14ac:dyDescent="0.25">
      <c r="A6864" t="s">
        <v>937</v>
      </c>
      <c r="B6864" t="str">
        <f>ADDRESS(ROW('Loan 1'!$B$41),COLUMN('Loan 1'!$B$41),4)</f>
        <v>B41</v>
      </c>
      <c r="C6864" t="str">
        <f>ADDRESS(ROW('Loan 1'!$D$41),COLUMN('Loan 1'!$D$41),4)</f>
        <v>D41</v>
      </c>
      <c r="D6864" t="b" cm="1">
        <f t="array" aca="1" ref="D6864" ca="1">IF(INDIRECT("'"&amp;A6864&amp;"'!"&amp;B6864)="",FALSE,IF(TRUNC(INDIRECT("'"&amp;A6864&amp;"'!"&amp;B6864))=INDIRECT("'"&amp;A6864&amp;"'!"&amp;B6864),FALSE,TRUE))</f>
        <v>0</v>
      </c>
      <c r="E6864" t="s">
        <v>436</v>
      </c>
      <c r="F6864" t="str">
        <f>INDEX(Lists!I:I,MATCH(Validation!E6864,Lists!G:G,0))</f>
        <v>Error</v>
      </c>
      <c r="G6864" t="str">
        <f>INDEX(Lists!H:H,MATCH(Validation!E6864,Lists!G:G,0))</f>
        <v>Amount must be rounded to the nearest dollar.</v>
      </c>
      <c r="H6864" s="16" t="str">
        <f t="shared" ca="1" si="759"/>
        <v/>
      </c>
      <c r="I6864" s="16" t="str">
        <f t="shared" ca="1" si="760"/>
        <v/>
      </c>
      <c r="J6864" s="17" t="str">
        <f t="shared" ca="1" si="761"/>
        <v/>
      </c>
    </row>
    <row r="6865" spans="1:10" x14ac:dyDescent="0.25">
      <c r="A6865" t="s">
        <v>938</v>
      </c>
      <c r="B6865" t="str">
        <f>ADDRESS(ROW('Loan 1'!$B$41),COLUMN('Loan 1'!$B$41),4)</f>
        <v>B41</v>
      </c>
      <c r="C6865" t="str">
        <f>ADDRESS(ROW('Loan 1'!$D$41),COLUMN('Loan 1'!$D$41),4)</f>
        <v>D41</v>
      </c>
      <c r="D6865" t="b" cm="1">
        <f t="array" aca="1" ref="D6865" ca="1">IF(INDIRECT("'"&amp;A6865&amp;"'!"&amp;B6865)="",FALSE,IF(TRUNC(INDIRECT("'"&amp;A6865&amp;"'!"&amp;B6865))=INDIRECT("'"&amp;A6865&amp;"'!"&amp;B6865),FALSE,TRUE))</f>
        <v>0</v>
      </c>
      <c r="E6865" t="s">
        <v>436</v>
      </c>
      <c r="F6865" t="str">
        <f>INDEX(Lists!I:I,MATCH(Validation!E6865,Lists!G:G,0))</f>
        <v>Error</v>
      </c>
      <c r="G6865" t="str">
        <f>INDEX(Lists!H:H,MATCH(Validation!E6865,Lists!G:G,0))</f>
        <v>Amount must be rounded to the nearest dollar.</v>
      </c>
      <c r="H6865" s="16" t="str">
        <f t="shared" ca="1" si="759"/>
        <v/>
      </c>
      <c r="I6865" s="16" t="str">
        <f t="shared" ca="1" si="760"/>
        <v/>
      </c>
      <c r="J6865" s="17" t="str">
        <f t="shared" ca="1" si="761"/>
        <v/>
      </c>
    </row>
    <row r="6866" spans="1:10" x14ac:dyDescent="0.25">
      <c r="A6866" t="s">
        <v>939</v>
      </c>
      <c r="B6866" t="str">
        <f>ADDRESS(ROW('Loan 1'!$B$41),COLUMN('Loan 1'!$B$41),4)</f>
        <v>B41</v>
      </c>
      <c r="C6866" t="str">
        <f>ADDRESS(ROW('Loan 1'!$D$41),COLUMN('Loan 1'!$D$41),4)</f>
        <v>D41</v>
      </c>
      <c r="D6866" t="b" cm="1">
        <f t="array" aca="1" ref="D6866" ca="1">IF(INDIRECT("'"&amp;A6866&amp;"'!"&amp;B6866)="",FALSE,IF(TRUNC(INDIRECT("'"&amp;A6866&amp;"'!"&amp;B6866))=INDIRECT("'"&amp;A6866&amp;"'!"&amp;B6866),FALSE,TRUE))</f>
        <v>0</v>
      </c>
      <c r="E6866" t="s">
        <v>436</v>
      </c>
      <c r="F6866" t="str">
        <f>INDEX(Lists!I:I,MATCH(Validation!E6866,Lists!G:G,0))</f>
        <v>Error</v>
      </c>
      <c r="G6866" t="str">
        <f>INDEX(Lists!H:H,MATCH(Validation!E6866,Lists!G:G,0))</f>
        <v>Amount must be rounded to the nearest dollar.</v>
      </c>
      <c r="H6866" s="16" t="str">
        <f t="shared" ca="1" si="759"/>
        <v/>
      </c>
      <c r="I6866" s="16" t="str">
        <f t="shared" ca="1" si="760"/>
        <v/>
      </c>
      <c r="J6866" s="17" t="str">
        <f t="shared" ca="1" si="761"/>
        <v/>
      </c>
    </row>
    <row r="6867" spans="1:10" x14ac:dyDescent="0.25">
      <c r="A6867" t="s">
        <v>940</v>
      </c>
      <c r="B6867" t="str">
        <f>ADDRESS(ROW('Loan 1'!$B$41),COLUMN('Loan 1'!$B$41),4)</f>
        <v>B41</v>
      </c>
      <c r="C6867" t="str">
        <f>ADDRESS(ROW('Loan 1'!$D$41),COLUMN('Loan 1'!$D$41),4)</f>
        <v>D41</v>
      </c>
      <c r="D6867" t="b" cm="1">
        <f t="array" aca="1" ref="D6867" ca="1">IF(INDIRECT("'"&amp;A6867&amp;"'!"&amp;B6867)="",FALSE,IF(TRUNC(INDIRECT("'"&amp;A6867&amp;"'!"&amp;B6867))=INDIRECT("'"&amp;A6867&amp;"'!"&amp;B6867),FALSE,TRUE))</f>
        <v>0</v>
      </c>
      <c r="E6867" t="s">
        <v>436</v>
      </c>
      <c r="F6867" t="str">
        <f>INDEX(Lists!I:I,MATCH(Validation!E6867,Lists!G:G,0))</f>
        <v>Error</v>
      </c>
      <c r="G6867" t="str">
        <f>INDEX(Lists!H:H,MATCH(Validation!E6867,Lists!G:G,0))</f>
        <v>Amount must be rounded to the nearest dollar.</v>
      </c>
      <c r="H6867" s="16" t="str">
        <f t="shared" ca="1" si="759"/>
        <v/>
      </c>
      <c r="I6867" s="16" t="str">
        <f t="shared" ca="1" si="760"/>
        <v/>
      </c>
      <c r="J6867" s="17" t="str">
        <f t="shared" ca="1" si="761"/>
        <v/>
      </c>
    </row>
    <row r="6868" spans="1:10" x14ac:dyDescent="0.25">
      <c r="A6868" t="s">
        <v>941</v>
      </c>
      <c r="B6868" t="str">
        <f>ADDRESS(ROW('Loan 1'!$B$41),COLUMN('Loan 1'!$B$41),4)</f>
        <v>B41</v>
      </c>
      <c r="C6868" t="str">
        <f>ADDRESS(ROW('Loan 1'!$D$41),COLUMN('Loan 1'!$D$41),4)</f>
        <v>D41</v>
      </c>
      <c r="D6868" t="b" cm="1">
        <f t="array" aca="1" ref="D6868" ca="1">IF(INDIRECT("'"&amp;A6868&amp;"'!"&amp;B6868)="",FALSE,IF(TRUNC(INDIRECT("'"&amp;A6868&amp;"'!"&amp;B6868))=INDIRECT("'"&amp;A6868&amp;"'!"&amp;B6868),FALSE,TRUE))</f>
        <v>0</v>
      </c>
      <c r="E6868" t="s">
        <v>436</v>
      </c>
      <c r="F6868" t="str">
        <f>INDEX(Lists!I:I,MATCH(Validation!E6868,Lists!G:G,0))</f>
        <v>Error</v>
      </c>
      <c r="G6868" t="str">
        <f>INDEX(Lists!H:H,MATCH(Validation!E6868,Lists!G:G,0))</f>
        <v>Amount must be rounded to the nearest dollar.</v>
      </c>
      <c r="H6868" s="16" t="str">
        <f t="shared" ca="1" si="759"/>
        <v/>
      </c>
      <c r="I6868" s="16" t="str">
        <f t="shared" ca="1" si="760"/>
        <v/>
      </c>
      <c r="J6868" s="17" t="str">
        <f t="shared" ca="1" si="761"/>
        <v/>
      </c>
    </row>
    <row r="6869" spans="1:10" x14ac:dyDescent="0.25">
      <c r="A6869" t="s">
        <v>942</v>
      </c>
      <c r="B6869" t="str">
        <f>ADDRESS(ROW('Loan 1'!$B$41),COLUMN('Loan 1'!$B$41),4)</f>
        <v>B41</v>
      </c>
      <c r="C6869" t="str">
        <f>ADDRESS(ROW('Loan 1'!$D$41),COLUMN('Loan 1'!$D$41),4)</f>
        <v>D41</v>
      </c>
      <c r="D6869" t="b" cm="1">
        <f t="array" aca="1" ref="D6869" ca="1">IF(INDIRECT("'"&amp;A6869&amp;"'!"&amp;B6869)="",FALSE,IF(TRUNC(INDIRECT("'"&amp;A6869&amp;"'!"&amp;B6869))=INDIRECT("'"&amp;A6869&amp;"'!"&amp;B6869),FALSE,TRUE))</f>
        <v>0</v>
      </c>
      <c r="E6869" t="s">
        <v>436</v>
      </c>
      <c r="F6869" t="str">
        <f>INDEX(Lists!I:I,MATCH(Validation!E6869,Lists!G:G,0))</f>
        <v>Error</v>
      </c>
      <c r="G6869" t="str">
        <f>INDEX(Lists!H:H,MATCH(Validation!E6869,Lists!G:G,0))</f>
        <v>Amount must be rounded to the nearest dollar.</v>
      </c>
      <c r="H6869" s="16" t="str">
        <f t="shared" ca="1" si="759"/>
        <v/>
      </c>
      <c r="I6869" s="16" t="str">
        <f t="shared" ca="1" si="760"/>
        <v/>
      </c>
      <c r="J6869" s="17" t="str">
        <f t="shared" ca="1" si="761"/>
        <v/>
      </c>
    </row>
    <row r="6870" spans="1:10" x14ac:dyDescent="0.25">
      <c r="A6870" t="s">
        <v>943</v>
      </c>
      <c r="B6870" t="str">
        <f>ADDRESS(ROW('Loan 1'!$B$41),COLUMN('Loan 1'!$B$41),4)</f>
        <v>B41</v>
      </c>
      <c r="C6870" t="str">
        <f>ADDRESS(ROW('Loan 1'!$D$41),COLUMN('Loan 1'!$D$41),4)</f>
        <v>D41</v>
      </c>
      <c r="D6870" t="b" cm="1">
        <f t="array" aca="1" ref="D6870" ca="1">IF(INDIRECT("'"&amp;A6870&amp;"'!"&amp;B6870)="",FALSE,IF(TRUNC(INDIRECT("'"&amp;A6870&amp;"'!"&amp;B6870))=INDIRECT("'"&amp;A6870&amp;"'!"&amp;B6870),FALSE,TRUE))</f>
        <v>0</v>
      </c>
      <c r="E6870" t="s">
        <v>436</v>
      </c>
      <c r="F6870" t="str">
        <f>INDEX(Lists!I:I,MATCH(Validation!E6870,Lists!G:G,0))</f>
        <v>Error</v>
      </c>
      <c r="G6870" t="str">
        <f>INDEX(Lists!H:H,MATCH(Validation!E6870,Lists!G:G,0))</f>
        <v>Amount must be rounded to the nearest dollar.</v>
      </c>
      <c r="H6870" s="16" t="str">
        <f t="shared" ca="1" si="759"/>
        <v/>
      </c>
      <c r="I6870" s="16" t="str">
        <f t="shared" ca="1" si="760"/>
        <v/>
      </c>
      <c r="J6870" s="17" t="str">
        <f t="shared" ca="1" si="761"/>
        <v/>
      </c>
    </row>
    <row r="6871" spans="1:10" x14ac:dyDescent="0.25">
      <c r="A6871" t="s">
        <v>944</v>
      </c>
      <c r="B6871" t="str">
        <f>ADDRESS(ROW('Loan 1'!$B$41),COLUMN('Loan 1'!$B$41),4)</f>
        <v>B41</v>
      </c>
      <c r="C6871" t="str">
        <f>ADDRESS(ROW('Loan 1'!$D$41),COLUMN('Loan 1'!$D$41),4)</f>
        <v>D41</v>
      </c>
      <c r="D6871" t="b" cm="1">
        <f t="array" aca="1" ref="D6871" ca="1">IF(INDIRECT("'"&amp;A6871&amp;"'!"&amp;B6871)="",FALSE,IF(TRUNC(INDIRECT("'"&amp;A6871&amp;"'!"&amp;B6871))=INDIRECT("'"&amp;A6871&amp;"'!"&amp;B6871),FALSE,TRUE))</f>
        <v>0</v>
      </c>
      <c r="E6871" t="s">
        <v>436</v>
      </c>
      <c r="F6871" t="str">
        <f>INDEX(Lists!I:I,MATCH(Validation!E6871,Lists!G:G,0))</f>
        <v>Error</v>
      </c>
      <c r="G6871" t="str">
        <f>INDEX(Lists!H:H,MATCH(Validation!E6871,Lists!G:G,0))</f>
        <v>Amount must be rounded to the nearest dollar.</v>
      </c>
      <c r="H6871" s="16" t="str">
        <f t="shared" ca="1" si="759"/>
        <v/>
      </c>
      <c r="I6871" s="16" t="str">
        <f t="shared" ca="1" si="760"/>
        <v/>
      </c>
      <c r="J6871" s="17" t="str">
        <f t="shared" ca="1" si="761"/>
        <v/>
      </c>
    </row>
    <row r="6872" spans="1:10" x14ac:dyDescent="0.25">
      <c r="A6872" t="s">
        <v>945</v>
      </c>
      <c r="B6872" t="str">
        <f>ADDRESS(ROW('Loan 1'!$B$41),COLUMN('Loan 1'!$B$41),4)</f>
        <v>B41</v>
      </c>
      <c r="C6872" t="str">
        <f>ADDRESS(ROW('Loan 1'!$D$41),COLUMN('Loan 1'!$D$41),4)</f>
        <v>D41</v>
      </c>
      <c r="D6872" t="b" cm="1">
        <f t="array" aca="1" ref="D6872" ca="1">IF(INDIRECT("'"&amp;A6872&amp;"'!"&amp;B6872)="",FALSE,IF(TRUNC(INDIRECT("'"&amp;A6872&amp;"'!"&amp;B6872))=INDIRECT("'"&amp;A6872&amp;"'!"&amp;B6872),FALSE,TRUE))</f>
        <v>0</v>
      </c>
      <c r="E6872" t="s">
        <v>436</v>
      </c>
      <c r="F6872" t="str">
        <f>INDEX(Lists!I:I,MATCH(Validation!E6872,Lists!G:G,0))</f>
        <v>Error</v>
      </c>
      <c r="G6872" t="str">
        <f>INDEX(Lists!H:H,MATCH(Validation!E6872,Lists!G:G,0))</f>
        <v>Amount must be rounded to the nearest dollar.</v>
      </c>
      <c r="H6872" s="16" t="str">
        <f t="shared" ca="1" si="759"/>
        <v/>
      </c>
      <c r="I6872" s="16" t="str">
        <f t="shared" ca="1" si="760"/>
        <v/>
      </c>
      <c r="J6872" s="17" t="str">
        <f t="shared" ca="1" si="761"/>
        <v/>
      </c>
    </row>
    <row r="6873" spans="1:10" x14ac:dyDescent="0.25">
      <c r="A6873" t="s">
        <v>205</v>
      </c>
      <c r="B6873" t="str">
        <f>ADDRESS(ROW('Loan 1'!$C$41),COLUMN('Loan 1'!$C$41),4)</f>
        <v>C41</v>
      </c>
      <c r="C6873" t="str">
        <f>ADDRESS(ROW('Loan 1'!$D$41),COLUMN('Loan 1'!$D$41),4)</f>
        <v>D41</v>
      </c>
      <c r="D6873" t="b" cm="1">
        <f t="array" aca="1" ref="D6873" ca="1">IF(INDIRECT("'"&amp;A6873&amp;"'!"&amp;B6873)="",FALSE,IF(NOT(ISNUMBER(INDIRECT("'"&amp;A6873&amp;"'!"&amp;B6873))),TRUE,FALSE))</f>
        <v>0</v>
      </c>
      <c r="E6873" t="s">
        <v>435</v>
      </c>
      <c r="F6873" t="str">
        <f>INDEX(Lists!I:I,MATCH(Validation!E6873,Lists!G:G,0))</f>
        <v>Error</v>
      </c>
      <c r="G6873" t="str">
        <f>INDEX(Lists!H:H,MATCH(Validation!E6873,Lists!G:G,0))</f>
        <v>Enter an amount only. Do not enter text or spaces.</v>
      </c>
      <c r="H6873" s="16" t="str">
        <f t="shared" ca="1" si="759"/>
        <v/>
      </c>
      <c r="I6873" s="16" t="str">
        <f t="shared" ca="1" si="760"/>
        <v/>
      </c>
      <c r="J6873" s="17" t="str">
        <f t="shared" ca="1" si="761"/>
        <v/>
      </c>
    </row>
    <row r="6874" spans="1:10" x14ac:dyDescent="0.25">
      <c r="A6874" t="s">
        <v>932</v>
      </c>
      <c r="B6874" t="str">
        <f>ADDRESS(ROW('Loan 1'!$C$41),COLUMN('Loan 1'!$C$41),4)</f>
        <v>C41</v>
      </c>
      <c r="C6874" t="str">
        <f>ADDRESS(ROW('Loan 1'!$D$41),COLUMN('Loan 1'!$D$41),4)</f>
        <v>D41</v>
      </c>
      <c r="D6874" t="b" cm="1">
        <f t="array" aca="1" ref="D6874" ca="1">IF(INDIRECT("'"&amp;A6874&amp;"'!"&amp;B6874)="",FALSE,IF(NOT(ISNUMBER(INDIRECT("'"&amp;A6874&amp;"'!"&amp;B6874))),TRUE,FALSE))</f>
        <v>0</v>
      </c>
      <c r="E6874" t="s">
        <v>435</v>
      </c>
      <c r="F6874" t="str">
        <f>INDEX(Lists!I:I,MATCH(Validation!E6874,Lists!G:G,0))</f>
        <v>Error</v>
      </c>
      <c r="G6874" t="str">
        <f>INDEX(Lists!H:H,MATCH(Validation!E6874,Lists!G:G,0))</f>
        <v>Enter an amount only. Do not enter text or spaces.</v>
      </c>
      <c r="H6874" s="16" t="str">
        <f t="shared" ca="1" si="759"/>
        <v/>
      </c>
      <c r="I6874" s="16" t="str">
        <f t="shared" ca="1" si="760"/>
        <v/>
      </c>
      <c r="J6874" s="17" t="str">
        <f t="shared" ca="1" si="761"/>
        <v/>
      </c>
    </row>
    <row r="6875" spans="1:10" x14ac:dyDescent="0.25">
      <c r="A6875" t="s">
        <v>933</v>
      </c>
      <c r="B6875" t="str">
        <f>ADDRESS(ROW('Loan 1'!$C$41),COLUMN('Loan 1'!$C$41),4)</f>
        <v>C41</v>
      </c>
      <c r="C6875" t="str">
        <f>ADDRESS(ROW('Loan 1'!$D$41),COLUMN('Loan 1'!$D$41),4)</f>
        <v>D41</v>
      </c>
      <c r="D6875" t="b" cm="1">
        <f t="array" aca="1" ref="D6875" ca="1">IF(INDIRECT("'"&amp;A6875&amp;"'!"&amp;B6875)="",FALSE,IF(NOT(ISNUMBER(INDIRECT("'"&amp;A6875&amp;"'!"&amp;B6875))),TRUE,FALSE))</f>
        <v>0</v>
      </c>
      <c r="E6875" t="s">
        <v>435</v>
      </c>
      <c r="F6875" t="str">
        <f>INDEX(Lists!I:I,MATCH(Validation!E6875,Lists!G:G,0))</f>
        <v>Error</v>
      </c>
      <c r="G6875" t="str">
        <f>INDEX(Lists!H:H,MATCH(Validation!E6875,Lists!G:G,0))</f>
        <v>Enter an amount only. Do not enter text or spaces.</v>
      </c>
      <c r="H6875" s="16" t="str">
        <f t="shared" ca="1" si="759"/>
        <v/>
      </c>
      <c r="I6875" s="16" t="str">
        <f t="shared" ca="1" si="760"/>
        <v/>
      </c>
      <c r="J6875" s="17" t="str">
        <f t="shared" ca="1" si="761"/>
        <v/>
      </c>
    </row>
    <row r="6876" spans="1:10" x14ac:dyDescent="0.25">
      <c r="A6876" t="s">
        <v>934</v>
      </c>
      <c r="B6876" t="str">
        <f>ADDRESS(ROW('Loan 1'!$C$41),COLUMN('Loan 1'!$C$41),4)</f>
        <v>C41</v>
      </c>
      <c r="C6876" t="str">
        <f>ADDRESS(ROW('Loan 1'!$D$41),COLUMN('Loan 1'!$D$41),4)</f>
        <v>D41</v>
      </c>
      <c r="D6876" t="b" cm="1">
        <f t="array" aca="1" ref="D6876" ca="1">IF(INDIRECT("'"&amp;A6876&amp;"'!"&amp;B6876)="",FALSE,IF(NOT(ISNUMBER(INDIRECT("'"&amp;A6876&amp;"'!"&amp;B6876))),TRUE,FALSE))</f>
        <v>0</v>
      </c>
      <c r="E6876" t="s">
        <v>435</v>
      </c>
      <c r="F6876" t="str">
        <f>INDEX(Lists!I:I,MATCH(Validation!E6876,Lists!G:G,0))</f>
        <v>Error</v>
      </c>
      <c r="G6876" t="str">
        <f>INDEX(Lists!H:H,MATCH(Validation!E6876,Lists!G:G,0))</f>
        <v>Enter an amount only. Do not enter text or spaces.</v>
      </c>
      <c r="H6876" s="16" t="str">
        <f t="shared" ca="1" si="759"/>
        <v/>
      </c>
      <c r="I6876" s="16" t="str">
        <f t="shared" ca="1" si="760"/>
        <v/>
      </c>
      <c r="J6876" s="17" t="str">
        <f t="shared" ca="1" si="761"/>
        <v/>
      </c>
    </row>
    <row r="6877" spans="1:10" x14ac:dyDescent="0.25">
      <c r="A6877" t="s">
        <v>935</v>
      </c>
      <c r="B6877" t="str">
        <f>ADDRESS(ROW('Loan 1'!$C$41),COLUMN('Loan 1'!$C$41),4)</f>
        <v>C41</v>
      </c>
      <c r="C6877" t="str">
        <f>ADDRESS(ROW('Loan 1'!$D$41),COLUMN('Loan 1'!$D$41),4)</f>
        <v>D41</v>
      </c>
      <c r="D6877" t="b" cm="1">
        <f t="array" aca="1" ref="D6877" ca="1">IF(INDIRECT("'"&amp;A6877&amp;"'!"&amp;B6877)="",FALSE,IF(NOT(ISNUMBER(INDIRECT("'"&amp;A6877&amp;"'!"&amp;B6877))),TRUE,FALSE))</f>
        <v>0</v>
      </c>
      <c r="E6877" t="s">
        <v>435</v>
      </c>
      <c r="F6877" t="str">
        <f>INDEX(Lists!I:I,MATCH(Validation!E6877,Lists!G:G,0))</f>
        <v>Error</v>
      </c>
      <c r="G6877" t="str">
        <f>INDEX(Lists!H:H,MATCH(Validation!E6877,Lists!G:G,0))</f>
        <v>Enter an amount only. Do not enter text or spaces.</v>
      </c>
      <c r="H6877" s="16" t="str">
        <f t="shared" ca="1" si="759"/>
        <v/>
      </c>
      <c r="I6877" s="16" t="str">
        <f t="shared" ca="1" si="760"/>
        <v/>
      </c>
      <c r="J6877" s="17" t="str">
        <f t="shared" ca="1" si="761"/>
        <v/>
      </c>
    </row>
    <row r="6878" spans="1:10" x14ac:dyDescent="0.25">
      <c r="A6878" t="s">
        <v>936</v>
      </c>
      <c r="B6878" t="str">
        <f>ADDRESS(ROW('Loan 1'!$C$41),COLUMN('Loan 1'!$C$41),4)</f>
        <v>C41</v>
      </c>
      <c r="C6878" t="str">
        <f>ADDRESS(ROW('Loan 1'!$D$41),COLUMN('Loan 1'!$D$41),4)</f>
        <v>D41</v>
      </c>
      <c r="D6878" t="b" cm="1">
        <f t="array" aca="1" ref="D6878" ca="1">IF(INDIRECT("'"&amp;A6878&amp;"'!"&amp;B6878)="",FALSE,IF(NOT(ISNUMBER(INDIRECT("'"&amp;A6878&amp;"'!"&amp;B6878))),TRUE,FALSE))</f>
        <v>0</v>
      </c>
      <c r="E6878" t="s">
        <v>435</v>
      </c>
      <c r="F6878" t="str">
        <f>INDEX(Lists!I:I,MATCH(Validation!E6878,Lists!G:G,0))</f>
        <v>Error</v>
      </c>
      <c r="G6878" t="str">
        <f>INDEX(Lists!H:H,MATCH(Validation!E6878,Lists!G:G,0))</f>
        <v>Enter an amount only. Do not enter text or spaces.</v>
      </c>
      <c r="H6878" s="16" t="str">
        <f t="shared" ca="1" si="759"/>
        <v/>
      </c>
      <c r="I6878" s="16" t="str">
        <f t="shared" ca="1" si="760"/>
        <v/>
      </c>
      <c r="J6878" s="17" t="str">
        <f t="shared" ca="1" si="761"/>
        <v/>
      </c>
    </row>
    <row r="6879" spans="1:10" x14ac:dyDescent="0.25">
      <c r="A6879" t="s">
        <v>937</v>
      </c>
      <c r="B6879" t="str">
        <f>ADDRESS(ROW('Loan 1'!$C$41),COLUMN('Loan 1'!$C$41),4)</f>
        <v>C41</v>
      </c>
      <c r="C6879" t="str">
        <f>ADDRESS(ROW('Loan 1'!$D$41),COLUMN('Loan 1'!$D$41),4)</f>
        <v>D41</v>
      </c>
      <c r="D6879" t="b" cm="1">
        <f t="array" aca="1" ref="D6879" ca="1">IF(INDIRECT("'"&amp;A6879&amp;"'!"&amp;B6879)="",FALSE,IF(NOT(ISNUMBER(INDIRECT("'"&amp;A6879&amp;"'!"&amp;B6879))),TRUE,FALSE))</f>
        <v>0</v>
      </c>
      <c r="E6879" t="s">
        <v>435</v>
      </c>
      <c r="F6879" t="str">
        <f>INDEX(Lists!I:I,MATCH(Validation!E6879,Lists!G:G,0))</f>
        <v>Error</v>
      </c>
      <c r="G6879" t="str">
        <f>INDEX(Lists!H:H,MATCH(Validation!E6879,Lists!G:G,0))</f>
        <v>Enter an amount only. Do not enter text or spaces.</v>
      </c>
      <c r="H6879" s="16" t="str">
        <f t="shared" ca="1" si="759"/>
        <v/>
      </c>
      <c r="I6879" s="16" t="str">
        <f t="shared" ca="1" si="760"/>
        <v/>
      </c>
      <c r="J6879" s="17" t="str">
        <f t="shared" ca="1" si="761"/>
        <v/>
      </c>
    </row>
    <row r="6880" spans="1:10" x14ac:dyDescent="0.25">
      <c r="A6880" t="s">
        <v>938</v>
      </c>
      <c r="B6880" t="str">
        <f>ADDRESS(ROW('Loan 1'!$C$41),COLUMN('Loan 1'!$C$41),4)</f>
        <v>C41</v>
      </c>
      <c r="C6880" t="str">
        <f>ADDRESS(ROW('Loan 1'!$D$41),COLUMN('Loan 1'!$D$41),4)</f>
        <v>D41</v>
      </c>
      <c r="D6880" t="b" cm="1">
        <f t="array" aca="1" ref="D6880" ca="1">IF(INDIRECT("'"&amp;A6880&amp;"'!"&amp;B6880)="",FALSE,IF(NOT(ISNUMBER(INDIRECT("'"&amp;A6880&amp;"'!"&amp;B6880))),TRUE,FALSE))</f>
        <v>0</v>
      </c>
      <c r="E6880" t="s">
        <v>435</v>
      </c>
      <c r="F6880" t="str">
        <f>INDEX(Lists!I:I,MATCH(Validation!E6880,Lists!G:G,0))</f>
        <v>Error</v>
      </c>
      <c r="G6880" t="str">
        <f>INDEX(Lists!H:H,MATCH(Validation!E6880,Lists!G:G,0))</f>
        <v>Enter an amount only. Do not enter text or spaces.</v>
      </c>
      <c r="H6880" s="16" t="str">
        <f t="shared" ca="1" si="759"/>
        <v/>
      </c>
      <c r="I6880" s="16" t="str">
        <f t="shared" ca="1" si="760"/>
        <v/>
      </c>
      <c r="J6880" s="17" t="str">
        <f t="shared" ca="1" si="761"/>
        <v/>
      </c>
    </row>
    <row r="6881" spans="1:10" x14ac:dyDescent="0.25">
      <c r="A6881" t="s">
        <v>939</v>
      </c>
      <c r="B6881" t="str">
        <f>ADDRESS(ROW('Loan 1'!$C$41),COLUMN('Loan 1'!$C$41),4)</f>
        <v>C41</v>
      </c>
      <c r="C6881" t="str">
        <f>ADDRESS(ROW('Loan 1'!$D$41),COLUMN('Loan 1'!$D$41),4)</f>
        <v>D41</v>
      </c>
      <c r="D6881" t="b" cm="1">
        <f t="array" aca="1" ref="D6881" ca="1">IF(INDIRECT("'"&amp;A6881&amp;"'!"&amp;B6881)="",FALSE,IF(NOT(ISNUMBER(INDIRECT("'"&amp;A6881&amp;"'!"&amp;B6881))),TRUE,FALSE))</f>
        <v>0</v>
      </c>
      <c r="E6881" t="s">
        <v>435</v>
      </c>
      <c r="F6881" t="str">
        <f>INDEX(Lists!I:I,MATCH(Validation!E6881,Lists!G:G,0))</f>
        <v>Error</v>
      </c>
      <c r="G6881" t="str">
        <f>INDEX(Lists!H:H,MATCH(Validation!E6881,Lists!G:G,0))</f>
        <v>Enter an amount only. Do not enter text or spaces.</v>
      </c>
      <c r="H6881" s="16" t="str">
        <f t="shared" ca="1" si="759"/>
        <v/>
      </c>
      <c r="I6881" s="16" t="str">
        <f t="shared" ca="1" si="760"/>
        <v/>
      </c>
      <c r="J6881" s="17" t="str">
        <f t="shared" ca="1" si="761"/>
        <v/>
      </c>
    </row>
    <row r="6882" spans="1:10" x14ac:dyDescent="0.25">
      <c r="A6882" t="s">
        <v>940</v>
      </c>
      <c r="B6882" t="str">
        <f>ADDRESS(ROW('Loan 1'!$C$41),COLUMN('Loan 1'!$C$41),4)</f>
        <v>C41</v>
      </c>
      <c r="C6882" t="str">
        <f>ADDRESS(ROW('Loan 1'!$D$41),COLUMN('Loan 1'!$D$41),4)</f>
        <v>D41</v>
      </c>
      <c r="D6882" t="b" cm="1">
        <f t="array" aca="1" ref="D6882" ca="1">IF(INDIRECT("'"&amp;A6882&amp;"'!"&amp;B6882)="",FALSE,IF(NOT(ISNUMBER(INDIRECT("'"&amp;A6882&amp;"'!"&amp;B6882))),TRUE,FALSE))</f>
        <v>0</v>
      </c>
      <c r="E6882" t="s">
        <v>435</v>
      </c>
      <c r="F6882" t="str">
        <f>INDEX(Lists!I:I,MATCH(Validation!E6882,Lists!G:G,0))</f>
        <v>Error</v>
      </c>
      <c r="G6882" t="str">
        <f>INDEX(Lists!H:H,MATCH(Validation!E6882,Lists!G:G,0))</f>
        <v>Enter an amount only. Do not enter text or spaces.</v>
      </c>
      <c r="H6882" s="16" t="str">
        <f t="shared" ca="1" si="759"/>
        <v/>
      </c>
      <c r="I6882" s="16" t="str">
        <f t="shared" ca="1" si="760"/>
        <v/>
      </c>
      <c r="J6882" s="17" t="str">
        <f t="shared" ca="1" si="761"/>
        <v/>
      </c>
    </row>
    <row r="6883" spans="1:10" x14ac:dyDescent="0.25">
      <c r="A6883" t="s">
        <v>941</v>
      </c>
      <c r="B6883" t="str">
        <f>ADDRESS(ROW('Loan 1'!$C$41),COLUMN('Loan 1'!$C$41),4)</f>
        <v>C41</v>
      </c>
      <c r="C6883" t="str">
        <f>ADDRESS(ROW('Loan 1'!$D$41),COLUMN('Loan 1'!$D$41),4)</f>
        <v>D41</v>
      </c>
      <c r="D6883" t="b" cm="1">
        <f t="array" aca="1" ref="D6883" ca="1">IF(INDIRECT("'"&amp;A6883&amp;"'!"&amp;B6883)="",FALSE,IF(NOT(ISNUMBER(INDIRECT("'"&amp;A6883&amp;"'!"&amp;B6883))),TRUE,FALSE))</f>
        <v>0</v>
      </c>
      <c r="E6883" t="s">
        <v>435</v>
      </c>
      <c r="F6883" t="str">
        <f>INDEX(Lists!I:I,MATCH(Validation!E6883,Lists!G:G,0))</f>
        <v>Error</v>
      </c>
      <c r="G6883" t="str">
        <f>INDEX(Lists!H:H,MATCH(Validation!E6883,Lists!G:G,0))</f>
        <v>Enter an amount only. Do not enter text or spaces.</v>
      </c>
      <c r="H6883" s="16" t="str">
        <f t="shared" ca="1" si="759"/>
        <v/>
      </c>
      <c r="I6883" s="16" t="str">
        <f t="shared" ca="1" si="760"/>
        <v/>
      </c>
      <c r="J6883" s="17" t="str">
        <f t="shared" ca="1" si="761"/>
        <v/>
      </c>
    </row>
    <row r="6884" spans="1:10" x14ac:dyDescent="0.25">
      <c r="A6884" t="s">
        <v>942</v>
      </c>
      <c r="B6884" t="str">
        <f>ADDRESS(ROW('Loan 1'!$C$41),COLUMN('Loan 1'!$C$41),4)</f>
        <v>C41</v>
      </c>
      <c r="C6884" t="str">
        <f>ADDRESS(ROW('Loan 1'!$D$41),COLUMN('Loan 1'!$D$41),4)</f>
        <v>D41</v>
      </c>
      <c r="D6884" t="b" cm="1">
        <f t="array" aca="1" ref="D6884" ca="1">IF(INDIRECT("'"&amp;A6884&amp;"'!"&amp;B6884)="",FALSE,IF(NOT(ISNUMBER(INDIRECT("'"&amp;A6884&amp;"'!"&amp;B6884))),TRUE,FALSE))</f>
        <v>0</v>
      </c>
      <c r="E6884" t="s">
        <v>435</v>
      </c>
      <c r="F6884" t="str">
        <f>INDEX(Lists!I:I,MATCH(Validation!E6884,Lists!G:G,0))</f>
        <v>Error</v>
      </c>
      <c r="G6884" t="str">
        <f>INDEX(Lists!H:H,MATCH(Validation!E6884,Lists!G:G,0))</f>
        <v>Enter an amount only. Do not enter text or spaces.</v>
      </c>
      <c r="H6884" s="16" t="str">
        <f t="shared" ca="1" si="759"/>
        <v/>
      </c>
      <c r="I6884" s="16" t="str">
        <f t="shared" ca="1" si="760"/>
        <v/>
      </c>
      <c r="J6884" s="17" t="str">
        <f t="shared" ca="1" si="761"/>
        <v/>
      </c>
    </row>
    <row r="6885" spans="1:10" x14ac:dyDescent="0.25">
      <c r="A6885" t="s">
        <v>943</v>
      </c>
      <c r="B6885" t="str">
        <f>ADDRESS(ROW('Loan 1'!$C$41),COLUMN('Loan 1'!$C$41),4)</f>
        <v>C41</v>
      </c>
      <c r="C6885" t="str">
        <f>ADDRESS(ROW('Loan 1'!$D$41),COLUMN('Loan 1'!$D$41),4)</f>
        <v>D41</v>
      </c>
      <c r="D6885" t="b" cm="1">
        <f t="array" aca="1" ref="D6885" ca="1">IF(INDIRECT("'"&amp;A6885&amp;"'!"&amp;B6885)="",FALSE,IF(NOT(ISNUMBER(INDIRECT("'"&amp;A6885&amp;"'!"&amp;B6885))),TRUE,FALSE))</f>
        <v>0</v>
      </c>
      <c r="E6885" t="s">
        <v>435</v>
      </c>
      <c r="F6885" t="str">
        <f>INDEX(Lists!I:I,MATCH(Validation!E6885,Lists!G:G,0))</f>
        <v>Error</v>
      </c>
      <c r="G6885" t="str">
        <f>INDEX(Lists!H:H,MATCH(Validation!E6885,Lists!G:G,0))</f>
        <v>Enter an amount only. Do not enter text or spaces.</v>
      </c>
      <c r="H6885" s="16" t="str">
        <f t="shared" ca="1" si="759"/>
        <v/>
      </c>
      <c r="I6885" s="16" t="str">
        <f t="shared" ca="1" si="760"/>
        <v/>
      </c>
      <c r="J6885" s="17" t="str">
        <f t="shared" ca="1" si="761"/>
        <v/>
      </c>
    </row>
    <row r="6886" spans="1:10" x14ac:dyDescent="0.25">
      <c r="A6886" t="s">
        <v>944</v>
      </c>
      <c r="B6886" t="str">
        <f>ADDRESS(ROW('Loan 1'!$C$41),COLUMN('Loan 1'!$C$41),4)</f>
        <v>C41</v>
      </c>
      <c r="C6886" t="str">
        <f>ADDRESS(ROW('Loan 1'!$D$41),COLUMN('Loan 1'!$D$41),4)</f>
        <v>D41</v>
      </c>
      <c r="D6886" t="b" cm="1">
        <f t="array" aca="1" ref="D6886" ca="1">IF(INDIRECT("'"&amp;A6886&amp;"'!"&amp;B6886)="",FALSE,IF(NOT(ISNUMBER(INDIRECT("'"&amp;A6886&amp;"'!"&amp;B6886))),TRUE,FALSE))</f>
        <v>0</v>
      </c>
      <c r="E6886" t="s">
        <v>435</v>
      </c>
      <c r="F6886" t="str">
        <f>INDEX(Lists!I:I,MATCH(Validation!E6886,Lists!G:G,0))</f>
        <v>Error</v>
      </c>
      <c r="G6886" t="str">
        <f>INDEX(Lists!H:H,MATCH(Validation!E6886,Lists!G:G,0))</f>
        <v>Enter an amount only. Do not enter text or spaces.</v>
      </c>
      <c r="H6886" s="16" t="str">
        <f t="shared" ca="1" si="759"/>
        <v/>
      </c>
      <c r="I6886" s="16" t="str">
        <f t="shared" ca="1" si="760"/>
        <v/>
      </c>
      <c r="J6886" s="17" t="str">
        <f t="shared" ca="1" si="761"/>
        <v/>
      </c>
    </row>
    <row r="6887" spans="1:10" x14ac:dyDescent="0.25">
      <c r="A6887" t="s">
        <v>945</v>
      </c>
      <c r="B6887" t="str">
        <f>ADDRESS(ROW('Loan 1'!$C$41),COLUMN('Loan 1'!$C$41),4)</f>
        <v>C41</v>
      </c>
      <c r="C6887" t="str">
        <f>ADDRESS(ROW('Loan 1'!$D$41),COLUMN('Loan 1'!$D$41),4)</f>
        <v>D41</v>
      </c>
      <c r="D6887" t="b" cm="1">
        <f t="array" aca="1" ref="D6887" ca="1">IF(INDIRECT("'"&amp;A6887&amp;"'!"&amp;B6887)="",FALSE,IF(NOT(ISNUMBER(INDIRECT("'"&amp;A6887&amp;"'!"&amp;B6887))),TRUE,FALSE))</f>
        <v>0</v>
      </c>
      <c r="E6887" t="s">
        <v>435</v>
      </c>
      <c r="F6887" t="str">
        <f>INDEX(Lists!I:I,MATCH(Validation!E6887,Lists!G:G,0))</f>
        <v>Error</v>
      </c>
      <c r="G6887" t="str">
        <f>INDEX(Lists!H:H,MATCH(Validation!E6887,Lists!G:G,0))</f>
        <v>Enter an amount only. Do not enter text or spaces.</v>
      </c>
      <c r="H6887" s="16" t="str">
        <f t="shared" ca="1" si="759"/>
        <v/>
      </c>
      <c r="I6887" s="16" t="str">
        <f t="shared" ca="1" si="760"/>
        <v/>
      </c>
      <c r="J6887" s="17" t="str">
        <f t="shared" ca="1" si="761"/>
        <v/>
      </c>
    </row>
    <row r="6888" spans="1:10" x14ac:dyDescent="0.25">
      <c r="A6888" t="s">
        <v>205</v>
      </c>
      <c r="B6888" t="str">
        <f>ADDRESS(ROW('Loan 1'!$C$41),COLUMN('Loan 1'!$C$41),4)</f>
        <v>C41</v>
      </c>
      <c r="C6888" t="str">
        <f>ADDRESS(ROW('Loan 1'!$D$41),COLUMN('Loan 1'!$D$41),4)</f>
        <v>D41</v>
      </c>
      <c r="D6888" t="b" cm="1">
        <f t="array" aca="1" ref="D6888" ca="1">IF(INDIRECT("'"&amp;A6888&amp;"'!"&amp;B6888)="",FALSE,IF(INDIRECT("'"&amp;A6888&amp;"'!"&amp;B6888)&lt;0,TRUE,FALSE))</f>
        <v>0</v>
      </c>
      <c r="E6888" t="s">
        <v>434</v>
      </c>
      <c r="F6888" t="str">
        <f>INDEX(Lists!I:I,MATCH(Validation!E6888,Lists!G:G,0))</f>
        <v>Error</v>
      </c>
      <c r="G6888" t="str">
        <f>INDEX(Lists!H:H,MATCH(Validation!E6888,Lists!G:G,0))</f>
        <v>Amount may not be negative. Enter an amount greater than or equal to zero.</v>
      </c>
      <c r="H6888" s="16" t="str">
        <f t="shared" ca="1" si="759"/>
        <v/>
      </c>
      <c r="I6888" s="16" t="str">
        <f t="shared" ca="1" si="760"/>
        <v/>
      </c>
      <c r="J6888" s="17" t="str">
        <f t="shared" ca="1" si="761"/>
        <v/>
      </c>
    </row>
    <row r="6889" spans="1:10" x14ac:dyDescent="0.25">
      <c r="A6889" t="s">
        <v>932</v>
      </c>
      <c r="B6889" t="str">
        <f>ADDRESS(ROW('Loan 1'!$C$41),COLUMN('Loan 1'!$C$41),4)</f>
        <v>C41</v>
      </c>
      <c r="C6889" t="str">
        <f>ADDRESS(ROW('Loan 1'!$D$41),COLUMN('Loan 1'!$D$41),4)</f>
        <v>D41</v>
      </c>
      <c r="D6889" t="b" cm="1">
        <f t="array" aca="1" ref="D6889" ca="1">IF(INDIRECT("'"&amp;A6889&amp;"'!"&amp;B6889)="",FALSE,IF(INDIRECT("'"&amp;A6889&amp;"'!"&amp;B6889)&lt;0,TRUE,FALSE))</f>
        <v>0</v>
      </c>
      <c r="E6889" t="s">
        <v>434</v>
      </c>
      <c r="F6889" t="str">
        <f>INDEX(Lists!I:I,MATCH(Validation!E6889,Lists!G:G,0))</f>
        <v>Error</v>
      </c>
      <c r="G6889" t="str">
        <f>INDEX(Lists!H:H,MATCH(Validation!E6889,Lists!G:G,0))</f>
        <v>Amount may not be negative. Enter an amount greater than or equal to zero.</v>
      </c>
      <c r="H6889" s="16" t="str">
        <f t="shared" ref="H6889:H6902" ca="1" si="783">IFERROR(IF(OR(NOT(D6889),F6889&lt;&gt;"Error"),"",A6889&amp;CELL("address",INDIRECT(B6889))),"")</f>
        <v/>
      </c>
      <c r="I6889" s="16" t="str">
        <f t="shared" ref="I6889:I6902" ca="1" si="784">IFERROR(IF(NOT(D6889),"",A6889&amp;CELL("address",INDIRECT(C6889))),"")</f>
        <v/>
      </c>
      <c r="J6889" s="17" t="str">
        <f t="shared" ref="J6889:J6902" ca="1" si="785">IFERROR(IF(NOT(D6889),"",A6889),"")</f>
        <v/>
      </c>
    </row>
    <row r="6890" spans="1:10" x14ac:dyDescent="0.25">
      <c r="A6890" t="s">
        <v>933</v>
      </c>
      <c r="B6890" t="str">
        <f>ADDRESS(ROW('Loan 1'!$C$41),COLUMN('Loan 1'!$C$41),4)</f>
        <v>C41</v>
      </c>
      <c r="C6890" t="str">
        <f>ADDRESS(ROW('Loan 1'!$D$41),COLUMN('Loan 1'!$D$41),4)</f>
        <v>D41</v>
      </c>
      <c r="D6890" t="b" cm="1">
        <f t="array" aca="1" ref="D6890" ca="1">IF(INDIRECT("'"&amp;A6890&amp;"'!"&amp;B6890)="",FALSE,IF(INDIRECT("'"&amp;A6890&amp;"'!"&amp;B6890)&lt;0,TRUE,FALSE))</f>
        <v>0</v>
      </c>
      <c r="E6890" t="s">
        <v>434</v>
      </c>
      <c r="F6890" t="str">
        <f>INDEX(Lists!I:I,MATCH(Validation!E6890,Lists!G:G,0))</f>
        <v>Error</v>
      </c>
      <c r="G6890" t="str">
        <f>INDEX(Lists!H:H,MATCH(Validation!E6890,Lists!G:G,0))</f>
        <v>Amount may not be negative. Enter an amount greater than or equal to zero.</v>
      </c>
      <c r="H6890" s="16" t="str">
        <f t="shared" ca="1" si="783"/>
        <v/>
      </c>
      <c r="I6890" s="16" t="str">
        <f t="shared" ca="1" si="784"/>
        <v/>
      </c>
      <c r="J6890" s="17" t="str">
        <f t="shared" ca="1" si="785"/>
        <v/>
      </c>
    </row>
    <row r="6891" spans="1:10" x14ac:dyDescent="0.25">
      <c r="A6891" t="s">
        <v>934</v>
      </c>
      <c r="B6891" t="str">
        <f>ADDRESS(ROW('Loan 1'!$C$41),COLUMN('Loan 1'!$C$41),4)</f>
        <v>C41</v>
      </c>
      <c r="C6891" t="str">
        <f>ADDRESS(ROW('Loan 1'!$D$41),COLUMN('Loan 1'!$D$41),4)</f>
        <v>D41</v>
      </c>
      <c r="D6891" t="b" cm="1">
        <f t="array" aca="1" ref="D6891" ca="1">IF(INDIRECT("'"&amp;A6891&amp;"'!"&amp;B6891)="",FALSE,IF(INDIRECT("'"&amp;A6891&amp;"'!"&amp;B6891)&lt;0,TRUE,FALSE))</f>
        <v>0</v>
      </c>
      <c r="E6891" t="s">
        <v>434</v>
      </c>
      <c r="F6891" t="str">
        <f>INDEX(Lists!I:I,MATCH(Validation!E6891,Lists!G:G,0))</f>
        <v>Error</v>
      </c>
      <c r="G6891" t="str">
        <f>INDEX(Lists!H:H,MATCH(Validation!E6891,Lists!G:G,0))</f>
        <v>Amount may not be negative. Enter an amount greater than or equal to zero.</v>
      </c>
      <c r="H6891" s="16" t="str">
        <f t="shared" ca="1" si="783"/>
        <v/>
      </c>
      <c r="I6891" s="16" t="str">
        <f t="shared" ca="1" si="784"/>
        <v/>
      </c>
      <c r="J6891" s="17" t="str">
        <f t="shared" ca="1" si="785"/>
        <v/>
      </c>
    </row>
    <row r="6892" spans="1:10" x14ac:dyDescent="0.25">
      <c r="A6892" t="s">
        <v>935</v>
      </c>
      <c r="B6892" t="str">
        <f>ADDRESS(ROW('Loan 1'!$C$41),COLUMN('Loan 1'!$C$41),4)</f>
        <v>C41</v>
      </c>
      <c r="C6892" t="str">
        <f>ADDRESS(ROW('Loan 1'!$D$41),COLUMN('Loan 1'!$D$41),4)</f>
        <v>D41</v>
      </c>
      <c r="D6892" t="b" cm="1">
        <f t="array" aca="1" ref="D6892" ca="1">IF(INDIRECT("'"&amp;A6892&amp;"'!"&amp;B6892)="",FALSE,IF(INDIRECT("'"&amp;A6892&amp;"'!"&amp;B6892)&lt;0,TRUE,FALSE))</f>
        <v>0</v>
      </c>
      <c r="E6892" t="s">
        <v>434</v>
      </c>
      <c r="F6892" t="str">
        <f>INDEX(Lists!I:I,MATCH(Validation!E6892,Lists!G:G,0))</f>
        <v>Error</v>
      </c>
      <c r="G6892" t="str">
        <f>INDEX(Lists!H:H,MATCH(Validation!E6892,Lists!G:G,0))</f>
        <v>Amount may not be negative. Enter an amount greater than or equal to zero.</v>
      </c>
      <c r="H6892" s="16" t="str">
        <f t="shared" ca="1" si="783"/>
        <v/>
      </c>
      <c r="I6892" s="16" t="str">
        <f t="shared" ca="1" si="784"/>
        <v/>
      </c>
      <c r="J6892" s="17" t="str">
        <f t="shared" ca="1" si="785"/>
        <v/>
      </c>
    </row>
    <row r="6893" spans="1:10" x14ac:dyDescent="0.25">
      <c r="A6893" t="s">
        <v>936</v>
      </c>
      <c r="B6893" t="str">
        <f>ADDRESS(ROW('Loan 1'!$C$41),COLUMN('Loan 1'!$C$41),4)</f>
        <v>C41</v>
      </c>
      <c r="C6893" t="str">
        <f>ADDRESS(ROW('Loan 1'!$D$41),COLUMN('Loan 1'!$D$41),4)</f>
        <v>D41</v>
      </c>
      <c r="D6893" t="b" cm="1">
        <f t="array" aca="1" ref="D6893" ca="1">IF(INDIRECT("'"&amp;A6893&amp;"'!"&amp;B6893)="",FALSE,IF(INDIRECT("'"&amp;A6893&amp;"'!"&amp;B6893)&lt;0,TRUE,FALSE))</f>
        <v>0</v>
      </c>
      <c r="E6893" t="s">
        <v>434</v>
      </c>
      <c r="F6893" t="str">
        <f>INDEX(Lists!I:I,MATCH(Validation!E6893,Lists!G:G,0))</f>
        <v>Error</v>
      </c>
      <c r="G6893" t="str">
        <f>INDEX(Lists!H:H,MATCH(Validation!E6893,Lists!G:G,0))</f>
        <v>Amount may not be negative. Enter an amount greater than or equal to zero.</v>
      </c>
      <c r="H6893" s="16" t="str">
        <f t="shared" ca="1" si="783"/>
        <v/>
      </c>
      <c r="I6893" s="16" t="str">
        <f t="shared" ca="1" si="784"/>
        <v/>
      </c>
      <c r="J6893" s="17" t="str">
        <f t="shared" ca="1" si="785"/>
        <v/>
      </c>
    </row>
    <row r="6894" spans="1:10" x14ac:dyDescent="0.25">
      <c r="A6894" t="s">
        <v>937</v>
      </c>
      <c r="B6894" t="str">
        <f>ADDRESS(ROW('Loan 1'!$C$41),COLUMN('Loan 1'!$C$41),4)</f>
        <v>C41</v>
      </c>
      <c r="C6894" t="str">
        <f>ADDRESS(ROW('Loan 1'!$D$41),COLUMN('Loan 1'!$D$41),4)</f>
        <v>D41</v>
      </c>
      <c r="D6894" t="b" cm="1">
        <f t="array" aca="1" ref="D6894" ca="1">IF(INDIRECT("'"&amp;A6894&amp;"'!"&amp;B6894)="",FALSE,IF(INDIRECT("'"&amp;A6894&amp;"'!"&amp;B6894)&lt;0,TRUE,FALSE))</f>
        <v>0</v>
      </c>
      <c r="E6894" t="s">
        <v>434</v>
      </c>
      <c r="F6894" t="str">
        <f>INDEX(Lists!I:I,MATCH(Validation!E6894,Lists!G:G,0))</f>
        <v>Error</v>
      </c>
      <c r="G6894" t="str">
        <f>INDEX(Lists!H:H,MATCH(Validation!E6894,Lists!G:G,0))</f>
        <v>Amount may not be negative. Enter an amount greater than or equal to zero.</v>
      </c>
      <c r="H6894" s="16" t="str">
        <f t="shared" ca="1" si="783"/>
        <v/>
      </c>
      <c r="I6894" s="16" t="str">
        <f t="shared" ca="1" si="784"/>
        <v/>
      </c>
      <c r="J6894" s="17" t="str">
        <f t="shared" ca="1" si="785"/>
        <v/>
      </c>
    </row>
    <row r="6895" spans="1:10" x14ac:dyDescent="0.25">
      <c r="A6895" t="s">
        <v>938</v>
      </c>
      <c r="B6895" t="str">
        <f>ADDRESS(ROW('Loan 1'!$C$41),COLUMN('Loan 1'!$C$41),4)</f>
        <v>C41</v>
      </c>
      <c r="C6895" t="str">
        <f>ADDRESS(ROW('Loan 1'!$D$41),COLUMN('Loan 1'!$D$41),4)</f>
        <v>D41</v>
      </c>
      <c r="D6895" t="b" cm="1">
        <f t="array" aca="1" ref="D6895" ca="1">IF(INDIRECT("'"&amp;A6895&amp;"'!"&amp;B6895)="",FALSE,IF(INDIRECT("'"&amp;A6895&amp;"'!"&amp;B6895)&lt;0,TRUE,FALSE))</f>
        <v>0</v>
      </c>
      <c r="E6895" t="s">
        <v>434</v>
      </c>
      <c r="F6895" t="str">
        <f>INDEX(Lists!I:I,MATCH(Validation!E6895,Lists!G:G,0))</f>
        <v>Error</v>
      </c>
      <c r="G6895" t="str">
        <f>INDEX(Lists!H:H,MATCH(Validation!E6895,Lists!G:G,0))</f>
        <v>Amount may not be negative. Enter an amount greater than or equal to zero.</v>
      </c>
      <c r="H6895" s="16" t="str">
        <f t="shared" ca="1" si="783"/>
        <v/>
      </c>
      <c r="I6895" s="16" t="str">
        <f t="shared" ca="1" si="784"/>
        <v/>
      </c>
      <c r="J6895" s="17" t="str">
        <f t="shared" ca="1" si="785"/>
        <v/>
      </c>
    </row>
    <row r="6896" spans="1:10" x14ac:dyDescent="0.25">
      <c r="A6896" t="s">
        <v>939</v>
      </c>
      <c r="B6896" t="str">
        <f>ADDRESS(ROW('Loan 1'!$C$41),COLUMN('Loan 1'!$C$41),4)</f>
        <v>C41</v>
      </c>
      <c r="C6896" t="str">
        <f>ADDRESS(ROW('Loan 1'!$D$41),COLUMN('Loan 1'!$D$41),4)</f>
        <v>D41</v>
      </c>
      <c r="D6896" t="b" cm="1">
        <f t="array" aca="1" ref="D6896" ca="1">IF(INDIRECT("'"&amp;A6896&amp;"'!"&amp;B6896)="",FALSE,IF(INDIRECT("'"&amp;A6896&amp;"'!"&amp;B6896)&lt;0,TRUE,FALSE))</f>
        <v>0</v>
      </c>
      <c r="E6896" t="s">
        <v>434</v>
      </c>
      <c r="F6896" t="str">
        <f>INDEX(Lists!I:I,MATCH(Validation!E6896,Lists!G:G,0))</f>
        <v>Error</v>
      </c>
      <c r="G6896" t="str">
        <f>INDEX(Lists!H:H,MATCH(Validation!E6896,Lists!G:G,0))</f>
        <v>Amount may not be negative. Enter an amount greater than or equal to zero.</v>
      </c>
      <c r="H6896" s="16" t="str">
        <f t="shared" ca="1" si="783"/>
        <v/>
      </c>
      <c r="I6896" s="16" t="str">
        <f t="shared" ca="1" si="784"/>
        <v/>
      </c>
      <c r="J6896" s="17" t="str">
        <f t="shared" ca="1" si="785"/>
        <v/>
      </c>
    </row>
    <row r="6897" spans="1:10" x14ac:dyDescent="0.25">
      <c r="A6897" t="s">
        <v>940</v>
      </c>
      <c r="B6897" t="str">
        <f>ADDRESS(ROW('Loan 1'!$C$41),COLUMN('Loan 1'!$C$41),4)</f>
        <v>C41</v>
      </c>
      <c r="C6897" t="str">
        <f>ADDRESS(ROW('Loan 1'!$D$41),COLUMN('Loan 1'!$D$41),4)</f>
        <v>D41</v>
      </c>
      <c r="D6897" t="b" cm="1">
        <f t="array" aca="1" ref="D6897" ca="1">IF(INDIRECT("'"&amp;A6897&amp;"'!"&amp;B6897)="",FALSE,IF(INDIRECT("'"&amp;A6897&amp;"'!"&amp;B6897)&lt;0,TRUE,FALSE))</f>
        <v>0</v>
      </c>
      <c r="E6897" t="s">
        <v>434</v>
      </c>
      <c r="F6897" t="str">
        <f>INDEX(Lists!I:I,MATCH(Validation!E6897,Lists!G:G,0))</f>
        <v>Error</v>
      </c>
      <c r="G6897" t="str">
        <f>INDEX(Lists!H:H,MATCH(Validation!E6897,Lists!G:G,0))</f>
        <v>Amount may not be negative. Enter an amount greater than or equal to zero.</v>
      </c>
      <c r="H6897" s="16" t="str">
        <f t="shared" ca="1" si="783"/>
        <v/>
      </c>
      <c r="I6897" s="16" t="str">
        <f t="shared" ca="1" si="784"/>
        <v/>
      </c>
      <c r="J6897" s="17" t="str">
        <f t="shared" ca="1" si="785"/>
        <v/>
      </c>
    </row>
    <row r="6898" spans="1:10" x14ac:dyDescent="0.25">
      <c r="A6898" t="s">
        <v>941</v>
      </c>
      <c r="B6898" t="str">
        <f>ADDRESS(ROW('Loan 1'!$C$41),COLUMN('Loan 1'!$C$41),4)</f>
        <v>C41</v>
      </c>
      <c r="C6898" t="str">
        <f>ADDRESS(ROW('Loan 1'!$D$41),COLUMN('Loan 1'!$D$41),4)</f>
        <v>D41</v>
      </c>
      <c r="D6898" t="b" cm="1">
        <f t="array" aca="1" ref="D6898" ca="1">IF(INDIRECT("'"&amp;A6898&amp;"'!"&amp;B6898)="",FALSE,IF(INDIRECT("'"&amp;A6898&amp;"'!"&amp;B6898)&lt;0,TRUE,FALSE))</f>
        <v>0</v>
      </c>
      <c r="E6898" t="s">
        <v>434</v>
      </c>
      <c r="F6898" t="str">
        <f>INDEX(Lists!I:I,MATCH(Validation!E6898,Lists!G:G,0))</f>
        <v>Error</v>
      </c>
      <c r="G6898" t="str">
        <f>INDEX(Lists!H:H,MATCH(Validation!E6898,Lists!G:G,0))</f>
        <v>Amount may not be negative. Enter an amount greater than or equal to zero.</v>
      </c>
      <c r="H6898" s="16" t="str">
        <f t="shared" ca="1" si="783"/>
        <v/>
      </c>
      <c r="I6898" s="16" t="str">
        <f t="shared" ca="1" si="784"/>
        <v/>
      </c>
      <c r="J6898" s="17" t="str">
        <f t="shared" ca="1" si="785"/>
        <v/>
      </c>
    </row>
    <row r="6899" spans="1:10" x14ac:dyDescent="0.25">
      <c r="A6899" t="s">
        <v>942</v>
      </c>
      <c r="B6899" t="str">
        <f>ADDRESS(ROW('Loan 1'!$C$41),COLUMN('Loan 1'!$C$41),4)</f>
        <v>C41</v>
      </c>
      <c r="C6899" t="str">
        <f>ADDRESS(ROW('Loan 1'!$D$41),COLUMN('Loan 1'!$D$41),4)</f>
        <v>D41</v>
      </c>
      <c r="D6899" t="b" cm="1">
        <f t="array" aca="1" ref="D6899" ca="1">IF(INDIRECT("'"&amp;A6899&amp;"'!"&amp;B6899)="",FALSE,IF(INDIRECT("'"&amp;A6899&amp;"'!"&amp;B6899)&lt;0,TRUE,FALSE))</f>
        <v>0</v>
      </c>
      <c r="E6899" t="s">
        <v>434</v>
      </c>
      <c r="F6899" t="str">
        <f>INDEX(Lists!I:I,MATCH(Validation!E6899,Lists!G:G,0))</f>
        <v>Error</v>
      </c>
      <c r="G6899" t="str">
        <f>INDEX(Lists!H:H,MATCH(Validation!E6899,Lists!G:G,0))</f>
        <v>Amount may not be negative. Enter an amount greater than or equal to zero.</v>
      </c>
      <c r="H6899" s="16" t="str">
        <f t="shared" ca="1" si="783"/>
        <v/>
      </c>
      <c r="I6899" s="16" t="str">
        <f t="shared" ca="1" si="784"/>
        <v/>
      </c>
      <c r="J6899" s="17" t="str">
        <f t="shared" ca="1" si="785"/>
        <v/>
      </c>
    </row>
    <row r="6900" spans="1:10" x14ac:dyDescent="0.25">
      <c r="A6900" t="s">
        <v>943</v>
      </c>
      <c r="B6900" t="str">
        <f>ADDRESS(ROW('Loan 1'!$C$41),COLUMN('Loan 1'!$C$41),4)</f>
        <v>C41</v>
      </c>
      <c r="C6900" t="str">
        <f>ADDRESS(ROW('Loan 1'!$D$41),COLUMN('Loan 1'!$D$41),4)</f>
        <v>D41</v>
      </c>
      <c r="D6900" t="b" cm="1">
        <f t="array" aca="1" ref="D6900" ca="1">IF(INDIRECT("'"&amp;A6900&amp;"'!"&amp;B6900)="",FALSE,IF(INDIRECT("'"&amp;A6900&amp;"'!"&amp;B6900)&lt;0,TRUE,FALSE))</f>
        <v>0</v>
      </c>
      <c r="E6900" t="s">
        <v>434</v>
      </c>
      <c r="F6900" t="str">
        <f>INDEX(Lists!I:I,MATCH(Validation!E6900,Lists!G:G,0))</f>
        <v>Error</v>
      </c>
      <c r="G6900" t="str">
        <f>INDEX(Lists!H:H,MATCH(Validation!E6900,Lists!G:G,0))</f>
        <v>Amount may not be negative. Enter an amount greater than or equal to zero.</v>
      </c>
      <c r="H6900" s="16" t="str">
        <f t="shared" ca="1" si="783"/>
        <v/>
      </c>
      <c r="I6900" s="16" t="str">
        <f t="shared" ca="1" si="784"/>
        <v/>
      </c>
      <c r="J6900" s="17" t="str">
        <f t="shared" ca="1" si="785"/>
        <v/>
      </c>
    </row>
    <row r="6901" spans="1:10" x14ac:dyDescent="0.25">
      <c r="A6901" t="s">
        <v>944</v>
      </c>
      <c r="B6901" t="str">
        <f>ADDRESS(ROW('Loan 1'!$C$41),COLUMN('Loan 1'!$C$41),4)</f>
        <v>C41</v>
      </c>
      <c r="C6901" t="str">
        <f>ADDRESS(ROW('Loan 1'!$D$41),COLUMN('Loan 1'!$D$41),4)</f>
        <v>D41</v>
      </c>
      <c r="D6901" t="b" cm="1">
        <f t="array" aca="1" ref="D6901" ca="1">IF(INDIRECT("'"&amp;A6901&amp;"'!"&amp;B6901)="",FALSE,IF(INDIRECT("'"&amp;A6901&amp;"'!"&amp;B6901)&lt;0,TRUE,FALSE))</f>
        <v>0</v>
      </c>
      <c r="E6901" t="s">
        <v>434</v>
      </c>
      <c r="F6901" t="str">
        <f>INDEX(Lists!I:I,MATCH(Validation!E6901,Lists!G:G,0))</f>
        <v>Error</v>
      </c>
      <c r="G6901" t="str">
        <f>INDEX(Lists!H:H,MATCH(Validation!E6901,Lists!G:G,0))</f>
        <v>Amount may not be negative. Enter an amount greater than or equal to zero.</v>
      </c>
      <c r="H6901" s="16" t="str">
        <f t="shared" ca="1" si="783"/>
        <v/>
      </c>
      <c r="I6901" s="16" t="str">
        <f t="shared" ca="1" si="784"/>
        <v/>
      </c>
      <c r="J6901" s="17" t="str">
        <f t="shared" ca="1" si="785"/>
        <v/>
      </c>
    </row>
    <row r="6902" spans="1:10" x14ac:dyDescent="0.25">
      <c r="A6902" t="s">
        <v>945</v>
      </c>
      <c r="B6902" t="str">
        <f>ADDRESS(ROW('Loan 1'!$C$41),COLUMN('Loan 1'!$C$41),4)</f>
        <v>C41</v>
      </c>
      <c r="C6902" t="str">
        <f>ADDRESS(ROW('Loan 1'!$D$41),COLUMN('Loan 1'!$D$41),4)</f>
        <v>D41</v>
      </c>
      <c r="D6902" t="b" cm="1">
        <f t="array" aca="1" ref="D6902" ca="1">IF(INDIRECT("'"&amp;A6902&amp;"'!"&amp;B6902)="",FALSE,IF(INDIRECT("'"&amp;A6902&amp;"'!"&amp;B6902)&lt;0,TRUE,FALSE))</f>
        <v>0</v>
      </c>
      <c r="E6902" t="s">
        <v>434</v>
      </c>
      <c r="F6902" t="str">
        <f>INDEX(Lists!I:I,MATCH(Validation!E6902,Lists!G:G,0))</f>
        <v>Error</v>
      </c>
      <c r="G6902" t="str">
        <f>INDEX(Lists!H:H,MATCH(Validation!E6902,Lists!G:G,0))</f>
        <v>Amount may not be negative. Enter an amount greater than or equal to zero.</v>
      </c>
      <c r="H6902" s="16" t="str">
        <f t="shared" ca="1" si="783"/>
        <v/>
      </c>
      <c r="I6902" s="16" t="str">
        <f t="shared" ca="1" si="784"/>
        <v/>
      </c>
      <c r="J6902" s="17" t="str">
        <f t="shared" ca="1" si="785"/>
        <v/>
      </c>
    </row>
    <row r="6903" spans="1:10" x14ac:dyDescent="0.25">
      <c r="A6903" t="s">
        <v>205</v>
      </c>
      <c r="B6903" t="str">
        <f>ADDRESS(ROW('Loan 1'!$C$41),COLUMN('Loan 1'!$C$41),4)</f>
        <v>C41</v>
      </c>
      <c r="C6903" t="str">
        <f>ADDRESS(ROW('Loan 1'!$D$41),COLUMN('Loan 1'!$D$41),4)</f>
        <v>D41</v>
      </c>
      <c r="D6903" t="b" cm="1">
        <f t="array" aca="1" ref="D6903" ca="1">IF(INDIRECT("'"&amp;A6903&amp;"'!"&amp;B6903)="",FALSE,IF(TRUNC(INDIRECT("'"&amp;A6903&amp;"'!"&amp;B6903))=INDIRECT("'"&amp;A6903&amp;"'!"&amp;B6903),FALSE,TRUE))</f>
        <v>0</v>
      </c>
      <c r="E6903" t="s">
        <v>436</v>
      </c>
      <c r="F6903" t="str">
        <f>INDEX(Lists!I:I,MATCH(Validation!E6903,Lists!G:G,0))</f>
        <v>Error</v>
      </c>
      <c r="G6903" t="str">
        <f>INDEX(Lists!H:H,MATCH(Validation!E6903,Lists!G:G,0))</f>
        <v>Amount must be rounded to the nearest dollar.</v>
      </c>
      <c r="H6903" s="16" t="str">
        <f t="shared" ca="1" si="759"/>
        <v/>
      </c>
      <c r="I6903" s="16" t="str">
        <f t="shared" ca="1" si="760"/>
        <v/>
      </c>
      <c r="J6903" s="17" t="str">
        <f t="shared" ca="1" si="761"/>
        <v/>
      </c>
    </row>
    <row r="6904" spans="1:10" x14ac:dyDescent="0.25">
      <c r="A6904" t="s">
        <v>932</v>
      </c>
      <c r="B6904" t="str">
        <f>ADDRESS(ROW('Loan 1'!$C$41),COLUMN('Loan 1'!$C$41),4)</f>
        <v>C41</v>
      </c>
      <c r="C6904" t="str">
        <f>ADDRESS(ROW('Loan 1'!$D$41),COLUMN('Loan 1'!$D$41),4)</f>
        <v>D41</v>
      </c>
      <c r="D6904" t="b" cm="1">
        <f t="array" aca="1" ref="D6904" ca="1">IF(INDIRECT("'"&amp;A6904&amp;"'!"&amp;B6904)="",FALSE,IF(TRUNC(INDIRECT("'"&amp;A6904&amp;"'!"&amp;B6904))=INDIRECT("'"&amp;A6904&amp;"'!"&amp;B6904),FALSE,TRUE))</f>
        <v>0</v>
      </c>
      <c r="E6904" t="s">
        <v>436</v>
      </c>
      <c r="F6904" t="str">
        <f>INDEX(Lists!I:I,MATCH(Validation!E6904,Lists!G:G,0))</f>
        <v>Error</v>
      </c>
      <c r="G6904" t="str">
        <f>INDEX(Lists!H:H,MATCH(Validation!E6904,Lists!G:G,0))</f>
        <v>Amount must be rounded to the nearest dollar.</v>
      </c>
      <c r="H6904" s="16" t="str">
        <f t="shared" ca="1" si="759"/>
        <v/>
      </c>
      <c r="I6904" s="16" t="str">
        <f t="shared" ca="1" si="760"/>
        <v/>
      </c>
      <c r="J6904" s="17" t="str">
        <f t="shared" ca="1" si="761"/>
        <v/>
      </c>
    </row>
    <row r="6905" spans="1:10" x14ac:dyDescent="0.25">
      <c r="A6905" t="s">
        <v>933</v>
      </c>
      <c r="B6905" t="str">
        <f>ADDRESS(ROW('Loan 1'!$C$41),COLUMN('Loan 1'!$C$41),4)</f>
        <v>C41</v>
      </c>
      <c r="C6905" t="str">
        <f>ADDRESS(ROW('Loan 1'!$D$41),COLUMN('Loan 1'!$D$41),4)</f>
        <v>D41</v>
      </c>
      <c r="D6905" t="b" cm="1">
        <f t="array" aca="1" ref="D6905" ca="1">IF(INDIRECT("'"&amp;A6905&amp;"'!"&amp;B6905)="",FALSE,IF(TRUNC(INDIRECT("'"&amp;A6905&amp;"'!"&amp;B6905))=INDIRECT("'"&amp;A6905&amp;"'!"&amp;B6905),FALSE,TRUE))</f>
        <v>0</v>
      </c>
      <c r="E6905" t="s">
        <v>436</v>
      </c>
      <c r="F6905" t="str">
        <f>INDEX(Lists!I:I,MATCH(Validation!E6905,Lists!G:G,0))</f>
        <v>Error</v>
      </c>
      <c r="G6905" t="str">
        <f>INDEX(Lists!H:H,MATCH(Validation!E6905,Lists!G:G,0))</f>
        <v>Amount must be rounded to the nearest dollar.</v>
      </c>
      <c r="H6905" s="16" t="str">
        <f t="shared" ca="1" si="759"/>
        <v/>
      </c>
      <c r="I6905" s="16" t="str">
        <f t="shared" ca="1" si="760"/>
        <v/>
      </c>
      <c r="J6905" s="17" t="str">
        <f t="shared" ca="1" si="761"/>
        <v/>
      </c>
    </row>
    <row r="6906" spans="1:10" x14ac:dyDescent="0.25">
      <c r="A6906" t="s">
        <v>934</v>
      </c>
      <c r="B6906" t="str">
        <f>ADDRESS(ROW('Loan 1'!$C$41),COLUMN('Loan 1'!$C$41),4)</f>
        <v>C41</v>
      </c>
      <c r="C6906" t="str">
        <f>ADDRESS(ROW('Loan 1'!$D$41),COLUMN('Loan 1'!$D$41),4)</f>
        <v>D41</v>
      </c>
      <c r="D6906" t="b" cm="1">
        <f t="array" aca="1" ref="D6906" ca="1">IF(INDIRECT("'"&amp;A6906&amp;"'!"&amp;B6906)="",FALSE,IF(TRUNC(INDIRECT("'"&amp;A6906&amp;"'!"&amp;B6906))=INDIRECT("'"&amp;A6906&amp;"'!"&amp;B6906),FALSE,TRUE))</f>
        <v>0</v>
      </c>
      <c r="E6906" t="s">
        <v>436</v>
      </c>
      <c r="F6906" t="str">
        <f>INDEX(Lists!I:I,MATCH(Validation!E6906,Lists!G:G,0))</f>
        <v>Error</v>
      </c>
      <c r="G6906" t="str">
        <f>INDEX(Lists!H:H,MATCH(Validation!E6906,Lists!G:G,0))</f>
        <v>Amount must be rounded to the nearest dollar.</v>
      </c>
      <c r="H6906" s="16" t="str">
        <f t="shared" ca="1" si="759"/>
        <v/>
      </c>
      <c r="I6906" s="16" t="str">
        <f t="shared" ca="1" si="760"/>
        <v/>
      </c>
      <c r="J6906" s="17" t="str">
        <f t="shared" ca="1" si="761"/>
        <v/>
      </c>
    </row>
    <row r="6907" spans="1:10" x14ac:dyDescent="0.25">
      <c r="A6907" t="s">
        <v>935</v>
      </c>
      <c r="B6907" t="str">
        <f>ADDRESS(ROW('Loan 1'!$C$41),COLUMN('Loan 1'!$C$41),4)</f>
        <v>C41</v>
      </c>
      <c r="C6907" t="str">
        <f>ADDRESS(ROW('Loan 1'!$D$41),COLUMN('Loan 1'!$D$41),4)</f>
        <v>D41</v>
      </c>
      <c r="D6907" t="b" cm="1">
        <f t="array" aca="1" ref="D6907" ca="1">IF(INDIRECT("'"&amp;A6907&amp;"'!"&amp;B6907)="",FALSE,IF(TRUNC(INDIRECT("'"&amp;A6907&amp;"'!"&amp;B6907))=INDIRECT("'"&amp;A6907&amp;"'!"&amp;B6907),FALSE,TRUE))</f>
        <v>0</v>
      </c>
      <c r="E6907" t="s">
        <v>436</v>
      </c>
      <c r="F6907" t="str">
        <f>INDEX(Lists!I:I,MATCH(Validation!E6907,Lists!G:G,0))</f>
        <v>Error</v>
      </c>
      <c r="G6907" t="str">
        <f>INDEX(Lists!H:H,MATCH(Validation!E6907,Lists!G:G,0))</f>
        <v>Amount must be rounded to the nearest dollar.</v>
      </c>
      <c r="H6907" s="16" t="str">
        <f t="shared" ca="1" si="759"/>
        <v/>
      </c>
      <c r="I6907" s="16" t="str">
        <f t="shared" ca="1" si="760"/>
        <v/>
      </c>
      <c r="J6907" s="17" t="str">
        <f t="shared" ca="1" si="761"/>
        <v/>
      </c>
    </row>
    <row r="6908" spans="1:10" x14ac:dyDescent="0.25">
      <c r="A6908" t="s">
        <v>936</v>
      </c>
      <c r="B6908" t="str">
        <f>ADDRESS(ROW('Loan 1'!$C$41),COLUMN('Loan 1'!$C$41),4)</f>
        <v>C41</v>
      </c>
      <c r="C6908" t="str">
        <f>ADDRESS(ROW('Loan 1'!$D$41),COLUMN('Loan 1'!$D$41),4)</f>
        <v>D41</v>
      </c>
      <c r="D6908" t="b" cm="1">
        <f t="array" aca="1" ref="D6908" ca="1">IF(INDIRECT("'"&amp;A6908&amp;"'!"&amp;B6908)="",FALSE,IF(TRUNC(INDIRECT("'"&amp;A6908&amp;"'!"&amp;B6908))=INDIRECT("'"&amp;A6908&amp;"'!"&amp;B6908),FALSE,TRUE))</f>
        <v>0</v>
      </c>
      <c r="E6908" t="s">
        <v>436</v>
      </c>
      <c r="F6908" t="str">
        <f>INDEX(Lists!I:I,MATCH(Validation!E6908,Lists!G:G,0))</f>
        <v>Error</v>
      </c>
      <c r="G6908" t="str">
        <f>INDEX(Lists!H:H,MATCH(Validation!E6908,Lists!G:G,0))</f>
        <v>Amount must be rounded to the nearest dollar.</v>
      </c>
      <c r="H6908" s="16" t="str">
        <f t="shared" ca="1" si="759"/>
        <v/>
      </c>
      <c r="I6908" s="16" t="str">
        <f t="shared" ca="1" si="760"/>
        <v/>
      </c>
      <c r="J6908" s="17" t="str">
        <f t="shared" ca="1" si="761"/>
        <v/>
      </c>
    </row>
    <row r="6909" spans="1:10" x14ac:dyDescent="0.25">
      <c r="A6909" t="s">
        <v>937</v>
      </c>
      <c r="B6909" t="str">
        <f>ADDRESS(ROW('Loan 1'!$C$41),COLUMN('Loan 1'!$C$41),4)</f>
        <v>C41</v>
      </c>
      <c r="C6909" t="str">
        <f>ADDRESS(ROW('Loan 1'!$D$41),COLUMN('Loan 1'!$D$41),4)</f>
        <v>D41</v>
      </c>
      <c r="D6909" t="b" cm="1">
        <f t="array" aca="1" ref="D6909" ca="1">IF(INDIRECT("'"&amp;A6909&amp;"'!"&amp;B6909)="",FALSE,IF(TRUNC(INDIRECT("'"&amp;A6909&amp;"'!"&amp;B6909))=INDIRECT("'"&amp;A6909&amp;"'!"&amp;B6909),FALSE,TRUE))</f>
        <v>0</v>
      </c>
      <c r="E6909" t="s">
        <v>436</v>
      </c>
      <c r="F6909" t="str">
        <f>INDEX(Lists!I:I,MATCH(Validation!E6909,Lists!G:G,0))</f>
        <v>Error</v>
      </c>
      <c r="G6909" t="str">
        <f>INDEX(Lists!H:H,MATCH(Validation!E6909,Lists!G:G,0))</f>
        <v>Amount must be rounded to the nearest dollar.</v>
      </c>
      <c r="H6909" s="16" t="str">
        <f t="shared" ca="1" si="759"/>
        <v/>
      </c>
      <c r="I6909" s="16" t="str">
        <f t="shared" ca="1" si="760"/>
        <v/>
      </c>
      <c r="J6909" s="17" t="str">
        <f t="shared" ca="1" si="761"/>
        <v/>
      </c>
    </row>
    <row r="6910" spans="1:10" x14ac:dyDescent="0.25">
      <c r="A6910" t="s">
        <v>938</v>
      </c>
      <c r="B6910" t="str">
        <f>ADDRESS(ROW('Loan 1'!$C$41),COLUMN('Loan 1'!$C$41),4)</f>
        <v>C41</v>
      </c>
      <c r="C6910" t="str">
        <f>ADDRESS(ROW('Loan 1'!$D$41),COLUMN('Loan 1'!$D$41),4)</f>
        <v>D41</v>
      </c>
      <c r="D6910" t="b" cm="1">
        <f t="array" aca="1" ref="D6910" ca="1">IF(INDIRECT("'"&amp;A6910&amp;"'!"&amp;B6910)="",FALSE,IF(TRUNC(INDIRECT("'"&amp;A6910&amp;"'!"&amp;B6910))=INDIRECT("'"&amp;A6910&amp;"'!"&amp;B6910),FALSE,TRUE))</f>
        <v>0</v>
      </c>
      <c r="E6910" t="s">
        <v>436</v>
      </c>
      <c r="F6910" t="str">
        <f>INDEX(Lists!I:I,MATCH(Validation!E6910,Lists!G:G,0))</f>
        <v>Error</v>
      </c>
      <c r="G6910" t="str">
        <f>INDEX(Lists!H:H,MATCH(Validation!E6910,Lists!G:G,0))</f>
        <v>Amount must be rounded to the nearest dollar.</v>
      </c>
      <c r="H6910" s="16" t="str">
        <f t="shared" ca="1" si="759"/>
        <v/>
      </c>
      <c r="I6910" s="16" t="str">
        <f t="shared" ca="1" si="760"/>
        <v/>
      </c>
      <c r="J6910" s="17" t="str">
        <f t="shared" ca="1" si="761"/>
        <v/>
      </c>
    </row>
    <row r="6911" spans="1:10" x14ac:dyDescent="0.25">
      <c r="A6911" t="s">
        <v>939</v>
      </c>
      <c r="B6911" t="str">
        <f>ADDRESS(ROW('Loan 1'!$C$41),COLUMN('Loan 1'!$C$41),4)</f>
        <v>C41</v>
      </c>
      <c r="C6911" t="str">
        <f>ADDRESS(ROW('Loan 1'!$D$41),COLUMN('Loan 1'!$D$41),4)</f>
        <v>D41</v>
      </c>
      <c r="D6911" t="b" cm="1">
        <f t="array" aca="1" ref="D6911" ca="1">IF(INDIRECT("'"&amp;A6911&amp;"'!"&amp;B6911)="",FALSE,IF(TRUNC(INDIRECT("'"&amp;A6911&amp;"'!"&amp;B6911))=INDIRECT("'"&amp;A6911&amp;"'!"&amp;B6911),FALSE,TRUE))</f>
        <v>0</v>
      </c>
      <c r="E6911" t="s">
        <v>436</v>
      </c>
      <c r="F6911" t="str">
        <f>INDEX(Lists!I:I,MATCH(Validation!E6911,Lists!G:G,0))</f>
        <v>Error</v>
      </c>
      <c r="G6911" t="str">
        <f>INDEX(Lists!H:H,MATCH(Validation!E6911,Lists!G:G,0))</f>
        <v>Amount must be rounded to the nearest dollar.</v>
      </c>
      <c r="H6911" s="16" t="str">
        <f t="shared" ca="1" si="759"/>
        <v/>
      </c>
      <c r="I6911" s="16" t="str">
        <f t="shared" ca="1" si="760"/>
        <v/>
      </c>
      <c r="J6911" s="17" t="str">
        <f t="shared" ca="1" si="761"/>
        <v/>
      </c>
    </row>
    <row r="6912" spans="1:10" x14ac:dyDescent="0.25">
      <c r="A6912" t="s">
        <v>940</v>
      </c>
      <c r="B6912" t="str">
        <f>ADDRESS(ROW('Loan 1'!$C$41),COLUMN('Loan 1'!$C$41),4)</f>
        <v>C41</v>
      </c>
      <c r="C6912" t="str">
        <f>ADDRESS(ROW('Loan 1'!$D$41),COLUMN('Loan 1'!$D$41),4)</f>
        <v>D41</v>
      </c>
      <c r="D6912" t="b" cm="1">
        <f t="array" aca="1" ref="D6912" ca="1">IF(INDIRECT("'"&amp;A6912&amp;"'!"&amp;B6912)="",FALSE,IF(TRUNC(INDIRECT("'"&amp;A6912&amp;"'!"&amp;B6912))=INDIRECT("'"&amp;A6912&amp;"'!"&amp;B6912),FALSE,TRUE))</f>
        <v>0</v>
      </c>
      <c r="E6912" t="s">
        <v>436</v>
      </c>
      <c r="F6912" t="str">
        <f>INDEX(Lists!I:I,MATCH(Validation!E6912,Lists!G:G,0))</f>
        <v>Error</v>
      </c>
      <c r="G6912" t="str">
        <f>INDEX(Lists!H:H,MATCH(Validation!E6912,Lists!G:G,0))</f>
        <v>Amount must be rounded to the nearest dollar.</v>
      </c>
      <c r="H6912" s="16" t="str">
        <f t="shared" ca="1" si="759"/>
        <v/>
      </c>
      <c r="I6912" s="16" t="str">
        <f t="shared" ca="1" si="760"/>
        <v/>
      </c>
      <c r="J6912" s="17" t="str">
        <f t="shared" ca="1" si="761"/>
        <v/>
      </c>
    </row>
    <row r="6913" spans="1:10" x14ac:dyDescent="0.25">
      <c r="A6913" t="s">
        <v>941</v>
      </c>
      <c r="B6913" t="str">
        <f>ADDRESS(ROW('Loan 1'!$C$41),COLUMN('Loan 1'!$C$41),4)</f>
        <v>C41</v>
      </c>
      <c r="C6913" t="str">
        <f>ADDRESS(ROW('Loan 1'!$D$41),COLUMN('Loan 1'!$D$41),4)</f>
        <v>D41</v>
      </c>
      <c r="D6913" t="b" cm="1">
        <f t="array" aca="1" ref="D6913" ca="1">IF(INDIRECT("'"&amp;A6913&amp;"'!"&amp;B6913)="",FALSE,IF(TRUNC(INDIRECT("'"&amp;A6913&amp;"'!"&amp;B6913))=INDIRECT("'"&amp;A6913&amp;"'!"&amp;B6913),FALSE,TRUE))</f>
        <v>0</v>
      </c>
      <c r="E6913" t="s">
        <v>436</v>
      </c>
      <c r="F6913" t="str">
        <f>INDEX(Lists!I:I,MATCH(Validation!E6913,Lists!G:G,0))</f>
        <v>Error</v>
      </c>
      <c r="G6913" t="str">
        <f>INDEX(Lists!H:H,MATCH(Validation!E6913,Lists!G:G,0))</f>
        <v>Amount must be rounded to the nearest dollar.</v>
      </c>
      <c r="H6913" s="16" t="str">
        <f t="shared" ca="1" si="759"/>
        <v/>
      </c>
      <c r="I6913" s="16" t="str">
        <f t="shared" ca="1" si="760"/>
        <v/>
      </c>
      <c r="J6913" s="17" t="str">
        <f t="shared" ca="1" si="761"/>
        <v/>
      </c>
    </row>
    <row r="6914" spans="1:10" x14ac:dyDescent="0.25">
      <c r="A6914" t="s">
        <v>942</v>
      </c>
      <c r="B6914" t="str">
        <f>ADDRESS(ROW('Loan 1'!$C$41),COLUMN('Loan 1'!$C$41),4)</f>
        <v>C41</v>
      </c>
      <c r="C6914" t="str">
        <f>ADDRESS(ROW('Loan 1'!$D$41),COLUMN('Loan 1'!$D$41),4)</f>
        <v>D41</v>
      </c>
      <c r="D6914" t="b" cm="1">
        <f t="array" aca="1" ref="D6914" ca="1">IF(INDIRECT("'"&amp;A6914&amp;"'!"&amp;B6914)="",FALSE,IF(TRUNC(INDIRECT("'"&amp;A6914&amp;"'!"&amp;B6914))=INDIRECT("'"&amp;A6914&amp;"'!"&amp;B6914),FALSE,TRUE))</f>
        <v>0</v>
      </c>
      <c r="E6914" t="s">
        <v>436</v>
      </c>
      <c r="F6914" t="str">
        <f>INDEX(Lists!I:I,MATCH(Validation!E6914,Lists!G:G,0))</f>
        <v>Error</v>
      </c>
      <c r="G6914" t="str">
        <f>INDEX(Lists!H:H,MATCH(Validation!E6914,Lists!G:G,0))</f>
        <v>Amount must be rounded to the nearest dollar.</v>
      </c>
      <c r="H6914" s="16" t="str">
        <f t="shared" ca="1" si="759"/>
        <v/>
      </c>
      <c r="I6914" s="16" t="str">
        <f t="shared" ca="1" si="760"/>
        <v/>
      </c>
      <c r="J6914" s="17" t="str">
        <f t="shared" ca="1" si="761"/>
        <v/>
      </c>
    </row>
    <row r="6915" spans="1:10" x14ac:dyDescent="0.25">
      <c r="A6915" t="s">
        <v>943</v>
      </c>
      <c r="B6915" t="str">
        <f>ADDRESS(ROW('Loan 1'!$C$41),COLUMN('Loan 1'!$C$41),4)</f>
        <v>C41</v>
      </c>
      <c r="C6915" t="str">
        <f>ADDRESS(ROW('Loan 1'!$D$41),COLUMN('Loan 1'!$D$41),4)</f>
        <v>D41</v>
      </c>
      <c r="D6915" t="b" cm="1">
        <f t="array" aca="1" ref="D6915" ca="1">IF(INDIRECT("'"&amp;A6915&amp;"'!"&amp;B6915)="",FALSE,IF(TRUNC(INDIRECT("'"&amp;A6915&amp;"'!"&amp;B6915))=INDIRECT("'"&amp;A6915&amp;"'!"&amp;B6915),FALSE,TRUE))</f>
        <v>0</v>
      </c>
      <c r="E6915" t="s">
        <v>436</v>
      </c>
      <c r="F6915" t="str">
        <f>INDEX(Lists!I:I,MATCH(Validation!E6915,Lists!G:G,0))</f>
        <v>Error</v>
      </c>
      <c r="G6915" t="str">
        <f>INDEX(Lists!H:H,MATCH(Validation!E6915,Lists!G:G,0))</f>
        <v>Amount must be rounded to the nearest dollar.</v>
      </c>
      <c r="H6915" s="16" t="str">
        <f t="shared" ca="1" si="759"/>
        <v/>
      </c>
      <c r="I6915" s="16" t="str">
        <f t="shared" ca="1" si="760"/>
        <v/>
      </c>
      <c r="J6915" s="17" t="str">
        <f t="shared" ca="1" si="761"/>
        <v/>
      </c>
    </row>
    <row r="6916" spans="1:10" x14ac:dyDescent="0.25">
      <c r="A6916" t="s">
        <v>944</v>
      </c>
      <c r="B6916" t="str">
        <f>ADDRESS(ROW('Loan 1'!$C$41),COLUMN('Loan 1'!$C$41),4)</f>
        <v>C41</v>
      </c>
      <c r="C6916" t="str">
        <f>ADDRESS(ROW('Loan 1'!$D$41),COLUMN('Loan 1'!$D$41),4)</f>
        <v>D41</v>
      </c>
      <c r="D6916" t="b" cm="1">
        <f t="array" aca="1" ref="D6916" ca="1">IF(INDIRECT("'"&amp;A6916&amp;"'!"&amp;B6916)="",FALSE,IF(TRUNC(INDIRECT("'"&amp;A6916&amp;"'!"&amp;B6916))=INDIRECT("'"&amp;A6916&amp;"'!"&amp;B6916),FALSE,TRUE))</f>
        <v>0</v>
      </c>
      <c r="E6916" t="s">
        <v>436</v>
      </c>
      <c r="F6916" t="str">
        <f>INDEX(Lists!I:I,MATCH(Validation!E6916,Lists!G:G,0))</f>
        <v>Error</v>
      </c>
      <c r="G6916" t="str">
        <f>INDEX(Lists!H:H,MATCH(Validation!E6916,Lists!G:G,0))</f>
        <v>Amount must be rounded to the nearest dollar.</v>
      </c>
      <c r="H6916" s="16" t="str">
        <f t="shared" ca="1" si="759"/>
        <v/>
      </c>
      <c r="I6916" s="16" t="str">
        <f t="shared" ca="1" si="760"/>
        <v/>
      </c>
      <c r="J6916" s="17" t="str">
        <f t="shared" ca="1" si="761"/>
        <v/>
      </c>
    </row>
    <row r="6917" spans="1:10" x14ac:dyDescent="0.25">
      <c r="A6917" t="s">
        <v>945</v>
      </c>
      <c r="B6917" t="str">
        <f>ADDRESS(ROW('Loan 1'!$C$41),COLUMN('Loan 1'!$C$41),4)</f>
        <v>C41</v>
      </c>
      <c r="C6917" t="str">
        <f>ADDRESS(ROW('Loan 1'!$D$41),COLUMN('Loan 1'!$D$41),4)</f>
        <v>D41</v>
      </c>
      <c r="D6917" t="b" cm="1">
        <f t="array" aca="1" ref="D6917" ca="1">IF(INDIRECT("'"&amp;A6917&amp;"'!"&amp;B6917)="",FALSE,IF(TRUNC(INDIRECT("'"&amp;A6917&amp;"'!"&amp;B6917))=INDIRECT("'"&amp;A6917&amp;"'!"&amp;B6917),FALSE,TRUE))</f>
        <v>0</v>
      </c>
      <c r="E6917" t="s">
        <v>436</v>
      </c>
      <c r="F6917" t="str">
        <f>INDEX(Lists!I:I,MATCH(Validation!E6917,Lists!G:G,0))</f>
        <v>Error</v>
      </c>
      <c r="G6917" t="str">
        <f>INDEX(Lists!H:H,MATCH(Validation!E6917,Lists!G:G,0))</f>
        <v>Amount must be rounded to the nearest dollar.</v>
      </c>
      <c r="H6917" s="16" t="str">
        <f t="shared" ca="1" si="759"/>
        <v/>
      </c>
      <c r="I6917" s="16" t="str">
        <f t="shared" ca="1" si="760"/>
        <v/>
      </c>
      <c r="J6917" s="17" t="str">
        <f t="shared" ca="1" si="761"/>
        <v/>
      </c>
    </row>
    <row r="6918" spans="1:10" x14ac:dyDescent="0.25">
      <c r="A6918" t="s">
        <v>205</v>
      </c>
      <c r="B6918" t="str">
        <f>ADDRESS(ROW('Loan 1'!$B$43),COLUMN('Loan 1'!$B$43),4)</f>
        <v>B43</v>
      </c>
      <c r="C6918" t="str">
        <f>ADDRESS(ROW('Loan 1'!$D$43),COLUMN('Loan 1'!$D$43),4)</f>
        <v>D43</v>
      </c>
      <c r="D6918" t="b" cm="1">
        <f t="array" aca="1" ref="D6918" ca="1">IF(INDIRECT("'"&amp;A6918&amp;"'!"&amp;B6918)="",FALSE,IF(NOT(ISNUMBER(INDIRECT("'"&amp;A6918&amp;"'!"&amp;B6918))),TRUE,FALSE))</f>
        <v>0</v>
      </c>
      <c r="E6918" t="s">
        <v>435</v>
      </c>
      <c r="F6918" t="str">
        <f>INDEX(Lists!I:I,MATCH(Validation!E6918,Lists!G:G,0))</f>
        <v>Error</v>
      </c>
      <c r="G6918" t="str">
        <f>INDEX(Lists!H:H,MATCH(Validation!E6918,Lists!G:G,0))</f>
        <v>Enter an amount only. Do not enter text or spaces.</v>
      </c>
      <c r="H6918" s="16" t="str">
        <f ca="1">IFERROR(IF(OR(NOT(D6918),F6918&lt;&gt;"Error"),"",A6918&amp;CELL("address",INDIRECT(B6918))),"")</f>
        <v/>
      </c>
      <c r="I6918" s="16" t="str">
        <f ca="1">IFERROR(IF(NOT(D6918),"",A6918&amp;CELL("address",INDIRECT(C6918))),"")</f>
        <v/>
      </c>
      <c r="J6918" s="17" t="str">
        <f ca="1">IFERROR(IF(NOT(D6918),"",A6918),"")</f>
        <v/>
      </c>
    </row>
    <row r="6919" spans="1:10" x14ac:dyDescent="0.25">
      <c r="A6919" t="s">
        <v>932</v>
      </c>
      <c r="B6919" t="str">
        <f>ADDRESS(ROW('Loan 1'!$B$43),COLUMN('Loan 1'!$B$43),4)</f>
        <v>B43</v>
      </c>
      <c r="C6919" t="str">
        <f>ADDRESS(ROW('Loan 1'!$D$43),COLUMN('Loan 1'!$D$43),4)</f>
        <v>D43</v>
      </c>
      <c r="D6919" t="b" cm="1">
        <f t="array" aca="1" ref="D6919" ca="1">IF(INDIRECT("'"&amp;A6919&amp;"'!"&amp;B6919)="",FALSE,IF(NOT(ISNUMBER(INDIRECT("'"&amp;A6919&amp;"'!"&amp;B6919))),TRUE,FALSE))</f>
        <v>0</v>
      </c>
      <c r="E6919" t="s">
        <v>435</v>
      </c>
      <c r="F6919" t="str">
        <f>INDEX(Lists!I:I,MATCH(Validation!E6919,Lists!G:G,0))</f>
        <v>Error</v>
      </c>
      <c r="G6919" t="str">
        <f>INDEX(Lists!H:H,MATCH(Validation!E6919,Lists!G:G,0))</f>
        <v>Enter an amount only. Do not enter text or spaces.</v>
      </c>
      <c r="H6919" s="16" t="str">
        <f t="shared" ref="H6919:H6932" ca="1" si="786">IFERROR(IF(OR(NOT(D6919),F6919&lt;&gt;"Error"),"",A6919&amp;CELL("address",INDIRECT(B6919))),"")</f>
        <v/>
      </c>
      <c r="I6919" s="16" t="str">
        <f t="shared" ref="I6919:I6932" ca="1" si="787">IFERROR(IF(NOT(D6919),"",A6919&amp;CELL("address",INDIRECT(C6919))),"")</f>
        <v/>
      </c>
      <c r="J6919" s="17" t="str">
        <f t="shared" ref="J6919:J6932" ca="1" si="788">IFERROR(IF(NOT(D6919),"",A6919),"")</f>
        <v/>
      </c>
    </row>
    <row r="6920" spans="1:10" x14ac:dyDescent="0.25">
      <c r="A6920" t="s">
        <v>933</v>
      </c>
      <c r="B6920" t="str">
        <f>ADDRESS(ROW('Loan 1'!$B$43),COLUMN('Loan 1'!$B$43),4)</f>
        <v>B43</v>
      </c>
      <c r="C6920" t="str">
        <f>ADDRESS(ROW('Loan 1'!$D$43),COLUMN('Loan 1'!$D$43),4)</f>
        <v>D43</v>
      </c>
      <c r="D6920" t="b" cm="1">
        <f t="array" aca="1" ref="D6920" ca="1">IF(INDIRECT("'"&amp;A6920&amp;"'!"&amp;B6920)="",FALSE,IF(NOT(ISNUMBER(INDIRECT("'"&amp;A6920&amp;"'!"&amp;B6920))),TRUE,FALSE))</f>
        <v>0</v>
      </c>
      <c r="E6920" t="s">
        <v>435</v>
      </c>
      <c r="F6920" t="str">
        <f>INDEX(Lists!I:I,MATCH(Validation!E6920,Lists!G:G,0))</f>
        <v>Error</v>
      </c>
      <c r="G6920" t="str">
        <f>INDEX(Lists!H:H,MATCH(Validation!E6920,Lists!G:G,0))</f>
        <v>Enter an amount only. Do not enter text or spaces.</v>
      </c>
      <c r="H6920" s="16" t="str">
        <f t="shared" ca="1" si="786"/>
        <v/>
      </c>
      <c r="I6920" s="16" t="str">
        <f t="shared" ca="1" si="787"/>
        <v/>
      </c>
      <c r="J6920" s="17" t="str">
        <f t="shared" ca="1" si="788"/>
        <v/>
      </c>
    </row>
    <row r="6921" spans="1:10" x14ac:dyDescent="0.25">
      <c r="A6921" t="s">
        <v>934</v>
      </c>
      <c r="B6921" t="str">
        <f>ADDRESS(ROW('Loan 1'!$B$43),COLUMN('Loan 1'!$B$43),4)</f>
        <v>B43</v>
      </c>
      <c r="C6921" t="str">
        <f>ADDRESS(ROW('Loan 1'!$D$43),COLUMN('Loan 1'!$D$43),4)</f>
        <v>D43</v>
      </c>
      <c r="D6921" t="b" cm="1">
        <f t="array" aca="1" ref="D6921" ca="1">IF(INDIRECT("'"&amp;A6921&amp;"'!"&amp;B6921)="",FALSE,IF(NOT(ISNUMBER(INDIRECT("'"&amp;A6921&amp;"'!"&amp;B6921))),TRUE,FALSE))</f>
        <v>0</v>
      </c>
      <c r="E6921" t="s">
        <v>435</v>
      </c>
      <c r="F6921" t="str">
        <f>INDEX(Lists!I:I,MATCH(Validation!E6921,Lists!G:G,0))</f>
        <v>Error</v>
      </c>
      <c r="G6921" t="str">
        <f>INDEX(Lists!H:H,MATCH(Validation!E6921,Lists!G:G,0))</f>
        <v>Enter an amount only. Do not enter text or spaces.</v>
      </c>
      <c r="H6921" s="16" t="str">
        <f t="shared" ca="1" si="786"/>
        <v/>
      </c>
      <c r="I6921" s="16" t="str">
        <f t="shared" ca="1" si="787"/>
        <v/>
      </c>
      <c r="J6921" s="17" t="str">
        <f t="shared" ca="1" si="788"/>
        <v/>
      </c>
    </row>
    <row r="6922" spans="1:10" x14ac:dyDescent="0.25">
      <c r="A6922" t="s">
        <v>935</v>
      </c>
      <c r="B6922" t="str">
        <f>ADDRESS(ROW('Loan 1'!$B$43),COLUMN('Loan 1'!$B$43),4)</f>
        <v>B43</v>
      </c>
      <c r="C6922" t="str">
        <f>ADDRESS(ROW('Loan 1'!$D$43),COLUMN('Loan 1'!$D$43),4)</f>
        <v>D43</v>
      </c>
      <c r="D6922" t="b" cm="1">
        <f t="array" aca="1" ref="D6922" ca="1">IF(INDIRECT("'"&amp;A6922&amp;"'!"&amp;B6922)="",FALSE,IF(NOT(ISNUMBER(INDIRECT("'"&amp;A6922&amp;"'!"&amp;B6922))),TRUE,FALSE))</f>
        <v>0</v>
      </c>
      <c r="E6922" t="s">
        <v>435</v>
      </c>
      <c r="F6922" t="str">
        <f>INDEX(Lists!I:I,MATCH(Validation!E6922,Lists!G:G,0))</f>
        <v>Error</v>
      </c>
      <c r="G6922" t="str">
        <f>INDEX(Lists!H:H,MATCH(Validation!E6922,Lists!G:G,0))</f>
        <v>Enter an amount only. Do not enter text or spaces.</v>
      </c>
      <c r="H6922" s="16" t="str">
        <f t="shared" ca="1" si="786"/>
        <v/>
      </c>
      <c r="I6922" s="16" t="str">
        <f t="shared" ca="1" si="787"/>
        <v/>
      </c>
      <c r="J6922" s="17" t="str">
        <f t="shared" ca="1" si="788"/>
        <v/>
      </c>
    </row>
    <row r="6923" spans="1:10" x14ac:dyDescent="0.25">
      <c r="A6923" t="s">
        <v>936</v>
      </c>
      <c r="B6923" t="str">
        <f>ADDRESS(ROW('Loan 1'!$B$43),COLUMN('Loan 1'!$B$43),4)</f>
        <v>B43</v>
      </c>
      <c r="C6923" t="str">
        <f>ADDRESS(ROW('Loan 1'!$D$43),COLUMN('Loan 1'!$D$43),4)</f>
        <v>D43</v>
      </c>
      <c r="D6923" t="b" cm="1">
        <f t="array" aca="1" ref="D6923" ca="1">IF(INDIRECT("'"&amp;A6923&amp;"'!"&amp;B6923)="",FALSE,IF(NOT(ISNUMBER(INDIRECT("'"&amp;A6923&amp;"'!"&amp;B6923))),TRUE,FALSE))</f>
        <v>0</v>
      </c>
      <c r="E6923" t="s">
        <v>435</v>
      </c>
      <c r="F6923" t="str">
        <f>INDEX(Lists!I:I,MATCH(Validation!E6923,Lists!G:G,0))</f>
        <v>Error</v>
      </c>
      <c r="G6923" t="str">
        <f>INDEX(Lists!H:H,MATCH(Validation!E6923,Lists!G:G,0))</f>
        <v>Enter an amount only. Do not enter text or spaces.</v>
      </c>
      <c r="H6923" s="16" t="str">
        <f t="shared" ca="1" si="786"/>
        <v/>
      </c>
      <c r="I6923" s="16" t="str">
        <f t="shared" ca="1" si="787"/>
        <v/>
      </c>
      <c r="J6923" s="17" t="str">
        <f t="shared" ca="1" si="788"/>
        <v/>
      </c>
    </row>
    <row r="6924" spans="1:10" x14ac:dyDescent="0.25">
      <c r="A6924" t="s">
        <v>937</v>
      </c>
      <c r="B6924" t="str">
        <f>ADDRESS(ROW('Loan 1'!$B$43),COLUMN('Loan 1'!$B$43),4)</f>
        <v>B43</v>
      </c>
      <c r="C6924" t="str">
        <f>ADDRESS(ROW('Loan 1'!$D$43),COLUMN('Loan 1'!$D$43),4)</f>
        <v>D43</v>
      </c>
      <c r="D6924" t="b" cm="1">
        <f t="array" aca="1" ref="D6924" ca="1">IF(INDIRECT("'"&amp;A6924&amp;"'!"&amp;B6924)="",FALSE,IF(NOT(ISNUMBER(INDIRECT("'"&amp;A6924&amp;"'!"&amp;B6924))),TRUE,FALSE))</f>
        <v>0</v>
      </c>
      <c r="E6924" t="s">
        <v>435</v>
      </c>
      <c r="F6924" t="str">
        <f>INDEX(Lists!I:I,MATCH(Validation!E6924,Lists!G:G,0))</f>
        <v>Error</v>
      </c>
      <c r="G6924" t="str">
        <f>INDEX(Lists!H:H,MATCH(Validation!E6924,Lists!G:G,0))</f>
        <v>Enter an amount only. Do not enter text or spaces.</v>
      </c>
      <c r="H6924" s="16" t="str">
        <f t="shared" ca="1" si="786"/>
        <v/>
      </c>
      <c r="I6924" s="16" t="str">
        <f t="shared" ca="1" si="787"/>
        <v/>
      </c>
      <c r="J6924" s="17" t="str">
        <f t="shared" ca="1" si="788"/>
        <v/>
      </c>
    </row>
    <row r="6925" spans="1:10" x14ac:dyDescent="0.25">
      <c r="A6925" t="s">
        <v>938</v>
      </c>
      <c r="B6925" t="str">
        <f>ADDRESS(ROW('Loan 1'!$B$43),COLUMN('Loan 1'!$B$43),4)</f>
        <v>B43</v>
      </c>
      <c r="C6925" t="str">
        <f>ADDRESS(ROW('Loan 1'!$D$43),COLUMN('Loan 1'!$D$43),4)</f>
        <v>D43</v>
      </c>
      <c r="D6925" t="b" cm="1">
        <f t="array" aca="1" ref="D6925" ca="1">IF(INDIRECT("'"&amp;A6925&amp;"'!"&amp;B6925)="",FALSE,IF(NOT(ISNUMBER(INDIRECT("'"&amp;A6925&amp;"'!"&amp;B6925))),TRUE,FALSE))</f>
        <v>0</v>
      </c>
      <c r="E6925" t="s">
        <v>435</v>
      </c>
      <c r="F6925" t="str">
        <f>INDEX(Lists!I:I,MATCH(Validation!E6925,Lists!G:G,0))</f>
        <v>Error</v>
      </c>
      <c r="G6925" t="str">
        <f>INDEX(Lists!H:H,MATCH(Validation!E6925,Lists!G:G,0))</f>
        <v>Enter an amount only. Do not enter text or spaces.</v>
      </c>
      <c r="H6925" s="16" t="str">
        <f t="shared" ca="1" si="786"/>
        <v/>
      </c>
      <c r="I6925" s="16" t="str">
        <f t="shared" ca="1" si="787"/>
        <v/>
      </c>
      <c r="J6925" s="17" t="str">
        <f t="shared" ca="1" si="788"/>
        <v/>
      </c>
    </row>
    <row r="6926" spans="1:10" x14ac:dyDescent="0.25">
      <c r="A6926" t="s">
        <v>939</v>
      </c>
      <c r="B6926" t="str">
        <f>ADDRESS(ROW('Loan 1'!$B$43),COLUMN('Loan 1'!$B$43),4)</f>
        <v>B43</v>
      </c>
      <c r="C6926" t="str">
        <f>ADDRESS(ROW('Loan 1'!$D$43),COLUMN('Loan 1'!$D$43),4)</f>
        <v>D43</v>
      </c>
      <c r="D6926" t="b" cm="1">
        <f t="array" aca="1" ref="D6926" ca="1">IF(INDIRECT("'"&amp;A6926&amp;"'!"&amp;B6926)="",FALSE,IF(NOT(ISNUMBER(INDIRECT("'"&amp;A6926&amp;"'!"&amp;B6926))),TRUE,FALSE))</f>
        <v>0</v>
      </c>
      <c r="E6926" t="s">
        <v>435</v>
      </c>
      <c r="F6926" t="str">
        <f>INDEX(Lists!I:I,MATCH(Validation!E6926,Lists!G:G,0))</f>
        <v>Error</v>
      </c>
      <c r="G6926" t="str">
        <f>INDEX(Lists!H:H,MATCH(Validation!E6926,Lists!G:G,0))</f>
        <v>Enter an amount only. Do not enter text or spaces.</v>
      </c>
      <c r="H6926" s="16" t="str">
        <f t="shared" ca="1" si="786"/>
        <v/>
      </c>
      <c r="I6926" s="16" t="str">
        <f t="shared" ca="1" si="787"/>
        <v/>
      </c>
      <c r="J6926" s="17" t="str">
        <f t="shared" ca="1" si="788"/>
        <v/>
      </c>
    </row>
    <row r="6927" spans="1:10" x14ac:dyDescent="0.25">
      <c r="A6927" t="s">
        <v>940</v>
      </c>
      <c r="B6927" t="str">
        <f>ADDRESS(ROW('Loan 1'!$B$43),COLUMN('Loan 1'!$B$43),4)</f>
        <v>B43</v>
      </c>
      <c r="C6927" t="str">
        <f>ADDRESS(ROW('Loan 1'!$D$43),COLUMN('Loan 1'!$D$43),4)</f>
        <v>D43</v>
      </c>
      <c r="D6927" t="b" cm="1">
        <f t="array" aca="1" ref="D6927" ca="1">IF(INDIRECT("'"&amp;A6927&amp;"'!"&amp;B6927)="",FALSE,IF(NOT(ISNUMBER(INDIRECT("'"&amp;A6927&amp;"'!"&amp;B6927))),TRUE,FALSE))</f>
        <v>0</v>
      </c>
      <c r="E6927" t="s">
        <v>435</v>
      </c>
      <c r="F6927" t="str">
        <f>INDEX(Lists!I:I,MATCH(Validation!E6927,Lists!G:G,0))</f>
        <v>Error</v>
      </c>
      <c r="G6927" t="str">
        <f>INDEX(Lists!H:H,MATCH(Validation!E6927,Lists!G:G,0))</f>
        <v>Enter an amount only. Do not enter text or spaces.</v>
      </c>
      <c r="H6927" s="16" t="str">
        <f t="shared" ca="1" si="786"/>
        <v/>
      </c>
      <c r="I6927" s="16" t="str">
        <f t="shared" ca="1" si="787"/>
        <v/>
      </c>
      <c r="J6927" s="17" t="str">
        <f t="shared" ca="1" si="788"/>
        <v/>
      </c>
    </row>
    <row r="6928" spans="1:10" x14ac:dyDescent="0.25">
      <c r="A6928" t="s">
        <v>941</v>
      </c>
      <c r="B6928" t="str">
        <f>ADDRESS(ROW('Loan 1'!$B$43),COLUMN('Loan 1'!$B$43),4)</f>
        <v>B43</v>
      </c>
      <c r="C6928" t="str">
        <f>ADDRESS(ROW('Loan 1'!$D$43),COLUMN('Loan 1'!$D$43),4)</f>
        <v>D43</v>
      </c>
      <c r="D6928" t="b" cm="1">
        <f t="array" aca="1" ref="D6928" ca="1">IF(INDIRECT("'"&amp;A6928&amp;"'!"&amp;B6928)="",FALSE,IF(NOT(ISNUMBER(INDIRECT("'"&amp;A6928&amp;"'!"&amp;B6928))),TRUE,FALSE))</f>
        <v>0</v>
      </c>
      <c r="E6928" t="s">
        <v>435</v>
      </c>
      <c r="F6928" t="str">
        <f>INDEX(Lists!I:I,MATCH(Validation!E6928,Lists!G:G,0))</f>
        <v>Error</v>
      </c>
      <c r="G6928" t="str">
        <f>INDEX(Lists!H:H,MATCH(Validation!E6928,Lists!G:G,0))</f>
        <v>Enter an amount only. Do not enter text or spaces.</v>
      </c>
      <c r="H6928" s="16" t="str">
        <f t="shared" ca="1" si="786"/>
        <v/>
      </c>
      <c r="I6928" s="16" t="str">
        <f t="shared" ca="1" si="787"/>
        <v/>
      </c>
      <c r="J6928" s="17" t="str">
        <f t="shared" ca="1" si="788"/>
        <v/>
      </c>
    </row>
    <row r="6929" spans="1:10" x14ac:dyDescent="0.25">
      <c r="A6929" t="s">
        <v>942</v>
      </c>
      <c r="B6929" t="str">
        <f>ADDRESS(ROW('Loan 1'!$B$43),COLUMN('Loan 1'!$B$43),4)</f>
        <v>B43</v>
      </c>
      <c r="C6929" t="str">
        <f>ADDRESS(ROW('Loan 1'!$D$43),COLUMN('Loan 1'!$D$43),4)</f>
        <v>D43</v>
      </c>
      <c r="D6929" t="b" cm="1">
        <f t="array" aca="1" ref="D6929" ca="1">IF(INDIRECT("'"&amp;A6929&amp;"'!"&amp;B6929)="",FALSE,IF(NOT(ISNUMBER(INDIRECT("'"&amp;A6929&amp;"'!"&amp;B6929))),TRUE,FALSE))</f>
        <v>0</v>
      </c>
      <c r="E6929" t="s">
        <v>435</v>
      </c>
      <c r="F6929" t="str">
        <f>INDEX(Lists!I:I,MATCH(Validation!E6929,Lists!G:G,0))</f>
        <v>Error</v>
      </c>
      <c r="G6929" t="str">
        <f>INDEX(Lists!H:H,MATCH(Validation!E6929,Lists!G:G,0))</f>
        <v>Enter an amount only. Do not enter text or spaces.</v>
      </c>
      <c r="H6929" s="16" t="str">
        <f t="shared" ca="1" si="786"/>
        <v/>
      </c>
      <c r="I6929" s="16" t="str">
        <f t="shared" ca="1" si="787"/>
        <v/>
      </c>
      <c r="J6929" s="17" t="str">
        <f t="shared" ca="1" si="788"/>
        <v/>
      </c>
    </row>
    <row r="6930" spans="1:10" x14ac:dyDescent="0.25">
      <c r="A6930" t="s">
        <v>943</v>
      </c>
      <c r="B6930" t="str">
        <f>ADDRESS(ROW('Loan 1'!$B$43),COLUMN('Loan 1'!$B$43),4)</f>
        <v>B43</v>
      </c>
      <c r="C6930" t="str">
        <f>ADDRESS(ROW('Loan 1'!$D$43),COLUMN('Loan 1'!$D$43),4)</f>
        <v>D43</v>
      </c>
      <c r="D6930" t="b" cm="1">
        <f t="array" aca="1" ref="D6930" ca="1">IF(INDIRECT("'"&amp;A6930&amp;"'!"&amp;B6930)="",FALSE,IF(NOT(ISNUMBER(INDIRECT("'"&amp;A6930&amp;"'!"&amp;B6930))),TRUE,FALSE))</f>
        <v>0</v>
      </c>
      <c r="E6930" t="s">
        <v>435</v>
      </c>
      <c r="F6930" t="str">
        <f>INDEX(Lists!I:I,MATCH(Validation!E6930,Lists!G:G,0))</f>
        <v>Error</v>
      </c>
      <c r="G6930" t="str">
        <f>INDEX(Lists!H:H,MATCH(Validation!E6930,Lists!G:G,0))</f>
        <v>Enter an amount only. Do not enter text or spaces.</v>
      </c>
      <c r="H6930" s="16" t="str">
        <f t="shared" ca="1" si="786"/>
        <v/>
      </c>
      <c r="I6930" s="16" t="str">
        <f t="shared" ca="1" si="787"/>
        <v/>
      </c>
      <c r="J6930" s="17" t="str">
        <f t="shared" ca="1" si="788"/>
        <v/>
      </c>
    </row>
    <row r="6931" spans="1:10" x14ac:dyDescent="0.25">
      <c r="A6931" t="s">
        <v>944</v>
      </c>
      <c r="B6931" t="str">
        <f>ADDRESS(ROW('Loan 1'!$B$43),COLUMN('Loan 1'!$B$43),4)</f>
        <v>B43</v>
      </c>
      <c r="C6931" t="str">
        <f>ADDRESS(ROW('Loan 1'!$D$43),COLUMN('Loan 1'!$D$43),4)</f>
        <v>D43</v>
      </c>
      <c r="D6931" t="b" cm="1">
        <f t="array" aca="1" ref="D6931" ca="1">IF(INDIRECT("'"&amp;A6931&amp;"'!"&amp;B6931)="",FALSE,IF(NOT(ISNUMBER(INDIRECT("'"&amp;A6931&amp;"'!"&amp;B6931))),TRUE,FALSE))</f>
        <v>0</v>
      </c>
      <c r="E6931" t="s">
        <v>435</v>
      </c>
      <c r="F6931" t="str">
        <f>INDEX(Lists!I:I,MATCH(Validation!E6931,Lists!G:G,0))</f>
        <v>Error</v>
      </c>
      <c r="G6931" t="str">
        <f>INDEX(Lists!H:H,MATCH(Validation!E6931,Lists!G:G,0))</f>
        <v>Enter an amount only. Do not enter text or spaces.</v>
      </c>
      <c r="H6931" s="16" t="str">
        <f t="shared" ca="1" si="786"/>
        <v/>
      </c>
      <c r="I6931" s="16" t="str">
        <f t="shared" ca="1" si="787"/>
        <v/>
      </c>
      <c r="J6931" s="17" t="str">
        <f t="shared" ca="1" si="788"/>
        <v/>
      </c>
    </row>
    <row r="6932" spans="1:10" x14ac:dyDescent="0.25">
      <c r="A6932" t="s">
        <v>945</v>
      </c>
      <c r="B6932" t="str">
        <f>ADDRESS(ROW('Loan 1'!$B$43),COLUMN('Loan 1'!$B$43),4)</f>
        <v>B43</v>
      </c>
      <c r="C6932" t="str">
        <f>ADDRESS(ROW('Loan 1'!$D$43),COLUMN('Loan 1'!$D$43),4)</f>
        <v>D43</v>
      </c>
      <c r="D6932" t="b" cm="1">
        <f t="array" aca="1" ref="D6932" ca="1">IF(INDIRECT("'"&amp;A6932&amp;"'!"&amp;B6932)="",FALSE,IF(NOT(ISNUMBER(INDIRECT("'"&amp;A6932&amp;"'!"&amp;B6932))),TRUE,FALSE))</f>
        <v>0</v>
      </c>
      <c r="E6932" t="s">
        <v>435</v>
      </c>
      <c r="F6932" t="str">
        <f>INDEX(Lists!I:I,MATCH(Validation!E6932,Lists!G:G,0))</f>
        <v>Error</v>
      </c>
      <c r="G6932" t="str">
        <f>INDEX(Lists!H:H,MATCH(Validation!E6932,Lists!G:G,0))</f>
        <v>Enter an amount only. Do not enter text or spaces.</v>
      </c>
      <c r="H6932" s="16" t="str">
        <f t="shared" ca="1" si="786"/>
        <v/>
      </c>
      <c r="I6932" s="16" t="str">
        <f t="shared" ca="1" si="787"/>
        <v/>
      </c>
      <c r="J6932" s="17" t="str">
        <f t="shared" ca="1" si="788"/>
        <v/>
      </c>
    </row>
    <row r="6933" spans="1:10" x14ac:dyDescent="0.25">
      <c r="A6933" t="s">
        <v>205</v>
      </c>
      <c r="B6933" t="str">
        <f>ADDRESS(ROW('Loan 1'!$B$43),COLUMN('Loan 1'!$B$43),4)</f>
        <v>B43</v>
      </c>
      <c r="C6933" t="str">
        <f>ADDRESS(ROW('Loan 1'!$D$43),COLUMN('Loan 1'!$D$43),4)</f>
        <v>D43</v>
      </c>
      <c r="D6933" t="b" cm="1">
        <f t="array" aca="1" ref="D6933" ca="1">IF(INDIRECT("'"&amp;A6933&amp;"'!"&amp;B6933)="",FALSE,IF(INDIRECT("'"&amp;A6933&amp;"'!"&amp;B6933)&lt;0,TRUE,FALSE))</f>
        <v>0</v>
      </c>
      <c r="E6933" t="s">
        <v>434</v>
      </c>
      <c r="F6933" t="str">
        <f>INDEX(Lists!I:I,MATCH(Validation!E6933,Lists!G:G,0))</f>
        <v>Error</v>
      </c>
      <c r="G6933" t="str">
        <f>INDEX(Lists!H:H,MATCH(Validation!E6933,Lists!G:G,0))</f>
        <v>Amount may not be negative. Enter an amount greater than or equal to zero.</v>
      </c>
      <c r="H6933" s="16" t="str">
        <f t="shared" ref="H6933:H6948" ca="1" si="789">IFERROR(IF(OR(NOT(D6933),F6933&lt;&gt;"Error"),"",A6933&amp;CELL("address",INDIRECT(B6933))),"")</f>
        <v/>
      </c>
      <c r="I6933" s="16" t="str">
        <f t="shared" ref="I6933:I6948" ca="1" si="790">IFERROR(IF(NOT(D6933),"",A6933&amp;CELL("address",INDIRECT(C6933))),"")</f>
        <v/>
      </c>
      <c r="J6933" s="17" t="str">
        <f t="shared" ref="J6933:J6948" ca="1" si="791">IFERROR(IF(NOT(D6933),"",A6933),"")</f>
        <v/>
      </c>
    </row>
    <row r="6934" spans="1:10" x14ac:dyDescent="0.25">
      <c r="A6934" t="s">
        <v>932</v>
      </c>
      <c r="B6934" t="str">
        <f>ADDRESS(ROW('Loan 1'!$B$43),COLUMN('Loan 1'!$B$43),4)</f>
        <v>B43</v>
      </c>
      <c r="C6934" t="str">
        <f>ADDRESS(ROW('Loan 1'!$D$43),COLUMN('Loan 1'!$D$43),4)</f>
        <v>D43</v>
      </c>
      <c r="D6934" t="b" cm="1">
        <f t="array" aca="1" ref="D6934" ca="1">IF(INDIRECT("'"&amp;A6934&amp;"'!"&amp;B6934)="",FALSE,IF(INDIRECT("'"&amp;A6934&amp;"'!"&amp;B6934)&lt;0,TRUE,FALSE))</f>
        <v>0</v>
      </c>
      <c r="E6934" t="s">
        <v>434</v>
      </c>
      <c r="F6934" t="str">
        <f>INDEX(Lists!I:I,MATCH(Validation!E6934,Lists!G:G,0))</f>
        <v>Error</v>
      </c>
      <c r="G6934" t="str">
        <f>INDEX(Lists!H:H,MATCH(Validation!E6934,Lists!G:G,0))</f>
        <v>Amount may not be negative. Enter an amount greater than or equal to zero.</v>
      </c>
      <c r="H6934" s="16" t="str">
        <f t="shared" ca="1" si="789"/>
        <v/>
      </c>
      <c r="I6934" s="16" t="str">
        <f t="shared" ca="1" si="790"/>
        <v/>
      </c>
      <c r="J6934" s="17" t="str">
        <f t="shared" ca="1" si="791"/>
        <v/>
      </c>
    </row>
    <row r="6935" spans="1:10" x14ac:dyDescent="0.25">
      <c r="A6935" t="s">
        <v>933</v>
      </c>
      <c r="B6935" t="str">
        <f>ADDRESS(ROW('Loan 1'!$B$43),COLUMN('Loan 1'!$B$43),4)</f>
        <v>B43</v>
      </c>
      <c r="C6935" t="str">
        <f>ADDRESS(ROW('Loan 1'!$D$43),COLUMN('Loan 1'!$D$43),4)</f>
        <v>D43</v>
      </c>
      <c r="D6935" t="b" cm="1">
        <f t="array" aca="1" ref="D6935" ca="1">IF(INDIRECT("'"&amp;A6935&amp;"'!"&amp;B6935)="",FALSE,IF(INDIRECT("'"&amp;A6935&amp;"'!"&amp;B6935)&lt;0,TRUE,FALSE))</f>
        <v>0</v>
      </c>
      <c r="E6935" t="s">
        <v>434</v>
      </c>
      <c r="F6935" t="str">
        <f>INDEX(Lists!I:I,MATCH(Validation!E6935,Lists!G:G,0))</f>
        <v>Error</v>
      </c>
      <c r="G6935" t="str">
        <f>INDEX(Lists!H:H,MATCH(Validation!E6935,Lists!G:G,0))</f>
        <v>Amount may not be negative. Enter an amount greater than or equal to zero.</v>
      </c>
      <c r="H6935" s="16" t="str">
        <f t="shared" ca="1" si="789"/>
        <v/>
      </c>
      <c r="I6935" s="16" t="str">
        <f t="shared" ca="1" si="790"/>
        <v/>
      </c>
      <c r="J6935" s="17" t="str">
        <f t="shared" ca="1" si="791"/>
        <v/>
      </c>
    </row>
    <row r="6936" spans="1:10" x14ac:dyDescent="0.25">
      <c r="A6936" t="s">
        <v>934</v>
      </c>
      <c r="B6936" t="str">
        <f>ADDRESS(ROW('Loan 1'!$B$43),COLUMN('Loan 1'!$B$43),4)</f>
        <v>B43</v>
      </c>
      <c r="C6936" t="str">
        <f>ADDRESS(ROW('Loan 1'!$D$43),COLUMN('Loan 1'!$D$43),4)</f>
        <v>D43</v>
      </c>
      <c r="D6936" t="b" cm="1">
        <f t="array" aca="1" ref="D6936" ca="1">IF(INDIRECT("'"&amp;A6936&amp;"'!"&amp;B6936)="",FALSE,IF(INDIRECT("'"&amp;A6936&amp;"'!"&amp;B6936)&lt;0,TRUE,FALSE))</f>
        <v>0</v>
      </c>
      <c r="E6936" t="s">
        <v>434</v>
      </c>
      <c r="F6936" t="str">
        <f>INDEX(Lists!I:I,MATCH(Validation!E6936,Lists!G:G,0))</f>
        <v>Error</v>
      </c>
      <c r="G6936" t="str">
        <f>INDEX(Lists!H:H,MATCH(Validation!E6936,Lists!G:G,0))</f>
        <v>Amount may not be negative. Enter an amount greater than or equal to zero.</v>
      </c>
      <c r="H6936" s="16" t="str">
        <f t="shared" ca="1" si="789"/>
        <v/>
      </c>
      <c r="I6936" s="16" t="str">
        <f t="shared" ca="1" si="790"/>
        <v/>
      </c>
      <c r="J6936" s="17" t="str">
        <f t="shared" ca="1" si="791"/>
        <v/>
      </c>
    </row>
    <row r="6937" spans="1:10" x14ac:dyDescent="0.25">
      <c r="A6937" t="s">
        <v>935</v>
      </c>
      <c r="B6937" t="str">
        <f>ADDRESS(ROW('Loan 1'!$B$43),COLUMN('Loan 1'!$B$43),4)</f>
        <v>B43</v>
      </c>
      <c r="C6937" t="str">
        <f>ADDRESS(ROW('Loan 1'!$D$43),COLUMN('Loan 1'!$D$43),4)</f>
        <v>D43</v>
      </c>
      <c r="D6937" t="b" cm="1">
        <f t="array" aca="1" ref="D6937" ca="1">IF(INDIRECT("'"&amp;A6937&amp;"'!"&amp;B6937)="",FALSE,IF(INDIRECT("'"&amp;A6937&amp;"'!"&amp;B6937)&lt;0,TRUE,FALSE))</f>
        <v>0</v>
      </c>
      <c r="E6937" t="s">
        <v>434</v>
      </c>
      <c r="F6937" t="str">
        <f>INDEX(Lists!I:I,MATCH(Validation!E6937,Lists!G:G,0))</f>
        <v>Error</v>
      </c>
      <c r="G6937" t="str">
        <f>INDEX(Lists!H:H,MATCH(Validation!E6937,Lists!G:G,0))</f>
        <v>Amount may not be negative. Enter an amount greater than or equal to zero.</v>
      </c>
      <c r="H6937" s="16" t="str">
        <f t="shared" ca="1" si="789"/>
        <v/>
      </c>
      <c r="I6937" s="16" t="str">
        <f t="shared" ca="1" si="790"/>
        <v/>
      </c>
      <c r="J6937" s="17" t="str">
        <f t="shared" ca="1" si="791"/>
        <v/>
      </c>
    </row>
    <row r="6938" spans="1:10" x14ac:dyDescent="0.25">
      <c r="A6938" t="s">
        <v>936</v>
      </c>
      <c r="B6938" t="str">
        <f>ADDRESS(ROW('Loan 1'!$B$43),COLUMN('Loan 1'!$B$43),4)</f>
        <v>B43</v>
      </c>
      <c r="C6938" t="str">
        <f>ADDRESS(ROW('Loan 1'!$D$43),COLUMN('Loan 1'!$D$43),4)</f>
        <v>D43</v>
      </c>
      <c r="D6938" t="b" cm="1">
        <f t="array" aca="1" ref="D6938" ca="1">IF(INDIRECT("'"&amp;A6938&amp;"'!"&amp;B6938)="",FALSE,IF(INDIRECT("'"&amp;A6938&amp;"'!"&amp;B6938)&lt;0,TRUE,FALSE))</f>
        <v>0</v>
      </c>
      <c r="E6938" t="s">
        <v>434</v>
      </c>
      <c r="F6938" t="str">
        <f>INDEX(Lists!I:I,MATCH(Validation!E6938,Lists!G:G,0))</f>
        <v>Error</v>
      </c>
      <c r="G6938" t="str">
        <f>INDEX(Lists!H:H,MATCH(Validation!E6938,Lists!G:G,0))</f>
        <v>Amount may not be negative. Enter an amount greater than or equal to zero.</v>
      </c>
      <c r="H6938" s="16" t="str">
        <f t="shared" ca="1" si="789"/>
        <v/>
      </c>
      <c r="I6938" s="16" t="str">
        <f t="shared" ca="1" si="790"/>
        <v/>
      </c>
      <c r="J6938" s="17" t="str">
        <f t="shared" ca="1" si="791"/>
        <v/>
      </c>
    </row>
    <row r="6939" spans="1:10" x14ac:dyDescent="0.25">
      <c r="A6939" t="s">
        <v>937</v>
      </c>
      <c r="B6939" t="str">
        <f>ADDRESS(ROW('Loan 1'!$B$43),COLUMN('Loan 1'!$B$43),4)</f>
        <v>B43</v>
      </c>
      <c r="C6939" t="str">
        <f>ADDRESS(ROW('Loan 1'!$D$43),COLUMN('Loan 1'!$D$43),4)</f>
        <v>D43</v>
      </c>
      <c r="D6939" t="b" cm="1">
        <f t="array" aca="1" ref="D6939" ca="1">IF(INDIRECT("'"&amp;A6939&amp;"'!"&amp;B6939)="",FALSE,IF(INDIRECT("'"&amp;A6939&amp;"'!"&amp;B6939)&lt;0,TRUE,FALSE))</f>
        <v>0</v>
      </c>
      <c r="E6939" t="s">
        <v>434</v>
      </c>
      <c r="F6939" t="str">
        <f>INDEX(Lists!I:I,MATCH(Validation!E6939,Lists!G:G,0))</f>
        <v>Error</v>
      </c>
      <c r="G6939" t="str">
        <f>INDEX(Lists!H:H,MATCH(Validation!E6939,Lists!G:G,0))</f>
        <v>Amount may not be negative. Enter an amount greater than or equal to zero.</v>
      </c>
      <c r="H6939" s="16" t="str">
        <f t="shared" ca="1" si="789"/>
        <v/>
      </c>
      <c r="I6939" s="16" t="str">
        <f t="shared" ca="1" si="790"/>
        <v/>
      </c>
      <c r="J6939" s="17" t="str">
        <f t="shared" ca="1" si="791"/>
        <v/>
      </c>
    </row>
    <row r="6940" spans="1:10" x14ac:dyDescent="0.25">
      <c r="A6940" t="s">
        <v>938</v>
      </c>
      <c r="B6940" t="str">
        <f>ADDRESS(ROW('Loan 1'!$B$43),COLUMN('Loan 1'!$B$43),4)</f>
        <v>B43</v>
      </c>
      <c r="C6940" t="str">
        <f>ADDRESS(ROW('Loan 1'!$D$43),COLUMN('Loan 1'!$D$43),4)</f>
        <v>D43</v>
      </c>
      <c r="D6940" t="b" cm="1">
        <f t="array" aca="1" ref="D6940" ca="1">IF(INDIRECT("'"&amp;A6940&amp;"'!"&amp;B6940)="",FALSE,IF(INDIRECT("'"&amp;A6940&amp;"'!"&amp;B6940)&lt;0,TRUE,FALSE))</f>
        <v>0</v>
      </c>
      <c r="E6940" t="s">
        <v>434</v>
      </c>
      <c r="F6940" t="str">
        <f>INDEX(Lists!I:I,MATCH(Validation!E6940,Lists!G:G,0))</f>
        <v>Error</v>
      </c>
      <c r="G6940" t="str">
        <f>INDEX(Lists!H:H,MATCH(Validation!E6940,Lists!G:G,0))</f>
        <v>Amount may not be negative. Enter an amount greater than or equal to zero.</v>
      </c>
      <c r="H6940" s="16" t="str">
        <f t="shared" ca="1" si="789"/>
        <v/>
      </c>
      <c r="I6940" s="16" t="str">
        <f t="shared" ca="1" si="790"/>
        <v/>
      </c>
      <c r="J6940" s="17" t="str">
        <f t="shared" ca="1" si="791"/>
        <v/>
      </c>
    </row>
    <row r="6941" spans="1:10" x14ac:dyDescent="0.25">
      <c r="A6941" t="s">
        <v>939</v>
      </c>
      <c r="B6941" t="str">
        <f>ADDRESS(ROW('Loan 1'!$B$43),COLUMN('Loan 1'!$B$43),4)</f>
        <v>B43</v>
      </c>
      <c r="C6941" t="str">
        <f>ADDRESS(ROW('Loan 1'!$D$43),COLUMN('Loan 1'!$D$43),4)</f>
        <v>D43</v>
      </c>
      <c r="D6941" t="b" cm="1">
        <f t="array" aca="1" ref="D6941" ca="1">IF(INDIRECT("'"&amp;A6941&amp;"'!"&amp;B6941)="",FALSE,IF(INDIRECT("'"&amp;A6941&amp;"'!"&amp;B6941)&lt;0,TRUE,FALSE))</f>
        <v>0</v>
      </c>
      <c r="E6941" t="s">
        <v>434</v>
      </c>
      <c r="F6941" t="str">
        <f>INDEX(Lists!I:I,MATCH(Validation!E6941,Lists!G:G,0))</f>
        <v>Error</v>
      </c>
      <c r="G6941" t="str">
        <f>INDEX(Lists!H:H,MATCH(Validation!E6941,Lists!G:G,0))</f>
        <v>Amount may not be negative. Enter an amount greater than or equal to zero.</v>
      </c>
      <c r="H6941" s="16" t="str">
        <f t="shared" ca="1" si="789"/>
        <v/>
      </c>
      <c r="I6941" s="16" t="str">
        <f t="shared" ca="1" si="790"/>
        <v/>
      </c>
      <c r="J6941" s="17" t="str">
        <f t="shared" ca="1" si="791"/>
        <v/>
      </c>
    </row>
    <row r="6942" spans="1:10" x14ac:dyDescent="0.25">
      <c r="A6942" t="s">
        <v>940</v>
      </c>
      <c r="B6942" t="str">
        <f>ADDRESS(ROW('Loan 1'!$B$43),COLUMN('Loan 1'!$B$43),4)</f>
        <v>B43</v>
      </c>
      <c r="C6942" t="str">
        <f>ADDRESS(ROW('Loan 1'!$D$43),COLUMN('Loan 1'!$D$43),4)</f>
        <v>D43</v>
      </c>
      <c r="D6942" t="b" cm="1">
        <f t="array" aca="1" ref="D6942" ca="1">IF(INDIRECT("'"&amp;A6942&amp;"'!"&amp;B6942)="",FALSE,IF(INDIRECT("'"&amp;A6942&amp;"'!"&amp;B6942)&lt;0,TRUE,FALSE))</f>
        <v>0</v>
      </c>
      <c r="E6942" t="s">
        <v>434</v>
      </c>
      <c r="F6942" t="str">
        <f>INDEX(Lists!I:I,MATCH(Validation!E6942,Lists!G:G,0))</f>
        <v>Error</v>
      </c>
      <c r="G6942" t="str">
        <f>INDEX(Lists!H:H,MATCH(Validation!E6942,Lists!G:G,0))</f>
        <v>Amount may not be negative. Enter an amount greater than or equal to zero.</v>
      </c>
      <c r="H6942" s="16" t="str">
        <f t="shared" ca="1" si="789"/>
        <v/>
      </c>
      <c r="I6942" s="16" t="str">
        <f t="shared" ca="1" si="790"/>
        <v/>
      </c>
      <c r="J6942" s="17" t="str">
        <f t="shared" ca="1" si="791"/>
        <v/>
      </c>
    </row>
    <row r="6943" spans="1:10" x14ac:dyDescent="0.25">
      <c r="A6943" t="s">
        <v>941</v>
      </c>
      <c r="B6943" t="str">
        <f>ADDRESS(ROW('Loan 1'!$B$43),COLUMN('Loan 1'!$B$43),4)</f>
        <v>B43</v>
      </c>
      <c r="C6943" t="str">
        <f>ADDRESS(ROW('Loan 1'!$D$43),COLUMN('Loan 1'!$D$43),4)</f>
        <v>D43</v>
      </c>
      <c r="D6943" t="b" cm="1">
        <f t="array" aca="1" ref="D6943" ca="1">IF(INDIRECT("'"&amp;A6943&amp;"'!"&amp;B6943)="",FALSE,IF(INDIRECT("'"&amp;A6943&amp;"'!"&amp;B6943)&lt;0,TRUE,FALSE))</f>
        <v>0</v>
      </c>
      <c r="E6943" t="s">
        <v>434</v>
      </c>
      <c r="F6943" t="str">
        <f>INDEX(Lists!I:I,MATCH(Validation!E6943,Lists!G:G,0))</f>
        <v>Error</v>
      </c>
      <c r="G6943" t="str">
        <f>INDEX(Lists!H:H,MATCH(Validation!E6943,Lists!G:G,0))</f>
        <v>Amount may not be negative. Enter an amount greater than or equal to zero.</v>
      </c>
      <c r="H6943" s="16" t="str">
        <f t="shared" ca="1" si="789"/>
        <v/>
      </c>
      <c r="I6943" s="16" t="str">
        <f t="shared" ca="1" si="790"/>
        <v/>
      </c>
      <c r="J6943" s="17" t="str">
        <f t="shared" ca="1" si="791"/>
        <v/>
      </c>
    </row>
    <row r="6944" spans="1:10" x14ac:dyDescent="0.25">
      <c r="A6944" t="s">
        <v>942</v>
      </c>
      <c r="B6944" t="str">
        <f>ADDRESS(ROW('Loan 1'!$B$43),COLUMN('Loan 1'!$B$43),4)</f>
        <v>B43</v>
      </c>
      <c r="C6944" t="str">
        <f>ADDRESS(ROW('Loan 1'!$D$43),COLUMN('Loan 1'!$D$43),4)</f>
        <v>D43</v>
      </c>
      <c r="D6944" t="b" cm="1">
        <f t="array" aca="1" ref="D6944" ca="1">IF(INDIRECT("'"&amp;A6944&amp;"'!"&amp;B6944)="",FALSE,IF(INDIRECT("'"&amp;A6944&amp;"'!"&amp;B6944)&lt;0,TRUE,FALSE))</f>
        <v>0</v>
      </c>
      <c r="E6944" t="s">
        <v>434</v>
      </c>
      <c r="F6944" t="str">
        <f>INDEX(Lists!I:I,MATCH(Validation!E6944,Lists!G:G,0))</f>
        <v>Error</v>
      </c>
      <c r="G6944" t="str">
        <f>INDEX(Lists!H:H,MATCH(Validation!E6944,Lists!G:G,0))</f>
        <v>Amount may not be negative. Enter an amount greater than or equal to zero.</v>
      </c>
      <c r="H6944" s="16" t="str">
        <f t="shared" ca="1" si="789"/>
        <v/>
      </c>
      <c r="I6944" s="16" t="str">
        <f t="shared" ca="1" si="790"/>
        <v/>
      </c>
      <c r="J6944" s="17" t="str">
        <f t="shared" ca="1" si="791"/>
        <v/>
      </c>
    </row>
    <row r="6945" spans="1:10" x14ac:dyDescent="0.25">
      <c r="A6945" t="s">
        <v>943</v>
      </c>
      <c r="B6945" t="str">
        <f>ADDRESS(ROW('Loan 1'!$B$43),COLUMN('Loan 1'!$B$43),4)</f>
        <v>B43</v>
      </c>
      <c r="C6945" t="str">
        <f>ADDRESS(ROW('Loan 1'!$D$43),COLUMN('Loan 1'!$D$43),4)</f>
        <v>D43</v>
      </c>
      <c r="D6945" t="b" cm="1">
        <f t="array" aca="1" ref="D6945" ca="1">IF(INDIRECT("'"&amp;A6945&amp;"'!"&amp;B6945)="",FALSE,IF(INDIRECT("'"&amp;A6945&amp;"'!"&amp;B6945)&lt;0,TRUE,FALSE))</f>
        <v>0</v>
      </c>
      <c r="E6945" t="s">
        <v>434</v>
      </c>
      <c r="F6945" t="str">
        <f>INDEX(Lists!I:I,MATCH(Validation!E6945,Lists!G:G,0))</f>
        <v>Error</v>
      </c>
      <c r="G6945" t="str">
        <f>INDEX(Lists!H:H,MATCH(Validation!E6945,Lists!G:G,0))</f>
        <v>Amount may not be negative. Enter an amount greater than or equal to zero.</v>
      </c>
      <c r="H6945" s="16" t="str">
        <f t="shared" ca="1" si="789"/>
        <v/>
      </c>
      <c r="I6945" s="16" t="str">
        <f t="shared" ca="1" si="790"/>
        <v/>
      </c>
      <c r="J6945" s="17" t="str">
        <f t="shared" ca="1" si="791"/>
        <v/>
      </c>
    </row>
    <row r="6946" spans="1:10" x14ac:dyDescent="0.25">
      <c r="A6946" t="s">
        <v>944</v>
      </c>
      <c r="B6946" t="str">
        <f>ADDRESS(ROW('Loan 1'!$B$43),COLUMN('Loan 1'!$B$43),4)</f>
        <v>B43</v>
      </c>
      <c r="C6946" t="str">
        <f>ADDRESS(ROW('Loan 1'!$D$43),COLUMN('Loan 1'!$D$43),4)</f>
        <v>D43</v>
      </c>
      <c r="D6946" t="b" cm="1">
        <f t="array" aca="1" ref="D6946" ca="1">IF(INDIRECT("'"&amp;A6946&amp;"'!"&amp;B6946)="",FALSE,IF(INDIRECT("'"&amp;A6946&amp;"'!"&amp;B6946)&lt;0,TRUE,FALSE))</f>
        <v>0</v>
      </c>
      <c r="E6946" t="s">
        <v>434</v>
      </c>
      <c r="F6946" t="str">
        <f>INDEX(Lists!I:I,MATCH(Validation!E6946,Lists!G:G,0))</f>
        <v>Error</v>
      </c>
      <c r="G6946" t="str">
        <f>INDEX(Lists!H:H,MATCH(Validation!E6946,Lists!G:G,0))</f>
        <v>Amount may not be negative. Enter an amount greater than or equal to zero.</v>
      </c>
      <c r="H6946" s="16" t="str">
        <f t="shared" ca="1" si="789"/>
        <v/>
      </c>
      <c r="I6946" s="16" t="str">
        <f t="shared" ca="1" si="790"/>
        <v/>
      </c>
      <c r="J6946" s="17" t="str">
        <f t="shared" ca="1" si="791"/>
        <v/>
      </c>
    </row>
    <row r="6947" spans="1:10" x14ac:dyDescent="0.25">
      <c r="A6947" t="s">
        <v>945</v>
      </c>
      <c r="B6947" t="str">
        <f>ADDRESS(ROW('Loan 1'!$B$43),COLUMN('Loan 1'!$B$43),4)</f>
        <v>B43</v>
      </c>
      <c r="C6947" t="str">
        <f>ADDRESS(ROW('Loan 1'!$D$43),COLUMN('Loan 1'!$D$43),4)</f>
        <v>D43</v>
      </c>
      <c r="D6947" t="b" cm="1">
        <f t="array" aca="1" ref="D6947" ca="1">IF(INDIRECT("'"&amp;A6947&amp;"'!"&amp;B6947)="",FALSE,IF(INDIRECT("'"&amp;A6947&amp;"'!"&amp;B6947)&lt;0,TRUE,FALSE))</f>
        <v>0</v>
      </c>
      <c r="E6947" t="s">
        <v>434</v>
      </c>
      <c r="F6947" t="str">
        <f>INDEX(Lists!I:I,MATCH(Validation!E6947,Lists!G:G,0))</f>
        <v>Error</v>
      </c>
      <c r="G6947" t="str">
        <f>INDEX(Lists!H:H,MATCH(Validation!E6947,Lists!G:G,0))</f>
        <v>Amount may not be negative. Enter an amount greater than or equal to zero.</v>
      </c>
      <c r="H6947" s="16" t="str">
        <f t="shared" ca="1" si="789"/>
        <v/>
      </c>
      <c r="I6947" s="16" t="str">
        <f t="shared" ca="1" si="790"/>
        <v/>
      </c>
      <c r="J6947" s="17" t="str">
        <f t="shared" ca="1" si="791"/>
        <v/>
      </c>
    </row>
    <row r="6948" spans="1:10" x14ac:dyDescent="0.25">
      <c r="A6948" t="s">
        <v>205</v>
      </c>
      <c r="B6948" t="str">
        <f>ADDRESS(ROW('Loan 1'!$B$43),COLUMN('Loan 1'!$B$43),4)</f>
        <v>B43</v>
      </c>
      <c r="C6948" t="str">
        <f>ADDRESS(ROW('Loan 1'!$D$43),COLUMN('Loan 1'!$D$43),4)</f>
        <v>D43</v>
      </c>
      <c r="D6948" t="b" cm="1">
        <f t="array" aca="1" ref="D6948" ca="1">IF(INDIRECT("'"&amp;A6948&amp;"'!"&amp;B6948)="",FALSE,IF(TRUNC(INDIRECT("'"&amp;A6948&amp;"'!"&amp;B6948))=INDIRECT("'"&amp;A6948&amp;"'!"&amp;B6948),FALSE,TRUE))</f>
        <v>0</v>
      </c>
      <c r="E6948" t="s">
        <v>436</v>
      </c>
      <c r="F6948" t="str">
        <f>INDEX(Lists!I:I,MATCH(Validation!E6948,Lists!G:G,0))</f>
        <v>Error</v>
      </c>
      <c r="G6948" t="str">
        <f>INDEX(Lists!H:H,MATCH(Validation!E6948,Lists!G:G,0))</f>
        <v>Amount must be rounded to the nearest dollar.</v>
      </c>
      <c r="H6948" s="16" t="str">
        <f t="shared" ca="1" si="789"/>
        <v/>
      </c>
      <c r="I6948" s="16" t="str">
        <f t="shared" ca="1" si="790"/>
        <v/>
      </c>
      <c r="J6948" s="17" t="str">
        <f t="shared" ca="1" si="791"/>
        <v/>
      </c>
    </row>
    <row r="6949" spans="1:10" x14ac:dyDescent="0.25">
      <c r="A6949" t="s">
        <v>932</v>
      </c>
      <c r="B6949" t="str">
        <f>ADDRESS(ROW('Loan 1'!$B$43),COLUMN('Loan 1'!$B$43),4)</f>
        <v>B43</v>
      </c>
      <c r="C6949" t="str">
        <f>ADDRESS(ROW('Loan 1'!$D$43),COLUMN('Loan 1'!$D$43),4)</f>
        <v>D43</v>
      </c>
      <c r="D6949" t="b" cm="1">
        <f t="array" aca="1" ref="D6949" ca="1">IF(INDIRECT("'"&amp;A6949&amp;"'!"&amp;B6949)="",FALSE,IF(TRUNC(INDIRECT("'"&amp;A6949&amp;"'!"&amp;B6949))=INDIRECT("'"&amp;A6949&amp;"'!"&amp;B6949),FALSE,TRUE))</f>
        <v>0</v>
      </c>
      <c r="E6949" t="s">
        <v>436</v>
      </c>
      <c r="F6949" t="str">
        <f>INDEX(Lists!I:I,MATCH(Validation!E6949,Lists!G:G,0))</f>
        <v>Error</v>
      </c>
      <c r="G6949" t="str">
        <f>INDEX(Lists!H:H,MATCH(Validation!E6949,Lists!G:G,0))</f>
        <v>Amount must be rounded to the nearest dollar.</v>
      </c>
      <c r="H6949" s="16" t="str">
        <f t="shared" ref="H6949:H6962" ca="1" si="792">IFERROR(IF(OR(NOT(D6949),F6949&lt;&gt;"Error"),"",A6949&amp;CELL("address",INDIRECT(B6949))),"")</f>
        <v/>
      </c>
      <c r="I6949" s="16" t="str">
        <f t="shared" ref="I6949:I6962" ca="1" si="793">IFERROR(IF(NOT(D6949),"",A6949&amp;CELL("address",INDIRECT(C6949))),"")</f>
        <v/>
      </c>
      <c r="J6949" s="17" t="str">
        <f t="shared" ref="J6949:J6962" ca="1" si="794">IFERROR(IF(NOT(D6949),"",A6949),"")</f>
        <v/>
      </c>
    </row>
    <row r="6950" spans="1:10" x14ac:dyDescent="0.25">
      <c r="A6950" t="s">
        <v>933</v>
      </c>
      <c r="B6950" t="str">
        <f>ADDRESS(ROW('Loan 1'!$B$43),COLUMN('Loan 1'!$B$43),4)</f>
        <v>B43</v>
      </c>
      <c r="C6950" t="str">
        <f>ADDRESS(ROW('Loan 1'!$D$43),COLUMN('Loan 1'!$D$43),4)</f>
        <v>D43</v>
      </c>
      <c r="D6950" t="b" cm="1">
        <f t="array" aca="1" ref="D6950" ca="1">IF(INDIRECT("'"&amp;A6950&amp;"'!"&amp;B6950)="",FALSE,IF(TRUNC(INDIRECT("'"&amp;A6950&amp;"'!"&amp;B6950))=INDIRECT("'"&amp;A6950&amp;"'!"&amp;B6950),FALSE,TRUE))</f>
        <v>0</v>
      </c>
      <c r="E6950" t="s">
        <v>436</v>
      </c>
      <c r="F6950" t="str">
        <f>INDEX(Lists!I:I,MATCH(Validation!E6950,Lists!G:G,0))</f>
        <v>Error</v>
      </c>
      <c r="G6950" t="str">
        <f>INDEX(Lists!H:H,MATCH(Validation!E6950,Lists!G:G,0))</f>
        <v>Amount must be rounded to the nearest dollar.</v>
      </c>
      <c r="H6950" s="16" t="str">
        <f t="shared" ca="1" si="792"/>
        <v/>
      </c>
      <c r="I6950" s="16" t="str">
        <f t="shared" ca="1" si="793"/>
        <v/>
      </c>
      <c r="J6950" s="17" t="str">
        <f t="shared" ca="1" si="794"/>
        <v/>
      </c>
    </row>
    <row r="6951" spans="1:10" x14ac:dyDescent="0.25">
      <c r="A6951" t="s">
        <v>934</v>
      </c>
      <c r="B6951" t="str">
        <f>ADDRESS(ROW('Loan 1'!$B$43),COLUMN('Loan 1'!$B$43),4)</f>
        <v>B43</v>
      </c>
      <c r="C6951" t="str">
        <f>ADDRESS(ROW('Loan 1'!$D$43),COLUMN('Loan 1'!$D$43),4)</f>
        <v>D43</v>
      </c>
      <c r="D6951" t="b" cm="1">
        <f t="array" aca="1" ref="D6951" ca="1">IF(INDIRECT("'"&amp;A6951&amp;"'!"&amp;B6951)="",FALSE,IF(TRUNC(INDIRECT("'"&amp;A6951&amp;"'!"&amp;B6951))=INDIRECT("'"&amp;A6951&amp;"'!"&amp;B6951),FALSE,TRUE))</f>
        <v>0</v>
      </c>
      <c r="E6951" t="s">
        <v>436</v>
      </c>
      <c r="F6951" t="str">
        <f>INDEX(Lists!I:I,MATCH(Validation!E6951,Lists!G:G,0))</f>
        <v>Error</v>
      </c>
      <c r="G6951" t="str">
        <f>INDEX(Lists!H:H,MATCH(Validation!E6951,Lists!G:G,0))</f>
        <v>Amount must be rounded to the nearest dollar.</v>
      </c>
      <c r="H6951" s="16" t="str">
        <f t="shared" ca="1" si="792"/>
        <v/>
      </c>
      <c r="I6951" s="16" t="str">
        <f t="shared" ca="1" si="793"/>
        <v/>
      </c>
      <c r="J6951" s="17" t="str">
        <f t="shared" ca="1" si="794"/>
        <v/>
      </c>
    </row>
    <row r="6952" spans="1:10" x14ac:dyDescent="0.25">
      <c r="A6952" t="s">
        <v>935</v>
      </c>
      <c r="B6952" t="str">
        <f>ADDRESS(ROW('Loan 1'!$B$43),COLUMN('Loan 1'!$B$43),4)</f>
        <v>B43</v>
      </c>
      <c r="C6952" t="str">
        <f>ADDRESS(ROW('Loan 1'!$D$43),COLUMN('Loan 1'!$D$43),4)</f>
        <v>D43</v>
      </c>
      <c r="D6952" t="b" cm="1">
        <f t="array" aca="1" ref="D6952" ca="1">IF(INDIRECT("'"&amp;A6952&amp;"'!"&amp;B6952)="",FALSE,IF(TRUNC(INDIRECT("'"&amp;A6952&amp;"'!"&amp;B6952))=INDIRECT("'"&amp;A6952&amp;"'!"&amp;B6952),FALSE,TRUE))</f>
        <v>0</v>
      </c>
      <c r="E6952" t="s">
        <v>436</v>
      </c>
      <c r="F6952" t="str">
        <f>INDEX(Lists!I:I,MATCH(Validation!E6952,Lists!G:G,0))</f>
        <v>Error</v>
      </c>
      <c r="G6952" t="str">
        <f>INDEX(Lists!H:H,MATCH(Validation!E6952,Lists!G:G,0))</f>
        <v>Amount must be rounded to the nearest dollar.</v>
      </c>
      <c r="H6952" s="16" t="str">
        <f t="shared" ca="1" si="792"/>
        <v/>
      </c>
      <c r="I6952" s="16" t="str">
        <f t="shared" ca="1" si="793"/>
        <v/>
      </c>
      <c r="J6952" s="17" t="str">
        <f t="shared" ca="1" si="794"/>
        <v/>
      </c>
    </row>
    <row r="6953" spans="1:10" x14ac:dyDescent="0.25">
      <c r="A6953" t="s">
        <v>936</v>
      </c>
      <c r="B6953" t="str">
        <f>ADDRESS(ROW('Loan 1'!$B$43),COLUMN('Loan 1'!$B$43),4)</f>
        <v>B43</v>
      </c>
      <c r="C6953" t="str">
        <f>ADDRESS(ROW('Loan 1'!$D$43),COLUMN('Loan 1'!$D$43),4)</f>
        <v>D43</v>
      </c>
      <c r="D6953" t="b" cm="1">
        <f t="array" aca="1" ref="D6953" ca="1">IF(INDIRECT("'"&amp;A6953&amp;"'!"&amp;B6953)="",FALSE,IF(TRUNC(INDIRECT("'"&amp;A6953&amp;"'!"&amp;B6953))=INDIRECT("'"&amp;A6953&amp;"'!"&amp;B6953),FALSE,TRUE))</f>
        <v>0</v>
      </c>
      <c r="E6953" t="s">
        <v>436</v>
      </c>
      <c r="F6953" t="str">
        <f>INDEX(Lists!I:I,MATCH(Validation!E6953,Lists!G:G,0))</f>
        <v>Error</v>
      </c>
      <c r="G6953" t="str">
        <f>INDEX(Lists!H:H,MATCH(Validation!E6953,Lists!G:G,0))</f>
        <v>Amount must be rounded to the nearest dollar.</v>
      </c>
      <c r="H6953" s="16" t="str">
        <f t="shared" ca="1" si="792"/>
        <v/>
      </c>
      <c r="I6953" s="16" t="str">
        <f t="shared" ca="1" si="793"/>
        <v/>
      </c>
      <c r="J6953" s="17" t="str">
        <f t="shared" ca="1" si="794"/>
        <v/>
      </c>
    </row>
    <row r="6954" spans="1:10" x14ac:dyDescent="0.25">
      <c r="A6954" t="s">
        <v>937</v>
      </c>
      <c r="B6954" t="str">
        <f>ADDRESS(ROW('Loan 1'!$B$43),COLUMN('Loan 1'!$B$43),4)</f>
        <v>B43</v>
      </c>
      <c r="C6954" t="str">
        <f>ADDRESS(ROW('Loan 1'!$D$43),COLUMN('Loan 1'!$D$43),4)</f>
        <v>D43</v>
      </c>
      <c r="D6954" t="b" cm="1">
        <f t="array" aca="1" ref="D6954" ca="1">IF(INDIRECT("'"&amp;A6954&amp;"'!"&amp;B6954)="",FALSE,IF(TRUNC(INDIRECT("'"&amp;A6954&amp;"'!"&amp;B6954))=INDIRECT("'"&amp;A6954&amp;"'!"&amp;B6954),FALSE,TRUE))</f>
        <v>0</v>
      </c>
      <c r="E6954" t="s">
        <v>436</v>
      </c>
      <c r="F6954" t="str">
        <f>INDEX(Lists!I:I,MATCH(Validation!E6954,Lists!G:G,0))</f>
        <v>Error</v>
      </c>
      <c r="G6954" t="str">
        <f>INDEX(Lists!H:H,MATCH(Validation!E6954,Lists!G:G,0))</f>
        <v>Amount must be rounded to the nearest dollar.</v>
      </c>
      <c r="H6954" s="16" t="str">
        <f t="shared" ca="1" si="792"/>
        <v/>
      </c>
      <c r="I6954" s="16" t="str">
        <f t="shared" ca="1" si="793"/>
        <v/>
      </c>
      <c r="J6954" s="17" t="str">
        <f t="shared" ca="1" si="794"/>
        <v/>
      </c>
    </row>
    <row r="6955" spans="1:10" x14ac:dyDescent="0.25">
      <c r="A6955" t="s">
        <v>938</v>
      </c>
      <c r="B6955" t="str">
        <f>ADDRESS(ROW('Loan 1'!$B$43),COLUMN('Loan 1'!$B$43),4)</f>
        <v>B43</v>
      </c>
      <c r="C6955" t="str">
        <f>ADDRESS(ROW('Loan 1'!$D$43),COLUMN('Loan 1'!$D$43),4)</f>
        <v>D43</v>
      </c>
      <c r="D6955" t="b" cm="1">
        <f t="array" aca="1" ref="D6955" ca="1">IF(INDIRECT("'"&amp;A6955&amp;"'!"&amp;B6955)="",FALSE,IF(TRUNC(INDIRECT("'"&amp;A6955&amp;"'!"&amp;B6955))=INDIRECT("'"&amp;A6955&amp;"'!"&amp;B6955),FALSE,TRUE))</f>
        <v>0</v>
      </c>
      <c r="E6955" t="s">
        <v>436</v>
      </c>
      <c r="F6955" t="str">
        <f>INDEX(Lists!I:I,MATCH(Validation!E6955,Lists!G:G,0))</f>
        <v>Error</v>
      </c>
      <c r="G6955" t="str">
        <f>INDEX(Lists!H:H,MATCH(Validation!E6955,Lists!G:G,0))</f>
        <v>Amount must be rounded to the nearest dollar.</v>
      </c>
      <c r="H6955" s="16" t="str">
        <f t="shared" ca="1" si="792"/>
        <v/>
      </c>
      <c r="I6955" s="16" t="str">
        <f t="shared" ca="1" si="793"/>
        <v/>
      </c>
      <c r="J6955" s="17" t="str">
        <f t="shared" ca="1" si="794"/>
        <v/>
      </c>
    </row>
    <row r="6956" spans="1:10" x14ac:dyDescent="0.25">
      <c r="A6956" t="s">
        <v>939</v>
      </c>
      <c r="B6956" t="str">
        <f>ADDRESS(ROW('Loan 1'!$B$43),COLUMN('Loan 1'!$B$43),4)</f>
        <v>B43</v>
      </c>
      <c r="C6956" t="str">
        <f>ADDRESS(ROW('Loan 1'!$D$43),COLUMN('Loan 1'!$D$43),4)</f>
        <v>D43</v>
      </c>
      <c r="D6956" t="b" cm="1">
        <f t="array" aca="1" ref="D6956" ca="1">IF(INDIRECT("'"&amp;A6956&amp;"'!"&amp;B6956)="",FALSE,IF(TRUNC(INDIRECT("'"&amp;A6956&amp;"'!"&amp;B6956))=INDIRECT("'"&amp;A6956&amp;"'!"&amp;B6956),FALSE,TRUE))</f>
        <v>0</v>
      </c>
      <c r="E6956" t="s">
        <v>436</v>
      </c>
      <c r="F6956" t="str">
        <f>INDEX(Lists!I:I,MATCH(Validation!E6956,Lists!G:G,0))</f>
        <v>Error</v>
      </c>
      <c r="G6956" t="str">
        <f>INDEX(Lists!H:H,MATCH(Validation!E6956,Lists!G:G,0))</f>
        <v>Amount must be rounded to the nearest dollar.</v>
      </c>
      <c r="H6956" s="16" t="str">
        <f t="shared" ca="1" si="792"/>
        <v/>
      </c>
      <c r="I6956" s="16" t="str">
        <f t="shared" ca="1" si="793"/>
        <v/>
      </c>
      <c r="J6956" s="17" t="str">
        <f t="shared" ca="1" si="794"/>
        <v/>
      </c>
    </row>
    <row r="6957" spans="1:10" x14ac:dyDescent="0.25">
      <c r="A6957" t="s">
        <v>940</v>
      </c>
      <c r="B6957" t="str">
        <f>ADDRESS(ROW('Loan 1'!$B$43),COLUMN('Loan 1'!$B$43),4)</f>
        <v>B43</v>
      </c>
      <c r="C6957" t="str">
        <f>ADDRESS(ROW('Loan 1'!$D$43),COLUMN('Loan 1'!$D$43),4)</f>
        <v>D43</v>
      </c>
      <c r="D6957" t="b" cm="1">
        <f t="array" aca="1" ref="D6957" ca="1">IF(INDIRECT("'"&amp;A6957&amp;"'!"&amp;B6957)="",FALSE,IF(TRUNC(INDIRECT("'"&amp;A6957&amp;"'!"&amp;B6957))=INDIRECT("'"&amp;A6957&amp;"'!"&amp;B6957),FALSE,TRUE))</f>
        <v>0</v>
      </c>
      <c r="E6957" t="s">
        <v>436</v>
      </c>
      <c r="F6957" t="str">
        <f>INDEX(Lists!I:I,MATCH(Validation!E6957,Lists!G:G,0))</f>
        <v>Error</v>
      </c>
      <c r="G6957" t="str">
        <f>INDEX(Lists!H:H,MATCH(Validation!E6957,Lists!G:G,0))</f>
        <v>Amount must be rounded to the nearest dollar.</v>
      </c>
      <c r="H6957" s="16" t="str">
        <f t="shared" ca="1" si="792"/>
        <v/>
      </c>
      <c r="I6957" s="16" t="str">
        <f t="shared" ca="1" si="793"/>
        <v/>
      </c>
      <c r="J6957" s="17" t="str">
        <f t="shared" ca="1" si="794"/>
        <v/>
      </c>
    </row>
    <row r="6958" spans="1:10" x14ac:dyDescent="0.25">
      <c r="A6958" t="s">
        <v>941</v>
      </c>
      <c r="B6958" t="str">
        <f>ADDRESS(ROW('Loan 1'!$B$43),COLUMN('Loan 1'!$B$43),4)</f>
        <v>B43</v>
      </c>
      <c r="C6958" t="str">
        <f>ADDRESS(ROW('Loan 1'!$D$43),COLUMN('Loan 1'!$D$43),4)</f>
        <v>D43</v>
      </c>
      <c r="D6958" t="b" cm="1">
        <f t="array" aca="1" ref="D6958" ca="1">IF(INDIRECT("'"&amp;A6958&amp;"'!"&amp;B6958)="",FALSE,IF(TRUNC(INDIRECT("'"&amp;A6958&amp;"'!"&amp;B6958))=INDIRECT("'"&amp;A6958&amp;"'!"&amp;B6958),FALSE,TRUE))</f>
        <v>0</v>
      </c>
      <c r="E6958" t="s">
        <v>436</v>
      </c>
      <c r="F6958" t="str">
        <f>INDEX(Lists!I:I,MATCH(Validation!E6958,Lists!G:G,0))</f>
        <v>Error</v>
      </c>
      <c r="G6958" t="str">
        <f>INDEX(Lists!H:H,MATCH(Validation!E6958,Lists!G:G,0))</f>
        <v>Amount must be rounded to the nearest dollar.</v>
      </c>
      <c r="H6958" s="16" t="str">
        <f t="shared" ca="1" si="792"/>
        <v/>
      </c>
      <c r="I6958" s="16" t="str">
        <f t="shared" ca="1" si="793"/>
        <v/>
      </c>
      <c r="J6958" s="17" t="str">
        <f t="shared" ca="1" si="794"/>
        <v/>
      </c>
    </row>
    <row r="6959" spans="1:10" x14ac:dyDescent="0.25">
      <c r="A6959" t="s">
        <v>942</v>
      </c>
      <c r="B6959" t="str">
        <f>ADDRESS(ROW('Loan 1'!$B$43),COLUMN('Loan 1'!$B$43),4)</f>
        <v>B43</v>
      </c>
      <c r="C6959" t="str">
        <f>ADDRESS(ROW('Loan 1'!$D$43),COLUMN('Loan 1'!$D$43),4)</f>
        <v>D43</v>
      </c>
      <c r="D6959" t="b" cm="1">
        <f t="array" aca="1" ref="D6959" ca="1">IF(INDIRECT("'"&amp;A6959&amp;"'!"&amp;B6959)="",FALSE,IF(TRUNC(INDIRECT("'"&amp;A6959&amp;"'!"&amp;B6959))=INDIRECT("'"&amp;A6959&amp;"'!"&amp;B6959),FALSE,TRUE))</f>
        <v>0</v>
      </c>
      <c r="E6959" t="s">
        <v>436</v>
      </c>
      <c r="F6959" t="str">
        <f>INDEX(Lists!I:I,MATCH(Validation!E6959,Lists!G:G,0))</f>
        <v>Error</v>
      </c>
      <c r="G6959" t="str">
        <f>INDEX(Lists!H:H,MATCH(Validation!E6959,Lists!G:G,0))</f>
        <v>Amount must be rounded to the nearest dollar.</v>
      </c>
      <c r="H6959" s="16" t="str">
        <f t="shared" ca="1" si="792"/>
        <v/>
      </c>
      <c r="I6959" s="16" t="str">
        <f t="shared" ca="1" si="793"/>
        <v/>
      </c>
      <c r="J6959" s="17" t="str">
        <f t="shared" ca="1" si="794"/>
        <v/>
      </c>
    </row>
    <row r="6960" spans="1:10" x14ac:dyDescent="0.25">
      <c r="A6960" t="s">
        <v>943</v>
      </c>
      <c r="B6960" t="str">
        <f>ADDRESS(ROW('Loan 1'!$B$43),COLUMN('Loan 1'!$B$43),4)</f>
        <v>B43</v>
      </c>
      <c r="C6960" t="str">
        <f>ADDRESS(ROW('Loan 1'!$D$43),COLUMN('Loan 1'!$D$43),4)</f>
        <v>D43</v>
      </c>
      <c r="D6960" t="b" cm="1">
        <f t="array" aca="1" ref="D6960" ca="1">IF(INDIRECT("'"&amp;A6960&amp;"'!"&amp;B6960)="",FALSE,IF(TRUNC(INDIRECT("'"&amp;A6960&amp;"'!"&amp;B6960))=INDIRECT("'"&amp;A6960&amp;"'!"&amp;B6960),FALSE,TRUE))</f>
        <v>0</v>
      </c>
      <c r="E6960" t="s">
        <v>436</v>
      </c>
      <c r="F6960" t="str">
        <f>INDEX(Lists!I:I,MATCH(Validation!E6960,Lists!G:G,0))</f>
        <v>Error</v>
      </c>
      <c r="G6960" t="str">
        <f>INDEX(Lists!H:H,MATCH(Validation!E6960,Lists!G:G,0))</f>
        <v>Amount must be rounded to the nearest dollar.</v>
      </c>
      <c r="H6960" s="16" t="str">
        <f t="shared" ca="1" si="792"/>
        <v/>
      </c>
      <c r="I6960" s="16" t="str">
        <f t="shared" ca="1" si="793"/>
        <v/>
      </c>
      <c r="J6960" s="17" t="str">
        <f t="shared" ca="1" si="794"/>
        <v/>
      </c>
    </row>
    <row r="6961" spans="1:10" x14ac:dyDescent="0.25">
      <c r="A6961" t="s">
        <v>944</v>
      </c>
      <c r="B6961" t="str">
        <f>ADDRESS(ROW('Loan 1'!$B$43),COLUMN('Loan 1'!$B$43),4)</f>
        <v>B43</v>
      </c>
      <c r="C6961" t="str">
        <f>ADDRESS(ROW('Loan 1'!$D$43),COLUMN('Loan 1'!$D$43),4)</f>
        <v>D43</v>
      </c>
      <c r="D6961" t="b" cm="1">
        <f t="array" aca="1" ref="D6961" ca="1">IF(INDIRECT("'"&amp;A6961&amp;"'!"&amp;B6961)="",FALSE,IF(TRUNC(INDIRECT("'"&amp;A6961&amp;"'!"&amp;B6961))=INDIRECT("'"&amp;A6961&amp;"'!"&amp;B6961),FALSE,TRUE))</f>
        <v>0</v>
      </c>
      <c r="E6961" t="s">
        <v>436</v>
      </c>
      <c r="F6961" t="str">
        <f>INDEX(Lists!I:I,MATCH(Validation!E6961,Lists!G:G,0))</f>
        <v>Error</v>
      </c>
      <c r="G6961" t="str">
        <f>INDEX(Lists!H:H,MATCH(Validation!E6961,Lists!G:G,0))</f>
        <v>Amount must be rounded to the nearest dollar.</v>
      </c>
      <c r="H6961" s="16" t="str">
        <f t="shared" ca="1" si="792"/>
        <v/>
      </c>
      <c r="I6961" s="16" t="str">
        <f t="shared" ca="1" si="793"/>
        <v/>
      </c>
      <c r="J6961" s="17" t="str">
        <f t="shared" ca="1" si="794"/>
        <v/>
      </c>
    </row>
    <row r="6962" spans="1:10" x14ac:dyDescent="0.25">
      <c r="A6962" t="s">
        <v>945</v>
      </c>
      <c r="B6962" t="str">
        <f>ADDRESS(ROW('Loan 1'!$B$43),COLUMN('Loan 1'!$B$43),4)</f>
        <v>B43</v>
      </c>
      <c r="C6962" t="str">
        <f>ADDRESS(ROW('Loan 1'!$D$43),COLUMN('Loan 1'!$D$43),4)</f>
        <v>D43</v>
      </c>
      <c r="D6962" t="b" cm="1">
        <f t="array" aca="1" ref="D6962" ca="1">IF(INDIRECT("'"&amp;A6962&amp;"'!"&amp;B6962)="",FALSE,IF(TRUNC(INDIRECT("'"&amp;A6962&amp;"'!"&amp;B6962))=INDIRECT("'"&amp;A6962&amp;"'!"&amp;B6962),FALSE,TRUE))</f>
        <v>0</v>
      </c>
      <c r="E6962" t="s">
        <v>436</v>
      </c>
      <c r="F6962" t="str">
        <f>INDEX(Lists!I:I,MATCH(Validation!E6962,Lists!G:G,0))</f>
        <v>Error</v>
      </c>
      <c r="G6962" t="str">
        <f>INDEX(Lists!H:H,MATCH(Validation!E6962,Lists!G:G,0))</f>
        <v>Amount must be rounded to the nearest dollar.</v>
      </c>
      <c r="H6962" s="16" t="str">
        <f t="shared" ca="1" si="792"/>
        <v/>
      </c>
      <c r="I6962" s="16" t="str">
        <f t="shared" ca="1" si="793"/>
        <v/>
      </c>
      <c r="J6962" s="17" t="str">
        <f t="shared" ca="1" si="794"/>
        <v/>
      </c>
    </row>
    <row r="6963" spans="1:10" x14ac:dyDescent="0.25">
      <c r="A6963" t="s">
        <v>205</v>
      </c>
      <c r="B6963" t="str">
        <f>ADDRESS(ROW('Loan 1'!$B$43),COLUMN('Loan 1'!$B$43),4)</f>
        <v>B43</v>
      </c>
      <c r="C6963" t="str">
        <f>ADDRESS(ROW('Loan 1'!$D$43),COLUMN('Loan 1'!$D$43),4)</f>
        <v>D43</v>
      </c>
      <c r="D6963" t="b" cm="1">
        <f t="array" aca="1" ref="D6963" ca="1">IF(INDIRECT("'"&amp;A6963&amp;"'!"&amp;B6963)="",FALSE,IF(INDIRECT("'"&amp;A6963&amp;"'!"&amp;B6963)&gt;INDIRECT("'"&amp;A6963&amp;"'!C$38"),TRUE,FALSE))</f>
        <v>0</v>
      </c>
      <c r="E6963" t="s">
        <v>628</v>
      </c>
      <c r="F6963" t="str">
        <f>INDEX(Lists!I:I,MATCH(Validation!E6963,Lists!G:G,0))</f>
        <v>Error</v>
      </c>
      <c r="G6963" t="str">
        <f>INDEX(Lists!H:H,MATCH(Validation!E6963,Lists!G:G,0))</f>
        <v>Principal due cannot exceed principal outstanding.</v>
      </c>
      <c r="H6963" s="16" t="str">
        <f t="shared" ref="H6963:H6977" ca="1" si="795">IFERROR(IF(OR(NOT(D6963),F6963&lt;&gt;"Error"),"",A6963&amp;CELL("address",INDIRECT(B6963))),"")</f>
        <v/>
      </c>
      <c r="I6963" s="16" t="str">
        <f t="shared" ref="I6963:I6977" ca="1" si="796">IFERROR(IF(NOT(D6963),"",A6963&amp;CELL("address",INDIRECT(C6963))),"")</f>
        <v/>
      </c>
      <c r="J6963" s="17" t="str">
        <f t="shared" ref="J6963:J6977" ca="1" si="797">IFERROR(IF(NOT(D6963),"",A6963),"")</f>
        <v/>
      </c>
    </row>
    <row r="6964" spans="1:10" x14ac:dyDescent="0.25">
      <c r="A6964" t="s">
        <v>932</v>
      </c>
      <c r="B6964" t="str">
        <f>ADDRESS(ROW('Loan 1'!$B$43),COLUMN('Loan 1'!$B$43),4)</f>
        <v>B43</v>
      </c>
      <c r="C6964" t="str">
        <f>ADDRESS(ROW('Loan 1'!$D$43),COLUMN('Loan 1'!$D$43),4)</f>
        <v>D43</v>
      </c>
      <c r="D6964" t="b" cm="1">
        <f t="array" aca="1" ref="D6964" ca="1">IF(INDIRECT("'"&amp;A6964&amp;"'!"&amp;B6964)="",FALSE,IF(INDIRECT("'"&amp;A6964&amp;"'!"&amp;B6964)&gt;INDIRECT("'"&amp;A6964&amp;"'!C$38"),TRUE,FALSE))</f>
        <v>0</v>
      </c>
      <c r="E6964" t="s">
        <v>628</v>
      </c>
      <c r="F6964" t="str">
        <f>INDEX(Lists!I:I,MATCH(Validation!E6964,Lists!G:G,0))</f>
        <v>Error</v>
      </c>
      <c r="G6964" t="str">
        <f>INDEX(Lists!H:H,MATCH(Validation!E6964,Lists!G:G,0))</f>
        <v>Principal due cannot exceed principal outstanding.</v>
      </c>
      <c r="H6964" s="16" t="str">
        <f t="shared" ca="1" si="795"/>
        <v/>
      </c>
      <c r="I6964" s="16" t="str">
        <f t="shared" ca="1" si="796"/>
        <v/>
      </c>
      <c r="J6964" s="17" t="str">
        <f t="shared" ca="1" si="797"/>
        <v/>
      </c>
    </row>
    <row r="6965" spans="1:10" x14ac:dyDescent="0.25">
      <c r="A6965" t="s">
        <v>933</v>
      </c>
      <c r="B6965" t="str">
        <f>ADDRESS(ROW('Loan 1'!$B$43),COLUMN('Loan 1'!$B$43),4)</f>
        <v>B43</v>
      </c>
      <c r="C6965" t="str">
        <f>ADDRESS(ROW('Loan 1'!$D$43),COLUMN('Loan 1'!$D$43),4)</f>
        <v>D43</v>
      </c>
      <c r="D6965" t="b" cm="1">
        <f t="array" aca="1" ref="D6965" ca="1">IF(INDIRECT("'"&amp;A6965&amp;"'!"&amp;B6965)="",FALSE,IF(INDIRECT("'"&amp;A6965&amp;"'!"&amp;B6965)&gt;INDIRECT("'"&amp;A6965&amp;"'!C$38"),TRUE,FALSE))</f>
        <v>0</v>
      </c>
      <c r="E6965" t="s">
        <v>628</v>
      </c>
      <c r="F6965" t="str">
        <f>INDEX(Lists!I:I,MATCH(Validation!E6965,Lists!G:G,0))</f>
        <v>Error</v>
      </c>
      <c r="G6965" t="str">
        <f>INDEX(Lists!H:H,MATCH(Validation!E6965,Lists!G:G,0))</f>
        <v>Principal due cannot exceed principal outstanding.</v>
      </c>
      <c r="H6965" s="16" t="str">
        <f t="shared" ca="1" si="795"/>
        <v/>
      </c>
      <c r="I6965" s="16" t="str">
        <f t="shared" ca="1" si="796"/>
        <v/>
      </c>
      <c r="J6965" s="17" t="str">
        <f t="shared" ca="1" si="797"/>
        <v/>
      </c>
    </row>
    <row r="6966" spans="1:10" x14ac:dyDescent="0.25">
      <c r="A6966" t="s">
        <v>934</v>
      </c>
      <c r="B6966" t="str">
        <f>ADDRESS(ROW('Loan 1'!$B$43),COLUMN('Loan 1'!$B$43),4)</f>
        <v>B43</v>
      </c>
      <c r="C6966" t="str">
        <f>ADDRESS(ROW('Loan 1'!$D$43),COLUMN('Loan 1'!$D$43),4)</f>
        <v>D43</v>
      </c>
      <c r="D6966" t="b" cm="1">
        <f t="array" aca="1" ref="D6966" ca="1">IF(INDIRECT("'"&amp;A6966&amp;"'!"&amp;B6966)="",FALSE,IF(INDIRECT("'"&amp;A6966&amp;"'!"&amp;B6966)&gt;INDIRECT("'"&amp;A6966&amp;"'!C$38"),TRUE,FALSE))</f>
        <v>0</v>
      </c>
      <c r="E6966" t="s">
        <v>628</v>
      </c>
      <c r="F6966" t="str">
        <f>INDEX(Lists!I:I,MATCH(Validation!E6966,Lists!G:G,0))</f>
        <v>Error</v>
      </c>
      <c r="G6966" t="str">
        <f>INDEX(Lists!H:H,MATCH(Validation!E6966,Lists!G:G,0))</f>
        <v>Principal due cannot exceed principal outstanding.</v>
      </c>
      <c r="H6966" s="16" t="str">
        <f t="shared" ca="1" si="795"/>
        <v/>
      </c>
      <c r="I6966" s="16" t="str">
        <f t="shared" ca="1" si="796"/>
        <v/>
      </c>
      <c r="J6966" s="17" t="str">
        <f t="shared" ca="1" si="797"/>
        <v/>
      </c>
    </row>
    <row r="6967" spans="1:10" x14ac:dyDescent="0.25">
      <c r="A6967" t="s">
        <v>935</v>
      </c>
      <c r="B6967" t="str">
        <f>ADDRESS(ROW('Loan 1'!$B$43),COLUMN('Loan 1'!$B$43),4)</f>
        <v>B43</v>
      </c>
      <c r="C6967" t="str">
        <f>ADDRESS(ROW('Loan 1'!$D$43),COLUMN('Loan 1'!$D$43),4)</f>
        <v>D43</v>
      </c>
      <c r="D6967" t="b" cm="1">
        <f t="array" aca="1" ref="D6967" ca="1">IF(INDIRECT("'"&amp;A6967&amp;"'!"&amp;B6967)="",FALSE,IF(INDIRECT("'"&amp;A6967&amp;"'!"&amp;B6967)&gt;INDIRECT("'"&amp;A6967&amp;"'!C$38"),TRUE,FALSE))</f>
        <v>0</v>
      </c>
      <c r="E6967" t="s">
        <v>628</v>
      </c>
      <c r="F6967" t="str">
        <f>INDEX(Lists!I:I,MATCH(Validation!E6967,Lists!G:G,0))</f>
        <v>Error</v>
      </c>
      <c r="G6967" t="str">
        <f>INDEX(Lists!H:H,MATCH(Validation!E6967,Lists!G:G,0))</f>
        <v>Principal due cannot exceed principal outstanding.</v>
      </c>
      <c r="H6967" s="16" t="str">
        <f t="shared" ca="1" si="795"/>
        <v/>
      </c>
      <c r="I6967" s="16" t="str">
        <f t="shared" ca="1" si="796"/>
        <v/>
      </c>
      <c r="J6967" s="17" t="str">
        <f t="shared" ca="1" si="797"/>
        <v/>
      </c>
    </row>
    <row r="6968" spans="1:10" x14ac:dyDescent="0.25">
      <c r="A6968" t="s">
        <v>936</v>
      </c>
      <c r="B6968" t="str">
        <f>ADDRESS(ROW('Loan 1'!$B$43),COLUMN('Loan 1'!$B$43),4)</f>
        <v>B43</v>
      </c>
      <c r="C6968" t="str">
        <f>ADDRESS(ROW('Loan 1'!$D$43),COLUMN('Loan 1'!$D$43),4)</f>
        <v>D43</v>
      </c>
      <c r="D6968" t="b" cm="1">
        <f t="array" aca="1" ref="D6968" ca="1">IF(INDIRECT("'"&amp;A6968&amp;"'!"&amp;B6968)="",FALSE,IF(INDIRECT("'"&amp;A6968&amp;"'!"&amp;B6968)&gt;INDIRECT("'"&amp;A6968&amp;"'!C$38"),TRUE,FALSE))</f>
        <v>0</v>
      </c>
      <c r="E6968" t="s">
        <v>628</v>
      </c>
      <c r="F6968" t="str">
        <f>INDEX(Lists!I:I,MATCH(Validation!E6968,Lists!G:G,0))</f>
        <v>Error</v>
      </c>
      <c r="G6968" t="str">
        <f>INDEX(Lists!H:H,MATCH(Validation!E6968,Lists!G:G,0))</f>
        <v>Principal due cannot exceed principal outstanding.</v>
      </c>
      <c r="H6968" s="16" t="str">
        <f t="shared" ca="1" si="795"/>
        <v/>
      </c>
      <c r="I6968" s="16" t="str">
        <f t="shared" ca="1" si="796"/>
        <v/>
      </c>
      <c r="J6968" s="17" t="str">
        <f t="shared" ca="1" si="797"/>
        <v/>
      </c>
    </row>
    <row r="6969" spans="1:10" x14ac:dyDescent="0.25">
      <c r="A6969" t="s">
        <v>937</v>
      </c>
      <c r="B6969" t="str">
        <f>ADDRESS(ROW('Loan 1'!$B$43),COLUMN('Loan 1'!$B$43),4)</f>
        <v>B43</v>
      </c>
      <c r="C6969" t="str">
        <f>ADDRESS(ROW('Loan 1'!$D$43),COLUMN('Loan 1'!$D$43),4)</f>
        <v>D43</v>
      </c>
      <c r="D6969" t="b" cm="1">
        <f t="array" aca="1" ref="D6969" ca="1">IF(INDIRECT("'"&amp;A6969&amp;"'!"&amp;B6969)="",FALSE,IF(INDIRECT("'"&amp;A6969&amp;"'!"&amp;B6969)&gt;INDIRECT("'"&amp;A6969&amp;"'!C$38"),TRUE,FALSE))</f>
        <v>0</v>
      </c>
      <c r="E6969" t="s">
        <v>628</v>
      </c>
      <c r="F6969" t="str">
        <f>INDEX(Lists!I:I,MATCH(Validation!E6969,Lists!G:G,0))</f>
        <v>Error</v>
      </c>
      <c r="G6969" t="str">
        <f>INDEX(Lists!H:H,MATCH(Validation!E6969,Lists!G:G,0))</f>
        <v>Principal due cannot exceed principal outstanding.</v>
      </c>
      <c r="H6969" s="16" t="str">
        <f t="shared" ca="1" si="795"/>
        <v/>
      </c>
      <c r="I6969" s="16" t="str">
        <f t="shared" ca="1" si="796"/>
        <v/>
      </c>
      <c r="J6969" s="17" t="str">
        <f t="shared" ca="1" si="797"/>
        <v/>
      </c>
    </row>
    <row r="6970" spans="1:10" x14ac:dyDescent="0.25">
      <c r="A6970" t="s">
        <v>938</v>
      </c>
      <c r="B6970" t="str">
        <f>ADDRESS(ROW('Loan 1'!$B$43),COLUMN('Loan 1'!$B$43),4)</f>
        <v>B43</v>
      </c>
      <c r="C6970" t="str">
        <f>ADDRESS(ROW('Loan 1'!$D$43),COLUMN('Loan 1'!$D$43),4)</f>
        <v>D43</v>
      </c>
      <c r="D6970" t="b" cm="1">
        <f t="array" aca="1" ref="D6970" ca="1">IF(INDIRECT("'"&amp;A6970&amp;"'!"&amp;B6970)="",FALSE,IF(INDIRECT("'"&amp;A6970&amp;"'!"&amp;B6970)&gt;INDIRECT("'"&amp;A6970&amp;"'!C$38"),TRUE,FALSE))</f>
        <v>0</v>
      </c>
      <c r="E6970" t="s">
        <v>628</v>
      </c>
      <c r="F6970" t="str">
        <f>INDEX(Lists!I:I,MATCH(Validation!E6970,Lists!G:G,0))</f>
        <v>Error</v>
      </c>
      <c r="G6970" t="str">
        <f>INDEX(Lists!H:H,MATCH(Validation!E6970,Lists!G:G,0))</f>
        <v>Principal due cannot exceed principal outstanding.</v>
      </c>
      <c r="H6970" s="16" t="str">
        <f t="shared" ca="1" si="795"/>
        <v/>
      </c>
      <c r="I6970" s="16" t="str">
        <f t="shared" ca="1" si="796"/>
        <v/>
      </c>
      <c r="J6970" s="17" t="str">
        <f t="shared" ca="1" si="797"/>
        <v/>
      </c>
    </row>
    <row r="6971" spans="1:10" x14ac:dyDescent="0.25">
      <c r="A6971" t="s">
        <v>939</v>
      </c>
      <c r="B6971" t="str">
        <f>ADDRESS(ROW('Loan 1'!$B$43),COLUMN('Loan 1'!$B$43),4)</f>
        <v>B43</v>
      </c>
      <c r="C6971" t="str">
        <f>ADDRESS(ROW('Loan 1'!$D$43),COLUMN('Loan 1'!$D$43),4)</f>
        <v>D43</v>
      </c>
      <c r="D6971" t="b" cm="1">
        <f t="array" aca="1" ref="D6971" ca="1">IF(INDIRECT("'"&amp;A6971&amp;"'!"&amp;B6971)="",FALSE,IF(INDIRECT("'"&amp;A6971&amp;"'!"&amp;B6971)&gt;INDIRECT("'"&amp;A6971&amp;"'!C$38"),TRUE,FALSE))</f>
        <v>0</v>
      </c>
      <c r="E6971" t="s">
        <v>628</v>
      </c>
      <c r="F6971" t="str">
        <f>INDEX(Lists!I:I,MATCH(Validation!E6971,Lists!G:G,0))</f>
        <v>Error</v>
      </c>
      <c r="G6971" t="str">
        <f>INDEX(Lists!H:H,MATCH(Validation!E6971,Lists!G:G,0))</f>
        <v>Principal due cannot exceed principal outstanding.</v>
      </c>
      <c r="H6971" s="16" t="str">
        <f t="shared" ca="1" si="795"/>
        <v/>
      </c>
      <c r="I6971" s="16" t="str">
        <f t="shared" ca="1" si="796"/>
        <v/>
      </c>
      <c r="J6971" s="17" t="str">
        <f t="shared" ca="1" si="797"/>
        <v/>
      </c>
    </row>
    <row r="6972" spans="1:10" x14ac:dyDescent="0.25">
      <c r="A6972" t="s">
        <v>940</v>
      </c>
      <c r="B6972" t="str">
        <f>ADDRESS(ROW('Loan 1'!$B$43),COLUMN('Loan 1'!$B$43),4)</f>
        <v>B43</v>
      </c>
      <c r="C6972" t="str">
        <f>ADDRESS(ROW('Loan 1'!$D$43),COLUMN('Loan 1'!$D$43),4)</f>
        <v>D43</v>
      </c>
      <c r="D6972" t="b" cm="1">
        <f t="array" aca="1" ref="D6972" ca="1">IF(INDIRECT("'"&amp;A6972&amp;"'!"&amp;B6972)="",FALSE,IF(INDIRECT("'"&amp;A6972&amp;"'!"&amp;B6972)&gt;INDIRECT("'"&amp;A6972&amp;"'!C$38"),TRUE,FALSE))</f>
        <v>0</v>
      </c>
      <c r="E6972" t="s">
        <v>628</v>
      </c>
      <c r="F6972" t="str">
        <f>INDEX(Lists!I:I,MATCH(Validation!E6972,Lists!G:G,0))</f>
        <v>Error</v>
      </c>
      <c r="G6972" t="str">
        <f>INDEX(Lists!H:H,MATCH(Validation!E6972,Lists!G:G,0))</f>
        <v>Principal due cannot exceed principal outstanding.</v>
      </c>
      <c r="H6972" s="16" t="str">
        <f t="shared" ca="1" si="795"/>
        <v/>
      </c>
      <c r="I6972" s="16" t="str">
        <f t="shared" ca="1" si="796"/>
        <v/>
      </c>
      <c r="J6972" s="17" t="str">
        <f t="shared" ca="1" si="797"/>
        <v/>
      </c>
    </row>
    <row r="6973" spans="1:10" x14ac:dyDescent="0.25">
      <c r="A6973" t="s">
        <v>941</v>
      </c>
      <c r="B6973" t="str">
        <f>ADDRESS(ROW('Loan 1'!$B$43),COLUMN('Loan 1'!$B$43),4)</f>
        <v>B43</v>
      </c>
      <c r="C6973" t="str">
        <f>ADDRESS(ROW('Loan 1'!$D$43),COLUMN('Loan 1'!$D$43),4)</f>
        <v>D43</v>
      </c>
      <c r="D6973" t="b" cm="1">
        <f t="array" aca="1" ref="D6973" ca="1">IF(INDIRECT("'"&amp;A6973&amp;"'!"&amp;B6973)="",FALSE,IF(INDIRECT("'"&amp;A6973&amp;"'!"&amp;B6973)&gt;INDIRECT("'"&amp;A6973&amp;"'!C$38"),TRUE,FALSE))</f>
        <v>0</v>
      </c>
      <c r="E6973" t="s">
        <v>628</v>
      </c>
      <c r="F6973" t="str">
        <f>INDEX(Lists!I:I,MATCH(Validation!E6973,Lists!G:G,0))</f>
        <v>Error</v>
      </c>
      <c r="G6973" t="str">
        <f>INDEX(Lists!H:H,MATCH(Validation!E6973,Lists!G:G,0))</f>
        <v>Principal due cannot exceed principal outstanding.</v>
      </c>
      <c r="H6973" s="16" t="str">
        <f t="shared" ca="1" si="795"/>
        <v/>
      </c>
      <c r="I6973" s="16" t="str">
        <f t="shared" ca="1" si="796"/>
        <v/>
      </c>
      <c r="J6973" s="17" t="str">
        <f t="shared" ca="1" si="797"/>
        <v/>
      </c>
    </row>
    <row r="6974" spans="1:10" x14ac:dyDescent="0.25">
      <c r="A6974" t="s">
        <v>942</v>
      </c>
      <c r="B6974" t="str">
        <f>ADDRESS(ROW('Loan 1'!$B$43),COLUMN('Loan 1'!$B$43),4)</f>
        <v>B43</v>
      </c>
      <c r="C6974" t="str">
        <f>ADDRESS(ROW('Loan 1'!$D$43),COLUMN('Loan 1'!$D$43),4)</f>
        <v>D43</v>
      </c>
      <c r="D6974" t="b" cm="1">
        <f t="array" aca="1" ref="D6974" ca="1">IF(INDIRECT("'"&amp;A6974&amp;"'!"&amp;B6974)="",FALSE,IF(INDIRECT("'"&amp;A6974&amp;"'!"&amp;B6974)&gt;INDIRECT("'"&amp;A6974&amp;"'!C$38"),TRUE,FALSE))</f>
        <v>0</v>
      </c>
      <c r="E6974" t="s">
        <v>628</v>
      </c>
      <c r="F6974" t="str">
        <f>INDEX(Lists!I:I,MATCH(Validation!E6974,Lists!G:G,0))</f>
        <v>Error</v>
      </c>
      <c r="G6974" t="str">
        <f>INDEX(Lists!H:H,MATCH(Validation!E6974,Lists!G:G,0))</f>
        <v>Principal due cannot exceed principal outstanding.</v>
      </c>
      <c r="H6974" s="16" t="str">
        <f t="shared" ca="1" si="795"/>
        <v/>
      </c>
      <c r="I6974" s="16" t="str">
        <f t="shared" ca="1" si="796"/>
        <v/>
      </c>
      <c r="J6974" s="17" t="str">
        <f t="shared" ca="1" si="797"/>
        <v/>
      </c>
    </row>
    <row r="6975" spans="1:10" x14ac:dyDescent="0.25">
      <c r="A6975" t="s">
        <v>943</v>
      </c>
      <c r="B6975" t="str">
        <f>ADDRESS(ROW('Loan 1'!$B$43),COLUMN('Loan 1'!$B$43),4)</f>
        <v>B43</v>
      </c>
      <c r="C6975" t="str">
        <f>ADDRESS(ROW('Loan 1'!$D$43),COLUMN('Loan 1'!$D$43),4)</f>
        <v>D43</v>
      </c>
      <c r="D6975" t="b" cm="1">
        <f t="array" aca="1" ref="D6975" ca="1">IF(INDIRECT("'"&amp;A6975&amp;"'!"&amp;B6975)="",FALSE,IF(INDIRECT("'"&amp;A6975&amp;"'!"&amp;B6975)&gt;INDIRECT("'"&amp;A6975&amp;"'!C$38"),TRUE,FALSE))</f>
        <v>0</v>
      </c>
      <c r="E6975" t="s">
        <v>628</v>
      </c>
      <c r="F6975" t="str">
        <f>INDEX(Lists!I:I,MATCH(Validation!E6975,Lists!G:G,0))</f>
        <v>Error</v>
      </c>
      <c r="G6975" t="str">
        <f>INDEX(Lists!H:H,MATCH(Validation!E6975,Lists!G:G,0))</f>
        <v>Principal due cannot exceed principal outstanding.</v>
      </c>
      <c r="H6975" s="16" t="str">
        <f t="shared" ca="1" si="795"/>
        <v/>
      </c>
      <c r="I6975" s="16" t="str">
        <f t="shared" ca="1" si="796"/>
        <v/>
      </c>
      <c r="J6975" s="17" t="str">
        <f t="shared" ca="1" si="797"/>
        <v/>
      </c>
    </row>
    <row r="6976" spans="1:10" x14ac:dyDescent="0.25">
      <c r="A6976" t="s">
        <v>944</v>
      </c>
      <c r="B6976" t="str">
        <f>ADDRESS(ROW('Loan 1'!$B$43),COLUMN('Loan 1'!$B$43),4)</f>
        <v>B43</v>
      </c>
      <c r="C6976" t="str">
        <f>ADDRESS(ROW('Loan 1'!$D$43),COLUMN('Loan 1'!$D$43),4)</f>
        <v>D43</v>
      </c>
      <c r="D6976" t="b" cm="1">
        <f t="array" aca="1" ref="D6976" ca="1">IF(INDIRECT("'"&amp;A6976&amp;"'!"&amp;B6976)="",FALSE,IF(INDIRECT("'"&amp;A6976&amp;"'!"&amp;B6976)&gt;INDIRECT("'"&amp;A6976&amp;"'!C$38"),TRUE,FALSE))</f>
        <v>0</v>
      </c>
      <c r="E6976" t="s">
        <v>628</v>
      </c>
      <c r="F6976" t="str">
        <f>INDEX(Lists!I:I,MATCH(Validation!E6976,Lists!G:G,0))</f>
        <v>Error</v>
      </c>
      <c r="G6976" t="str">
        <f>INDEX(Lists!H:H,MATCH(Validation!E6976,Lists!G:G,0))</f>
        <v>Principal due cannot exceed principal outstanding.</v>
      </c>
      <c r="H6976" s="16" t="str">
        <f t="shared" ca="1" si="795"/>
        <v/>
      </c>
      <c r="I6976" s="16" t="str">
        <f t="shared" ca="1" si="796"/>
        <v/>
      </c>
      <c r="J6976" s="17" t="str">
        <f t="shared" ca="1" si="797"/>
        <v/>
      </c>
    </row>
    <row r="6977" spans="1:10" x14ac:dyDescent="0.25">
      <c r="A6977" t="s">
        <v>945</v>
      </c>
      <c r="B6977" t="str">
        <f>ADDRESS(ROW('Loan 1'!$B$43),COLUMN('Loan 1'!$B$43),4)</f>
        <v>B43</v>
      </c>
      <c r="C6977" t="str">
        <f>ADDRESS(ROW('Loan 1'!$D$43),COLUMN('Loan 1'!$D$43),4)</f>
        <v>D43</v>
      </c>
      <c r="D6977" t="b" cm="1">
        <f t="array" aca="1" ref="D6977" ca="1">IF(INDIRECT("'"&amp;A6977&amp;"'!"&amp;B6977)="",FALSE,IF(INDIRECT("'"&amp;A6977&amp;"'!"&amp;B6977)&gt;INDIRECT("'"&amp;A6977&amp;"'!C$38"),TRUE,FALSE))</f>
        <v>0</v>
      </c>
      <c r="E6977" t="s">
        <v>628</v>
      </c>
      <c r="F6977" t="str">
        <f>INDEX(Lists!I:I,MATCH(Validation!E6977,Lists!G:G,0))</f>
        <v>Error</v>
      </c>
      <c r="G6977" t="str">
        <f>INDEX(Lists!H:H,MATCH(Validation!E6977,Lists!G:G,0))</f>
        <v>Principal due cannot exceed principal outstanding.</v>
      </c>
      <c r="H6977" s="16" t="str">
        <f t="shared" ca="1" si="795"/>
        <v/>
      </c>
      <c r="I6977" s="16" t="str">
        <f t="shared" ca="1" si="796"/>
        <v/>
      </c>
      <c r="J6977" s="17" t="str">
        <f t="shared" ca="1" si="797"/>
        <v/>
      </c>
    </row>
    <row r="6978" spans="1:10" x14ac:dyDescent="0.25">
      <c r="A6978" t="s">
        <v>205</v>
      </c>
      <c r="B6978" t="str">
        <f>ADDRESS(ROW('Loan 1'!$B$44),COLUMN('Loan 1'!$B$44),4)</f>
        <v>B44</v>
      </c>
      <c r="C6978" t="str">
        <f>ADDRESS(ROW('Loan 1'!$D$44),COLUMN('Loan 1'!$D$44),4)</f>
        <v>D44</v>
      </c>
      <c r="D6978" t="b" cm="1">
        <f t="array" aca="1" ref="D6978" ca="1">IF(INDIRECT("'"&amp;A6978&amp;"'!"&amp;B6978)="",FALSE,IF(NOT(ISNUMBER(INDIRECT("'"&amp;A6978&amp;"'!"&amp;B6978))),TRUE,FALSE))</f>
        <v>0</v>
      </c>
      <c r="E6978" t="s">
        <v>435</v>
      </c>
      <c r="F6978" t="str">
        <f>INDEX(Lists!I:I,MATCH(Validation!E6978,Lists!G:G,0))</f>
        <v>Error</v>
      </c>
      <c r="G6978" t="str">
        <f>INDEX(Lists!H:H,MATCH(Validation!E6978,Lists!G:G,0))</f>
        <v>Enter an amount only. Do not enter text or spaces.</v>
      </c>
      <c r="H6978" s="16" t="str">
        <f t="shared" ca="1" si="759"/>
        <v/>
      </c>
      <c r="I6978" s="16" t="str">
        <f t="shared" ca="1" si="760"/>
        <v/>
      </c>
      <c r="J6978" s="17" t="str">
        <f t="shared" ca="1" si="761"/>
        <v/>
      </c>
    </row>
    <row r="6979" spans="1:10" x14ac:dyDescent="0.25">
      <c r="A6979" t="s">
        <v>932</v>
      </c>
      <c r="B6979" t="str">
        <f>ADDRESS(ROW('Loan 1'!$B$44),COLUMN('Loan 1'!$B$44),4)</f>
        <v>B44</v>
      </c>
      <c r="C6979" t="str">
        <f>ADDRESS(ROW('Loan 1'!$D$44),COLUMN('Loan 1'!$D$44),4)</f>
        <v>D44</v>
      </c>
      <c r="D6979" t="b" cm="1">
        <f t="array" aca="1" ref="D6979" ca="1">IF(INDIRECT("'"&amp;A6979&amp;"'!"&amp;B6979)="",FALSE,IF(NOT(ISNUMBER(INDIRECT("'"&amp;A6979&amp;"'!"&amp;B6979))),TRUE,FALSE))</f>
        <v>0</v>
      </c>
      <c r="E6979" t="s">
        <v>435</v>
      </c>
      <c r="F6979" t="str">
        <f>INDEX(Lists!I:I,MATCH(Validation!E6979,Lists!G:G,0))</f>
        <v>Error</v>
      </c>
      <c r="G6979" t="str">
        <f>INDEX(Lists!H:H,MATCH(Validation!E6979,Lists!G:G,0))</f>
        <v>Enter an amount only. Do not enter text or spaces.</v>
      </c>
      <c r="H6979" s="16" t="str">
        <f t="shared" ref="H6979:H6992" ca="1" si="798">IFERROR(IF(OR(NOT(D6979),F6979&lt;&gt;"Error"),"",A6979&amp;CELL("address",INDIRECT(B6979))),"")</f>
        <v/>
      </c>
      <c r="I6979" s="16" t="str">
        <f t="shared" ref="I6979:I6992" ca="1" si="799">IFERROR(IF(NOT(D6979),"",A6979&amp;CELL("address",INDIRECT(C6979))),"")</f>
        <v/>
      </c>
      <c r="J6979" s="17" t="str">
        <f t="shared" ref="J6979:J6992" ca="1" si="800">IFERROR(IF(NOT(D6979),"",A6979),"")</f>
        <v/>
      </c>
    </row>
    <row r="6980" spans="1:10" x14ac:dyDescent="0.25">
      <c r="A6980" t="s">
        <v>933</v>
      </c>
      <c r="B6980" t="str">
        <f>ADDRESS(ROW('Loan 1'!$B$44),COLUMN('Loan 1'!$B$44),4)</f>
        <v>B44</v>
      </c>
      <c r="C6980" t="str">
        <f>ADDRESS(ROW('Loan 1'!$D$44),COLUMN('Loan 1'!$D$44),4)</f>
        <v>D44</v>
      </c>
      <c r="D6980" t="b" cm="1">
        <f t="array" aca="1" ref="D6980" ca="1">IF(INDIRECT("'"&amp;A6980&amp;"'!"&amp;B6980)="",FALSE,IF(NOT(ISNUMBER(INDIRECT("'"&amp;A6980&amp;"'!"&amp;B6980))),TRUE,FALSE))</f>
        <v>0</v>
      </c>
      <c r="E6980" t="s">
        <v>435</v>
      </c>
      <c r="F6980" t="str">
        <f>INDEX(Lists!I:I,MATCH(Validation!E6980,Lists!G:G,0))</f>
        <v>Error</v>
      </c>
      <c r="G6980" t="str">
        <f>INDEX(Lists!H:H,MATCH(Validation!E6980,Lists!G:G,0))</f>
        <v>Enter an amount only. Do not enter text or spaces.</v>
      </c>
      <c r="H6980" s="16" t="str">
        <f t="shared" ca="1" si="798"/>
        <v/>
      </c>
      <c r="I6980" s="16" t="str">
        <f t="shared" ca="1" si="799"/>
        <v/>
      </c>
      <c r="J6980" s="17" t="str">
        <f t="shared" ca="1" si="800"/>
        <v/>
      </c>
    </row>
    <row r="6981" spans="1:10" x14ac:dyDescent="0.25">
      <c r="A6981" t="s">
        <v>934</v>
      </c>
      <c r="B6981" t="str">
        <f>ADDRESS(ROW('Loan 1'!$B$44),COLUMN('Loan 1'!$B$44),4)</f>
        <v>B44</v>
      </c>
      <c r="C6981" t="str">
        <f>ADDRESS(ROW('Loan 1'!$D$44),COLUMN('Loan 1'!$D$44),4)</f>
        <v>D44</v>
      </c>
      <c r="D6981" t="b" cm="1">
        <f t="array" aca="1" ref="D6981" ca="1">IF(INDIRECT("'"&amp;A6981&amp;"'!"&amp;B6981)="",FALSE,IF(NOT(ISNUMBER(INDIRECT("'"&amp;A6981&amp;"'!"&amp;B6981))),TRUE,FALSE))</f>
        <v>0</v>
      </c>
      <c r="E6981" t="s">
        <v>435</v>
      </c>
      <c r="F6981" t="str">
        <f>INDEX(Lists!I:I,MATCH(Validation!E6981,Lists!G:G,0))</f>
        <v>Error</v>
      </c>
      <c r="G6981" t="str">
        <f>INDEX(Lists!H:H,MATCH(Validation!E6981,Lists!G:G,0))</f>
        <v>Enter an amount only. Do not enter text or spaces.</v>
      </c>
      <c r="H6981" s="16" t="str">
        <f t="shared" ca="1" si="798"/>
        <v/>
      </c>
      <c r="I6981" s="16" t="str">
        <f t="shared" ca="1" si="799"/>
        <v/>
      </c>
      <c r="J6981" s="17" t="str">
        <f t="shared" ca="1" si="800"/>
        <v/>
      </c>
    </row>
    <row r="6982" spans="1:10" x14ac:dyDescent="0.25">
      <c r="A6982" t="s">
        <v>935</v>
      </c>
      <c r="B6982" t="str">
        <f>ADDRESS(ROW('Loan 1'!$B$44),COLUMN('Loan 1'!$B$44),4)</f>
        <v>B44</v>
      </c>
      <c r="C6982" t="str">
        <f>ADDRESS(ROW('Loan 1'!$D$44),COLUMN('Loan 1'!$D$44),4)</f>
        <v>D44</v>
      </c>
      <c r="D6982" t="b" cm="1">
        <f t="array" aca="1" ref="D6982" ca="1">IF(INDIRECT("'"&amp;A6982&amp;"'!"&amp;B6982)="",FALSE,IF(NOT(ISNUMBER(INDIRECT("'"&amp;A6982&amp;"'!"&amp;B6982))),TRUE,FALSE))</f>
        <v>0</v>
      </c>
      <c r="E6982" t="s">
        <v>435</v>
      </c>
      <c r="F6982" t="str">
        <f>INDEX(Lists!I:I,MATCH(Validation!E6982,Lists!G:G,0))</f>
        <v>Error</v>
      </c>
      <c r="G6982" t="str">
        <f>INDEX(Lists!H:H,MATCH(Validation!E6982,Lists!G:G,0))</f>
        <v>Enter an amount only. Do not enter text or spaces.</v>
      </c>
      <c r="H6982" s="16" t="str">
        <f t="shared" ca="1" si="798"/>
        <v/>
      </c>
      <c r="I6982" s="16" t="str">
        <f t="shared" ca="1" si="799"/>
        <v/>
      </c>
      <c r="J6982" s="17" t="str">
        <f t="shared" ca="1" si="800"/>
        <v/>
      </c>
    </row>
    <row r="6983" spans="1:10" x14ac:dyDescent="0.25">
      <c r="A6983" t="s">
        <v>936</v>
      </c>
      <c r="B6983" t="str">
        <f>ADDRESS(ROW('Loan 1'!$B$44),COLUMN('Loan 1'!$B$44),4)</f>
        <v>B44</v>
      </c>
      <c r="C6983" t="str">
        <f>ADDRESS(ROW('Loan 1'!$D$44),COLUMN('Loan 1'!$D$44),4)</f>
        <v>D44</v>
      </c>
      <c r="D6983" t="b" cm="1">
        <f t="array" aca="1" ref="D6983" ca="1">IF(INDIRECT("'"&amp;A6983&amp;"'!"&amp;B6983)="",FALSE,IF(NOT(ISNUMBER(INDIRECT("'"&amp;A6983&amp;"'!"&amp;B6983))),TRUE,FALSE))</f>
        <v>0</v>
      </c>
      <c r="E6983" t="s">
        <v>435</v>
      </c>
      <c r="F6983" t="str">
        <f>INDEX(Lists!I:I,MATCH(Validation!E6983,Lists!G:G,0))</f>
        <v>Error</v>
      </c>
      <c r="G6983" t="str">
        <f>INDEX(Lists!H:H,MATCH(Validation!E6983,Lists!G:G,0))</f>
        <v>Enter an amount only. Do not enter text or spaces.</v>
      </c>
      <c r="H6983" s="16" t="str">
        <f t="shared" ca="1" si="798"/>
        <v/>
      </c>
      <c r="I6983" s="16" t="str">
        <f t="shared" ca="1" si="799"/>
        <v/>
      </c>
      <c r="J6983" s="17" t="str">
        <f t="shared" ca="1" si="800"/>
        <v/>
      </c>
    </row>
    <row r="6984" spans="1:10" x14ac:dyDescent="0.25">
      <c r="A6984" t="s">
        <v>937</v>
      </c>
      <c r="B6984" t="str">
        <f>ADDRESS(ROW('Loan 1'!$B$44),COLUMN('Loan 1'!$B$44),4)</f>
        <v>B44</v>
      </c>
      <c r="C6984" t="str">
        <f>ADDRESS(ROW('Loan 1'!$D$44),COLUMN('Loan 1'!$D$44),4)</f>
        <v>D44</v>
      </c>
      <c r="D6984" t="b" cm="1">
        <f t="array" aca="1" ref="D6984" ca="1">IF(INDIRECT("'"&amp;A6984&amp;"'!"&amp;B6984)="",FALSE,IF(NOT(ISNUMBER(INDIRECT("'"&amp;A6984&amp;"'!"&amp;B6984))),TRUE,FALSE))</f>
        <v>0</v>
      </c>
      <c r="E6984" t="s">
        <v>435</v>
      </c>
      <c r="F6984" t="str">
        <f>INDEX(Lists!I:I,MATCH(Validation!E6984,Lists!G:G,0))</f>
        <v>Error</v>
      </c>
      <c r="G6984" t="str">
        <f>INDEX(Lists!H:H,MATCH(Validation!E6984,Lists!G:G,0))</f>
        <v>Enter an amount only. Do not enter text or spaces.</v>
      </c>
      <c r="H6984" s="16" t="str">
        <f t="shared" ca="1" si="798"/>
        <v/>
      </c>
      <c r="I6984" s="16" t="str">
        <f t="shared" ca="1" si="799"/>
        <v/>
      </c>
      <c r="J6984" s="17" t="str">
        <f t="shared" ca="1" si="800"/>
        <v/>
      </c>
    </row>
    <row r="6985" spans="1:10" x14ac:dyDescent="0.25">
      <c r="A6985" t="s">
        <v>938</v>
      </c>
      <c r="B6985" t="str">
        <f>ADDRESS(ROW('Loan 1'!$B$44),COLUMN('Loan 1'!$B$44),4)</f>
        <v>B44</v>
      </c>
      <c r="C6985" t="str">
        <f>ADDRESS(ROW('Loan 1'!$D$44),COLUMN('Loan 1'!$D$44),4)</f>
        <v>D44</v>
      </c>
      <c r="D6985" t="b" cm="1">
        <f t="array" aca="1" ref="D6985" ca="1">IF(INDIRECT("'"&amp;A6985&amp;"'!"&amp;B6985)="",FALSE,IF(NOT(ISNUMBER(INDIRECT("'"&amp;A6985&amp;"'!"&amp;B6985))),TRUE,FALSE))</f>
        <v>0</v>
      </c>
      <c r="E6985" t="s">
        <v>435</v>
      </c>
      <c r="F6985" t="str">
        <f>INDEX(Lists!I:I,MATCH(Validation!E6985,Lists!G:G,0))</f>
        <v>Error</v>
      </c>
      <c r="G6985" t="str">
        <f>INDEX(Lists!H:H,MATCH(Validation!E6985,Lists!G:G,0))</f>
        <v>Enter an amount only. Do not enter text or spaces.</v>
      </c>
      <c r="H6985" s="16" t="str">
        <f t="shared" ca="1" si="798"/>
        <v/>
      </c>
      <c r="I6985" s="16" t="str">
        <f t="shared" ca="1" si="799"/>
        <v/>
      </c>
      <c r="J6985" s="17" t="str">
        <f t="shared" ca="1" si="800"/>
        <v/>
      </c>
    </row>
    <row r="6986" spans="1:10" x14ac:dyDescent="0.25">
      <c r="A6986" t="s">
        <v>939</v>
      </c>
      <c r="B6986" t="str">
        <f>ADDRESS(ROW('Loan 1'!$B$44),COLUMN('Loan 1'!$B$44),4)</f>
        <v>B44</v>
      </c>
      <c r="C6986" t="str">
        <f>ADDRESS(ROW('Loan 1'!$D$44),COLUMN('Loan 1'!$D$44),4)</f>
        <v>D44</v>
      </c>
      <c r="D6986" t="b" cm="1">
        <f t="array" aca="1" ref="D6986" ca="1">IF(INDIRECT("'"&amp;A6986&amp;"'!"&amp;B6986)="",FALSE,IF(NOT(ISNUMBER(INDIRECT("'"&amp;A6986&amp;"'!"&amp;B6986))),TRUE,FALSE))</f>
        <v>0</v>
      </c>
      <c r="E6986" t="s">
        <v>435</v>
      </c>
      <c r="F6986" t="str">
        <f>INDEX(Lists!I:I,MATCH(Validation!E6986,Lists!G:G,0))</f>
        <v>Error</v>
      </c>
      <c r="G6986" t="str">
        <f>INDEX(Lists!H:H,MATCH(Validation!E6986,Lists!G:G,0))</f>
        <v>Enter an amount only. Do not enter text or spaces.</v>
      </c>
      <c r="H6986" s="16" t="str">
        <f t="shared" ca="1" si="798"/>
        <v/>
      </c>
      <c r="I6986" s="16" t="str">
        <f t="shared" ca="1" si="799"/>
        <v/>
      </c>
      <c r="J6986" s="17" t="str">
        <f t="shared" ca="1" si="800"/>
        <v/>
      </c>
    </row>
    <row r="6987" spans="1:10" x14ac:dyDescent="0.25">
      <c r="A6987" t="s">
        <v>940</v>
      </c>
      <c r="B6987" t="str">
        <f>ADDRESS(ROW('Loan 1'!$B$44),COLUMN('Loan 1'!$B$44),4)</f>
        <v>B44</v>
      </c>
      <c r="C6987" t="str">
        <f>ADDRESS(ROW('Loan 1'!$D$44),COLUMN('Loan 1'!$D$44),4)</f>
        <v>D44</v>
      </c>
      <c r="D6987" t="b" cm="1">
        <f t="array" aca="1" ref="D6987" ca="1">IF(INDIRECT("'"&amp;A6987&amp;"'!"&amp;B6987)="",FALSE,IF(NOT(ISNUMBER(INDIRECT("'"&amp;A6987&amp;"'!"&amp;B6987))),TRUE,FALSE))</f>
        <v>0</v>
      </c>
      <c r="E6987" t="s">
        <v>435</v>
      </c>
      <c r="F6987" t="str">
        <f>INDEX(Lists!I:I,MATCH(Validation!E6987,Lists!G:G,0))</f>
        <v>Error</v>
      </c>
      <c r="G6987" t="str">
        <f>INDEX(Lists!H:H,MATCH(Validation!E6987,Lists!G:G,0))</f>
        <v>Enter an amount only. Do not enter text or spaces.</v>
      </c>
      <c r="H6987" s="16" t="str">
        <f t="shared" ca="1" si="798"/>
        <v/>
      </c>
      <c r="I6987" s="16" t="str">
        <f t="shared" ca="1" si="799"/>
        <v/>
      </c>
      <c r="J6987" s="17" t="str">
        <f t="shared" ca="1" si="800"/>
        <v/>
      </c>
    </row>
    <row r="6988" spans="1:10" x14ac:dyDescent="0.25">
      <c r="A6988" t="s">
        <v>941</v>
      </c>
      <c r="B6988" t="str">
        <f>ADDRESS(ROW('Loan 1'!$B$44),COLUMN('Loan 1'!$B$44),4)</f>
        <v>B44</v>
      </c>
      <c r="C6988" t="str">
        <f>ADDRESS(ROW('Loan 1'!$D$44),COLUMN('Loan 1'!$D$44),4)</f>
        <v>D44</v>
      </c>
      <c r="D6988" t="b" cm="1">
        <f t="array" aca="1" ref="D6988" ca="1">IF(INDIRECT("'"&amp;A6988&amp;"'!"&amp;B6988)="",FALSE,IF(NOT(ISNUMBER(INDIRECT("'"&amp;A6988&amp;"'!"&amp;B6988))),TRUE,FALSE))</f>
        <v>0</v>
      </c>
      <c r="E6988" t="s">
        <v>435</v>
      </c>
      <c r="F6988" t="str">
        <f>INDEX(Lists!I:I,MATCH(Validation!E6988,Lists!G:G,0))</f>
        <v>Error</v>
      </c>
      <c r="G6988" t="str">
        <f>INDEX(Lists!H:H,MATCH(Validation!E6988,Lists!G:G,0))</f>
        <v>Enter an amount only. Do not enter text or spaces.</v>
      </c>
      <c r="H6988" s="16" t="str">
        <f t="shared" ca="1" si="798"/>
        <v/>
      </c>
      <c r="I6988" s="16" t="str">
        <f t="shared" ca="1" si="799"/>
        <v/>
      </c>
      <c r="J6988" s="17" t="str">
        <f t="shared" ca="1" si="800"/>
        <v/>
      </c>
    </row>
    <row r="6989" spans="1:10" x14ac:dyDescent="0.25">
      <c r="A6989" t="s">
        <v>942</v>
      </c>
      <c r="B6989" t="str">
        <f>ADDRESS(ROW('Loan 1'!$B$44),COLUMN('Loan 1'!$B$44),4)</f>
        <v>B44</v>
      </c>
      <c r="C6989" t="str">
        <f>ADDRESS(ROW('Loan 1'!$D$44),COLUMN('Loan 1'!$D$44),4)</f>
        <v>D44</v>
      </c>
      <c r="D6989" t="b" cm="1">
        <f t="array" aca="1" ref="D6989" ca="1">IF(INDIRECT("'"&amp;A6989&amp;"'!"&amp;B6989)="",FALSE,IF(NOT(ISNUMBER(INDIRECT("'"&amp;A6989&amp;"'!"&amp;B6989))),TRUE,FALSE))</f>
        <v>0</v>
      </c>
      <c r="E6989" t="s">
        <v>435</v>
      </c>
      <c r="F6989" t="str">
        <f>INDEX(Lists!I:I,MATCH(Validation!E6989,Lists!G:G,0))</f>
        <v>Error</v>
      </c>
      <c r="G6989" t="str">
        <f>INDEX(Lists!H:H,MATCH(Validation!E6989,Lists!G:G,0))</f>
        <v>Enter an amount only. Do not enter text or spaces.</v>
      </c>
      <c r="H6989" s="16" t="str">
        <f t="shared" ca="1" si="798"/>
        <v/>
      </c>
      <c r="I6989" s="16" t="str">
        <f t="shared" ca="1" si="799"/>
        <v/>
      </c>
      <c r="J6989" s="17" t="str">
        <f t="shared" ca="1" si="800"/>
        <v/>
      </c>
    </row>
    <row r="6990" spans="1:10" x14ac:dyDescent="0.25">
      <c r="A6990" t="s">
        <v>943</v>
      </c>
      <c r="B6990" t="str">
        <f>ADDRESS(ROW('Loan 1'!$B$44),COLUMN('Loan 1'!$B$44),4)</f>
        <v>B44</v>
      </c>
      <c r="C6990" t="str">
        <f>ADDRESS(ROW('Loan 1'!$D$44),COLUMN('Loan 1'!$D$44),4)</f>
        <v>D44</v>
      </c>
      <c r="D6990" t="b" cm="1">
        <f t="array" aca="1" ref="D6990" ca="1">IF(INDIRECT("'"&amp;A6990&amp;"'!"&amp;B6990)="",FALSE,IF(NOT(ISNUMBER(INDIRECT("'"&amp;A6990&amp;"'!"&amp;B6990))),TRUE,FALSE))</f>
        <v>0</v>
      </c>
      <c r="E6990" t="s">
        <v>435</v>
      </c>
      <c r="F6990" t="str">
        <f>INDEX(Lists!I:I,MATCH(Validation!E6990,Lists!G:G,0))</f>
        <v>Error</v>
      </c>
      <c r="G6990" t="str">
        <f>INDEX(Lists!H:H,MATCH(Validation!E6990,Lists!G:G,0))</f>
        <v>Enter an amount only. Do not enter text or spaces.</v>
      </c>
      <c r="H6990" s="16" t="str">
        <f t="shared" ca="1" si="798"/>
        <v/>
      </c>
      <c r="I6990" s="16" t="str">
        <f t="shared" ca="1" si="799"/>
        <v/>
      </c>
      <c r="J6990" s="17" t="str">
        <f t="shared" ca="1" si="800"/>
        <v/>
      </c>
    </row>
    <row r="6991" spans="1:10" x14ac:dyDescent="0.25">
      <c r="A6991" t="s">
        <v>944</v>
      </c>
      <c r="B6991" t="str">
        <f>ADDRESS(ROW('Loan 1'!$B$44),COLUMN('Loan 1'!$B$44),4)</f>
        <v>B44</v>
      </c>
      <c r="C6991" t="str">
        <f>ADDRESS(ROW('Loan 1'!$D$44),COLUMN('Loan 1'!$D$44),4)</f>
        <v>D44</v>
      </c>
      <c r="D6991" t="b" cm="1">
        <f t="array" aca="1" ref="D6991" ca="1">IF(INDIRECT("'"&amp;A6991&amp;"'!"&amp;B6991)="",FALSE,IF(NOT(ISNUMBER(INDIRECT("'"&amp;A6991&amp;"'!"&amp;B6991))),TRUE,FALSE))</f>
        <v>0</v>
      </c>
      <c r="E6991" t="s">
        <v>435</v>
      </c>
      <c r="F6991" t="str">
        <f>INDEX(Lists!I:I,MATCH(Validation!E6991,Lists!G:G,0))</f>
        <v>Error</v>
      </c>
      <c r="G6991" t="str">
        <f>INDEX(Lists!H:H,MATCH(Validation!E6991,Lists!G:G,0))</f>
        <v>Enter an amount only. Do not enter text or spaces.</v>
      </c>
      <c r="H6991" s="16" t="str">
        <f t="shared" ca="1" si="798"/>
        <v/>
      </c>
      <c r="I6991" s="16" t="str">
        <f t="shared" ca="1" si="799"/>
        <v/>
      </c>
      <c r="J6991" s="17" t="str">
        <f t="shared" ca="1" si="800"/>
        <v/>
      </c>
    </row>
    <row r="6992" spans="1:10" x14ac:dyDescent="0.25">
      <c r="A6992" t="s">
        <v>945</v>
      </c>
      <c r="B6992" t="str">
        <f>ADDRESS(ROW('Loan 1'!$B$44),COLUMN('Loan 1'!$B$44),4)</f>
        <v>B44</v>
      </c>
      <c r="C6992" t="str">
        <f>ADDRESS(ROW('Loan 1'!$D$44),COLUMN('Loan 1'!$D$44),4)</f>
        <v>D44</v>
      </c>
      <c r="D6992" t="b" cm="1">
        <f t="array" aca="1" ref="D6992" ca="1">IF(INDIRECT("'"&amp;A6992&amp;"'!"&amp;B6992)="",FALSE,IF(NOT(ISNUMBER(INDIRECT("'"&amp;A6992&amp;"'!"&amp;B6992))),TRUE,FALSE))</f>
        <v>0</v>
      </c>
      <c r="E6992" t="s">
        <v>435</v>
      </c>
      <c r="F6992" t="str">
        <f>INDEX(Lists!I:I,MATCH(Validation!E6992,Lists!G:G,0))</f>
        <v>Error</v>
      </c>
      <c r="G6992" t="str">
        <f>INDEX(Lists!H:H,MATCH(Validation!E6992,Lists!G:G,0))</f>
        <v>Enter an amount only. Do not enter text or spaces.</v>
      </c>
      <c r="H6992" s="16" t="str">
        <f t="shared" ca="1" si="798"/>
        <v/>
      </c>
      <c r="I6992" s="16" t="str">
        <f t="shared" ca="1" si="799"/>
        <v/>
      </c>
      <c r="J6992" s="17" t="str">
        <f t="shared" ca="1" si="800"/>
        <v/>
      </c>
    </row>
    <row r="6993" spans="1:10" x14ac:dyDescent="0.25">
      <c r="A6993" t="s">
        <v>205</v>
      </c>
      <c r="B6993" t="str">
        <f>ADDRESS(ROW('Loan 1'!$B$44),COLUMN('Loan 1'!$B$44),4)</f>
        <v>B44</v>
      </c>
      <c r="C6993" t="str">
        <f>ADDRESS(ROW('Loan 1'!$D$44),COLUMN('Loan 1'!$D$44),4)</f>
        <v>D44</v>
      </c>
      <c r="D6993" t="b" cm="1">
        <f t="array" aca="1" ref="D6993" ca="1">IF(INDIRECT("'"&amp;A6993&amp;"'!"&amp;B6993)="",FALSE,IF(INDIRECT("'"&amp;A6993&amp;"'!"&amp;B6993)&lt;0,TRUE,FALSE))</f>
        <v>0</v>
      </c>
      <c r="E6993" t="s">
        <v>434</v>
      </c>
      <c r="F6993" t="str">
        <f>INDEX(Lists!I:I,MATCH(Validation!E6993,Lists!G:G,0))</f>
        <v>Error</v>
      </c>
      <c r="G6993" t="str">
        <f>INDEX(Lists!H:H,MATCH(Validation!E6993,Lists!G:G,0))</f>
        <v>Amount may not be negative. Enter an amount greater than or equal to zero.</v>
      </c>
      <c r="H6993" s="16" t="str">
        <f t="shared" ca="1" si="759"/>
        <v/>
      </c>
      <c r="I6993" s="16" t="str">
        <f t="shared" ca="1" si="760"/>
        <v/>
      </c>
      <c r="J6993" s="17" t="str">
        <f t="shared" ca="1" si="761"/>
        <v/>
      </c>
    </row>
    <row r="6994" spans="1:10" x14ac:dyDescent="0.25">
      <c r="A6994" t="s">
        <v>932</v>
      </c>
      <c r="B6994" t="str">
        <f>ADDRESS(ROW('Loan 1'!$B$44),COLUMN('Loan 1'!$B$44),4)</f>
        <v>B44</v>
      </c>
      <c r="C6994" t="str">
        <f>ADDRESS(ROW('Loan 1'!$D$44),COLUMN('Loan 1'!$D$44),4)</f>
        <v>D44</v>
      </c>
      <c r="D6994" t="b" cm="1">
        <f t="array" aca="1" ref="D6994" ca="1">IF(INDIRECT("'"&amp;A6994&amp;"'!"&amp;B6994)="",FALSE,IF(INDIRECT("'"&amp;A6994&amp;"'!"&amp;B6994)&lt;0,TRUE,FALSE))</f>
        <v>0</v>
      </c>
      <c r="E6994" t="s">
        <v>434</v>
      </c>
      <c r="F6994" t="str">
        <f>INDEX(Lists!I:I,MATCH(Validation!E6994,Lists!G:G,0))</f>
        <v>Error</v>
      </c>
      <c r="G6994" t="str">
        <f>INDEX(Lists!H:H,MATCH(Validation!E6994,Lists!G:G,0))</f>
        <v>Amount may not be negative. Enter an amount greater than or equal to zero.</v>
      </c>
      <c r="H6994" s="16" t="str">
        <f t="shared" ca="1" si="759"/>
        <v/>
      </c>
      <c r="I6994" s="16" t="str">
        <f t="shared" ca="1" si="760"/>
        <v/>
      </c>
      <c r="J6994" s="17" t="str">
        <f t="shared" ca="1" si="761"/>
        <v/>
      </c>
    </row>
    <row r="6995" spans="1:10" x14ac:dyDescent="0.25">
      <c r="A6995" t="s">
        <v>933</v>
      </c>
      <c r="B6995" t="str">
        <f>ADDRESS(ROW('Loan 1'!$B$44),COLUMN('Loan 1'!$B$44),4)</f>
        <v>B44</v>
      </c>
      <c r="C6995" t="str">
        <f>ADDRESS(ROW('Loan 1'!$D$44),COLUMN('Loan 1'!$D$44),4)</f>
        <v>D44</v>
      </c>
      <c r="D6995" t="b" cm="1">
        <f t="array" aca="1" ref="D6995" ca="1">IF(INDIRECT("'"&amp;A6995&amp;"'!"&amp;B6995)="",FALSE,IF(INDIRECT("'"&amp;A6995&amp;"'!"&amp;B6995)&lt;0,TRUE,FALSE))</f>
        <v>0</v>
      </c>
      <c r="E6995" t="s">
        <v>434</v>
      </c>
      <c r="F6995" t="str">
        <f>INDEX(Lists!I:I,MATCH(Validation!E6995,Lists!G:G,0))</f>
        <v>Error</v>
      </c>
      <c r="G6995" t="str">
        <f>INDEX(Lists!H:H,MATCH(Validation!E6995,Lists!G:G,0))</f>
        <v>Amount may not be negative. Enter an amount greater than or equal to zero.</v>
      </c>
      <c r="H6995" s="16" t="str">
        <f t="shared" ca="1" si="759"/>
        <v/>
      </c>
      <c r="I6995" s="16" t="str">
        <f t="shared" ca="1" si="760"/>
        <v/>
      </c>
      <c r="J6995" s="17" t="str">
        <f t="shared" ca="1" si="761"/>
        <v/>
      </c>
    </row>
    <row r="6996" spans="1:10" x14ac:dyDescent="0.25">
      <c r="A6996" t="s">
        <v>934</v>
      </c>
      <c r="B6996" t="str">
        <f>ADDRESS(ROW('Loan 1'!$B$44),COLUMN('Loan 1'!$B$44),4)</f>
        <v>B44</v>
      </c>
      <c r="C6996" t="str">
        <f>ADDRESS(ROW('Loan 1'!$D$44),COLUMN('Loan 1'!$D$44),4)</f>
        <v>D44</v>
      </c>
      <c r="D6996" t="b" cm="1">
        <f t="array" aca="1" ref="D6996" ca="1">IF(INDIRECT("'"&amp;A6996&amp;"'!"&amp;B6996)="",FALSE,IF(INDIRECT("'"&amp;A6996&amp;"'!"&amp;B6996)&lt;0,TRUE,FALSE))</f>
        <v>0</v>
      </c>
      <c r="E6996" t="s">
        <v>434</v>
      </c>
      <c r="F6996" t="str">
        <f>INDEX(Lists!I:I,MATCH(Validation!E6996,Lists!G:G,0))</f>
        <v>Error</v>
      </c>
      <c r="G6996" t="str">
        <f>INDEX(Lists!H:H,MATCH(Validation!E6996,Lists!G:G,0))</f>
        <v>Amount may not be negative. Enter an amount greater than or equal to zero.</v>
      </c>
      <c r="H6996" s="16" t="str">
        <f t="shared" ca="1" si="759"/>
        <v/>
      </c>
      <c r="I6996" s="16" t="str">
        <f t="shared" ca="1" si="760"/>
        <v/>
      </c>
      <c r="J6996" s="17" t="str">
        <f t="shared" ca="1" si="761"/>
        <v/>
      </c>
    </row>
    <row r="6997" spans="1:10" x14ac:dyDescent="0.25">
      <c r="A6997" t="s">
        <v>935</v>
      </c>
      <c r="B6997" t="str">
        <f>ADDRESS(ROW('Loan 1'!$B$44),COLUMN('Loan 1'!$B$44),4)</f>
        <v>B44</v>
      </c>
      <c r="C6997" t="str">
        <f>ADDRESS(ROW('Loan 1'!$D$44),COLUMN('Loan 1'!$D$44),4)</f>
        <v>D44</v>
      </c>
      <c r="D6997" t="b" cm="1">
        <f t="array" aca="1" ref="D6997" ca="1">IF(INDIRECT("'"&amp;A6997&amp;"'!"&amp;B6997)="",FALSE,IF(INDIRECT("'"&amp;A6997&amp;"'!"&amp;B6997)&lt;0,TRUE,FALSE))</f>
        <v>0</v>
      </c>
      <c r="E6997" t="s">
        <v>434</v>
      </c>
      <c r="F6997" t="str">
        <f>INDEX(Lists!I:I,MATCH(Validation!E6997,Lists!G:G,0))</f>
        <v>Error</v>
      </c>
      <c r="G6997" t="str">
        <f>INDEX(Lists!H:H,MATCH(Validation!E6997,Lists!G:G,0))</f>
        <v>Amount may not be negative. Enter an amount greater than or equal to zero.</v>
      </c>
      <c r="H6997" s="16" t="str">
        <f t="shared" ca="1" si="759"/>
        <v/>
      </c>
      <c r="I6997" s="16" t="str">
        <f t="shared" ca="1" si="760"/>
        <v/>
      </c>
      <c r="J6997" s="17" t="str">
        <f t="shared" ca="1" si="761"/>
        <v/>
      </c>
    </row>
    <row r="6998" spans="1:10" x14ac:dyDescent="0.25">
      <c r="A6998" t="s">
        <v>936</v>
      </c>
      <c r="B6998" t="str">
        <f>ADDRESS(ROW('Loan 1'!$B$44),COLUMN('Loan 1'!$B$44),4)</f>
        <v>B44</v>
      </c>
      <c r="C6998" t="str">
        <f>ADDRESS(ROW('Loan 1'!$D$44),COLUMN('Loan 1'!$D$44),4)</f>
        <v>D44</v>
      </c>
      <c r="D6998" t="b" cm="1">
        <f t="array" aca="1" ref="D6998" ca="1">IF(INDIRECT("'"&amp;A6998&amp;"'!"&amp;B6998)="",FALSE,IF(INDIRECT("'"&amp;A6998&amp;"'!"&amp;B6998)&lt;0,TRUE,FALSE))</f>
        <v>0</v>
      </c>
      <c r="E6998" t="s">
        <v>434</v>
      </c>
      <c r="F6998" t="str">
        <f>INDEX(Lists!I:I,MATCH(Validation!E6998,Lists!G:G,0))</f>
        <v>Error</v>
      </c>
      <c r="G6998" t="str">
        <f>INDEX(Lists!H:H,MATCH(Validation!E6998,Lists!G:G,0))</f>
        <v>Amount may not be negative. Enter an amount greater than or equal to zero.</v>
      </c>
      <c r="H6998" s="16" t="str">
        <f t="shared" ca="1" si="759"/>
        <v/>
      </c>
      <c r="I6998" s="16" t="str">
        <f t="shared" ca="1" si="760"/>
        <v/>
      </c>
      <c r="J6998" s="17" t="str">
        <f t="shared" ca="1" si="761"/>
        <v/>
      </c>
    </row>
    <row r="6999" spans="1:10" x14ac:dyDescent="0.25">
      <c r="A6999" t="s">
        <v>937</v>
      </c>
      <c r="B6999" t="str">
        <f>ADDRESS(ROW('Loan 1'!$B$44),COLUMN('Loan 1'!$B$44),4)</f>
        <v>B44</v>
      </c>
      <c r="C6999" t="str">
        <f>ADDRESS(ROW('Loan 1'!$D$44),COLUMN('Loan 1'!$D$44),4)</f>
        <v>D44</v>
      </c>
      <c r="D6999" t="b" cm="1">
        <f t="array" aca="1" ref="D6999" ca="1">IF(INDIRECT("'"&amp;A6999&amp;"'!"&amp;B6999)="",FALSE,IF(INDIRECT("'"&amp;A6999&amp;"'!"&amp;B6999)&lt;0,TRUE,FALSE))</f>
        <v>0</v>
      </c>
      <c r="E6999" t="s">
        <v>434</v>
      </c>
      <c r="F6999" t="str">
        <f>INDEX(Lists!I:I,MATCH(Validation!E6999,Lists!G:G,0))</f>
        <v>Error</v>
      </c>
      <c r="G6999" t="str">
        <f>INDEX(Lists!H:H,MATCH(Validation!E6999,Lists!G:G,0))</f>
        <v>Amount may not be negative. Enter an amount greater than or equal to zero.</v>
      </c>
      <c r="H6999" s="16" t="str">
        <f t="shared" ca="1" si="759"/>
        <v/>
      </c>
      <c r="I6999" s="16" t="str">
        <f t="shared" ca="1" si="760"/>
        <v/>
      </c>
      <c r="J6999" s="17" t="str">
        <f t="shared" ca="1" si="761"/>
        <v/>
      </c>
    </row>
    <row r="7000" spans="1:10" x14ac:dyDescent="0.25">
      <c r="A7000" t="s">
        <v>938</v>
      </c>
      <c r="B7000" t="str">
        <f>ADDRESS(ROW('Loan 1'!$B$44),COLUMN('Loan 1'!$B$44),4)</f>
        <v>B44</v>
      </c>
      <c r="C7000" t="str">
        <f>ADDRESS(ROW('Loan 1'!$D$44),COLUMN('Loan 1'!$D$44),4)</f>
        <v>D44</v>
      </c>
      <c r="D7000" t="b" cm="1">
        <f t="array" aca="1" ref="D7000" ca="1">IF(INDIRECT("'"&amp;A7000&amp;"'!"&amp;B7000)="",FALSE,IF(INDIRECT("'"&amp;A7000&amp;"'!"&amp;B7000)&lt;0,TRUE,FALSE))</f>
        <v>0</v>
      </c>
      <c r="E7000" t="s">
        <v>434</v>
      </c>
      <c r="F7000" t="str">
        <f>INDEX(Lists!I:I,MATCH(Validation!E7000,Lists!G:G,0))</f>
        <v>Error</v>
      </c>
      <c r="G7000" t="str">
        <f>INDEX(Lists!H:H,MATCH(Validation!E7000,Lists!G:G,0))</f>
        <v>Amount may not be negative. Enter an amount greater than or equal to zero.</v>
      </c>
      <c r="H7000" s="16" t="str">
        <f t="shared" ca="1" si="759"/>
        <v/>
      </c>
      <c r="I7000" s="16" t="str">
        <f t="shared" ca="1" si="760"/>
        <v/>
      </c>
      <c r="J7000" s="17" t="str">
        <f t="shared" ca="1" si="761"/>
        <v/>
      </c>
    </row>
    <row r="7001" spans="1:10" x14ac:dyDescent="0.25">
      <c r="A7001" t="s">
        <v>939</v>
      </c>
      <c r="B7001" t="str">
        <f>ADDRESS(ROW('Loan 1'!$B$44),COLUMN('Loan 1'!$B$44),4)</f>
        <v>B44</v>
      </c>
      <c r="C7001" t="str">
        <f>ADDRESS(ROW('Loan 1'!$D$44),COLUMN('Loan 1'!$D$44),4)</f>
        <v>D44</v>
      </c>
      <c r="D7001" t="b" cm="1">
        <f t="array" aca="1" ref="D7001" ca="1">IF(INDIRECT("'"&amp;A7001&amp;"'!"&amp;B7001)="",FALSE,IF(INDIRECT("'"&amp;A7001&amp;"'!"&amp;B7001)&lt;0,TRUE,FALSE))</f>
        <v>0</v>
      </c>
      <c r="E7001" t="s">
        <v>434</v>
      </c>
      <c r="F7001" t="str">
        <f>INDEX(Lists!I:I,MATCH(Validation!E7001,Lists!G:G,0))</f>
        <v>Error</v>
      </c>
      <c r="G7001" t="str">
        <f>INDEX(Lists!H:H,MATCH(Validation!E7001,Lists!G:G,0))</f>
        <v>Amount may not be negative. Enter an amount greater than or equal to zero.</v>
      </c>
      <c r="H7001" s="16" t="str">
        <f t="shared" ca="1" si="759"/>
        <v/>
      </c>
      <c r="I7001" s="16" t="str">
        <f t="shared" ca="1" si="760"/>
        <v/>
      </c>
      <c r="J7001" s="17" t="str">
        <f t="shared" ca="1" si="761"/>
        <v/>
      </c>
    </row>
    <row r="7002" spans="1:10" x14ac:dyDescent="0.25">
      <c r="A7002" t="s">
        <v>940</v>
      </c>
      <c r="B7002" t="str">
        <f>ADDRESS(ROW('Loan 1'!$B$44),COLUMN('Loan 1'!$B$44),4)</f>
        <v>B44</v>
      </c>
      <c r="C7002" t="str">
        <f>ADDRESS(ROW('Loan 1'!$D$44),COLUMN('Loan 1'!$D$44),4)</f>
        <v>D44</v>
      </c>
      <c r="D7002" t="b" cm="1">
        <f t="array" aca="1" ref="D7002" ca="1">IF(INDIRECT("'"&amp;A7002&amp;"'!"&amp;B7002)="",FALSE,IF(INDIRECT("'"&amp;A7002&amp;"'!"&amp;B7002)&lt;0,TRUE,FALSE))</f>
        <v>0</v>
      </c>
      <c r="E7002" t="s">
        <v>434</v>
      </c>
      <c r="F7002" t="str">
        <f>INDEX(Lists!I:I,MATCH(Validation!E7002,Lists!G:G,0))</f>
        <v>Error</v>
      </c>
      <c r="G7002" t="str">
        <f>INDEX(Lists!H:H,MATCH(Validation!E7002,Lists!G:G,0))</f>
        <v>Amount may not be negative. Enter an amount greater than or equal to zero.</v>
      </c>
      <c r="H7002" s="16" t="str">
        <f t="shared" ca="1" si="759"/>
        <v/>
      </c>
      <c r="I7002" s="16" t="str">
        <f t="shared" ca="1" si="760"/>
        <v/>
      </c>
      <c r="J7002" s="17" t="str">
        <f t="shared" ca="1" si="761"/>
        <v/>
      </c>
    </row>
    <row r="7003" spans="1:10" x14ac:dyDescent="0.25">
      <c r="A7003" t="s">
        <v>941</v>
      </c>
      <c r="B7003" t="str">
        <f>ADDRESS(ROW('Loan 1'!$B$44),COLUMN('Loan 1'!$B$44),4)</f>
        <v>B44</v>
      </c>
      <c r="C7003" t="str">
        <f>ADDRESS(ROW('Loan 1'!$D$44),COLUMN('Loan 1'!$D$44),4)</f>
        <v>D44</v>
      </c>
      <c r="D7003" t="b" cm="1">
        <f t="array" aca="1" ref="D7003" ca="1">IF(INDIRECT("'"&amp;A7003&amp;"'!"&amp;B7003)="",FALSE,IF(INDIRECT("'"&amp;A7003&amp;"'!"&amp;B7003)&lt;0,TRUE,FALSE))</f>
        <v>0</v>
      </c>
      <c r="E7003" t="s">
        <v>434</v>
      </c>
      <c r="F7003" t="str">
        <f>INDEX(Lists!I:I,MATCH(Validation!E7003,Lists!G:G,0))</f>
        <v>Error</v>
      </c>
      <c r="G7003" t="str">
        <f>INDEX(Lists!H:H,MATCH(Validation!E7003,Lists!G:G,0))</f>
        <v>Amount may not be negative. Enter an amount greater than or equal to zero.</v>
      </c>
      <c r="H7003" s="16" t="str">
        <f t="shared" ca="1" si="759"/>
        <v/>
      </c>
      <c r="I7003" s="16" t="str">
        <f t="shared" ca="1" si="760"/>
        <v/>
      </c>
      <c r="J7003" s="17" t="str">
        <f t="shared" ca="1" si="761"/>
        <v/>
      </c>
    </row>
    <row r="7004" spans="1:10" x14ac:dyDescent="0.25">
      <c r="A7004" t="s">
        <v>942</v>
      </c>
      <c r="B7004" t="str">
        <f>ADDRESS(ROW('Loan 1'!$B$44),COLUMN('Loan 1'!$B$44),4)</f>
        <v>B44</v>
      </c>
      <c r="C7004" t="str">
        <f>ADDRESS(ROW('Loan 1'!$D$44),COLUMN('Loan 1'!$D$44),4)</f>
        <v>D44</v>
      </c>
      <c r="D7004" t="b" cm="1">
        <f t="array" aca="1" ref="D7004" ca="1">IF(INDIRECT("'"&amp;A7004&amp;"'!"&amp;B7004)="",FALSE,IF(INDIRECT("'"&amp;A7004&amp;"'!"&amp;B7004)&lt;0,TRUE,FALSE))</f>
        <v>0</v>
      </c>
      <c r="E7004" t="s">
        <v>434</v>
      </c>
      <c r="F7004" t="str">
        <f>INDEX(Lists!I:I,MATCH(Validation!E7004,Lists!G:G,0))</f>
        <v>Error</v>
      </c>
      <c r="G7004" t="str">
        <f>INDEX(Lists!H:H,MATCH(Validation!E7004,Lists!G:G,0))</f>
        <v>Amount may not be negative. Enter an amount greater than or equal to zero.</v>
      </c>
      <c r="H7004" s="16" t="str">
        <f t="shared" ca="1" si="759"/>
        <v/>
      </c>
      <c r="I7004" s="16" t="str">
        <f t="shared" ca="1" si="760"/>
        <v/>
      </c>
      <c r="J7004" s="17" t="str">
        <f t="shared" ca="1" si="761"/>
        <v/>
      </c>
    </row>
    <row r="7005" spans="1:10" x14ac:dyDescent="0.25">
      <c r="A7005" t="s">
        <v>943</v>
      </c>
      <c r="B7005" t="str">
        <f>ADDRESS(ROW('Loan 1'!$B$44),COLUMN('Loan 1'!$B$44),4)</f>
        <v>B44</v>
      </c>
      <c r="C7005" t="str">
        <f>ADDRESS(ROW('Loan 1'!$D$44),COLUMN('Loan 1'!$D$44),4)</f>
        <v>D44</v>
      </c>
      <c r="D7005" t="b" cm="1">
        <f t="array" aca="1" ref="D7005" ca="1">IF(INDIRECT("'"&amp;A7005&amp;"'!"&amp;B7005)="",FALSE,IF(INDIRECT("'"&amp;A7005&amp;"'!"&amp;B7005)&lt;0,TRUE,FALSE))</f>
        <v>0</v>
      </c>
      <c r="E7005" t="s">
        <v>434</v>
      </c>
      <c r="F7005" t="str">
        <f>INDEX(Lists!I:I,MATCH(Validation!E7005,Lists!G:G,0))</f>
        <v>Error</v>
      </c>
      <c r="G7005" t="str">
        <f>INDEX(Lists!H:H,MATCH(Validation!E7005,Lists!G:G,0))</f>
        <v>Amount may not be negative. Enter an amount greater than or equal to zero.</v>
      </c>
      <c r="H7005" s="16" t="str">
        <f t="shared" ca="1" si="759"/>
        <v/>
      </c>
      <c r="I7005" s="16" t="str">
        <f t="shared" ca="1" si="760"/>
        <v/>
      </c>
      <c r="J7005" s="17" t="str">
        <f t="shared" ca="1" si="761"/>
        <v/>
      </c>
    </row>
    <row r="7006" spans="1:10" x14ac:dyDescent="0.25">
      <c r="A7006" t="s">
        <v>944</v>
      </c>
      <c r="B7006" t="str">
        <f>ADDRESS(ROW('Loan 1'!$B$44),COLUMN('Loan 1'!$B$44),4)</f>
        <v>B44</v>
      </c>
      <c r="C7006" t="str">
        <f>ADDRESS(ROW('Loan 1'!$D$44),COLUMN('Loan 1'!$D$44),4)</f>
        <v>D44</v>
      </c>
      <c r="D7006" t="b" cm="1">
        <f t="array" aca="1" ref="D7006" ca="1">IF(INDIRECT("'"&amp;A7006&amp;"'!"&amp;B7006)="",FALSE,IF(INDIRECT("'"&amp;A7006&amp;"'!"&amp;B7006)&lt;0,TRUE,FALSE))</f>
        <v>0</v>
      </c>
      <c r="E7006" t="s">
        <v>434</v>
      </c>
      <c r="F7006" t="str">
        <f>INDEX(Lists!I:I,MATCH(Validation!E7006,Lists!G:G,0))</f>
        <v>Error</v>
      </c>
      <c r="G7006" t="str">
        <f>INDEX(Lists!H:H,MATCH(Validation!E7006,Lists!G:G,0))</f>
        <v>Amount may not be negative. Enter an amount greater than or equal to zero.</v>
      </c>
      <c r="H7006" s="16" t="str">
        <f t="shared" ca="1" si="759"/>
        <v/>
      </c>
      <c r="I7006" s="16" t="str">
        <f t="shared" ca="1" si="760"/>
        <v/>
      </c>
      <c r="J7006" s="17" t="str">
        <f t="shared" ca="1" si="761"/>
        <v/>
      </c>
    </row>
    <row r="7007" spans="1:10" x14ac:dyDescent="0.25">
      <c r="A7007" t="s">
        <v>945</v>
      </c>
      <c r="B7007" t="str">
        <f>ADDRESS(ROW('Loan 1'!$B$44),COLUMN('Loan 1'!$B$44),4)</f>
        <v>B44</v>
      </c>
      <c r="C7007" t="str">
        <f>ADDRESS(ROW('Loan 1'!$D$44),COLUMN('Loan 1'!$D$44),4)</f>
        <v>D44</v>
      </c>
      <c r="D7007" t="b" cm="1">
        <f t="array" aca="1" ref="D7007" ca="1">IF(INDIRECT("'"&amp;A7007&amp;"'!"&amp;B7007)="",FALSE,IF(INDIRECT("'"&amp;A7007&amp;"'!"&amp;B7007)&lt;0,TRUE,FALSE))</f>
        <v>0</v>
      </c>
      <c r="E7007" t="s">
        <v>434</v>
      </c>
      <c r="F7007" t="str">
        <f>INDEX(Lists!I:I,MATCH(Validation!E7007,Lists!G:G,0))</f>
        <v>Error</v>
      </c>
      <c r="G7007" t="str">
        <f>INDEX(Lists!H:H,MATCH(Validation!E7007,Lists!G:G,0))</f>
        <v>Amount may not be negative. Enter an amount greater than or equal to zero.</v>
      </c>
      <c r="H7007" s="16" t="str">
        <f t="shared" ca="1" si="759"/>
        <v/>
      </c>
      <c r="I7007" s="16" t="str">
        <f t="shared" ca="1" si="760"/>
        <v/>
      </c>
      <c r="J7007" s="17" t="str">
        <f t="shared" ca="1" si="761"/>
        <v/>
      </c>
    </row>
    <row r="7008" spans="1:10" x14ac:dyDescent="0.25">
      <c r="A7008" t="s">
        <v>205</v>
      </c>
      <c r="B7008" t="str">
        <f>ADDRESS(ROW('Loan 1'!$B$44),COLUMN('Loan 1'!$B$44),4)</f>
        <v>B44</v>
      </c>
      <c r="C7008" t="str">
        <f>ADDRESS(ROW('Loan 1'!$D$44),COLUMN('Loan 1'!$D$44),4)</f>
        <v>D44</v>
      </c>
      <c r="D7008" t="b" cm="1">
        <f t="array" aca="1" ref="D7008" ca="1">IF(INDIRECT("'"&amp;A7008&amp;"'!"&amp;B7008)="",FALSE,IF(TRUNC(INDIRECT("'"&amp;A7008&amp;"'!"&amp;B7008))=INDIRECT("'"&amp;A7008&amp;"'!"&amp;B7008),FALSE,TRUE))</f>
        <v>0</v>
      </c>
      <c r="E7008" t="s">
        <v>436</v>
      </c>
      <c r="F7008" t="str">
        <f>INDEX(Lists!I:I,MATCH(Validation!E7008,Lists!G:G,0))</f>
        <v>Error</v>
      </c>
      <c r="G7008" t="str">
        <f>INDEX(Lists!H:H,MATCH(Validation!E7008,Lists!G:G,0))</f>
        <v>Amount must be rounded to the nearest dollar.</v>
      </c>
      <c r="H7008" s="16" t="str">
        <f t="shared" ca="1" si="759"/>
        <v/>
      </c>
      <c r="I7008" s="16" t="str">
        <f t="shared" ca="1" si="760"/>
        <v/>
      </c>
      <c r="J7008" s="17" t="str">
        <f t="shared" ca="1" si="761"/>
        <v/>
      </c>
    </row>
    <row r="7009" spans="1:10" x14ac:dyDescent="0.25">
      <c r="A7009" t="s">
        <v>932</v>
      </c>
      <c r="B7009" t="str">
        <f>ADDRESS(ROW('Loan 1'!$B$44),COLUMN('Loan 1'!$B$44),4)</f>
        <v>B44</v>
      </c>
      <c r="C7009" t="str">
        <f>ADDRESS(ROW('Loan 1'!$D$44),COLUMN('Loan 1'!$D$44),4)</f>
        <v>D44</v>
      </c>
      <c r="D7009" t="b" cm="1">
        <f t="array" aca="1" ref="D7009" ca="1">IF(INDIRECT("'"&amp;A7009&amp;"'!"&amp;B7009)="",FALSE,IF(TRUNC(INDIRECT("'"&amp;A7009&amp;"'!"&amp;B7009))=INDIRECT("'"&amp;A7009&amp;"'!"&amp;B7009),FALSE,TRUE))</f>
        <v>0</v>
      </c>
      <c r="E7009" t="s">
        <v>436</v>
      </c>
      <c r="F7009" t="str">
        <f>INDEX(Lists!I:I,MATCH(Validation!E7009,Lists!G:G,0))</f>
        <v>Error</v>
      </c>
      <c r="G7009" t="str">
        <f>INDEX(Lists!H:H,MATCH(Validation!E7009,Lists!G:G,0))</f>
        <v>Amount must be rounded to the nearest dollar.</v>
      </c>
      <c r="H7009" s="16" t="str">
        <f t="shared" ref="H7009:H7022" ca="1" si="801">IFERROR(IF(OR(NOT(D7009),F7009&lt;&gt;"Error"),"",A7009&amp;CELL("address",INDIRECT(B7009))),"")</f>
        <v/>
      </c>
      <c r="I7009" s="16" t="str">
        <f t="shared" ref="I7009:I7022" ca="1" si="802">IFERROR(IF(NOT(D7009),"",A7009&amp;CELL("address",INDIRECT(C7009))),"")</f>
        <v/>
      </c>
      <c r="J7009" s="17" t="str">
        <f t="shared" ref="J7009:J7022" ca="1" si="803">IFERROR(IF(NOT(D7009),"",A7009),"")</f>
        <v/>
      </c>
    </row>
    <row r="7010" spans="1:10" x14ac:dyDescent="0.25">
      <c r="A7010" t="s">
        <v>933</v>
      </c>
      <c r="B7010" t="str">
        <f>ADDRESS(ROW('Loan 1'!$B$44),COLUMN('Loan 1'!$B$44),4)</f>
        <v>B44</v>
      </c>
      <c r="C7010" t="str">
        <f>ADDRESS(ROW('Loan 1'!$D$44),COLUMN('Loan 1'!$D$44),4)</f>
        <v>D44</v>
      </c>
      <c r="D7010" t="b" cm="1">
        <f t="array" aca="1" ref="D7010" ca="1">IF(INDIRECT("'"&amp;A7010&amp;"'!"&amp;B7010)="",FALSE,IF(TRUNC(INDIRECT("'"&amp;A7010&amp;"'!"&amp;B7010))=INDIRECT("'"&amp;A7010&amp;"'!"&amp;B7010),FALSE,TRUE))</f>
        <v>0</v>
      </c>
      <c r="E7010" t="s">
        <v>436</v>
      </c>
      <c r="F7010" t="str">
        <f>INDEX(Lists!I:I,MATCH(Validation!E7010,Lists!G:G,0))</f>
        <v>Error</v>
      </c>
      <c r="G7010" t="str">
        <f>INDEX(Lists!H:H,MATCH(Validation!E7010,Lists!G:G,0))</f>
        <v>Amount must be rounded to the nearest dollar.</v>
      </c>
      <c r="H7010" s="16" t="str">
        <f t="shared" ca="1" si="801"/>
        <v/>
      </c>
      <c r="I7010" s="16" t="str">
        <f t="shared" ca="1" si="802"/>
        <v/>
      </c>
      <c r="J7010" s="17" t="str">
        <f t="shared" ca="1" si="803"/>
        <v/>
      </c>
    </row>
    <row r="7011" spans="1:10" x14ac:dyDescent="0.25">
      <c r="A7011" t="s">
        <v>934</v>
      </c>
      <c r="B7011" t="str">
        <f>ADDRESS(ROW('Loan 1'!$B$44),COLUMN('Loan 1'!$B$44),4)</f>
        <v>B44</v>
      </c>
      <c r="C7011" t="str">
        <f>ADDRESS(ROW('Loan 1'!$D$44),COLUMN('Loan 1'!$D$44),4)</f>
        <v>D44</v>
      </c>
      <c r="D7011" t="b" cm="1">
        <f t="array" aca="1" ref="D7011" ca="1">IF(INDIRECT("'"&amp;A7011&amp;"'!"&amp;B7011)="",FALSE,IF(TRUNC(INDIRECT("'"&amp;A7011&amp;"'!"&amp;B7011))=INDIRECT("'"&amp;A7011&amp;"'!"&amp;B7011),FALSE,TRUE))</f>
        <v>0</v>
      </c>
      <c r="E7011" t="s">
        <v>436</v>
      </c>
      <c r="F7011" t="str">
        <f>INDEX(Lists!I:I,MATCH(Validation!E7011,Lists!G:G,0))</f>
        <v>Error</v>
      </c>
      <c r="G7011" t="str">
        <f>INDEX(Lists!H:H,MATCH(Validation!E7011,Lists!G:G,0))</f>
        <v>Amount must be rounded to the nearest dollar.</v>
      </c>
      <c r="H7011" s="16" t="str">
        <f t="shared" ca="1" si="801"/>
        <v/>
      </c>
      <c r="I7011" s="16" t="str">
        <f t="shared" ca="1" si="802"/>
        <v/>
      </c>
      <c r="J7011" s="17" t="str">
        <f t="shared" ca="1" si="803"/>
        <v/>
      </c>
    </row>
    <row r="7012" spans="1:10" x14ac:dyDescent="0.25">
      <c r="A7012" t="s">
        <v>935</v>
      </c>
      <c r="B7012" t="str">
        <f>ADDRESS(ROW('Loan 1'!$B$44),COLUMN('Loan 1'!$B$44),4)</f>
        <v>B44</v>
      </c>
      <c r="C7012" t="str">
        <f>ADDRESS(ROW('Loan 1'!$D$44),COLUMN('Loan 1'!$D$44),4)</f>
        <v>D44</v>
      </c>
      <c r="D7012" t="b" cm="1">
        <f t="array" aca="1" ref="D7012" ca="1">IF(INDIRECT("'"&amp;A7012&amp;"'!"&amp;B7012)="",FALSE,IF(TRUNC(INDIRECT("'"&amp;A7012&amp;"'!"&amp;B7012))=INDIRECT("'"&amp;A7012&amp;"'!"&amp;B7012),FALSE,TRUE))</f>
        <v>0</v>
      </c>
      <c r="E7012" t="s">
        <v>436</v>
      </c>
      <c r="F7012" t="str">
        <f>INDEX(Lists!I:I,MATCH(Validation!E7012,Lists!G:G,0))</f>
        <v>Error</v>
      </c>
      <c r="G7012" t="str">
        <f>INDEX(Lists!H:H,MATCH(Validation!E7012,Lists!G:G,0))</f>
        <v>Amount must be rounded to the nearest dollar.</v>
      </c>
      <c r="H7012" s="16" t="str">
        <f t="shared" ca="1" si="801"/>
        <v/>
      </c>
      <c r="I7012" s="16" t="str">
        <f t="shared" ca="1" si="802"/>
        <v/>
      </c>
      <c r="J7012" s="17" t="str">
        <f t="shared" ca="1" si="803"/>
        <v/>
      </c>
    </row>
    <row r="7013" spans="1:10" x14ac:dyDescent="0.25">
      <c r="A7013" t="s">
        <v>936</v>
      </c>
      <c r="B7013" t="str">
        <f>ADDRESS(ROW('Loan 1'!$B$44),COLUMN('Loan 1'!$B$44),4)</f>
        <v>B44</v>
      </c>
      <c r="C7013" t="str">
        <f>ADDRESS(ROW('Loan 1'!$D$44),COLUMN('Loan 1'!$D$44),4)</f>
        <v>D44</v>
      </c>
      <c r="D7013" t="b" cm="1">
        <f t="array" aca="1" ref="D7013" ca="1">IF(INDIRECT("'"&amp;A7013&amp;"'!"&amp;B7013)="",FALSE,IF(TRUNC(INDIRECT("'"&amp;A7013&amp;"'!"&amp;B7013))=INDIRECT("'"&amp;A7013&amp;"'!"&amp;B7013),FALSE,TRUE))</f>
        <v>0</v>
      </c>
      <c r="E7013" t="s">
        <v>436</v>
      </c>
      <c r="F7013" t="str">
        <f>INDEX(Lists!I:I,MATCH(Validation!E7013,Lists!G:G,0))</f>
        <v>Error</v>
      </c>
      <c r="G7013" t="str">
        <f>INDEX(Lists!H:H,MATCH(Validation!E7013,Lists!G:G,0))</f>
        <v>Amount must be rounded to the nearest dollar.</v>
      </c>
      <c r="H7013" s="16" t="str">
        <f t="shared" ca="1" si="801"/>
        <v/>
      </c>
      <c r="I7013" s="16" t="str">
        <f t="shared" ca="1" si="802"/>
        <v/>
      </c>
      <c r="J7013" s="17" t="str">
        <f t="shared" ca="1" si="803"/>
        <v/>
      </c>
    </row>
    <row r="7014" spans="1:10" x14ac:dyDescent="0.25">
      <c r="A7014" t="s">
        <v>937</v>
      </c>
      <c r="B7014" t="str">
        <f>ADDRESS(ROW('Loan 1'!$B$44),COLUMN('Loan 1'!$B$44),4)</f>
        <v>B44</v>
      </c>
      <c r="C7014" t="str">
        <f>ADDRESS(ROW('Loan 1'!$D$44),COLUMN('Loan 1'!$D$44),4)</f>
        <v>D44</v>
      </c>
      <c r="D7014" t="b" cm="1">
        <f t="array" aca="1" ref="D7014" ca="1">IF(INDIRECT("'"&amp;A7014&amp;"'!"&amp;B7014)="",FALSE,IF(TRUNC(INDIRECT("'"&amp;A7014&amp;"'!"&amp;B7014))=INDIRECT("'"&amp;A7014&amp;"'!"&amp;B7014),FALSE,TRUE))</f>
        <v>0</v>
      </c>
      <c r="E7014" t="s">
        <v>436</v>
      </c>
      <c r="F7014" t="str">
        <f>INDEX(Lists!I:I,MATCH(Validation!E7014,Lists!G:G,0))</f>
        <v>Error</v>
      </c>
      <c r="G7014" t="str">
        <f>INDEX(Lists!H:H,MATCH(Validation!E7014,Lists!G:G,0))</f>
        <v>Amount must be rounded to the nearest dollar.</v>
      </c>
      <c r="H7014" s="16" t="str">
        <f t="shared" ca="1" si="801"/>
        <v/>
      </c>
      <c r="I7014" s="16" t="str">
        <f t="shared" ca="1" si="802"/>
        <v/>
      </c>
      <c r="J7014" s="17" t="str">
        <f t="shared" ca="1" si="803"/>
        <v/>
      </c>
    </row>
    <row r="7015" spans="1:10" x14ac:dyDescent="0.25">
      <c r="A7015" t="s">
        <v>938</v>
      </c>
      <c r="B7015" t="str">
        <f>ADDRESS(ROW('Loan 1'!$B$44),COLUMN('Loan 1'!$B$44),4)</f>
        <v>B44</v>
      </c>
      <c r="C7015" t="str">
        <f>ADDRESS(ROW('Loan 1'!$D$44),COLUMN('Loan 1'!$D$44),4)</f>
        <v>D44</v>
      </c>
      <c r="D7015" t="b" cm="1">
        <f t="array" aca="1" ref="D7015" ca="1">IF(INDIRECT("'"&amp;A7015&amp;"'!"&amp;B7015)="",FALSE,IF(TRUNC(INDIRECT("'"&amp;A7015&amp;"'!"&amp;B7015))=INDIRECT("'"&amp;A7015&amp;"'!"&amp;B7015),FALSE,TRUE))</f>
        <v>0</v>
      </c>
      <c r="E7015" t="s">
        <v>436</v>
      </c>
      <c r="F7015" t="str">
        <f>INDEX(Lists!I:I,MATCH(Validation!E7015,Lists!G:G,0))</f>
        <v>Error</v>
      </c>
      <c r="G7015" t="str">
        <f>INDEX(Lists!H:H,MATCH(Validation!E7015,Lists!G:G,0))</f>
        <v>Amount must be rounded to the nearest dollar.</v>
      </c>
      <c r="H7015" s="16" t="str">
        <f t="shared" ca="1" si="801"/>
        <v/>
      </c>
      <c r="I7015" s="16" t="str">
        <f t="shared" ca="1" si="802"/>
        <v/>
      </c>
      <c r="J7015" s="17" t="str">
        <f t="shared" ca="1" si="803"/>
        <v/>
      </c>
    </row>
    <row r="7016" spans="1:10" x14ac:dyDescent="0.25">
      <c r="A7016" t="s">
        <v>939</v>
      </c>
      <c r="B7016" t="str">
        <f>ADDRESS(ROW('Loan 1'!$B$44),COLUMN('Loan 1'!$B$44),4)</f>
        <v>B44</v>
      </c>
      <c r="C7016" t="str">
        <f>ADDRESS(ROW('Loan 1'!$D$44),COLUMN('Loan 1'!$D$44),4)</f>
        <v>D44</v>
      </c>
      <c r="D7016" t="b" cm="1">
        <f t="array" aca="1" ref="D7016" ca="1">IF(INDIRECT("'"&amp;A7016&amp;"'!"&amp;B7016)="",FALSE,IF(TRUNC(INDIRECT("'"&amp;A7016&amp;"'!"&amp;B7016))=INDIRECT("'"&amp;A7016&amp;"'!"&amp;B7016),FALSE,TRUE))</f>
        <v>0</v>
      </c>
      <c r="E7016" t="s">
        <v>436</v>
      </c>
      <c r="F7016" t="str">
        <f>INDEX(Lists!I:I,MATCH(Validation!E7016,Lists!G:G,0))</f>
        <v>Error</v>
      </c>
      <c r="G7016" t="str">
        <f>INDEX(Lists!H:H,MATCH(Validation!E7016,Lists!G:G,0))</f>
        <v>Amount must be rounded to the nearest dollar.</v>
      </c>
      <c r="H7016" s="16" t="str">
        <f t="shared" ca="1" si="801"/>
        <v/>
      </c>
      <c r="I7016" s="16" t="str">
        <f t="shared" ca="1" si="802"/>
        <v/>
      </c>
      <c r="J7016" s="17" t="str">
        <f t="shared" ca="1" si="803"/>
        <v/>
      </c>
    </row>
    <row r="7017" spans="1:10" x14ac:dyDescent="0.25">
      <c r="A7017" t="s">
        <v>940</v>
      </c>
      <c r="B7017" t="str">
        <f>ADDRESS(ROW('Loan 1'!$B$44),COLUMN('Loan 1'!$B$44),4)</f>
        <v>B44</v>
      </c>
      <c r="C7017" t="str">
        <f>ADDRESS(ROW('Loan 1'!$D$44),COLUMN('Loan 1'!$D$44),4)</f>
        <v>D44</v>
      </c>
      <c r="D7017" t="b" cm="1">
        <f t="array" aca="1" ref="D7017" ca="1">IF(INDIRECT("'"&amp;A7017&amp;"'!"&amp;B7017)="",FALSE,IF(TRUNC(INDIRECT("'"&amp;A7017&amp;"'!"&amp;B7017))=INDIRECT("'"&amp;A7017&amp;"'!"&amp;B7017),FALSE,TRUE))</f>
        <v>0</v>
      </c>
      <c r="E7017" t="s">
        <v>436</v>
      </c>
      <c r="F7017" t="str">
        <f>INDEX(Lists!I:I,MATCH(Validation!E7017,Lists!G:G,0))</f>
        <v>Error</v>
      </c>
      <c r="G7017" t="str">
        <f>INDEX(Lists!H:H,MATCH(Validation!E7017,Lists!G:G,0))</f>
        <v>Amount must be rounded to the nearest dollar.</v>
      </c>
      <c r="H7017" s="16" t="str">
        <f t="shared" ca="1" si="801"/>
        <v/>
      </c>
      <c r="I7017" s="16" t="str">
        <f t="shared" ca="1" si="802"/>
        <v/>
      </c>
      <c r="J7017" s="17" t="str">
        <f t="shared" ca="1" si="803"/>
        <v/>
      </c>
    </row>
    <row r="7018" spans="1:10" x14ac:dyDescent="0.25">
      <c r="A7018" t="s">
        <v>941</v>
      </c>
      <c r="B7018" t="str">
        <f>ADDRESS(ROW('Loan 1'!$B$44),COLUMN('Loan 1'!$B$44),4)</f>
        <v>B44</v>
      </c>
      <c r="C7018" t="str">
        <f>ADDRESS(ROW('Loan 1'!$D$44),COLUMN('Loan 1'!$D$44),4)</f>
        <v>D44</v>
      </c>
      <c r="D7018" t="b" cm="1">
        <f t="array" aca="1" ref="D7018" ca="1">IF(INDIRECT("'"&amp;A7018&amp;"'!"&amp;B7018)="",FALSE,IF(TRUNC(INDIRECT("'"&amp;A7018&amp;"'!"&amp;B7018))=INDIRECT("'"&amp;A7018&amp;"'!"&amp;B7018),FALSE,TRUE))</f>
        <v>0</v>
      </c>
      <c r="E7018" t="s">
        <v>436</v>
      </c>
      <c r="F7018" t="str">
        <f>INDEX(Lists!I:I,MATCH(Validation!E7018,Lists!G:G,0))</f>
        <v>Error</v>
      </c>
      <c r="G7018" t="str">
        <f>INDEX(Lists!H:H,MATCH(Validation!E7018,Lists!G:G,0))</f>
        <v>Amount must be rounded to the nearest dollar.</v>
      </c>
      <c r="H7018" s="16" t="str">
        <f t="shared" ca="1" si="801"/>
        <v/>
      </c>
      <c r="I7018" s="16" t="str">
        <f t="shared" ca="1" si="802"/>
        <v/>
      </c>
      <c r="J7018" s="17" t="str">
        <f t="shared" ca="1" si="803"/>
        <v/>
      </c>
    </row>
    <row r="7019" spans="1:10" x14ac:dyDescent="0.25">
      <c r="A7019" t="s">
        <v>942</v>
      </c>
      <c r="B7019" t="str">
        <f>ADDRESS(ROW('Loan 1'!$B$44),COLUMN('Loan 1'!$B$44),4)</f>
        <v>B44</v>
      </c>
      <c r="C7019" t="str">
        <f>ADDRESS(ROW('Loan 1'!$D$44),COLUMN('Loan 1'!$D$44),4)</f>
        <v>D44</v>
      </c>
      <c r="D7019" t="b" cm="1">
        <f t="array" aca="1" ref="D7019" ca="1">IF(INDIRECT("'"&amp;A7019&amp;"'!"&amp;B7019)="",FALSE,IF(TRUNC(INDIRECT("'"&amp;A7019&amp;"'!"&amp;B7019))=INDIRECT("'"&amp;A7019&amp;"'!"&amp;B7019),FALSE,TRUE))</f>
        <v>0</v>
      </c>
      <c r="E7019" t="s">
        <v>436</v>
      </c>
      <c r="F7019" t="str">
        <f>INDEX(Lists!I:I,MATCH(Validation!E7019,Lists!G:G,0))</f>
        <v>Error</v>
      </c>
      <c r="G7019" t="str">
        <f>INDEX(Lists!H:H,MATCH(Validation!E7019,Lists!G:G,0))</f>
        <v>Amount must be rounded to the nearest dollar.</v>
      </c>
      <c r="H7019" s="16" t="str">
        <f t="shared" ca="1" si="801"/>
        <v/>
      </c>
      <c r="I7019" s="16" t="str">
        <f t="shared" ca="1" si="802"/>
        <v/>
      </c>
      <c r="J7019" s="17" t="str">
        <f t="shared" ca="1" si="803"/>
        <v/>
      </c>
    </row>
    <row r="7020" spans="1:10" x14ac:dyDescent="0.25">
      <c r="A7020" t="s">
        <v>943</v>
      </c>
      <c r="B7020" t="str">
        <f>ADDRESS(ROW('Loan 1'!$B$44),COLUMN('Loan 1'!$B$44),4)</f>
        <v>B44</v>
      </c>
      <c r="C7020" t="str">
        <f>ADDRESS(ROW('Loan 1'!$D$44),COLUMN('Loan 1'!$D$44),4)</f>
        <v>D44</v>
      </c>
      <c r="D7020" t="b" cm="1">
        <f t="array" aca="1" ref="D7020" ca="1">IF(INDIRECT("'"&amp;A7020&amp;"'!"&amp;B7020)="",FALSE,IF(TRUNC(INDIRECT("'"&amp;A7020&amp;"'!"&amp;B7020))=INDIRECT("'"&amp;A7020&amp;"'!"&amp;B7020),FALSE,TRUE))</f>
        <v>0</v>
      </c>
      <c r="E7020" t="s">
        <v>436</v>
      </c>
      <c r="F7020" t="str">
        <f>INDEX(Lists!I:I,MATCH(Validation!E7020,Lists!G:G,0))</f>
        <v>Error</v>
      </c>
      <c r="G7020" t="str">
        <f>INDEX(Lists!H:H,MATCH(Validation!E7020,Lists!G:G,0))</f>
        <v>Amount must be rounded to the nearest dollar.</v>
      </c>
      <c r="H7020" s="16" t="str">
        <f t="shared" ca="1" si="801"/>
        <v/>
      </c>
      <c r="I7020" s="16" t="str">
        <f t="shared" ca="1" si="802"/>
        <v/>
      </c>
      <c r="J7020" s="17" t="str">
        <f t="shared" ca="1" si="803"/>
        <v/>
      </c>
    </row>
    <row r="7021" spans="1:10" x14ac:dyDescent="0.25">
      <c r="A7021" t="s">
        <v>944</v>
      </c>
      <c r="B7021" t="str">
        <f>ADDRESS(ROW('Loan 1'!$B$44),COLUMN('Loan 1'!$B$44),4)</f>
        <v>B44</v>
      </c>
      <c r="C7021" t="str">
        <f>ADDRESS(ROW('Loan 1'!$D$44),COLUMN('Loan 1'!$D$44),4)</f>
        <v>D44</v>
      </c>
      <c r="D7021" t="b" cm="1">
        <f t="array" aca="1" ref="D7021" ca="1">IF(INDIRECT("'"&amp;A7021&amp;"'!"&amp;B7021)="",FALSE,IF(TRUNC(INDIRECT("'"&amp;A7021&amp;"'!"&amp;B7021))=INDIRECT("'"&amp;A7021&amp;"'!"&amp;B7021),FALSE,TRUE))</f>
        <v>0</v>
      </c>
      <c r="E7021" t="s">
        <v>436</v>
      </c>
      <c r="F7021" t="str">
        <f>INDEX(Lists!I:I,MATCH(Validation!E7021,Lists!G:G,0))</f>
        <v>Error</v>
      </c>
      <c r="G7021" t="str">
        <f>INDEX(Lists!H:H,MATCH(Validation!E7021,Lists!G:G,0))</f>
        <v>Amount must be rounded to the nearest dollar.</v>
      </c>
      <c r="H7021" s="16" t="str">
        <f t="shared" ca="1" si="801"/>
        <v/>
      </c>
      <c r="I7021" s="16" t="str">
        <f t="shared" ca="1" si="802"/>
        <v/>
      </c>
      <c r="J7021" s="17" t="str">
        <f t="shared" ca="1" si="803"/>
        <v/>
      </c>
    </row>
    <row r="7022" spans="1:10" x14ac:dyDescent="0.25">
      <c r="A7022" t="s">
        <v>945</v>
      </c>
      <c r="B7022" t="str">
        <f>ADDRESS(ROW('Loan 1'!$B$44),COLUMN('Loan 1'!$B$44),4)</f>
        <v>B44</v>
      </c>
      <c r="C7022" t="str">
        <f>ADDRESS(ROW('Loan 1'!$D$44),COLUMN('Loan 1'!$D$44),4)</f>
        <v>D44</v>
      </c>
      <c r="D7022" t="b" cm="1">
        <f t="array" aca="1" ref="D7022" ca="1">IF(INDIRECT("'"&amp;A7022&amp;"'!"&amp;B7022)="",FALSE,IF(TRUNC(INDIRECT("'"&amp;A7022&amp;"'!"&amp;B7022))=INDIRECT("'"&amp;A7022&amp;"'!"&amp;B7022),FALSE,TRUE))</f>
        <v>0</v>
      </c>
      <c r="E7022" t="s">
        <v>436</v>
      </c>
      <c r="F7022" t="str">
        <f>INDEX(Lists!I:I,MATCH(Validation!E7022,Lists!G:G,0))</f>
        <v>Error</v>
      </c>
      <c r="G7022" t="str">
        <f>INDEX(Lists!H:H,MATCH(Validation!E7022,Lists!G:G,0))</f>
        <v>Amount must be rounded to the nearest dollar.</v>
      </c>
      <c r="H7022" s="16" t="str">
        <f t="shared" ca="1" si="801"/>
        <v/>
      </c>
      <c r="I7022" s="16" t="str">
        <f t="shared" ca="1" si="802"/>
        <v/>
      </c>
      <c r="J7022" s="17" t="str">
        <f t="shared" ca="1" si="803"/>
        <v/>
      </c>
    </row>
    <row r="7023" spans="1:10" x14ac:dyDescent="0.25">
      <c r="A7023" t="s">
        <v>205</v>
      </c>
      <c r="B7023" t="str">
        <f>ADDRESS(ROW('Loan 1'!$A$46),COLUMN('Loan 1'!$A$46),4)</f>
        <v>A46</v>
      </c>
      <c r="C7023" t="str">
        <f>ADDRESS(ROW('Loan 1'!$D$45),COLUMN('Loan 1'!$D$45),4)</f>
        <v>D45</v>
      </c>
      <c r="D7023" t="b" cm="1">
        <f t="array" aca="1" ref="D7023" ca="1">IF(ISBLANK(INDIRECT("'"&amp;A7023&amp;"'!"&amp;B7023)),FALSE,IF(LEN(TRIM(CLEAN(INDIRECT("'"&amp;A7023&amp;"'!"&amp;B7023))))&lt;15,TRUE,FALSE))</f>
        <v>0</v>
      </c>
      <c r="E7023" t="s">
        <v>635</v>
      </c>
      <c r="F7023" t="str">
        <f>INDEX(Lists!I:I,MATCH(Validation!E7023,Lists!G:G,0))</f>
        <v>Error</v>
      </c>
      <c r="G7023" t="str">
        <f>INDEX(Lists!H:H,MATCH(Validation!E7023,Lists!G:G,0))</f>
        <v>Insufficient information. Please provide a longer comment.</v>
      </c>
      <c r="H7023" s="16" t="str">
        <f t="shared" ref="H7023:H7047" ca="1" si="804">IFERROR(IF(OR(NOT(D7023),F7023&lt;&gt;"Error"),"",A7023&amp;CELL("address",INDIRECT(B7023))),"")</f>
        <v/>
      </c>
      <c r="I7023" s="16" t="str">
        <f t="shared" ref="I7023:I7047" ca="1" si="805">IFERROR(IF(NOT(D7023),"",A7023&amp;CELL("address",INDIRECT(C7023))),"")</f>
        <v/>
      </c>
      <c r="J7023" s="17" t="str">
        <f t="shared" ref="J7023:J7047" ca="1" si="806">IFERROR(IF(NOT(D7023),"",A7023),"")</f>
        <v/>
      </c>
    </row>
    <row r="7024" spans="1:10" x14ac:dyDescent="0.25">
      <c r="A7024" t="s">
        <v>932</v>
      </c>
      <c r="B7024" t="str">
        <f>ADDRESS(ROW('Loan 1'!$A$46),COLUMN('Loan 1'!$A$46),4)</f>
        <v>A46</v>
      </c>
      <c r="C7024" t="str">
        <f>ADDRESS(ROW('Loan 1'!$D$45),COLUMN('Loan 1'!$D$45),4)</f>
        <v>D45</v>
      </c>
      <c r="D7024" t="b" cm="1">
        <f t="array" aca="1" ref="D7024" ca="1">IF(ISBLANK(INDIRECT("'"&amp;A7024&amp;"'!"&amp;B7024)),FALSE,IF(LEN(TRIM(CLEAN(INDIRECT("'"&amp;A7024&amp;"'!"&amp;B7024))))&lt;15,TRUE,FALSE))</f>
        <v>0</v>
      </c>
      <c r="E7024" t="s">
        <v>635</v>
      </c>
      <c r="F7024" t="str">
        <f>INDEX(Lists!I:I,MATCH(Validation!E7024,Lists!G:G,0))</f>
        <v>Error</v>
      </c>
      <c r="G7024" t="str">
        <f>INDEX(Lists!H:H,MATCH(Validation!E7024,Lists!G:G,0))</f>
        <v>Insufficient information. Please provide a longer comment.</v>
      </c>
      <c r="H7024" s="16" t="str">
        <f t="shared" ref="H7024:H7037" ca="1" si="807">IFERROR(IF(OR(NOT(D7024),F7024&lt;&gt;"Error"),"",A7024&amp;CELL("address",INDIRECT(B7024))),"")</f>
        <v/>
      </c>
      <c r="I7024" s="16" t="str">
        <f t="shared" ref="I7024:I7037" ca="1" si="808">IFERROR(IF(NOT(D7024),"",A7024&amp;CELL("address",INDIRECT(C7024))),"")</f>
        <v/>
      </c>
      <c r="J7024" s="17" t="str">
        <f t="shared" ref="J7024:J7037" ca="1" si="809">IFERROR(IF(NOT(D7024),"",A7024),"")</f>
        <v/>
      </c>
    </row>
    <row r="7025" spans="1:10" x14ac:dyDescent="0.25">
      <c r="A7025" t="s">
        <v>933</v>
      </c>
      <c r="B7025" t="str">
        <f>ADDRESS(ROW('Loan 1'!$A$46),COLUMN('Loan 1'!$A$46),4)</f>
        <v>A46</v>
      </c>
      <c r="C7025" t="str">
        <f>ADDRESS(ROW('Loan 1'!$D$45),COLUMN('Loan 1'!$D$45),4)</f>
        <v>D45</v>
      </c>
      <c r="D7025" t="b" cm="1">
        <f t="array" aca="1" ref="D7025" ca="1">IF(ISBLANK(INDIRECT("'"&amp;A7025&amp;"'!"&amp;B7025)),FALSE,IF(LEN(TRIM(CLEAN(INDIRECT("'"&amp;A7025&amp;"'!"&amp;B7025))))&lt;15,TRUE,FALSE))</f>
        <v>0</v>
      </c>
      <c r="E7025" t="s">
        <v>635</v>
      </c>
      <c r="F7025" t="str">
        <f>INDEX(Lists!I:I,MATCH(Validation!E7025,Lists!G:G,0))</f>
        <v>Error</v>
      </c>
      <c r="G7025" t="str">
        <f>INDEX(Lists!H:H,MATCH(Validation!E7025,Lists!G:G,0))</f>
        <v>Insufficient information. Please provide a longer comment.</v>
      </c>
      <c r="H7025" s="16" t="str">
        <f t="shared" ca="1" si="807"/>
        <v/>
      </c>
      <c r="I7025" s="16" t="str">
        <f t="shared" ca="1" si="808"/>
        <v/>
      </c>
      <c r="J7025" s="17" t="str">
        <f t="shared" ca="1" si="809"/>
        <v/>
      </c>
    </row>
    <row r="7026" spans="1:10" x14ac:dyDescent="0.25">
      <c r="A7026" t="s">
        <v>934</v>
      </c>
      <c r="B7026" t="str">
        <f>ADDRESS(ROW('Loan 1'!$A$46),COLUMN('Loan 1'!$A$46),4)</f>
        <v>A46</v>
      </c>
      <c r="C7026" t="str">
        <f>ADDRESS(ROW('Loan 1'!$D$45),COLUMN('Loan 1'!$D$45),4)</f>
        <v>D45</v>
      </c>
      <c r="D7026" t="b" cm="1">
        <f t="array" aca="1" ref="D7026" ca="1">IF(ISBLANK(INDIRECT("'"&amp;A7026&amp;"'!"&amp;B7026)),FALSE,IF(LEN(TRIM(CLEAN(INDIRECT("'"&amp;A7026&amp;"'!"&amp;B7026))))&lt;15,TRUE,FALSE))</f>
        <v>0</v>
      </c>
      <c r="E7026" t="s">
        <v>635</v>
      </c>
      <c r="F7026" t="str">
        <f>INDEX(Lists!I:I,MATCH(Validation!E7026,Lists!G:G,0))</f>
        <v>Error</v>
      </c>
      <c r="G7026" t="str">
        <f>INDEX(Lists!H:H,MATCH(Validation!E7026,Lists!G:G,0))</f>
        <v>Insufficient information. Please provide a longer comment.</v>
      </c>
      <c r="H7026" s="16" t="str">
        <f t="shared" ca="1" si="807"/>
        <v/>
      </c>
      <c r="I7026" s="16" t="str">
        <f t="shared" ca="1" si="808"/>
        <v/>
      </c>
      <c r="J7026" s="17" t="str">
        <f t="shared" ca="1" si="809"/>
        <v/>
      </c>
    </row>
    <row r="7027" spans="1:10" x14ac:dyDescent="0.25">
      <c r="A7027" t="s">
        <v>935</v>
      </c>
      <c r="B7027" t="str">
        <f>ADDRESS(ROW('Loan 1'!$A$46),COLUMN('Loan 1'!$A$46),4)</f>
        <v>A46</v>
      </c>
      <c r="C7027" t="str">
        <f>ADDRESS(ROW('Loan 1'!$D$45),COLUMN('Loan 1'!$D$45),4)</f>
        <v>D45</v>
      </c>
      <c r="D7027" t="b" cm="1">
        <f t="array" aca="1" ref="D7027" ca="1">IF(ISBLANK(INDIRECT("'"&amp;A7027&amp;"'!"&amp;B7027)),FALSE,IF(LEN(TRIM(CLEAN(INDIRECT("'"&amp;A7027&amp;"'!"&amp;B7027))))&lt;15,TRUE,FALSE))</f>
        <v>0</v>
      </c>
      <c r="E7027" t="s">
        <v>635</v>
      </c>
      <c r="F7027" t="str">
        <f>INDEX(Lists!I:I,MATCH(Validation!E7027,Lists!G:G,0))</f>
        <v>Error</v>
      </c>
      <c r="G7027" t="str">
        <f>INDEX(Lists!H:H,MATCH(Validation!E7027,Lists!G:G,0))</f>
        <v>Insufficient information. Please provide a longer comment.</v>
      </c>
      <c r="H7027" s="16" t="str">
        <f t="shared" ca="1" si="807"/>
        <v/>
      </c>
      <c r="I7027" s="16" t="str">
        <f t="shared" ca="1" si="808"/>
        <v/>
      </c>
      <c r="J7027" s="17" t="str">
        <f t="shared" ca="1" si="809"/>
        <v/>
      </c>
    </row>
    <row r="7028" spans="1:10" x14ac:dyDescent="0.25">
      <c r="A7028" t="s">
        <v>936</v>
      </c>
      <c r="B7028" t="str">
        <f>ADDRESS(ROW('Loan 1'!$A$46),COLUMN('Loan 1'!$A$46),4)</f>
        <v>A46</v>
      </c>
      <c r="C7028" t="str">
        <f>ADDRESS(ROW('Loan 1'!$D$45),COLUMN('Loan 1'!$D$45),4)</f>
        <v>D45</v>
      </c>
      <c r="D7028" t="b" cm="1">
        <f t="array" aca="1" ref="D7028" ca="1">IF(ISBLANK(INDIRECT("'"&amp;A7028&amp;"'!"&amp;B7028)),FALSE,IF(LEN(TRIM(CLEAN(INDIRECT("'"&amp;A7028&amp;"'!"&amp;B7028))))&lt;15,TRUE,FALSE))</f>
        <v>0</v>
      </c>
      <c r="E7028" t="s">
        <v>635</v>
      </c>
      <c r="F7028" t="str">
        <f>INDEX(Lists!I:I,MATCH(Validation!E7028,Lists!G:G,0))</f>
        <v>Error</v>
      </c>
      <c r="G7028" t="str">
        <f>INDEX(Lists!H:H,MATCH(Validation!E7028,Lists!G:G,0))</f>
        <v>Insufficient information. Please provide a longer comment.</v>
      </c>
      <c r="H7028" s="16" t="str">
        <f t="shared" ca="1" si="807"/>
        <v/>
      </c>
      <c r="I7028" s="16" t="str">
        <f t="shared" ca="1" si="808"/>
        <v/>
      </c>
      <c r="J7028" s="17" t="str">
        <f t="shared" ca="1" si="809"/>
        <v/>
      </c>
    </row>
    <row r="7029" spans="1:10" x14ac:dyDescent="0.25">
      <c r="A7029" t="s">
        <v>937</v>
      </c>
      <c r="B7029" t="str">
        <f>ADDRESS(ROW('Loan 1'!$A$46),COLUMN('Loan 1'!$A$46),4)</f>
        <v>A46</v>
      </c>
      <c r="C7029" t="str">
        <f>ADDRESS(ROW('Loan 1'!$D$45),COLUMN('Loan 1'!$D$45),4)</f>
        <v>D45</v>
      </c>
      <c r="D7029" t="b" cm="1">
        <f t="array" aca="1" ref="D7029" ca="1">IF(ISBLANK(INDIRECT("'"&amp;A7029&amp;"'!"&amp;B7029)),FALSE,IF(LEN(TRIM(CLEAN(INDIRECT("'"&amp;A7029&amp;"'!"&amp;B7029))))&lt;15,TRUE,FALSE))</f>
        <v>0</v>
      </c>
      <c r="E7029" t="s">
        <v>635</v>
      </c>
      <c r="F7029" t="str">
        <f>INDEX(Lists!I:I,MATCH(Validation!E7029,Lists!G:G,0))</f>
        <v>Error</v>
      </c>
      <c r="G7029" t="str">
        <f>INDEX(Lists!H:H,MATCH(Validation!E7029,Lists!G:G,0))</f>
        <v>Insufficient information. Please provide a longer comment.</v>
      </c>
      <c r="H7029" s="16" t="str">
        <f t="shared" ca="1" si="807"/>
        <v/>
      </c>
      <c r="I7029" s="16" t="str">
        <f t="shared" ca="1" si="808"/>
        <v/>
      </c>
      <c r="J7029" s="17" t="str">
        <f t="shared" ca="1" si="809"/>
        <v/>
      </c>
    </row>
    <row r="7030" spans="1:10" x14ac:dyDescent="0.25">
      <c r="A7030" t="s">
        <v>938</v>
      </c>
      <c r="B7030" t="str">
        <f>ADDRESS(ROW('Loan 1'!$A$46),COLUMN('Loan 1'!$A$46),4)</f>
        <v>A46</v>
      </c>
      <c r="C7030" t="str">
        <f>ADDRESS(ROW('Loan 1'!$D$45),COLUMN('Loan 1'!$D$45),4)</f>
        <v>D45</v>
      </c>
      <c r="D7030" t="b" cm="1">
        <f t="array" aca="1" ref="D7030" ca="1">IF(ISBLANK(INDIRECT("'"&amp;A7030&amp;"'!"&amp;B7030)),FALSE,IF(LEN(TRIM(CLEAN(INDIRECT("'"&amp;A7030&amp;"'!"&amp;B7030))))&lt;15,TRUE,FALSE))</f>
        <v>0</v>
      </c>
      <c r="E7030" t="s">
        <v>635</v>
      </c>
      <c r="F7030" t="str">
        <f>INDEX(Lists!I:I,MATCH(Validation!E7030,Lists!G:G,0))</f>
        <v>Error</v>
      </c>
      <c r="G7030" t="str">
        <f>INDEX(Lists!H:H,MATCH(Validation!E7030,Lists!G:G,0))</f>
        <v>Insufficient information. Please provide a longer comment.</v>
      </c>
      <c r="H7030" s="16" t="str">
        <f t="shared" ca="1" si="807"/>
        <v/>
      </c>
      <c r="I7030" s="16" t="str">
        <f t="shared" ca="1" si="808"/>
        <v/>
      </c>
      <c r="J7030" s="17" t="str">
        <f t="shared" ca="1" si="809"/>
        <v/>
      </c>
    </row>
    <row r="7031" spans="1:10" x14ac:dyDescent="0.25">
      <c r="A7031" t="s">
        <v>939</v>
      </c>
      <c r="B7031" t="str">
        <f>ADDRESS(ROW('Loan 1'!$A$46),COLUMN('Loan 1'!$A$46),4)</f>
        <v>A46</v>
      </c>
      <c r="C7031" t="str">
        <f>ADDRESS(ROW('Loan 1'!$D$45),COLUMN('Loan 1'!$D$45),4)</f>
        <v>D45</v>
      </c>
      <c r="D7031" t="b" cm="1">
        <f t="array" aca="1" ref="D7031" ca="1">IF(ISBLANK(INDIRECT("'"&amp;A7031&amp;"'!"&amp;B7031)),FALSE,IF(LEN(TRIM(CLEAN(INDIRECT("'"&amp;A7031&amp;"'!"&amp;B7031))))&lt;15,TRUE,FALSE))</f>
        <v>0</v>
      </c>
      <c r="E7031" t="s">
        <v>635</v>
      </c>
      <c r="F7031" t="str">
        <f>INDEX(Lists!I:I,MATCH(Validation!E7031,Lists!G:G,0))</f>
        <v>Error</v>
      </c>
      <c r="G7031" t="str">
        <f>INDEX(Lists!H:H,MATCH(Validation!E7031,Lists!G:G,0))</f>
        <v>Insufficient information. Please provide a longer comment.</v>
      </c>
      <c r="H7031" s="16" t="str">
        <f t="shared" ca="1" si="807"/>
        <v/>
      </c>
      <c r="I7031" s="16" t="str">
        <f t="shared" ca="1" si="808"/>
        <v/>
      </c>
      <c r="J7031" s="17" t="str">
        <f t="shared" ca="1" si="809"/>
        <v/>
      </c>
    </row>
    <row r="7032" spans="1:10" x14ac:dyDescent="0.25">
      <c r="A7032" t="s">
        <v>940</v>
      </c>
      <c r="B7032" t="str">
        <f>ADDRESS(ROW('Loan 1'!$A$46),COLUMN('Loan 1'!$A$46),4)</f>
        <v>A46</v>
      </c>
      <c r="C7032" t="str">
        <f>ADDRESS(ROW('Loan 1'!$D$45),COLUMN('Loan 1'!$D$45),4)</f>
        <v>D45</v>
      </c>
      <c r="D7032" t="b" cm="1">
        <f t="array" aca="1" ref="D7032" ca="1">IF(ISBLANK(INDIRECT("'"&amp;A7032&amp;"'!"&amp;B7032)),FALSE,IF(LEN(TRIM(CLEAN(INDIRECT("'"&amp;A7032&amp;"'!"&amp;B7032))))&lt;15,TRUE,FALSE))</f>
        <v>0</v>
      </c>
      <c r="E7032" t="s">
        <v>635</v>
      </c>
      <c r="F7032" t="str">
        <f>INDEX(Lists!I:I,MATCH(Validation!E7032,Lists!G:G,0))</f>
        <v>Error</v>
      </c>
      <c r="G7032" t="str">
        <f>INDEX(Lists!H:H,MATCH(Validation!E7032,Lists!G:G,0))</f>
        <v>Insufficient information. Please provide a longer comment.</v>
      </c>
      <c r="H7032" s="16" t="str">
        <f t="shared" ca="1" si="807"/>
        <v/>
      </c>
      <c r="I7032" s="16" t="str">
        <f t="shared" ca="1" si="808"/>
        <v/>
      </c>
      <c r="J7032" s="17" t="str">
        <f t="shared" ca="1" si="809"/>
        <v/>
      </c>
    </row>
    <row r="7033" spans="1:10" x14ac:dyDescent="0.25">
      <c r="A7033" t="s">
        <v>941</v>
      </c>
      <c r="B7033" t="str">
        <f>ADDRESS(ROW('Loan 1'!$A$46),COLUMN('Loan 1'!$A$46),4)</f>
        <v>A46</v>
      </c>
      <c r="C7033" t="str">
        <f>ADDRESS(ROW('Loan 1'!$D$45),COLUMN('Loan 1'!$D$45),4)</f>
        <v>D45</v>
      </c>
      <c r="D7033" t="b" cm="1">
        <f t="array" aca="1" ref="D7033" ca="1">IF(ISBLANK(INDIRECT("'"&amp;A7033&amp;"'!"&amp;B7033)),FALSE,IF(LEN(TRIM(CLEAN(INDIRECT("'"&amp;A7033&amp;"'!"&amp;B7033))))&lt;15,TRUE,FALSE))</f>
        <v>0</v>
      </c>
      <c r="E7033" t="s">
        <v>635</v>
      </c>
      <c r="F7033" t="str">
        <f>INDEX(Lists!I:I,MATCH(Validation!E7033,Lists!G:G,0))</f>
        <v>Error</v>
      </c>
      <c r="G7033" t="str">
        <f>INDEX(Lists!H:H,MATCH(Validation!E7033,Lists!G:G,0))</f>
        <v>Insufficient information. Please provide a longer comment.</v>
      </c>
      <c r="H7033" s="16" t="str">
        <f t="shared" ca="1" si="807"/>
        <v/>
      </c>
      <c r="I7033" s="16" t="str">
        <f t="shared" ca="1" si="808"/>
        <v/>
      </c>
      <c r="J7033" s="17" t="str">
        <f t="shared" ca="1" si="809"/>
        <v/>
      </c>
    </row>
    <row r="7034" spans="1:10" x14ac:dyDescent="0.25">
      <c r="A7034" t="s">
        <v>942</v>
      </c>
      <c r="B7034" t="str">
        <f>ADDRESS(ROW('Loan 1'!$A$46),COLUMN('Loan 1'!$A$46),4)</f>
        <v>A46</v>
      </c>
      <c r="C7034" t="str">
        <f>ADDRESS(ROW('Loan 1'!$D$45),COLUMN('Loan 1'!$D$45),4)</f>
        <v>D45</v>
      </c>
      <c r="D7034" t="b" cm="1">
        <f t="array" aca="1" ref="D7034" ca="1">IF(ISBLANK(INDIRECT("'"&amp;A7034&amp;"'!"&amp;B7034)),FALSE,IF(LEN(TRIM(CLEAN(INDIRECT("'"&amp;A7034&amp;"'!"&amp;B7034))))&lt;15,TRUE,FALSE))</f>
        <v>0</v>
      </c>
      <c r="E7034" t="s">
        <v>635</v>
      </c>
      <c r="F7034" t="str">
        <f>INDEX(Lists!I:I,MATCH(Validation!E7034,Lists!G:G,0))</f>
        <v>Error</v>
      </c>
      <c r="G7034" t="str">
        <f>INDEX(Lists!H:H,MATCH(Validation!E7034,Lists!G:G,0))</f>
        <v>Insufficient information. Please provide a longer comment.</v>
      </c>
      <c r="H7034" s="16" t="str">
        <f t="shared" ca="1" si="807"/>
        <v/>
      </c>
      <c r="I7034" s="16" t="str">
        <f t="shared" ca="1" si="808"/>
        <v/>
      </c>
      <c r="J7034" s="17" t="str">
        <f t="shared" ca="1" si="809"/>
        <v/>
      </c>
    </row>
    <row r="7035" spans="1:10" x14ac:dyDescent="0.25">
      <c r="A7035" t="s">
        <v>943</v>
      </c>
      <c r="B7035" t="str">
        <f>ADDRESS(ROW('Loan 1'!$A$46),COLUMN('Loan 1'!$A$46),4)</f>
        <v>A46</v>
      </c>
      <c r="C7035" t="str">
        <f>ADDRESS(ROW('Loan 1'!$D$45),COLUMN('Loan 1'!$D$45),4)</f>
        <v>D45</v>
      </c>
      <c r="D7035" t="b" cm="1">
        <f t="array" aca="1" ref="D7035" ca="1">IF(ISBLANK(INDIRECT("'"&amp;A7035&amp;"'!"&amp;B7035)),FALSE,IF(LEN(TRIM(CLEAN(INDIRECT("'"&amp;A7035&amp;"'!"&amp;B7035))))&lt;15,TRUE,FALSE))</f>
        <v>0</v>
      </c>
      <c r="E7035" t="s">
        <v>635</v>
      </c>
      <c r="F7035" t="str">
        <f>INDEX(Lists!I:I,MATCH(Validation!E7035,Lists!G:G,0))</f>
        <v>Error</v>
      </c>
      <c r="G7035" t="str">
        <f>INDEX(Lists!H:H,MATCH(Validation!E7035,Lists!G:G,0))</f>
        <v>Insufficient information. Please provide a longer comment.</v>
      </c>
      <c r="H7035" s="16" t="str">
        <f t="shared" ca="1" si="807"/>
        <v/>
      </c>
      <c r="I7035" s="16" t="str">
        <f t="shared" ca="1" si="808"/>
        <v/>
      </c>
      <c r="J7035" s="17" t="str">
        <f t="shared" ca="1" si="809"/>
        <v/>
      </c>
    </row>
    <row r="7036" spans="1:10" x14ac:dyDescent="0.25">
      <c r="A7036" t="s">
        <v>944</v>
      </c>
      <c r="B7036" t="str">
        <f>ADDRESS(ROW('Loan 1'!$A$46),COLUMN('Loan 1'!$A$46),4)</f>
        <v>A46</v>
      </c>
      <c r="C7036" t="str">
        <f>ADDRESS(ROW('Loan 1'!$D$45),COLUMN('Loan 1'!$D$45),4)</f>
        <v>D45</v>
      </c>
      <c r="D7036" t="b" cm="1">
        <f t="array" aca="1" ref="D7036" ca="1">IF(ISBLANK(INDIRECT("'"&amp;A7036&amp;"'!"&amp;B7036)),FALSE,IF(LEN(TRIM(CLEAN(INDIRECT("'"&amp;A7036&amp;"'!"&amp;B7036))))&lt;15,TRUE,FALSE))</f>
        <v>0</v>
      </c>
      <c r="E7036" t="s">
        <v>635</v>
      </c>
      <c r="F7036" t="str">
        <f>INDEX(Lists!I:I,MATCH(Validation!E7036,Lists!G:G,0))</f>
        <v>Error</v>
      </c>
      <c r="G7036" t="str">
        <f>INDEX(Lists!H:H,MATCH(Validation!E7036,Lists!G:G,0))</f>
        <v>Insufficient information. Please provide a longer comment.</v>
      </c>
      <c r="H7036" s="16" t="str">
        <f t="shared" ca="1" si="807"/>
        <v/>
      </c>
      <c r="I7036" s="16" t="str">
        <f t="shared" ca="1" si="808"/>
        <v/>
      </c>
      <c r="J7036" s="17" t="str">
        <f t="shared" ca="1" si="809"/>
        <v/>
      </c>
    </row>
    <row r="7037" spans="1:10" x14ac:dyDescent="0.25">
      <c r="A7037" t="s">
        <v>945</v>
      </c>
      <c r="B7037" t="str">
        <f>ADDRESS(ROW('Loan 1'!$A$46),COLUMN('Loan 1'!$A$46),4)</f>
        <v>A46</v>
      </c>
      <c r="C7037" t="str">
        <f>ADDRESS(ROW('Loan 1'!$D$45),COLUMN('Loan 1'!$D$45),4)</f>
        <v>D45</v>
      </c>
      <c r="D7037" t="b" cm="1">
        <f t="array" aca="1" ref="D7037" ca="1">IF(ISBLANK(INDIRECT("'"&amp;A7037&amp;"'!"&amp;B7037)),FALSE,IF(LEN(TRIM(CLEAN(INDIRECT("'"&amp;A7037&amp;"'!"&amp;B7037))))&lt;15,TRUE,FALSE))</f>
        <v>0</v>
      </c>
      <c r="E7037" t="s">
        <v>635</v>
      </c>
      <c r="F7037" t="str">
        <f>INDEX(Lists!I:I,MATCH(Validation!E7037,Lists!G:G,0))</f>
        <v>Error</v>
      </c>
      <c r="G7037" t="str">
        <f>INDEX(Lists!H:H,MATCH(Validation!E7037,Lists!G:G,0))</f>
        <v>Insufficient information. Please provide a longer comment.</v>
      </c>
      <c r="H7037" s="16" t="str">
        <f t="shared" ca="1" si="807"/>
        <v/>
      </c>
      <c r="I7037" s="16" t="str">
        <f t="shared" ca="1" si="808"/>
        <v/>
      </c>
      <c r="J7037" s="17" t="str">
        <f t="shared" ca="1" si="809"/>
        <v/>
      </c>
    </row>
    <row r="7038" spans="1:10" x14ac:dyDescent="0.25">
      <c r="A7038" t="s">
        <v>205</v>
      </c>
      <c r="B7038" t="str">
        <f>ADDRESS(ROW('Loan 1'!$A$46),COLUMN('Loan 1'!$A$46),4)</f>
        <v>A46</v>
      </c>
      <c r="C7038" t="str">
        <f>ADDRESS(ROW('Loan 1'!$D$45),COLUMN('Loan 1'!$D$45),4)</f>
        <v>D45</v>
      </c>
      <c r="D7038" t="b" cm="1">
        <f t="array" aca="1" ref="D7038" ca="1">IF(LEN(INDIRECT("'"&amp;A7038&amp;"'!"&amp;B7038))&gt;500,TRUE,FALSE)</f>
        <v>0</v>
      </c>
      <c r="E7038" t="s">
        <v>636</v>
      </c>
      <c r="F7038" t="str">
        <f>INDEX(Lists!I:I,MATCH(Validation!E7038,Lists!G:G,0))</f>
        <v>Error</v>
      </c>
      <c r="G7038" t="str">
        <f>INDEX(Lists!H:H,MATCH(Validation!E7038,Lists!G:G,0))</f>
        <v>Comments cannot exceed 500 characters. (Limit length. Send email to further explain.)</v>
      </c>
      <c r="H7038" s="16" t="str">
        <f t="shared" ca="1" si="804"/>
        <v/>
      </c>
      <c r="I7038" s="16" t="str">
        <f t="shared" ca="1" si="805"/>
        <v/>
      </c>
      <c r="J7038" s="17" t="str">
        <f t="shared" ca="1" si="806"/>
        <v/>
      </c>
    </row>
    <row r="7039" spans="1:10" x14ac:dyDescent="0.25">
      <c r="A7039" t="s">
        <v>932</v>
      </c>
      <c r="B7039" t="str">
        <f>ADDRESS(ROW('Loan 1'!$A$46),COLUMN('Loan 1'!$A$46),4)</f>
        <v>A46</v>
      </c>
      <c r="C7039" t="str">
        <f>ADDRESS(ROW('Loan 1'!$D$45),COLUMN('Loan 1'!$D$45),4)</f>
        <v>D45</v>
      </c>
      <c r="D7039" t="b" cm="1">
        <f t="array" aca="1" ref="D7039" ca="1">IF(LEN(INDIRECT("'"&amp;A7039&amp;"'!"&amp;B7039))&gt;500,TRUE,FALSE)</f>
        <v>0</v>
      </c>
      <c r="E7039" t="s">
        <v>636</v>
      </c>
      <c r="F7039" t="str">
        <f>INDEX(Lists!I:I,MATCH(Validation!E7039,Lists!G:G,0))</f>
        <v>Error</v>
      </c>
      <c r="G7039" t="str">
        <f>INDEX(Lists!H:H,MATCH(Validation!E7039,Lists!G:G,0))</f>
        <v>Comments cannot exceed 500 characters. (Limit length. Send email to further explain.)</v>
      </c>
      <c r="H7039" s="16" t="str">
        <f t="shared" ca="1" si="804"/>
        <v/>
      </c>
      <c r="I7039" s="16" t="str">
        <f t="shared" ca="1" si="805"/>
        <v/>
      </c>
      <c r="J7039" s="17" t="str">
        <f t="shared" ca="1" si="806"/>
        <v/>
      </c>
    </row>
    <row r="7040" spans="1:10" x14ac:dyDescent="0.25">
      <c r="A7040" t="s">
        <v>933</v>
      </c>
      <c r="B7040" t="str">
        <f>ADDRESS(ROW('Loan 1'!$A$46),COLUMN('Loan 1'!$A$46),4)</f>
        <v>A46</v>
      </c>
      <c r="C7040" t="str">
        <f>ADDRESS(ROW('Loan 1'!$D$45),COLUMN('Loan 1'!$D$45),4)</f>
        <v>D45</v>
      </c>
      <c r="D7040" t="b" cm="1">
        <f t="array" aca="1" ref="D7040" ca="1">IF(LEN(INDIRECT("'"&amp;A7040&amp;"'!"&amp;B7040))&gt;500,TRUE,FALSE)</f>
        <v>0</v>
      </c>
      <c r="E7040" t="s">
        <v>636</v>
      </c>
      <c r="F7040" t="str">
        <f>INDEX(Lists!I:I,MATCH(Validation!E7040,Lists!G:G,0))</f>
        <v>Error</v>
      </c>
      <c r="G7040" t="str">
        <f>INDEX(Lists!H:H,MATCH(Validation!E7040,Lists!G:G,0))</f>
        <v>Comments cannot exceed 500 characters. (Limit length. Send email to further explain.)</v>
      </c>
      <c r="H7040" s="16" t="str">
        <f t="shared" ca="1" si="804"/>
        <v/>
      </c>
      <c r="I7040" s="16" t="str">
        <f t="shared" ca="1" si="805"/>
        <v/>
      </c>
      <c r="J7040" s="17" t="str">
        <f t="shared" ca="1" si="806"/>
        <v/>
      </c>
    </row>
    <row r="7041" spans="1:10" x14ac:dyDescent="0.25">
      <c r="A7041" t="s">
        <v>934</v>
      </c>
      <c r="B7041" t="str">
        <f>ADDRESS(ROW('Loan 1'!$A$46),COLUMN('Loan 1'!$A$46),4)</f>
        <v>A46</v>
      </c>
      <c r="C7041" t="str">
        <f>ADDRESS(ROW('Loan 1'!$D$45),COLUMN('Loan 1'!$D$45),4)</f>
        <v>D45</v>
      </c>
      <c r="D7041" t="b" cm="1">
        <f t="array" aca="1" ref="D7041" ca="1">IF(LEN(INDIRECT("'"&amp;A7041&amp;"'!"&amp;B7041))&gt;500,TRUE,FALSE)</f>
        <v>0</v>
      </c>
      <c r="E7041" t="s">
        <v>636</v>
      </c>
      <c r="F7041" t="str">
        <f>INDEX(Lists!I:I,MATCH(Validation!E7041,Lists!G:G,0))</f>
        <v>Error</v>
      </c>
      <c r="G7041" t="str">
        <f>INDEX(Lists!H:H,MATCH(Validation!E7041,Lists!G:G,0))</f>
        <v>Comments cannot exceed 500 characters. (Limit length. Send email to further explain.)</v>
      </c>
      <c r="H7041" s="16" t="str">
        <f t="shared" ca="1" si="804"/>
        <v/>
      </c>
      <c r="I7041" s="16" t="str">
        <f t="shared" ca="1" si="805"/>
        <v/>
      </c>
      <c r="J7041" s="17" t="str">
        <f t="shared" ca="1" si="806"/>
        <v/>
      </c>
    </row>
    <row r="7042" spans="1:10" x14ac:dyDescent="0.25">
      <c r="A7042" t="s">
        <v>935</v>
      </c>
      <c r="B7042" t="str">
        <f>ADDRESS(ROW('Loan 1'!$A$46),COLUMN('Loan 1'!$A$46),4)</f>
        <v>A46</v>
      </c>
      <c r="C7042" t="str">
        <f>ADDRESS(ROW('Loan 1'!$D$45),COLUMN('Loan 1'!$D$45),4)</f>
        <v>D45</v>
      </c>
      <c r="D7042" t="b" cm="1">
        <f t="array" aca="1" ref="D7042" ca="1">IF(LEN(INDIRECT("'"&amp;A7042&amp;"'!"&amp;B7042))&gt;500,TRUE,FALSE)</f>
        <v>0</v>
      </c>
      <c r="E7042" t="s">
        <v>636</v>
      </c>
      <c r="F7042" t="str">
        <f>INDEX(Lists!I:I,MATCH(Validation!E7042,Lists!G:G,0))</f>
        <v>Error</v>
      </c>
      <c r="G7042" t="str">
        <f>INDEX(Lists!H:H,MATCH(Validation!E7042,Lists!G:G,0))</f>
        <v>Comments cannot exceed 500 characters. (Limit length. Send email to further explain.)</v>
      </c>
      <c r="H7042" s="16" t="str">
        <f t="shared" ca="1" si="804"/>
        <v/>
      </c>
      <c r="I7042" s="16" t="str">
        <f t="shared" ca="1" si="805"/>
        <v/>
      </c>
      <c r="J7042" s="17" t="str">
        <f t="shared" ca="1" si="806"/>
        <v/>
      </c>
    </row>
    <row r="7043" spans="1:10" x14ac:dyDescent="0.25">
      <c r="A7043" t="s">
        <v>936</v>
      </c>
      <c r="B7043" t="str">
        <f>ADDRESS(ROW('Loan 1'!$A$46),COLUMN('Loan 1'!$A$46),4)</f>
        <v>A46</v>
      </c>
      <c r="C7043" t="str">
        <f>ADDRESS(ROW('Loan 1'!$D$45),COLUMN('Loan 1'!$D$45),4)</f>
        <v>D45</v>
      </c>
      <c r="D7043" t="b" cm="1">
        <f t="array" aca="1" ref="D7043" ca="1">IF(LEN(INDIRECT("'"&amp;A7043&amp;"'!"&amp;B7043))&gt;500,TRUE,FALSE)</f>
        <v>0</v>
      </c>
      <c r="E7043" t="s">
        <v>636</v>
      </c>
      <c r="F7043" t="str">
        <f>INDEX(Lists!I:I,MATCH(Validation!E7043,Lists!G:G,0))</f>
        <v>Error</v>
      </c>
      <c r="G7043" t="str">
        <f>INDEX(Lists!H:H,MATCH(Validation!E7043,Lists!G:G,0))</f>
        <v>Comments cannot exceed 500 characters. (Limit length. Send email to further explain.)</v>
      </c>
      <c r="H7043" s="16" t="str">
        <f t="shared" ca="1" si="804"/>
        <v/>
      </c>
      <c r="I7043" s="16" t="str">
        <f t="shared" ca="1" si="805"/>
        <v/>
      </c>
      <c r="J7043" s="17" t="str">
        <f t="shared" ca="1" si="806"/>
        <v/>
      </c>
    </row>
    <row r="7044" spans="1:10" x14ac:dyDescent="0.25">
      <c r="A7044" t="s">
        <v>937</v>
      </c>
      <c r="B7044" t="str">
        <f>ADDRESS(ROW('Loan 1'!$A$46),COLUMN('Loan 1'!$A$46),4)</f>
        <v>A46</v>
      </c>
      <c r="C7044" t="str">
        <f>ADDRESS(ROW('Loan 1'!$D$45),COLUMN('Loan 1'!$D$45),4)</f>
        <v>D45</v>
      </c>
      <c r="D7044" t="b" cm="1">
        <f t="array" aca="1" ref="D7044" ca="1">IF(LEN(INDIRECT("'"&amp;A7044&amp;"'!"&amp;B7044))&gt;500,TRUE,FALSE)</f>
        <v>0</v>
      </c>
      <c r="E7044" t="s">
        <v>636</v>
      </c>
      <c r="F7044" t="str">
        <f>INDEX(Lists!I:I,MATCH(Validation!E7044,Lists!G:G,0))</f>
        <v>Error</v>
      </c>
      <c r="G7044" t="str">
        <f>INDEX(Lists!H:H,MATCH(Validation!E7044,Lists!G:G,0))</f>
        <v>Comments cannot exceed 500 characters. (Limit length. Send email to further explain.)</v>
      </c>
      <c r="H7044" s="16" t="str">
        <f t="shared" ca="1" si="804"/>
        <v/>
      </c>
      <c r="I7044" s="16" t="str">
        <f t="shared" ca="1" si="805"/>
        <v/>
      </c>
      <c r="J7044" s="17" t="str">
        <f t="shared" ca="1" si="806"/>
        <v/>
      </c>
    </row>
    <row r="7045" spans="1:10" x14ac:dyDescent="0.25">
      <c r="A7045" t="s">
        <v>938</v>
      </c>
      <c r="B7045" t="str">
        <f>ADDRESS(ROW('Loan 1'!$A$46),COLUMN('Loan 1'!$A$46),4)</f>
        <v>A46</v>
      </c>
      <c r="C7045" t="str">
        <f>ADDRESS(ROW('Loan 1'!$D$45),COLUMN('Loan 1'!$D$45),4)</f>
        <v>D45</v>
      </c>
      <c r="D7045" t="b" cm="1">
        <f t="array" aca="1" ref="D7045" ca="1">IF(LEN(INDIRECT("'"&amp;A7045&amp;"'!"&amp;B7045))&gt;500,TRUE,FALSE)</f>
        <v>0</v>
      </c>
      <c r="E7045" t="s">
        <v>636</v>
      </c>
      <c r="F7045" t="str">
        <f>INDEX(Lists!I:I,MATCH(Validation!E7045,Lists!G:G,0))</f>
        <v>Error</v>
      </c>
      <c r="G7045" t="str">
        <f>INDEX(Lists!H:H,MATCH(Validation!E7045,Lists!G:G,0))</f>
        <v>Comments cannot exceed 500 characters. (Limit length. Send email to further explain.)</v>
      </c>
      <c r="H7045" s="16" t="str">
        <f t="shared" ca="1" si="804"/>
        <v/>
      </c>
      <c r="I7045" s="16" t="str">
        <f t="shared" ca="1" si="805"/>
        <v/>
      </c>
      <c r="J7045" s="17" t="str">
        <f t="shared" ca="1" si="806"/>
        <v/>
      </c>
    </row>
    <row r="7046" spans="1:10" x14ac:dyDescent="0.25">
      <c r="A7046" t="s">
        <v>939</v>
      </c>
      <c r="B7046" t="str">
        <f>ADDRESS(ROW('Loan 1'!$A$46),COLUMN('Loan 1'!$A$46),4)</f>
        <v>A46</v>
      </c>
      <c r="C7046" t="str">
        <f>ADDRESS(ROW('Loan 1'!$D$45),COLUMN('Loan 1'!$D$45),4)</f>
        <v>D45</v>
      </c>
      <c r="D7046" t="b" cm="1">
        <f t="array" aca="1" ref="D7046" ca="1">IF(LEN(INDIRECT("'"&amp;A7046&amp;"'!"&amp;B7046))&gt;500,TRUE,FALSE)</f>
        <v>0</v>
      </c>
      <c r="E7046" t="s">
        <v>636</v>
      </c>
      <c r="F7046" t="str">
        <f>INDEX(Lists!I:I,MATCH(Validation!E7046,Lists!G:G,0))</f>
        <v>Error</v>
      </c>
      <c r="G7046" t="str">
        <f>INDEX(Lists!H:H,MATCH(Validation!E7046,Lists!G:G,0))</f>
        <v>Comments cannot exceed 500 characters. (Limit length. Send email to further explain.)</v>
      </c>
      <c r="H7046" s="16" t="str">
        <f t="shared" ca="1" si="804"/>
        <v/>
      </c>
      <c r="I7046" s="16" t="str">
        <f t="shared" ca="1" si="805"/>
        <v/>
      </c>
      <c r="J7046" s="17" t="str">
        <f t="shared" ca="1" si="806"/>
        <v/>
      </c>
    </row>
    <row r="7047" spans="1:10" x14ac:dyDescent="0.25">
      <c r="A7047" t="s">
        <v>940</v>
      </c>
      <c r="B7047" t="str">
        <f>ADDRESS(ROW('Loan 1'!$A$46),COLUMN('Loan 1'!$A$46),4)</f>
        <v>A46</v>
      </c>
      <c r="C7047" t="str">
        <f>ADDRESS(ROW('Loan 1'!$D$45),COLUMN('Loan 1'!$D$45),4)</f>
        <v>D45</v>
      </c>
      <c r="D7047" t="b" cm="1">
        <f t="array" aca="1" ref="D7047" ca="1">IF(LEN(INDIRECT("'"&amp;A7047&amp;"'!"&amp;B7047))&gt;500,TRUE,FALSE)</f>
        <v>0</v>
      </c>
      <c r="E7047" t="s">
        <v>636</v>
      </c>
      <c r="F7047" t="str">
        <f>INDEX(Lists!I:I,MATCH(Validation!E7047,Lists!G:G,0))</f>
        <v>Error</v>
      </c>
      <c r="G7047" t="str">
        <f>INDEX(Lists!H:H,MATCH(Validation!E7047,Lists!G:G,0))</f>
        <v>Comments cannot exceed 500 characters. (Limit length. Send email to further explain.)</v>
      </c>
      <c r="H7047" s="16" t="str">
        <f t="shared" ca="1" si="804"/>
        <v/>
      </c>
      <c r="I7047" s="16" t="str">
        <f t="shared" ca="1" si="805"/>
        <v/>
      </c>
      <c r="J7047" s="17" t="str">
        <f t="shared" ca="1" si="806"/>
        <v/>
      </c>
    </row>
    <row r="7048" spans="1:10" x14ac:dyDescent="0.25">
      <c r="A7048" t="s">
        <v>941</v>
      </c>
      <c r="B7048" t="str">
        <f>ADDRESS(ROW('Loan 1'!$A$46),COLUMN('Loan 1'!$A$46),4)</f>
        <v>A46</v>
      </c>
      <c r="C7048" t="str">
        <f>ADDRESS(ROW('Loan 1'!$D$45),COLUMN('Loan 1'!$D$45),4)</f>
        <v>D45</v>
      </c>
      <c r="D7048" t="b" cm="1">
        <f t="array" aca="1" ref="D7048" ca="1">IF(LEN(INDIRECT("'"&amp;A7048&amp;"'!"&amp;B7048))&gt;500,TRUE,FALSE)</f>
        <v>0</v>
      </c>
      <c r="E7048" t="s">
        <v>636</v>
      </c>
      <c r="F7048" t="str">
        <f>INDEX(Lists!I:I,MATCH(Validation!E7048,Lists!G:G,0))</f>
        <v>Error</v>
      </c>
      <c r="G7048" t="str">
        <f>INDEX(Lists!H:H,MATCH(Validation!E7048,Lists!G:G,0))</f>
        <v>Comments cannot exceed 500 characters. (Limit length. Send email to further explain.)</v>
      </c>
      <c r="H7048" s="16" t="str">
        <f t="shared" ref="H7048:H7063" ca="1" si="810">IFERROR(IF(OR(NOT(D7048),F7048&lt;&gt;"Error"),"",A7048&amp;CELL("address",INDIRECT(B7048))),"")</f>
        <v/>
      </c>
      <c r="I7048" s="16" t="str">
        <f t="shared" ref="I7048:I7063" ca="1" si="811">IFERROR(IF(NOT(D7048),"",A7048&amp;CELL("address",INDIRECT(C7048))),"")</f>
        <v/>
      </c>
      <c r="J7048" s="17" t="str">
        <f t="shared" ref="J7048:J7063" ca="1" si="812">IFERROR(IF(NOT(D7048),"",A7048),"")</f>
        <v/>
      </c>
    </row>
    <row r="7049" spans="1:10" x14ac:dyDescent="0.25">
      <c r="A7049" t="s">
        <v>942</v>
      </c>
      <c r="B7049" t="str">
        <f>ADDRESS(ROW('Loan 1'!$A$46),COLUMN('Loan 1'!$A$46),4)</f>
        <v>A46</v>
      </c>
      <c r="C7049" t="str">
        <f>ADDRESS(ROW('Loan 1'!$D$45),COLUMN('Loan 1'!$D$45),4)</f>
        <v>D45</v>
      </c>
      <c r="D7049" t="b" cm="1">
        <f t="array" aca="1" ref="D7049" ca="1">IF(LEN(INDIRECT("'"&amp;A7049&amp;"'!"&amp;B7049))&gt;500,TRUE,FALSE)</f>
        <v>0</v>
      </c>
      <c r="E7049" t="s">
        <v>636</v>
      </c>
      <c r="F7049" t="str">
        <f>INDEX(Lists!I:I,MATCH(Validation!E7049,Lists!G:G,0))</f>
        <v>Error</v>
      </c>
      <c r="G7049" t="str">
        <f>INDEX(Lists!H:H,MATCH(Validation!E7049,Lists!G:G,0))</f>
        <v>Comments cannot exceed 500 characters. (Limit length. Send email to further explain.)</v>
      </c>
      <c r="H7049" s="16" t="str">
        <f t="shared" ca="1" si="810"/>
        <v/>
      </c>
      <c r="I7049" s="16" t="str">
        <f t="shared" ca="1" si="811"/>
        <v/>
      </c>
      <c r="J7049" s="17" t="str">
        <f t="shared" ca="1" si="812"/>
        <v/>
      </c>
    </row>
    <row r="7050" spans="1:10" x14ac:dyDescent="0.25">
      <c r="A7050" t="s">
        <v>943</v>
      </c>
      <c r="B7050" t="str">
        <f>ADDRESS(ROW('Loan 1'!$A$46),COLUMN('Loan 1'!$A$46),4)</f>
        <v>A46</v>
      </c>
      <c r="C7050" t="str">
        <f>ADDRESS(ROW('Loan 1'!$D$45),COLUMN('Loan 1'!$D$45),4)</f>
        <v>D45</v>
      </c>
      <c r="D7050" t="b" cm="1">
        <f t="array" aca="1" ref="D7050" ca="1">IF(LEN(INDIRECT("'"&amp;A7050&amp;"'!"&amp;B7050))&gt;500,TRUE,FALSE)</f>
        <v>0</v>
      </c>
      <c r="E7050" t="s">
        <v>636</v>
      </c>
      <c r="F7050" t="str">
        <f>INDEX(Lists!I:I,MATCH(Validation!E7050,Lists!G:G,0))</f>
        <v>Error</v>
      </c>
      <c r="G7050" t="str">
        <f>INDEX(Lists!H:H,MATCH(Validation!E7050,Lists!G:G,0))</f>
        <v>Comments cannot exceed 500 characters. (Limit length. Send email to further explain.)</v>
      </c>
      <c r="H7050" s="16" t="str">
        <f t="shared" ca="1" si="810"/>
        <v/>
      </c>
      <c r="I7050" s="16" t="str">
        <f t="shared" ca="1" si="811"/>
        <v/>
      </c>
      <c r="J7050" s="17" t="str">
        <f t="shared" ca="1" si="812"/>
        <v/>
      </c>
    </row>
    <row r="7051" spans="1:10" x14ac:dyDescent="0.25">
      <c r="A7051" t="s">
        <v>944</v>
      </c>
      <c r="B7051" t="str">
        <f>ADDRESS(ROW('Loan 1'!$A$46),COLUMN('Loan 1'!$A$46),4)</f>
        <v>A46</v>
      </c>
      <c r="C7051" t="str">
        <f>ADDRESS(ROW('Loan 1'!$D$45),COLUMN('Loan 1'!$D$45),4)</f>
        <v>D45</v>
      </c>
      <c r="D7051" t="b" cm="1">
        <f t="array" aca="1" ref="D7051" ca="1">IF(LEN(INDIRECT("'"&amp;A7051&amp;"'!"&amp;B7051))&gt;500,TRUE,FALSE)</f>
        <v>0</v>
      </c>
      <c r="E7051" t="s">
        <v>636</v>
      </c>
      <c r="F7051" t="str">
        <f>INDEX(Lists!I:I,MATCH(Validation!E7051,Lists!G:G,0))</f>
        <v>Error</v>
      </c>
      <c r="G7051" t="str">
        <f>INDEX(Lists!H:H,MATCH(Validation!E7051,Lists!G:G,0))</f>
        <v>Comments cannot exceed 500 characters. (Limit length. Send email to further explain.)</v>
      </c>
      <c r="H7051" s="16" t="str">
        <f t="shared" ca="1" si="810"/>
        <v/>
      </c>
      <c r="I7051" s="16" t="str">
        <f t="shared" ca="1" si="811"/>
        <v/>
      </c>
      <c r="J7051" s="17" t="str">
        <f t="shared" ca="1" si="812"/>
        <v/>
      </c>
    </row>
    <row r="7052" spans="1:10" x14ac:dyDescent="0.25">
      <c r="A7052" t="s">
        <v>945</v>
      </c>
      <c r="B7052" t="str">
        <f>ADDRESS(ROW('Loan 1'!$A$46),COLUMN('Loan 1'!$A$46),4)</f>
        <v>A46</v>
      </c>
      <c r="C7052" t="str">
        <f>ADDRESS(ROW('Loan 1'!$D$45),COLUMN('Loan 1'!$D$45),4)</f>
        <v>D45</v>
      </c>
      <c r="D7052" t="b" cm="1">
        <f t="array" aca="1" ref="D7052" ca="1">IF(LEN(INDIRECT("'"&amp;A7052&amp;"'!"&amp;B7052))&gt;500,TRUE,FALSE)</f>
        <v>0</v>
      </c>
      <c r="E7052" t="s">
        <v>636</v>
      </c>
      <c r="F7052" t="str">
        <f>INDEX(Lists!I:I,MATCH(Validation!E7052,Lists!G:G,0))</f>
        <v>Error</v>
      </c>
      <c r="G7052" t="str">
        <f>INDEX(Lists!H:H,MATCH(Validation!E7052,Lists!G:G,0))</f>
        <v>Comments cannot exceed 500 characters. (Limit length. Send email to further explain.)</v>
      </c>
      <c r="H7052" s="16" t="str">
        <f t="shared" ca="1" si="810"/>
        <v/>
      </c>
      <c r="I7052" s="16" t="str">
        <f t="shared" ca="1" si="811"/>
        <v/>
      </c>
      <c r="J7052" s="17" t="str">
        <f t="shared" ca="1" si="812"/>
        <v/>
      </c>
    </row>
    <row r="7053" spans="1:10" x14ac:dyDescent="0.25">
      <c r="A7053" t="s">
        <v>277</v>
      </c>
      <c r="B7053" t="str">
        <f>ADDRESS(ROW(TIF_InterfundLoan_InterfundLentInd_Entry),COLUMN(TIF_InterfundLoan_InterfundLentInd_Entry),4)</f>
        <v>B6</v>
      </c>
      <c r="C7053" t="str">
        <f>ADDRESS(ROW('Lent Funds'!C$6),COLUMN('Lent Funds'!C$6),4)</f>
        <v>C6</v>
      </c>
      <c r="D7053" s="18" t="b">
        <f>IF(TIF_InterfundLoan_InterfundLentInd_Entry="Select One",TRUE,FALSE)</f>
        <v>1</v>
      </c>
      <c r="E7053" t="s">
        <v>73</v>
      </c>
      <c r="F7053" t="str">
        <f>INDEX(Lists!I:I,MATCH(Validation!E7053,Lists!G:G,0))</f>
        <v>Error</v>
      </c>
      <c r="G7053" t="str">
        <f>INDEX(Lists!H:H,MATCH(Validation!E7053,Lists!G:G,0))</f>
        <v>You must select Yes or No.</v>
      </c>
      <c r="H7053" s="16" t="str">
        <f t="shared" ca="1" si="810"/>
        <v>Lent Funds$B$6</v>
      </c>
      <c r="I7053" s="16" t="str">
        <f t="shared" ca="1" si="811"/>
        <v>Lent Funds$C$6</v>
      </c>
      <c r="J7053" s="17" t="str">
        <f t="shared" si="812"/>
        <v>Lent Funds</v>
      </c>
    </row>
    <row r="7054" spans="1:10" x14ac:dyDescent="0.25">
      <c r="A7054" t="s">
        <v>277</v>
      </c>
      <c r="B7054" t="str">
        <f>ADDRESS(ROW(TIF_InterfundLoan_InterfundLentInd_Entry),COLUMN(TIF_InterfundLoan_InterfundLentInd_Entry),4)</f>
        <v>B6</v>
      </c>
      <c r="C7054" t="str">
        <f>ADDRESS(ROW('Lent Funds'!C$6),COLUMN('Lent Funds'!C$6),4)</f>
        <v>C6</v>
      </c>
      <c r="D7054" s="18" t="b">
        <f>IF(AND(TIF_InterfundLoan_InterfundLentInd_Input=TRUE,TIF_InterfundLoan_InterfundLentInd_Entry="No"),TRUE,FALSE)</f>
        <v>0</v>
      </c>
      <c r="E7054" t="s">
        <v>491</v>
      </c>
      <c r="F7054" t="str">
        <f>INDEX(Lists!I:I,MATCH(Validation!E7054,Lists!G:G,0))</f>
        <v>Error</v>
      </c>
      <c r="G7054" t="str">
        <f>INDEX(Lists!H:H,MATCH(Validation!E7054,Lists!G:G,0))</f>
        <v>Yes was previously reported and must be selected. Contact TIF Division to change.</v>
      </c>
      <c r="H7054" s="16" t="str">
        <f t="shared" ca="1" si="810"/>
        <v/>
      </c>
      <c r="I7054" s="16" t="str">
        <f t="shared" ca="1" si="811"/>
        <v/>
      </c>
      <c r="J7054" s="17" t="str">
        <f t="shared" si="812"/>
        <v/>
      </c>
    </row>
    <row r="7055" spans="1:10" x14ac:dyDescent="0.25">
      <c r="A7055" t="s">
        <v>277</v>
      </c>
      <c r="B7055" t="str">
        <f>ADDRESS(ROW(TIF_InterfundLoan_InterfundLentInd_Entry),COLUMN(TIF_InterfundLoan_InterfundLentInd_Entry),4)</f>
        <v>B6</v>
      </c>
      <c r="C7055" t="str">
        <f>ADDRESS(ROW('Lent Funds'!C$6),COLUMN('Lent Funds'!C$6),4)</f>
        <v>C6</v>
      </c>
      <c r="D7055" s="18" t="b">
        <f>IF(AND(TIF_InterfundLoan_InterfundLentInd_Entry="Yes",DFLoan1!B7="Select One"),TRUE,FALSE)</f>
        <v>0</v>
      </c>
      <c r="E7055" t="s">
        <v>912</v>
      </c>
      <c r="F7055" t="str">
        <f>INDEX(Lists!I:I,MATCH(Validation!E7055,Lists!G:G,0))</f>
        <v>Error</v>
      </c>
      <c r="G7055" t="str">
        <f>INDEX(Lists!H:H,MATCH(Validation!E7055,Lists!G:G,0))</f>
        <v>If Yes, you must report at least one Loan below.</v>
      </c>
      <c r="H7055" s="16" t="str">
        <f t="shared" ca="1" si="810"/>
        <v/>
      </c>
      <c r="I7055" s="16" t="str">
        <f t="shared" ca="1" si="811"/>
        <v/>
      </c>
      <c r="J7055" s="17" t="str">
        <f t="shared" si="812"/>
        <v/>
      </c>
    </row>
    <row r="7056" spans="1:10" x14ac:dyDescent="0.25">
      <c r="A7056" t="s">
        <v>277</v>
      </c>
      <c r="B7056" t="str">
        <f>ADDRESS(ROW(TIF_InterfundLoan_InterfundLentInd_Entry),COLUMN(TIF_InterfundLoan_InterfundLentInd_Entry),4)</f>
        <v>B6</v>
      </c>
      <c r="C7056" t="str">
        <f>ADDRESS(ROW('Lent Funds'!C$6),COLUMN('Lent Funds'!C$6),4)</f>
        <v>C6</v>
      </c>
      <c r="D7056" s="18" t="b">
        <f>IF(AND(TIF_InterfundLoan_InterfundLentInd_Entry="No",DFLoan1!B7&lt;&gt;"Select One"),TRUE,FALSE)</f>
        <v>0</v>
      </c>
      <c r="E7056" t="s">
        <v>914</v>
      </c>
      <c r="F7056" t="str">
        <f>INDEX(Lists!I:I,MATCH(Validation!E7056,Lists!G:G,0))</f>
        <v>Error</v>
      </c>
      <c r="G7056" t="str">
        <f>INDEX(Lists!H:H,MATCH(Validation!E7056,Lists!G:G,0))</f>
        <v>You must answer Yes to report Loan information below.</v>
      </c>
      <c r="H7056" s="16" t="str">
        <f t="shared" ca="1" si="810"/>
        <v/>
      </c>
      <c r="I7056" s="16" t="str">
        <f t="shared" ca="1" si="811"/>
        <v/>
      </c>
      <c r="J7056" s="17" t="str">
        <f t="shared" si="812"/>
        <v/>
      </c>
    </row>
    <row r="7057" spans="1:10" x14ac:dyDescent="0.25">
      <c r="A7057" t="s">
        <v>277</v>
      </c>
      <c r="B7057" t="str">
        <f>ADDRESS(ROW(TIF_InterfundLoan_InterfundLentInd_Entry),COLUMN(TIF_InterfundLoan_InterfundLentInd_Entry),4)</f>
        <v>B6</v>
      </c>
      <c r="C7057" t="str">
        <f>ADDRESS(ROW('Lent Funds'!C$6),COLUMN('Lent Funds'!C$6),4)</f>
        <v>C6</v>
      </c>
      <c r="D7057" s="18" t="b">
        <f>IF(TIF_InterfundLoan_InterfundLentInd_Entry="No",TRUE,FALSE)</f>
        <v>0</v>
      </c>
      <c r="E7057" t="s">
        <v>577</v>
      </c>
      <c r="F7057" t="str">
        <f>INDEX(Lists!I:I,MATCH(Validation!E7057,Lists!G:G,0))</f>
        <v>Information</v>
      </c>
      <c r="G7057" t="str">
        <f>INDEX(Lists!H:H,MATCH(Validation!E7057,Lists!G:G,0))</f>
        <v>If No, skip the remainder of this tab and continue to the next tab.</v>
      </c>
      <c r="H7057" s="16" t="str">
        <f t="shared" ca="1" si="810"/>
        <v/>
      </c>
      <c r="I7057" s="16" t="str">
        <f t="shared" ca="1" si="811"/>
        <v/>
      </c>
      <c r="J7057" s="17" t="str">
        <f t="shared" si="812"/>
        <v/>
      </c>
    </row>
    <row r="7058" spans="1:10" x14ac:dyDescent="0.25">
      <c r="A7058" t="s">
        <v>277</v>
      </c>
      <c r="B7058" t="str">
        <f>ADDRESS(ROW(TIF_DistrictYear_UserCommentsLentFunds),COLUMN(TIF_DistrictYear_UserCommentsLentFunds),4)</f>
        <v>A24</v>
      </c>
      <c r="C7058" t="str">
        <f>ADDRESS(ROW('Lent Funds'!C$23),COLUMN('Lent Funds'!C$23),4)</f>
        <v>C23</v>
      </c>
      <c r="D7058" t="b" cm="1">
        <f t="array" aca="1" ref="D7058" ca="1">IF(ISBLANK(INDIRECT("'"&amp;A7058&amp;"'!"&amp;B7058)),FALSE,IF(LEN(TRIM(CLEAN(INDIRECT("'"&amp;A7058&amp;"'!"&amp;B7058))))&lt;15,TRUE,FALSE))</f>
        <v>0</v>
      </c>
      <c r="E7058" t="s">
        <v>635</v>
      </c>
      <c r="F7058" t="str">
        <f>INDEX(Lists!I:I,MATCH(Validation!E7058,Lists!G:G,0))</f>
        <v>Error</v>
      </c>
      <c r="G7058" t="str">
        <f>INDEX(Lists!H:H,MATCH(Validation!E7058,Lists!G:G,0))</f>
        <v>Insufficient information. Please provide a longer comment.</v>
      </c>
      <c r="H7058" s="25" t="str">
        <f t="shared" ref="H7058:H7059" ca="1" si="813">IFERROR(IF(OR(NOT(D7058),F7058&lt;&gt;"Error"),"",A7058&amp;CELL("address",INDIRECT(B7058))),"")</f>
        <v/>
      </c>
      <c r="I7058" s="25" t="str">
        <f t="shared" ref="I7058:I7059" ca="1" si="814">IFERROR(IF(NOT(D7058),"",A7058&amp;CELL("address",INDIRECT(C7058))),"")</f>
        <v/>
      </c>
      <c r="J7058" s="26" t="str">
        <f t="shared" ref="J7058:J7059" ca="1" si="815">IFERROR(IF(NOT(D7058),"",A7058),"")</f>
        <v/>
      </c>
    </row>
    <row r="7059" spans="1:10" x14ac:dyDescent="0.25">
      <c r="A7059" t="s">
        <v>277</v>
      </c>
      <c r="B7059" t="str">
        <f>ADDRESS(ROW(TIF_DistrictYear_UserCommentsLentFunds),COLUMN(TIF_DistrictYear_UserCommentsLentFunds),4)</f>
        <v>A24</v>
      </c>
      <c r="C7059" t="str">
        <f>ADDRESS(ROW('Lent Funds'!C$23),COLUMN('Lent Funds'!C$23),4)</f>
        <v>C23</v>
      </c>
      <c r="D7059" t="b" cm="1">
        <f t="array" aca="1" ref="D7059" ca="1">IF(LEN(INDIRECT("'"&amp;A7059&amp;"'!"&amp;B7059))&gt;500,TRUE,FALSE)</f>
        <v>0</v>
      </c>
      <c r="E7059" t="s">
        <v>636</v>
      </c>
      <c r="F7059" t="str">
        <f>INDEX(Lists!I:I,MATCH(Validation!E7059,Lists!G:G,0))</f>
        <v>Error</v>
      </c>
      <c r="G7059" t="str">
        <f>INDEX(Lists!H:H,MATCH(Validation!E7059,Lists!G:G,0))</f>
        <v>Comments cannot exceed 500 characters. (Limit length. Send email to further explain.)</v>
      </c>
      <c r="H7059" s="25" t="str">
        <f t="shared" ca="1" si="813"/>
        <v/>
      </c>
      <c r="I7059" s="25" t="str">
        <f t="shared" ca="1" si="814"/>
        <v/>
      </c>
      <c r="J7059" s="26" t="str">
        <f t="shared" ca="1" si="815"/>
        <v/>
      </c>
    </row>
    <row r="7060" spans="1:10" x14ac:dyDescent="0.25">
      <c r="A7060" t="s">
        <v>881</v>
      </c>
      <c r="B7060" t="str">
        <f>ADDRESS(ROW(DFLoan1!B$6),COLUMN(DFLoan1!B$6),4)</f>
        <v>B6</v>
      </c>
      <c r="C7060" t="str">
        <f>ADDRESS(ROW(DFLoan1!C$6),COLUMN(DFLoan1!C$6),4)</f>
        <v>C6</v>
      </c>
      <c r="D7060" s="41" t="b">
        <f>IF(DFLoan1!B$7&lt;&gt;Lists!$AH$6,IF((COUNTIF(DFLoan1!B$10:B$14,"")+COUNTIF(DFLoan1!B$16,"")+COUNTIF(DFLoan1!B$19,"")+COUNTIF(DFLoan1!B$21,"")+COUNTIF(DFLoan1!B$25,"")+COUNTBLANK(DFLoan1!B$17)+COUNTBLANK(DFLoan1!B$20)+COUNTBLANK(DFLoan1!B$22)+COUNTBLANK(DFLoan1!B$24)+COUNTBLANK(DFLoan1!B$26:B$27))&gt;0,TRUE,FALSE))</f>
        <v>0</v>
      </c>
      <c r="E7060" t="s">
        <v>632</v>
      </c>
      <c r="F7060" t="str">
        <f>INDEX(Lists!I:I,MATCH(Validation!E7060,Lists!G:G,0))</f>
        <v>Error</v>
      </c>
      <c r="G7060" t="str">
        <f>INDEX(Lists!H:H,MATCH(Validation!E7060,Lists!G:G,0))</f>
        <v xml:space="preserve">Complete entry of all rows on this tab. (Enter zero when appropriate.) </v>
      </c>
      <c r="H7060" s="16" t="str">
        <f t="shared" ca="1" si="810"/>
        <v/>
      </c>
      <c r="I7060" s="16" t="str">
        <f t="shared" ca="1" si="811"/>
        <v/>
      </c>
      <c r="J7060" s="17" t="str">
        <f t="shared" si="812"/>
        <v/>
      </c>
    </row>
    <row r="7061" spans="1:10" x14ac:dyDescent="0.25">
      <c r="A7061" t="s">
        <v>953</v>
      </c>
      <c r="B7061" t="str">
        <f>ADDRESS(ROW(DFLoan1!B$6),COLUMN(DFLoan1!B$6),4)</f>
        <v>B6</v>
      </c>
      <c r="C7061" t="str">
        <f>ADDRESS(ROW(DFLoan1!C$6),COLUMN(DFLoan1!C$6),4)</f>
        <v>C6</v>
      </c>
      <c r="D7061" s="41" t="b">
        <f>IF(DFLoan2!B$7&lt;&gt;Lists!$AH$6,IF((COUNTIF(DFLoan2!B$10:B$14,"")+COUNTIF(DFLoan2!B$16,"")+COUNTIF(DFLoan2!B$19,"")+COUNTIF(DFLoan2!B$21,"")+COUNTIF(DFLoan2!B$25,"")+COUNTBLANK(DFLoan2!B$17)+COUNTBLANK(DFLoan2!B$20)+COUNTBLANK(DFLoan2!B$22)+COUNTBLANK(DFLoan2!B$24)+COUNTBLANK(DFLoan2!B$26:B$27))&gt;0,TRUE,FALSE))</f>
        <v>0</v>
      </c>
      <c r="E7061" t="s">
        <v>632</v>
      </c>
      <c r="F7061" t="str">
        <f>INDEX(Lists!I:I,MATCH(Validation!E7061,Lists!G:G,0))</f>
        <v>Error</v>
      </c>
      <c r="G7061" t="str">
        <f>INDEX(Lists!H:H,MATCH(Validation!E7061,Lists!G:G,0))</f>
        <v xml:space="preserve">Complete entry of all rows on this tab. (Enter zero when appropriate.) </v>
      </c>
      <c r="H7061" s="16" t="str">
        <f t="shared" ca="1" si="810"/>
        <v/>
      </c>
      <c r="I7061" s="16" t="str">
        <f t="shared" ca="1" si="811"/>
        <v/>
      </c>
      <c r="J7061" s="17" t="str">
        <f t="shared" si="812"/>
        <v/>
      </c>
    </row>
    <row r="7062" spans="1:10" x14ac:dyDescent="0.25">
      <c r="A7062" t="s">
        <v>954</v>
      </c>
      <c r="B7062" t="str">
        <f>ADDRESS(ROW(DFLoan1!B$6),COLUMN(DFLoan1!B$6),4)</f>
        <v>B6</v>
      </c>
      <c r="C7062" t="str">
        <f>ADDRESS(ROW(DFLoan1!C$6),COLUMN(DFLoan1!C$6),4)</f>
        <v>C6</v>
      </c>
      <c r="D7062" s="41" t="b">
        <f>IF(DFLoan3!B$7&lt;&gt;Lists!$AH$6,IF((COUNTIF(DFLoan3!B$10:B$14,"")+COUNTIF(DFLoan3!B$16,"")+COUNTIF(DFLoan3!B$19,"")+COUNTIF(DFLoan3!B$21,"")+COUNTIF(DFLoan3!B$25,"")+COUNTBLANK(DFLoan3!B$17)+COUNTBLANK(DFLoan3!B$20)+COUNTBLANK(DFLoan3!B$22)+COUNTBLANK(DFLoan3!B$24)+COUNTBLANK(DFLoan3!B$26:B$27))&gt;0,TRUE,FALSE))</f>
        <v>0</v>
      </c>
      <c r="E7062" t="s">
        <v>632</v>
      </c>
      <c r="F7062" t="str">
        <f>INDEX(Lists!I:I,MATCH(Validation!E7062,Lists!G:G,0))</f>
        <v>Error</v>
      </c>
      <c r="G7062" t="str">
        <f>INDEX(Lists!H:H,MATCH(Validation!E7062,Lists!G:G,0))</f>
        <v xml:space="preserve">Complete entry of all rows on this tab. (Enter zero when appropriate.) </v>
      </c>
      <c r="H7062" s="16" t="str">
        <f t="shared" ca="1" si="810"/>
        <v/>
      </c>
      <c r="I7062" s="16" t="str">
        <f t="shared" ca="1" si="811"/>
        <v/>
      </c>
      <c r="J7062" s="17" t="str">
        <f t="shared" si="812"/>
        <v/>
      </c>
    </row>
    <row r="7063" spans="1:10" x14ac:dyDescent="0.25">
      <c r="A7063" t="s">
        <v>955</v>
      </c>
      <c r="B7063" t="str">
        <f>ADDRESS(ROW(DFLoan1!B$6),COLUMN(DFLoan1!B$6),4)</f>
        <v>B6</v>
      </c>
      <c r="C7063" t="str">
        <f>ADDRESS(ROW(DFLoan1!C$6),COLUMN(DFLoan1!C$6),4)</f>
        <v>C6</v>
      </c>
      <c r="D7063" s="41" t="b">
        <f>IF(DFLoan4!B$7&lt;&gt;Lists!$AH$6,IF((COUNTIF(DFLoan4!B$10:B$14,"")+COUNTIF(DFLoan4!B$16,"")+COUNTIF(DFLoan4!B$19,"")+COUNTIF(DFLoan4!B$21,"")+COUNTIF(DFLoan4!B$25,"")+COUNTBLANK(DFLoan4!B$17)+COUNTBLANK(DFLoan4!B$20)+COUNTBLANK(DFLoan4!B$22)+COUNTBLANK(DFLoan4!B$24)+COUNTBLANK(DFLoan4!B$26:B$27))&gt;0,TRUE,FALSE))</f>
        <v>0</v>
      </c>
      <c r="E7063" t="s">
        <v>632</v>
      </c>
      <c r="F7063" t="str">
        <f>INDEX(Lists!I:I,MATCH(Validation!E7063,Lists!G:G,0))</f>
        <v>Error</v>
      </c>
      <c r="G7063" t="str">
        <f>INDEX(Lists!H:H,MATCH(Validation!E7063,Lists!G:G,0))</f>
        <v xml:space="preserve">Complete entry of all rows on this tab. (Enter zero when appropriate.) </v>
      </c>
      <c r="H7063" s="16" t="str">
        <f t="shared" ca="1" si="810"/>
        <v/>
      </c>
      <c r="I7063" s="16" t="str">
        <f t="shared" ca="1" si="811"/>
        <v/>
      </c>
      <c r="J7063" s="17" t="str">
        <f t="shared" si="812"/>
        <v/>
      </c>
    </row>
    <row r="7064" spans="1:10" x14ac:dyDescent="0.25">
      <c r="A7064" t="s">
        <v>956</v>
      </c>
      <c r="B7064" t="str">
        <f>ADDRESS(ROW(DFLoan1!B$6),COLUMN(DFLoan1!B$6),4)</f>
        <v>B6</v>
      </c>
      <c r="C7064" t="str">
        <f>ADDRESS(ROW(DFLoan1!C$6),COLUMN(DFLoan1!C$6),4)</f>
        <v>C6</v>
      </c>
      <c r="D7064" s="41" t="b">
        <f>IF(DFLoan5!B$7&lt;&gt;Lists!$AH$6,IF((COUNTIF(DFLoan5!B$10:B$14,"")+COUNTIF(DFLoan5!B$16,"")+COUNTIF(DFLoan5!B$19,"")+COUNTIF(DFLoan5!B$21,"")+COUNTIF(DFLoan5!B$25,"")+COUNTBLANK(DFLoan5!B$17)+COUNTBLANK(DFLoan5!B$20)+COUNTBLANK(DFLoan5!B$22)+COUNTBLANK(DFLoan5!B$24)+COUNTBLANK(DFLoan5!B$26:B$27))&gt;0,TRUE,FALSE))</f>
        <v>0</v>
      </c>
      <c r="E7064" t="s">
        <v>632</v>
      </c>
      <c r="F7064" t="str">
        <f>INDEX(Lists!I:I,MATCH(Validation!E7064,Lists!G:G,0))</f>
        <v>Error</v>
      </c>
      <c r="G7064" t="str">
        <f>INDEX(Lists!H:H,MATCH(Validation!E7064,Lists!G:G,0))</f>
        <v xml:space="preserve">Complete entry of all rows on this tab. (Enter zero when appropriate.) </v>
      </c>
      <c r="H7064" s="16" t="str">
        <f t="shared" ref="H7064:H7103" ca="1" si="816">IFERROR(IF(OR(NOT(D7064),F7064&lt;&gt;"Error"),"",A7064&amp;CELL("address",INDIRECT(B7064))),"")</f>
        <v/>
      </c>
      <c r="I7064" s="16" t="str">
        <f t="shared" ref="I7064:I7103" ca="1" si="817">IFERROR(IF(NOT(D7064),"",A7064&amp;CELL("address",INDIRECT(C7064))),"")</f>
        <v/>
      </c>
      <c r="J7064" s="17" t="str">
        <f t="shared" ref="J7064:J7103" si="818">IFERROR(IF(NOT(D7064),"",A7064),"")</f>
        <v/>
      </c>
    </row>
    <row r="7065" spans="1:10" x14ac:dyDescent="0.25">
      <c r="A7065" t="s">
        <v>957</v>
      </c>
      <c r="B7065" t="str">
        <f>ADDRESS(ROW(DFLoan1!B$6),COLUMN(DFLoan1!B$6),4)</f>
        <v>B6</v>
      </c>
      <c r="C7065" t="str">
        <f>ADDRESS(ROW(DFLoan1!C$6),COLUMN(DFLoan1!C$6),4)</f>
        <v>C6</v>
      </c>
      <c r="D7065" s="41" t="b">
        <f>IF(DFLoan6!B$7&lt;&gt;Lists!$AH$6,IF((COUNTIF(DFLoan6!B$10:B$14,"")+COUNTIF(DFLoan6!B$16,"")+COUNTIF(DFLoan6!B$19,"")+COUNTIF(DFLoan6!B$21,"")+COUNTIF(DFLoan6!B$25,"")+COUNTBLANK(DFLoan6!B$17)+COUNTBLANK(DFLoan6!B$20)+COUNTBLANK(DFLoan6!B$22)+COUNTBLANK(DFLoan6!B$24)+COUNTBLANK(DFLoan6!B$26:B$27))&gt;0,TRUE,FALSE))</f>
        <v>0</v>
      </c>
      <c r="E7065" t="s">
        <v>632</v>
      </c>
      <c r="F7065" t="str">
        <f>INDEX(Lists!I:I,MATCH(Validation!E7065,Lists!G:G,0))</f>
        <v>Error</v>
      </c>
      <c r="G7065" t="str">
        <f>INDEX(Lists!H:H,MATCH(Validation!E7065,Lists!G:G,0))</f>
        <v xml:space="preserve">Complete entry of all rows on this tab. (Enter zero when appropriate.) </v>
      </c>
      <c r="H7065" s="16" t="str">
        <f t="shared" ca="1" si="816"/>
        <v/>
      </c>
      <c r="I7065" s="16" t="str">
        <f t="shared" ca="1" si="817"/>
        <v/>
      </c>
      <c r="J7065" s="17" t="str">
        <f t="shared" si="818"/>
        <v/>
      </c>
    </row>
    <row r="7066" spans="1:10" x14ac:dyDescent="0.25">
      <c r="A7066" t="s">
        <v>958</v>
      </c>
      <c r="B7066" t="str">
        <f>ADDRESS(ROW(DFLoan1!B$6),COLUMN(DFLoan1!B$6),4)</f>
        <v>B6</v>
      </c>
      <c r="C7066" t="str">
        <f>ADDRESS(ROW(DFLoan1!C$6),COLUMN(DFLoan1!C$6),4)</f>
        <v>C6</v>
      </c>
      <c r="D7066" s="41" t="b">
        <f>IF(DFLoan7!B$7&lt;&gt;Lists!$AH$6,IF((COUNTIF(DFLoan7!B$10:B$14,"")+COUNTIF(DFLoan7!B$16,"")+COUNTIF(DFLoan7!B$19,"")+COUNTIF(DFLoan7!B$21,"")+COUNTIF(DFLoan7!B$25,"")+COUNTBLANK(DFLoan7!B$17)+COUNTBLANK(DFLoan7!B$20)+COUNTBLANK(DFLoan7!B$22)+COUNTBLANK(DFLoan7!B$24)+COUNTBLANK(DFLoan7!B$26:B$27))&gt;0,TRUE,FALSE))</f>
        <v>0</v>
      </c>
      <c r="E7066" t="s">
        <v>632</v>
      </c>
      <c r="F7066" t="str">
        <f>INDEX(Lists!I:I,MATCH(Validation!E7066,Lists!G:G,0))</f>
        <v>Error</v>
      </c>
      <c r="G7066" t="str">
        <f>INDEX(Lists!H:H,MATCH(Validation!E7066,Lists!G:G,0))</f>
        <v xml:space="preserve">Complete entry of all rows on this tab. (Enter zero when appropriate.) </v>
      </c>
      <c r="H7066" s="16" t="str">
        <f t="shared" ca="1" si="816"/>
        <v/>
      </c>
      <c r="I7066" s="16" t="str">
        <f t="shared" ca="1" si="817"/>
        <v/>
      </c>
      <c r="J7066" s="17" t="str">
        <f t="shared" si="818"/>
        <v/>
      </c>
    </row>
    <row r="7067" spans="1:10" x14ac:dyDescent="0.25">
      <c r="A7067" t="s">
        <v>959</v>
      </c>
      <c r="B7067" t="str">
        <f>ADDRESS(ROW(DFLoan1!B$6),COLUMN(DFLoan1!B$6),4)</f>
        <v>B6</v>
      </c>
      <c r="C7067" t="str">
        <f>ADDRESS(ROW(DFLoan1!C$6),COLUMN(DFLoan1!C$6),4)</f>
        <v>C6</v>
      </c>
      <c r="D7067" s="41" t="b">
        <f>IF(DFLoan8!B$7&lt;&gt;Lists!$AH$6,IF((COUNTIF(DFLoan8!B$10:B$14,"")+COUNTIF(DFLoan8!B$16,"")+COUNTIF(DFLoan8!B$19,"")+COUNTIF(DFLoan8!B$21,"")+COUNTIF(DFLoan8!B$25,"")+COUNTBLANK(DFLoan8!B$17)+COUNTBLANK(DFLoan8!B$20)+COUNTBLANK(DFLoan8!B$22)+COUNTBLANK(DFLoan8!B$24)+COUNTBLANK(DFLoan8!B$26:B$27))&gt;0,TRUE,FALSE))</f>
        <v>0</v>
      </c>
      <c r="E7067" t="s">
        <v>632</v>
      </c>
      <c r="F7067" t="str">
        <f>INDEX(Lists!I:I,MATCH(Validation!E7067,Lists!G:G,0))</f>
        <v>Error</v>
      </c>
      <c r="G7067" t="str">
        <f>INDEX(Lists!H:H,MATCH(Validation!E7067,Lists!G:G,0))</f>
        <v xml:space="preserve">Complete entry of all rows on this tab. (Enter zero when appropriate.) </v>
      </c>
      <c r="H7067" s="16" t="str">
        <f t="shared" ca="1" si="816"/>
        <v/>
      </c>
      <c r="I7067" s="16" t="str">
        <f t="shared" ca="1" si="817"/>
        <v/>
      </c>
      <c r="J7067" s="17" t="str">
        <f t="shared" si="818"/>
        <v/>
      </c>
    </row>
    <row r="7068" spans="1:10" x14ac:dyDescent="0.25">
      <c r="A7068" t="s">
        <v>960</v>
      </c>
      <c r="B7068" t="str">
        <f>ADDRESS(ROW(DFLoan1!B$6),COLUMN(DFLoan1!B$6),4)</f>
        <v>B6</v>
      </c>
      <c r="C7068" t="str">
        <f>ADDRESS(ROW(DFLoan1!C$6),COLUMN(DFLoan1!C$6),4)</f>
        <v>C6</v>
      </c>
      <c r="D7068" s="41" t="b">
        <f>IF(DFLoan9!B$7&lt;&gt;Lists!$AH$6,IF((COUNTIF(DFLoan9!B$10:B$14,"")+COUNTIF(DFLoan9!B$16,"")+COUNTIF(DFLoan9!B$19,"")+COUNTIF(DFLoan9!B$21,"")+COUNTIF(DFLoan9!B$25,"")+COUNTBLANK(DFLoan9!B$17)+COUNTBLANK(DFLoan9!B$20)+COUNTBLANK(DFLoan9!B$22)+COUNTBLANK(DFLoan9!B$24)+COUNTBLANK(DFLoan9!B$26:B$27))&gt;0,TRUE,FALSE))</f>
        <v>0</v>
      </c>
      <c r="E7068" t="s">
        <v>632</v>
      </c>
      <c r="F7068" t="str">
        <f>INDEX(Lists!I:I,MATCH(Validation!E7068,Lists!G:G,0))</f>
        <v>Error</v>
      </c>
      <c r="G7068" t="str">
        <f>INDEX(Lists!H:H,MATCH(Validation!E7068,Lists!G:G,0))</f>
        <v xml:space="preserve">Complete entry of all rows on this tab. (Enter zero when appropriate.) </v>
      </c>
      <c r="H7068" s="16" t="str">
        <f t="shared" ca="1" si="816"/>
        <v/>
      </c>
      <c r="I7068" s="16" t="str">
        <f t="shared" ca="1" si="817"/>
        <v/>
      </c>
      <c r="J7068" s="17" t="str">
        <f t="shared" si="818"/>
        <v/>
      </c>
    </row>
    <row r="7069" spans="1:10" x14ac:dyDescent="0.25">
      <c r="A7069" t="s">
        <v>961</v>
      </c>
      <c r="B7069" t="str">
        <f>ADDRESS(ROW(DFLoan1!B$6),COLUMN(DFLoan1!B$6),4)</f>
        <v>B6</v>
      </c>
      <c r="C7069" t="str">
        <f>ADDRESS(ROW(DFLoan1!C$6),COLUMN(DFLoan1!C$6),4)</f>
        <v>C6</v>
      </c>
      <c r="D7069" s="41" t="b">
        <f>IF(DFLoan10!B$7&lt;&gt;Lists!$AH$6,IF((COUNTIF(DFLoan10!B$10:B$14,"")+COUNTIF(DFLoan10!B$16,"")+COUNTIF(DFLoan10!B$19,"")+COUNTIF(DFLoan10!B$21,"")+COUNTIF(DFLoan10!B$25,"")+COUNTBLANK(DFLoan10!B$17)+COUNTBLANK(DFLoan10!B$20)+COUNTBLANK(DFLoan10!B$22)+COUNTBLANK(DFLoan10!B$24)+COUNTBLANK(DFLoan10!B$26:B$27))&gt;0,TRUE,FALSE))</f>
        <v>0</v>
      </c>
      <c r="E7069" t="s">
        <v>632</v>
      </c>
      <c r="F7069" t="str">
        <f>INDEX(Lists!I:I,MATCH(Validation!E7069,Lists!G:G,0))</f>
        <v>Error</v>
      </c>
      <c r="G7069" t="str">
        <f>INDEX(Lists!H:H,MATCH(Validation!E7069,Lists!G:G,0))</f>
        <v xml:space="preserve">Complete entry of all rows on this tab. (Enter zero when appropriate.) </v>
      </c>
      <c r="H7069" s="16" t="str">
        <f t="shared" ca="1" si="816"/>
        <v/>
      </c>
      <c r="I7069" s="16" t="str">
        <f t="shared" ca="1" si="817"/>
        <v/>
      </c>
      <c r="J7069" s="17" t="str">
        <f t="shared" si="818"/>
        <v/>
      </c>
    </row>
    <row r="7070" spans="1:10" x14ac:dyDescent="0.25">
      <c r="A7070" t="s">
        <v>962</v>
      </c>
      <c r="B7070" t="str">
        <f>ADDRESS(ROW(DFLoan1!B$6),COLUMN(DFLoan1!B$6),4)</f>
        <v>B6</v>
      </c>
      <c r="C7070" t="str">
        <f>ADDRESS(ROW(DFLoan1!C$6),COLUMN(DFLoan1!C$6),4)</f>
        <v>C6</v>
      </c>
      <c r="D7070" s="41" t="b">
        <f>IF(DFLoan11!B$7&lt;&gt;Lists!$AH$6,IF((COUNTIF(DFLoan11!B$10:B$14,"")+COUNTIF(DFLoan11!B$16,"")+COUNTIF(DFLoan11!B$19,"")+COUNTIF(DFLoan11!B$21,"")+COUNTIF(DFLoan11!B$25,"")+COUNTBLANK(DFLoan11!B$17)+COUNTBLANK(DFLoan11!B$20)+COUNTBLANK(DFLoan11!B$22)+COUNTBLANK(DFLoan11!B$24)+COUNTBLANK(DFLoan11!B$26:B$27))&gt;0,TRUE,FALSE))</f>
        <v>0</v>
      </c>
      <c r="E7070" t="s">
        <v>632</v>
      </c>
      <c r="F7070" t="str">
        <f>INDEX(Lists!I:I,MATCH(Validation!E7070,Lists!G:G,0))</f>
        <v>Error</v>
      </c>
      <c r="G7070" t="str">
        <f>INDEX(Lists!H:H,MATCH(Validation!E7070,Lists!G:G,0))</f>
        <v xml:space="preserve">Complete entry of all rows on this tab. (Enter zero when appropriate.) </v>
      </c>
      <c r="H7070" s="16" t="str">
        <f t="shared" ca="1" si="816"/>
        <v/>
      </c>
      <c r="I7070" s="16" t="str">
        <f t="shared" ca="1" si="817"/>
        <v/>
      </c>
      <c r="J7070" s="17" t="str">
        <f t="shared" si="818"/>
        <v/>
      </c>
    </row>
    <row r="7071" spans="1:10" x14ac:dyDescent="0.25">
      <c r="A7071" t="s">
        <v>963</v>
      </c>
      <c r="B7071" t="str">
        <f>ADDRESS(ROW(DFLoan1!B$6),COLUMN(DFLoan1!B$6),4)</f>
        <v>B6</v>
      </c>
      <c r="C7071" t="str">
        <f>ADDRESS(ROW(DFLoan1!C$6),COLUMN(DFLoan1!C$6),4)</f>
        <v>C6</v>
      </c>
      <c r="D7071" s="41" t="b">
        <f>IF(DFLoan12!B$7&lt;&gt;Lists!$AH$6,IF((COUNTIF(DFLoan12!B$10:B$14,"")+COUNTIF(DFLoan12!B$16,"")+COUNTIF(DFLoan12!B$19,"")+COUNTIF(DFLoan12!B$21,"")+COUNTIF(DFLoan12!B$25,"")+COUNTBLANK(DFLoan12!B$17)+COUNTBLANK(DFLoan12!B$20)+COUNTBLANK(DFLoan12!B$22)+COUNTBLANK(DFLoan12!B$24)+COUNTBLANK(DFLoan12!B$26:B$27))&gt;0,TRUE,FALSE))</f>
        <v>0</v>
      </c>
      <c r="E7071" t="s">
        <v>632</v>
      </c>
      <c r="F7071" t="str">
        <f>INDEX(Lists!I:I,MATCH(Validation!E7071,Lists!G:G,0))</f>
        <v>Error</v>
      </c>
      <c r="G7071" t="str">
        <f>INDEX(Lists!H:H,MATCH(Validation!E7071,Lists!G:G,0))</f>
        <v xml:space="preserve">Complete entry of all rows on this tab. (Enter zero when appropriate.) </v>
      </c>
      <c r="H7071" s="16" t="str">
        <f t="shared" ca="1" si="816"/>
        <v/>
      </c>
      <c r="I7071" s="16" t="str">
        <f t="shared" ca="1" si="817"/>
        <v/>
      </c>
      <c r="J7071" s="17" t="str">
        <f t="shared" si="818"/>
        <v/>
      </c>
    </row>
    <row r="7072" spans="1:10" x14ac:dyDescent="0.25">
      <c r="A7072" t="s">
        <v>964</v>
      </c>
      <c r="B7072" t="str">
        <f>ADDRESS(ROW(DFLoan1!B$6),COLUMN(DFLoan1!B$6),4)</f>
        <v>B6</v>
      </c>
      <c r="C7072" t="str">
        <f>ADDRESS(ROW(DFLoan1!C$6),COLUMN(DFLoan1!C$6),4)</f>
        <v>C6</v>
      </c>
      <c r="D7072" s="41" t="b">
        <f>IF(DFLoan13!B$7&lt;&gt;Lists!$AH$6,IF((COUNTIF(DFLoan13!B$10:B$14,"")+COUNTIF(DFLoan13!B$16,"")+COUNTIF(DFLoan13!B$19,"")+COUNTIF(DFLoan13!B$21,"")+COUNTIF(DFLoan13!B$25,"")+COUNTBLANK(DFLoan13!B$17)+COUNTBLANK(DFLoan13!B$20)+COUNTBLANK(DFLoan13!B$22)+COUNTBLANK(DFLoan13!B$24)+COUNTBLANK(DFLoan13!B$26:B$27))&gt;0,TRUE,FALSE))</f>
        <v>0</v>
      </c>
      <c r="E7072" t="s">
        <v>632</v>
      </c>
      <c r="F7072" t="str">
        <f>INDEX(Lists!I:I,MATCH(Validation!E7072,Lists!G:G,0))</f>
        <v>Error</v>
      </c>
      <c r="G7072" t="str">
        <f>INDEX(Lists!H:H,MATCH(Validation!E7072,Lists!G:G,0))</f>
        <v xml:space="preserve">Complete entry of all rows on this tab. (Enter zero when appropriate.) </v>
      </c>
      <c r="H7072" s="16" t="str">
        <f t="shared" ca="1" si="816"/>
        <v/>
      </c>
      <c r="I7072" s="16" t="str">
        <f t="shared" ca="1" si="817"/>
        <v/>
      </c>
      <c r="J7072" s="17" t="str">
        <f t="shared" si="818"/>
        <v/>
      </c>
    </row>
    <row r="7073" spans="1:10" x14ac:dyDescent="0.25">
      <c r="A7073" t="s">
        <v>965</v>
      </c>
      <c r="B7073" t="str">
        <f>ADDRESS(ROW(DFLoan1!B$6),COLUMN(DFLoan1!B$6),4)</f>
        <v>B6</v>
      </c>
      <c r="C7073" t="str">
        <f>ADDRESS(ROW(DFLoan1!C$6),COLUMN(DFLoan1!C$6),4)</f>
        <v>C6</v>
      </c>
      <c r="D7073" s="41" t="b">
        <f>IF(DFLoan14!B$7&lt;&gt;Lists!$AH$6,IF((COUNTIF(DFLoan14!B$10:B$14,"")+COUNTIF(DFLoan14!B$16,"")+COUNTIF(DFLoan14!B$19,"")+COUNTIF(DFLoan14!B$21,"")+COUNTIF(DFLoan14!B$25,"")+COUNTBLANK(DFLoan14!B$17)+COUNTBLANK(DFLoan14!B$20)+COUNTBLANK(DFLoan14!B$22)+COUNTBLANK(DFLoan14!B$24)+COUNTBLANK(DFLoan14!B$26:B$27))&gt;0,TRUE,FALSE))</f>
        <v>0</v>
      </c>
      <c r="E7073" t="s">
        <v>632</v>
      </c>
      <c r="F7073" t="str">
        <f>INDEX(Lists!I:I,MATCH(Validation!E7073,Lists!G:G,0))</f>
        <v>Error</v>
      </c>
      <c r="G7073" t="str">
        <f>INDEX(Lists!H:H,MATCH(Validation!E7073,Lists!G:G,0))</f>
        <v xml:space="preserve">Complete entry of all rows on this tab. (Enter zero when appropriate.) </v>
      </c>
      <c r="H7073" s="16" t="str">
        <f t="shared" ca="1" si="816"/>
        <v/>
      </c>
      <c r="I7073" s="16" t="str">
        <f t="shared" ca="1" si="817"/>
        <v/>
      </c>
      <c r="J7073" s="17" t="str">
        <f t="shared" si="818"/>
        <v/>
      </c>
    </row>
    <row r="7074" spans="1:10" x14ac:dyDescent="0.25">
      <c r="A7074" t="s">
        <v>966</v>
      </c>
      <c r="B7074" t="str">
        <f>ADDRESS(ROW(DFLoan1!B$6),COLUMN(DFLoan1!B$6),4)</f>
        <v>B6</v>
      </c>
      <c r="C7074" t="str">
        <f>ADDRESS(ROW(DFLoan1!C$6),COLUMN(DFLoan1!C$6),4)</f>
        <v>C6</v>
      </c>
      <c r="D7074" s="41" t="b">
        <f>IF(DFLoan15!B$7&lt;&gt;Lists!$AH$6,IF((COUNTIF(DFLoan15!B$10:B$14,"")+COUNTIF(DFLoan15!B$16,"")+COUNTIF(DFLoan15!B$19,"")+COUNTIF(DFLoan15!B$21,"")+COUNTIF(DFLoan15!B$25,"")+COUNTBLANK(DFLoan15!B$17)+COUNTBLANK(DFLoan15!B$20)+COUNTBLANK(DFLoan15!B$22)+COUNTBLANK(DFLoan15!B$24)+COUNTBLANK(DFLoan15!B$26:B$27))&gt;0,TRUE,FALSE))</f>
        <v>0</v>
      </c>
      <c r="E7074" t="s">
        <v>632</v>
      </c>
      <c r="F7074" t="str">
        <f>INDEX(Lists!I:I,MATCH(Validation!E7074,Lists!G:G,0))</f>
        <v>Error</v>
      </c>
      <c r="G7074" t="str">
        <f>INDEX(Lists!H:H,MATCH(Validation!E7074,Lists!G:G,0))</f>
        <v xml:space="preserve">Complete entry of all rows on this tab. (Enter zero when appropriate.) </v>
      </c>
      <c r="H7074" s="16" t="str">
        <f t="shared" ca="1" si="816"/>
        <v/>
      </c>
      <c r="I7074" s="16" t="str">
        <f t="shared" ca="1" si="817"/>
        <v/>
      </c>
      <c r="J7074" s="17" t="str">
        <f t="shared" si="818"/>
        <v/>
      </c>
    </row>
    <row r="7075" spans="1:10" x14ac:dyDescent="0.25">
      <c r="A7075" t="s">
        <v>881</v>
      </c>
      <c r="B7075" t="str">
        <f>ADDRESS(ROW(DFLoan1!B$8),COLUMN(DFLoan1!B$8),4)</f>
        <v>B8</v>
      </c>
      <c r="C7075" t="str">
        <f>ADDRESS(ROW(DFLoan1!C$8),COLUMN(DFLoan1!C$8),4)</f>
        <v>C8</v>
      </c>
      <c r="D7075" t="b" cm="1">
        <f t="array" aca="1" ref="D7075" ca="1">IF(AND(INDIRECT("'"&amp;A7075&amp;"'!"&amp;B7075)&lt;&gt;Lists!$AJ$1,INDIRECT("'"&amp;A7075&amp;"'!B$7")=Lists!$AH$6),TRUE,FALSE)</f>
        <v>0</v>
      </c>
      <c r="E7075" t="s">
        <v>918</v>
      </c>
      <c r="F7075" t="str">
        <f>INDEX(Lists!I:I,MATCH(Validation!E7075,Lists!G:G,0))</f>
        <v>Error</v>
      </c>
      <c r="G7075" t="str">
        <f>INDEX(Lists!H:H,MATCH(Validation!E7075,Lists!G:G,0))</f>
        <v>You must select the Interfund Loan Type First.</v>
      </c>
      <c r="H7075" s="16" t="str">
        <f t="shared" ca="1" si="816"/>
        <v/>
      </c>
      <c r="I7075" s="16" t="str">
        <f t="shared" ca="1" si="817"/>
        <v/>
      </c>
      <c r="J7075" s="17" t="str">
        <f t="shared" ca="1" si="818"/>
        <v/>
      </c>
    </row>
    <row r="7076" spans="1:10" x14ac:dyDescent="0.25">
      <c r="A7076" t="s">
        <v>953</v>
      </c>
      <c r="B7076" t="str">
        <f>ADDRESS(ROW(DFLoan1!B$8),COLUMN(DFLoan1!B$8),4)</f>
        <v>B8</v>
      </c>
      <c r="C7076" t="str">
        <f>ADDRESS(ROW(DFLoan1!C$8),COLUMN(DFLoan1!C$8),4)</f>
        <v>C8</v>
      </c>
      <c r="D7076" t="b" cm="1">
        <f t="array" aca="1" ref="D7076" ca="1">IF(AND(INDIRECT("'"&amp;A7076&amp;"'!"&amp;B7076)&lt;&gt;Lists!$AJ$1,INDIRECT("'"&amp;A7076&amp;"'!B$7")=Lists!$AH$6),TRUE,FALSE)</f>
        <v>0</v>
      </c>
      <c r="E7076" t="s">
        <v>918</v>
      </c>
      <c r="F7076" t="str">
        <f>INDEX(Lists!I:I,MATCH(Validation!E7076,Lists!G:G,0))</f>
        <v>Error</v>
      </c>
      <c r="G7076" t="str">
        <f>INDEX(Lists!H:H,MATCH(Validation!E7076,Lists!G:G,0))</f>
        <v>You must select the Interfund Loan Type First.</v>
      </c>
      <c r="H7076" s="16" t="str">
        <f t="shared" ca="1" si="816"/>
        <v/>
      </c>
      <c r="I7076" s="16" t="str">
        <f t="shared" ca="1" si="817"/>
        <v/>
      </c>
      <c r="J7076" s="17" t="str">
        <f t="shared" ca="1" si="818"/>
        <v/>
      </c>
    </row>
    <row r="7077" spans="1:10" x14ac:dyDescent="0.25">
      <c r="A7077" t="s">
        <v>954</v>
      </c>
      <c r="B7077" t="str">
        <f>ADDRESS(ROW(DFLoan1!B$8),COLUMN(DFLoan1!B$8),4)</f>
        <v>B8</v>
      </c>
      <c r="C7077" t="str">
        <f>ADDRESS(ROW(DFLoan1!C$8),COLUMN(DFLoan1!C$8),4)</f>
        <v>C8</v>
      </c>
      <c r="D7077" t="b" cm="1">
        <f t="array" aca="1" ref="D7077" ca="1">IF(AND(INDIRECT("'"&amp;A7077&amp;"'!"&amp;B7077)&lt;&gt;Lists!$AJ$1,INDIRECT("'"&amp;A7077&amp;"'!B$7")=Lists!$AH$6),TRUE,FALSE)</f>
        <v>0</v>
      </c>
      <c r="E7077" t="s">
        <v>918</v>
      </c>
      <c r="F7077" t="str">
        <f>INDEX(Lists!I:I,MATCH(Validation!E7077,Lists!G:G,0))</f>
        <v>Error</v>
      </c>
      <c r="G7077" t="str">
        <f>INDEX(Lists!H:H,MATCH(Validation!E7077,Lists!G:G,0))</f>
        <v>You must select the Interfund Loan Type First.</v>
      </c>
      <c r="H7077" s="16" t="str">
        <f t="shared" ca="1" si="816"/>
        <v/>
      </c>
      <c r="I7077" s="16" t="str">
        <f t="shared" ca="1" si="817"/>
        <v/>
      </c>
      <c r="J7077" s="17" t="str">
        <f t="shared" ca="1" si="818"/>
        <v/>
      </c>
    </row>
    <row r="7078" spans="1:10" x14ac:dyDescent="0.25">
      <c r="A7078" t="s">
        <v>955</v>
      </c>
      <c r="B7078" t="str">
        <f>ADDRESS(ROW(DFLoan1!B$8),COLUMN(DFLoan1!B$8),4)</f>
        <v>B8</v>
      </c>
      <c r="C7078" t="str">
        <f>ADDRESS(ROW(DFLoan1!C$8),COLUMN(DFLoan1!C$8),4)</f>
        <v>C8</v>
      </c>
      <c r="D7078" t="b" cm="1">
        <f t="array" aca="1" ref="D7078" ca="1">IF(AND(INDIRECT("'"&amp;A7078&amp;"'!"&amp;B7078)&lt;&gt;Lists!$AJ$1,INDIRECT("'"&amp;A7078&amp;"'!B$7")=Lists!$AH$6),TRUE,FALSE)</f>
        <v>0</v>
      </c>
      <c r="E7078" t="s">
        <v>918</v>
      </c>
      <c r="F7078" t="str">
        <f>INDEX(Lists!I:I,MATCH(Validation!E7078,Lists!G:G,0))</f>
        <v>Error</v>
      </c>
      <c r="G7078" t="str">
        <f>INDEX(Lists!H:H,MATCH(Validation!E7078,Lists!G:G,0))</f>
        <v>You must select the Interfund Loan Type First.</v>
      </c>
      <c r="H7078" s="16" t="str">
        <f t="shared" ca="1" si="816"/>
        <v/>
      </c>
      <c r="I7078" s="16" t="str">
        <f t="shared" ca="1" si="817"/>
        <v/>
      </c>
      <c r="J7078" s="17" t="str">
        <f t="shared" ca="1" si="818"/>
        <v/>
      </c>
    </row>
    <row r="7079" spans="1:10" x14ac:dyDescent="0.25">
      <c r="A7079" t="s">
        <v>956</v>
      </c>
      <c r="B7079" t="str">
        <f>ADDRESS(ROW(DFLoan1!B$8),COLUMN(DFLoan1!B$8),4)</f>
        <v>B8</v>
      </c>
      <c r="C7079" t="str">
        <f>ADDRESS(ROW(DFLoan1!C$8),COLUMN(DFLoan1!C$8),4)</f>
        <v>C8</v>
      </c>
      <c r="D7079" t="b" cm="1">
        <f t="array" aca="1" ref="D7079" ca="1">IF(AND(INDIRECT("'"&amp;A7079&amp;"'!"&amp;B7079)&lt;&gt;Lists!$AJ$1,INDIRECT("'"&amp;A7079&amp;"'!B$7")=Lists!$AH$6),TRUE,FALSE)</f>
        <v>0</v>
      </c>
      <c r="E7079" t="s">
        <v>918</v>
      </c>
      <c r="F7079" t="str">
        <f>INDEX(Lists!I:I,MATCH(Validation!E7079,Lists!G:G,0))</f>
        <v>Error</v>
      </c>
      <c r="G7079" t="str">
        <f>INDEX(Lists!H:H,MATCH(Validation!E7079,Lists!G:G,0))</f>
        <v>You must select the Interfund Loan Type First.</v>
      </c>
      <c r="H7079" s="16" t="str">
        <f t="shared" ca="1" si="816"/>
        <v/>
      </c>
      <c r="I7079" s="16" t="str">
        <f t="shared" ca="1" si="817"/>
        <v/>
      </c>
      <c r="J7079" s="17" t="str">
        <f t="shared" ca="1" si="818"/>
        <v/>
      </c>
    </row>
    <row r="7080" spans="1:10" x14ac:dyDescent="0.25">
      <c r="A7080" t="s">
        <v>957</v>
      </c>
      <c r="B7080" t="str">
        <f>ADDRESS(ROW(DFLoan1!B$8),COLUMN(DFLoan1!B$8),4)</f>
        <v>B8</v>
      </c>
      <c r="C7080" t="str">
        <f>ADDRESS(ROW(DFLoan1!C$8),COLUMN(DFLoan1!C$8),4)</f>
        <v>C8</v>
      </c>
      <c r="D7080" t="b" cm="1">
        <f t="array" aca="1" ref="D7080" ca="1">IF(AND(INDIRECT("'"&amp;A7080&amp;"'!"&amp;B7080)&lt;&gt;Lists!$AJ$1,INDIRECT("'"&amp;A7080&amp;"'!B$7")=Lists!$AH$6),TRUE,FALSE)</f>
        <v>0</v>
      </c>
      <c r="E7080" t="s">
        <v>918</v>
      </c>
      <c r="F7080" t="str">
        <f>INDEX(Lists!I:I,MATCH(Validation!E7080,Lists!G:G,0))</f>
        <v>Error</v>
      </c>
      <c r="G7080" t="str">
        <f>INDEX(Lists!H:H,MATCH(Validation!E7080,Lists!G:G,0))</f>
        <v>You must select the Interfund Loan Type First.</v>
      </c>
      <c r="H7080" s="16" t="str">
        <f t="shared" ca="1" si="816"/>
        <v/>
      </c>
      <c r="I7080" s="16" t="str">
        <f t="shared" ca="1" si="817"/>
        <v/>
      </c>
      <c r="J7080" s="17" t="str">
        <f t="shared" ca="1" si="818"/>
        <v/>
      </c>
    </row>
    <row r="7081" spans="1:10" x14ac:dyDescent="0.25">
      <c r="A7081" t="s">
        <v>958</v>
      </c>
      <c r="B7081" t="str">
        <f>ADDRESS(ROW(DFLoan1!B$8),COLUMN(DFLoan1!B$8),4)</f>
        <v>B8</v>
      </c>
      <c r="C7081" t="str">
        <f>ADDRESS(ROW(DFLoan1!C$8),COLUMN(DFLoan1!C$8),4)</f>
        <v>C8</v>
      </c>
      <c r="D7081" t="b" cm="1">
        <f t="array" aca="1" ref="D7081" ca="1">IF(AND(INDIRECT("'"&amp;A7081&amp;"'!"&amp;B7081)&lt;&gt;Lists!$AJ$1,INDIRECT("'"&amp;A7081&amp;"'!B$7")=Lists!$AH$6),TRUE,FALSE)</f>
        <v>0</v>
      </c>
      <c r="E7081" t="s">
        <v>918</v>
      </c>
      <c r="F7081" t="str">
        <f>INDEX(Lists!I:I,MATCH(Validation!E7081,Lists!G:G,0))</f>
        <v>Error</v>
      </c>
      <c r="G7081" t="str">
        <f>INDEX(Lists!H:H,MATCH(Validation!E7081,Lists!G:G,0))</f>
        <v>You must select the Interfund Loan Type First.</v>
      </c>
      <c r="H7081" s="16" t="str">
        <f t="shared" ca="1" si="816"/>
        <v/>
      </c>
      <c r="I7081" s="16" t="str">
        <f t="shared" ca="1" si="817"/>
        <v/>
      </c>
      <c r="J7081" s="17" t="str">
        <f t="shared" ca="1" si="818"/>
        <v/>
      </c>
    </row>
    <row r="7082" spans="1:10" x14ac:dyDescent="0.25">
      <c r="A7082" t="s">
        <v>959</v>
      </c>
      <c r="B7082" t="str">
        <f>ADDRESS(ROW(DFLoan1!B$8),COLUMN(DFLoan1!B$8),4)</f>
        <v>B8</v>
      </c>
      <c r="C7082" t="str">
        <f>ADDRESS(ROW(DFLoan1!C$8),COLUMN(DFLoan1!C$8),4)</f>
        <v>C8</v>
      </c>
      <c r="D7082" t="b" cm="1">
        <f t="array" aca="1" ref="D7082" ca="1">IF(AND(INDIRECT("'"&amp;A7082&amp;"'!"&amp;B7082)&lt;&gt;Lists!$AJ$1,INDIRECT("'"&amp;A7082&amp;"'!B$7")=Lists!$AH$6),TRUE,FALSE)</f>
        <v>0</v>
      </c>
      <c r="E7082" t="s">
        <v>918</v>
      </c>
      <c r="F7082" t="str">
        <f>INDEX(Lists!I:I,MATCH(Validation!E7082,Lists!G:G,0))</f>
        <v>Error</v>
      </c>
      <c r="G7082" t="str">
        <f>INDEX(Lists!H:H,MATCH(Validation!E7082,Lists!G:G,0))</f>
        <v>You must select the Interfund Loan Type First.</v>
      </c>
      <c r="H7082" s="16" t="str">
        <f t="shared" ca="1" si="816"/>
        <v/>
      </c>
      <c r="I7082" s="16" t="str">
        <f t="shared" ca="1" si="817"/>
        <v/>
      </c>
      <c r="J7082" s="17" t="str">
        <f t="shared" ca="1" si="818"/>
        <v/>
      </c>
    </row>
    <row r="7083" spans="1:10" x14ac:dyDescent="0.25">
      <c r="A7083" t="s">
        <v>960</v>
      </c>
      <c r="B7083" t="str">
        <f>ADDRESS(ROW(DFLoan1!B$8),COLUMN(DFLoan1!B$8),4)</f>
        <v>B8</v>
      </c>
      <c r="C7083" t="str">
        <f>ADDRESS(ROW(DFLoan1!C$8),COLUMN(DFLoan1!C$8),4)</f>
        <v>C8</v>
      </c>
      <c r="D7083" t="b" cm="1">
        <f t="array" aca="1" ref="D7083" ca="1">IF(AND(INDIRECT("'"&amp;A7083&amp;"'!"&amp;B7083)&lt;&gt;Lists!$AJ$1,INDIRECT("'"&amp;A7083&amp;"'!B$7")=Lists!$AH$6),TRUE,FALSE)</f>
        <v>0</v>
      </c>
      <c r="E7083" t="s">
        <v>918</v>
      </c>
      <c r="F7083" t="str">
        <f>INDEX(Lists!I:I,MATCH(Validation!E7083,Lists!G:G,0))</f>
        <v>Error</v>
      </c>
      <c r="G7083" t="str">
        <f>INDEX(Lists!H:H,MATCH(Validation!E7083,Lists!G:G,0))</f>
        <v>You must select the Interfund Loan Type First.</v>
      </c>
      <c r="H7083" s="16" t="str">
        <f t="shared" ca="1" si="816"/>
        <v/>
      </c>
      <c r="I7083" s="16" t="str">
        <f t="shared" ca="1" si="817"/>
        <v/>
      </c>
      <c r="J7083" s="17" t="str">
        <f t="shared" ca="1" si="818"/>
        <v/>
      </c>
    </row>
    <row r="7084" spans="1:10" x14ac:dyDescent="0.25">
      <c r="A7084" t="s">
        <v>961</v>
      </c>
      <c r="B7084" t="str">
        <f>ADDRESS(ROW(DFLoan1!B$8),COLUMN(DFLoan1!B$8),4)</f>
        <v>B8</v>
      </c>
      <c r="C7084" t="str">
        <f>ADDRESS(ROW(DFLoan1!C$8),COLUMN(DFLoan1!C$8),4)</f>
        <v>C8</v>
      </c>
      <c r="D7084" t="b" cm="1">
        <f t="array" aca="1" ref="D7084" ca="1">IF(AND(INDIRECT("'"&amp;A7084&amp;"'!"&amp;B7084)&lt;&gt;Lists!$AJ$1,INDIRECT("'"&amp;A7084&amp;"'!B$7")=Lists!$AH$6),TRUE,FALSE)</f>
        <v>0</v>
      </c>
      <c r="E7084" t="s">
        <v>918</v>
      </c>
      <c r="F7084" t="str">
        <f>INDEX(Lists!I:I,MATCH(Validation!E7084,Lists!G:G,0))</f>
        <v>Error</v>
      </c>
      <c r="G7084" t="str">
        <f>INDEX(Lists!H:H,MATCH(Validation!E7084,Lists!G:G,0))</f>
        <v>You must select the Interfund Loan Type First.</v>
      </c>
      <c r="H7084" s="16" t="str">
        <f t="shared" ca="1" si="816"/>
        <v/>
      </c>
      <c r="I7084" s="16" t="str">
        <f t="shared" ca="1" si="817"/>
        <v/>
      </c>
      <c r="J7084" s="17" t="str">
        <f t="shared" ca="1" si="818"/>
        <v/>
      </c>
    </row>
    <row r="7085" spans="1:10" x14ac:dyDescent="0.25">
      <c r="A7085" t="s">
        <v>962</v>
      </c>
      <c r="B7085" t="str">
        <f>ADDRESS(ROW(DFLoan1!B$8),COLUMN(DFLoan1!B$8),4)</f>
        <v>B8</v>
      </c>
      <c r="C7085" t="str">
        <f>ADDRESS(ROW(DFLoan1!C$8),COLUMN(DFLoan1!C$8),4)</f>
        <v>C8</v>
      </c>
      <c r="D7085" t="b" cm="1">
        <f t="array" aca="1" ref="D7085" ca="1">IF(AND(INDIRECT("'"&amp;A7085&amp;"'!"&amp;B7085)&lt;&gt;Lists!$AJ$1,INDIRECT("'"&amp;A7085&amp;"'!B$7")=Lists!$AH$6),TRUE,FALSE)</f>
        <v>0</v>
      </c>
      <c r="E7085" t="s">
        <v>918</v>
      </c>
      <c r="F7085" t="str">
        <f>INDEX(Lists!I:I,MATCH(Validation!E7085,Lists!G:G,0))</f>
        <v>Error</v>
      </c>
      <c r="G7085" t="str">
        <f>INDEX(Lists!H:H,MATCH(Validation!E7085,Lists!G:G,0))</f>
        <v>You must select the Interfund Loan Type First.</v>
      </c>
      <c r="H7085" s="16" t="str">
        <f t="shared" ca="1" si="816"/>
        <v/>
      </c>
      <c r="I7085" s="16" t="str">
        <f t="shared" ca="1" si="817"/>
        <v/>
      </c>
      <c r="J7085" s="17" t="str">
        <f t="shared" ca="1" si="818"/>
        <v/>
      </c>
    </row>
    <row r="7086" spans="1:10" x14ac:dyDescent="0.25">
      <c r="A7086" t="s">
        <v>963</v>
      </c>
      <c r="B7086" t="str">
        <f>ADDRESS(ROW(DFLoan1!B$8),COLUMN(DFLoan1!B$8),4)</f>
        <v>B8</v>
      </c>
      <c r="C7086" t="str">
        <f>ADDRESS(ROW(DFLoan1!C$8),COLUMN(DFLoan1!C$8),4)</f>
        <v>C8</v>
      </c>
      <c r="D7086" t="b" cm="1">
        <f t="array" aca="1" ref="D7086" ca="1">IF(AND(INDIRECT("'"&amp;A7086&amp;"'!"&amp;B7086)&lt;&gt;Lists!$AJ$1,INDIRECT("'"&amp;A7086&amp;"'!B$7")=Lists!$AH$6),TRUE,FALSE)</f>
        <v>0</v>
      </c>
      <c r="E7086" t="s">
        <v>918</v>
      </c>
      <c r="F7086" t="str">
        <f>INDEX(Lists!I:I,MATCH(Validation!E7086,Lists!G:G,0))</f>
        <v>Error</v>
      </c>
      <c r="G7086" t="str">
        <f>INDEX(Lists!H:H,MATCH(Validation!E7086,Lists!G:G,0))</f>
        <v>You must select the Interfund Loan Type First.</v>
      </c>
      <c r="H7086" s="16" t="str">
        <f t="shared" ca="1" si="816"/>
        <v/>
      </c>
      <c r="I7086" s="16" t="str">
        <f t="shared" ca="1" si="817"/>
        <v/>
      </c>
      <c r="J7086" s="17" t="str">
        <f t="shared" ca="1" si="818"/>
        <v/>
      </c>
    </row>
    <row r="7087" spans="1:10" x14ac:dyDescent="0.25">
      <c r="A7087" t="s">
        <v>964</v>
      </c>
      <c r="B7087" t="str">
        <f>ADDRESS(ROW(DFLoan1!B$8),COLUMN(DFLoan1!B$8),4)</f>
        <v>B8</v>
      </c>
      <c r="C7087" t="str">
        <f>ADDRESS(ROW(DFLoan1!C$8),COLUMN(DFLoan1!C$8),4)</f>
        <v>C8</v>
      </c>
      <c r="D7087" t="b" cm="1">
        <f t="array" aca="1" ref="D7087" ca="1">IF(AND(INDIRECT("'"&amp;A7087&amp;"'!"&amp;B7087)&lt;&gt;Lists!$AJ$1,INDIRECT("'"&amp;A7087&amp;"'!B$7")=Lists!$AH$6),TRUE,FALSE)</f>
        <v>0</v>
      </c>
      <c r="E7087" t="s">
        <v>918</v>
      </c>
      <c r="F7087" t="str">
        <f>INDEX(Lists!I:I,MATCH(Validation!E7087,Lists!G:G,0))</f>
        <v>Error</v>
      </c>
      <c r="G7087" t="str">
        <f>INDEX(Lists!H:H,MATCH(Validation!E7087,Lists!G:G,0))</f>
        <v>You must select the Interfund Loan Type First.</v>
      </c>
      <c r="H7087" s="16" t="str">
        <f t="shared" ca="1" si="816"/>
        <v/>
      </c>
      <c r="I7087" s="16" t="str">
        <f t="shared" ca="1" si="817"/>
        <v/>
      </c>
      <c r="J7087" s="17" t="str">
        <f t="shared" ca="1" si="818"/>
        <v/>
      </c>
    </row>
    <row r="7088" spans="1:10" x14ac:dyDescent="0.25">
      <c r="A7088" t="s">
        <v>965</v>
      </c>
      <c r="B7088" t="str">
        <f>ADDRESS(ROW(DFLoan1!B$8),COLUMN(DFLoan1!B$8),4)</f>
        <v>B8</v>
      </c>
      <c r="C7088" t="str">
        <f>ADDRESS(ROW(DFLoan1!C$8),COLUMN(DFLoan1!C$8),4)</f>
        <v>C8</v>
      </c>
      <c r="D7088" t="b" cm="1">
        <f t="array" aca="1" ref="D7088" ca="1">IF(AND(INDIRECT("'"&amp;A7088&amp;"'!"&amp;B7088)&lt;&gt;Lists!$AJ$1,INDIRECT("'"&amp;A7088&amp;"'!B$7")=Lists!$AH$6),TRUE,FALSE)</f>
        <v>0</v>
      </c>
      <c r="E7088" t="s">
        <v>918</v>
      </c>
      <c r="F7088" t="str">
        <f>INDEX(Lists!I:I,MATCH(Validation!E7088,Lists!G:G,0))</f>
        <v>Error</v>
      </c>
      <c r="G7088" t="str">
        <f>INDEX(Lists!H:H,MATCH(Validation!E7088,Lists!G:G,0))</f>
        <v>You must select the Interfund Loan Type First.</v>
      </c>
      <c r="H7088" s="16" t="str">
        <f t="shared" ca="1" si="816"/>
        <v/>
      </c>
      <c r="I7088" s="16" t="str">
        <f t="shared" ca="1" si="817"/>
        <v/>
      </c>
      <c r="J7088" s="17" t="str">
        <f t="shared" ca="1" si="818"/>
        <v/>
      </c>
    </row>
    <row r="7089" spans="1:10" x14ac:dyDescent="0.25">
      <c r="A7089" t="s">
        <v>966</v>
      </c>
      <c r="B7089" t="str">
        <f>ADDRESS(ROW(DFLoan1!B$8),COLUMN(DFLoan1!B$8),4)</f>
        <v>B8</v>
      </c>
      <c r="C7089" t="str">
        <f>ADDRESS(ROW(DFLoan1!C$8),COLUMN(DFLoan1!C$8),4)</f>
        <v>C8</v>
      </c>
      <c r="D7089" t="b" cm="1">
        <f t="array" aca="1" ref="D7089" ca="1">IF(AND(INDIRECT("'"&amp;A7089&amp;"'!"&amp;B7089)&lt;&gt;Lists!$AJ$1,INDIRECT("'"&amp;A7089&amp;"'!B$7")=Lists!$AH$6),TRUE,FALSE)</f>
        <v>0</v>
      </c>
      <c r="E7089" t="s">
        <v>918</v>
      </c>
      <c r="F7089" t="str">
        <f>INDEX(Lists!I:I,MATCH(Validation!E7089,Lists!G:G,0))</f>
        <v>Error</v>
      </c>
      <c r="G7089" t="str">
        <f>INDEX(Lists!H:H,MATCH(Validation!E7089,Lists!G:G,0))</f>
        <v>You must select the Interfund Loan Type First.</v>
      </c>
      <c r="H7089" s="16" t="str">
        <f t="shared" ca="1" si="816"/>
        <v/>
      </c>
      <c r="I7089" s="16" t="str">
        <f t="shared" ca="1" si="817"/>
        <v/>
      </c>
      <c r="J7089" s="17" t="str">
        <f t="shared" ca="1" si="818"/>
        <v/>
      </c>
    </row>
    <row r="7090" spans="1:10" x14ac:dyDescent="0.25">
      <c r="A7090" t="s">
        <v>881</v>
      </c>
      <c r="B7090" t="str">
        <f>ADDRESS(ROW(DFLoan1!B$8),COLUMN(DFLoan1!B$8),4)</f>
        <v>B8</v>
      </c>
      <c r="C7090" t="str">
        <f>ADDRESS(ROW(DFLoan1!C$8),COLUMN(DFLoan1!C$8),4)</f>
        <v>C8</v>
      </c>
      <c r="D7090" t="b" cm="1">
        <f t="array" aca="1" ref="D7090" ca="1">IF(AND(INDIRECT("'"&amp;A7090&amp;"'!$B$7")=Lists!$AH$4,INDIRECT("'"&amp;A7090&amp;"'!"&amp;B7090)=Lists!$AJ$1),TRUE,FALSE)</f>
        <v>0</v>
      </c>
      <c r="E7090" t="s">
        <v>64</v>
      </c>
      <c r="F7090" t="str">
        <f>INDEX(Lists!I:I,MATCH(Validation!E7090,Lists!G:G,0))</f>
        <v>Error</v>
      </c>
      <c r="G7090" t="str">
        <f>INDEX(Lists!H:H,MATCH(Validation!E7090,Lists!G:G,0))</f>
        <v>You must make a selection from the dropdown list.</v>
      </c>
      <c r="H7090" s="16" t="str">
        <f t="shared" ca="1" si="816"/>
        <v/>
      </c>
      <c r="I7090" s="16" t="str">
        <f t="shared" ca="1" si="817"/>
        <v/>
      </c>
      <c r="J7090" s="17" t="str">
        <f t="shared" ca="1" si="818"/>
        <v/>
      </c>
    </row>
    <row r="7091" spans="1:10" x14ac:dyDescent="0.25">
      <c r="A7091" t="s">
        <v>953</v>
      </c>
      <c r="B7091" t="str">
        <f>ADDRESS(ROW(DFLoan1!B$8),COLUMN(DFLoan1!B$8),4)</f>
        <v>B8</v>
      </c>
      <c r="C7091" t="str">
        <f>ADDRESS(ROW(DFLoan1!C$8),COLUMN(DFLoan1!C$8),4)</f>
        <v>C8</v>
      </c>
      <c r="D7091" t="b" cm="1">
        <f t="array" aca="1" ref="D7091" ca="1">IF(AND(INDIRECT("'"&amp;A7091&amp;"'!$B$7")=Lists!$AH$4,INDIRECT("'"&amp;A7091&amp;"'!"&amp;B7091)=Lists!$AJ$1),TRUE,FALSE)</f>
        <v>0</v>
      </c>
      <c r="E7091" t="s">
        <v>64</v>
      </c>
      <c r="F7091" t="str">
        <f>INDEX(Lists!I:I,MATCH(Validation!E7091,Lists!G:G,0))</f>
        <v>Error</v>
      </c>
      <c r="G7091" t="str">
        <f>INDEX(Lists!H:H,MATCH(Validation!E7091,Lists!G:G,0))</f>
        <v>You must make a selection from the dropdown list.</v>
      </c>
      <c r="H7091" s="16" t="str">
        <f t="shared" ca="1" si="816"/>
        <v/>
      </c>
      <c r="I7091" s="16" t="str">
        <f t="shared" ca="1" si="817"/>
        <v/>
      </c>
      <c r="J7091" s="17" t="str">
        <f t="shared" ca="1" si="818"/>
        <v/>
      </c>
    </row>
    <row r="7092" spans="1:10" x14ac:dyDescent="0.25">
      <c r="A7092" t="s">
        <v>954</v>
      </c>
      <c r="B7092" t="str">
        <f>ADDRESS(ROW(DFLoan1!B$8),COLUMN(DFLoan1!B$8),4)</f>
        <v>B8</v>
      </c>
      <c r="C7092" t="str">
        <f>ADDRESS(ROW(DFLoan1!C$8),COLUMN(DFLoan1!C$8),4)</f>
        <v>C8</v>
      </c>
      <c r="D7092" t="b" cm="1">
        <f t="array" aca="1" ref="D7092" ca="1">IF(AND(INDIRECT("'"&amp;A7092&amp;"'!$B$7")=Lists!$AH$4,INDIRECT("'"&amp;A7092&amp;"'!"&amp;B7092)=Lists!$AJ$1),TRUE,FALSE)</f>
        <v>0</v>
      </c>
      <c r="E7092" t="s">
        <v>64</v>
      </c>
      <c r="F7092" t="str">
        <f>INDEX(Lists!I:I,MATCH(Validation!E7092,Lists!G:G,0))</f>
        <v>Error</v>
      </c>
      <c r="G7092" t="str">
        <f>INDEX(Lists!H:H,MATCH(Validation!E7092,Lists!G:G,0))</f>
        <v>You must make a selection from the dropdown list.</v>
      </c>
      <c r="H7092" s="16" t="str">
        <f t="shared" ca="1" si="816"/>
        <v/>
      </c>
      <c r="I7092" s="16" t="str">
        <f t="shared" ca="1" si="817"/>
        <v/>
      </c>
      <c r="J7092" s="17" t="str">
        <f t="shared" ca="1" si="818"/>
        <v/>
      </c>
    </row>
    <row r="7093" spans="1:10" x14ac:dyDescent="0.25">
      <c r="A7093" t="s">
        <v>955</v>
      </c>
      <c r="B7093" t="str">
        <f>ADDRESS(ROW(DFLoan1!B$8),COLUMN(DFLoan1!B$8),4)</f>
        <v>B8</v>
      </c>
      <c r="C7093" t="str">
        <f>ADDRESS(ROW(DFLoan1!C$8),COLUMN(DFLoan1!C$8),4)</f>
        <v>C8</v>
      </c>
      <c r="D7093" t="b" cm="1">
        <f t="array" aca="1" ref="D7093" ca="1">IF(AND(INDIRECT("'"&amp;A7093&amp;"'!$B$7")=Lists!$AH$4,INDIRECT("'"&amp;A7093&amp;"'!"&amp;B7093)=Lists!$AJ$1),TRUE,FALSE)</f>
        <v>0</v>
      </c>
      <c r="E7093" t="s">
        <v>64</v>
      </c>
      <c r="F7093" t="str">
        <f>INDEX(Lists!I:I,MATCH(Validation!E7093,Lists!G:G,0))</f>
        <v>Error</v>
      </c>
      <c r="G7093" t="str">
        <f>INDEX(Lists!H:H,MATCH(Validation!E7093,Lists!G:G,0))</f>
        <v>You must make a selection from the dropdown list.</v>
      </c>
      <c r="H7093" s="16" t="str">
        <f t="shared" ca="1" si="816"/>
        <v/>
      </c>
      <c r="I7093" s="16" t="str">
        <f t="shared" ca="1" si="817"/>
        <v/>
      </c>
      <c r="J7093" s="17" t="str">
        <f t="shared" ca="1" si="818"/>
        <v/>
      </c>
    </row>
    <row r="7094" spans="1:10" x14ac:dyDescent="0.25">
      <c r="A7094" t="s">
        <v>956</v>
      </c>
      <c r="B7094" t="str">
        <f>ADDRESS(ROW(DFLoan1!B$8),COLUMN(DFLoan1!B$8),4)</f>
        <v>B8</v>
      </c>
      <c r="C7094" t="str">
        <f>ADDRESS(ROW(DFLoan1!C$8),COLUMN(DFLoan1!C$8),4)</f>
        <v>C8</v>
      </c>
      <c r="D7094" t="b" cm="1">
        <f t="array" aca="1" ref="D7094" ca="1">IF(AND(INDIRECT("'"&amp;A7094&amp;"'!$B$7")=Lists!$AH$4,INDIRECT("'"&amp;A7094&amp;"'!"&amp;B7094)=Lists!$AJ$1),TRUE,FALSE)</f>
        <v>0</v>
      </c>
      <c r="E7094" t="s">
        <v>64</v>
      </c>
      <c r="F7094" t="str">
        <f>INDEX(Lists!I:I,MATCH(Validation!E7094,Lists!G:G,0))</f>
        <v>Error</v>
      </c>
      <c r="G7094" t="str">
        <f>INDEX(Lists!H:H,MATCH(Validation!E7094,Lists!G:G,0))</f>
        <v>You must make a selection from the dropdown list.</v>
      </c>
      <c r="H7094" s="16" t="str">
        <f t="shared" ca="1" si="816"/>
        <v/>
      </c>
      <c r="I7094" s="16" t="str">
        <f t="shared" ca="1" si="817"/>
        <v/>
      </c>
      <c r="J7094" s="17" t="str">
        <f t="shared" ca="1" si="818"/>
        <v/>
      </c>
    </row>
    <row r="7095" spans="1:10" x14ac:dyDescent="0.25">
      <c r="A7095" t="s">
        <v>957</v>
      </c>
      <c r="B7095" t="str">
        <f>ADDRESS(ROW(DFLoan1!B$8),COLUMN(DFLoan1!B$8),4)</f>
        <v>B8</v>
      </c>
      <c r="C7095" t="str">
        <f>ADDRESS(ROW(DFLoan1!C$8),COLUMN(DFLoan1!C$8),4)</f>
        <v>C8</v>
      </c>
      <c r="D7095" t="b" cm="1">
        <f t="array" aca="1" ref="D7095" ca="1">IF(AND(INDIRECT("'"&amp;A7095&amp;"'!$B$7")=Lists!$AH$4,INDIRECT("'"&amp;A7095&amp;"'!"&amp;B7095)=Lists!$AJ$1),TRUE,FALSE)</f>
        <v>0</v>
      </c>
      <c r="E7095" t="s">
        <v>64</v>
      </c>
      <c r="F7095" t="str">
        <f>INDEX(Lists!I:I,MATCH(Validation!E7095,Lists!G:G,0))</f>
        <v>Error</v>
      </c>
      <c r="G7095" t="str">
        <f>INDEX(Lists!H:H,MATCH(Validation!E7095,Lists!G:G,0))</f>
        <v>You must make a selection from the dropdown list.</v>
      </c>
      <c r="H7095" s="16" t="str">
        <f t="shared" ca="1" si="816"/>
        <v/>
      </c>
      <c r="I7095" s="16" t="str">
        <f t="shared" ca="1" si="817"/>
        <v/>
      </c>
      <c r="J7095" s="17" t="str">
        <f t="shared" ca="1" si="818"/>
        <v/>
      </c>
    </row>
    <row r="7096" spans="1:10" x14ac:dyDescent="0.25">
      <c r="A7096" t="s">
        <v>958</v>
      </c>
      <c r="B7096" t="str">
        <f>ADDRESS(ROW(DFLoan1!B$8),COLUMN(DFLoan1!B$8),4)</f>
        <v>B8</v>
      </c>
      <c r="C7096" t="str">
        <f>ADDRESS(ROW(DFLoan1!C$8),COLUMN(DFLoan1!C$8),4)</f>
        <v>C8</v>
      </c>
      <c r="D7096" t="b" cm="1">
        <f t="array" aca="1" ref="D7096" ca="1">IF(AND(INDIRECT("'"&amp;A7096&amp;"'!$B$7")=Lists!$AH$4,INDIRECT("'"&amp;A7096&amp;"'!"&amp;B7096)=Lists!$AJ$1),TRUE,FALSE)</f>
        <v>0</v>
      </c>
      <c r="E7096" t="s">
        <v>64</v>
      </c>
      <c r="F7096" t="str">
        <f>INDEX(Lists!I:I,MATCH(Validation!E7096,Lists!G:G,0))</f>
        <v>Error</v>
      </c>
      <c r="G7096" t="str">
        <f>INDEX(Lists!H:H,MATCH(Validation!E7096,Lists!G:G,0))</f>
        <v>You must make a selection from the dropdown list.</v>
      </c>
      <c r="H7096" s="16" t="str">
        <f t="shared" ca="1" si="816"/>
        <v/>
      </c>
      <c r="I7096" s="16" t="str">
        <f t="shared" ca="1" si="817"/>
        <v/>
      </c>
      <c r="J7096" s="17" t="str">
        <f t="shared" ca="1" si="818"/>
        <v/>
      </c>
    </row>
    <row r="7097" spans="1:10" x14ac:dyDescent="0.25">
      <c r="A7097" t="s">
        <v>959</v>
      </c>
      <c r="B7097" t="str">
        <f>ADDRESS(ROW(DFLoan1!B$8),COLUMN(DFLoan1!B$8),4)</f>
        <v>B8</v>
      </c>
      <c r="C7097" t="str">
        <f>ADDRESS(ROW(DFLoan1!C$8),COLUMN(DFLoan1!C$8),4)</f>
        <v>C8</v>
      </c>
      <c r="D7097" t="b" cm="1">
        <f t="array" aca="1" ref="D7097" ca="1">IF(AND(INDIRECT("'"&amp;A7097&amp;"'!$B$7")=Lists!$AH$4,INDIRECT("'"&amp;A7097&amp;"'!"&amp;B7097)=Lists!$AJ$1),TRUE,FALSE)</f>
        <v>0</v>
      </c>
      <c r="E7097" t="s">
        <v>64</v>
      </c>
      <c r="F7097" t="str">
        <f>INDEX(Lists!I:I,MATCH(Validation!E7097,Lists!G:G,0))</f>
        <v>Error</v>
      </c>
      <c r="G7097" t="str">
        <f>INDEX(Lists!H:H,MATCH(Validation!E7097,Lists!G:G,0))</f>
        <v>You must make a selection from the dropdown list.</v>
      </c>
      <c r="H7097" s="16" t="str">
        <f t="shared" ca="1" si="816"/>
        <v/>
      </c>
      <c r="I7097" s="16" t="str">
        <f t="shared" ca="1" si="817"/>
        <v/>
      </c>
      <c r="J7097" s="17" t="str">
        <f t="shared" ca="1" si="818"/>
        <v/>
      </c>
    </row>
    <row r="7098" spans="1:10" x14ac:dyDescent="0.25">
      <c r="A7098" t="s">
        <v>960</v>
      </c>
      <c r="B7098" t="str">
        <f>ADDRESS(ROW(DFLoan1!B$8),COLUMN(DFLoan1!B$8),4)</f>
        <v>B8</v>
      </c>
      <c r="C7098" t="str">
        <f>ADDRESS(ROW(DFLoan1!C$8),COLUMN(DFLoan1!C$8),4)</f>
        <v>C8</v>
      </c>
      <c r="D7098" t="b" cm="1">
        <f t="array" aca="1" ref="D7098" ca="1">IF(AND(INDIRECT("'"&amp;A7098&amp;"'!$B$7")=Lists!$AH$4,INDIRECT("'"&amp;A7098&amp;"'!"&amp;B7098)=Lists!$AJ$1),TRUE,FALSE)</f>
        <v>0</v>
      </c>
      <c r="E7098" t="s">
        <v>64</v>
      </c>
      <c r="F7098" t="str">
        <f>INDEX(Lists!I:I,MATCH(Validation!E7098,Lists!G:G,0))</f>
        <v>Error</v>
      </c>
      <c r="G7098" t="str">
        <f>INDEX(Lists!H:H,MATCH(Validation!E7098,Lists!G:G,0))</f>
        <v>You must make a selection from the dropdown list.</v>
      </c>
      <c r="H7098" s="16" t="str">
        <f t="shared" ca="1" si="816"/>
        <v/>
      </c>
      <c r="I7098" s="16" t="str">
        <f t="shared" ca="1" si="817"/>
        <v/>
      </c>
      <c r="J7098" s="17" t="str">
        <f t="shared" ca="1" si="818"/>
        <v/>
      </c>
    </row>
    <row r="7099" spans="1:10" x14ac:dyDescent="0.25">
      <c r="A7099" t="s">
        <v>961</v>
      </c>
      <c r="B7099" t="str">
        <f>ADDRESS(ROW(DFLoan1!B$8),COLUMN(DFLoan1!B$8),4)</f>
        <v>B8</v>
      </c>
      <c r="C7099" t="str">
        <f>ADDRESS(ROW(DFLoan1!C$8),COLUMN(DFLoan1!C$8),4)</f>
        <v>C8</v>
      </c>
      <c r="D7099" t="b" cm="1">
        <f t="array" aca="1" ref="D7099" ca="1">IF(AND(INDIRECT("'"&amp;A7099&amp;"'!$B$7")=Lists!$AH$4,INDIRECT("'"&amp;A7099&amp;"'!"&amp;B7099)=Lists!$AJ$1),TRUE,FALSE)</f>
        <v>0</v>
      </c>
      <c r="E7099" t="s">
        <v>64</v>
      </c>
      <c r="F7099" t="str">
        <f>INDEX(Lists!I:I,MATCH(Validation!E7099,Lists!G:G,0))</f>
        <v>Error</v>
      </c>
      <c r="G7099" t="str">
        <f>INDEX(Lists!H:H,MATCH(Validation!E7099,Lists!G:G,0))</f>
        <v>You must make a selection from the dropdown list.</v>
      </c>
      <c r="H7099" s="16" t="str">
        <f t="shared" ca="1" si="816"/>
        <v/>
      </c>
      <c r="I7099" s="16" t="str">
        <f t="shared" ca="1" si="817"/>
        <v/>
      </c>
      <c r="J7099" s="17" t="str">
        <f t="shared" ca="1" si="818"/>
        <v/>
      </c>
    </row>
    <row r="7100" spans="1:10" x14ac:dyDescent="0.25">
      <c r="A7100" t="s">
        <v>962</v>
      </c>
      <c r="B7100" t="str">
        <f>ADDRESS(ROW(DFLoan1!B$8),COLUMN(DFLoan1!B$8),4)</f>
        <v>B8</v>
      </c>
      <c r="C7100" t="str">
        <f>ADDRESS(ROW(DFLoan1!C$8),COLUMN(DFLoan1!C$8),4)</f>
        <v>C8</v>
      </c>
      <c r="D7100" t="b" cm="1">
        <f t="array" aca="1" ref="D7100" ca="1">IF(AND(INDIRECT("'"&amp;A7100&amp;"'!$B$7")=Lists!$AH$4,INDIRECT("'"&amp;A7100&amp;"'!"&amp;B7100)=Lists!$AJ$1),TRUE,FALSE)</f>
        <v>0</v>
      </c>
      <c r="E7100" t="s">
        <v>64</v>
      </c>
      <c r="F7100" t="str">
        <f>INDEX(Lists!I:I,MATCH(Validation!E7100,Lists!G:G,0))</f>
        <v>Error</v>
      </c>
      <c r="G7100" t="str">
        <f>INDEX(Lists!H:H,MATCH(Validation!E7100,Lists!G:G,0))</f>
        <v>You must make a selection from the dropdown list.</v>
      </c>
      <c r="H7100" s="16" t="str">
        <f t="shared" ca="1" si="816"/>
        <v/>
      </c>
      <c r="I7100" s="16" t="str">
        <f t="shared" ca="1" si="817"/>
        <v/>
      </c>
      <c r="J7100" s="17" t="str">
        <f t="shared" ca="1" si="818"/>
        <v/>
      </c>
    </row>
    <row r="7101" spans="1:10" x14ac:dyDescent="0.25">
      <c r="A7101" t="s">
        <v>963</v>
      </c>
      <c r="B7101" t="str">
        <f>ADDRESS(ROW(DFLoan1!B$8),COLUMN(DFLoan1!B$8),4)</f>
        <v>B8</v>
      </c>
      <c r="C7101" t="str">
        <f>ADDRESS(ROW(DFLoan1!C$8),COLUMN(DFLoan1!C$8),4)</f>
        <v>C8</v>
      </c>
      <c r="D7101" t="b" cm="1">
        <f t="array" aca="1" ref="D7101" ca="1">IF(AND(INDIRECT("'"&amp;A7101&amp;"'!$B$7")=Lists!$AH$4,INDIRECT("'"&amp;A7101&amp;"'!"&amp;B7101)=Lists!$AJ$1),TRUE,FALSE)</f>
        <v>0</v>
      </c>
      <c r="E7101" t="s">
        <v>64</v>
      </c>
      <c r="F7101" t="str">
        <f>INDEX(Lists!I:I,MATCH(Validation!E7101,Lists!G:G,0))</f>
        <v>Error</v>
      </c>
      <c r="G7101" t="str">
        <f>INDEX(Lists!H:H,MATCH(Validation!E7101,Lists!G:G,0))</f>
        <v>You must make a selection from the dropdown list.</v>
      </c>
      <c r="H7101" s="16" t="str">
        <f t="shared" ca="1" si="816"/>
        <v/>
      </c>
      <c r="I7101" s="16" t="str">
        <f t="shared" ca="1" si="817"/>
        <v/>
      </c>
      <c r="J7101" s="17" t="str">
        <f t="shared" ca="1" si="818"/>
        <v/>
      </c>
    </row>
    <row r="7102" spans="1:10" x14ac:dyDescent="0.25">
      <c r="A7102" t="s">
        <v>964</v>
      </c>
      <c r="B7102" t="str">
        <f>ADDRESS(ROW(DFLoan1!B$8),COLUMN(DFLoan1!B$8),4)</f>
        <v>B8</v>
      </c>
      <c r="C7102" t="str">
        <f>ADDRESS(ROW(DFLoan1!C$8),COLUMN(DFLoan1!C$8),4)</f>
        <v>C8</v>
      </c>
      <c r="D7102" t="b" cm="1">
        <f t="array" aca="1" ref="D7102" ca="1">IF(AND(INDIRECT("'"&amp;A7102&amp;"'!$B$7")=Lists!$AH$4,INDIRECT("'"&amp;A7102&amp;"'!"&amp;B7102)=Lists!$AJ$1),TRUE,FALSE)</f>
        <v>0</v>
      </c>
      <c r="E7102" t="s">
        <v>64</v>
      </c>
      <c r="F7102" t="str">
        <f>INDEX(Lists!I:I,MATCH(Validation!E7102,Lists!G:G,0))</f>
        <v>Error</v>
      </c>
      <c r="G7102" t="str">
        <f>INDEX(Lists!H:H,MATCH(Validation!E7102,Lists!G:G,0))</f>
        <v>You must make a selection from the dropdown list.</v>
      </c>
      <c r="H7102" s="16" t="str">
        <f t="shared" ca="1" si="816"/>
        <v/>
      </c>
      <c r="I7102" s="16" t="str">
        <f t="shared" ca="1" si="817"/>
        <v/>
      </c>
      <c r="J7102" s="17" t="str">
        <f t="shared" ca="1" si="818"/>
        <v/>
      </c>
    </row>
    <row r="7103" spans="1:10" x14ac:dyDescent="0.25">
      <c r="A7103" t="s">
        <v>965</v>
      </c>
      <c r="B7103" t="str">
        <f>ADDRESS(ROW(DFLoan1!B$8),COLUMN(DFLoan1!B$8),4)</f>
        <v>B8</v>
      </c>
      <c r="C7103" t="str">
        <f>ADDRESS(ROW(DFLoan1!C$8),COLUMN(DFLoan1!C$8),4)</f>
        <v>C8</v>
      </c>
      <c r="D7103" t="b" cm="1">
        <f t="array" aca="1" ref="D7103" ca="1">IF(AND(INDIRECT("'"&amp;A7103&amp;"'!$B$7")=Lists!$AH$4,INDIRECT("'"&amp;A7103&amp;"'!"&amp;B7103)=Lists!$AJ$1),TRUE,FALSE)</f>
        <v>0</v>
      </c>
      <c r="E7103" t="s">
        <v>64</v>
      </c>
      <c r="F7103" t="str">
        <f>INDEX(Lists!I:I,MATCH(Validation!E7103,Lists!G:G,0))</f>
        <v>Error</v>
      </c>
      <c r="G7103" t="str">
        <f>INDEX(Lists!H:H,MATCH(Validation!E7103,Lists!G:G,0))</f>
        <v>You must make a selection from the dropdown list.</v>
      </c>
      <c r="H7103" s="16" t="str">
        <f t="shared" ca="1" si="816"/>
        <v/>
      </c>
      <c r="I7103" s="16" t="str">
        <f t="shared" ca="1" si="817"/>
        <v/>
      </c>
      <c r="J7103" s="17" t="str">
        <f t="shared" ca="1" si="818"/>
        <v/>
      </c>
    </row>
    <row r="7104" spans="1:10" x14ac:dyDescent="0.25">
      <c r="A7104" t="s">
        <v>966</v>
      </c>
      <c r="B7104" t="str">
        <f>ADDRESS(ROW(DFLoan1!B$8),COLUMN(DFLoan1!B$8),4)</f>
        <v>B8</v>
      </c>
      <c r="C7104" t="str">
        <f>ADDRESS(ROW(DFLoan1!C$8),COLUMN(DFLoan1!C$8),4)</f>
        <v>C8</v>
      </c>
      <c r="D7104" t="b" cm="1">
        <f t="array" aca="1" ref="D7104" ca="1">IF(AND(INDIRECT("'"&amp;A7104&amp;"'!$B$7")=Lists!$AH$4,INDIRECT("'"&amp;A7104&amp;"'!"&amp;B7104)=Lists!$AJ$1),TRUE,FALSE)</f>
        <v>0</v>
      </c>
      <c r="E7104" t="s">
        <v>64</v>
      </c>
      <c r="F7104" t="str">
        <f>INDEX(Lists!I:I,MATCH(Validation!E7104,Lists!G:G,0))</f>
        <v>Error</v>
      </c>
      <c r="G7104" t="str">
        <f>INDEX(Lists!H:H,MATCH(Validation!E7104,Lists!G:G,0))</f>
        <v>You must make a selection from the dropdown list.</v>
      </c>
      <c r="H7104" s="16" t="str">
        <f t="shared" ref="H7104:H7167" ca="1" si="819">IFERROR(IF(OR(NOT(D7104),F7104&lt;&gt;"Error"),"",A7104&amp;CELL("address",INDIRECT(B7104))),"")</f>
        <v/>
      </c>
      <c r="I7104" s="16" t="str">
        <f t="shared" ref="I7104:I7167" ca="1" si="820">IFERROR(IF(NOT(D7104),"",A7104&amp;CELL("address",INDIRECT(C7104))),"")</f>
        <v/>
      </c>
      <c r="J7104" s="17" t="str">
        <f t="shared" ref="J7104:J7167" ca="1" si="821">IFERROR(IF(NOT(D7104),"",A7104),"")</f>
        <v/>
      </c>
    </row>
    <row r="7105" spans="1:10" x14ac:dyDescent="0.25">
      <c r="A7105" t="s">
        <v>881</v>
      </c>
      <c r="B7105" t="str">
        <f>ADDRESS(ROW(DFLoan1!B$8),COLUMN(DFLoan1!B$8),4)</f>
        <v>B8</v>
      </c>
      <c r="C7105" t="str">
        <f>ADDRESS(ROW(DFLoan1!C$8),COLUMN(DFLoan1!C$8),4)</f>
        <v>C8</v>
      </c>
      <c r="D7105" t="b" cm="1">
        <f t="array" aca="1" ref="D7105" ca="1">IF(AND(INDIRECT("'"&amp;A7105&amp;"'!"&amp;B7105)&lt;&gt;Lists!$AJ$1,INDIRECT("'"&amp;A7105&amp;"'!$B$7")=Lists!$AH$5),TRUE,FALSE)</f>
        <v>0</v>
      </c>
      <c r="E7105" t="s">
        <v>920</v>
      </c>
      <c r="F7105" t="str">
        <f>INDEX(Lists!I:I,MATCH(Validation!E7105,Lists!G:G,0))</f>
        <v>Error</v>
      </c>
      <c r="G7105" t="str">
        <f>INDEX(Lists!H:H,MATCH(Validation!E7105,Lists!G:G,0))</f>
        <v>Skip this line for this loan type. Enter a Non-TIF fund/account on next line instead.</v>
      </c>
      <c r="H7105" s="16" t="str">
        <f t="shared" ca="1" si="819"/>
        <v/>
      </c>
      <c r="I7105" s="16" t="str">
        <f t="shared" ca="1" si="820"/>
        <v/>
      </c>
      <c r="J7105" s="17" t="str">
        <f t="shared" ca="1" si="821"/>
        <v/>
      </c>
    </row>
    <row r="7106" spans="1:10" x14ac:dyDescent="0.25">
      <c r="A7106" t="s">
        <v>953</v>
      </c>
      <c r="B7106" t="str">
        <f>ADDRESS(ROW(DFLoan1!B$8),COLUMN(DFLoan1!B$8),4)</f>
        <v>B8</v>
      </c>
      <c r="C7106" t="str">
        <f>ADDRESS(ROW(DFLoan1!C$8),COLUMN(DFLoan1!C$8),4)</f>
        <v>C8</v>
      </c>
      <c r="D7106" t="b" cm="1">
        <f t="array" aca="1" ref="D7106" ca="1">IF(AND(INDIRECT("'"&amp;A7106&amp;"'!"&amp;B7106)&lt;&gt;Lists!$AJ$1,INDIRECT("'"&amp;A7106&amp;"'!$B$7")=Lists!$AH$5),TRUE,FALSE)</f>
        <v>0</v>
      </c>
      <c r="E7106" t="s">
        <v>920</v>
      </c>
      <c r="F7106" t="str">
        <f>INDEX(Lists!I:I,MATCH(Validation!E7106,Lists!G:G,0))</f>
        <v>Error</v>
      </c>
      <c r="G7106" t="str">
        <f>INDEX(Lists!H:H,MATCH(Validation!E7106,Lists!G:G,0))</f>
        <v>Skip this line for this loan type. Enter a Non-TIF fund/account on next line instead.</v>
      </c>
      <c r="H7106" s="16" t="str">
        <f t="shared" ca="1" si="819"/>
        <v/>
      </c>
      <c r="I7106" s="16" t="str">
        <f t="shared" ca="1" si="820"/>
        <v/>
      </c>
      <c r="J7106" s="17" t="str">
        <f t="shared" ca="1" si="821"/>
        <v/>
      </c>
    </row>
    <row r="7107" spans="1:10" x14ac:dyDescent="0.25">
      <c r="A7107" t="s">
        <v>954</v>
      </c>
      <c r="B7107" t="str">
        <f>ADDRESS(ROW(DFLoan1!B$8),COLUMN(DFLoan1!B$8),4)</f>
        <v>B8</v>
      </c>
      <c r="C7107" t="str">
        <f>ADDRESS(ROW(DFLoan1!C$8),COLUMN(DFLoan1!C$8),4)</f>
        <v>C8</v>
      </c>
      <c r="D7107" t="b" cm="1">
        <f t="array" aca="1" ref="D7107" ca="1">IF(AND(INDIRECT("'"&amp;A7107&amp;"'!"&amp;B7107)&lt;&gt;Lists!$AJ$1,INDIRECT("'"&amp;A7107&amp;"'!$B$7")=Lists!$AH$5),TRUE,FALSE)</f>
        <v>0</v>
      </c>
      <c r="E7107" t="s">
        <v>920</v>
      </c>
      <c r="F7107" t="str">
        <f>INDEX(Lists!I:I,MATCH(Validation!E7107,Lists!G:G,0))</f>
        <v>Error</v>
      </c>
      <c r="G7107" t="str">
        <f>INDEX(Lists!H:H,MATCH(Validation!E7107,Lists!G:G,0))</f>
        <v>Skip this line for this loan type. Enter a Non-TIF fund/account on next line instead.</v>
      </c>
      <c r="H7107" s="16" t="str">
        <f t="shared" ca="1" si="819"/>
        <v/>
      </c>
      <c r="I7107" s="16" t="str">
        <f t="shared" ca="1" si="820"/>
        <v/>
      </c>
      <c r="J7107" s="17" t="str">
        <f t="shared" ca="1" si="821"/>
        <v/>
      </c>
    </row>
    <row r="7108" spans="1:10" x14ac:dyDescent="0.25">
      <c r="A7108" t="s">
        <v>955</v>
      </c>
      <c r="B7108" t="str">
        <f>ADDRESS(ROW(DFLoan1!B$8),COLUMN(DFLoan1!B$8),4)</f>
        <v>B8</v>
      </c>
      <c r="C7108" t="str">
        <f>ADDRESS(ROW(DFLoan1!C$8),COLUMN(DFLoan1!C$8),4)</f>
        <v>C8</v>
      </c>
      <c r="D7108" t="b" cm="1">
        <f t="array" aca="1" ref="D7108" ca="1">IF(AND(INDIRECT("'"&amp;A7108&amp;"'!"&amp;B7108)&lt;&gt;Lists!$AJ$1,INDIRECT("'"&amp;A7108&amp;"'!$B$7")=Lists!$AH$5),TRUE,FALSE)</f>
        <v>0</v>
      </c>
      <c r="E7108" t="s">
        <v>920</v>
      </c>
      <c r="F7108" t="str">
        <f>INDEX(Lists!I:I,MATCH(Validation!E7108,Lists!G:G,0))</f>
        <v>Error</v>
      </c>
      <c r="G7108" t="str">
        <f>INDEX(Lists!H:H,MATCH(Validation!E7108,Lists!G:G,0))</f>
        <v>Skip this line for this loan type. Enter a Non-TIF fund/account on next line instead.</v>
      </c>
      <c r="H7108" s="16" t="str">
        <f t="shared" ca="1" si="819"/>
        <v/>
      </c>
      <c r="I7108" s="16" t="str">
        <f t="shared" ca="1" si="820"/>
        <v/>
      </c>
      <c r="J7108" s="17" t="str">
        <f t="shared" ca="1" si="821"/>
        <v/>
      </c>
    </row>
    <row r="7109" spans="1:10" x14ac:dyDescent="0.25">
      <c r="A7109" t="s">
        <v>956</v>
      </c>
      <c r="B7109" t="str">
        <f>ADDRESS(ROW(DFLoan1!B$8),COLUMN(DFLoan1!B$8),4)</f>
        <v>B8</v>
      </c>
      <c r="C7109" t="str">
        <f>ADDRESS(ROW(DFLoan1!C$8),COLUMN(DFLoan1!C$8),4)</f>
        <v>C8</v>
      </c>
      <c r="D7109" t="b" cm="1">
        <f t="array" aca="1" ref="D7109" ca="1">IF(AND(INDIRECT("'"&amp;A7109&amp;"'!"&amp;B7109)&lt;&gt;Lists!$AJ$1,INDIRECT("'"&amp;A7109&amp;"'!$B$7")=Lists!$AH$5),TRUE,FALSE)</f>
        <v>0</v>
      </c>
      <c r="E7109" t="s">
        <v>920</v>
      </c>
      <c r="F7109" t="str">
        <f>INDEX(Lists!I:I,MATCH(Validation!E7109,Lists!G:G,0))</f>
        <v>Error</v>
      </c>
      <c r="G7109" t="str">
        <f>INDEX(Lists!H:H,MATCH(Validation!E7109,Lists!G:G,0))</f>
        <v>Skip this line for this loan type. Enter a Non-TIF fund/account on next line instead.</v>
      </c>
      <c r="H7109" s="16" t="str">
        <f t="shared" ca="1" si="819"/>
        <v/>
      </c>
      <c r="I7109" s="16" t="str">
        <f t="shared" ca="1" si="820"/>
        <v/>
      </c>
      <c r="J7109" s="17" t="str">
        <f t="shared" ca="1" si="821"/>
        <v/>
      </c>
    </row>
    <row r="7110" spans="1:10" x14ac:dyDescent="0.25">
      <c r="A7110" t="s">
        <v>957</v>
      </c>
      <c r="B7110" t="str">
        <f>ADDRESS(ROW(DFLoan1!B$8),COLUMN(DFLoan1!B$8),4)</f>
        <v>B8</v>
      </c>
      <c r="C7110" t="str">
        <f>ADDRESS(ROW(DFLoan1!C$8),COLUMN(DFLoan1!C$8),4)</f>
        <v>C8</v>
      </c>
      <c r="D7110" t="b" cm="1">
        <f t="array" aca="1" ref="D7110" ca="1">IF(AND(INDIRECT("'"&amp;A7110&amp;"'!"&amp;B7110)&lt;&gt;Lists!$AJ$1,INDIRECT("'"&amp;A7110&amp;"'!$B$7")=Lists!$AH$5),TRUE,FALSE)</f>
        <v>0</v>
      </c>
      <c r="E7110" t="s">
        <v>920</v>
      </c>
      <c r="F7110" t="str">
        <f>INDEX(Lists!I:I,MATCH(Validation!E7110,Lists!G:G,0))</f>
        <v>Error</v>
      </c>
      <c r="G7110" t="str">
        <f>INDEX(Lists!H:H,MATCH(Validation!E7110,Lists!G:G,0))</f>
        <v>Skip this line for this loan type. Enter a Non-TIF fund/account on next line instead.</v>
      </c>
      <c r="H7110" s="16" t="str">
        <f t="shared" ca="1" si="819"/>
        <v/>
      </c>
      <c r="I7110" s="16" t="str">
        <f t="shared" ca="1" si="820"/>
        <v/>
      </c>
      <c r="J7110" s="17" t="str">
        <f t="shared" ca="1" si="821"/>
        <v/>
      </c>
    </row>
    <row r="7111" spans="1:10" x14ac:dyDescent="0.25">
      <c r="A7111" t="s">
        <v>958</v>
      </c>
      <c r="B7111" t="str">
        <f>ADDRESS(ROW(DFLoan1!B$8),COLUMN(DFLoan1!B$8),4)</f>
        <v>B8</v>
      </c>
      <c r="C7111" t="str">
        <f>ADDRESS(ROW(DFLoan1!C$8),COLUMN(DFLoan1!C$8),4)</f>
        <v>C8</v>
      </c>
      <c r="D7111" t="b" cm="1">
        <f t="array" aca="1" ref="D7111" ca="1">IF(AND(INDIRECT("'"&amp;A7111&amp;"'!"&amp;B7111)&lt;&gt;Lists!$AJ$1,INDIRECT("'"&amp;A7111&amp;"'!$B$7")=Lists!$AH$5),TRUE,FALSE)</f>
        <v>0</v>
      </c>
      <c r="E7111" t="s">
        <v>920</v>
      </c>
      <c r="F7111" t="str">
        <f>INDEX(Lists!I:I,MATCH(Validation!E7111,Lists!G:G,0))</f>
        <v>Error</v>
      </c>
      <c r="G7111" t="str">
        <f>INDEX(Lists!H:H,MATCH(Validation!E7111,Lists!G:G,0))</f>
        <v>Skip this line for this loan type. Enter a Non-TIF fund/account on next line instead.</v>
      </c>
      <c r="H7111" s="16" t="str">
        <f t="shared" ca="1" si="819"/>
        <v/>
      </c>
      <c r="I7111" s="16" t="str">
        <f t="shared" ca="1" si="820"/>
        <v/>
      </c>
      <c r="J7111" s="17" t="str">
        <f t="shared" ca="1" si="821"/>
        <v/>
      </c>
    </row>
    <row r="7112" spans="1:10" x14ac:dyDescent="0.25">
      <c r="A7112" t="s">
        <v>959</v>
      </c>
      <c r="B7112" t="str">
        <f>ADDRESS(ROW(DFLoan1!B$8),COLUMN(DFLoan1!B$8),4)</f>
        <v>B8</v>
      </c>
      <c r="C7112" t="str">
        <f>ADDRESS(ROW(DFLoan1!C$8),COLUMN(DFLoan1!C$8),4)</f>
        <v>C8</v>
      </c>
      <c r="D7112" t="b" cm="1">
        <f t="array" aca="1" ref="D7112" ca="1">IF(AND(INDIRECT("'"&amp;A7112&amp;"'!"&amp;B7112)&lt;&gt;Lists!$AJ$1,INDIRECT("'"&amp;A7112&amp;"'!$B$7")=Lists!$AH$5),TRUE,FALSE)</f>
        <v>0</v>
      </c>
      <c r="E7112" t="s">
        <v>920</v>
      </c>
      <c r="F7112" t="str">
        <f>INDEX(Lists!I:I,MATCH(Validation!E7112,Lists!G:G,0))</f>
        <v>Error</v>
      </c>
      <c r="G7112" t="str">
        <f>INDEX(Lists!H:H,MATCH(Validation!E7112,Lists!G:G,0))</f>
        <v>Skip this line for this loan type. Enter a Non-TIF fund/account on next line instead.</v>
      </c>
      <c r="H7112" s="16" t="str">
        <f t="shared" ca="1" si="819"/>
        <v/>
      </c>
      <c r="I7112" s="16" t="str">
        <f t="shared" ca="1" si="820"/>
        <v/>
      </c>
      <c r="J7112" s="17" t="str">
        <f t="shared" ca="1" si="821"/>
        <v/>
      </c>
    </row>
    <row r="7113" spans="1:10" x14ac:dyDescent="0.25">
      <c r="A7113" t="s">
        <v>960</v>
      </c>
      <c r="B7113" t="str">
        <f>ADDRESS(ROW(DFLoan1!B$8),COLUMN(DFLoan1!B$8),4)</f>
        <v>B8</v>
      </c>
      <c r="C7113" t="str">
        <f>ADDRESS(ROW(DFLoan1!C$8),COLUMN(DFLoan1!C$8),4)</f>
        <v>C8</v>
      </c>
      <c r="D7113" t="b" cm="1">
        <f t="array" aca="1" ref="D7113" ca="1">IF(AND(INDIRECT("'"&amp;A7113&amp;"'!"&amp;B7113)&lt;&gt;Lists!$AJ$1,INDIRECT("'"&amp;A7113&amp;"'!$B$7")=Lists!$AH$5),TRUE,FALSE)</f>
        <v>0</v>
      </c>
      <c r="E7113" t="s">
        <v>920</v>
      </c>
      <c r="F7113" t="str">
        <f>INDEX(Lists!I:I,MATCH(Validation!E7113,Lists!G:G,0))</f>
        <v>Error</v>
      </c>
      <c r="G7113" t="str">
        <f>INDEX(Lists!H:H,MATCH(Validation!E7113,Lists!G:G,0))</f>
        <v>Skip this line for this loan type. Enter a Non-TIF fund/account on next line instead.</v>
      </c>
      <c r="H7113" s="16" t="str">
        <f t="shared" ca="1" si="819"/>
        <v/>
      </c>
      <c r="I7113" s="16" t="str">
        <f t="shared" ca="1" si="820"/>
        <v/>
      </c>
      <c r="J7113" s="17" t="str">
        <f t="shared" ca="1" si="821"/>
        <v/>
      </c>
    </row>
    <row r="7114" spans="1:10" x14ac:dyDescent="0.25">
      <c r="A7114" t="s">
        <v>961</v>
      </c>
      <c r="B7114" t="str">
        <f>ADDRESS(ROW(DFLoan1!B$8),COLUMN(DFLoan1!B$8),4)</f>
        <v>B8</v>
      </c>
      <c r="C7114" t="str">
        <f>ADDRESS(ROW(DFLoan1!C$8),COLUMN(DFLoan1!C$8),4)</f>
        <v>C8</v>
      </c>
      <c r="D7114" t="b" cm="1">
        <f t="array" aca="1" ref="D7114" ca="1">IF(AND(INDIRECT("'"&amp;A7114&amp;"'!"&amp;B7114)&lt;&gt;Lists!$AJ$1,INDIRECT("'"&amp;A7114&amp;"'!$B$7")=Lists!$AH$5),TRUE,FALSE)</f>
        <v>0</v>
      </c>
      <c r="E7114" t="s">
        <v>920</v>
      </c>
      <c r="F7114" t="str">
        <f>INDEX(Lists!I:I,MATCH(Validation!E7114,Lists!G:G,0))</f>
        <v>Error</v>
      </c>
      <c r="G7114" t="str">
        <f>INDEX(Lists!H:H,MATCH(Validation!E7114,Lists!G:G,0))</f>
        <v>Skip this line for this loan type. Enter a Non-TIF fund/account on next line instead.</v>
      </c>
      <c r="H7114" s="16" t="str">
        <f t="shared" ca="1" si="819"/>
        <v/>
      </c>
      <c r="I7114" s="16" t="str">
        <f t="shared" ca="1" si="820"/>
        <v/>
      </c>
      <c r="J7114" s="17" t="str">
        <f t="shared" ca="1" si="821"/>
        <v/>
      </c>
    </row>
    <row r="7115" spans="1:10" x14ac:dyDescent="0.25">
      <c r="A7115" t="s">
        <v>962</v>
      </c>
      <c r="B7115" t="str">
        <f>ADDRESS(ROW(DFLoan1!B$8),COLUMN(DFLoan1!B$8),4)</f>
        <v>B8</v>
      </c>
      <c r="C7115" t="str">
        <f>ADDRESS(ROW(DFLoan1!C$8),COLUMN(DFLoan1!C$8),4)</f>
        <v>C8</v>
      </c>
      <c r="D7115" t="b" cm="1">
        <f t="array" aca="1" ref="D7115" ca="1">IF(AND(INDIRECT("'"&amp;A7115&amp;"'!"&amp;B7115)&lt;&gt;Lists!$AJ$1,INDIRECT("'"&amp;A7115&amp;"'!$B$7")=Lists!$AH$5),TRUE,FALSE)</f>
        <v>0</v>
      </c>
      <c r="E7115" t="s">
        <v>920</v>
      </c>
      <c r="F7115" t="str">
        <f>INDEX(Lists!I:I,MATCH(Validation!E7115,Lists!G:G,0))</f>
        <v>Error</v>
      </c>
      <c r="G7115" t="str">
        <f>INDEX(Lists!H:H,MATCH(Validation!E7115,Lists!G:G,0))</f>
        <v>Skip this line for this loan type. Enter a Non-TIF fund/account on next line instead.</v>
      </c>
      <c r="H7115" s="16" t="str">
        <f t="shared" ca="1" si="819"/>
        <v/>
      </c>
      <c r="I7115" s="16" t="str">
        <f t="shared" ca="1" si="820"/>
        <v/>
      </c>
      <c r="J7115" s="17" t="str">
        <f t="shared" ca="1" si="821"/>
        <v/>
      </c>
    </row>
    <row r="7116" spans="1:10" x14ac:dyDescent="0.25">
      <c r="A7116" t="s">
        <v>963</v>
      </c>
      <c r="B7116" t="str">
        <f>ADDRESS(ROW(DFLoan1!B$8),COLUMN(DFLoan1!B$8),4)</f>
        <v>B8</v>
      </c>
      <c r="C7116" t="str">
        <f>ADDRESS(ROW(DFLoan1!C$8),COLUMN(DFLoan1!C$8),4)</f>
        <v>C8</v>
      </c>
      <c r="D7116" t="b" cm="1">
        <f t="array" aca="1" ref="D7116" ca="1">IF(AND(INDIRECT("'"&amp;A7116&amp;"'!"&amp;B7116)&lt;&gt;Lists!$AJ$1,INDIRECT("'"&amp;A7116&amp;"'!$B$7")=Lists!$AH$5),TRUE,FALSE)</f>
        <v>0</v>
      </c>
      <c r="E7116" t="s">
        <v>920</v>
      </c>
      <c r="F7116" t="str">
        <f>INDEX(Lists!I:I,MATCH(Validation!E7116,Lists!G:G,0))</f>
        <v>Error</v>
      </c>
      <c r="G7116" t="str">
        <f>INDEX(Lists!H:H,MATCH(Validation!E7116,Lists!G:G,0))</f>
        <v>Skip this line for this loan type. Enter a Non-TIF fund/account on next line instead.</v>
      </c>
      <c r="H7116" s="16" t="str">
        <f t="shared" ca="1" si="819"/>
        <v/>
      </c>
      <c r="I7116" s="16" t="str">
        <f t="shared" ca="1" si="820"/>
        <v/>
      </c>
      <c r="J7116" s="17" t="str">
        <f t="shared" ca="1" si="821"/>
        <v/>
      </c>
    </row>
    <row r="7117" spans="1:10" x14ac:dyDescent="0.25">
      <c r="A7117" t="s">
        <v>964</v>
      </c>
      <c r="B7117" t="str">
        <f>ADDRESS(ROW(DFLoan1!B$8),COLUMN(DFLoan1!B$8),4)</f>
        <v>B8</v>
      </c>
      <c r="C7117" t="str">
        <f>ADDRESS(ROW(DFLoan1!C$8),COLUMN(DFLoan1!C$8),4)</f>
        <v>C8</v>
      </c>
      <c r="D7117" t="b" cm="1">
        <f t="array" aca="1" ref="D7117" ca="1">IF(AND(INDIRECT("'"&amp;A7117&amp;"'!"&amp;B7117)&lt;&gt;Lists!$AJ$1,INDIRECT("'"&amp;A7117&amp;"'!$B$7")=Lists!$AH$5),TRUE,FALSE)</f>
        <v>0</v>
      </c>
      <c r="E7117" t="s">
        <v>920</v>
      </c>
      <c r="F7117" t="str">
        <f>INDEX(Lists!I:I,MATCH(Validation!E7117,Lists!G:G,0))</f>
        <v>Error</v>
      </c>
      <c r="G7117" t="str">
        <f>INDEX(Lists!H:H,MATCH(Validation!E7117,Lists!G:G,0))</f>
        <v>Skip this line for this loan type. Enter a Non-TIF fund/account on next line instead.</v>
      </c>
      <c r="H7117" s="16" t="str">
        <f t="shared" ca="1" si="819"/>
        <v/>
      </c>
      <c r="I7117" s="16" t="str">
        <f t="shared" ca="1" si="820"/>
        <v/>
      </c>
      <c r="J7117" s="17" t="str">
        <f t="shared" ca="1" si="821"/>
        <v/>
      </c>
    </row>
    <row r="7118" spans="1:10" x14ac:dyDescent="0.25">
      <c r="A7118" t="s">
        <v>965</v>
      </c>
      <c r="B7118" t="str">
        <f>ADDRESS(ROW(DFLoan1!B$8),COLUMN(DFLoan1!B$8),4)</f>
        <v>B8</v>
      </c>
      <c r="C7118" t="str">
        <f>ADDRESS(ROW(DFLoan1!C$8),COLUMN(DFLoan1!C$8),4)</f>
        <v>C8</v>
      </c>
      <c r="D7118" t="b" cm="1">
        <f t="array" aca="1" ref="D7118" ca="1">IF(AND(INDIRECT("'"&amp;A7118&amp;"'!"&amp;B7118)&lt;&gt;Lists!$AJ$1,INDIRECT("'"&amp;A7118&amp;"'!$B$7")=Lists!$AH$5),TRUE,FALSE)</f>
        <v>0</v>
      </c>
      <c r="E7118" t="s">
        <v>920</v>
      </c>
      <c r="F7118" t="str">
        <f>INDEX(Lists!I:I,MATCH(Validation!E7118,Lists!G:G,0))</f>
        <v>Error</v>
      </c>
      <c r="G7118" t="str">
        <f>INDEX(Lists!H:H,MATCH(Validation!E7118,Lists!G:G,0))</f>
        <v>Skip this line for this loan type. Enter a Non-TIF fund/account on next line instead.</v>
      </c>
      <c r="H7118" s="16" t="str">
        <f t="shared" ca="1" si="819"/>
        <v/>
      </c>
      <c r="I7118" s="16" t="str">
        <f t="shared" ca="1" si="820"/>
        <v/>
      </c>
      <c r="J7118" s="17" t="str">
        <f t="shared" ca="1" si="821"/>
        <v/>
      </c>
    </row>
    <row r="7119" spans="1:10" x14ac:dyDescent="0.25">
      <c r="A7119" t="s">
        <v>966</v>
      </c>
      <c r="B7119" t="str">
        <f>ADDRESS(ROW(DFLoan1!B$8),COLUMN(DFLoan1!B$8),4)</f>
        <v>B8</v>
      </c>
      <c r="C7119" t="str">
        <f>ADDRESS(ROW(DFLoan1!C$8),COLUMN(DFLoan1!C$8),4)</f>
        <v>C8</v>
      </c>
      <c r="D7119" t="b" cm="1">
        <f t="array" aca="1" ref="D7119" ca="1">IF(AND(INDIRECT("'"&amp;A7119&amp;"'!"&amp;B7119)&lt;&gt;Lists!$AJ$1,INDIRECT("'"&amp;A7119&amp;"'!$B$7")=Lists!$AH$5),TRUE,FALSE)</f>
        <v>0</v>
      </c>
      <c r="E7119" t="s">
        <v>920</v>
      </c>
      <c r="F7119" t="str">
        <f>INDEX(Lists!I:I,MATCH(Validation!E7119,Lists!G:G,0))</f>
        <v>Error</v>
      </c>
      <c r="G7119" t="str">
        <f>INDEX(Lists!H:H,MATCH(Validation!E7119,Lists!G:G,0))</f>
        <v>Skip this line for this loan type. Enter a Non-TIF fund/account on next line instead.</v>
      </c>
      <c r="H7119" s="16" t="str">
        <f t="shared" ca="1" si="819"/>
        <v/>
      </c>
      <c r="I7119" s="16" t="str">
        <f t="shared" ca="1" si="820"/>
        <v/>
      </c>
      <c r="J7119" s="17" t="str">
        <f t="shared" ca="1" si="821"/>
        <v/>
      </c>
    </row>
    <row r="7120" spans="1:10" x14ac:dyDescent="0.25">
      <c r="A7120" t="s">
        <v>881</v>
      </c>
      <c r="B7120" t="str">
        <f>ADDRESS(ROW(DFLoan1!B$8),COLUMN(DFLoan1!B$8),4)</f>
        <v>B8</v>
      </c>
      <c r="C7120" t="str">
        <f>ADDRESS(ROW(DFLoan1!C$8),COLUMN(DFLoan1!C$8),4)</f>
        <v>C8</v>
      </c>
      <c r="D7120" t="b" cm="1">
        <f t="array" aca="1" ref="D7120" ca="1">IF(INDIRECT("'"&amp;A7120&amp;"'!$B$7")=Lists!$AH$5,TRUE,FALSE)</f>
        <v>0</v>
      </c>
      <c r="E7120" t="s">
        <v>924</v>
      </c>
      <c r="F7120" t="str">
        <f>INDEX(Lists!I:I,MATCH(Validation!E7120,Lists!G:G,0))</f>
        <v>Information</v>
      </c>
      <c r="G7120" t="str">
        <f>INDEX(Lists!H:H,MATCH(Validation!E7120,Lists!G:G,0))</f>
        <v>Skip this line for this loan type. Enter a Non-TIF fund/account on next line instead.</v>
      </c>
      <c r="H7120" s="16" t="str">
        <f t="shared" ca="1" si="819"/>
        <v/>
      </c>
      <c r="I7120" s="16" t="str">
        <f t="shared" ca="1" si="820"/>
        <v/>
      </c>
      <c r="J7120" s="17" t="str">
        <f t="shared" ca="1" si="821"/>
        <v/>
      </c>
    </row>
    <row r="7121" spans="1:10" x14ac:dyDescent="0.25">
      <c r="A7121" t="s">
        <v>953</v>
      </c>
      <c r="B7121" t="str">
        <f>ADDRESS(ROW(DFLoan1!B$8),COLUMN(DFLoan1!B$8),4)</f>
        <v>B8</v>
      </c>
      <c r="C7121" t="str">
        <f>ADDRESS(ROW(DFLoan1!C$8),COLUMN(DFLoan1!C$8),4)</f>
        <v>C8</v>
      </c>
      <c r="D7121" t="b" cm="1">
        <f t="array" aca="1" ref="D7121" ca="1">IF(INDIRECT("'"&amp;A7121&amp;"'!$B$7")=Lists!$AH$5,TRUE,FALSE)</f>
        <v>0</v>
      </c>
      <c r="E7121" t="s">
        <v>924</v>
      </c>
      <c r="F7121" t="str">
        <f>INDEX(Lists!I:I,MATCH(Validation!E7121,Lists!G:G,0))</f>
        <v>Information</v>
      </c>
      <c r="G7121" t="str">
        <f>INDEX(Lists!H:H,MATCH(Validation!E7121,Lists!G:G,0))</f>
        <v>Skip this line for this loan type. Enter a Non-TIF fund/account on next line instead.</v>
      </c>
      <c r="H7121" s="16" t="str">
        <f t="shared" ca="1" si="819"/>
        <v/>
      </c>
      <c r="I7121" s="16" t="str">
        <f t="shared" ca="1" si="820"/>
        <v/>
      </c>
      <c r="J7121" s="17" t="str">
        <f t="shared" ca="1" si="821"/>
        <v/>
      </c>
    </row>
    <row r="7122" spans="1:10" x14ac:dyDescent="0.25">
      <c r="A7122" t="s">
        <v>954</v>
      </c>
      <c r="B7122" t="str">
        <f>ADDRESS(ROW(DFLoan1!B$8),COLUMN(DFLoan1!B$8),4)</f>
        <v>B8</v>
      </c>
      <c r="C7122" t="str">
        <f>ADDRESS(ROW(DFLoan1!C$8),COLUMN(DFLoan1!C$8),4)</f>
        <v>C8</v>
      </c>
      <c r="D7122" t="b" cm="1">
        <f t="array" aca="1" ref="D7122" ca="1">IF(INDIRECT("'"&amp;A7122&amp;"'!$B$7")=Lists!$AH$5,TRUE,FALSE)</f>
        <v>0</v>
      </c>
      <c r="E7122" t="s">
        <v>924</v>
      </c>
      <c r="F7122" t="str">
        <f>INDEX(Lists!I:I,MATCH(Validation!E7122,Lists!G:G,0))</f>
        <v>Information</v>
      </c>
      <c r="G7122" t="str">
        <f>INDEX(Lists!H:H,MATCH(Validation!E7122,Lists!G:G,0))</f>
        <v>Skip this line for this loan type. Enter a Non-TIF fund/account on next line instead.</v>
      </c>
      <c r="H7122" s="16" t="str">
        <f t="shared" ca="1" si="819"/>
        <v/>
      </c>
      <c r="I7122" s="16" t="str">
        <f t="shared" ca="1" si="820"/>
        <v/>
      </c>
      <c r="J7122" s="17" t="str">
        <f t="shared" ca="1" si="821"/>
        <v/>
      </c>
    </row>
    <row r="7123" spans="1:10" x14ac:dyDescent="0.25">
      <c r="A7123" t="s">
        <v>955</v>
      </c>
      <c r="B7123" t="str">
        <f>ADDRESS(ROW(DFLoan1!B$8),COLUMN(DFLoan1!B$8),4)</f>
        <v>B8</v>
      </c>
      <c r="C7123" t="str">
        <f>ADDRESS(ROW(DFLoan1!C$8),COLUMN(DFLoan1!C$8),4)</f>
        <v>C8</v>
      </c>
      <c r="D7123" t="b" cm="1">
        <f t="array" aca="1" ref="D7123" ca="1">IF(INDIRECT("'"&amp;A7123&amp;"'!$B$7")=Lists!$AH$5,TRUE,FALSE)</f>
        <v>0</v>
      </c>
      <c r="E7123" t="s">
        <v>924</v>
      </c>
      <c r="F7123" t="str">
        <f>INDEX(Lists!I:I,MATCH(Validation!E7123,Lists!G:G,0))</f>
        <v>Information</v>
      </c>
      <c r="G7123" t="str">
        <f>INDEX(Lists!H:H,MATCH(Validation!E7123,Lists!G:G,0))</f>
        <v>Skip this line for this loan type. Enter a Non-TIF fund/account on next line instead.</v>
      </c>
      <c r="H7123" s="16" t="str">
        <f t="shared" ca="1" si="819"/>
        <v/>
      </c>
      <c r="I7123" s="16" t="str">
        <f t="shared" ca="1" si="820"/>
        <v/>
      </c>
      <c r="J7123" s="17" t="str">
        <f t="shared" ca="1" si="821"/>
        <v/>
      </c>
    </row>
    <row r="7124" spans="1:10" x14ac:dyDescent="0.25">
      <c r="A7124" t="s">
        <v>956</v>
      </c>
      <c r="B7124" t="str">
        <f>ADDRESS(ROW(DFLoan1!B$8),COLUMN(DFLoan1!B$8),4)</f>
        <v>B8</v>
      </c>
      <c r="C7124" t="str">
        <f>ADDRESS(ROW(DFLoan1!C$8),COLUMN(DFLoan1!C$8),4)</f>
        <v>C8</v>
      </c>
      <c r="D7124" t="b" cm="1">
        <f t="array" aca="1" ref="D7124" ca="1">IF(INDIRECT("'"&amp;A7124&amp;"'!$B$7")=Lists!$AH$5,TRUE,FALSE)</f>
        <v>0</v>
      </c>
      <c r="E7124" t="s">
        <v>924</v>
      </c>
      <c r="F7124" t="str">
        <f>INDEX(Lists!I:I,MATCH(Validation!E7124,Lists!G:G,0))</f>
        <v>Information</v>
      </c>
      <c r="G7124" t="str">
        <f>INDEX(Lists!H:H,MATCH(Validation!E7124,Lists!G:G,0))</f>
        <v>Skip this line for this loan type. Enter a Non-TIF fund/account on next line instead.</v>
      </c>
      <c r="H7124" s="16" t="str">
        <f t="shared" ca="1" si="819"/>
        <v/>
      </c>
      <c r="I7124" s="16" t="str">
        <f t="shared" ca="1" si="820"/>
        <v/>
      </c>
      <c r="J7124" s="17" t="str">
        <f t="shared" ca="1" si="821"/>
        <v/>
      </c>
    </row>
    <row r="7125" spans="1:10" x14ac:dyDescent="0.25">
      <c r="A7125" t="s">
        <v>957</v>
      </c>
      <c r="B7125" t="str">
        <f>ADDRESS(ROW(DFLoan1!B$8),COLUMN(DFLoan1!B$8),4)</f>
        <v>B8</v>
      </c>
      <c r="C7125" t="str">
        <f>ADDRESS(ROW(DFLoan1!C$8),COLUMN(DFLoan1!C$8),4)</f>
        <v>C8</v>
      </c>
      <c r="D7125" t="b" cm="1">
        <f t="array" aca="1" ref="D7125" ca="1">IF(INDIRECT("'"&amp;A7125&amp;"'!$B$7")=Lists!$AH$5,TRUE,FALSE)</f>
        <v>0</v>
      </c>
      <c r="E7125" t="s">
        <v>924</v>
      </c>
      <c r="F7125" t="str">
        <f>INDEX(Lists!I:I,MATCH(Validation!E7125,Lists!G:G,0))</f>
        <v>Information</v>
      </c>
      <c r="G7125" t="str">
        <f>INDEX(Lists!H:H,MATCH(Validation!E7125,Lists!G:G,0))</f>
        <v>Skip this line for this loan type. Enter a Non-TIF fund/account on next line instead.</v>
      </c>
      <c r="H7125" s="16" t="str">
        <f t="shared" ca="1" si="819"/>
        <v/>
      </c>
      <c r="I7125" s="16" t="str">
        <f t="shared" ca="1" si="820"/>
        <v/>
      </c>
      <c r="J7125" s="17" t="str">
        <f t="shared" ca="1" si="821"/>
        <v/>
      </c>
    </row>
    <row r="7126" spans="1:10" x14ac:dyDescent="0.25">
      <c r="A7126" t="s">
        <v>958</v>
      </c>
      <c r="B7126" t="str">
        <f>ADDRESS(ROW(DFLoan1!B$8),COLUMN(DFLoan1!B$8),4)</f>
        <v>B8</v>
      </c>
      <c r="C7126" t="str">
        <f>ADDRESS(ROW(DFLoan1!C$8),COLUMN(DFLoan1!C$8),4)</f>
        <v>C8</v>
      </c>
      <c r="D7126" t="b" cm="1">
        <f t="array" aca="1" ref="D7126" ca="1">IF(INDIRECT("'"&amp;A7126&amp;"'!$B$7")=Lists!$AH$5,TRUE,FALSE)</f>
        <v>0</v>
      </c>
      <c r="E7126" t="s">
        <v>924</v>
      </c>
      <c r="F7126" t="str">
        <f>INDEX(Lists!I:I,MATCH(Validation!E7126,Lists!G:G,0))</f>
        <v>Information</v>
      </c>
      <c r="G7126" t="str">
        <f>INDEX(Lists!H:H,MATCH(Validation!E7126,Lists!G:G,0))</f>
        <v>Skip this line for this loan type. Enter a Non-TIF fund/account on next line instead.</v>
      </c>
      <c r="H7126" s="16" t="str">
        <f t="shared" ca="1" si="819"/>
        <v/>
      </c>
      <c r="I7126" s="16" t="str">
        <f t="shared" ca="1" si="820"/>
        <v/>
      </c>
      <c r="J7126" s="17" t="str">
        <f t="shared" ca="1" si="821"/>
        <v/>
      </c>
    </row>
    <row r="7127" spans="1:10" x14ac:dyDescent="0.25">
      <c r="A7127" t="s">
        <v>959</v>
      </c>
      <c r="B7127" t="str">
        <f>ADDRESS(ROW(DFLoan1!B$8),COLUMN(DFLoan1!B$8),4)</f>
        <v>B8</v>
      </c>
      <c r="C7127" t="str">
        <f>ADDRESS(ROW(DFLoan1!C$8),COLUMN(DFLoan1!C$8),4)</f>
        <v>C8</v>
      </c>
      <c r="D7127" t="b" cm="1">
        <f t="array" aca="1" ref="D7127" ca="1">IF(INDIRECT("'"&amp;A7127&amp;"'!$B$7")=Lists!$AH$5,TRUE,FALSE)</f>
        <v>0</v>
      </c>
      <c r="E7127" t="s">
        <v>924</v>
      </c>
      <c r="F7127" t="str">
        <f>INDEX(Lists!I:I,MATCH(Validation!E7127,Lists!G:G,0))</f>
        <v>Information</v>
      </c>
      <c r="G7127" t="str">
        <f>INDEX(Lists!H:H,MATCH(Validation!E7127,Lists!G:G,0))</f>
        <v>Skip this line for this loan type. Enter a Non-TIF fund/account on next line instead.</v>
      </c>
      <c r="H7127" s="16" t="str">
        <f t="shared" ca="1" si="819"/>
        <v/>
      </c>
      <c r="I7127" s="16" t="str">
        <f t="shared" ca="1" si="820"/>
        <v/>
      </c>
      <c r="J7127" s="17" t="str">
        <f t="shared" ca="1" si="821"/>
        <v/>
      </c>
    </row>
    <row r="7128" spans="1:10" x14ac:dyDescent="0.25">
      <c r="A7128" t="s">
        <v>960</v>
      </c>
      <c r="B7128" t="str">
        <f>ADDRESS(ROW(DFLoan1!B$8),COLUMN(DFLoan1!B$8),4)</f>
        <v>B8</v>
      </c>
      <c r="C7128" t="str">
        <f>ADDRESS(ROW(DFLoan1!C$8),COLUMN(DFLoan1!C$8),4)</f>
        <v>C8</v>
      </c>
      <c r="D7128" t="b" cm="1">
        <f t="array" aca="1" ref="D7128" ca="1">IF(INDIRECT("'"&amp;A7128&amp;"'!$B$7")=Lists!$AH$5,TRUE,FALSE)</f>
        <v>0</v>
      </c>
      <c r="E7128" t="s">
        <v>924</v>
      </c>
      <c r="F7128" t="str">
        <f>INDEX(Lists!I:I,MATCH(Validation!E7128,Lists!G:G,0))</f>
        <v>Information</v>
      </c>
      <c r="G7128" t="str">
        <f>INDEX(Lists!H:H,MATCH(Validation!E7128,Lists!G:G,0))</f>
        <v>Skip this line for this loan type. Enter a Non-TIF fund/account on next line instead.</v>
      </c>
      <c r="H7128" s="16" t="str">
        <f t="shared" ca="1" si="819"/>
        <v/>
      </c>
      <c r="I7128" s="16" t="str">
        <f t="shared" ca="1" si="820"/>
        <v/>
      </c>
      <c r="J7128" s="17" t="str">
        <f t="shared" ca="1" si="821"/>
        <v/>
      </c>
    </row>
    <row r="7129" spans="1:10" x14ac:dyDescent="0.25">
      <c r="A7129" t="s">
        <v>961</v>
      </c>
      <c r="B7129" t="str">
        <f>ADDRESS(ROW(DFLoan1!B$8),COLUMN(DFLoan1!B$8),4)</f>
        <v>B8</v>
      </c>
      <c r="C7129" t="str">
        <f>ADDRESS(ROW(DFLoan1!C$8),COLUMN(DFLoan1!C$8),4)</f>
        <v>C8</v>
      </c>
      <c r="D7129" t="b" cm="1">
        <f t="array" aca="1" ref="D7129" ca="1">IF(INDIRECT("'"&amp;A7129&amp;"'!$B$7")=Lists!$AH$5,TRUE,FALSE)</f>
        <v>0</v>
      </c>
      <c r="E7129" t="s">
        <v>924</v>
      </c>
      <c r="F7129" t="str">
        <f>INDEX(Lists!I:I,MATCH(Validation!E7129,Lists!G:G,0))</f>
        <v>Information</v>
      </c>
      <c r="G7129" t="str">
        <f>INDEX(Lists!H:H,MATCH(Validation!E7129,Lists!G:G,0))</f>
        <v>Skip this line for this loan type. Enter a Non-TIF fund/account on next line instead.</v>
      </c>
      <c r="H7129" s="16" t="str">
        <f t="shared" ca="1" si="819"/>
        <v/>
      </c>
      <c r="I7129" s="16" t="str">
        <f t="shared" ca="1" si="820"/>
        <v/>
      </c>
      <c r="J7129" s="17" t="str">
        <f t="shared" ca="1" si="821"/>
        <v/>
      </c>
    </row>
    <row r="7130" spans="1:10" x14ac:dyDescent="0.25">
      <c r="A7130" t="s">
        <v>962</v>
      </c>
      <c r="B7130" t="str">
        <f>ADDRESS(ROW(DFLoan1!B$8),COLUMN(DFLoan1!B$8),4)</f>
        <v>B8</v>
      </c>
      <c r="C7130" t="str">
        <f>ADDRESS(ROW(DFLoan1!C$8),COLUMN(DFLoan1!C$8),4)</f>
        <v>C8</v>
      </c>
      <c r="D7130" t="b" cm="1">
        <f t="array" aca="1" ref="D7130" ca="1">IF(INDIRECT("'"&amp;A7130&amp;"'!$B$7")=Lists!$AH$5,TRUE,FALSE)</f>
        <v>0</v>
      </c>
      <c r="E7130" t="s">
        <v>924</v>
      </c>
      <c r="F7130" t="str">
        <f>INDEX(Lists!I:I,MATCH(Validation!E7130,Lists!G:G,0))</f>
        <v>Information</v>
      </c>
      <c r="G7130" t="str">
        <f>INDEX(Lists!H:H,MATCH(Validation!E7130,Lists!G:G,0))</f>
        <v>Skip this line for this loan type. Enter a Non-TIF fund/account on next line instead.</v>
      </c>
      <c r="H7130" s="16" t="str">
        <f t="shared" ca="1" si="819"/>
        <v/>
      </c>
      <c r="I7130" s="16" t="str">
        <f t="shared" ca="1" si="820"/>
        <v/>
      </c>
      <c r="J7130" s="17" t="str">
        <f t="shared" ca="1" si="821"/>
        <v/>
      </c>
    </row>
    <row r="7131" spans="1:10" x14ac:dyDescent="0.25">
      <c r="A7131" t="s">
        <v>963</v>
      </c>
      <c r="B7131" t="str">
        <f>ADDRESS(ROW(DFLoan1!B$8),COLUMN(DFLoan1!B$8),4)</f>
        <v>B8</v>
      </c>
      <c r="C7131" t="str">
        <f>ADDRESS(ROW(DFLoan1!C$8),COLUMN(DFLoan1!C$8),4)</f>
        <v>C8</v>
      </c>
      <c r="D7131" t="b" cm="1">
        <f t="array" aca="1" ref="D7131" ca="1">IF(INDIRECT("'"&amp;A7131&amp;"'!$B$7")=Lists!$AH$5,TRUE,FALSE)</f>
        <v>0</v>
      </c>
      <c r="E7131" t="s">
        <v>924</v>
      </c>
      <c r="F7131" t="str">
        <f>INDEX(Lists!I:I,MATCH(Validation!E7131,Lists!G:G,0))</f>
        <v>Information</v>
      </c>
      <c r="G7131" t="str">
        <f>INDEX(Lists!H:H,MATCH(Validation!E7131,Lists!G:G,0))</f>
        <v>Skip this line for this loan type. Enter a Non-TIF fund/account on next line instead.</v>
      </c>
      <c r="H7131" s="16" t="str">
        <f t="shared" ca="1" si="819"/>
        <v/>
      </c>
      <c r="I7131" s="16" t="str">
        <f t="shared" ca="1" si="820"/>
        <v/>
      </c>
      <c r="J7131" s="17" t="str">
        <f t="shared" ca="1" si="821"/>
        <v/>
      </c>
    </row>
    <row r="7132" spans="1:10" x14ac:dyDescent="0.25">
      <c r="A7132" t="s">
        <v>964</v>
      </c>
      <c r="B7132" t="str">
        <f>ADDRESS(ROW(DFLoan1!B$8),COLUMN(DFLoan1!B$8),4)</f>
        <v>B8</v>
      </c>
      <c r="C7132" t="str">
        <f>ADDRESS(ROW(DFLoan1!C$8),COLUMN(DFLoan1!C$8),4)</f>
        <v>C8</v>
      </c>
      <c r="D7132" t="b" cm="1">
        <f t="array" aca="1" ref="D7132" ca="1">IF(INDIRECT("'"&amp;A7132&amp;"'!$B$7")=Lists!$AH$5,TRUE,FALSE)</f>
        <v>0</v>
      </c>
      <c r="E7132" t="s">
        <v>924</v>
      </c>
      <c r="F7132" t="str">
        <f>INDEX(Lists!I:I,MATCH(Validation!E7132,Lists!G:G,0))</f>
        <v>Information</v>
      </c>
      <c r="G7132" t="str">
        <f>INDEX(Lists!H:H,MATCH(Validation!E7132,Lists!G:G,0))</f>
        <v>Skip this line for this loan type. Enter a Non-TIF fund/account on next line instead.</v>
      </c>
      <c r="H7132" s="16" t="str">
        <f t="shared" ca="1" si="819"/>
        <v/>
      </c>
      <c r="I7132" s="16" t="str">
        <f t="shared" ca="1" si="820"/>
        <v/>
      </c>
      <c r="J7132" s="17" t="str">
        <f t="shared" ca="1" si="821"/>
        <v/>
      </c>
    </row>
    <row r="7133" spans="1:10" x14ac:dyDescent="0.25">
      <c r="A7133" t="s">
        <v>965</v>
      </c>
      <c r="B7133" t="str">
        <f>ADDRESS(ROW(DFLoan1!B$8),COLUMN(DFLoan1!B$8),4)</f>
        <v>B8</v>
      </c>
      <c r="C7133" t="str">
        <f>ADDRESS(ROW(DFLoan1!C$8),COLUMN(DFLoan1!C$8),4)</f>
        <v>C8</v>
      </c>
      <c r="D7133" t="b" cm="1">
        <f t="array" aca="1" ref="D7133" ca="1">IF(INDIRECT("'"&amp;A7133&amp;"'!$B$7")=Lists!$AH$5,TRUE,FALSE)</f>
        <v>0</v>
      </c>
      <c r="E7133" t="s">
        <v>924</v>
      </c>
      <c r="F7133" t="str">
        <f>INDEX(Lists!I:I,MATCH(Validation!E7133,Lists!G:G,0))</f>
        <v>Information</v>
      </c>
      <c r="G7133" t="str">
        <f>INDEX(Lists!H:H,MATCH(Validation!E7133,Lists!G:G,0))</f>
        <v>Skip this line for this loan type. Enter a Non-TIF fund/account on next line instead.</v>
      </c>
      <c r="H7133" s="16" t="str">
        <f t="shared" ca="1" si="819"/>
        <v/>
      </c>
      <c r="I7133" s="16" t="str">
        <f t="shared" ca="1" si="820"/>
        <v/>
      </c>
      <c r="J7133" s="17" t="str">
        <f t="shared" ca="1" si="821"/>
        <v/>
      </c>
    </row>
    <row r="7134" spans="1:10" x14ac:dyDescent="0.25">
      <c r="A7134" t="s">
        <v>966</v>
      </c>
      <c r="B7134" t="str">
        <f>ADDRESS(ROW(DFLoan1!B$8),COLUMN(DFLoan1!B$8),4)</f>
        <v>B8</v>
      </c>
      <c r="C7134" t="str">
        <f>ADDRESS(ROW(DFLoan1!C$8),COLUMN(DFLoan1!C$8),4)</f>
        <v>C8</v>
      </c>
      <c r="D7134" t="b" cm="1">
        <f t="array" aca="1" ref="D7134" ca="1">IF(INDIRECT("'"&amp;A7134&amp;"'!$B$7")=Lists!$AH$5,TRUE,FALSE)</f>
        <v>0</v>
      </c>
      <c r="E7134" t="s">
        <v>924</v>
      </c>
      <c r="F7134" t="str">
        <f>INDEX(Lists!I:I,MATCH(Validation!E7134,Lists!G:G,0))</f>
        <v>Information</v>
      </c>
      <c r="G7134" t="str">
        <f>INDEX(Lists!H:H,MATCH(Validation!E7134,Lists!G:G,0))</f>
        <v>Skip this line for this loan type. Enter a Non-TIF fund/account on next line instead.</v>
      </c>
      <c r="H7134" s="16" t="str">
        <f t="shared" ca="1" si="819"/>
        <v/>
      </c>
      <c r="I7134" s="16" t="str">
        <f t="shared" ca="1" si="820"/>
        <v/>
      </c>
      <c r="J7134" s="17" t="str">
        <f t="shared" ca="1" si="821"/>
        <v/>
      </c>
    </row>
    <row r="7135" spans="1:10" x14ac:dyDescent="0.25">
      <c r="A7135" t="s">
        <v>881</v>
      </c>
      <c r="B7135" t="str">
        <f>ADDRESS(ROW(DFLoan1!B$9),COLUMN(DFLoan1!B$9),4)</f>
        <v>B9</v>
      </c>
      <c r="C7135" t="str">
        <f>ADDRESS(ROW(DFLoan1!C$9),COLUMN(DFLoan1!C$9),4)</f>
        <v>C9</v>
      </c>
      <c r="D7135" t="b" cm="1">
        <f t="array" aca="1" ref="D7135" ca="1">IF(AND(INDIRECT("'"&amp;A7135&amp;"'!$B$7")=Lists!$AH$5,OR(INDIRECT("'"&amp;A7135&amp;"'!"&amp;B7135)="",ISBLANK(INDIRECT("'"&amp;A7135&amp;"'!"&amp;B7135)))),TRUE,FALSE)</f>
        <v>0</v>
      </c>
      <c r="E7135" t="s">
        <v>495</v>
      </c>
      <c r="F7135" t="str">
        <f>INDEX(Lists!I:I,MATCH(Validation!E7135,Lists!G:G,0))</f>
        <v>Error</v>
      </c>
      <c r="G7135" t="str">
        <f>INDEX(Lists!H:H,MATCH(Validation!E7135,Lists!G:G,0))</f>
        <v>Entry required.</v>
      </c>
      <c r="H7135" s="16" t="str">
        <f t="shared" ca="1" si="819"/>
        <v/>
      </c>
      <c r="I7135" s="16" t="str">
        <f t="shared" ca="1" si="820"/>
        <v/>
      </c>
      <c r="J7135" s="17" t="str">
        <f t="shared" ca="1" si="821"/>
        <v/>
      </c>
    </row>
    <row r="7136" spans="1:10" x14ac:dyDescent="0.25">
      <c r="A7136" t="s">
        <v>953</v>
      </c>
      <c r="B7136" t="str">
        <f>ADDRESS(ROW(DFLoan1!B$9),COLUMN(DFLoan1!B$9),4)</f>
        <v>B9</v>
      </c>
      <c r="C7136" t="str">
        <f>ADDRESS(ROW(DFLoan1!C$9),COLUMN(DFLoan1!C$9),4)</f>
        <v>C9</v>
      </c>
      <c r="D7136" t="b" cm="1">
        <f t="array" aca="1" ref="D7136" ca="1">IF(AND(INDIRECT("'"&amp;A7136&amp;"'!$B$7")=Lists!$AH$5,OR(INDIRECT("'"&amp;A7136&amp;"'!"&amp;B7136)="",ISBLANK(INDIRECT("'"&amp;A7136&amp;"'!"&amp;B7136)))),TRUE,FALSE)</f>
        <v>0</v>
      </c>
      <c r="E7136" t="s">
        <v>495</v>
      </c>
      <c r="F7136" t="str">
        <f>INDEX(Lists!I:I,MATCH(Validation!E7136,Lists!G:G,0))</f>
        <v>Error</v>
      </c>
      <c r="G7136" t="str">
        <f>INDEX(Lists!H:H,MATCH(Validation!E7136,Lists!G:G,0))</f>
        <v>Entry required.</v>
      </c>
      <c r="H7136" s="16" t="str">
        <f t="shared" ca="1" si="819"/>
        <v/>
      </c>
      <c r="I7136" s="16" t="str">
        <f t="shared" ca="1" si="820"/>
        <v/>
      </c>
      <c r="J7136" s="17" t="str">
        <f t="shared" ca="1" si="821"/>
        <v/>
      </c>
    </row>
    <row r="7137" spans="1:10" x14ac:dyDescent="0.25">
      <c r="A7137" t="s">
        <v>954</v>
      </c>
      <c r="B7137" t="str">
        <f>ADDRESS(ROW(DFLoan1!B$9),COLUMN(DFLoan1!B$9),4)</f>
        <v>B9</v>
      </c>
      <c r="C7137" t="str">
        <f>ADDRESS(ROW(DFLoan1!C$9),COLUMN(DFLoan1!C$9),4)</f>
        <v>C9</v>
      </c>
      <c r="D7137" t="b" cm="1">
        <f t="array" aca="1" ref="D7137" ca="1">IF(AND(INDIRECT("'"&amp;A7137&amp;"'!$B$7")=Lists!$AH$5,OR(INDIRECT("'"&amp;A7137&amp;"'!"&amp;B7137)="",ISBLANK(INDIRECT("'"&amp;A7137&amp;"'!"&amp;B7137)))),TRUE,FALSE)</f>
        <v>0</v>
      </c>
      <c r="E7137" t="s">
        <v>495</v>
      </c>
      <c r="F7137" t="str">
        <f>INDEX(Lists!I:I,MATCH(Validation!E7137,Lists!G:G,0))</f>
        <v>Error</v>
      </c>
      <c r="G7137" t="str">
        <f>INDEX(Lists!H:H,MATCH(Validation!E7137,Lists!G:G,0))</f>
        <v>Entry required.</v>
      </c>
      <c r="H7137" s="16" t="str">
        <f t="shared" ca="1" si="819"/>
        <v/>
      </c>
      <c r="I7137" s="16" t="str">
        <f t="shared" ca="1" si="820"/>
        <v/>
      </c>
      <c r="J7137" s="17" t="str">
        <f t="shared" ca="1" si="821"/>
        <v/>
      </c>
    </row>
    <row r="7138" spans="1:10" x14ac:dyDescent="0.25">
      <c r="A7138" t="s">
        <v>955</v>
      </c>
      <c r="B7138" t="str">
        <f>ADDRESS(ROW(DFLoan1!B$9),COLUMN(DFLoan1!B$9),4)</f>
        <v>B9</v>
      </c>
      <c r="C7138" t="str">
        <f>ADDRESS(ROW(DFLoan1!C$9),COLUMN(DFLoan1!C$9),4)</f>
        <v>C9</v>
      </c>
      <c r="D7138" t="b" cm="1">
        <f t="array" aca="1" ref="D7138" ca="1">IF(AND(INDIRECT("'"&amp;A7138&amp;"'!$B$7")=Lists!$AH$5,OR(INDIRECT("'"&amp;A7138&amp;"'!"&amp;B7138)="",ISBLANK(INDIRECT("'"&amp;A7138&amp;"'!"&amp;B7138)))),TRUE,FALSE)</f>
        <v>0</v>
      </c>
      <c r="E7138" t="s">
        <v>495</v>
      </c>
      <c r="F7138" t="str">
        <f>INDEX(Lists!I:I,MATCH(Validation!E7138,Lists!G:G,0))</f>
        <v>Error</v>
      </c>
      <c r="G7138" t="str">
        <f>INDEX(Lists!H:H,MATCH(Validation!E7138,Lists!G:G,0))</f>
        <v>Entry required.</v>
      </c>
      <c r="H7138" s="16" t="str">
        <f t="shared" ca="1" si="819"/>
        <v/>
      </c>
      <c r="I7138" s="16" t="str">
        <f t="shared" ca="1" si="820"/>
        <v/>
      </c>
      <c r="J7138" s="17" t="str">
        <f t="shared" ca="1" si="821"/>
        <v/>
      </c>
    </row>
    <row r="7139" spans="1:10" x14ac:dyDescent="0.25">
      <c r="A7139" t="s">
        <v>956</v>
      </c>
      <c r="B7139" t="str">
        <f>ADDRESS(ROW(DFLoan1!B$9),COLUMN(DFLoan1!B$9),4)</f>
        <v>B9</v>
      </c>
      <c r="C7139" t="str">
        <f>ADDRESS(ROW(DFLoan1!C$9),COLUMN(DFLoan1!C$9),4)</f>
        <v>C9</v>
      </c>
      <c r="D7139" t="b" cm="1">
        <f t="array" aca="1" ref="D7139" ca="1">IF(AND(INDIRECT("'"&amp;A7139&amp;"'!$B$7")=Lists!$AH$5,OR(INDIRECT("'"&amp;A7139&amp;"'!"&amp;B7139)="",ISBLANK(INDIRECT("'"&amp;A7139&amp;"'!"&amp;B7139)))),TRUE,FALSE)</f>
        <v>0</v>
      </c>
      <c r="E7139" t="s">
        <v>495</v>
      </c>
      <c r="F7139" t="str">
        <f>INDEX(Lists!I:I,MATCH(Validation!E7139,Lists!G:G,0))</f>
        <v>Error</v>
      </c>
      <c r="G7139" t="str">
        <f>INDEX(Lists!H:H,MATCH(Validation!E7139,Lists!G:G,0))</f>
        <v>Entry required.</v>
      </c>
      <c r="H7139" s="16" t="str">
        <f t="shared" ca="1" si="819"/>
        <v/>
      </c>
      <c r="I7139" s="16" t="str">
        <f t="shared" ca="1" si="820"/>
        <v/>
      </c>
      <c r="J7139" s="17" t="str">
        <f t="shared" ca="1" si="821"/>
        <v/>
      </c>
    </row>
    <row r="7140" spans="1:10" x14ac:dyDescent="0.25">
      <c r="A7140" t="s">
        <v>957</v>
      </c>
      <c r="B7140" t="str">
        <f>ADDRESS(ROW(DFLoan1!B$9),COLUMN(DFLoan1!B$9),4)</f>
        <v>B9</v>
      </c>
      <c r="C7140" t="str">
        <f>ADDRESS(ROW(DFLoan1!C$9),COLUMN(DFLoan1!C$9),4)</f>
        <v>C9</v>
      </c>
      <c r="D7140" t="b" cm="1">
        <f t="array" aca="1" ref="D7140" ca="1">IF(AND(INDIRECT("'"&amp;A7140&amp;"'!$B$7")=Lists!$AH$5,OR(INDIRECT("'"&amp;A7140&amp;"'!"&amp;B7140)="",ISBLANK(INDIRECT("'"&amp;A7140&amp;"'!"&amp;B7140)))),TRUE,FALSE)</f>
        <v>0</v>
      </c>
      <c r="E7140" t="s">
        <v>495</v>
      </c>
      <c r="F7140" t="str">
        <f>INDEX(Lists!I:I,MATCH(Validation!E7140,Lists!G:G,0))</f>
        <v>Error</v>
      </c>
      <c r="G7140" t="str">
        <f>INDEX(Lists!H:H,MATCH(Validation!E7140,Lists!G:G,0))</f>
        <v>Entry required.</v>
      </c>
      <c r="H7140" s="16" t="str">
        <f t="shared" ca="1" si="819"/>
        <v/>
      </c>
      <c r="I7140" s="16" t="str">
        <f t="shared" ca="1" si="820"/>
        <v/>
      </c>
      <c r="J7140" s="17" t="str">
        <f t="shared" ca="1" si="821"/>
        <v/>
      </c>
    </row>
    <row r="7141" spans="1:10" x14ac:dyDescent="0.25">
      <c r="A7141" t="s">
        <v>958</v>
      </c>
      <c r="B7141" t="str">
        <f>ADDRESS(ROW(DFLoan1!B$9),COLUMN(DFLoan1!B$9),4)</f>
        <v>B9</v>
      </c>
      <c r="C7141" t="str">
        <f>ADDRESS(ROW(DFLoan1!C$9),COLUMN(DFLoan1!C$9),4)</f>
        <v>C9</v>
      </c>
      <c r="D7141" t="b" cm="1">
        <f t="array" aca="1" ref="D7141" ca="1">IF(AND(INDIRECT("'"&amp;A7141&amp;"'!$B$7")=Lists!$AH$5,OR(INDIRECT("'"&amp;A7141&amp;"'!"&amp;B7141)="",ISBLANK(INDIRECT("'"&amp;A7141&amp;"'!"&amp;B7141)))),TRUE,FALSE)</f>
        <v>0</v>
      </c>
      <c r="E7141" t="s">
        <v>495</v>
      </c>
      <c r="F7141" t="str">
        <f>INDEX(Lists!I:I,MATCH(Validation!E7141,Lists!G:G,0))</f>
        <v>Error</v>
      </c>
      <c r="G7141" t="str">
        <f>INDEX(Lists!H:H,MATCH(Validation!E7141,Lists!G:G,0))</f>
        <v>Entry required.</v>
      </c>
      <c r="H7141" s="16" t="str">
        <f t="shared" ca="1" si="819"/>
        <v/>
      </c>
      <c r="I7141" s="16" t="str">
        <f t="shared" ca="1" si="820"/>
        <v/>
      </c>
      <c r="J7141" s="17" t="str">
        <f t="shared" ca="1" si="821"/>
        <v/>
      </c>
    </row>
    <row r="7142" spans="1:10" x14ac:dyDescent="0.25">
      <c r="A7142" t="s">
        <v>959</v>
      </c>
      <c r="B7142" t="str">
        <f>ADDRESS(ROW(DFLoan1!B$9),COLUMN(DFLoan1!B$9),4)</f>
        <v>B9</v>
      </c>
      <c r="C7142" t="str">
        <f>ADDRESS(ROW(DFLoan1!C$9),COLUMN(DFLoan1!C$9),4)</f>
        <v>C9</v>
      </c>
      <c r="D7142" t="b" cm="1">
        <f t="array" aca="1" ref="D7142" ca="1">IF(AND(INDIRECT("'"&amp;A7142&amp;"'!$B$7")=Lists!$AH$5,OR(INDIRECT("'"&amp;A7142&amp;"'!"&amp;B7142)="",ISBLANK(INDIRECT("'"&amp;A7142&amp;"'!"&amp;B7142)))),TRUE,FALSE)</f>
        <v>0</v>
      </c>
      <c r="E7142" t="s">
        <v>495</v>
      </c>
      <c r="F7142" t="str">
        <f>INDEX(Lists!I:I,MATCH(Validation!E7142,Lists!G:G,0))</f>
        <v>Error</v>
      </c>
      <c r="G7142" t="str">
        <f>INDEX(Lists!H:H,MATCH(Validation!E7142,Lists!G:G,0))</f>
        <v>Entry required.</v>
      </c>
      <c r="H7142" s="16" t="str">
        <f t="shared" ca="1" si="819"/>
        <v/>
      </c>
      <c r="I7142" s="16" t="str">
        <f t="shared" ca="1" si="820"/>
        <v/>
      </c>
      <c r="J7142" s="17" t="str">
        <f t="shared" ca="1" si="821"/>
        <v/>
      </c>
    </row>
    <row r="7143" spans="1:10" x14ac:dyDescent="0.25">
      <c r="A7143" t="s">
        <v>960</v>
      </c>
      <c r="B7143" t="str">
        <f>ADDRESS(ROW(DFLoan1!B$9),COLUMN(DFLoan1!B$9),4)</f>
        <v>B9</v>
      </c>
      <c r="C7143" t="str">
        <f>ADDRESS(ROW(DFLoan1!C$9),COLUMN(DFLoan1!C$9),4)</f>
        <v>C9</v>
      </c>
      <c r="D7143" t="b" cm="1">
        <f t="array" aca="1" ref="D7143" ca="1">IF(AND(INDIRECT("'"&amp;A7143&amp;"'!$B$7")=Lists!$AH$5,OR(INDIRECT("'"&amp;A7143&amp;"'!"&amp;B7143)="",ISBLANK(INDIRECT("'"&amp;A7143&amp;"'!"&amp;B7143)))),TRUE,FALSE)</f>
        <v>0</v>
      </c>
      <c r="E7143" t="s">
        <v>495</v>
      </c>
      <c r="F7143" t="str">
        <f>INDEX(Lists!I:I,MATCH(Validation!E7143,Lists!G:G,0))</f>
        <v>Error</v>
      </c>
      <c r="G7143" t="str">
        <f>INDEX(Lists!H:H,MATCH(Validation!E7143,Lists!G:G,0))</f>
        <v>Entry required.</v>
      </c>
      <c r="H7143" s="16" t="str">
        <f t="shared" ca="1" si="819"/>
        <v/>
      </c>
      <c r="I7143" s="16" t="str">
        <f t="shared" ca="1" si="820"/>
        <v/>
      </c>
      <c r="J7143" s="17" t="str">
        <f t="shared" ca="1" si="821"/>
        <v/>
      </c>
    </row>
    <row r="7144" spans="1:10" x14ac:dyDescent="0.25">
      <c r="A7144" t="s">
        <v>961</v>
      </c>
      <c r="B7144" t="str">
        <f>ADDRESS(ROW(DFLoan1!B$9),COLUMN(DFLoan1!B$9),4)</f>
        <v>B9</v>
      </c>
      <c r="C7144" t="str">
        <f>ADDRESS(ROW(DFLoan1!C$9),COLUMN(DFLoan1!C$9),4)</f>
        <v>C9</v>
      </c>
      <c r="D7144" t="b" cm="1">
        <f t="array" aca="1" ref="D7144" ca="1">IF(AND(INDIRECT("'"&amp;A7144&amp;"'!$B$7")=Lists!$AH$5,OR(INDIRECT("'"&amp;A7144&amp;"'!"&amp;B7144)="",ISBLANK(INDIRECT("'"&amp;A7144&amp;"'!"&amp;B7144)))),TRUE,FALSE)</f>
        <v>0</v>
      </c>
      <c r="E7144" t="s">
        <v>495</v>
      </c>
      <c r="F7144" t="str">
        <f>INDEX(Lists!I:I,MATCH(Validation!E7144,Lists!G:G,0))</f>
        <v>Error</v>
      </c>
      <c r="G7144" t="str">
        <f>INDEX(Lists!H:H,MATCH(Validation!E7144,Lists!G:G,0))</f>
        <v>Entry required.</v>
      </c>
      <c r="H7144" s="16" t="str">
        <f t="shared" ca="1" si="819"/>
        <v/>
      </c>
      <c r="I7144" s="16" t="str">
        <f t="shared" ca="1" si="820"/>
        <v/>
      </c>
      <c r="J7144" s="17" t="str">
        <f t="shared" ca="1" si="821"/>
        <v/>
      </c>
    </row>
    <row r="7145" spans="1:10" x14ac:dyDescent="0.25">
      <c r="A7145" t="s">
        <v>962</v>
      </c>
      <c r="B7145" t="str">
        <f>ADDRESS(ROW(DFLoan1!B$9),COLUMN(DFLoan1!B$9),4)</f>
        <v>B9</v>
      </c>
      <c r="C7145" t="str">
        <f>ADDRESS(ROW(DFLoan1!C$9),COLUMN(DFLoan1!C$9),4)</f>
        <v>C9</v>
      </c>
      <c r="D7145" t="b" cm="1">
        <f t="array" aca="1" ref="D7145" ca="1">IF(AND(INDIRECT("'"&amp;A7145&amp;"'!$B$7")=Lists!$AH$5,OR(INDIRECT("'"&amp;A7145&amp;"'!"&amp;B7145)="",ISBLANK(INDIRECT("'"&amp;A7145&amp;"'!"&amp;B7145)))),TRUE,FALSE)</f>
        <v>0</v>
      </c>
      <c r="E7145" t="s">
        <v>495</v>
      </c>
      <c r="F7145" t="str">
        <f>INDEX(Lists!I:I,MATCH(Validation!E7145,Lists!G:G,0))</f>
        <v>Error</v>
      </c>
      <c r="G7145" t="str">
        <f>INDEX(Lists!H:H,MATCH(Validation!E7145,Lists!G:G,0))</f>
        <v>Entry required.</v>
      </c>
      <c r="H7145" s="16" t="str">
        <f t="shared" ca="1" si="819"/>
        <v/>
      </c>
      <c r="I7145" s="16" t="str">
        <f t="shared" ca="1" si="820"/>
        <v/>
      </c>
      <c r="J7145" s="17" t="str">
        <f t="shared" ca="1" si="821"/>
        <v/>
      </c>
    </row>
    <row r="7146" spans="1:10" x14ac:dyDescent="0.25">
      <c r="A7146" t="s">
        <v>963</v>
      </c>
      <c r="B7146" t="str">
        <f>ADDRESS(ROW(DFLoan1!B$9),COLUMN(DFLoan1!B$9),4)</f>
        <v>B9</v>
      </c>
      <c r="C7146" t="str">
        <f>ADDRESS(ROW(DFLoan1!C$9),COLUMN(DFLoan1!C$9),4)</f>
        <v>C9</v>
      </c>
      <c r="D7146" t="b" cm="1">
        <f t="array" aca="1" ref="D7146" ca="1">IF(AND(INDIRECT("'"&amp;A7146&amp;"'!$B$7")=Lists!$AH$5,OR(INDIRECT("'"&amp;A7146&amp;"'!"&amp;B7146)="",ISBLANK(INDIRECT("'"&amp;A7146&amp;"'!"&amp;B7146)))),TRUE,FALSE)</f>
        <v>0</v>
      </c>
      <c r="E7146" t="s">
        <v>495</v>
      </c>
      <c r="F7146" t="str">
        <f>INDEX(Lists!I:I,MATCH(Validation!E7146,Lists!G:G,0))</f>
        <v>Error</v>
      </c>
      <c r="G7146" t="str">
        <f>INDEX(Lists!H:H,MATCH(Validation!E7146,Lists!G:G,0))</f>
        <v>Entry required.</v>
      </c>
      <c r="H7146" s="16" t="str">
        <f t="shared" ca="1" si="819"/>
        <v/>
      </c>
      <c r="I7146" s="16" t="str">
        <f t="shared" ca="1" si="820"/>
        <v/>
      </c>
      <c r="J7146" s="17" t="str">
        <f t="shared" ca="1" si="821"/>
        <v/>
      </c>
    </row>
    <row r="7147" spans="1:10" x14ac:dyDescent="0.25">
      <c r="A7147" t="s">
        <v>964</v>
      </c>
      <c r="B7147" t="str">
        <f>ADDRESS(ROW(DFLoan1!B$9),COLUMN(DFLoan1!B$9),4)</f>
        <v>B9</v>
      </c>
      <c r="C7147" t="str">
        <f>ADDRESS(ROW(DFLoan1!C$9),COLUMN(DFLoan1!C$9),4)</f>
        <v>C9</v>
      </c>
      <c r="D7147" t="b" cm="1">
        <f t="array" aca="1" ref="D7147" ca="1">IF(AND(INDIRECT("'"&amp;A7147&amp;"'!$B$7")=Lists!$AH$5,OR(INDIRECT("'"&amp;A7147&amp;"'!"&amp;B7147)="",ISBLANK(INDIRECT("'"&amp;A7147&amp;"'!"&amp;B7147)))),TRUE,FALSE)</f>
        <v>0</v>
      </c>
      <c r="E7147" t="s">
        <v>495</v>
      </c>
      <c r="F7147" t="str">
        <f>INDEX(Lists!I:I,MATCH(Validation!E7147,Lists!G:G,0))</f>
        <v>Error</v>
      </c>
      <c r="G7147" t="str">
        <f>INDEX(Lists!H:H,MATCH(Validation!E7147,Lists!G:G,0))</f>
        <v>Entry required.</v>
      </c>
      <c r="H7147" s="16" t="str">
        <f t="shared" ca="1" si="819"/>
        <v/>
      </c>
      <c r="I7147" s="16" t="str">
        <f t="shared" ca="1" si="820"/>
        <v/>
      </c>
      <c r="J7147" s="17" t="str">
        <f t="shared" ca="1" si="821"/>
        <v/>
      </c>
    </row>
    <row r="7148" spans="1:10" x14ac:dyDescent="0.25">
      <c r="A7148" t="s">
        <v>965</v>
      </c>
      <c r="B7148" t="str">
        <f>ADDRESS(ROW(DFLoan1!B$9),COLUMN(DFLoan1!B$9),4)</f>
        <v>B9</v>
      </c>
      <c r="C7148" t="str">
        <f>ADDRESS(ROW(DFLoan1!C$9),COLUMN(DFLoan1!C$9),4)</f>
        <v>C9</v>
      </c>
      <c r="D7148" t="b" cm="1">
        <f t="array" aca="1" ref="D7148" ca="1">IF(AND(INDIRECT("'"&amp;A7148&amp;"'!$B$7")=Lists!$AH$5,OR(INDIRECT("'"&amp;A7148&amp;"'!"&amp;B7148)="",ISBLANK(INDIRECT("'"&amp;A7148&amp;"'!"&amp;B7148)))),TRUE,FALSE)</f>
        <v>0</v>
      </c>
      <c r="E7148" t="s">
        <v>495</v>
      </c>
      <c r="F7148" t="str">
        <f>INDEX(Lists!I:I,MATCH(Validation!E7148,Lists!G:G,0))</f>
        <v>Error</v>
      </c>
      <c r="G7148" t="str">
        <f>INDEX(Lists!H:H,MATCH(Validation!E7148,Lists!G:G,0))</f>
        <v>Entry required.</v>
      </c>
      <c r="H7148" s="16" t="str">
        <f t="shared" ca="1" si="819"/>
        <v/>
      </c>
      <c r="I7148" s="16" t="str">
        <f t="shared" ca="1" si="820"/>
        <v/>
      </c>
      <c r="J7148" s="17" t="str">
        <f t="shared" ca="1" si="821"/>
        <v/>
      </c>
    </row>
    <row r="7149" spans="1:10" x14ac:dyDescent="0.25">
      <c r="A7149" t="s">
        <v>966</v>
      </c>
      <c r="B7149" t="str">
        <f>ADDRESS(ROW(DFLoan1!B$9),COLUMN(DFLoan1!B$9),4)</f>
        <v>B9</v>
      </c>
      <c r="C7149" t="str">
        <f>ADDRESS(ROW(DFLoan1!C$9),COLUMN(DFLoan1!C$9),4)</f>
        <v>C9</v>
      </c>
      <c r="D7149" t="b" cm="1">
        <f t="array" aca="1" ref="D7149" ca="1">IF(AND(INDIRECT("'"&amp;A7149&amp;"'!$B$7")=Lists!$AH$5,OR(INDIRECT("'"&amp;A7149&amp;"'!"&amp;B7149)="",ISBLANK(INDIRECT("'"&amp;A7149&amp;"'!"&amp;B7149)))),TRUE,FALSE)</f>
        <v>0</v>
      </c>
      <c r="E7149" t="s">
        <v>495</v>
      </c>
      <c r="F7149" t="str">
        <f>INDEX(Lists!I:I,MATCH(Validation!E7149,Lists!G:G,0))</f>
        <v>Error</v>
      </c>
      <c r="G7149" t="str">
        <f>INDEX(Lists!H:H,MATCH(Validation!E7149,Lists!G:G,0))</f>
        <v>Entry required.</v>
      </c>
      <c r="H7149" s="16" t="str">
        <f t="shared" ca="1" si="819"/>
        <v/>
      </c>
      <c r="I7149" s="16" t="str">
        <f t="shared" ca="1" si="820"/>
        <v/>
      </c>
      <c r="J7149" s="17" t="str">
        <f t="shared" ca="1" si="821"/>
        <v/>
      </c>
    </row>
    <row r="7150" spans="1:10" x14ac:dyDescent="0.25">
      <c r="A7150" t="s">
        <v>881</v>
      </c>
      <c r="B7150" t="str">
        <f>ADDRESS(ROW(DFLoan1!B$9),COLUMN(DFLoan1!B$9),4)</f>
        <v>B9</v>
      </c>
      <c r="C7150" t="str">
        <f>ADDRESS(ROW(DFLoan1!C$9),COLUMN(DFLoan1!C$9),4)</f>
        <v>C9</v>
      </c>
      <c r="D7150" t="b" cm="1">
        <f t="array" aca="1" ref="D7150" ca="1">IF(AND(INDIRECT("'"&amp;A7150&amp;"'!$B$7")=Lists!$AH$4,INDIRECT("'"&amp;A7150&amp;"'!"&amp;B7150)&lt;&gt;""),TRUE,FALSE)</f>
        <v>0</v>
      </c>
      <c r="E7150" t="s">
        <v>922</v>
      </c>
      <c r="F7150" t="str">
        <f>INDEX(Lists!I:I,MATCH(Validation!E7150,Lists!G:G,0))</f>
        <v>Error</v>
      </c>
      <c r="G7150" t="str">
        <f>INDEX(Lists!H:H,MATCH(Validation!E7150,Lists!G:G,0))</f>
        <v>Skip this line for this loan type. Select a district on prior line instead.</v>
      </c>
      <c r="H7150" s="16" t="str">
        <f t="shared" ca="1" si="819"/>
        <v/>
      </c>
      <c r="I7150" s="16" t="str">
        <f t="shared" ca="1" si="820"/>
        <v/>
      </c>
      <c r="J7150" s="17" t="str">
        <f t="shared" ca="1" si="821"/>
        <v/>
      </c>
    </row>
    <row r="7151" spans="1:10" x14ac:dyDescent="0.25">
      <c r="A7151" t="s">
        <v>953</v>
      </c>
      <c r="B7151" t="str">
        <f>ADDRESS(ROW(DFLoan1!B$9),COLUMN(DFLoan1!B$9),4)</f>
        <v>B9</v>
      </c>
      <c r="C7151" t="str">
        <f>ADDRESS(ROW(DFLoan1!C$9),COLUMN(DFLoan1!C$9),4)</f>
        <v>C9</v>
      </c>
      <c r="D7151" t="b" cm="1">
        <f t="array" aca="1" ref="D7151" ca="1">IF(AND(INDIRECT("'"&amp;A7151&amp;"'!$B$7")=Lists!$AH$4,INDIRECT("'"&amp;A7151&amp;"'!"&amp;B7151)&lt;&gt;""),TRUE,FALSE)</f>
        <v>0</v>
      </c>
      <c r="E7151" t="s">
        <v>922</v>
      </c>
      <c r="F7151" t="str">
        <f>INDEX(Lists!I:I,MATCH(Validation!E7151,Lists!G:G,0))</f>
        <v>Error</v>
      </c>
      <c r="G7151" t="str">
        <f>INDEX(Lists!H:H,MATCH(Validation!E7151,Lists!G:G,0))</f>
        <v>Skip this line for this loan type. Select a district on prior line instead.</v>
      </c>
      <c r="H7151" s="16" t="str">
        <f t="shared" ca="1" si="819"/>
        <v/>
      </c>
      <c r="I7151" s="16" t="str">
        <f t="shared" ca="1" si="820"/>
        <v/>
      </c>
      <c r="J7151" s="17" t="str">
        <f t="shared" ca="1" si="821"/>
        <v/>
      </c>
    </row>
    <row r="7152" spans="1:10" x14ac:dyDescent="0.25">
      <c r="A7152" t="s">
        <v>954</v>
      </c>
      <c r="B7152" t="str">
        <f>ADDRESS(ROW(DFLoan1!B$9),COLUMN(DFLoan1!B$9),4)</f>
        <v>B9</v>
      </c>
      <c r="C7152" t="str">
        <f>ADDRESS(ROW(DFLoan1!C$9),COLUMN(DFLoan1!C$9),4)</f>
        <v>C9</v>
      </c>
      <c r="D7152" t="b" cm="1">
        <f t="array" aca="1" ref="D7152" ca="1">IF(AND(INDIRECT("'"&amp;A7152&amp;"'!$B$7")=Lists!$AH$4,INDIRECT("'"&amp;A7152&amp;"'!"&amp;B7152)&lt;&gt;""),TRUE,FALSE)</f>
        <v>0</v>
      </c>
      <c r="E7152" t="s">
        <v>922</v>
      </c>
      <c r="F7152" t="str">
        <f>INDEX(Lists!I:I,MATCH(Validation!E7152,Lists!G:G,0))</f>
        <v>Error</v>
      </c>
      <c r="G7152" t="str">
        <f>INDEX(Lists!H:H,MATCH(Validation!E7152,Lists!G:G,0))</f>
        <v>Skip this line for this loan type. Select a district on prior line instead.</v>
      </c>
      <c r="H7152" s="16" t="str">
        <f t="shared" ca="1" si="819"/>
        <v/>
      </c>
      <c r="I7152" s="16" t="str">
        <f t="shared" ca="1" si="820"/>
        <v/>
      </c>
      <c r="J7152" s="17" t="str">
        <f t="shared" ca="1" si="821"/>
        <v/>
      </c>
    </row>
    <row r="7153" spans="1:10" x14ac:dyDescent="0.25">
      <c r="A7153" t="s">
        <v>955</v>
      </c>
      <c r="B7153" t="str">
        <f>ADDRESS(ROW(DFLoan1!B$9),COLUMN(DFLoan1!B$9),4)</f>
        <v>B9</v>
      </c>
      <c r="C7153" t="str">
        <f>ADDRESS(ROW(DFLoan1!C$9),COLUMN(DFLoan1!C$9),4)</f>
        <v>C9</v>
      </c>
      <c r="D7153" t="b" cm="1">
        <f t="array" aca="1" ref="D7153" ca="1">IF(AND(INDIRECT("'"&amp;A7153&amp;"'!$B$7")=Lists!$AH$4,INDIRECT("'"&amp;A7153&amp;"'!"&amp;B7153)&lt;&gt;""),TRUE,FALSE)</f>
        <v>0</v>
      </c>
      <c r="E7153" t="s">
        <v>922</v>
      </c>
      <c r="F7153" t="str">
        <f>INDEX(Lists!I:I,MATCH(Validation!E7153,Lists!G:G,0))</f>
        <v>Error</v>
      </c>
      <c r="G7153" t="str">
        <f>INDEX(Lists!H:H,MATCH(Validation!E7153,Lists!G:G,0))</f>
        <v>Skip this line for this loan type. Select a district on prior line instead.</v>
      </c>
      <c r="H7153" s="16" t="str">
        <f t="shared" ca="1" si="819"/>
        <v/>
      </c>
      <c r="I7153" s="16" t="str">
        <f t="shared" ca="1" si="820"/>
        <v/>
      </c>
      <c r="J7153" s="17" t="str">
        <f t="shared" ca="1" si="821"/>
        <v/>
      </c>
    </row>
    <row r="7154" spans="1:10" x14ac:dyDescent="0.25">
      <c r="A7154" t="s">
        <v>956</v>
      </c>
      <c r="B7154" t="str">
        <f>ADDRESS(ROW(DFLoan1!B$9),COLUMN(DFLoan1!B$9),4)</f>
        <v>B9</v>
      </c>
      <c r="C7154" t="str">
        <f>ADDRESS(ROW(DFLoan1!C$9),COLUMN(DFLoan1!C$9),4)</f>
        <v>C9</v>
      </c>
      <c r="D7154" t="b" cm="1">
        <f t="array" aca="1" ref="D7154" ca="1">IF(AND(INDIRECT("'"&amp;A7154&amp;"'!$B$7")=Lists!$AH$4,INDIRECT("'"&amp;A7154&amp;"'!"&amp;B7154)&lt;&gt;""),TRUE,FALSE)</f>
        <v>0</v>
      </c>
      <c r="E7154" t="s">
        <v>922</v>
      </c>
      <c r="F7154" t="str">
        <f>INDEX(Lists!I:I,MATCH(Validation!E7154,Lists!G:G,0))</f>
        <v>Error</v>
      </c>
      <c r="G7154" t="str">
        <f>INDEX(Lists!H:H,MATCH(Validation!E7154,Lists!G:G,0))</f>
        <v>Skip this line for this loan type. Select a district on prior line instead.</v>
      </c>
      <c r="H7154" s="16" t="str">
        <f t="shared" ca="1" si="819"/>
        <v/>
      </c>
      <c r="I7154" s="16" t="str">
        <f t="shared" ca="1" si="820"/>
        <v/>
      </c>
      <c r="J7154" s="17" t="str">
        <f t="shared" ca="1" si="821"/>
        <v/>
      </c>
    </row>
    <row r="7155" spans="1:10" x14ac:dyDescent="0.25">
      <c r="A7155" t="s">
        <v>957</v>
      </c>
      <c r="B7155" t="str">
        <f>ADDRESS(ROW(DFLoan1!B$9),COLUMN(DFLoan1!B$9),4)</f>
        <v>B9</v>
      </c>
      <c r="C7155" t="str">
        <f>ADDRESS(ROW(DFLoan1!C$9),COLUMN(DFLoan1!C$9),4)</f>
        <v>C9</v>
      </c>
      <c r="D7155" t="b" cm="1">
        <f t="array" aca="1" ref="D7155" ca="1">IF(AND(INDIRECT("'"&amp;A7155&amp;"'!$B$7")=Lists!$AH$4,INDIRECT("'"&amp;A7155&amp;"'!"&amp;B7155)&lt;&gt;""),TRUE,FALSE)</f>
        <v>0</v>
      </c>
      <c r="E7155" t="s">
        <v>922</v>
      </c>
      <c r="F7155" t="str">
        <f>INDEX(Lists!I:I,MATCH(Validation!E7155,Lists!G:G,0))</f>
        <v>Error</v>
      </c>
      <c r="G7155" t="str">
        <f>INDEX(Lists!H:H,MATCH(Validation!E7155,Lists!G:G,0))</f>
        <v>Skip this line for this loan type. Select a district on prior line instead.</v>
      </c>
      <c r="H7155" s="16" t="str">
        <f t="shared" ca="1" si="819"/>
        <v/>
      </c>
      <c r="I7155" s="16" t="str">
        <f t="shared" ca="1" si="820"/>
        <v/>
      </c>
      <c r="J7155" s="17" t="str">
        <f t="shared" ca="1" si="821"/>
        <v/>
      </c>
    </row>
    <row r="7156" spans="1:10" x14ac:dyDescent="0.25">
      <c r="A7156" t="s">
        <v>958</v>
      </c>
      <c r="B7156" t="str">
        <f>ADDRESS(ROW(DFLoan1!B$9),COLUMN(DFLoan1!B$9),4)</f>
        <v>B9</v>
      </c>
      <c r="C7156" t="str">
        <f>ADDRESS(ROW(DFLoan1!C$9),COLUMN(DFLoan1!C$9),4)</f>
        <v>C9</v>
      </c>
      <c r="D7156" t="b" cm="1">
        <f t="array" aca="1" ref="D7156" ca="1">IF(AND(INDIRECT("'"&amp;A7156&amp;"'!$B$7")=Lists!$AH$4,INDIRECT("'"&amp;A7156&amp;"'!"&amp;B7156)&lt;&gt;""),TRUE,FALSE)</f>
        <v>0</v>
      </c>
      <c r="E7156" t="s">
        <v>922</v>
      </c>
      <c r="F7156" t="str">
        <f>INDEX(Lists!I:I,MATCH(Validation!E7156,Lists!G:G,0))</f>
        <v>Error</v>
      </c>
      <c r="G7156" t="str">
        <f>INDEX(Lists!H:H,MATCH(Validation!E7156,Lists!G:G,0))</f>
        <v>Skip this line for this loan type. Select a district on prior line instead.</v>
      </c>
      <c r="H7156" s="16" t="str">
        <f t="shared" ca="1" si="819"/>
        <v/>
      </c>
      <c r="I7156" s="16" t="str">
        <f t="shared" ca="1" si="820"/>
        <v/>
      </c>
      <c r="J7156" s="17" t="str">
        <f t="shared" ca="1" si="821"/>
        <v/>
      </c>
    </row>
    <row r="7157" spans="1:10" x14ac:dyDescent="0.25">
      <c r="A7157" t="s">
        <v>959</v>
      </c>
      <c r="B7157" t="str">
        <f>ADDRESS(ROW(DFLoan1!B$9),COLUMN(DFLoan1!B$9),4)</f>
        <v>B9</v>
      </c>
      <c r="C7157" t="str">
        <f>ADDRESS(ROW(DFLoan1!C$9),COLUMN(DFLoan1!C$9),4)</f>
        <v>C9</v>
      </c>
      <c r="D7157" t="b" cm="1">
        <f t="array" aca="1" ref="D7157" ca="1">IF(AND(INDIRECT("'"&amp;A7157&amp;"'!$B$7")=Lists!$AH$4,INDIRECT("'"&amp;A7157&amp;"'!"&amp;B7157)&lt;&gt;""),TRUE,FALSE)</f>
        <v>0</v>
      </c>
      <c r="E7157" t="s">
        <v>922</v>
      </c>
      <c r="F7157" t="str">
        <f>INDEX(Lists!I:I,MATCH(Validation!E7157,Lists!G:G,0))</f>
        <v>Error</v>
      </c>
      <c r="G7157" t="str">
        <f>INDEX(Lists!H:H,MATCH(Validation!E7157,Lists!G:G,0))</f>
        <v>Skip this line for this loan type. Select a district on prior line instead.</v>
      </c>
      <c r="H7157" s="16" t="str">
        <f t="shared" ca="1" si="819"/>
        <v/>
      </c>
      <c r="I7157" s="16" t="str">
        <f t="shared" ca="1" si="820"/>
        <v/>
      </c>
      <c r="J7157" s="17" t="str">
        <f t="shared" ca="1" si="821"/>
        <v/>
      </c>
    </row>
    <row r="7158" spans="1:10" x14ac:dyDescent="0.25">
      <c r="A7158" t="s">
        <v>960</v>
      </c>
      <c r="B7158" t="str">
        <f>ADDRESS(ROW(DFLoan1!B$9),COLUMN(DFLoan1!B$9),4)</f>
        <v>B9</v>
      </c>
      <c r="C7158" t="str">
        <f>ADDRESS(ROW(DFLoan1!C$9),COLUMN(DFLoan1!C$9),4)</f>
        <v>C9</v>
      </c>
      <c r="D7158" t="b" cm="1">
        <f t="array" aca="1" ref="D7158" ca="1">IF(AND(INDIRECT("'"&amp;A7158&amp;"'!$B$7")=Lists!$AH$4,INDIRECT("'"&amp;A7158&amp;"'!"&amp;B7158)&lt;&gt;""),TRUE,FALSE)</f>
        <v>0</v>
      </c>
      <c r="E7158" t="s">
        <v>922</v>
      </c>
      <c r="F7158" t="str">
        <f>INDEX(Lists!I:I,MATCH(Validation!E7158,Lists!G:G,0))</f>
        <v>Error</v>
      </c>
      <c r="G7158" t="str">
        <f>INDEX(Lists!H:H,MATCH(Validation!E7158,Lists!G:G,0))</f>
        <v>Skip this line for this loan type. Select a district on prior line instead.</v>
      </c>
      <c r="H7158" s="16" t="str">
        <f t="shared" ca="1" si="819"/>
        <v/>
      </c>
      <c r="I7158" s="16" t="str">
        <f t="shared" ca="1" si="820"/>
        <v/>
      </c>
      <c r="J7158" s="17" t="str">
        <f t="shared" ca="1" si="821"/>
        <v/>
      </c>
    </row>
    <row r="7159" spans="1:10" x14ac:dyDescent="0.25">
      <c r="A7159" t="s">
        <v>961</v>
      </c>
      <c r="B7159" t="str">
        <f>ADDRESS(ROW(DFLoan1!B$9),COLUMN(DFLoan1!B$9),4)</f>
        <v>B9</v>
      </c>
      <c r="C7159" t="str">
        <f>ADDRESS(ROW(DFLoan1!C$9),COLUMN(DFLoan1!C$9),4)</f>
        <v>C9</v>
      </c>
      <c r="D7159" t="b" cm="1">
        <f t="array" aca="1" ref="D7159" ca="1">IF(AND(INDIRECT("'"&amp;A7159&amp;"'!$B$7")=Lists!$AH$4,INDIRECT("'"&amp;A7159&amp;"'!"&amp;B7159)&lt;&gt;""),TRUE,FALSE)</f>
        <v>0</v>
      </c>
      <c r="E7159" t="s">
        <v>922</v>
      </c>
      <c r="F7159" t="str">
        <f>INDEX(Lists!I:I,MATCH(Validation!E7159,Lists!G:G,0))</f>
        <v>Error</v>
      </c>
      <c r="G7159" t="str">
        <f>INDEX(Lists!H:H,MATCH(Validation!E7159,Lists!G:G,0))</f>
        <v>Skip this line for this loan type. Select a district on prior line instead.</v>
      </c>
      <c r="H7159" s="16" t="str">
        <f t="shared" ca="1" si="819"/>
        <v/>
      </c>
      <c r="I7159" s="16" t="str">
        <f t="shared" ca="1" si="820"/>
        <v/>
      </c>
      <c r="J7159" s="17" t="str">
        <f t="shared" ca="1" si="821"/>
        <v/>
      </c>
    </row>
    <row r="7160" spans="1:10" x14ac:dyDescent="0.25">
      <c r="A7160" t="s">
        <v>962</v>
      </c>
      <c r="B7160" t="str">
        <f>ADDRESS(ROW(DFLoan1!B$9),COLUMN(DFLoan1!B$9),4)</f>
        <v>B9</v>
      </c>
      <c r="C7160" t="str">
        <f>ADDRESS(ROW(DFLoan1!C$9),COLUMN(DFLoan1!C$9),4)</f>
        <v>C9</v>
      </c>
      <c r="D7160" t="b" cm="1">
        <f t="array" aca="1" ref="D7160" ca="1">IF(AND(INDIRECT("'"&amp;A7160&amp;"'!$B$7")=Lists!$AH$4,INDIRECT("'"&amp;A7160&amp;"'!"&amp;B7160)&lt;&gt;""),TRUE,FALSE)</f>
        <v>0</v>
      </c>
      <c r="E7160" t="s">
        <v>922</v>
      </c>
      <c r="F7160" t="str">
        <f>INDEX(Lists!I:I,MATCH(Validation!E7160,Lists!G:G,0))</f>
        <v>Error</v>
      </c>
      <c r="G7160" t="str">
        <f>INDEX(Lists!H:H,MATCH(Validation!E7160,Lists!G:G,0))</f>
        <v>Skip this line for this loan type. Select a district on prior line instead.</v>
      </c>
      <c r="H7160" s="16" t="str">
        <f t="shared" ca="1" si="819"/>
        <v/>
      </c>
      <c r="I7160" s="16" t="str">
        <f t="shared" ca="1" si="820"/>
        <v/>
      </c>
      <c r="J7160" s="17" t="str">
        <f t="shared" ca="1" si="821"/>
        <v/>
      </c>
    </row>
    <row r="7161" spans="1:10" x14ac:dyDescent="0.25">
      <c r="A7161" t="s">
        <v>963</v>
      </c>
      <c r="B7161" t="str">
        <f>ADDRESS(ROW(DFLoan1!B$9),COLUMN(DFLoan1!B$9),4)</f>
        <v>B9</v>
      </c>
      <c r="C7161" t="str">
        <f>ADDRESS(ROW(DFLoan1!C$9),COLUMN(DFLoan1!C$9),4)</f>
        <v>C9</v>
      </c>
      <c r="D7161" t="b" cm="1">
        <f t="array" aca="1" ref="D7161" ca="1">IF(AND(INDIRECT("'"&amp;A7161&amp;"'!$B$7")=Lists!$AH$4,INDIRECT("'"&amp;A7161&amp;"'!"&amp;B7161)&lt;&gt;""),TRUE,FALSE)</f>
        <v>0</v>
      </c>
      <c r="E7161" t="s">
        <v>922</v>
      </c>
      <c r="F7161" t="str">
        <f>INDEX(Lists!I:I,MATCH(Validation!E7161,Lists!G:G,0))</f>
        <v>Error</v>
      </c>
      <c r="G7161" t="str">
        <f>INDEX(Lists!H:H,MATCH(Validation!E7161,Lists!G:G,0))</f>
        <v>Skip this line for this loan type. Select a district on prior line instead.</v>
      </c>
      <c r="H7161" s="16" t="str">
        <f t="shared" ca="1" si="819"/>
        <v/>
      </c>
      <c r="I7161" s="16" t="str">
        <f t="shared" ca="1" si="820"/>
        <v/>
      </c>
      <c r="J7161" s="17" t="str">
        <f t="shared" ca="1" si="821"/>
        <v/>
      </c>
    </row>
    <row r="7162" spans="1:10" x14ac:dyDescent="0.25">
      <c r="A7162" t="s">
        <v>964</v>
      </c>
      <c r="B7162" t="str">
        <f>ADDRESS(ROW(DFLoan1!B$9),COLUMN(DFLoan1!B$9),4)</f>
        <v>B9</v>
      </c>
      <c r="C7162" t="str">
        <f>ADDRESS(ROW(DFLoan1!C$9),COLUMN(DFLoan1!C$9),4)</f>
        <v>C9</v>
      </c>
      <c r="D7162" t="b" cm="1">
        <f t="array" aca="1" ref="D7162" ca="1">IF(AND(INDIRECT("'"&amp;A7162&amp;"'!$B$7")=Lists!$AH$4,INDIRECT("'"&amp;A7162&amp;"'!"&amp;B7162)&lt;&gt;""),TRUE,FALSE)</f>
        <v>0</v>
      </c>
      <c r="E7162" t="s">
        <v>922</v>
      </c>
      <c r="F7162" t="str">
        <f>INDEX(Lists!I:I,MATCH(Validation!E7162,Lists!G:G,0))</f>
        <v>Error</v>
      </c>
      <c r="G7162" t="str">
        <f>INDEX(Lists!H:H,MATCH(Validation!E7162,Lists!G:G,0))</f>
        <v>Skip this line for this loan type. Select a district on prior line instead.</v>
      </c>
      <c r="H7162" s="16" t="str">
        <f t="shared" ca="1" si="819"/>
        <v/>
      </c>
      <c r="I7162" s="16" t="str">
        <f t="shared" ca="1" si="820"/>
        <v/>
      </c>
      <c r="J7162" s="17" t="str">
        <f t="shared" ca="1" si="821"/>
        <v/>
      </c>
    </row>
    <row r="7163" spans="1:10" x14ac:dyDescent="0.25">
      <c r="A7163" t="s">
        <v>965</v>
      </c>
      <c r="B7163" t="str">
        <f>ADDRESS(ROW(DFLoan1!B$9),COLUMN(DFLoan1!B$9),4)</f>
        <v>B9</v>
      </c>
      <c r="C7163" t="str">
        <f>ADDRESS(ROW(DFLoan1!C$9),COLUMN(DFLoan1!C$9),4)</f>
        <v>C9</v>
      </c>
      <c r="D7163" t="b" cm="1">
        <f t="array" aca="1" ref="D7163" ca="1">IF(AND(INDIRECT("'"&amp;A7163&amp;"'!$B$7")=Lists!$AH$4,INDIRECT("'"&amp;A7163&amp;"'!"&amp;B7163)&lt;&gt;""),TRUE,FALSE)</f>
        <v>0</v>
      </c>
      <c r="E7163" t="s">
        <v>922</v>
      </c>
      <c r="F7163" t="str">
        <f>INDEX(Lists!I:I,MATCH(Validation!E7163,Lists!G:G,0))</f>
        <v>Error</v>
      </c>
      <c r="G7163" t="str">
        <f>INDEX(Lists!H:H,MATCH(Validation!E7163,Lists!G:G,0))</f>
        <v>Skip this line for this loan type. Select a district on prior line instead.</v>
      </c>
      <c r="H7163" s="16" t="str">
        <f t="shared" ca="1" si="819"/>
        <v/>
      </c>
      <c r="I7163" s="16" t="str">
        <f t="shared" ca="1" si="820"/>
        <v/>
      </c>
      <c r="J7163" s="17" t="str">
        <f t="shared" ca="1" si="821"/>
        <v/>
      </c>
    </row>
    <row r="7164" spans="1:10" x14ac:dyDescent="0.25">
      <c r="A7164" t="s">
        <v>966</v>
      </c>
      <c r="B7164" t="str">
        <f>ADDRESS(ROW(DFLoan1!B$9),COLUMN(DFLoan1!B$9),4)</f>
        <v>B9</v>
      </c>
      <c r="C7164" t="str">
        <f>ADDRESS(ROW(DFLoan1!C$9),COLUMN(DFLoan1!C$9),4)</f>
        <v>C9</v>
      </c>
      <c r="D7164" t="b" cm="1">
        <f t="array" aca="1" ref="D7164" ca="1">IF(AND(INDIRECT("'"&amp;A7164&amp;"'!$B$7")=Lists!$AH$4,INDIRECT("'"&amp;A7164&amp;"'!"&amp;B7164)&lt;&gt;""),TRUE,FALSE)</f>
        <v>0</v>
      </c>
      <c r="E7164" t="s">
        <v>922</v>
      </c>
      <c r="F7164" t="str">
        <f>INDEX(Lists!I:I,MATCH(Validation!E7164,Lists!G:G,0))</f>
        <v>Error</v>
      </c>
      <c r="G7164" t="str">
        <f>INDEX(Lists!H:H,MATCH(Validation!E7164,Lists!G:G,0))</f>
        <v>Skip this line for this loan type. Select a district on prior line instead.</v>
      </c>
      <c r="H7164" s="16" t="str">
        <f t="shared" ca="1" si="819"/>
        <v/>
      </c>
      <c r="I7164" s="16" t="str">
        <f t="shared" ca="1" si="820"/>
        <v/>
      </c>
      <c r="J7164" s="17" t="str">
        <f t="shared" ca="1" si="821"/>
        <v/>
      </c>
    </row>
    <row r="7165" spans="1:10" x14ac:dyDescent="0.25">
      <c r="A7165" t="s">
        <v>881</v>
      </c>
      <c r="B7165" t="str">
        <f>ADDRESS(ROW(DFLoan1!B$9),COLUMN(DFLoan1!B$9),4)</f>
        <v>B9</v>
      </c>
      <c r="C7165" t="str">
        <f>ADDRESS(ROW(DFLoan1!C$9),COLUMN(DFLoan1!C$9),4)</f>
        <v>C9</v>
      </c>
      <c r="D7165" t="b" cm="1">
        <f t="array" aca="1" ref="D7165" ca="1">IF(INDIRECT("'"&amp;A7165&amp;"'!$B$7")=Lists!$AH$4,TRUE,FALSE)</f>
        <v>0</v>
      </c>
      <c r="E7165" t="s">
        <v>925</v>
      </c>
      <c r="F7165" t="str">
        <f>INDEX(Lists!I:I,MATCH(Validation!E7165,Lists!G:G,0))</f>
        <v>Information</v>
      </c>
      <c r="G7165" t="str">
        <f>INDEX(Lists!H:H,MATCH(Validation!E7165,Lists!G:G,0))</f>
        <v>Skip this line for this loan type. Select a district on prior line instead.</v>
      </c>
      <c r="H7165" s="16" t="str">
        <f t="shared" ca="1" si="819"/>
        <v/>
      </c>
      <c r="I7165" s="16" t="str">
        <f t="shared" ca="1" si="820"/>
        <v/>
      </c>
      <c r="J7165" s="17" t="str">
        <f t="shared" ca="1" si="821"/>
        <v/>
      </c>
    </row>
    <row r="7166" spans="1:10" x14ac:dyDescent="0.25">
      <c r="A7166" t="s">
        <v>953</v>
      </c>
      <c r="B7166" t="str">
        <f>ADDRESS(ROW(DFLoan1!B$9),COLUMN(DFLoan1!B$9),4)</f>
        <v>B9</v>
      </c>
      <c r="C7166" t="str">
        <f>ADDRESS(ROW(DFLoan1!C$9),COLUMN(DFLoan1!C$9),4)</f>
        <v>C9</v>
      </c>
      <c r="D7166" t="b" cm="1">
        <f t="array" aca="1" ref="D7166" ca="1">IF(INDIRECT("'"&amp;A7166&amp;"'!$B$7")=Lists!$AH$4,TRUE,FALSE)</f>
        <v>0</v>
      </c>
      <c r="E7166" t="s">
        <v>925</v>
      </c>
      <c r="F7166" t="str">
        <f>INDEX(Lists!I:I,MATCH(Validation!E7166,Lists!G:G,0))</f>
        <v>Information</v>
      </c>
      <c r="G7166" t="str">
        <f>INDEX(Lists!H:H,MATCH(Validation!E7166,Lists!G:G,0))</f>
        <v>Skip this line for this loan type. Select a district on prior line instead.</v>
      </c>
      <c r="H7166" s="16" t="str">
        <f t="shared" ca="1" si="819"/>
        <v/>
      </c>
      <c r="I7166" s="16" t="str">
        <f t="shared" ca="1" si="820"/>
        <v/>
      </c>
      <c r="J7166" s="17" t="str">
        <f t="shared" ca="1" si="821"/>
        <v/>
      </c>
    </row>
    <row r="7167" spans="1:10" x14ac:dyDescent="0.25">
      <c r="A7167" t="s">
        <v>954</v>
      </c>
      <c r="B7167" t="str">
        <f>ADDRESS(ROW(DFLoan1!B$9),COLUMN(DFLoan1!B$9),4)</f>
        <v>B9</v>
      </c>
      <c r="C7167" t="str">
        <f>ADDRESS(ROW(DFLoan1!C$9),COLUMN(DFLoan1!C$9),4)</f>
        <v>C9</v>
      </c>
      <c r="D7167" t="b" cm="1">
        <f t="array" aca="1" ref="D7167" ca="1">IF(INDIRECT("'"&amp;A7167&amp;"'!$B$7")=Lists!$AH$4,TRUE,FALSE)</f>
        <v>0</v>
      </c>
      <c r="E7167" t="s">
        <v>925</v>
      </c>
      <c r="F7167" t="str">
        <f>INDEX(Lists!I:I,MATCH(Validation!E7167,Lists!G:G,0))</f>
        <v>Information</v>
      </c>
      <c r="G7167" t="str">
        <f>INDEX(Lists!H:H,MATCH(Validation!E7167,Lists!G:G,0))</f>
        <v>Skip this line for this loan type. Select a district on prior line instead.</v>
      </c>
      <c r="H7167" s="16" t="str">
        <f t="shared" ca="1" si="819"/>
        <v/>
      </c>
      <c r="I7167" s="16" t="str">
        <f t="shared" ca="1" si="820"/>
        <v/>
      </c>
      <c r="J7167" s="17" t="str">
        <f t="shared" ca="1" si="821"/>
        <v/>
      </c>
    </row>
    <row r="7168" spans="1:10" x14ac:dyDescent="0.25">
      <c r="A7168" t="s">
        <v>955</v>
      </c>
      <c r="B7168" t="str">
        <f>ADDRESS(ROW(DFLoan1!B$9),COLUMN(DFLoan1!B$9),4)</f>
        <v>B9</v>
      </c>
      <c r="C7168" t="str">
        <f>ADDRESS(ROW(DFLoan1!C$9),COLUMN(DFLoan1!C$9),4)</f>
        <v>C9</v>
      </c>
      <c r="D7168" t="b" cm="1">
        <f t="array" aca="1" ref="D7168" ca="1">IF(INDIRECT("'"&amp;A7168&amp;"'!$B$7")=Lists!$AH$4,TRUE,FALSE)</f>
        <v>0</v>
      </c>
      <c r="E7168" t="s">
        <v>925</v>
      </c>
      <c r="F7168" t="str">
        <f>INDEX(Lists!I:I,MATCH(Validation!E7168,Lists!G:G,0))</f>
        <v>Information</v>
      </c>
      <c r="G7168" t="str">
        <f>INDEX(Lists!H:H,MATCH(Validation!E7168,Lists!G:G,0))</f>
        <v>Skip this line for this loan type. Select a district on prior line instead.</v>
      </c>
      <c r="H7168" s="16" t="str">
        <f t="shared" ref="H7168:H7221" ca="1" si="822">IFERROR(IF(OR(NOT(D7168),F7168&lt;&gt;"Error"),"",A7168&amp;CELL("address",INDIRECT(B7168))),"")</f>
        <v/>
      </c>
      <c r="I7168" s="16" t="str">
        <f t="shared" ref="I7168:I7221" ca="1" si="823">IFERROR(IF(NOT(D7168),"",A7168&amp;CELL("address",INDIRECT(C7168))),"")</f>
        <v/>
      </c>
      <c r="J7168" s="17" t="str">
        <f t="shared" ref="J7168:J7221" ca="1" si="824">IFERROR(IF(NOT(D7168),"",A7168),"")</f>
        <v/>
      </c>
    </row>
    <row r="7169" spans="1:10" x14ac:dyDescent="0.25">
      <c r="A7169" t="s">
        <v>956</v>
      </c>
      <c r="B7169" t="str">
        <f>ADDRESS(ROW(DFLoan1!B$9),COLUMN(DFLoan1!B$9),4)</f>
        <v>B9</v>
      </c>
      <c r="C7169" t="str">
        <f>ADDRESS(ROW(DFLoan1!C$9),COLUMN(DFLoan1!C$9),4)</f>
        <v>C9</v>
      </c>
      <c r="D7169" t="b" cm="1">
        <f t="array" aca="1" ref="D7169" ca="1">IF(INDIRECT("'"&amp;A7169&amp;"'!$B$7")=Lists!$AH$4,TRUE,FALSE)</f>
        <v>0</v>
      </c>
      <c r="E7169" t="s">
        <v>925</v>
      </c>
      <c r="F7169" t="str">
        <f>INDEX(Lists!I:I,MATCH(Validation!E7169,Lists!G:G,0))</f>
        <v>Information</v>
      </c>
      <c r="G7169" t="str">
        <f>INDEX(Lists!H:H,MATCH(Validation!E7169,Lists!G:G,0))</f>
        <v>Skip this line for this loan type. Select a district on prior line instead.</v>
      </c>
      <c r="H7169" s="16" t="str">
        <f t="shared" ca="1" si="822"/>
        <v/>
      </c>
      <c r="I7169" s="16" t="str">
        <f t="shared" ca="1" si="823"/>
        <v/>
      </c>
      <c r="J7169" s="17" t="str">
        <f t="shared" ca="1" si="824"/>
        <v/>
      </c>
    </row>
    <row r="7170" spans="1:10" x14ac:dyDescent="0.25">
      <c r="A7170" t="s">
        <v>957</v>
      </c>
      <c r="B7170" t="str">
        <f>ADDRESS(ROW(DFLoan1!B$9),COLUMN(DFLoan1!B$9),4)</f>
        <v>B9</v>
      </c>
      <c r="C7170" t="str">
        <f>ADDRESS(ROW(DFLoan1!C$9),COLUMN(DFLoan1!C$9),4)</f>
        <v>C9</v>
      </c>
      <c r="D7170" t="b" cm="1">
        <f t="array" aca="1" ref="D7170" ca="1">IF(INDIRECT("'"&amp;A7170&amp;"'!$B$7")=Lists!$AH$4,TRUE,FALSE)</f>
        <v>0</v>
      </c>
      <c r="E7170" t="s">
        <v>925</v>
      </c>
      <c r="F7170" t="str">
        <f>INDEX(Lists!I:I,MATCH(Validation!E7170,Lists!G:G,0))</f>
        <v>Information</v>
      </c>
      <c r="G7170" t="str">
        <f>INDEX(Lists!H:H,MATCH(Validation!E7170,Lists!G:G,0))</f>
        <v>Skip this line for this loan type. Select a district on prior line instead.</v>
      </c>
      <c r="H7170" s="16" t="str">
        <f t="shared" ca="1" si="822"/>
        <v/>
      </c>
      <c r="I7170" s="16" t="str">
        <f t="shared" ca="1" si="823"/>
        <v/>
      </c>
      <c r="J7170" s="17" t="str">
        <f t="shared" ca="1" si="824"/>
        <v/>
      </c>
    </row>
    <row r="7171" spans="1:10" x14ac:dyDescent="0.25">
      <c r="A7171" t="s">
        <v>958</v>
      </c>
      <c r="B7171" t="str">
        <f>ADDRESS(ROW(DFLoan1!B$9),COLUMN(DFLoan1!B$9),4)</f>
        <v>B9</v>
      </c>
      <c r="C7171" t="str">
        <f>ADDRESS(ROW(DFLoan1!C$9),COLUMN(DFLoan1!C$9),4)</f>
        <v>C9</v>
      </c>
      <c r="D7171" t="b" cm="1">
        <f t="array" aca="1" ref="D7171" ca="1">IF(INDIRECT("'"&amp;A7171&amp;"'!$B$7")=Lists!$AH$4,TRUE,FALSE)</f>
        <v>0</v>
      </c>
      <c r="E7171" t="s">
        <v>925</v>
      </c>
      <c r="F7171" t="str">
        <f>INDEX(Lists!I:I,MATCH(Validation!E7171,Lists!G:G,0))</f>
        <v>Information</v>
      </c>
      <c r="G7171" t="str">
        <f>INDEX(Lists!H:H,MATCH(Validation!E7171,Lists!G:G,0))</f>
        <v>Skip this line for this loan type. Select a district on prior line instead.</v>
      </c>
      <c r="H7171" s="16" t="str">
        <f t="shared" ca="1" si="822"/>
        <v/>
      </c>
      <c r="I7171" s="16" t="str">
        <f t="shared" ca="1" si="823"/>
        <v/>
      </c>
      <c r="J7171" s="17" t="str">
        <f t="shared" ca="1" si="824"/>
        <v/>
      </c>
    </row>
    <row r="7172" spans="1:10" x14ac:dyDescent="0.25">
      <c r="A7172" t="s">
        <v>959</v>
      </c>
      <c r="B7172" t="str">
        <f>ADDRESS(ROW(DFLoan1!B$9),COLUMN(DFLoan1!B$9),4)</f>
        <v>B9</v>
      </c>
      <c r="C7172" t="str">
        <f>ADDRESS(ROW(DFLoan1!C$9),COLUMN(DFLoan1!C$9),4)</f>
        <v>C9</v>
      </c>
      <c r="D7172" t="b" cm="1">
        <f t="array" aca="1" ref="D7172" ca="1">IF(INDIRECT("'"&amp;A7172&amp;"'!$B$7")=Lists!$AH$4,TRUE,FALSE)</f>
        <v>0</v>
      </c>
      <c r="E7172" t="s">
        <v>925</v>
      </c>
      <c r="F7172" t="str">
        <f>INDEX(Lists!I:I,MATCH(Validation!E7172,Lists!G:G,0))</f>
        <v>Information</v>
      </c>
      <c r="G7172" t="str">
        <f>INDEX(Lists!H:H,MATCH(Validation!E7172,Lists!G:G,0))</f>
        <v>Skip this line for this loan type. Select a district on prior line instead.</v>
      </c>
      <c r="H7172" s="16" t="str">
        <f t="shared" ca="1" si="822"/>
        <v/>
      </c>
      <c r="I7172" s="16" t="str">
        <f t="shared" ca="1" si="823"/>
        <v/>
      </c>
      <c r="J7172" s="17" t="str">
        <f t="shared" ca="1" si="824"/>
        <v/>
      </c>
    </row>
    <row r="7173" spans="1:10" x14ac:dyDescent="0.25">
      <c r="A7173" t="s">
        <v>960</v>
      </c>
      <c r="B7173" t="str">
        <f>ADDRESS(ROW(DFLoan1!B$9),COLUMN(DFLoan1!B$9),4)</f>
        <v>B9</v>
      </c>
      <c r="C7173" t="str">
        <f>ADDRESS(ROW(DFLoan1!C$9),COLUMN(DFLoan1!C$9),4)</f>
        <v>C9</v>
      </c>
      <c r="D7173" t="b" cm="1">
        <f t="array" aca="1" ref="D7173" ca="1">IF(INDIRECT("'"&amp;A7173&amp;"'!$B$7")=Lists!$AH$4,TRUE,FALSE)</f>
        <v>0</v>
      </c>
      <c r="E7173" t="s">
        <v>925</v>
      </c>
      <c r="F7173" t="str">
        <f>INDEX(Lists!I:I,MATCH(Validation!E7173,Lists!G:G,0))</f>
        <v>Information</v>
      </c>
      <c r="G7173" t="str">
        <f>INDEX(Lists!H:H,MATCH(Validation!E7173,Lists!G:G,0))</f>
        <v>Skip this line for this loan type. Select a district on prior line instead.</v>
      </c>
      <c r="H7173" s="16" t="str">
        <f t="shared" ca="1" si="822"/>
        <v/>
      </c>
      <c r="I7173" s="16" t="str">
        <f t="shared" ca="1" si="823"/>
        <v/>
      </c>
      <c r="J7173" s="17" t="str">
        <f t="shared" ca="1" si="824"/>
        <v/>
      </c>
    </row>
    <row r="7174" spans="1:10" x14ac:dyDescent="0.25">
      <c r="A7174" t="s">
        <v>961</v>
      </c>
      <c r="B7174" t="str">
        <f>ADDRESS(ROW(DFLoan1!B$9),COLUMN(DFLoan1!B$9),4)</f>
        <v>B9</v>
      </c>
      <c r="C7174" t="str">
        <f>ADDRESS(ROW(DFLoan1!C$9),COLUMN(DFLoan1!C$9),4)</f>
        <v>C9</v>
      </c>
      <c r="D7174" t="b" cm="1">
        <f t="array" aca="1" ref="D7174" ca="1">IF(INDIRECT("'"&amp;A7174&amp;"'!$B$7")=Lists!$AH$4,TRUE,FALSE)</f>
        <v>0</v>
      </c>
      <c r="E7174" t="s">
        <v>925</v>
      </c>
      <c r="F7174" t="str">
        <f>INDEX(Lists!I:I,MATCH(Validation!E7174,Lists!G:G,0))</f>
        <v>Information</v>
      </c>
      <c r="G7174" t="str">
        <f>INDEX(Lists!H:H,MATCH(Validation!E7174,Lists!G:G,0))</f>
        <v>Skip this line for this loan type. Select a district on prior line instead.</v>
      </c>
      <c r="H7174" s="16" t="str">
        <f t="shared" ca="1" si="822"/>
        <v/>
      </c>
      <c r="I7174" s="16" t="str">
        <f t="shared" ca="1" si="823"/>
        <v/>
      </c>
      <c r="J7174" s="17" t="str">
        <f t="shared" ca="1" si="824"/>
        <v/>
      </c>
    </row>
    <row r="7175" spans="1:10" x14ac:dyDescent="0.25">
      <c r="A7175" t="s">
        <v>962</v>
      </c>
      <c r="B7175" t="str">
        <f>ADDRESS(ROW(DFLoan1!B$9),COLUMN(DFLoan1!B$9),4)</f>
        <v>B9</v>
      </c>
      <c r="C7175" t="str">
        <f>ADDRESS(ROW(DFLoan1!C$9),COLUMN(DFLoan1!C$9),4)</f>
        <v>C9</v>
      </c>
      <c r="D7175" t="b" cm="1">
        <f t="array" aca="1" ref="D7175" ca="1">IF(INDIRECT("'"&amp;A7175&amp;"'!$B$7")=Lists!$AH$4,TRUE,FALSE)</f>
        <v>0</v>
      </c>
      <c r="E7175" t="s">
        <v>925</v>
      </c>
      <c r="F7175" t="str">
        <f>INDEX(Lists!I:I,MATCH(Validation!E7175,Lists!G:G,0))</f>
        <v>Information</v>
      </c>
      <c r="G7175" t="str">
        <f>INDEX(Lists!H:H,MATCH(Validation!E7175,Lists!G:G,0))</f>
        <v>Skip this line for this loan type. Select a district on prior line instead.</v>
      </c>
      <c r="H7175" s="16" t="str">
        <f t="shared" ca="1" si="822"/>
        <v/>
      </c>
      <c r="I7175" s="16" t="str">
        <f t="shared" ca="1" si="823"/>
        <v/>
      </c>
      <c r="J7175" s="17" t="str">
        <f t="shared" ca="1" si="824"/>
        <v/>
      </c>
    </row>
    <row r="7176" spans="1:10" x14ac:dyDescent="0.25">
      <c r="A7176" t="s">
        <v>963</v>
      </c>
      <c r="B7176" t="str">
        <f>ADDRESS(ROW(DFLoan1!B$9),COLUMN(DFLoan1!B$9),4)</f>
        <v>B9</v>
      </c>
      <c r="C7176" t="str">
        <f>ADDRESS(ROW(DFLoan1!C$9),COLUMN(DFLoan1!C$9),4)</f>
        <v>C9</v>
      </c>
      <c r="D7176" t="b" cm="1">
        <f t="array" aca="1" ref="D7176" ca="1">IF(INDIRECT("'"&amp;A7176&amp;"'!$B$7")=Lists!$AH$4,TRUE,FALSE)</f>
        <v>0</v>
      </c>
      <c r="E7176" t="s">
        <v>925</v>
      </c>
      <c r="F7176" t="str">
        <f>INDEX(Lists!I:I,MATCH(Validation!E7176,Lists!G:G,0))</f>
        <v>Information</v>
      </c>
      <c r="G7176" t="str">
        <f>INDEX(Lists!H:H,MATCH(Validation!E7176,Lists!G:G,0))</f>
        <v>Skip this line for this loan type. Select a district on prior line instead.</v>
      </c>
      <c r="H7176" s="16" t="str">
        <f t="shared" ca="1" si="822"/>
        <v/>
      </c>
      <c r="I7176" s="16" t="str">
        <f t="shared" ca="1" si="823"/>
        <v/>
      </c>
      <c r="J7176" s="17" t="str">
        <f t="shared" ca="1" si="824"/>
        <v/>
      </c>
    </row>
    <row r="7177" spans="1:10" x14ac:dyDescent="0.25">
      <c r="A7177" t="s">
        <v>964</v>
      </c>
      <c r="B7177" t="str">
        <f>ADDRESS(ROW(DFLoan1!B$9),COLUMN(DFLoan1!B$9),4)</f>
        <v>B9</v>
      </c>
      <c r="C7177" t="str">
        <f>ADDRESS(ROW(DFLoan1!C$9),COLUMN(DFLoan1!C$9),4)</f>
        <v>C9</v>
      </c>
      <c r="D7177" t="b" cm="1">
        <f t="array" aca="1" ref="D7177" ca="1">IF(INDIRECT("'"&amp;A7177&amp;"'!$B$7")=Lists!$AH$4,TRUE,FALSE)</f>
        <v>0</v>
      </c>
      <c r="E7177" t="s">
        <v>925</v>
      </c>
      <c r="F7177" t="str">
        <f>INDEX(Lists!I:I,MATCH(Validation!E7177,Lists!G:G,0))</f>
        <v>Information</v>
      </c>
      <c r="G7177" t="str">
        <f>INDEX(Lists!H:H,MATCH(Validation!E7177,Lists!G:G,0))</f>
        <v>Skip this line for this loan type. Select a district on prior line instead.</v>
      </c>
      <c r="H7177" s="16" t="str">
        <f t="shared" ca="1" si="822"/>
        <v/>
      </c>
      <c r="I7177" s="16" t="str">
        <f t="shared" ca="1" si="823"/>
        <v/>
      </c>
      <c r="J7177" s="17" t="str">
        <f t="shared" ca="1" si="824"/>
        <v/>
      </c>
    </row>
    <row r="7178" spans="1:10" x14ac:dyDescent="0.25">
      <c r="A7178" t="s">
        <v>965</v>
      </c>
      <c r="B7178" t="str">
        <f>ADDRESS(ROW(DFLoan1!B$9),COLUMN(DFLoan1!B$9),4)</f>
        <v>B9</v>
      </c>
      <c r="C7178" t="str">
        <f>ADDRESS(ROW(DFLoan1!C$9),COLUMN(DFLoan1!C$9),4)</f>
        <v>C9</v>
      </c>
      <c r="D7178" t="b" cm="1">
        <f t="array" aca="1" ref="D7178" ca="1">IF(INDIRECT("'"&amp;A7178&amp;"'!$B$7")=Lists!$AH$4,TRUE,FALSE)</f>
        <v>0</v>
      </c>
      <c r="E7178" t="s">
        <v>925</v>
      </c>
      <c r="F7178" t="str">
        <f>INDEX(Lists!I:I,MATCH(Validation!E7178,Lists!G:G,0))</f>
        <v>Information</v>
      </c>
      <c r="G7178" t="str">
        <f>INDEX(Lists!H:H,MATCH(Validation!E7178,Lists!G:G,0))</f>
        <v>Skip this line for this loan type. Select a district on prior line instead.</v>
      </c>
      <c r="H7178" s="16" t="str">
        <f t="shared" ca="1" si="822"/>
        <v/>
      </c>
      <c r="I7178" s="16" t="str">
        <f t="shared" ca="1" si="823"/>
        <v/>
      </c>
      <c r="J7178" s="17" t="str">
        <f t="shared" ca="1" si="824"/>
        <v/>
      </c>
    </row>
    <row r="7179" spans="1:10" x14ac:dyDescent="0.25">
      <c r="A7179" t="s">
        <v>966</v>
      </c>
      <c r="B7179" t="str">
        <f>ADDRESS(ROW(DFLoan1!B$9),COLUMN(DFLoan1!B$9),4)</f>
        <v>B9</v>
      </c>
      <c r="C7179" t="str">
        <f>ADDRESS(ROW(DFLoan1!C$9),COLUMN(DFLoan1!C$9),4)</f>
        <v>C9</v>
      </c>
      <c r="D7179" t="b" cm="1">
        <f t="array" aca="1" ref="D7179" ca="1">IF(INDIRECT("'"&amp;A7179&amp;"'!$B$7")=Lists!$AH$4,TRUE,FALSE)</f>
        <v>0</v>
      </c>
      <c r="E7179" t="s">
        <v>925</v>
      </c>
      <c r="F7179" t="str">
        <f>INDEX(Lists!I:I,MATCH(Validation!E7179,Lists!G:G,0))</f>
        <v>Information</v>
      </c>
      <c r="G7179" t="str">
        <f>INDEX(Lists!H:H,MATCH(Validation!E7179,Lists!G:G,0))</f>
        <v>Skip this line for this loan type. Select a district on prior line instead.</v>
      </c>
      <c r="H7179" s="16" t="str">
        <f t="shared" ca="1" si="822"/>
        <v/>
      </c>
      <c r="I7179" s="16" t="str">
        <f t="shared" ca="1" si="823"/>
        <v/>
      </c>
      <c r="J7179" s="17" t="str">
        <f t="shared" ca="1" si="824"/>
        <v/>
      </c>
    </row>
    <row r="7180" spans="1:10" x14ac:dyDescent="0.25">
      <c r="A7180" t="s">
        <v>881</v>
      </c>
      <c r="B7180" t="str">
        <f>ADDRESS(ROW(DFLoan1!B$9),COLUMN(DFLoan1!B$9),4)</f>
        <v>B9</v>
      </c>
      <c r="C7180" t="str">
        <f>ADDRESS(ROW(DFLoan1!C$9),COLUMN(DFLoan1!C$9),4)</f>
        <v>C9</v>
      </c>
      <c r="D7180" t="b" cm="1">
        <f t="array" aca="1" ref="D7180" ca="1">IF(INDIRECT("'"&amp;A7180&amp;"'!"&amp;B7180)="",FALSE,IF(LEN(INDIRECT("'"&amp;A7180&amp;"'!"&amp;B7180))=LEN(TRIM(CLEAN(INDIRECT("'"&amp;A7180&amp;"'!"&amp;B7180)))),FALSE,TRUE))</f>
        <v>0</v>
      </c>
      <c r="E7180" t="s">
        <v>588</v>
      </c>
      <c r="F7180" t="str">
        <f>INDEX(Lists!I:I,MATCH(Validation!E7180,Lists!G:G,0))</f>
        <v>Error</v>
      </c>
      <c r="G7180" t="str">
        <f>INDEX(Lists!H:H,MATCH(Validation!E7180,Lists!G:G,0))</f>
        <v>Do not use leading, trailing, or double spaces. Delete and re-enter.</v>
      </c>
      <c r="H7180" s="16" t="str">
        <f t="shared" ca="1" si="822"/>
        <v/>
      </c>
      <c r="I7180" s="16" t="str">
        <f t="shared" ca="1" si="823"/>
        <v/>
      </c>
      <c r="J7180" s="17" t="str">
        <f t="shared" ca="1" si="824"/>
        <v/>
      </c>
    </row>
    <row r="7181" spans="1:10" x14ac:dyDescent="0.25">
      <c r="A7181" t="s">
        <v>953</v>
      </c>
      <c r="B7181" t="str">
        <f>ADDRESS(ROW(DFLoan1!B$9),COLUMN(DFLoan1!B$9),4)</f>
        <v>B9</v>
      </c>
      <c r="C7181" t="str">
        <f>ADDRESS(ROW(DFLoan1!C$9),COLUMN(DFLoan1!C$9),4)</f>
        <v>C9</v>
      </c>
      <c r="D7181" t="b" cm="1">
        <f t="array" aca="1" ref="D7181" ca="1">IF(INDIRECT("'"&amp;A7181&amp;"'!"&amp;B7181)="",FALSE,IF(LEN(INDIRECT("'"&amp;A7181&amp;"'!"&amp;B7181))=LEN(TRIM(CLEAN(INDIRECT("'"&amp;A7181&amp;"'!"&amp;B7181)))),FALSE,TRUE))</f>
        <v>0</v>
      </c>
      <c r="E7181" t="s">
        <v>588</v>
      </c>
      <c r="F7181" t="str">
        <f>INDEX(Lists!I:I,MATCH(Validation!E7181,Lists!G:G,0))</f>
        <v>Error</v>
      </c>
      <c r="G7181" t="str">
        <f>INDEX(Lists!H:H,MATCH(Validation!E7181,Lists!G:G,0))</f>
        <v>Do not use leading, trailing, or double spaces. Delete and re-enter.</v>
      </c>
      <c r="H7181" s="16" t="str">
        <f t="shared" ca="1" si="822"/>
        <v/>
      </c>
      <c r="I7181" s="16" t="str">
        <f t="shared" ca="1" si="823"/>
        <v/>
      </c>
      <c r="J7181" s="17" t="str">
        <f t="shared" ca="1" si="824"/>
        <v/>
      </c>
    </row>
    <row r="7182" spans="1:10" x14ac:dyDescent="0.25">
      <c r="A7182" t="s">
        <v>954</v>
      </c>
      <c r="B7182" t="str">
        <f>ADDRESS(ROW(DFLoan1!B$9),COLUMN(DFLoan1!B$9),4)</f>
        <v>B9</v>
      </c>
      <c r="C7182" t="str">
        <f>ADDRESS(ROW(DFLoan1!C$9),COLUMN(DFLoan1!C$9),4)</f>
        <v>C9</v>
      </c>
      <c r="D7182" t="b" cm="1">
        <f t="array" aca="1" ref="D7182" ca="1">IF(INDIRECT("'"&amp;A7182&amp;"'!"&amp;B7182)="",FALSE,IF(LEN(INDIRECT("'"&amp;A7182&amp;"'!"&amp;B7182))=LEN(TRIM(CLEAN(INDIRECT("'"&amp;A7182&amp;"'!"&amp;B7182)))),FALSE,TRUE))</f>
        <v>0</v>
      </c>
      <c r="E7182" t="s">
        <v>588</v>
      </c>
      <c r="F7182" t="str">
        <f>INDEX(Lists!I:I,MATCH(Validation!E7182,Lists!G:G,0))</f>
        <v>Error</v>
      </c>
      <c r="G7182" t="str">
        <f>INDEX(Lists!H:H,MATCH(Validation!E7182,Lists!G:G,0))</f>
        <v>Do not use leading, trailing, or double spaces. Delete and re-enter.</v>
      </c>
      <c r="H7182" s="16" t="str">
        <f t="shared" ca="1" si="822"/>
        <v/>
      </c>
      <c r="I7182" s="16" t="str">
        <f t="shared" ca="1" si="823"/>
        <v/>
      </c>
      <c r="J7182" s="17" t="str">
        <f t="shared" ca="1" si="824"/>
        <v/>
      </c>
    </row>
    <row r="7183" spans="1:10" x14ac:dyDescent="0.25">
      <c r="A7183" t="s">
        <v>955</v>
      </c>
      <c r="B7183" t="str">
        <f>ADDRESS(ROW(DFLoan1!B$9),COLUMN(DFLoan1!B$9),4)</f>
        <v>B9</v>
      </c>
      <c r="C7183" t="str">
        <f>ADDRESS(ROW(DFLoan1!C$9),COLUMN(DFLoan1!C$9),4)</f>
        <v>C9</v>
      </c>
      <c r="D7183" t="b" cm="1">
        <f t="array" aca="1" ref="D7183" ca="1">IF(INDIRECT("'"&amp;A7183&amp;"'!"&amp;B7183)="",FALSE,IF(LEN(INDIRECT("'"&amp;A7183&amp;"'!"&amp;B7183))=LEN(TRIM(CLEAN(INDIRECT("'"&amp;A7183&amp;"'!"&amp;B7183)))),FALSE,TRUE))</f>
        <v>0</v>
      </c>
      <c r="E7183" t="s">
        <v>588</v>
      </c>
      <c r="F7183" t="str">
        <f>INDEX(Lists!I:I,MATCH(Validation!E7183,Lists!G:G,0))</f>
        <v>Error</v>
      </c>
      <c r="G7183" t="str">
        <f>INDEX(Lists!H:H,MATCH(Validation!E7183,Lists!G:G,0))</f>
        <v>Do not use leading, trailing, or double spaces. Delete and re-enter.</v>
      </c>
      <c r="H7183" s="16" t="str">
        <f t="shared" ca="1" si="822"/>
        <v/>
      </c>
      <c r="I7183" s="16" t="str">
        <f t="shared" ca="1" si="823"/>
        <v/>
      </c>
      <c r="J7183" s="17" t="str">
        <f t="shared" ca="1" si="824"/>
        <v/>
      </c>
    </row>
    <row r="7184" spans="1:10" x14ac:dyDescent="0.25">
      <c r="A7184" t="s">
        <v>956</v>
      </c>
      <c r="B7184" t="str">
        <f>ADDRESS(ROW(DFLoan1!B$9),COLUMN(DFLoan1!B$9),4)</f>
        <v>B9</v>
      </c>
      <c r="C7184" t="str">
        <f>ADDRESS(ROW(DFLoan1!C$9),COLUMN(DFLoan1!C$9),4)</f>
        <v>C9</v>
      </c>
      <c r="D7184" t="b" cm="1">
        <f t="array" aca="1" ref="D7184" ca="1">IF(INDIRECT("'"&amp;A7184&amp;"'!"&amp;B7184)="",FALSE,IF(LEN(INDIRECT("'"&amp;A7184&amp;"'!"&amp;B7184))=LEN(TRIM(CLEAN(INDIRECT("'"&amp;A7184&amp;"'!"&amp;B7184)))),FALSE,TRUE))</f>
        <v>0</v>
      </c>
      <c r="E7184" t="s">
        <v>588</v>
      </c>
      <c r="F7184" t="str">
        <f>INDEX(Lists!I:I,MATCH(Validation!E7184,Lists!G:G,0))</f>
        <v>Error</v>
      </c>
      <c r="G7184" t="str">
        <f>INDEX(Lists!H:H,MATCH(Validation!E7184,Lists!G:G,0))</f>
        <v>Do not use leading, trailing, or double spaces. Delete and re-enter.</v>
      </c>
      <c r="H7184" s="16" t="str">
        <f t="shared" ca="1" si="822"/>
        <v/>
      </c>
      <c r="I7184" s="16" t="str">
        <f t="shared" ca="1" si="823"/>
        <v/>
      </c>
      <c r="J7184" s="17" t="str">
        <f t="shared" ca="1" si="824"/>
        <v/>
      </c>
    </row>
    <row r="7185" spans="1:10" x14ac:dyDescent="0.25">
      <c r="A7185" t="s">
        <v>957</v>
      </c>
      <c r="B7185" t="str">
        <f>ADDRESS(ROW(DFLoan1!B$9),COLUMN(DFLoan1!B$9),4)</f>
        <v>B9</v>
      </c>
      <c r="C7185" t="str">
        <f>ADDRESS(ROW(DFLoan1!C$9),COLUMN(DFLoan1!C$9),4)</f>
        <v>C9</v>
      </c>
      <c r="D7185" t="b" cm="1">
        <f t="array" aca="1" ref="D7185" ca="1">IF(INDIRECT("'"&amp;A7185&amp;"'!"&amp;B7185)="",FALSE,IF(LEN(INDIRECT("'"&amp;A7185&amp;"'!"&amp;B7185))=LEN(TRIM(CLEAN(INDIRECT("'"&amp;A7185&amp;"'!"&amp;B7185)))),FALSE,TRUE))</f>
        <v>0</v>
      </c>
      <c r="E7185" t="s">
        <v>588</v>
      </c>
      <c r="F7185" t="str">
        <f>INDEX(Lists!I:I,MATCH(Validation!E7185,Lists!G:G,0))</f>
        <v>Error</v>
      </c>
      <c r="G7185" t="str">
        <f>INDEX(Lists!H:H,MATCH(Validation!E7185,Lists!G:G,0))</f>
        <v>Do not use leading, trailing, or double spaces. Delete and re-enter.</v>
      </c>
      <c r="H7185" s="16" t="str">
        <f t="shared" ca="1" si="822"/>
        <v/>
      </c>
      <c r="I7185" s="16" t="str">
        <f t="shared" ca="1" si="823"/>
        <v/>
      </c>
      <c r="J7185" s="17" t="str">
        <f t="shared" ca="1" si="824"/>
        <v/>
      </c>
    </row>
    <row r="7186" spans="1:10" x14ac:dyDescent="0.25">
      <c r="A7186" t="s">
        <v>958</v>
      </c>
      <c r="B7186" t="str">
        <f>ADDRESS(ROW(DFLoan1!B$9),COLUMN(DFLoan1!B$9),4)</f>
        <v>B9</v>
      </c>
      <c r="C7186" t="str">
        <f>ADDRESS(ROW(DFLoan1!C$9),COLUMN(DFLoan1!C$9),4)</f>
        <v>C9</v>
      </c>
      <c r="D7186" t="b" cm="1">
        <f t="array" aca="1" ref="D7186" ca="1">IF(INDIRECT("'"&amp;A7186&amp;"'!"&amp;B7186)="",FALSE,IF(LEN(INDIRECT("'"&amp;A7186&amp;"'!"&amp;B7186))=LEN(TRIM(CLEAN(INDIRECT("'"&amp;A7186&amp;"'!"&amp;B7186)))),FALSE,TRUE))</f>
        <v>0</v>
      </c>
      <c r="E7186" t="s">
        <v>588</v>
      </c>
      <c r="F7186" t="str">
        <f>INDEX(Lists!I:I,MATCH(Validation!E7186,Lists!G:G,0))</f>
        <v>Error</v>
      </c>
      <c r="G7186" t="str">
        <f>INDEX(Lists!H:H,MATCH(Validation!E7186,Lists!G:G,0))</f>
        <v>Do not use leading, trailing, or double spaces. Delete and re-enter.</v>
      </c>
      <c r="H7186" s="16" t="str">
        <f t="shared" ca="1" si="822"/>
        <v/>
      </c>
      <c r="I7186" s="16" t="str">
        <f t="shared" ca="1" si="823"/>
        <v/>
      </c>
      <c r="J7186" s="17" t="str">
        <f t="shared" ca="1" si="824"/>
        <v/>
      </c>
    </row>
    <row r="7187" spans="1:10" x14ac:dyDescent="0.25">
      <c r="A7187" t="s">
        <v>959</v>
      </c>
      <c r="B7187" t="str">
        <f>ADDRESS(ROW(DFLoan1!B$9),COLUMN(DFLoan1!B$9),4)</f>
        <v>B9</v>
      </c>
      <c r="C7187" t="str">
        <f>ADDRESS(ROW(DFLoan1!C$9),COLUMN(DFLoan1!C$9),4)</f>
        <v>C9</v>
      </c>
      <c r="D7187" t="b" cm="1">
        <f t="array" aca="1" ref="D7187" ca="1">IF(INDIRECT("'"&amp;A7187&amp;"'!"&amp;B7187)="",FALSE,IF(LEN(INDIRECT("'"&amp;A7187&amp;"'!"&amp;B7187))=LEN(TRIM(CLEAN(INDIRECT("'"&amp;A7187&amp;"'!"&amp;B7187)))),FALSE,TRUE))</f>
        <v>0</v>
      </c>
      <c r="E7187" t="s">
        <v>588</v>
      </c>
      <c r="F7187" t="str">
        <f>INDEX(Lists!I:I,MATCH(Validation!E7187,Lists!G:G,0))</f>
        <v>Error</v>
      </c>
      <c r="G7187" t="str">
        <f>INDEX(Lists!H:H,MATCH(Validation!E7187,Lists!G:G,0))</f>
        <v>Do not use leading, trailing, or double spaces. Delete and re-enter.</v>
      </c>
      <c r="H7187" s="16" t="str">
        <f t="shared" ca="1" si="822"/>
        <v/>
      </c>
      <c r="I7187" s="16" t="str">
        <f t="shared" ca="1" si="823"/>
        <v/>
      </c>
      <c r="J7187" s="17" t="str">
        <f t="shared" ca="1" si="824"/>
        <v/>
      </c>
    </row>
    <row r="7188" spans="1:10" x14ac:dyDescent="0.25">
      <c r="A7188" t="s">
        <v>960</v>
      </c>
      <c r="B7188" t="str">
        <f>ADDRESS(ROW(DFLoan1!B$9),COLUMN(DFLoan1!B$9),4)</f>
        <v>B9</v>
      </c>
      <c r="C7188" t="str">
        <f>ADDRESS(ROW(DFLoan1!C$9),COLUMN(DFLoan1!C$9),4)</f>
        <v>C9</v>
      </c>
      <c r="D7188" t="b" cm="1">
        <f t="array" aca="1" ref="D7188" ca="1">IF(INDIRECT("'"&amp;A7188&amp;"'!"&amp;B7188)="",FALSE,IF(LEN(INDIRECT("'"&amp;A7188&amp;"'!"&amp;B7188))=LEN(TRIM(CLEAN(INDIRECT("'"&amp;A7188&amp;"'!"&amp;B7188)))),FALSE,TRUE))</f>
        <v>0</v>
      </c>
      <c r="E7188" t="s">
        <v>588</v>
      </c>
      <c r="F7188" t="str">
        <f>INDEX(Lists!I:I,MATCH(Validation!E7188,Lists!G:G,0))</f>
        <v>Error</v>
      </c>
      <c r="G7188" t="str">
        <f>INDEX(Lists!H:H,MATCH(Validation!E7188,Lists!G:G,0))</f>
        <v>Do not use leading, trailing, or double spaces. Delete and re-enter.</v>
      </c>
      <c r="H7188" s="16" t="str">
        <f t="shared" ca="1" si="822"/>
        <v/>
      </c>
      <c r="I7188" s="16" t="str">
        <f t="shared" ca="1" si="823"/>
        <v/>
      </c>
      <c r="J7188" s="17" t="str">
        <f t="shared" ca="1" si="824"/>
        <v/>
      </c>
    </row>
    <row r="7189" spans="1:10" x14ac:dyDescent="0.25">
      <c r="A7189" t="s">
        <v>961</v>
      </c>
      <c r="B7189" t="str">
        <f>ADDRESS(ROW(DFLoan1!B$9),COLUMN(DFLoan1!B$9),4)</f>
        <v>B9</v>
      </c>
      <c r="C7189" t="str">
        <f>ADDRESS(ROW(DFLoan1!C$9),COLUMN(DFLoan1!C$9),4)</f>
        <v>C9</v>
      </c>
      <c r="D7189" t="b" cm="1">
        <f t="array" aca="1" ref="D7189" ca="1">IF(INDIRECT("'"&amp;A7189&amp;"'!"&amp;B7189)="",FALSE,IF(LEN(INDIRECT("'"&amp;A7189&amp;"'!"&amp;B7189))=LEN(TRIM(CLEAN(INDIRECT("'"&amp;A7189&amp;"'!"&amp;B7189)))),FALSE,TRUE))</f>
        <v>0</v>
      </c>
      <c r="E7189" t="s">
        <v>588</v>
      </c>
      <c r="F7189" t="str">
        <f>INDEX(Lists!I:I,MATCH(Validation!E7189,Lists!G:G,0))</f>
        <v>Error</v>
      </c>
      <c r="G7189" t="str">
        <f>INDEX(Lists!H:H,MATCH(Validation!E7189,Lists!G:G,0))</f>
        <v>Do not use leading, trailing, or double spaces. Delete and re-enter.</v>
      </c>
      <c r="H7189" s="16" t="str">
        <f t="shared" ca="1" si="822"/>
        <v/>
      </c>
      <c r="I7189" s="16" t="str">
        <f t="shared" ca="1" si="823"/>
        <v/>
      </c>
      <c r="J7189" s="17" t="str">
        <f t="shared" ca="1" si="824"/>
        <v/>
      </c>
    </row>
    <row r="7190" spans="1:10" x14ac:dyDescent="0.25">
      <c r="A7190" t="s">
        <v>962</v>
      </c>
      <c r="B7190" t="str">
        <f>ADDRESS(ROW(DFLoan1!B$9),COLUMN(DFLoan1!B$9),4)</f>
        <v>B9</v>
      </c>
      <c r="C7190" t="str">
        <f>ADDRESS(ROW(DFLoan1!C$9),COLUMN(DFLoan1!C$9),4)</f>
        <v>C9</v>
      </c>
      <c r="D7190" t="b" cm="1">
        <f t="array" aca="1" ref="D7190" ca="1">IF(INDIRECT("'"&amp;A7190&amp;"'!"&amp;B7190)="",FALSE,IF(LEN(INDIRECT("'"&amp;A7190&amp;"'!"&amp;B7190))=LEN(TRIM(CLEAN(INDIRECT("'"&amp;A7190&amp;"'!"&amp;B7190)))),FALSE,TRUE))</f>
        <v>0</v>
      </c>
      <c r="E7190" t="s">
        <v>588</v>
      </c>
      <c r="F7190" t="str">
        <f>INDEX(Lists!I:I,MATCH(Validation!E7190,Lists!G:G,0))</f>
        <v>Error</v>
      </c>
      <c r="G7190" t="str">
        <f>INDEX(Lists!H:H,MATCH(Validation!E7190,Lists!G:G,0))</f>
        <v>Do not use leading, trailing, or double spaces. Delete and re-enter.</v>
      </c>
      <c r="H7190" s="16" t="str">
        <f t="shared" ca="1" si="822"/>
        <v/>
      </c>
      <c r="I7190" s="16" t="str">
        <f t="shared" ca="1" si="823"/>
        <v/>
      </c>
      <c r="J7190" s="17" t="str">
        <f t="shared" ca="1" si="824"/>
        <v/>
      </c>
    </row>
    <row r="7191" spans="1:10" x14ac:dyDescent="0.25">
      <c r="A7191" t="s">
        <v>963</v>
      </c>
      <c r="B7191" t="str">
        <f>ADDRESS(ROW(DFLoan1!B$9),COLUMN(DFLoan1!B$9),4)</f>
        <v>B9</v>
      </c>
      <c r="C7191" t="str">
        <f>ADDRESS(ROW(DFLoan1!C$9),COLUMN(DFLoan1!C$9),4)</f>
        <v>C9</v>
      </c>
      <c r="D7191" t="b" cm="1">
        <f t="array" aca="1" ref="D7191" ca="1">IF(INDIRECT("'"&amp;A7191&amp;"'!"&amp;B7191)="",FALSE,IF(LEN(INDIRECT("'"&amp;A7191&amp;"'!"&amp;B7191))=LEN(TRIM(CLEAN(INDIRECT("'"&amp;A7191&amp;"'!"&amp;B7191)))),FALSE,TRUE))</f>
        <v>0</v>
      </c>
      <c r="E7191" t="s">
        <v>588</v>
      </c>
      <c r="F7191" t="str">
        <f>INDEX(Lists!I:I,MATCH(Validation!E7191,Lists!G:G,0))</f>
        <v>Error</v>
      </c>
      <c r="G7191" t="str">
        <f>INDEX(Lists!H:H,MATCH(Validation!E7191,Lists!G:G,0))</f>
        <v>Do not use leading, trailing, or double spaces. Delete and re-enter.</v>
      </c>
      <c r="H7191" s="16" t="str">
        <f t="shared" ca="1" si="822"/>
        <v/>
      </c>
      <c r="I7191" s="16" t="str">
        <f t="shared" ca="1" si="823"/>
        <v/>
      </c>
      <c r="J7191" s="17" t="str">
        <f t="shared" ca="1" si="824"/>
        <v/>
      </c>
    </row>
    <row r="7192" spans="1:10" x14ac:dyDescent="0.25">
      <c r="A7192" t="s">
        <v>964</v>
      </c>
      <c r="B7192" t="str">
        <f>ADDRESS(ROW(DFLoan1!B$9),COLUMN(DFLoan1!B$9),4)</f>
        <v>B9</v>
      </c>
      <c r="C7192" t="str">
        <f>ADDRESS(ROW(DFLoan1!C$9),COLUMN(DFLoan1!C$9),4)</f>
        <v>C9</v>
      </c>
      <c r="D7192" t="b" cm="1">
        <f t="array" aca="1" ref="D7192" ca="1">IF(INDIRECT("'"&amp;A7192&amp;"'!"&amp;B7192)="",FALSE,IF(LEN(INDIRECT("'"&amp;A7192&amp;"'!"&amp;B7192))=LEN(TRIM(CLEAN(INDIRECT("'"&amp;A7192&amp;"'!"&amp;B7192)))),FALSE,TRUE))</f>
        <v>0</v>
      </c>
      <c r="E7192" t="s">
        <v>588</v>
      </c>
      <c r="F7192" t="str">
        <f>INDEX(Lists!I:I,MATCH(Validation!E7192,Lists!G:G,0))</f>
        <v>Error</v>
      </c>
      <c r="G7192" t="str">
        <f>INDEX(Lists!H:H,MATCH(Validation!E7192,Lists!G:G,0))</f>
        <v>Do not use leading, trailing, or double spaces. Delete and re-enter.</v>
      </c>
      <c r="H7192" s="16" t="str">
        <f t="shared" ca="1" si="822"/>
        <v/>
      </c>
      <c r="I7192" s="16" t="str">
        <f t="shared" ca="1" si="823"/>
        <v/>
      </c>
      <c r="J7192" s="17" t="str">
        <f t="shared" ca="1" si="824"/>
        <v/>
      </c>
    </row>
    <row r="7193" spans="1:10" x14ac:dyDescent="0.25">
      <c r="A7193" t="s">
        <v>965</v>
      </c>
      <c r="B7193" t="str">
        <f>ADDRESS(ROW(DFLoan1!B$9),COLUMN(DFLoan1!B$9),4)</f>
        <v>B9</v>
      </c>
      <c r="C7193" t="str">
        <f>ADDRESS(ROW(DFLoan1!C$9),COLUMN(DFLoan1!C$9),4)</f>
        <v>C9</v>
      </c>
      <c r="D7193" t="b" cm="1">
        <f t="array" aca="1" ref="D7193" ca="1">IF(INDIRECT("'"&amp;A7193&amp;"'!"&amp;B7193)="",FALSE,IF(LEN(INDIRECT("'"&amp;A7193&amp;"'!"&amp;B7193))=LEN(TRIM(CLEAN(INDIRECT("'"&amp;A7193&amp;"'!"&amp;B7193)))),FALSE,TRUE))</f>
        <v>0</v>
      </c>
      <c r="E7193" t="s">
        <v>588</v>
      </c>
      <c r="F7193" t="str">
        <f>INDEX(Lists!I:I,MATCH(Validation!E7193,Lists!G:G,0))</f>
        <v>Error</v>
      </c>
      <c r="G7193" t="str">
        <f>INDEX(Lists!H:H,MATCH(Validation!E7193,Lists!G:G,0))</f>
        <v>Do not use leading, trailing, or double spaces. Delete and re-enter.</v>
      </c>
      <c r="H7193" s="16" t="str">
        <f t="shared" ca="1" si="822"/>
        <v/>
      </c>
      <c r="I7193" s="16" t="str">
        <f t="shared" ca="1" si="823"/>
        <v/>
      </c>
      <c r="J7193" s="17" t="str">
        <f t="shared" ca="1" si="824"/>
        <v/>
      </c>
    </row>
    <row r="7194" spans="1:10" x14ac:dyDescent="0.25">
      <c r="A7194" t="s">
        <v>966</v>
      </c>
      <c r="B7194" t="str">
        <f>ADDRESS(ROW(DFLoan1!B$9),COLUMN(DFLoan1!B$9),4)</f>
        <v>B9</v>
      </c>
      <c r="C7194" t="str">
        <f>ADDRESS(ROW(DFLoan1!C$9),COLUMN(DFLoan1!C$9),4)</f>
        <v>C9</v>
      </c>
      <c r="D7194" t="b" cm="1">
        <f t="array" aca="1" ref="D7194" ca="1">IF(INDIRECT("'"&amp;A7194&amp;"'!"&amp;B7194)="",FALSE,IF(LEN(INDIRECT("'"&amp;A7194&amp;"'!"&amp;B7194))=LEN(TRIM(CLEAN(INDIRECT("'"&amp;A7194&amp;"'!"&amp;B7194)))),FALSE,TRUE))</f>
        <v>0</v>
      </c>
      <c r="E7194" t="s">
        <v>588</v>
      </c>
      <c r="F7194" t="str">
        <f>INDEX(Lists!I:I,MATCH(Validation!E7194,Lists!G:G,0))</f>
        <v>Error</v>
      </c>
      <c r="G7194" t="str">
        <f>INDEX(Lists!H:H,MATCH(Validation!E7194,Lists!G:G,0))</f>
        <v>Do not use leading, trailing, or double spaces. Delete and re-enter.</v>
      </c>
      <c r="H7194" s="16" t="str">
        <f t="shared" ca="1" si="822"/>
        <v/>
      </c>
      <c r="I7194" s="16" t="str">
        <f t="shared" ca="1" si="823"/>
        <v/>
      </c>
      <c r="J7194" s="17" t="str">
        <f t="shared" ca="1" si="824"/>
        <v/>
      </c>
    </row>
    <row r="7195" spans="1:10" x14ac:dyDescent="0.25">
      <c r="A7195" t="s">
        <v>881</v>
      </c>
      <c r="B7195" t="str">
        <f>ADDRESS(ROW(DFLoan1!B$9),COLUMN(DFLoan1!B$9),4)</f>
        <v>B9</v>
      </c>
      <c r="C7195" t="str">
        <f>ADDRESS(ROW(DFLoan1!C$9),COLUMN(DFLoan1!C$9),4)</f>
        <v>C9</v>
      </c>
      <c r="D7195" t="b" cm="1">
        <f t="array" aca="1" ref="D7195" ca="1">IF(LEN(INDIRECT("'"&amp;A7195&amp;"'!"&amp;B7195))&gt;50,TRUE,FALSE)</f>
        <v>0</v>
      </c>
      <c r="E7195" t="s">
        <v>926</v>
      </c>
      <c r="F7195" t="str">
        <f>INDEX(Lists!I:I,MATCH(Validation!E7195,Lists!G:G,0))</f>
        <v>Error</v>
      </c>
      <c r="G7195" t="str">
        <f>INDEX(Lists!H:H,MATCH(Validation!E7195,Lists!G:G,0))</f>
        <v>Entry cannot exceed 50 characters. Please re-enter.</v>
      </c>
      <c r="H7195" s="16" t="str">
        <f t="shared" ca="1" si="822"/>
        <v/>
      </c>
      <c r="I7195" s="16" t="str">
        <f t="shared" ca="1" si="823"/>
        <v/>
      </c>
      <c r="J7195" s="17" t="str">
        <f t="shared" ca="1" si="824"/>
        <v/>
      </c>
    </row>
    <row r="7196" spans="1:10" x14ac:dyDescent="0.25">
      <c r="A7196" t="s">
        <v>953</v>
      </c>
      <c r="B7196" t="str">
        <f>ADDRESS(ROW(DFLoan1!B$9),COLUMN(DFLoan1!B$9),4)</f>
        <v>B9</v>
      </c>
      <c r="C7196" t="str">
        <f>ADDRESS(ROW(DFLoan1!C$9),COLUMN(DFLoan1!C$9),4)</f>
        <v>C9</v>
      </c>
      <c r="D7196" t="b" cm="1">
        <f t="array" aca="1" ref="D7196" ca="1">IF(LEN(INDIRECT("'"&amp;A7196&amp;"'!"&amp;B7196))&gt;50,TRUE,FALSE)</f>
        <v>0</v>
      </c>
      <c r="E7196" t="s">
        <v>926</v>
      </c>
      <c r="F7196" t="str">
        <f>INDEX(Lists!I:I,MATCH(Validation!E7196,Lists!G:G,0))</f>
        <v>Error</v>
      </c>
      <c r="G7196" t="str">
        <f>INDEX(Lists!H:H,MATCH(Validation!E7196,Lists!G:G,0))</f>
        <v>Entry cannot exceed 50 characters. Please re-enter.</v>
      </c>
      <c r="H7196" s="16" t="str">
        <f t="shared" ca="1" si="822"/>
        <v/>
      </c>
      <c r="I7196" s="16" t="str">
        <f t="shared" ca="1" si="823"/>
        <v/>
      </c>
      <c r="J7196" s="17" t="str">
        <f t="shared" ca="1" si="824"/>
        <v/>
      </c>
    </row>
    <row r="7197" spans="1:10" x14ac:dyDescent="0.25">
      <c r="A7197" t="s">
        <v>954</v>
      </c>
      <c r="B7197" t="str">
        <f>ADDRESS(ROW(DFLoan1!B$9),COLUMN(DFLoan1!B$9),4)</f>
        <v>B9</v>
      </c>
      <c r="C7197" t="str">
        <f>ADDRESS(ROW(DFLoan1!C$9),COLUMN(DFLoan1!C$9),4)</f>
        <v>C9</v>
      </c>
      <c r="D7197" t="b" cm="1">
        <f t="array" aca="1" ref="D7197" ca="1">IF(LEN(INDIRECT("'"&amp;A7197&amp;"'!"&amp;B7197))&gt;50,TRUE,FALSE)</f>
        <v>0</v>
      </c>
      <c r="E7197" t="s">
        <v>926</v>
      </c>
      <c r="F7197" t="str">
        <f>INDEX(Lists!I:I,MATCH(Validation!E7197,Lists!G:G,0))</f>
        <v>Error</v>
      </c>
      <c r="G7197" t="str">
        <f>INDEX(Lists!H:H,MATCH(Validation!E7197,Lists!G:G,0))</f>
        <v>Entry cannot exceed 50 characters. Please re-enter.</v>
      </c>
      <c r="H7197" s="16" t="str">
        <f t="shared" ca="1" si="822"/>
        <v/>
      </c>
      <c r="I7197" s="16" t="str">
        <f t="shared" ca="1" si="823"/>
        <v/>
      </c>
      <c r="J7197" s="17" t="str">
        <f t="shared" ca="1" si="824"/>
        <v/>
      </c>
    </row>
    <row r="7198" spans="1:10" x14ac:dyDescent="0.25">
      <c r="A7198" t="s">
        <v>955</v>
      </c>
      <c r="B7198" t="str">
        <f>ADDRESS(ROW(DFLoan1!B$9),COLUMN(DFLoan1!B$9),4)</f>
        <v>B9</v>
      </c>
      <c r="C7198" t="str">
        <f>ADDRESS(ROW(DFLoan1!C$9),COLUMN(DFLoan1!C$9),4)</f>
        <v>C9</v>
      </c>
      <c r="D7198" t="b" cm="1">
        <f t="array" aca="1" ref="D7198" ca="1">IF(LEN(INDIRECT("'"&amp;A7198&amp;"'!"&amp;B7198))&gt;50,TRUE,FALSE)</f>
        <v>0</v>
      </c>
      <c r="E7198" t="s">
        <v>926</v>
      </c>
      <c r="F7198" t="str">
        <f>INDEX(Lists!I:I,MATCH(Validation!E7198,Lists!G:G,0))</f>
        <v>Error</v>
      </c>
      <c r="G7198" t="str">
        <f>INDEX(Lists!H:H,MATCH(Validation!E7198,Lists!G:G,0))</f>
        <v>Entry cannot exceed 50 characters. Please re-enter.</v>
      </c>
      <c r="H7198" s="16" t="str">
        <f t="shared" ca="1" si="822"/>
        <v/>
      </c>
      <c r="I7198" s="16" t="str">
        <f t="shared" ca="1" si="823"/>
        <v/>
      </c>
      <c r="J7198" s="17" t="str">
        <f t="shared" ca="1" si="824"/>
        <v/>
      </c>
    </row>
    <row r="7199" spans="1:10" x14ac:dyDescent="0.25">
      <c r="A7199" t="s">
        <v>956</v>
      </c>
      <c r="B7199" t="str">
        <f>ADDRESS(ROW(DFLoan1!B$9),COLUMN(DFLoan1!B$9),4)</f>
        <v>B9</v>
      </c>
      <c r="C7199" t="str">
        <f>ADDRESS(ROW(DFLoan1!C$9),COLUMN(DFLoan1!C$9),4)</f>
        <v>C9</v>
      </c>
      <c r="D7199" t="b" cm="1">
        <f t="array" aca="1" ref="D7199" ca="1">IF(LEN(INDIRECT("'"&amp;A7199&amp;"'!"&amp;B7199))&gt;50,TRUE,FALSE)</f>
        <v>0</v>
      </c>
      <c r="E7199" t="s">
        <v>926</v>
      </c>
      <c r="F7199" t="str">
        <f>INDEX(Lists!I:I,MATCH(Validation!E7199,Lists!G:G,0))</f>
        <v>Error</v>
      </c>
      <c r="G7199" t="str">
        <f>INDEX(Lists!H:H,MATCH(Validation!E7199,Lists!G:G,0))</f>
        <v>Entry cannot exceed 50 characters. Please re-enter.</v>
      </c>
      <c r="H7199" s="16" t="str">
        <f t="shared" ca="1" si="822"/>
        <v/>
      </c>
      <c r="I7199" s="16" t="str">
        <f t="shared" ca="1" si="823"/>
        <v/>
      </c>
      <c r="J7199" s="17" t="str">
        <f t="shared" ca="1" si="824"/>
        <v/>
      </c>
    </row>
    <row r="7200" spans="1:10" x14ac:dyDescent="0.25">
      <c r="A7200" t="s">
        <v>957</v>
      </c>
      <c r="B7200" t="str">
        <f>ADDRESS(ROW(DFLoan1!B$9),COLUMN(DFLoan1!B$9),4)</f>
        <v>B9</v>
      </c>
      <c r="C7200" t="str">
        <f>ADDRESS(ROW(DFLoan1!C$9),COLUMN(DFLoan1!C$9),4)</f>
        <v>C9</v>
      </c>
      <c r="D7200" t="b" cm="1">
        <f t="array" aca="1" ref="D7200" ca="1">IF(LEN(INDIRECT("'"&amp;A7200&amp;"'!"&amp;B7200))&gt;50,TRUE,FALSE)</f>
        <v>0</v>
      </c>
      <c r="E7200" t="s">
        <v>926</v>
      </c>
      <c r="F7200" t="str">
        <f>INDEX(Lists!I:I,MATCH(Validation!E7200,Lists!G:G,0))</f>
        <v>Error</v>
      </c>
      <c r="G7200" t="str">
        <f>INDEX(Lists!H:H,MATCH(Validation!E7200,Lists!G:G,0))</f>
        <v>Entry cannot exceed 50 characters. Please re-enter.</v>
      </c>
      <c r="H7200" s="16" t="str">
        <f t="shared" ca="1" si="822"/>
        <v/>
      </c>
      <c r="I7200" s="16" t="str">
        <f t="shared" ca="1" si="823"/>
        <v/>
      </c>
      <c r="J7200" s="17" t="str">
        <f t="shared" ca="1" si="824"/>
        <v/>
      </c>
    </row>
    <row r="7201" spans="1:10" x14ac:dyDescent="0.25">
      <c r="A7201" t="s">
        <v>958</v>
      </c>
      <c r="B7201" t="str">
        <f>ADDRESS(ROW(DFLoan1!B$9),COLUMN(DFLoan1!B$9),4)</f>
        <v>B9</v>
      </c>
      <c r="C7201" t="str">
        <f>ADDRESS(ROW(DFLoan1!C$9),COLUMN(DFLoan1!C$9),4)</f>
        <v>C9</v>
      </c>
      <c r="D7201" t="b" cm="1">
        <f t="array" aca="1" ref="D7201" ca="1">IF(LEN(INDIRECT("'"&amp;A7201&amp;"'!"&amp;B7201))&gt;50,TRUE,FALSE)</f>
        <v>0</v>
      </c>
      <c r="E7201" t="s">
        <v>926</v>
      </c>
      <c r="F7201" t="str">
        <f>INDEX(Lists!I:I,MATCH(Validation!E7201,Lists!G:G,0))</f>
        <v>Error</v>
      </c>
      <c r="G7201" t="str">
        <f>INDEX(Lists!H:H,MATCH(Validation!E7201,Lists!G:G,0))</f>
        <v>Entry cannot exceed 50 characters. Please re-enter.</v>
      </c>
      <c r="H7201" s="16" t="str">
        <f t="shared" ca="1" si="822"/>
        <v/>
      </c>
      <c r="I7201" s="16" t="str">
        <f t="shared" ca="1" si="823"/>
        <v/>
      </c>
      <c r="J7201" s="17" t="str">
        <f t="shared" ca="1" si="824"/>
        <v/>
      </c>
    </row>
    <row r="7202" spans="1:10" x14ac:dyDescent="0.25">
      <c r="A7202" t="s">
        <v>959</v>
      </c>
      <c r="B7202" t="str">
        <f>ADDRESS(ROW(DFLoan1!B$9),COLUMN(DFLoan1!B$9),4)</f>
        <v>B9</v>
      </c>
      <c r="C7202" t="str">
        <f>ADDRESS(ROW(DFLoan1!C$9),COLUMN(DFLoan1!C$9),4)</f>
        <v>C9</v>
      </c>
      <c r="D7202" t="b" cm="1">
        <f t="array" aca="1" ref="D7202" ca="1">IF(LEN(INDIRECT("'"&amp;A7202&amp;"'!"&amp;B7202))&gt;50,TRUE,FALSE)</f>
        <v>0</v>
      </c>
      <c r="E7202" t="s">
        <v>926</v>
      </c>
      <c r="F7202" t="str">
        <f>INDEX(Lists!I:I,MATCH(Validation!E7202,Lists!G:G,0))</f>
        <v>Error</v>
      </c>
      <c r="G7202" t="str">
        <f>INDEX(Lists!H:H,MATCH(Validation!E7202,Lists!G:G,0))</f>
        <v>Entry cannot exceed 50 characters. Please re-enter.</v>
      </c>
      <c r="H7202" s="16" t="str">
        <f t="shared" ca="1" si="822"/>
        <v/>
      </c>
      <c r="I7202" s="16" t="str">
        <f t="shared" ca="1" si="823"/>
        <v/>
      </c>
      <c r="J7202" s="17" t="str">
        <f t="shared" ca="1" si="824"/>
        <v/>
      </c>
    </row>
    <row r="7203" spans="1:10" x14ac:dyDescent="0.25">
      <c r="A7203" t="s">
        <v>960</v>
      </c>
      <c r="B7203" t="str">
        <f>ADDRESS(ROW(DFLoan1!B$9),COLUMN(DFLoan1!B$9),4)</f>
        <v>B9</v>
      </c>
      <c r="C7203" t="str">
        <f>ADDRESS(ROW(DFLoan1!C$9),COLUMN(DFLoan1!C$9),4)</f>
        <v>C9</v>
      </c>
      <c r="D7203" t="b" cm="1">
        <f t="array" aca="1" ref="D7203" ca="1">IF(LEN(INDIRECT("'"&amp;A7203&amp;"'!"&amp;B7203))&gt;50,TRUE,FALSE)</f>
        <v>0</v>
      </c>
      <c r="E7203" t="s">
        <v>926</v>
      </c>
      <c r="F7203" t="str">
        <f>INDEX(Lists!I:I,MATCH(Validation!E7203,Lists!G:G,0))</f>
        <v>Error</v>
      </c>
      <c r="G7203" t="str">
        <f>INDEX(Lists!H:H,MATCH(Validation!E7203,Lists!G:G,0))</f>
        <v>Entry cannot exceed 50 characters. Please re-enter.</v>
      </c>
      <c r="H7203" s="16" t="str">
        <f t="shared" ca="1" si="822"/>
        <v/>
      </c>
      <c r="I7203" s="16" t="str">
        <f t="shared" ca="1" si="823"/>
        <v/>
      </c>
      <c r="J7203" s="17" t="str">
        <f t="shared" ca="1" si="824"/>
        <v/>
      </c>
    </row>
    <row r="7204" spans="1:10" x14ac:dyDescent="0.25">
      <c r="A7204" t="s">
        <v>961</v>
      </c>
      <c r="B7204" t="str">
        <f>ADDRESS(ROW(DFLoan1!B$9),COLUMN(DFLoan1!B$9),4)</f>
        <v>B9</v>
      </c>
      <c r="C7204" t="str">
        <f>ADDRESS(ROW(DFLoan1!C$9),COLUMN(DFLoan1!C$9),4)</f>
        <v>C9</v>
      </c>
      <c r="D7204" t="b" cm="1">
        <f t="array" aca="1" ref="D7204" ca="1">IF(LEN(INDIRECT("'"&amp;A7204&amp;"'!"&amp;B7204))&gt;50,TRUE,FALSE)</f>
        <v>0</v>
      </c>
      <c r="E7204" t="s">
        <v>926</v>
      </c>
      <c r="F7204" t="str">
        <f>INDEX(Lists!I:I,MATCH(Validation!E7204,Lists!G:G,0))</f>
        <v>Error</v>
      </c>
      <c r="G7204" t="str">
        <f>INDEX(Lists!H:H,MATCH(Validation!E7204,Lists!G:G,0))</f>
        <v>Entry cannot exceed 50 characters. Please re-enter.</v>
      </c>
      <c r="H7204" s="16" t="str">
        <f t="shared" ca="1" si="822"/>
        <v/>
      </c>
      <c r="I7204" s="16" t="str">
        <f t="shared" ca="1" si="823"/>
        <v/>
      </c>
      <c r="J7204" s="17" t="str">
        <f t="shared" ca="1" si="824"/>
        <v/>
      </c>
    </row>
    <row r="7205" spans="1:10" x14ac:dyDescent="0.25">
      <c r="A7205" t="s">
        <v>962</v>
      </c>
      <c r="B7205" t="str">
        <f>ADDRESS(ROW(DFLoan1!B$9),COLUMN(DFLoan1!B$9),4)</f>
        <v>B9</v>
      </c>
      <c r="C7205" t="str">
        <f>ADDRESS(ROW(DFLoan1!C$9),COLUMN(DFLoan1!C$9),4)</f>
        <v>C9</v>
      </c>
      <c r="D7205" t="b" cm="1">
        <f t="array" aca="1" ref="D7205" ca="1">IF(LEN(INDIRECT("'"&amp;A7205&amp;"'!"&amp;B7205))&gt;50,TRUE,FALSE)</f>
        <v>0</v>
      </c>
      <c r="E7205" t="s">
        <v>926</v>
      </c>
      <c r="F7205" t="str">
        <f>INDEX(Lists!I:I,MATCH(Validation!E7205,Lists!G:G,0))</f>
        <v>Error</v>
      </c>
      <c r="G7205" t="str">
        <f>INDEX(Lists!H:H,MATCH(Validation!E7205,Lists!G:G,0))</f>
        <v>Entry cannot exceed 50 characters. Please re-enter.</v>
      </c>
      <c r="H7205" s="16" t="str">
        <f t="shared" ca="1" si="822"/>
        <v/>
      </c>
      <c r="I7205" s="16" t="str">
        <f t="shared" ca="1" si="823"/>
        <v/>
      </c>
      <c r="J7205" s="17" t="str">
        <f t="shared" ca="1" si="824"/>
        <v/>
      </c>
    </row>
    <row r="7206" spans="1:10" x14ac:dyDescent="0.25">
      <c r="A7206" t="s">
        <v>963</v>
      </c>
      <c r="B7206" t="str">
        <f>ADDRESS(ROW(DFLoan1!B$9),COLUMN(DFLoan1!B$9),4)</f>
        <v>B9</v>
      </c>
      <c r="C7206" t="str">
        <f>ADDRESS(ROW(DFLoan1!C$9),COLUMN(DFLoan1!C$9),4)</f>
        <v>C9</v>
      </c>
      <c r="D7206" t="b" cm="1">
        <f t="array" aca="1" ref="D7206" ca="1">IF(LEN(INDIRECT("'"&amp;A7206&amp;"'!"&amp;B7206))&gt;50,TRUE,FALSE)</f>
        <v>0</v>
      </c>
      <c r="E7206" t="s">
        <v>926</v>
      </c>
      <c r="F7206" t="str">
        <f>INDEX(Lists!I:I,MATCH(Validation!E7206,Lists!G:G,0))</f>
        <v>Error</v>
      </c>
      <c r="G7206" t="str">
        <f>INDEX(Lists!H:H,MATCH(Validation!E7206,Lists!G:G,0))</f>
        <v>Entry cannot exceed 50 characters. Please re-enter.</v>
      </c>
      <c r="H7206" s="16" t="str">
        <f t="shared" ca="1" si="822"/>
        <v/>
      </c>
      <c r="I7206" s="16" t="str">
        <f t="shared" ca="1" si="823"/>
        <v/>
      </c>
      <c r="J7206" s="17" t="str">
        <f t="shared" ca="1" si="824"/>
        <v/>
      </c>
    </row>
    <row r="7207" spans="1:10" x14ac:dyDescent="0.25">
      <c r="A7207" t="s">
        <v>964</v>
      </c>
      <c r="B7207" t="str">
        <f>ADDRESS(ROW(DFLoan1!B$9),COLUMN(DFLoan1!B$9),4)</f>
        <v>B9</v>
      </c>
      <c r="C7207" t="str">
        <f>ADDRESS(ROW(DFLoan1!C$9),COLUMN(DFLoan1!C$9),4)</f>
        <v>C9</v>
      </c>
      <c r="D7207" t="b" cm="1">
        <f t="array" aca="1" ref="D7207" ca="1">IF(LEN(INDIRECT("'"&amp;A7207&amp;"'!"&amp;B7207))&gt;50,TRUE,FALSE)</f>
        <v>0</v>
      </c>
      <c r="E7207" t="s">
        <v>926</v>
      </c>
      <c r="F7207" t="str">
        <f>INDEX(Lists!I:I,MATCH(Validation!E7207,Lists!G:G,0))</f>
        <v>Error</v>
      </c>
      <c r="G7207" t="str">
        <f>INDEX(Lists!H:H,MATCH(Validation!E7207,Lists!G:G,0))</f>
        <v>Entry cannot exceed 50 characters. Please re-enter.</v>
      </c>
      <c r="H7207" s="16" t="str">
        <f t="shared" ca="1" si="822"/>
        <v/>
      </c>
      <c r="I7207" s="16" t="str">
        <f t="shared" ca="1" si="823"/>
        <v/>
      </c>
      <c r="J7207" s="17" t="str">
        <f t="shared" ca="1" si="824"/>
        <v/>
      </c>
    </row>
    <row r="7208" spans="1:10" x14ac:dyDescent="0.25">
      <c r="A7208" t="s">
        <v>965</v>
      </c>
      <c r="B7208" t="str">
        <f>ADDRESS(ROW(DFLoan1!B$9),COLUMN(DFLoan1!B$9),4)</f>
        <v>B9</v>
      </c>
      <c r="C7208" t="str">
        <f>ADDRESS(ROW(DFLoan1!C$9),COLUMN(DFLoan1!C$9),4)</f>
        <v>C9</v>
      </c>
      <c r="D7208" t="b" cm="1">
        <f t="array" aca="1" ref="D7208" ca="1">IF(LEN(INDIRECT("'"&amp;A7208&amp;"'!"&amp;B7208))&gt;50,TRUE,FALSE)</f>
        <v>0</v>
      </c>
      <c r="E7208" t="s">
        <v>926</v>
      </c>
      <c r="F7208" t="str">
        <f>INDEX(Lists!I:I,MATCH(Validation!E7208,Lists!G:G,0))</f>
        <v>Error</v>
      </c>
      <c r="G7208" t="str">
        <f>INDEX(Lists!H:H,MATCH(Validation!E7208,Lists!G:G,0))</f>
        <v>Entry cannot exceed 50 characters. Please re-enter.</v>
      </c>
      <c r="H7208" s="16" t="str">
        <f t="shared" ca="1" si="822"/>
        <v/>
      </c>
      <c r="I7208" s="16" t="str">
        <f t="shared" ca="1" si="823"/>
        <v/>
      </c>
      <c r="J7208" s="17" t="str">
        <f t="shared" ca="1" si="824"/>
        <v/>
      </c>
    </row>
    <row r="7209" spans="1:10" x14ac:dyDescent="0.25">
      <c r="A7209" t="s">
        <v>966</v>
      </c>
      <c r="B7209" t="str">
        <f>ADDRESS(ROW(DFLoan1!B$9),COLUMN(DFLoan1!B$9),4)</f>
        <v>B9</v>
      </c>
      <c r="C7209" t="str">
        <f>ADDRESS(ROW(DFLoan1!C$9),COLUMN(DFLoan1!C$9),4)</f>
        <v>C9</v>
      </c>
      <c r="D7209" t="b" cm="1">
        <f t="array" aca="1" ref="D7209" ca="1">IF(LEN(INDIRECT("'"&amp;A7209&amp;"'!"&amp;B7209))&gt;50,TRUE,FALSE)</f>
        <v>0</v>
      </c>
      <c r="E7209" t="s">
        <v>926</v>
      </c>
      <c r="F7209" t="str">
        <f>INDEX(Lists!I:I,MATCH(Validation!E7209,Lists!G:G,0))</f>
        <v>Error</v>
      </c>
      <c r="G7209" t="str">
        <f>INDEX(Lists!H:H,MATCH(Validation!E7209,Lists!G:G,0))</f>
        <v>Entry cannot exceed 50 characters. Please re-enter.</v>
      </c>
      <c r="H7209" s="16" t="str">
        <f t="shared" ca="1" si="822"/>
        <v/>
      </c>
      <c r="I7209" s="16" t="str">
        <f t="shared" ca="1" si="823"/>
        <v/>
      </c>
      <c r="J7209" s="17" t="str">
        <f t="shared" ca="1" si="824"/>
        <v/>
      </c>
    </row>
    <row r="7210" spans="1:10" x14ac:dyDescent="0.25">
      <c r="A7210" t="s">
        <v>881</v>
      </c>
      <c r="B7210" t="str">
        <f>ADDRESS(ROW(DFLoan1!B$10),COLUMN(DFLoan1!B$10),4)</f>
        <v>B10</v>
      </c>
      <c r="C7210" t="str">
        <f>ADDRESS(ROW(DFLoan1!C$10),COLUMN(DFLoan1!C$10),4)</f>
        <v>C10</v>
      </c>
      <c r="D7210" t="b" cm="1">
        <f t="array" aca="1" ref="D7210" ca="1">IF(INDIRECT("'"&amp;A7210&amp;"'!"&amp;B7210)="",FALSE,ISERROR(DATE(INDIRECT("'"&amp;A7210&amp;"'!"&amp;B7210),,)))</f>
        <v>0</v>
      </c>
      <c r="E7210" t="s">
        <v>498</v>
      </c>
      <c r="F7210" t="str">
        <f>INDEX(Lists!I:I,MATCH(Validation!E7210,Lists!G:G,0))</f>
        <v>Error</v>
      </c>
      <c r="G7210" t="str">
        <f>INDEX(Lists!H:H,MATCH(Validation!E7210,Lists!G:G,0))</f>
        <v>Enter a date only (MM/DD/YYYY). Do not enter text, spaces, or amounts.</v>
      </c>
      <c r="H7210" s="16" t="str">
        <f t="shared" ca="1" si="822"/>
        <v/>
      </c>
      <c r="I7210" s="16" t="str">
        <f t="shared" ca="1" si="823"/>
        <v/>
      </c>
      <c r="J7210" s="17" t="str">
        <f t="shared" ca="1" si="824"/>
        <v/>
      </c>
    </row>
    <row r="7211" spans="1:10" x14ac:dyDescent="0.25">
      <c r="A7211" t="s">
        <v>953</v>
      </c>
      <c r="B7211" t="str">
        <f>ADDRESS(ROW(DFLoan1!B$10),COLUMN(DFLoan1!B$10),4)</f>
        <v>B10</v>
      </c>
      <c r="C7211" t="str">
        <f>ADDRESS(ROW(DFLoan1!C$10),COLUMN(DFLoan1!C$10),4)</f>
        <v>C10</v>
      </c>
      <c r="D7211" t="b" cm="1">
        <f t="array" aca="1" ref="D7211" ca="1">IF(INDIRECT("'"&amp;A7211&amp;"'!"&amp;B7211)="",FALSE,ISERROR(DATE(INDIRECT("'"&amp;A7211&amp;"'!"&amp;B7211),,)))</f>
        <v>0</v>
      </c>
      <c r="E7211" t="s">
        <v>498</v>
      </c>
      <c r="F7211" t="str">
        <f>INDEX(Lists!I:I,MATCH(Validation!E7211,Lists!G:G,0))</f>
        <v>Error</v>
      </c>
      <c r="G7211" t="str">
        <f>INDEX(Lists!H:H,MATCH(Validation!E7211,Lists!G:G,0))</f>
        <v>Enter a date only (MM/DD/YYYY). Do not enter text, spaces, or amounts.</v>
      </c>
      <c r="H7211" s="16" t="str">
        <f t="shared" ca="1" si="822"/>
        <v/>
      </c>
      <c r="I7211" s="16" t="str">
        <f t="shared" ca="1" si="823"/>
        <v/>
      </c>
      <c r="J7211" s="17" t="str">
        <f t="shared" ca="1" si="824"/>
        <v/>
      </c>
    </row>
    <row r="7212" spans="1:10" x14ac:dyDescent="0.25">
      <c r="A7212" t="s">
        <v>954</v>
      </c>
      <c r="B7212" t="str">
        <f>ADDRESS(ROW(DFLoan1!B$10),COLUMN(DFLoan1!B$10),4)</f>
        <v>B10</v>
      </c>
      <c r="C7212" t="str">
        <f>ADDRESS(ROW(DFLoan1!C$10),COLUMN(DFLoan1!C$10),4)</f>
        <v>C10</v>
      </c>
      <c r="D7212" t="b" cm="1">
        <f t="array" aca="1" ref="D7212" ca="1">IF(INDIRECT("'"&amp;A7212&amp;"'!"&amp;B7212)="",FALSE,ISERROR(DATE(INDIRECT("'"&amp;A7212&amp;"'!"&amp;B7212),,)))</f>
        <v>0</v>
      </c>
      <c r="E7212" t="s">
        <v>498</v>
      </c>
      <c r="F7212" t="str">
        <f>INDEX(Lists!I:I,MATCH(Validation!E7212,Lists!G:G,0))</f>
        <v>Error</v>
      </c>
      <c r="G7212" t="str">
        <f>INDEX(Lists!H:H,MATCH(Validation!E7212,Lists!G:G,0))</f>
        <v>Enter a date only (MM/DD/YYYY). Do not enter text, spaces, or amounts.</v>
      </c>
      <c r="H7212" s="16" t="str">
        <f t="shared" ca="1" si="822"/>
        <v/>
      </c>
      <c r="I7212" s="16" t="str">
        <f t="shared" ca="1" si="823"/>
        <v/>
      </c>
      <c r="J7212" s="17" t="str">
        <f t="shared" ca="1" si="824"/>
        <v/>
      </c>
    </row>
    <row r="7213" spans="1:10" x14ac:dyDescent="0.25">
      <c r="A7213" t="s">
        <v>955</v>
      </c>
      <c r="B7213" t="str">
        <f>ADDRESS(ROW(DFLoan1!B$10),COLUMN(DFLoan1!B$10),4)</f>
        <v>B10</v>
      </c>
      <c r="C7213" t="str">
        <f>ADDRESS(ROW(DFLoan1!C$10),COLUMN(DFLoan1!C$10),4)</f>
        <v>C10</v>
      </c>
      <c r="D7213" t="b" cm="1">
        <f t="array" aca="1" ref="D7213" ca="1">IF(INDIRECT("'"&amp;A7213&amp;"'!"&amp;B7213)="",FALSE,ISERROR(DATE(INDIRECT("'"&amp;A7213&amp;"'!"&amp;B7213),,)))</f>
        <v>0</v>
      </c>
      <c r="E7213" t="s">
        <v>498</v>
      </c>
      <c r="F7213" t="str">
        <f>INDEX(Lists!I:I,MATCH(Validation!E7213,Lists!G:G,0))</f>
        <v>Error</v>
      </c>
      <c r="G7213" t="str">
        <f>INDEX(Lists!H:H,MATCH(Validation!E7213,Lists!G:G,0))</f>
        <v>Enter a date only (MM/DD/YYYY). Do not enter text, spaces, or amounts.</v>
      </c>
      <c r="H7213" s="16" t="str">
        <f t="shared" ca="1" si="822"/>
        <v/>
      </c>
      <c r="I7213" s="16" t="str">
        <f t="shared" ca="1" si="823"/>
        <v/>
      </c>
      <c r="J7213" s="17" t="str">
        <f t="shared" ca="1" si="824"/>
        <v/>
      </c>
    </row>
    <row r="7214" spans="1:10" x14ac:dyDescent="0.25">
      <c r="A7214" t="s">
        <v>956</v>
      </c>
      <c r="B7214" t="str">
        <f>ADDRESS(ROW(DFLoan1!B$10),COLUMN(DFLoan1!B$10),4)</f>
        <v>B10</v>
      </c>
      <c r="C7214" t="str">
        <f>ADDRESS(ROW(DFLoan1!C$10),COLUMN(DFLoan1!C$10),4)</f>
        <v>C10</v>
      </c>
      <c r="D7214" t="b" cm="1">
        <f t="array" aca="1" ref="D7214" ca="1">IF(INDIRECT("'"&amp;A7214&amp;"'!"&amp;B7214)="",FALSE,ISERROR(DATE(INDIRECT("'"&amp;A7214&amp;"'!"&amp;B7214),,)))</f>
        <v>0</v>
      </c>
      <c r="E7214" t="s">
        <v>498</v>
      </c>
      <c r="F7214" t="str">
        <f>INDEX(Lists!I:I,MATCH(Validation!E7214,Lists!G:G,0))</f>
        <v>Error</v>
      </c>
      <c r="G7214" t="str">
        <f>INDEX(Lists!H:H,MATCH(Validation!E7214,Lists!G:G,0))</f>
        <v>Enter a date only (MM/DD/YYYY). Do not enter text, spaces, or amounts.</v>
      </c>
      <c r="H7214" s="16" t="str">
        <f t="shared" ca="1" si="822"/>
        <v/>
      </c>
      <c r="I7214" s="16" t="str">
        <f t="shared" ca="1" si="823"/>
        <v/>
      </c>
      <c r="J7214" s="17" t="str">
        <f t="shared" ca="1" si="824"/>
        <v/>
      </c>
    </row>
    <row r="7215" spans="1:10" x14ac:dyDescent="0.25">
      <c r="A7215" t="s">
        <v>957</v>
      </c>
      <c r="B7215" t="str">
        <f>ADDRESS(ROW(DFLoan1!B$10),COLUMN(DFLoan1!B$10),4)</f>
        <v>B10</v>
      </c>
      <c r="C7215" t="str">
        <f>ADDRESS(ROW(DFLoan1!C$10),COLUMN(DFLoan1!C$10),4)</f>
        <v>C10</v>
      </c>
      <c r="D7215" t="b" cm="1">
        <f t="array" aca="1" ref="D7215" ca="1">IF(INDIRECT("'"&amp;A7215&amp;"'!"&amp;B7215)="",FALSE,ISERROR(DATE(INDIRECT("'"&amp;A7215&amp;"'!"&amp;B7215),,)))</f>
        <v>0</v>
      </c>
      <c r="E7215" t="s">
        <v>498</v>
      </c>
      <c r="F7215" t="str">
        <f>INDEX(Lists!I:I,MATCH(Validation!E7215,Lists!G:G,0))</f>
        <v>Error</v>
      </c>
      <c r="G7215" t="str">
        <f>INDEX(Lists!H:H,MATCH(Validation!E7215,Lists!G:G,0))</f>
        <v>Enter a date only (MM/DD/YYYY). Do not enter text, spaces, or amounts.</v>
      </c>
      <c r="H7215" s="16" t="str">
        <f t="shared" ca="1" si="822"/>
        <v/>
      </c>
      <c r="I7215" s="16" t="str">
        <f t="shared" ca="1" si="823"/>
        <v/>
      </c>
      <c r="J7215" s="17" t="str">
        <f t="shared" ca="1" si="824"/>
        <v/>
      </c>
    </row>
    <row r="7216" spans="1:10" x14ac:dyDescent="0.25">
      <c r="A7216" t="s">
        <v>958</v>
      </c>
      <c r="B7216" t="str">
        <f>ADDRESS(ROW(DFLoan1!B$10),COLUMN(DFLoan1!B$10),4)</f>
        <v>B10</v>
      </c>
      <c r="C7216" t="str">
        <f>ADDRESS(ROW(DFLoan1!C$10),COLUMN(DFLoan1!C$10),4)</f>
        <v>C10</v>
      </c>
      <c r="D7216" t="b" cm="1">
        <f t="array" aca="1" ref="D7216" ca="1">IF(INDIRECT("'"&amp;A7216&amp;"'!"&amp;B7216)="",FALSE,ISERROR(DATE(INDIRECT("'"&amp;A7216&amp;"'!"&amp;B7216),,)))</f>
        <v>0</v>
      </c>
      <c r="E7216" t="s">
        <v>498</v>
      </c>
      <c r="F7216" t="str">
        <f>INDEX(Lists!I:I,MATCH(Validation!E7216,Lists!G:G,0))</f>
        <v>Error</v>
      </c>
      <c r="G7216" t="str">
        <f>INDEX(Lists!H:H,MATCH(Validation!E7216,Lists!G:G,0))</f>
        <v>Enter a date only (MM/DD/YYYY). Do not enter text, spaces, or amounts.</v>
      </c>
      <c r="H7216" s="16" t="str">
        <f t="shared" ca="1" si="822"/>
        <v/>
      </c>
      <c r="I7216" s="16" t="str">
        <f t="shared" ca="1" si="823"/>
        <v/>
      </c>
      <c r="J7216" s="17" t="str">
        <f t="shared" ca="1" si="824"/>
        <v/>
      </c>
    </row>
    <row r="7217" spans="1:10" x14ac:dyDescent="0.25">
      <c r="A7217" t="s">
        <v>959</v>
      </c>
      <c r="B7217" t="str">
        <f>ADDRESS(ROW(DFLoan1!B$10),COLUMN(DFLoan1!B$10),4)</f>
        <v>B10</v>
      </c>
      <c r="C7217" t="str">
        <f>ADDRESS(ROW(DFLoan1!C$10),COLUMN(DFLoan1!C$10),4)</f>
        <v>C10</v>
      </c>
      <c r="D7217" t="b" cm="1">
        <f t="array" aca="1" ref="D7217" ca="1">IF(INDIRECT("'"&amp;A7217&amp;"'!"&amp;B7217)="",FALSE,ISERROR(DATE(INDIRECT("'"&amp;A7217&amp;"'!"&amp;B7217),,)))</f>
        <v>0</v>
      </c>
      <c r="E7217" t="s">
        <v>498</v>
      </c>
      <c r="F7217" t="str">
        <f>INDEX(Lists!I:I,MATCH(Validation!E7217,Lists!G:G,0))</f>
        <v>Error</v>
      </c>
      <c r="G7217" t="str">
        <f>INDEX(Lists!H:H,MATCH(Validation!E7217,Lists!G:G,0))</f>
        <v>Enter a date only (MM/DD/YYYY). Do not enter text, spaces, or amounts.</v>
      </c>
      <c r="H7217" s="16" t="str">
        <f t="shared" ca="1" si="822"/>
        <v/>
      </c>
      <c r="I7217" s="16" t="str">
        <f t="shared" ca="1" si="823"/>
        <v/>
      </c>
      <c r="J7217" s="17" t="str">
        <f t="shared" ca="1" si="824"/>
        <v/>
      </c>
    </row>
    <row r="7218" spans="1:10" x14ac:dyDescent="0.25">
      <c r="A7218" t="s">
        <v>960</v>
      </c>
      <c r="B7218" t="str">
        <f>ADDRESS(ROW(DFLoan1!B$10),COLUMN(DFLoan1!B$10),4)</f>
        <v>B10</v>
      </c>
      <c r="C7218" t="str">
        <f>ADDRESS(ROW(DFLoan1!C$10),COLUMN(DFLoan1!C$10),4)</f>
        <v>C10</v>
      </c>
      <c r="D7218" t="b" cm="1">
        <f t="array" aca="1" ref="D7218" ca="1">IF(INDIRECT("'"&amp;A7218&amp;"'!"&amp;B7218)="",FALSE,ISERROR(DATE(INDIRECT("'"&amp;A7218&amp;"'!"&amp;B7218),,)))</f>
        <v>0</v>
      </c>
      <c r="E7218" t="s">
        <v>498</v>
      </c>
      <c r="F7218" t="str">
        <f>INDEX(Lists!I:I,MATCH(Validation!E7218,Lists!G:G,0))</f>
        <v>Error</v>
      </c>
      <c r="G7218" t="str">
        <f>INDEX(Lists!H:H,MATCH(Validation!E7218,Lists!G:G,0))</f>
        <v>Enter a date only (MM/DD/YYYY). Do not enter text, spaces, or amounts.</v>
      </c>
      <c r="H7218" s="16" t="str">
        <f t="shared" ca="1" si="822"/>
        <v/>
      </c>
      <c r="I7218" s="16" t="str">
        <f t="shared" ca="1" si="823"/>
        <v/>
      </c>
      <c r="J7218" s="17" t="str">
        <f t="shared" ca="1" si="824"/>
        <v/>
      </c>
    </row>
    <row r="7219" spans="1:10" x14ac:dyDescent="0.25">
      <c r="A7219" t="s">
        <v>961</v>
      </c>
      <c r="B7219" t="str">
        <f>ADDRESS(ROW(DFLoan1!B$10),COLUMN(DFLoan1!B$10),4)</f>
        <v>B10</v>
      </c>
      <c r="C7219" t="str">
        <f>ADDRESS(ROW(DFLoan1!C$10),COLUMN(DFLoan1!C$10),4)</f>
        <v>C10</v>
      </c>
      <c r="D7219" t="b" cm="1">
        <f t="array" aca="1" ref="D7219" ca="1">IF(INDIRECT("'"&amp;A7219&amp;"'!"&amp;B7219)="",FALSE,ISERROR(DATE(INDIRECT("'"&amp;A7219&amp;"'!"&amp;B7219),,)))</f>
        <v>0</v>
      </c>
      <c r="E7219" t="s">
        <v>498</v>
      </c>
      <c r="F7219" t="str">
        <f>INDEX(Lists!I:I,MATCH(Validation!E7219,Lists!G:G,0))</f>
        <v>Error</v>
      </c>
      <c r="G7219" t="str">
        <f>INDEX(Lists!H:H,MATCH(Validation!E7219,Lists!G:G,0))</f>
        <v>Enter a date only (MM/DD/YYYY). Do not enter text, spaces, or amounts.</v>
      </c>
      <c r="H7219" s="16" t="str">
        <f t="shared" ca="1" si="822"/>
        <v/>
      </c>
      <c r="I7219" s="16" t="str">
        <f t="shared" ca="1" si="823"/>
        <v/>
      </c>
      <c r="J7219" s="17" t="str">
        <f t="shared" ca="1" si="824"/>
        <v/>
      </c>
    </row>
    <row r="7220" spans="1:10" x14ac:dyDescent="0.25">
      <c r="A7220" t="s">
        <v>962</v>
      </c>
      <c r="B7220" t="str">
        <f>ADDRESS(ROW(DFLoan1!B$10),COLUMN(DFLoan1!B$10),4)</f>
        <v>B10</v>
      </c>
      <c r="C7220" t="str">
        <f>ADDRESS(ROW(DFLoan1!C$10),COLUMN(DFLoan1!C$10),4)</f>
        <v>C10</v>
      </c>
      <c r="D7220" t="b" cm="1">
        <f t="array" aca="1" ref="D7220" ca="1">IF(INDIRECT("'"&amp;A7220&amp;"'!"&amp;B7220)="",FALSE,ISERROR(DATE(INDIRECT("'"&amp;A7220&amp;"'!"&amp;B7220),,)))</f>
        <v>0</v>
      </c>
      <c r="E7220" t="s">
        <v>498</v>
      </c>
      <c r="F7220" t="str">
        <f>INDEX(Lists!I:I,MATCH(Validation!E7220,Lists!G:G,0))</f>
        <v>Error</v>
      </c>
      <c r="G7220" t="str">
        <f>INDEX(Lists!H:H,MATCH(Validation!E7220,Lists!G:G,0))</f>
        <v>Enter a date only (MM/DD/YYYY). Do not enter text, spaces, or amounts.</v>
      </c>
      <c r="H7220" s="16" t="str">
        <f t="shared" ca="1" si="822"/>
        <v/>
      </c>
      <c r="I7220" s="16" t="str">
        <f t="shared" ca="1" si="823"/>
        <v/>
      </c>
      <c r="J7220" s="17" t="str">
        <f t="shared" ca="1" si="824"/>
        <v/>
      </c>
    </row>
    <row r="7221" spans="1:10" x14ac:dyDescent="0.25">
      <c r="A7221" t="s">
        <v>963</v>
      </c>
      <c r="B7221" t="str">
        <f>ADDRESS(ROW(DFLoan1!B$10),COLUMN(DFLoan1!B$10),4)</f>
        <v>B10</v>
      </c>
      <c r="C7221" t="str">
        <f>ADDRESS(ROW(DFLoan1!C$10),COLUMN(DFLoan1!C$10),4)</f>
        <v>C10</v>
      </c>
      <c r="D7221" t="b" cm="1">
        <f t="array" aca="1" ref="D7221" ca="1">IF(INDIRECT("'"&amp;A7221&amp;"'!"&amp;B7221)="",FALSE,ISERROR(DATE(INDIRECT("'"&amp;A7221&amp;"'!"&amp;B7221),,)))</f>
        <v>0</v>
      </c>
      <c r="E7221" t="s">
        <v>498</v>
      </c>
      <c r="F7221" t="str">
        <f>INDEX(Lists!I:I,MATCH(Validation!E7221,Lists!G:G,0))</f>
        <v>Error</v>
      </c>
      <c r="G7221" t="str">
        <f>INDEX(Lists!H:H,MATCH(Validation!E7221,Lists!G:G,0))</f>
        <v>Enter a date only (MM/DD/YYYY). Do not enter text, spaces, or amounts.</v>
      </c>
      <c r="H7221" s="16" t="str">
        <f t="shared" ca="1" si="822"/>
        <v/>
      </c>
      <c r="I7221" s="16" t="str">
        <f t="shared" ca="1" si="823"/>
        <v/>
      </c>
      <c r="J7221" s="17" t="str">
        <f t="shared" ca="1" si="824"/>
        <v/>
      </c>
    </row>
    <row r="7222" spans="1:10" x14ac:dyDescent="0.25">
      <c r="A7222" t="s">
        <v>964</v>
      </c>
      <c r="B7222" t="str">
        <f>ADDRESS(ROW(DFLoan1!B$10),COLUMN(DFLoan1!B$10),4)</f>
        <v>B10</v>
      </c>
      <c r="C7222" t="str">
        <f>ADDRESS(ROW(DFLoan1!C$10),COLUMN(DFLoan1!C$10),4)</f>
        <v>C10</v>
      </c>
      <c r="D7222" t="b" cm="1">
        <f t="array" aca="1" ref="D7222" ca="1">IF(INDIRECT("'"&amp;A7222&amp;"'!"&amp;B7222)="",FALSE,ISERROR(DATE(INDIRECT("'"&amp;A7222&amp;"'!"&amp;B7222),,)))</f>
        <v>0</v>
      </c>
      <c r="E7222" t="s">
        <v>498</v>
      </c>
      <c r="F7222" t="str">
        <f>INDEX(Lists!I:I,MATCH(Validation!E7222,Lists!G:G,0))</f>
        <v>Error</v>
      </c>
      <c r="G7222" t="str">
        <f>INDEX(Lists!H:H,MATCH(Validation!E7222,Lists!G:G,0))</f>
        <v>Enter a date only (MM/DD/YYYY). Do not enter text, spaces, or amounts.</v>
      </c>
      <c r="H7222" s="16" t="str">
        <f t="shared" ref="H7222:H7285" ca="1" si="825">IFERROR(IF(OR(NOT(D7222),F7222&lt;&gt;"Error"),"",A7222&amp;CELL("address",INDIRECT(B7222))),"")</f>
        <v/>
      </c>
      <c r="I7222" s="16" t="str">
        <f t="shared" ref="I7222:I7285" ca="1" si="826">IFERROR(IF(NOT(D7222),"",A7222&amp;CELL("address",INDIRECT(C7222))),"")</f>
        <v/>
      </c>
      <c r="J7222" s="17" t="str">
        <f t="shared" ref="J7222:J7285" ca="1" si="827">IFERROR(IF(NOT(D7222),"",A7222),"")</f>
        <v/>
      </c>
    </row>
    <row r="7223" spans="1:10" x14ac:dyDescent="0.25">
      <c r="A7223" t="s">
        <v>965</v>
      </c>
      <c r="B7223" t="str">
        <f>ADDRESS(ROW(DFLoan1!B$10),COLUMN(DFLoan1!B$10),4)</f>
        <v>B10</v>
      </c>
      <c r="C7223" t="str">
        <f>ADDRESS(ROW(DFLoan1!C$10),COLUMN(DFLoan1!C$10),4)</f>
        <v>C10</v>
      </c>
      <c r="D7223" t="b" cm="1">
        <f t="array" aca="1" ref="D7223" ca="1">IF(INDIRECT("'"&amp;A7223&amp;"'!"&amp;B7223)="",FALSE,ISERROR(DATE(INDIRECT("'"&amp;A7223&amp;"'!"&amp;B7223),,)))</f>
        <v>0</v>
      </c>
      <c r="E7223" t="s">
        <v>498</v>
      </c>
      <c r="F7223" t="str">
        <f>INDEX(Lists!I:I,MATCH(Validation!E7223,Lists!G:G,0))</f>
        <v>Error</v>
      </c>
      <c r="G7223" t="str">
        <f>INDEX(Lists!H:H,MATCH(Validation!E7223,Lists!G:G,0))</f>
        <v>Enter a date only (MM/DD/YYYY). Do not enter text, spaces, or amounts.</v>
      </c>
      <c r="H7223" s="16" t="str">
        <f t="shared" ca="1" si="825"/>
        <v/>
      </c>
      <c r="I7223" s="16" t="str">
        <f t="shared" ca="1" si="826"/>
        <v/>
      </c>
      <c r="J7223" s="17" t="str">
        <f t="shared" ca="1" si="827"/>
        <v/>
      </c>
    </row>
    <row r="7224" spans="1:10" x14ac:dyDescent="0.25">
      <c r="A7224" t="s">
        <v>966</v>
      </c>
      <c r="B7224" t="str">
        <f>ADDRESS(ROW(DFLoan1!B$10),COLUMN(DFLoan1!B$10),4)</f>
        <v>B10</v>
      </c>
      <c r="C7224" t="str">
        <f>ADDRESS(ROW(DFLoan1!C$10),COLUMN(DFLoan1!C$10),4)</f>
        <v>C10</v>
      </c>
      <c r="D7224" t="b" cm="1">
        <f t="array" aca="1" ref="D7224" ca="1">IF(INDIRECT("'"&amp;A7224&amp;"'!"&amp;B7224)="",FALSE,ISERROR(DATE(INDIRECT("'"&amp;A7224&amp;"'!"&amp;B7224),,)))</f>
        <v>0</v>
      </c>
      <c r="E7224" t="s">
        <v>498</v>
      </c>
      <c r="F7224" t="str">
        <f>INDEX(Lists!I:I,MATCH(Validation!E7224,Lists!G:G,0))</f>
        <v>Error</v>
      </c>
      <c r="G7224" t="str">
        <f>INDEX(Lists!H:H,MATCH(Validation!E7224,Lists!G:G,0))</f>
        <v>Enter a date only (MM/DD/YYYY). Do not enter text, spaces, or amounts.</v>
      </c>
      <c r="H7224" s="16" t="str">
        <f t="shared" ca="1" si="825"/>
        <v/>
      </c>
      <c r="I7224" s="16" t="str">
        <f t="shared" ca="1" si="826"/>
        <v/>
      </c>
      <c r="J7224" s="17" t="str">
        <f t="shared" ca="1" si="827"/>
        <v/>
      </c>
    </row>
    <row r="7225" spans="1:10" x14ac:dyDescent="0.25">
      <c r="A7225" t="s">
        <v>881</v>
      </c>
      <c r="B7225" t="str">
        <f>ADDRESS(ROW(DFLoan1!B$10),COLUMN(DFLoan1!B$10),4)</f>
        <v>B10</v>
      </c>
      <c r="C7225" t="str">
        <f>ADDRESS(ROW(DFLoan1!C$10),COLUMN(DFLoan1!C$10),4)</f>
        <v>C10</v>
      </c>
      <c r="D7225" t="b" cm="1">
        <f t="array" aca="1" ref="D7225" ca="1">IF(INDIRECT("'"&amp;A7225&amp;"'!"&amp;B7225)="",FALSE,IF(INDIRECT("'"&amp;A7225&amp;"'!"&amp;B7225)&gt;DATE(1969,12,31),FALSE,TRUE))</f>
        <v>0</v>
      </c>
      <c r="E7225" t="s">
        <v>928</v>
      </c>
      <c r="F7225" t="str">
        <f>INDEX(Lists!I:I,MATCH(Validation!E7225,Lists!G:G,0))</f>
        <v>Error</v>
      </c>
      <c r="G7225" t="str">
        <f>INDEX(Lists!H:H,MATCH(Validation!E7225,Lists!G:G,0))</f>
        <v>Date must be on or after January 1, 1970.</v>
      </c>
      <c r="H7225" s="16" t="str">
        <f t="shared" ca="1" si="825"/>
        <v/>
      </c>
      <c r="I7225" s="16" t="str">
        <f t="shared" ca="1" si="826"/>
        <v/>
      </c>
      <c r="J7225" s="17" t="str">
        <f t="shared" ca="1" si="827"/>
        <v/>
      </c>
    </row>
    <row r="7226" spans="1:10" x14ac:dyDescent="0.25">
      <c r="A7226" t="s">
        <v>953</v>
      </c>
      <c r="B7226" t="str">
        <f>ADDRESS(ROW(DFLoan1!B$10),COLUMN(DFLoan1!B$10),4)</f>
        <v>B10</v>
      </c>
      <c r="C7226" t="str">
        <f>ADDRESS(ROW(DFLoan1!C$10),COLUMN(DFLoan1!C$10),4)</f>
        <v>C10</v>
      </c>
      <c r="D7226" t="b" cm="1">
        <f t="array" aca="1" ref="D7226" ca="1">IF(INDIRECT("'"&amp;A7226&amp;"'!"&amp;B7226)="",FALSE,IF(INDIRECT("'"&amp;A7226&amp;"'!"&amp;B7226)&gt;DATE(1969,12,31),FALSE,TRUE))</f>
        <v>0</v>
      </c>
      <c r="E7226" t="s">
        <v>928</v>
      </c>
      <c r="F7226" t="str">
        <f>INDEX(Lists!I:I,MATCH(Validation!E7226,Lists!G:G,0))</f>
        <v>Error</v>
      </c>
      <c r="G7226" t="str">
        <f>INDEX(Lists!H:H,MATCH(Validation!E7226,Lists!G:G,0))</f>
        <v>Date must be on or after January 1, 1970.</v>
      </c>
      <c r="H7226" s="16" t="str">
        <f t="shared" ca="1" si="825"/>
        <v/>
      </c>
      <c r="I7226" s="16" t="str">
        <f t="shared" ca="1" si="826"/>
        <v/>
      </c>
      <c r="J7226" s="17" t="str">
        <f t="shared" ca="1" si="827"/>
        <v/>
      </c>
    </row>
    <row r="7227" spans="1:10" x14ac:dyDescent="0.25">
      <c r="A7227" t="s">
        <v>954</v>
      </c>
      <c r="B7227" t="str">
        <f>ADDRESS(ROW(DFLoan1!B$10),COLUMN(DFLoan1!B$10),4)</f>
        <v>B10</v>
      </c>
      <c r="C7227" t="str">
        <f>ADDRESS(ROW(DFLoan1!C$10),COLUMN(DFLoan1!C$10),4)</f>
        <v>C10</v>
      </c>
      <c r="D7227" t="b" cm="1">
        <f t="array" aca="1" ref="D7227" ca="1">IF(INDIRECT("'"&amp;A7227&amp;"'!"&amp;B7227)="",FALSE,IF(INDIRECT("'"&amp;A7227&amp;"'!"&amp;B7227)&gt;DATE(1969,12,31),FALSE,TRUE))</f>
        <v>0</v>
      </c>
      <c r="E7227" t="s">
        <v>928</v>
      </c>
      <c r="F7227" t="str">
        <f>INDEX(Lists!I:I,MATCH(Validation!E7227,Lists!G:G,0))</f>
        <v>Error</v>
      </c>
      <c r="G7227" t="str">
        <f>INDEX(Lists!H:H,MATCH(Validation!E7227,Lists!G:G,0))</f>
        <v>Date must be on or after January 1, 1970.</v>
      </c>
      <c r="H7227" s="16" t="str">
        <f t="shared" ca="1" si="825"/>
        <v/>
      </c>
      <c r="I7227" s="16" t="str">
        <f t="shared" ca="1" si="826"/>
        <v/>
      </c>
      <c r="J7227" s="17" t="str">
        <f t="shared" ca="1" si="827"/>
        <v/>
      </c>
    </row>
    <row r="7228" spans="1:10" x14ac:dyDescent="0.25">
      <c r="A7228" t="s">
        <v>955</v>
      </c>
      <c r="B7228" t="str">
        <f>ADDRESS(ROW(DFLoan1!B$10),COLUMN(DFLoan1!B$10),4)</f>
        <v>B10</v>
      </c>
      <c r="C7228" t="str">
        <f>ADDRESS(ROW(DFLoan1!C$10),COLUMN(DFLoan1!C$10),4)</f>
        <v>C10</v>
      </c>
      <c r="D7228" t="b" cm="1">
        <f t="array" aca="1" ref="D7228" ca="1">IF(INDIRECT("'"&amp;A7228&amp;"'!"&amp;B7228)="",FALSE,IF(INDIRECT("'"&amp;A7228&amp;"'!"&amp;B7228)&gt;DATE(1969,12,31),FALSE,TRUE))</f>
        <v>0</v>
      </c>
      <c r="E7228" t="s">
        <v>928</v>
      </c>
      <c r="F7228" t="str">
        <f>INDEX(Lists!I:I,MATCH(Validation!E7228,Lists!G:G,0))</f>
        <v>Error</v>
      </c>
      <c r="G7228" t="str">
        <f>INDEX(Lists!H:H,MATCH(Validation!E7228,Lists!G:G,0))</f>
        <v>Date must be on or after January 1, 1970.</v>
      </c>
      <c r="H7228" s="16" t="str">
        <f t="shared" ca="1" si="825"/>
        <v/>
      </c>
      <c r="I7228" s="16" t="str">
        <f t="shared" ca="1" si="826"/>
        <v/>
      </c>
      <c r="J7228" s="17" t="str">
        <f t="shared" ca="1" si="827"/>
        <v/>
      </c>
    </row>
    <row r="7229" spans="1:10" x14ac:dyDescent="0.25">
      <c r="A7229" t="s">
        <v>956</v>
      </c>
      <c r="B7229" t="str">
        <f>ADDRESS(ROW(DFLoan1!B$10),COLUMN(DFLoan1!B$10),4)</f>
        <v>B10</v>
      </c>
      <c r="C7229" t="str">
        <f>ADDRESS(ROW(DFLoan1!C$10),COLUMN(DFLoan1!C$10),4)</f>
        <v>C10</v>
      </c>
      <c r="D7229" t="b" cm="1">
        <f t="array" aca="1" ref="D7229" ca="1">IF(INDIRECT("'"&amp;A7229&amp;"'!"&amp;B7229)="",FALSE,IF(INDIRECT("'"&amp;A7229&amp;"'!"&amp;B7229)&gt;DATE(1969,12,31),FALSE,TRUE))</f>
        <v>0</v>
      </c>
      <c r="E7229" t="s">
        <v>928</v>
      </c>
      <c r="F7229" t="str">
        <f>INDEX(Lists!I:I,MATCH(Validation!E7229,Lists!G:G,0))</f>
        <v>Error</v>
      </c>
      <c r="G7229" t="str">
        <f>INDEX(Lists!H:H,MATCH(Validation!E7229,Lists!G:G,0))</f>
        <v>Date must be on or after January 1, 1970.</v>
      </c>
      <c r="H7229" s="16" t="str">
        <f t="shared" ca="1" si="825"/>
        <v/>
      </c>
      <c r="I7229" s="16" t="str">
        <f t="shared" ca="1" si="826"/>
        <v/>
      </c>
      <c r="J7229" s="17" t="str">
        <f t="shared" ca="1" si="827"/>
        <v/>
      </c>
    </row>
    <row r="7230" spans="1:10" x14ac:dyDescent="0.25">
      <c r="A7230" t="s">
        <v>957</v>
      </c>
      <c r="B7230" t="str">
        <f>ADDRESS(ROW(DFLoan1!B$10),COLUMN(DFLoan1!B$10),4)</f>
        <v>B10</v>
      </c>
      <c r="C7230" t="str">
        <f>ADDRESS(ROW(DFLoan1!C$10),COLUMN(DFLoan1!C$10),4)</f>
        <v>C10</v>
      </c>
      <c r="D7230" t="b" cm="1">
        <f t="array" aca="1" ref="D7230" ca="1">IF(INDIRECT("'"&amp;A7230&amp;"'!"&amp;B7230)="",FALSE,IF(INDIRECT("'"&amp;A7230&amp;"'!"&amp;B7230)&gt;DATE(1969,12,31),FALSE,TRUE))</f>
        <v>0</v>
      </c>
      <c r="E7230" t="s">
        <v>928</v>
      </c>
      <c r="F7230" t="str">
        <f>INDEX(Lists!I:I,MATCH(Validation!E7230,Lists!G:G,0))</f>
        <v>Error</v>
      </c>
      <c r="G7230" t="str">
        <f>INDEX(Lists!H:H,MATCH(Validation!E7230,Lists!G:G,0))</f>
        <v>Date must be on or after January 1, 1970.</v>
      </c>
      <c r="H7230" s="16" t="str">
        <f t="shared" ca="1" si="825"/>
        <v/>
      </c>
      <c r="I7230" s="16" t="str">
        <f t="shared" ca="1" si="826"/>
        <v/>
      </c>
      <c r="J7230" s="17" t="str">
        <f t="shared" ca="1" si="827"/>
        <v/>
      </c>
    </row>
    <row r="7231" spans="1:10" x14ac:dyDescent="0.25">
      <c r="A7231" t="s">
        <v>958</v>
      </c>
      <c r="B7231" t="str">
        <f>ADDRESS(ROW(DFLoan1!B$10),COLUMN(DFLoan1!B$10),4)</f>
        <v>B10</v>
      </c>
      <c r="C7231" t="str">
        <f>ADDRESS(ROW(DFLoan1!C$10),COLUMN(DFLoan1!C$10),4)</f>
        <v>C10</v>
      </c>
      <c r="D7231" t="b" cm="1">
        <f t="array" aca="1" ref="D7231" ca="1">IF(INDIRECT("'"&amp;A7231&amp;"'!"&amp;B7231)="",FALSE,IF(INDIRECT("'"&amp;A7231&amp;"'!"&amp;B7231)&gt;DATE(1969,12,31),FALSE,TRUE))</f>
        <v>0</v>
      </c>
      <c r="E7231" t="s">
        <v>928</v>
      </c>
      <c r="F7231" t="str">
        <f>INDEX(Lists!I:I,MATCH(Validation!E7231,Lists!G:G,0))</f>
        <v>Error</v>
      </c>
      <c r="G7231" t="str">
        <f>INDEX(Lists!H:H,MATCH(Validation!E7231,Lists!G:G,0))</f>
        <v>Date must be on or after January 1, 1970.</v>
      </c>
      <c r="H7231" s="16" t="str">
        <f t="shared" ca="1" si="825"/>
        <v/>
      </c>
      <c r="I7231" s="16" t="str">
        <f t="shared" ca="1" si="826"/>
        <v/>
      </c>
      <c r="J7231" s="17" t="str">
        <f t="shared" ca="1" si="827"/>
        <v/>
      </c>
    </row>
    <row r="7232" spans="1:10" x14ac:dyDescent="0.25">
      <c r="A7232" t="s">
        <v>959</v>
      </c>
      <c r="B7232" t="str">
        <f>ADDRESS(ROW(DFLoan1!B$10),COLUMN(DFLoan1!B$10),4)</f>
        <v>B10</v>
      </c>
      <c r="C7232" t="str">
        <f>ADDRESS(ROW(DFLoan1!C$10),COLUMN(DFLoan1!C$10),4)</f>
        <v>C10</v>
      </c>
      <c r="D7232" t="b" cm="1">
        <f t="array" aca="1" ref="D7232" ca="1">IF(INDIRECT("'"&amp;A7232&amp;"'!"&amp;B7232)="",FALSE,IF(INDIRECT("'"&amp;A7232&amp;"'!"&amp;B7232)&gt;DATE(1969,12,31),FALSE,TRUE))</f>
        <v>0</v>
      </c>
      <c r="E7232" t="s">
        <v>928</v>
      </c>
      <c r="F7232" t="str">
        <f>INDEX(Lists!I:I,MATCH(Validation!E7232,Lists!G:G,0))</f>
        <v>Error</v>
      </c>
      <c r="G7232" t="str">
        <f>INDEX(Lists!H:H,MATCH(Validation!E7232,Lists!G:G,0))</f>
        <v>Date must be on or after January 1, 1970.</v>
      </c>
      <c r="H7232" s="16" t="str">
        <f t="shared" ca="1" si="825"/>
        <v/>
      </c>
      <c r="I7232" s="16" t="str">
        <f t="shared" ca="1" si="826"/>
        <v/>
      </c>
      <c r="J7232" s="17" t="str">
        <f t="shared" ca="1" si="827"/>
        <v/>
      </c>
    </row>
    <row r="7233" spans="1:10" x14ac:dyDescent="0.25">
      <c r="A7233" t="s">
        <v>960</v>
      </c>
      <c r="B7233" t="str">
        <f>ADDRESS(ROW(DFLoan1!B$10),COLUMN(DFLoan1!B$10),4)</f>
        <v>B10</v>
      </c>
      <c r="C7233" t="str">
        <f>ADDRESS(ROW(DFLoan1!C$10),COLUMN(DFLoan1!C$10),4)</f>
        <v>C10</v>
      </c>
      <c r="D7233" t="b" cm="1">
        <f t="array" aca="1" ref="D7233" ca="1">IF(INDIRECT("'"&amp;A7233&amp;"'!"&amp;B7233)="",FALSE,IF(INDIRECT("'"&amp;A7233&amp;"'!"&amp;B7233)&gt;DATE(1969,12,31),FALSE,TRUE))</f>
        <v>0</v>
      </c>
      <c r="E7233" t="s">
        <v>928</v>
      </c>
      <c r="F7233" t="str">
        <f>INDEX(Lists!I:I,MATCH(Validation!E7233,Lists!G:G,0))</f>
        <v>Error</v>
      </c>
      <c r="G7233" t="str">
        <f>INDEX(Lists!H:H,MATCH(Validation!E7233,Lists!G:G,0))</f>
        <v>Date must be on or after January 1, 1970.</v>
      </c>
      <c r="H7233" s="16" t="str">
        <f t="shared" ca="1" si="825"/>
        <v/>
      </c>
      <c r="I7233" s="16" t="str">
        <f t="shared" ca="1" si="826"/>
        <v/>
      </c>
      <c r="J7233" s="17" t="str">
        <f t="shared" ca="1" si="827"/>
        <v/>
      </c>
    </row>
    <row r="7234" spans="1:10" x14ac:dyDescent="0.25">
      <c r="A7234" t="s">
        <v>961</v>
      </c>
      <c r="B7234" t="str">
        <f>ADDRESS(ROW(DFLoan1!B$10),COLUMN(DFLoan1!B$10),4)</f>
        <v>B10</v>
      </c>
      <c r="C7234" t="str">
        <f>ADDRESS(ROW(DFLoan1!C$10),COLUMN(DFLoan1!C$10),4)</f>
        <v>C10</v>
      </c>
      <c r="D7234" t="b" cm="1">
        <f t="array" aca="1" ref="D7234" ca="1">IF(INDIRECT("'"&amp;A7234&amp;"'!"&amp;B7234)="",FALSE,IF(INDIRECT("'"&amp;A7234&amp;"'!"&amp;B7234)&gt;DATE(1969,12,31),FALSE,TRUE))</f>
        <v>0</v>
      </c>
      <c r="E7234" t="s">
        <v>928</v>
      </c>
      <c r="F7234" t="str">
        <f>INDEX(Lists!I:I,MATCH(Validation!E7234,Lists!G:G,0))</f>
        <v>Error</v>
      </c>
      <c r="G7234" t="str">
        <f>INDEX(Lists!H:H,MATCH(Validation!E7234,Lists!G:G,0))</f>
        <v>Date must be on or after January 1, 1970.</v>
      </c>
      <c r="H7234" s="16" t="str">
        <f t="shared" ca="1" si="825"/>
        <v/>
      </c>
      <c r="I7234" s="16" t="str">
        <f t="shared" ca="1" si="826"/>
        <v/>
      </c>
      <c r="J7234" s="17" t="str">
        <f t="shared" ca="1" si="827"/>
        <v/>
      </c>
    </row>
    <row r="7235" spans="1:10" x14ac:dyDescent="0.25">
      <c r="A7235" t="s">
        <v>962</v>
      </c>
      <c r="B7235" t="str">
        <f>ADDRESS(ROW(DFLoan1!B$10),COLUMN(DFLoan1!B$10),4)</f>
        <v>B10</v>
      </c>
      <c r="C7235" t="str">
        <f>ADDRESS(ROW(DFLoan1!C$10),COLUMN(DFLoan1!C$10),4)</f>
        <v>C10</v>
      </c>
      <c r="D7235" t="b" cm="1">
        <f t="array" aca="1" ref="D7235" ca="1">IF(INDIRECT("'"&amp;A7235&amp;"'!"&amp;B7235)="",FALSE,IF(INDIRECT("'"&amp;A7235&amp;"'!"&amp;B7235)&gt;DATE(1969,12,31),FALSE,TRUE))</f>
        <v>0</v>
      </c>
      <c r="E7235" t="s">
        <v>928</v>
      </c>
      <c r="F7235" t="str">
        <f>INDEX(Lists!I:I,MATCH(Validation!E7235,Lists!G:G,0))</f>
        <v>Error</v>
      </c>
      <c r="G7235" t="str">
        <f>INDEX(Lists!H:H,MATCH(Validation!E7235,Lists!G:G,0))</f>
        <v>Date must be on or after January 1, 1970.</v>
      </c>
      <c r="H7235" s="16" t="str">
        <f t="shared" ca="1" si="825"/>
        <v/>
      </c>
      <c r="I7235" s="16" t="str">
        <f t="shared" ca="1" si="826"/>
        <v/>
      </c>
      <c r="J7235" s="17" t="str">
        <f t="shared" ca="1" si="827"/>
        <v/>
      </c>
    </row>
    <row r="7236" spans="1:10" x14ac:dyDescent="0.25">
      <c r="A7236" t="s">
        <v>963</v>
      </c>
      <c r="B7236" t="str">
        <f>ADDRESS(ROW(DFLoan1!B$10),COLUMN(DFLoan1!B$10),4)</f>
        <v>B10</v>
      </c>
      <c r="C7236" t="str">
        <f>ADDRESS(ROW(DFLoan1!C$10),COLUMN(DFLoan1!C$10),4)</f>
        <v>C10</v>
      </c>
      <c r="D7236" t="b" cm="1">
        <f t="array" aca="1" ref="D7236" ca="1">IF(INDIRECT("'"&amp;A7236&amp;"'!"&amp;B7236)="",FALSE,IF(INDIRECT("'"&amp;A7236&amp;"'!"&amp;B7236)&gt;DATE(1969,12,31),FALSE,TRUE))</f>
        <v>0</v>
      </c>
      <c r="E7236" t="s">
        <v>928</v>
      </c>
      <c r="F7236" t="str">
        <f>INDEX(Lists!I:I,MATCH(Validation!E7236,Lists!G:G,0))</f>
        <v>Error</v>
      </c>
      <c r="G7236" t="str">
        <f>INDEX(Lists!H:H,MATCH(Validation!E7236,Lists!G:G,0))</f>
        <v>Date must be on or after January 1, 1970.</v>
      </c>
      <c r="H7236" s="16" t="str">
        <f t="shared" ca="1" si="825"/>
        <v/>
      </c>
      <c r="I7236" s="16" t="str">
        <f t="shared" ca="1" si="826"/>
        <v/>
      </c>
      <c r="J7236" s="17" t="str">
        <f t="shared" ca="1" si="827"/>
        <v/>
      </c>
    </row>
    <row r="7237" spans="1:10" x14ac:dyDescent="0.25">
      <c r="A7237" t="s">
        <v>964</v>
      </c>
      <c r="B7237" t="str">
        <f>ADDRESS(ROW(DFLoan1!B$10),COLUMN(DFLoan1!B$10),4)</f>
        <v>B10</v>
      </c>
      <c r="C7237" t="str">
        <f>ADDRESS(ROW(DFLoan1!C$10),COLUMN(DFLoan1!C$10),4)</f>
        <v>C10</v>
      </c>
      <c r="D7237" t="b" cm="1">
        <f t="array" aca="1" ref="D7237" ca="1">IF(INDIRECT("'"&amp;A7237&amp;"'!"&amp;B7237)="",FALSE,IF(INDIRECT("'"&amp;A7237&amp;"'!"&amp;B7237)&gt;DATE(1969,12,31),FALSE,TRUE))</f>
        <v>0</v>
      </c>
      <c r="E7237" t="s">
        <v>928</v>
      </c>
      <c r="F7237" t="str">
        <f>INDEX(Lists!I:I,MATCH(Validation!E7237,Lists!G:G,0))</f>
        <v>Error</v>
      </c>
      <c r="G7237" t="str">
        <f>INDEX(Lists!H:H,MATCH(Validation!E7237,Lists!G:G,0))</f>
        <v>Date must be on or after January 1, 1970.</v>
      </c>
      <c r="H7237" s="16" t="str">
        <f t="shared" ca="1" si="825"/>
        <v/>
      </c>
      <c r="I7237" s="16" t="str">
        <f t="shared" ca="1" si="826"/>
        <v/>
      </c>
      <c r="J7237" s="17" t="str">
        <f t="shared" ca="1" si="827"/>
        <v/>
      </c>
    </row>
    <row r="7238" spans="1:10" x14ac:dyDescent="0.25">
      <c r="A7238" t="s">
        <v>965</v>
      </c>
      <c r="B7238" t="str">
        <f>ADDRESS(ROW(DFLoan1!B$10),COLUMN(DFLoan1!B$10),4)</f>
        <v>B10</v>
      </c>
      <c r="C7238" t="str">
        <f>ADDRESS(ROW(DFLoan1!C$10),COLUMN(DFLoan1!C$10),4)</f>
        <v>C10</v>
      </c>
      <c r="D7238" t="b" cm="1">
        <f t="array" aca="1" ref="D7238" ca="1">IF(INDIRECT("'"&amp;A7238&amp;"'!"&amp;B7238)="",FALSE,IF(INDIRECT("'"&amp;A7238&amp;"'!"&amp;B7238)&gt;DATE(1969,12,31),FALSE,TRUE))</f>
        <v>0</v>
      </c>
      <c r="E7238" t="s">
        <v>928</v>
      </c>
      <c r="F7238" t="str">
        <f>INDEX(Lists!I:I,MATCH(Validation!E7238,Lists!G:G,0))</f>
        <v>Error</v>
      </c>
      <c r="G7238" t="str">
        <f>INDEX(Lists!H:H,MATCH(Validation!E7238,Lists!G:G,0))</f>
        <v>Date must be on or after January 1, 1970.</v>
      </c>
      <c r="H7238" s="16" t="str">
        <f t="shared" ca="1" si="825"/>
        <v/>
      </c>
      <c r="I7238" s="16" t="str">
        <f t="shared" ca="1" si="826"/>
        <v/>
      </c>
      <c r="J7238" s="17" t="str">
        <f t="shared" ca="1" si="827"/>
        <v/>
      </c>
    </row>
    <row r="7239" spans="1:10" x14ac:dyDescent="0.25">
      <c r="A7239" t="s">
        <v>966</v>
      </c>
      <c r="B7239" t="str">
        <f>ADDRESS(ROW(DFLoan1!B$10),COLUMN(DFLoan1!B$10),4)</f>
        <v>B10</v>
      </c>
      <c r="C7239" t="str">
        <f>ADDRESS(ROW(DFLoan1!C$10),COLUMN(DFLoan1!C$10),4)</f>
        <v>C10</v>
      </c>
      <c r="D7239" t="b" cm="1">
        <f t="array" aca="1" ref="D7239" ca="1">IF(INDIRECT("'"&amp;A7239&amp;"'!"&amp;B7239)="",FALSE,IF(INDIRECT("'"&amp;A7239&amp;"'!"&amp;B7239)&gt;DATE(1969,12,31),FALSE,TRUE))</f>
        <v>0</v>
      </c>
      <c r="E7239" t="s">
        <v>928</v>
      </c>
      <c r="F7239" t="str">
        <f>INDEX(Lists!I:I,MATCH(Validation!E7239,Lists!G:G,0))</f>
        <v>Error</v>
      </c>
      <c r="G7239" t="str">
        <f>INDEX(Lists!H:H,MATCH(Validation!E7239,Lists!G:G,0))</f>
        <v>Date must be on or after January 1, 1970.</v>
      </c>
      <c r="H7239" s="16" t="str">
        <f t="shared" ca="1" si="825"/>
        <v/>
      </c>
      <c r="I7239" s="16" t="str">
        <f t="shared" ca="1" si="826"/>
        <v/>
      </c>
      <c r="J7239" s="17" t="str">
        <f t="shared" ca="1" si="827"/>
        <v/>
      </c>
    </row>
    <row r="7240" spans="1:10" x14ac:dyDescent="0.25">
      <c r="A7240" t="s">
        <v>881</v>
      </c>
      <c r="B7240" t="str">
        <f>ADDRESS(ROW(DFLoan1!B$10),COLUMN(DFLoan1!B$10),4)</f>
        <v>B10</v>
      </c>
      <c r="C7240" t="str">
        <f>ADDRESS(ROW(DFLoan1!C$10),COLUMN(DFLoan1!C$10),4)</f>
        <v>C10</v>
      </c>
      <c r="D7240" t="b" cm="1">
        <f t="array" aca="1" ref="D7240" ca="1">IF(INDIRECT("'"&amp;A7240&amp;"'!"&amp;B7240)="",FALSE,IF(INDIRECT("'"&amp;A7240&amp;"'!"&amp;B7240)&gt;DATE(Year_DestinationYearID,12,31),TRUE,FALSE))</f>
        <v>0</v>
      </c>
      <c r="E7240" t="s">
        <v>608</v>
      </c>
      <c r="F7240" t="str">
        <f>INDEX(Lists!I:I,MATCH(Validation!E7240,Lists!G:G,0))</f>
        <v>Error</v>
      </c>
      <c r="G7240" t="str">
        <f>INDEX(Lists!H:H,MATCH(Validation!E7240,Lists!G:G,0))</f>
        <v>Issue date must be on or before December 31, 2024.</v>
      </c>
      <c r="H7240" s="16" t="str">
        <f t="shared" ca="1" si="825"/>
        <v/>
      </c>
      <c r="I7240" s="16" t="str">
        <f t="shared" ca="1" si="826"/>
        <v/>
      </c>
      <c r="J7240" s="17" t="str">
        <f t="shared" ca="1" si="827"/>
        <v/>
      </c>
    </row>
    <row r="7241" spans="1:10" x14ac:dyDescent="0.25">
      <c r="A7241" t="s">
        <v>953</v>
      </c>
      <c r="B7241" t="str">
        <f>ADDRESS(ROW(DFLoan1!B$10),COLUMN(DFLoan1!B$10),4)</f>
        <v>B10</v>
      </c>
      <c r="C7241" t="str">
        <f>ADDRESS(ROW(DFLoan1!C$10),COLUMN(DFLoan1!C$10),4)</f>
        <v>C10</v>
      </c>
      <c r="D7241" t="b" cm="1">
        <f t="array" aca="1" ref="D7241" ca="1">IF(INDIRECT("'"&amp;A7241&amp;"'!"&amp;B7241)="",FALSE,IF(INDIRECT("'"&amp;A7241&amp;"'!"&amp;B7241)&gt;DATE(Year_DestinationYearID,12,31),TRUE,FALSE))</f>
        <v>0</v>
      </c>
      <c r="E7241" t="s">
        <v>608</v>
      </c>
      <c r="F7241" t="str">
        <f>INDEX(Lists!I:I,MATCH(Validation!E7241,Lists!G:G,0))</f>
        <v>Error</v>
      </c>
      <c r="G7241" t="str">
        <f>INDEX(Lists!H:H,MATCH(Validation!E7241,Lists!G:G,0))</f>
        <v>Issue date must be on or before December 31, 2024.</v>
      </c>
      <c r="H7241" s="16" t="str">
        <f t="shared" ca="1" si="825"/>
        <v/>
      </c>
      <c r="I7241" s="16" t="str">
        <f t="shared" ca="1" si="826"/>
        <v/>
      </c>
      <c r="J7241" s="17" t="str">
        <f t="shared" ca="1" si="827"/>
        <v/>
      </c>
    </row>
    <row r="7242" spans="1:10" x14ac:dyDescent="0.25">
      <c r="A7242" t="s">
        <v>954</v>
      </c>
      <c r="B7242" t="str">
        <f>ADDRESS(ROW(DFLoan1!B$10),COLUMN(DFLoan1!B$10),4)</f>
        <v>B10</v>
      </c>
      <c r="C7242" t="str">
        <f>ADDRESS(ROW(DFLoan1!C$10),COLUMN(DFLoan1!C$10),4)</f>
        <v>C10</v>
      </c>
      <c r="D7242" t="b" cm="1">
        <f t="array" aca="1" ref="D7242" ca="1">IF(INDIRECT("'"&amp;A7242&amp;"'!"&amp;B7242)="",FALSE,IF(INDIRECT("'"&amp;A7242&amp;"'!"&amp;B7242)&gt;DATE(Year_DestinationYearID,12,31),TRUE,FALSE))</f>
        <v>0</v>
      </c>
      <c r="E7242" t="s">
        <v>608</v>
      </c>
      <c r="F7242" t="str">
        <f>INDEX(Lists!I:I,MATCH(Validation!E7242,Lists!G:G,0))</f>
        <v>Error</v>
      </c>
      <c r="G7242" t="str">
        <f>INDEX(Lists!H:H,MATCH(Validation!E7242,Lists!G:G,0))</f>
        <v>Issue date must be on or before December 31, 2024.</v>
      </c>
      <c r="H7242" s="16" t="str">
        <f t="shared" ca="1" si="825"/>
        <v/>
      </c>
      <c r="I7242" s="16" t="str">
        <f t="shared" ca="1" si="826"/>
        <v/>
      </c>
      <c r="J7242" s="17" t="str">
        <f t="shared" ca="1" si="827"/>
        <v/>
      </c>
    </row>
    <row r="7243" spans="1:10" x14ac:dyDescent="0.25">
      <c r="A7243" t="s">
        <v>955</v>
      </c>
      <c r="B7243" t="str">
        <f>ADDRESS(ROW(DFLoan1!B$10),COLUMN(DFLoan1!B$10),4)</f>
        <v>B10</v>
      </c>
      <c r="C7243" t="str">
        <f>ADDRESS(ROW(DFLoan1!C$10),COLUMN(DFLoan1!C$10),4)</f>
        <v>C10</v>
      </c>
      <c r="D7243" t="b" cm="1">
        <f t="array" aca="1" ref="D7243" ca="1">IF(INDIRECT("'"&amp;A7243&amp;"'!"&amp;B7243)="",FALSE,IF(INDIRECT("'"&amp;A7243&amp;"'!"&amp;B7243)&gt;DATE(Year_DestinationYearID,12,31),TRUE,FALSE))</f>
        <v>0</v>
      </c>
      <c r="E7243" t="s">
        <v>608</v>
      </c>
      <c r="F7243" t="str">
        <f>INDEX(Lists!I:I,MATCH(Validation!E7243,Lists!G:G,0))</f>
        <v>Error</v>
      </c>
      <c r="G7243" t="str">
        <f>INDEX(Lists!H:H,MATCH(Validation!E7243,Lists!G:G,0))</f>
        <v>Issue date must be on or before December 31, 2024.</v>
      </c>
      <c r="H7243" s="16" t="str">
        <f t="shared" ca="1" si="825"/>
        <v/>
      </c>
      <c r="I7243" s="16" t="str">
        <f t="shared" ca="1" si="826"/>
        <v/>
      </c>
      <c r="J7243" s="17" t="str">
        <f t="shared" ca="1" si="827"/>
        <v/>
      </c>
    </row>
    <row r="7244" spans="1:10" x14ac:dyDescent="0.25">
      <c r="A7244" t="s">
        <v>956</v>
      </c>
      <c r="B7244" t="str">
        <f>ADDRESS(ROW(DFLoan1!B$10),COLUMN(DFLoan1!B$10),4)</f>
        <v>B10</v>
      </c>
      <c r="C7244" t="str">
        <f>ADDRESS(ROW(DFLoan1!C$10),COLUMN(DFLoan1!C$10),4)</f>
        <v>C10</v>
      </c>
      <c r="D7244" t="b" cm="1">
        <f t="array" aca="1" ref="D7244" ca="1">IF(INDIRECT("'"&amp;A7244&amp;"'!"&amp;B7244)="",FALSE,IF(INDIRECT("'"&amp;A7244&amp;"'!"&amp;B7244)&gt;DATE(Year_DestinationYearID,12,31),TRUE,FALSE))</f>
        <v>0</v>
      </c>
      <c r="E7244" t="s">
        <v>608</v>
      </c>
      <c r="F7244" t="str">
        <f>INDEX(Lists!I:I,MATCH(Validation!E7244,Lists!G:G,0))</f>
        <v>Error</v>
      </c>
      <c r="G7244" t="str">
        <f>INDEX(Lists!H:H,MATCH(Validation!E7244,Lists!G:G,0))</f>
        <v>Issue date must be on or before December 31, 2024.</v>
      </c>
      <c r="H7244" s="16" t="str">
        <f t="shared" ca="1" si="825"/>
        <v/>
      </c>
      <c r="I7244" s="16" t="str">
        <f t="shared" ca="1" si="826"/>
        <v/>
      </c>
      <c r="J7244" s="17" t="str">
        <f t="shared" ca="1" si="827"/>
        <v/>
      </c>
    </row>
    <row r="7245" spans="1:10" x14ac:dyDescent="0.25">
      <c r="A7245" t="s">
        <v>957</v>
      </c>
      <c r="B7245" t="str">
        <f>ADDRESS(ROW(DFLoan1!B$10),COLUMN(DFLoan1!B$10),4)</f>
        <v>B10</v>
      </c>
      <c r="C7245" t="str">
        <f>ADDRESS(ROW(DFLoan1!C$10),COLUMN(DFLoan1!C$10),4)</f>
        <v>C10</v>
      </c>
      <c r="D7245" t="b" cm="1">
        <f t="array" aca="1" ref="D7245" ca="1">IF(INDIRECT("'"&amp;A7245&amp;"'!"&amp;B7245)="",FALSE,IF(INDIRECT("'"&amp;A7245&amp;"'!"&amp;B7245)&gt;DATE(Year_DestinationYearID,12,31),TRUE,FALSE))</f>
        <v>0</v>
      </c>
      <c r="E7245" t="s">
        <v>608</v>
      </c>
      <c r="F7245" t="str">
        <f>INDEX(Lists!I:I,MATCH(Validation!E7245,Lists!G:G,0))</f>
        <v>Error</v>
      </c>
      <c r="G7245" t="str">
        <f>INDEX(Lists!H:H,MATCH(Validation!E7245,Lists!G:G,0))</f>
        <v>Issue date must be on or before December 31, 2024.</v>
      </c>
      <c r="H7245" s="16" t="str">
        <f t="shared" ca="1" si="825"/>
        <v/>
      </c>
      <c r="I7245" s="16" t="str">
        <f t="shared" ca="1" si="826"/>
        <v/>
      </c>
      <c r="J7245" s="17" t="str">
        <f t="shared" ca="1" si="827"/>
        <v/>
      </c>
    </row>
    <row r="7246" spans="1:10" x14ac:dyDescent="0.25">
      <c r="A7246" t="s">
        <v>958</v>
      </c>
      <c r="B7246" t="str">
        <f>ADDRESS(ROW(DFLoan1!B$10),COLUMN(DFLoan1!B$10),4)</f>
        <v>B10</v>
      </c>
      <c r="C7246" t="str">
        <f>ADDRESS(ROW(DFLoan1!C$10),COLUMN(DFLoan1!C$10),4)</f>
        <v>C10</v>
      </c>
      <c r="D7246" t="b" cm="1">
        <f t="array" aca="1" ref="D7246" ca="1">IF(INDIRECT("'"&amp;A7246&amp;"'!"&amp;B7246)="",FALSE,IF(INDIRECT("'"&amp;A7246&amp;"'!"&amp;B7246)&gt;DATE(Year_DestinationYearID,12,31),TRUE,FALSE))</f>
        <v>0</v>
      </c>
      <c r="E7246" t="s">
        <v>608</v>
      </c>
      <c r="F7246" t="str">
        <f>INDEX(Lists!I:I,MATCH(Validation!E7246,Lists!G:G,0))</f>
        <v>Error</v>
      </c>
      <c r="G7246" t="str">
        <f>INDEX(Lists!H:H,MATCH(Validation!E7246,Lists!G:G,0))</f>
        <v>Issue date must be on or before December 31, 2024.</v>
      </c>
      <c r="H7246" s="16" t="str">
        <f t="shared" ca="1" si="825"/>
        <v/>
      </c>
      <c r="I7246" s="16" t="str">
        <f t="shared" ca="1" si="826"/>
        <v/>
      </c>
      <c r="J7246" s="17" t="str">
        <f t="shared" ca="1" si="827"/>
        <v/>
      </c>
    </row>
    <row r="7247" spans="1:10" x14ac:dyDescent="0.25">
      <c r="A7247" t="s">
        <v>959</v>
      </c>
      <c r="B7247" t="str">
        <f>ADDRESS(ROW(DFLoan1!B$10),COLUMN(DFLoan1!B$10),4)</f>
        <v>B10</v>
      </c>
      <c r="C7247" t="str">
        <f>ADDRESS(ROW(DFLoan1!C$10),COLUMN(DFLoan1!C$10),4)</f>
        <v>C10</v>
      </c>
      <c r="D7247" t="b" cm="1">
        <f t="array" aca="1" ref="D7247" ca="1">IF(INDIRECT("'"&amp;A7247&amp;"'!"&amp;B7247)="",FALSE,IF(INDIRECT("'"&amp;A7247&amp;"'!"&amp;B7247)&gt;DATE(Year_DestinationYearID,12,31),TRUE,FALSE))</f>
        <v>0</v>
      </c>
      <c r="E7247" t="s">
        <v>608</v>
      </c>
      <c r="F7247" t="str">
        <f>INDEX(Lists!I:I,MATCH(Validation!E7247,Lists!G:G,0))</f>
        <v>Error</v>
      </c>
      <c r="G7247" t="str">
        <f>INDEX(Lists!H:H,MATCH(Validation!E7247,Lists!G:G,0))</f>
        <v>Issue date must be on or before December 31, 2024.</v>
      </c>
      <c r="H7247" s="16" t="str">
        <f t="shared" ca="1" si="825"/>
        <v/>
      </c>
      <c r="I7247" s="16" t="str">
        <f t="shared" ca="1" si="826"/>
        <v/>
      </c>
      <c r="J7247" s="17" t="str">
        <f t="shared" ca="1" si="827"/>
        <v/>
      </c>
    </row>
    <row r="7248" spans="1:10" x14ac:dyDescent="0.25">
      <c r="A7248" t="s">
        <v>960</v>
      </c>
      <c r="B7248" t="str">
        <f>ADDRESS(ROW(DFLoan1!B$10),COLUMN(DFLoan1!B$10),4)</f>
        <v>B10</v>
      </c>
      <c r="C7248" t="str">
        <f>ADDRESS(ROW(DFLoan1!C$10),COLUMN(DFLoan1!C$10),4)</f>
        <v>C10</v>
      </c>
      <c r="D7248" t="b" cm="1">
        <f t="array" aca="1" ref="D7248" ca="1">IF(INDIRECT("'"&amp;A7248&amp;"'!"&amp;B7248)="",FALSE,IF(INDIRECT("'"&amp;A7248&amp;"'!"&amp;B7248)&gt;DATE(Year_DestinationYearID,12,31),TRUE,FALSE))</f>
        <v>0</v>
      </c>
      <c r="E7248" t="s">
        <v>608</v>
      </c>
      <c r="F7248" t="str">
        <f>INDEX(Lists!I:I,MATCH(Validation!E7248,Lists!G:G,0))</f>
        <v>Error</v>
      </c>
      <c r="G7248" t="str">
        <f>INDEX(Lists!H:H,MATCH(Validation!E7248,Lists!G:G,0))</f>
        <v>Issue date must be on or before December 31, 2024.</v>
      </c>
      <c r="H7248" s="16" t="str">
        <f t="shared" ca="1" si="825"/>
        <v/>
      </c>
      <c r="I7248" s="16" t="str">
        <f t="shared" ca="1" si="826"/>
        <v/>
      </c>
      <c r="J7248" s="17" t="str">
        <f t="shared" ca="1" si="827"/>
        <v/>
      </c>
    </row>
    <row r="7249" spans="1:10" x14ac:dyDescent="0.25">
      <c r="A7249" t="s">
        <v>961</v>
      </c>
      <c r="B7249" t="str">
        <f>ADDRESS(ROW(DFLoan1!B$10),COLUMN(DFLoan1!B$10),4)</f>
        <v>B10</v>
      </c>
      <c r="C7249" t="str">
        <f>ADDRESS(ROW(DFLoan1!C$10),COLUMN(DFLoan1!C$10),4)</f>
        <v>C10</v>
      </c>
      <c r="D7249" t="b" cm="1">
        <f t="array" aca="1" ref="D7249" ca="1">IF(INDIRECT("'"&amp;A7249&amp;"'!"&amp;B7249)="",FALSE,IF(INDIRECT("'"&amp;A7249&amp;"'!"&amp;B7249)&gt;DATE(Year_DestinationYearID,12,31),TRUE,FALSE))</f>
        <v>0</v>
      </c>
      <c r="E7249" t="s">
        <v>608</v>
      </c>
      <c r="F7249" t="str">
        <f>INDEX(Lists!I:I,MATCH(Validation!E7249,Lists!G:G,0))</f>
        <v>Error</v>
      </c>
      <c r="G7249" t="str">
        <f>INDEX(Lists!H:H,MATCH(Validation!E7249,Lists!G:G,0))</f>
        <v>Issue date must be on or before December 31, 2024.</v>
      </c>
      <c r="H7249" s="16" t="str">
        <f t="shared" ca="1" si="825"/>
        <v/>
      </c>
      <c r="I7249" s="16" t="str">
        <f t="shared" ca="1" si="826"/>
        <v/>
      </c>
      <c r="J7249" s="17" t="str">
        <f t="shared" ca="1" si="827"/>
        <v/>
      </c>
    </row>
    <row r="7250" spans="1:10" x14ac:dyDescent="0.25">
      <c r="A7250" t="s">
        <v>962</v>
      </c>
      <c r="B7250" t="str">
        <f>ADDRESS(ROW(DFLoan1!B$10),COLUMN(DFLoan1!B$10),4)</f>
        <v>B10</v>
      </c>
      <c r="C7250" t="str">
        <f>ADDRESS(ROW(DFLoan1!C$10),COLUMN(DFLoan1!C$10),4)</f>
        <v>C10</v>
      </c>
      <c r="D7250" t="b" cm="1">
        <f t="array" aca="1" ref="D7250" ca="1">IF(INDIRECT("'"&amp;A7250&amp;"'!"&amp;B7250)="",FALSE,IF(INDIRECT("'"&amp;A7250&amp;"'!"&amp;B7250)&gt;DATE(Year_DestinationYearID,12,31),TRUE,FALSE))</f>
        <v>0</v>
      </c>
      <c r="E7250" t="s">
        <v>608</v>
      </c>
      <c r="F7250" t="str">
        <f>INDEX(Lists!I:I,MATCH(Validation!E7250,Lists!G:G,0))</f>
        <v>Error</v>
      </c>
      <c r="G7250" t="str">
        <f>INDEX(Lists!H:H,MATCH(Validation!E7250,Lists!G:G,0))</f>
        <v>Issue date must be on or before December 31, 2024.</v>
      </c>
      <c r="H7250" s="16" t="str">
        <f t="shared" ca="1" si="825"/>
        <v/>
      </c>
      <c r="I7250" s="16" t="str">
        <f t="shared" ca="1" si="826"/>
        <v/>
      </c>
      <c r="J7250" s="17" t="str">
        <f t="shared" ca="1" si="827"/>
        <v/>
      </c>
    </row>
    <row r="7251" spans="1:10" x14ac:dyDescent="0.25">
      <c r="A7251" t="s">
        <v>963</v>
      </c>
      <c r="B7251" t="str">
        <f>ADDRESS(ROW(DFLoan1!B$10),COLUMN(DFLoan1!B$10),4)</f>
        <v>B10</v>
      </c>
      <c r="C7251" t="str">
        <f>ADDRESS(ROW(DFLoan1!C$10),COLUMN(DFLoan1!C$10),4)</f>
        <v>C10</v>
      </c>
      <c r="D7251" t="b" cm="1">
        <f t="array" aca="1" ref="D7251" ca="1">IF(INDIRECT("'"&amp;A7251&amp;"'!"&amp;B7251)="",FALSE,IF(INDIRECT("'"&amp;A7251&amp;"'!"&amp;B7251)&gt;DATE(Year_DestinationYearID,12,31),TRUE,FALSE))</f>
        <v>0</v>
      </c>
      <c r="E7251" t="s">
        <v>608</v>
      </c>
      <c r="F7251" t="str">
        <f>INDEX(Lists!I:I,MATCH(Validation!E7251,Lists!G:G,0))</f>
        <v>Error</v>
      </c>
      <c r="G7251" t="str">
        <f>INDEX(Lists!H:H,MATCH(Validation!E7251,Lists!G:G,0))</f>
        <v>Issue date must be on or before December 31, 2024.</v>
      </c>
      <c r="H7251" s="16" t="str">
        <f t="shared" ca="1" si="825"/>
        <v/>
      </c>
      <c r="I7251" s="16" t="str">
        <f t="shared" ca="1" si="826"/>
        <v/>
      </c>
      <c r="J7251" s="17" t="str">
        <f t="shared" ca="1" si="827"/>
        <v/>
      </c>
    </row>
    <row r="7252" spans="1:10" x14ac:dyDescent="0.25">
      <c r="A7252" t="s">
        <v>964</v>
      </c>
      <c r="B7252" t="str">
        <f>ADDRESS(ROW(DFLoan1!B$10),COLUMN(DFLoan1!B$10),4)</f>
        <v>B10</v>
      </c>
      <c r="C7252" t="str">
        <f>ADDRESS(ROW(DFLoan1!C$10),COLUMN(DFLoan1!C$10),4)</f>
        <v>C10</v>
      </c>
      <c r="D7252" t="b" cm="1">
        <f t="array" aca="1" ref="D7252" ca="1">IF(INDIRECT("'"&amp;A7252&amp;"'!"&amp;B7252)="",FALSE,IF(INDIRECT("'"&amp;A7252&amp;"'!"&amp;B7252)&gt;DATE(Year_DestinationYearID,12,31),TRUE,FALSE))</f>
        <v>0</v>
      </c>
      <c r="E7252" t="s">
        <v>608</v>
      </c>
      <c r="F7252" t="str">
        <f>INDEX(Lists!I:I,MATCH(Validation!E7252,Lists!G:G,0))</f>
        <v>Error</v>
      </c>
      <c r="G7252" t="str">
        <f>INDEX(Lists!H:H,MATCH(Validation!E7252,Lists!G:G,0))</f>
        <v>Issue date must be on or before December 31, 2024.</v>
      </c>
      <c r="H7252" s="16" t="str">
        <f t="shared" ca="1" si="825"/>
        <v/>
      </c>
      <c r="I7252" s="16" t="str">
        <f t="shared" ca="1" si="826"/>
        <v/>
      </c>
      <c r="J7252" s="17" t="str">
        <f t="shared" ca="1" si="827"/>
        <v/>
      </c>
    </row>
    <row r="7253" spans="1:10" x14ac:dyDescent="0.25">
      <c r="A7253" t="s">
        <v>965</v>
      </c>
      <c r="B7253" t="str">
        <f>ADDRESS(ROW(DFLoan1!B$10),COLUMN(DFLoan1!B$10),4)</f>
        <v>B10</v>
      </c>
      <c r="C7253" t="str">
        <f>ADDRESS(ROW(DFLoan1!C$10),COLUMN(DFLoan1!C$10),4)</f>
        <v>C10</v>
      </c>
      <c r="D7253" t="b" cm="1">
        <f t="array" aca="1" ref="D7253" ca="1">IF(INDIRECT("'"&amp;A7253&amp;"'!"&amp;B7253)="",FALSE,IF(INDIRECT("'"&amp;A7253&amp;"'!"&amp;B7253)&gt;DATE(Year_DestinationYearID,12,31),TRUE,FALSE))</f>
        <v>0</v>
      </c>
      <c r="E7253" t="s">
        <v>608</v>
      </c>
      <c r="F7253" t="str">
        <f>INDEX(Lists!I:I,MATCH(Validation!E7253,Lists!G:G,0))</f>
        <v>Error</v>
      </c>
      <c r="G7253" t="str">
        <f>INDEX(Lists!H:H,MATCH(Validation!E7253,Lists!G:G,0))</f>
        <v>Issue date must be on or before December 31, 2024.</v>
      </c>
      <c r="H7253" s="16" t="str">
        <f t="shared" ca="1" si="825"/>
        <v/>
      </c>
      <c r="I7253" s="16" t="str">
        <f t="shared" ca="1" si="826"/>
        <v/>
      </c>
      <c r="J7253" s="17" t="str">
        <f t="shared" ca="1" si="827"/>
        <v/>
      </c>
    </row>
    <row r="7254" spans="1:10" x14ac:dyDescent="0.25">
      <c r="A7254" t="s">
        <v>966</v>
      </c>
      <c r="B7254" t="str">
        <f>ADDRESS(ROW(DFLoan1!B$10),COLUMN(DFLoan1!B$10),4)</f>
        <v>B10</v>
      </c>
      <c r="C7254" t="str">
        <f>ADDRESS(ROW(DFLoan1!C$10),COLUMN(DFLoan1!C$10),4)</f>
        <v>C10</v>
      </c>
      <c r="D7254" t="b" cm="1">
        <f t="array" aca="1" ref="D7254" ca="1">IF(INDIRECT("'"&amp;A7254&amp;"'!"&amp;B7254)="",FALSE,IF(INDIRECT("'"&amp;A7254&amp;"'!"&amp;B7254)&gt;DATE(Year_DestinationYearID,12,31),TRUE,FALSE))</f>
        <v>0</v>
      </c>
      <c r="E7254" t="s">
        <v>608</v>
      </c>
      <c r="F7254" t="str">
        <f>INDEX(Lists!I:I,MATCH(Validation!E7254,Lists!G:G,0))</f>
        <v>Error</v>
      </c>
      <c r="G7254" t="str">
        <f>INDEX(Lists!H:H,MATCH(Validation!E7254,Lists!G:G,0))</f>
        <v>Issue date must be on or before December 31, 2024.</v>
      </c>
      <c r="H7254" s="16" t="str">
        <f t="shared" ca="1" si="825"/>
        <v/>
      </c>
      <c r="I7254" s="16" t="str">
        <f t="shared" ca="1" si="826"/>
        <v/>
      </c>
      <c r="J7254" s="17" t="str">
        <f t="shared" ca="1" si="827"/>
        <v/>
      </c>
    </row>
    <row r="7255" spans="1:10" x14ac:dyDescent="0.25">
      <c r="A7255" t="s">
        <v>881</v>
      </c>
      <c r="B7255" t="str">
        <f>ADDRESS(ROW(DFLoan1!B$11),COLUMN(DFLoan1!B$11),4)</f>
        <v>B11</v>
      </c>
      <c r="C7255" t="str">
        <f>ADDRESS(ROW(DFLoan1!C$11),COLUMN(DFLoan1!C$11),4)</f>
        <v>C11</v>
      </c>
      <c r="D7255" t="b" cm="1">
        <f t="array" aca="1" ref="D7255" ca="1">IF(INDIRECT("'"&amp;A7255&amp;"'!"&amp;B7255)="",FALSE,ISERROR(DATE(INDIRECT("'"&amp;A7255&amp;"'!"&amp;B7255),,)))</f>
        <v>0</v>
      </c>
      <c r="E7255" t="s">
        <v>498</v>
      </c>
      <c r="F7255" t="str">
        <f>INDEX(Lists!I:I,MATCH(Validation!E7255,Lists!G:G,0))</f>
        <v>Error</v>
      </c>
      <c r="G7255" t="str">
        <f>INDEX(Lists!H:H,MATCH(Validation!E7255,Lists!G:G,0))</f>
        <v>Enter a date only (MM/DD/YYYY). Do not enter text, spaces, or amounts.</v>
      </c>
      <c r="H7255" s="16" t="str">
        <f t="shared" ca="1" si="825"/>
        <v/>
      </c>
      <c r="I7255" s="16" t="str">
        <f t="shared" ca="1" si="826"/>
        <v/>
      </c>
      <c r="J7255" s="17" t="str">
        <f t="shared" ca="1" si="827"/>
        <v/>
      </c>
    </row>
    <row r="7256" spans="1:10" x14ac:dyDescent="0.25">
      <c r="A7256" t="s">
        <v>953</v>
      </c>
      <c r="B7256" t="str">
        <f>ADDRESS(ROW(DFLoan1!B$11),COLUMN(DFLoan1!B$11),4)</f>
        <v>B11</v>
      </c>
      <c r="C7256" t="str">
        <f>ADDRESS(ROW(DFLoan1!C$11),COLUMN(DFLoan1!C$11),4)</f>
        <v>C11</v>
      </c>
      <c r="D7256" t="b" cm="1">
        <f t="array" aca="1" ref="D7256" ca="1">IF(INDIRECT("'"&amp;A7256&amp;"'!"&amp;B7256)="",FALSE,ISERROR(DATE(INDIRECT("'"&amp;A7256&amp;"'!"&amp;B7256),,)))</f>
        <v>0</v>
      </c>
      <c r="E7256" t="s">
        <v>498</v>
      </c>
      <c r="F7256" t="str">
        <f>INDEX(Lists!I:I,MATCH(Validation!E7256,Lists!G:G,0))</f>
        <v>Error</v>
      </c>
      <c r="G7256" t="str">
        <f>INDEX(Lists!H:H,MATCH(Validation!E7256,Lists!G:G,0))</f>
        <v>Enter a date only (MM/DD/YYYY). Do not enter text, spaces, or amounts.</v>
      </c>
      <c r="H7256" s="16" t="str">
        <f t="shared" ca="1" si="825"/>
        <v/>
      </c>
      <c r="I7256" s="16" t="str">
        <f t="shared" ca="1" si="826"/>
        <v/>
      </c>
      <c r="J7256" s="17" t="str">
        <f t="shared" ca="1" si="827"/>
        <v/>
      </c>
    </row>
    <row r="7257" spans="1:10" x14ac:dyDescent="0.25">
      <c r="A7257" t="s">
        <v>954</v>
      </c>
      <c r="B7257" t="str">
        <f>ADDRESS(ROW(DFLoan1!B$11),COLUMN(DFLoan1!B$11),4)</f>
        <v>B11</v>
      </c>
      <c r="C7257" t="str">
        <f>ADDRESS(ROW(DFLoan1!C$11),COLUMN(DFLoan1!C$11),4)</f>
        <v>C11</v>
      </c>
      <c r="D7257" t="b" cm="1">
        <f t="array" aca="1" ref="D7257" ca="1">IF(INDIRECT("'"&amp;A7257&amp;"'!"&amp;B7257)="",FALSE,ISERROR(DATE(INDIRECT("'"&amp;A7257&amp;"'!"&amp;B7257),,)))</f>
        <v>0</v>
      </c>
      <c r="E7257" t="s">
        <v>498</v>
      </c>
      <c r="F7257" t="str">
        <f>INDEX(Lists!I:I,MATCH(Validation!E7257,Lists!G:G,0))</f>
        <v>Error</v>
      </c>
      <c r="G7257" t="str">
        <f>INDEX(Lists!H:H,MATCH(Validation!E7257,Lists!G:G,0))</f>
        <v>Enter a date only (MM/DD/YYYY). Do not enter text, spaces, or amounts.</v>
      </c>
      <c r="H7257" s="16" t="str">
        <f t="shared" ca="1" si="825"/>
        <v/>
      </c>
      <c r="I7257" s="16" t="str">
        <f t="shared" ca="1" si="826"/>
        <v/>
      </c>
      <c r="J7257" s="17" t="str">
        <f t="shared" ca="1" si="827"/>
        <v/>
      </c>
    </row>
    <row r="7258" spans="1:10" x14ac:dyDescent="0.25">
      <c r="A7258" t="s">
        <v>955</v>
      </c>
      <c r="B7258" t="str">
        <f>ADDRESS(ROW(DFLoan1!B$11),COLUMN(DFLoan1!B$11),4)</f>
        <v>B11</v>
      </c>
      <c r="C7258" t="str">
        <f>ADDRESS(ROW(DFLoan1!C$11),COLUMN(DFLoan1!C$11),4)</f>
        <v>C11</v>
      </c>
      <c r="D7258" t="b" cm="1">
        <f t="array" aca="1" ref="D7258" ca="1">IF(INDIRECT("'"&amp;A7258&amp;"'!"&amp;B7258)="",FALSE,ISERROR(DATE(INDIRECT("'"&amp;A7258&amp;"'!"&amp;B7258),,)))</f>
        <v>0</v>
      </c>
      <c r="E7258" t="s">
        <v>498</v>
      </c>
      <c r="F7258" t="str">
        <f>INDEX(Lists!I:I,MATCH(Validation!E7258,Lists!G:G,0))</f>
        <v>Error</v>
      </c>
      <c r="G7258" t="str">
        <f>INDEX(Lists!H:H,MATCH(Validation!E7258,Lists!G:G,0))</f>
        <v>Enter a date only (MM/DD/YYYY). Do not enter text, spaces, or amounts.</v>
      </c>
      <c r="H7258" s="16" t="str">
        <f t="shared" ca="1" si="825"/>
        <v/>
      </c>
      <c r="I7258" s="16" t="str">
        <f t="shared" ca="1" si="826"/>
        <v/>
      </c>
      <c r="J7258" s="17" t="str">
        <f t="shared" ca="1" si="827"/>
        <v/>
      </c>
    </row>
    <row r="7259" spans="1:10" x14ac:dyDescent="0.25">
      <c r="A7259" t="s">
        <v>956</v>
      </c>
      <c r="B7259" t="str">
        <f>ADDRESS(ROW(DFLoan1!B$11),COLUMN(DFLoan1!B$11),4)</f>
        <v>B11</v>
      </c>
      <c r="C7259" t="str">
        <f>ADDRESS(ROW(DFLoan1!C$11),COLUMN(DFLoan1!C$11),4)</f>
        <v>C11</v>
      </c>
      <c r="D7259" t="b" cm="1">
        <f t="array" aca="1" ref="D7259" ca="1">IF(INDIRECT("'"&amp;A7259&amp;"'!"&amp;B7259)="",FALSE,ISERROR(DATE(INDIRECT("'"&amp;A7259&amp;"'!"&amp;B7259),,)))</f>
        <v>0</v>
      </c>
      <c r="E7259" t="s">
        <v>498</v>
      </c>
      <c r="F7259" t="str">
        <f>INDEX(Lists!I:I,MATCH(Validation!E7259,Lists!G:G,0))</f>
        <v>Error</v>
      </c>
      <c r="G7259" t="str">
        <f>INDEX(Lists!H:H,MATCH(Validation!E7259,Lists!G:G,0))</f>
        <v>Enter a date only (MM/DD/YYYY). Do not enter text, spaces, or amounts.</v>
      </c>
      <c r="H7259" s="16" t="str">
        <f t="shared" ca="1" si="825"/>
        <v/>
      </c>
      <c r="I7259" s="16" t="str">
        <f t="shared" ca="1" si="826"/>
        <v/>
      </c>
      <c r="J7259" s="17" t="str">
        <f t="shared" ca="1" si="827"/>
        <v/>
      </c>
    </row>
    <row r="7260" spans="1:10" x14ac:dyDescent="0.25">
      <c r="A7260" t="s">
        <v>957</v>
      </c>
      <c r="B7260" t="str">
        <f>ADDRESS(ROW(DFLoan1!B$11),COLUMN(DFLoan1!B$11),4)</f>
        <v>B11</v>
      </c>
      <c r="C7260" t="str">
        <f>ADDRESS(ROW(DFLoan1!C$11),COLUMN(DFLoan1!C$11),4)</f>
        <v>C11</v>
      </c>
      <c r="D7260" t="b" cm="1">
        <f t="array" aca="1" ref="D7260" ca="1">IF(INDIRECT("'"&amp;A7260&amp;"'!"&amp;B7260)="",FALSE,ISERROR(DATE(INDIRECT("'"&amp;A7260&amp;"'!"&amp;B7260),,)))</f>
        <v>0</v>
      </c>
      <c r="E7260" t="s">
        <v>498</v>
      </c>
      <c r="F7260" t="str">
        <f>INDEX(Lists!I:I,MATCH(Validation!E7260,Lists!G:G,0))</f>
        <v>Error</v>
      </c>
      <c r="G7260" t="str">
        <f>INDEX(Lists!H:H,MATCH(Validation!E7260,Lists!G:G,0))</f>
        <v>Enter a date only (MM/DD/YYYY). Do not enter text, spaces, or amounts.</v>
      </c>
      <c r="H7260" s="16" t="str">
        <f t="shared" ca="1" si="825"/>
        <v/>
      </c>
      <c r="I7260" s="16" t="str">
        <f t="shared" ca="1" si="826"/>
        <v/>
      </c>
      <c r="J7260" s="17" t="str">
        <f t="shared" ca="1" si="827"/>
        <v/>
      </c>
    </row>
    <row r="7261" spans="1:10" x14ac:dyDescent="0.25">
      <c r="A7261" t="s">
        <v>958</v>
      </c>
      <c r="B7261" t="str">
        <f>ADDRESS(ROW(DFLoan1!B$11),COLUMN(DFLoan1!B$11),4)</f>
        <v>B11</v>
      </c>
      <c r="C7261" t="str">
        <f>ADDRESS(ROW(DFLoan1!C$11),COLUMN(DFLoan1!C$11),4)</f>
        <v>C11</v>
      </c>
      <c r="D7261" t="b" cm="1">
        <f t="array" aca="1" ref="D7261" ca="1">IF(INDIRECT("'"&amp;A7261&amp;"'!"&amp;B7261)="",FALSE,ISERROR(DATE(INDIRECT("'"&amp;A7261&amp;"'!"&amp;B7261),,)))</f>
        <v>0</v>
      </c>
      <c r="E7261" t="s">
        <v>498</v>
      </c>
      <c r="F7261" t="str">
        <f>INDEX(Lists!I:I,MATCH(Validation!E7261,Lists!G:G,0))</f>
        <v>Error</v>
      </c>
      <c r="G7261" t="str">
        <f>INDEX(Lists!H:H,MATCH(Validation!E7261,Lists!G:G,0))</f>
        <v>Enter a date only (MM/DD/YYYY). Do not enter text, spaces, or amounts.</v>
      </c>
      <c r="H7261" s="16" t="str">
        <f t="shared" ca="1" si="825"/>
        <v/>
      </c>
      <c r="I7261" s="16" t="str">
        <f t="shared" ca="1" si="826"/>
        <v/>
      </c>
      <c r="J7261" s="17" t="str">
        <f t="shared" ca="1" si="827"/>
        <v/>
      </c>
    </row>
    <row r="7262" spans="1:10" x14ac:dyDescent="0.25">
      <c r="A7262" t="s">
        <v>959</v>
      </c>
      <c r="B7262" t="str">
        <f>ADDRESS(ROW(DFLoan1!B$11),COLUMN(DFLoan1!B$11),4)</f>
        <v>B11</v>
      </c>
      <c r="C7262" t="str">
        <f>ADDRESS(ROW(DFLoan1!C$11),COLUMN(DFLoan1!C$11),4)</f>
        <v>C11</v>
      </c>
      <c r="D7262" t="b" cm="1">
        <f t="array" aca="1" ref="D7262" ca="1">IF(INDIRECT("'"&amp;A7262&amp;"'!"&amp;B7262)="",FALSE,ISERROR(DATE(INDIRECT("'"&amp;A7262&amp;"'!"&amp;B7262),,)))</f>
        <v>0</v>
      </c>
      <c r="E7262" t="s">
        <v>498</v>
      </c>
      <c r="F7262" t="str">
        <f>INDEX(Lists!I:I,MATCH(Validation!E7262,Lists!G:G,0))</f>
        <v>Error</v>
      </c>
      <c r="G7262" t="str">
        <f>INDEX(Lists!H:H,MATCH(Validation!E7262,Lists!G:G,0))</f>
        <v>Enter a date only (MM/DD/YYYY). Do not enter text, spaces, or amounts.</v>
      </c>
      <c r="H7262" s="16" t="str">
        <f t="shared" ca="1" si="825"/>
        <v/>
      </c>
      <c r="I7262" s="16" t="str">
        <f t="shared" ca="1" si="826"/>
        <v/>
      </c>
      <c r="J7262" s="17" t="str">
        <f t="shared" ca="1" si="827"/>
        <v/>
      </c>
    </row>
    <row r="7263" spans="1:10" x14ac:dyDescent="0.25">
      <c r="A7263" t="s">
        <v>960</v>
      </c>
      <c r="B7263" t="str">
        <f>ADDRESS(ROW(DFLoan1!B$11),COLUMN(DFLoan1!B$11),4)</f>
        <v>B11</v>
      </c>
      <c r="C7263" t="str">
        <f>ADDRESS(ROW(DFLoan1!C$11),COLUMN(DFLoan1!C$11),4)</f>
        <v>C11</v>
      </c>
      <c r="D7263" t="b" cm="1">
        <f t="array" aca="1" ref="D7263" ca="1">IF(INDIRECT("'"&amp;A7263&amp;"'!"&amp;B7263)="",FALSE,ISERROR(DATE(INDIRECT("'"&amp;A7263&amp;"'!"&amp;B7263),,)))</f>
        <v>0</v>
      </c>
      <c r="E7263" t="s">
        <v>498</v>
      </c>
      <c r="F7263" t="str">
        <f>INDEX(Lists!I:I,MATCH(Validation!E7263,Lists!G:G,0))</f>
        <v>Error</v>
      </c>
      <c r="G7263" t="str">
        <f>INDEX(Lists!H:H,MATCH(Validation!E7263,Lists!G:G,0))</f>
        <v>Enter a date only (MM/DD/YYYY). Do not enter text, spaces, or amounts.</v>
      </c>
      <c r="H7263" s="16" t="str">
        <f t="shared" ca="1" si="825"/>
        <v/>
      </c>
      <c r="I7263" s="16" t="str">
        <f t="shared" ca="1" si="826"/>
        <v/>
      </c>
      <c r="J7263" s="17" t="str">
        <f t="shared" ca="1" si="827"/>
        <v/>
      </c>
    </row>
    <row r="7264" spans="1:10" x14ac:dyDescent="0.25">
      <c r="A7264" t="s">
        <v>961</v>
      </c>
      <c r="B7264" t="str">
        <f>ADDRESS(ROW(DFLoan1!B$11),COLUMN(DFLoan1!B$11),4)</f>
        <v>B11</v>
      </c>
      <c r="C7264" t="str">
        <f>ADDRESS(ROW(DFLoan1!C$11),COLUMN(DFLoan1!C$11),4)</f>
        <v>C11</v>
      </c>
      <c r="D7264" t="b" cm="1">
        <f t="array" aca="1" ref="D7264" ca="1">IF(INDIRECT("'"&amp;A7264&amp;"'!"&amp;B7264)="",FALSE,ISERROR(DATE(INDIRECT("'"&amp;A7264&amp;"'!"&amp;B7264),,)))</f>
        <v>0</v>
      </c>
      <c r="E7264" t="s">
        <v>498</v>
      </c>
      <c r="F7264" t="str">
        <f>INDEX(Lists!I:I,MATCH(Validation!E7264,Lists!G:G,0))</f>
        <v>Error</v>
      </c>
      <c r="G7264" t="str">
        <f>INDEX(Lists!H:H,MATCH(Validation!E7264,Lists!G:G,0))</f>
        <v>Enter a date only (MM/DD/YYYY). Do not enter text, spaces, or amounts.</v>
      </c>
      <c r="H7264" s="16" t="str">
        <f t="shared" ca="1" si="825"/>
        <v/>
      </c>
      <c r="I7264" s="16" t="str">
        <f t="shared" ca="1" si="826"/>
        <v/>
      </c>
      <c r="J7264" s="17" t="str">
        <f t="shared" ca="1" si="827"/>
        <v/>
      </c>
    </row>
    <row r="7265" spans="1:10" x14ac:dyDescent="0.25">
      <c r="A7265" t="s">
        <v>962</v>
      </c>
      <c r="B7265" t="str">
        <f>ADDRESS(ROW(DFLoan1!B$11),COLUMN(DFLoan1!B$11),4)</f>
        <v>B11</v>
      </c>
      <c r="C7265" t="str">
        <f>ADDRESS(ROW(DFLoan1!C$11),COLUMN(DFLoan1!C$11),4)</f>
        <v>C11</v>
      </c>
      <c r="D7265" t="b" cm="1">
        <f t="array" aca="1" ref="D7265" ca="1">IF(INDIRECT("'"&amp;A7265&amp;"'!"&amp;B7265)="",FALSE,ISERROR(DATE(INDIRECT("'"&amp;A7265&amp;"'!"&amp;B7265),,)))</f>
        <v>0</v>
      </c>
      <c r="E7265" t="s">
        <v>498</v>
      </c>
      <c r="F7265" t="str">
        <f>INDEX(Lists!I:I,MATCH(Validation!E7265,Lists!G:G,0))</f>
        <v>Error</v>
      </c>
      <c r="G7265" t="str">
        <f>INDEX(Lists!H:H,MATCH(Validation!E7265,Lists!G:G,0))</f>
        <v>Enter a date only (MM/DD/YYYY). Do not enter text, spaces, or amounts.</v>
      </c>
      <c r="H7265" s="16" t="str">
        <f t="shared" ca="1" si="825"/>
        <v/>
      </c>
      <c r="I7265" s="16" t="str">
        <f t="shared" ca="1" si="826"/>
        <v/>
      </c>
      <c r="J7265" s="17" t="str">
        <f t="shared" ca="1" si="827"/>
        <v/>
      </c>
    </row>
    <row r="7266" spans="1:10" x14ac:dyDescent="0.25">
      <c r="A7266" t="s">
        <v>963</v>
      </c>
      <c r="B7266" t="str">
        <f>ADDRESS(ROW(DFLoan1!B$11),COLUMN(DFLoan1!B$11),4)</f>
        <v>B11</v>
      </c>
      <c r="C7266" t="str">
        <f>ADDRESS(ROW(DFLoan1!C$11),COLUMN(DFLoan1!C$11),4)</f>
        <v>C11</v>
      </c>
      <c r="D7266" t="b" cm="1">
        <f t="array" aca="1" ref="D7266" ca="1">IF(INDIRECT("'"&amp;A7266&amp;"'!"&amp;B7266)="",FALSE,ISERROR(DATE(INDIRECT("'"&amp;A7266&amp;"'!"&amp;B7266),,)))</f>
        <v>0</v>
      </c>
      <c r="E7266" t="s">
        <v>498</v>
      </c>
      <c r="F7266" t="str">
        <f>INDEX(Lists!I:I,MATCH(Validation!E7266,Lists!G:G,0))</f>
        <v>Error</v>
      </c>
      <c r="G7266" t="str">
        <f>INDEX(Lists!H:H,MATCH(Validation!E7266,Lists!G:G,0))</f>
        <v>Enter a date only (MM/DD/YYYY). Do not enter text, spaces, or amounts.</v>
      </c>
      <c r="H7266" s="16" t="str">
        <f t="shared" ca="1" si="825"/>
        <v/>
      </c>
      <c r="I7266" s="16" t="str">
        <f t="shared" ca="1" si="826"/>
        <v/>
      </c>
      <c r="J7266" s="17" t="str">
        <f t="shared" ca="1" si="827"/>
        <v/>
      </c>
    </row>
    <row r="7267" spans="1:10" x14ac:dyDescent="0.25">
      <c r="A7267" t="s">
        <v>964</v>
      </c>
      <c r="B7267" t="str">
        <f>ADDRESS(ROW(DFLoan1!B$11),COLUMN(DFLoan1!B$11),4)</f>
        <v>B11</v>
      </c>
      <c r="C7267" t="str">
        <f>ADDRESS(ROW(DFLoan1!C$11),COLUMN(DFLoan1!C$11),4)</f>
        <v>C11</v>
      </c>
      <c r="D7267" t="b" cm="1">
        <f t="array" aca="1" ref="D7267" ca="1">IF(INDIRECT("'"&amp;A7267&amp;"'!"&amp;B7267)="",FALSE,ISERROR(DATE(INDIRECT("'"&amp;A7267&amp;"'!"&amp;B7267),,)))</f>
        <v>0</v>
      </c>
      <c r="E7267" t="s">
        <v>498</v>
      </c>
      <c r="F7267" t="str">
        <f>INDEX(Lists!I:I,MATCH(Validation!E7267,Lists!G:G,0))</f>
        <v>Error</v>
      </c>
      <c r="G7267" t="str">
        <f>INDEX(Lists!H:H,MATCH(Validation!E7267,Lists!G:G,0))</f>
        <v>Enter a date only (MM/DD/YYYY). Do not enter text, spaces, or amounts.</v>
      </c>
      <c r="H7267" s="16" t="str">
        <f t="shared" ca="1" si="825"/>
        <v/>
      </c>
      <c r="I7267" s="16" t="str">
        <f t="shared" ca="1" si="826"/>
        <v/>
      </c>
      <c r="J7267" s="17" t="str">
        <f t="shared" ca="1" si="827"/>
        <v/>
      </c>
    </row>
    <row r="7268" spans="1:10" x14ac:dyDescent="0.25">
      <c r="A7268" t="s">
        <v>965</v>
      </c>
      <c r="B7268" t="str">
        <f>ADDRESS(ROW(DFLoan1!B$11),COLUMN(DFLoan1!B$11),4)</f>
        <v>B11</v>
      </c>
      <c r="C7268" t="str">
        <f>ADDRESS(ROW(DFLoan1!C$11),COLUMN(DFLoan1!C$11),4)</f>
        <v>C11</v>
      </c>
      <c r="D7268" t="b" cm="1">
        <f t="array" aca="1" ref="D7268" ca="1">IF(INDIRECT("'"&amp;A7268&amp;"'!"&amp;B7268)="",FALSE,ISERROR(DATE(INDIRECT("'"&amp;A7268&amp;"'!"&amp;B7268),,)))</f>
        <v>0</v>
      </c>
      <c r="E7268" t="s">
        <v>498</v>
      </c>
      <c r="F7268" t="str">
        <f>INDEX(Lists!I:I,MATCH(Validation!E7268,Lists!G:G,0))</f>
        <v>Error</v>
      </c>
      <c r="G7268" t="str">
        <f>INDEX(Lists!H:H,MATCH(Validation!E7268,Lists!G:G,0))</f>
        <v>Enter a date only (MM/DD/YYYY). Do not enter text, spaces, or amounts.</v>
      </c>
      <c r="H7268" s="16" t="str">
        <f t="shared" ca="1" si="825"/>
        <v/>
      </c>
      <c r="I7268" s="16" t="str">
        <f t="shared" ca="1" si="826"/>
        <v/>
      </c>
      <c r="J7268" s="17" t="str">
        <f t="shared" ca="1" si="827"/>
        <v/>
      </c>
    </row>
    <row r="7269" spans="1:10" x14ac:dyDescent="0.25">
      <c r="A7269" t="s">
        <v>966</v>
      </c>
      <c r="B7269" t="str">
        <f>ADDRESS(ROW(DFLoan1!B$11),COLUMN(DFLoan1!B$11),4)</f>
        <v>B11</v>
      </c>
      <c r="C7269" t="str">
        <f>ADDRESS(ROW(DFLoan1!C$11),COLUMN(DFLoan1!C$11),4)</f>
        <v>C11</v>
      </c>
      <c r="D7269" t="b" cm="1">
        <f t="array" aca="1" ref="D7269" ca="1">IF(INDIRECT("'"&amp;A7269&amp;"'!"&amp;B7269)="",FALSE,ISERROR(DATE(INDIRECT("'"&amp;A7269&amp;"'!"&amp;B7269),,)))</f>
        <v>0</v>
      </c>
      <c r="E7269" t="s">
        <v>498</v>
      </c>
      <c r="F7269" t="str">
        <f>INDEX(Lists!I:I,MATCH(Validation!E7269,Lists!G:G,0))</f>
        <v>Error</v>
      </c>
      <c r="G7269" t="str">
        <f>INDEX(Lists!H:H,MATCH(Validation!E7269,Lists!G:G,0))</f>
        <v>Enter a date only (MM/DD/YYYY). Do not enter text, spaces, or amounts.</v>
      </c>
      <c r="H7269" s="16" t="str">
        <f t="shared" ca="1" si="825"/>
        <v/>
      </c>
      <c r="I7269" s="16" t="str">
        <f t="shared" ca="1" si="826"/>
        <v/>
      </c>
      <c r="J7269" s="17" t="str">
        <f t="shared" ca="1" si="827"/>
        <v/>
      </c>
    </row>
    <row r="7270" spans="1:10" x14ac:dyDescent="0.25">
      <c r="A7270" t="s">
        <v>881</v>
      </c>
      <c r="B7270" t="str">
        <f>ADDRESS(ROW(DFLoan1!B$11),COLUMN(DFLoan1!B$11),4)</f>
        <v>B11</v>
      </c>
      <c r="C7270" t="str">
        <f>ADDRESS(ROW(DFLoan1!C$11),COLUMN(DFLoan1!C$11),4)</f>
        <v>C11</v>
      </c>
      <c r="D7270" t="b" cm="1">
        <f t="array" aca="1" ref="D7270" ca="1">IF(INDIRECT("'"&amp;A7270&amp;"'!"&amp;B7270)="",FALSE,IF(INDIRECT("'"&amp;A7270&amp;"'!B$10")="",TRUE,FALSE))</f>
        <v>0</v>
      </c>
      <c r="E7270" t="s">
        <v>611</v>
      </c>
      <c r="F7270" t="str">
        <f>INDEX(Lists!I:I,MATCH(Validation!E7270,Lists!G:G,0))</f>
        <v>Error</v>
      </c>
      <c r="G7270" t="str">
        <f>INDEX(Lists!H:H,MATCH(Validation!E7270,Lists!G:G,0))</f>
        <v>Enter the issue date first.</v>
      </c>
      <c r="H7270" s="16" t="str">
        <f t="shared" ca="1" si="825"/>
        <v/>
      </c>
      <c r="I7270" s="16" t="str">
        <f t="shared" ca="1" si="826"/>
        <v/>
      </c>
      <c r="J7270" s="17" t="str">
        <f t="shared" ca="1" si="827"/>
        <v/>
      </c>
    </row>
    <row r="7271" spans="1:10" x14ac:dyDescent="0.25">
      <c r="A7271" t="s">
        <v>953</v>
      </c>
      <c r="B7271" t="str">
        <f>ADDRESS(ROW(DFLoan1!B$11),COLUMN(DFLoan1!B$11),4)</f>
        <v>B11</v>
      </c>
      <c r="C7271" t="str">
        <f>ADDRESS(ROW(DFLoan1!C$11),COLUMN(DFLoan1!C$11),4)</f>
        <v>C11</v>
      </c>
      <c r="D7271" t="b" cm="1">
        <f t="array" aca="1" ref="D7271" ca="1">IF(INDIRECT("'"&amp;A7271&amp;"'!"&amp;B7271)="",FALSE,IF(INDIRECT("'"&amp;A7271&amp;"'!B$10")="",TRUE,FALSE))</f>
        <v>0</v>
      </c>
      <c r="E7271" t="s">
        <v>611</v>
      </c>
      <c r="F7271" t="str">
        <f>INDEX(Lists!I:I,MATCH(Validation!E7271,Lists!G:G,0))</f>
        <v>Error</v>
      </c>
      <c r="G7271" t="str">
        <f>INDEX(Lists!H:H,MATCH(Validation!E7271,Lists!G:G,0))</f>
        <v>Enter the issue date first.</v>
      </c>
      <c r="H7271" s="16" t="str">
        <f t="shared" ca="1" si="825"/>
        <v/>
      </c>
      <c r="I7271" s="16" t="str">
        <f t="shared" ca="1" si="826"/>
        <v/>
      </c>
      <c r="J7271" s="17" t="str">
        <f t="shared" ca="1" si="827"/>
        <v/>
      </c>
    </row>
    <row r="7272" spans="1:10" x14ac:dyDescent="0.25">
      <c r="A7272" t="s">
        <v>954</v>
      </c>
      <c r="B7272" t="str">
        <f>ADDRESS(ROW(DFLoan1!B$11),COLUMN(DFLoan1!B$11),4)</f>
        <v>B11</v>
      </c>
      <c r="C7272" t="str">
        <f>ADDRESS(ROW(DFLoan1!C$11),COLUMN(DFLoan1!C$11),4)</f>
        <v>C11</v>
      </c>
      <c r="D7272" t="b" cm="1">
        <f t="array" aca="1" ref="D7272" ca="1">IF(INDIRECT("'"&amp;A7272&amp;"'!"&amp;B7272)="",FALSE,IF(INDIRECT("'"&amp;A7272&amp;"'!B$10")="",TRUE,FALSE))</f>
        <v>0</v>
      </c>
      <c r="E7272" t="s">
        <v>611</v>
      </c>
      <c r="F7272" t="str">
        <f>INDEX(Lists!I:I,MATCH(Validation!E7272,Lists!G:G,0))</f>
        <v>Error</v>
      </c>
      <c r="G7272" t="str">
        <f>INDEX(Lists!H:H,MATCH(Validation!E7272,Lists!G:G,0))</f>
        <v>Enter the issue date first.</v>
      </c>
      <c r="H7272" s="16" t="str">
        <f t="shared" ca="1" si="825"/>
        <v/>
      </c>
      <c r="I7272" s="16" t="str">
        <f t="shared" ca="1" si="826"/>
        <v/>
      </c>
      <c r="J7272" s="17" t="str">
        <f t="shared" ca="1" si="827"/>
        <v/>
      </c>
    </row>
    <row r="7273" spans="1:10" x14ac:dyDescent="0.25">
      <c r="A7273" t="s">
        <v>955</v>
      </c>
      <c r="B7273" t="str">
        <f>ADDRESS(ROW(DFLoan1!B$11),COLUMN(DFLoan1!B$11),4)</f>
        <v>B11</v>
      </c>
      <c r="C7273" t="str">
        <f>ADDRESS(ROW(DFLoan1!C$11),COLUMN(DFLoan1!C$11),4)</f>
        <v>C11</v>
      </c>
      <c r="D7273" t="b" cm="1">
        <f t="array" aca="1" ref="D7273" ca="1">IF(INDIRECT("'"&amp;A7273&amp;"'!"&amp;B7273)="",FALSE,IF(INDIRECT("'"&amp;A7273&amp;"'!B$10")="",TRUE,FALSE))</f>
        <v>0</v>
      </c>
      <c r="E7273" t="s">
        <v>611</v>
      </c>
      <c r="F7273" t="str">
        <f>INDEX(Lists!I:I,MATCH(Validation!E7273,Lists!G:G,0))</f>
        <v>Error</v>
      </c>
      <c r="G7273" t="str">
        <f>INDEX(Lists!H:H,MATCH(Validation!E7273,Lists!G:G,0))</f>
        <v>Enter the issue date first.</v>
      </c>
      <c r="H7273" s="16" t="str">
        <f t="shared" ca="1" si="825"/>
        <v/>
      </c>
      <c r="I7273" s="16" t="str">
        <f t="shared" ca="1" si="826"/>
        <v/>
      </c>
      <c r="J7273" s="17" t="str">
        <f t="shared" ca="1" si="827"/>
        <v/>
      </c>
    </row>
    <row r="7274" spans="1:10" x14ac:dyDescent="0.25">
      <c r="A7274" t="s">
        <v>956</v>
      </c>
      <c r="B7274" t="str">
        <f>ADDRESS(ROW(DFLoan1!B$11),COLUMN(DFLoan1!B$11),4)</f>
        <v>B11</v>
      </c>
      <c r="C7274" t="str">
        <f>ADDRESS(ROW(DFLoan1!C$11),COLUMN(DFLoan1!C$11),4)</f>
        <v>C11</v>
      </c>
      <c r="D7274" t="b" cm="1">
        <f t="array" aca="1" ref="D7274" ca="1">IF(INDIRECT("'"&amp;A7274&amp;"'!"&amp;B7274)="",FALSE,IF(INDIRECT("'"&amp;A7274&amp;"'!B$10")="",TRUE,FALSE))</f>
        <v>0</v>
      </c>
      <c r="E7274" t="s">
        <v>611</v>
      </c>
      <c r="F7274" t="str">
        <f>INDEX(Lists!I:I,MATCH(Validation!E7274,Lists!G:G,0))</f>
        <v>Error</v>
      </c>
      <c r="G7274" t="str">
        <f>INDEX(Lists!H:H,MATCH(Validation!E7274,Lists!G:G,0))</f>
        <v>Enter the issue date first.</v>
      </c>
      <c r="H7274" s="16" t="str">
        <f t="shared" ca="1" si="825"/>
        <v/>
      </c>
      <c r="I7274" s="16" t="str">
        <f t="shared" ca="1" si="826"/>
        <v/>
      </c>
      <c r="J7274" s="17" t="str">
        <f t="shared" ca="1" si="827"/>
        <v/>
      </c>
    </row>
    <row r="7275" spans="1:10" x14ac:dyDescent="0.25">
      <c r="A7275" t="s">
        <v>957</v>
      </c>
      <c r="B7275" t="str">
        <f>ADDRESS(ROW(DFLoan1!B$11),COLUMN(DFLoan1!B$11),4)</f>
        <v>B11</v>
      </c>
      <c r="C7275" t="str">
        <f>ADDRESS(ROW(DFLoan1!C$11),COLUMN(DFLoan1!C$11),4)</f>
        <v>C11</v>
      </c>
      <c r="D7275" t="b" cm="1">
        <f t="array" aca="1" ref="D7275" ca="1">IF(INDIRECT("'"&amp;A7275&amp;"'!"&amp;B7275)="",FALSE,IF(INDIRECT("'"&amp;A7275&amp;"'!B$10")="",TRUE,FALSE))</f>
        <v>0</v>
      </c>
      <c r="E7275" t="s">
        <v>611</v>
      </c>
      <c r="F7275" t="str">
        <f>INDEX(Lists!I:I,MATCH(Validation!E7275,Lists!G:G,0))</f>
        <v>Error</v>
      </c>
      <c r="G7275" t="str">
        <f>INDEX(Lists!H:H,MATCH(Validation!E7275,Lists!G:G,0))</f>
        <v>Enter the issue date first.</v>
      </c>
      <c r="H7275" s="16" t="str">
        <f t="shared" ca="1" si="825"/>
        <v/>
      </c>
      <c r="I7275" s="16" t="str">
        <f t="shared" ca="1" si="826"/>
        <v/>
      </c>
      <c r="J7275" s="17" t="str">
        <f t="shared" ca="1" si="827"/>
        <v/>
      </c>
    </row>
    <row r="7276" spans="1:10" x14ac:dyDescent="0.25">
      <c r="A7276" t="s">
        <v>958</v>
      </c>
      <c r="B7276" t="str">
        <f>ADDRESS(ROW(DFLoan1!B$11),COLUMN(DFLoan1!B$11),4)</f>
        <v>B11</v>
      </c>
      <c r="C7276" t="str">
        <f>ADDRESS(ROW(DFLoan1!C$11),COLUMN(DFLoan1!C$11),4)</f>
        <v>C11</v>
      </c>
      <c r="D7276" t="b" cm="1">
        <f t="array" aca="1" ref="D7276" ca="1">IF(INDIRECT("'"&amp;A7276&amp;"'!"&amp;B7276)="",FALSE,IF(INDIRECT("'"&amp;A7276&amp;"'!B$10")="",TRUE,FALSE))</f>
        <v>0</v>
      </c>
      <c r="E7276" t="s">
        <v>611</v>
      </c>
      <c r="F7276" t="str">
        <f>INDEX(Lists!I:I,MATCH(Validation!E7276,Lists!G:G,0))</f>
        <v>Error</v>
      </c>
      <c r="G7276" t="str">
        <f>INDEX(Lists!H:H,MATCH(Validation!E7276,Lists!G:G,0))</f>
        <v>Enter the issue date first.</v>
      </c>
      <c r="H7276" s="16" t="str">
        <f t="shared" ca="1" si="825"/>
        <v/>
      </c>
      <c r="I7276" s="16" t="str">
        <f t="shared" ca="1" si="826"/>
        <v/>
      </c>
      <c r="J7276" s="17" t="str">
        <f t="shared" ca="1" si="827"/>
        <v/>
      </c>
    </row>
    <row r="7277" spans="1:10" x14ac:dyDescent="0.25">
      <c r="A7277" t="s">
        <v>959</v>
      </c>
      <c r="B7277" t="str">
        <f>ADDRESS(ROW(DFLoan1!B$11),COLUMN(DFLoan1!B$11),4)</f>
        <v>B11</v>
      </c>
      <c r="C7277" t="str">
        <f>ADDRESS(ROW(DFLoan1!C$11),COLUMN(DFLoan1!C$11),4)</f>
        <v>C11</v>
      </c>
      <c r="D7277" t="b" cm="1">
        <f t="array" aca="1" ref="D7277" ca="1">IF(INDIRECT("'"&amp;A7277&amp;"'!"&amp;B7277)="",FALSE,IF(INDIRECT("'"&amp;A7277&amp;"'!B$10")="",TRUE,FALSE))</f>
        <v>0</v>
      </c>
      <c r="E7277" t="s">
        <v>611</v>
      </c>
      <c r="F7277" t="str">
        <f>INDEX(Lists!I:I,MATCH(Validation!E7277,Lists!G:G,0))</f>
        <v>Error</v>
      </c>
      <c r="G7277" t="str">
        <f>INDEX(Lists!H:H,MATCH(Validation!E7277,Lists!G:G,0))</f>
        <v>Enter the issue date first.</v>
      </c>
      <c r="H7277" s="16" t="str">
        <f t="shared" ca="1" si="825"/>
        <v/>
      </c>
      <c r="I7277" s="16" t="str">
        <f t="shared" ca="1" si="826"/>
        <v/>
      </c>
      <c r="J7277" s="17" t="str">
        <f t="shared" ca="1" si="827"/>
        <v/>
      </c>
    </row>
    <row r="7278" spans="1:10" x14ac:dyDescent="0.25">
      <c r="A7278" t="s">
        <v>960</v>
      </c>
      <c r="B7278" t="str">
        <f>ADDRESS(ROW(DFLoan1!B$11),COLUMN(DFLoan1!B$11),4)</f>
        <v>B11</v>
      </c>
      <c r="C7278" t="str">
        <f>ADDRESS(ROW(DFLoan1!C$11),COLUMN(DFLoan1!C$11),4)</f>
        <v>C11</v>
      </c>
      <c r="D7278" t="b" cm="1">
        <f t="array" aca="1" ref="D7278" ca="1">IF(INDIRECT("'"&amp;A7278&amp;"'!"&amp;B7278)="",FALSE,IF(INDIRECT("'"&amp;A7278&amp;"'!B$10")="",TRUE,FALSE))</f>
        <v>0</v>
      </c>
      <c r="E7278" t="s">
        <v>611</v>
      </c>
      <c r="F7278" t="str">
        <f>INDEX(Lists!I:I,MATCH(Validation!E7278,Lists!G:G,0))</f>
        <v>Error</v>
      </c>
      <c r="G7278" t="str">
        <f>INDEX(Lists!H:H,MATCH(Validation!E7278,Lists!G:G,0))</f>
        <v>Enter the issue date first.</v>
      </c>
      <c r="H7278" s="16" t="str">
        <f t="shared" ca="1" si="825"/>
        <v/>
      </c>
      <c r="I7278" s="16" t="str">
        <f t="shared" ca="1" si="826"/>
        <v/>
      </c>
      <c r="J7278" s="17" t="str">
        <f t="shared" ca="1" si="827"/>
        <v/>
      </c>
    </row>
    <row r="7279" spans="1:10" x14ac:dyDescent="0.25">
      <c r="A7279" t="s">
        <v>961</v>
      </c>
      <c r="B7279" t="str">
        <f>ADDRESS(ROW(DFLoan1!B$11),COLUMN(DFLoan1!B$11),4)</f>
        <v>B11</v>
      </c>
      <c r="C7279" t="str">
        <f>ADDRESS(ROW(DFLoan1!C$11),COLUMN(DFLoan1!C$11),4)</f>
        <v>C11</v>
      </c>
      <c r="D7279" t="b" cm="1">
        <f t="array" aca="1" ref="D7279" ca="1">IF(INDIRECT("'"&amp;A7279&amp;"'!"&amp;B7279)="",FALSE,IF(INDIRECT("'"&amp;A7279&amp;"'!B$10")="",TRUE,FALSE))</f>
        <v>0</v>
      </c>
      <c r="E7279" t="s">
        <v>611</v>
      </c>
      <c r="F7279" t="str">
        <f>INDEX(Lists!I:I,MATCH(Validation!E7279,Lists!G:G,0))</f>
        <v>Error</v>
      </c>
      <c r="G7279" t="str">
        <f>INDEX(Lists!H:H,MATCH(Validation!E7279,Lists!G:G,0))</f>
        <v>Enter the issue date first.</v>
      </c>
      <c r="H7279" s="16" t="str">
        <f t="shared" ca="1" si="825"/>
        <v/>
      </c>
      <c r="I7279" s="16" t="str">
        <f t="shared" ca="1" si="826"/>
        <v/>
      </c>
      <c r="J7279" s="17" t="str">
        <f t="shared" ca="1" si="827"/>
        <v/>
      </c>
    </row>
    <row r="7280" spans="1:10" x14ac:dyDescent="0.25">
      <c r="A7280" t="s">
        <v>962</v>
      </c>
      <c r="B7280" t="str">
        <f>ADDRESS(ROW(DFLoan1!B$11),COLUMN(DFLoan1!B$11),4)</f>
        <v>B11</v>
      </c>
      <c r="C7280" t="str">
        <f>ADDRESS(ROW(DFLoan1!C$11),COLUMN(DFLoan1!C$11),4)</f>
        <v>C11</v>
      </c>
      <c r="D7280" t="b" cm="1">
        <f t="array" aca="1" ref="D7280" ca="1">IF(INDIRECT("'"&amp;A7280&amp;"'!"&amp;B7280)="",FALSE,IF(INDIRECT("'"&amp;A7280&amp;"'!B$10")="",TRUE,FALSE))</f>
        <v>0</v>
      </c>
      <c r="E7280" t="s">
        <v>611</v>
      </c>
      <c r="F7280" t="str">
        <f>INDEX(Lists!I:I,MATCH(Validation!E7280,Lists!G:G,0))</f>
        <v>Error</v>
      </c>
      <c r="G7280" t="str">
        <f>INDEX(Lists!H:H,MATCH(Validation!E7280,Lists!G:G,0))</f>
        <v>Enter the issue date first.</v>
      </c>
      <c r="H7280" s="16" t="str">
        <f t="shared" ca="1" si="825"/>
        <v/>
      </c>
      <c r="I7280" s="16" t="str">
        <f t="shared" ca="1" si="826"/>
        <v/>
      </c>
      <c r="J7280" s="17" t="str">
        <f t="shared" ca="1" si="827"/>
        <v/>
      </c>
    </row>
    <row r="7281" spans="1:10" x14ac:dyDescent="0.25">
      <c r="A7281" t="s">
        <v>963</v>
      </c>
      <c r="B7281" t="str">
        <f>ADDRESS(ROW(DFLoan1!B$11),COLUMN(DFLoan1!B$11),4)</f>
        <v>B11</v>
      </c>
      <c r="C7281" t="str">
        <f>ADDRESS(ROW(DFLoan1!C$11),COLUMN(DFLoan1!C$11),4)</f>
        <v>C11</v>
      </c>
      <c r="D7281" t="b" cm="1">
        <f t="array" aca="1" ref="D7281" ca="1">IF(INDIRECT("'"&amp;A7281&amp;"'!"&amp;B7281)="",FALSE,IF(INDIRECT("'"&amp;A7281&amp;"'!B$10")="",TRUE,FALSE))</f>
        <v>0</v>
      </c>
      <c r="E7281" t="s">
        <v>611</v>
      </c>
      <c r="F7281" t="str">
        <f>INDEX(Lists!I:I,MATCH(Validation!E7281,Lists!G:G,0))</f>
        <v>Error</v>
      </c>
      <c r="G7281" t="str">
        <f>INDEX(Lists!H:H,MATCH(Validation!E7281,Lists!G:G,0))</f>
        <v>Enter the issue date first.</v>
      </c>
      <c r="H7281" s="16" t="str">
        <f t="shared" ca="1" si="825"/>
        <v/>
      </c>
      <c r="I7281" s="16" t="str">
        <f t="shared" ca="1" si="826"/>
        <v/>
      </c>
      <c r="J7281" s="17" t="str">
        <f t="shared" ca="1" si="827"/>
        <v/>
      </c>
    </row>
    <row r="7282" spans="1:10" x14ac:dyDescent="0.25">
      <c r="A7282" t="s">
        <v>964</v>
      </c>
      <c r="B7282" t="str">
        <f>ADDRESS(ROW(DFLoan1!B$11),COLUMN(DFLoan1!B$11),4)</f>
        <v>B11</v>
      </c>
      <c r="C7282" t="str">
        <f>ADDRESS(ROW(DFLoan1!C$11),COLUMN(DFLoan1!C$11),4)</f>
        <v>C11</v>
      </c>
      <c r="D7282" t="b" cm="1">
        <f t="array" aca="1" ref="D7282" ca="1">IF(INDIRECT("'"&amp;A7282&amp;"'!"&amp;B7282)="",FALSE,IF(INDIRECT("'"&amp;A7282&amp;"'!B$10")="",TRUE,FALSE))</f>
        <v>0</v>
      </c>
      <c r="E7282" t="s">
        <v>611</v>
      </c>
      <c r="F7282" t="str">
        <f>INDEX(Lists!I:I,MATCH(Validation!E7282,Lists!G:G,0))</f>
        <v>Error</v>
      </c>
      <c r="G7282" t="str">
        <f>INDEX(Lists!H:H,MATCH(Validation!E7282,Lists!G:G,0))</f>
        <v>Enter the issue date first.</v>
      </c>
      <c r="H7282" s="16" t="str">
        <f t="shared" ca="1" si="825"/>
        <v/>
      </c>
      <c r="I7282" s="16" t="str">
        <f t="shared" ca="1" si="826"/>
        <v/>
      </c>
      <c r="J7282" s="17" t="str">
        <f t="shared" ca="1" si="827"/>
        <v/>
      </c>
    </row>
    <row r="7283" spans="1:10" x14ac:dyDescent="0.25">
      <c r="A7283" t="s">
        <v>965</v>
      </c>
      <c r="B7283" t="str">
        <f>ADDRESS(ROW(DFLoan1!B$11),COLUMN(DFLoan1!B$11),4)</f>
        <v>B11</v>
      </c>
      <c r="C7283" t="str">
        <f>ADDRESS(ROW(DFLoan1!C$11),COLUMN(DFLoan1!C$11),4)</f>
        <v>C11</v>
      </c>
      <c r="D7283" t="b" cm="1">
        <f t="array" aca="1" ref="D7283" ca="1">IF(INDIRECT("'"&amp;A7283&amp;"'!"&amp;B7283)="",FALSE,IF(INDIRECT("'"&amp;A7283&amp;"'!B$10")="",TRUE,FALSE))</f>
        <v>0</v>
      </c>
      <c r="E7283" t="s">
        <v>611</v>
      </c>
      <c r="F7283" t="str">
        <f>INDEX(Lists!I:I,MATCH(Validation!E7283,Lists!G:G,0))</f>
        <v>Error</v>
      </c>
      <c r="G7283" t="str">
        <f>INDEX(Lists!H:H,MATCH(Validation!E7283,Lists!G:G,0))</f>
        <v>Enter the issue date first.</v>
      </c>
      <c r="H7283" s="16" t="str">
        <f t="shared" ca="1" si="825"/>
        <v/>
      </c>
      <c r="I7283" s="16" t="str">
        <f t="shared" ca="1" si="826"/>
        <v/>
      </c>
      <c r="J7283" s="17" t="str">
        <f t="shared" ca="1" si="827"/>
        <v/>
      </c>
    </row>
    <row r="7284" spans="1:10" x14ac:dyDescent="0.25">
      <c r="A7284" t="s">
        <v>966</v>
      </c>
      <c r="B7284" t="str">
        <f>ADDRESS(ROW(DFLoan1!B$11),COLUMN(DFLoan1!B$11),4)</f>
        <v>B11</v>
      </c>
      <c r="C7284" t="str">
        <f>ADDRESS(ROW(DFLoan1!C$11),COLUMN(DFLoan1!C$11),4)</f>
        <v>C11</v>
      </c>
      <c r="D7284" t="b" cm="1">
        <f t="array" aca="1" ref="D7284" ca="1">IF(INDIRECT("'"&amp;A7284&amp;"'!"&amp;B7284)="",FALSE,IF(INDIRECT("'"&amp;A7284&amp;"'!B$10")="",TRUE,FALSE))</f>
        <v>0</v>
      </c>
      <c r="E7284" t="s">
        <v>611</v>
      </c>
      <c r="F7284" t="str">
        <f>INDEX(Lists!I:I,MATCH(Validation!E7284,Lists!G:G,0))</f>
        <v>Error</v>
      </c>
      <c r="G7284" t="str">
        <f>INDEX(Lists!H:H,MATCH(Validation!E7284,Lists!G:G,0))</f>
        <v>Enter the issue date first.</v>
      </c>
      <c r="H7284" s="16" t="str">
        <f t="shared" ca="1" si="825"/>
        <v/>
      </c>
      <c r="I7284" s="16" t="str">
        <f t="shared" ca="1" si="826"/>
        <v/>
      </c>
      <c r="J7284" s="17" t="str">
        <f t="shared" ca="1" si="827"/>
        <v/>
      </c>
    </row>
    <row r="7285" spans="1:10" x14ac:dyDescent="0.25">
      <c r="A7285" t="s">
        <v>881</v>
      </c>
      <c r="B7285" t="str">
        <f>ADDRESS(ROW(DFLoan1!B$11),COLUMN(DFLoan1!B$11),4)</f>
        <v>B11</v>
      </c>
      <c r="C7285" t="str">
        <f>ADDRESS(ROW(DFLoan1!C$11),COLUMN(DFLoan1!C$11),4)</f>
        <v>C11</v>
      </c>
      <c r="D7285" t="b" cm="1">
        <f t="array" aca="1" ref="D7285" ca="1">IF(INDIRECT("'"&amp;A7285&amp;"'!"&amp;B7285)="",FALSE,IF(INDIRECT("'"&amp;A7285&amp;"'!"&amp;B7285)&lt;=INDIRECT("'"&amp;A7285&amp;"'!B$10"),TRUE,FALSE))</f>
        <v>0</v>
      </c>
      <c r="E7285" t="s">
        <v>613</v>
      </c>
      <c r="F7285" t="str">
        <f>INDEX(Lists!I:I,MATCH(Validation!E7285,Lists!G:G,0))</f>
        <v>Error</v>
      </c>
      <c r="G7285" t="str">
        <f>INDEX(Lists!H:H,MATCH(Validation!E7285,Lists!G:G,0))</f>
        <v>Final maturity date must be after the issue date.</v>
      </c>
      <c r="H7285" s="16" t="str">
        <f t="shared" ca="1" si="825"/>
        <v/>
      </c>
      <c r="I7285" s="16" t="str">
        <f t="shared" ca="1" si="826"/>
        <v/>
      </c>
      <c r="J7285" s="17" t="str">
        <f t="shared" ca="1" si="827"/>
        <v/>
      </c>
    </row>
    <row r="7286" spans="1:10" x14ac:dyDescent="0.25">
      <c r="A7286" t="s">
        <v>953</v>
      </c>
      <c r="B7286" t="str">
        <f>ADDRESS(ROW(DFLoan1!B$11),COLUMN(DFLoan1!B$11),4)</f>
        <v>B11</v>
      </c>
      <c r="C7286" t="str">
        <f>ADDRESS(ROW(DFLoan1!C$11),COLUMN(DFLoan1!C$11),4)</f>
        <v>C11</v>
      </c>
      <c r="D7286" t="b" cm="1">
        <f t="array" aca="1" ref="D7286" ca="1">IF(INDIRECT("'"&amp;A7286&amp;"'!"&amp;B7286)="",FALSE,IF(INDIRECT("'"&amp;A7286&amp;"'!"&amp;B7286)&lt;=INDIRECT("'"&amp;A7286&amp;"'!B$10"),TRUE,FALSE))</f>
        <v>0</v>
      </c>
      <c r="E7286" t="s">
        <v>613</v>
      </c>
      <c r="F7286" t="str">
        <f>INDEX(Lists!I:I,MATCH(Validation!E7286,Lists!G:G,0))</f>
        <v>Error</v>
      </c>
      <c r="G7286" t="str">
        <f>INDEX(Lists!H:H,MATCH(Validation!E7286,Lists!G:G,0))</f>
        <v>Final maturity date must be after the issue date.</v>
      </c>
      <c r="H7286" s="16" t="str">
        <f t="shared" ref="H7286:H7349" ca="1" si="828">IFERROR(IF(OR(NOT(D7286),F7286&lt;&gt;"Error"),"",A7286&amp;CELL("address",INDIRECT(B7286))),"")</f>
        <v/>
      </c>
      <c r="I7286" s="16" t="str">
        <f t="shared" ref="I7286:I7349" ca="1" si="829">IFERROR(IF(NOT(D7286),"",A7286&amp;CELL("address",INDIRECT(C7286))),"")</f>
        <v/>
      </c>
      <c r="J7286" s="17" t="str">
        <f t="shared" ref="J7286:J7349" ca="1" si="830">IFERROR(IF(NOT(D7286),"",A7286),"")</f>
        <v/>
      </c>
    </row>
    <row r="7287" spans="1:10" x14ac:dyDescent="0.25">
      <c r="A7287" t="s">
        <v>954</v>
      </c>
      <c r="B7287" t="str">
        <f>ADDRESS(ROW(DFLoan1!B$11),COLUMN(DFLoan1!B$11),4)</f>
        <v>B11</v>
      </c>
      <c r="C7287" t="str">
        <f>ADDRESS(ROW(DFLoan1!C$11),COLUMN(DFLoan1!C$11),4)</f>
        <v>C11</v>
      </c>
      <c r="D7287" t="b" cm="1">
        <f t="array" aca="1" ref="D7287" ca="1">IF(INDIRECT("'"&amp;A7287&amp;"'!"&amp;B7287)="",FALSE,IF(INDIRECT("'"&amp;A7287&amp;"'!"&amp;B7287)&lt;=INDIRECT("'"&amp;A7287&amp;"'!B$10"),TRUE,FALSE))</f>
        <v>0</v>
      </c>
      <c r="E7287" t="s">
        <v>613</v>
      </c>
      <c r="F7287" t="str">
        <f>INDEX(Lists!I:I,MATCH(Validation!E7287,Lists!G:G,0))</f>
        <v>Error</v>
      </c>
      <c r="G7287" t="str">
        <f>INDEX(Lists!H:H,MATCH(Validation!E7287,Lists!G:G,0))</f>
        <v>Final maturity date must be after the issue date.</v>
      </c>
      <c r="H7287" s="16" t="str">
        <f t="shared" ca="1" si="828"/>
        <v/>
      </c>
      <c r="I7287" s="16" t="str">
        <f t="shared" ca="1" si="829"/>
        <v/>
      </c>
      <c r="J7287" s="17" t="str">
        <f t="shared" ca="1" si="830"/>
        <v/>
      </c>
    </row>
    <row r="7288" spans="1:10" x14ac:dyDescent="0.25">
      <c r="A7288" t="s">
        <v>955</v>
      </c>
      <c r="B7288" t="str">
        <f>ADDRESS(ROW(DFLoan1!B$11),COLUMN(DFLoan1!B$11),4)</f>
        <v>B11</v>
      </c>
      <c r="C7288" t="str">
        <f>ADDRESS(ROW(DFLoan1!C$11),COLUMN(DFLoan1!C$11),4)</f>
        <v>C11</v>
      </c>
      <c r="D7288" t="b" cm="1">
        <f t="array" aca="1" ref="D7288" ca="1">IF(INDIRECT("'"&amp;A7288&amp;"'!"&amp;B7288)="",FALSE,IF(INDIRECT("'"&amp;A7288&amp;"'!"&amp;B7288)&lt;=INDIRECT("'"&amp;A7288&amp;"'!B$10"),TRUE,FALSE))</f>
        <v>0</v>
      </c>
      <c r="E7288" t="s">
        <v>613</v>
      </c>
      <c r="F7288" t="str">
        <f>INDEX(Lists!I:I,MATCH(Validation!E7288,Lists!G:G,0))</f>
        <v>Error</v>
      </c>
      <c r="G7288" t="str">
        <f>INDEX(Lists!H:H,MATCH(Validation!E7288,Lists!G:G,0))</f>
        <v>Final maturity date must be after the issue date.</v>
      </c>
      <c r="H7288" s="16" t="str">
        <f t="shared" ca="1" si="828"/>
        <v/>
      </c>
      <c r="I7288" s="16" t="str">
        <f t="shared" ca="1" si="829"/>
        <v/>
      </c>
      <c r="J7288" s="17" t="str">
        <f t="shared" ca="1" si="830"/>
        <v/>
      </c>
    </row>
    <row r="7289" spans="1:10" x14ac:dyDescent="0.25">
      <c r="A7289" t="s">
        <v>956</v>
      </c>
      <c r="B7289" t="str">
        <f>ADDRESS(ROW(DFLoan1!B$11),COLUMN(DFLoan1!B$11),4)</f>
        <v>B11</v>
      </c>
      <c r="C7289" t="str">
        <f>ADDRESS(ROW(DFLoan1!C$11),COLUMN(DFLoan1!C$11),4)</f>
        <v>C11</v>
      </c>
      <c r="D7289" t="b" cm="1">
        <f t="array" aca="1" ref="D7289" ca="1">IF(INDIRECT("'"&amp;A7289&amp;"'!"&amp;B7289)="",FALSE,IF(INDIRECT("'"&amp;A7289&amp;"'!"&amp;B7289)&lt;=INDIRECT("'"&amp;A7289&amp;"'!B$10"),TRUE,FALSE))</f>
        <v>0</v>
      </c>
      <c r="E7289" t="s">
        <v>613</v>
      </c>
      <c r="F7289" t="str">
        <f>INDEX(Lists!I:I,MATCH(Validation!E7289,Lists!G:G,0))</f>
        <v>Error</v>
      </c>
      <c r="G7289" t="str">
        <f>INDEX(Lists!H:H,MATCH(Validation!E7289,Lists!G:G,0))</f>
        <v>Final maturity date must be after the issue date.</v>
      </c>
      <c r="H7289" s="16" t="str">
        <f t="shared" ca="1" si="828"/>
        <v/>
      </c>
      <c r="I7289" s="16" t="str">
        <f t="shared" ca="1" si="829"/>
        <v/>
      </c>
      <c r="J7289" s="17" t="str">
        <f t="shared" ca="1" si="830"/>
        <v/>
      </c>
    </row>
    <row r="7290" spans="1:10" x14ac:dyDescent="0.25">
      <c r="A7290" t="s">
        <v>957</v>
      </c>
      <c r="B7290" t="str">
        <f>ADDRESS(ROW(DFLoan1!B$11),COLUMN(DFLoan1!B$11),4)</f>
        <v>B11</v>
      </c>
      <c r="C7290" t="str">
        <f>ADDRESS(ROW(DFLoan1!C$11),COLUMN(DFLoan1!C$11),4)</f>
        <v>C11</v>
      </c>
      <c r="D7290" t="b" cm="1">
        <f t="array" aca="1" ref="D7290" ca="1">IF(INDIRECT("'"&amp;A7290&amp;"'!"&amp;B7290)="",FALSE,IF(INDIRECT("'"&amp;A7290&amp;"'!"&amp;B7290)&lt;=INDIRECT("'"&amp;A7290&amp;"'!B$10"),TRUE,FALSE))</f>
        <v>0</v>
      </c>
      <c r="E7290" t="s">
        <v>613</v>
      </c>
      <c r="F7290" t="str">
        <f>INDEX(Lists!I:I,MATCH(Validation!E7290,Lists!G:G,0))</f>
        <v>Error</v>
      </c>
      <c r="G7290" t="str">
        <f>INDEX(Lists!H:H,MATCH(Validation!E7290,Lists!G:G,0))</f>
        <v>Final maturity date must be after the issue date.</v>
      </c>
      <c r="H7290" s="16" t="str">
        <f t="shared" ca="1" si="828"/>
        <v/>
      </c>
      <c r="I7290" s="16" t="str">
        <f t="shared" ca="1" si="829"/>
        <v/>
      </c>
      <c r="J7290" s="17" t="str">
        <f t="shared" ca="1" si="830"/>
        <v/>
      </c>
    </row>
    <row r="7291" spans="1:10" x14ac:dyDescent="0.25">
      <c r="A7291" t="s">
        <v>958</v>
      </c>
      <c r="B7291" t="str">
        <f>ADDRESS(ROW(DFLoan1!B$11),COLUMN(DFLoan1!B$11),4)</f>
        <v>B11</v>
      </c>
      <c r="C7291" t="str">
        <f>ADDRESS(ROW(DFLoan1!C$11),COLUMN(DFLoan1!C$11),4)</f>
        <v>C11</v>
      </c>
      <c r="D7291" t="b" cm="1">
        <f t="array" aca="1" ref="D7291" ca="1">IF(INDIRECT("'"&amp;A7291&amp;"'!"&amp;B7291)="",FALSE,IF(INDIRECT("'"&amp;A7291&amp;"'!"&amp;B7291)&lt;=INDIRECT("'"&amp;A7291&amp;"'!B$10"),TRUE,FALSE))</f>
        <v>0</v>
      </c>
      <c r="E7291" t="s">
        <v>613</v>
      </c>
      <c r="F7291" t="str">
        <f>INDEX(Lists!I:I,MATCH(Validation!E7291,Lists!G:G,0))</f>
        <v>Error</v>
      </c>
      <c r="G7291" t="str">
        <f>INDEX(Lists!H:H,MATCH(Validation!E7291,Lists!G:G,0))</f>
        <v>Final maturity date must be after the issue date.</v>
      </c>
      <c r="H7291" s="16" t="str">
        <f t="shared" ca="1" si="828"/>
        <v/>
      </c>
      <c r="I7291" s="16" t="str">
        <f t="shared" ca="1" si="829"/>
        <v/>
      </c>
      <c r="J7291" s="17" t="str">
        <f t="shared" ca="1" si="830"/>
        <v/>
      </c>
    </row>
    <row r="7292" spans="1:10" x14ac:dyDescent="0.25">
      <c r="A7292" t="s">
        <v>959</v>
      </c>
      <c r="B7292" t="str">
        <f>ADDRESS(ROW(DFLoan1!B$11),COLUMN(DFLoan1!B$11),4)</f>
        <v>B11</v>
      </c>
      <c r="C7292" t="str">
        <f>ADDRESS(ROW(DFLoan1!C$11),COLUMN(DFLoan1!C$11),4)</f>
        <v>C11</v>
      </c>
      <c r="D7292" t="b" cm="1">
        <f t="array" aca="1" ref="D7292" ca="1">IF(INDIRECT("'"&amp;A7292&amp;"'!"&amp;B7292)="",FALSE,IF(INDIRECT("'"&amp;A7292&amp;"'!"&amp;B7292)&lt;=INDIRECT("'"&amp;A7292&amp;"'!B$10"),TRUE,FALSE))</f>
        <v>0</v>
      </c>
      <c r="E7292" t="s">
        <v>613</v>
      </c>
      <c r="F7292" t="str">
        <f>INDEX(Lists!I:I,MATCH(Validation!E7292,Lists!G:G,0))</f>
        <v>Error</v>
      </c>
      <c r="G7292" t="str">
        <f>INDEX(Lists!H:H,MATCH(Validation!E7292,Lists!G:G,0))</f>
        <v>Final maturity date must be after the issue date.</v>
      </c>
      <c r="H7292" s="16" t="str">
        <f t="shared" ca="1" si="828"/>
        <v/>
      </c>
      <c r="I7292" s="16" t="str">
        <f t="shared" ca="1" si="829"/>
        <v/>
      </c>
      <c r="J7292" s="17" t="str">
        <f t="shared" ca="1" si="830"/>
        <v/>
      </c>
    </row>
    <row r="7293" spans="1:10" x14ac:dyDescent="0.25">
      <c r="A7293" t="s">
        <v>960</v>
      </c>
      <c r="B7293" t="str">
        <f>ADDRESS(ROW(DFLoan1!B$11),COLUMN(DFLoan1!B$11),4)</f>
        <v>B11</v>
      </c>
      <c r="C7293" t="str">
        <f>ADDRESS(ROW(DFLoan1!C$11),COLUMN(DFLoan1!C$11),4)</f>
        <v>C11</v>
      </c>
      <c r="D7293" t="b" cm="1">
        <f t="array" aca="1" ref="D7293" ca="1">IF(INDIRECT("'"&amp;A7293&amp;"'!"&amp;B7293)="",FALSE,IF(INDIRECT("'"&amp;A7293&amp;"'!"&amp;B7293)&lt;=INDIRECT("'"&amp;A7293&amp;"'!B$10"),TRUE,FALSE))</f>
        <v>0</v>
      </c>
      <c r="E7293" t="s">
        <v>613</v>
      </c>
      <c r="F7293" t="str">
        <f>INDEX(Lists!I:I,MATCH(Validation!E7293,Lists!G:G,0))</f>
        <v>Error</v>
      </c>
      <c r="G7293" t="str">
        <f>INDEX(Lists!H:H,MATCH(Validation!E7293,Lists!G:G,0))</f>
        <v>Final maturity date must be after the issue date.</v>
      </c>
      <c r="H7293" s="16" t="str">
        <f t="shared" ca="1" si="828"/>
        <v/>
      </c>
      <c r="I7293" s="16" t="str">
        <f t="shared" ca="1" si="829"/>
        <v/>
      </c>
      <c r="J7293" s="17" t="str">
        <f t="shared" ca="1" si="830"/>
        <v/>
      </c>
    </row>
    <row r="7294" spans="1:10" x14ac:dyDescent="0.25">
      <c r="A7294" t="s">
        <v>961</v>
      </c>
      <c r="B7294" t="str">
        <f>ADDRESS(ROW(DFLoan1!B$11),COLUMN(DFLoan1!B$11),4)</f>
        <v>B11</v>
      </c>
      <c r="C7294" t="str">
        <f>ADDRESS(ROW(DFLoan1!C$11),COLUMN(DFLoan1!C$11),4)</f>
        <v>C11</v>
      </c>
      <c r="D7294" t="b" cm="1">
        <f t="array" aca="1" ref="D7294" ca="1">IF(INDIRECT("'"&amp;A7294&amp;"'!"&amp;B7294)="",FALSE,IF(INDIRECT("'"&amp;A7294&amp;"'!"&amp;B7294)&lt;=INDIRECT("'"&amp;A7294&amp;"'!B$10"),TRUE,FALSE))</f>
        <v>0</v>
      </c>
      <c r="E7294" t="s">
        <v>613</v>
      </c>
      <c r="F7294" t="str">
        <f>INDEX(Lists!I:I,MATCH(Validation!E7294,Lists!G:G,0))</f>
        <v>Error</v>
      </c>
      <c r="G7294" t="str">
        <f>INDEX(Lists!H:H,MATCH(Validation!E7294,Lists!G:G,0))</f>
        <v>Final maturity date must be after the issue date.</v>
      </c>
      <c r="H7294" s="16" t="str">
        <f t="shared" ca="1" si="828"/>
        <v/>
      </c>
      <c r="I7294" s="16" t="str">
        <f t="shared" ca="1" si="829"/>
        <v/>
      </c>
      <c r="J7294" s="17" t="str">
        <f t="shared" ca="1" si="830"/>
        <v/>
      </c>
    </row>
    <row r="7295" spans="1:10" x14ac:dyDescent="0.25">
      <c r="A7295" t="s">
        <v>962</v>
      </c>
      <c r="B7295" t="str">
        <f>ADDRESS(ROW(DFLoan1!B$11),COLUMN(DFLoan1!B$11),4)</f>
        <v>B11</v>
      </c>
      <c r="C7295" t="str">
        <f>ADDRESS(ROW(DFLoan1!C$11),COLUMN(DFLoan1!C$11),4)</f>
        <v>C11</v>
      </c>
      <c r="D7295" t="b" cm="1">
        <f t="array" aca="1" ref="D7295" ca="1">IF(INDIRECT("'"&amp;A7295&amp;"'!"&amp;B7295)="",FALSE,IF(INDIRECT("'"&amp;A7295&amp;"'!"&amp;B7295)&lt;=INDIRECT("'"&amp;A7295&amp;"'!B$10"),TRUE,FALSE))</f>
        <v>0</v>
      </c>
      <c r="E7295" t="s">
        <v>613</v>
      </c>
      <c r="F7295" t="str">
        <f>INDEX(Lists!I:I,MATCH(Validation!E7295,Lists!G:G,0))</f>
        <v>Error</v>
      </c>
      <c r="G7295" t="str">
        <f>INDEX(Lists!H:H,MATCH(Validation!E7295,Lists!G:G,0))</f>
        <v>Final maturity date must be after the issue date.</v>
      </c>
      <c r="H7295" s="16" t="str">
        <f t="shared" ca="1" si="828"/>
        <v/>
      </c>
      <c r="I7295" s="16" t="str">
        <f t="shared" ca="1" si="829"/>
        <v/>
      </c>
      <c r="J7295" s="17" t="str">
        <f t="shared" ca="1" si="830"/>
        <v/>
      </c>
    </row>
    <row r="7296" spans="1:10" x14ac:dyDescent="0.25">
      <c r="A7296" t="s">
        <v>963</v>
      </c>
      <c r="B7296" t="str">
        <f>ADDRESS(ROW(DFLoan1!B$11),COLUMN(DFLoan1!B$11),4)</f>
        <v>B11</v>
      </c>
      <c r="C7296" t="str">
        <f>ADDRESS(ROW(DFLoan1!C$11),COLUMN(DFLoan1!C$11),4)</f>
        <v>C11</v>
      </c>
      <c r="D7296" t="b" cm="1">
        <f t="array" aca="1" ref="D7296" ca="1">IF(INDIRECT("'"&amp;A7296&amp;"'!"&amp;B7296)="",FALSE,IF(INDIRECT("'"&amp;A7296&amp;"'!"&amp;B7296)&lt;=INDIRECT("'"&amp;A7296&amp;"'!B$10"),TRUE,FALSE))</f>
        <v>0</v>
      </c>
      <c r="E7296" t="s">
        <v>613</v>
      </c>
      <c r="F7296" t="str">
        <f>INDEX(Lists!I:I,MATCH(Validation!E7296,Lists!G:G,0))</f>
        <v>Error</v>
      </c>
      <c r="G7296" t="str">
        <f>INDEX(Lists!H:H,MATCH(Validation!E7296,Lists!G:G,0))</f>
        <v>Final maturity date must be after the issue date.</v>
      </c>
      <c r="H7296" s="16" t="str">
        <f t="shared" ca="1" si="828"/>
        <v/>
      </c>
      <c r="I7296" s="16" t="str">
        <f t="shared" ca="1" si="829"/>
        <v/>
      </c>
      <c r="J7296" s="17" t="str">
        <f t="shared" ca="1" si="830"/>
        <v/>
      </c>
    </row>
    <row r="7297" spans="1:10" x14ac:dyDescent="0.25">
      <c r="A7297" t="s">
        <v>964</v>
      </c>
      <c r="B7297" t="str">
        <f>ADDRESS(ROW(DFLoan1!B$11),COLUMN(DFLoan1!B$11),4)</f>
        <v>B11</v>
      </c>
      <c r="C7297" t="str">
        <f>ADDRESS(ROW(DFLoan1!C$11),COLUMN(DFLoan1!C$11),4)</f>
        <v>C11</v>
      </c>
      <c r="D7297" t="b" cm="1">
        <f t="array" aca="1" ref="D7297" ca="1">IF(INDIRECT("'"&amp;A7297&amp;"'!"&amp;B7297)="",FALSE,IF(INDIRECT("'"&amp;A7297&amp;"'!"&amp;B7297)&lt;=INDIRECT("'"&amp;A7297&amp;"'!B$10"),TRUE,FALSE))</f>
        <v>0</v>
      </c>
      <c r="E7297" t="s">
        <v>613</v>
      </c>
      <c r="F7297" t="str">
        <f>INDEX(Lists!I:I,MATCH(Validation!E7297,Lists!G:G,0))</f>
        <v>Error</v>
      </c>
      <c r="G7297" t="str">
        <f>INDEX(Lists!H:H,MATCH(Validation!E7297,Lists!G:G,0))</f>
        <v>Final maturity date must be after the issue date.</v>
      </c>
      <c r="H7297" s="16" t="str">
        <f t="shared" ca="1" si="828"/>
        <v/>
      </c>
      <c r="I7297" s="16" t="str">
        <f t="shared" ca="1" si="829"/>
        <v/>
      </c>
      <c r="J7297" s="17" t="str">
        <f t="shared" ca="1" si="830"/>
        <v/>
      </c>
    </row>
    <row r="7298" spans="1:10" x14ac:dyDescent="0.25">
      <c r="A7298" t="s">
        <v>965</v>
      </c>
      <c r="B7298" t="str">
        <f>ADDRESS(ROW(DFLoan1!B$11),COLUMN(DFLoan1!B$11),4)</f>
        <v>B11</v>
      </c>
      <c r="C7298" t="str">
        <f>ADDRESS(ROW(DFLoan1!C$11),COLUMN(DFLoan1!C$11),4)</f>
        <v>C11</v>
      </c>
      <c r="D7298" t="b" cm="1">
        <f t="array" aca="1" ref="D7298" ca="1">IF(INDIRECT("'"&amp;A7298&amp;"'!"&amp;B7298)="",FALSE,IF(INDIRECT("'"&amp;A7298&amp;"'!"&amp;B7298)&lt;=INDIRECT("'"&amp;A7298&amp;"'!B$10"),TRUE,FALSE))</f>
        <v>0</v>
      </c>
      <c r="E7298" t="s">
        <v>613</v>
      </c>
      <c r="F7298" t="str">
        <f>INDEX(Lists!I:I,MATCH(Validation!E7298,Lists!G:G,0))</f>
        <v>Error</v>
      </c>
      <c r="G7298" t="str">
        <f>INDEX(Lists!H:H,MATCH(Validation!E7298,Lists!G:G,0))</f>
        <v>Final maturity date must be after the issue date.</v>
      </c>
      <c r="H7298" s="16" t="str">
        <f t="shared" ca="1" si="828"/>
        <v/>
      </c>
      <c r="I7298" s="16" t="str">
        <f t="shared" ca="1" si="829"/>
        <v/>
      </c>
      <c r="J7298" s="17" t="str">
        <f t="shared" ca="1" si="830"/>
        <v/>
      </c>
    </row>
    <row r="7299" spans="1:10" x14ac:dyDescent="0.25">
      <c r="A7299" t="s">
        <v>966</v>
      </c>
      <c r="B7299" t="str">
        <f>ADDRESS(ROW(DFLoan1!B$11),COLUMN(DFLoan1!B$11),4)</f>
        <v>B11</v>
      </c>
      <c r="C7299" t="str">
        <f>ADDRESS(ROW(DFLoan1!C$11),COLUMN(DFLoan1!C$11),4)</f>
        <v>C11</v>
      </c>
      <c r="D7299" t="b" cm="1">
        <f t="array" aca="1" ref="D7299" ca="1">IF(INDIRECT("'"&amp;A7299&amp;"'!"&amp;B7299)="",FALSE,IF(INDIRECT("'"&amp;A7299&amp;"'!"&amp;B7299)&lt;=INDIRECT("'"&amp;A7299&amp;"'!B$10"),TRUE,FALSE))</f>
        <v>0</v>
      </c>
      <c r="E7299" t="s">
        <v>613</v>
      </c>
      <c r="F7299" t="str">
        <f>INDEX(Lists!I:I,MATCH(Validation!E7299,Lists!G:G,0))</f>
        <v>Error</v>
      </c>
      <c r="G7299" t="str">
        <f>INDEX(Lists!H:H,MATCH(Validation!E7299,Lists!G:G,0))</f>
        <v>Final maturity date must be after the issue date.</v>
      </c>
      <c r="H7299" s="16" t="str">
        <f t="shared" ca="1" si="828"/>
        <v/>
      </c>
      <c r="I7299" s="16" t="str">
        <f t="shared" ca="1" si="829"/>
        <v/>
      </c>
      <c r="J7299" s="17" t="str">
        <f t="shared" ca="1" si="830"/>
        <v/>
      </c>
    </row>
    <row r="7300" spans="1:10" x14ac:dyDescent="0.25">
      <c r="A7300" t="s">
        <v>881</v>
      </c>
      <c r="B7300" t="str">
        <f>ADDRESS(ROW(DFLoan1!B$11),COLUMN(DFLoan1!B$11),4)</f>
        <v>B11</v>
      </c>
      <c r="C7300" t="str">
        <f>ADDRESS(ROW(DFLoan1!C$11),COLUMN(DFLoan1!C$11),4)</f>
        <v>C11</v>
      </c>
      <c r="D7300" t="b" cm="1">
        <f t="array" aca="1" ref="D7300" ca="1">IF(INDIRECT("'"&amp;A7300&amp;"'!"&amp;B7300)="",FALSE,IF(YEAR(INDIRECT("'"&amp;A7300&amp;"'!"&amp;B7300))&gt;YEAR(INDIRECT("'"&amp;A7300&amp;"'!B$10"))+30,TRUE,FALSE))</f>
        <v>0</v>
      </c>
      <c r="E7300" t="s">
        <v>614</v>
      </c>
      <c r="F7300" t="str">
        <f>INDEX(Lists!I:I,MATCH(Validation!E7300,Lists!G:G,0))</f>
        <v>Alert</v>
      </c>
      <c r="G7300" t="str">
        <f>INDEX(Lists!H:H,MATCH(Validation!E7300,Lists!G:G,0))</f>
        <v>Final maturity date exceeds a typical length. Correct entry or explain in comments box.</v>
      </c>
      <c r="H7300" s="16" t="str">
        <f t="shared" ca="1" si="828"/>
        <v/>
      </c>
      <c r="I7300" s="16" t="str">
        <f t="shared" ca="1" si="829"/>
        <v/>
      </c>
      <c r="J7300" s="17" t="str">
        <f t="shared" ca="1" si="830"/>
        <v/>
      </c>
    </row>
    <row r="7301" spans="1:10" x14ac:dyDescent="0.25">
      <c r="A7301" t="s">
        <v>953</v>
      </c>
      <c r="B7301" t="str">
        <f>ADDRESS(ROW(DFLoan1!B$11),COLUMN(DFLoan1!B$11),4)</f>
        <v>B11</v>
      </c>
      <c r="C7301" t="str">
        <f>ADDRESS(ROW(DFLoan1!C$11),COLUMN(DFLoan1!C$11),4)</f>
        <v>C11</v>
      </c>
      <c r="D7301" t="b" cm="1">
        <f t="array" aca="1" ref="D7301" ca="1">IF(INDIRECT("'"&amp;A7301&amp;"'!"&amp;B7301)="",FALSE,IF(YEAR(INDIRECT("'"&amp;A7301&amp;"'!"&amp;B7301))&gt;YEAR(INDIRECT("'"&amp;A7301&amp;"'!B$10"))+30,TRUE,FALSE))</f>
        <v>0</v>
      </c>
      <c r="E7301" t="s">
        <v>614</v>
      </c>
      <c r="F7301" t="str">
        <f>INDEX(Lists!I:I,MATCH(Validation!E7301,Lists!G:G,0))</f>
        <v>Alert</v>
      </c>
      <c r="G7301" t="str">
        <f>INDEX(Lists!H:H,MATCH(Validation!E7301,Lists!G:G,0))</f>
        <v>Final maturity date exceeds a typical length. Correct entry or explain in comments box.</v>
      </c>
      <c r="H7301" s="16" t="str">
        <f t="shared" ca="1" si="828"/>
        <v/>
      </c>
      <c r="I7301" s="16" t="str">
        <f t="shared" ca="1" si="829"/>
        <v/>
      </c>
      <c r="J7301" s="17" t="str">
        <f t="shared" ca="1" si="830"/>
        <v/>
      </c>
    </row>
    <row r="7302" spans="1:10" x14ac:dyDescent="0.25">
      <c r="A7302" t="s">
        <v>954</v>
      </c>
      <c r="B7302" t="str">
        <f>ADDRESS(ROW(DFLoan1!B$11),COLUMN(DFLoan1!B$11),4)</f>
        <v>B11</v>
      </c>
      <c r="C7302" t="str">
        <f>ADDRESS(ROW(DFLoan1!C$11),COLUMN(DFLoan1!C$11),4)</f>
        <v>C11</v>
      </c>
      <c r="D7302" t="b" cm="1">
        <f t="array" aca="1" ref="D7302" ca="1">IF(INDIRECT("'"&amp;A7302&amp;"'!"&amp;B7302)="",FALSE,IF(YEAR(INDIRECT("'"&amp;A7302&amp;"'!"&amp;B7302))&gt;YEAR(INDIRECT("'"&amp;A7302&amp;"'!B$10"))+30,TRUE,FALSE))</f>
        <v>0</v>
      </c>
      <c r="E7302" t="s">
        <v>614</v>
      </c>
      <c r="F7302" t="str">
        <f>INDEX(Lists!I:I,MATCH(Validation!E7302,Lists!G:G,0))</f>
        <v>Alert</v>
      </c>
      <c r="G7302" t="str">
        <f>INDEX(Lists!H:H,MATCH(Validation!E7302,Lists!G:G,0))</f>
        <v>Final maturity date exceeds a typical length. Correct entry or explain in comments box.</v>
      </c>
      <c r="H7302" s="16" t="str">
        <f t="shared" ca="1" si="828"/>
        <v/>
      </c>
      <c r="I7302" s="16" t="str">
        <f t="shared" ca="1" si="829"/>
        <v/>
      </c>
      <c r="J7302" s="17" t="str">
        <f t="shared" ca="1" si="830"/>
        <v/>
      </c>
    </row>
    <row r="7303" spans="1:10" x14ac:dyDescent="0.25">
      <c r="A7303" t="s">
        <v>955</v>
      </c>
      <c r="B7303" t="str">
        <f>ADDRESS(ROW(DFLoan1!B$11),COLUMN(DFLoan1!B$11),4)</f>
        <v>B11</v>
      </c>
      <c r="C7303" t="str">
        <f>ADDRESS(ROW(DFLoan1!C$11),COLUMN(DFLoan1!C$11),4)</f>
        <v>C11</v>
      </c>
      <c r="D7303" t="b" cm="1">
        <f t="array" aca="1" ref="D7303" ca="1">IF(INDIRECT("'"&amp;A7303&amp;"'!"&amp;B7303)="",FALSE,IF(YEAR(INDIRECT("'"&amp;A7303&amp;"'!"&amp;B7303))&gt;YEAR(INDIRECT("'"&amp;A7303&amp;"'!B$10"))+30,TRUE,FALSE))</f>
        <v>0</v>
      </c>
      <c r="E7303" t="s">
        <v>614</v>
      </c>
      <c r="F7303" t="str">
        <f>INDEX(Lists!I:I,MATCH(Validation!E7303,Lists!G:G,0))</f>
        <v>Alert</v>
      </c>
      <c r="G7303" t="str">
        <f>INDEX(Lists!H:H,MATCH(Validation!E7303,Lists!G:G,0))</f>
        <v>Final maturity date exceeds a typical length. Correct entry or explain in comments box.</v>
      </c>
      <c r="H7303" s="16" t="str">
        <f t="shared" ca="1" si="828"/>
        <v/>
      </c>
      <c r="I7303" s="16" t="str">
        <f t="shared" ca="1" si="829"/>
        <v/>
      </c>
      <c r="J7303" s="17" t="str">
        <f t="shared" ca="1" si="830"/>
        <v/>
      </c>
    </row>
    <row r="7304" spans="1:10" x14ac:dyDescent="0.25">
      <c r="A7304" t="s">
        <v>956</v>
      </c>
      <c r="B7304" t="str">
        <f>ADDRESS(ROW(DFLoan1!B$11),COLUMN(DFLoan1!B$11),4)</f>
        <v>B11</v>
      </c>
      <c r="C7304" t="str">
        <f>ADDRESS(ROW(DFLoan1!C$11),COLUMN(DFLoan1!C$11),4)</f>
        <v>C11</v>
      </c>
      <c r="D7304" t="b" cm="1">
        <f t="array" aca="1" ref="D7304" ca="1">IF(INDIRECT("'"&amp;A7304&amp;"'!"&amp;B7304)="",FALSE,IF(YEAR(INDIRECT("'"&amp;A7304&amp;"'!"&amp;B7304))&gt;YEAR(INDIRECT("'"&amp;A7304&amp;"'!B$10"))+30,TRUE,FALSE))</f>
        <v>0</v>
      </c>
      <c r="E7304" t="s">
        <v>614</v>
      </c>
      <c r="F7304" t="str">
        <f>INDEX(Lists!I:I,MATCH(Validation!E7304,Lists!G:G,0))</f>
        <v>Alert</v>
      </c>
      <c r="G7304" t="str">
        <f>INDEX(Lists!H:H,MATCH(Validation!E7304,Lists!G:G,0))</f>
        <v>Final maturity date exceeds a typical length. Correct entry or explain in comments box.</v>
      </c>
      <c r="H7304" s="16" t="str">
        <f t="shared" ca="1" si="828"/>
        <v/>
      </c>
      <c r="I7304" s="16" t="str">
        <f t="shared" ca="1" si="829"/>
        <v/>
      </c>
      <c r="J7304" s="17" t="str">
        <f t="shared" ca="1" si="830"/>
        <v/>
      </c>
    </row>
    <row r="7305" spans="1:10" x14ac:dyDescent="0.25">
      <c r="A7305" t="s">
        <v>957</v>
      </c>
      <c r="B7305" t="str">
        <f>ADDRESS(ROW(DFLoan1!B$11),COLUMN(DFLoan1!B$11),4)</f>
        <v>B11</v>
      </c>
      <c r="C7305" t="str">
        <f>ADDRESS(ROW(DFLoan1!C$11),COLUMN(DFLoan1!C$11),4)</f>
        <v>C11</v>
      </c>
      <c r="D7305" t="b" cm="1">
        <f t="array" aca="1" ref="D7305" ca="1">IF(INDIRECT("'"&amp;A7305&amp;"'!"&amp;B7305)="",FALSE,IF(YEAR(INDIRECT("'"&amp;A7305&amp;"'!"&amp;B7305))&gt;YEAR(INDIRECT("'"&amp;A7305&amp;"'!B$10"))+30,TRUE,FALSE))</f>
        <v>0</v>
      </c>
      <c r="E7305" t="s">
        <v>614</v>
      </c>
      <c r="F7305" t="str">
        <f>INDEX(Lists!I:I,MATCH(Validation!E7305,Lists!G:G,0))</f>
        <v>Alert</v>
      </c>
      <c r="G7305" t="str">
        <f>INDEX(Lists!H:H,MATCH(Validation!E7305,Lists!G:G,0))</f>
        <v>Final maturity date exceeds a typical length. Correct entry or explain in comments box.</v>
      </c>
      <c r="H7305" s="16" t="str">
        <f t="shared" ca="1" si="828"/>
        <v/>
      </c>
      <c r="I7305" s="16" t="str">
        <f t="shared" ca="1" si="829"/>
        <v/>
      </c>
      <c r="J7305" s="17" t="str">
        <f t="shared" ca="1" si="830"/>
        <v/>
      </c>
    </row>
    <row r="7306" spans="1:10" x14ac:dyDescent="0.25">
      <c r="A7306" t="s">
        <v>958</v>
      </c>
      <c r="B7306" t="str">
        <f>ADDRESS(ROW(DFLoan1!B$11),COLUMN(DFLoan1!B$11),4)</f>
        <v>B11</v>
      </c>
      <c r="C7306" t="str">
        <f>ADDRESS(ROW(DFLoan1!C$11),COLUMN(DFLoan1!C$11),4)</f>
        <v>C11</v>
      </c>
      <c r="D7306" t="b" cm="1">
        <f t="array" aca="1" ref="D7306" ca="1">IF(INDIRECT("'"&amp;A7306&amp;"'!"&amp;B7306)="",FALSE,IF(YEAR(INDIRECT("'"&amp;A7306&amp;"'!"&amp;B7306))&gt;YEAR(INDIRECT("'"&amp;A7306&amp;"'!B$10"))+30,TRUE,FALSE))</f>
        <v>0</v>
      </c>
      <c r="E7306" t="s">
        <v>614</v>
      </c>
      <c r="F7306" t="str">
        <f>INDEX(Lists!I:I,MATCH(Validation!E7306,Lists!G:G,0))</f>
        <v>Alert</v>
      </c>
      <c r="G7306" t="str">
        <f>INDEX(Lists!H:H,MATCH(Validation!E7306,Lists!G:G,0))</f>
        <v>Final maturity date exceeds a typical length. Correct entry or explain in comments box.</v>
      </c>
      <c r="H7306" s="16" t="str">
        <f t="shared" ca="1" si="828"/>
        <v/>
      </c>
      <c r="I7306" s="16" t="str">
        <f t="shared" ca="1" si="829"/>
        <v/>
      </c>
      <c r="J7306" s="17" t="str">
        <f t="shared" ca="1" si="830"/>
        <v/>
      </c>
    </row>
    <row r="7307" spans="1:10" x14ac:dyDescent="0.25">
      <c r="A7307" t="s">
        <v>959</v>
      </c>
      <c r="B7307" t="str">
        <f>ADDRESS(ROW(DFLoan1!B$11),COLUMN(DFLoan1!B$11),4)</f>
        <v>B11</v>
      </c>
      <c r="C7307" t="str">
        <f>ADDRESS(ROW(DFLoan1!C$11),COLUMN(DFLoan1!C$11),4)</f>
        <v>C11</v>
      </c>
      <c r="D7307" t="b" cm="1">
        <f t="array" aca="1" ref="D7307" ca="1">IF(INDIRECT("'"&amp;A7307&amp;"'!"&amp;B7307)="",FALSE,IF(YEAR(INDIRECT("'"&amp;A7307&amp;"'!"&amp;B7307))&gt;YEAR(INDIRECT("'"&amp;A7307&amp;"'!B$10"))+30,TRUE,FALSE))</f>
        <v>0</v>
      </c>
      <c r="E7307" t="s">
        <v>614</v>
      </c>
      <c r="F7307" t="str">
        <f>INDEX(Lists!I:I,MATCH(Validation!E7307,Lists!G:G,0))</f>
        <v>Alert</v>
      </c>
      <c r="G7307" t="str">
        <f>INDEX(Lists!H:H,MATCH(Validation!E7307,Lists!G:G,0))</f>
        <v>Final maturity date exceeds a typical length. Correct entry or explain in comments box.</v>
      </c>
      <c r="H7307" s="16" t="str">
        <f t="shared" ca="1" si="828"/>
        <v/>
      </c>
      <c r="I7307" s="16" t="str">
        <f t="shared" ca="1" si="829"/>
        <v/>
      </c>
      <c r="J7307" s="17" t="str">
        <f t="shared" ca="1" si="830"/>
        <v/>
      </c>
    </row>
    <row r="7308" spans="1:10" x14ac:dyDescent="0.25">
      <c r="A7308" t="s">
        <v>960</v>
      </c>
      <c r="B7308" t="str">
        <f>ADDRESS(ROW(DFLoan1!B$11),COLUMN(DFLoan1!B$11),4)</f>
        <v>B11</v>
      </c>
      <c r="C7308" t="str">
        <f>ADDRESS(ROW(DFLoan1!C$11),COLUMN(DFLoan1!C$11),4)</f>
        <v>C11</v>
      </c>
      <c r="D7308" t="b" cm="1">
        <f t="array" aca="1" ref="D7308" ca="1">IF(INDIRECT("'"&amp;A7308&amp;"'!"&amp;B7308)="",FALSE,IF(YEAR(INDIRECT("'"&amp;A7308&amp;"'!"&amp;B7308))&gt;YEAR(INDIRECT("'"&amp;A7308&amp;"'!B$10"))+30,TRUE,FALSE))</f>
        <v>0</v>
      </c>
      <c r="E7308" t="s">
        <v>614</v>
      </c>
      <c r="F7308" t="str">
        <f>INDEX(Lists!I:I,MATCH(Validation!E7308,Lists!G:G,0))</f>
        <v>Alert</v>
      </c>
      <c r="G7308" t="str">
        <f>INDEX(Lists!H:H,MATCH(Validation!E7308,Lists!G:G,0))</f>
        <v>Final maturity date exceeds a typical length. Correct entry or explain in comments box.</v>
      </c>
      <c r="H7308" s="16" t="str">
        <f t="shared" ca="1" si="828"/>
        <v/>
      </c>
      <c r="I7308" s="16" t="str">
        <f t="shared" ca="1" si="829"/>
        <v/>
      </c>
      <c r="J7308" s="17" t="str">
        <f t="shared" ca="1" si="830"/>
        <v/>
      </c>
    </row>
    <row r="7309" spans="1:10" x14ac:dyDescent="0.25">
      <c r="A7309" t="s">
        <v>961</v>
      </c>
      <c r="B7309" t="str">
        <f>ADDRESS(ROW(DFLoan1!B$11),COLUMN(DFLoan1!B$11),4)</f>
        <v>B11</v>
      </c>
      <c r="C7309" t="str">
        <f>ADDRESS(ROW(DFLoan1!C$11),COLUMN(DFLoan1!C$11),4)</f>
        <v>C11</v>
      </c>
      <c r="D7309" t="b" cm="1">
        <f t="array" aca="1" ref="D7309" ca="1">IF(INDIRECT("'"&amp;A7309&amp;"'!"&amp;B7309)="",FALSE,IF(YEAR(INDIRECT("'"&amp;A7309&amp;"'!"&amp;B7309))&gt;YEAR(INDIRECT("'"&amp;A7309&amp;"'!B$10"))+30,TRUE,FALSE))</f>
        <v>0</v>
      </c>
      <c r="E7309" t="s">
        <v>614</v>
      </c>
      <c r="F7309" t="str">
        <f>INDEX(Lists!I:I,MATCH(Validation!E7309,Lists!G:G,0))</f>
        <v>Alert</v>
      </c>
      <c r="G7309" t="str">
        <f>INDEX(Lists!H:H,MATCH(Validation!E7309,Lists!G:G,0))</f>
        <v>Final maturity date exceeds a typical length. Correct entry or explain in comments box.</v>
      </c>
      <c r="H7309" s="16" t="str">
        <f t="shared" ca="1" si="828"/>
        <v/>
      </c>
      <c r="I7309" s="16" t="str">
        <f t="shared" ca="1" si="829"/>
        <v/>
      </c>
      <c r="J7309" s="17" t="str">
        <f t="shared" ca="1" si="830"/>
        <v/>
      </c>
    </row>
    <row r="7310" spans="1:10" x14ac:dyDescent="0.25">
      <c r="A7310" t="s">
        <v>962</v>
      </c>
      <c r="B7310" t="str">
        <f>ADDRESS(ROW(DFLoan1!B$11),COLUMN(DFLoan1!B$11),4)</f>
        <v>B11</v>
      </c>
      <c r="C7310" t="str">
        <f>ADDRESS(ROW(DFLoan1!C$11),COLUMN(DFLoan1!C$11),4)</f>
        <v>C11</v>
      </c>
      <c r="D7310" t="b" cm="1">
        <f t="array" aca="1" ref="D7310" ca="1">IF(INDIRECT("'"&amp;A7310&amp;"'!"&amp;B7310)="",FALSE,IF(YEAR(INDIRECT("'"&amp;A7310&amp;"'!"&amp;B7310))&gt;YEAR(INDIRECT("'"&amp;A7310&amp;"'!B$10"))+30,TRUE,FALSE))</f>
        <v>0</v>
      </c>
      <c r="E7310" t="s">
        <v>614</v>
      </c>
      <c r="F7310" t="str">
        <f>INDEX(Lists!I:I,MATCH(Validation!E7310,Lists!G:G,0))</f>
        <v>Alert</v>
      </c>
      <c r="G7310" t="str">
        <f>INDEX(Lists!H:H,MATCH(Validation!E7310,Lists!G:G,0))</f>
        <v>Final maturity date exceeds a typical length. Correct entry or explain in comments box.</v>
      </c>
      <c r="H7310" s="16" t="str">
        <f t="shared" ca="1" si="828"/>
        <v/>
      </c>
      <c r="I7310" s="16" t="str">
        <f t="shared" ca="1" si="829"/>
        <v/>
      </c>
      <c r="J7310" s="17" t="str">
        <f t="shared" ca="1" si="830"/>
        <v/>
      </c>
    </row>
    <row r="7311" spans="1:10" x14ac:dyDescent="0.25">
      <c r="A7311" t="s">
        <v>963</v>
      </c>
      <c r="B7311" t="str">
        <f>ADDRESS(ROW(DFLoan1!B$11),COLUMN(DFLoan1!B$11),4)</f>
        <v>B11</v>
      </c>
      <c r="C7311" t="str">
        <f>ADDRESS(ROW(DFLoan1!C$11),COLUMN(DFLoan1!C$11),4)</f>
        <v>C11</v>
      </c>
      <c r="D7311" t="b" cm="1">
        <f t="array" aca="1" ref="D7311" ca="1">IF(INDIRECT("'"&amp;A7311&amp;"'!"&amp;B7311)="",FALSE,IF(YEAR(INDIRECT("'"&amp;A7311&amp;"'!"&amp;B7311))&gt;YEAR(INDIRECT("'"&amp;A7311&amp;"'!B$10"))+30,TRUE,FALSE))</f>
        <v>0</v>
      </c>
      <c r="E7311" t="s">
        <v>614</v>
      </c>
      <c r="F7311" t="str">
        <f>INDEX(Lists!I:I,MATCH(Validation!E7311,Lists!G:G,0))</f>
        <v>Alert</v>
      </c>
      <c r="G7311" t="str">
        <f>INDEX(Lists!H:H,MATCH(Validation!E7311,Lists!G:G,0))</f>
        <v>Final maturity date exceeds a typical length. Correct entry or explain in comments box.</v>
      </c>
      <c r="H7311" s="16" t="str">
        <f t="shared" ca="1" si="828"/>
        <v/>
      </c>
      <c r="I7311" s="16" t="str">
        <f t="shared" ca="1" si="829"/>
        <v/>
      </c>
      <c r="J7311" s="17" t="str">
        <f t="shared" ca="1" si="830"/>
        <v/>
      </c>
    </row>
    <row r="7312" spans="1:10" x14ac:dyDescent="0.25">
      <c r="A7312" t="s">
        <v>964</v>
      </c>
      <c r="B7312" t="str">
        <f>ADDRESS(ROW(DFLoan1!B$11),COLUMN(DFLoan1!B$11),4)</f>
        <v>B11</v>
      </c>
      <c r="C7312" t="str">
        <f>ADDRESS(ROW(DFLoan1!C$11),COLUMN(DFLoan1!C$11),4)</f>
        <v>C11</v>
      </c>
      <c r="D7312" t="b" cm="1">
        <f t="array" aca="1" ref="D7312" ca="1">IF(INDIRECT("'"&amp;A7312&amp;"'!"&amp;B7312)="",FALSE,IF(YEAR(INDIRECT("'"&amp;A7312&amp;"'!"&amp;B7312))&gt;YEAR(INDIRECT("'"&amp;A7312&amp;"'!B$10"))+30,TRUE,FALSE))</f>
        <v>0</v>
      </c>
      <c r="E7312" t="s">
        <v>614</v>
      </c>
      <c r="F7312" t="str">
        <f>INDEX(Lists!I:I,MATCH(Validation!E7312,Lists!G:G,0))</f>
        <v>Alert</v>
      </c>
      <c r="G7312" t="str">
        <f>INDEX(Lists!H:H,MATCH(Validation!E7312,Lists!G:G,0))</f>
        <v>Final maturity date exceeds a typical length. Correct entry or explain in comments box.</v>
      </c>
      <c r="H7312" s="16" t="str">
        <f t="shared" ca="1" si="828"/>
        <v/>
      </c>
      <c r="I7312" s="16" t="str">
        <f t="shared" ca="1" si="829"/>
        <v/>
      </c>
      <c r="J7312" s="17" t="str">
        <f t="shared" ca="1" si="830"/>
        <v/>
      </c>
    </row>
    <row r="7313" spans="1:10" x14ac:dyDescent="0.25">
      <c r="A7313" t="s">
        <v>965</v>
      </c>
      <c r="B7313" t="str">
        <f>ADDRESS(ROW(DFLoan1!B$11),COLUMN(DFLoan1!B$11),4)</f>
        <v>B11</v>
      </c>
      <c r="C7313" t="str">
        <f>ADDRESS(ROW(DFLoan1!C$11),COLUMN(DFLoan1!C$11),4)</f>
        <v>C11</v>
      </c>
      <c r="D7313" t="b" cm="1">
        <f t="array" aca="1" ref="D7313" ca="1">IF(INDIRECT("'"&amp;A7313&amp;"'!"&amp;B7313)="",FALSE,IF(YEAR(INDIRECT("'"&amp;A7313&amp;"'!"&amp;B7313))&gt;YEAR(INDIRECT("'"&amp;A7313&amp;"'!B$10"))+30,TRUE,FALSE))</f>
        <v>0</v>
      </c>
      <c r="E7313" t="s">
        <v>614</v>
      </c>
      <c r="F7313" t="str">
        <f>INDEX(Lists!I:I,MATCH(Validation!E7313,Lists!G:G,0))</f>
        <v>Alert</v>
      </c>
      <c r="G7313" t="str">
        <f>INDEX(Lists!H:H,MATCH(Validation!E7313,Lists!G:G,0))</f>
        <v>Final maturity date exceeds a typical length. Correct entry or explain in comments box.</v>
      </c>
      <c r="H7313" s="16" t="str">
        <f t="shared" ca="1" si="828"/>
        <v/>
      </c>
      <c r="I7313" s="16" t="str">
        <f t="shared" ca="1" si="829"/>
        <v/>
      </c>
      <c r="J7313" s="17" t="str">
        <f t="shared" ca="1" si="830"/>
        <v/>
      </c>
    </row>
    <row r="7314" spans="1:10" x14ac:dyDescent="0.25">
      <c r="A7314" t="s">
        <v>966</v>
      </c>
      <c r="B7314" t="str">
        <f>ADDRESS(ROW(DFLoan1!B$11),COLUMN(DFLoan1!B$11),4)</f>
        <v>B11</v>
      </c>
      <c r="C7314" t="str">
        <f>ADDRESS(ROW(DFLoan1!C$11),COLUMN(DFLoan1!C$11),4)</f>
        <v>C11</v>
      </c>
      <c r="D7314" t="b" cm="1">
        <f t="array" aca="1" ref="D7314" ca="1">IF(INDIRECT("'"&amp;A7314&amp;"'!"&amp;B7314)="",FALSE,IF(YEAR(INDIRECT("'"&amp;A7314&amp;"'!"&amp;B7314))&gt;YEAR(INDIRECT("'"&amp;A7314&amp;"'!B$10"))+30,TRUE,FALSE))</f>
        <v>0</v>
      </c>
      <c r="E7314" t="s">
        <v>614</v>
      </c>
      <c r="F7314" t="str">
        <f>INDEX(Lists!I:I,MATCH(Validation!E7314,Lists!G:G,0))</f>
        <v>Alert</v>
      </c>
      <c r="G7314" t="str">
        <f>INDEX(Lists!H:H,MATCH(Validation!E7314,Lists!G:G,0))</f>
        <v>Final maturity date exceeds a typical length. Correct entry or explain in comments box.</v>
      </c>
      <c r="H7314" s="16" t="str">
        <f t="shared" ca="1" si="828"/>
        <v/>
      </c>
      <c r="I7314" s="16" t="str">
        <f t="shared" ca="1" si="829"/>
        <v/>
      </c>
      <c r="J7314" s="17" t="str">
        <f t="shared" ca="1" si="830"/>
        <v/>
      </c>
    </row>
    <row r="7315" spans="1:10" x14ac:dyDescent="0.25">
      <c r="A7315" t="s">
        <v>881</v>
      </c>
      <c r="B7315" t="str">
        <f>ADDRESS(ROW(DFLoan1!B$12),COLUMN(DFLoan1!B$12),4)</f>
        <v>B12</v>
      </c>
      <c r="C7315" t="str">
        <f>ADDRESS(ROW(DFLoan1!C$12),COLUMN(DFLoan1!C$12),4)</f>
        <v>C12</v>
      </c>
      <c r="D7315" t="b" cm="1">
        <f t="array" aca="1" ref="D7315" ca="1">IF(INDIRECT("'"&amp;A7315&amp;"'!"&amp;B7315)="",FALSE,IF(NOT(ISNUMBER(INDIRECT("'"&amp;A7315&amp;"'!"&amp;B7315))),TRUE,FALSE))</f>
        <v>0</v>
      </c>
      <c r="E7315" t="s">
        <v>435</v>
      </c>
      <c r="F7315" t="str">
        <f>INDEX(Lists!I:I,MATCH(Validation!E7315,Lists!G:G,0))</f>
        <v>Error</v>
      </c>
      <c r="G7315" t="str">
        <f>INDEX(Lists!H:H,MATCH(Validation!E7315,Lists!G:G,0))</f>
        <v>Enter an amount only. Do not enter text or spaces.</v>
      </c>
      <c r="H7315" s="16" t="str">
        <f t="shared" ca="1" si="828"/>
        <v/>
      </c>
      <c r="I7315" s="16" t="str">
        <f t="shared" ca="1" si="829"/>
        <v/>
      </c>
      <c r="J7315" s="17" t="str">
        <f t="shared" ca="1" si="830"/>
        <v/>
      </c>
    </row>
    <row r="7316" spans="1:10" x14ac:dyDescent="0.25">
      <c r="A7316" t="s">
        <v>953</v>
      </c>
      <c r="B7316" t="str">
        <f>ADDRESS(ROW(DFLoan1!B$12),COLUMN(DFLoan1!B$12),4)</f>
        <v>B12</v>
      </c>
      <c r="C7316" t="str">
        <f>ADDRESS(ROW(DFLoan1!C$12),COLUMN(DFLoan1!C$12),4)</f>
        <v>C12</v>
      </c>
      <c r="D7316" t="b" cm="1">
        <f t="array" aca="1" ref="D7316" ca="1">IF(INDIRECT("'"&amp;A7316&amp;"'!"&amp;B7316)="",FALSE,IF(NOT(ISNUMBER(INDIRECT("'"&amp;A7316&amp;"'!"&amp;B7316))),TRUE,FALSE))</f>
        <v>0</v>
      </c>
      <c r="E7316" t="s">
        <v>435</v>
      </c>
      <c r="F7316" t="str">
        <f>INDEX(Lists!I:I,MATCH(Validation!E7316,Lists!G:G,0))</f>
        <v>Error</v>
      </c>
      <c r="G7316" t="str">
        <f>INDEX(Lists!H:H,MATCH(Validation!E7316,Lists!G:G,0))</f>
        <v>Enter an amount only. Do not enter text or spaces.</v>
      </c>
      <c r="H7316" s="16" t="str">
        <f t="shared" ca="1" si="828"/>
        <v/>
      </c>
      <c r="I7316" s="16" t="str">
        <f t="shared" ca="1" si="829"/>
        <v/>
      </c>
      <c r="J7316" s="17" t="str">
        <f t="shared" ca="1" si="830"/>
        <v/>
      </c>
    </row>
    <row r="7317" spans="1:10" x14ac:dyDescent="0.25">
      <c r="A7317" t="s">
        <v>954</v>
      </c>
      <c r="B7317" t="str">
        <f>ADDRESS(ROW(DFLoan1!B$12),COLUMN(DFLoan1!B$12),4)</f>
        <v>B12</v>
      </c>
      <c r="C7317" t="str">
        <f>ADDRESS(ROW(DFLoan1!C$12),COLUMN(DFLoan1!C$12),4)</f>
        <v>C12</v>
      </c>
      <c r="D7317" t="b" cm="1">
        <f t="array" aca="1" ref="D7317" ca="1">IF(INDIRECT("'"&amp;A7317&amp;"'!"&amp;B7317)="",FALSE,IF(NOT(ISNUMBER(INDIRECT("'"&amp;A7317&amp;"'!"&amp;B7317))),TRUE,FALSE))</f>
        <v>0</v>
      </c>
      <c r="E7317" t="s">
        <v>435</v>
      </c>
      <c r="F7317" t="str">
        <f>INDEX(Lists!I:I,MATCH(Validation!E7317,Lists!G:G,0))</f>
        <v>Error</v>
      </c>
      <c r="G7317" t="str">
        <f>INDEX(Lists!H:H,MATCH(Validation!E7317,Lists!G:G,0))</f>
        <v>Enter an amount only. Do not enter text or spaces.</v>
      </c>
      <c r="H7317" s="16" t="str">
        <f t="shared" ca="1" si="828"/>
        <v/>
      </c>
      <c r="I7317" s="16" t="str">
        <f t="shared" ca="1" si="829"/>
        <v/>
      </c>
      <c r="J7317" s="17" t="str">
        <f t="shared" ca="1" si="830"/>
        <v/>
      </c>
    </row>
    <row r="7318" spans="1:10" x14ac:dyDescent="0.25">
      <c r="A7318" t="s">
        <v>955</v>
      </c>
      <c r="B7318" t="str">
        <f>ADDRESS(ROW(DFLoan1!B$12),COLUMN(DFLoan1!B$12),4)</f>
        <v>B12</v>
      </c>
      <c r="C7318" t="str">
        <f>ADDRESS(ROW(DFLoan1!C$12),COLUMN(DFLoan1!C$12),4)</f>
        <v>C12</v>
      </c>
      <c r="D7318" t="b" cm="1">
        <f t="array" aca="1" ref="D7318" ca="1">IF(INDIRECT("'"&amp;A7318&amp;"'!"&amp;B7318)="",FALSE,IF(NOT(ISNUMBER(INDIRECT("'"&amp;A7318&amp;"'!"&amp;B7318))),TRUE,FALSE))</f>
        <v>0</v>
      </c>
      <c r="E7318" t="s">
        <v>435</v>
      </c>
      <c r="F7318" t="str">
        <f>INDEX(Lists!I:I,MATCH(Validation!E7318,Lists!G:G,0))</f>
        <v>Error</v>
      </c>
      <c r="G7318" t="str">
        <f>INDEX(Lists!H:H,MATCH(Validation!E7318,Lists!G:G,0))</f>
        <v>Enter an amount only. Do not enter text or spaces.</v>
      </c>
      <c r="H7318" s="16" t="str">
        <f t="shared" ca="1" si="828"/>
        <v/>
      </c>
      <c r="I7318" s="16" t="str">
        <f t="shared" ca="1" si="829"/>
        <v/>
      </c>
      <c r="J7318" s="17" t="str">
        <f t="shared" ca="1" si="830"/>
        <v/>
      </c>
    </row>
    <row r="7319" spans="1:10" x14ac:dyDescent="0.25">
      <c r="A7319" t="s">
        <v>956</v>
      </c>
      <c r="B7319" t="str">
        <f>ADDRESS(ROW(DFLoan1!B$12),COLUMN(DFLoan1!B$12),4)</f>
        <v>B12</v>
      </c>
      <c r="C7319" t="str">
        <f>ADDRESS(ROW(DFLoan1!C$12),COLUMN(DFLoan1!C$12),4)</f>
        <v>C12</v>
      </c>
      <c r="D7319" t="b" cm="1">
        <f t="array" aca="1" ref="D7319" ca="1">IF(INDIRECT("'"&amp;A7319&amp;"'!"&amp;B7319)="",FALSE,IF(NOT(ISNUMBER(INDIRECT("'"&amp;A7319&amp;"'!"&amp;B7319))),TRUE,FALSE))</f>
        <v>0</v>
      </c>
      <c r="E7319" t="s">
        <v>435</v>
      </c>
      <c r="F7319" t="str">
        <f>INDEX(Lists!I:I,MATCH(Validation!E7319,Lists!G:G,0))</f>
        <v>Error</v>
      </c>
      <c r="G7319" t="str">
        <f>INDEX(Lists!H:H,MATCH(Validation!E7319,Lists!G:G,0))</f>
        <v>Enter an amount only. Do not enter text or spaces.</v>
      </c>
      <c r="H7319" s="16" t="str">
        <f t="shared" ca="1" si="828"/>
        <v/>
      </c>
      <c r="I7319" s="16" t="str">
        <f t="shared" ca="1" si="829"/>
        <v/>
      </c>
      <c r="J7319" s="17" t="str">
        <f t="shared" ca="1" si="830"/>
        <v/>
      </c>
    </row>
    <row r="7320" spans="1:10" x14ac:dyDescent="0.25">
      <c r="A7320" t="s">
        <v>957</v>
      </c>
      <c r="B7320" t="str">
        <f>ADDRESS(ROW(DFLoan1!B$12),COLUMN(DFLoan1!B$12),4)</f>
        <v>B12</v>
      </c>
      <c r="C7320" t="str">
        <f>ADDRESS(ROW(DFLoan1!C$12),COLUMN(DFLoan1!C$12),4)</f>
        <v>C12</v>
      </c>
      <c r="D7320" t="b" cm="1">
        <f t="array" aca="1" ref="D7320" ca="1">IF(INDIRECT("'"&amp;A7320&amp;"'!"&amp;B7320)="",FALSE,IF(NOT(ISNUMBER(INDIRECT("'"&amp;A7320&amp;"'!"&amp;B7320))),TRUE,FALSE))</f>
        <v>0</v>
      </c>
      <c r="E7320" t="s">
        <v>435</v>
      </c>
      <c r="F7320" t="str">
        <f>INDEX(Lists!I:I,MATCH(Validation!E7320,Lists!G:G,0))</f>
        <v>Error</v>
      </c>
      <c r="G7320" t="str">
        <f>INDEX(Lists!H:H,MATCH(Validation!E7320,Lists!G:G,0))</f>
        <v>Enter an amount only. Do not enter text or spaces.</v>
      </c>
      <c r="H7320" s="16" t="str">
        <f t="shared" ca="1" si="828"/>
        <v/>
      </c>
      <c r="I7320" s="16" t="str">
        <f t="shared" ca="1" si="829"/>
        <v/>
      </c>
      <c r="J7320" s="17" t="str">
        <f t="shared" ca="1" si="830"/>
        <v/>
      </c>
    </row>
    <row r="7321" spans="1:10" x14ac:dyDescent="0.25">
      <c r="A7321" t="s">
        <v>958</v>
      </c>
      <c r="B7321" t="str">
        <f>ADDRESS(ROW(DFLoan1!B$12),COLUMN(DFLoan1!B$12),4)</f>
        <v>B12</v>
      </c>
      <c r="C7321" t="str">
        <f>ADDRESS(ROW(DFLoan1!C$12),COLUMN(DFLoan1!C$12),4)</f>
        <v>C12</v>
      </c>
      <c r="D7321" t="b" cm="1">
        <f t="array" aca="1" ref="D7321" ca="1">IF(INDIRECT("'"&amp;A7321&amp;"'!"&amp;B7321)="",FALSE,IF(NOT(ISNUMBER(INDIRECT("'"&amp;A7321&amp;"'!"&amp;B7321))),TRUE,FALSE))</f>
        <v>0</v>
      </c>
      <c r="E7321" t="s">
        <v>435</v>
      </c>
      <c r="F7321" t="str">
        <f>INDEX(Lists!I:I,MATCH(Validation!E7321,Lists!G:G,0))</f>
        <v>Error</v>
      </c>
      <c r="G7321" t="str">
        <f>INDEX(Lists!H:H,MATCH(Validation!E7321,Lists!G:G,0))</f>
        <v>Enter an amount only. Do not enter text or spaces.</v>
      </c>
      <c r="H7321" s="16" t="str">
        <f t="shared" ca="1" si="828"/>
        <v/>
      </c>
      <c r="I7321" s="16" t="str">
        <f t="shared" ca="1" si="829"/>
        <v/>
      </c>
      <c r="J7321" s="17" t="str">
        <f t="shared" ca="1" si="830"/>
        <v/>
      </c>
    </row>
    <row r="7322" spans="1:10" x14ac:dyDescent="0.25">
      <c r="A7322" t="s">
        <v>959</v>
      </c>
      <c r="B7322" t="str">
        <f>ADDRESS(ROW(DFLoan1!B$12),COLUMN(DFLoan1!B$12),4)</f>
        <v>B12</v>
      </c>
      <c r="C7322" t="str">
        <f>ADDRESS(ROW(DFLoan1!C$12),COLUMN(DFLoan1!C$12),4)</f>
        <v>C12</v>
      </c>
      <c r="D7322" t="b" cm="1">
        <f t="array" aca="1" ref="D7322" ca="1">IF(INDIRECT("'"&amp;A7322&amp;"'!"&amp;B7322)="",FALSE,IF(NOT(ISNUMBER(INDIRECT("'"&amp;A7322&amp;"'!"&amp;B7322))),TRUE,FALSE))</f>
        <v>0</v>
      </c>
      <c r="E7322" t="s">
        <v>435</v>
      </c>
      <c r="F7322" t="str">
        <f>INDEX(Lists!I:I,MATCH(Validation!E7322,Lists!G:G,0))</f>
        <v>Error</v>
      </c>
      <c r="G7322" t="str">
        <f>INDEX(Lists!H:H,MATCH(Validation!E7322,Lists!G:G,0))</f>
        <v>Enter an amount only. Do not enter text or spaces.</v>
      </c>
      <c r="H7322" s="16" t="str">
        <f t="shared" ca="1" si="828"/>
        <v/>
      </c>
      <c r="I7322" s="16" t="str">
        <f t="shared" ca="1" si="829"/>
        <v/>
      </c>
      <c r="J7322" s="17" t="str">
        <f t="shared" ca="1" si="830"/>
        <v/>
      </c>
    </row>
    <row r="7323" spans="1:10" x14ac:dyDescent="0.25">
      <c r="A7323" t="s">
        <v>960</v>
      </c>
      <c r="B7323" t="str">
        <f>ADDRESS(ROW(DFLoan1!B$12),COLUMN(DFLoan1!B$12),4)</f>
        <v>B12</v>
      </c>
      <c r="C7323" t="str">
        <f>ADDRESS(ROW(DFLoan1!C$12),COLUMN(DFLoan1!C$12),4)</f>
        <v>C12</v>
      </c>
      <c r="D7323" t="b" cm="1">
        <f t="array" aca="1" ref="D7323" ca="1">IF(INDIRECT("'"&amp;A7323&amp;"'!"&amp;B7323)="",FALSE,IF(NOT(ISNUMBER(INDIRECT("'"&amp;A7323&amp;"'!"&amp;B7323))),TRUE,FALSE))</f>
        <v>0</v>
      </c>
      <c r="E7323" t="s">
        <v>435</v>
      </c>
      <c r="F7323" t="str">
        <f>INDEX(Lists!I:I,MATCH(Validation!E7323,Lists!G:G,0))</f>
        <v>Error</v>
      </c>
      <c r="G7323" t="str">
        <f>INDEX(Lists!H:H,MATCH(Validation!E7323,Lists!G:G,0))</f>
        <v>Enter an amount only. Do not enter text or spaces.</v>
      </c>
      <c r="H7323" s="16" t="str">
        <f t="shared" ca="1" si="828"/>
        <v/>
      </c>
      <c r="I7323" s="16" t="str">
        <f t="shared" ca="1" si="829"/>
        <v/>
      </c>
      <c r="J7323" s="17" t="str">
        <f t="shared" ca="1" si="830"/>
        <v/>
      </c>
    </row>
    <row r="7324" spans="1:10" x14ac:dyDescent="0.25">
      <c r="A7324" t="s">
        <v>961</v>
      </c>
      <c r="B7324" t="str">
        <f>ADDRESS(ROW(DFLoan1!B$12),COLUMN(DFLoan1!B$12),4)</f>
        <v>B12</v>
      </c>
      <c r="C7324" t="str">
        <f>ADDRESS(ROW(DFLoan1!C$12),COLUMN(DFLoan1!C$12),4)</f>
        <v>C12</v>
      </c>
      <c r="D7324" t="b" cm="1">
        <f t="array" aca="1" ref="D7324" ca="1">IF(INDIRECT("'"&amp;A7324&amp;"'!"&amp;B7324)="",FALSE,IF(NOT(ISNUMBER(INDIRECT("'"&amp;A7324&amp;"'!"&amp;B7324))),TRUE,FALSE))</f>
        <v>0</v>
      </c>
      <c r="E7324" t="s">
        <v>435</v>
      </c>
      <c r="F7324" t="str">
        <f>INDEX(Lists!I:I,MATCH(Validation!E7324,Lists!G:G,0))</f>
        <v>Error</v>
      </c>
      <c r="G7324" t="str">
        <f>INDEX(Lists!H:H,MATCH(Validation!E7324,Lists!G:G,0))</f>
        <v>Enter an amount only. Do not enter text or spaces.</v>
      </c>
      <c r="H7324" s="16" t="str">
        <f t="shared" ca="1" si="828"/>
        <v/>
      </c>
      <c r="I7324" s="16" t="str">
        <f t="shared" ca="1" si="829"/>
        <v/>
      </c>
      <c r="J7324" s="17" t="str">
        <f t="shared" ca="1" si="830"/>
        <v/>
      </c>
    </row>
    <row r="7325" spans="1:10" x14ac:dyDescent="0.25">
      <c r="A7325" t="s">
        <v>962</v>
      </c>
      <c r="B7325" t="str">
        <f>ADDRESS(ROW(DFLoan1!B$12),COLUMN(DFLoan1!B$12),4)</f>
        <v>B12</v>
      </c>
      <c r="C7325" t="str">
        <f>ADDRESS(ROW(DFLoan1!C$12),COLUMN(DFLoan1!C$12),4)</f>
        <v>C12</v>
      </c>
      <c r="D7325" t="b" cm="1">
        <f t="array" aca="1" ref="D7325" ca="1">IF(INDIRECT("'"&amp;A7325&amp;"'!"&amp;B7325)="",FALSE,IF(NOT(ISNUMBER(INDIRECT("'"&amp;A7325&amp;"'!"&amp;B7325))),TRUE,FALSE))</f>
        <v>0</v>
      </c>
      <c r="E7325" t="s">
        <v>435</v>
      </c>
      <c r="F7325" t="str">
        <f>INDEX(Lists!I:I,MATCH(Validation!E7325,Lists!G:G,0))</f>
        <v>Error</v>
      </c>
      <c r="G7325" t="str">
        <f>INDEX(Lists!H:H,MATCH(Validation!E7325,Lists!G:G,0))</f>
        <v>Enter an amount only. Do not enter text or spaces.</v>
      </c>
      <c r="H7325" s="16" t="str">
        <f t="shared" ca="1" si="828"/>
        <v/>
      </c>
      <c r="I7325" s="16" t="str">
        <f t="shared" ca="1" si="829"/>
        <v/>
      </c>
      <c r="J7325" s="17" t="str">
        <f t="shared" ca="1" si="830"/>
        <v/>
      </c>
    </row>
    <row r="7326" spans="1:10" x14ac:dyDescent="0.25">
      <c r="A7326" t="s">
        <v>963</v>
      </c>
      <c r="B7326" t="str">
        <f>ADDRESS(ROW(DFLoan1!B$12),COLUMN(DFLoan1!B$12),4)</f>
        <v>B12</v>
      </c>
      <c r="C7326" t="str">
        <f>ADDRESS(ROW(DFLoan1!C$12),COLUMN(DFLoan1!C$12),4)</f>
        <v>C12</v>
      </c>
      <c r="D7326" t="b" cm="1">
        <f t="array" aca="1" ref="D7326" ca="1">IF(INDIRECT("'"&amp;A7326&amp;"'!"&amp;B7326)="",FALSE,IF(NOT(ISNUMBER(INDIRECT("'"&amp;A7326&amp;"'!"&amp;B7326))),TRUE,FALSE))</f>
        <v>0</v>
      </c>
      <c r="E7326" t="s">
        <v>435</v>
      </c>
      <c r="F7326" t="str">
        <f>INDEX(Lists!I:I,MATCH(Validation!E7326,Lists!G:G,0))</f>
        <v>Error</v>
      </c>
      <c r="G7326" t="str">
        <f>INDEX(Lists!H:H,MATCH(Validation!E7326,Lists!G:G,0))</f>
        <v>Enter an amount only. Do not enter text or spaces.</v>
      </c>
      <c r="H7326" s="16" t="str">
        <f t="shared" ca="1" si="828"/>
        <v/>
      </c>
      <c r="I7326" s="16" t="str">
        <f t="shared" ca="1" si="829"/>
        <v/>
      </c>
      <c r="J7326" s="17" t="str">
        <f t="shared" ca="1" si="830"/>
        <v/>
      </c>
    </row>
    <row r="7327" spans="1:10" x14ac:dyDescent="0.25">
      <c r="A7327" t="s">
        <v>964</v>
      </c>
      <c r="B7327" t="str">
        <f>ADDRESS(ROW(DFLoan1!B$12),COLUMN(DFLoan1!B$12),4)</f>
        <v>B12</v>
      </c>
      <c r="C7327" t="str">
        <f>ADDRESS(ROW(DFLoan1!C$12),COLUMN(DFLoan1!C$12),4)</f>
        <v>C12</v>
      </c>
      <c r="D7327" t="b" cm="1">
        <f t="array" aca="1" ref="D7327" ca="1">IF(INDIRECT("'"&amp;A7327&amp;"'!"&amp;B7327)="",FALSE,IF(NOT(ISNUMBER(INDIRECT("'"&amp;A7327&amp;"'!"&amp;B7327))),TRUE,FALSE))</f>
        <v>0</v>
      </c>
      <c r="E7327" t="s">
        <v>435</v>
      </c>
      <c r="F7327" t="str">
        <f>INDEX(Lists!I:I,MATCH(Validation!E7327,Lists!G:G,0))</f>
        <v>Error</v>
      </c>
      <c r="G7327" t="str">
        <f>INDEX(Lists!H:H,MATCH(Validation!E7327,Lists!G:G,0))</f>
        <v>Enter an amount only. Do not enter text or spaces.</v>
      </c>
      <c r="H7327" s="16" t="str">
        <f t="shared" ca="1" si="828"/>
        <v/>
      </c>
      <c r="I7327" s="16" t="str">
        <f t="shared" ca="1" si="829"/>
        <v/>
      </c>
      <c r="J7327" s="17" t="str">
        <f t="shared" ca="1" si="830"/>
        <v/>
      </c>
    </row>
    <row r="7328" spans="1:10" x14ac:dyDescent="0.25">
      <c r="A7328" t="s">
        <v>965</v>
      </c>
      <c r="B7328" t="str">
        <f>ADDRESS(ROW(DFLoan1!B$12),COLUMN(DFLoan1!B$12),4)</f>
        <v>B12</v>
      </c>
      <c r="C7328" t="str">
        <f>ADDRESS(ROW(DFLoan1!C$12),COLUMN(DFLoan1!C$12),4)</f>
        <v>C12</v>
      </c>
      <c r="D7328" t="b" cm="1">
        <f t="array" aca="1" ref="D7328" ca="1">IF(INDIRECT("'"&amp;A7328&amp;"'!"&amp;B7328)="",FALSE,IF(NOT(ISNUMBER(INDIRECT("'"&amp;A7328&amp;"'!"&amp;B7328))),TRUE,FALSE))</f>
        <v>0</v>
      </c>
      <c r="E7328" t="s">
        <v>435</v>
      </c>
      <c r="F7328" t="str">
        <f>INDEX(Lists!I:I,MATCH(Validation!E7328,Lists!G:G,0))</f>
        <v>Error</v>
      </c>
      <c r="G7328" t="str">
        <f>INDEX(Lists!H:H,MATCH(Validation!E7328,Lists!G:G,0))</f>
        <v>Enter an amount only. Do not enter text or spaces.</v>
      </c>
      <c r="H7328" s="16" t="str">
        <f t="shared" ca="1" si="828"/>
        <v/>
      </c>
      <c r="I7328" s="16" t="str">
        <f t="shared" ca="1" si="829"/>
        <v/>
      </c>
      <c r="J7328" s="17" t="str">
        <f t="shared" ca="1" si="830"/>
        <v/>
      </c>
    </row>
    <row r="7329" spans="1:10" x14ac:dyDescent="0.25">
      <c r="A7329" t="s">
        <v>966</v>
      </c>
      <c r="B7329" t="str">
        <f>ADDRESS(ROW(DFLoan1!B$12),COLUMN(DFLoan1!B$12),4)</f>
        <v>B12</v>
      </c>
      <c r="C7329" t="str">
        <f>ADDRESS(ROW(DFLoan1!C$12),COLUMN(DFLoan1!C$12),4)</f>
        <v>C12</v>
      </c>
      <c r="D7329" t="b" cm="1">
        <f t="array" aca="1" ref="D7329" ca="1">IF(INDIRECT("'"&amp;A7329&amp;"'!"&amp;B7329)="",FALSE,IF(NOT(ISNUMBER(INDIRECT("'"&amp;A7329&amp;"'!"&amp;B7329))),TRUE,FALSE))</f>
        <v>0</v>
      </c>
      <c r="E7329" t="s">
        <v>435</v>
      </c>
      <c r="F7329" t="str">
        <f>INDEX(Lists!I:I,MATCH(Validation!E7329,Lists!G:G,0))</f>
        <v>Error</v>
      </c>
      <c r="G7329" t="str">
        <f>INDEX(Lists!H:H,MATCH(Validation!E7329,Lists!G:G,0))</f>
        <v>Enter an amount only. Do not enter text or spaces.</v>
      </c>
      <c r="H7329" s="16" t="str">
        <f t="shared" ca="1" si="828"/>
        <v/>
      </c>
      <c r="I7329" s="16" t="str">
        <f t="shared" ca="1" si="829"/>
        <v/>
      </c>
      <c r="J7329" s="17" t="str">
        <f t="shared" ca="1" si="830"/>
        <v/>
      </c>
    </row>
    <row r="7330" spans="1:10" x14ac:dyDescent="0.25">
      <c r="A7330" t="s">
        <v>881</v>
      </c>
      <c r="B7330" t="str">
        <f>ADDRESS(ROW(DFLoan1!B$12),COLUMN(DFLoan1!B$12),4)</f>
        <v>B12</v>
      </c>
      <c r="C7330" t="str">
        <f>ADDRESS(ROW(DFLoan1!C$12),COLUMN(DFLoan1!C$12),4)</f>
        <v>C12</v>
      </c>
      <c r="D7330" t="b" cm="1">
        <f t="array" aca="1" ref="D7330" ca="1">IF(INDIRECT("'"&amp;A7330&amp;"'!"&amp;B7330)="",FALSE,IF(INDIRECT("'"&amp;A7330&amp;"'!"&amp;B7330)&lt;0,TRUE,FALSE))</f>
        <v>0</v>
      </c>
      <c r="E7330" t="s">
        <v>760</v>
      </c>
      <c r="F7330" t="str">
        <f>INDEX(Lists!I:I,MATCH(Validation!E7330,Lists!G:G,0))</f>
        <v>Error</v>
      </c>
      <c r="G7330" t="str">
        <f>INDEX(Lists!H:H,MATCH(Validation!E7330,Lists!G:G,0))</f>
        <v>Low interest rate must be greater than or equal to zero.</v>
      </c>
      <c r="H7330" s="16" t="str">
        <f t="shared" ca="1" si="828"/>
        <v/>
      </c>
      <c r="I7330" s="16" t="str">
        <f t="shared" ca="1" si="829"/>
        <v/>
      </c>
      <c r="J7330" s="17" t="str">
        <f t="shared" ca="1" si="830"/>
        <v/>
      </c>
    </row>
    <row r="7331" spans="1:10" x14ac:dyDescent="0.25">
      <c r="A7331" t="s">
        <v>953</v>
      </c>
      <c r="B7331" t="str">
        <f>ADDRESS(ROW(DFLoan1!B$12),COLUMN(DFLoan1!B$12),4)</f>
        <v>B12</v>
      </c>
      <c r="C7331" t="str">
        <f>ADDRESS(ROW(DFLoan1!C$12),COLUMN(DFLoan1!C$12),4)</f>
        <v>C12</v>
      </c>
      <c r="D7331" t="b" cm="1">
        <f t="array" aca="1" ref="D7331" ca="1">IF(INDIRECT("'"&amp;A7331&amp;"'!"&amp;B7331)="",FALSE,IF(INDIRECT("'"&amp;A7331&amp;"'!"&amp;B7331)&lt;0,TRUE,FALSE))</f>
        <v>0</v>
      </c>
      <c r="E7331" t="s">
        <v>760</v>
      </c>
      <c r="F7331" t="str">
        <f>INDEX(Lists!I:I,MATCH(Validation!E7331,Lists!G:G,0))</f>
        <v>Error</v>
      </c>
      <c r="G7331" t="str">
        <f>INDEX(Lists!H:H,MATCH(Validation!E7331,Lists!G:G,0))</f>
        <v>Low interest rate must be greater than or equal to zero.</v>
      </c>
      <c r="H7331" s="16" t="str">
        <f t="shared" ca="1" si="828"/>
        <v/>
      </c>
      <c r="I7331" s="16" t="str">
        <f t="shared" ca="1" si="829"/>
        <v/>
      </c>
      <c r="J7331" s="17" t="str">
        <f t="shared" ca="1" si="830"/>
        <v/>
      </c>
    </row>
    <row r="7332" spans="1:10" x14ac:dyDescent="0.25">
      <c r="A7332" t="s">
        <v>954</v>
      </c>
      <c r="B7332" t="str">
        <f>ADDRESS(ROW(DFLoan1!B$12),COLUMN(DFLoan1!B$12),4)</f>
        <v>B12</v>
      </c>
      <c r="C7332" t="str">
        <f>ADDRESS(ROW(DFLoan1!C$12),COLUMN(DFLoan1!C$12),4)</f>
        <v>C12</v>
      </c>
      <c r="D7332" t="b" cm="1">
        <f t="array" aca="1" ref="D7332" ca="1">IF(INDIRECT("'"&amp;A7332&amp;"'!"&amp;B7332)="",FALSE,IF(INDIRECT("'"&amp;A7332&amp;"'!"&amp;B7332)&lt;0,TRUE,FALSE))</f>
        <v>0</v>
      </c>
      <c r="E7332" t="s">
        <v>760</v>
      </c>
      <c r="F7332" t="str">
        <f>INDEX(Lists!I:I,MATCH(Validation!E7332,Lists!G:G,0))</f>
        <v>Error</v>
      </c>
      <c r="G7332" t="str">
        <f>INDEX(Lists!H:H,MATCH(Validation!E7332,Lists!G:G,0))</f>
        <v>Low interest rate must be greater than or equal to zero.</v>
      </c>
      <c r="H7332" s="16" t="str">
        <f t="shared" ca="1" si="828"/>
        <v/>
      </c>
      <c r="I7332" s="16" t="str">
        <f t="shared" ca="1" si="829"/>
        <v/>
      </c>
      <c r="J7332" s="17" t="str">
        <f t="shared" ca="1" si="830"/>
        <v/>
      </c>
    </row>
    <row r="7333" spans="1:10" x14ac:dyDescent="0.25">
      <c r="A7333" t="s">
        <v>955</v>
      </c>
      <c r="B7333" t="str">
        <f>ADDRESS(ROW(DFLoan1!B$12),COLUMN(DFLoan1!B$12),4)</f>
        <v>B12</v>
      </c>
      <c r="C7333" t="str">
        <f>ADDRESS(ROW(DFLoan1!C$12),COLUMN(DFLoan1!C$12),4)</f>
        <v>C12</v>
      </c>
      <c r="D7333" t="b" cm="1">
        <f t="array" aca="1" ref="D7333" ca="1">IF(INDIRECT("'"&amp;A7333&amp;"'!"&amp;B7333)="",FALSE,IF(INDIRECT("'"&amp;A7333&amp;"'!"&amp;B7333)&lt;0,TRUE,FALSE))</f>
        <v>0</v>
      </c>
      <c r="E7333" t="s">
        <v>760</v>
      </c>
      <c r="F7333" t="str">
        <f>INDEX(Lists!I:I,MATCH(Validation!E7333,Lists!G:G,0))</f>
        <v>Error</v>
      </c>
      <c r="G7333" t="str">
        <f>INDEX(Lists!H:H,MATCH(Validation!E7333,Lists!G:G,0))</f>
        <v>Low interest rate must be greater than or equal to zero.</v>
      </c>
      <c r="H7333" s="16" t="str">
        <f t="shared" ca="1" si="828"/>
        <v/>
      </c>
      <c r="I7333" s="16" t="str">
        <f t="shared" ca="1" si="829"/>
        <v/>
      </c>
      <c r="J7333" s="17" t="str">
        <f t="shared" ca="1" si="830"/>
        <v/>
      </c>
    </row>
    <row r="7334" spans="1:10" x14ac:dyDescent="0.25">
      <c r="A7334" t="s">
        <v>956</v>
      </c>
      <c r="B7334" t="str">
        <f>ADDRESS(ROW(DFLoan1!B$12),COLUMN(DFLoan1!B$12),4)</f>
        <v>B12</v>
      </c>
      <c r="C7334" t="str">
        <f>ADDRESS(ROW(DFLoan1!C$12),COLUMN(DFLoan1!C$12),4)</f>
        <v>C12</v>
      </c>
      <c r="D7334" t="b" cm="1">
        <f t="array" aca="1" ref="D7334" ca="1">IF(INDIRECT("'"&amp;A7334&amp;"'!"&amp;B7334)="",FALSE,IF(INDIRECT("'"&amp;A7334&amp;"'!"&amp;B7334)&lt;0,TRUE,FALSE))</f>
        <v>0</v>
      </c>
      <c r="E7334" t="s">
        <v>760</v>
      </c>
      <c r="F7334" t="str">
        <f>INDEX(Lists!I:I,MATCH(Validation!E7334,Lists!G:G,0))</f>
        <v>Error</v>
      </c>
      <c r="G7334" t="str">
        <f>INDEX(Lists!H:H,MATCH(Validation!E7334,Lists!G:G,0))</f>
        <v>Low interest rate must be greater than or equal to zero.</v>
      </c>
      <c r="H7334" s="16" t="str">
        <f t="shared" ca="1" si="828"/>
        <v/>
      </c>
      <c r="I7334" s="16" t="str">
        <f t="shared" ca="1" si="829"/>
        <v/>
      </c>
      <c r="J7334" s="17" t="str">
        <f t="shared" ca="1" si="830"/>
        <v/>
      </c>
    </row>
    <row r="7335" spans="1:10" x14ac:dyDescent="0.25">
      <c r="A7335" t="s">
        <v>957</v>
      </c>
      <c r="B7335" t="str">
        <f>ADDRESS(ROW(DFLoan1!B$12),COLUMN(DFLoan1!B$12),4)</f>
        <v>B12</v>
      </c>
      <c r="C7335" t="str">
        <f>ADDRESS(ROW(DFLoan1!C$12),COLUMN(DFLoan1!C$12),4)</f>
        <v>C12</v>
      </c>
      <c r="D7335" t="b" cm="1">
        <f t="array" aca="1" ref="D7335" ca="1">IF(INDIRECT("'"&amp;A7335&amp;"'!"&amp;B7335)="",FALSE,IF(INDIRECT("'"&amp;A7335&amp;"'!"&amp;B7335)&lt;0,TRUE,FALSE))</f>
        <v>0</v>
      </c>
      <c r="E7335" t="s">
        <v>760</v>
      </c>
      <c r="F7335" t="str">
        <f>INDEX(Lists!I:I,MATCH(Validation!E7335,Lists!G:G,0))</f>
        <v>Error</v>
      </c>
      <c r="G7335" t="str">
        <f>INDEX(Lists!H:H,MATCH(Validation!E7335,Lists!G:G,0))</f>
        <v>Low interest rate must be greater than or equal to zero.</v>
      </c>
      <c r="H7335" s="16" t="str">
        <f t="shared" ca="1" si="828"/>
        <v/>
      </c>
      <c r="I7335" s="16" t="str">
        <f t="shared" ca="1" si="829"/>
        <v/>
      </c>
      <c r="J7335" s="17" t="str">
        <f t="shared" ca="1" si="830"/>
        <v/>
      </c>
    </row>
    <row r="7336" spans="1:10" x14ac:dyDescent="0.25">
      <c r="A7336" t="s">
        <v>958</v>
      </c>
      <c r="B7336" t="str">
        <f>ADDRESS(ROW(DFLoan1!B$12),COLUMN(DFLoan1!B$12),4)</f>
        <v>B12</v>
      </c>
      <c r="C7336" t="str">
        <f>ADDRESS(ROW(DFLoan1!C$12),COLUMN(DFLoan1!C$12),4)</f>
        <v>C12</v>
      </c>
      <c r="D7336" t="b" cm="1">
        <f t="array" aca="1" ref="D7336" ca="1">IF(INDIRECT("'"&amp;A7336&amp;"'!"&amp;B7336)="",FALSE,IF(INDIRECT("'"&amp;A7336&amp;"'!"&amp;B7336)&lt;0,TRUE,FALSE))</f>
        <v>0</v>
      </c>
      <c r="E7336" t="s">
        <v>760</v>
      </c>
      <c r="F7336" t="str">
        <f>INDEX(Lists!I:I,MATCH(Validation!E7336,Lists!G:G,0))</f>
        <v>Error</v>
      </c>
      <c r="G7336" t="str">
        <f>INDEX(Lists!H:H,MATCH(Validation!E7336,Lists!G:G,0))</f>
        <v>Low interest rate must be greater than or equal to zero.</v>
      </c>
      <c r="H7336" s="16" t="str">
        <f t="shared" ca="1" si="828"/>
        <v/>
      </c>
      <c r="I7336" s="16" t="str">
        <f t="shared" ca="1" si="829"/>
        <v/>
      </c>
      <c r="J7336" s="17" t="str">
        <f t="shared" ca="1" si="830"/>
        <v/>
      </c>
    </row>
    <row r="7337" spans="1:10" x14ac:dyDescent="0.25">
      <c r="A7337" t="s">
        <v>959</v>
      </c>
      <c r="B7337" t="str">
        <f>ADDRESS(ROW(DFLoan1!B$12),COLUMN(DFLoan1!B$12),4)</f>
        <v>B12</v>
      </c>
      <c r="C7337" t="str">
        <f>ADDRESS(ROW(DFLoan1!C$12),COLUMN(DFLoan1!C$12),4)</f>
        <v>C12</v>
      </c>
      <c r="D7337" t="b" cm="1">
        <f t="array" aca="1" ref="D7337" ca="1">IF(INDIRECT("'"&amp;A7337&amp;"'!"&amp;B7337)="",FALSE,IF(INDIRECT("'"&amp;A7337&amp;"'!"&amp;B7337)&lt;0,TRUE,FALSE))</f>
        <v>0</v>
      </c>
      <c r="E7337" t="s">
        <v>760</v>
      </c>
      <c r="F7337" t="str">
        <f>INDEX(Lists!I:I,MATCH(Validation!E7337,Lists!G:G,0))</f>
        <v>Error</v>
      </c>
      <c r="G7337" t="str">
        <f>INDEX(Lists!H:H,MATCH(Validation!E7337,Lists!G:G,0))</f>
        <v>Low interest rate must be greater than or equal to zero.</v>
      </c>
      <c r="H7337" s="16" t="str">
        <f t="shared" ca="1" si="828"/>
        <v/>
      </c>
      <c r="I7337" s="16" t="str">
        <f t="shared" ca="1" si="829"/>
        <v/>
      </c>
      <c r="J7337" s="17" t="str">
        <f t="shared" ca="1" si="830"/>
        <v/>
      </c>
    </row>
    <row r="7338" spans="1:10" x14ac:dyDescent="0.25">
      <c r="A7338" t="s">
        <v>960</v>
      </c>
      <c r="B7338" t="str">
        <f>ADDRESS(ROW(DFLoan1!B$12),COLUMN(DFLoan1!B$12),4)</f>
        <v>B12</v>
      </c>
      <c r="C7338" t="str">
        <f>ADDRESS(ROW(DFLoan1!C$12),COLUMN(DFLoan1!C$12),4)</f>
        <v>C12</v>
      </c>
      <c r="D7338" t="b" cm="1">
        <f t="array" aca="1" ref="D7338" ca="1">IF(INDIRECT("'"&amp;A7338&amp;"'!"&amp;B7338)="",FALSE,IF(INDIRECT("'"&amp;A7338&amp;"'!"&amp;B7338)&lt;0,TRUE,FALSE))</f>
        <v>0</v>
      </c>
      <c r="E7338" t="s">
        <v>760</v>
      </c>
      <c r="F7338" t="str">
        <f>INDEX(Lists!I:I,MATCH(Validation!E7338,Lists!G:G,0))</f>
        <v>Error</v>
      </c>
      <c r="G7338" t="str">
        <f>INDEX(Lists!H:H,MATCH(Validation!E7338,Lists!G:G,0))</f>
        <v>Low interest rate must be greater than or equal to zero.</v>
      </c>
      <c r="H7338" s="16" t="str">
        <f t="shared" ca="1" si="828"/>
        <v/>
      </c>
      <c r="I7338" s="16" t="str">
        <f t="shared" ca="1" si="829"/>
        <v/>
      </c>
      <c r="J7338" s="17" t="str">
        <f t="shared" ca="1" si="830"/>
        <v/>
      </c>
    </row>
    <row r="7339" spans="1:10" x14ac:dyDescent="0.25">
      <c r="A7339" t="s">
        <v>961</v>
      </c>
      <c r="B7339" t="str">
        <f>ADDRESS(ROW(DFLoan1!B$12),COLUMN(DFLoan1!B$12),4)</f>
        <v>B12</v>
      </c>
      <c r="C7339" t="str">
        <f>ADDRESS(ROW(DFLoan1!C$12),COLUMN(DFLoan1!C$12),4)</f>
        <v>C12</v>
      </c>
      <c r="D7339" t="b" cm="1">
        <f t="array" aca="1" ref="D7339" ca="1">IF(INDIRECT("'"&amp;A7339&amp;"'!"&amp;B7339)="",FALSE,IF(INDIRECT("'"&amp;A7339&amp;"'!"&amp;B7339)&lt;0,TRUE,FALSE))</f>
        <v>0</v>
      </c>
      <c r="E7339" t="s">
        <v>760</v>
      </c>
      <c r="F7339" t="str">
        <f>INDEX(Lists!I:I,MATCH(Validation!E7339,Lists!G:G,0))</f>
        <v>Error</v>
      </c>
      <c r="G7339" t="str">
        <f>INDEX(Lists!H:H,MATCH(Validation!E7339,Lists!G:G,0))</f>
        <v>Low interest rate must be greater than or equal to zero.</v>
      </c>
      <c r="H7339" s="16" t="str">
        <f t="shared" ca="1" si="828"/>
        <v/>
      </c>
      <c r="I7339" s="16" t="str">
        <f t="shared" ca="1" si="829"/>
        <v/>
      </c>
      <c r="J7339" s="17" t="str">
        <f t="shared" ca="1" si="830"/>
        <v/>
      </c>
    </row>
    <row r="7340" spans="1:10" x14ac:dyDescent="0.25">
      <c r="A7340" t="s">
        <v>962</v>
      </c>
      <c r="B7340" t="str">
        <f>ADDRESS(ROW(DFLoan1!B$12),COLUMN(DFLoan1!B$12),4)</f>
        <v>B12</v>
      </c>
      <c r="C7340" t="str">
        <f>ADDRESS(ROW(DFLoan1!C$12),COLUMN(DFLoan1!C$12),4)</f>
        <v>C12</v>
      </c>
      <c r="D7340" t="b" cm="1">
        <f t="array" aca="1" ref="D7340" ca="1">IF(INDIRECT("'"&amp;A7340&amp;"'!"&amp;B7340)="",FALSE,IF(INDIRECT("'"&amp;A7340&amp;"'!"&amp;B7340)&lt;0,TRUE,FALSE))</f>
        <v>0</v>
      </c>
      <c r="E7340" t="s">
        <v>760</v>
      </c>
      <c r="F7340" t="str">
        <f>INDEX(Lists!I:I,MATCH(Validation!E7340,Lists!G:G,0))</f>
        <v>Error</v>
      </c>
      <c r="G7340" t="str">
        <f>INDEX(Lists!H:H,MATCH(Validation!E7340,Lists!G:G,0))</f>
        <v>Low interest rate must be greater than or equal to zero.</v>
      </c>
      <c r="H7340" s="16" t="str">
        <f t="shared" ca="1" si="828"/>
        <v/>
      </c>
      <c r="I7340" s="16" t="str">
        <f t="shared" ca="1" si="829"/>
        <v/>
      </c>
      <c r="J7340" s="17" t="str">
        <f t="shared" ca="1" si="830"/>
        <v/>
      </c>
    </row>
    <row r="7341" spans="1:10" x14ac:dyDescent="0.25">
      <c r="A7341" t="s">
        <v>963</v>
      </c>
      <c r="B7341" t="str">
        <f>ADDRESS(ROW(DFLoan1!B$12),COLUMN(DFLoan1!B$12),4)</f>
        <v>B12</v>
      </c>
      <c r="C7341" t="str">
        <f>ADDRESS(ROW(DFLoan1!C$12),COLUMN(DFLoan1!C$12),4)</f>
        <v>C12</v>
      </c>
      <c r="D7341" t="b" cm="1">
        <f t="array" aca="1" ref="D7341" ca="1">IF(INDIRECT("'"&amp;A7341&amp;"'!"&amp;B7341)="",FALSE,IF(INDIRECT("'"&amp;A7341&amp;"'!"&amp;B7341)&lt;0,TRUE,FALSE))</f>
        <v>0</v>
      </c>
      <c r="E7341" t="s">
        <v>760</v>
      </c>
      <c r="F7341" t="str">
        <f>INDEX(Lists!I:I,MATCH(Validation!E7341,Lists!G:G,0))</f>
        <v>Error</v>
      </c>
      <c r="G7341" t="str">
        <f>INDEX(Lists!H:H,MATCH(Validation!E7341,Lists!G:G,0))</f>
        <v>Low interest rate must be greater than or equal to zero.</v>
      </c>
      <c r="H7341" s="16" t="str">
        <f t="shared" ca="1" si="828"/>
        <v/>
      </c>
      <c r="I7341" s="16" t="str">
        <f t="shared" ca="1" si="829"/>
        <v/>
      </c>
      <c r="J7341" s="17" t="str">
        <f t="shared" ca="1" si="830"/>
        <v/>
      </c>
    </row>
    <row r="7342" spans="1:10" x14ac:dyDescent="0.25">
      <c r="A7342" t="s">
        <v>964</v>
      </c>
      <c r="B7342" t="str">
        <f>ADDRESS(ROW(DFLoan1!B$12),COLUMN(DFLoan1!B$12),4)</f>
        <v>B12</v>
      </c>
      <c r="C7342" t="str">
        <f>ADDRESS(ROW(DFLoan1!C$12),COLUMN(DFLoan1!C$12),4)</f>
        <v>C12</v>
      </c>
      <c r="D7342" t="b" cm="1">
        <f t="array" aca="1" ref="D7342" ca="1">IF(INDIRECT("'"&amp;A7342&amp;"'!"&amp;B7342)="",FALSE,IF(INDIRECT("'"&amp;A7342&amp;"'!"&amp;B7342)&lt;0,TRUE,FALSE))</f>
        <v>0</v>
      </c>
      <c r="E7342" t="s">
        <v>760</v>
      </c>
      <c r="F7342" t="str">
        <f>INDEX(Lists!I:I,MATCH(Validation!E7342,Lists!G:G,0))</f>
        <v>Error</v>
      </c>
      <c r="G7342" t="str">
        <f>INDEX(Lists!H:H,MATCH(Validation!E7342,Lists!G:G,0))</f>
        <v>Low interest rate must be greater than or equal to zero.</v>
      </c>
      <c r="H7342" s="16" t="str">
        <f t="shared" ca="1" si="828"/>
        <v/>
      </c>
      <c r="I7342" s="16" t="str">
        <f t="shared" ca="1" si="829"/>
        <v/>
      </c>
      <c r="J7342" s="17" t="str">
        <f t="shared" ca="1" si="830"/>
        <v/>
      </c>
    </row>
    <row r="7343" spans="1:10" x14ac:dyDescent="0.25">
      <c r="A7343" t="s">
        <v>965</v>
      </c>
      <c r="B7343" t="str">
        <f>ADDRESS(ROW(DFLoan1!B$12),COLUMN(DFLoan1!B$12),4)</f>
        <v>B12</v>
      </c>
      <c r="C7343" t="str">
        <f>ADDRESS(ROW(DFLoan1!C$12),COLUMN(DFLoan1!C$12),4)</f>
        <v>C12</v>
      </c>
      <c r="D7343" t="b" cm="1">
        <f t="array" aca="1" ref="D7343" ca="1">IF(INDIRECT("'"&amp;A7343&amp;"'!"&amp;B7343)="",FALSE,IF(INDIRECT("'"&amp;A7343&amp;"'!"&amp;B7343)&lt;0,TRUE,FALSE))</f>
        <v>0</v>
      </c>
      <c r="E7343" t="s">
        <v>760</v>
      </c>
      <c r="F7343" t="str">
        <f>INDEX(Lists!I:I,MATCH(Validation!E7343,Lists!G:G,0))</f>
        <v>Error</v>
      </c>
      <c r="G7343" t="str">
        <f>INDEX(Lists!H:H,MATCH(Validation!E7343,Lists!G:G,0))</f>
        <v>Low interest rate must be greater than or equal to zero.</v>
      </c>
      <c r="H7343" s="16" t="str">
        <f t="shared" ca="1" si="828"/>
        <v/>
      </c>
      <c r="I7343" s="16" t="str">
        <f t="shared" ca="1" si="829"/>
        <v/>
      </c>
      <c r="J7343" s="17" t="str">
        <f t="shared" ca="1" si="830"/>
        <v/>
      </c>
    </row>
    <row r="7344" spans="1:10" x14ac:dyDescent="0.25">
      <c r="A7344" t="s">
        <v>966</v>
      </c>
      <c r="B7344" t="str">
        <f>ADDRESS(ROW(DFLoan1!B$12),COLUMN(DFLoan1!B$12),4)</f>
        <v>B12</v>
      </c>
      <c r="C7344" t="str">
        <f>ADDRESS(ROW(DFLoan1!C$12),COLUMN(DFLoan1!C$12),4)</f>
        <v>C12</v>
      </c>
      <c r="D7344" t="b" cm="1">
        <f t="array" aca="1" ref="D7344" ca="1">IF(INDIRECT("'"&amp;A7344&amp;"'!"&amp;B7344)="",FALSE,IF(INDIRECT("'"&amp;A7344&amp;"'!"&amp;B7344)&lt;0,TRUE,FALSE))</f>
        <v>0</v>
      </c>
      <c r="E7344" t="s">
        <v>760</v>
      </c>
      <c r="F7344" t="str">
        <f>INDEX(Lists!I:I,MATCH(Validation!E7344,Lists!G:G,0))</f>
        <v>Error</v>
      </c>
      <c r="G7344" t="str">
        <f>INDEX(Lists!H:H,MATCH(Validation!E7344,Lists!G:G,0))</f>
        <v>Low interest rate must be greater than or equal to zero.</v>
      </c>
      <c r="H7344" s="16" t="str">
        <f t="shared" ca="1" si="828"/>
        <v/>
      </c>
      <c r="I7344" s="16" t="str">
        <f t="shared" ca="1" si="829"/>
        <v/>
      </c>
      <c r="J7344" s="17" t="str">
        <f t="shared" ca="1" si="830"/>
        <v/>
      </c>
    </row>
    <row r="7345" spans="1:10" x14ac:dyDescent="0.25">
      <c r="A7345" t="s">
        <v>881</v>
      </c>
      <c r="B7345" t="str">
        <f>ADDRESS(ROW(DFLoan1!B$12),COLUMN(DFLoan1!B$12),4)</f>
        <v>B12</v>
      </c>
      <c r="C7345" t="str">
        <f>ADDRESS(ROW(DFLoan1!C$12),COLUMN(DFLoan1!C$12),4)</f>
        <v>C12</v>
      </c>
      <c r="D7345" t="b" cm="1">
        <f t="array" aca="1" ref="D7345" ca="1">IF(INDIRECT("'"&amp;A7345&amp;"'!"&amp;B7345)="",FALSE,IF(INDIRECT("'"&amp;A7345&amp;"'!"&amp;B7345)&gt;9,TRUE,FALSE))</f>
        <v>0</v>
      </c>
      <c r="E7345" t="s">
        <v>707</v>
      </c>
      <c r="F7345" t="str">
        <f>INDEX(Lists!I:I,MATCH(Validation!E7345,Lists!G:G,0))</f>
        <v>Alert</v>
      </c>
      <c r="G7345" t="str">
        <f>INDEX(Lists!H:H,MATCH(Validation!E7345,Lists!G:G,0))</f>
        <v>Low interest rate exceeds typical rates. Correct entry or explain in comments box.</v>
      </c>
      <c r="H7345" s="16" t="str">
        <f t="shared" ca="1" si="828"/>
        <v/>
      </c>
      <c r="I7345" s="16" t="str">
        <f t="shared" ca="1" si="829"/>
        <v/>
      </c>
      <c r="J7345" s="17" t="str">
        <f t="shared" ca="1" si="830"/>
        <v/>
      </c>
    </row>
    <row r="7346" spans="1:10" x14ac:dyDescent="0.25">
      <c r="A7346" t="s">
        <v>953</v>
      </c>
      <c r="B7346" t="str">
        <f>ADDRESS(ROW(DFLoan1!B$12),COLUMN(DFLoan1!B$12),4)</f>
        <v>B12</v>
      </c>
      <c r="C7346" t="str">
        <f>ADDRESS(ROW(DFLoan1!C$12),COLUMN(DFLoan1!C$12),4)</f>
        <v>C12</v>
      </c>
      <c r="D7346" t="b" cm="1">
        <f t="array" aca="1" ref="D7346" ca="1">IF(INDIRECT("'"&amp;A7346&amp;"'!"&amp;B7346)="",FALSE,IF(INDIRECT("'"&amp;A7346&amp;"'!"&amp;B7346)&gt;9,TRUE,FALSE))</f>
        <v>0</v>
      </c>
      <c r="E7346" t="s">
        <v>707</v>
      </c>
      <c r="F7346" t="str">
        <f>INDEX(Lists!I:I,MATCH(Validation!E7346,Lists!G:G,0))</f>
        <v>Alert</v>
      </c>
      <c r="G7346" t="str">
        <f>INDEX(Lists!H:H,MATCH(Validation!E7346,Lists!G:G,0))</f>
        <v>Low interest rate exceeds typical rates. Correct entry or explain in comments box.</v>
      </c>
      <c r="H7346" s="16" t="str">
        <f t="shared" ca="1" si="828"/>
        <v/>
      </c>
      <c r="I7346" s="16" t="str">
        <f t="shared" ca="1" si="829"/>
        <v/>
      </c>
      <c r="J7346" s="17" t="str">
        <f t="shared" ca="1" si="830"/>
        <v/>
      </c>
    </row>
    <row r="7347" spans="1:10" x14ac:dyDescent="0.25">
      <c r="A7347" t="s">
        <v>954</v>
      </c>
      <c r="B7347" t="str">
        <f>ADDRESS(ROW(DFLoan1!B$12),COLUMN(DFLoan1!B$12),4)</f>
        <v>B12</v>
      </c>
      <c r="C7347" t="str">
        <f>ADDRESS(ROW(DFLoan1!C$12),COLUMN(DFLoan1!C$12),4)</f>
        <v>C12</v>
      </c>
      <c r="D7347" t="b" cm="1">
        <f t="array" aca="1" ref="D7347" ca="1">IF(INDIRECT("'"&amp;A7347&amp;"'!"&amp;B7347)="",FALSE,IF(INDIRECT("'"&amp;A7347&amp;"'!"&amp;B7347)&gt;9,TRUE,FALSE))</f>
        <v>0</v>
      </c>
      <c r="E7347" t="s">
        <v>707</v>
      </c>
      <c r="F7347" t="str">
        <f>INDEX(Lists!I:I,MATCH(Validation!E7347,Lists!G:G,0))</f>
        <v>Alert</v>
      </c>
      <c r="G7347" t="str">
        <f>INDEX(Lists!H:H,MATCH(Validation!E7347,Lists!G:G,0))</f>
        <v>Low interest rate exceeds typical rates. Correct entry or explain in comments box.</v>
      </c>
      <c r="H7347" s="16" t="str">
        <f t="shared" ca="1" si="828"/>
        <v/>
      </c>
      <c r="I7347" s="16" t="str">
        <f t="shared" ca="1" si="829"/>
        <v/>
      </c>
      <c r="J7347" s="17" t="str">
        <f t="shared" ca="1" si="830"/>
        <v/>
      </c>
    </row>
    <row r="7348" spans="1:10" x14ac:dyDescent="0.25">
      <c r="A7348" t="s">
        <v>955</v>
      </c>
      <c r="B7348" t="str">
        <f>ADDRESS(ROW(DFLoan1!B$12),COLUMN(DFLoan1!B$12),4)</f>
        <v>B12</v>
      </c>
      <c r="C7348" t="str">
        <f>ADDRESS(ROW(DFLoan1!C$12),COLUMN(DFLoan1!C$12),4)</f>
        <v>C12</v>
      </c>
      <c r="D7348" t="b" cm="1">
        <f t="array" aca="1" ref="D7348" ca="1">IF(INDIRECT("'"&amp;A7348&amp;"'!"&amp;B7348)="",FALSE,IF(INDIRECT("'"&amp;A7348&amp;"'!"&amp;B7348)&gt;9,TRUE,FALSE))</f>
        <v>0</v>
      </c>
      <c r="E7348" t="s">
        <v>707</v>
      </c>
      <c r="F7348" t="str">
        <f>INDEX(Lists!I:I,MATCH(Validation!E7348,Lists!G:G,0))</f>
        <v>Alert</v>
      </c>
      <c r="G7348" t="str">
        <f>INDEX(Lists!H:H,MATCH(Validation!E7348,Lists!G:G,0))</f>
        <v>Low interest rate exceeds typical rates. Correct entry or explain in comments box.</v>
      </c>
      <c r="H7348" s="16" t="str">
        <f t="shared" ca="1" si="828"/>
        <v/>
      </c>
      <c r="I7348" s="16" t="str">
        <f t="shared" ca="1" si="829"/>
        <v/>
      </c>
      <c r="J7348" s="17" t="str">
        <f t="shared" ca="1" si="830"/>
        <v/>
      </c>
    </row>
    <row r="7349" spans="1:10" x14ac:dyDescent="0.25">
      <c r="A7349" t="s">
        <v>956</v>
      </c>
      <c r="B7349" t="str">
        <f>ADDRESS(ROW(DFLoan1!B$12),COLUMN(DFLoan1!B$12),4)</f>
        <v>B12</v>
      </c>
      <c r="C7349" t="str">
        <f>ADDRESS(ROW(DFLoan1!C$12),COLUMN(DFLoan1!C$12),4)</f>
        <v>C12</v>
      </c>
      <c r="D7349" t="b" cm="1">
        <f t="array" aca="1" ref="D7349" ca="1">IF(INDIRECT("'"&amp;A7349&amp;"'!"&amp;B7349)="",FALSE,IF(INDIRECT("'"&amp;A7349&amp;"'!"&amp;B7349)&gt;9,TRUE,FALSE))</f>
        <v>0</v>
      </c>
      <c r="E7349" t="s">
        <v>707</v>
      </c>
      <c r="F7349" t="str">
        <f>INDEX(Lists!I:I,MATCH(Validation!E7349,Lists!G:G,0))</f>
        <v>Alert</v>
      </c>
      <c r="G7349" t="str">
        <f>INDEX(Lists!H:H,MATCH(Validation!E7349,Lists!G:G,0))</f>
        <v>Low interest rate exceeds typical rates. Correct entry or explain in comments box.</v>
      </c>
      <c r="H7349" s="16" t="str">
        <f t="shared" ca="1" si="828"/>
        <v/>
      </c>
      <c r="I7349" s="16" t="str">
        <f t="shared" ca="1" si="829"/>
        <v/>
      </c>
      <c r="J7349" s="17" t="str">
        <f t="shared" ca="1" si="830"/>
        <v/>
      </c>
    </row>
    <row r="7350" spans="1:10" x14ac:dyDescent="0.25">
      <c r="A7350" t="s">
        <v>957</v>
      </c>
      <c r="B7350" t="str">
        <f>ADDRESS(ROW(DFLoan1!B$12),COLUMN(DFLoan1!B$12),4)</f>
        <v>B12</v>
      </c>
      <c r="C7350" t="str">
        <f>ADDRESS(ROW(DFLoan1!C$12),COLUMN(DFLoan1!C$12),4)</f>
        <v>C12</v>
      </c>
      <c r="D7350" t="b" cm="1">
        <f t="array" aca="1" ref="D7350" ca="1">IF(INDIRECT("'"&amp;A7350&amp;"'!"&amp;B7350)="",FALSE,IF(INDIRECT("'"&amp;A7350&amp;"'!"&amp;B7350)&gt;9,TRUE,FALSE))</f>
        <v>0</v>
      </c>
      <c r="E7350" t="s">
        <v>707</v>
      </c>
      <c r="F7350" t="str">
        <f>INDEX(Lists!I:I,MATCH(Validation!E7350,Lists!G:G,0))</f>
        <v>Alert</v>
      </c>
      <c r="G7350" t="str">
        <f>INDEX(Lists!H:H,MATCH(Validation!E7350,Lists!G:G,0))</f>
        <v>Low interest rate exceeds typical rates. Correct entry or explain in comments box.</v>
      </c>
      <c r="H7350" s="16" t="str">
        <f t="shared" ref="H7350:H7413" ca="1" si="831">IFERROR(IF(OR(NOT(D7350),F7350&lt;&gt;"Error"),"",A7350&amp;CELL("address",INDIRECT(B7350))),"")</f>
        <v/>
      </c>
      <c r="I7350" s="16" t="str">
        <f t="shared" ref="I7350:I7413" ca="1" si="832">IFERROR(IF(NOT(D7350),"",A7350&amp;CELL("address",INDIRECT(C7350))),"")</f>
        <v/>
      </c>
      <c r="J7350" s="17" t="str">
        <f t="shared" ref="J7350:J7413" ca="1" si="833">IFERROR(IF(NOT(D7350),"",A7350),"")</f>
        <v/>
      </c>
    </row>
    <row r="7351" spans="1:10" x14ac:dyDescent="0.25">
      <c r="A7351" t="s">
        <v>958</v>
      </c>
      <c r="B7351" t="str">
        <f>ADDRESS(ROW(DFLoan1!B$12),COLUMN(DFLoan1!B$12),4)</f>
        <v>B12</v>
      </c>
      <c r="C7351" t="str">
        <f>ADDRESS(ROW(DFLoan1!C$12),COLUMN(DFLoan1!C$12),4)</f>
        <v>C12</v>
      </c>
      <c r="D7351" t="b" cm="1">
        <f t="array" aca="1" ref="D7351" ca="1">IF(INDIRECT("'"&amp;A7351&amp;"'!"&amp;B7351)="",FALSE,IF(INDIRECT("'"&amp;A7351&amp;"'!"&amp;B7351)&gt;9,TRUE,FALSE))</f>
        <v>0</v>
      </c>
      <c r="E7351" t="s">
        <v>707</v>
      </c>
      <c r="F7351" t="str">
        <f>INDEX(Lists!I:I,MATCH(Validation!E7351,Lists!G:G,0))</f>
        <v>Alert</v>
      </c>
      <c r="G7351" t="str">
        <f>INDEX(Lists!H:H,MATCH(Validation!E7351,Lists!G:G,0))</f>
        <v>Low interest rate exceeds typical rates. Correct entry or explain in comments box.</v>
      </c>
      <c r="H7351" s="16" t="str">
        <f t="shared" ca="1" si="831"/>
        <v/>
      </c>
      <c r="I7351" s="16" t="str">
        <f t="shared" ca="1" si="832"/>
        <v/>
      </c>
      <c r="J7351" s="17" t="str">
        <f t="shared" ca="1" si="833"/>
        <v/>
      </c>
    </row>
    <row r="7352" spans="1:10" x14ac:dyDescent="0.25">
      <c r="A7352" t="s">
        <v>959</v>
      </c>
      <c r="B7352" t="str">
        <f>ADDRESS(ROW(DFLoan1!B$12),COLUMN(DFLoan1!B$12),4)</f>
        <v>B12</v>
      </c>
      <c r="C7352" t="str">
        <f>ADDRESS(ROW(DFLoan1!C$12),COLUMN(DFLoan1!C$12),4)</f>
        <v>C12</v>
      </c>
      <c r="D7352" t="b" cm="1">
        <f t="array" aca="1" ref="D7352" ca="1">IF(INDIRECT("'"&amp;A7352&amp;"'!"&amp;B7352)="",FALSE,IF(INDIRECT("'"&amp;A7352&amp;"'!"&amp;B7352)&gt;9,TRUE,FALSE))</f>
        <v>0</v>
      </c>
      <c r="E7352" t="s">
        <v>707</v>
      </c>
      <c r="F7352" t="str">
        <f>INDEX(Lists!I:I,MATCH(Validation!E7352,Lists!G:G,0))</f>
        <v>Alert</v>
      </c>
      <c r="G7352" t="str">
        <f>INDEX(Lists!H:H,MATCH(Validation!E7352,Lists!G:G,0))</f>
        <v>Low interest rate exceeds typical rates. Correct entry or explain in comments box.</v>
      </c>
      <c r="H7352" s="16" t="str">
        <f t="shared" ca="1" si="831"/>
        <v/>
      </c>
      <c r="I7352" s="16" t="str">
        <f t="shared" ca="1" si="832"/>
        <v/>
      </c>
      <c r="J7352" s="17" t="str">
        <f t="shared" ca="1" si="833"/>
        <v/>
      </c>
    </row>
    <row r="7353" spans="1:10" x14ac:dyDescent="0.25">
      <c r="A7353" t="s">
        <v>960</v>
      </c>
      <c r="B7353" t="str">
        <f>ADDRESS(ROW(DFLoan1!B$12),COLUMN(DFLoan1!B$12),4)</f>
        <v>B12</v>
      </c>
      <c r="C7353" t="str">
        <f>ADDRESS(ROW(DFLoan1!C$12),COLUMN(DFLoan1!C$12),4)</f>
        <v>C12</v>
      </c>
      <c r="D7353" t="b" cm="1">
        <f t="array" aca="1" ref="D7353" ca="1">IF(INDIRECT("'"&amp;A7353&amp;"'!"&amp;B7353)="",FALSE,IF(INDIRECT("'"&amp;A7353&amp;"'!"&amp;B7353)&gt;9,TRUE,FALSE))</f>
        <v>0</v>
      </c>
      <c r="E7353" t="s">
        <v>707</v>
      </c>
      <c r="F7353" t="str">
        <f>INDEX(Lists!I:I,MATCH(Validation!E7353,Lists!G:G,0))</f>
        <v>Alert</v>
      </c>
      <c r="G7353" t="str">
        <f>INDEX(Lists!H:H,MATCH(Validation!E7353,Lists!G:G,0))</f>
        <v>Low interest rate exceeds typical rates. Correct entry or explain in comments box.</v>
      </c>
      <c r="H7353" s="16" t="str">
        <f t="shared" ca="1" si="831"/>
        <v/>
      </c>
      <c r="I7353" s="16" t="str">
        <f t="shared" ca="1" si="832"/>
        <v/>
      </c>
      <c r="J7353" s="17" t="str">
        <f t="shared" ca="1" si="833"/>
        <v/>
      </c>
    </row>
    <row r="7354" spans="1:10" x14ac:dyDescent="0.25">
      <c r="A7354" t="s">
        <v>961</v>
      </c>
      <c r="B7354" t="str">
        <f>ADDRESS(ROW(DFLoan1!B$12),COLUMN(DFLoan1!B$12),4)</f>
        <v>B12</v>
      </c>
      <c r="C7354" t="str">
        <f>ADDRESS(ROW(DFLoan1!C$12),COLUMN(DFLoan1!C$12),4)</f>
        <v>C12</v>
      </c>
      <c r="D7354" t="b" cm="1">
        <f t="array" aca="1" ref="D7354" ca="1">IF(INDIRECT("'"&amp;A7354&amp;"'!"&amp;B7354)="",FALSE,IF(INDIRECT("'"&amp;A7354&amp;"'!"&amp;B7354)&gt;9,TRUE,FALSE))</f>
        <v>0</v>
      </c>
      <c r="E7354" t="s">
        <v>707</v>
      </c>
      <c r="F7354" t="str">
        <f>INDEX(Lists!I:I,MATCH(Validation!E7354,Lists!G:G,0))</f>
        <v>Alert</v>
      </c>
      <c r="G7354" t="str">
        <f>INDEX(Lists!H:H,MATCH(Validation!E7354,Lists!G:G,0))</f>
        <v>Low interest rate exceeds typical rates. Correct entry or explain in comments box.</v>
      </c>
      <c r="H7354" s="16" t="str">
        <f t="shared" ca="1" si="831"/>
        <v/>
      </c>
      <c r="I7354" s="16" t="str">
        <f t="shared" ca="1" si="832"/>
        <v/>
      </c>
      <c r="J7354" s="17" t="str">
        <f t="shared" ca="1" si="833"/>
        <v/>
      </c>
    </row>
    <row r="7355" spans="1:10" x14ac:dyDescent="0.25">
      <c r="A7355" t="s">
        <v>962</v>
      </c>
      <c r="B7355" t="str">
        <f>ADDRESS(ROW(DFLoan1!B$12),COLUMN(DFLoan1!B$12),4)</f>
        <v>B12</v>
      </c>
      <c r="C7355" t="str">
        <f>ADDRESS(ROW(DFLoan1!C$12),COLUMN(DFLoan1!C$12),4)</f>
        <v>C12</v>
      </c>
      <c r="D7355" t="b" cm="1">
        <f t="array" aca="1" ref="D7355" ca="1">IF(INDIRECT("'"&amp;A7355&amp;"'!"&amp;B7355)="",FALSE,IF(INDIRECT("'"&amp;A7355&amp;"'!"&amp;B7355)&gt;9,TRUE,FALSE))</f>
        <v>0</v>
      </c>
      <c r="E7355" t="s">
        <v>707</v>
      </c>
      <c r="F7355" t="str">
        <f>INDEX(Lists!I:I,MATCH(Validation!E7355,Lists!G:G,0))</f>
        <v>Alert</v>
      </c>
      <c r="G7355" t="str">
        <f>INDEX(Lists!H:H,MATCH(Validation!E7355,Lists!G:G,0))</f>
        <v>Low interest rate exceeds typical rates. Correct entry or explain in comments box.</v>
      </c>
      <c r="H7355" s="16" t="str">
        <f t="shared" ca="1" si="831"/>
        <v/>
      </c>
      <c r="I7355" s="16" t="str">
        <f t="shared" ca="1" si="832"/>
        <v/>
      </c>
      <c r="J7355" s="17" t="str">
        <f t="shared" ca="1" si="833"/>
        <v/>
      </c>
    </row>
    <row r="7356" spans="1:10" x14ac:dyDescent="0.25">
      <c r="A7356" t="s">
        <v>963</v>
      </c>
      <c r="B7356" t="str">
        <f>ADDRESS(ROW(DFLoan1!B$12),COLUMN(DFLoan1!B$12),4)</f>
        <v>B12</v>
      </c>
      <c r="C7356" t="str">
        <f>ADDRESS(ROW(DFLoan1!C$12),COLUMN(DFLoan1!C$12),4)</f>
        <v>C12</v>
      </c>
      <c r="D7356" t="b" cm="1">
        <f t="array" aca="1" ref="D7356" ca="1">IF(INDIRECT("'"&amp;A7356&amp;"'!"&amp;B7356)="",FALSE,IF(INDIRECT("'"&amp;A7356&amp;"'!"&amp;B7356)&gt;9,TRUE,FALSE))</f>
        <v>0</v>
      </c>
      <c r="E7356" t="s">
        <v>707</v>
      </c>
      <c r="F7356" t="str">
        <f>INDEX(Lists!I:I,MATCH(Validation!E7356,Lists!G:G,0))</f>
        <v>Alert</v>
      </c>
      <c r="G7356" t="str">
        <f>INDEX(Lists!H:H,MATCH(Validation!E7356,Lists!G:G,0))</f>
        <v>Low interest rate exceeds typical rates. Correct entry or explain in comments box.</v>
      </c>
      <c r="H7356" s="16" t="str">
        <f t="shared" ca="1" si="831"/>
        <v/>
      </c>
      <c r="I7356" s="16" t="str">
        <f t="shared" ca="1" si="832"/>
        <v/>
      </c>
      <c r="J7356" s="17" t="str">
        <f t="shared" ca="1" si="833"/>
        <v/>
      </c>
    </row>
    <row r="7357" spans="1:10" x14ac:dyDescent="0.25">
      <c r="A7357" t="s">
        <v>964</v>
      </c>
      <c r="B7357" t="str">
        <f>ADDRESS(ROW(DFLoan1!B$12),COLUMN(DFLoan1!B$12),4)</f>
        <v>B12</v>
      </c>
      <c r="C7357" t="str">
        <f>ADDRESS(ROW(DFLoan1!C$12),COLUMN(DFLoan1!C$12),4)</f>
        <v>C12</v>
      </c>
      <c r="D7357" t="b" cm="1">
        <f t="array" aca="1" ref="D7357" ca="1">IF(INDIRECT("'"&amp;A7357&amp;"'!"&amp;B7357)="",FALSE,IF(INDIRECT("'"&amp;A7357&amp;"'!"&amp;B7357)&gt;9,TRUE,FALSE))</f>
        <v>0</v>
      </c>
      <c r="E7357" t="s">
        <v>707</v>
      </c>
      <c r="F7357" t="str">
        <f>INDEX(Lists!I:I,MATCH(Validation!E7357,Lists!G:G,0))</f>
        <v>Alert</v>
      </c>
      <c r="G7357" t="str">
        <f>INDEX(Lists!H:H,MATCH(Validation!E7357,Lists!G:G,0))</f>
        <v>Low interest rate exceeds typical rates. Correct entry or explain in comments box.</v>
      </c>
      <c r="H7357" s="16" t="str">
        <f t="shared" ca="1" si="831"/>
        <v/>
      </c>
      <c r="I7357" s="16" t="str">
        <f t="shared" ca="1" si="832"/>
        <v/>
      </c>
      <c r="J7357" s="17" t="str">
        <f t="shared" ca="1" si="833"/>
        <v/>
      </c>
    </row>
    <row r="7358" spans="1:10" x14ac:dyDescent="0.25">
      <c r="A7358" t="s">
        <v>965</v>
      </c>
      <c r="B7358" t="str">
        <f>ADDRESS(ROW(DFLoan1!B$12),COLUMN(DFLoan1!B$12),4)</f>
        <v>B12</v>
      </c>
      <c r="C7358" t="str">
        <f>ADDRESS(ROW(DFLoan1!C$12),COLUMN(DFLoan1!C$12),4)</f>
        <v>C12</v>
      </c>
      <c r="D7358" t="b" cm="1">
        <f t="array" aca="1" ref="D7358" ca="1">IF(INDIRECT("'"&amp;A7358&amp;"'!"&amp;B7358)="",FALSE,IF(INDIRECT("'"&amp;A7358&amp;"'!"&amp;B7358)&gt;9,TRUE,FALSE))</f>
        <v>0</v>
      </c>
      <c r="E7358" t="s">
        <v>707</v>
      </c>
      <c r="F7358" t="str">
        <f>INDEX(Lists!I:I,MATCH(Validation!E7358,Lists!G:G,0))</f>
        <v>Alert</v>
      </c>
      <c r="G7358" t="str">
        <f>INDEX(Lists!H:H,MATCH(Validation!E7358,Lists!G:G,0))</f>
        <v>Low interest rate exceeds typical rates. Correct entry or explain in comments box.</v>
      </c>
      <c r="H7358" s="16" t="str">
        <f t="shared" ca="1" si="831"/>
        <v/>
      </c>
      <c r="I7358" s="16" t="str">
        <f t="shared" ca="1" si="832"/>
        <v/>
      </c>
      <c r="J7358" s="17" t="str">
        <f t="shared" ca="1" si="833"/>
        <v/>
      </c>
    </row>
    <row r="7359" spans="1:10" x14ac:dyDescent="0.25">
      <c r="A7359" t="s">
        <v>966</v>
      </c>
      <c r="B7359" t="str">
        <f>ADDRESS(ROW(DFLoan1!B$12),COLUMN(DFLoan1!B$12),4)</f>
        <v>B12</v>
      </c>
      <c r="C7359" t="str">
        <f>ADDRESS(ROW(DFLoan1!C$12),COLUMN(DFLoan1!C$12),4)</f>
        <v>C12</v>
      </c>
      <c r="D7359" t="b" cm="1">
        <f t="array" aca="1" ref="D7359" ca="1">IF(INDIRECT("'"&amp;A7359&amp;"'!"&amp;B7359)="",FALSE,IF(INDIRECT("'"&amp;A7359&amp;"'!"&amp;B7359)&gt;9,TRUE,FALSE))</f>
        <v>0</v>
      </c>
      <c r="E7359" t="s">
        <v>707</v>
      </c>
      <c r="F7359" t="str">
        <f>INDEX(Lists!I:I,MATCH(Validation!E7359,Lists!G:G,0))</f>
        <v>Alert</v>
      </c>
      <c r="G7359" t="str">
        <f>INDEX(Lists!H:H,MATCH(Validation!E7359,Lists!G:G,0))</f>
        <v>Low interest rate exceeds typical rates. Correct entry or explain in comments box.</v>
      </c>
      <c r="H7359" s="16" t="str">
        <f t="shared" ca="1" si="831"/>
        <v/>
      </c>
      <c r="I7359" s="16" t="str">
        <f t="shared" ca="1" si="832"/>
        <v/>
      </c>
      <c r="J7359" s="17" t="str">
        <f t="shared" ca="1" si="833"/>
        <v/>
      </c>
    </row>
    <row r="7360" spans="1:10" x14ac:dyDescent="0.25">
      <c r="A7360" t="s">
        <v>881</v>
      </c>
      <c r="B7360" t="str">
        <f>ADDRESS(ROW(DFLoan1!B$12),COLUMN(DFLoan1!B$12),4)</f>
        <v>B12</v>
      </c>
      <c r="C7360" t="str">
        <f>ADDRESS(ROW(DFLoan1!C$12),COLUMN(DFLoan1!C$12),4)</f>
        <v>C12</v>
      </c>
      <c r="D7360" t="b" cm="1">
        <f t="array" aca="1" ref="D7360" ca="1">IF(INDIRECT("'"&amp;A7360&amp;"'!"&amp;B7360)="",FALSE,IF(TRUNC(INDIRECT("'"&amp;A7360&amp;"'!"&amp;B7360),3)=INDIRECT("'"&amp;A7360&amp;"'!"&amp;B7360),FALSE,TRUE))</f>
        <v>0</v>
      </c>
      <c r="E7360" t="s">
        <v>616</v>
      </c>
      <c r="F7360" t="str">
        <f>INDEX(Lists!I:I,MATCH(Validation!E7360,Lists!G:G,0))</f>
        <v>Error</v>
      </c>
      <c r="G7360" t="str">
        <f>INDEX(Lists!H:H,MATCH(Validation!E7360,Lists!G:G,0))</f>
        <v>Interest rate cannot have more than three decimals.</v>
      </c>
      <c r="H7360" s="16" t="str">
        <f t="shared" ca="1" si="831"/>
        <v/>
      </c>
      <c r="I7360" s="16" t="str">
        <f t="shared" ca="1" si="832"/>
        <v/>
      </c>
      <c r="J7360" s="17" t="str">
        <f t="shared" ca="1" si="833"/>
        <v/>
      </c>
    </row>
    <row r="7361" spans="1:10" x14ac:dyDescent="0.25">
      <c r="A7361" t="s">
        <v>953</v>
      </c>
      <c r="B7361" t="str">
        <f>ADDRESS(ROW(DFLoan1!B$12),COLUMN(DFLoan1!B$12),4)</f>
        <v>B12</v>
      </c>
      <c r="C7361" t="str">
        <f>ADDRESS(ROW(DFLoan1!C$12),COLUMN(DFLoan1!C$12),4)</f>
        <v>C12</v>
      </c>
      <c r="D7361" t="b" cm="1">
        <f t="array" aca="1" ref="D7361" ca="1">IF(INDIRECT("'"&amp;A7361&amp;"'!"&amp;B7361)="",FALSE,IF(TRUNC(INDIRECT("'"&amp;A7361&amp;"'!"&amp;B7361),3)=INDIRECT("'"&amp;A7361&amp;"'!"&amp;B7361),FALSE,TRUE))</f>
        <v>0</v>
      </c>
      <c r="E7361" t="s">
        <v>616</v>
      </c>
      <c r="F7361" t="str">
        <f>INDEX(Lists!I:I,MATCH(Validation!E7361,Lists!G:G,0))</f>
        <v>Error</v>
      </c>
      <c r="G7361" t="str">
        <f>INDEX(Lists!H:H,MATCH(Validation!E7361,Lists!G:G,0))</f>
        <v>Interest rate cannot have more than three decimals.</v>
      </c>
      <c r="H7361" s="16" t="str">
        <f t="shared" ca="1" si="831"/>
        <v/>
      </c>
      <c r="I7361" s="16" t="str">
        <f t="shared" ca="1" si="832"/>
        <v/>
      </c>
      <c r="J7361" s="17" t="str">
        <f t="shared" ca="1" si="833"/>
        <v/>
      </c>
    </row>
    <row r="7362" spans="1:10" x14ac:dyDescent="0.25">
      <c r="A7362" t="s">
        <v>954</v>
      </c>
      <c r="B7362" t="str">
        <f>ADDRESS(ROW(DFLoan1!B$12),COLUMN(DFLoan1!B$12),4)</f>
        <v>B12</v>
      </c>
      <c r="C7362" t="str">
        <f>ADDRESS(ROW(DFLoan1!C$12),COLUMN(DFLoan1!C$12),4)</f>
        <v>C12</v>
      </c>
      <c r="D7362" t="b" cm="1">
        <f t="array" aca="1" ref="D7362" ca="1">IF(INDIRECT("'"&amp;A7362&amp;"'!"&amp;B7362)="",FALSE,IF(TRUNC(INDIRECT("'"&amp;A7362&amp;"'!"&amp;B7362),3)=INDIRECT("'"&amp;A7362&amp;"'!"&amp;B7362),FALSE,TRUE))</f>
        <v>0</v>
      </c>
      <c r="E7362" t="s">
        <v>616</v>
      </c>
      <c r="F7362" t="str">
        <f>INDEX(Lists!I:I,MATCH(Validation!E7362,Lists!G:G,0))</f>
        <v>Error</v>
      </c>
      <c r="G7362" t="str">
        <f>INDEX(Lists!H:H,MATCH(Validation!E7362,Lists!G:G,0))</f>
        <v>Interest rate cannot have more than three decimals.</v>
      </c>
      <c r="H7362" s="16" t="str">
        <f t="shared" ca="1" si="831"/>
        <v/>
      </c>
      <c r="I7362" s="16" t="str">
        <f t="shared" ca="1" si="832"/>
        <v/>
      </c>
      <c r="J7362" s="17" t="str">
        <f t="shared" ca="1" si="833"/>
        <v/>
      </c>
    </row>
    <row r="7363" spans="1:10" x14ac:dyDescent="0.25">
      <c r="A7363" t="s">
        <v>955</v>
      </c>
      <c r="B7363" t="str">
        <f>ADDRESS(ROW(DFLoan1!B$12),COLUMN(DFLoan1!B$12),4)</f>
        <v>B12</v>
      </c>
      <c r="C7363" t="str">
        <f>ADDRESS(ROW(DFLoan1!C$12),COLUMN(DFLoan1!C$12),4)</f>
        <v>C12</v>
      </c>
      <c r="D7363" t="b" cm="1">
        <f t="array" aca="1" ref="D7363" ca="1">IF(INDIRECT("'"&amp;A7363&amp;"'!"&amp;B7363)="",FALSE,IF(TRUNC(INDIRECT("'"&amp;A7363&amp;"'!"&amp;B7363),3)=INDIRECT("'"&amp;A7363&amp;"'!"&amp;B7363),FALSE,TRUE))</f>
        <v>0</v>
      </c>
      <c r="E7363" t="s">
        <v>616</v>
      </c>
      <c r="F7363" t="str">
        <f>INDEX(Lists!I:I,MATCH(Validation!E7363,Lists!G:G,0))</f>
        <v>Error</v>
      </c>
      <c r="G7363" t="str">
        <f>INDEX(Lists!H:H,MATCH(Validation!E7363,Lists!G:G,0))</f>
        <v>Interest rate cannot have more than three decimals.</v>
      </c>
      <c r="H7363" s="16" t="str">
        <f t="shared" ca="1" si="831"/>
        <v/>
      </c>
      <c r="I7363" s="16" t="str">
        <f t="shared" ca="1" si="832"/>
        <v/>
      </c>
      <c r="J7363" s="17" t="str">
        <f t="shared" ca="1" si="833"/>
        <v/>
      </c>
    </row>
    <row r="7364" spans="1:10" x14ac:dyDescent="0.25">
      <c r="A7364" t="s">
        <v>956</v>
      </c>
      <c r="B7364" t="str">
        <f>ADDRESS(ROW(DFLoan1!B$12),COLUMN(DFLoan1!B$12),4)</f>
        <v>B12</v>
      </c>
      <c r="C7364" t="str">
        <f>ADDRESS(ROW(DFLoan1!C$12),COLUMN(DFLoan1!C$12),4)</f>
        <v>C12</v>
      </c>
      <c r="D7364" t="b" cm="1">
        <f t="array" aca="1" ref="D7364" ca="1">IF(INDIRECT("'"&amp;A7364&amp;"'!"&amp;B7364)="",FALSE,IF(TRUNC(INDIRECT("'"&amp;A7364&amp;"'!"&amp;B7364),3)=INDIRECT("'"&amp;A7364&amp;"'!"&amp;B7364),FALSE,TRUE))</f>
        <v>0</v>
      </c>
      <c r="E7364" t="s">
        <v>616</v>
      </c>
      <c r="F7364" t="str">
        <f>INDEX(Lists!I:I,MATCH(Validation!E7364,Lists!G:G,0))</f>
        <v>Error</v>
      </c>
      <c r="G7364" t="str">
        <f>INDEX(Lists!H:H,MATCH(Validation!E7364,Lists!G:G,0))</f>
        <v>Interest rate cannot have more than three decimals.</v>
      </c>
      <c r="H7364" s="16" t="str">
        <f t="shared" ca="1" si="831"/>
        <v/>
      </c>
      <c r="I7364" s="16" t="str">
        <f t="shared" ca="1" si="832"/>
        <v/>
      </c>
      <c r="J7364" s="17" t="str">
        <f t="shared" ca="1" si="833"/>
        <v/>
      </c>
    </row>
    <row r="7365" spans="1:10" x14ac:dyDescent="0.25">
      <c r="A7365" t="s">
        <v>957</v>
      </c>
      <c r="B7365" t="str">
        <f>ADDRESS(ROW(DFLoan1!B$12),COLUMN(DFLoan1!B$12),4)</f>
        <v>B12</v>
      </c>
      <c r="C7365" t="str">
        <f>ADDRESS(ROW(DFLoan1!C$12),COLUMN(DFLoan1!C$12),4)</f>
        <v>C12</v>
      </c>
      <c r="D7365" t="b" cm="1">
        <f t="array" aca="1" ref="D7365" ca="1">IF(INDIRECT("'"&amp;A7365&amp;"'!"&amp;B7365)="",FALSE,IF(TRUNC(INDIRECT("'"&amp;A7365&amp;"'!"&amp;B7365),3)=INDIRECT("'"&amp;A7365&amp;"'!"&amp;B7365),FALSE,TRUE))</f>
        <v>0</v>
      </c>
      <c r="E7365" t="s">
        <v>616</v>
      </c>
      <c r="F7365" t="str">
        <f>INDEX(Lists!I:I,MATCH(Validation!E7365,Lists!G:G,0))</f>
        <v>Error</v>
      </c>
      <c r="G7365" t="str">
        <f>INDEX(Lists!H:H,MATCH(Validation!E7365,Lists!G:G,0))</f>
        <v>Interest rate cannot have more than three decimals.</v>
      </c>
      <c r="H7365" s="16" t="str">
        <f t="shared" ca="1" si="831"/>
        <v/>
      </c>
      <c r="I7365" s="16" t="str">
        <f t="shared" ca="1" si="832"/>
        <v/>
      </c>
      <c r="J7365" s="17" t="str">
        <f t="shared" ca="1" si="833"/>
        <v/>
      </c>
    </row>
    <row r="7366" spans="1:10" x14ac:dyDescent="0.25">
      <c r="A7366" t="s">
        <v>958</v>
      </c>
      <c r="B7366" t="str">
        <f>ADDRESS(ROW(DFLoan1!B$12),COLUMN(DFLoan1!B$12),4)</f>
        <v>B12</v>
      </c>
      <c r="C7366" t="str">
        <f>ADDRESS(ROW(DFLoan1!C$12),COLUMN(DFLoan1!C$12),4)</f>
        <v>C12</v>
      </c>
      <c r="D7366" t="b" cm="1">
        <f t="array" aca="1" ref="D7366" ca="1">IF(INDIRECT("'"&amp;A7366&amp;"'!"&amp;B7366)="",FALSE,IF(TRUNC(INDIRECT("'"&amp;A7366&amp;"'!"&amp;B7366),3)=INDIRECT("'"&amp;A7366&amp;"'!"&amp;B7366),FALSE,TRUE))</f>
        <v>0</v>
      </c>
      <c r="E7366" t="s">
        <v>616</v>
      </c>
      <c r="F7366" t="str">
        <f>INDEX(Lists!I:I,MATCH(Validation!E7366,Lists!G:G,0))</f>
        <v>Error</v>
      </c>
      <c r="G7366" t="str">
        <f>INDEX(Lists!H:H,MATCH(Validation!E7366,Lists!G:G,0))</f>
        <v>Interest rate cannot have more than three decimals.</v>
      </c>
      <c r="H7366" s="16" t="str">
        <f t="shared" ca="1" si="831"/>
        <v/>
      </c>
      <c r="I7366" s="16" t="str">
        <f t="shared" ca="1" si="832"/>
        <v/>
      </c>
      <c r="J7366" s="17" t="str">
        <f t="shared" ca="1" si="833"/>
        <v/>
      </c>
    </row>
    <row r="7367" spans="1:10" x14ac:dyDescent="0.25">
      <c r="A7367" t="s">
        <v>959</v>
      </c>
      <c r="B7367" t="str">
        <f>ADDRESS(ROW(DFLoan1!B$12),COLUMN(DFLoan1!B$12),4)</f>
        <v>B12</v>
      </c>
      <c r="C7367" t="str">
        <f>ADDRESS(ROW(DFLoan1!C$12),COLUMN(DFLoan1!C$12),4)</f>
        <v>C12</v>
      </c>
      <c r="D7367" t="b" cm="1">
        <f t="array" aca="1" ref="D7367" ca="1">IF(INDIRECT("'"&amp;A7367&amp;"'!"&amp;B7367)="",FALSE,IF(TRUNC(INDIRECT("'"&amp;A7367&amp;"'!"&amp;B7367),3)=INDIRECT("'"&amp;A7367&amp;"'!"&amp;B7367),FALSE,TRUE))</f>
        <v>0</v>
      </c>
      <c r="E7367" t="s">
        <v>616</v>
      </c>
      <c r="F7367" t="str">
        <f>INDEX(Lists!I:I,MATCH(Validation!E7367,Lists!G:G,0))</f>
        <v>Error</v>
      </c>
      <c r="G7367" t="str">
        <f>INDEX(Lists!H:H,MATCH(Validation!E7367,Lists!G:G,0))</f>
        <v>Interest rate cannot have more than three decimals.</v>
      </c>
      <c r="H7367" s="16" t="str">
        <f t="shared" ca="1" si="831"/>
        <v/>
      </c>
      <c r="I7367" s="16" t="str">
        <f t="shared" ca="1" si="832"/>
        <v/>
      </c>
      <c r="J7367" s="17" t="str">
        <f t="shared" ca="1" si="833"/>
        <v/>
      </c>
    </row>
    <row r="7368" spans="1:10" x14ac:dyDescent="0.25">
      <c r="A7368" t="s">
        <v>960</v>
      </c>
      <c r="B7368" t="str">
        <f>ADDRESS(ROW(DFLoan1!B$12),COLUMN(DFLoan1!B$12),4)</f>
        <v>B12</v>
      </c>
      <c r="C7368" t="str">
        <f>ADDRESS(ROW(DFLoan1!C$12),COLUMN(DFLoan1!C$12),4)</f>
        <v>C12</v>
      </c>
      <c r="D7368" t="b" cm="1">
        <f t="array" aca="1" ref="D7368" ca="1">IF(INDIRECT("'"&amp;A7368&amp;"'!"&amp;B7368)="",FALSE,IF(TRUNC(INDIRECT("'"&amp;A7368&amp;"'!"&amp;B7368),3)=INDIRECT("'"&amp;A7368&amp;"'!"&amp;B7368),FALSE,TRUE))</f>
        <v>0</v>
      </c>
      <c r="E7368" t="s">
        <v>616</v>
      </c>
      <c r="F7368" t="str">
        <f>INDEX(Lists!I:I,MATCH(Validation!E7368,Lists!G:G,0))</f>
        <v>Error</v>
      </c>
      <c r="G7368" t="str">
        <f>INDEX(Lists!H:H,MATCH(Validation!E7368,Lists!G:G,0))</f>
        <v>Interest rate cannot have more than three decimals.</v>
      </c>
      <c r="H7368" s="16" t="str">
        <f t="shared" ca="1" si="831"/>
        <v/>
      </c>
      <c r="I7368" s="16" t="str">
        <f t="shared" ca="1" si="832"/>
        <v/>
      </c>
      <c r="J7368" s="17" t="str">
        <f t="shared" ca="1" si="833"/>
        <v/>
      </c>
    </row>
    <row r="7369" spans="1:10" x14ac:dyDescent="0.25">
      <c r="A7369" t="s">
        <v>961</v>
      </c>
      <c r="B7369" t="str">
        <f>ADDRESS(ROW(DFLoan1!B$12),COLUMN(DFLoan1!B$12),4)</f>
        <v>B12</v>
      </c>
      <c r="C7369" t="str">
        <f>ADDRESS(ROW(DFLoan1!C$12),COLUMN(DFLoan1!C$12),4)</f>
        <v>C12</v>
      </c>
      <c r="D7369" t="b" cm="1">
        <f t="array" aca="1" ref="D7369" ca="1">IF(INDIRECT("'"&amp;A7369&amp;"'!"&amp;B7369)="",FALSE,IF(TRUNC(INDIRECT("'"&amp;A7369&amp;"'!"&amp;B7369),3)=INDIRECT("'"&amp;A7369&amp;"'!"&amp;B7369),FALSE,TRUE))</f>
        <v>0</v>
      </c>
      <c r="E7369" t="s">
        <v>616</v>
      </c>
      <c r="F7369" t="str">
        <f>INDEX(Lists!I:I,MATCH(Validation!E7369,Lists!G:G,0))</f>
        <v>Error</v>
      </c>
      <c r="G7369" t="str">
        <f>INDEX(Lists!H:H,MATCH(Validation!E7369,Lists!G:G,0))</f>
        <v>Interest rate cannot have more than three decimals.</v>
      </c>
      <c r="H7369" s="16" t="str">
        <f t="shared" ca="1" si="831"/>
        <v/>
      </c>
      <c r="I7369" s="16" t="str">
        <f t="shared" ca="1" si="832"/>
        <v/>
      </c>
      <c r="J7369" s="17" t="str">
        <f t="shared" ca="1" si="833"/>
        <v/>
      </c>
    </row>
    <row r="7370" spans="1:10" x14ac:dyDescent="0.25">
      <c r="A7370" t="s">
        <v>962</v>
      </c>
      <c r="B7370" t="str">
        <f>ADDRESS(ROW(DFLoan1!B$12),COLUMN(DFLoan1!B$12),4)</f>
        <v>B12</v>
      </c>
      <c r="C7370" t="str">
        <f>ADDRESS(ROW(DFLoan1!C$12),COLUMN(DFLoan1!C$12),4)</f>
        <v>C12</v>
      </c>
      <c r="D7370" t="b" cm="1">
        <f t="array" aca="1" ref="D7370" ca="1">IF(INDIRECT("'"&amp;A7370&amp;"'!"&amp;B7370)="",FALSE,IF(TRUNC(INDIRECT("'"&amp;A7370&amp;"'!"&amp;B7370),3)=INDIRECT("'"&amp;A7370&amp;"'!"&amp;B7370),FALSE,TRUE))</f>
        <v>0</v>
      </c>
      <c r="E7370" t="s">
        <v>616</v>
      </c>
      <c r="F7370" t="str">
        <f>INDEX(Lists!I:I,MATCH(Validation!E7370,Lists!G:G,0))</f>
        <v>Error</v>
      </c>
      <c r="G7370" t="str">
        <f>INDEX(Lists!H:H,MATCH(Validation!E7370,Lists!G:G,0))</f>
        <v>Interest rate cannot have more than three decimals.</v>
      </c>
      <c r="H7370" s="16" t="str">
        <f t="shared" ca="1" si="831"/>
        <v/>
      </c>
      <c r="I7370" s="16" t="str">
        <f t="shared" ca="1" si="832"/>
        <v/>
      </c>
      <c r="J7370" s="17" t="str">
        <f t="shared" ca="1" si="833"/>
        <v/>
      </c>
    </row>
    <row r="7371" spans="1:10" x14ac:dyDescent="0.25">
      <c r="A7371" t="s">
        <v>963</v>
      </c>
      <c r="B7371" t="str">
        <f>ADDRESS(ROW(DFLoan1!B$12),COLUMN(DFLoan1!B$12),4)</f>
        <v>B12</v>
      </c>
      <c r="C7371" t="str">
        <f>ADDRESS(ROW(DFLoan1!C$12),COLUMN(DFLoan1!C$12),4)</f>
        <v>C12</v>
      </c>
      <c r="D7371" t="b" cm="1">
        <f t="array" aca="1" ref="D7371" ca="1">IF(INDIRECT("'"&amp;A7371&amp;"'!"&amp;B7371)="",FALSE,IF(TRUNC(INDIRECT("'"&amp;A7371&amp;"'!"&amp;B7371),3)=INDIRECT("'"&amp;A7371&amp;"'!"&amp;B7371),FALSE,TRUE))</f>
        <v>0</v>
      </c>
      <c r="E7371" t="s">
        <v>616</v>
      </c>
      <c r="F7371" t="str">
        <f>INDEX(Lists!I:I,MATCH(Validation!E7371,Lists!G:G,0))</f>
        <v>Error</v>
      </c>
      <c r="G7371" t="str">
        <f>INDEX(Lists!H:H,MATCH(Validation!E7371,Lists!G:G,0))</f>
        <v>Interest rate cannot have more than three decimals.</v>
      </c>
      <c r="H7371" s="16" t="str">
        <f t="shared" ca="1" si="831"/>
        <v/>
      </c>
      <c r="I7371" s="16" t="str">
        <f t="shared" ca="1" si="832"/>
        <v/>
      </c>
      <c r="J7371" s="17" t="str">
        <f t="shared" ca="1" si="833"/>
        <v/>
      </c>
    </row>
    <row r="7372" spans="1:10" x14ac:dyDescent="0.25">
      <c r="A7372" t="s">
        <v>964</v>
      </c>
      <c r="B7372" t="str">
        <f>ADDRESS(ROW(DFLoan1!B$12),COLUMN(DFLoan1!B$12),4)</f>
        <v>B12</v>
      </c>
      <c r="C7372" t="str">
        <f>ADDRESS(ROW(DFLoan1!C$12),COLUMN(DFLoan1!C$12),4)</f>
        <v>C12</v>
      </c>
      <c r="D7372" t="b" cm="1">
        <f t="array" aca="1" ref="D7372" ca="1">IF(INDIRECT("'"&amp;A7372&amp;"'!"&amp;B7372)="",FALSE,IF(TRUNC(INDIRECT("'"&amp;A7372&amp;"'!"&amp;B7372),3)=INDIRECT("'"&amp;A7372&amp;"'!"&amp;B7372),FALSE,TRUE))</f>
        <v>0</v>
      </c>
      <c r="E7372" t="s">
        <v>616</v>
      </c>
      <c r="F7372" t="str">
        <f>INDEX(Lists!I:I,MATCH(Validation!E7372,Lists!G:G,0))</f>
        <v>Error</v>
      </c>
      <c r="G7372" t="str">
        <f>INDEX(Lists!H:H,MATCH(Validation!E7372,Lists!G:G,0))</f>
        <v>Interest rate cannot have more than three decimals.</v>
      </c>
      <c r="H7372" s="16" t="str">
        <f t="shared" ca="1" si="831"/>
        <v/>
      </c>
      <c r="I7372" s="16" t="str">
        <f t="shared" ca="1" si="832"/>
        <v/>
      </c>
      <c r="J7372" s="17" t="str">
        <f t="shared" ca="1" si="833"/>
        <v/>
      </c>
    </row>
    <row r="7373" spans="1:10" x14ac:dyDescent="0.25">
      <c r="A7373" t="s">
        <v>965</v>
      </c>
      <c r="B7373" t="str">
        <f>ADDRESS(ROW(DFLoan1!B$12),COLUMN(DFLoan1!B$12),4)</f>
        <v>B12</v>
      </c>
      <c r="C7373" t="str">
        <f>ADDRESS(ROW(DFLoan1!C$12),COLUMN(DFLoan1!C$12),4)</f>
        <v>C12</v>
      </c>
      <c r="D7373" t="b" cm="1">
        <f t="array" aca="1" ref="D7373" ca="1">IF(INDIRECT("'"&amp;A7373&amp;"'!"&amp;B7373)="",FALSE,IF(TRUNC(INDIRECT("'"&amp;A7373&amp;"'!"&amp;B7373),3)=INDIRECT("'"&amp;A7373&amp;"'!"&amp;B7373),FALSE,TRUE))</f>
        <v>0</v>
      </c>
      <c r="E7373" t="s">
        <v>616</v>
      </c>
      <c r="F7373" t="str">
        <f>INDEX(Lists!I:I,MATCH(Validation!E7373,Lists!G:G,0))</f>
        <v>Error</v>
      </c>
      <c r="G7373" t="str">
        <f>INDEX(Lists!H:H,MATCH(Validation!E7373,Lists!G:G,0))</f>
        <v>Interest rate cannot have more than three decimals.</v>
      </c>
      <c r="H7373" s="16" t="str">
        <f t="shared" ca="1" si="831"/>
        <v/>
      </c>
      <c r="I7373" s="16" t="str">
        <f t="shared" ca="1" si="832"/>
        <v/>
      </c>
      <c r="J7373" s="17" t="str">
        <f t="shared" ca="1" si="833"/>
        <v/>
      </c>
    </row>
    <row r="7374" spans="1:10" x14ac:dyDescent="0.25">
      <c r="A7374" t="s">
        <v>966</v>
      </c>
      <c r="B7374" t="str">
        <f>ADDRESS(ROW(DFLoan1!B$12),COLUMN(DFLoan1!B$12),4)</f>
        <v>B12</v>
      </c>
      <c r="C7374" t="str">
        <f>ADDRESS(ROW(DFLoan1!C$12),COLUMN(DFLoan1!C$12),4)</f>
        <v>C12</v>
      </c>
      <c r="D7374" t="b" cm="1">
        <f t="array" aca="1" ref="D7374" ca="1">IF(INDIRECT("'"&amp;A7374&amp;"'!"&amp;B7374)="",FALSE,IF(TRUNC(INDIRECT("'"&amp;A7374&amp;"'!"&amp;B7374),3)=INDIRECT("'"&amp;A7374&amp;"'!"&amp;B7374),FALSE,TRUE))</f>
        <v>0</v>
      </c>
      <c r="E7374" t="s">
        <v>616</v>
      </c>
      <c r="F7374" t="str">
        <f>INDEX(Lists!I:I,MATCH(Validation!E7374,Lists!G:G,0))</f>
        <v>Error</v>
      </c>
      <c r="G7374" t="str">
        <f>INDEX(Lists!H:H,MATCH(Validation!E7374,Lists!G:G,0))</f>
        <v>Interest rate cannot have more than three decimals.</v>
      </c>
      <c r="H7374" s="16" t="str">
        <f t="shared" ca="1" si="831"/>
        <v/>
      </c>
      <c r="I7374" s="16" t="str">
        <f t="shared" ca="1" si="832"/>
        <v/>
      </c>
      <c r="J7374" s="17" t="str">
        <f t="shared" ca="1" si="833"/>
        <v/>
      </c>
    </row>
    <row r="7375" spans="1:10" x14ac:dyDescent="0.25">
      <c r="A7375" t="s">
        <v>881</v>
      </c>
      <c r="B7375" t="str">
        <f>ADDRESS(ROW(DFLoan1!B$13),COLUMN(DFLoan1!B$13),4)</f>
        <v>B13</v>
      </c>
      <c r="C7375" t="str">
        <f>ADDRESS(ROW(DFLoan1!C$13),COLUMN(DFLoan1!C$13),4)</f>
        <v>C13</v>
      </c>
      <c r="D7375" t="b" cm="1">
        <f t="array" aca="1" ref="D7375" ca="1">IF(INDIRECT("'"&amp;A7375&amp;"'!"&amp;B7375)="",FALSE,IF(NOT(ISNUMBER(INDIRECT("'"&amp;A7375&amp;"'!"&amp;B7375))),TRUE,FALSE))</f>
        <v>0</v>
      </c>
      <c r="E7375" t="s">
        <v>435</v>
      </c>
      <c r="F7375" t="str">
        <f>INDEX(Lists!I:I,MATCH(Validation!E7375,Lists!G:G,0))</f>
        <v>Error</v>
      </c>
      <c r="G7375" t="str">
        <f>INDEX(Lists!H:H,MATCH(Validation!E7375,Lists!G:G,0))</f>
        <v>Enter an amount only. Do not enter text or spaces.</v>
      </c>
      <c r="H7375" s="16" t="str">
        <f t="shared" ca="1" si="831"/>
        <v/>
      </c>
      <c r="I7375" s="16" t="str">
        <f t="shared" ca="1" si="832"/>
        <v/>
      </c>
      <c r="J7375" s="17" t="str">
        <f t="shared" ca="1" si="833"/>
        <v/>
      </c>
    </row>
    <row r="7376" spans="1:10" x14ac:dyDescent="0.25">
      <c r="A7376" t="s">
        <v>953</v>
      </c>
      <c r="B7376" t="str">
        <f>ADDRESS(ROW(DFLoan1!B$13),COLUMN(DFLoan1!B$13),4)</f>
        <v>B13</v>
      </c>
      <c r="C7376" t="str">
        <f>ADDRESS(ROW(DFLoan1!C$13),COLUMN(DFLoan1!C$13),4)</f>
        <v>C13</v>
      </c>
      <c r="D7376" t="b" cm="1">
        <f t="array" aca="1" ref="D7376" ca="1">IF(INDIRECT("'"&amp;A7376&amp;"'!"&amp;B7376)="",FALSE,IF(NOT(ISNUMBER(INDIRECT("'"&amp;A7376&amp;"'!"&amp;B7376))),TRUE,FALSE))</f>
        <v>0</v>
      </c>
      <c r="E7376" t="s">
        <v>435</v>
      </c>
      <c r="F7376" t="str">
        <f>INDEX(Lists!I:I,MATCH(Validation!E7376,Lists!G:G,0))</f>
        <v>Error</v>
      </c>
      <c r="G7376" t="str">
        <f>INDEX(Lists!H:H,MATCH(Validation!E7376,Lists!G:G,0))</f>
        <v>Enter an amount only. Do not enter text or spaces.</v>
      </c>
      <c r="H7376" s="16" t="str">
        <f t="shared" ca="1" si="831"/>
        <v/>
      </c>
      <c r="I7376" s="16" t="str">
        <f t="shared" ca="1" si="832"/>
        <v/>
      </c>
      <c r="J7376" s="17" t="str">
        <f t="shared" ca="1" si="833"/>
        <v/>
      </c>
    </row>
    <row r="7377" spans="1:10" x14ac:dyDescent="0.25">
      <c r="A7377" t="s">
        <v>954</v>
      </c>
      <c r="B7377" t="str">
        <f>ADDRESS(ROW(DFLoan1!B$13),COLUMN(DFLoan1!B$13),4)</f>
        <v>B13</v>
      </c>
      <c r="C7377" t="str">
        <f>ADDRESS(ROW(DFLoan1!C$13),COLUMN(DFLoan1!C$13),4)</f>
        <v>C13</v>
      </c>
      <c r="D7377" t="b" cm="1">
        <f t="array" aca="1" ref="D7377" ca="1">IF(INDIRECT("'"&amp;A7377&amp;"'!"&amp;B7377)="",FALSE,IF(NOT(ISNUMBER(INDIRECT("'"&amp;A7377&amp;"'!"&amp;B7377))),TRUE,FALSE))</f>
        <v>0</v>
      </c>
      <c r="E7377" t="s">
        <v>435</v>
      </c>
      <c r="F7377" t="str">
        <f>INDEX(Lists!I:I,MATCH(Validation!E7377,Lists!G:G,0))</f>
        <v>Error</v>
      </c>
      <c r="G7377" t="str">
        <f>INDEX(Lists!H:H,MATCH(Validation!E7377,Lists!G:G,0))</f>
        <v>Enter an amount only. Do not enter text or spaces.</v>
      </c>
      <c r="H7377" s="16" t="str">
        <f t="shared" ca="1" si="831"/>
        <v/>
      </c>
      <c r="I7377" s="16" t="str">
        <f t="shared" ca="1" si="832"/>
        <v/>
      </c>
      <c r="J7377" s="17" t="str">
        <f t="shared" ca="1" si="833"/>
        <v/>
      </c>
    </row>
    <row r="7378" spans="1:10" x14ac:dyDescent="0.25">
      <c r="A7378" t="s">
        <v>955</v>
      </c>
      <c r="B7378" t="str">
        <f>ADDRESS(ROW(DFLoan1!B$13),COLUMN(DFLoan1!B$13),4)</f>
        <v>B13</v>
      </c>
      <c r="C7378" t="str">
        <f>ADDRESS(ROW(DFLoan1!C$13),COLUMN(DFLoan1!C$13),4)</f>
        <v>C13</v>
      </c>
      <c r="D7378" t="b" cm="1">
        <f t="array" aca="1" ref="D7378" ca="1">IF(INDIRECT("'"&amp;A7378&amp;"'!"&amp;B7378)="",FALSE,IF(NOT(ISNUMBER(INDIRECT("'"&amp;A7378&amp;"'!"&amp;B7378))),TRUE,FALSE))</f>
        <v>0</v>
      </c>
      <c r="E7378" t="s">
        <v>435</v>
      </c>
      <c r="F7378" t="str">
        <f>INDEX(Lists!I:I,MATCH(Validation!E7378,Lists!G:G,0))</f>
        <v>Error</v>
      </c>
      <c r="G7378" t="str">
        <f>INDEX(Lists!H:H,MATCH(Validation!E7378,Lists!G:G,0))</f>
        <v>Enter an amount only. Do not enter text or spaces.</v>
      </c>
      <c r="H7378" s="16" t="str">
        <f t="shared" ca="1" si="831"/>
        <v/>
      </c>
      <c r="I7378" s="16" t="str">
        <f t="shared" ca="1" si="832"/>
        <v/>
      </c>
      <c r="J7378" s="17" t="str">
        <f t="shared" ca="1" si="833"/>
        <v/>
      </c>
    </row>
    <row r="7379" spans="1:10" x14ac:dyDescent="0.25">
      <c r="A7379" t="s">
        <v>956</v>
      </c>
      <c r="B7379" t="str">
        <f>ADDRESS(ROW(DFLoan1!B$13),COLUMN(DFLoan1!B$13),4)</f>
        <v>B13</v>
      </c>
      <c r="C7379" t="str">
        <f>ADDRESS(ROW(DFLoan1!C$13),COLUMN(DFLoan1!C$13),4)</f>
        <v>C13</v>
      </c>
      <c r="D7379" t="b" cm="1">
        <f t="array" aca="1" ref="D7379" ca="1">IF(INDIRECT("'"&amp;A7379&amp;"'!"&amp;B7379)="",FALSE,IF(NOT(ISNUMBER(INDIRECT("'"&amp;A7379&amp;"'!"&amp;B7379))),TRUE,FALSE))</f>
        <v>0</v>
      </c>
      <c r="E7379" t="s">
        <v>435</v>
      </c>
      <c r="F7379" t="str">
        <f>INDEX(Lists!I:I,MATCH(Validation!E7379,Lists!G:G,0))</f>
        <v>Error</v>
      </c>
      <c r="G7379" t="str">
        <f>INDEX(Lists!H:H,MATCH(Validation!E7379,Lists!G:G,0))</f>
        <v>Enter an amount only. Do not enter text or spaces.</v>
      </c>
      <c r="H7379" s="16" t="str">
        <f t="shared" ca="1" si="831"/>
        <v/>
      </c>
      <c r="I7379" s="16" t="str">
        <f t="shared" ca="1" si="832"/>
        <v/>
      </c>
      <c r="J7379" s="17" t="str">
        <f t="shared" ca="1" si="833"/>
        <v/>
      </c>
    </row>
    <row r="7380" spans="1:10" x14ac:dyDescent="0.25">
      <c r="A7380" t="s">
        <v>957</v>
      </c>
      <c r="B7380" t="str">
        <f>ADDRESS(ROW(DFLoan1!B$13),COLUMN(DFLoan1!B$13),4)</f>
        <v>B13</v>
      </c>
      <c r="C7380" t="str">
        <f>ADDRESS(ROW(DFLoan1!C$13),COLUMN(DFLoan1!C$13),4)</f>
        <v>C13</v>
      </c>
      <c r="D7380" t="b" cm="1">
        <f t="array" aca="1" ref="D7380" ca="1">IF(INDIRECT("'"&amp;A7380&amp;"'!"&amp;B7380)="",FALSE,IF(NOT(ISNUMBER(INDIRECT("'"&amp;A7380&amp;"'!"&amp;B7380))),TRUE,FALSE))</f>
        <v>0</v>
      </c>
      <c r="E7380" t="s">
        <v>435</v>
      </c>
      <c r="F7380" t="str">
        <f>INDEX(Lists!I:I,MATCH(Validation!E7380,Lists!G:G,0))</f>
        <v>Error</v>
      </c>
      <c r="G7380" t="str">
        <f>INDEX(Lists!H:H,MATCH(Validation!E7380,Lists!G:G,0))</f>
        <v>Enter an amount only. Do not enter text or spaces.</v>
      </c>
      <c r="H7380" s="16" t="str">
        <f t="shared" ca="1" si="831"/>
        <v/>
      </c>
      <c r="I7380" s="16" t="str">
        <f t="shared" ca="1" si="832"/>
        <v/>
      </c>
      <c r="J7380" s="17" t="str">
        <f t="shared" ca="1" si="833"/>
        <v/>
      </c>
    </row>
    <row r="7381" spans="1:10" x14ac:dyDescent="0.25">
      <c r="A7381" t="s">
        <v>958</v>
      </c>
      <c r="B7381" t="str">
        <f>ADDRESS(ROW(DFLoan1!B$13),COLUMN(DFLoan1!B$13),4)</f>
        <v>B13</v>
      </c>
      <c r="C7381" t="str">
        <f>ADDRESS(ROW(DFLoan1!C$13),COLUMN(DFLoan1!C$13),4)</f>
        <v>C13</v>
      </c>
      <c r="D7381" t="b" cm="1">
        <f t="array" aca="1" ref="D7381" ca="1">IF(INDIRECT("'"&amp;A7381&amp;"'!"&amp;B7381)="",FALSE,IF(NOT(ISNUMBER(INDIRECT("'"&amp;A7381&amp;"'!"&amp;B7381))),TRUE,FALSE))</f>
        <v>0</v>
      </c>
      <c r="E7381" t="s">
        <v>435</v>
      </c>
      <c r="F7381" t="str">
        <f>INDEX(Lists!I:I,MATCH(Validation!E7381,Lists!G:G,0))</f>
        <v>Error</v>
      </c>
      <c r="G7381" t="str">
        <f>INDEX(Lists!H:H,MATCH(Validation!E7381,Lists!G:G,0))</f>
        <v>Enter an amount only. Do not enter text or spaces.</v>
      </c>
      <c r="H7381" s="16" t="str">
        <f t="shared" ca="1" si="831"/>
        <v/>
      </c>
      <c r="I7381" s="16" t="str">
        <f t="shared" ca="1" si="832"/>
        <v/>
      </c>
      <c r="J7381" s="17" t="str">
        <f t="shared" ca="1" si="833"/>
        <v/>
      </c>
    </row>
    <row r="7382" spans="1:10" x14ac:dyDescent="0.25">
      <c r="A7382" t="s">
        <v>959</v>
      </c>
      <c r="B7382" t="str">
        <f>ADDRESS(ROW(DFLoan1!B$13),COLUMN(DFLoan1!B$13),4)</f>
        <v>B13</v>
      </c>
      <c r="C7382" t="str">
        <f>ADDRESS(ROW(DFLoan1!C$13),COLUMN(DFLoan1!C$13),4)</f>
        <v>C13</v>
      </c>
      <c r="D7382" t="b" cm="1">
        <f t="array" aca="1" ref="D7382" ca="1">IF(INDIRECT("'"&amp;A7382&amp;"'!"&amp;B7382)="",FALSE,IF(NOT(ISNUMBER(INDIRECT("'"&amp;A7382&amp;"'!"&amp;B7382))),TRUE,FALSE))</f>
        <v>0</v>
      </c>
      <c r="E7382" t="s">
        <v>435</v>
      </c>
      <c r="F7382" t="str">
        <f>INDEX(Lists!I:I,MATCH(Validation!E7382,Lists!G:G,0))</f>
        <v>Error</v>
      </c>
      <c r="G7382" t="str">
        <f>INDEX(Lists!H:H,MATCH(Validation!E7382,Lists!G:G,0))</f>
        <v>Enter an amount only. Do not enter text or spaces.</v>
      </c>
      <c r="H7382" s="16" t="str">
        <f t="shared" ca="1" si="831"/>
        <v/>
      </c>
      <c r="I7382" s="16" t="str">
        <f t="shared" ca="1" si="832"/>
        <v/>
      </c>
      <c r="J7382" s="17" t="str">
        <f t="shared" ca="1" si="833"/>
        <v/>
      </c>
    </row>
    <row r="7383" spans="1:10" x14ac:dyDescent="0.25">
      <c r="A7383" t="s">
        <v>960</v>
      </c>
      <c r="B7383" t="str">
        <f>ADDRESS(ROW(DFLoan1!B$13),COLUMN(DFLoan1!B$13),4)</f>
        <v>B13</v>
      </c>
      <c r="C7383" t="str">
        <f>ADDRESS(ROW(DFLoan1!C$13),COLUMN(DFLoan1!C$13),4)</f>
        <v>C13</v>
      </c>
      <c r="D7383" t="b" cm="1">
        <f t="array" aca="1" ref="D7383" ca="1">IF(INDIRECT("'"&amp;A7383&amp;"'!"&amp;B7383)="",FALSE,IF(NOT(ISNUMBER(INDIRECT("'"&amp;A7383&amp;"'!"&amp;B7383))),TRUE,FALSE))</f>
        <v>0</v>
      </c>
      <c r="E7383" t="s">
        <v>435</v>
      </c>
      <c r="F7383" t="str">
        <f>INDEX(Lists!I:I,MATCH(Validation!E7383,Lists!G:G,0))</f>
        <v>Error</v>
      </c>
      <c r="G7383" t="str">
        <f>INDEX(Lists!H:H,MATCH(Validation!E7383,Lists!G:G,0))</f>
        <v>Enter an amount only. Do not enter text or spaces.</v>
      </c>
      <c r="H7383" s="16" t="str">
        <f t="shared" ca="1" si="831"/>
        <v/>
      </c>
      <c r="I7383" s="16" t="str">
        <f t="shared" ca="1" si="832"/>
        <v/>
      </c>
      <c r="J7383" s="17" t="str">
        <f t="shared" ca="1" si="833"/>
        <v/>
      </c>
    </row>
    <row r="7384" spans="1:10" x14ac:dyDescent="0.25">
      <c r="A7384" t="s">
        <v>961</v>
      </c>
      <c r="B7384" t="str">
        <f>ADDRESS(ROW(DFLoan1!B$13),COLUMN(DFLoan1!B$13),4)</f>
        <v>B13</v>
      </c>
      <c r="C7384" t="str">
        <f>ADDRESS(ROW(DFLoan1!C$13),COLUMN(DFLoan1!C$13),4)</f>
        <v>C13</v>
      </c>
      <c r="D7384" t="b" cm="1">
        <f t="array" aca="1" ref="D7384" ca="1">IF(INDIRECT("'"&amp;A7384&amp;"'!"&amp;B7384)="",FALSE,IF(NOT(ISNUMBER(INDIRECT("'"&amp;A7384&amp;"'!"&amp;B7384))),TRUE,FALSE))</f>
        <v>0</v>
      </c>
      <c r="E7384" t="s">
        <v>435</v>
      </c>
      <c r="F7384" t="str">
        <f>INDEX(Lists!I:I,MATCH(Validation!E7384,Lists!G:G,0))</f>
        <v>Error</v>
      </c>
      <c r="G7384" t="str">
        <f>INDEX(Lists!H:H,MATCH(Validation!E7384,Lists!G:G,0))</f>
        <v>Enter an amount only. Do not enter text or spaces.</v>
      </c>
      <c r="H7384" s="16" t="str">
        <f t="shared" ca="1" si="831"/>
        <v/>
      </c>
      <c r="I7384" s="16" t="str">
        <f t="shared" ca="1" si="832"/>
        <v/>
      </c>
      <c r="J7384" s="17" t="str">
        <f t="shared" ca="1" si="833"/>
        <v/>
      </c>
    </row>
    <row r="7385" spans="1:10" x14ac:dyDescent="0.25">
      <c r="A7385" t="s">
        <v>962</v>
      </c>
      <c r="B7385" t="str">
        <f>ADDRESS(ROW(DFLoan1!B$13),COLUMN(DFLoan1!B$13),4)</f>
        <v>B13</v>
      </c>
      <c r="C7385" t="str">
        <f>ADDRESS(ROW(DFLoan1!C$13),COLUMN(DFLoan1!C$13),4)</f>
        <v>C13</v>
      </c>
      <c r="D7385" t="b" cm="1">
        <f t="array" aca="1" ref="D7385" ca="1">IF(INDIRECT("'"&amp;A7385&amp;"'!"&amp;B7385)="",FALSE,IF(NOT(ISNUMBER(INDIRECT("'"&amp;A7385&amp;"'!"&amp;B7385))),TRUE,FALSE))</f>
        <v>0</v>
      </c>
      <c r="E7385" t="s">
        <v>435</v>
      </c>
      <c r="F7385" t="str">
        <f>INDEX(Lists!I:I,MATCH(Validation!E7385,Lists!G:G,0))</f>
        <v>Error</v>
      </c>
      <c r="G7385" t="str">
        <f>INDEX(Lists!H:H,MATCH(Validation!E7385,Lists!G:G,0))</f>
        <v>Enter an amount only. Do not enter text or spaces.</v>
      </c>
      <c r="H7385" s="16" t="str">
        <f t="shared" ca="1" si="831"/>
        <v/>
      </c>
      <c r="I7385" s="16" t="str">
        <f t="shared" ca="1" si="832"/>
        <v/>
      </c>
      <c r="J7385" s="17" t="str">
        <f t="shared" ca="1" si="833"/>
        <v/>
      </c>
    </row>
    <row r="7386" spans="1:10" x14ac:dyDescent="0.25">
      <c r="A7386" t="s">
        <v>963</v>
      </c>
      <c r="B7386" t="str">
        <f>ADDRESS(ROW(DFLoan1!B$13),COLUMN(DFLoan1!B$13),4)</f>
        <v>B13</v>
      </c>
      <c r="C7386" t="str">
        <f>ADDRESS(ROW(DFLoan1!C$13),COLUMN(DFLoan1!C$13),4)</f>
        <v>C13</v>
      </c>
      <c r="D7386" t="b" cm="1">
        <f t="array" aca="1" ref="D7386" ca="1">IF(INDIRECT("'"&amp;A7386&amp;"'!"&amp;B7386)="",FALSE,IF(NOT(ISNUMBER(INDIRECT("'"&amp;A7386&amp;"'!"&amp;B7386))),TRUE,FALSE))</f>
        <v>0</v>
      </c>
      <c r="E7386" t="s">
        <v>435</v>
      </c>
      <c r="F7386" t="str">
        <f>INDEX(Lists!I:I,MATCH(Validation!E7386,Lists!G:G,0))</f>
        <v>Error</v>
      </c>
      <c r="G7386" t="str">
        <f>INDEX(Lists!H:H,MATCH(Validation!E7386,Lists!G:G,0))</f>
        <v>Enter an amount only. Do not enter text or spaces.</v>
      </c>
      <c r="H7386" s="16" t="str">
        <f t="shared" ca="1" si="831"/>
        <v/>
      </c>
      <c r="I7386" s="16" t="str">
        <f t="shared" ca="1" si="832"/>
        <v/>
      </c>
      <c r="J7386" s="17" t="str">
        <f t="shared" ca="1" si="833"/>
        <v/>
      </c>
    </row>
    <row r="7387" spans="1:10" x14ac:dyDescent="0.25">
      <c r="A7387" t="s">
        <v>964</v>
      </c>
      <c r="B7387" t="str">
        <f>ADDRESS(ROW(DFLoan1!B$13),COLUMN(DFLoan1!B$13),4)</f>
        <v>B13</v>
      </c>
      <c r="C7387" t="str">
        <f>ADDRESS(ROW(DFLoan1!C$13),COLUMN(DFLoan1!C$13),4)</f>
        <v>C13</v>
      </c>
      <c r="D7387" t="b" cm="1">
        <f t="array" aca="1" ref="D7387" ca="1">IF(INDIRECT("'"&amp;A7387&amp;"'!"&amp;B7387)="",FALSE,IF(NOT(ISNUMBER(INDIRECT("'"&amp;A7387&amp;"'!"&amp;B7387))),TRUE,FALSE))</f>
        <v>0</v>
      </c>
      <c r="E7387" t="s">
        <v>435</v>
      </c>
      <c r="F7387" t="str">
        <f>INDEX(Lists!I:I,MATCH(Validation!E7387,Lists!G:G,0))</f>
        <v>Error</v>
      </c>
      <c r="G7387" t="str">
        <f>INDEX(Lists!H:H,MATCH(Validation!E7387,Lists!G:G,0))</f>
        <v>Enter an amount only. Do not enter text or spaces.</v>
      </c>
      <c r="H7387" s="16" t="str">
        <f t="shared" ca="1" si="831"/>
        <v/>
      </c>
      <c r="I7387" s="16" t="str">
        <f t="shared" ca="1" si="832"/>
        <v/>
      </c>
      <c r="J7387" s="17" t="str">
        <f t="shared" ca="1" si="833"/>
        <v/>
      </c>
    </row>
    <row r="7388" spans="1:10" x14ac:dyDescent="0.25">
      <c r="A7388" t="s">
        <v>965</v>
      </c>
      <c r="B7388" t="str">
        <f>ADDRESS(ROW(DFLoan1!B$13),COLUMN(DFLoan1!B$13),4)</f>
        <v>B13</v>
      </c>
      <c r="C7388" t="str">
        <f>ADDRESS(ROW(DFLoan1!C$13),COLUMN(DFLoan1!C$13),4)</f>
        <v>C13</v>
      </c>
      <c r="D7388" t="b" cm="1">
        <f t="array" aca="1" ref="D7388" ca="1">IF(INDIRECT("'"&amp;A7388&amp;"'!"&amp;B7388)="",FALSE,IF(NOT(ISNUMBER(INDIRECT("'"&amp;A7388&amp;"'!"&amp;B7388))),TRUE,FALSE))</f>
        <v>0</v>
      </c>
      <c r="E7388" t="s">
        <v>435</v>
      </c>
      <c r="F7388" t="str">
        <f>INDEX(Lists!I:I,MATCH(Validation!E7388,Lists!G:G,0))</f>
        <v>Error</v>
      </c>
      <c r="G7388" t="str">
        <f>INDEX(Lists!H:H,MATCH(Validation!E7388,Lists!G:G,0))</f>
        <v>Enter an amount only. Do not enter text or spaces.</v>
      </c>
      <c r="H7388" s="16" t="str">
        <f t="shared" ca="1" si="831"/>
        <v/>
      </c>
      <c r="I7388" s="16" t="str">
        <f t="shared" ca="1" si="832"/>
        <v/>
      </c>
      <c r="J7388" s="17" t="str">
        <f t="shared" ca="1" si="833"/>
        <v/>
      </c>
    </row>
    <row r="7389" spans="1:10" x14ac:dyDescent="0.25">
      <c r="A7389" t="s">
        <v>966</v>
      </c>
      <c r="B7389" t="str">
        <f>ADDRESS(ROW(DFLoan1!B$13),COLUMN(DFLoan1!B$13),4)</f>
        <v>B13</v>
      </c>
      <c r="C7389" t="str">
        <f>ADDRESS(ROW(DFLoan1!C$13),COLUMN(DFLoan1!C$13),4)</f>
        <v>C13</v>
      </c>
      <c r="D7389" t="b" cm="1">
        <f t="array" aca="1" ref="D7389" ca="1">IF(INDIRECT("'"&amp;A7389&amp;"'!"&amp;B7389)="",FALSE,IF(NOT(ISNUMBER(INDIRECT("'"&amp;A7389&amp;"'!"&amp;B7389))),TRUE,FALSE))</f>
        <v>0</v>
      </c>
      <c r="E7389" t="s">
        <v>435</v>
      </c>
      <c r="F7389" t="str">
        <f>INDEX(Lists!I:I,MATCH(Validation!E7389,Lists!G:G,0))</f>
        <v>Error</v>
      </c>
      <c r="G7389" t="str">
        <f>INDEX(Lists!H:H,MATCH(Validation!E7389,Lists!G:G,0))</f>
        <v>Enter an amount only. Do not enter text or spaces.</v>
      </c>
      <c r="H7389" s="16" t="str">
        <f t="shared" ca="1" si="831"/>
        <v/>
      </c>
      <c r="I7389" s="16" t="str">
        <f t="shared" ca="1" si="832"/>
        <v/>
      </c>
      <c r="J7389" s="17" t="str">
        <f t="shared" ca="1" si="833"/>
        <v/>
      </c>
    </row>
    <row r="7390" spans="1:10" x14ac:dyDescent="0.25">
      <c r="A7390" t="s">
        <v>881</v>
      </c>
      <c r="B7390" t="str">
        <f>ADDRESS(ROW(DFLoan1!B$13),COLUMN(DFLoan1!B$13),4)</f>
        <v>B13</v>
      </c>
      <c r="C7390" t="str">
        <f>ADDRESS(ROW(DFLoan1!C$13),COLUMN(DFLoan1!C$13),4)</f>
        <v>C13</v>
      </c>
      <c r="D7390" t="b" cm="1">
        <f t="array" aca="1" ref="D7390" ca="1">IF(INDIRECT("'"&amp;A7390&amp;"'!"&amp;B7390)="",FALSE,IF(INDIRECT("'"&amp;A7390&amp;"'!"&amp;B7390)&lt;INDIRECT("'"&amp;A7390&amp;"'!B$12"),TRUE,FALSE))</f>
        <v>0</v>
      </c>
      <c r="E7390" t="s">
        <v>708</v>
      </c>
      <c r="F7390" t="str">
        <f>INDEX(Lists!I:I,MATCH(Validation!E7390,Lists!G:G,0))</f>
        <v>Error</v>
      </c>
      <c r="G7390" t="str">
        <f>INDEX(Lists!H:H,MATCH(Validation!E7390,Lists!G:G,0))</f>
        <v>High interest rate must equal or exceed the low interest rate.</v>
      </c>
      <c r="H7390" s="16" t="str">
        <f t="shared" ca="1" si="831"/>
        <v/>
      </c>
      <c r="I7390" s="16" t="str">
        <f t="shared" ca="1" si="832"/>
        <v/>
      </c>
      <c r="J7390" s="17" t="str">
        <f t="shared" ca="1" si="833"/>
        <v/>
      </c>
    </row>
    <row r="7391" spans="1:10" x14ac:dyDescent="0.25">
      <c r="A7391" t="s">
        <v>953</v>
      </c>
      <c r="B7391" t="str">
        <f>ADDRESS(ROW(DFLoan1!B$13),COLUMN(DFLoan1!B$13),4)</f>
        <v>B13</v>
      </c>
      <c r="C7391" t="str">
        <f>ADDRESS(ROW(DFLoan1!C$13),COLUMN(DFLoan1!C$13),4)</f>
        <v>C13</v>
      </c>
      <c r="D7391" t="b" cm="1">
        <f t="array" aca="1" ref="D7391" ca="1">IF(INDIRECT("'"&amp;A7391&amp;"'!"&amp;B7391)="",FALSE,IF(INDIRECT("'"&amp;A7391&amp;"'!"&amp;B7391)&lt;INDIRECT("'"&amp;A7391&amp;"'!B$12"),TRUE,FALSE))</f>
        <v>0</v>
      </c>
      <c r="E7391" t="s">
        <v>708</v>
      </c>
      <c r="F7391" t="str">
        <f>INDEX(Lists!I:I,MATCH(Validation!E7391,Lists!G:G,0))</f>
        <v>Error</v>
      </c>
      <c r="G7391" t="str">
        <f>INDEX(Lists!H:H,MATCH(Validation!E7391,Lists!G:G,0))</f>
        <v>High interest rate must equal or exceed the low interest rate.</v>
      </c>
      <c r="H7391" s="16" t="str">
        <f t="shared" ca="1" si="831"/>
        <v/>
      </c>
      <c r="I7391" s="16" t="str">
        <f t="shared" ca="1" si="832"/>
        <v/>
      </c>
      <c r="J7391" s="17" t="str">
        <f t="shared" ca="1" si="833"/>
        <v/>
      </c>
    </row>
    <row r="7392" spans="1:10" x14ac:dyDescent="0.25">
      <c r="A7392" t="s">
        <v>954</v>
      </c>
      <c r="B7392" t="str">
        <f>ADDRESS(ROW(DFLoan1!B$13),COLUMN(DFLoan1!B$13),4)</f>
        <v>B13</v>
      </c>
      <c r="C7392" t="str">
        <f>ADDRESS(ROW(DFLoan1!C$13),COLUMN(DFLoan1!C$13),4)</f>
        <v>C13</v>
      </c>
      <c r="D7392" t="b" cm="1">
        <f t="array" aca="1" ref="D7392" ca="1">IF(INDIRECT("'"&amp;A7392&amp;"'!"&amp;B7392)="",FALSE,IF(INDIRECT("'"&amp;A7392&amp;"'!"&amp;B7392)&lt;INDIRECT("'"&amp;A7392&amp;"'!B$12"),TRUE,FALSE))</f>
        <v>0</v>
      </c>
      <c r="E7392" t="s">
        <v>708</v>
      </c>
      <c r="F7392" t="str">
        <f>INDEX(Lists!I:I,MATCH(Validation!E7392,Lists!G:G,0))</f>
        <v>Error</v>
      </c>
      <c r="G7392" t="str">
        <f>INDEX(Lists!H:H,MATCH(Validation!E7392,Lists!G:G,0))</f>
        <v>High interest rate must equal or exceed the low interest rate.</v>
      </c>
      <c r="H7392" s="16" t="str">
        <f t="shared" ca="1" si="831"/>
        <v/>
      </c>
      <c r="I7392" s="16" t="str">
        <f t="shared" ca="1" si="832"/>
        <v/>
      </c>
      <c r="J7392" s="17" t="str">
        <f t="shared" ca="1" si="833"/>
        <v/>
      </c>
    </row>
    <row r="7393" spans="1:10" x14ac:dyDescent="0.25">
      <c r="A7393" t="s">
        <v>955</v>
      </c>
      <c r="B7393" t="str">
        <f>ADDRESS(ROW(DFLoan1!B$13),COLUMN(DFLoan1!B$13),4)</f>
        <v>B13</v>
      </c>
      <c r="C7393" t="str">
        <f>ADDRESS(ROW(DFLoan1!C$13),COLUMN(DFLoan1!C$13),4)</f>
        <v>C13</v>
      </c>
      <c r="D7393" t="b" cm="1">
        <f t="array" aca="1" ref="D7393" ca="1">IF(INDIRECT("'"&amp;A7393&amp;"'!"&amp;B7393)="",FALSE,IF(INDIRECT("'"&amp;A7393&amp;"'!"&amp;B7393)&lt;INDIRECT("'"&amp;A7393&amp;"'!B$12"),TRUE,FALSE))</f>
        <v>0</v>
      </c>
      <c r="E7393" t="s">
        <v>708</v>
      </c>
      <c r="F7393" t="str">
        <f>INDEX(Lists!I:I,MATCH(Validation!E7393,Lists!G:G,0))</f>
        <v>Error</v>
      </c>
      <c r="G7393" t="str">
        <f>INDEX(Lists!H:H,MATCH(Validation!E7393,Lists!G:G,0))</f>
        <v>High interest rate must equal or exceed the low interest rate.</v>
      </c>
      <c r="H7393" s="16" t="str">
        <f t="shared" ca="1" si="831"/>
        <v/>
      </c>
      <c r="I7393" s="16" t="str">
        <f t="shared" ca="1" si="832"/>
        <v/>
      </c>
      <c r="J7393" s="17" t="str">
        <f t="shared" ca="1" si="833"/>
        <v/>
      </c>
    </row>
    <row r="7394" spans="1:10" x14ac:dyDescent="0.25">
      <c r="A7394" t="s">
        <v>956</v>
      </c>
      <c r="B7394" t="str">
        <f>ADDRESS(ROW(DFLoan1!B$13),COLUMN(DFLoan1!B$13),4)</f>
        <v>B13</v>
      </c>
      <c r="C7394" t="str">
        <f>ADDRESS(ROW(DFLoan1!C$13),COLUMN(DFLoan1!C$13),4)</f>
        <v>C13</v>
      </c>
      <c r="D7394" t="b" cm="1">
        <f t="array" aca="1" ref="D7394" ca="1">IF(INDIRECT("'"&amp;A7394&amp;"'!"&amp;B7394)="",FALSE,IF(INDIRECT("'"&amp;A7394&amp;"'!"&amp;B7394)&lt;INDIRECT("'"&amp;A7394&amp;"'!B$12"),TRUE,FALSE))</f>
        <v>0</v>
      </c>
      <c r="E7394" t="s">
        <v>708</v>
      </c>
      <c r="F7394" t="str">
        <f>INDEX(Lists!I:I,MATCH(Validation!E7394,Lists!G:G,0))</f>
        <v>Error</v>
      </c>
      <c r="G7394" t="str">
        <f>INDEX(Lists!H:H,MATCH(Validation!E7394,Lists!G:G,0))</f>
        <v>High interest rate must equal or exceed the low interest rate.</v>
      </c>
      <c r="H7394" s="16" t="str">
        <f t="shared" ca="1" si="831"/>
        <v/>
      </c>
      <c r="I7394" s="16" t="str">
        <f t="shared" ca="1" si="832"/>
        <v/>
      </c>
      <c r="J7394" s="17" t="str">
        <f t="shared" ca="1" si="833"/>
        <v/>
      </c>
    </row>
    <row r="7395" spans="1:10" x14ac:dyDescent="0.25">
      <c r="A7395" t="s">
        <v>957</v>
      </c>
      <c r="B7395" t="str">
        <f>ADDRESS(ROW(DFLoan1!B$13),COLUMN(DFLoan1!B$13),4)</f>
        <v>B13</v>
      </c>
      <c r="C7395" t="str">
        <f>ADDRESS(ROW(DFLoan1!C$13),COLUMN(DFLoan1!C$13),4)</f>
        <v>C13</v>
      </c>
      <c r="D7395" t="b" cm="1">
        <f t="array" aca="1" ref="D7395" ca="1">IF(INDIRECT("'"&amp;A7395&amp;"'!"&amp;B7395)="",FALSE,IF(INDIRECT("'"&amp;A7395&amp;"'!"&amp;B7395)&lt;INDIRECT("'"&amp;A7395&amp;"'!B$12"),TRUE,FALSE))</f>
        <v>0</v>
      </c>
      <c r="E7395" t="s">
        <v>708</v>
      </c>
      <c r="F7395" t="str">
        <f>INDEX(Lists!I:I,MATCH(Validation!E7395,Lists!G:G,0))</f>
        <v>Error</v>
      </c>
      <c r="G7395" t="str">
        <f>INDEX(Lists!H:H,MATCH(Validation!E7395,Lists!G:G,0))</f>
        <v>High interest rate must equal or exceed the low interest rate.</v>
      </c>
      <c r="H7395" s="16" t="str">
        <f t="shared" ca="1" si="831"/>
        <v/>
      </c>
      <c r="I7395" s="16" t="str">
        <f t="shared" ca="1" si="832"/>
        <v/>
      </c>
      <c r="J7395" s="17" t="str">
        <f t="shared" ca="1" si="833"/>
        <v/>
      </c>
    </row>
    <row r="7396" spans="1:10" x14ac:dyDescent="0.25">
      <c r="A7396" t="s">
        <v>958</v>
      </c>
      <c r="B7396" t="str">
        <f>ADDRESS(ROW(DFLoan1!B$13),COLUMN(DFLoan1!B$13),4)</f>
        <v>B13</v>
      </c>
      <c r="C7396" t="str">
        <f>ADDRESS(ROW(DFLoan1!C$13),COLUMN(DFLoan1!C$13),4)</f>
        <v>C13</v>
      </c>
      <c r="D7396" t="b" cm="1">
        <f t="array" aca="1" ref="D7396" ca="1">IF(INDIRECT("'"&amp;A7396&amp;"'!"&amp;B7396)="",FALSE,IF(INDIRECT("'"&amp;A7396&amp;"'!"&amp;B7396)&lt;INDIRECT("'"&amp;A7396&amp;"'!B$12"),TRUE,FALSE))</f>
        <v>0</v>
      </c>
      <c r="E7396" t="s">
        <v>708</v>
      </c>
      <c r="F7396" t="str">
        <f>INDEX(Lists!I:I,MATCH(Validation!E7396,Lists!G:G,0))</f>
        <v>Error</v>
      </c>
      <c r="G7396" t="str">
        <f>INDEX(Lists!H:H,MATCH(Validation!E7396,Lists!G:G,0))</f>
        <v>High interest rate must equal or exceed the low interest rate.</v>
      </c>
      <c r="H7396" s="16" t="str">
        <f t="shared" ca="1" si="831"/>
        <v/>
      </c>
      <c r="I7396" s="16" t="str">
        <f t="shared" ca="1" si="832"/>
        <v/>
      </c>
      <c r="J7396" s="17" t="str">
        <f t="shared" ca="1" si="833"/>
        <v/>
      </c>
    </row>
    <row r="7397" spans="1:10" x14ac:dyDescent="0.25">
      <c r="A7397" t="s">
        <v>959</v>
      </c>
      <c r="B7397" t="str">
        <f>ADDRESS(ROW(DFLoan1!B$13),COLUMN(DFLoan1!B$13),4)</f>
        <v>B13</v>
      </c>
      <c r="C7397" t="str">
        <f>ADDRESS(ROW(DFLoan1!C$13),COLUMN(DFLoan1!C$13),4)</f>
        <v>C13</v>
      </c>
      <c r="D7397" t="b" cm="1">
        <f t="array" aca="1" ref="D7397" ca="1">IF(INDIRECT("'"&amp;A7397&amp;"'!"&amp;B7397)="",FALSE,IF(INDIRECT("'"&amp;A7397&amp;"'!"&amp;B7397)&lt;INDIRECT("'"&amp;A7397&amp;"'!B$12"),TRUE,FALSE))</f>
        <v>0</v>
      </c>
      <c r="E7397" t="s">
        <v>708</v>
      </c>
      <c r="F7397" t="str">
        <f>INDEX(Lists!I:I,MATCH(Validation!E7397,Lists!G:G,0))</f>
        <v>Error</v>
      </c>
      <c r="G7397" t="str">
        <f>INDEX(Lists!H:H,MATCH(Validation!E7397,Lists!G:G,0))</f>
        <v>High interest rate must equal or exceed the low interest rate.</v>
      </c>
      <c r="H7397" s="16" t="str">
        <f t="shared" ca="1" si="831"/>
        <v/>
      </c>
      <c r="I7397" s="16" t="str">
        <f t="shared" ca="1" si="832"/>
        <v/>
      </c>
      <c r="J7397" s="17" t="str">
        <f t="shared" ca="1" si="833"/>
        <v/>
      </c>
    </row>
    <row r="7398" spans="1:10" x14ac:dyDescent="0.25">
      <c r="A7398" t="s">
        <v>960</v>
      </c>
      <c r="B7398" t="str">
        <f>ADDRESS(ROW(DFLoan1!B$13),COLUMN(DFLoan1!B$13),4)</f>
        <v>B13</v>
      </c>
      <c r="C7398" t="str">
        <f>ADDRESS(ROW(DFLoan1!C$13),COLUMN(DFLoan1!C$13),4)</f>
        <v>C13</v>
      </c>
      <c r="D7398" t="b" cm="1">
        <f t="array" aca="1" ref="D7398" ca="1">IF(INDIRECT("'"&amp;A7398&amp;"'!"&amp;B7398)="",FALSE,IF(INDIRECT("'"&amp;A7398&amp;"'!"&amp;B7398)&lt;INDIRECT("'"&amp;A7398&amp;"'!B$12"),TRUE,FALSE))</f>
        <v>0</v>
      </c>
      <c r="E7398" t="s">
        <v>708</v>
      </c>
      <c r="F7398" t="str">
        <f>INDEX(Lists!I:I,MATCH(Validation!E7398,Lists!G:G,0))</f>
        <v>Error</v>
      </c>
      <c r="G7398" t="str">
        <f>INDEX(Lists!H:H,MATCH(Validation!E7398,Lists!G:G,0))</f>
        <v>High interest rate must equal or exceed the low interest rate.</v>
      </c>
      <c r="H7398" s="16" t="str">
        <f t="shared" ca="1" si="831"/>
        <v/>
      </c>
      <c r="I7398" s="16" t="str">
        <f t="shared" ca="1" si="832"/>
        <v/>
      </c>
      <c r="J7398" s="17" t="str">
        <f t="shared" ca="1" si="833"/>
        <v/>
      </c>
    </row>
    <row r="7399" spans="1:10" x14ac:dyDescent="0.25">
      <c r="A7399" t="s">
        <v>961</v>
      </c>
      <c r="B7399" t="str">
        <f>ADDRESS(ROW(DFLoan1!B$13),COLUMN(DFLoan1!B$13),4)</f>
        <v>B13</v>
      </c>
      <c r="C7399" t="str">
        <f>ADDRESS(ROW(DFLoan1!C$13),COLUMN(DFLoan1!C$13),4)</f>
        <v>C13</v>
      </c>
      <c r="D7399" t="b" cm="1">
        <f t="array" aca="1" ref="D7399" ca="1">IF(INDIRECT("'"&amp;A7399&amp;"'!"&amp;B7399)="",FALSE,IF(INDIRECT("'"&amp;A7399&amp;"'!"&amp;B7399)&lt;INDIRECT("'"&amp;A7399&amp;"'!B$12"),TRUE,FALSE))</f>
        <v>0</v>
      </c>
      <c r="E7399" t="s">
        <v>708</v>
      </c>
      <c r="F7399" t="str">
        <f>INDEX(Lists!I:I,MATCH(Validation!E7399,Lists!G:G,0))</f>
        <v>Error</v>
      </c>
      <c r="G7399" t="str">
        <f>INDEX(Lists!H:H,MATCH(Validation!E7399,Lists!G:G,0))</f>
        <v>High interest rate must equal or exceed the low interest rate.</v>
      </c>
      <c r="H7399" s="16" t="str">
        <f t="shared" ca="1" si="831"/>
        <v/>
      </c>
      <c r="I7399" s="16" t="str">
        <f t="shared" ca="1" si="832"/>
        <v/>
      </c>
      <c r="J7399" s="17" t="str">
        <f t="shared" ca="1" si="833"/>
        <v/>
      </c>
    </row>
    <row r="7400" spans="1:10" x14ac:dyDescent="0.25">
      <c r="A7400" t="s">
        <v>962</v>
      </c>
      <c r="B7400" t="str">
        <f>ADDRESS(ROW(DFLoan1!B$13),COLUMN(DFLoan1!B$13),4)</f>
        <v>B13</v>
      </c>
      <c r="C7400" t="str">
        <f>ADDRESS(ROW(DFLoan1!C$13),COLUMN(DFLoan1!C$13),4)</f>
        <v>C13</v>
      </c>
      <c r="D7400" t="b" cm="1">
        <f t="array" aca="1" ref="D7400" ca="1">IF(INDIRECT("'"&amp;A7400&amp;"'!"&amp;B7400)="",FALSE,IF(INDIRECT("'"&amp;A7400&amp;"'!"&amp;B7400)&lt;INDIRECT("'"&amp;A7400&amp;"'!B$12"),TRUE,FALSE))</f>
        <v>0</v>
      </c>
      <c r="E7400" t="s">
        <v>708</v>
      </c>
      <c r="F7400" t="str">
        <f>INDEX(Lists!I:I,MATCH(Validation!E7400,Lists!G:G,0))</f>
        <v>Error</v>
      </c>
      <c r="G7400" t="str">
        <f>INDEX(Lists!H:H,MATCH(Validation!E7400,Lists!G:G,0))</f>
        <v>High interest rate must equal or exceed the low interest rate.</v>
      </c>
      <c r="H7400" s="16" t="str">
        <f t="shared" ca="1" si="831"/>
        <v/>
      </c>
      <c r="I7400" s="16" t="str">
        <f t="shared" ca="1" si="832"/>
        <v/>
      </c>
      <c r="J7400" s="17" t="str">
        <f t="shared" ca="1" si="833"/>
        <v/>
      </c>
    </row>
    <row r="7401" spans="1:10" x14ac:dyDescent="0.25">
      <c r="A7401" t="s">
        <v>963</v>
      </c>
      <c r="B7401" t="str">
        <f>ADDRESS(ROW(DFLoan1!B$13),COLUMN(DFLoan1!B$13),4)</f>
        <v>B13</v>
      </c>
      <c r="C7401" t="str">
        <f>ADDRESS(ROW(DFLoan1!C$13),COLUMN(DFLoan1!C$13),4)</f>
        <v>C13</v>
      </c>
      <c r="D7401" t="b" cm="1">
        <f t="array" aca="1" ref="D7401" ca="1">IF(INDIRECT("'"&amp;A7401&amp;"'!"&amp;B7401)="",FALSE,IF(INDIRECT("'"&amp;A7401&amp;"'!"&amp;B7401)&lt;INDIRECT("'"&amp;A7401&amp;"'!B$12"),TRUE,FALSE))</f>
        <v>0</v>
      </c>
      <c r="E7401" t="s">
        <v>708</v>
      </c>
      <c r="F7401" t="str">
        <f>INDEX(Lists!I:I,MATCH(Validation!E7401,Lists!G:G,0))</f>
        <v>Error</v>
      </c>
      <c r="G7401" t="str">
        <f>INDEX(Lists!H:H,MATCH(Validation!E7401,Lists!G:G,0))</f>
        <v>High interest rate must equal or exceed the low interest rate.</v>
      </c>
      <c r="H7401" s="16" t="str">
        <f t="shared" ca="1" si="831"/>
        <v/>
      </c>
      <c r="I7401" s="16" t="str">
        <f t="shared" ca="1" si="832"/>
        <v/>
      </c>
      <c r="J7401" s="17" t="str">
        <f t="shared" ca="1" si="833"/>
        <v/>
      </c>
    </row>
    <row r="7402" spans="1:10" x14ac:dyDescent="0.25">
      <c r="A7402" t="s">
        <v>964</v>
      </c>
      <c r="B7402" t="str">
        <f>ADDRESS(ROW(DFLoan1!B$13),COLUMN(DFLoan1!B$13),4)</f>
        <v>B13</v>
      </c>
      <c r="C7402" t="str">
        <f>ADDRESS(ROW(DFLoan1!C$13),COLUMN(DFLoan1!C$13),4)</f>
        <v>C13</v>
      </c>
      <c r="D7402" t="b" cm="1">
        <f t="array" aca="1" ref="D7402" ca="1">IF(INDIRECT("'"&amp;A7402&amp;"'!"&amp;B7402)="",FALSE,IF(INDIRECT("'"&amp;A7402&amp;"'!"&amp;B7402)&lt;INDIRECT("'"&amp;A7402&amp;"'!B$12"),TRUE,FALSE))</f>
        <v>0</v>
      </c>
      <c r="E7402" t="s">
        <v>708</v>
      </c>
      <c r="F7402" t="str">
        <f>INDEX(Lists!I:I,MATCH(Validation!E7402,Lists!G:G,0))</f>
        <v>Error</v>
      </c>
      <c r="G7402" t="str">
        <f>INDEX(Lists!H:H,MATCH(Validation!E7402,Lists!G:G,0))</f>
        <v>High interest rate must equal or exceed the low interest rate.</v>
      </c>
      <c r="H7402" s="16" t="str">
        <f t="shared" ca="1" si="831"/>
        <v/>
      </c>
      <c r="I7402" s="16" t="str">
        <f t="shared" ca="1" si="832"/>
        <v/>
      </c>
      <c r="J7402" s="17" t="str">
        <f t="shared" ca="1" si="833"/>
        <v/>
      </c>
    </row>
    <row r="7403" spans="1:10" x14ac:dyDescent="0.25">
      <c r="A7403" t="s">
        <v>965</v>
      </c>
      <c r="B7403" t="str">
        <f>ADDRESS(ROW(DFLoan1!B$13),COLUMN(DFLoan1!B$13),4)</f>
        <v>B13</v>
      </c>
      <c r="C7403" t="str">
        <f>ADDRESS(ROW(DFLoan1!C$13),COLUMN(DFLoan1!C$13),4)</f>
        <v>C13</v>
      </c>
      <c r="D7403" t="b" cm="1">
        <f t="array" aca="1" ref="D7403" ca="1">IF(INDIRECT("'"&amp;A7403&amp;"'!"&amp;B7403)="",FALSE,IF(INDIRECT("'"&amp;A7403&amp;"'!"&amp;B7403)&lt;INDIRECT("'"&amp;A7403&amp;"'!B$12"),TRUE,FALSE))</f>
        <v>0</v>
      </c>
      <c r="E7403" t="s">
        <v>708</v>
      </c>
      <c r="F7403" t="str">
        <f>INDEX(Lists!I:I,MATCH(Validation!E7403,Lists!G:G,0))</f>
        <v>Error</v>
      </c>
      <c r="G7403" t="str">
        <f>INDEX(Lists!H:H,MATCH(Validation!E7403,Lists!G:G,0))</f>
        <v>High interest rate must equal or exceed the low interest rate.</v>
      </c>
      <c r="H7403" s="16" t="str">
        <f t="shared" ca="1" si="831"/>
        <v/>
      </c>
      <c r="I7403" s="16" t="str">
        <f t="shared" ca="1" si="832"/>
        <v/>
      </c>
      <c r="J7403" s="17" t="str">
        <f t="shared" ca="1" si="833"/>
        <v/>
      </c>
    </row>
    <row r="7404" spans="1:10" x14ac:dyDescent="0.25">
      <c r="A7404" t="s">
        <v>966</v>
      </c>
      <c r="B7404" t="str">
        <f>ADDRESS(ROW(DFLoan1!B$13),COLUMN(DFLoan1!B$13),4)</f>
        <v>B13</v>
      </c>
      <c r="C7404" t="str">
        <f>ADDRESS(ROW(DFLoan1!C$13),COLUMN(DFLoan1!C$13),4)</f>
        <v>C13</v>
      </c>
      <c r="D7404" t="b" cm="1">
        <f t="array" aca="1" ref="D7404" ca="1">IF(INDIRECT("'"&amp;A7404&amp;"'!"&amp;B7404)="",FALSE,IF(INDIRECT("'"&amp;A7404&amp;"'!"&amp;B7404)&lt;INDIRECT("'"&amp;A7404&amp;"'!B$12"),TRUE,FALSE))</f>
        <v>0</v>
      </c>
      <c r="E7404" t="s">
        <v>708</v>
      </c>
      <c r="F7404" t="str">
        <f>INDEX(Lists!I:I,MATCH(Validation!E7404,Lists!G:G,0))</f>
        <v>Error</v>
      </c>
      <c r="G7404" t="str">
        <f>INDEX(Lists!H:H,MATCH(Validation!E7404,Lists!G:G,0))</f>
        <v>High interest rate must equal or exceed the low interest rate.</v>
      </c>
      <c r="H7404" s="16" t="str">
        <f t="shared" ca="1" si="831"/>
        <v/>
      </c>
      <c r="I7404" s="16" t="str">
        <f t="shared" ca="1" si="832"/>
        <v/>
      </c>
      <c r="J7404" s="17" t="str">
        <f t="shared" ca="1" si="833"/>
        <v/>
      </c>
    </row>
    <row r="7405" spans="1:10" x14ac:dyDescent="0.25">
      <c r="A7405" t="s">
        <v>881</v>
      </c>
      <c r="B7405" t="str">
        <f>ADDRESS(ROW(DFLoan1!B$13),COLUMN(DFLoan1!B$13),4)</f>
        <v>B13</v>
      </c>
      <c r="C7405" t="str">
        <f>ADDRESS(ROW(DFLoan1!C$13),COLUMN(DFLoan1!C$13),4)</f>
        <v>C13</v>
      </c>
      <c r="D7405" t="b" cm="1">
        <f t="array" aca="1" ref="D7405" ca="1">IF(INDIRECT("'"&amp;A7405&amp;"'!"&amp;B7405)="",FALSE,IF(INDIRECT("'"&amp;A7405&amp;"'!"&amp;B7405)&gt;10,TRUE,FALSE))</f>
        <v>0</v>
      </c>
      <c r="E7405" t="s">
        <v>709</v>
      </c>
      <c r="F7405" t="str">
        <f>INDEX(Lists!I:I,MATCH(Validation!E7405,Lists!G:G,0))</f>
        <v>Alert</v>
      </c>
      <c r="G7405" t="str">
        <f>INDEX(Lists!H:H,MATCH(Validation!E7405,Lists!G:G,0))</f>
        <v>High interest rate exceeds typical rates. Correct entry or explain in comments box.</v>
      </c>
      <c r="H7405" s="16" t="str">
        <f t="shared" ca="1" si="831"/>
        <v/>
      </c>
      <c r="I7405" s="16" t="str">
        <f t="shared" ca="1" si="832"/>
        <v/>
      </c>
      <c r="J7405" s="17" t="str">
        <f t="shared" ca="1" si="833"/>
        <v/>
      </c>
    </row>
    <row r="7406" spans="1:10" x14ac:dyDescent="0.25">
      <c r="A7406" t="s">
        <v>953</v>
      </c>
      <c r="B7406" t="str">
        <f>ADDRESS(ROW(DFLoan1!B$13),COLUMN(DFLoan1!B$13),4)</f>
        <v>B13</v>
      </c>
      <c r="C7406" t="str">
        <f>ADDRESS(ROW(DFLoan1!C$13),COLUMN(DFLoan1!C$13),4)</f>
        <v>C13</v>
      </c>
      <c r="D7406" t="b" cm="1">
        <f t="array" aca="1" ref="D7406" ca="1">IF(INDIRECT("'"&amp;A7406&amp;"'!"&amp;B7406)="",FALSE,IF(INDIRECT("'"&amp;A7406&amp;"'!"&amp;B7406)&gt;10,TRUE,FALSE))</f>
        <v>0</v>
      </c>
      <c r="E7406" t="s">
        <v>709</v>
      </c>
      <c r="F7406" t="str">
        <f>INDEX(Lists!I:I,MATCH(Validation!E7406,Lists!G:G,0))</f>
        <v>Alert</v>
      </c>
      <c r="G7406" t="str">
        <f>INDEX(Lists!H:H,MATCH(Validation!E7406,Lists!G:G,0))</f>
        <v>High interest rate exceeds typical rates. Correct entry or explain in comments box.</v>
      </c>
      <c r="H7406" s="16" t="str">
        <f t="shared" ca="1" si="831"/>
        <v/>
      </c>
      <c r="I7406" s="16" t="str">
        <f t="shared" ca="1" si="832"/>
        <v/>
      </c>
      <c r="J7406" s="17" t="str">
        <f t="shared" ca="1" si="833"/>
        <v/>
      </c>
    </row>
    <row r="7407" spans="1:10" x14ac:dyDescent="0.25">
      <c r="A7407" t="s">
        <v>954</v>
      </c>
      <c r="B7407" t="str">
        <f>ADDRESS(ROW(DFLoan1!B$13),COLUMN(DFLoan1!B$13),4)</f>
        <v>B13</v>
      </c>
      <c r="C7407" t="str">
        <f>ADDRESS(ROW(DFLoan1!C$13),COLUMN(DFLoan1!C$13),4)</f>
        <v>C13</v>
      </c>
      <c r="D7407" t="b" cm="1">
        <f t="array" aca="1" ref="D7407" ca="1">IF(INDIRECT("'"&amp;A7407&amp;"'!"&amp;B7407)="",FALSE,IF(INDIRECT("'"&amp;A7407&amp;"'!"&amp;B7407)&gt;10,TRUE,FALSE))</f>
        <v>0</v>
      </c>
      <c r="E7407" t="s">
        <v>709</v>
      </c>
      <c r="F7407" t="str">
        <f>INDEX(Lists!I:I,MATCH(Validation!E7407,Lists!G:G,0))</f>
        <v>Alert</v>
      </c>
      <c r="G7407" t="str">
        <f>INDEX(Lists!H:H,MATCH(Validation!E7407,Lists!G:G,0))</f>
        <v>High interest rate exceeds typical rates. Correct entry or explain in comments box.</v>
      </c>
      <c r="H7407" s="16" t="str">
        <f t="shared" ca="1" si="831"/>
        <v/>
      </c>
      <c r="I7407" s="16" t="str">
        <f t="shared" ca="1" si="832"/>
        <v/>
      </c>
      <c r="J7407" s="17" t="str">
        <f t="shared" ca="1" si="833"/>
        <v/>
      </c>
    </row>
    <row r="7408" spans="1:10" x14ac:dyDescent="0.25">
      <c r="A7408" t="s">
        <v>955</v>
      </c>
      <c r="B7408" t="str">
        <f>ADDRESS(ROW(DFLoan1!B$13),COLUMN(DFLoan1!B$13),4)</f>
        <v>B13</v>
      </c>
      <c r="C7408" t="str">
        <f>ADDRESS(ROW(DFLoan1!C$13),COLUMN(DFLoan1!C$13),4)</f>
        <v>C13</v>
      </c>
      <c r="D7408" t="b" cm="1">
        <f t="array" aca="1" ref="D7408" ca="1">IF(INDIRECT("'"&amp;A7408&amp;"'!"&amp;B7408)="",FALSE,IF(INDIRECT("'"&amp;A7408&amp;"'!"&amp;B7408)&gt;10,TRUE,FALSE))</f>
        <v>0</v>
      </c>
      <c r="E7408" t="s">
        <v>709</v>
      </c>
      <c r="F7408" t="str">
        <f>INDEX(Lists!I:I,MATCH(Validation!E7408,Lists!G:G,0))</f>
        <v>Alert</v>
      </c>
      <c r="G7408" t="str">
        <f>INDEX(Lists!H:H,MATCH(Validation!E7408,Lists!G:G,0))</f>
        <v>High interest rate exceeds typical rates. Correct entry or explain in comments box.</v>
      </c>
      <c r="H7408" s="16" t="str">
        <f t="shared" ca="1" si="831"/>
        <v/>
      </c>
      <c r="I7408" s="16" t="str">
        <f t="shared" ca="1" si="832"/>
        <v/>
      </c>
      <c r="J7408" s="17" t="str">
        <f t="shared" ca="1" si="833"/>
        <v/>
      </c>
    </row>
    <row r="7409" spans="1:10" x14ac:dyDescent="0.25">
      <c r="A7409" t="s">
        <v>956</v>
      </c>
      <c r="B7409" t="str">
        <f>ADDRESS(ROW(DFLoan1!B$13),COLUMN(DFLoan1!B$13),4)</f>
        <v>B13</v>
      </c>
      <c r="C7409" t="str">
        <f>ADDRESS(ROW(DFLoan1!C$13),COLUMN(DFLoan1!C$13),4)</f>
        <v>C13</v>
      </c>
      <c r="D7409" t="b" cm="1">
        <f t="array" aca="1" ref="D7409" ca="1">IF(INDIRECT("'"&amp;A7409&amp;"'!"&amp;B7409)="",FALSE,IF(INDIRECT("'"&amp;A7409&amp;"'!"&amp;B7409)&gt;10,TRUE,FALSE))</f>
        <v>0</v>
      </c>
      <c r="E7409" t="s">
        <v>709</v>
      </c>
      <c r="F7409" t="str">
        <f>INDEX(Lists!I:I,MATCH(Validation!E7409,Lists!G:G,0))</f>
        <v>Alert</v>
      </c>
      <c r="G7409" t="str">
        <f>INDEX(Lists!H:H,MATCH(Validation!E7409,Lists!G:G,0))</f>
        <v>High interest rate exceeds typical rates. Correct entry or explain in comments box.</v>
      </c>
      <c r="H7409" s="16" t="str">
        <f t="shared" ca="1" si="831"/>
        <v/>
      </c>
      <c r="I7409" s="16" t="str">
        <f t="shared" ca="1" si="832"/>
        <v/>
      </c>
      <c r="J7409" s="17" t="str">
        <f t="shared" ca="1" si="833"/>
        <v/>
      </c>
    </row>
    <row r="7410" spans="1:10" x14ac:dyDescent="0.25">
      <c r="A7410" t="s">
        <v>957</v>
      </c>
      <c r="B7410" t="str">
        <f>ADDRESS(ROW(DFLoan1!B$13),COLUMN(DFLoan1!B$13),4)</f>
        <v>B13</v>
      </c>
      <c r="C7410" t="str">
        <f>ADDRESS(ROW(DFLoan1!C$13),COLUMN(DFLoan1!C$13),4)</f>
        <v>C13</v>
      </c>
      <c r="D7410" t="b" cm="1">
        <f t="array" aca="1" ref="D7410" ca="1">IF(INDIRECT("'"&amp;A7410&amp;"'!"&amp;B7410)="",FALSE,IF(INDIRECT("'"&amp;A7410&amp;"'!"&amp;B7410)&gt;10,TRUE,FALSE))</f>
        <v>0</v>
      </c>
      <c r="E7410" t="s">
        <v>709</v>
      </c>
      <c r="F7410" t="str">
        <f>INDEX(Lists!I:I,MATCH(Validation!E7410,Lists!G:G,0))</f>
        <v>Alert</v>
      </c>
      <c r="G7410" t="str">
        <f>INDEX(Lists!H:H,MATCH(Validation!E7410,Lists!G:G,0))</f>
        <v>High interest rate exceeds typical rates. Correct entry or explain in comments box.</v>
      </c>
      <c r="H7410" s="16" t="str">
        <f t="shared" ca="1" si="831"/>
        <v/>
      </c>
      <c r="I7410" s="16" t="str">
        <f t="shared" ca="1" si="832"/>
        <v/>
      </c>
      <c r="J7410" s="17" t="str">
        <f t="shared" ca="1" si="833"/>
        <v/>
      </c>
    </row>
    <row r="7411" spans="1:10" x14ac:dyDescent="0.25">
      <c r="A7411" t="s">
        <v>958</v>
      </c>
      <c r="B7411" t="str">
        <f>ADDRESS(ROW(DFLoan1!B$13),COLUMN(DFLoan1!B$13),4)</f>
        <v>B13</v>
      </c>
      <c r="C7411" t="str">
        <f>ADDRESS(ROW(DFLoan1!C$13),COLUMN(DFLoan1!C$13),4)</f>
        <v>C13</v>
      </c>
      <c r="D7411" t="b" cm="1">
        <f t="array" aca="1" ref="D7411" ca="1">IF(INDIRECT("'"&amp;A7411&amp;"'!"&amp;B7411)="",FALSE,IF(INDIRECT("'"&amp;A7411&amp;"'!"&amp;B7411)&gt;10,TRUE,FALSE))</f>
        <v>0</v>
      </c>
      <c r="E7411" t="s">
        <v>709</v>
      </c>
      <c r="F7411" t="str">
        <f>INDEX(Lists!I:I,MATCH(Validation!E7411,Lists!G:G,0))</f>
        <v>Alert</v>
      </c>
      <c r="G7411" t="str">
        <f>INDEX(Lists!H:H,MATCH(Validation!E7411,Lists!G:G,0))</f>
        <v>High interest rate exceeds typical rates. Correct entry or explain in comments box.</v>
      </c>
      <c r="H7411" s="16" t="str">
        <f t="shared" ca="1" si="831"/>
        <v/>
      </c>
      <c r="I7411" s="16" t="str">
        <f t="shared" ca="1" si="832"/>
        <v/>
      </c>
      <c r="J7411" s="17" t="str">
        <f t="shared" ca="1" si="833"/>
        <v/>
      </c>
    </row>
    <row r="7412" spans="1:10" x14ac:dyDescent="0.25">
      <c r="A7412" t="s">
        <v>959</v>
      </c>
      <c r="B7412" t="str">
        <f>ADDRESS(ROW(DFLoan1!B$13),COLUMN(DFLoan1!B$13),4)</f>
        <v>B13</v>
      </c>
      <c r="C7412" t="str">
        <f>ADDRESS(ROW(DFLoan1!C$13),COLUMN(DFLoan1!C$13),4)</f>
        <v>C13</v>
      </c>
      <c r="D7412" t="b" cm="1">
        <f t="array" aca="1" ref="D7412" ca="1">IF(INDIRECT("'"&amp;A7412&amp;"'!"&amp;B7412)="",FALSE,IF(INDIRECT("'"&amp;A7412&amp;"'!"&amp;B7412)&gt;10,TRUE,FALSE))</f>
        <v>0</v>
      </c>
      <c r="E7412" t="s">
        <v>709</v>
      </c>
      <c r="F7412" t="str">
        <f>INDEX(Lists!I:I,MATCH(Validation!E7412,Lists!G:G,0))</f>
        <v>Alert</v>
      </c>
      <c r="G7412" t="str">
        <f>INDEX(Lists!H:H,MATCH(Validation!E7412,Lists!G:G,0))</f>
        <v>High interest rate exceeds typical rates. Correct entry or explain in comments box.</v>
      </c>
      <c r="H7412" s="16" t="str">
        <f t="shared" ca="1" si="831"/>
        <v/>
      </c>
      <c r="I7412" s="16" t="str">
        <f t="shared" ca="1" si="832"/>
        <v/>
      </c>
      <c r="J7412" s="17" t="str">
        <f t="shared" ca="1" si="833"/>
        <v/>
      </c>
    </row>
    <row r="7413" spans="1:10" x14ac:dyDescent="0.25">
      <c r="A7413" t="s">
        <v>960</v>
      </c>
      <c r="B7413" t="str">
        <f>ADDRESS(ROW(DFLoan1!B$13),COLUMN(DFLoan1!B$13),4)</f>
        <v>B13</v>
      </c>
      <c r="C7413" t="str">
        <f>ADDRESS(ROW(DFLoan1!C$13),COLUMN(DFLoan1!C$13),4)</f>
        <v>C13</v>
      </c>
      <c r="D7413" t="b" cm="1">
        <f t="array" aca="1" ref="D7413" ca="1">IF(INDIRECT("'"&amp;A7413&amp;"'!"&amp;B7413)="",FALSE,IF(INDIRECT("'"&amp;A7413&amp;"'!"&amp;B7413)&gt;10,TRUE,FALSE))</f>
        <v>0</v>
      </c>
      <c r="E7413" t="s">
        <v>709</v>
      </c>
      <c r="F7413" t="str">
        <f>INDEX(Lists!I:I,MATCH(Validation!E7413,Lists!G:G,0))</f>
        <v>Alert</v>
      </c>
      <c r="G7413" t="str">
        <f>INDEX(Lists!H:H,MATCH(Validation!E7413,Lists!G:G,0))</f>
        <v>High interest rate exceeds typical rates. Correct entry or explain in comments box.</v>
      </c>
      <c r="H7413" s="16" t="str">
        <f t="shared" ca="1" si="831"/>
        <v/>
      </c>
      <c r="I7413" s="16" t="str">
        <f t="shared" ca="1" si="832"/>
        <v/>
      </c>
      <c r="J7413" s="17" t="str">
        <f t="shared" ca="1" si="833"/>
        <v/>
      </c>
    </row>
    <row r="7414" spans="1:10" x14ac:dyDescent="0.25">
      <c r="A7414" t="s">
        <v>961</v>
      </c>
      <c r="B7414" t="str">
        <f>ADDRESS(ROW(DFLoan1!B$13),COLUMN(DFLoan1!B$13),4)</f>
        <v>B13</v>
      </c>
      <c r="C7414" t="str">
        <f>ADDRESS(ROW(DFLoan1!C$13),COLUMN(DFLoan1!C$13),4)</f>
        <v>C13</v>
      </c>
      <c r="D7414" t="b" cm="1">
        <f t="array" aca="1" ref="D7414" ca="1">IF(INDIRECT("'"&amp;A7414&amp;"'!"&amp;B7414)="",FALSE,IF(INDIRECT("'"&amp;A7414&amp;"'!"&amp;B7414)&gt;10,TRUE,FALSE))</f>
        <v>0</v>
      </c>
      <c r="E7414" t="s">
        <v>709</v>
      </c>
      <c r="F7414" t="str">
        <f>INDEX(Lists!I:I,MATCH(Validation!E7414,Lists!G:G,0))</f>
        <v>Alert</v>
      </c>
      <c r="G7414" t="str">
        <f>INDEX(Lists!H:H,MATCH(Validation!E7414,Lists!G:G,0))</f>
        <v>High interest rate exceeds typical rates. Correct entry or explain in comments box.</v>
      </c>
      <c r="H7414" s="16" t="str">
        <f t="shared" ref="H7414:H7434" ca="1" si="834">IFERROR(IF(OR(NOT(D7414),F7414&lt;&gt;"Error"),"",A7414&amp;CELL("address",INDIRECT(B7414))),"")</f>
        <v/>
      </c>
      <c r="I7414" s="16" t="str">
        <f t="shared" ref="I7414:I7434" ca="1" si="835">IFERROR(IF(NOT(D7414),"",A7414&amp;CELL("address",INDIRECT(C7414))),"")</f>
        <v/>
      </c>
      <c r="J7414" s="17" t="str">
        <f t="shared" ref="J7414:J7434" ca="1" si="836">IFERROR(IF(NOT(D7414),"",A7414),"")</f>
        <v/>
      </c>
    </row>
    <row r="7415" spans="1:10" x14ac:dyDescent="0.25">
      <c r="A7415" t="s">
        <v>962</v>
      </c>
      <c r="B7415" t="str">
        <f>ADDRESS(ROW(DFLoan1!B$13),COLUMN(DFLoan1!B$13),4)</f>
        <v>B13</v>
      </c>
      <c r="C7415" t="str">
        <f>ADDRESS(ROW(DFLoan1!C$13),COLUMN(DFLoan1!C$13),4)</f>
        <v>C13</v>
      </c>
      <c r="D7415" t="b" cm="1">
        <f t="array" aca="1" ref="D7415" ca="1">IF(INDIRECT("'"&amp;A7415&amp;"'!"&amp;B7415)="",FALSE,IF(INDIRECT("'"&amp;A7415&amp;"'!"&amp;B7415)&gt;10,TRUE,FALSE))</f>
        <v>0</v>
      </c>
      <c r="E7415" t="s">
        <v>709</v>
      </c>
      <c r="F7415" t="str">
        <f>INDEX(Lists!I:I,MATCH(Validation!E7415,Lists!G:G,0))</f>
        <v>Alert</v>
      </c>
      <c r="G7415" t="str">
        <f>INDEX(Lists!H:H,MATCH(Validation!E7415,Lists!G:G,0))</f>
        <v>High interest rate exceeds typical rates. Correct entry or explain in comments box.</v>
      </c>
      <c r="H7415" s="16" t="str">
        <f t="shared" ca="1" si="834"/>
        <v/>
      </c>
      <c r="I7415" s="16" t="str">
        <f t="shared" ca="1" si="835"/>
        <v/>
      </c>
      <c r="J7415" s="17" t="str">
        <f t="shared" ca="1" si="836"/>
        <v/>
      </c>
    </row>
    <row r="7416" spans="1:10" x14ac:dyDescent="0.25">
      <c r="A7416" t="s">
        <v>963</v>
      </c>
      <c r="B7416" t="str">
        <f>ADDRESS(ROW(DFLoan1!B$13),COLUMN(DFLoan1!B$13),4)</f>
        <v>B13</v>
      </c>
      <c r="C7416" t="str">
        <f>ADDRESS(ROW(DFLoan1!C$13),COLUMN(DFLoan1!C$13),4)</f>
        <v>C13</v>
      </c>
      <c r="D7416" t="b" cm="1">
        <f t="array" aca="1" ref="D7416" ca="1">IF(INDIRECT("'"&amp;A7416&amp;"'!"&amp;B7416)="",FALSE,IF(INDIRECT("'"&amp;A7416&amp;"'!"&amp;B7416)&gt;10,TRUE,FALSE))</f>
        <v>0</v>
      </c>
      <c r="E7416" t="s">
        <v>709</v>
      </c>
      <c r="F7416" t="str">
        <f>INDEX(Lists!I:I,MATCH(Validation!E7416,Lists!G:G,0))</f>
        <v>Alert</v>
      </c>
      <c r="G7416" t="str">
        <f>INDEX(Lists!H:H,MATCH(Validation!E7416,Lists!G:G,0))</f>
        <v>High interest rate exceeds typical rates. Correct entry or explain in comments box.</v>
      </c>
      <c r="H7416" s="16" t="str">
        <f t="shared" ca="1" si="834"/>
        <v/>
      </c>
      <c r="I7416" s="16" t="str">
        <f t="shared" ca="1" si="835"/>
        <v/>
      </c>
      <c r="J7416" s="17" t="str">
        <f t="shared" ca="1" si="836"/>
        <v/>
      </c>
    </row>
    <row r="7417" spans="1:10" x14ac:dyDescent="0.25">
      <c r="A7417" t="s">
        <v>964</v>
      </c>
      <c r="B7417" t="str">
        <f>ADDRESS(ROW(DFLoan1!B$13),COLUMN(DFLoan1!B$13),4)</f>
        <v>B13</v>
      </c>
      <c r="C7417" t="str">
        <f>ADDRESS(ROW(DFLoan1!C$13),COLUMN(DFLoan1!C$13),4)</f>
        <v>C13</v>
      </c>
      <c r="D7417" t="b" cm="1">
        <f t="array" aca="1" ref="D7417" ca="1">IF(INDIRECT("'"&amp;A7417&amp;"'!"&amp;B7417)="",FALSE,IF(INDIRECT("'"&amp;A7417&amp;"'!"&amp;B7417)&gt;10,TRUE,FALSE))</f>
        <v>0</v>
      </c>
      <c r="E7417" t="s">
        <v>709</v>
      </c>
      <c r="F7417" t="str">
        <f>INDEX(Lists!I:I,MATCH(Validation!E7417,Lists!G:G,0))</f>
        <v>Alert</v>
      </c>
      <c r="G7417" t="str">
        <f>INDEX(Lists!H:H,MATCH(Validation!E7417,Lists!G:G,0))</f>
        <v>High interest rate exceeds typical rates. Correct entry or explain in comments box.</v>
      </c>
      <c r="H7417" s="16" t="str">
        <f t="shared" ca="1" si="834"/>
        <v/>
      </c>
      <c r="I7417" s="16" t="str">
        <f t="shared" ca="1" si="835"/>
        <v/>
      </c>
      <c r="J7417" s="17" t="str">
        <f t="shared" ca="1" si="836"/>
        <v/>
      </c>
    </row>
    <row r="7418" spans="1:10" x14ac:dyDescent="0.25">
      <c r="A7418" t="s">
        <v>965</v>
      </c>
      <c r="B7418" t="str">
        <f>ADDRESS(ROW(DFLoan1!B$13),COLUMN(DFLoan1!B$13),4)</f>
        <v>B13</v>
      </c>
      <c r="C7418" t="str">
        <f>ADDRESS(ROW(DFLoan1!C$13),COLUMN(DFLoan1!C$13),4)</f>
        <v>C13</v>
      </c>
      <c r="D7418" t="b" cm="1">
        <f t="array" aca="1" ref="D7418" ca="1">IF(INDIRECT("'"&amp;A7418&amp;"'!"&amp;B7418)="",FALSE,IF(INDIRECT("'"&amp;A7418&amp;"'!"&amp;B7418)&gt;10,TRUE,FALSE))</f>
        <v>0</v>
      </c>
      <c r="E7418" t="s">
        <v>709</v>
      </c>
      <c r="F7418" t="str">
        <f>INDEX(Lists!I:I,MATCH(Validation!E7418,Lists!G:G,0))</f>
        <v>Alert</v>
      </c>
      <c r="G7418" t="str">
        <f>INDEX(Lists!H:H,MATCH(Validation!E7418,Lists!G:G,0))</f>
        <v>High interest rate exceeds typical rates. Correct entry or explain in comments box.</v>
      </c>
      <c r="H7418" s="16" t="str">
        <f t="shared" ca="1" si="834"/>
        <v/>
      </c>
      <c r="I7418" s="16" t="str">
        <f t="shared" ca="1" si="835"/>
        <v/>
      </c>
      <c r="J7418" s="17" t="str">
        <f t="shared" ca="1" si="836"/>
        <v/>
      </c>
    </row>
    <row r="7419" spans="1:10" x14ac:dyDescent="0.25">
      <c r="A7419" t="s">
        <v>966</v>
      </c>
      <c r="B7419" t="str">
        <f>ADDRESS(ROW(DFLoan1!B$13),COLUMN(DFLoan1!B$13),4)</f>
        <v>B13</v>
      </c>
      <c r="C7419" t="str">
        <f>ADDRESS(ROW(DFLoan1!C$13),COLUMN(DFLoan1!C$13),4)</f>
        <v>C13</v>
      </c>
      <c r="D7419" t="b" cm="1">
        <f t="array" aca="1" ref="D7419" ca="1">IF(INDIRECT("'"&amp;A7419&amp;"'!"&amp;B7419)="",FALSE,IF(INDIRECT("'"&amp;A7419&amp;"'!"&amp;B7419)&gt;10,TRUE,FALSE))</f>
        <v>0</v>
      </c>
      <c r="E7419" t="s">
        <v>709</v>
      </c>
      <c r="F7419" t="str">
        <f>INDEX(Lists!I:I,MATCH(Validation!E7419,Lists!G:G,0))</f>
        <v>Alert</v>
      </c>
      <c r="G7419" t="str">
        <f>INDEX(Lists!H:H,MATCH(Validation!E7419,Lists!G:G,0))</f>
        <v>High interest rate exceeds typical rates. Correct entry or explain in comments box.</v>
      </c>
      <c r="H7419" s="16" t="str">
        <f t="shared" ca="1" si="834"/>
        <v/>
      </c>
      <c r="I7419" s="16" t="str">
        <f t="shared" ca="1" si="835"/>
        <v/>
      </c>
      <c r="J7419" s="17" t="str">
        <f t="shared" ca="1" si="836"/>
        <v/>
      </c>
    </row>
    <row r="7420" spans="1:10" x14ac:dyDescent="0.25">
      <c r="A7420" t="s">
        <v>881</v>
      </c>
      <c r="B7420" t="str">
        <f>ADDRESS(ROW(DFLoan1!B$13),COLUMN(DFLoan1!B$13),4)</f>
        <v>B13</v>
      </c>
      <c r="C7420" t="str">
        <f>ADDRESS(ROW(DFLoan1!C$13),COLUMN(DFLoan1!C$13),4)</f>
        <v>C13</v>
      </c>
      <c r="D7420" t="b" cm="1">
        <f t="array" aca="1" ref="D7420" ca="1">IF(INDIRECT("'"&amp;A7420&amp;"'!"&amp;B7420)="",FALSE,IF(TRUNC(INDIRECT("'"&amp;A7420&amp;"'!"&amp;B7420),3)=INDIRECT("'"&amp;A7420&amp;"'!"&amp;B7420),FALSE,TRUE))</f>
        <v>0</v>
      </c>
      <c r="E7420" t="s">
        <v>616</v>
      </c>
      <c r="F7420" t="str">
        <f>INDEX(Lists!I:I,MATCH(Validation!E7420,Lists!G:G,0))</f>
        <v>Error</v>
      </c>
      <c r="G7420" t="str">
        <f>INDEX(Lists!H:H,MATCH(Validation!E7420,Lists!G:G,0))</f>
        <v>Interest rate cannot have more than three decimals.</v>
      </c>
      <c r="H7420" s="16" t="str">
        <f t="shared" ca="1" si="834"/>
        <v/>
      </c>
      <c r="I7420" s="16" t="str">
        <f t="shared" ca="1" si="835"/>
        <v/>
      </c>
      <c r="J7420" s="17" t="str">
        <f t="shared" ca="1" si="836"/>
        <v/>
      </c>
    </row>
    <row r="7421" spans="1:10" x14ac:dyDescent="0.25">
      <c r="A7421" t="s">
        <v>953</v>
      </c>
      <c r="B7421" t="str">
        <f>ADDRESS(ROW(DFLoan1!B$13),COLUMN(DFLoan1!B$13),4)</f>
        <v>B13</v>
      </c>
      <c r="C7421" t="str">
        <f>ADDRESS(ROW(DFLoan1!C$13),COLUMN(DFLoan1!C$13),4)</f>
        <v>C13</v>
      </c>
      <c r="D7421" t="b" cm="1">
        <f t="array" aca="1" ref="D7421" ca="1">IF(INDIRECT("'"&amp;A7421&amp;"'!"&amp;B7421)="",FALSE,IF(TRUNC(INDIRECT("'"&amp;A7421&amp;"'!"&amp;B7421),3)=INDIRECT("'"&amp;A7421&amp;"'!"&amp;B7421),FALSE,TRUE))</f>
        <v>0</v>
      </c>
      <c r="E7421" t="s">
        <v>616</v>
      </c>
      <c r="F7421" t="str">
        <f>INDEX(Lists!I:I,MATCH(Validation!E7421,Lists!G:G,0))</f>
        <v>Error</v>
      </c>
      <c r="G7421" t="str">
        <f>INDEX(Lists!H:H,MATCH(Validation!E7421,Lists!G:G,0))</f>
        <v>Interest rate cannot have more than three decimals.</v>
      </c>
      <c r="H7421" s="16" t="str">
        <f t="shared" ca="1" si="834"/>
        <v/>
      </c>
      <c r="I7421" s="16" t="str">
        <f t="shared" ca="1" si="835"/>
        <v/>
      </c>
      <c r="J7421" s="17" t="str">
        <f t="shared" ca="1" si="836"/>
        <v/>
      </c>
    </row>
    <row r="7422" spans="1:10" x14ac:dyDescent="0.25">
      <c r="A7422" t="s">
        <v>954</v>
      </c>
      <c r="B7422" t="str">
        <f>ADDRESS(ROW(DFLoan1!B$13),COLUMN(DFLoan1!B$13),4)</f>
        <v>B13</v>
      </c>
      <c r="C7422" t="str">
        <f>ADDRESS(ROW(DFLoan1!C$13),COLUMN(DFLoan1!C$13),4)</f>
        <v>C13</v>
      </c>
      <c r="D7422" t="b" cm="1">
        <f t="array" aca="1" ref="D7422" ca="1">IF(INDIRECT("'"&amp;A7422&amp;"'!"&amp;B7422)="",FALSE,IF(TRUNC(INDIRECT("'"&amp;A7422&amp;"'!"&amp;B7422),3)=INDIRECT("'"&amp;A7422&amp;"'!"&amp;B7422),FALSE,TRUE))</f>
        <v>0</v>
      </c>
      <c r="E7422" t="s">
        <v>616</v>
      </c>
      <c r="F7422" t="str">
        <f>INDEX(Lists!I:I,MATCH(Validation!E7422,Lists!G:G,0))</f>
        <v>Error</v>
      </c>
      <c r="G7422" t="str">
        <f>INDEX(Lists!H:H,MATCH(Validation!E7422,Lists!G:G,0))</f>
        <v>Interest rate cannot have more than three decimals.</v>
      </c>
      <c r="H7422" s="16" t="str">
        <f t="shared" ca="1" si="834"/>
        <v/>
      </c>
      <c r="I7422" s="16" t="str">
        <f t="shared" ca="1" si="835"/>
        <v/>
      </c>
      <c r="J7422" s="17" t="str">
        <f t="shared" ca="1" si="836"/>
        <v/>
      </c>
    </row>
    <row r="7423" spans="1:10" x14ac:dyDescent="0.25">
      <c r="A7423" t="s">
        <v>955</v>
      </c>
      <c r="B7423" t="str">
        <f>ADDRESS(ROW(DFLoan1!B$13),COLUMN(DFLoan1!B$13),4)</f>
        <v>B13</v>
      </c>
      <c r="C7423" t="str">
        <f>ADDRESS(ROW(DFLoan1!C$13),COLUMN(DFLoan1!C$13),4)</f>
        <v>C13</v>
      </c>
      <c r="D7423" t="b" cm="1">
        <f t="array" aca="1" ref="D7423" ca="1">IF(INDIRECT("'"&amp;A7423&amp;"'!"&amp;B7423)="",FALSE,IF(TRUNC(INDIRECT("'"&amp;A7423&amp;"'!"&amp;B7423),3)=INDIRECT("'"&amp;A7423&amp;"'!"&amp;B7423),FALSE,TRUE))</f>
        <v>0</v>
      </c>
      <c r="E7423" t="s">
        <v>616</v>
      </c>
      <c r="F7423" t="str">
        <f>INDEX(Lists!I:I,MATCH(Validation!E7423,Lists!G:G,0))</f>
        <v>Error</v>
      </c>
      <c r="G7423" t="str">
        <f>INDEX(Lists!H:H,MATCH(Validation!E7423,Lists!G:G,0))</f>
        <v>Interest rate cannot have more than three decimals.</v>
      </c>
      <c r="H7423" s="16" t="str">
        <f t="shared" ca="1" si="834"/>
        <v/>
      </c>
      <c r="I7423" s="16" t="str">
        <f t="shared" ca="1" si="835"/>
        <v/>
      </c>
      <c r="J7423" s="17" t="str">
        <f t="shared" ca="1" si="836"/>
        <v/>
      </c>
    </row>
    <row r="7424" spans="1:10" x14ac:dyDescent="0.25">
      <c r="A7424" t="s">
        <v>956</v>
      </c>
      <c r="B7424" t="str">
        <f>ADDRESS(ROW(DFLoan1!B$13),COLUMN(DFLoan1!B$13),4)</f>
        <v>B13</v>
      </c>
      <c r="C7424" t="str">
        <f>ADDRESS(ROW(DFLoan1!C$13),COLUMN(DFLoan1!C$13),4)</f>
        <v>C13</v>
      </c>
      <c r="D7424" t="b" cm="1">
        <f t="array" aca="1" ref="D7424" ca="1">IF(INDIRECT("'"&amp;A7424&amp;"'!"&amp;B7424)="",FALSE,IF(TRUNC(INDIRECT("'"&amp;A7424&amp;"'!"&amp;B7424),3)=INDIRECT("'"&amp;A7424&amp;"'!"&amp;B7424),FALSE,TRUE))</f>
        <v>0</v>
      </c>
      <c r="E7424" t="s">
        <v>616</v>
      </c>
      <c r="F7424" t="str">
        <f>INDEX(Lists!I:I,MATCH(Validation!E7424,Lists!G:G,0))</f>
        <v>Error</v>
      </c>
      <c r="G7424" t="str">
        <f>INDEX(Lists!H:H,MATCH(Validation!E7424,Lists!G:G,0))</f>
        <v>Interest rate cannot have more than three decimals.</v>
      </c>
      <c r="H7424" s="16" t="str">
        <f t="shared" ca="1" si="834"/>
        <v/>
      </c>
      <c r="I7424" s="16" t="str">
        <f t="shared" ca="1" si="835"/>
        <v/>
      </c>
      <c r="J7424" s="17" t="str">
        <f t="shared" ca="1" si="836"/>
        <v/>
      </c>
    </row>
    <row r="7425" spans="1:10" x14ac:dyDescent="0.25">
      <c r="A7425" t="s">
        <v>957</v>
      </c>
      <c r="B7425" t="str">
        <f>ADDRESS(ROW(DFLoan1!B$13),COLUMN(DFLoan1!B$13),4)</f>
        <v>B13</v>
      </c>
      <c r="C7425" t="str">
        <f>ADDRESS(ROW(DFLoan1!C$13),COLUMN(DFLoan1!C$13),4)</f>
        <v>C13</v>
      </c>
      <c r="D7425" t="b" cm="1">
        <f t="array" aca="1" ref="D7425" ca="1">IF(INDIRECT("'"&amp;A7425&amp;"'!"&amp;B7425)="",FALSE,IF(TRUNC(INDIRECT("'"&amp;A7425&amp;"'!"&amp;B7425),3)=INDIRECT("'"&amp;A7425&amp;"'!"&amp;B7425),FALSE,TRUE))</f>
        <v>0</v>
      </c>
      <c r="E7425" t="s">
        <v>616</v>
      </c>
      <c r="F7425" t="str">
        <f>INDEX(Lists!I:I,MATCH(Validation!E7425,Lists!G:G,0))</f>
        <v>Error</v>
      </c>
      <c r="G7425" t="str">
        <f>INDEX(Lists!H:H,MATCH(Validation!E7425,Lists!G:G,0))</f>
        <v>Interest rate cannot have more than three decimals.</v>
      </c>
      <c r="H7425" s="16" t="str">
        <f t="shared" ca="1" si="834"/>
        <v/>
      </c>
      <c r="I7425" s="16" t="str">
        <f t="shared" ca="1" si="835"/>
        <v/>
      </c>
      <c r="J7425" s="17" t="str">
        <f t="shared" ca="1" si="836"/>
        <v/>
      </c>
    </row>
    <row r="7426" spans="1:10" x14ac:dyDescent="0.25">
      <c r="A7426" t="s">
        <v>958</v>
      </c>
      <c r="B7426" t="str">
        <f>ADDRESS(ROW(DFLoan1!B$13),COLUMN(DFLoan1!B$13),4)</f>
        <v>B13</v>
      </c>
      <c r="C7426" t="str">
        <f>ADDRESS(ROW(DFLoan1!C$13),COLUMN(DFLoan1!C$13),4)</f>
        <v>C13</v>
      </c>
      <c r="D7426" t="b" cm="1">
        <f t="array" aca="1" ref="D7426" ca="1">IF(INDIRECT("'"&amp;A7426&amp;"'!"&amp;B7426)="",FALSE,IF(TRUNC(INDIRECT("'"&amp;A7426&amp;"'!"&amp;B7426),3)=INDIRECT("'"&amp;A7426&amp;"'!"&amp;B7426),FALSE,TRUE))</f>
        <v>0</v>
      </c>
      <c r="E7426" t="s">
        <v>616</v>
      </c>
      <c r="F7426" t="str">
        <f>INDEX(Lists!I:I,MATCH(Validation!E7426,Lists!G:G,0))</f>
        <v>Error</v>
      </c>
      <c r="G7426" t="str">
        <f>INDEX(Lists!H:H,MATCH(Validation!E7426,Lists!G:G,0))</f>
        <v>Interest rate cannot have more than three decimals.</v>
      </c>
      <c r="H7426" s="16" t="str">
        <f t="shared" ca="1" si="834"/>
        <v/>
      </c>
      <c r="I7426" s="16" t="str">
        <f t="shared" ca="1" si="835"/>
        <v/>
      </c>
      <c r="J7426" s="17" t="str">
        <f t="shared" ca="1" si="836"/>
        <v/>
      </c>
    </row>
    <row r="7427" spans="1:10" x14ac:dyDescent="0.25">
      <c r="A7427" t="s">
        <v>959</v>
      </c>
      <c r="B7427" t="str">
        <f>ADDRESS(ROW(DFLoan1!B$13),COLUMN(DFLoan1!B$13),4)</f>
        <v>B13</v>
      </c>
      <c r="C7427" t="str">
        <f>ADDRESS(ROW(DFLoan1!C$13),COLUMN(DFLoan1!C$13),4)</f>
        <v>C13</v>
      </c>
      <c r="D7427" t="b" cm="1">
        <f t="array" aca="1" ref="D7427" ca="1">IF(INDIRECT("'"&amp;A7427&amp;"'!"&amp;B7427)="",FALSE,IF(TRUNC(INDIRECT("'"&amp;A7427&amp;"'!"&amp;B7427),3)=INDIRECT("'"&amp;A7427&amp;"'!"&amp;B7427),FALSE,TRUE))</f>
        <v>0</v>
      </c>
      <c r="E7427" t="s">
        <v>616</v>
      </c>
      <c r="F7427" t="str">
        <f>INDEX(Lists!I:I,MATCH(Validation!E7427,Lists!G:G,0))</f>
        <v>Error</v>
      </c>
      <c r="G7427" t="str">
        <f>INDEX(Lists!H:H,MATCH(Validation!E7427,Lists!G:G,0))</f>
        <v>Interest rate cannot have more than three decimals.</v>
      </c>
      <c r="H7427" s="16" t="str">
        <f t="shared" ca="1" si="834"/>
        <v/>
      </c>
      <c r="I7427" s="16" t="str">
        <f t="shared" ca="1" si="835"/>
        <v/>
      </c>
      <c r="J7427" s="17" t="str">
        <f t="shared" ca="1" si="836"/>
        <v/>
      </c>
    </row>
    <row r="7428" spans="1:10" x14ac:dyDescent="0.25">
      <c r="A7428" t="s">
        <v>960</v>
      </c>
      <c r="B7428" t="str">
        <f>ADDRESS(ROW(DFLoan1!B$13),COLUMN(DFLoan1!B$13),4)</f>
        <v>B13</v>
      </c>
      <c r="C7428" t="str">
        <f>ADDRESS(ROW(DFLoan1!C$13),COLUMN(DFLoan1!C$13),4)</f>
        <v>C13</v>
      </c>
      <c r="D7428" t="b" cm="1">
        <f t="array" aca="1" ref="D7428" ca="1">IF(INDIRECT("'"&amp;A7428&amp;"'!"&amp;B7428)="",FALSE,IF(TRUNC(INDIRECT("'"&amp;A7428&amp;"'!"&amp;B7428),3)=INDIRECT("'"&amp;A7428&amp;"'!"&amp;B7428),FALSE,TRUE))</f>
        <v>0</v>
      </c>
      <c r="E7428" t="s">
        <v>616</v>
      </c>
      <c r="F7428" t="str">
        <f>INDEX(Lists!I:I,MATCH(Validation!E7428,Lists!G:G,0))</f>
        <v>Error</v>
      </c>
      <c r="G7428" t="str">
        <f>INDEX(Lists!H:H,MATCH(Validation!E7428,Lists!G:G,0))</f>
        <v>Interest rate cannot have more than three decimals.</v>
      </c>
      <c r="H7428" s="16" t="str">
        <f t="shared" ca="1" si="834"/>
        <v/>
      </c>
      <c r="I7428" s="16" t="str">
        <f t="shared" ca="1" si="835"/>
        <v/>
      </c>
      <c r="J7428" s="17" t="str">
        <f t="shared" ca="1" si="836"/>
        <v/>
      </c>
    </row>
    <row r="7429" spans="1:10" x14ac:dyDescent="0.25">
      <c r="A7429" t="s">
        <v>961</v>
      </c>
      <c r="B7429" t="str">
        <f>ADDRESS(ROW(DFLoan1!B$13),COLUMN(DFLoan1!B$13),4)</f>
        <v>B13</v>
      </c>
      <c r="C7429" t="str">
        <f>ADDRESS(ROW(DFLoan1!C$13),COLUMN(DFLoan1!C$13),4)</f>
        <v>C13</v>
      </c>
      <c r="D7429" t="b" cm="1">
        <f t="array" aca="1" ref="D7429" ca="1">IF(INDIRECT("'"&amp;A7429&amp;"'!"&amp;B7429)="",FALSE,IF(TRUNC(INDIRECT("'"&amp;A7429&amp;"'!"&amp;B7429),3)=INDIRECT("'"&amp;A7429&amp;"'!"&amp;B7429),FALSE,TRUE))</f>
        <v>0</v>
      </c>
      <c r="E7429" t="s">
        <v>616</v>
      </c>
      <c r="F7429" t="str">
        <f>INDEX(Lists!I:I,MATCH(Validation!E7429,Lists!G:G,0))</f>
        <v>Error</v>
      </c>
      <c r="G7429" t="str">
        <f>INDEX(Lists!H:H,MATCH(Validation!E7429,Lists!G:G,0))</f>
        <v>Interest rate cannot have more than three decimals.</v>
      </c>
      <c r="H7429" s="16" t="str">
        <f t="shared" ca="1" si="834"/>
        <v/>
      </c>
      <c r="I7429" s="16" t="str">
        <f t="shared" ca="1" si="835"/>
        <v/>
      </c>
      <c r="J7429" s="17" t="str">
        <f t="shared" ca="1" si="836"/>
        <v/>
      </c>
    </row>
    <row r="7430" spans="1:10" x14ac:dyDescent="0.25">
      <c r="A7430" t="s">
        <v>962</v>
      </c>
      <c r="B7430" t="str">
        <f>ADDRESS(ROW(DFLoan1!B$13),COLUMN(DFLoan1!B$13),4)</f>
        <v>B13</v>
      </c>
      <c r="C7430" t="str">
        <f>ADDRESS(ROW(DFLoan1!C$13),COLUMN(DFLoan1!C$13),4)</f>
        <v>C13</v>
      </c>
      <c r="D7430" t="b" cm="1">
        <f t="array" aca="1" ref="D7430" ca="1">IF(INDIRECT("'"&amp;A7430&amp;"'!"&amp;B7430)="",FALSE,IF(TRUNC(INDIRECT("'"&amp;A7430&amp;"'!"&amp;B7430),3)=INDIRECT("'"&amp;A7430&amp;"'!"&amp;B7430),FALSE,TRUE))</f>
        <v>0</v>
      </c>
      <c r="E7430" t="s">
        <v>616</v>
      </c>
      <c r="F7430" t="str">
        <f>INDEX(Lists!I:I,MATCH(Validation!E7430,Lists!G:G,0))</f>
        <v>Error</v>
      </c>
      <c r="G7430" t="str">
        <f>INDEX(Lists!H:H,MATCH(Validation!E7430,Lists!G:G,0))</f>
        <v>Interest rate cannot have more than three decimals.</v>
      </c>
      <c r="H7430" s="16" t="str">
        <f t="shared" ca="1" si="834"/>
        <v/>
      </c>
      <c r="I7430" s="16" t="str">
        <f t="shared" ca="1" si="835"/>
        <v/>
      </c>
      <c r="J7430" s="17" t="str">
        <f t="shared" ca="1" si="836"/>
        <v/>
      </c>
    </row>
    <row r="7431" spans="1:10" x14ac:dyDescent="0.25">
      <c r="A7431" t="s">
        <v>963</v>
      </c>
      <c r="B7431" t="str">
        <f>ADDRESS(ROW(DFLoan1!B$13),COLUMN(DFLoan1!B$13),4)</f>
        <v>B13</v>
      </c>
      <c r="C7431" t="str">
        <f>ADDRESS(ROW(DFLoan1!C$13),COLUMN(DFLoan1!C$13),4)</f>
        <v>C13</v>
      </c>
      <c r="D7431" t="b" cm="1">
        <f t="array" aca="1" ref="D7431" ca="1">IF(INDIRECT("'"&amp;A7431&amp;"'!"&amp;B7431)="",FALSE,IF(TRUNC(INDIRECT("'"&amp;A7431&amp;"'!"&amp;B7431),3)=INDIRECT("'"&amp;A7431&amp;"'!"&amp;B7431),FALSE,TRUE))</f>
        <v>0</v>
      </c>
      <c r="E7431" t="s">
        <v>616</v>
      </c>
      <c r="F7431" t="str">
        <f>INDEX(Lists!I:I,MATCH(Validation!E7431,Lists!G:G,0))</f>
        <v>Error</v>
      </c>
      <c r="G7431" t="str">
        <f>INDEX(Lists!H:H,MATCH(Validation!E7431,Lists!G:G,0))</f>
        <v>Interest rate cannot have more than three decimals.</v>
      </c>
      <c r="H7431" s="16" t="str">
        <f t="shared" ca="1" si="834"/>
        <v/>
      </c>
      <c r="I7431" s="16" t="str">
        <f t="shared" ca="1" si="835"/>
        <v/>
      </c>
      <c r="J7431" s="17" t="str">
        <f t="shared" ca="1" si="836"/>
        <v/>
      </c>
    </row>
    <row r="7432" spans="1:10" x14ac:dyDescent="0.25">
      <c r="A7432" t="s">
        <v>964</v>
      </c>
      <c r="B7432" t="str">
        <f>ADDRESS(ROW(DFLoan1!B$13),COLUMN(DFLoan1!B$13),4)</f>
        <v>B13</v>
      </c>
      <c r="C7432" t="str">
        <f>ADDRESS(ROW(DFLoan1!C$13),COLUMN(DFLoan1!C$13),4)</f>
        <v>C13</v>
      </c>
      <c r="D7432" t="b" cm="1">
        <f t="array" aca="1" ref="D7432" ca="1">IF(INDIRECT("'"&amp;A7432&amp;"'!"&amp;B7432)="",FALSE,IF(TRUNC(INDIRECT("'"&amp;A7432&amp;"'!"&amp;B7432),3)=INDIRECT("'"&amp;A7432&amp;"'!"&amp;B7432),FALSE,TRUE))</f>
        <v>0</v>
      </c>
      <c r="E7432" t="s">
        <v>616</v>
      </c>
      <c r="F7432" t="str">
        <f>INDEX(Lists!I:I,MATCH(Validation!E7432,Lists!G:G,0))</f>
        <v>Error</v>
      </c>
      <c r="G7432" t="str">
        <f>INDEX(Lists!H:H,MATCH(Validation!E7432,Lists!G:G,0))</f>
        <v>Interest rate cannot have more than three decimals.</v>
      </c>
      <c r="H7432" s="16" t="str">
        <f t="shared" ca="1" si="834"/>
        <v/>
      </c>
      <c r="I7432" s="16" t="str">
        <f t="shared" ca="1" si="835"/>
        <v/>
      </c>
      <c r="J7432" s="17" t="str">
        <f t="shared" ca="1" si="836"/>
        <v/>
      </c>
    </row>
    <row r="7433" spans="1:10" x14ac:dyDescent="0.25">
      <c r="A7433" t="s">
        <v>965</v>
      </c>
      <c r="B7433" t="str">
        <f>ADDRESS(ROW(DFLoan1!B$13),COLUMN(DFLoan1!B$13),4)</f>
        <v>B13</v>
      </c>
      <c r="C7433" t="str">
        <f>ADDRESS(ROW(DFLoan1!C$13),COLUMN(DFLoan1!C$13),4)</f>
        <v>C13</v>
      </c>
      <c r="D7433" t="b" cm="1">
        <f t="array" aca="1" ref="D7433" ca="1">IF(INDIRECT("'"&amp;A7433&amp;"'!"&amp;B7433)="",FALSE,IF(TRUNC(INDIRECT("'"&amp;A7433&amp;"'!"&amp;B7433),3)=INDIRECT("'"&amp;A7433&amp;"'!"&amp;B7433),FALSE,TRUE))</f>
        <v>0</v>
      </c>
      <c r="E7433" t="s">
        <v>616</v>
      </c>
      <c r="F7433" t="str">
        <f>INDEX(Lists!I:I,MATCH(Validation!E7433,Lists!G:G,0))</f>
        <v>Error</v>
      </c>
      <c r="G7433" t="str">
        <f>INDEX(Lists!H:H,MATCH(Validation!E7433,Lists!G:G,0))</f>
        <v>Interest rate cannot have more than three decimals.</v>
      </c>
      <c r="H7433" s="16" t="str">
        <f t="shared" ca="1" si="834"/>
        <v/>
      </c>
      <c r="I7433" s="16" t="str">
        <f t="shared" ca="1" si="835"/>
        <v/>
      </c>
      <c r="J7433" s="17" t="str">
        <f t="shared" ca="1" si="836"/>
        <v/>
      </c>
    </row>
    <row r="7434" spans="1:10" x14ac:dyDescent="0.25">
      <c r="A7434" t="s">
        <v>966</v>
      </c>
      <c r="B7434" t="str">
        <f>ADDRESS(ROW(DFLoan1!B$13),COLUMN(DFLoan1!B$13),4)</f>
        <v>B13</v>
      </c>
      <c r="C7434" t="str">
        <f>ADDRESS(ROW(DFLoan1!C$13),COLUMN(DFLoan1!C$13),4)</f>
        <v>C13</v>
      </c>
      <c r="D7434" t="b" cm="1">
        <f t="array" aca="1" ref="D7434" ca="1">IF(INDIRECT("'"&amp;A7434&amp;"'!"&amp;B7434)="",FALSE,IF(TRUNC(INDIRECT("'"&amp;A7434&amp;"'!"&amp;B7434),3)=INDIRECT("'"&amp;A7434&amp;"'!"&amp;B7434),FALSE,TRUE))</f>
        <v>0</v>
      </c>
      <c r="E7434" t="s">
        <v>616</v>
      </c>
      <c r="F7434" t="str">
        <f>INDEX(Lists!I:I,MATCH(Validation!E7434,Lists!G:G,0))</f>
        <v>Error</v>
      </c>
      <c r="G7434" t="str">
        <f>INDEX(Lists!H:H,MATCH(Validation!E7434,Lists!G:G,0))</f>
        <v>Interest rate cannot have more than three decimals.</v>
      </c>
      <c r="H7434" s="16" t="str">
        <f t="shared" ca="1" si="834"/>
        <v/>
      </c>
      <c r="I7434" s="16" t="str">
        <f t="shared" ca="1" si="835"/>
        <v/>
      </c>
      <c r="J7434" s="17" t="str">
        <f t="shared" ca="1" si="836"/>
        <v/>
      </c>
    </row>
    <row r="7435" spans="1:10" x14ac:dyDescent="0.25">
      <c r="A7435" t="s">
        <v>881</v>
      </c>
      <c r="B7435" t="str">
        <f>ADDRESS(ROW(DFLoan1!B$14),COLUMN(DFLoan1!B$14),4)</f>
        <v>B14</v>
      </c>
      <c r="C7435" t="str">
        <f>ADDRESS(ROW(DFLoan1!C$14),COLUMN(DFLoan1!C$14),4)</f>
        <v>C14</v>
      </c>
      <c r="D7435" t="b" cm="1">
        <f t="array" aca="1" ref="D7435" ca="1">IF(INDIRECT("'"&amp;A7435&amp;"'!"&amp;B7435)="",FALSE,IF(NOT(ISNUMBER(INDIRECT("'"&amp;A7435&amp;"'!"&amp;B7435))),TRUE,FALSE))</f>
        <v>0</v>
      </c>
      <c r="E7435" t="s">
        <v>435</v>
      </c>
      <c r="F7435" t="str">
        <f>INDEX(Lists!I:I,MATCH(Validation!E7435,Lists!G:G,0))</f>
        <v>Error</v>
      </c>
      <c r="G7435" t="str">
        <f>INDEX(Lists!H:H,MATCH(Validation!E7435,Lists!G:G,0))</f>
        <v>Enter an amount only. Do not enter text or spaces.</v>
      </c>
      <c r="H7435" s="16" t="str">
        <f t="shared" ref="H7435:H7498" ca="1" si="837">IFERROR(IF(OR(NOT(D7435),F7435&lt;&gt;"Error"),"",A7435&amp;CELL("address",INDIRECT(B7435))),"")</f>
        <v/>
      </c>
      <c r="I7435" s="16" t="str">
        <f t="shared" ref="I7435:I7498" ca="1" si="838">IFERROR(IF(NOT(D7435),"",A7435&amp;CELL("address",INDIRECT(C7435))),"")</f>
        <v/>
      </c>
      <c r="J7435" s="17" t="str">
        <f t="shared" ref="J7435:J7498" ca="1" si="839">IFERROR(IF(NOT(D7435),"",A7435),"")</f>
        <v/>
      </c>
    </row>
    <row r="7436" spans="1:10" x14ac:dyDescent="0.25">
      <c r="A7436" t="s">
        <v>953</v>
      </c>
      <c r="B7436" t="str">
        <f>ADDRESS(ROW(DFLoan1!B$14),COLUMN(DFLoan1!B$14),4)</f>
        <v>B14</v>
      </c>
      <c r="C7436" t="str">
        <f>ADDRESS(ROW(DFLoan1!C$14),COLUMN(DFLoan1!C$14),4)</f>
        <v>C14</v>
      </c>
      <c r="D7436" t="b" cm="1">
        <f t="array" aca="1" ref="D7436" ca="1">IF(INDIRECT("'"&amp;A7436&amp;"'!"&amp;B7436)="",FALSE,IF(NOT(ISNUMBER(INDIRECT("'"&amp;A7436&amp;"'!"&amp;B7436))),TRUE,FALSE))</f>
        <v>0</v>
      </c>
      <c r="E7436" t="s">
        <v>435</v>
      </c>
      <c r="F7436" t="str">
        <f>INDEX(Lists!I:I,MATCH(Validation!E7436,Lists!G:G,0))</f>
        <v>Error</v>
      </c>
      <c r="G7436" t="str">
        <f>INDEX(Lists!H:H,MATCH(Validation!E7436,Lists!G:G,0))</f>
        <v>Enter an amount only. Do not enter text or spaces.</v>
      </c>
      <c r="H7436" s="16" t="str">
        <f t="shared" ca="1" si="837"/>
        <v/>
      </c>
      <c r="I7436" s="16" t="str">
        <f t="shared" ca="1" si="838"/>
        <v/>
      </c>
      <c r="J7436" s="17" t="str">
        <f t="shared" ca="1" si="839"/>
        <v/>
      </c>
    </row>
    <row r="7437" spans="1:10" x14ac:dyDescent="0.25">
      <c r="A7437" t="s">
        <v>954</v>
      </c>
      <c r="B7437" t="str">
        <f>ADDRESS(ROW(DFLoan1!B$14),COLUMN(DFLoan1!B$14),4)</f>
        <v>B14</v>
      </c>
      <c r="C7437" t="str">
        <f>ADDRESS(ROW(DFLoan1!C$14),COLUMN(DFLoan1!C$14),4)</f>
        <v>C14</v>
      </c>
      <c r="D7437" t="b" cm="1">
        <f t="array" aca="1" ref="D7437" ca="1">IF(INDIRECT("'"&amp;A7437&amp;"'!"&amp;B7437)="",FALSE,IF(NOT(ISNUMBER(INDIRECT("'"&amp;A7437&amp;"'!"&amp;B7437))),TRUE,FALSE))</f>
        <v>0</v>
      </c>
      <c r="E7437" t="s">
        <v>435</v>
      </c>
      <c r="F7437" t="str">
        <f>INDEX(Lists!I:I,MATCH(Validation!E7437,Lists!G:G,0))</f>
        <v>Error</v>
      </c>
      <c r="G7437" t="str">
        <f>INDEX(Lists!H:H,MATCH(Validation!E7437,Lists!G:G,0))</f>
        <v>Enter an amount only. Do not enter text or spaces.</v>
      </c>
      <c r="H7437" s="16" t="str">
        <f t="shared" ca="1" si="837"/>
        <v/>
      </c>
      <c r="I7437" s="16" t="str">
        <f t="shared" ca="1" si="838"/>
        <v/>
      </c>
      <c r="J7437" s="17" t="str">
        <f t="shared" ca="1" si="839"/>
        <v/>
      </c>
    </row>
    <row r="7438" spans="1:10" x14ac:dyDescent="0.25">
      <c r="A7438" t="s">
        <v>955</v>
      </c>
      <c r="B7438" t="str">
        <f>ADDRESS(ROW(DFLoan1!B$14),COLUMN(DFLoan1!B$14),4)</f>
        <v>B14</v>
      </c>
      <c r="C7438" t="str">
        <f>ADDRESS(ROW(DFLoan1!C$14),COLUMN(DFLoan1!C$14),4)</f>
        <v>C14</v>
      </c>
      <c r="D7438" t="b" cm="1">
        <f t="array" aca="1" ref="D7438" ca="1">IF(INDIRECT("'"&amp;A7438&amp;"'!"&amp;B7438)="",FALSE,IF(NOT(ISNUMBER(INDIRECT("'"&amp;A7438&amp;"'!"&amp;B7438))),TRUE,FALSE))</f>
        <v>0</v>
      </c>
      <c r="E7438" t="s">
        <v>435</v>
      </c>
      <c r="F7438" t="str">
        <f>INDEX(Lists!I:I,MATCH(Validation!E7438,Lists!G:G,0))</f>
        <v>Error</v>
      </c>
      <c r="G7438" t="str">
        <f>INDEX(Lists!H:H,MATCH(Validation!E7438,Lists!G:G,0))</f>
        <v>Enter an amount only. Do not enter text or spaces.</v>
      </c>
      <c r="H7438" s="16" t="str">
        <f t="shared" ca="1" si="837"/>
        <v/>
      </c>
      <c r="I7438" s="16" t="str">
        <f t="shared" ca="1" si="838"/>
        <v/>
      </c>
      <c r="J7438" s="17" t="str">
        <f t="shared" ca="1" si="839"/>
        <v/>
      </c>
    </row>
    <row r="7439" spans="1:10" x14ac:dyDescent="0.25">
      <c r="A7439" t="s">
        <v>956</v>
      </c>
      <c r="B7439" t="str">
        <f>ADDRESS(ROW(DFLoan1!B$14),COLUMN(DFLoan1!B$14),4)</f>
        <v>B14</v>
      </c>
      <c r="C7439" t="str">
        <f>ADDRESS(ROW(DFLoan1!C$14),COLUMN(DFLoan1!C$14),4)</f>
        <v>C14</v>
      </c>
      <c r="D7439" t="b" cm="1">
        <f t="array" aca="1" ref="D7439" ca="1">IF(INDIRECT("'"&amp;A7439&amp;"'!"&amp;B7439)="",FALSE,IF(NOT(ISNUMBER(INDIRECT("'"&amp;A7439&amp;"'!"&amp;B7439))),TRUE,FALSE))</f>
        <v>0</v>
      </c>
      <c r="E7439" t="s">
        <v>435</v>
      </c>
      <c r="F7439" t="str">
        <f>INDEX(Lists!I:I,MATCH(Validation!E7439,Lists!G:G,0))</f>
        <v>Error</v>
      </c>
      <c r="G7439" t="str">
        <f>INDEX(Lists!H:H,MATCH(Validation!E7439,Lists!G:G,0))</f>
        <v>Enter an amount only. Do not enter text or spaces.</v>
      </c>
      <c r="H7439" s="16" t="str">
        <f t="shared" ca="1" si="837"/>
        <v/>
      </c>
      <c r="I7439" s="16" t="str">
        <f t="shared" ca="1" si="838"/>
        <v/>
      </c>
      <c r="J7439" s="17" t="str">
        <f t="shared" ca="1" si="839"/>
        <v/>
      </c>
    </row>
    <row r="7440" spans="1:10" x14ac:dyDescent="0.25">
      <c r="A7440" t="s">
        <v>957</v>
      </c>
      <c r="B7440" t="str">
        <f>ADDRESS(ROW(DFLoan1!B$14),COLUMN(DFLoan1!B$14),4)</f>
        <v>B14</v>
      </c>
      <c r="C7440" t="str">
        <f>ADDRESS(ROW(DFLoan1!C$14),COLUMN(DFLoan1!C$14),4)</f>
        <v>C14</v>
      </c>
      <c r="D7440" t="b" cm="1">
        <f t="array" aca="1" ref="D7440" ca="1">IF(INDIRECT("'"&amp;A7440&amp;"'!"&amp;B7440)="",FALSE,IF(NOT(ISNUMBER(INDIRECT("'"&amp;A7440&amp;"'!"&amp;B7440))),TRUE,FALSE))</f>
        <v>0</v>
      </c>
      <c r="E7440" t="s">
        <v>435</v>
      </c>
      <c r="F7440" t="str">
        <f>INDEX(Lists!I:I,MATCH(Validation!E7440,Lists!G:G,0))</f>
        <v>Error</v>
      </c>
      <c r="G7440" t="str">
        <f>INDEX(Lists!H:H,MATCH(Validation!E7440,Lists!G:G,0))</f>
        <v>Enter an amount only. Do not enter text or spaces.</v>
      </c>
      <c r="H7440" s="16" t="str">
        <f t="shared" ca="1" si="837"/>
        <v/>
      </c>
      <c r="I7440" s="16" t="str">
        <f t="shared" ca="1" si="838"/>
        <v/>
      </c>
      <c r="J7440" s="17" t="str">
        <f t="shared" ca="1" si="839"/>
        <v/>
      </c>
    </row>
    <row r="7441" spans="1:10" x14ac:dyDescent="0.25">
      <c r="A7441" t="s">
        <v>958</v>
      </c>
      <c r="B7441" t="str">
        <f>ADDRESS(ROW(DFLoan1!B$14),COLUMN(DFLoan1!B$14),4)</f>
        <v>B14</v>
      </c>
      <c r="C7441" t="str">
        <f>ADDRESS(ROW(DFLoan1!C$14),COLUMN(DFLoan1!C$14),4)</f>
        <v>C14</v>
      </c>
      <c r="D7441" t="b" cm="1">
        <f t="array" aca="1" ref="D7441" ca="1">IF(INDIRECT("'"&amp;A7441&amp;"'!"&amp;B7441)="",FALSE,IF(NOT(ISNUMBER(INDIRECT("'"&amp;A7441&amp;"'!"&amp;B7441))),TRUE,FALSE))</f>
        <v>0</v>
      </c>
      <c r="E7441" t="s">
        <v>435</v>
      </c>
      <c r="F7441" t="str">
        <f>INDEX(Lists!I:I,MATCH(Validation!E7441,Lists!G:G,0))</f>
        <v>Error</v>
      </c>
      <c r="G7441" t="str">
        <f>INDEX(Lists!H:H,MATCH(Validation!E7441,Lists!G:G,0))</f>
        <v>Enter an amount only. Do not enter text or spaces.</v>
      </c>
      <c r="H7441" s="16" t="str">
        <f t="shared" ca="1" si="837"/>
        <v/>
      </c>
      <c r="I7441" s="16" t="str">
        <f t="shared" ca="1" si="838"/>
        <v/>
      </c>
      <c r="J7441" s="17" t="str">
        <f t="shared" ca="1" si="839"/>
        <v/>
      </c>
    </row>
    <row r="7442" spans="1:10" x14ac:dyDescent="0.25">
      <c r="A7442" t="s">
        <v>959</v>
      </c>
      <c r="B7442" t="str">
        <f>ADDRESS(ROW(DFLoan1!B$14),COLUMN(DFLoan1!B$14),4)</f>
        <v>B14</v>
      </c>
      <c r="C7442" t="str">
        <f>ADDRESS(ROW(DFLoan1!C$14),COLUMN(DFLoan1!C$14),4)</f>
        <v>C14</v>
      </c>
      <c r="D7442" t="b" cm="1">
        <f t="array" aca="1" ref="D7442" ca="1">IF(INDIRECT("'"&amp;A7442&amp;"'!"&amp;B7442)="",FALSE,IF(NOT(ISNUMBER(INDIRECT("'"&amp;A7442&amp;"'!"&amp;B7442))),TRUE,FALSE))</f>
        <v>0</v>
      </c>
      <c r="E7442" t="s">
        <v>435</v>
      </c>
      <c r="F7442" t="str">
        <f>INDEX(Lists!I:I,MATCH(Validation!E7442,Lists!G:G,0))</f>
        <v>Error</v>
      </c>
      <c r="G7442" t="str">
        <f>INDEX(Lists!H:H,MATCH(Validation!E7442,Lists!G:G,0))</f>
        <v>Enter an amount only. Do not enter text or spaces.</v>
      </c>
      <c r="H7442" s="16" t="str">
        <f t="shared" ca="1" si="837"/>
        <v/>
      </c>
      <c r="I7442" s="16" t="str">
        <f t="shared" ca="1" si="838"/>
        <v/>
      </c>
      <c r="J7442" s="17" t="str">
        <f t="shared" ca="1" si="839"/>
        <v/>
      </c>
    </row>
    <row r="7443" spans="1:10" x14ac:dyDescent="0.25">
      <c r="A7443" t="s">
        <v>960</v>
      </c>
      <c r="B7443" t="str">
        <f>ADDRESS(ROW(DFLoan1!B$14),COLUMN(DFLoan1!B$14),4)</f>
        <v>B14</v>
      </c>
      <c r="C7443" t="str">
        <f>ADDRESS(ROW(DFLoan1!C$14),COLUMN(DFLoan1!C$14),4)</f>
        <v>C14</v>
      </c>
      <c r="D7443" t="b" cm="1">
        <f t="array" aca="1" ref="D7443" ca="1">IF(INDIRECT("'"&amp;A7443&amp;"'!"&amp;B7443)="",FALSE,IF(NOT(ISNUMBER(INDIRECT("'"&amp;A7443&amp;"'!"&amp;B7443))),TRUE,FALSE))</f>
        <v>0</v>
      </c>
      <c r="E7443" t="s">
        <v>435</v>
      </c>
      <c r="F7443" t="str">
        <f>INDEX(Lists!I:I,MATCH(Validation!E7443,Lists!G:G,0))</f>
        <v>Error</v>
      </c>
      <c r="G7443" t="str">
        <f>INDEX(Lists!H:H,MATCH(Validation!E7443,Lists!G:G,0))</f>
        <v>Enter an amount only. Do not enter text or spaces.</v>
      </c>
      <c r="H7443" s="16" t="str">
        <f t="shared" ca="1" si="837"/>
        <v/>
      </c>
      <c r="I7443" s="16" t="str">
        <f t="shared" ca="1" si="838"/>
        <v/>
      </c>
      <c r="J7443" s="17" t="str">
        <f t="shared" ca="1" si="839"/>
        <v/>
      </c>
    </row>
    <row r="7444" spans="1:10" x14ac:dyDescent="0.25">
      <c r="A7444" t="s">
        <v>961</v>
      </c>
      <c r="B7444" t="str">
        <f>ADDRESS(ROW(DFLoan1!B$14),COLUMN(DFLoan1!B$14),4)</f>
        <v>B14</v>
      </c>
      <c r="C7444" t="str">
        <f>ADDRESS(ROW(DFLoan1!C$14),COLUMN(DFLoan1!C$14),4)</f>
        <v>C14</v>
      </c>
      <c r="D7444" t="b" cm="1">
        <f t="array" aca="1" ref="D7444" ca="1">IF(INDIRECT("'"&amp;A7444&amp;"'!"&amp;B7444)="",FALSE,IF(NOT(ISNUMBER(INDIRECT("'"&amp;A7444&amp;"'!"&amp;B7444))),TRUE,FALSE))</f>
        <v>0</v>
      </c>
      <c r="E7444" t="s">
        <v>435</v>
      </c>
      <c r="F7444" t="str">
        <f>INDEX(Lists!I:I,MATCH(Validation!E7444,Lists!G:G,0))</f>
        <v>Error</v>
      </c>
      <c r="G7444" t="str">
        <f>INDEX(Lists!H:H,MATCH(Validation!E7444,Lists!G:G,0))</f>
        <v>Enter an amount only. Do not enter text or spaces.</v>
      </c>
      <c r="H7444" s="16" t="str">
        <f t="shared" ca="1" si="837"/>
        <v/>
      </c>
      <c r="I7444" s="16" t="str">
        <f t="shared" ca="1" si="838"/>
        <v/>
      </c>
      <c r="J7444" s="17" t="str">
        <f t="shared" ca="1" si="839"/>
        <v/>
      </c>
    </row>
    <row r="7445" spans="1:10" x14ac:dyDescent="0.25">
      <c r="A7445" t="s">
        <v>962</v>
      </c>
      <c r="B7445" t="str">
        <f>ADDRESS(ROW(DFLoan1!B$14),COLUMN(DFLoan1!B$14),4)</f>
        <v>B14</v>
      </c>
      <c r="C7445" t="str">
        <f>ADDRESS(ROW(DFLoan1!C$14),COLUMN(DFLoan1!C$14),4)</f>
        <v>C14</v>
      </c>
      <c r="D7445" t="b" cm="1">
        <f t="array" aca="1" ref="D7445" ca="1">IF(INDIRECT("'"&amp;A7445&amp;"'!"&amp;B7445)="",FALSE,IF(NOT(ISNUMBER(INDIRECT("'"&amp;A7445&amp;"'!"&amp;B7445))),TRUE,FALSE))</f>
        <v>0</v>
      </c>
      <c r="E7445" t="s">
        <v>435</v>
      </c>
      <c r="F7445" t="str">
        <f>INDEX(Lists!I:I,MATCH(Validation!E7445,Lists!G:G,0))</f>
        <v>Error</v>
      </c>
      <c r="G7445" t="str">
        <f>INDEX(Lists!H:H,MATCH(Validation!E7445,Lists!G:G,0))</f>
        <v>Enter an amount only. Do not enter text or spaces.</v>
      </c>
      <c r="H7445" s="16" t="str">
        <f t="shared" ca="1" si="837"/>
        <v/>
      </c>
      <c r="I7445" s="16" t="str">
        <f t="shared" ca="1" si="838"/>
        <v/>
      </c>
      <c r="J7445" s="17" t="str">
        <f t="shared" ca="1" si="839"/>
        <v/>
      </c>
    </row>
    <row r="7446" spans="1:10" x14ac:dyDescent="0.25">
      <c r="A7446" t="s">
        <v>963</v>
      </c>
      <c r="B7446" t="str">
        <f>ADDRESS(ROW(DFLoan1!B$14),COLUMN(DFLoan1!B$14),4)</f>
        <v>B14</v>
      </c>
      <c r="C7446" t="str">
        <f>ADDRESS(ROW(DFLoan1!C$14),COLUMN(DFLoan1!C$14),4)</f>
        <v>C14</v>
      </c>
      <c r="D7446" t="b" cm="1">
        <f t="array" aca="1" ref="D7446" ca="1">IF(INDIRECT("'"&amp;A7446&amp;"'!"&amp;B7446)="",FALSE,IF(NOT(ISNUMBER(INDIRECT("'"&amp;A7446&amp;"'!"&amp;B7446))),TRUE,FALSE))</f>
        <v>0</v>
      </c>
      <c r="E7446" t="s">
        <v>435</v>
      </c>
      <c r="F7446" t="str">
        <f>INDEX(Lists!I:I,MATCH(Validation!E7446,Lists!G:G,0))</f>
        <v>Error</v>
      </c>
      <c r="G7446" t="str">
        <f>INDEX(Lists!H:H,MATCH(Validation!E7446,Lists!G:G,0))</f>
        <v>Enter an amount only. Do not enter text or spaces.</v>
      </c>
      <c r="H7446" s="16" t="str">
        <f t="shared" ca="1" si="837"/>
        <v/>
      </c>
      <c r="I7446" s="16" t="str">
        <f t="shared" ca="1" si="838"/>
        <v/>
      </c>
      <c r="J7446" s="17" t="str">
        <f t="shared" ca="1" si="839"/>
        <v/>
      </c>
    </row>
    <row r="7447" spans="1:10" x14ac:dyDescent="0.25">
      <c r="A7447" t="s">
        <v>964</v>
      </c>
      <c r="B7447" t="str">
        <f>ADDRESS(ROW(DFLoan1!B$14),COLUMN(DFLoan1!B$14),4)</f>
        <v>B14</v>
      </c>
      <c r="C7447" t="str">
        <f>ADDRESS(ROW(DFLoan1!C$14),COLUMN(DFLoan1!C$14),4)</f>
        <v>C14</v>
      </c>
      <c r="D7447" t="b" cm="1">
        <f t="array" aca="1" ref="D7447" ca="1">IF(INDIRECT("'"&amp;A7447&amp;"'!"&amp;B7447)="",FALSE,IF(NOT(ISNUMBER(INDIRECT("'"&amp;A7447&amp;"'!"&amp;B7447))),TRUE,FALSE))</f>
        <v>0</v>
      </c>
      <c r="E7447" t="s">
        <v>435</v>
      </c>
      <c r="F7447" t="str">
        <f>INDEX(Lists!I:I,MATCH(Validation!E7447,Lists!G:G,0))</f>
        <v>Error</v>
      </c>
      <c r="G7447" t="str">
        <f>INDEX(Lists!H:H,MATCH(Validation!E7447,Lists!G:G,0))</f>
        <v>Enter an amount only. Do not enter text or spaces.</v>
      </c>
      <c r="H7447" s="16" t="str">
        <f t="shared" ca="1" si="837"/>
        <v/>
      </c>
      <c r="I7447" s="16" t="str">
        <f t="shared" ca="1" si="838"/>
        <v/>
      </c>
      <c r="J7447" s="17" t="str">
        <f t="shared" ca="1" si="839"/>
        <v/>
      </c>
    </row>
    <row r="7448" spans="1:10" x14ac:dyDescent="0.25">
      <c r="A7448" t="s">
        <v>965</v>
      </c>
      <c r="B7448" t="str">
        <f>ADDRESS(ROW(DFLoan1!B$14),COLUMN(DFLoan1!B$14),4)</f>
        <v>B14</v>
      </c>
      <c r="C7448" t="str">
        <f>ADDRESS(ROW(DFLoan1!C$14),COLUMN(DFLoan1!C$14),4)</f>
        <v>C14</v>
      </c>
      <c r="D7448" t="b" cm="1">
        <f t="array" aca="1" ref="D7448" ca="1">IF(INDIRECT("'"&amp;A7448&amp;"'!"&amp;B7448)="",FALSE,IF(NOT(ISNUMBER(INDIRECT("'"&amp;A7448&amp;"'!"&amp;B7448))),TRUE,FALSE))</f>
        <v>0</v>
      </c>
      <c r="E7448" t="s">
        <v>435</v>
      </c>
      <c r="F7448" t="str">
        <f>INDEX(Lists!I:I,MATCH(Validation!E7448,Lists!G:G,0))</f>
        <v>Error</v>
      </c>
      <c r="G7448" t="str">
        <f>INDEX(Lists!H:H,MATCH(Validation!E7448,Lists!G:G,0))</f>
        <v>Enter an amount only. Do not enter text or spaces.</v>
      </c>
      <c r="H7448" s="16" t="str">
        <f t="shared" ca="1" si="837"/>
        <v/>
      </c>
      <c r="I7448" s="16" t="str">
        <f t="shared" ca="1" si="838"/>
        <v/>
      </c>
      <c r="J7448" s="17" t="str">
        <f t="shared" ca="1" si="839"/>
        <v/>
      </c>
    </row>
    <row r="7449" spans="1:10" x14ac:dyDescent="0.25">
      <c r="A7449" t="s">
        <v>966</v>
      </c>
      <c r="B7449" t="str">
        <f>ADDRESS(ROW(DFLoan1!B$14),COLUMN(DFLoan1!B$14),4)</f>
        <v>B14</v>
      </c>
      <c r="C7449" t="str">
        <f>ADDRESS(ROW(DFLoan1!C$14),COLUMN(DFLoan1!C$14),4)</f>
        <v>C14</v>
      </c>
      <c r="D7449" t="b" cm="1">
        <f t="array" aca="1" ref="D7449" ca="1">IF(INDIRECT("'"&amp;A7449&amp;"'!"&amp;B7449)="",FALSE,IF(NOT(ISNUMBER(INDIRECT("'"&amp;A7449&amp;"'!"&amp;B7449))),TRUE,FALSE))</f>
        <v>0</v>
      </c>
      <c r="E7449" t="s">
        <v>435</v>
      </c>
      <c r="F7449" t="str">
        <f>INDEX(Lists!I:I,MATCH(Validation!E7449,Lists!G:G,0))</f>
        <v>Error</v>
      </c>
      <c r="G7449" t="str">
        <f>INDEX(Lists!H:H,MATCH(Validation!E7449,Lists!G:G,0))</f>
        <v>Enter an amount only. Do not enter text or spaces.</v>
      </c>
      <c r="H7449" s="16" t="str">
        <f t="shared" ca="1" si="837"/>
        <v/>
      </c>
      <c r="I7449" s="16" t="str">
        <f t="shared" ca="1" si="838"/>
        <v/>
      </c>
      <c r="J7449" s="17" t="str">
        <f t="shared" ca="1" si="839"/>
        <v/>
      </c>
    </row>
    <row r="7450" spans="1:10" x14ac:dyDescent="0.25">
      <c r="A7450" t="s">
        <v>881</v>
      </c>
      <c r="B7450" t="str">
        <f>ADDRESS(ROW(DFLoan1!B$14),COLUMN(DFLoan1!B$14),4)</f>
        <v>B14</v>
      </c>
      <c r="C7450" t="str">
        <f>ADDRESS(ROW(DFLoan1!C$14),COLUMN(DFLoan1!C$14),4)</f>
        <v>C14</v>
      </c>
      <c r="D7450" t="b" cm="1">
        <f t="array" aca="1" ref="D7450" ca="1">IF(INDIRECT("'"&amp;A7450&amp;"'!"&amp;B7450)="",FALSE,IF(INDIRECT("'"&amp;A7450&amp;"'!"&amp;B7450)&lt;=0,TRUE,FALSE))</f>
        <v>0</v>
      </c>
      <c r="E7450" t="s">
        <v>711</v>
      </c>
      <c r="F7450" t="str">
        <f>INDEX(Lists!I:I,MATCH(Validation!E7450,Lists!G:G,0))</f>
        <v>Error</v>
      </c>
      <c r="G7450" t="str">
        <f>INDEX(Lists!H:H,MATCH(Validation!E7450,Lists!G:G,0))</f>
        <v>Amount must be greater than zero.</v>
      </c>
      <c r="H7450" s="16" t="str">
        <f t="shared" ca="1" si="837"/>
        <v/>
      </c>
      <c r="I7450" s="16" t="str">
        <f t="shared" ca="1" si="838"/>
        <v/>
      </c>
      <c r="J7450" s="17" t="str">
        <f t="shared" ca="1" si="839"/>
        <v/>
      </c>
    </row>
    <row r="7451" spans="1:10" x14ac:dyDescent="0.25">
      <c r="A7451" t="s">
        <v>953</v>
      </c>
      <c r="B7451" t="str">
        <f>ADDRESS(ROW(DFLoan1!B$14),COLUMN(DFLoan1!B$14),4)</f>
        <v>B14</v>
      </c>
      <c r="C7451" t="str">
        <f>ADDRESS(ROW(DFLoan1!C$14),COLUMN(DFLoan1!C$14),4)</f>
        <v>C14</v>
      </c>
      <c r="D7451" t="b" cm="1">
        <f t="array" aca="1" ref="D7451" ca="1">IF(INDIRECT("'"&amp;A7451&amp;"'!"&amp;B7451)="",FALSE,IF(INDIRECT("'"&amp;A7451&amp;"'!"&amp;B7451)&lt;=0,TRUE,FALSE))</f>
        <v>0</v>
      </c>
      <c r="E7451" t="s">
        <v>711</v>
      </c>
      <c r="F7451" t="str">
        <f>INDEX(Lists!I:I,MATCH(Validation!E7451,Lists!G:G,0))</f>
        <v>Error</v>
      </c>
      <c r="G7451" t="str">
        <f>INDEX(Lists!H:H,MATCH(Validation!E7451,Lists!G:G,0))</f>
        <v>Amount must be greater than zero.</v>
      </c>
      <c r="H7451" s="16" t="str">
        <f t="shared" ca="1" si="837"/>
        <v/>
      </c>
      <c r="I7451" s="16" t="str">
        <f t="shared" ca="1" si="838"/>
        <v/>
      </c>
      <c r="J7451" s="17" t="str">
        <f t="shared" ca="1" si="839"/>
        <v/>
      </c>
    </row>
    <row r="7452" spans="1:10" x14ac:dyDescent="0.25">
      <c r="A7452" t="s">
        <v>954</v>
      </c>
      <c r="B7452" t="str">
        <f>ADDRESS(ROW(DFLoan1!B$14),COLUMN(DFLoan1!B$14),4)</f>
        <v>B14</v>
      </c>
      <c r="C7452" t="str">
        <f>ADDRESS(ROW(DFLoan1!C$14),COLUMN(DFLoan1!C$14),4)</f>
        <v>C14</v>
      </c>
      <c r="D7452" t="b" cm="1">
        <f t="array" aca="1" ref="D7452" ca="1">IF(INDIRECT("'"&amp;A7452&amp;"'!"&amp;B7452)="",FALSE,IF(INDIRECT("'"&amp;A7452&amp;"'!"&amp;B7452)&lt;=0,TRUE,FALSE))</f>
        <v>0</v>
      </c>
      <c r="E7452" t="s">
        <v>711</v>
      </c>
      <c r="F7452" t="str">
        <f>INDEX(Lists!I:I,MATCH(Validation!E7452,Lists!G:G,0))</f>
        <v>Error</v>
      </c>
      <c r="G7452" t="str">
        <f>INDEX(Lists!H:H,MATCH(Validation!E7452,Lists!G:G,0))</f>
        <v>Amount must be greater than zero.</v>
      </c>
      <c r="H7452" s="16" t="str">
        <f t="shared" ca="1" si="837"/>
        <v/>
      </c>
      <c r="I7452" s="16" t="str">
        <f t="shared" ca="1" si="838"/>
        <v/>
      </c>
      <c r="J7452" s="17" t="str">
        <f t="shared" ca="1" si="839"/>
        <v/>
      </c>
    </row>
    <row r="7453" spans="1:10" x14ac:dyDescent="0.25">
      <c r="A7453" t="s">
        <v>955</v>
      </c>
      <c r="B7453" t="str">
        <f>ADDRESS(ROW(DFLoan1!B$14),COLUMN(DFLoan1!B$14),4)</f>
        <v>B14</v>
      </c>
      <c r="C7453" t="str">
        <f>ADDRESS(ROW(DFLoan1!C$14),COLUMN(DFLoan1!C$14),4)</f>
        <v>C14</v>
      </c>
      <c r="D7453" t="b" cm="1">
        <f t="array" aca="1" ref="D7453" ca="1">IF(INDIRECT("'"&amp;A7453&amp;"'!"&amp;B7453)="",FALSE,IF(INDIRECT("'"&amp;A7453&amp;"'!"&amp;B7453)&lt;=0,TRUE,FALSE))</f>
        <v>0</v>
      </c>
      <c r="E7453" t="s">
        <v>711</v>
      </c>
      <c r="F7453" t="str">
        <f>INDEX(Lists!I:I,MATCH(Validation!E7453,Lists!G:G,0))</f>
        <v>Error</v>
      </c>
      <c r="G7453" t="str">
        <f>INDEX(Lists!H:H,MATCH(Validation!E7453,Lists!G:G,0))</f>
        <v>Amount must be greater than zero.</v>
      </c>
      <c r="H7453" s="16" t="str">
        <f t="shared" ca="1" si="837"/>
        <v/>
      </c>
      <c r="I7453" s="16" t="str">
        <f t="shared" ca="1" si="838"/>
        <v/>
      </c>
      <c r="J7453" s="17" t="str">
        <f t="shared" ca="1" si="839"/>
        <v/>
      </c>
    </row>
    <row r="7454" spans="1:10" x14ac:dyDescent="0.25">
      <c r="A7454" t="s">
        <v>956</v>
      </c>
      <c r="B7454" t="str">
        <f>ADDRESS(ROW(DFLoan1!B$14),COLUMN(DFLoan1!B$14),4)</f>
        <v>B14</v>
      </c>
      <c r="C7454" t="str">
        <f>ADDRESS(ROW(DFLoan1!C$14),COLUMN(DFLoan1!C$14),4)</f>
        <v>C14</v>
      </c>
      <c r="D7454" t="b" cm="1">
        <f t="array" aca="1" ref="D7454" ca="1">IF(INDIRECT("'"&amp;A7454&amp;"'!"&amp;B7454)="",FALSE,IF(INDIRECT("'"&amp;A7454&amp;"'!"&amp;B7454)&lt;=0,TRUE,FALSE))</f>
        <v>0</v>
      </c>
      <c r="E7454" t="s">
        <v>711</v>
      </c>
      <c r="F7454" t="str">
        <f>INDEX(Lists!I:I,MATCH(Validation!E7454,Lists!G:G,0))</f>
        <v>Error</v>
      </c>
      <c r="G7454" t="str">
        <f>INDEX(Lists!H:H,MATCH(Validation!E7454,Lists!G:G,0))</f>
        <v>Amount must be greater than zero.</v>
      </c>
      <c r="H7454" s="16" t="str">
        <f t="shared" ca="1" si="837"/>
        <v/>
      </c>
      <c r="I7454" s="16" t="str">
        <f t="shared" ca="1" si="838"/>
        <v/>
      </c>
      <c r="J7454" s="17" t="str">
        <f t="shared" ca="1" si="839"/>
        <v/>
      </c>
    </row>
    <row r="7455" spans="1:10" x14ac:dyDescent="0.25">
      <c r="A7455" t="s">
        <v>957</v>
      </c>
      <c r="B7455" t="str">
        <f>ADDRESS(ROW(DFLoan1!B$14),COLUMN(DFLoan1!B$14),4)</f>
        <v>B14</v>
      </c>
      <c r="C7455" t="str">
        <f>ADDRESS(ROW(DFLoan1!C$14),COLUMN(DFLoan1!C$14),4)</f>
        <v>C14</v>
      </c>
      <c r="D7455" t="b" cm="1">
        <f t="array" aca="1" ref="D7455" ca="1">IF(INDIRECT("'"&amp;A7455&amp;"'!"&amp;B7455)="",FALSE,IF(INDIRECT("'"&amp;A7455&amp;"'!"&amp;B7455)&lt;=0,TRUE,FALSE))</f>
        <v>0</v>
      </c>
      <c r="E7455" t="s">
        <v>711</v>
      </c>
      <c r="F7455" t="str">
        <f>INDEX(Lists!I:I,MATCH(Validation!E7455,Lists!G:G,0))</f>
        <v>Error</v>
      </c>
      <c r="G7455" t="str">
        <f>INDEX(Lists!H:H,MATCH(Validation!E7455,Lists!G:G,0))</f>
        <v>Amount must be greater than zero.</v>
      </c>
      <c r="H7455" s="16" t="str">
        <f t="shared" ca="1" si="837"/>
        <v/>
      </c>
      <c r="I7455" s="16" t="str">
        <f t="shared" ca="1" si="838"/>
        <v/>
      </c>
      <c r="J7455" s="17" t="str">
        <f t="shared" ca="1" si="839"/>
        <v/>
      </c>
    </row>
    <row r="7456" spans="1:10" x14ac:dyDescent="0.25">
      <c r="A7456" t="s">
        <v>958</v>
      </c>
      <c r="B7456" t="str">
        <f>ADDRESS(ROW(DFLoan1!B$14),COLUMN(DFLoan1!B$14),4)</f>
        <v>B14</v>
      </c>
      <c r="C7456" t="str">
        <f>ADDRESS(ROW(DFLoan1!C$14),COLUMN(DFLoan1!C$14),4)</f>
        <v>C14</v>
      </c>
      <c r="D7456" t="b" cm="1">
        <f t="array" aca="1" ref="D7456" ca="1">IF(INDIRECT("'"&amp;A7456&amp;"'!"&amp;B7456)="",FALSE,IF(INDIRECT("'"&amp;A7456&amp;"'!"&amp;B7456)&lt;=0,TRUE,FALSE))</f>
        <v>0</v>
      </c>
      <c r="E7456" t="s">
        <v>711</v>
      </c>
      <c r="F7456" t="str">
        <f>INDEX(Lists!I:I,MATCH(Validation!E7456,Lists!G:G,0))</f>
        <v>Error</v>
      </c>
      <c r="G7456" t="str">
        <f>INDEX(Lists!H:H,MATCH(Validation!E7456,Lists!G:G,0))</f>
        <v>Amount must be greater than zero.</v>
      </c>
      <c r="H7456" s="16" t="str">
        <f t="shared" ca="1" si="837"/>
        <v/>
      </c>
      <c r="I7456" s="16" t="str">
        <f t="shared" ca="1" si="838"/>
        <v/>
      </c>
      <c r="J7456" s="17" t="str">
        <f t="shared" ca="1" si="839"/>
        <v/>
      </c>
    </row>
    <row r="7457" spans="1:10" x14ac:dyDescent="0.25">
      <c r="A7457" t="s">
        <v>959</v>
      </c>
      <c r="B7457" t="str">
        <f>ADDRESS(ROW(DFLoan1!B$14),COLUMN(DFLoan1!B$14),4)</f>
        <v>B14</v>
      </c>
      <c r="C7457" t="str">
        <f>ADDRESS(ROW(DFLoan1!C$14),COLUMN(DFLoan1!C$14),4)</f>
        <v>C14</v>
      </c>
      <c r="D7457" t="b" cm="1">
        <f t="array" aca="1" ref="D7457" ca="1">IF(INDIRECT("'"&amp;A7457&amp;"'!"&amp;B7457)="",FALSE,IF(INDIRECT("'"&amp;A7457&amp;"'!"&amp;B7457)&lt;=0,TRUE,FALSE))</f>
        <v>0</v>
      </c>
      <c r="E7457" t="s">
        <v>711</v>
      </c>
      <c r="F7457" t="str">
        <f>INDEX(Lists!I:I,MATCH(Validation!E7457,Lists!G:G,0))</f>
        <v>Error</v>
      </c>
      <c r="G7457" t="str">
        <f>INDEX(Lists!H:H,MATCH(Validation!E7457,Lists!G:G,0))</f>
        <v>Amount must be greater than zero.</v>
      </c>
      <c r="H7457" s="16" t="str">
        <f t="shared" ca="1" si="837"/>
        <v/>
      </c>
      <c r="I7457" s="16" t="str">
        <f t="shared" ca="1" si="838"/>
        <v/>
      </c>
      <c r="J7457" s="17" t="str">
        <f t="shared" ca="1" si="839"/>
        <v/>
      </c>
    </row>
    <row r="7458" spans="1:10" x14ac:dyDescent="0.25">
      <c r="A7458" t="s">
        <v>960</v>
      </c>
      <c r="B7458" t="str">
        <f>ADDRESS(ROW(DFLoan1!B$14),COLUMN(DFLoan1!B$14),4)</f>
        <v>B14</v>
      </c>
      <c r="C7458" t="str">
        <f>ADDRESS(ROW(DFLoan1!C$14),COLUMN(DFLoan1!C$14),4)</f>
        <v>C14</v>
      </c>
      <c r="D7458" t="b" cm="1">
        <f t="array" aca="1" ref="D7458" ca="1">IF(INDIRECT("'"&amp;A7458&amp;"'!"&amp;B7458)="",FALSE,IF(INDIRECT("'"&amp;A7458&amp;"'!"&amp;B7458)&lt;=0,TRUE,FALSE))</f>
        <v>0</v>
      </c>
      <c r="E7458" t="s">
        <v>711</v>
      </c>
      <c r="F7458" t="str">
        <f>INDEX(Lists!I:I,MATCH(Validation!E7458,Lists!G:G,0))</f>
        <v>Error</v>
      </c>
      <c r="G7458" t="str">
        <f>INDEX(Lists!H:H,MATCH(Validation!E7458,Lists!G:G,0))</f>
        <v>Amount must be greater than zero.</v>
      </c>
      <c r="H7458" s="16" t="str">
        <f t="shared" ca="1" si="837"/>
        <v/>
      </c>
      <c r="I7458" s="16" t="str">
        <f t="shared" ca="1" si="838"/>
        <v/>
      </c>
      <c r="J7458" s="17" t="str">
        <f t="shared" ca="1" si="839"/>
        <v/>
      </c>
    </row>
    <row r="7459" spans="1:10" x14ac:dyDescent="0.25">
      <c r="A7459" t="s">
        <v>961</v>
      </c>
      <c r="B7459" t="str">
        <f>ADDRESS(ROW(DFLoan1!B$14),COLUMN(DFLoan1!B$14),4)</f>
        <v>B14</v>
      </c>
      <c r="C7459" t="str">
        <f>ADDRESS(ROW(DFLoan1!C$14),COLUMN(DFLoan1!C$14),4)</f>
        <v>C14</v>
      </c>
      <c r="D7459" t="b" cm="1">
        <f t="array" aca="1" ref="D7459" ca="1">IF(INDIRECT("'"&amp;A7459&amp;"'!"&amp;B7459)="",FALSE,IF(INDIRECT("'"&amp;A7459&amp;"'!"&amp;B7459)&lt;=0,TRUE,FALSE))</f>
        <v>0</v>
      </c>
      <c r="E7459" t="s">
        <v>711</v>
      </c>
      <c r="F7459" t="str">
        <f>INDEX(Lists!I:I,MATCH(Validation!E7459,Lists!G:G,0))</f>
        <v>Error</v>
      </c>
      <c r="G7459" t="str">
        <f>INDEX(Lists!H:H,MATCH(Validation!E7459,Lists!G:G,0))</f>
        <v>Amount must be greater than zero.</v>
      </c>
      <c r="H7459" s="16" t="str">
        <f t="shared" ca="1" si="837"/>
        <v/>
      </c>
      <c r="I7459" s="16" t="str">
        <f t="shared" ca="1" si="838"/>
        <v/>
      </c>
      <c r="J7459" s="17" t="str">
        <f t="shared" ca="1" si="839"/>
        <v/>
      </c>
    </row>
    <row r="7460" spans="1:10" x14ac:dyDescent="0.25">
      <c r="A7460" t="s">
        <v>962</v>
      </c>
      <c r="B7460" t="str">
        <f>ADDRESS(ROW(DFLoan1!B$14),COLUMN(DFLoan1!B$14),4)</f>
        <v>B14</v>
      </c>
      <c r="C7460" t="str">
        <f>ADDRESS(ROW(DFLoan1!C$14),COLUMN(DFLoan1!C$14),4)</f>
        <v>C14</v>
      </c>
      <c r="D7460" t="b" cm="1">
        <f t="array" aca="1" ref="D7460" ca="1">IF(INDIRECT("'"&amp;A7460&amp;"'!"&amp;B7460)="",FALSE,IF(INDIRECT("'"&amp;A7460&amp;"'!"&amp;B7460)&lt;=0,TRUE,FALSE))</f>
        <v>0</v>
      </c>
      <c r="E7460" t="s">
        <v>711</v>
      </c>
      <c r="F7460" t="str">
        <f>INDEX(Lists!I:I,MATCH(Validation!E7460,Lists!G:G,0))</f>
        <v>Error</v>
      </c>
      <c r="G7460" t="str">
        <f>INDEX(Lists!H:H,MATCH(Validation!E7460,Lists!G:G,0))</f>
        <v>Amount must be greater than zero.</v>
      </c>
      <c r="H7460" s="16" t="str">
        <f t="shared" ca="1" si="837"/>
        <v/>
      </c>
      <c r="I7460" s="16" t="str">
        <f t="shared" ca="1" si="838"/>
        <v/>
      </c>
      <c r="J7460" s="17" t="str">
        <f t="shared" ca="1" si="839"/>
        <v/>
      </c>
    </row>
    <row r="7461" spans="1:10" x14ac:dyDescent="0.25">
      <c r="A7461" t="s">
        <v>963</v>
      </c>
      <c r="B7461" t="str">
        <f>ADDRESS(ROW(DFLoan1!B$14),COLUMN(DFLoan1!B$14),4)</f>
        <v>B14</v>
      </c>
      <c r="C7461" t="str">
        <f>ADDRESS(ROW(DFLoan1!C$14),COLUMN(DFLoan1!C$14),4)</f>
        <v>C14</v>
      </c>
      <c r="D7461" t="b" cm="1">
        <f t="array" aca="1" ref="D7461" ca="1">IF(INDIRECT("'"&amp;A7461&amp;"'!"&amp;B7461)="",FALSE,IF(INDIRECT("'"&amp;A7461&amp;"'!"&amp;B7461)&lt;=0,TRUE,FALSE))</f>
        <v>0</v>
      </c>
      <c r="E7461" t="s">
        <v>711</v>
      </c>
      <c r="F7461" t="str">
        <f>INDEX(Lists!I:I,MATCH(Validation!E7461,Lists!G:G,0))</f>
        <v>Error</v>
      </c>
      <c r="G7461" t="str">
        <f>INDEX(Lists!H:H,MATCH(Validation!E7461,Lists!G:G,0))</f>
        <v>Amount must be greater than zero.</v>
      </c>
      <c r="H7461" s="16" t="str">
        <f t="shared" ca="1" si="837"/>
        <v/>
      </c>
      <c r="I7461" s="16" t="str">
        <f t="shared" ca="1" si="838"/>
        <v/>
      </c>
      <c r="J7461" s="17" t="str">
        <f t="shared" ca="1" si="839"/>
        <v/>
      </c>
    </row>
    <row r="7462" spans="1:10" x14ac:dyDescent="0.25">
      <c r="A7462" t="s">
        <v>964</v>
      </c>
      <c r="B7462" t="str">
        <f>ADDRESS(ROW(DFLoan1!B$14),COLUMN(DFLoan1!B$14),4)</f>
        <v>B14</v>
      </c>
      <c r="C7462" t="str">
        <f>ADDRESS(ROW(DFLoan1!C$14),COLUMN(DFLoan1!C$14),4)</f>
        <v>C14</v>
      </c>
      <c r="D7462" t="b" cm="1">
        <f t="array" aca="1" ref="D7462" ca="1">IF(INDIRECT("'"&amp;A7462&amp;"'!"&amp;B7462)="",FALSE,IF(INDIRECT("'"&amp;A7462&amp;"'!"&amp;B7462)&lt;=0,TRUE,FALSE))</f>
        <v>0</v>
      </c>
      <c r="E7462" t="s">
        <v>711</v>
      </c>
      <c r="F7462" t="str">
        <f>INDEX(Lists!I:I,MATCH(Validation!E7462,Lists!G:G,0))</f>
        <v>Error</v>
      </c>
      <c r="G7462" t="str">
        <f>INDEX(Lists!H:H,MATCH(Validation!E7462,Lists!G:G,0))</f>
        <v>Amount must be greater than zero.</v>
      </c>
      <c r="H7462" s="16" t="str">
        <f t="shared" ca="1" si="837"/>
        <v/>
      </c>
      <c r="I7462" s="16" t="str">
        <f t="shared" ca="1" si="838"/>
        <v/>
      </c>
      <c r="J7462" s="17" t="str">
        <f t="shared" ca="1" si="839"/>
        <v/>
      </c>
    </row>
    <row r="7463" spans="1:10" x14ac:dyDescent="0.25">
      <c r="A7463" t="s">
        <v>965</v>
      </c>
      <c r="B7463" t="str">
        <f>ADDRESS(ROW(DFLoan1!B$14),COLUMN(DFLoan1!B$14),4)</f>
        <v>B14</v>
      </c>
      <c r="C7463" t="str">
        <f>ADDRESS(ROW(DFLoan1!C$14),COLUMN(DFLoan1!C$14),4)</f>
        <v>C14</v>
      </c>
      <c r="D7463" t="b" cm="1">
        <f t="array" aca="1" ref="D7463" ca="1">IF(INDIRECT("'"&amp;A7463&amp;"'!"&amp;B7463)="",FALSE,IF(INDIRECT("'"&amp;A7463&amp;"'!"&amp;B7463)&lt;=0,TRUE,FALSE))</f>
        <v>0</v>
      </c>
      <c r="E7463" t="s">
        <v>711</v>
      </c>
      <c r="F7463" t="str">
        <f>INDEX(Lists!I:I,MATCH(Validation!E7463,Lists!G:G,0))</f>
        <v>Error</v>
      </c>
      <c r="G7463" t="str">
        <f>INDEX(Lists!H:H,MATCH(Validation!E7463,Lists!G:G,0))</f>
        <v>Amount must be greater than zero.</v>
      </c>
      <c r="H7463" s="16" t="str">
        <f t="shared" ca="1" si="837"/>
        <v/>
      </c>
      <c r="I7463" s="16" t="str">
        <f t="shared" ca="1" si="838"/>
        <v/>
      </c>
      <c r="J7463" s="17" t="str">
        <f t="shared" ca="1" si="839"/>
        <v/>
      </c>
    </row>
    <row r="7464" spans="1:10" x14ac:dyDescent="0.25">
      <c r="A7464" t="s">
        <v>966</v>
      </c>
      <c r="B7464" t="str">
        <f>ADDRESS(ROW(DFLoan1!B$14),COLUMN(DFLoan1!B$14),4)</f>
        <v>B14</v>
      </c>
      <c r="C7464" t="str">
        <f>ADDRESS(ROW(DFLoan1!C$14),COLUMN(DFLoan1!C$14),4)</f>
        <v>C14</v>
      </c>
      <c r="D7464" t="b" cm="1">
        <f t="array" aca="1" ref="D7464" ca="1">IF(INDIRECT("'"&amp;A7464&amp;"'!"&amp;B7464)="",FALSE,IF(INDIRECT("'"&amp;A7464&amp;"'!"&amp;B7464)&lt;=0,TRUE,FALSE))</f>
        <v>0</v>
      </c>
      <c r="E7464" t="s">
        <v>711</v>
      </c>
      <c r="F7464" t="str">
        <f>INDEX(Lists!I:I,MATCH(Validation!E7464,Lists!G:G,0))</f>
        <v>Error</v>
      </c>
      <c r="G7464" t="str">
        <f>INDEX(Lists!H:H,MATCH(Validation!E7464,Lists!G:G,0))</f>
        <v>Amount must be greater than zero.</v>
      </c>
      <c r="H7464" s="16" t="str">
        <f t="shared" ca="1" si="837"/>
        <v/>
      </c>
      <c r="I7464" s="16" t="str">
        <f t="shared" ca="1" si="838"/>
        <v/>
      </c>
      <c r="J7464" s="17" t="str">
        <f t="shared" ca="1" si="839"/>
        <v/>
      </c>
    </row>
    <row r="7465" spans="1:10" x14ac:dyDescent="0.25">
      <c r="A7465" t="s">
        <v>881</v>
      </c>
      <c r="B7465" t="str">
        <f>ADDRESS(ROW(DFLoan1!B$14),COLUMN(DFLoan1!B$14),4)</f>
        <v>B14</v>
      </c>
      <c r="C7465" t="str">
        <f>ADDRESS(ROW(DFLoan1!C$14),COLUMN(DFLoan1!C$14),4)</f>
        <v>C14</v>
      </c>
      <c r="D7465" t="b" cm="1">
        <f t="array" aca="1" ref="D7465" ca="1">IF(INDIRECT("'"&amp;A7465&amp;"'!"&amp;B7465)="",FALSE,IF(TRUNC(INDIRECT("'"&amp;A7465&amp;"'!"&amp;B7465))=INDIRECT("'"&amp;A7465&amp;"'!"&amp;B7465),FALSE,TRUE))</f>
        <v>0</v>
      </c>
      <c r="E7465" t="s">
        <v>436</v>
      </c>
      <c r="F7465" t="str">
        <f>INDEX(Lists!I:I,MATCH(Validation!E7465,Lists!G:G,0))</f>
        <v>Error</v>
      </c>
      <c r="G7465" t="str">
        <f>INDEX(Lists!H:H,MATCH(Validation!E7465,Lists!G:G,0))</f>
        <v>Amount must be rounded to the nearest dollar.</v>
      </c>
      <c r="H7465" s="16" t="str">
        <f t="shared" ca="1" si="837"/>
        <v/>
      </c>
      <c r="I7465" s="16" t="str">
        <f t="shared" ca="1" si="838"/>
        <v/>
      </c>
      <c r="J7465" s="17" t="str">
        <f t="shared" ca="1" si="839"/>
        <v/>
      </c>
    </row>
    <row r="7466" spans="1:10" x14ac:dyDescent="0.25">
      <c r="A7466" t="s">
        <v>953</v>
      </c>
      <c r="B7466" t="str">
        <f>ADDRESS(ROW(DFLoan1!B$14),COLUMN(DFLoan1!B$14),4)</f>
        <v>B14</v>
      </c>
      <c r="C7466" t="str">
        <f>ADDRESS(ROW(DFLoan1!C$14),COLUMN(DFLoan1!C$14),4)</f>
        <v>C14</v>
      </c>
      <c r="D7466" t="b" cm="1">
        <f t="array" aca="1" ref="D7466" ca="1">IF(INDIRECT("'"&amp;A7466&amp;"'!"&amp;B7466)="",FALSE,IF(TRUNC(INDIRECT("'"&amp;A7466&amp;"'!"&amp;B7466))=INDIRECT("'"&amp;A7466&amp;"'!"&amp;B7466),FALSE,TRUE))</f>
        <v>0</v>
      </c>
      <c r="E7466" t="s">
        <v>436</v>
      </c>
      <c r="F7466" t="str">
        <f>INDEX(Lists!I:I,MATCH(Validation!E7466,Lists!G:G,0))</f>
        <v>Error</v>
      </c>
      <c r="G7466" t="str">
        <f>INDEX(Lists!H:H,MATCH(Validation!E7466,Lists!G:G,0))</f>
        <v>Amount must be rounded to the nearest dollar.</v>
      </c>
      <c r="H7466" s="16" t="str">
        <f t="shared" ca="1" si="837"/>
        <v/>
      </c>
      <c r="I7466" s="16" t="str">
        <f t="shared" ca="1" si="838"/>
        <v/>
      </c>
      <c r="J7466" s="17" t="str">
        <f t="shared" ca="1" si="839"/>
        <v/>
      </c>
    </row>
    <row r="7467" spans="1:10" x14ac:dyDescent="0.25">
      <c r="A7467" t="s">
        <v>954</v>
      </c>
      <c r="B7467" t="str">
        <f>ADDRESS(ROW(DFLoan1!B$14),COLUMN(DFLoan1!B$14),4)</f>
        <v>B14</v>
      </c>
      <c r="C7467" t="str">
        <f>ADDRESS(ROW(DFLoan1!C$14),COLUMN(DFLoan1!C$14),4)</f>
        <v>C14</v>
      </c>
      <c r="D7467" t="b" cm="1">
        <f t="array" aca="1" ref="D7467" ca="1">IF(INDIRECT("'"&amp;A7467&amp;"'!"&amp;B7467)="",FALSE,IF(TRUNC(INDIRECT("'"&amp;A7467&amp;"'!"&amp;B7467))=INDIRECT("'"&amp;A7467&amp;"'!"&amp;B7467),FALSE,TRUE))</f>
        <v>0</v>
      </c>
      <c r="E7467" t="s">
        <v>436</v>
      </c>
      <c r="F7467" t="str">
        <f>INDEX(Lists!I:I,MATCH(Validation!E7467,Lists!G:G,0))</f>
        <v>Error</v>
      </c>
      <c r="G7467" t="str">
        <f>INDEX(Lists!H:H,MATCH(Validation!E7467,Lists!G:G,0))</f>
        <v>Amount must be rounded to the nearest dollar.</v>
      </c>
      <c r="H7467" s="16" t="str">
        <f t="shared" ca="1" si="837"/>
        <v/>
      </c>
      <c r="I7467" s="16" t="str">
        <f t="shared" ca="1" si="838"/>
        <v/>
      </c>
      <c r="J7467" s="17" t="str">
        <f t="shared" ca="1" si="839"/>
        <v/>
      </c>
    </row>
    <row r="7468" spans="1:10" x14ac:dyDescent="0.25">
      <c r="A7468" t="s">
        <v>955</v>
      </c>
      <c r="B7468" t="str">
        <f>ADDRESS(ROW(DFLoan1!B$14),COLUMN(DFLoan1!B$14),4)</f>
        <v>B14</v>
      </c>
      <c r="C7468" t="str">
        <f>ADDRESS(ROW(DFLoan1!C$14),COLUMN(DFLoan1!C$14),4)</f>
        <v>C14</v>
      </c>
      <c r="D7468" t="b" cm="1">
        <f t="array" aca="1" ref="D7468" ca="1">IF(INDIRECT("'"&amp;A7468&amp;"'!"&amp;B7468)="",FALSE,IF(TRUNC(INDIRECT("'"&amp;A7468&amp;"'!"&amp;B7468))=INDIRECT("'"&amp;A7468&amp;"'!"&amp;B7468),FALSE,TRUE))</f>
        <v>0</v>
      </c>
      <c r="E7468" t="s">
        <v>436</v>
      </c>
      <c r="F7468" t="str">
        <f>INDEX(Lists!I:I,MATCH(Validation!E7468,Lists!G:G,0))</f>
        <v>Error</v>
      </c>
      <c r="G7468" t="str">
        <f>INDEX(Lists!H:H,MATCH(Validation!E7468,Lists!G:G,0))</f>
        <v>Amount must be rounded to the nearest dollar.</v>
      </c>
      <c r="H7468" s="16" t="str">
        <f t="shared" ca="1" si="837"/>
        <v/>
      </c>
      <c r="I7468" s="16" t="str">
        <f t="shared" ca="1" si="838"/>
        <v/>
      </c>
      <c r="J7468" s="17" t="str">
        <f t="shared" ca="1" si="839"/>
        <v/>
      </c>
    </row>
    <row r="7469" spans="1:10" x14ac:dyDescent="0.25">
      <c r="A7469" t="s">
        <v>956</v>
      </c>
      <c r="B7469" t="str">
        <f>ADDRESS(ROW(DFLoan1!B$14),COLUMN(DFLoan1!B$14),4)</f>
        <v>B14</v>
      </c>
      <c r="C7469" t="str">
        <f>ADDRESS(ROW(DFLoan1!C$14),COLUMN(DFLoan1!C$14),4)</f>
        <v>C14</v>
      </c>
      <c r="D7469" t="b" cm="1">
        <f t="array" aca="1" ref="D7469" ca="1">IF(INDIRECT("'"&amp;A7469&amp;"'!"&amp;B7469)="",FALSE,IF(TRUNC(INDIRECT("'"&amp;A7469&amp;"'!"&amp;B7469))=INDIRECT("'"&amp;A7469&amp;"'!"&amp;B7469),FALSE,TRUE))</f>
        <v>0</v>
      </c>
      <c r="E7469" t="s">
        <v>436</v>
      </c>
      <c r="F7469" t="str">
        <f>INDEX(Lists!I:I,MATCH(Validation!E7469,Lists!G:G,0))</f>
        <v>Error</v>
      </c>
      <c r="G7469" t="str">
        <f>INDEX(Lists!H:H,MATCH(Validation!E7469,Lists!G:G,0))</f>
        <v>Amount must be rounded to the nearest dollar.</v>
      </c>
      <c r="H7469" s="16" t="str">
        <f t="shared" ca="1" si="837"/>
        <v/>
      </c>
      <c r="I7469" s="16" t="str">
        <f t="shared" ca="1" si="838"/>
        <v/>
      </c>
      <c r="J7469" s="17" t="str">
        <f t="shared" ca="1" si="839"/>
        <v/>
      </c>
    </row>
    <row r="7470" spans="1:10" x14ac:dyDescent="0.25">
      <c r="A7470" t="s">
        <v>957</v>
      </c>
      <c r="B7470" t="str">
        <f>ADDRESS(ROW(DFLoan1!B$14),COLUMN(DFLoan1!B$14),4)</f>
        <v>B14</v>
      </c>
      <c r="C7470" t="str">
        <f>ADDRESS(ROW(DFLoan1!C$14),COLUMN(DFLoan1!C$14),4)</f>
        <v>C14</v>
      </c>
      <c r="D7470" t="b" cm="1">
        <f t="array" aca="1" ref="D7470" ca="1">IF(INDIRECT("'"&amp;A7470&amp;"'!"&amp;B7470)="",FALSE,IF(TRUNC(INDIRECT("'"&amp;A7470&amp;"'!"&amp;B7470))=INDIRECT("'"&amp;A7470&amp;"'!"&amp;B7470),FALSE,TRUE))</f>
        <v>0</v>
      </c>
      <c r="E7470" t="s">
        <v>436</v>
      </c>
      <c r="F7470" t="str">
        <f>INDEX(Lists!I:I,MATCH(Validation!E7470,Lists!G:G,0))</f>
        <v>Error</v>
      </c>
      <c r="G7470" t="str">
        <f>INDEX(Lists!H:H,MATCH(Validation!E7470,Lists!G:G,0))</f>
        <v>Amount must be rounded to the nearest dollar.</v>
      </c>
      <c r="H7470" s="16" t="str">
        <f t="shared" ca="1" si="837"/>
        <v/>
      </c>
      <c r="I7470" s="16" t="str">
        <f t="shared" ca="1" si="838"/>
        <v/>
      </c>
      <c r="J7470" s="17" t="str">
        <f t="shared" ca="1" si="839"/>
        <v/>
      </c>
    </row>
    <row r="7471" spans="1:10" x14ac:dyDescent="0.25">
      <c r="A7471" t="s">
        <v>958</v>
      </c>
      <c r="B7471" t="str">
        <f>ADDRESS(ROW(DFLoan1!B$14),COLUMN(DFLoan1!B$14),4)</f>
        <v>B14</v>
      </c>
      <c r="C7471" t="str">
        <f>ADDRESS(ROW(DFLoan1!C$14),COLUMN(DFLoan1!C$14),4)</f>
        <v>C14</v>
      </c>
      <c r="D7471" t="b" cm="1">
        <f t="array" aca="1" ref="D7471" ca="1">IF(INDIRECT("'"&amp;A7471&amp;"'!"&amp;B7471)="",FALSE,IF(TRUNC(INDIRECT("'"&amp;A7471&amp;"'!"&amp;B7471))=INDIRECT("'"&amp;A7471&amp;"'!"&amp;B7471),FALSE,TRUE))</f>
        <v>0</v>
      </c>
      <c r="E7471" t="s">
        <v>436</v>
      </c>
      <c r="F7471" t="str">
        <f>INDEX(Lists!I:I,MATCH(Validation!E7471,Lists!G:G,0))</f>
        <v>Error</v>
      </c>
      <c r="G7471" t="str">
        <f>INDEX(Lists!H:H,MATCH(Validation!E7471,Lists!G:G,0))</f>
        <v>Amount must be rounded to the nearest dollar.</v>
      </c>
      <c r="H7471" s="16" t="str">
        <f t="shared" ca="1" si="837"/>
        <v/>
      </c>
      <c r="I7471" s="16" t="str">
        <f t="shared" ca="1" si="838"/>
        <v/>
      </c>
      <c r="J7471" s="17" t="str">
        <f t="shared" ca="1" si="839"/>
        <v/>
      </c>
    </row>
    <row r="7472" spans="1:10" x14ac:dyDescent="0.25">
      <c r="A7472" t="s">
        <v>959</v>
      </c>
      <c r="B7472" t="str">
        <f>ADDRESS(ROW(DFLoan1!B$14),COLUMN(DFLoan1!B$14),4)</f>
        <v>B14</v>
      </c>
      <c r="C7472" t="str">
        <f>ADDRESS(ROW(DFLoan1!C$14),COLUMN(DFLoan1!C$14),4)</f>
        <v>C14</v>
      </c>
      <c r="D7472" t="b" cm="1">
        <f t="array" aca="1" ref="D7472" ca="1">IF(INDIRECT("'"&amp;A7472&amp;"'!"&amp;B7472)="",FALSE,IF(TRUNC(INDIRECT("'"&amp;A7472&amp;"'!"&amp;B7472))=INDIRECT("'"&amp;A7472&amp;"'!"&amp;B7472),FALSE,TRUE))</f>
        <v>0</v>
      </c>
      <c r="E7472" t="s">
        <v>436</v>
      </c>
      <c r="F7472" t="str">
        <f>INDEX(Lists!I:I,MATCH(Validation!E7472,Lists!G:G,0))</f>
        <v>Error</v>
      </c>
      <c r="G7472" t="str">
        <f>INDEX(Lists!H:H,MATCH(Validation!E7472,Lists!G:G,0))</f>
        <v>Amount must be rounded to the nearest dollar.</v>
      </c>
      <c r="H7472" s="16" t="str">
        <f t="shared" ca="1" si="837"/>
        <v/>
      </c>
      <c r="I7472" s="16" t="str">
        <f t="shared" ca="1" si="838"/>
        <v/>
      </c>
      <c r="J7472" s="17" t="str">
        <f t="shared" ca="1" si="839"/>
        <v/>
      </c>
    </row>
    <row r="7473" spans="1:10" x14ac:dyDescent="0.25">
      <c r="A7473" t="s">
        <v>960</v>
      </c>
      <c r="B7473" t="str">
        <f>ADDRESS(ROW(DFLoan1!B$14),COLUMN(DFLoan1!B$14),4)</f>
        <v>B14</v>
      </c>
      <c r="C7473" t="str">
        <f>ADDRESS(ROW(DFLoan1!C$14),COLUMN(DFLoan1!C$14),4)</f>
        <v>C14</v>
      </c>
      <c r="D7473" t="b" cm="1">
        <f t="array" aca="1" ref="D7473" ca="1">IF(INDIRECT("'"&amp;A7473&amp;"'!"&amp;B7473)="",FALSE,IF(TRUNC(INDIRECT("'"&amp;A7473&amp;"'!"&amp;B7473))=INDIRECT("'"&amp;A7473&amp;"'!"&amp;B7473),FALSE,TRUE))</f>
        <v>0</v>
      </c>
      <c r="E7473" t="s">
        <v>436</v>
      </c>
      <c r="F7473" t="str">
        <f>INDEX(Lists!I:I,MATCH(Validation!E7473,Lists!G:G,0))</f>
        <v>Error</v>
      </c>
      <c r="G7473" t="str">
        <f>INDEX(Lists!H:H,MATCH(Validation!E7473,Lists!G:G,0))</f>
        <v>Amount must be rounded to the nearest dollar.</v>
      </c>
      <c r="H7473" s="16" t="str">
        <f t="shared" ca="1" si="837"/>
        <v/>
      </c>
      <c r="I7473" s="16" t="str">
        <f t="shared" ca="1" si="838"/>
        <v/>
      </c>
      <c r="J7473" s="17" t="str">
        <f t="shared" ca="1" si="839"/>
        <v/>
      </c>
    </row>
    <row r="7474" spans="1:10" x14ac:dyDescent="0.25">
      <c r="A7474" t="s">
        <v>961</v>
      </c>
      <c r="B7474" t="str">
        <f>ADDRESS(ROW(DFLoan1!B$14),COLUMN(DFLoan1!B$14),4)</f>
        <v>B14</v>
      </c>
      <c r="C7474" t="str">
        <f>ADDRESS(ROW(DFLoan1!C$14),COLUMN(DFLoan1!C$14),4)</f>
        <v>C14</v>
      </c>
      <c r="D7474" t="b" cm="1">
        <f t="array" aca="1" ref="D7474" ca="1">IF(INDIRECT("'"&amp;A7474&amp;"'!"&amp;B7474)="",FALSE,IF(TRUNC(INDIRECT("'"&amp;A7474&amp;"'!"&amp;B7474))=INDIRECT("'"&amp;A7474&amp;"'!"&amp;B7474),FALSE,TRUE))</f>
        <v>0</v>
      </c>
      <c r="E7474" t="s">
        <v>436</v>
      </c>
      <c r="F7474" t="str">
        <f>INDEX(Lists!I:I,MATCH(Validation!E7474,Lists!G:G,0))</f>
        <v>Error</v>
      </c>
      <c r="G7474" t="str">
        <f>INDEX(Lists!H:H,MATCH(Validation!E7474,Lists!G:G,0))</f>
        <v>Amount must be rounded to the nearest dollar.</v>
      </c>
      <c r="H7474" s="16" t="str">
        <f t="shared" ca="1" si="837"/>
        <v/>
      </c>
      <c r="I7474" s="16" t="str">
        <f t="shared" ca="1" si="838"/>
        <v/>
      </c>
      <c r="J7474" s="17" t="str">
        <f t="shared" ca="1" si="839"/>
        <v/>
      </c>
    </row>
    <row r="7475" spans="1:10" x14ac:dyDescent="0.25">
      <c r="A7475" t="s">
        <v>962</v>
      </c>
      <c r="B7475" t="str">
        <f>ADDRESS(ROW(DFLoan1!B$14),COLUMN(DFLoan1!B$14),4)</f>
        <v>B14</v>
      </c>
      <c r="C7475" t="str">
        <f>ADDRESS(ROW(DFLoan1!C$14),COLUMN(DFLoan1!C$14),4)</f>
        <v>C14</v>
      </c>
      <c r="D7475" t="b" cm="1">
        <f t="array" aca="1" ref="D7475" ca="1">IF(INDIRECT("'"&amp;A7475&amp;"'!"&amp;B7475)="",FALSE,IF(TRUNC(INDIRECT("'"&amp;A7475&amp;"'!"&amp;B7475))=INDIRECT("'"&amp;A7475&amp;"'!"&amp;B7475),FALSE,TRUE))</f>
        <v>0</v>
      </c>
      <c r="E7475" t="s">
        <v>436</v>
      </c>
      <c r="F7475" t="str">
        <f>INDEX(Lists!I:I,MATCH(Validation!E7475,Lists!G:G,0))</f>
        <v>Error</v>
      </c>
      <c r="G7475" t="str">
        <f>INDEX(Lists!H:H,MATCH(Validation!E7475,Lists!G:G,0))</f>
        <v>Amount must be rounded to the nearest dollar.</v>
      </c>
      <c r="H7475" s="16" t="str">
        <f t="shared" ca="1" si="837"/>
        <v/>
      </c>
      <c r="I7475" s="16" t="str">
        <f t="shared" ca="1" si="838"/>
        <v/>
      </c>
      <c r="J7475" s="17" t="str">
        <f t="shared" ca="1" si="839"/>
        <v/>
      </c>
    </row>
    <row r="7476" spans="1:10" x14ac:dyDescent="0.25">
      <c r="A7476" t="s">
        <v>963</v>
      </c>
      <c r="B7476" t="str">
        <f>ADDRESS(ROW(DFLoan1!B$14),COLUMN(DFLoan1!B$14),4)</f>
        <v>B14</v>
      </c>
      <c r="C7476" t="str">
        <f>ADDRESS(ROW(DFLoan1!C$14),COLUMN(DFLoan1!C$14),4)</f>
        <v>C14</v>
      </c>
      <c r="D7476" t="b" cm="1">
        <f t="array" aca="1" ref="D7476" ca="1">IF(INDIRECT("'"&amp;A7476&amp;"'!"&amp;B7476)="",FALSE,IF(TRUNC(INDIRECT("'"&amp;A7476&amp;"'!"&amp;B7476))=INDIRECT("'"&amp;A7476&amp;"'!"&amp;B7476),FALSE,TRUE))</f>
        <v>0</v>
      </c>
      <c r="E7476" t="s">
        <v>436</v>
      </c>
      <c r="F7476" t="str">
        <f>INDEX(Lists!I:I,MATCH(Validation!E7476,Lists!G:G,0))</f>
        <v>Error</v>
      </c>
      <c r="G7476" t="str">
        <f>INDEX(Lists!H:H,MATCH(Validation!E7476,Lists!G:G,0))</f>
        <v>Amount must be rounded to the nearest dollar.</v>
      </c>
      <c r="H7476" s="16" t="str">
        <f t="shared" ca="1" si="837"/>
        <v/>
      </c>
      <c r="I7476" s="16" t="str">
        <f t="shared" ca="1" si="838"/>
        <v/>
      </c>
      <c r="J7476" s="17" t="str">
        <f t="shared" ca="1" si="839"/>
        <v/>
      </c>
    </row>
    <row r="7477" spans="1:10" x14ac:dyDescent="0.25">
      <c r="A7477" t="s">
        <v>964</v>
      </c>
      <c r="B7477" t="str">
        <f>ADDRESS(ROW(DFLoan1!B$14),COLUMN(DFLoan1!B$14),4)</f>
        <v>B14</v>
      </c>
      <c r="C7477" t="str">
        <f>ADDRESS(ROW(DFLoan1!C$14),COLUMN(DFLoan1!C$14),4)</f>
        <v>C14</v>
      </c>
      <c r="D7477" t="b" cm="1">
        <f t="array" aca="1" ref="D7477" ca="1">IF(INDIRECT("'"&amp;A7477&amp;"'!"&amp;B7477)="",FALSE,IF(TRUNC(INDIRECT("'"&amp;A7477&amp;"'!"&amp;B7477))=INDIRECT("'"&amp;A7477&amp;"'!"&amp;B7477),FALSE,TRUE))</f>
        <v>0</v>
      </c>
      <c r="E7477" t="s">
        <v>436</v>
      </c>
      <c r="F7477" t="str">
        <f>INDEX(Lists!I:I,MATCH(Validation!E7477,Lists!G:G,0))</f>
        <v>Error</v>
      </c>
      <c r="G7477" t="str">
        <f>INDEX(Lists!H:H,MATCH(Validation!E7477,Lists!G:G,0))</f>
        <v>Amount must be rounded to the nearest dollar.</v>
      </c>
      <c r="H7477" s="16" t="str">
        <f t="shared" ca="1" si="837"/>
        <v/>
      </c>
      <c r="I7477" s="16" t="str">
        <f t="shared" ca="1" si="838"/>
        <v/>
      </c>
      <c r="J7477" s="17" t="str">
        <f t="shared" ca="1" si="839"/>
        <v/>
      </c>
    </row>
    <row r="7478" spans="1:10" x14ac:dyDescent="0.25">
      <c r="A7478" t="s">
        <v>965</v>
      </c>
      <c r="B7478" t="str">
        <f>ADDRESS(ROW(DFLoan1!B$14),COLUMN(DFLoan1!B$14),4)</f>
        <v>B14</v>
      </c>
      <c r="C7478" t="str">
        <f>ADDRESS(ROW(DFLoan1!C$14),COLUMN(DFLoan1!C$14),4)</f>
        <v>C14</v>
      </c>
      <c r="D7478" t="b" cm="1">
        <f t="array" aca="1" ref="D7478" ca="1">IF(INDIRECT("'"&amp;A7478&amp;"'!"&amp;B7478)="",FALSE,IF(TRUNC(INDIRECT("'"&amp;A7478&amp;"'!"&amp;B7478))=INDIRECT("'"&amp;A7478&amp;"'!"&amp;B7478),FALSE,TRUE))</f>
        <v>0</v>
      </c>
      <c r="E7478" t="s">
        <v>436</v>
      </c>
      <c r="F7478" t="str">
        <f>INDEX(Lists!I:I,MATCH(Validation!E7478,Lists!G:G,0))</f>
        <v>Error</v>
      </c>
      <c r="G7478" t="str">
        <f>INDEX(Lists!H:H,MATCH(Validation!E7478,Lists!G:G,0))</f>
        <v>Amount must be rounded to the nearest dollar.</v>
      </c>
      <c r="H7478" s="16" t="str">
        <f t="shared" ca="1" si="837"/>
        <v/>
      </c>
      <c r="I7478" s="16" t="str">
        <f t="shared" ca="1" si="838"/>
        <v/>
      </c>
      <c r="J7478" s="17" t="str">
        <f t="shared" ca="1" si="839"/>
        <v/>
      </c>
    </row>
    <row r="7479" spans="1:10" x14ac:dyDescent="0.25">
      <c r="A7479" t="s">
        <v>966</v>
      </c>
      <c r="B7479" t="str">
        <f>ADDRESS(ROW(DFLoan1!B$14),COLUMN(DFLoan1!B$14),4)</f>
        <v>B14</v>
      </c>
      <c r="C7479" t="str">
        <f>ADDRESS(ROW(DFLoan1!C$14),COLUMN(DFLoan1!C$14),4)</f>
        <v>C14</v>
      </c>
      <c r="D7479" t="b" cm="1">
        <f t="array" aca="1" ref="D7479" ca="1">IF(INDIRECT("'"&amp;A7479&amp;"'!"&amp;B7479)="",FALSE,IF(TRUNC(INDIRECT("'"&amp;A7479&amp;"'!"&amp;B7479))=INDIRECT("'"&amp;A7479&amp;"'!"&amp;B7479),FALSE,TRUE))</f>
        <v>0</v>
      </c>
      <c r="E7479" t="s">
        <v>436</v>
      </c>
      <c r="F7479" t="str">
        <f>INDEX(Lists!I:I,MATCH(Validation!E7479,Lists!G:G,0))</f>
        <v>Error</v>
      </c>
      <c r="G7479" t="str">
        <f>INDEX(Lists!H:H,MATCH(Validation!E7479,Lists!G:G,0))</f>
        <v>Amount must be rounded to the nearest dollar.</v>
      </c>
      <c r="H7479" s="16" t="str">
        <f t="shared" ca="1" si="837"/>
        <v/>
      </c>
      <c r="I7479" s="16" t="str">
        <f t="shared" ca="1" si="838"/>
        <v/>
      </c>
      <c r="J7479" s="17" t="str">
        <f t="shared" ca="1" si="839"/>
        <v/>
      </c>
    </row>
    <row r="7480" spans="1:10" x14ac:dyDescent="0.25">
      <c r="A7480" t="s">
        <v>881</v>
      </c>
      <c r="B7480" t="str">
        <f>ADDRESS(ROW(DFLoan1!B$16),COLUMN(DFLoan1!B$16),4)</f>
        <v>B16</v>
      </c>
      <c r="C7480" t="str">
        <f>ADDRESS(ROW(DFLoan1!C$16),COLUMN(DFLoan1!C$16),4)</f>
        <v>C16</v>
      </c>
      <c r="D7480" t="b" cm="1">
        <f t="array" aca="1" ref="D7480" ca="1">IF(INDIRECT("'"&amp;A7480&amp;"'!"&amp;B7480)="",FALSE,IF(NOT(ISNUMBER(INDIRECT("'"&amp;A7480&amp;"'!"&amp;B7480))),TRUE,FALSE))</f>
        <v>0</v>
      </c>
      <c r="E7480" t="s">
        <v>435</v>
      </c>
      <c r="F7480" t="str">
        <f>INDEX(Lists!I:I,MATCH(Validation!E7480,Lists!G:G,0))</f>
        <v>Error</v>
      </c>
      <c r="G7480" t="str">
        <f>INDEX(Lists!H:H,MATCH(Validation!E7480,Lists!G:G,0))</f>
        <v>Enter an amount only. Do not enter text or spaces.</v>
      </c>
      <c r="H7480" s="16" t="str">
        <f t="shared" ca="1" si="837"/>
        <v/>
      </c>
      <c r="I7480" s="16" t="str">
        <f t="shared" ca="1" si="838"/>
        <v/>
      </c>
      <c r="J7480" s="17" t="str">
        <f t="shared" ca="1" si="839"/>
        <v/>
      </c>
    </row>
    <row r="7481" spans="1:10" x14ac:dyDescent="0.25">
      <c r="A7481" t="s">
        <v>953</v>
      </c>
      <c r="B7481" t="str">
        <f>ADDRESS(ROW(DFLoan1!B$16),COLUMN(DFLoan1!B$16),4)</f>
        <v>B16</v>
      </c>
      <c r="C7481" t="str">
        <f>ADDRESS(ROW(DFLoan1!C$16),COLUMN(DFLoan1!C$16),4)</f>
        <v>C16</v>
      </c>
      <c r="D7481" t="b" cm="1">
        <f t="array" aca="1" ref="D7481" ca="1">IF(INDIRECT("'"&amp;A7481&amp;"'!"&amp;B7481)="",FALSE,IF(NOT(ISNUMBER(INDIRECT("'"&amp;A7481&amp;"'!"&amp;B7481))),TRUE,FALSE))</f>
        <v>0</v>
      </c>
      <c r="E7481" t="s">
        <v>435</v>
      </c>
      <c r="F7481" t="str">
        <f>INDEX(Lists!I:I,MATCH(Validation!E7481,Lists!G:G,0))</f>
        <v>Error</v>
      </c>
      <c r="G7481" t="str">
        <f>INDEX(Lists!H:H,MATCH(Validation!E7481,Lists!G:G,0))</f>
        <v>Enter an amount only. Do not enter text or spaces.</v>
      </c>
      <c r="H7481" s="16" t="str">
        <f t="shared" ca="1" si="837"/>
        <v/>
      </c>
      <c r="I7481" s="16" t="str">
        <f t="shared" ca="1" si="838"/>
        <v/>
      </c>
      <c r="J7481" s="17" t="str">
        <f t="shared" ca="1" si="839"/>
        <v/>
      </c>
    </row>
    <row r="7482" spans="1:10" x14ac:dyDescent="0.25">
      <c r="A7482" t="s">
        <v>954</v>
      </c>
      <c r="B7482" t="str">
        <f>ADDRESS(ROW(DFLoan1!B$16),COLUMN(DFLoan1!B$16),4)</f>
        <v>B16</v>
      </c>
      <c r="C7482" t="str">
        <f>ADDRESS(ROW(DFLoan1!C$16),COLUMN(DFLoan1!C$16),4)</f>
        <v>C16</v>
      </c>
      <c r="D7482" t="b" cm="1">
        <f t="array" aca="1" ref="D7482" ca="1">IF(INDIRECT("'"&amp;A7482&amp;"'!"&amp;B7482)="",FALSE,IF(NOT(ISNUMBER(INDIRECT("'"&amp;A7482&amp;"'!"&amp;B7482))),TRUE,FALSE))</f>
        <v>0</v>
      </c>
      <c r="E7482" t="s">
        <v>435</v>
      </c>
      <c r="F7482" t="str">
        <f>INDEX(Lists!I:I,MATCH(Validation!E7482,Lists!G:G,0))</f>
        <v>Error</v>
      </c>
      <c r="G7482" t="str">
        <f>INDEX(Lists!H:H,MATCH(Validation!E7482,Lists!G:G,0))</f>
        <v>Enter an amount only. Do not enter text or spaces.</v>
      </c>
      <c r="H7482" s="16" t="str">
        <f t="shared" ca="1" si="837"/>
        <v/>
      </c>
      <c r="I7482" s="16" t="str">
        <f t="shared" ca="1" si="838"/>
        <v/>
      </c>
      <c r="J7482" s="17" t="str">
        <f t="shared" ca="1" si="839"/>
        <v/>
      </c>
    </row>
    <row r="7483" spans="1:10" x14ac:dyDescent="0.25">
      <c r="A7483" t="s">
        <v>955</v>
      </c>
      <c r="B7483" t="str">
        <f>ADDRESS(ROW(DFLoan1!B$16),COLUMN(DFLoan1!B$16),4)</f>
        <v>B16</v>
      </c>
      <c r="C7483" t="str">
        <f>ADDRESS(ROW(DFLoan1!C$16),COLUMN(DFLoan1!C$16),4)</f>
        <v>C16</v>
      </c>
      <c r="D7483" t="b" cm="1">
        <f t="array" aca="1" ref="D7483" ca="1">IF(INDIRECT("'"&amp;A7483&amp;"'!"&amp;B7483)="",FALSE,IF(NOT(ISNUMBER(INDIRECT("'"&amp;A7483&amp;"'!"&amp;B7483))),TRUE,FALSE))</f>
        <v>0</v>
      </c>
      <c r="E7483" t="s">
        <v>435</v>
      </c>
      <c r="F7483" t="str">
        <f>INDEX(Lists!I:I,MATCH(Validation!E7483,Lists!G:G,0))</f>
        <v>Error</v>
      </c>
      <c r="G7483" t="str">
        <f>INDEX(Lists!H:H,MATCH(Validation!E7483,Lists!G:G,0))</f>
        <v>Enter an amount only. Do not enter text or spaces.</v>
      </c>
      <c r="H7483" s="16" t="str">
        <f t="shared" ca="1" si="837"/>
        <v/>
      </c>
      <c r="I7483" s="16" t="str">
        <f t="shared" ca="1" si="838"/>
        <v/>
      </c>
      <c r="J7483" s="17" t="str">
        <f t="shared" ca="1" si="839"/>
        <v/>
      </c>
    </row>
    <row r="7484" spans="1:10" x14ac:dyDescent="0.25">
      <c r="A7484" t="s">
        <v>956</v>
      </c>
      <c r="B7484" t="str">
        <f>ADDRESS(ROW(DFLoan1!B$16),COLUMN(DFLoan1!B$16),4)</f>
        <v>B16</v>
      </c>
      <c r="C7484" t="str">
        <f>ADDRESS(ROW(DFLoan1!C$16),COLUMN(DFLoan1!C$16),4)</f>
        <v>C16</v>
      </c>
      <c r="D7484" t="b" cm="1">
        <f t="array" aca="1" ref="D7484" ca="1">IF(INDIRECT("'"&amp;A7484&amp;"'!"&amp;B7484)="",FALSE,IF(NOT(ISNUMBER(INDIRECT("'"&amp;A7484&amp;"'!"&amp;B7484))),TRUE,FALSE))</f>
        <v>0</v>
      </c>
      <c r="E7484" t="s">
        <v>435</v>
      </c>
      <c r="F7484" t="str">
        <f>INDEX(Lists!I:I,MATCH(Validation!E7484,Lists!G:G,0))</f>
        <v>Error</v>
      </c>
      <c r="G7484" t="str">
        <f>INDEX(Lists!H:H,MATCH(Validation!E7484,Lists!G:G,0))</f>
        <v>Enter an amount only. Do not enter text or spaces.</v>
      </c>
      <c r="H7484" s="16" t="str">
        <f t="shared" ca="1" si="837"/>
        <v/>
      </c>
      <c r="I7484" s="16" t="str">
        <f t="shared" ca="1" si="838"/>
        <v/>
      </c>
      <c r="J7484" s="17" t="str">
        <f t="shared" ca="1" si="839"/>
        <v/>
      </c>
    </row>
    <row r="7485" spans="1:10" x14ac:dyDescent="0.25">
      <c r="A7485" t="s">
        <v>957</v>
      </c>
      <c r="B7485" t="str">
        <f>ADDRESS(ROW(DFLoan1!B$16),COLUMN(DFLoan1!B$16),4)</f>
        <v>B16</v>
      </c>
      <c r="C7485" t="str">
        <f>ADDRESS(ROW(DFLoan1!C$16),COLUMN(DFLoan1!C$16),4)</f>
        <v>C16</v>
      </c>
      <c r="D7485" t="b" cm="1">
        <f t="array" aca="1" ref="D7485" ca="1">IF(INDIRECT("'"&amp;A7485&amp;"'!"&amp;B7485)="",FALSE,IF(NOT(ISNUMBER(INDIRECT("'"&amp;A7485&amp;"'!"&amp;B7485))),TRUE,FALSE))</f>
        <v>0</v>
      </c>
      <c r="E7485" t="s">
        <v>435</v>
      </c>
      <c r="F7485" t="str">
        <f>INDEX(Lists!I:I,MATCH(Validation!E7485,Lists!G:G,0))</f>
        <v>Error</v>
      </c>
      <c r="G7485" t="str">
        <f>INDEX(Lists!H:H,MATCH(Validation!E7485,Lists!G:G,0))</f>
        <v>Enter an amount only. Do not enter text or spaces.</v>
      </c>
      <c r="H7485" s="16" t="str">
        <f t="shared" ca="1" si="837"/>
        <v/>
      </c>
      <c r="I7485" s="16" t="str">
        <f t="shared" ca="1" si="838"/>
        <v/>
      </c>
      <c r="J7485" s="17" t="str">
        <f t="shared" ca="1" si="839"/>
        <v/>
      </c>
    </row>
    <row r="7486" spans="1:10" x14ac:dyDescent="0.25">
      <c r="A7486" t="s">
        <v>958</v>
      </c>
      <c r="B7486" t="str">
        <f>ADDRESS(ROW(DFLoan1!B$16),COLUMN(DFLoan1!B$16),4)</f>
        <v>B16</v>
      </c>
      <c r="C7486" t="str">
        <f>ADDRESS(ROW(DFLoan1!C$16),COLUMN(DFLoan1!C$16),4)</f>
        <v>C16</v>
      </c>
      <c r="D7486" t="b" cm="1">
        <f t="array" aca="1" ref="D7486" ca="1">IF(INDIRECT("'"&amp;A7486&amp;"'!"&amp;B7486)="",FALSE,IF(NOT(ISNUMBER(INDIRECT("'"&amp;A7486&amp;"'!"&amp;B7486))),TRUE,FALSE))</f>
        <v>0</v>
      </c>
      <c r="E7486" t="s">
        <v>435</v>
      </c>
      <c r="F7486" t="str">
        <f>INDEX(Lists!I:I,MATCH(Validation!E7486,Lists!G:G,0))</f>
        <v>Error</v>
      </c>
      <c r="G7486" t="str">
        <f>INDEX(Lists!H:H,MATCH(Validation!E7486,Lists!G:G,0))</f>
        <v>Enter an amount only. Do not enter text or spaces.</v>
      </c>
      <c r="H7486" s="16" t="str">
        <f t="shared" ca="1" si="837"/>
        <v/>
      </c>
      <c r="I7486" s="16" t="str">
        <f t="shared" ca="1" si="838"/>
        <v/>
      </c>
      <c r="J7486" s="17" t="str">
        <f t="shared" ca="1" si="839"/>
        <v/>
      </c>
    </row>
    <row r="7487" spans="1:10" x14ac:dyDescent="0.25">
      <c r="A7487" t="s">
        <v>959</v>
      </c>
      <c r="B7487" t="str">
        <f>ADDRESS(ROW(DFLoan1!B$16),COLUMN(DFLoan1!B$16),4)</f>
        <v>B16</v>
      </c>
      <c r="C7487" t="str">
        <f>ADDRESS(ROW(DFLoan1!C$16),COLUMN(DFLoan1!C$16),4)</f>
        <v>C16</v>
      </c>
      <c r="D7487" t="b" cm="1">
        <f t="array" aca="1" ref="D7487" ca="1">IF(INDIRECT("'"&amp;A7487&amp;"'!"&amp;B7487)="",FALSE,IF(NOT(ISNUMBER(INDIRECT("'"&amp;A7487&amp;"'!"&amp;B7487))),TRUE,FALSE))</f>
        <v>0</v>
      </c>
      <c r="E7487" t="s">
        <v>435</v>
      </c>
      <c r="F7487" t="str">
        <f>INDEX(Lists!I:I,MATCH(Validation!E7487,Lists!G:G,0))</f>
        <v>Error</v>
      </c>
      <c r="G7487" t="str">
        <f>INDEX(Lists!H:H,MATCH(Validation!E7487,Lists!G:G,0))</f>
        <v>Enter an amount only. Do not enter text or spaces.</v>
      </c>
      <c r="H7487" s="16" t="str">
        <f t="shared" ca="1" si="837"/>
        <v/>
      </c>
      <c r="I7487" s="16" t="str">
        <f t="shared" ca="1" si="838"/>
        <v/>
      </c>
      <c r="J7487" s="17" t="str">
        <f t="shared" ca="1" si="839"/>
        <v/>
      </c>
    </row>
    <row r="7488" spans="1:10" x14ac:dyDescent="0.25">
      <c r="A7488" t="s">
        <v>960</v>
      </c>
      <c r="B7488" t="str">
        <f>ADDRESS(ROW(DFLoan1!B$16),COLUMN(DFLoan1!B$16),4)</f>
        <v>B16</v>
      </c>
      <c r="C7488" t="str">
        <f>ADDRESS(ROW(DFLoan1!C$16),COLUMN(DFLoan1!C$16),4)</f>
        <v>C16</v>
      </c>
      <c r="D7488" t="b" cm="1">
        <f t="array" aca="1" ref="D7488" ca="1">IF(INDIRECT("'"&amp;A7488&amp;"'!"&amp;B7488)="",FALSE,IF(NOT(ISNUMBER(INDIRECT("'"&amp;A7488&amp;"'!"&amp;B7488))),TRUE,FALSE))</f>
        <v>0</v>
      </c>
      <c r="E7488" t="s">
        <v>435</v>
      </c>
      <c r="F7488" t="str">
        <f>INDEX(Lists!I:I,MATCH(Validation!E7488,Lists!G:G,0))</f>
        <v>Error</v>
      </c>
      <c r="G7488" t="str">
        <f>INDEX(Lists!H:H,MATCH(Validation!E7488,Lists!G:G,0))</f>
        <v>Enter an amount only. Do not enter text or spaces.</v>
      </c>
      <c r="H7488" s="16" t="str">
        <f t="shared" ca="1" si="837"/>
        <v/>
      </c>
      <c r="I7488" s="16" t="str">
        <f t="shared" ca="1" si="838"/>
        <v/>
      </c>
      <c r="J7488" s="17" t="str">
        <f t="shared" ca="1" si="839"/>
        <v/>
      </c>
    </row>
    <row r="7489" spans="1:10" x14ac:dyDescent="0.25">
      <c r="A7489" t="s">
        <v>961</v>
      </c>
      <c r="B7489" t="str">
        <f>ADDRESS(ROW(DFLoan1!B$16),COLUMN(DFLoan1!B$16),4)</f>
        <v>B16</v>
      </c>
      <c r="C7489" t="str">
        <f>ADDRESS(ROW(DFLoan1!C$16),COLUMN(DFLoan1!C$16),4)</f>
        <v>C16</v>
      </c>
      <c r="D7489" t="b" cm="1">
        <f t="array" aca="1" ref="D7489" ca="1">IF(INDIRECT("'"&amp;A7489&amp;"'!"&amp;B7489)="",FALSE,IF(NOT(ISNUMBER(INDIRECT("'"&amp;A7489&amp;"'!"&amp;B7489))),TRUE,FALSE))</f>
        <v>0</v>
      </c>
      <c r="E7489" t="s">
        <v>435</v>
      </c>
      <c r="F7489" t="str">
        <f>INDEX(Lists!I:I,MATCH(Validation!E7489,Lists!G:G,0))</f>
        <v>Error</v>
      </c>
      <c r="G7489" t="str">
        <f>INDEX(Lists!H:H,MATCH(Validation!E7489,Lists!G:G,0))</f>
        <v>Enter an amount only. Do not enter text or spaces.</v>
      </c>
      <c r="H7489" s="16" t="str">
        <f t="shared" ca="1" si="837"/>
        <v/>
      </c>
      <c r="I7489" s="16" t="str">
        <f t="shared" ca="1" si="838"/>
        <v/>
      </c>
      <c r="J7489" s="17" t="str">
        <f t="shared" ca="1" si="839"/>
        <v/>
      </c>
    </row>
    <row r="7490" spans="1:10" x14ac:dyDescent="0.25">
      <c r="A7490" t="s">
        <v>962</v>
      </c>
      <c r="B7490" t="str">
        <f>ADDRESS(ROW(DFLoan1!B$16),COLUMN(DFLoan1!B$16),4)</f>
        <v>B16</v>
      </c>
      <c r="C7490" t="str">
        <f>ADDRESS(ROW(DFLoan1!C$16),COLUMN(DFLoan1!C$16),4)</f>
        <v>C16</v>
      </c>
      <c r="D7490" t="b" cm="1">
        <f t="array" aca="1" ref="D7490" ca="1">IF(INDIRECT("'"&amp;A7490&amp;"'!"&amp;B7490)="",FALSE,IF(NOT(ISNUMBER(INDIRECT("'"&amp;A7490&amp;"'!"&amp;B7490))),TRUE,FALSE))</f>
        <v>0</v>
      </c>
      <c r="E7490" t="s">
        <v>435</v>
      </c>
      <c r="F7490" t="str">
        <f>INDEX(Lists!I:I,MATCH(Validation!E7490,Lists!G:G,0))</f>
        <v>Error</v>
      </c>
      <c r="G7490" t="str">
        <f>INDEX(Lists!H:H,MATCH(Validation!E7490,Lists!G:G,0))</f>
        <v>Enter an amount only. Do not enter text or spaces.</v>
      </c>
      <c r="H7490" s="16" t="str">
        <f t="shared" ca="1" si="837"/>
        <v/>
      </c>
      <c r="I7490" s="16" t="str">
        <f t="shared" ca="1" si="838"/>
        <v/>
      </c>
      <c r="J7490" s="17" t="str">
        <f t="shared" ca="1" si="839"/>
        <v/>
      </c>
    </row>
    <row r="7491" spans="1:10" x14ac:dyDescent="0.25">
      <c r="A7491" t="s">
        <v>963</v>
      </c>
      <c r="B7491" t="str">
        <f>ADDRESS(ROW(DFLoan1!B$16),COLUMN(DFLoan1!B$16),4)</f>
        <v>B16</v>
      </c>
      <c r="C7491" t="str">
        <f>ADDRESS(ROW(DFLoan1!C$16),COLUMN(DFLoan1!C$16),4)</f>
        <v>C16</v>
      </c>
      <c r="D7491" t="b" cm="1">
        <f t="array" aca="1" ref="D7491" ca="1">IF(INDIRECT("'"&amp;A7491&amp;"'!"&amp;B7491)="",FALSE,IF(NOT(ISNUMBER(INDIRECT("'"&amp;A7491&amp;"'!"&amp;B7491))),TRUE,FALSE))</f>
        <v>0</v>
      </c>
      <c r="E7491" t="s">
        <v>435</v>
      </c>
      <c r="F7491" t="str">
        <f>INDEX(Lists!I:I,MATCH(Validation!E7491,Lists!G:G,0))</f>
        <v>Error</v>
      </c>
      <c r="G7491" t="str">
        <f>INDEX(Lists!H:H,MATCH(Validation!E7491,Lists!G:G,0))</f>
        <v>Enter an amount only. Do not enter text or spaces.</v>
      </c>
      <c r="H7491" s="16" t="str">
        <f t="shared" ca="1" si="837"/>
        <v/>
      </c>
      <c r="I7491" s="16" t="str">
        <f t="shared" ca="1" si="838"/>
        <v/>
      </c>
      <c r="J7491" s="17" t="str">
        <f t="shared" ca="1" si="839"/>
        <v/>
      </c>
    </row>
    <row r="7492" spans="1:10" x14ac:dyDescent="0.25">
      <c r="A7492" t="s">
        <v>964</v>
      </c>
      <c r="B7492" t="str">
        <f>ADDRESS(ROW(DFLoan1!B$16),COLUMN(DFLoan1!B$16),4)</f>
        <v>B16</v>
      </c>
      <c r="C7492" t="str">
        <f>ADDRESS(ROW(DFLoan1!C$16),COLUMN(DFLoan1!C$16),4)</f>
        <v>C16</v>
      </c>
      <c r="D7492" t="b" cm="1">
        <f t="array" aca="1" ref="D7492" ca="1">IF(INDIRECT("'"&amp;A7492&amp;"'!"&amp;B7492)="",FALSE,IF(NOT(ISNUMBER(INDIRECT("'"&amp;A7492&amp;"'!"&amp;B7492))),TRUE,FALSE))</f>
        <v>0</v>
      </c>
      <c r="E7492" t="s">
        <v>435</v>
      </c>
      <c r="F7492" t="str">
        <f>INDEX(Lists!I:I,MATCH(Validation!E7492,Lists!G:G,0))</f>
        <v>Error</v>
      </c>
      <c r="G7492" t="str">
        <f>INDEX(Lists!H:H,MATCH(Validation!E7492,Lists!G:G,0))</f>
        <v>Enter an amount only. Do not enter text or spaces.</v>
      </c>
      <c r="H7492" s="16" t="str">
        <f t="shared" ca="1" si="837"/>
        <v/>
      </c>
      <c r="I7492" s="16" t="str">
        <f t="shared" ca="1" si="838"/>
        <v/>
      </c>
      <c r="J7492" s="17" t="str">
        <f t="shared" ca="1" si="839"/>
        <v/>
      </c>
    </row>
    <row r="7493" spans="1:10" x14ac:dyDescent="0.25">
      <c r="A7493" t="s">
        <v>965</v>
      </c>
      <c r="B7493" t="str">
        <f>ADDRESS(ROW(DFLoan1!B$16),COLUMN(DFLoan1!B$16),4)</f>
        <v>B16</v>
      </c>
      <c r="C7493" t="str">
        <f>ADDRESS(ROW(DFLoan1!C$16),COLUMN(DFLoan1!C$16),4)</f>
        <v>C16</v>
      </c>
      <c r="D7493" t="b" cm="1">
        <f t="array" aca="1" ref="D7493" ca="1">IF(INDIRECT("'"&amp;A7493&amp;"'!"&amp;B7493)="",FALSE,IF(NOT(ISNUMBER(INDIRECT("'"&amp;A7493&amp;"'!"&amp;B7493))),TRUE,FALSE))</f>
        <v>0</v>
      </c>
      <c r="E7493" t="s">
        <v>435</v>
      </c>
      <c r="F7493" t="str">
        <f>INDEX(Lists!I:I,MATCH(Validation!E7493,Lists!G:G,0))</f>
        <v>Error</v>
      </c>
      <c r="G7493" t="str">
        <f>INDEX(Lists!H:H,MATCH(Validation!E7493,Lists!G:G,0))</f>
        <v>Enter an amount only. Do not enter text or spaces.</v>
      </c>
      <c r="H7493" s="16" t="str">
        <f t="shared" ca="1" si="837"/>
        <v/>
      </c>
      <c r="I7493" s="16" t="str">
        <f t="shared" ca="1" si="838"/>
        <v/>
      </c>
      <c r="J7493" s="17" t="str">
        <f t="shared" ca="1" si="839"/>
        <v/>
      </c>
    </row>
    <row r="7494" spans="1:10" x14ac:dyDescent="0.25">
      <c r="A7494" t="s">
        <v>966</v>
      </c>
      <c r="B7494" t="str">
        <f>ADDRESS(ROW(DFLoan1!B$16),COLUMN(DFLoan1!B$16),4)</f>
        <v>B16</v>
      </c>
      <c r="C7494" t="str">
        <f>ADDRESS(ROW(DFLoan1!C$16),COLUMN(DFLoan1!C$16),4)</f>
        <v>C16</v>
      </c>
      <c r="D7494" t="b" cm="1">
        <f t="array" aca="1" ref="D7494" ca="1">IF(INDIRECT("'"&amp;A7494&amp;"'!"&amp;B7494)="",FALSE,IF(NOT(ISNUMBER(INDIRECT("'"&amp;A7494&amp;"'!"&amp;B7494))),TRUE,FALSE))</f>
        <v>0</v>
      </c>
      <c r="E7494" t="s">
        <v>435</v>
      </c>
      <c r="F7494" t="str">
        <f>INDEX(Lists!I:I,MATCH(Validation!E7494,Lists!G:G,0))</f>
        <v>Error</v>
      </c>
      <c r="G7494" t="str">
        <f>INDEX(Lists!H:H,MATCH(Validation!E7494,Lists!G:G,0))</f>
        <v>Enter an amount only. Do not enter text or spaces.</v>
      </c>
      <c r="H7494" s="16" t="str">
        <f t="shared" ca="1" si="837"/>
        <v/>
      </c>
      <c r="I7494" s="16" t="str">
        <f t="shared" ca="1" si="838"/>
        <v/>
      </c>
      <c r="J7494" s="17" t="str">
        <f t="shared" ca="1" si="839"/>
        <v/>
      </c>
    </row>
    <row r="7495" spans="1:10" x14ac:dyDescent="0.25">
      <c r="A7495" t="s">
        <v>881</v>
      </c>
      <c r="B7495" t="str">
        <f>ADDRESS(ROW(DFLoan1!B$16),COLUMN(DFLoan1!B$16),4)</f>
        <v>B16</v>
      </c>
      <c r="C7495" t="str">
        <f>ADDRESS(ROW(DFLoan1!C$16),COLUMN(DFLoan1!C$16),4)</f>
        <v>C16</v>
      </c>
      <c r="D7495" t="b" cm="1">
        <f t="array" aca="1" ref="D7495" ca="1">IF(INDIRECT("'"&amp;A7495&amp;"'!"&amp;B7495)="",FALSE,IF(INDIRECT("'"&amp;A7495&amp;"'!"&amp;B7495)&lt;0,TRUE,FALSE))</f>
        <v>0</v>
      </c>
      <c r="E7495" t="s">
        <v>434</v>
      </c>
      <c r="F7495" t="str">
        <f>INDEX(Lists!I:I,MATCH(Validation!E7495,Lists!G:G,0))</f>
        <v>Error</v>
      </c>
      <c r="G7495" t="str">
        <f>INDEX(Lists!H:H,MATCH(Validation!E7495,Lists!G:G,0))</f>
        <v>Amount may not be negative. Enter an amount greater than or equal to zero.</v>
      </c>
      <c r="H7495" s="16" t="str">
        <f t="shared" ca="1" si="837"/>
        <v/>
      </c>
      <c r="I7495" s="16" t="str">
        <f t="shared" ca="1" si="838"/>
        <v/>
      </c>
      <c r="J7495" s="17" t="str">
        <f t="shared" ca="1" si="839"/>
        <v/>
      </c>
    </row>
    <row r="7496" spans="1:10" x14ac:dyDescent="0.25">
      <c r="A7496" t="s">
        <v>953</v>
      </c>
      <c r="B7496" t="str">
        <f>ADDRESS(ROW(DFLoan1!B$16),COLUMN(DFLoan1!B$16),4)</f>
        <v>B16</v>
      </c>
      <c r="C7496" t="str">
        <f>ADDRESS(ROW(DFLoan1!C$16),COLUMN(DFLoan1!C$16),4)</f>
        <v>C16</v>
      </c>
      <c r="D7496" t="b" cm="1">
        <f t="array" aca="1" ref="D7496" ca="1">IF(INDIRECT("'"&amp;A7496&amp;"'!"&amp;B7496)="",FALSE,IF(INDIRECT("'"&amp;A7496&amp;"'!"&amp;B7496)&lt;0,TRUE,FALSE))</f>
        <v>0</v>
      </c>
      <c r="E7496" t="s">
        <v>434</v>
      </c>
      <c r="F7496" t="str">
        <f>INDEX(Lists!I:I,MATCH(Validation!E7496,Lists!G:G,0))</f>
        <v>Error</v>
      </c>
      <c r="G7496" t="str">
        <f>INDEX(Lists!H:H,MATCH(Validation!E7496,Lists!G:G,0))</f>
        <v>Amount may not be negative. Enter an amount greater than or equal to zero.</v>
      </c>
      <c r="H7496" s="16" t="str">
        <f t="shared" ca="1" si="837"/>
        <v/>
      </c>
      <c r="I7496" s="16" t="str">
        <f t="shared" ca="1" si="838"/>
        <v/>
      </c>
      <c r="J7496" s="17" t="str">
        <f t="shared" ca="1" si="839"/>
        <v/>
      </c>
    </row>
    <row r="7497" spans="1:10" x14ac:dyDescent="0.25">
      <c r="A7497" t="s">
        <v>954</v>
      </c>
      <c r="B7497" t="str">
        <f>ADDRESS(ROW(DFLoan1!B$16),COLUMN(DFLoan1!B$16),4)</f>
        <v>B16</v>
      </c>
      <c r="C7497" t="str">
        <f>ADDRESS(ROW(DFLoan1!C$16),COLUMN(DFLoan1!C$16),4)</f>
        <v>C16</v>
      </c>
      <c r="D7497" t="b" cm="1">
        <f t="array" aca="1" ref="D7497" ca="1">IF(INDIRECT("'"&amp;A7497&amp;"'!"&amp;B7497)="",FALSE,IF(INDIRECT("'"&amp;A7497&amp;"'!"&amp;B7497)&lt;0,TRUE,FALSE))</f>
        <v>0</v>
      </c>
      <c r="E7497" t="s">
        <v>434</v>
      </c>
      <c r="F7497" t="str">
        <f>INDEX(Lists!I:I,MATCH(Validation!E7497,Lists!G:G,0))</f>
        <v>Error</v>
      </c>
      <c r="G7497" t="str">
        <f>INDEX(Lists!H:H,MATCH(Validation!E7497,Lists!G:G,0))</f>
        <v>Amount may not be negative. Enter an amount greater than or equal to zero.</v>
      </c>
      <c r="H7497" s="16" t="str">
        <f t="shared" ca="1" si="837"/>
        <v/>
      </c>
      <c r="I7497" s="16" t="str">
        <f t="shared" ca="1" si="838"/>
        <v/>
      </c>
      <c r="J7497" s="17" t="str">
        <f t="shared" ca="1" si="839"/>
        <v/>
      </c>
    </row>
    <row r="7498" spans="1:10" x14ac:dyDescent="0.25">
      <c r="A7498" t="s">
        <v>955</v>
      </c>
      <c r="B7498" t="str">
        <f>ADDRESS(ROW(DFLoan1!B$16),COLUMN(DFLoan1!B$16),4)</f>
        <v>B16</v>
      </c>
      <c r="C7498" t="str">
        <f>ADDRESS(ROW(DFLoan1!C$16),COLUMN(DFLoan1!C$16),4)</f>
        <v>C16</v>
      </c>
      <c r="D7498" t="b" cm="1">
        <f t="array" aca="1" ref="D7498" ca="1">IF(INDIRECT("'"&amp;A7498&amp;"'!"&amp;B7498)="",FALSE,IF(INDIRECT("'"&amp;A7498&amp;"'!"&amp;B7498)&lt;0,TRUE,FALSE))</f>
        <v>0</v>
      </c>
      <c r="E7498" t="s">
        <v>434</v>
      </c>
      <c r="F7498" t="str">
        <f>INDEX(Lists!I:I,MATCH(Validation!E7498,Lists!G:G,0))</f>
        <v>Error</v>
      </c>
      <c r="G7498" t="str">
        <f>INDEX(Lists!H:H,MATCH(Validation!E7498,Lists!G:G,0))</f>
        <v>Amount may not be negative. Enter an amount greater than or equal to zero.</v>
      </c>
      <c r="H7498" s="16" t="str">
        <f t="shared" ca="1" si="837"/>
        <v/>
      </c>
      <c r="I7498" s="16" t="str">
        <f t="shared" ca="1" si="838"/>
        <v/>
      </c>
      <c r="J7498" s="17" t="str">
        <f t="shared" ca="1" si="839"/>
        <v/>
      </c>
    </row>
    <row r="7499" spans="1:10" x14ac:dyDescent="0.25">
      <c r="A7499" t="s">
        <v>956</v>
      </c>
      <c r="B7499" t="str">
        <f>ADDRESS(ROW(DFLoan1!B$16),COLUMN(DFLoan1!B$16),4)</f>
        <v>B16</v>
      </c>
      <c r="C7499" t="str">
        <f>ADDRESS(ROW(DFLoan1!C$16),COLUMN(DFLoan1!C$16),4)</f>
        <v>C16</v>
      </c>
      <c r="D7499" t="b" cm="1">
        <f t="array" aca="1" ref="D7499" ca="1">IF(INDIRECT("'"&amp;A7499&amp;"'!"&amp;B7499)="",FALSE,IF(INDIRECT("'"&amp;A7499&amp;"'!"&amp;B7499)&lt;0,TRUE,FALSE))</f>
        <v>0</v>
      </c>
      <c r="E7499" t="s">
        <v>434</v>
      </c>
      <c r="F7499" t="str">
        <f>INDEX(Lists!I:I,MATCH(Validation!E7499,Lists!G:G,0))</f>
        <v>Error</v>
      </c>
      <c r="G7499" t="str">
        <f>INDEX(Lists!H:H,MATCH(Validation!E7499,Lists!G:G,0))</f>
        <v>Amount may not be negative. Enter an amount greater than or equal to zero.</v>
      </c>
      <c r="H7499" s="16" t="str">
        <f t="shared" ref="H7499:H7562" ca="1" si="840">IFERROR(IF(OR(NOT(D7499),F7499&lt;&gt;"Error"),"",A7499&amp;CELL("address",INDIRECT(B7499))),"")</f>
        <v/>
      </c>
      <c r="I7499" s="16" t="str">
        <f t="shared" ref="I7499:I7562" ca="1" si="841">IFERROR(IF(NOT(D7499),"",A7499&amp;CELL("address",INDIRECT(C7499))),"")</f>
        <v/>
      </c>
      <c r="J7499" s="17" t="str">
        <f t="shared" ref="J7499:J7562" ca="1" si="842">IFERROR(IF(NOT(D7499),"",A7499),"")</f>
        <v/>
      </c>
    </row>
    <row r="7500" spans="1:10" x14ac:dyDescent="0.25">
      <c r="A7500" t="s">
        <v>957</v>
      </c>
      <c r="B7500" t="str">
        <f>ADDRESS(ROW(DFLoan1!B$16),COLUMN(DFLoan1!B$16),4)</f>
        <v>B16</v>
      </c>
      <c r="C7500" t="str">
        <f>ADDRESS(ROW(DFLoan1!C$16),COLUMN(DFLoan1!C$16),4)</f>
        <v>C16</v>
      </c>
      <c r="D7500" t="b" cm="1">
        <f t="array" aca="1" ref="D7500" ca="1">IF(INDIRECT("'"&amp;A7500&amp;"'!"&amp;B7500)="",FALSE,IF(INDIRECT("'"&amp;A7500&amp;"'!"&amp;B7500)&lt;0,TRUE,FALSE))</f>
        <v>0</v>
      </c>
      <c r="E7500" t="s">
        <v>434</v>
      </c>
      <c r="F7500" t="str">
        <f>INDEX(Lists!I:I,MATCH(Validation!E7500,Lists!G:G,0))</f>
        <v>Error</v>
      </c>
      <c r="G7500" t="str">
        <f>INDEX(Lists!H:H,MATCH(Validation!E7500,Lists!G:G,0))</f>
        <v>Amount may not be negative. Enter an amount greater than or equal to zero.</v>
      </c>
      <c r="H7500" s="16" t="str">
        <f t="shared" ca="1" si="840"/>
        <v/>
      </c>
      <c r="I7500" s="16" t="str">
        <f t="shared" ca="1" si="841"/>
        <v/>
      </c>
      <c r="J7500" s="17" t="str">
        <f t="shared" ca="1" si="842"/>
        <v/>
      </c>
    </row>
    <row r="7501" spans="1:10" x14ac:dyDescent="0.25">
      <c r="A7501" t="s">
        <v>958</v>
      </c>
      <c r="B7501" t="str">
        <f>ADDRESS(ROW(DFLoan1!B$16),COLUMN(DFLoan1!B$16),4)</f>
        <v>B16</v>
      </c>
      <c r="C7501" t="str">
        <f>ADDRESS(ROW(DFLoan1!C$16),COLUMN(DFLoan1!C$16),4)</f>
        <v>C16</v>
      </c>
      <c r="D7501" t="b" cm="1">
        <f t="array" aca="1" ref="D7501" ca="1">IF(INDIRECT("'"&amp;A7501&amp;"'!"&amp;B7501)="",FALSE,IF(INDIRECT("'"&amp;A7501&amp;"'!"&amp;B7501)&lt;0,TRUE,FALSE))</f>
        <v>0</v>
      </c>
      <c r="E7501" t="s">
        <v>434</v>
      </c>
      <c r="F7501" t="str">
        <f>INDEX(Lists!I:I,MATCH(Validation!E7501,Lists!G:G,0))</f>
        <v>Error</v>
      </c>
      <c r="G7501" t="str">
        <f>INDEX(Lists!H:H,MATCH(Validation!E7501,Lists!G:G,0))</f>
        <v>Amount may not be negative. Enter an amount greater than or equal to zero.</v>
      </c>
      <c r="H7501" s="16" t="str">
        <f t="shared" ca="1" si="840"/>
        <v/>
      </c>
      <c r="I7501" s="16" t="str">
        <f t="shared" ca="1" si="841"/>
        <v/>
      </c>
      <c r="J7501" s="17" t="str">
        <f t="shared" ca="1" si="842"/>
        <v/>
      </c>
    </row>
    <row r="7502" spans="1:10" x14ac:dyDescent="0.25">
      <c r="A7502" t="s">
        <v>959</v>
      </c>
      <c r="B7502" t="str">
        <f>ADDRESS(ROW(DFLoan1!B$16),COLUMN(DFLoan1!B$16),4)</f>
        <v>B16</v>
      </c>
      <c r="C7502" t="str">
        <f>ADDRESS(ROW(DFLoan1!C$16),COLUMN(DFLoan1!C$16),4)</f>
        <v>C16</v>
      </c>
      <c r="D7502" t="b" cm="1">
        <f t="array" aca="1" ref="D7502" ca="1">IF(INDIRECT("'"&amp;A7502&amp;"'!"&amp;B7502)="",FALSE,IF(INDIRECT("'"&amp;A7502&amp;"'!"&amp;B7502)&lt;0,TRUE,FALSE))</f>
        <v>0</v>
      </c>
      <c r="E7502" t="s">
        <v>434</v>
      </c>
      <c r="F7502" t="str">
        <f>INDEX(Lists!I:I,MATCH(Validation!E7502,Lists!G:G,0))</f>
        <v>Error</v>
      </c>
      <c r="G7502" t="str">
        <f>INDEX(Lists!H:H,MATCH(Validation!E7502,Lists!G:G,0))</f>
        <v>Amount may not be negative. Enter an amount greater than or equal to zero.</v>
      </c>
      <c r="H7502" s="16" t="str">
        <f t="shared" ca="1" si="840"/>
        <v/>
      </c>
      <c r="I7502" s="16" t="str">
        <f t="shared" ca="1" si="841"/>
        <v/>
      </c>
      <c r="J7502" s="17" t="str">
        <f t="shared" ca="1" si="842"/>
        <v/>
      </c>
    </row>
    <row r="7503" spans="1:10" x14ac:dyDescent="0.25">
      <c r="A7503" t="s">
        <v>960</v>
      </c>
      <c r="B7503" t="str">
        <f>ADDRESS(ROW(DFLoan1!B$16),COLUMN(DFLoan1!B$16),4)</f>
        <v>B16</v>
      </c>
      <c r="C7503" t="str">
        <f>ADDRESS(ROW(DFLoan1!C$16),COLUMN(DFLoan1!C$16),4)</f>
        <v>C16</v>
      </c>
      <c r="D7503" t="b" cm="1">
        <f t="array" aca="1" ref="D7503" ca="1">IF(INDIRECT("'"&amp;A7503&amp;"'!"&amp;B7503)="",FALSE,IF(INDIRECT("'"&amp;A7503&amp;"'!"&amp;B7503)&lt;0,TRUE,FALSE))</f>
        <v>0</v>
      </c>
      <c r="E7503" t="s">
        <v>434</v>
      </c>
      <c r="F7503" t="str">
        <f>INDEX(Lists!I:I,MATCH(Validation!E7503,Lists!G:G,0))</f>
        <v>Error</v>
      </c>
      <c r="G7503" t="str">
        <f>INDEX(Lists!H:H,MATCH(Validation!E7503,Lists!G:G,0))</f>
        <v>Amount may not be negative. Enter an amount greater than or equal to zero.</v>
      </c>
      <c r="H7503" s="16" t="str">
        <f t="shared" ca="1" si="840"/>
        <v/>
      </c>
      <c r="I7503" s="16" t="str">
        <f t="shared" ca="1" si="841"/>
        <v/>
      </c>
      <c r="J7503" s="17" t="str">
        <f t="shared" ca="1" si="842"/>
        <v/>
      </c>
    </row>
    <row r="7504" spans="1:10" x14ac:dyDescent="0.25">
      <c r="A7504" t="s">
        <v>961</v>
      </c>
      <c r="B7504" t="str">
        <f>ADDRESS(ROW(DFLoan1!B$16),COLUMN(DFLoan1!B$16),4)</f>
        <v>B16</v>
      </c>
      <c r="C7504" t="str">
        <f>ADDRESS(ROW(DFLoan1!C$16),COLUMN(DFLoan1!C$16),4)</f>
        <v>C16</v>
      </c>
      <c r="D7504" t="b" cm="1">
        <f t="array" aca="1" ref="D7504" ca="1">IF(INDIRECT("'"&amp;A7504&amp;"'!"&amp;B7504)="",FALSE,IF(INDIRECT("'"&amp;A7504&amp;"'!"&amp;B7504)&lt;0,TRUE,FALSE))</f>
        <v>0</v>
      </c>
      <c r="E7504" t="s">
        <v>434</v>
      </c>
      <c r="F7504" t="str">
        <f>INDEX(Lists!I:I,MATCH(Validation!E7504,Lists!G:G,0))</f>
        <v>Error</v>
      </c>
      <c r="G7504" t="str">
        <f>INDEX(Lists!H:H,MATCH(Validation!E7504,Lists!G:G,0))</f>
        <v>Amount may not be negative. Enter an amount greater than or equal to zero.</v>
      </c>
      <c r="H7504" s="16" t="str">
        <f t="shared" ca="1" si="840"/>
        <v/>
      </c>
      <c r="I7504" s="16" t="str">
        <f t="shared" ca="1" si="841"/>
        <v/>
      </c>
      <c r="J7504" s="17" t="str">
        <f t="shared" ca="1" si="842"/>
        <v/>
      </c>
    </row>
    <row r="7505" spans="1:10" x14ac:dyDescent="0.25">
      <c r="A7505" t="s">
        <v>962</v>
      </c>
      <c r="B7505" t="str">
        <f>ADDRESS(ROW(DFLoan1!B$16),COLUMN(DFLoan1!B$16),4)</f>
        <v>B16</v>
      </c>
      <c r="C7505" t="str">
        <f>ADDRESS(ROW(DFLoan1!C$16),COLUMN(DFLoan1!C$16),4)</f>
        <v>C16</v>
      </c>
      <c r="D7505" t="b" cm="1">
        <f t="array" aca="1" ref="D7505" ca="1">IF(INDIRECT("'"&amp;A7505&amp;"'!"&amp;B7505)="",FALSE,IF(INDIRECT("'"&amp;A7505&amp;"'!"&amp;B7505)&lt;0,TRUE,FALSE))</f>
        <v>0</v>
      </c>
      <c r="E7505" t="s">
        <v>434</v>
      </c>
      <c r="F7505" t="str">
        <f>INDEX(Lists!I:I,MATCH(Validation!E7505,Lists!G:G,0))</f>
        <v>Error</v>
      </c>
      <c r="G7505" t="str">
        <f>INDEX(Lists!H:H,MATCH(Validation!E7505,Lists!G:G,0))</f>
        <v>Amount may not be negative. Enter an amount greater than or equal to zero.</v>
      </c>
      <c r="H7505" s="16" t="str">
        <f t="shared" ca="1" si="840"/>
        <v/>
      </c>
      <c r="I7505" s="16" t="str">
        <f t="shared" ca="1" si="841"/>
        <v/>
      </c>
      <c r="J7505" s="17" t="str">
        <f t="shared" ca="1" si="842"/>
        <v/>
      </c>
    </row>
    <row r="7506" spans="1:10" x14ac:dyDescent="0.25">
      <c r="A7506" t="s">
        <v>963</v>
      </c>
      <c r="B7506" t="str">
        <f>ADDRESS(ROW(DFLoan1!B$16),COLUMN(DFLoan1!B$16),4)</f>
        <v>B16</v>
      </c>
      <c r="C7506" t="str">
        <f>ADDRESS(ROW(DFLoan1!C$16),COLUMN(DFLoan1!C$16),4)</f>
        <v>C16</v>
      </c>
      <c r="D7506" t="b" cm="1">
        <f t="array" aca="1" ref="D7506" ca="1">IF(INDIRECT("'"&amp;A7506&amp;"'!"&amp;B7506)="",FALSE,IF(INDIRECT("'"&amp;A7506&amp;"'!"&amp;B7506)&lt;0,TRUE,FALSE))</f>
        <v>0</v>
      </c>
      <c r="E7506" t="s">
        <v>434</v>
      </c>
      <c r="F7506" t="str">
        <f>INDEX(Lists!I:I,MATCH(Validation!E7506,Lists!G:G,0))</f>
        <v>Error</v>
      </c>
      <c r="G7506" t="str">
        <f>INDEX(Lists!H:H,MATCH(Validation!E7506,Lists!G:G,0))</f>
        <v>Amount may not be negative. Enter an amount greater than or equal to zero.</v>
      </c>
      <c r="H7506" s="16" t="str">
        <f t="shared" ca="1" si="840"/>
        <v/>
      </c>
      <c r="I7506" s="16" t="str">
        <f t="shared" ca="1" si="841"/>
        <v/>
      </c>
      <c r="J7506" s="17" t="str">
        <f t="shared" ca="1" si="842"/>
        <v/>
      </c>
    </row>
    <row r="7507" spans="1:10" x14ac:dyDescent="0.25">
      <c r="A7507" t="s">
        <v>964</v>
      </c>
      <c r="B7507" t="str">
        <f>ADDRESS(ROW(DFLoan1!B$16),COLUMN(DFLoan1!B$16),4)</f>
        <v>B16</v>
      </c>
      <c r="C7507" t="str">
        <f>ADDRESS(ROW(DFLoan1!C$16),COLUMN(DFLoan1!C$16),4)</f>
        <v>C16</v>
      </c>
      <c r="D7507" t="b" cm="1">
        <f t="array" aca="1" ref="D7507" ca="1">IF(INDIRECT("'"&amp;A7507&amp;"'!"&amp;B7507)="",FALSE,IF(INDIRECT("'"&amp;A7507&amp;"'!"&amp;B7507)&lt;0,TRUE,FALSE))</f>
        <v>0</v>
      </c>
      <c r="E7507" t="s">
        <v>434</v>
      </c>
      <c r="F7507" t="str">
        <f>INDEX(Lists!I:I,MATCH(Validation!E7507,Lists!G:G,0))</f>
        <v>Error</v>
      </c>
      <c r="G7507" t="str">
        <f>INDEX(Lists!H:H,MATCH(Validation!E7507,Lists!G:G,0))</f>
        <v>Amount may not be negative. Enter an amount greater than or equal to zero.</v>
      </c>
      <c r="H7507" s="16" t="str">
        <f t="shared" ca="1" si="840"/>
        <v/>
      </c>
      <c r="I7507" s="16" t="str">
        <f t="shared" ca="1" si="841"/>
        <v/>
      </c>
      <c r="J7507" s="17" t="str">
        <f t="shared" ca="1" si="842"/>
        <v/>
      </c>
    </row>
    <row r="7508" spans="1:10" x14ac:dyDescent="0.25">
      <c r="A7508" t="s">
        <v>965</v>
      </c>
      <c r="B7508" t="str">
        <f>ADDRESS(ROW(DFLoan1!B$16),COLUMN(DFLoan1!B$16),4)</f>
        <v>B16</v>
      </c>
      <c r="C7508" t="str">
        <f>ADDRESS(ROW(DFLoan1!C$16),COLUMN(DFLoan1!C$16),4)</f>
        <v>C16</v>
      </c>
      <c r="D7508" t="b" cm="1">
        <f t="array" aca="1" ref="D7508" ca="1">IF(INDIRECT("'"&amp;A7508&amp;"'!"&amp;B7508)="",FALSE,IF(INDIRECT("'"&amp;A7508&amp;"'!"&amp;B7508)&lt;0,TRUE,FALSE))</f>
        <v>0</v>
      </c>
      <c r="E7508" t="s">
        <v>434</v>
      </c>
      <c r="F7508" t="str">
        <f>INDEX(Lists!I:I,MATCH(Validation!E7508,Lists!G:G,0))</f>
        <v>Error</v>
      </c>
      <c r="G7508" t="str">
        <f>INDEX(Lists!H:H,MATCH(Validation!E7508,Lists!G:G,0))</f>
        <v>Amount may not be negative. Enter an amount greater than or equal to zero.</v>
      </c>
      <c r="H7508" s="16" t="str">
        <f t="shared" ca="1" si="840"/>
        <v/>
      </c>
      <c r="I7508" s="16" t="str">
        <f t="shared" ca="1" si="841"/>
        <v/>
      </c>
      <c r="J7508" s="17" t="str">
        <f t="shared" ca="1" si="842"/>
        <v/>
      </c>
    </row>
    <row r="7509" spans="1:10" x14ac:dyDescent="0.25">
      <c r="A7509" t="s">
        <v>966</v>
      </c>
      <c r="B7509" t="str">
        <f>ADDRESS(ROW(DFLoan1!B$16),COLUMN(DFLoan1!B$16),4)</f>
        <v>B16</v>
      </c>
      <c r="C7509" t="str">
        <f>ADDRESS(ROW(DFLoan1!C$16),COLUMN(DFLoan1!C$16),4)</f>
        <v>C16</v>
      </c>
      <c r="D7509" t="b" cm="1">
        <f t="array" aca="1" ref="D7509" ca="1">IF(INDIRECT("'"&amp;A7509&amp;"'!"&amp;B7509)="",FALSE,IF(INDIRECT("'"&amp;A7509&amp;"'!"&amp;B7509)&lt;0,TRUE,FALSE))</f>
        <v>0</v>
      </c>
      <c r="E7509" t="s">
        <v>434</v>
      </c>
      <c r="F7509" t="str">
        <f>INDEX(Lists!I:I,MATCH(Validation!E7509,Lists!G:G,0))</f>
        <v>Error</v>
      </c>
      <c r="G7509" t="str">
        <f>INDEX(Lists!H:H,MATCH(Validation!E7509,Lists!G:G,0))</f>
        <v>Amount may not be negative. Enter an amount greater than or equal to zero.</v>
      </c>
      <c r="H7509" s="16" t="str">
        <f t="shared" ca="1" si="840"/>
        <v/>
      </c>
      <c r="I7509" s="16" t="str">
        <f t="shared" ca="1" si="841"/>
        <v/>
      </c>
      <c r="J7509" s="17" t="str">
        <f t="shared" ca="1" si="842"/>
        <v/>
      </c>
    </row>
    <row r="7510" spans="1:10" x14ac:dyDescent="0.25">
      <c r="A7510" t="s">
        <v>881</v>
      </c>
      <c r="B7510" t="str">
        <f>ADDRESS(ROW(DFLoan1!B$16),COLUMN(DFLoan1!B$16),4)</f>
        <v>B16</v>
      </c>
      <c r="C7510" t="str">
        <f>ADDRESS(ROW(DFLoan1!C$16),COLUMN(DFLoan1!C$16),4)</f>
        <v>C16</v>
      </c>
      <c r="D7510" t="b" cm="1">
        <f t="array" aca="1" ref="D7510" ca="1">IF(INDIRECT("'"&amp;A7510&amp;"'!"&amp;B7510)="",FALSE,IF(TRUNC(INDIRECT("'"&amp;A7510&amp;"'!"&amp;B7510))=INDIRECT("'"&amp;A7510&amp;"'!"&amp;B7510),FALSE,TRUE))</f>
        <v>0</v>
      </c>
      <c r="E7510" t="s">
        <v>436</v>
      </c>
      <c r="F7510" t="str">
        <f>INDEX(Lists!I:I,MATCH(Validation!E7510,Lists!G:G,0))</f>
        <v>Error</v>
      </c>
      <c r="G7510" t="str">
        <f>INDEX(Lists!H:H,MATCH(Validation!E7510,Lists!G:G,0))</f>
        <v>Amount must be rounded to the nearest dollar.</v>
      </c>
      <c r="H7510" s="16" t="str">
        <f t="shared" ca="1" si="840"/>
        <v/>
      </c>
      <c r="I7510" s="16" t="str">
        <f t="shared" ca="1" si="841"/>
        <v/>
      </c>
      <c r="J7510" s="17" t="str">
        <f t="shared" ca="1" si="842"/>
        <v/>
      </c>
    </row>
    <row r="7511" spans="1:10" x14ac:dyDescent="0.25">
      <c r="A7511" t="s">
        <v>953</v>
      </c>
      <c r="B7511" t="str">
        <f>ADDRESS(ROW(DFLoan1!B$16),COLUMN(DFLoan1!B$16),4)</f>
        <v>B16</v>
      </c>
      <c r="C7511" t="str">
        <f>ADDRESS(ROW(DFLoan1!C$16),COLUMN(DFLoan1!C$16),4)</f>
        <v>C16</v>
      </c>
      <c r="D7511" t="b" cm="1">
        <f t="array" aca="1" ref="D7511" ca="1">IF(INDIRECT("'"&amp;A7511&amp;"'!"&amp;B7511)="",FALSE,IF(TRUNC(INDIRECT("'"&amp;A7511&amp;"'!"&amp;B7511))=INDIRECT("'"&amp;A7511&amp;"'!"&amp;B7511),FALSE,TRUE))</f>
        <v>0</v>
      </c>
      <c r="E7511" t="s">
        <v>436</v>
      </c>
      <c r="F7511" t="str">
        <f>INDEX(Lists!I:I,MATCH(Validation!E7511,Lists!G:G,0))</f>
        <v>Error</v>
      </c>
      <c r="G7511" t="str">
        <f>INDEX(Lists!H:H,MATCH(Validation!E7511,Lists!G:G,0))</f>
        <v>Amount must be rounded to the nearest dollar.</v>
      </c>
      <c r="H7511" s="16" t="str">
        <f t="shared" ca="1" si="840"/>
        <v/>
      </c>
      <c r="I7511" s="16" t="str">
        <f t="shared" ca="1" si="841"/>
        <v/>
      </c>
      <c r="J7511" s="17" t="str">
        <f t="shared" ca="1" si="842"/>
        <v/>
      </c>
    </row>
    <row r="7512" spans="1:10" x14ac:dyDescent="0.25">
      <c r="A7512" t="s">
        <v>954</v>
      </c>
      <c r="B7512" t="str">
        <f>ADDRESS(ROW(DFLoan1!B$16),COLUMN(DFLoan1!B$16),4)</f>
        <v>B16</v>
      </c>
      <c r="C7512" t="str">
        <f>ADDRESS(ROW(DFLoan1!C$16),COLUMN(DFLoan1!C$16),4)</f>
        <v>C16</v>
      </c>
      <c r="D7512" t="b" cm="1">
        <f t="array" aca="1" ref="D7512" ca="1">IF(INDIRECT("'"&amp;A7512&amp;"'!"&amp;B7512)="",FALSE,IF(TRUNC(INDIRECT("'"&amp;A7512&amp;"'!"&amp;B7512))=INDIRECT("'"&amp;A7512&amp;"'!"&amp;B7512),FALSE,TRUE))</f>
        <v>0</v>
      </c>
      <c r="E7512" t="s">
        <v>436</v>
      </c>
      <c r="F7512" t="str">
        <f>INDEX(Lists!I:I,MATCH(Validation!E7512,Lists!G:G,0))</f>
        <v>Error</v>
      </c>
      <c r="G7512" t="str">
        <f>INDEX(Lists!H:H,MATCH(Validation!E7512,Lists!G:G,0))</f>
        <v>Amount must be rounded to the nearest dollar.</v>
      </c>
      <c r="H7512" s="16" t="str">
        <f t="shared" ca="1" si="840"/>
        <v/>
      </c>
      <c r="I7512" s="16" t="str">
        <f t="shared" ca="1" si="841"/>
        <v/>
      </c>
      <c r="J7512" s="17" t="str">
        <f t="shared" ca="1" si="842"/>
        <v/>
      </c>
    </row>
    <row r="7513" spans="1:10" x14ac:dyDescent="0.25">
      <c r="A7513" t="s">
        <v>955</v>
      </c>
      <c r="B7513" t="str">
        <f>ADDRESS(ROW(DFLoan1!B$16),COLUMN(DFLoan1!B$16),4)</f>
        <v>B16</v>
      </c>
      <c r="C7513" t="str">
        <f>ADDRESS(ROW(DFLoan1!C$16),COLUMN(DFLoan1!C$16),4)</f>
        <v>C16</v>
      </c>
      <c r="D7513" t="b" cm="1">
        <f t="array" aca="1" ref="D7513" ca="1">IF(INDIRECT("'"&amp;A7513&amp;"'!"&amp;B7513)="",FALSE,IF(TRUNC(INDIRECT("'"&amp;A7513&amp;"'!"&amp;B7513))=INDIRECT("'"&amp;A7513&amp;"'!"&amp;B7513),FALSE,TRUE))</f>
        <v>0</v>
      </c>
      <c r="E7513" t="s">
        <v>436</v>
      </c>
      <c r="F7513" t="str">
        <f>INDEX(Lists!I:I,MATCH(Validation!E7513,Lists!G:G,0))</f>
        <v>Error</v>
      </c>
      <c r="G7513" t="str">
        <f>INDEX(Lists!H:H,MATCH(Validation!E7513,Lists!G:G,0))</f>
        <v>Amount must be rounded to the nearest dollar.</v>
      </c>
      <c r="H7513" s="16" t="str">
        <f t="shared" ca="1" si="840"/>
        <v/>
      </c>
      <c r="I7513" s="16" t="str">
        <f t="shared" ca="1" si="841"/>
        <v/>
      </c>
      <c r="J7513" s="17" t="str">
        <f t="shared" ca="1" si="842"/>
        <v/>
      </c>
    </row>
    <row r="7514" spans="1:10" x14ac:dyDescent="0.25">
      <c r="A7514" t="s">
        <v>956</v>
      </c>
      <c r="B7514" t="str">
        <f>ADDRESS(ROW(DFLoan1!B$16),COLUMN(DFLoan1!B$16),4)</f>
        <v>B16</v>
      </c>
      <c r="C7514" t="str">
        <f>ADDRESS(ROW(DFLoan1!C$16),COLUMN(DFLoan1!C$16),4)</f>
        <v>C16</v>
      </c>
      <c r="D7514" t="b" cm="1">
        <f t="array" aca="1" ref="D7514" ca="1">IF(INDIRECT("'"&amp;A7514&amp;"'!"&amp;B7514)="",FALSE,IF(TRUNC(INDIRECT("'"&amp;A7514&amp;"'!"&amp;B7514))=INDIRECT("'"&amp;A7514&amp;"'!"&amp;B7514),FALSE,TRUE))</f>
        <v>0</v>
      </c>
      <c r="E7514" t="s">
        <v>436</v>
      </c>
      <c r="F7514" t="str">
        <f>INDEX(Lists!I:I,MATCH(Validation!E7514,Lists!G:G,0))</f>
        <v>Error</v>
      </c>
      <c r="G7514" t="str">
        <f>INDEX(Lists!H:H,MATCH(Validation!E7514,Lists!G:G,0))</f>
        <v>Amount must be rounded to the nearest dollar.</v>
      </c>
      <c r="H7514" s="16" t="str">
        <f t="shared" ca="1" si="840"/>
        <v/>
      </c>
      <c r="I7514" s="16" t="str">
        <f t="shared" ca="1" si="841"/>
        <v/>
      </c>
      <c r="J7514" s="17" t="str">
        <f t="shared" ca="1" si="842"/>
        <v/>
      </c>
    </row>
    <row r="7515" spans="1:10" x14ac:dyDescent="0.25">
      <c r="A7515" t="s">
        <v>957</v>
      </c>
      <c r="B7515" t="str">
        <f>ADDRESS(ROW(DFLoan1!B$16),COLUMN(DFLoan1!B$16),4)</f>
        <v>B16</v>
      </c>
      <c r="C7515" t="str">
        <f>ADDRESS(ROW(DFLoan1!C$16),COLUMN(DFLoan1!C$16),4)</f>
        <v>C16</v>
      </c>
      <c r="D7515" t="b" cm="1">
        <f t="array" aca="1" ref="D7515" ca="1">IF(INDIRECT("'"&amp;A7515&amp;"'!"&amp;B7515)="",FALSE,IF(TRUNC(INDIRECT("'"&amp;A7515&amp;"'!"&amp;B7515))=INDIRECT("'"&amp;A7515&amp;"'!"&amp;B7515),FALSE,TRUE))</f>
        <v>0</v>
      </c>
      <c r="E7515" t="s">
        <v>436</v>
      </c>
      <c r="F7515" t="str">
        <f>INDEX(Lists!I:I,MATCH(Validation!E7515,Lists!G:G,0))</f>
        <v>Error</v>
      </c>
      <c r="G7515" t="str">
        <f>INDEX(Lists!H:H,MATCH(Validation!E7515,Lists!G:G,0))</f>
        <v>Amount must be rounded to the nearest dollar.</v>
      </c>
      <c r="H7515" s="16" t="str">
        <f t="shared" ca="1" si="840"/>
        <v/>
      </c>
      <c r="I7515" s="16" t="str">
        <f t="shared" ca="1" si="841"/>
        <v/>
      </c>
      <c r="J7515" s="17" t="str">
        <f t="shared" ca="1" si="842"/>
        <v/>
      </c>
    </row>
    <row r="7516" spans="1:10" x14ac:dyDescent="0.25">
      <c r="A7516" t="s">
        <v>958</v>
      </c>
      <c r="B7516" t="str">
        <f>ADDRESS(ROW(DFLoan1!B$16),COLUMN(DFLoan1!B$16),4)</f>
        <v>B16</v>
      </c>
      <c r="C7516" t="str">
        <f>ADDRESS(ROW(DFLoan1!C$16),COLUMN(DFLoan1!C$16),4)</f>
        <v>C16</v>
      </c>
      <c r="D7516" t="b" cm="1">
        <f t="array" aca="1" ref="D7516" ca="1">IF(INDIRECT("'"&amp;A7516&amp;"'!"&amp;B7516)="",FALSE,IF(TRUNC(INDIRECT("'"&amp;A7516&amp;"'!"&amp;B7516))=INDIRECT("'"&amp;A7516&amp;"'!"&amp;B7516),FALSE,TRUE))</f>
        <v>0</v>
      </c>
      <c r="E7516" t="s">
        <v>436</v>
      </c>
      <c r="F7516" t="str">
        <f>INDEX(Lists!I:I,MATCH(Validation!E7516,Lists!G:G,0))</f>
        <v>Error</v>
      </c>
      <c r="G7516" t="str">
        <f>INDEX(Lists!H:H,MATCH(Validation!E7516,Lists!G:G,0))</f>
        <v>Amount must be rounded to the nearest dollar.</v>
      </c>
      <c r="H7516" s="16" t="str">
        <f t="shared" ca="1" si="840"/>
        <v/>
      </c>
      <c r="I7516" s="16" t="str">
        <f t="shared" ca="1" si="841"/>
        <v/>
      </c>
      <c r="J7516" s="17" t="str">
        <f t="shared" ca="1" si="842"/>
        <v/>
      </c>
    </row>
    <row r="7517" spans="1:10" x14ac:dyDescent="0.25">
      <c r="A7517" t="s">
        <v>959</v>
      </c>
      <c r="B7517" t="str">
        <f>ADDRESS(ROW(DFLoan1!B$16),COLUMN(DFLoan1!B$16),4)</f>
        <v>B16</v>
      </c>
      <c r="C7517" t="str">
        <f>ADDRESS(ROW(DFLoan1!C$16),COLUMN(DFLoan1!C$16),4)</f>
        <v>C16</v>
      </c>
      <c r="D7517" t="b" cm="1">
        <f t="array" aca="1" ref="D7517" ca="1">IF(INDIRECT("'"&amp;A7517&amp;"'!"&amp;B7517)="",FALSE,IF(TRUNC(INDIRECT("'"&amp;A7517&amp;"'!"&amp;B7517))=INDIRECT("'"&amp;A7517&amp;"'!"&amp;B7517),FALSE,TRUE))</f>
        <v>0</v>
      </c>
      <c r="E7517" t="s">
        <v>436</v>
      </c>
      <c r="F7517" t="str">
        <f>INDEX(Lists!I:I,MATCH(Validation!E7517,Lists!G:G,0))</f>
        <v>Error</v>
      </c>
      <c r="G7517" t="str">
        <f>INDEX(Lists!H:H,MATCH(Validation!E7517,Lists!G:G,0))</f>
        <v>Amount must be rounded to the nearest dollar.</v>
      </c>
      <c r="H7517" s="16" t="str">
        <f t="shared" ca="1" si="840"/>
        <v/>
      </c>
      <c r="I7517" s="16" t="str">
        <f t="shared" ca="1" si="841"/>
        <v/>
      </c>
      <c r="J7517" s="17" t="str">
        <f t="shared" ca="1" si="842"/>
        <v/>
      </c>
    </row>
    <row r="7518" spans="1:10" x14ac:dyDescent="0.25">
      <c r="A7518" t="s">
        <v>960</v>
      </c>
      <c r="B7518" t="str">
        <f>ADDRESS(ROW(DFLoan1!B$16),COLUMN(DFLoan1!B$16),4)</f>
        <v>B16</v>
      </c>
      <c r="C7518" t="str">
        <f>ADDRESS(ROW(DFLoan1!C$16),COLUMN(DFLoan1!C$16),4)</f>
        <v>C16</v>
      </c>
      <c r="D7518" t="b" cm="1">
        <f t="array" aca="1" ref="D7518" ca="1">IF(INDIRECT("'"&amp;A7518&amp;"'!"&amp;B7518)="",FALSE,IF(TRUNC(INDIRECT("'"&amp;A7518&amp;"'!"&amp;B7518))=INDIRECT("'"&amp;A7518&amp;"'!"&amp;B7518),FALSE,TRUE))</f>
        <v>0</v>
      </c>
      <c r="E7518" t="s">
        <v>436</v>
      </c>
      <c r="F7518" t="str">
        <f>INDEX(Lists!I:I,MATCH(Validation!E7518,Lists!G:G,0))</f>
        <v>Error</v>
      </c>
      <c r="G7518" t="str">
        <f>INDEX(Lists!H:H,MATCH(Validation!E7518,Lists!G:G,0))</f>
        <v>Amount must be rounded to the nearest dollar.</v>
      </c>
      <c r="H7518" s="16" t="str">
        <f t="shared" ca="1" si="840"/>
        <v/>
      </c>
      <c r="I7518" s="16" t="str">
        <f t="shared" ca="1" si="841"/>
        <v/>
      </c>
      <c r="J7518" s="17" t="str">
        <f t="shared" ca="1" si="842"/>
        <v/>
      </c>
    </row>
    <row r="7519" spans="1:10" x14ac:dyDescent="0.25">
      <c r="A7519" t="s">
        <v>961</v>
      </c>
      <c r="B7519" t="str">
        <f>ADDRESS(ROW(DFLoan1!B$16),COLUMN(DFLoan1!B$16),4)</f>
        <v>B16</v>
      </c>
      <c r="C7519" t="str">
        <f>ADDRESS(ROW(DFLoan1!C$16),COLUMN(DFLoan1!C$16),4)</f>
        <v>C16</v>
      </c>
      <c r="D7519" t="b" cm="1">
        <f t="array" aca="1" ref="D7519" ca="1">IF(INDIRECT("'"&amp;A7519&amp;"'!"&amp;B7519)="",FALSE,IF(TRUNC(INDIRECT("'"&amp;A7519&amp;"'!"&amp;B7519))=INDIRECT("'"&amp;A7519&amp;"'!"&amp;B7519),FALSE,TRUE))</f>
        <v>0</v>
      </c>
      <c r="E7519" t="s">
        <v>436</v>
      </c>
      <c r="F7519" t="str">
        <f>INDEX(Lists!I:I,MATCH(Validation!E7519,Lists!G:G,0))</f>
        <v>Error</v>
      </c>
      <c r="G7519" t="str">
        <f>INDEX(Lists!H:H,MATCH(Validation!E7519,Lists!G:G,0))</f>
        <v>Amount must be rounded to the nearest dollar.</v>
      </c>
      <c r="H7519" s="16" t="str">
        <f t="shared" ca="1" si="840"/>
        <v/>
      </c>
      <c r="I7519" s="16" t="str">
        <f t="shared" ca="1" si="841"/>
        <v/>
      </c>
      <c r="J7519" s="17" t="str">
        <f t="shared" ca="1" si="842"/>
        <v/>
      </c>
    </row>
    <row r="7520" spans="1:10" x14ac:dyDescent="0.25">
      <c r="A7520" t="s">
        <v>962</v>
      </c>
      <c r="B7520" t="str">
        <f>ADDRESS(ROW(DFLoan1!B$16),COLUMN(DFLoan1!B$16),4)</f>
        <v>B16</v>
      </c>
      <c r="C7520" t="str">
        <f>ADDRESS(ROW(DFLoan1!C$16),COLUMN(DFLoan1!C$16),4)</f>
        <v>C16</v>
      </c>
      <c r="D7520" t="b" cm="1">
        <f t="array" aca="1" ref="D7520" ca="1">IF(INDIRECT("'"&amp;A7520&amp;"'!"&amp;B7520)="",FALSE,IF(TRUNC(INDIRECT("'"&amp;A7520&amp;"'!"&amp;B7520))=INDIRECT("'"&amp;A7520&amp;"'!"&amp;B7520),FALSE,TRUE))</f>
        <v>0</v>
      </c>
      <c r="E7520" t="s">
        <v>436</v>
      </c>
      <c r="F7520" t="str">
        <f>INDEX(Lists!I:I,MATCH(Validation!E7520,Lists!G:G,0))</f>
        <v>Error</v>
      </c>
      <c r="G7520" t="str">
        <f>INDEX(Lists!H:H,MATCH(Validation!E7520,Lists!G:G,0))</f>
        <v>Amount must be rounded to the nearest dollar.</v>
      </c>
      <c r="H7520" s="16" t="str">
        <f t="shared" ca="1" si="840"/>
        <v/>
      </c>
      <c r="I7520" s="16" t="str">
        <f t="shared" ca="1" si="841"/>
        <v/>
      </c>
      <c r="J7520" s="17" t="str">
        <f t="shared" ca="1" si="842"/>
        <v/>
      </c>
    </row>
    <row r="7521" spans="1:10" x14ac:dyDescent="0.25">
      <c r="A7521" t="s">
        <v>963</v>
      </c>
      <c r="B7521" t="str">
        <f>ADDRESS(ROW(DFLoan1!B$16),COLUMN(DFLoan1!B$16),4)</f>
        <v>B16</v>
      </c>
      <c r="C7521" t="str">
        <f>ADDRESS(ROW(DFLoan1!C$16),COLUMN(DFLoan1!C$16),4)</f>
        <v>C16</v>
      </c>
      <c r="D7521" t="b" cm="1">
        <f t="array" aca="1" ref="D7521" ca="1">IF(INDIRECT("'"&amp;A7521&amp;"'!"&amp;B7521)="",FALSE,IF(TRUNC(INDIRECT("'"&amp;A7521&amp;"'!"&amp;B7521))=INDIRECT("'"&amp;A7521&amp;"'!"&amp;B7521),FALSE,TRUE))</f>
        <v>0</v>
      </c>
      <c r="E7521" t="s">
        <v>436</v>
      </c>
      <c r="F7521" t="str">
        <f>INDEX(Lists!I:I,MATCH(Validation!E7521,Lists!G:G,0))</f>
        <v>Error</v>
      </c>
      <c r="G7521" t="str">
        <f>INDEX(Lists!H:H,MATCH(Validation!E7521,Lists!G:G,0))</f>
        <v>Amount must be rounded to the nearest dollar.</v>
      </c>
      <c r="H7521" s="16" t="str">
        <f t="shared" ca="1" si="840"/>
        <v/>
      </c>
      <c r="I7521" s="16" t="str">
        <f t="shared" ca="1" si="841"/>
        <v/>
      </c>
      <c r="J7521" s="17" t="str">
        <f t="shared" ca="1" si="842"/>
        <v/>
      </c>
    </row>
    <row r="7522" spans="1:10" x14ac:dyDescent="0.25">
      <c r="A7522" t="s">
        <v>964</v>
      </c>
      <c r="B7522" t="str">
        <f>ADDRESS(ROW(DFLoan1!B$16),COLUMN(DFLoan1!B$16),4)</f>
        <v>B16</v>
      </c>
      <c r="C7522" t="str">
        <f>ADDRESS(ROW(DFLoan1!C$16),COLUMN(DFLoan1!C$16),4)</f>
        <v>C16</v>
      </c>
      <c r="D7522" t="b" cm="1">
        <f t="array" aca="1" ref="D7522" ca="1">IF(INDIRECT("'"&amp;A7522&amp;"'!"&amp;B7522)="",FALSE,IF(TRUNC(INDIRECT("'"&amp;A7522&amp;"'!"&amp;B7522))=INDIRECT("'"&amp;A7522&amp;"'!"&amp;B7522),FALSE,TRUE))</f>
        <v>0</v>
      </c>
      <c r="E7522" t="s">
        <v>436</v>
      </c>
      <c r="F7522" t="str">
        <f>INDEX(Lists!I:I,MATCH(Validation!E7522,Lists!G:G,0))</f>
        <v>Error</v>
      </c>
      <c r="G7522" t="str">
        <f>INDEX(Lists!H:H,MATCH(Validation!E7522,Lists!G:G,0))</f>
        <v>Amount must be rounded to the nearest dollar.</v>
      </c>
      <c r="H7522" s="16" t="str">
        <f t="shared" ca="1" si="840"/>
        <v/>
      </c>
      <c r="I7522" s="16" t="str">
        <f t="shared" ca="1" si="841"/>
        <v/>
      </c>
      <c r="J7522" s="17" t="str">
        <f t="shared" ca="1" si="842"/>
        <v/>
      </c>
    </row>
    <row r="7523" spans="1:10" x14ac:dyDescent="0.25">
      <c r="A7523" t="s">
        <v>965</v>
      </c>
      <c r="B7523" t="str">
        <f>ADDRESS(ROW(DFLoan1!B$16),COLUMN(DFLoan1!B$16),4)</f>
        <v>B16</v>
      </c>
      <c r="C7523" t="str">
        <f>ADDRESS(ROW(DFLoan1!C$16),COLUMN(DFLoan1!C$16),4)</f>
        <v>C16</v>
      </c>
      <c r="D7523" t="b" cm="1">
        <f t="array" aca="1" ref="D7523" ca="1">IF(INDIRECT("'"&amp;A7523&amp;"'!"&amp;B7523)="",FALSE,IF(TRUNC(INDIRECT("'"&amp;A7523&amp;"'!"&amp;B7523))=INDIRECT("'"&amp;A7523&amp;"'!"&amp;B7523),FALSE,TRUE))</f>
        <v>0</v>
      </c>
      <c r="E7523" t="s">
        <v>436</v>
      </c>
      <c r="F7523" t="str">
        <f>INDEX(Lists!I:I,MATCH(Validation!E7523,Lists!G:G,0))</f>
        <v>Error</v>
      </c>
      <c r="G7523" t="str">
        <f>INDEX(Lists!H:H,MATCH(Validation!E7523,Lists!G:G,0))</f>
        <v>Amount must be rounded to the nearest dollar.</v>
      </c>
      <c r="H7523" s="16" t="str">
        <f t="shared" ca="1" si="840"/>
        <v/>
      </c>
      <c r="I7523" s="16" t="str">
        <f t="shared" ca="1" si="841"/>
        <v/>
      </c>
      <c r="J7523" s="17" t="str">
        <f t="shared" ca="1" si="842"/>
        <v/>
      </c>
    </row>
    <row r="7524" spans="1:10" x14ac:dyDescent="0.25">
      <c r="A7524" t="s">
        <v>966</v>
      </c>
      <c r="B7524" t="str">
        <f>ADDRESS(ROW(DFLoan1!B$16),COLUMN(DFLoan1!B$16),4)</f>
        <v>B16</v>
      </c>
      <c r="C7524" t="str">
        <f>ADDRESS(ROW(DFLoan1!C$16),COLUMN(DFLoan1!C$16),4)</f>
        <v>C16</v>
      </c>
      <c r="D7524" t="b" cm="1">
        <f t="array" aca="1" ref="D7524" ca="1">IF(INDIRECT("'"&amp;A7524&amp;"'!"&amp;B7524)="",FALSE,IF(TRUNC(INDIRECT("'"&amp;A7524&amp;"'!"&amp;B7524))=INDIRECT("'"&amp;A7524&amp;"'!"&amp;B7524),FALSE,TRUE))</f>
        <v>0</v>
      </c>
      <c r="E7524" t="s">
        <v>436</v>
      </c>
      <c r="F7524" t="str">
        <f>INDEX(Lists!I:I,MATCH(Validation!E7524,Lists!G:G,0))</f>
        <v>Error</v>
      </c>
      <c r="G7524" t="str">
        <f>INDEX(Lists!H:H,MATCH(Validation!E7524,Lists!G:G,0))</f>
        <v>Amount must be rounded to the nearest dollar.</v>
      </c>
      <c r="H7524" s="16" t="str">
        <f t="shared" ca="1" si="840"/>
        <v/>
      </c>
      <c r="I7524" s="16" t="str">
        <f t="shared" ca="1" si="841"/>
        <v/>
      </c>
      <c r="J7524" s="17" t="str">
        <f t="shared" ca="1" si="842"/>
        <v/>
      </c>
    </row>
    <row r="7525" spans="1:10" x14ac:dyDescent="0.25">
      <c r="A7525" t="s">
        <v>881</v>
      </c>
      <c r="B7525" t="str">
        <f>ADDRESS(ROW(DFLoan1!B$17),COLUMN(DFLoan1!B$17),4)</f>
        <v>B17</v>
      </c>
      <c r="C7525" t="str">
        <f>ADDRESS(ROW(DFLoan1!C$17),COLUMN(DFLoan1!C$17),4)</f>
        <v>C17</v>
      </c>
      <c r="D7525" t="b" cm="1">
        <f t="array" aca="1" ref="D7525" ca="1">IF(INDIRECT("'"&amp;A7525&amp;"'!"&amp;B7525)="",FALSE,IF(NOT(ISNUMBER(INDIRECT("'"&amp;A7525&amp;"'!"&amp;B7525))),TRUE,FALSE))</f>
        <v>0</v>
      </c>
      <c r="E7525" t="s">
        <v>435</v>
      </c>
      <c r="F7525" t="str">
        <f>INDEX(Lists!I:I,MATCH(Validation!E7525,Lists!G:G,0))</f>
        <v>Error</v>
      </c>
      <c r="G7525" t="str">
        <f>INDEX(Lists!H:H,MATCH(Validation!E7525,Lists!G:G,0))</f>
        <v>Enter an amount only. Do not enter text or spaces.</v>
      </c>
      <c r="H7525" s="16" t="str">
        <f t="shared" ca="1" si="840"/>
        <v/>
      </c>
      <c r="I7525" s="16" t="str">
        <f t="shared" ca="1" si="841"/>
        <v/>
      </c>
      <c r="J7525" s="17" t="str">
        <f t="shared" ca="1" si="842"/>
        <v/>
      </c>
    </row>
    <row r="7526" spans="1:10" x14ac:dyDescent="0.25">
      <c r="A7526" t="s">
        <v>953</v>
      </c>
      <c r="B7526" t="str">
        <f>ADDRESS(ROW(DFLoan1!B$17),COLUMN(DFLoan1!B$17),4)</f>
        <v>B17</v>
      </c>
      <c r="C7526" t="str">
        <f>ADDRESS(ROW(DFLoan1!C$17),COLUMN(DFLoan1!C$17),4)</f>
        <v>C17</v>
      </c>
      <c r="D7526" t="b" cm="1">
        <f t="array" aca="1" ref="D7526" ca="1">IF(INDIRECT("'"&amp;A7526&amp;"'!"&amp;B7526)="",FALSE,IF(NOT(ISNUMBER(INDIRECT("'"&amp;A7526&amp;"'!"&amp;B7526))),TRUE,FALSE))</f>
        <v>0</v>
      </c>
      <c r="E7526" t="s">
        <v>435</v>
      </c>
      <c r="F7526" t="str">
        <f>INDEX(Lists!I:I,MATCH(Validation!E7526,Lists!G:G,0))</f>
        <v>Error</v>
      </c>
      <c r="G7526" t="str">
        <f>INDEX(Lists!H:H,MATCH(Validation!E7526,Lists!G:G,0))</f>
        <v>Enter an amount only. Do not enter text or spaces.</v>
      </c>
      <c r="H7526" s="16" t="str">
        <f t="shared" ca="1" si="840"/>
        <v/>
      </c>
      <c r="I7526" s="16" t="str">
        <f t="shared" ca="1" si="841"/>
        <v/>
      </c>
      <c r="J7526" s="17" t="str">
        <f t="shared" ca="1" si="842"/>
        <v/>
      </c>
    </row>
    <row r="7527" spans="1:10" x14ac:dyDescent="0.25">
      <c r="A7527" t="s">
        <v>954</v>
      </c>
      <c r="B7527" t="str">
        <f>ADDRESS(ROW(DFLoan1!B$17),COLUMN(DFLoan1!B$17),4)</f>
        <v>B17</v>
      </c>
      <c r="C7527" t="str">
        <f>ADDRESS(ROW(DFLoan1!C$17),COLUMN(DFLoan1!C$17),4)</f>
        <v>C17</v>
      </c>
      <c r="D7527" t="b" cm="1">
        <f t="array" aca="1" ref="D7527" ca="1">IF(INDIRECT("'"&amp;A7527&amp;"'!"&amp;B7527)="",FALSE,IF(NOT(ISNUMBER(INDIRECT("'"&amp;A7527&amp;"'!"&amp;B7527))),TRUE,FALSE))</f>
        <v>0</v>
      </c>
      <c r="E7527" t="s">
        <v>435</v>
      </c>
      <c r="F7527" t="str">
        <f>INDEX(Lists!I:I,MATCH(Validation!E7527,Lists!G:G,0))</f>
        <v>Error</v>
      </c>
      <c r="G7527" t="str">
        <f>INDEX(Lists!H:H,MATCH(Validation!E7527,Lists!G:G,0))</f>
        <v>Enter an amount only. Do not enter text or spaces.</v>
      </c>
      <c r="H7527" s="16" t="str">
        <f t="shared" ca="1" si="840"/>
        <v/>
      </c>
      <c r="I7527" s="16" t="str">
        <f t="shared" ca="1" si="841"/>
        <v/>
      </c>
      <c r="J7527" s="17" t="str">
        <f t="shared" ca="1" si="842"/>
        <v/>
      </c>
    </row>
    <row r="7528" spans="1:10" x14ac:dyDescent="0.25">
      <c r="A7528" t="s">
        <v>955</v>
      </c>
      <c r="B7528" t="str">
        <f>ADDRESS(ROW(DFLoan1!B$17),COLUMN(DFLoan1!B$17),4)</f>
        <v>B17</v>
      </c>
      <c r="C7528" t="str">
        <f>ADDRESS(ROW(DFLoan1!C$17),COLUMN(DFLoan1!C$17),4)</f>
        <v>C17</v>
      </c>
      <c r="D7528" t="b" cm="1">
        <f t="array" aca="1" ref="D7528" ca="1">IF(INDIRECT("'"&amp;A7528&amp;"'!"&amp;B7528)="",FALSE,IF(NOT(ISNUMBER(INDIRECT("'"&amp;A7528&amp;"'!"&amp;B7528))),TRUE,FALSE))</f>
        <v>0</v>
      </c>
      <c r="E7528" t="s">
        <v>435</v>
      </c>
      <c r="F7528" t="str">
        <f>INDEX(Lists!I:I,MATCH(Validation!E7528,Lists!G:G,0))</f>
        <v>Error</v>
      </c>
      <c r="G7528" t="str">
        <f>INDEX(Lists!H:H,MATCH(Validation!E7528,Lists!G:G,0))</f>
        <v>Enter an amount only. Do not enter text or spaces.</v>
      </c>
      <c r="H7528" s="16" t="str">
        <f t="shared" ca="1" si="840"/>
        <v/>
      </c>
      <c r="I7528" s="16" t="str">
        <f t="shared" ca="1" si="841"/>
        <v/>
      </c>
      <c r="J7528" s="17" t="str">
        <f t="shared" ca="1" si="842"/>
        <v/>
      </c>
    </row>
    <row r="7529" spans="1:10" x14ac:dyDescent="0.25">
      <c r="A7529" t="s">
        <v>956</v>
      </c>
      <c r="B7529" t="str">
        <f>ADDRESS(ROW(DFLoan1!B$17),COLUMN(DFLoan1!B$17),4)</f>
        <v>B17</v>
      </c>
      <c r="C7529" t="str">
        <f>ADDRESS(ROW(DFLoan1!C$17),COLUMN(DFLoan1!C$17),4)</f>
        <v>C17</v>
      </c>
      <c r="D7529" t="b" cm="1">
        <f t="array" aca="1" ref="D7529" ca="1">IF(INDIRECT("'"&amp;A7529&amp;"'!"&amp;B7529)="",FALSE,IF(NOT(ISNUMBER(INDIRECT("'"&amp;A7529&amp;"'!"&amp;B7529))),TRUE,FALSE))</f>
        <v>0</v>
      </c>
      <c r="E7529" t="s">
        <v>435</v>
      </c>
      <c r="F7529" t="str">
        <f>INDEX(Lists!I:I,MATCH(Validation!E7529,Lists!G:G,0))</f>
        <v>Error</v>
      </c>
      <c r="G7529" t="str">
        <f>INDEX(Lists!H:H,MATCH(Validation!E7529,Lists!G:G,0))</f>
        <v>Enter an amount only. Do not enter text or spaces.</v>
      </c>
      <c r="H7529" s="16" t="str">
        <f t="shared" ca="1" si="840"/>
        <v/>
      </c>
      <c r="I7529" s="16" t="str">
        <f t="shared" ca="1" si="841"/>
        <v/>
      </c>
      <c r="J7529" s="17" t="str">
        <f t="shared" ca="1" si="842"/>
        <v/>
      </c>
    </row>
    <row r="7530" spans="1:10" x14ac:dyDescent="0.25">
      <c r="A7530" t="s">
        <v>957</v>
      </c>
      <c r="B7530" t="str">
        <f>ADDRESS(ROW(DFLoan1!B$17),COLUMN(DFLoan1!B$17),4)</f>
        <v>B17</v>
      </c>
      <c r="C7530" t="str">
        <f>ADDRESS(ROW(DFLoan1!C$17),COLUMN(DFLoan1!C$17),4)</f>
        <v>C17</v>
      </c>
      <c r="D7530" t="b" cm="1">
        <f t="array" aca="1" ref="D7530" ca="1">IF(INDIRECT("'"&amp;A7530&amp;"'!"&amp;B7530)="",FALSE,IF(NOT(ISNUMBER(INDIRECT("'"&amp;A7530&amp;"'!"&amp;B7530))),TRUE,FALSE))</f>
        <v>0</v>
      </c>
      <c r="E7530" t="s">
        <v>435</v>
      </c>
      <c r="F7530" t="str">
        <f>INDEX(Lists!I:I,MATCH(Validation!E7530,Lists!G:G,0))</f>
        <v>Error</v>
      </c>
      <c r="G7530" t="str">
        <f>INDEX(Lists!H:H,MATCH(Validation!E7530,Lists!G:G,0))</f>
        <v>Enter an amount only. Do not enter text or spaces.</v>
      </c>
      <c r="H7530" s="16" t="str">
        <f t="shared" ca="1" si="840"/>
        <v/>
      </c>
      <c r="I7530" s="16" t="str">
        <f t="shared" ca="1" si="841"/>
        <v/>
      </c>
      <c r="J7530" s="17" t="str">
        <f t="shared" ca="1" si="842"/>
        <v/>
      </c>
    </row>
    <row r="7531" spans="1:10" x14ac:dyDescent="0.25">
      <c r="A7531" t="s">
        <v>958</v>
      </c>
      <c r="B7531" t="str">
        <f>ADDRESS(ROW(DFLoan1!B$17),COLUMN(DFLoan1!B$17),4)</f>
        <v>B17</v>
      </c>
      <c r="C7531" t="str">
        <f>ADDRESS(ROW(DFLoan1!C$17),COLUMN(DFLoan1!C$17),4)</f>
        <v>C17</v>
      </c>
      <c r="D7531" t="b" cm="1">
        <f t="array" aca="1" ref="D7531" ca="1">IF(INDIRECT("'"&amp;A7531&amp;"'!"&amp;B7531)="",FALSE,IF(NOT(ISNUMBER(INDIRECT("'"&amp;A7531&amp;"'!"&amp;B7531))),TRUE,FALSE))</f>
        <v>0</v>
      </c>
      <c r="E7531" t="s">
        <v>435</v>
      </c>
      <c r="F7531" t="str">
        <f>INDEX(Lists!I:I,MATCH(Validation!E7531,Lists!G:G,0))</f>
        <v>Error</v>
      </c>
      <c r="G7531" t="str">
        <f>INDEX(Lists!H:H,MATCH(Validation!E7531,Lists!G:G,0))</f>
        <v>Enter an amount only. Do not enter text or spaces.</v>
      </c>
      <c r="H7531" s="16" t="str">
        <f t="shared" ca="1" si="840"/>
        <v/>
      </c>
      <c r="I7531" s="16" t="str">
        <f t="shared" ca="1" si="841"/>
        <v/>
      </c>
      <c r="J7531" s="17" t="str">
        <f t="shared" ca="1" si="842"/>
        <v/>
      </c>
    </row>
    <row r="7532" spans="1:10" x14ac:dyDescent="0.25">
      <c r="A7532" t="s">
        <v>959</v>
      </c>
      <c r="B7532" t="str">
        <f>ADDRESS(ROW(DFLoan1!B$17),COLUMN(DFLoan1!B$17),4)</f>
        <v>B17</v>
      </c>
      <c r="C7532" t="str">
        <f>ADDRESS(ROW(DFLoan1!C$17),COLUMN(DFLoan1!C$17),4)</f>
        <v>C17</v>
      </c>
      <c r="D7532" t="b" cm="1">
        <f t="array" aca="1" ref="D7532" ca="1">IF(INDIRECT("'"&amp;A7532&amp;"'!"&amp;B7532)="",FALSE,IF(NOT(ISNUMBER(INDIRECT("'"&amp;A7532&amp;"'!"&amp;B7532))),TRUE,FALSE))</f>
        <v>0</v>
      </c>
      <c r="E7532" t="s">
        <v>435</v>
      </c>
      <c r="F7532" t="str">
        <f>INDEX(Lists!I:I,MATCH(Validation!E7532,Lists!G:G,0))</f>
        <v>Error</v>
      </c>
      <c r="G7532" t="str">
        <f>INDEX(Lists!H:H,MATCH(Validation!E7532,Lists!G:G,0))</f>
        <v>Enter an amount only. Do not enter text or spaces.</v>
      </c>
      <c r="H7532" s="16" t="str">
        <f t="shared" ca="1" si="840"/>
        <v/>
      </c>
      <c r="I7532" s="16" t="str">
        <f t="shared" ca="1" si="841"/>
        <v/>
      </c>
      <c r="J7532" s="17" t="str">
        <f t="shared" ca="1" si="842"/>
        <v/>
      </c>
    </row>
    <row r="7533" spans="1:10" x14ac:dyDescent="0.25">
      <c r="A7533" t="s">
        <v>960</v>
      </c>
      <c r="B7533" t="str">
        <f>ADDRESS(ROW(DFLoan1!B$17),COLUMN(DFLoan1!B$17),4)</f>
        <v>B17</v>
      </c>
      <c r="C7533" t="str">
        <f>ADDRESS(ROW(DFLoan1!C$17),COLUMN(DFLoan1!C$17),4)</f>
        <v>C17</v>
      </c>
      <c r="D7533" t="b" cm="1">
        <f t="array" aca="1" ref="D7533" ca="1">IF(INDIRECT("'"&amp;A7533&amp;"'!"&amp;B7533)="",FALSE,IF(NOT(ISNUMBER(INDIRECT("'"&amp;A7533&amp;"'!"&amp;B7533))),TRUE,FALSE))</f>
        <v>0</v>
      </c>
      <c r="E7533" t="s">
        <v>435</v>
      </c>
      <c r="F7533" t="str">
        <f>INDEX(Lists!I:I,MATCH(Validation!E7533,Lists!G:G,0))</f>
        <v>Error</v>
      </c>
      <c r="G7533" t="str">
        <f>INDEX(Lists!H:H,MATCH(Validation!E7533,Lists!G:G,0))</f>
        <v>Enter an amount only. Do not enter text or spaces.</v>
      </c>
      <c r="H7533" s="16" t="str">
        <f t="shared" ca="1" si="840"/>
        <v/>
      </c>
      <c r="I7533" s="16" t="str">
        <f t="shared" ca="1" si="841"/>
        <v/>
      </c>
      <c r="J7533" s="17" t="str">
        <f t="shared" ca="1" si="842"/>
        <v/>
      </c>
    </row>
    <row r="7534" spans="1:10" x14ac:dyDescent="0.25">
      <c r="A7534" t="s">
        <v>961</v>
      </c>
      <c r="B7534" t="str">
        <f>ADDRESS(ROW(DFLoan1!B$17),COLUMN(DFLoan1!B$17),4)</f>
        <v>B17</v>
      </c>
      <c r="C7534" t="str">
        <f>ADDRESS(ROW(DFLoan1!C$17),COLUMN(DFLoan1!C$17),4)</f>
        <v>C17</v>
      </c>
      <c r="D7534" t="b" cm="1">
        <f t="array" aca="1" ref="D7534" ca="1">IF(INDIRECT("'"&amp;A7534&amp;"'!"&amp;B7534)="",FALSE,IF(NOT(ISNUMBER(INDIRECT("'"&amp;A7534&amp;"'!"&amp;B7534))),TRUE,FALSE))</f>
        <v>0</v>
      </c>
      <c r="E7534" t="s">
        <v>435</v>
      </c>
      <c r="F7534" t="str">
        <f>INDEX(Lists!I:I,MATCH(Validation!E7534,Lists!G:G,0))</f>
        <v>Error</v>
      </c>
      <c r="G7534" t="str">
        <f>INDEX(Lists!H:H,MATCH(Validation!E7534,Lists!G:G,0))</f>
        <v>Enter an amount only. Do not enter text or spaces.</v>
      </c>
      <c r="H7534" s="16" t="str">
        <f t="shared" ca="1" si="840"/>
        <v/>
      </c>
      <c r="I7534" s="16" t="str">
        <f t="shared" ca="1" si="841"/>
        <v/>
      </c>
      <c r="J7534" s="17" t="str">
        <f t="shared" ca="1" si="842"/>
        <v/>
      </c>
    </row>
    <row r="7535" spans="1:10" x14ac:dyDescent="0.25">
      <c r="A7535" t="s">
        <v>962</v>
      </c>
      <c r="B7535" t="str">
        <f>ADDRESS(ROW(DFLoan1!B$17),COLUMN(DFLoan1!B$17),4)</f>
        <v>B17</v>
      </c>
      <c r="C7535" t="str">
        <f>ADDRESS(ROW(DFLoan1!C$17),COLUMN(DFLoan1!C$17),4)</f>
        <v>C17</v>
      </c>
      <c r="D7535" t="b" cm="1">
        <f t="array" aca="1" ref="D7535" ca="1">IF(INDIRECT("'"&amp;A7535&amp;"'!"&amp;B7535)="",FALSE,IF(NOT(ISNUMBER(INDIRECT("'"&amp;A7535&amp;"'!"&amp;B7535))),TRUE,FALSE))</f>
        <v>0</v>
      </c>
      <c r="E7535" t="s">
        <v>435</v>
      </c>
      <c r="F7535" t="str">
        <f>INDEX(Lists!I:I,MATCH(Validation!E7535,Lists!G:G,0))</f>
        <v>Error</v>
      </c>
      <c r="G7535" t="str">
        <f>INDEX(Lists!H:H,MATCH(Validation!E7535,Lists!G:G,0))</f>
        <v>Enter an amount only. Do not enter text or spaces.</v>
      </c>
      <c r="H7535" s="16" t="str">
        <f t="shared" ca="1" si="840"/>
        <v/>
      </c>
      <c r="I7535" s="16" t="str">
        <f t="shared" ca="1" si="841"/>
        <v/>
      </c>
      <c r="J7535" s="17" t="str">
        <f t="shared" ca="1" si="842"/>
        <v/>
      </c>
    </row>
    <row r="7536" spans="1:10" x14ac:dyDescent="0.25">
      <c r="A7536" t="s">
        <v>963</v>
      </c>
      <c r="B7536" t="str">
        <f>ADDRESS(ROW(DFLoan1!B$17),COLUMN(DFLoan1!B$17),4)</f>
        <v>B17</v>
      </c>
      <c r="C7536" t="str">
        <f>ADDRESS(ROW(DFLoan1!C$17),COLUMN(DFLoan1!C$17),4)</f>
        <v>C17</v>
      </c>
      <c r="D7536" t="b" cm="1">
        <f t="array" aca="1" ref="D7536" ca="1">IF(INDIRECT("'"&amp;A7536&amp;"'!"&amp;B7536)="",FALSE,IF(NOT(ISNUMBER(INDIRECT("'"&amp;A7536&amp;"'!"&amp;B7536))),TRUE,FALSE))</f>
        <v>0</v>
      </c>
      <c r="E7536" t="s">
        <v>435</v>
      </c>
      <c r="F7536" t="str">
        <f>INDEX(Lists!I:I,MATCH(Validation!E7536,Lists!G:G,0))</f>
        <v>Error</v>
      </c>
      <c r="G7536" t="str">
        <f>INDEX(Lists!H:H,MATCH(Validation!E7536,Lists!G:G,0))</f>
        <v>Enter an amount only. Do not enter text or spaces.</v>
      </c>
      <c r="H7536" s="16" t="str">
        <f t="shared" ca="1" si="840"/>
        <v/>
      </c>
      <c r="I7536" s="16" t="str">
        <f t="shared" ca="1" si="841"/>
        <v/>
      </c>
      <c r="J7536" s="17" t="str">
        <f t="shared" ca="1" si="842"/>
        <v/>
      </c>
    </row>
    <row r="7537" spans="1:10" x14ac:dyDescent="0.25">
      <c r="A7537" t="s">
        <v>964</v>
      </c>
      <c r="B7537" t="str">
        <f>ADDRESS(ROW(DFLoan1!B$17),COLUMN(DFLoan1!B$17),4)</f>
        <v>B17</v>
      </c>
      <c r="C7537" t="str">
        <f>ADDRESS(ROW(DFLoan1!C$17),COLUMN(DFLoan1!C$17),4)</f>
        <v>C17</v>
      </c>
      <c r="D7537" t="b" cm="1">
        <f t="array" aca="1" ref="D7537" ca="1">IF(INDIRECT("'"&amp;A7537&amp;"'!"&amp;B7537)="",FALSE,IF(NOT(ISNUMBER(INDIRECT("'"&amp;A7537&amp;"'!"&amp;B7537))),TRUE,FALSE))</f>
        <v>0</v>
      </c>
      <c r="E7537" t="s">
        <v>435</v>
      </c>
      <c r="F7537" t="str">
        <f>INDEX(Lists!I:I,MATCH(Validation!E7537,Lists!G:G,0))</f>
        <v>Error</v>
      </c>
      <c r="G7537" t="str">
        <f>INDEX(Lists!H:H,MATCH(Validation!E7537,Lists!G:G,0))</f>
        <v>Enter an amount only. Do not enter text or spaces.</v>
      </c>
      <c r="H7537" s="16" t="str">
        <f t="shared" ca="1" si="840"/>
        <v/>
      </c>
      <c r="I7537" s="16" t="str">
        <f t="shared" ca="1" si="841"/>
        <v/>
      </c>
      <c r="J7537" s="17" t="str">
        <f t="shared" ca="1" si="842"/>
        <v/>
      </c>
    </row>
    <row r="7538" spans="1:10" x14ac:dyDescent="0.25">
      <c r="A7538" t="s">
        <v>965</v>
      </c>
      <c r="B7538" t="str">
        <f>ADDRESS(ROW(DFLoan1!B$17),COLUMN(DFLoan1!B$17),4)</f>
        <v>B17</v>
      </c>
      <c r="C7538" t="str">
        <f>ADDRESS(ROW(DFLoan1!C$17),COLUMN(DFLoan1!C$17),4)</f>
        <v>C17</v>
      </c>
      <c r="D7538" t="b" cm="1">
        <f t="array" aca="1" ref="D7538" ca="1">IF(INDIRECT("'"&amp;A7538&amp;"'!"&amp;B7538)="",FALSE,IF(NOT(ISNUMBER(INDIRECT("'"&amp;A7538&amp;"'!"&amp;B7538))),TRUE,FALSE))</f>
        <v>0</v>
      </c>
      <c r="E7538" t="s">
        <v>435</v>
      </c>
      <c r="F7538" t="str">
        <f>INDEX(Lists!I:I,MATCH(Validation!E7538,Lists!G:G,0))</f>
        <v>Error</v>
      </c>
      <c r="G7538" t="str">
        <f>INDEX(Lists!H:H,MATCH(Validation!E7538,Lists!G:G,0))</f>
        <v>Enter an amount only. Do not enter text or spaces.</v>
      </c>
      <c r="H7538" s="16" t="str">
        <f t="shared" ca="1" si="840"/>
        <v/>
      </c>
      <c r="I7538" s="16" t="str">
        <f t="shared" ca="1" si="841"/>
        <v/>
      </c>
      <c r="J7538" s="17" t="str">
        <f t="shared" ca="1" si="842"/>
        <v/>
      </c>
    </row>
    <row r="7539" spans="1:10" x14ac:dyDescent="0.25">
      <c r="A7539" t="s">
        <v>966</v>
      </c>
      <c r="B7539" t="str">
        <f>ADDRESS(ROW(DFLoan1!B$17),COLUMN(DFLoan1!B$17),4)</f>
        <v>B17</v>
      </c>
      <c r="C7539" t="str">
        <f>ADDRESS(ROW(DFLoan1!C$17),COLUMN(DFLoan1!C$17),4)</f>
        <v>C17</v>
      </c>
      <c r="D7539" t="b" cm="1">
        <f t="array" aca="1" ref="D7539" ca="1">IF(INDIRECT("'"&amp;A7539&amp;"'!"&amp;B7539)="",FALSE,IF(NOT(ISNUMBER(INDIRECT("'"&amp;A7539&amp;"'!"&amp;B7539))),TRUE,FALSE))</f>
        <v>0</v>
      </c>
      <c r="E7539" t="s">
        <v>435</v>
      </c>
      <c r="F7539" t="str">
        <f>INDEX(Lists!I:I,MATCH(Validation!E7539,Lists!G:G,0))</f>
        <v>Error</v>
      </c>
      <c r="G7539" t="str">
        <f>INDEX(Lists!H:H,MATCH(Validation!E7539,Lists!G:G,0))</f>
        <v>Enter an amount only. Do not enter text or spaces.</v>
      </c>
      <c r="H7539" s="16" t="str">
        <f t="shared" ca="1" si="840"/>
        <v/>
      </c>
      <c r="I7539" s="16" t="str">
        <f t="shared" ca="1" si="841"/>
        <v/>
      </c>
      <c r="J7539" s="17" t="str">
        <f t="shared" ca="1" si="842"/>
        <v/>
      </c>
    </row>
    <row r="7540" spans="1:10" x14ac:dyDescent="0.25">
      <c r="A7540" t="s">
        <v>881</v>
      </c>
      <c r="B7540" t="str">
        <f>ADDRESS(ROW(DFLoan1!B$17),COLUMN(DFLoan1!B$17),4)</f>
        <v>B17</v>
      </c>
      <c r="C7540" t="str">
        <f>ADDRESS(ROW(DFLoan1!C$17),COLUMN(DFLoan1!C$17),4)</f>
        <v>C17</v>
      </c>
      <c r="D7540" t="b" cm="1">
        <f t="array" aca="1" ref="D7540" ca="1">IF(INDIRECT("'"&amp;A7540&amp;"'!"&amp;B7540)="",FALSE,IF(INDIRECT("'"&amp;A7540&amp;"'!"&amp;B7540)&lt;0,TRUE,FALSE))</f>
        <v>0</v>
      </c>
      <c r="E7540" t="s">
        <v>434</v>
      </c>
      <c r="F7540" t="str">
        <f>INDEX(Lists!I:I,MATCH(Validation!E7540,Lists!G:G,0))</f>
        <v>Error</v>
      </c>
      <c r="G7540" t="str">
        <f>INDEX(Lists!H:H,MATCH(Validation!E7540,Lists!G:G,0))</f>
        <v>Amount may not be negative. Enter an amount greater than or equal to zero.</v>
      </c>
      <c r="H7540" s="16" t="str">
        <f t="shared" ca="1" si="840"/>
        <v/>
      </c>
      <c r="I7540" s="16" t="str">
        <f t="shared" ca="1" si="841"/>
        <v/>
      </c>
      <c r="J7540" s="17" t="str">
        <f t="shared" ca="1" si="842"/>
        <v/>
      </c>
    </row>
    <row r="7541" spans="1:10" x14ac:dyDescent="0.25">
      <c r="A7541" t="s">
        <v>953</v>
      </c>
      <c r="B7541" t="str">
        <f>ADDRESS(ROW(DFLoan1!B$17),COLUMN(DFLoan1!B$17),4)</f>
        <v>B17</v>
      </c>
      <c r="C7541" t="str">
        <f>ADDRESS(ROW(DFLoan1!C$17),COLUMN(DFLoan1!C$17),4)</f>
        <v>C17</v>
      </c>
      <c r="D7541" t="b" cm="1">
        <f t="array" aca="1" ref="D7541" ca="1">IF(INDIRECT("'"&amp;A7541&amp;"'!"&amp;B7541)="",FALSE,IF(INDIRECT("'"&amp;A7541&amp;"'!"&amp;B7541)&lt;0,TRUE,FALSE))</f>
        <v>0</v>
      </c>
      <c r="E7541" t="s">
        <v>434</v>
      </c>
      <c r="F7541" t="str">
        <f>INDEX(Lists!I:I,MATCH(Validation!E7541,Lists!G:G,0))</f>
        <v>Error</v>
      </c>
      <c r="G7541" t="str">
        <f>INDEX(Lists!H:H,MATCH(Validation!E7541,Lists!G:G,0))</f>
        <v>Amount may not be negative. Enter an amount greater than or equal to zero.</v>
      </c>
      <c r="H7541" s="16" t="str">
        <f t="shared" ca="1" si="840"/>
        <v/>
      </c>
      <c r="I7541" s="16" t="str">
        <f t="shared" ca="1" si="841"/>
        <v/>
      </c>
      <c r="J7541" s="17" t="str">
        <f t="shared" ca="1" si="842"/>
        <v/>
      </c>
    </row>
    <row r="7542" spans="1:10" x14ac:dyDescent="0.25">
      <c r="A7542" t="s">
        <v>954</v>
      </c>
      <c r="B7542" t="str">
        <f>ADDRESS(ROW(DFLoan1!B$17),COLUMN(DFLoan1!B$17),4)</f>
        <v>B17</v>
      </c>
      <c r="C7542" t="str">
        <f>ADDRESS(ROW(DFLoan1!C$17),COLUMN(DFLoan1!C$17),4)</f>
        <v>C17</v>
      </c>
      <c r="D7542" t="b" cm="1">
        <f t="array" aca="1" ref="D7542" ca="1">IF(INDIRECT("'"&amp;A7542&amp;"'!"&amp;B7542)="",FALSE,IF(INDIRECT("'"&amp;A7542&amp;"'!"&amp;B7542)&lt;0,TRUE,FALSE))</f>
        <v>0</v>
      </c>
      <c r="E7542" t="s">
        <v>434</v>
      </c>
      <c r="F7542" t="str">
        <f>INDEX(Lists!I:I,MATCH(Validation!E7542,Lists!G:G,0))</f>
        <v>Error</v>
      </c>
      <c r="G7542" t="str">
        <f>INDEX(Lists!H:H,MATCH(Validation!E7542,Lists!G:G,0))</f>
        <v>Amount may not be negative. Enter an amount greater than or equal to zero.</v>
      </c>
      <c r="H7542" s="16" t="str">
        <f t="shared" ca="1" si="840"/>
        <v/>
      </c>
      <c r="I7542" s="16" t="str">
        <f t="shared" ca="1" si="841"/>
        <v/>
      </c>
      <c r="J7542" s="17" t="str">
        <f t="shared" ca="1" si="842"/>
        <v/>
      </c>
    </row>
    <row r="7543" spans="1:10" x14ac:dyDescent="0.25">
      <c r="A7543" t="s">
        <v>955</v>
      </c>
      <c r="B7543" t="str">
        <f>ADDRESS(ROW(DFLoan1!B$17),COLUMN(DFLoan1!B$17),4)</f>
        <v>B17</v>
      </c>
      <c r="C7543" t="str">
        <f>ADDRESS(ROW(DFLoan1!C$17),COLUMN(DFLoan1!C$17),4)</f>
        <v>C17</v>
      </c>
      <c r="D7543" t="b" cm="1">
        <f t="array" aca="1" ref="D7543" ca="1">IF(INDIRECT("'"&amp;A7543&amp;"'!"&amp;B7543)="",FALSE,IF(INDIRECT("'"&amp;A7543&amp;"'!"&amp;B7543)&lt;0,TRUE,FALSE))</f>
        <v>0</v>
      </c>
      <c r="E7543" t="s">
        <v>434</v>
      </c>
      <c r="F7543" t="str">
        <f>INDEX(Lists!I:I,MATCH(Validation!E7543,Lists!G:G,0))</f>
        <v>Error</v>
      </c>
      <c r="G7543" t="str">
        <f>INDEX(Lists!H:H,MATCH(Validation!E7543,Lists!G:G,0))</f>
        <v>Amount may not be negative. Enter an amount greater than or equal to zero.</v>
      </c>
      <c r="H7543" s="16" t="str">
        <f t="shared" ca="1" si="840"/>
        <v/>
      </c>
      <c r="I7543" s="16" t="str">
        <f t="shared" ca="1" si="841"/>
        <v/>
      </c>
      <c r="J7543" s="17" t="str">
        <f t="shared" ca="1" si="842"/>
        <v/>
      </c>
    </row>
    <row r="7544" spans="1:10" x14ac:dyDescent="0.25">
      <c r="A7544" t="s">
        <v>956</v>
      </c>
      <c r="B7544" t="str">
        <f>ADDRESS(ROW(DFLoan1!B$17),COLUMN(DFLoan1!B$17),4)</f>
        <v>B17</v>
      </c>
      <c r="C7544" t="str">
        <f>ADDRESS(ROW(DFLoan1!C$17),COLUMN(DFLoan1!C$17),4)</f>
        <v>C17</v>
      </c>
      <c r="D7544" t="b" cm="1">
        <f t="array" aca="1" ref="D7544" ca="1">IF(INDIRECT("'"&amp;A7544&amp;"'!"&amp;B7544)="",FALSE,IF(INDIRECT("'"&amp;A7544&amp;"'!"&amp;B7544)&lt;0,TRUE,FALSE))</f>
        <v>0</v>
      </c>
      <c r="E7544" t="s">
        <v>434</v>
      </c>
      <c r="F7544" t="str">
        <f>INDEX(Lists!I:I,MATCH(Validation!E7544,Lists!G:G,0))</f>
        <v>Error</v>
      </c>
      <c r="G7544" t="str">
        <f>INDEX(Lists!H:H,MATCH(Validation!E7544,Lists!G:G,0))</f>
        <v>Amount may not be negative. Enter an amount greater than or equal to zero.</v>
      </c>
      <c r="H7544" s="16" t="str">
        <f t="shared" ca="1" si="840"/>
        <v/>
      </c>
      <c r="I7544" s="16" t="str">
        <f t="shared" ca="1" si="841"/>
        <v/>
      </c>
      <c r="J7544" s="17" t="str">
        <f t="shared" ca="1" si="842"/>
        <v/>
      </c>
    </row>
    <row r="7545" spans="1:10" x14ac:dyDescent="0.25">
      <c r="A7545" t="s">
        <v>957</v>
      </c>
      <c r="B7545" t="str">
        <f>ADDRESS(ROW(DFLoan1!B$17),COLUMN(DFLoan1!B$17),4)</f>
        <v>B17</v>
      </c>
      <c r="C7545" t="str">
        <f>ADDRESS(ROW(DFLoan1!C$17),COLUMN(DFLoan1!C$17),4)</f>
        <v>C17</v>
      </c>
      <c r="D7545" t="b" cm="1">
        <f t="array" aca="1" ref="D7545" ca="1">IF(INDIRECT("'"&amp;A7545&amp;"'!"&amp;B7545)="",FALSE,IF(INDIRECT("'"&amp;A7545&amp;"'!"&amp;B7545)&lt;0,TRUE,FALSE))</f>
        <v>0</v>
      </c>
      <c r="E7545" t="s">
        <v>434</v>
      </c>
      <c r="F7545" t="str">
        <f>INDEX(Lists!I:I,MATCH(Validation!E7545,Lists!G:G,0))</f>
        <v>Error</v>
      </c>
      <c r="G7545" t="str">
        <f>INDEX(Lists!H:H,MATCH(Validation!E7545,Lists!G:G,0))</f>
        <v>Amount may not be negative. Enter an amount greater than or equal to zero.</v>
      </c>
      <c r="H7545" s="16" t="str">
        <f t="shared" ca="1" si="840"/>
        <v/>
      </c>
      <c r="I7545" s="16" t="str">
        <f t="shared" ca="1" si="841"/>
        <v/>
      </c>
      <c r="J7545" s="17" t="str">
        <f t="shared" ca="1" si="842"/>
        <v/>
      </c>
    </row>
    <row r="7546" spans="1:10" x14ac:dyDescent="0.25">
      <c r="A7546" t="s">
        <v>958</v>
      </c>
      <c r="B7546" t="str">
        <f>ADDRESS(ROW(DFLoan1!B$17),COLUMN(DFLoan1!B$17),4)</f>
        <v>B17</v>
      </c>
      <c r="C7546" t="str">
        <f>ADDRESS(ROW(DFLoan1!C$17),COLUMN(DFLoan1!C$17),4)</f>
        <v>C17</v>
      </c>
      <c r="D7546" t="b" cm="1">
        <f t="array" aca="1" ref="D7546" ca="1">IF(INDIRECT("'"&amp;A7546&amp;"'!"&amp;B7546)="",FALSE,IF(INDIRECT("'"&amp;A7546&amp;"'!"&amp;B7546)&lt;0,TRUE,FALSE))</f>
        <v>0</v>
      </c>
      <c r="E7546" t="s">
        <v>434</v>
      </c>
      <c r="F7546" t="str">
        <f>INDEX(Lists!I:I,MATCH(Validation!E7546,Lists!G:G,0))</f>
        <v>Error</v>
      </c>
      <c r="G7546" t="str">
        <f>INDEX(Lists!H:H,MATCH(Validation!E7546,Lists!G:G,0))</f>
        <v>Amount may not be negative. Enter an amount greater than or equal to zero.</v>
      </c>
      <c r="H7546" s="16" t="str">
        <f t="shared" ca="1" si="840"/>
        <v/>
      </c>
      <c r="I7546" s="16" t="str">
        <f t="shared" ca="1" si="841"/>
        <v/>
      </c>
      <c r="J7546" s="17" t="str">
        <f t="shared" ca="1" si="842"/>
        <v/>
      </c>
    </row>
    <row r="7547" spans="1:10" x14ac:dyDescent="0.25">
      <c r="A7547" t="s">
        <v>959</v>
      </c>
      <c r="B7547" t="str">
        <f>ADDRESS(ROW(DFLoan1!B$17),COLUMN(DFLoan1!B$17),4)</f>
        <v>B17</v>
      </c>
      <c r="C7547" t="str">
        <f>ADDRESS(ROW(DFLoan1!C$17),COLUMN(DFLoan1!C$17),4)</f>
        <v>C17</v>
      </c>
      <c r="D7547" t="b" cm="1">
        <f t="array" aca="1" ref="D7547" ca="1">IF(INDIRECT("'"&amp;A7547&amp;"'!"&amp;B7547)="",FALSE,IF(INDIRECT("'"&amp;A7547&amp;"'!"&amp;B7547)&lt;0,TRUE,FALSE))</f>
        <v>0</v>
      </c>
      <c r="E7547" t="s">
        <v>434</v>
      </c>
      <c r="F7547" t="str">
        <f>INDEX(Lists!I:I,MATCH(Validation!E7547,Lists!G:G,0))</f>
        <v>Error</v>
      </c>
      <c r="G7547" t="str">
        <f>INDEX(Lists!H:H,MATCH(Validation!E7547,Lists!G:G,0))</f>
        <v>Amount may not be negative. Enter an amount greater than or equal to zero.</v>
      </c>
      <c r="H7547" s="16" t="str">
        <f t="shared" ca="1" si="840"/>
        <v/>
      </c>
      <c r="I7547" s="16" t="str">
        <f t="shared" ca="1" si="841"/>
        <v/>
      </c>
      <c r="J7547" s="17" t="str">
        <f t="shared" ca="1" si="842"/>
        <v/>
      </c>
    </row>
    <row r="7548" spans="1:10" x14ac:dyDescent="0.25">
      <c r="A7548" t="s">
        <v>960</v>
      </c>
      <c r="B7548" t="str">
        <f>ADDRESS(ROW(DFLoan1!B$17),COLUMN(DFLoan1!B$17),4)</f>
        <v>B17</v>
      </c>
      <c r="C7548" t="str">
        <f>ADDRESS(ROW(DFLoan1!C$17),COLUMN(DFLoan1!C$17),4)</f>
        <v>C17</v>
      </c>
      <c r="D7548" t="b" cm="1">
        <f t="array" aca="1" ref="D7548" ca="1">IF(INDIRECT("'"&amp;A7548&amp;"'!"&amp;B7548)="",FALSE,IF(INDIRECT("'"&amp;A7548&amp;"'!"&amp;B7548)&lt;0,TRUE,FALSE))</f>
        <v>0</v>
      </c>
      <c r="E7548" t="s">
        <v>434</v>
      </c>
      <c r="F7548" t="str">
        <f>INDEX(Lists!I:I,MATCH(Validation!E7548,Lists!G:G,0))</f>
        <v>Error</v>
      </c>
      <c r="G7548" t="str">
        <f>INDEX(Lists!H:H,MATCH(Validation!E7548,Lists!G:G,0))</f>
        <v>Amount may not be negative. Enter an amount greater than or equal to zero.</v>
      </c>
      <c r="H7548" s="16" t="str">
        <f t="shared" ca="1" si="840"/>
        <v/>
      </c>
      <c r="I7548" s="16" t="str">
        <f t="shared" ca="1" si="841"/>
        <v/>
      </c>
      <c r="J7548" s="17" t="str">
        <f t="shared" ca="1" si="842"/>
        <v/>
      </c>
    </row>
    <row r="7549" spans="1:10" x14ac:dyDescent="0.25">
      <c r="A7549" t="s">
        <v>961</v>
      </c>
      <c r="B7549" t="str">
        <f>ADDRESS(ROW(DFLoan1!B$17),COLUMN(DFLoan1!B$17),4)</f>
        <v>B17</v>
      </c>
      <c r="C7549" t="str">
        <f>ADDRESS(ROW(DFLoan1!C$17),COLUMN(DFLoan1!C$17),4)</f>
        <v>C17</v>
      </c>
      <c r="D7549" t="b" cm="1">
        <f t="array" aca="1" ref="D7549" ca="1">IF(INDIRECT("'"&amp;A7549&amp;"'!"&amp;B7549)="",FALSE,IF(INDIRECT("'"&amp;A7549&amp;"'!"&amp;B7549)&lt;0,TRUE,FALSE))</f>
        <v>0</v>
      </c>
      <c r="E7549" t="s">
        <v>434</v>
      </c>
      <c r="F7549" t="str">
        <f>INDEX(Lists!I:I,MATCH(Validation!E7549,Lists!G:G,0))</f>
        <v>Error</v>
      </c>
      <c r="G7549" t="str">
        <f>INDEX(Lists!H:H,MATCH(Validation!E7549,Lists!G:G,0))</f>
        <v>Amount may not be negative. Enter an amount greater than or equal to zero.</v>
      </c>
      <c r="H7549" s="16" t="str">
        <f t="shared" ca="1" si="840"/>
        <v/>
      </c>
      <c r="I7549" s="16" t="str">
        <f t="shared" ca="1" si="841"/>
        <v/>
      </c>
      <c r="J7549" s="17" t="str">
        <f t="shared" ca="1" si="842"/>
        <v/>
      </c>
    </row>
    <row r="7550" spans="1:10" x14ac:dyDescent="0.25">
      <c r="A7550" t="s">
        <v>962</v>
      </c>
      <c r="B7550" t="str">
        <f>ADDRESS(ROW(DFLoan1!B$17),COLUMN(DFLoan1!B$17),4)</f>
        <v>B17</v>
      </c>
      <c r="C7550" t="str">
        <f>ADDRESS(ROW(DFLoan1!C$17),COLUMN(DFLoan1!C$17),4)</f>
        <v>C17</v>
      </c>
      <c r="D7550" t="b" cm="1">
        <f t="array" aca="1" ref="D7550" ca="1">IF(INDIRECT("'"&amp;A7550&amp;"'!"&amp;B7550)="",FALSE,IF(INDIRECT("'"&amp;A7550&amp;"'!"&amp;B7550)&lt;0,TRUE,FALSE))</f>
        <v>0</v>
      </c>
      <c r="E7550" t="s">
        <v>434</v>
      </c>
      <c r="F7550" t="str">
        <f>INDEX(Lists!I:I,MATCH(Validation!E7550,Lists!G:G,0))</f>
        <v>Error</v>
      </c>
      <c r="G7550" t="str">
        <f>INDEX(Lists!H:H,MATCH(Validation!E7550,Lists!G:G,0))</f>
        <v>Amount may not be negative. Enter an amount greater than or equal to zero.</v>
      </c>
      <c r="H7550" s="16" t="str">
        <f t="shared" ca="1" si="840"/>
        <v/>
      </c>
      <c r="I7550" s="16" t="str">
        <f t="shared" ca="1" si="841"/>
        <v/>
      </c>
      <c r="J7550" s="17" t="str">
        <f t="shared" ca="1" si="842"/>
        <v/>
      </c>
    </row>
    <row r="7551" spans="1:10" x14ac:dyDescent="0.25">
      <c r="A7551" t="s">
        <v>963</v>
      </c>
      <c r="B7551" t="str">
        <f>ADDRESS(ROW(DFLoan1!B$17),COLUMN(DFLoan1!B$17),4)</f>
        <v>B17</v>
      </c>
      <c r="C7551" t="str">
        <f>ADDRESS(ROW(DFLoan1!C$17),COLUMN(DFLoan1!C$17),4)</f>
        <v>C17</v>
      </c>
      <c r="D7551" t="b" cm="1">
        <f t="array" aca="1" ref="D7551" ca="1">IF(INDIRECT("'"&amp;A7551&amp;"'!"&amp;B7551)="",FALSE,IF(INDIRECT("'"&amp;A7551&amp;"'!"&amp;B7551)&lt;0,TRUE,FALSE))</f>
        <v>0</v>
      </c>
      <c r="E7551" t="s">
        <v>434</v>
      </c>
      <c r="F7551" t="str">
        <f>INDEX(Lists!I:I,MATCH(Validation!E7551,Lists!G:G,0))</f>
        <v>Error</v>
      </c>
      <c r="G7551" t="str">
        <f>INDEX(Lists!H:H,MATCH(Validation!E7551,Lists!G:G,0))</f>
        <v>Amount may not be negative. Enter an amount greater than or equal to zero.</v>
      </c>
      <c r="H7551" s="16" t="str">
        <f t="shared" ca="1" si="840"/>
        <v/>
      </c>
      <c r="I7551" s="16" t="str">
        <f t="shared" ca="1" si="841"/>
        <v/>
      </c>
      <c r="J7551" s="17" t="str">
        <f t="shared" ca="1" si="842"/>
        <v/>
      </c>
    </row>
    <row r="7552" spans="1:10" x14ac:dyDescent="0.25">
      <c r="A7552" t="s">
        <v>964</v>
      </c>
      <c r="B7552" t="str">
        <f>ADDRESS(ROW(DFLoan1!B$17),COLUMN(DFLoan1!B$17),4)</f>
        <v>B17</v>
      </c>
      <c r="C7552" t="str">
        <f>ADDRESS(ROW(DFLoan1!C$17),COLUMN(DFLoan1!C$17),4)</f>
        <v>C17</v>
      </c>
      <c r="D7552" t="b" cm="1">
        <f t="array" aca="1" ref="D7552" ca="1">IF(INDIRECT("'"&amp;A7552&amp;"'!"&amp;B7552)="",FALSE,IF(INDIRECT("'"&amp;A7552&amp;"'!"&amp;B7552)&lt;0,TRUE,FALSE))</f>
        <v>0</v>
      </c>
      <c r="E7552" t="s">
        <v>434</v>
      </c>
      <c r="F7552" t="str">
        <f>INDEX(Lists!I:I,MATCH(Validation!E7552,Lists!G:G,0))</f>
        <v>Error</v>
      </c>
      <c r="G7552" t="str">
        <f>INDEX(Lists!H:H,MATCH(Validation!E7552,Lists!G:G,0))</f>
        <v>Amount may not be negative. Enter an amount greater than or equal to zero.</v>
      </c>
      <c r="H7552" s="16" t="str">
        <f t="shared" ca="1" si="840"/>
        <v/>
      </c>
      <c r="I7552" s="16" t="str">
        <f t="shared" ca="1" si="841"/>
        <v/>
      </c>
      <c r="J7552" s="17" t="str">
        <f t="shared" ca="1" si="842"/>
        <v/>
      </c>
    </row>
    <row r="7553" spans="1:10" x14ac:dyDescent="0.25">
      <c r="A7553" t="s">
        <v>965</v>
      </c>
      <c r="B7553" t="str">
        <f>ADDRESS(ROW(DFLoan1!B$17),COLUMN(DFLoan1!B$17),4)</f>
        <v>B17</v>
      </c>
      <c r="C7553" t="str">
        <f>ADDRESS(ROW(DFLoan1!C$17),COLUMN(DFLoan1!C$17),4)</f>
        <v>C17</v>
      </c>
      <c r="D7553" t="b" cm="1">
        <f t="array" aca="1" ref="D7553" ca="1">IF(INDIRECT("'"&amp;A7553&amp;"'!"&amp;B7553)="",FALSE,IF(INDIRECT("'"&amp;A7553&amp;"'!"&amp;B7553)&lt;0,TRUE,FALSE))</f>
        <v>0</v>
      </c>
      <c r="E7553" t="s">
        <v>434</v>
      </c>
      <c r="F7553" t="str">
        <f>INDEX(Lists!I:I,MATCH(Validation!E7553,Lists!G:G,0))</f>
        <v>Error</v>
      </c>
      <c r="G7553" t="str">
        <f>INDEX(Lists!H:H,MATCH(Validation!E7553,Lists!G:G,0))</f>
        <v>Amount may not be negative. Enter an amount greater than or equal to zero.</v>
      </c>
      <c r="H7553" s="16" t="str">
        <f t="shared" ca="1" si="840"/>
        <v/>
      </c>
      <c r="I7553" s="16" t="str">
        <f t="shared" ca="1" si="841"/>
        <v/>
      </c>
      <c r="J7553" s="17" t="str">
        <f t="shared" ca="1" si="842"/>
        <v/>
      </c>
    </row>
    <row r="7554" spans="1:10" x14ac:dyDescent="0.25">
      <c r="A7554" t="s">
        <v>966</v>
      </c>
      <c r="B7554" t="str">
        <f>ADDRESS(ROW(DFLoan1!B$17),COLUMN(DFLoan1!B$17),4)</f>
        <v>B17</v>
      </c>
      <c r="C7554" t="str">
        <f>ADDRESS(ROW(DFLoan1!C$17),COLUMN(DFLoan1!C$17),4)</f>
        <v>C17</v>
      </c>
      <c r="D7554" t="b" cm="1">
        <f t="array" aca="1" ref="D7554" ca="1">IF(INDIRECT("'"&amp;A7554&amp;"'!"&amp;B7554)="",FALSE,IF(INDIRECT("'"&amp;A7554&amp;"'!"&amp;B7554)&lt;0,TRUE,FALSE))</f>
        <v>0</v>
      </c>
      <c r="E7554" t="s">
        <v>434</v>
      </c>
      <c r="F7554" t="str">
        <f>INDEX(Lists!I:I,MATCH(Validation!E7554,Lists!G:G,0))</f>
        <v>Error</v>
      </c>
      <c r="G7554" t="str">
        <f>INDEX(Lists!H:H,MATCH(Validation!E7554,Lists!G:G,0))</f>
        <v>Amount may not be negative. Enter an amount greater than or equal to zero.</v>
      </c>
      <c r="H7554" s="16" t="str">
        <f t="shared" ca="1" si="840"/>
        <v/>
      </c>
      <c r="I7554" s="16" t="str">
        <f t="shared" ca="1" si="841"/>
        <v/>
      </c>
      <c r="J7554" s="17" t="str">
        <f t="shared" ca="1" si="842"/>
        <v/>
      </c>
    </row>
    <row r="7555" spans="1:10" x14ac:dyDescent="0.25">
      <c r="A7555" t="s">
        <v>881</v>
      </c>
      <c r="B7555" t="str">
        <f>ADDRESS(ROW(DFLoan1!B$17),COLUMN(DFLoan1!B$17),4)</f>
        <v>B17</v>
      </c>
      <c r="C7555" t="str">
        <f>ADDRESS(ROW(DFLoan1!C$17),COLUMN(DFLoan1!C$17),4)</f>
        <v>C17</v>
      </c>
      <c r="D7555" t="b" cm="1">
        <f t="array" aca="1" ref="D7555" ca="1">IF(INDIRECT("'"&amp;A7555&amp;"'!"&amp;B7555)="",FALSE,IF(TRUNC(INDIRECT("'"&amp;A7555&amp;"'!"&amp;B7555))=INDIRECT("'"&amp;A7555&amp;"'!"&amp;B7555),FALSE,TRUE))</f>
        <v>0</v>
      </c>
      <c r="E7555" t="s">
        <v>436</v>
      </c>
      <c r="F7555" t="str">
        <f>INDEX(Lists!I:I,MATCH(Validation!E7555,Lists!G:G,0))</f>
        <v>Error</v>
      </c>
      <c r="G7555" t="str">
        <f>INDEX(Lists!H:H,MATCH(Validation!E7555,Lists!G:G,0))</f>
        <v>Amount must be rounded to the nearest dollar.</v>
      </c>
      <c r="H7555" s="16" t="str">
        <f t="shared" ca="1" si="840"/>
        <v/>
      </c>
      <c r="I7555" s="16" t="str">
        <f t="shared" ca="1" si="841"/>
        <v/>
      </c>
      <c r="J7555" s="17" t="str">
        <f t="shared" ca="1" si="842"/>
        <v/>
      </c>
    </row>
    <row r="7556" spans="1:10" x14ac:dyDescent="0.25">
      <c r="A7556" t="s">
        <v>953</v>
      </c>
      <c r="B7556" t="str">
        <f>ADDRESS(ROW(DFLoan1!B$17),COLUMN(DFLoan1!B$17),4)</f>
        <v>B17</v>
      </c>
      <c r="C7556" t="str">
        <f>ADDRESS(ROW(DFLoan1!C$17),COLUMN(DFLoan1!C$17),4)</f>
        <v>C17</v>
      </c>
      <c r="D7556" t="b" cm="1">
        <f t="array" aca="1" ref="D7556" ca="1">IF(INDIRECT("'"&amp;A7556&amp;"'!"&amp;B7556)="",FALSE,IF(TRUNC(INDIRECT("'"&amp;A7556&amp;"'!"&amp;B7556))=INDIRECT("'"&amp;A7556&amp;"'!"&amp;B7556),FALSE,TRUE))</f>
        <v>0</v>
      </c>
      <c r="E7556" t="s">
        <v>436</v>
      </c>
      <c r="F7556" t="str">
        <f>INDEX(Lists!I:I,MATCH(Validation!E7556,Lists!G:G,0))</f>
        <v>Error</v>
      </c>
      <c r="G7556" t="str">
        <f>INDEX(Lists!H:H,MATCH(Validation!E7556,Lists!G:G,0))</f>
        <v>Amount must be rounded to the nearest dollar.</v>
      </c>
      <c r="H7556" s="16" t="str">
        <f t="shared" ca="1" si="840"/>
        <v/>
      </c>
      <c r="I7556" s="16" t="str">
        <f t="shared" ca="1" si="841"/>
        <v/>
      </c>
      <c r="J7556" s="17" t="str">
        <f t="shared" ca="1" si="842"/>
        <v/>
      </c>
    </row>
    <row r="7557" spans="1:10" x14ac:dyDescent="0.25">
      <c r="A7557" t="s">
        <v>954</v>
      </c>
      <c r="B7557" t="str">
        <f>ADDRESS(ROW(DFLoan1!B$17),COLUMN(DFLoan1!B$17),4)</f>
        <v>B17</v>
      </c>
      <c r="C7557" t="str">
        <f>ADDRESS(ROW(DFLoan1!C$17),COLUMN(DFLoan1!C$17),4)</f>
        <v>C17</v>
      </c>
      <c r="D7557" t="b" cm="1">
        <f t="array" aca="1" ref="D7557" ca="1">IF(INDIRECT("'"&amp;A7557&amp;"'!"&amp;B7557)="",FALSE,IF(TRUNC(INDIRECT("'"&amp;A7557&amp;"'!"&amp;B7557))=INDIRECT("'"&amp;A7557&amp;"'!"&amp;B7557),FALSE,TRUE))</f>
        <v>0</v>
      </c>
      <c r="E7557" t="s">
        <v>436</v>
      </c>
      <c r="F7557" t="str">
        <f>INDEX(Lists!I:I,MATCH(Validation!E7557,Lists!G:G,0))</f>
        <v>Error</v>
      </c>
      <c r="G7557" t="str">
        <f>INDEX(Lists!H:H,MATCH(Validation!E7557,Lists!G:G,0))</f>
        <v>Amount must be rounded to the nearest dollar.</v>
      </c>
      <c r="H7557" s="16" t="str">
        <f t="shared" ca="1" si="840"/>
        <v/>
      </c>
      <c r="I7557" s="16" t="str">
        <f t="shared" ca="1" si="841"/>
        <v/>
      </c>
      <c r="J7557" s="17" t="str">
        <f t="shared" ca="1" si="842"/>
        <v/>
      </c>
    </row>
    <row r="7558" spans="1:10" x14ac:dyDescent="0.25">
      <c r="A7558" t="s">
        <v>955</v>
      </c>
      <c r="B7558" t="str">
        <f>ADDRESS(ROW(DFLoan1!B$17),COLUMN(DFLoan1!B$17),4)</f>
        <v>B17</v>
      </c>
      <c r="C7558" t="str">
        <f>ADDRESS(ROW(DFLoan1!C$17),COLUMN(DFLoan1!C$17),4)</f>
        <v>C17</v>
      </c>
      <c r="D7558" t="b" cm="1">
        <f t="array" aca="1" ref="D7558" ca="1">IF(INDIRECT("'"&amp;A7558&amp;"'!"&amp;B7558)="",FALSE,IF(TRUNC(INDIRECT("'"&amp;A7558&amp;"'!"&amp;B7558))=INDIRECT("'"&amp;A7558&amp;"'!"&amp;B7558),FALSE,TRUE))</f>
        <v>0</v>
      </c>
      <c r="E7558" t="s">
        <v>436</v>
      </c>
      <c r="F7558" t="str">
        <f>INDEX(Lists!I:I,MATCH(Validation!E7558,Lists!G:G,0))</f>
        <v>Error</v>
      </c>
      <c r="G7558" t="str">
        <f>INDEX(Lists!H:H,MATCH(Validation!E7558,Lists!G:G,0))</f>
        <v>Amount must be rounded to the nearest dollar.</v>
      </c>
      <c r="H7558" s="16" t="str">
        <f t="shared" ca="1" si="840"/>
        <v/>
      </c>
      <c r="I7558" s="16" t="str">
        <f t="shared" ca="1" si="841"/>
        <v/>
      </c>
      <c r="J7558" s="17" t="str">
        <f t="shared" ca="1" si="842"/>
        <v/>
      </c>
    </row>
    <row r="7559" spans="1:10" x14ac:dyDescent="0.25">
      <c r="A7559" t="s">
        <v>956</v>
      </c>
      <c r="B7559" t="str">
        <f>ADDRESS(ROW(DFLoan1!B$17),COLUMN(DFLoan1!B$17),4)</f>
        <v>B17</v>
      </c>
      <c r="C7559" t="str">
        <f>ADDRESS(ROW(DFLoan1!C$17),COLUMN(DFLoan1!C$17),4)</f>
        <v>C17</v>
      </c>
      <c r="D7559" t="b" cm="1">
        <f t="array" aca="1" ref="D7559" ca="1">IF(INDIRECT("'"&amp;A7559&amp;"'!"&amp;B7559)="",FALSE,IF(TRUNC(INDIRECT("'"&amp;A7559&amp;"'!"&amp;B7559))=INDIRECT("'"&amp;A7559&amp;"'!"&amp;B7559),FALSE,TRUE))</f>
        <v>0</v>
      </c>
      <c r="E7559" t="s">
        <v>436</v>
      </c>
      <c r="F7559" t="str">
        <f>INDEX(Lists!I:I,MATCH(Validation!E7559,Lists!G:G,0))</f>
        <v>Error</v>
      </c>
      <c r="G7559" t="str">
        <f>INDEX(Lists!H:H,MATCH(Validation!E7559,Lists!G:G,0))</f>
        <v>Amount must be rounded to the nearest dollar.</v>
      </c>
      <c r="H7559" s="16" t="str">
        <f t="shared" ca="1" si="840"/>
        <v/>
      </c>
      <c r="I7559" s="16" t="str">
        <f t="shared" ca="1" si="841"/>
        <v/>
      </c>
      <c r="J7559" s="17" t="str">
        <f t="shared" ca="1" si="842"/>
        <v/>
      </c>
    </row>
    <row r="7560" spans="1:10" x14ac:dyDescent="0.25">
      <c r="A7560" t="s">
        <v>957</v>
      </c>
      <c r="B7560" t="str">
        <f>ADDRESS(ROW(DFLoan1!B$17),COLUMN(DFLoan1!B$17),4)</f>
        <v>B17</v>
      </c>
      <c r="C7560" t="str">
        <f>ADDRESS(ROW(DFLoan1!C$17),COLUMN(DFLoan1!C$17),4)</f>
        <v>C17</v>
      </c>
      <c r="D7560" t="b" cm="1">
        <f t="array" aca="1" ref="D7560" ca="1">IF(INDIRECT("'"&amp;A7560&amp;"'!"&amp;B7560)="",FALSE,IF(TRUNC(INDIRECT("'"&amp;A7560&amp;"'!"&amp;B7560))=INDIRECT("'"&amp;A7560&amp;"'!"&amp;B7560),FALSE,TRUE))</f>
        <v>0</v>
      </c>
      <c r="E7560" t="s">
        <v>436</v>
      </c>
      <c r="F7560" t="str">
        <f>INDEX(Lists!I:I,MATCH(Validation!E7560,Lists!G:G,0))</f>
        <v>Error</v>
      </c>
      <c r="G7560" t="str">
        <f>INDEX(Lists!H:H,MATCH(Validation!E7560,Lists!G:G,0))</f>
        <v>Amount must be rounded to the nearest dollar.</v>
      </c>
      <c r="H7560" s="16" t="str">
        <f t="shared" ca="1" si="840"/>
        <v/>
      </c>
      <c r="I7560" s="16" t="str">
        <f t="shared" ca="1" si="841"/>
        <v/>
      </c>
      <c r="J7560" s="17" t="str">
        <f t="shared" ca="1" si="842"/>
        <v/>
      </c>
    </row>
    <row r="7561" spans="1:10" x14ac:dyDescent="0.25">
      <c r="A7561" t="s">
        <v>958</v>
      </c>
      <c r="B7561" t="str">
        <f>ADDRESS(ROW(DFLoan1!B$17),COLUMN(DFLoan1!B$17),4)</f>
        <v>B17</v>
      </c>
      <c r="C7561" t="str">
        <f>ADDRESS(ROW(DFLoan1!C$17),COLUMN(DFLoan1!C$17),4)</f>
        <v>C17</v>
      </c>
      <c r="D7561" t="b" cm="1">
        <f t="array" aca="1" ref="D7561" ca="1">IF(INDIRECT("'"&amp;A7561&amp;"'!"&amp;B7561)="",FALSE,IF(TRUNC(INDIRECT("'"&amp;A7561&amp;"'!"&amp;B7561))=INDIRECT("'"&amp;A7561&amp;"'!"&amp;B7561),FALSE,TRUE))</f>
        <v>0</v>
      </c>
      <c r="E7561" t="s">
        <v>436</v>
      </c>
      <c r="F7561" t="str">
        <f>INDEX(Lists!I:I,MATCH(Validation!E7561,Lists!G:G,0))</f>
        <v>Error</v>
      </c>
      <c r="G7561" t="str">
        <f>INDEX(Lists!H:H,MATCH(Validation!E7561,Lists!G:G,0))</f>
        <v>Amount must be rounded to the nearest dollar.</v>
      </c>
      <c r="H7561" s="16" t="str">
        <f t="shared" ca="1" si="840"/>
        <v/>
      </c>
      <c r="I7561" s="16" t="str">
        <f t="shared" ca="1" si="841"/>
        <v/>
      </c>
      <c r="J7561" s="17" t="str">
        <f t="shared" ca="1" si="842"/>
        <v/>
      </c>
    </row>
    <row r="7562" spans="1:10" x14ac:dyDescent="0.25">
      <c r="A7562" t="s">
        <v>959</v>
      </c>
      <c r="B7562" t="str">
        <f>ADDRESS(ROW(DFLoan1!B$17),COLUMN(DFLoan1!B$17),4)</f>
        <v>B17</v>
      </c>
      <c r="C7562" t="str">
        <f>ADDRESS(ROW(DFLoan1!C$17),COLUMN(DFLoan1!C$17),4)</f>
        <v>C17</v>
      </c>
      <c r="D7562" t="b" cm="1">
        <f t="array" aca="1" ref="D7562" ca="1">IF(INDIRECT("'"&amp;A7562&amp;"'!"&amp;B7562)="",FALSE,IF(TRUNC(INDIRECT("'"&amp;A7562&amp;"'!"&amp;B7562))=INDIRECT("'"&amp;A7562&amp;"'!"&amp;B7562),FALSE,TRUE))</f>
        <v>0</v>
      </c>
      <c r="E7562" t="s">
        <v>436</v>
      </c>
      <c r="F7562" t="str">
        <f>INDEX(Lists!I:I,MATCH(Validation!E7562,Lists!G:G,0))</f>
        <v>Error</v>
      </c>
      <c r="G7562" t="str">
        <f>INDEX(Lists!H:H,MATCH(Validation!E7562,Lists!G:G,0))</f>
        <v>Amount must be rounded to the nearest dollar.</v>
      </c>
      <c r="H7562" s="16" t="str">
        <f t="shared" ca="1" si="840"/>
        <v/>
      </c>
      <c r="I7562" s="16" t="str">
        <f t="shared" ca="1" si="841"/>
        <v/>
      </c>
      <c r="J7562" s="17" t="str">
        <f t="shared" ca="1" si="842"/>
        <v/>
      </c>
    </row>
    <row r="7563" spans="1:10" x14ac:dyDescent="0.25">
      <c r="A7563" t="s">
        <v>960</v>
      </c>
      <c r="B7563" t="str">
        <f>ADDRESS(ROW(DFLoan1!B$17),COLUMN(DFLoan1!B$17),4)</f>
        <v>B17</v>
      </c>
      <c r="C7563" t="str">
        <f>ADDRESS(ROW(DFLoan1!C$17),COLUMN(DFLoan1!C$17),4)</f>
        <v>C17</v>
      </c>
      <c r="D7563" t="b" cm="1">
        <f t="array" aca="1" ref="D7563" ca="1">IF(INDIRECT("'"&amp;A7563&amp;"'!"&amp;B7563)="",FALSE,IF(TRUNC(INDIRECT("'"&amp;A7563&amp;"'!"&amp;B7563))=INDIRECT("'"&amp;A7563&amp;"'!"&amp;B7563),FALSE,TRUE))</f>
        <v>0</v>
      </c>
      <c r="E7563" t="s">
        <v>436</v>
      </c>
      <c r="F7563" t="str">
        <f>INDEX(Lists!I:I,MATCH(Validation!E7563,Lists!G:G,0))</f>
        <v>Error</v>
      </c>
      <c r="G7563" t="str">
        <f>INDEX(Lists!H:H,MATCH(Validation!E7563,Lists!G:G,0))</f>
        <v>Amount must be rounded to the nearest dollar.</v>
      </c>
      <c r="H7563" s="16" t="str">
        <f t="shared" ref="H7563:H7599" ca="1" si="843">IFERROR(IF(OR(NOT(D7563),F7563&lt;&gt;"Error"),"",A7563&amp;CELL("address",INDIRECT(B7563))),"")</f>
        <v/>
      </c>
      <c r="I7563" s="16" t="str">
        <f t="shared" ref="I7563:I7599" ca="1" si="844">IFERROR(IF(NOT(D7563),"",A7563&amp;CELL("address",INDIRECT(C7563))),"")</f>
        <v/>
      </c>
      <c r="J7563" s="17" t="str">
        <f t="shared" ref="J7563:J7599" ca="1" si="845">IFERROR(IF(NOT(D7563),"",A7563),"")</f>
        <v/>
      </c>
    </row>
    <row r="7564" spans="1:10" x14ac:dyDescent="0.25">
      <c r="A7564" t="s">
        <v>961</v>
      </c>
      <c r="B7564" t="str">
        <f>ADDRESS(ROW(DFLoan1!B$17),COLUMN(DFLoan1!B$17),4)</f>
        <v>B17</v>
      </c>
      <c r="C7564" t="str">
        <f>ADDRESS(ROW(DFLoan1!C$17),COLUMN(DFLoan1!C$17),4)</f>
        <v>C17</v>
      </c>
      <c r="D7564" t="b" cm="1">
        <f t="array" aca="1" ref="D7564" ca="1">IF(INDIRECT("'"&amp;A7564&amp;"'!"&amp;B7564)="",FALSE,IF(TRUNC(INDIRECT("'"&amp;A7564&amp;"'!"&amp;B7564))=INDIRECT("'"&amp;A7564&amp;"'!"&amp;B7564),FALSE,TRUE))</f>
        <v>0</v>
      </c>
      <c r="E7564" t="s">
        <v>436</v>
      </c>
      <c r="F7564" t="str">
        <f>INDEX(Lists!I:I,MATCH(Validation!E7564,Lists!G:G,0))</f>
        <v>Error</v>
      </c>
      <c r="G7564" t="str">
        <f>INDEX(Lists!H:H,MATCH(Validation!E7564,Lists!G:G,0))</f>
        <v>Amount must be rounded to the nearest dollar.</v>
      </c>
      <c r="H7564" s="16" t="str">
        <f t="shared" ca="1" si="843"/>
        <v/>
      </c>
      <c r="I7564" s="16" t="str">
        <f t="shared" ca="1" si="844"/>
        <v/>
      </c>
      <c r="J7564" s="17" t="str">
        <f t="shared" ca="1" si="845"/>
        <v/>
      </c>
    </row>
    <row r="7565" spans="1:10" x14ac:dyDescent="0.25">
      <c r="A7565" t="s">
        <v>962</v>
      </c>
      <c r="B7565" t="str">
        <f>ADDRESS(ROW(DFLoan1!B$17),COLUMN(DFLoan1!B$17),4)</f>
        <v>B17</v>
      </c>
      <c r="C7565" t="str">
        <f>ADDRESS(ROW(DFLoan1!C$17),COLUMN(DFLoan1!C$17),4)</f>
        <v>C17</v>
      </c>
      <c r="D7565" t="b" cm="1">
        <f t="array" aca="1" ref="D7565" ca="1">IF(INDIRECT("'"&amp;A7565&amp;"'!"&amp;B7565)="",FALSE,IF(TRUNC(INDIRECT("'"&amp;A7565&amp;"'!"&amp;B7565))=INDIRECT("'"&amp;A7565&amp;"'!"&amp;B7565),FALSE,TRUE))</f>
        <v>0</v>
      </c>
      <c r="E7565" t="s">
        <v>436</v>
      </c>
      <c r="F7565" t="str">
        <f>INDEX(Lists!I:I,MATCH(Validation!E7565,Lists!G:G,0))</f>
        <v>Error</v>
      </c>
      <c r="G7565" t="str">
        <f>INDEX(Lists!H:H,MATCH(Validation!E7565,Lists!G:G,0))</f>
        <v>Amount must be rounded to the nearest dollar.</v>
      </c>
      <c r="H7565" s="16" t="str">
        <f t="shared" ca="1" si="843"/>
        <v/>
      </c>
      <c r="I7565" s="16" t="str">
        <f t="shared" ca="1" si="844"/>
        <v/>
      </c>
      <c r="J7565" s="17" t="str">
        <f t="shared" ca="1" si="845"/>
        <v/>
      </c>
    </row>
    <row r="7566" spans="1:10" x14ac:dyDescent="0.25">
      <c r="A7566" t="s">
        <v>963</v>
      </c>
      <c r="B7566" t="str">
        <f>ADDRESS(ROW(DFLoan1!B$17),COLUMN(DFLoan1!B$17),4)</f>
        <v>B17</v>
      </c>
      <c r="C7566" t="str">
        <f>ADDRESS(ROW(DFLoan1!C$17),COLUMN(DFLoan1!C$17),4)</f>
        <v>C17</v>
      </c>
      <c r="D7566" t="b" cm="1">
        <f t="array" aca="1" ref="D7566" ca="1">IF(INDIRECT("'"&amp;A7566&amp;"'!"&amp;B7566)="",FALSE,IF(TRUNC(INDIRECT("'"&amp;A7566&amp;"'!"&amp;B7566))=INDIRECT("'"&amp;A7566&amp;"'!"&amp;B7566),FALSE,TRUE))</f>
        <v>0</v>
      </c>
      <c r="E7566" t="s">
        <v>436</v>
      </c>
      <c r="F7566" t="str">
        <f>INDEX(Lists!I:I,MATCH(Validation!E7566,Lists!G:G,0))</f>
        <v>Error</v>
      </c>
      <c r="G7566" t="str">
        <f>INDEX(Lists!H:H,MATCH(Validation!E7566,Lists!G:G,0))</f>
        <v>Amount must be rounded to the nearest dollar.</v>
      </c>
      <c r="H7566" s="16" t="str">
        <f t="shared" ca="1" si="843"/>
        <v/>
      </c>
      <c r="I7566" s="16" t="str">
        <f t="shared" ca="1" si="844"/>
        <v/>
      </c>
      <c r="J7566" s="17" t="str">
        <f t="shared" ca="1" si="845"/>
        <v/>
      </c>
    </row>
    <row r="7567" spans="1:10" x14ac:dyDescent="0.25">
      <c r="A7567" t="s">
        <v>964</v>
      </c>
      <c r="B7567" t="str">
        <f>ADDRESS(ROW(DFLoan1!B$17),COLUMN(DFLoan1!B$17),4)</f>
        <v>B17</v>
      </c>
      <c r="C7567" t="str">
        <f>ADDRESS(ROW(DFLoan1!C$17),COLUMN(DFLoan1!C$17),4)</f>
        <v>C17</v>
      </c>
      <c r="D7567" t="b" cm="1">
        <f t="array" aca="1" ref="D7567" ca="1">IF(INDIRECT("'"&amp;A7567&amp;"'!"&amp;B7567)="",FALSE,IF(TRUNC(INDIRECT("'"&amp;A7567&amp;"'!"&amp;B7567))=INDIRECT("'"&amp;A7567&amp;"'!"&amp;B7567),FALSE,TRUE))</f>
        <v>0</v>
      </c>
      <c r="E7567" t="s">
        <v>436</v>
      </c>
      <c r="F7567" t="str">
        <f>INDEX(Lists!I:I,MATCH(Validation!E7567,Lists!G:G,0))</f>
        <v>Error</v>
      </c>
      <c r="G7567" t="str">
        <f>INDEX(Lists!H:H,MATCH(Validation!E7567,Lists!G:G,0))</f>
        <v>Amount must be rounded to the nearest dollar.</v>
      </c>
      <c r="H7567" s="16" t="str">
        <f t="shared" ca="1" si="843"/>
        <v/>
      </c>
      <c r="I7567" s="16" t="str">
        <f t="shared" ca="1" si="844"/>
        <v/>
      </c>
      <c r="J7567" s="17" t="str">
        <f t="shared" ca="1" si="845"/>
        <v/>
      </c>
    </row>
    <row r="7568" spans="1:10" x14ac:dyDescent="0.25">
      <c r="A7568" t="s">
        <v>965</v>
      </c>
      <c r="B7568" t="str">
        <f>ADDRESS(ROW(DFLoan1!B$17),COLUMN(DFLoan1!B$17),4)</f>
        <v>B17</v>
      </c>
      <c r="C7568" t="str">
        <f>ADDRESS(ROW(DFLoan1!C$17),COLUMN(DFLoan1!C$17),4)</f>
        <v>C17</v>
      </c>
      <c r="D7568" t="b" cm="1">
        <f t="array" aca="1" ref="D7568" ca="1">IF(INDIRECT("'"&amp;A7568&amp;"'!"&amp;B7568)="",FALSE,IF(TRUNC(INDIRECT("'"&amp;A7568&amp;"'!"&amp;B7568))=INDIRECT("'"&amp;A7568&amp;"'!"&amp;B7568),FALSE,TRUE))</f>
        <v>0</v>
      </c>
      <c r="E7568" t="s">
        <v>436</v>
      </c>
      <c r="F7568" t="str">
        <f>INDEX(Lists!I:I,MATCH(Validation!E7568,Lists!G:G,0))</f>
        <v>Error</v>
      </c>
      <c r="G7568" t="str">
        <f>INDEX(Lists!H:H,MATCH(Validation!E7568,Lists!G:G,0))</f>
        <v>Amount must be rounded to the nearest dollar.</v>
      </c>
      <c r="H7568" s="16" t="str">
        <f t="shared" ca="1" si="843"/>
        <v/>
      </c>
      <c r="I7568" s="16" t="str">
        <f t="shared" ca="1" si="844"/>
        <v/>
      </c>
      <c r="J7568" s="17" t="str">
        <f t="shared" ca="1" si="845"/>
        <v/>
      </c>
    </row>
    <row r="7569" spans="1:10" x14ac:dyDescent="0.25">
      <c r="A7569" t="s">
        <v>966</v>
      </c>
      <c r="B7569" t="str">
        <f>ADDRESS(ROW(DFLoan1!B$17),COLUMN(DFLoan1!B$17),4)</f>
        <v>B17</v>
      </c>
      <c r="C7569" t="str">
        <f>ADDRESS(ROW(DFLoan1!C$17),COLUMN(DFLoan1!C$17),4)</f>
        <v>C17</v>
      </c>
      <c r="D7569" t="b" cm="1">
        <f t="array" aca="1" ref="D7569" ca="1">IF(INDIRECT("'"&amp;A7569&amp;"'!"&amp;B7569)="",FALSE,IF(TRUNC(INDIRECT("'"&amp;A7569&amp;"'!"&amp;B7569))=INDIRECT("'"&amp;A7569&amp;"'!"&amp;B7569),FALSE,TRUE))</f>
        <v>0</v>
      </c>
      <c r="E7569" t="s">
        <v>436</v>
      </c>
      <c r="F7569" t="str">
        <f>INDEX(Lists!I:I,MATCH(Validation!E7569,Lists!G:G,0))</f>
        <v>Error</v>
      </c>
      <c r="G7569" t="str">
        <f>INDEX(Lists!H:H,MATCH(Validation!E7569,Lists!G:G,0))</f>
        <v>Amount must be rounded to the nearest dollar.</v>
      </c>
      <c r="H7569" s="16" t="str">
        <f t="shared" ca="1" si="843"/>
        <v/>
      </c>
      <c r="I7569" s="16" t="str">
        <f t="shared" ca="1" si="844"/>
        <v/>
      </c>
      <c r="J7569" s="17" t="str">
        <f t="shared" ca="1" si="845"/>
        <v/>
      </c>
    </row>
    <row r="7570" spans="1:10" x14ac:dyDescent="0.25">
      <c r="A7570" t="s">
        <v>881</v>
      </c>
      <c r="B7570" t="str">
        <f>ADDRESS(ROW(DFLoan1!B$18),COLUMN(DFLoan1!B$18),4)</f>
        <v>B18</v>
      </c>
      <c r="C7570" t="str">
        <f>ADDRESS(ROW(DFLoan1!C$18),COLUMN(DFLoan1!C$18),4)</f>
        <v>C18</v>
      </c>
      <c r="D7570" t="b" cm="1">
        <f t="array" aca="1" ref="D7570" ca="1">IF(INDIRECT("'"&amp;A7570&amp;"'!"&amp;B7570)&gt;INDIRECT("'"&amp;A7570&amp;"'!$B$14"),TRUE,FALSE)</f>
        <v>0</v>
      </c>
      <c r="E7570" t="s">
        <v>930</v>
      </c>
      <c r="F7570" t="str">
        <f>INDEX(Lists!I:I,MATCH(Validation!E7570,Lists!G:G,0))</f>
        <v>Alert</v>
      </c>
      <c r="G7570" t="str">
        <f>INDEX(Lists!H:H,MATCH(Validation!E7570,Lists!G:G,0))</f>
        <v>Draw exceeds resolution amount! Submit form but explain in comments box and remedy.</v>
      </c>
      <c r="H7570" s="16" t="str">
        <f t="shared" ca="1" si="843"/>
        <v/>
      </c>
      <c r="I7570" s="16" t="str">
        <f t="shared" ca="1" si="844"/>
        <v/>
      </c>
      <c r="J7570" s="17" t="str">
        <f t="shared" ca="1" si="845"/>
        <v/>
      </c>
    </row>
    <row r="7571" spans="1:10" x14ac:dyDescent="0.25">
      <c r="A7571" t="s">
        <v>953</v>
      </c>
      <c r="B7571" t="str">
        <f>ADDRESS(ROW(DFLoan1!B$18),COLUMN(DFLoan1!B$18),4)</f>
        <v>B18</v>
      </c>
      <c r="C7571" t="str">
        <f>ADDRESS(ROW(DFLoan1!C$18),COLUMN(DFLoan1!C$18),4)</f>
        <v>C18</v>
      </c>
      <c r="D7571" t="b" cm="1">
        <f t="array" aca="1" ref="D7571" ca="1">IF(INDIRECT("'"&amp;A7571&amp;"'!"&amp;B7571)&gt;INDIRECT("'"&amp;A7571&amp;"'!$B$14"),TRUE,FALSE)</f>
        <v>0</v>
      </c>
      <c r="E7571" t="s">
        <v>930</v>
      </c>
      <c r="F7571" t="str">
        <f>INDEX(Lists!I:I,MATCH(Validation!E7571,Lists!G:G,0))</f>
        <v>Alert</v>
      </c>
      <c r="G7571" t="str">
        <f>INDEX(Lists!H:H,MATCH(Validation!E7571,Lists!G:G,0))</f>
        <v>Draw exceeds resolution amount! Submit form but explain in comments box and remedy.</v>
      </c>
      <c r="H7571" s="16" t="str">
        <f t="shared" ca="1" si="843"/>
        <v/>
      </c>
      <c r="I7571" s="16" t="str">
        <f t="shared" ca="1" si="844"/>
        <v/>
      </c>
      <c r="J7571" s="17" t="str">
        <f t="shared" ca="1" si="845"/>
        <v/>
      </c>
    </row>
    <row r="7572" spans="1:10" x14ac:dyDescent="0.25">
      <c r="A7572" t="s">
        <v>954</v>
      </c>
      <c r="B7572" t="str">
        <f>ADDRESS(ROW(DFLoan1!B$18),COLUMN(DFLoan1!B$18),4)</f>
        <v>B18</v>
      </c>
      <c r="C7572" t="str">
        <f>ADDRESS(ROW(DFLoan1!C$18),COLUMN(DFLoan1!C$18),4)</f>
        <v>C18</v>
      </c>
      <c r="D7572" t="b" cm="1">
        <f t="array" aca="1" ref="D7572" ca="1">IF(INDIRECT("'"&amp;A7572&amp;"'!"&amp;B7572)&gt;INDIRECT("'"&amp;A7572&amp;"'!$B$14"),TRUE,FALSE)</f>
        <v>0</v>
      </c>
      <c r="E7572" t="s">
        <v>930</v>
      </c>
      <c r="F7572" t="str">
        <f>INDEX(Lists!I:I,MATCH(Validation!E7572,Lists!G:G,0))</f>
        <v>Alert</v>
      </c>
      <c r="G7572" t="str">
        <f>INDEX(Lists!H:H,MATCH(Validation!E7572,Lists!G:G,0))</f>
        <v>Draw exceeds resolution amount! Submit form but explain in comments box and remedy.</v>
      </c>
      <c r="H7572" s="16" t="str">
        <f t="shared" ca="1" si="843"/>
        <v/>
      </c>
      <c r="I7572" s="16" t="str">
        <f t="shared" ca="1" si="844"/>
        <v/>
      </c>
      <c r="J7572" s="17" t="str">
        <f t="shared" ca="1" si="845"/>
        <v/>
      </c>
    </row>
    <row r="7573" spans="1:10" x14ac:dyDescent="0.25">
      <c r="A7573" t="s">
        <v>955</v>
      </c>
      <c r="B7573" t="str">
        <f>ADDRESS(ROW(DFLoan1!B$18),COLUMN(DFLoan1!B$18),4)</f>
        <v>B18</v>
      </c>
      <c r="C7573" t="str">
        <f>ADDRESS(ROW(DFLoan1!C$18),COLUMN(DFLoan1!C$18),4)</f>
        <v>C18</v>
      </c>
      <c r="D7573" t="b" cm="1">
        <f t="array" aca="1" ref="D7573" ca="1">IF(INDIRECT("'"&amp;A7573&amp;"'!"&amp;B7573)&gt;INDIRECT("'"&amp;A7573&amp;"'!$B$14"),TRUE,FALSE)</f>
        <v>0</v>
      </c>
      <c r="E7573" t="s">
        <v>930</v>
      </c>
      <c r="F7573" t="str">
        <f>INDEX(Lists!I:I,MATCH(Validation!E7573,Lists!G:G,0))</f>
        <v>Alert</v>
      </c>
      <c r="G7573" t="str">
        <f>INDEX(Lists!H:H,MATCH(Validation!E7573,Lists!G:G,0))</f>
        <v>Draw exceeds resolution amount! Submit form but explain in comments box and remedy.</v>
      </c>
      <c r="H7573" s="16" t="str">
        <f t="shared" ca="1" si="843"/>
        <v/>
      </c>
      <c r="I7573" s="16" t="str">
        <f t="shared" ca="1" si="844"/>
        <v/>
      </c>
      <c r="J7573" s="17" t="str">
        <f t="shared" ca="1" si="845"/>
        <v/>
      </c>
    </row>
    <row r="7574" spans="1:10" x14ac:dyDescent="0.25">
      <c r="A7574" t="s">
        <v>956</v>
      </c>
      <c r="B7574" t="str">
        <f>ADDRESS(ROW(DFLoan1!B$18),COLUMN(DFLoan1!B$18),4)</f>
        <v>B18</v>
      </c>
      <c r="C7574" t="str">
        <f>ADDRESS(ROW(DFLoan1!C$18),COLUMN(DFLoan1!C$18),4)</f>
        <v>C18</v>
      </c>
      <c r="D7574" t="b" cm="1">
        <f t="array" aca="1" ref="D7574" ca="1">IF(INDIRECT("'"&amp;A7574&amp;"'!"&amp;B7574)&gt;INDIRECT("'"&amp;A7574&amp;"'!$B$14"),TRUE,FALSE)</f>
        <v>0</v>
      </c>
      <c r="E7574" t="s">
        <v>930</v>
      </c>
      <c r="F7574" t="str">
        <f>INDEX(Lists!I:I,MATCH(Validation!E7574,Lists!G:G,0))</f>
        <v>Alert</v>
      </c>
      <c r="G7574" t="str">
        <f>INDEX(Lists!H:H,MATCH(Validation!E7574,Lists!G:G,0))</f>
        <v>Draw exceeds resolution amount! Submit form but explain in comments box and remedy.</v>
      </c>
      <c r="H7574" s="16" t="str">
        <f t="shared" ca="1" si="843"/>
        <v/>
      </c>
      <c r="I7574" s="16" t="str">
        <f t="shared" ca="1" si="844"/>
        <v/>
      </c>
      <c r="J7574" s="17" t="str">
        <f t="shared" ca="1" si="845"/>
        <v/>
      </c>
    </row>
    <row r="7575" spans="1:10" x14ac:dyDescent="0.25">
      <c r="A7575" t="s">
        <v>957</v>
      </c>
      <c r="B7575" t="str">
        <f>ADDRESS(ROW(DFLoan1!B$18),COLUMN(DFLoan1!B$18),4)</f>
        <v>B18</v>
      </c>
      <c r="C7575" t="str">
        <f>ADDRESS(ROW(DFLoan1!C$18),COLUMN(DFLoan1!C$18),4)</f>
        <v>C18</v>
      </c>
      <c r="D7575" t="b" cm="1">
        <f t="array" aca="1" ref="D7575" ca="1">IF(INDIRECT("'"&amp;A7575&amp;"'!"&amp;B7575)&gt;INDIRECT("'"&amp;A7575&amp;"'!$B$14"),TRUE,FALSE)</f>
        <v>0</v>
      </c>
      <c r="E7575" t="s">
        <v>930</v>
      </c>
      <c r="F7575" t="str">
        <f>INDEX(Lists!I:I,MATCH(Validation!E7575,Lists!G:G,0))</f>
        <v>Alert</v>
      </c>
      <c r="G7575" t="str">
        <f>INDEX(Lists!H:H,MATCH(Validation!E7575,Lists!G:G,0))</f>
        <v>Draw exceeds resolution amount! Submit form but explain in comments box and remedy.</v>
      </c>
      <c r="H7575" s="16" t="str">
        <f t="shared" ca="1" si="843"/>
        <v/>
      </c>
      <c r="I7575" s="16" t="str">
        <f t="shared" ca="1" si="844"/>
        <v/>
      </c>
      <c r="J7575" s="17" t="str">
        <f t="shared" ca="1" si="845"/>
        <v/>
      </c>
    </row>
    <row r="7576" spans="1:10" x14ac:dyDescent="0.25">
      <c r="A7576" t="s">
        <v>958</v>
      </c>
      <c r="B7576" t="str">
        <f>ADDRESS(ROW(DFLoan1!B$18),COLUMN(DFLoan1!B$18),4)</f>
        <v>B18</v>
      </c>
      <c r="C7576" t="str">
        <f>ADDRESS(ROW(DFLoan1!C$18),COLUMN(DFLoan1!C$18),4)</f>
        <v>C18</v>
      </c>
      <c r="D7576" t="b" cm="1">
        <f t="array" aca="1" ref="D7576" ca="1">IF(INDIRECT("'"&amp;A7576&amp;"'!"&amp;B7576)&gt;INDIRECT("'"&amp;A7576&amp;"'!$B$14"),TRUE,FALSE)</f>
        <v>0</v>
      </c>
      <c r="E7576" t="s">
        <v>930</v>
      </c>
      <c r="F7576" t="str">
        <f>INDEX(Lists!I:I,MATCH(Validation!E7576,Lists!G:G,0))</f>
        <v>Alert</v>
      </c>
      <c r="G7576" t="str">
        <f>INDEX(Lists!H:H,MATCH(Validation!E7576,Lists!G:G,0))</f>
        <v>Draw exceeds resolution amount! Submit form but explain in comments box and remedy.</v>
      </c>
      <c r="H7576" s="16" t="str">
        <f t="shared" ca="1" si="843"/>
        <v/>
      </c>
      <c r="I7576" s="16" t="str">
        <f t="shared" ca="1" si="844"/>
        <v/>
      </c>
      <c r="J7576" s="17" t="str">
        <f t="shared" ca="1" si="845"/>
        <v/>
      </c>
    </row>
    <row r="7577" spans="1:10" x14ac:dyDescent="0.25">
      <c r="A7577" t="s">
        <v>959</v>
      </c>
      <c r="B7577" t="str">
        <f>ADDRESS(ROW(DFLoan1!B$18),COLUMN(DFLoan1!B$18),4)</f>
        <v>B18</v>
      </c>
      <c r="C7577" t="str">
        <f>ADDRESS(ROW(DFLoan1!C$18),COLUMN(DFLoan1!C$18),4)</f>
        <v>C18</v>
      </c>
      <c r="D7577" t="b" cm="1">
        <f t="array" aca="1" ref="D7577" ca="1">IF(INDIRECT("'"&amp;A7577&amp;"'!"&amp;B7577)&gt;INDIRECT("'"&amp;A7577&amp;"'!$B$14"),TRUE,FALSE)</f>
        <v>0</v>
      </c>
      <c r="E7577" t="s">
        <v>930</v>
      </c>
      <c r="F7577" t="str">
        <f>INDEX(Lists!I:I,MATCH(Validation!E7577,Lists!G:G,0))</f>
        <v>Alert</v>
      </c>
      <c r="G7577" t="str">
        <f>INDEX(Lists!H:H,MATCH(Validation!E7577,Lists!G:G,0))</f>
        <v>Draw exceeds resolution amount! Submit form but explain in comments box and remedy.</v>
      </c>
      <c r="H7577" s="16" t="str">
        <f t="shared" ca="1" si="843"/>
        <v/>
      </c>
      <c r="I7577" s="16" t="str">
        <f t="shared" ca="1" si="844"/>
        <v/>
      </c>
      <c r="J7577" s="17" t="str">
        <f t="shared" ca="1" si="845"/>
        <v/>
      </c>
    </row>
    <row r="7578" spans="1:10" x14ac:dyDescent="0.25">
      <c r="A7578" t="s">
        <v>960</v>
      </c>
      <c r="B7578" t="str">
        <f>ADDRESS(ROW(DFLoan1!B$18),COLUMN(DFLoan1!B$18),4)</f>
        <v>B18</v>
      </c>
      <c r="C7578" t="str">
        <f>ADDRESS(ROW(DFLoan1!C$18),COLUMN(DFLoan1!C$18),4)</f>
        <v>C18</v>
      </c>
      <c r="D7578" t="b" cm="1">
        <f t="array" aca="1" ref="D7578" ca="1">IF(INDIRECT("'"&amp;A7578&amp;"'!"&amp;B7578)&gt;INDIRECT("'"&amp;A7578&amp;"'!$B$14"),TRUE,FALSE)</f>
        <v>0</v>
      </c>
      <c r="E7578" t="s">
        <v>930</v>
      </c>
      <c r="F7578" t="str">
        <f>INDEX(Lists!I:I,MATCH(Validation!E7578,Lists!G:G,0))</f>
        <v>Alert</v>
      </c>
      <c r="G7578" t="str">
        <f>INDEX(Lists!H:H,MATCH(Validation!E7578,Lists!G:G,0))</f>
        <v>Draw exceeds resolution amount! Submit form but explain in comments box and remedy.</v>
      </c>
      <c r="H7578" s="16" t="str">
        <f t="shared" ca="1" si="843"/>
        <v/>
      </c>
      <c r="I7578" s="16" t="str">
        <f t="shared" ca="1" si="844"/>
        <v/>
      </c>
      <c r="J7578" s="17" t="str">
        <f t="shared" ca="1" si="845"/>
        <v/>
      </c>
    </row>
    <row r="7579" spans="1:10" x14ac:dyDescent="0.25">
      <c r="A7579" t="s">
        <v>961</v>
      </c>
      <c r="B7579" t="str">
        <f>ADDRESS(ROW(DFLoan1!B$18),COLUMN(DFLoan1!B$18),4)</f>
        <v>B18</v>
      </c>
      <c r="C7579" t="str">
        <f>ADDRESS(ROW(DFLoan1!C$18),COLUMN(DFLoan1!C$18),4)</f>
        <v>C18</v>
      </c>
      <c r="D7579" t="b" cm="1">
        <f t="array" aca="1" ref="D7579" ca="1">IF(INDIRECT("'"&amp;A7579&amp;"'!"&amp;B7579)&gt;INDIRECT("'"&amp;A7579&amp;"'!$B$14"),TRUE,FALSE)</f>
        <v>0</v>
      </c>
      <c r="E7579" t="s">
        <v>930</v>
      </c>
      <c r="F7579" t="str">
        <f>INDEX(Lists!I:I,MATCH(Validation!E7579,Lists!G:G,0))</f>
        <v>Alert</v>
      </c>
      <c r="G7579" t="str">
        <f>INDEX(Lists!H:H,MATCH(Validation!E7579,Lists!G:G,0))</f>
        <v>Draw exceeds resolution amount! Submit form but explain in comments box and remedy.</v>
      </c>
      <c r="H7579" s="16" t="str">
        <f t="shared" ca="1" si="843"/>
        <v/>
      </c>
      <c r="I7579" s="16" t="str">
        <f t="shared" ca="1" si="844"/>
        <v/>
      </c>
      <c r="J7579" s="17" t="str">
        <f t="shared" ca="1" si="845"/>
        <v/>
      </c>
    </row>
    <row r="7580" spans="1:10" x14ac:dyDescent="0.25">
      <c r="A7580" t="s">
        <v>962</v>
      </c>
      <c r="B7580" t="str">
        <f>ADDRESS(ROW(DFLoan1!B$18),COLUMN(DFLoan1!B$18),4)</f>
        <v>B18</v>
      </c>
      <c r="C7580" t="str">
        <f>ADDRESS(ROW(DFLoan1!C$18),COLUMN(DFLoan1!C$18),4)</f>
        <v>C18</v>
      </c>
      <c r="D7580" t="b" cm="1">
        <f t="array" aca="1" ref="D7580" ca="1">IF(INDIRECT("'"&amp;A7580&amp;"'!"&amp;B7580)&gt;INDIRECT("'"&amp;A7580&amp;"'!$B$14"),TRUE,FALSE)</f>
        <v>0</v>
      </c>
      <c r="E7580" t="s">
        <v>930</v>
      </c>
      <c r="F7580" t="str">
        <f>INDEX(Lists!I:I,MATCH(Validation!E7580,Lists!G:G,0))</f>
        <v>Alert</v>
      </c>
      <c r="G7580" t="str">
        <f>INDEX(Lists!H:H,MATCH(Validation!E7580,Lists!G:G,0))</f>
        <v>Draw exceeds resolution amount! Submit form but explain in comments box and remedy.</v>
      </c>
      <c r="H7580" s="16" t="str">
        <f t="shared" ca="1" si="843"/>
        <v/>
      </c>
      <c r="I7580" s="16" t="str">
        <f t="shared" ca="1" si="844"/>
        <v/>
      </c>
      <c r="J7580" s="17" t="str">
        <f t="shared" ca="1" si="845"/>
        <v/>
      </c>
    </row>
    <row r="7581" spans="1:10" x14ac:dyDescent="0.25">
      <c r="A7581" t="s">
        <v>963</v>
      </c>
      <c r="B7581" t="str">
        <f>ADDRESS(ROW(DFLoan1!B$18),COLUMN(DFLoan1!B$18),4)</f>
        <v>B18</v>
      </c>
      <c r="C7581" t="str">
        <f>ADDRESS(ROW(DFLoan1!C$18),COLUMN(DFLoan1!C$18),4)</f>
        <v>C18</v>
      </c>
      <c r="D7581" t="b" cm="1">
        <f t="array" aca="1" ref="D7581" ca="1">IF(INDIRECT("'"&amp;A7581&amp;"'!"&amp;B7581)&gt;INDIRECT("'"&amp;A7581&amp;"'!$B$14"),TRUE,FALSE)</f>
        <v>0</v>
      </c>
      <c r="E7581" t="s">
        <v>930</v>
      </c>
      <c r="F7581" t="str">
        <f>INDEX(Lists!I:I,MATCH(Validation!E7581,Lists!G:G,0))</f>
        <v>Alert</v>
      </c>
      <c r="G7581" t="str">
        <f>INDEX(Lists!H:H,MATCH(Validation!E7581,Lists!G:G,0))</f>
        <v>Draw exceeds resolution amount! Submit form but explain in comments box and remedy.</v>
      </c>
      <c r="H7581" s="16" t="str">
        <f t="shared" ca="1" si="843"/>
        <v/>
      </c>
      <c r="I7581" s="16" t="str">
        <f t="shared" ca="1" si="844"/>
        <v/>
      </c>
      <c r="J7581" s="17" t="str">
        <f t="shared" ca="1" si="845"/>
        <v/>
      </c>
    </row>
    <row r="7582" spans="1:10" x14ac:dyDescent="0.25">
      <c r="A7582" t="s">
        <v>964</v>
      </c>
      <c r="B7582" t="str">
        <f>ADDRESS(ROW(DFLoan1!B$18),COLUMN(DFLoan1!B$18),4)</f>
        <v>B18</v>
      </c>
      <c r="C7582" t="str">
        <f>ADDRESS(ROW(DFLoan1!C$18),COLUMN(DFLoan1!C$18),4)</f>
        <v>C18</v>
      </c>
      <c r="D7582" t="b" cm="1">
        <f t="array" aca="1" ref="D7582" ca="1">IF(INDIRECT("'"&amp;A7582&amp;"'!"&amp;B7582)&gt;INDIRECT("'"&amp;A7582&amp;"'!$B$14"),TRUE,FALSE)</f>
        <v>0</v>
      </c>
      <c r="E7582" t="s">
        <v>930</v>
      </c>
      <c r="F7582" t="str">
        <f>INDEX(Lists!I:I,MATCH(Validation!E7582,Lists!G:G,0))</f>
        <v>Alert</v>
      </c>
      <c r="G7582" t="str">
        <f>INDEX(Lists!H:H,MATCH(Validation!E7582,Lists!G:G,0))</f>
        <v>Draw exceeds resolution amount! Submit form but explain in comments box and remedy.</v>
      </c>
      <c r="H7582" s="16" t="str">
        <f t="shared" ca="1" si="843"/>
        <v/>
      </c>
      <c r="I7582" s="16" t="str">
        <f t="shared" ca="1" si="844"/>
        <v/>
      </c>
      <c r="J7582" s="17" t="str">
        <f t="shared" ca="1" si="845"/>
        <v/>
      </c>
    </row>
    <row r="7583" spans="1:10" x14ac:dyDescent="0.25">
      <c r="A7583" t="s">
        <v>965</v>
      </c>
      <c r="B7583" t="str">
        <f>ADDRESS(ROW(DFLoan1!B$18),COLUMN(DFLoan1!B$18),4)</f>
        <v>B18</v>
      </c>
      <c r="C7583" t="str">
        <f>ADDRESS(ROW(DFLoan1!C$18),COLUMN(DFLoan1!C$18),4)</f>
        <v>C18</v>
      </c>
      <c r="D7583" t="b" cm="1">
        <f t="array" aca="1" ref="D7583" ca="1">IF(INDIRECT("'"&amp;A7583&amp;"'!"&amp;B7583)&gt;INDIRECT("'"&amp;A7583&amp;"'!$B$14"),TRUE,FALSE)</f>
        <v>0</v>
      </c>
      <c r="E7583" t="s">
        <v>930</v>
      </c>
      <c r="F7583" t="str">
        <f>INDEX(Lists!I:I,MATCH(Validation!E7583,Lists!G:G,0))</f>
        <v>Alert</v>
      </c>
      <c r="G7583" t="str">
        <f>INDEX(Lists!H:H,MATCH(Validation!E7583,Lists!G:G,0))</f>
        <v>Draw exceeds resolution amount! Submit form but explain in comments box and remedy.</v>
      </c>
      <c r="H7583" s="16" t="str">
        <f t="shared" ca="1" si="843"/>
        <v/>
      </c>
      <c r="I7583" s="16" t="str">
        <f t="shared" ca="1" si="844"/>
        <v/>
      </c>
      <c r="J7583" s="17" t="str">
        <f t="shared" ca="1" si="845"/>
        <v/>
      </c>
    </row>
    <row r="7584" spans="1:10" x14ac:dyDescent="0.25">
      <c r="A7584" t="s">
        <v>966</v>
      </c>
      <c r="B7584" t="str">
        <f>ADDRESS(ROW(DFLoan1!B$18),COLUMN(DFLoan1!B$18),4)</f>
        <v>B18</v>
      </c>
      <c r="C7584" t="str">
        <f>ADDRESS(ROW(DFLoan1!C$18),COLUMN(DFLoan1!C$18),4)</f>
        <v>C18</v>
      </c>
      <c r="D7584" t="b" cm="1">
        <f t="array" aca="1" ref="D7584" ca="1">IF(INDIRECT("'"&amp;A7584&amp;"'!"&amp;B7584)&gt;INDIRECT("'"&amp;A7584&amp;"'!$B$14"),TRUE,FALSE)</f>
        <v>0</v>
      </c>
      <c r="E7584" t="s">
        <v>930</v>
      </c>
      <c r="F7584" t="str">
        <f>INDEX(Lists!I:I,MATCH(Validation!E7584,Lists!G:G,0))</f>
        <v>Alert</v>
      </c>
      <c r="G7584" t="str">
        <f>INDEX(Lists!H:H,MATCH(Validation!E7584,Lists!G:G,0))</f>
        <v>Draw exceeds resolution amount! Submit form but explain in comments box and remedy.</v>
      </c>
      <c r="H7584" s="16" t="str">
        <f t="shared" ca="1" si="843"/>
        <v/>
      </c>
      <c r="I7584" s="16" t="str">
        <f t="shared" ca="1" si="844"/>
        <v/>
      </c>
      <c r="J7584" s="17" t="str">
        <f t="shared" ca="1" si="845"/>
        <v/>
      </c>
    </row>
    <row r="7585" spans="1:10" x14ac:dyDescent="0.25">
      <c r="A7585" t="s">
        <v>881</v>
      </c>
      <c r="B7585" t="str">
        <f>ADDRESS(ROW(DFLoan1!B$19),COLUMN(DFLoan1!B$19),4)</f>
        <v>B19</v>
      </c>
      <c r="C7585" t="str">
        <f>ADDRESS(ROW(DFLoan1!C$19),COLUMN(DFLoan1!C$19),4)</f>
        <v>C19</v>
      </c>
      <c r="D7585" t="b" cm="1">
        <f t="array" aca="1" ref="D7585" ca="1">IF(INDIRECT("'"&amp;A7585&amp;"'!"&amp;B7585)="",FALSE,IF(NOT(ISNUMBER(INDIRECT("'"&amp;A7585&amp;"'!"&amp;B7585))),TRUE,FALSE))</f>
        <v>0</v>
      </c>
      <c r="E7585" t="s">
        <v>435</v>
      </c>
      <c r="F7585" t="str">
        <f>INDEX(Lists!I:I,MATCH(Validation!E7585,Lists!G:G,0))</f>
        <v>Error</v>
      </c>
      <c r="G7585" t="str">
        <f>INDEX(Lists!H:H,MATCH(Validation!E7585,Lists!G:G,0))</f>
        <v>Enter an amount only. Do not enter text or spaces.</v>
      </c>
      <c r="H7585" s="16" t="str">
        <f t="shared" ca="1" si="843"/>
        <v/>
      </c>
      <c r="I7585" s="16" t="str">
        <f t="shared" ca="1" si="844"/>
        <v/>
      </c>
      <c r="J7585" s="17" t="str">
        <f t="shared" ca="1" si="845"/>
        <v/>
      </c>
    </row>
    <row r="7586" spans="1:10" x14ac:dyDescent="0.25">
      <c r="A7586" t="s">
        <v>953</v>
      </c>
      <c r="B7586" t="str">
        <f>ADDRESS(ROW(DFLoan1!B$19),COLUMN(DFLoan1!B$19),4)</f>
        <v>B19</v>
      </c>
      <c r="C7586" t="str">
        <f>ADDRESS(ROW(DFLoan1!C$19),COLUMN(DFLoan1!C$19),4)</f>
        <v>C19</v>
      </c>
      <c r="D7586" t="b" cm="1">
        <f t="array" aca="1" ref="D7586" ca="1">IF(INDIRECT("'"&amp;A7586&amp;"'!"&amp;B7586)="",FALSE,IF(NOT(ISNUMBER(INDIRECT("'"&amp;A7586&amp;"'!"&amp;B7586))),TRUE,FALSE))</f>
        <v>0</v>
      </c>
      <c r="E7586" t="s">
        <v>435</v>
      </c>
      <c r="F7586" t="str">
        <f>INDEX(Lists!I:I,MATCH(Validation!E7586,Lists!G:G,0))</f>
        <v>Error</v>
      </c>
      <c r="G7586" t="str">
        <f>INDEX(Lists!H:H,MATCH(Validation!E7586,Lists!G:G,0))</f>
        <v>Enter an amount only. Do not enter text or spaces.</v>
      </c>
      <c r="H7586" s="16" t="str">
        <f t="shared" ca="1" si="843"/>
        <v/>
      </c>
      <c r="I7586" s="16" t="str">
        <f t="shared" ca="1" si="844"/>
        <v/>
      </c>
      <c r="J7586" s="17" t="str">
        <f t="shared" ca="1" si="845"/>
        <v/>
      </c>
    </row>
    <row r="7587" spans="1:10" x14ac:dyDescent="0.25">
      <c r="A7587" t="s">
        <v>954</v>
      </c>
      <c r="B7587" t="str">
        <f>ADDRESS(ROW(DFLoan1!B$19),COLUMN(DFLoan1!B$19),4)</f>
        <v>B19</v>
      </c>
      <c r="C7587" t="str">
        <f>ADDRESS(ROW(DFLoan1!C$19),COLUMN(DFLoan1!C$19),4)</f>
        <v>C19</v>
      </c>
      <c r="D7587" t="b" cm="1">
        <f t="array" aca="1" ref="D7587" ca="1">IF(INDIRECT("'"&amp;A7587&amp;"'!"&amp;B7587)="",FALSE,IF(NOT(ISNUMBER(INDIRECT("'"&amp;A7587&amp;"'!"&amp;B7587))),TRUE,FALSE))</f>
        <v>0</v>
      </c>
      <c r="E7587" t="s">
        <v>435</v>
      </c>
      <c r="F7587" t="str">
        <f>INDEX(Lists!I:I,MATCH(Validation!E7587,Lists!G:G,0))</f>
        <v>Error</v>
      </c>
      <c r="G7587" t="str">
        <f>INDEX(Lists!H:H,MATCH(Validation!E7587,Lists!G:G,0))</f>
        <v>Enter an amount only. Do not enter text or spaces.</v>
      </c>
      <c r="H7587" s="16" t="str">
        <f t="shared" ca="1" si="843"/>
        <v/>
      </c>
      <c r="I7587" s="16" t="str">
        <f t="shared" ca="1" si="844"/>
        <v/>
      </c>
      <c r="J7587" s="17" t="str">
        <f t="shared" ca="1" si="845"/>
        <v/>
      </c>
    </row>
    <row r="7588" spans="1:10" x14ac:dyDescent="0.25">
      <c r="A7588" t="s">
        <v>955</v>
      </c>
      <c r="B7588" t="str">
        <f>ADDRESS(ROW(DFLoan1!B$19),COLUMN(DFLoan1!B$19),4)</f>
        <v>B19</v>
      </c>
      <c r="C7588" t="str">
        <f>ADDRESS(ROW(DFLoan1!C$19),COLUMN(DFLoan1!C$19),4)</f>
        <v>C19</v>
      </c>
      <c r="D7588" t="b" cm="1">
        <f t="array" aca="1" ref="D7588" ca="1">IF(INDIRECT("'"&amp;A7588&amp;"'!"&amp;B7588)="",FALSE,IF(NOT(ISNUMBER(INDIRECT("'"&amp;A7588&amp;"'!"&amp;B7588))),TRUE,FALSE))</f>
        <v>0</v>
      </c>
      <c r="E7588" t="s">
        <v>435</v>
      </c>
      <c r="F7588" t="str">
        <f>INDEX(Lists!I:I,MATCH(Validation!E7588,Lists!G:G,0))</f>
        <v>Error</v>
      </c>
      <c r="G7588" t="str">
        <f>INDEX(Lists!H:H,MATCH(Validation!E7588,Lists!G:G,0))</f>
        <v>Enter an amount only. Do not enter text or spaces.</v>
      </c>
      <c r="H7588" s="16" t="str">
        <f t="shared" ca="1" si="843"/>
        <v/>
      </c>
      <c r="I7588" s="16" t="str">
        <f t="shared" ca="1" si="844"/>
        <v/>
      </c>
      <c r="J7588" s="17" t="str">
        <f t="shared" ca="1" si="845"/>
        <v/>
      </c>
    </row>
    <row r="7589" spans="1:10" x14ac:dyDescent="0.25">
      <c r="A7589" t="s">
        <v>956</v>
      </c>
      <c r="B7589" t="str">
        <f>ADDRESS(ROW(DFLoan1!B$19),COLUMN(DFLoan1!B$19),4)</f>
        <v>B19</v>
      </c>
      <c r="C7589" t="str">
        <f>ADDRESS(ROW(DFLoan1!C$19),COLUMN(DFLoan1!C$19),4)</f>
        <v>C19</v>
      </c>
      <c r="D7589" t="b" cm="1">
        <f t="array" aca="1" ref="D7589" ca="1">IF(INDIRECT("'"&amp;A7589&amp;"'!"&amp;B7589)="",FALSE,IF(NOT(ISNUMBER(INDIRECT("'"&amp;A7589&amp;"'!"&amp;B7589))),TRUE,FALSE))</f>
        <v>0</v>
      </c>
      <c r="E7589" t="s">
        <v>435</v>
      </c>
      <c r="F7589" t="str">
        <f>INDEX(Lists!I:I,MATCH(Validation!E7589,Lists!G:G,0))</f>
        <v>Error</v>
      </c>
      <c r="G7589" t="str">
        <f>INDEX(Lists!H:H,MATCH(Validation!E7589,Lists!G:G,0))</f>
        <v>Enter an amount only. Do not enter text or spaces.</v>
      </c>
      <c r="H7589" s="16" t="str">
        <f t="shared" ca="1" si="843"/>
        <v/>
      </c>
      <c r="I7589" s="16" t="str">
        <f t="shared" ca="1" si="844"/>
        <v/>
      </c>
      <c r="J7589" s="17" t="str">
        <f t="shared" ca="1" si="845"/>
        <v/>
      </c>
    </row>
    <row r="7590" spans="1:10" x14ac:dyDescent="0.25">
      <c r="A7590" t="s">
        <v>957</v>
      </c>
      <c r="B7590" t="str">
        <f>ADDRESS(ROW(DFLoan1!B$19),COLUMN(DFLoan1!B$19),4)</f>
        <v>B19</v>
      </c>
      <c r="C7590" t="str">
        <f>ADDRESS(ROW(DFLoan1!C$19),COLUMN(DFLoan1!C$19),4)</f>
        <v>C19</v>
      </c>
      <c r="D7590" t="b" cm="1">
        <f t="array" aca="1" ref="D7590" ca="1">IF(INDIRECT("'"&amp;A7590&amp;"'!"&amp;B7590)="",FALSE,IF(NOT(ISNUMBER(INDIRECT("'"&amp;A7590&amp;"'!"&amp;B7590))),TRUE,FALSE))</f>
        <v>0</v>
      </c>
      <c r="E7590" t="s">
        <v>435</v>
      </c>
      <c r="F7590" t="str">
        <f>INDEX(Lists!I:I,MATCH(Validation!E7590,Lists!G:G,0))</f>
        <v>Error</v>
      </c>
      <c r="G7590" t="str">
        <f>INDEX(Lists!H:H,MATCH(Validation!E7590,Lists!G:G,0))</f>
        <v>Enter an amount only. Do not enter text or spaces.</v>
      </c>
      <c r="H7590" s="16" t="str">
        <f t="shared" ca="1" si="843"/>
        <v/>
      </c>
      <c r="I7590" s="16" t="str">
        <f t="shared" ca="1" si="844"/>
        <v/>
      </c>
      <c r="J7590" s="17" t="str">
        <f t="shared" ca="1" si="845"/>
        <v/>
      </c>
    </row>
    <row r="7591" spans="1:10" x14ac:dyDescent="0.25">
      <c r="A7591" t="s">
        <v>958</v>
      </c>
      <c r="B7591" t="str">
        <f>ADDRESS(ROW(DFLoan1!B$19),COLUMN(DFLoan1!B$19),4)</f>
        <v>B19</v>
      </c>
      <c r="C7591" t="str">
        <f>ADDRESS(ROW(DFLoan1!C$19),COLUMN(DFLoan1!C$19),4)</f>
        <v>C19</v>
      </c>
      <c r="D7591" t="b" cm="1">
        <f t="array" aca="1" ref="D7591" ca="1">IF(INDIRECT("'"&amp;A7591&amp;"'!"&amp;B7591)="",FALSE,IF(NOT(ISNUMBER(INDIRECT("'"&amp;A7591&amp;"'!"&amp;B7591))),TRUE,FALSE))</f>
        <v>0</v>
      </c>
      <c r="E7591" t="s">
        <v>435</v>
      </c>
      <c r="F7591" t="str">
        <f>INDEX(Lists!I:I,MATCH(Validation!E7591,Lists!G:G,0))</f>
        <v>Error</v>
      </c>
      <c r="G7591" t="str">
        <f>INDEX(Lists!H:H,MATCH(Validation!E7591,Lists!G:G,0))</f>
        <v>Enter an amount only. Do not enter text or spaces.</v>
      </c>
      <c r="H7591" s="16" t="str">
        <f t="shared" ca="1" si="843"/>
        <v/>
      </c>
      <c r="I7591" s="16" t="str">
        <f t="shared" ca="1" si="844"/>
        <v/>
      </c>
      <c r="J7591" s="17" t="str">
        <f t="shared" ca="1" si="845"/>
        <v/>
      </c>
    </row>
    <row r="7592" spans="1:10" x14ac:dyDescent="0.25">
      <c r="A7592" t="s">
        <v>959</v>
      </c>
      <c r="B7592" t="str">
        <f>ADDRESS(ROW(DFLoan1!B$19),COLUMN(DFLoan1!B$19),4)</f>
        <v>B19</v>
      </c>
      <c r="C7592" t="str">
        <f>ADDRESS(ROW(DFLoan1!C$19),COLUMN(DFLoan1!C$19),4)</f>
        <v>C19</v>
      </c>
      <c r="D7592" t="b" cm="1">
        <f t="array" aca="1" ref="D7592" ca="1">IF(INDIRECT("'"&amp;A7592&amp;"'!"&amp;B7592)="",FALSE,IF(NOT(ISNUMBER(INDIRECT("'"&amp;A7592&amp;"'!"&amp;B7592))),TRUE,FALSE))</f>
        <v>0</v>
      </c>
      <c r="E7592" t="s">
        <v>435</v>
      </c>
      <c r="F7592" t="str">
        <f>INDEX(Lists!I:I,MATCH(Validation!E7592,Lists!G:G,0))</f>
        <v>Error</v>
      </c>
      <c r="G7592" t="str">
        <f>INDEX(Lists!H:H,MATCH(Validation!E7592,Lists!G:G,0))</f>
        <v>Enter an amount only. Do not enter text or spaces.</v>
      </c>
      <c r="H7592" s="16" t="str">
        <f t="shared" ca="1" si="843"/>
        <v/>
      </c>
      <c r="I7592" s="16" t="str">
        <f t="shared" ca="1" si="844"/>
        <v/>
      </c>
      <c r="J7592" s="17" t="str">
        <f t="shared" ca="1" si="845"/>
        <v/>
      </c>
    </row>
    <row r="7593" spans="1:10" x14ac:dyDescent="0.25">
      <c r="A7593" t="s">
        <v>960</v>
      </c>
      <c r="B7593" t="str">
        <f>ADDRESS(ROW(DFLoan1!B$19),COLUMN(DFLoan1!B$19),4)</f>
        <v>B19</v>
      </c>
      <c r="C7593" t="str">
        <f>ADDRESS(ROW(DFLoan1!C$19),COLUMN(DFLoan1!C$19),4)</f>
        <v>C19</v>
      </c>
      <c r="D7593" t="b" cm="1">
        <f t="array" aca="1" ref="D7593" ca="1">IF(INDIRECT("'"&amp;A7593&amp;"'!"&amp;B7593)="",FALSE,IF(NOT(ISNUMBER(INDIRECT("'"&amp;A7593&amp;"'!"&amp;B7593))),TRUE,FALSE))</f>
        <v>0</v>
      </c>
      <c r="E7593" t="s">
        <v>435</v>
      </c>
      <c r="F7593" t="str">
        <f>INDEX(Lists!I:I,MATCH(Validation!E7593,Lists!G:G,0))</f>
        <v>Error</v>
      </c>
      <c r="G7593" t="str">
        <f>INDEX(Lists!H:H,MATCH(Validation!E7593,Lists!G:G,0))</f>
        <v>Enter an amount only. Do not enter text or spaces.</v>
      </c>
      <c r="H7593" s="16" t="str">
        <f t="shared" ca="1" si="843"/>
        <v/>
      </c>
      <c r="I7593" s="16" t="str">
        <f t="shared" ca="1" si="844"/>
        <v/>
      </c>
      <c r="J7593" s="17" t="str">
        <f t="shared" ca="1" si="845"/>
        <v/>
      </c>
    </row>
    <row r="7594" spans="1:10" x14ac:dyDescent="0.25">
      <c r="A7594" t="s">
        <v>961</v>
      </c>
      <c r="B7594" t="str">
        <f>ADDRESS(ROW(DFLoan1!B$19),COLUMN(DFLoan1!B$19),4)</f>
        <v>B19</v>
      </c>
      <c r="C7594" t="str">
        <f>ADDRESS(ROW(DFLoan1!C$19),COLUMN(DFLoan1!C$19),4)</f>
        <v>C19</v>
      </c>
      <c r="D7594" t="b" cm="1">
        <f t="array" aca="1" ref="D7594" ca="1">IF(INDIRECT("'"&amp;A7594&amp;"'!"&amp;B7594)="",FALSE,IF(NOT(ISNUMBER(INDIRECT("'"&amp;A7594&amp;"'!"&amp;B7594))),TRUE,FALSE))</f>
        <v>0</v>
      </c>
      <c r="E7594" t="s">
        <v>435</v>
      </c>
      <c r="F7594" t="str">
        <f>INDEX(Lists!I:I,MATCH(Validation!E7594,Lists!G:G,0))</f>
        <v>Error</v>
      </c>
      <c r="G7594" t="str">
        <f>INDEX(Lists!H:H,MATCH(Validation!E7594,Lists!G:G,0))</f>
        <v>Enter an amount only. Do not enter text or spaces.</v>
      </c>
      <c r="H7594" s="16" t="str">
        <f t="shared" ca="1" si="843"/>
        <v/>
      </c>
      <c r="I7594" s="16" t="str">
        <f t="shared" ca="1" si="844"/>
        <v/>
      </c>
      <c r="J7594" s="17" t="str">
        <f t="shared" ca="1" si="845"/>
        <v/>
      </c>
    </row>
    <row r="7595" spans="1:10" x14ac:dyDescent="0.25">
      <c r="A7595" t="s">
        <v>962</v>
      </c>
      <c r="B7595" t="str">
        <f>ADDRESS(ROW(DFLoan1!B$19),COLUMN(DFLoan1!B$19),4)</f>
        <v>B19</v>
      </c>
      <c r="C7595" t="str">
        <f>ADDRESS(ROW(DFLoan1!C$19),COLUMN(DFLoan1!C$19),4)</f>
        <v>C19</v>
      </c>
      <c r="D7595" t="b" cm="1">
        <f t="array" aca="1" ref="D7595" ca="1">IF(INDIRECT("'"&amp;A7595&amp;"'!"&amp;B7595)="",FALSE,IF(NOT(ISNUMBER(INDIRECT("'"&amp;A7595&amp;"'!"&amp;B7595))),TRUE,FALSE))</f>
        <v>0</v>
      </c>
      <c r="E7595" t="s">
        <v>435</v>
      </c>
      <c r="F7595" t="str">
        <f>INDEX(Lists!I:I,MATCH(Validation!E7595,Lists!G:G,0))</f>
        <v>Error</v>
      </c>
      <c r="G7595" t="str">
        <f>INDEX(Lists!H:H,MATCH(Validation!E7595,Lists!G:G,0))</f>
        <v>Enter an amount only. Do not enter text or spaces.</v>
      </c>
      <c r="H7595" s="16" t="str">
        <f t="shared" ca="1" si="843"/>
        <v/>
      </c>
      <c r="I7595" s="16" t="str">
        <f t="shared" ca="1" si="844"/>
        <v/>
      </c>
      <c r="J7595" s="17" t="str">
        <f t="shared" ca="1" si="845"/>
        <v/>
      </c>
    </row>
    <row r="7596" spans="1:10" x14ac:dyDescent="0.25">
      <c r="A7596" t="s">
        <v>963</v>
      </c>
      <c r="B7596" t="str">
        <f>ADDRESS(ROW(DFLoan1!B$19),COLUMN(DFLoan1!B$19),4)</f>
        <v>B19</v>
      </c>
      <c r="C7596" t="str">
        <f>ADDRESS(ROW(DFLoan1!C$19),COLUMN(DFLoan1!C$19),4)</f>
        <v>C19</v>
      </c>
      <c r="D7596" t="b" cm="1">
        <f t="array" aca="1" ref="D7596" ca="1">IF(INDIRECT("'"&amp;A7596&amp;"'!"&amp;B7596)="",FALSE,IF(NOT(ISNUMBER(INDIRECT("'"&amp;A7596&amp;"'!"&amp;B7596))),TRUE,FALSE))</f>
        <v>0</v>
      </c>
      <c r="E7596" t="s">
        <v>435</v>
      </c>
      <c r="F7596" t="str">
        <f>INDEX(Lists!I:I,MATCH(Validation!E7596,Lists!G:G,0))</f>
        <v>Error</v>
      </c>
      <c r="G7596" t="str">
        <f>INDEX(Lists!H:H,MATCH(Validation!E7596,Lists!G:G,0))</f>
        <v>Enter an amount only. Do not enter text or spaces.</v>
      </c>
      <c r="H7596" s="16" t="str">
        <f t="shared" ca="1" si="843"/>
        <v/>
      </c>
      <c r="I7596" s="16" t="str">
        <f t="shared" ca="1" si="844"/>
        <v/>
      </c>
      <c r="J7596" s="17" t="str">
        <f t="shared" ca="1" si="845"/>
        <v/>
      </c>
    </row>
    <row r="7597" spans="1:10" x14ac:dyDescent="0.25">
      <c r="A7597" t="s">
        <v>964</v>
      </c>
      <c r="B7597" t="str">
        <f>ADDRESS(ROW(DFLoan1!B$19),COLUMN(DFLoan1!B$19),4)</f>
        <v>B19</v>
      </c>
      <c r="C7597" t="str">
        <f>ADDRESS(ROW(DFLoan1!C$19),COLUMN(DFLoan1!C$19),4)</f>
        <v>C19</v>
      </c>
      <c r="D7597" t="b" cm="1">
        <f t="array" aca="1" ref="D7597" ca="1">IF(INDIRECT("'"&amp;A7597&amp;"'!"&amp;B7597)="",FALSE,IF(NOT(ISNUMBER(INDIRECT("'"&amp;A7597&amp;"'!"&amp;B7597))),TRUE,FALSE))</f>
        <v>0</v>
      </c>
      <c r="E7597" t="s">
        <v>435</v>
      </c>
      <c r="F7597" t="str">
        <f>INDEX(Lists!I:I,MATCH(Validation!E7597,Lists!G:G,0))</f>
        <v>Error</v>
      </c>
      <c r="G7597" t="str">
        <f>INDEX(Lists!H:H,MATCH(Validation!E7597,Lists!G:G,0))</f>
        <v>Enter an amount only. Do not enter text or spaces.</v>
      </c>
      <c r="H7597" s="16" t="str">
        <f t="shared" ca="1" si="843"/>
        <v/>
      </c>
      <c r="I7597" s="16" t="str">
        <f t="shared" ca="1" si="844"/>
        <v/>
      </c>
      <c r="J7597" s="17" t="str">
        <f t="shared" ca="1" si="845"/>
        <v/>
      </c>
    </row>
    <row r="7598" spans="1:10" x14ac:dyDescent="0.25">
      <c r="A7598" t="s">
        <v>965</v>
      </c>
      <c r="B7598" t="str">
        <f>ADDRESS(ROW(DFLoan1!B$19),COLUMN(DFLoan1!B$19),4)</f>
        <v>B19</v>
      </c>
      <c r="C7598" t="str">
        <f>ADDRESS(ROW(DFLoan1!C$19),COLUMN(DFLoan1!C$19),4)</f>
        <v>C19</v>
      </c>
      <c r="D7598" t="b" cm="1">
        <f t="array" aca="1" ref="D7598" ca="1">IF(INDIRECT("'"&amp;A7598&amp;"'!"&amp;B7598)="",FALSE,IF(NOT(ISNUMBER(INDIRECT("'"&amp;A7598&amp;"'!"&amp;B7598))),TRUE,FALSE))</f>
        <v>0</v>
      </c>
      <c r="E7598" t="s">
        <v>435</v>
      </c>
      <c r="F7598" t="str">
        <f>INDEX(Lists!I:I,MATCH(Validation!E7598,Lists!G:G,0))</f>
        <v>Error</v>
      </c>
      <c r="G7598" t="str">
        <f>INDEX(Lists!H:H,MATCH(Validation!E7598,Lists!G:G,0))</f>
        <v>Enter an amount only. Do not enter text or spaces.</v>
      </c>
      <c r="H7598" s="16" t="str">
        <f t="shared" ca="1" si="843"/>
        <v/>
      </c>
      <c r="I7598" s="16" t="str">
        <f t="shared" ca="1" si="844"/>
        <v/>
      </c>
      <c r="J7598" s="17" t="str">
        <f t="shared" ca="1" si="845"/>
        <v/>
      </c>
    </row>
    <row r="7599" spans="1:10" x14ac:dyDescent="0.25">
      <c r="A7599" t="s">
        <v>966</v>
      </c>
      <c r="B7599" t="str">
        <f>ADDRESS(ROW(DFLoan1!B$19),COLUMN(DFLoan1!B$19),4)</f>
        <v>B19</v>
      </c>
      <c r="C7599" t="str">
        <f>ADDRESS(ROW(DFLoan1!C$19),COLUMN(DFLoan1!C$19),4)</f>
        <v>C19</v>
      </c>
      <c r="D7599" t="b" cm="1">
        <f t="array" aca="1" ref="D7599" ca="1">IF(INDIRECT("'"&amp;A7599&amp;"'!"&amp;B7599)="",FALSE,IF(NOT(ISNUMBER(INDIRECT("'"&amp;A7599&amp;"'!"&amp;B7599))),TRUE,FALSE))</f>
        <v>0</v>
      </c>
      <c r="E7599" t="s">
        <v>435</v>
      </c>
      <c r="F7599" t="str">
        <f>INDEX(Lists!I:I,MATCH(Validation!E7599,Lists!G:G,0))</f>
        <v>Error</v>
      </c>
      <c r="G7599" t="str">
        <f>INDEX(Lists!H:H,MATCH(Validation!E7599,Lists!G:G,0))</f>
        <v>Enter an amount only. Do not enter text or spaces.</v>
      </c>
      <c r="H7599" s="16" t="str">
        <f t="shared" ca="1" si="843"/>
        <v/>
      </c>
      <c r="I7599" s="16" t="str">
        <f t="shared" ca="1" si="844"/>
        <v/>
      </c>
      <c r="J7599" s="17" t="str">
        <f t="shared" ca="1" si="845"/>
        <v/>
      </c>
    </row>
    <row r="7600" spans="1:10" x14ac:dyDescent="0.25">
      <c r="A7600" t="s">
        <v>881</v>
      </c>
      <c r="B7600" t="str">
        <f>ADDRESS(ROW(DFLoan1!B$19),COLUMN(DFLoan1!B$19),4)</f>
        <v>B19</v>
      </c>
      <c r="C7600" t="str">
        <f>ADDRESS(ROW(DFLoan1!C$19),COLUMN(DFLoan1!C$19),4)</f>
        <v>C19</v>
      </c>
      <c r="D7600" t="b" cm="1">
        <f t="array" aca="1" ref="D7600" ca="1">IF(INDIRECT("'"&amp;A7600&amp;"'!"&amp;B7600)="",FALSE,IF(INDIRECT("'"&amp;A7600&amp;"'!"&amp;B7600)&lt;0,TRUE,FALSE))</f>
        <v>0</v>
      </c>
      <c r="E7600" t="s">
        <v>434</v>
      </c>
      <c r="F7600" t="str">
        <f>INDEX(Lists!I:I,MATCH(Validation!E7600,Lists!G:G,0))</f>
        <v>Error</v>
      </c>
      <c r="G7600" t="str">
        <f>INDEX(Lists!H:H,MATCH(Validation!E7600,Lists!G:G,0))</f>
        <v>Amount may not be negative. Enter an amount greater than or equal to zero.</v>
      </c>
      <c r="H7600" s="16" t="str">
        <f t="shared" ref="H7600:H7663" ca="1" si="846">IFERROR(IF(OR(NOT(D7600),F7600&lt;&gt;"Error"),"",A7600&amp;CELL("address",INDIRECT(B7600))),"")</f>
        <v/>
      </c>
      <c r="I7600" s="16" t="str">
        <f t="shared" ref="I7600:I7663" ca="1" si="847">IFERROR(IF(NOT(D7600),"",A7600&amp;CELL("address",INDIRECT(C7600))),"")</f>
        <v/>
      </c>
      <c r="J7600" s="17" t="str">
        <f t="shared" ref="J7600:J7663" ca="1" si="848">IFERROR(IF(NOT(D7600),"",A7600),"")</f>
        <v/>
      </c>
    </row>
    <row r="7601" spans="1:10" x14ac:dyDescent="0.25">
      <c r="A7601" t="s">
        <v>953</v>
      </c>
      <c r="B7601" t="str">
        <f>ADDRESS(ROW(DFLoan1!B$19),COLUMN(DFLoan1!B$19),4)</f>
        <v>B19</v>
      </c>
      <c r="C7601" t="str">
        <f>ADDRESS(ROW(DFLoan1!C$19),COLUMN(DFLoan1!C$19),4)</f>
        <v>C19</v>
      </c>
      <c r="D7601" t="b" cm="1">
        <f t="array" aca="1" ref="D7601" ca="1">IF(INDIRECT("'"&amp;A7601&amp;"'!"&amp;B7601)="",FALSE,IF(INDIRECT("'"&amp;A7601&amp;"'!"&amp;B7601)&lt;0,TRUE,FALSE))</f>
        <v>0</v>
      </c>
      <c r="E7601" t="s">
        <v>434</v>
      </c>
      <c r="F7601" t="str">
        <f>INDEX(Lists!I:I,MATCH(Validation!E7601,Lists!G:G,0))</f>
        <v>Error</v>
      </c>
      <c r="G7601" t="str">
        <f>INDEX(Lists!H:H,MATCH(Validation!E7601,Lists!G:G,0))</f>
        <v>Amount may not be negative. Enter an amount greater than or equal to zero.</v>
      </c>
      <c r="H7601" s="16" t="str">
        <f t="shared" ca="1" si="846"/>
        <v/>
      </c>
      <c r="I7601" s="16" t="str">
        <f t="shared" ca="1" si="847"/>
        <v/>
      </c>
      <c r="J7601" s="17" t="str">
        <f t="shared" ca="1" si="848"/>
        <v/>
      </c>
    </row>
    <row r="7602" spans="1:10" x14ac:dyDescent="0.25">
      <c r="A7602" t="s">
        <v>954</v>
      </c>
      <c r="B7602" t="str">
        <f>ADDRESS(ROW(DFLoan1!B$19),COLUMN(DFLoan1!B$19),4)</f>
        <v>B19</v>
      </c>
      <c r="C7602" t="str">
        <f>ADDRESS(ROW(DFLoan1!C$19),COLUMN(DFLoan1!C$19),4)</f>
        <v>C19</v>
      </c>
      <c r="D7602" t="b" cm="1">
        <f t="array" aca="1" ref="D7602" ca="1">IF(INDIRECT("'"&amp;A7602&amp;"'!"&amp;B7602)="",FALSE,IF(INDIRECT("'"&amp;A7602&amp;"'!"&amp;B7602)&lt;0,TRUE,FALSE))</f>
        <v>0</v>
      </c>
      <c r="E7602" t="s">
        <v>434</v>
      </c>
      <c r="F7602" t="str">
        <f>INDEX(Lists!I:I,MATCH(Validation!E7602,Lists!G:G,0))</f>
        <v>Error</v>
      </c>
      <c r="G7602" t="str">
        <f>INDEX(Lists!H:H,MATCH(Validation!E7602,Lists!G:G,0))</f>
        <v>Amount may not be negative. Enter an amount greater than or equal to zero.</v>
      </c>
      <c r="H7602" s="16" t="str">
        <f t="shared" ca="1" si="846"/>
        <v/>
      </c>
      <c r="I7602" s="16" t="str">
        <f t="shared" ca="1" si="847"/>
        <v/>
      </c>
      <c r="J7602" s="17" t="str">
        <f t="shared" ca="1" si="848"/>
        <v/>
      </c>
    </row>
    <row r="7603" spans="1:10" x14ac:dyDescent="0.25">
      <c r="A7603" t="s">
        <v>955</v>
      </c>
      <c r="B7603" t="str">
        <f>ADDRESS(ROW(DFLoan1!B$19),COLUMN(DFLoan1!B$19),4)</f>
        <v>B19</v>
      </c>
      <c r="C7603" t="str">
        <f>ADDRESS(ROW(DFLoan1!C$19),COLUMN(DFLoan1!C$19),4)</f>
        <v>C19</v>
      </c>
      <c r="D7603" t="b" cm="1">
        <f t="array" aca="1" ref="D7603" ca="1">IF(INDIRECT("'"&amp;A7603&amp;"'!"&amp;B7603)="",FALSE,IF(INDIRECT("'"&amp;A7603&amp;"'!"&amp;B7603)&lt;0,TRUE,FALSE))</f>
        <v>0</v>
      </c>
      <c r="E7603" t="s">
        <v>434</v>
      </c>
      <c r="F7603" t="str">
        <f>INDEX(Lists!I:I,MATCH(Validation!E7603,Lists!G:G,0))</f>
        <v>Error</v>
      </c>
      <c r="G7603" t="str">
        <f>INDEX(Lists!H:H,MATCH(Validation!E7603,Lists!G:G,0))</f>
        <v>Amount may not be negative. Enter an amount greater than or equal to zero.</v>
      </c>
      <c r="H7603" s="16" t="str">
        <f t="shared" ca="1" si="846"/>
        <v/>
      </c>
      <c r="I7603" s="16" t="str">
        <f t="shared" ca="1" si="847"/>
        <v/>
      </c>
      <c r="J7603" s="17" t="str">
        <f t="shared" ca="1" si="848"/>
        <v/>
      </c>
    </row>
    <row r="7604" spans="1:10" x14ac:dyDescent="0.25">
      <c r="A7604" t="s">
        <v>956</v>
      </c>
      <c r="B7604" t="str">
        <f>ADDRESS(ROW(DFLoan1!B$19),COLUMN(DFLoan1!B$19),4)</f>
        <v>B19</v>
      </c>
      <c r="C7604" t="str">
        <f>ADDRESS(ROW(DFLoan1!C$19),COLUMN(DFLoan1!C$19),4)</f>
        <v>C19</v>
      </c>
      <c r="D7604" t="b" cm="1">
        <f t="array" aca="1" ref="D7604" ca="1">IF(INDIRECT("'"&amp;A7604&amp;"'!"&amp;B7604)="",FALSE,IF(INDIRECT("'"&amp;A7604&amp;"'!"&amp;B7604)&lt;0,TRUE,FALSE))</f>
        <v>0</v>
      </c>
      <c r="E7604" t="s">
        <v>434</v>
      </c>
      <c r="F7604" t="str">
        <f>INDEX(Lists!I:I,MATCH(Validation!E7604,Lists!G:G,0))</f>
        <v>Error</v>
      </c>
      <c r="G7604" t="str">
        <f>INDEX(Lists!H:H,MATCH(Validation!E7604,Lists!G:G,0))</f>
        <v>Amount may not be negative. Enter an amount greater than or equal to zero.</v>
      </c>
      <c r="H7604" s="16" t="str">
        <f t="shared" ca="1" si="846"/>
        <v/>
      </c>
      <c r="I7604" s="16" t="str">
        <f t="shared" ca="1" si="847"/>
        <v/>
      </c>
      <c r="J7604" s="17" t="str">
        <f t="shared" ca="1" si="848"/>
        <v/>
      </c>
    </row>
    <row r="7605" spans="1:10" x14ac:dyDescent="0.25">
      <c r="A7605" t="s">
        <v>957</v>
      </c>
      <c r="B7605" t="str">
        <f>ADDRESS(ROW(DFLoan1!B$19),COLUMN(DFLoan1!B$19),4)</f>
        <v>B19</v>
      </c>
      <c r="C7605" t="str">
        <f>ADDRESS(ROW(DFLoan1!C$19),COLUMN(DFLoan1!C$19),4)</f>
        <v>C19</v>
      </c>
      <c r="D7605" t="b" cm="1">
        <f t="array" aca="1" ref="D7605" ca="1">IF(INDIRECT("'"&amp;A7605&amp;"'!"&amp;B7605)="",FALSE,IF(INDIRECT("'"&amp;A7605&amp;"'!"&amp;B7605)&lt;0,TRUE,FALSE))</f>
        <v>0</v>
      </c>
      <c r="E7605" t="s">
        <v>434</v>
      </c>
      <c r="F7605" t="str">
        <f>INDEX(Lists!I:I,MATCH(Validation!E7605,Lists!G:G,0))</f>
        <v>Error</v>
      </c>
      <c r="G7605" t="str">
        <f>INDEX(Lists!H:H,MATCH(Validation!E7605,Lists!G:G,0))</f>
        <v>Amount may not be negative. Enter an amount greater than or equal to zero.</v>
      </c>
      <c r="H7605" s="16" t="str">
        <f t="shared" ca="1" si="846"/>
        <v/>
      </c>
      <c r="I7605" s="16" t="str">
        <f t="shared" ca="1" si="847"/>
        <v/>
      </c>
      <c r="J7605" s="17" t="str">
        <f t="shared" ca="1" si="848"/>
        <v/>
      </c>
    </row>
    <row r="7606" spans="1:10" x14ac:dyDescent="0.25">
      <c r="A7606" t="s">
        <v>958</v>
      </c>
      <c r="B7606" t="str">
        <f>ADDRESS(ROW(DFLoan1!B$19),COLUMN(DFLoan1!B$19),4)</f>
        <v>B19</v>
      </c>
      <c r="C7606" t="str">
        <f>ADDRESS(ROW(DFLoan1!C$19),COLUMN(DFLoan1!C$19),4)</f>
        <v>C19</v>
      </c>
      <c r="D7606" t="b" cm="1">
        <f t="array" aca="1" ref="D7606" ca="1">IF(INDIRECT("'"&amp;A7606&amp;"'!"&amp;B7606)="",FALSE,IF(INDIRECT("'"&amp;A7606&amp;"'!"&amp;B7606)&lt;0,TRUE,FALSE))</f>
        <v>0</v>
      </c>
      <c r="E7606" t="s">
        <v>434</v>
      </c>
      <c r="F7606" t="str">
        <f>INDEX(Lists!I:I,MATCH(Validation!E7606,Lists!G:G,0))</f>
        <v>Error</v>
      </c>
      <c r="G7606" t="str">
        <f>INDEX(Lists!H:H,MATCH(Validation!E7606,Lists!G:G,0))</f>
        <v>Amount may not be negative. Enter an amount greater than or equal to zero.</v>
      </c>
      <c r="H7606" s="16" t="str">
        <f t="shared" ca="1" si="846"/>
        <v/>
      </c>
      <c r="I7606" s="16" t="str">
        <f t="shared" ca="1" si="847"/>
        <v/>
      </c>
      <c r="J7606" s="17" t="str">
        <f t="shared" ca="1" si="848"/>
        <v/>
      </c>
    </row>
    <row r="7607" spans="1:10" x14ac:dyDescent="0.25">
      <c r="A7607" t="s">
        <v>959</v>
      </c>
      <c r="B7607" t="str">
        <f>ADDRESS(ROW(DFLoan1!B$19),COLUMN(DFLoan1!B$19),4)</f>
        <v>B19</v>
      </c>
      <c r="C7607" t="str">
        <f>ADDRESS(ROW(DFLoan1!C$19),COLUMN(DFLoan1!C$19),4)</f>
        <v>C19</v>
      </c>
      <c r="D7607" t="b" cm="1">
        <f t="array" aca="1" ref="D7607" ca="1">IF(INDIRECT("'"&amp;A7607&amp;"'!"&amp;B7607)="",FALSE,IF(INDIRECT("'"&amp;A7607&amp;"'!"&amp;B7607)&lt;0,TRUE,FALSE))</f>
        <v>0</v>
      </c>
      <c r="E7607" t="s">
        <v>434</v>
      </c>
      <c r="F7607" t="str">
        <f>INDEX(Lists!I:I,MATCH(Validation!E7607,Lists!G:G,0))</f>
        <v>Error</v>
      </c>
      <c r="G7607" t="str">
        <f>INDEX(Lists!H:H,MATCH(Validation!E7607,Lists!G:G,0))</f>
        <v>Amount may not be negative. Enter an amount greater than or equal to zero.</v>
      </c>
      <c r="H7607" s="16" t="str">
        <f t="shared" ca="1" si="846"/>
        <v/>
      </c>
      <c r="I7607" s="16" t="str">
        <f t="shared" ca="1" si="847"/>
        <v/>
      </c>
      <c r="J7607" s="17" t="str">
        <f t="shared" ca="1" si="848"/>
        <v/>
      </c>
    </row>
    <row r="7608" spans="1:10" x14ac:dyDescent="0.25">
      <c r="A7608" t="s">
        <v>960</v>
      </c>
      <c r="B7608" t="str">
        <f>ADDRESS(ROW(DFLoan1!B$19),COLUMN(DFLoan1!B$19),4)</f>
        <v>B19</v>
      </c>
      <c r="C7608" t="str">
        <f>ADDRESS(ROW(DFLoan1!C$19),COLUMN(DFLoan1!C$19),4)</f>
        <v>C19</v>
      </c>
      <c r="D7608" t="b" cm="1">
        <f t="array" aca="1" ref="D7608" ca="1">IF(INDIRECT("'"&amp;A7608&amp;"'!"&amp;B7608)="",FALSE,IF(INDIRECT("'"&amp;A7608&amp;"'!"&amp;B7608)&lt;0,TRUE,FALSE))</f>
        <v>0</v>
      </c>
      <c r="E7608" t="s">
        <v>434</v>
      </c>
      <c r="F7608" t="str">
        <f>INDEX(Lists!I:I,MATCH(Validation!E7608,Lists!G:G,0))</f>
        <v>Error</v>
      </c>
      <c r="G7608" t="str">
        <f>INDEX(Lists!H:H,MATCH(Validation!E7608,Lists!G:G,0))</f>
        <v>Amount may not be negative. Enter an amount greater than or equal to zero.</v>
      </c>
      <c r="H7608" s="16" t="str">
        <f t="shared" ca="1" si="846"/>
        <v/>
      </c>
      <c r="I7608" s="16" t="str">
        <f t="shared" ca="1" si="847"/>
        <v/>
      </c>
      <c r="J7608" s="17" t="str">
        <f t="shared" ca="1" si="848"/>
        <v/>
      </c>
    </row>
    <row r="7609" spans="1:10" x14ac:dyDescent="0.25">
      <c r="A7609" t="s">
        <v>961</v>
      </c>
      <c r="B7609" t="str">
        <f>ADDRESS(ROW(DFLoan1!B$19),COLUMN(DFLoan1!B$19),4)</f>
        <v>B19</v>
      </c>
      <c r="C7609" t="str">
        <f>ADDRESS(ROW(DFLoan1!C$19),COLUMN(DFLoan1!C$19),4)</f>
        <v>C19</v>
      </c>
      <c r="D7609" t="b" cm="1">
        <f t="array" aca="1" ref="D7609" ca="1">IF(INDIRECT("'"&amp;A7609&amp;"'!"&amp;B7609)="",FALSE,IF(INDIRECT("'"&amp;A7609&amp;"'!"&amp;B7609)&lt;0,TRUE,FALSE))</f>
        <v>0</v>
      </c>
      <c r="E7609" t="s">
        <v>434</v>
      </c>
      <c r="F7609" t="str">
        <f>INDEX(Lists!I:I,MATCH(Validation!E7609,Lists!G:G,0))</f>
        <v>Error</v>
      </c>
      <c r="G7609" t="str">
        <f>INDEX(Lists!H:H,MATCH(Validation!E7609,Lists!G:G,0))</f>
        <v>Amount may not be negative. Enter an amount greater than or equal to zero.</v>
      </c>
      <c r="H7609" s="16" t="str">
        <f t="shared" ca="1" si="846"/>
        <v/>
      </c>
      <c r="I7609" s="16" t="str">
        <f t="shared" ca="1" si="847"/>
        <v/>
      </c>
      <c r="J7609" s="17" t="str">
        <f t="shared" ca="1" si="848"/>
        <v/>
      </c>
    </row>
    <row r="7610" spans="1:10" x14ac:dyDescent="0.25">
      <c r="A7610" t="s">
        <v>962</v>
      </c>
      <c r="B7610" t="str">
        <f>ADDRESS(ROW(DFLoan1!B$19),COLUMN(DFLoan1!B$19),4)</f>
        <v>B19</v>
      </c>
      <c r="C7610" t="str">
        <f>ADDRESS(ROW(DFLoan1!C$19),COLUMN(DFLoan1!C$19),4)</f>
        <v>C19</v>
      </c>
      <c r="D7610" t="b" cm="1">
        <f t="array" aca="1" ref="D7610" ca="1">IF(INDIRECT("'"&amp;A7610&amp;"'!"&amp;B7610)="",FALSE,IF(INDIRECT("'"&amp;A7610&amp;"'!"&amp;B7610)&lt;0,TRUE,FALSE))</f>
        <v>0</v>
      </c>
      <c r="E7610" t="s">
        <v>434</v>
      </c>
      <c r="F7610" t="str">
        <f>INDEX(Lists!I:I,MATCH(Validation!E7610,Lists!G:G,0))</f>
        <v>Error</v>
      </c>
      <c r="G7610" t="str">
        <f>INDEX(Lists!H:H,MATCH(Validation!E7610,Lists!G:G,0))</f>
        <v>Amount may not be negative. Enter an amount greater than or equal to zero.</v>
      </c>
      <c r="H7610" s="16" t="str">
        <f t="shared" ca="1" si="846"/>
        <v/>
      </c>
      <c r="I7610" s="16" t="str">
        <f t="shared" ca="1" si="847"/>
        <v/>
      </c>
      <c r="J7610" s="17" t="str">
        <f t="shared" ca="1" si="848"/>
        <v/>
      </c>
    </row>
    <row r="7611" spans="1:10" x14ac:dyDescent="0.25">
      <c r="A7611" t="s">
        <v>963</v>
      </c>
      <c r="B7611" t="str">
        <f>ADDRESS(ROW(DFLoan1!B$19),COLUMN(DFLoan1!B$19),4)</f>
        <v>B19</v>
      </c>
      <c r="C7611" t="str">
        <f>ADDRESS(ROW(DFLoan1!C$19),COLUMN(DFLoan1!C$19),4)</f>
        <v>C19</v>
      </c>
      <c r="D7611" t="b" cm="1">
        <f t="array" aca="1" ref="D7611" ca="1">IF(INDIRECT("'"&amp;A7611&amp;"'!"&amp;B7611)="",FALSE,IF(INDIRECT("'"&amp;A7611&amp;"'!"&amp;B7611)&lt;0,TRUE,FALSE))</f>
        <v>0</v>
      </c>
      <c r="E7611" t="s">
        <v>434</v>
      </c>
      <c r="F7611" t="str">
        <f>INDEX(Lists!I:I,MATCH(Validation!E7611,Lists!G:G,0))</f>
        <v>Error</v>
      </c>
      <c r="G7611" t="str">
        <f>INDEX(Lists!H:H,MATCH(Validation!E7611,Lists!G:G,0))</f>
        <v>Amount may not be negative. Enter an amount greater than or equal to zero.</v>
      </c>
      <c r="H7611" s="16" t="str">
        <f t="shared" ca="1" si="846"/>
        <v/>
      </c>
      <c r="I7611" s="16" t="str">
        <f t="shared" ca="1" si="847"/>
        <v/>
      </c>
      <c r="J7611" s="17" t="str">
        <f t="shared" ca="1" si="848"/>
        <v/>
      </c>
    </row>
    <row r="7612" spans="1:10" x14ac:dyDescent="0.25">
      <c r="A7612" t="s">
        <v>964</v>
      </c>
      <c r="B7612" t="str">
        <f>ADDRESS(ROW(DFLoan1!B$19),COLUMN(DFLoan1!B$19),4)</f>
        <v>B19</v>
      </c>
      <c r="C7612" t="str">
        <f>ADDRESS(ROW(DFLoan1!C$19),COLUMN(DFLoan1!C$19),4)</f>
        <v>C19</v>
      </c>
      <c r="D7612" t="b" cm="1">
        <f t="array" aca="1" ref="D7612" ca="1">IF(INDIRECT("'"&amp;A7612&amp;"'!"&amp;B7612)="",FALSE,IF(INDIRECT("'"&amp;A7612&amp;"'!"&amp;B7612)&lt;0,TRUE,FALSE))</f>
        <v>0</v>
      </c>
      <c r="E7612" t="s">
        <v>434</v>
      </c>
      <c r="F7612" t="str">
        <f>INDEX(Lists!I:I,MATCH(Validation!E7612,Lists!G:G,0))</f>
        <v>Error</v>
      </c>
      <c r="G7612" t="str">
        <f>INDEX(Lists!H:H,MATCH(Validation!E7612,Lists!G:G,0))</f>
        <v>Amount may not be negative. Enter an amount greater than or equal to zero.</v>
      </c>
      <c r="H7612" s="16" t="str">
        <f t="shared" ca="1" si="846"/>
        <v/>
      </c>
      <c r="I7612" s="16" t="str">
        <f t="shared" ca="1" si="847"/>
        <v/>
      </c>
      <c r="J7612" s="17" t="str">
        <f t="shared" ca="1" si="848"/>
        <v/>
      </c>
    </row>
    <row r="7613" spans="1:10" x14ac:dyDescent="0.25">
      <c r="A7613" t="s">
        <v>965</v>
      </c>
      <c r="B7613" t="str">
        <f>ADDRESS(ROW(DFLoan1!B$19),COLUMN(DFLoan1!B$19),4)</f>
        <v>B19</v>
      </c>
      <c r="C7613" t="str">
        <f>ADDRESS(ROW(DFLoan1!C$19),COLUMN(DFLoan1!C$19),4)</f>
        <v>C19</v>
      </c>
      <c r="D7613" t="b" cm="1">
        <f t="array" aca="1" ref="D7613" ca="1">IF(INDIRECT("'"&amp;A7613&amp;"'!"&amp;B7613)="",FALSE,IF(INDIRECT("'"&amp;A7613&amp;"'!"&amp;B7613)&lt;0,TRUE,FALSE))</f>
        <v>0</v>
      </c>
      <c r="E7613" t="s">
        <v>434</v>
      </c>
      <c r="F7613" t="str">
        <f>INDEX(Lists!I:I,MATCH(Validation!E7613,Lists!G:G,0))</f>
        <v>Error</v>
      </c>
      <c r="G7613" t="str">
        <f>INDEX(Lists!H:H,MATCH(Validation!E7613,Lists!G:G,0))</f>
        <v>Amount may not be negative. Enter an amount greater than or equal to zero.</v>
      </c>
      <c r="H7613" s="16" t="str">
        <f t="shared" ca="1" si="846"/>
        <v/>
      </c>
      <c r="I7613" s="16" t="str">
        <f t="shared" ca="1" si="847"/>
        <v/>
      </c>
      <c r="J7613" s="17" t="str">
        <f t="shared" ca="1" si="848"/>
        <v/>
      </c>
    </row>
    <row r="7614" spans="1:10" x14ac:dyDescent="0.25">
      <c r="A7614" t="s">
        <v>966</v>
      </c>
      <c r="B7614" t="str">
        <f>ADDRESS(ROW(DFLoan1!B$19),COLUMN(DFLoan1!B$19),4)</f>
        <v>B19</v>
      </c>
      <c r="C7614" t="str">
        <f>ADDRESS(ROW(DFLoan1!C$19),COLUMN(DFLoan1!C$19),4)</f>
        <v>C19</v>
      </c>
      <c r="D7614" t="b" cm="1">
        <f t="array" aca="1" ref="D7614" ca="1">IF(INDIRECT("'"&amp;A7614&amp;"'!"&amp;B7614)="",FALSE,IF(INDIRECT("'"&amp;A7614&amp;"'!"&amp;B7614)&lt;0,TRUE,FALSE))</f>
        <v>0</v>
      </c>
      <c r="E7614" t="s">
        <v>434</v>
      </c>
      <c r="F7614" t="str">
        <f>INDEX(Lists!I:I,MATCH(Validation!E7614,Lists!G:G,0))</f>
        <v>Error</v>
      </c>
      <c r="G7614" t="str">
        <f>INDEX(Lists!H:H,MATCH(Validation!E7614,Lists!G:G,0))</f>
        <v>Amount may not be negative. Enter an amount greater than or equal to zero.</v>
      </c>
      <c r="H7614" s="16" t="str">
        <f t="shared" ca="1" si="846"/>
        <v/>
      </c>
      <c r="I7614" s="16" t="str">
        <f t="shared" ca="1" si="847"/>
        <v/>
      </c>
      <c r="J7614" s="17" t="str">
        <f t="shared" ca="1" si="848"/>
        <v/>
      </c>
    </row>
    <row r="7615" spans="1:10" x14ac:dyDescent="0.25">
      <c r="A7615" t="s">
        <v>881</v>
      </c>
      <c r="B7615" t="str">
        <f>ADDRESS(ROW(DFLoan1!B$19),COLUMN(DFLoan1!B$19),4)</f>
        <v>B19</v>
      </c>
      <c r="C7615" t="str">
        <f>ADDRESS(ROW(DFLoan1!C$19),COLUMN(DFLoan1!C$19),4)</f>
        <v>C19</v>
      </c>
      <c r="D7615" t="b" cm="1">
        <f t="array" aca="1" ref="D7615" ca="1">IF(INDIRECT("'"&amp;A7615&amp;"'!"&amp;B7615)="",FALSE,IF(TRUNC(INDIRECT("'"&amp;A7615&amp;"'!"&amp;B7615))=INDIRECT("'"&amp;A7615&amp;"'!"&amp;B7615),FALSE,TRUE))</f>
        <v>0</v>
      </c>
      <c r="E7615" t="s">
        <v>436</v>
      </c>
      <c r="F7615" t="str">
        <f>INDEX(Lists!I:I,MATCH(Validation!E7615,Lists!G:G,0))</f>
        <v>Error</v>
      </c>
      <c r="G7615" t="str">
        <f>INDEX(Lists!H:H,MATCH(Validation!E7615,Lists!G:G,0))</f>
        <v>Amount must be rounded to the nearest dollar.</v>
      </c>
      <c r="H7615" s="16" t="str">
        <f t="shared" ca="1" si="846"/>
        <v/>
      </c>
      <c r="I7615" s="16" t="str">
        <f t="shared" ca="1" si="847"/>
        <v/>
      </c>
      <c r="J7615" s="17" t="str">
        <f t="shared" ca="1" si="848"/>
        <v/>
      </c>
    </row>
    <row r="7616" spans="1:10" x14ac:dyDescent="0.25">
      <c r="A7616" t="s">
        <v>953</v>
      </c>
      <c r="B7616" t="str">
        <f>ADDRESS(ROW(DFLoan1!B$19),COLUMN(DFLoan1!B$19),4)</f>
        <v>B19</v>
      </c>
      <c r="C7616" t="str">
        <f>ADDRESS(ROW(DFLoan1!C$19),COLUMN(DFLoan1!C$19),4)</f>
        <v>C19</v>
      </c>
      <c r="D7616" t="b" cm="1">
        <f t="array" aca="1" ref="D7616" ca="1">IF(INDIRECT("'"&amp;A7616&amp;"'!"&amp;B7616)="",FALSE,IF(TRUNC(INDIRECT("'"&amp;A7616&amp;"'!"&amp;B7616))=INDIRECT("'"&amp;A7616&amp;"'!"&amp;B7616),FALSE,TRUE))</f>
        <v>0</v>
      </c>
      <c r="E7616" t="s">
        <v>436</v>
      </c>
      <c r="F7616" t="str">
        <f>INDEX(Lists!I:I,MATCH(Validation!E7616,Lists!G:G,0))</f>
        <v>Error</v>
      </c>
      <c r="G7616" t="str">
        <f>INDEX(Lists!H:H,MATCH(Validation!E7616,Lists!G:G,0))</f>
        <v>Amount must be rounded to the nearest dollar.</v>
      </c>
      <c r="H7616" s="16" t="str">
        <f t="shared" ca="1" si="846"/>
        <v/>
      </c>
      <c r="I7616" s="16" t="str">
        <f t="shared" ca="1" si="847"/>
        <v/>
      </c>
      <c r="J7616" s="17" t="str">
        <f t="shared" ca="1" si="848"/>
        <v/>
      </c>
    </row>
    <row r="7617" spans="1:10" x14ac:dyDescent="0.25">
      <c r="A7617" t="s">
        <v>954</v>
      </c>
      <c r="B7617" t="str">
        <f>ADDRESS(ROW(DFLoan1!B$19),COLUMN(DFLoan1!B$19),4)</f>
        <v>B19</v>
      </c>
      <c r="C7617" t="str">
        <f>ADDRESS(ROW(DFLoan1!C$19),COLUMN(DFLoan1!C$19),4)</f>
        <v>C19</v>
      </c>
      <c r="D7617" t="b" cm="1">
        <f t="array" aca="1" ref="D7617" ca="1">IF(INDIRECT("'"&amp;A7617&amp;"'!"&amp;B7617)="",FALSE,IF(TRUNC(INDIRECT("'"&amp;A7617&amp;"'!"&amp;B7617))=INDIRECT("'"&amp;A7617&amp;"'!"&amp;B7617),FALSE,TRUE))</f>
        <v>0</v>
      </c>
      <c r="E7617" t="s">
        <v>436</v>
      </c>
      <c r="F7617" t="str">
        <f>INDEX(Lists!I:I,MATCH(Validation!E7617,Lists!G:G,0))</f>
        <v>Error</v>
      </c>
      <c r="G7617" t="str">
        <f>INDEX(Lists!H:H,MATCH(Validation!E7617,Lists!G:G,0))</f>
        <v>Amount must be rounded to the nearest dollar.</v>
      </c>
      <c r="H7617" s="16" t="str">
        <f t="shared" ca="1" si="846"/>
        <v/>
      </c>
      <c r="I7617" s="16" t="str">
        <f t="shared" ca="1" si="847"/>
        <v/>
      </c>
      <c r="J7617" s="17" t="str">
        <f t="shared" ca="1" si="848"/>
        <v/>
      </c>
    </row>
    <row r="7618" spans="1:10" x14ac:dyDescent="0.25">
      <c r="A7618" t="s">
        <v>955</v>
      </c>
      <c r="B7618" t="str">
        <f>ADDRESS(ROW(DFLoan1!B$19),COLUMN(DFLoan1!B$19),4)</f>
        <v>B19</v>
      </c>
      <c r="C7618" t="str">
        <f>ADDRESS(ROW(DFLoan1!C$19),COLUMN(DFLoan1!C$19),4)</f>
        <v>C19</v>
      </c>
      <c r="D7618" t="b" cm="1">
        <f t="array" aca="1" ref="D7618" ca="1">IF(INDIRECT("'"&amp;A7618&amp;"'!"&amp;B7618)="",FALSE,IF(TRUNC(INDIRECT("'"&amp;A7618&amp;"'!"&amp;B7618))=INDIRECT("'"&amp;A7618&amp;"'!"&amp;B7618),FALSE,TRUE))</f>
        <v>0</v>
      </c>
      <c r="E7618" t="s">
        <v>436</v>
      </c>
      <c r="F7618" t="str">
        <f>INDEX(Lists!I:I,MATCH(Validation!E7618,Lists!G:G,0))</f>
        <v>Error</v>
      </c>
      <c r="G7618" t="str">
        <f>INDEX(Lists!H:H,MATCH(Validation!E7618,Lists!G:G,0))</f>
        <v>Amount must be rounded to the nearest dollar.</v>
      </c>
      <c r="H7618" s="16" t="str">
        <f t="shared" ca="1" si="846"/>
        <v/>
      </c>
      <c r="I7618" s="16" t="str">
        <f t="shared" ca="1" si="847"/>
        <v/>
      </c>
      <c r="J7618" s="17" t="str">
        <f t="shared" ca="1" si="848"/>
        <v/>
      </c>
    </row>
    <row r="7619" spans="1:10" x14ac:dyDescent="0.25">
      <c r="A7619" t="s">
        <v>956</v>
      </c>
      <c r="B7619" t="str">
        <f>ADDRESS(ROW(DFLoan1!B$19),COLUMN(DFLoan1!B$19),4)</f>
        <v>B19</v>
      </c>
      <c r="C7619" t="str">
        <f>ADDRESS(ROW(DFLoan1!C$19),COLUMN(DFLoan1!C$19),4)</f>
        <v>C19</v>
      </c>
      <c r="D7619" t="b" cm="1">
        <f t="array" aca="1" ref="D7619" ca="1">IF(INDIRECT("'"&amp;A7619&amp;"'!"&amp;B7619)="",FALSE,IF(TRUNC(INDIRECT("'"&amp;A7619&amp;"'!"&amp;B7619))=INDIRECT("'"&amp;A7619&amp;"'!"&amp;B7619),FALSE,TRUE))</f>
        <v>0</v>
      </c>
      <c r="E7619" t="s">
        <v>436</v>
      </c>
      <c r="F7619" t="str">
        <f>INDEX(Lists!I:I,MATCH(Validation!E7619,Lists!G:G,0))</f>
        <v>Error</v>
      </c>
      <c r="G7619" t="str">
        <f>INDEX(Lists!H:H,MATCH(Validation!E7619,Lists!G:G,0))</f>
        <v>Amount must be rounded to the nearest dollar.</v>
      </c>
      <c r="H7619" s="16" t="str">
        <f t="shared" ca="1" si="846"/>
        <v/>
      </c>
      <c r="I7619" s="16" t="str">
        <f t="shared" ca="1" si="847"/>
        <v/>
      </c>
      <c r="J7619" s="17" t="str">
        <f t="shared" ca="1" si="848"/>
        <v/>
      </c>
    </row>
    <row r="7620" spans="1:10" x14ac:dyDescent="0.25">
      <c r="A7620" t="s">
        <v>957</v>
      </c>
      <c r="B7620" t="str">
        <f>ADDRESS(ROW(DFLoan1!B$19),COLUMN(DFLoan1!B$19),4)</f>
        <v>B19</v>
      </c>
      <c r="C7620" t="str">
        <f>ADDRESS(ROW(DFLoan1!C$19),COLUMN(DFLoan1!C$19),4)</f>
        <v>C19</v>
      </c>
      <c r="D7620" t="b" cm="1">
        <f t="array" aca="1" ref="D7620" ca="1">IF(INDIRECT("'"&amp;A7620&amp;"'!"&amp;B7620)="",FALSE,IF(TRUNC(INDIRECT("'"&amp;A7620&amp;"'!"&amp;B7620))=INDIRECT("'"&amp;A7620&amp;"'!"&amp;B7620),FALSE,TRUE))</f>
        <v>0</v>
      </c>
      <c r="E7620" t="s">
        <v>436</v>
      </c>
      <c r="F7620" t="str">
        <f>INDEX(Lists!I:I,MATCH(Validation!E7620,Lists!G:G,0))</f>
        <v>Error</v>
      </c>
      <c r="G7620" t="str">
        <f>INDEX(Lists!H:H,MATCH(Validation!E7620,Lists!G:G,0))</f>
        <v>Amount must be rounded to the nearest dollar.</v>
      </c>
      <c r="H7620" s="16" t="str">
        <f t="shared" ca="1" si="846"/>
        <v/>
      </c>
      <c r="I7620" s="16" t="str">
        <f t="shared" ca="1" si="847"/>
        <v/>
      </c>
      <c r="J7620" s="17" t="str">
        <f t="shared" ca="1" si="848"/>
        <v/>
      </c>
    </row>
    <row r="7621" spans="1:10" x14ac:dyDescent="0.25">
      <c r="A7621" t="s">
        <v>958</v>
      </c>
      <c r="B7621" t="str">
        <f>ADDRESS(ROW(DFLoan1!B$19),COLUMN(DFLoan1!B$19),4)</f>
        <v>B19</v>
      </c>
      <c r="C7621" t="str">
        <f>ADDRESS(ROW(DFLoan1!C$19),COLUMN(DFLoan1!C$19),4)</f>
        <v>C19</v>
      </c>
      <c r="D7621" t="b" cm="1">
        <f t="array" aca="1" ref="D7621" ca="1">IF(INDIRECT("'"&amp;A7621&amp;"'!"&amp;B7621)="",FALSE,IF(TRUNC(INDIRECT("'"&amp;A7621&amp;"'!"&amp;B7621))=INDIRECT("'"&amp;A7621&amp;"'!"&amp;B7621),FALSE,TRUE))</f>
        <v>0</v>
      </c>
      <c r="E7621" t="s">
        <v>436</v>
      </c>
      <c r="F7621" t="str">
        <f>INDEX(Lists!I:I,MATCH(Validation!E7621,Lists!G:G,0))</f>
        <v>Error</v>
      </c>
      <c r="G7621" t="str">
        <f>INDEX(Lists!H:H,MATCH(Validation!E7621,Lists!G:G,0))</f>
        <v>Amount must be rounded to the nearest dollar.</v>
      </c>
      <c r="H7621" s="16" t="str">
        <f t="shared" ca="1" si="846"/>
        <v/>
      </c>
      <c r="I7621" s="16" t="str">
        <f t="shared" ca="1" si="847"/>
        <v/>
      </c>
      <c r="J7621" s="17" t="str">
        <f t="shared" ca="1" si="848"/>
        <v/>
      </c>
    </row>
    <row r="7622" spans="1:10" x14ac:dyDescent="0.25">
      <c r="A7622" t="s">
        <v>959</v>
      </c>
      <c r="B7622" t="str">
        <f>ADDRESS(ROW(DFLoan1!B$19),COLUMN(DFLoan1!B$19),4)</f>
        <v>B19</v>
      </c>
      <c r="C7622" t="str">
        <f>ADDRESS(ROW(DFLoan1!C$19),COLUMN(DFLoan1!C$19),4)</f>
        <v>C19</v>
      </c>
      <c r="D7622" t="b" cm="1">
        <f t="array" aca="1" ref="D7622" ca="1">IF(INDIRECT("'"&amp;A7622&amp;"'!"&amp;B7622)="",FALSE,IF(TRUNC(INDIRECT("'"&amp;A7622&amp;"'!"&amp;B7622))=INDIRECT("'"&amp;A7622&amp;"'!"&amp;B7622),FALSE,TRUE))</f>
        <v>0</v>
      </c>
      <c r="E7622" t="s">
        <v>436</v>
      </c>
      <c r="F7622" t="str">
        <f>INDEX(Lists!I:I,MATCH(Validation!E7622,Lists!G:G,0))</f>
        <v>Error</v>
      </c>
      <c r="G7622" t="str">
        <f>INDEX(Lists!H:H,MATCH(Validation!E7622,Lists!G:G,0))</f>
        <v>Amount must be rounded to the nearest dollar.</v>
      </c>
      <c r="H7622" s="16" t="str">
        <f t="shared" ca="1" si="846"/>
        <v/>
      </c>
      <c r="I7622" s="16" t="str">
        <f t="shared" ca="1" si="847"/>
        <v/>
      </c>
      <c r="J7622" s="17" t="str">
        <f t="shared" ca="1" si="848"/>
        <v/>
      </c>
    </row>
    <row r="7623" spans="1:10" x14ac:dyDescent="0.25">
      <c r="A7623" t="s">
        <v>960</v>
      </c>
      <c r="B7623" t="str">
        <f>ADDRESS(ROW(DFLoan1!B$19),COLUMN(DFLoan1!B$19),4)</f>
        <v>B19</v>
      </c>
      <c r="C7623" t="str">
        <f>ADDRESS(ROW(DFLoan1!C$19),COLUMN(DFLoan1!C$19),4)</f>
        <v>C19</v>
      </c>
      <c r="D7623" t="b" cm="1">
        <f t="array" aca="1" ref="D7623" ca="1">IF(INDIRECT("'"&amp;A7623&amp;"'!"&amp;B7623)="",FALSE,IF(TRUNC(INDIRECT("'"&amp;A7623&amp;"'!"&amp;B7623))=INDIRECT("'"&amp;A7623&amp;"'!"&amp;B7623),FALSE,TRUE))</f>
        <v>0</v>
      </c>
      <c r="E7623" t="s">
        <v>436</v>
      </c>
      <c r="F7623" t="str">
        <f>INDEX(Lists!I:I,MATCH(Validation!E7623,Lists!G:G,0))</f>
        <v>Error</v>
      </c>
      <c r="G7623" t="str">
        <f>INDEX(Lists!H:H,MATCH(Validation!E7623,Lists!G:G,0))</f>
        <v>Amount must be rounded to the nearest dollar.</v>
      </c>
      <c r="H7623" s="16" t="str">
        <f t="shared" ca="1" si="846"/>
        <v/>
      </c>
      <c r="I7623" s="16" t="str">
        <f t="shared" ca="1" si="847"/>
        <v/>
      </c>
      <c r="J7623" s="17" t="str">
        <f t="shared" ca="1" si="848"/>
        <v/>
      </c>
    </row>
    <row r="7624" spans="1:10" x14ac:dyDescent="0.25">
      <c r="A7624" t="s">
        <v>961</v>
      </c>
      <c r="B7624" t="str">
        <f>ADDRESS(ROW(DFLoan1!B$19),COLUMN(DFLoan1!B$19),4)</f>
        <v>B19</v>
      </c>
      <c r="C7624" t="str">
        <f>ADDRESS(ROW(DFLoan1!C$19),COLUMN(DFLoan1!C$19),4)</f>
        <v>C19</v>
      </c>
      <c r="D7624" t="b" cm="1">
        <f t="array" aca="1" ref="D7624" ca="1">IF(INDIRECT("'"&amp;A7624&amp;"'!"&amp;B7624)="",FALSE,IF(TRUNC(INDIRECT("'"&amp;A7624&amp;"'!"&amp;B7624))=INDIRECT("'"&amp;A7624&amp;"'!"&amp;B7624),FALSE,TRUE))</f>
        <v>0</v>
      </c>
      <c r="E7624" t="s">
        <v>436</v>
      </c>
      <c r="F7624" t="str">
        <f>INDEX(Lists!I:I,MATCH(Validation!E7624,Lists!G:G,0))</f>
        <v>Error</v>
      </c>
      <c r="G7624" t="str">
        <f>INDEX(Lists!H:H,MATCH(Validation!E7624,Lists!G:G,0))</f>
        <v>Amount must be rounded to the nearest dollar.</v>
      </c>
      <c r="H7624" s="16" t="str">
        <f t="shared" ca="1" si="846"/>
        <v/>
      </c>
      <c r="I7624" s="16" t="str">
        <f t="shared" ca="1" si="847"/>
        <v/>
      </c>
      <c r="J7624" s="17" t="str">
        <f t="shared" ca="1" si="848"/>
        <v/>
      </c>
    </row>
    <row r="7625" spans="1:10" x14ac:dyDescent="0.25">
      <c r="A7625" t="s">
        <v>962</v>
      </c>
      <c r="B7625" t="str">
        <f>ADDRESS(ROW(DFLoan1!B$19),COLUMN(DFLoan1!B$19),4)</f>
        <v>B19</v>
      </c>
      <c r="C7625" t="str">
        <f>ADDRESS(ROW(DFLoan1!C$19),COLUMN(DFLoan1!C$19),4)</f>
        <v>C19</v>
      </c>
      <c r="D7625" t="b" cm="1">
        <f t="array" aca="1" ref="D7625" ca="1">IF(INDIRECT("'"&amp;A7625&amp;"'!"&amp;B7625)="",FALSE,IF(TRUNC(INDIRECT("'"&amp;A7625&amp;"'!"&amp;B7625))=INDIRECT("'"&amp;A7625&amp;"'!"&amp;B7625),FALSE,TRUE))</f>
        <v>0</v>
      </c>
      <c r="E7625" t="s">
        <v>436</v>
      </c>
      <c r="F7625" t="str">
        <f>INDEX(Lists!I:I,MATCH(Validation!E7625,Lists!G:G,0))</f>
        <v>Error</v>
      </c>
      <c r="G7625" t="str">
        <f>INDEX(Lists!H:H,MATCH(Validation!E7625,Lists!G:G,0))</f>
        <v>Amount must be rounded to the nearest dollar.</v>
      </c>
      <c r="H7625" s="16" t="str">
        <f t="shared" ca="1" si="846"/>
        <v/>
      </c>
      <c r="I7625" s="16" t="str">
        <f t="shared" ca="1" si="847"/>
        <v/>
      </c>
      <c r="J7625" s="17" t="str">
        <f t="shared" ca="1" si="848"/>
        <v/>
      </c>
    </row>
    <row r="7626" spans="1:10" x14ac:dyDescent="0.25">
      <c r="A7626" t="s">
        <v>963</v>
      </c>
      <c r="B7626" t="str">
        <f>ADDRESS(ROW(DFLoan1!B$19),COLUMN(DFLoan1!B$19),4)</f>
        <v>B19</v>
      </c>
      <c r="C7626" t="str">
        <f>ADDRESS(ROW(DFLoan1!C$19),COLUMN(DFLoan1!C$19),4)</f>
        <v>C19</v>
      </c>
      <c r="D7626" t="b" cm="1">
        <f t="array" aca="1" ref="D7626" ca="1">IF(INDIRECT("'"&amp;A7626&amp;"'!"&amp;B7626)="",FALSE,IF(TRUNC(INDIRECT("'"&amp;A7626&amp;"'!"&amp;B7626))=INDIRECT("'"&amp;A7626&amp;"'!"&amp;B7626),FALSE,TRUE))</f>
        <v>0</v>
      </c>
      <c r="E7626" t="s">
        <v>436</v>
      </c>
      <c r="F7626" t="str">
        <f>INDEX(Lists!I:I,MATCH(Validation!E7626,Lists!G:G,0))</f>
        <v>Error</v>
      </c>
      <c r="G7626" t="str">
        <f>INDEX(Lists!H:H,MATCH(Validation!E7626,Lists!G:G,0))</f>
        <v>Amount must be rounded to the nearest dollar.</v>
      </c>
      <c r="H7626" s="16" t="str">
        <f t="shared" ca="1" si="846"/>
        <v/>
      </c>
      <c r="I7626" s="16" t="str">
        <f t="shared" ca="1" si="847"/>
        <v/>
      </c>
      <c r="J7626" s="17" t="str">
        <f t="shared" ca="1" si="848"/>
        <v/>
      </c>
    </row>
    <row r="7627" spans="1:10" x14ac:dyDescent="0.25">
      <c r="A7627" t="s">
        <v>964</v>
      </c>
      <c r="B7627" t="str">
        <f>ADDRESS(ROW(DFLoan1!B$19),COLUMN(DFLoan1!B$19),4)</f>
        <v>B19</v>
      </c>
      <c r="C7627" t="str">
        <f>ADDRESS(ROW(DFLoan1!C$19),COLUMN(DFLoan1!C$19),4)</f>
        <v>C19</v>
      </c>
      <c r="D7627" t="b" cm="1">
        <f t="array" aca="1" ref="D7627" ca="1">IF(INDIRECT("'"&amp;A7627&amp;"'!"&amp;B7627)="",FALSE,IF(TRUNC(INDIRECT("'"&amp;A7627&amp;"'!"&amp;B7627))=INDIRECT("'"&amp;A7627&amp;"'!"&amp;B7627),FALSE,TRUE))</f>
        <v>0</v>
      </c>
      <c r="E7627" t="s">
        <v>436</v>
      </c>
      <c r="F7627" t="str">
        <f>INDEX(Lists!I:I,MATCH(Validation!E7627,Lists!G:G,0))</f>
        <v>Error</v>
      </c>
      <c r="G7627" t="str">
        <f>INDEX(Lists!H:H,MATCH(Validation!E7627,Lists!G:G,0))</f>
        <v>Amount must be rounded to the nearest dollar.</v>
      </c>
      <c r="H7627" s="16" t="str">
        <f t="shared" ca="1" si="846"/>
        <v/>
      </c>
      <c r="I7627" s="16" t="str">
        <f t="shared" ca="1" si="847"/>
        <v/>
      </c>
      <c r="J7627" s="17" t="str">
        <f t="shared" ca="1" si="848"/>
        <v/>
      </c>
    </row>
    <row r="7628" spans="1:10" x14ac:dyDescent="0.25">
      <c r="A7628" t="s">
        <v>965</v>
      </c>
      <c r="B7628" t="str">
        <f>ADDRESS(ROW(DFLoan1!B$19),COLUMN(DFLoan1!B$19),4)</f>
        <v>B19</v>
      </c>
      <c r="C7628" t="str">
        <f>ADDRESS(ROW(DFLoan1!C$19),COLUMN(DFLoan1!C$19),4)</f>
        <v>C19</v>
      </c>
      <c r="D7628" t="b" cm="1">
        <f t="array" aca="1" ref="D7628" ca="1">IF(INDIRECT("'"&amp;A7628&amp;"'!"&amp;B7628)="",FALSE,IF(TRUNC(INDIRECT("'"&amp;A7628&amp;"'!"&amp;B7628))=INDIRECT("'"&amp;A7628&amp;"'!"&amp;B7628),FALSE,TRUE))</f>
        <v>0</v>
      </c>
      <c r="E7628" t="s">
        <v>436</v>
      </c>
      <c r="F7628" t="str">
        <f>INDEX(Lists!I:I,MATCH(Validation!E7628,Lists!G:G,0))</f>
        <v>Error</v>
      </c>
      <c r="G7628" t="str">
        <f>INDEX(Lists!H:H,MATCH(Validation!E7628,Lists!G:G,0))</f>
        <v>Amount must be rounded to the nearest dollar.</v>
      </c>
      <c r="H7628" s="16" t="str">
        <f t="shared" ca="1" si="846"/>
        <v/>
      </c>
      <c r="I7628" s="16" t="str">
        <f t="shared" ca="1" si="847"/>
        <v/>
      </c>
      <c r="J7628" s="17" t="str">
        <f t="shared" ca="1" si="848"/>
        <v/>
      </c>
    </row>
    <row r="7629" spans="1:10" x14ac:dyDescent="0.25">
      <c r="A7629" t="s">
        <v>966</v>
      </c>
      <c r="B7629" t="str">
        <f>ADDRESS(ROW(DFLoan1!B$19),COLUMN(DFLoan1!B$19),4)</f>
        <v>B19</v>
      </c>
      <c r="C7629" t="str">
        <f>ADDRESS(ROW(DFLoan1!C$19),COLUMN(DFLoan1!C$19),4)</f>
        <v>C19</v>
      </c>
      <c r="D7629" t="b" cm="1">
        <f t="array" aca="1" ref="D7629" ca="1">IF(INDIRECT("'"&amp;A7629&amp;"'!"&amp;B7629)="",FALSE,IF(TRUNC(INDIRECT("'"&amp;A7629&amp;"'!"&amp;B7629))=INDIRECT("'"&amp;A7629&amp;"'!"&amp;B7629),FALSE,TRUE))</f>
        <v>0</v>
      </c>
      <c r="E7629" t="s">
        <v>436</v>
      </c>
      <c r="F7629" t="str">
        <f>INDEX(Lists!I:I,MATCH(Validation!E7629,Lists!G:G,0))</f>
        <v>Error</v>
      </c>
      <c r="G7629" t="str">
        <f>INDEX(Lists!H:H,MATCH(Validation!E7629,Lists!G:G,0))</f>
        <v>Amount must be rounded to the nearest dollar.</v>
      </c>
      <c r="H7629" s="16" t="str">
        <f t="shared" ca="1" si="846"/>
        <v/>
      </c>
      <c r="I7629" s="16" t="str">
        <f t="shared" ca="1" si="847"/>
        <v/>
      </c>
      <c r="J7629" s="17" t="str">
        <f t="shared" ca="1" si="848"/>
        <v/>
      </c>
    </row>
    <row r="7630" spans="1:10" x14ac:dyDescent="0.25">
      <c r="A7630" t="s">
        <v>881</v>
      </c>
      <c r="B7630" t="str">
        <f>ADDRESS(ROW(DFLoan1!B$20),COLUMN(DFLoan1!B$20),4)</f>
        <v>B20</v>
      </c>
      <c r="C7630" t="str">
        <f>ADDRESS(ROW(DFLoan1!C$20),COLUMN(DFLoan1!C$20),4)</f>
        <v>C20</v>
      </c>
      <c r="D7630" t="b" cm="1">
        <f t="array" aca="1" ref="D7630" ca="1">IF(INDIRECT("'"&amp;A7630&amp;"'!"&amp;B7630)="",FALSE,IF(NOT(ISNUMBER(INDIRECT("'"&amp;A7630&amp;"'!"&amp;B7630))),TRUE,FALSE))</f>
        <v>0</v>
      </c>
      <c r="E7630" t="s">
        <v>435</v>
      </c>
      <c r="F7630" t="str">
        <f>INDEX(Lists!I:I,MATCH(Validation!E7630,Lists!G:G,0))</f>
        <v>Error</v>
      </c>
      <c r="G7630" t="str">
        <f>INDEX(Lists!H:H,MATCH(Validation!E7630,Lists!G:G,0))</f>
        <v>Enter an amount only. Do not enter text or spaces.</v>
      </c>
      <c r="H7630" s="16" t="str">
        <f t="shared" ca="1" si="846"/>
        <v/>
      </c>
      <c r="I7630" s="16" t="str">
        <f t="shared" ca="1" si="847"/>
        <v/>
      </c>
      <c r="J7630" s="17" t="str">
        <f t="shared" ca="1" si="848"/>
        <v/>
      </c>
    </row>
    <row r="7631" spans="1:10" x14ac:dyDescent="0.25">
      <c r="A7631" t="s">
        <v>953</v>
      </c>
      <c r="B7631" t="str">
        <f>ADDRESS(ROW(DFLoan1!B$20),COLUMN(DFLoan1!B$20),4)</f>
        <v>B20</v>
      </c>
      <c r="C7631" t="str">
        <f>ADDRESS(ROW(DFLoan1!C$20),COLUMN(DFLoan1!C$20),4)</f>
        <v>C20</v>
      </c>
      <c r="D7631" t="b" cm="1">
        <f t="array" aca="1" ref="D7631" ca="1">IF(INDIRECT("'"&amp;A7631&amp;"'!"&amp;B7631)="",FALSE,IF(NOT(ISNUMBER(INDIRECT("'"&amp;A7631&amp;"'!"&amp;B7631))),TRUE,FALSE))</f>
        <v>0</v>
      </c>
      <c r="E7631" t="s">
        <v>435</v>
      </c>
      <c r="F7631" t="str">
        <f>INDEX(Lists!I:I,MATCH(Validation!E7631,Lists!G:G,0))</f>
        <v>Error</v>
      </c>
      <c r="G7631" t="str">
        <f>INDEX(Lists!H:H,MATCH(Validation!E7631,Lists!G:G,0))</f>
        <v>Enter an amount only. Do not enter text or spaces.</v>
      </c>
      <c r="H7631" s="16" t="str">
        <f t="shared" ca="1" si="846"/>
        <v/>
      </c>
      <c r="I7631" s="16" t="str">
        <f t="shared" ca="1" si="847"/>
        <v/>
      </c>
      <c r="J7631" s="17" t="str">
        <f t="shared" ca="1" si="848"/>
        <v/>
      </c>
    </row>
    <row r="7632" spans="1:10" x14ac:dyDescent="0.25">
      <c r="A7632" t="s">
        <v>954</v>
      </c>
      <c r="B7632" t="str">
        <f>ADDRESS(ROW(DFLoan1!B$20),COLUMN(DFLoan1!B$20),4)</f>
        <v>B20</v>
      </c>
      <c r="C7632" t="str">
        <f>ADDRESS(ROW(DFLoan1!C$20),COLUMN(DFLoan1!C$20),4)</f>
        <v>C20</v>
      </c>
      <c r="D7632" t="b" cm="1">
        <f t="array" aca="1" ref="D7632" ca="1">IF(INDIRECT("'"&amp;A7632&amp;"'!"&amp;B7632)="",FALSE,IF(NOT(ISNUMBER(INDIRECT("'"&amp;A7632&amp;"'!"&amp;B7632))),TRUE,FALSE))</f>
        <v>0</v>
      </c>
      <c r="E7632" t="s">
        <v>435</v>
      </c>
      <c r="F7632" t="str">
        <f>INDEX(Lists!I:I,MATCH(Validation!E7632,Lists!G:G,0))</f>
        <v>Error</v>
      </c>
      <c r="G7632" t="str">
        <f>INDEX(Lists!H:H,MATCH(Validation!E7632,Lists!G:G,0))</f>
        <v>Enter an amount only. Do not enter text or spaces.</v>
      </c>
      <c r="H7632" s="16" t="str">
        <f t="shared" ca="1" si="846"/>
        <v/>
      </c>
      <c r="I7632" s="16" t="str">
        <f t="shared" ca="1" si="847"/>
        <v/>
      </c>
      <c r="J7632" s="17" t="str">
        <f t="shared" ca="1" si="848"/>
        <v/>
      </c>
    </row>
    <row r="7633" spans="1:10" x14ac:dyDescent="0.25">
      <c r="A7633" t="s">
        <v>955</v>
      </c>
      <c r="B7633" t="str">
        <f>ADDRESS(ROW(DFLoan1!B$20),COLUMN(DFLoan1!B$20),4)</f>
        <v>B20</v>
      </c>
      <c r="C7633" t="str">
        <f>ADDRESS(ROW(DFLoan1!C$20),COLUMN(DFLoan1!C$20),4)</f>
        <v>C20</v>
      </c>
      <c r="D7633" t="b" cm="1">
        <f t="array" aca="1" ref="D7633" ca="1">IF(INDIRECT("'"&amp;A7633&amp;"'!"&amp;B7633)="",FALSE,IF(NOT(ISNUMBER(INDIRECT("'"&amp;A7633&amp;"'!"&amp;B7633))),TRUE,FALSE))</f>
        <v>0</v>
      </c>
      <c r="E7633" t="s">
        <v>435</v>
      </c>
      <c r="F7633" t="str">
        <f>INDEX(Lists!I:I,MATCH(Validation!E7633,Lists!G:G,0))</f>
        <v>Error</v>
      </c>
      <c r="G7633" t="str">
        <f>INDEX(Lists!H:H,MATCH(Validation!E7633,Lists!G:G,0))</f>
        <v>Enter an amount only. Do not enter text or spaces.</v>
      </c>
      <c r="H7633" s="16" t="str">
        <f t="shared" ca="1" si="846"/>
        <v/>
      </c>
      <c r="I7633" s="16" t="str">
        <f t="shared" ca="1" si="847"/>
        <v/>
      </c>
      <c r="J7633" s="17" t="str">
        <f t="shared" ca="1" si="848"/>
        <v/>
      </c>
    </row>
    <row r="7634" spans="1:10" x14ac:dyDescent="0.25">
      <c r="A7634" t="s">
        <v>956</v>
      </c>
      <c r="B7634" t="str">
        <f>ADDRESS(ROW(DFLoan1!B$20),COLUMN(DFLoan1!B$20),4)</f>
        <v>B20</v>
      </c>
      <c r="C7634" t="str">
        <f>ADDRESS(ROW(DFLoan1!C$20),COLUMN(DFLoan1!C$20),4)</f>
        <v>C20</v>
      </c>
      <c r="D7634" t="b" cm="1">
        <f t="array" aca="1" ref="D7634" ca="1">IF(INDIRECT("'"&amp;A7634&amp;"'!"&amp;B7634)="",FALSE,IF(NOT(ISNUMBER(INDIRECT("'"&amp;A7634&amp;"'!"&amp;B7634))),TRUE,FALSE))</f>
        <v>0</v>
      </c>
      <c r="E7634" t="s">
        <v>435</v>
      </c>
      <c r="F7634" t="str">
        <f>INDEX(Lists!I:I,MATCH(Validation!E7634,Lists!G:G,0))</f>
        <v>Error</v>
      </c>
      <c r="G7634" t="str">
        <f>INDEX(Lists!H:H,MATCH(Validation!E7634,Lists!G:G,0))</f>
        <v>Enter an amount only. Do not enter text or spaces.</v>
      </c>
      <c r="H7634" s="16" t="str">
        <f t="shared" ca="1" si="846"/>
        <v/>
      </c>
      <c r="I7634" s="16" t="str">
        <f t="shared" ca="1" si="847"/>
        <v/>
      </c>
      <c r="J7634" s="17" t="str">
        <f t="shared" ca="1" si="848"/>
        <v/>
      </c>
    </row>
    <row r="7635" spans="1:10" x14ac:dyDescent="0.25">
      <c r="A7635" t="s">
        <v>957</v>
      </c>
      <c r="B7635" t="str">
        <f>ADDRESS(ROW(DFLoan1!B$20),COLUMN(DFLoan1!B$20),4)</f>
        <v>B20</v>
      </c>
      <c r="C7635" t="str">
        <f>ADDRESS(ROW(DFLoan1!C$20),COLUMN(DFLoan1!C$20),4)</f>
        <v>C20</v>
      </c>
      <c r="D7635" t="b" cm="1">
        <f t="array" aca="1" ref="D7635" ca="1">IF(INDIRECT("'"&amp;A7635&amp;"'!"&amp;B7635)="",FALSE,IF(NOT(ISNUMBER(INDIRECT("'"&amp;A7635&amp;"'!"&amp;B7635))),TRUE,FALSE))</f>
        <v>0</v>
      </c>
      <c r="E7635" t="s">
        <v>435</v>
      </c>
      <c r="F7635" t="str">
        <f>INDEX(Lists!I:I,MATCH(Validation!E7635,Lists!G:G,0))</f>
        <v>Error</v>
      </c>
      <c r="G7635" t="str">
        <f>INDEX(Lists!H:H,MATCH(Validation!E7635,Lists!G:G,0))</f>
        <v>Enter an amount only. Do not enter text or spaces.</v>
      </c>
      <c r="H7635" s="16" t="str">
        <f t="shared" ca="1" si="846"/>
        <v/>
      </c>
      <c r="I7635" s="16" t="str">
        <f t="shared" ca="1" si="847"/>
        <v/>
      </c>
      <c r="J7635" s="17" t="str">
        <f t="shared" ca="1" si="848"/>
        <v/>
      </c>
    </row>
    <row r="7636" spans="1:10" x14ac:dyDescent="0.25">
      <c r="A7636" t="s">
        <v>958</v>
      </c>
      <c r="B7636" t="str">
        <f>ADDRESS(ROW(DFLoan1!B$20),COLUMN(DFLoan1!B$20),4)</f>
        <v>B20</v>
      </c>
      <c r="C7636" t="str">
        <f>ADDRESS(ROW(DFLoan1!C$20),COLUMN(DFLoan1!C$20),4)</f>
        <v>C20</v>
      </c>
      <c r="D7636" t="b" cm="1">
        <f t="array" aca="1" ref="D7636" ca="1">IF(INDIRECT("'"&amp;A7636&amp;"'!"&amp;B7636)="",FALSE,IF(NOT(ISNUMBER(INDIRECT("'"&amp;A7636&amp;"'!"&amp;B7636))),TRUE,FALSE))</f>
        <v>0</v>
      </c>
      <c r="E7636" t="s">
        <v>435</v>
      </c>
      <c r="F7636" t="str">
        <f>INDEX(Lists!I:I,MATCH(Validation!E7636,Lists!G:G,0))</f>
        <v>Error</v>
      </c>
      <c r="G7636" t="str">
        <f>INDEX(Lists!H:H,MATCH(Validation!E7636,Lists!G:G,0))</f>
        <v>Enter an amount only. Do not enter text or spaces.</v>
      </c>
      <c r="H7636" s="16" t="str">
        <f t="shared" ca="1" si="846"/>
        <v/>
      </c>
      <c r="I7636" s="16" t="str">
        <f t="shared" ca="1" si="847"/>
        <v/>
      </c>
      <c r="J7636" s="17" t="str">
        <f t="shared" ca="1" si="848"/>
        <v/>
      </c>
    </row>
    <row r="7637" spans="1:10" x14ac:dyDescent="0.25">
      <c r="A7637" t="s">
        <v>959</v>
      </c>
      <c r="B7637" t="str">
        <f>ADDRESS(ROW(DFLoan1!B$20),COLUMN(DFLoan1!B$20),4)</f>
        <v>B20</v>
      </c>
      <c r="C7637" t="str">
        <f>ADDRESS(ROW(DFLoan1!C$20),COLUMN(DFLoan1!C$20),4)</f>
        <v>C20</v>
      </c>
      <c r="D7637" t="b" cm="1">
        <f t="array" aca="1" ref="D7637" ca="1">IF(INDIRECT("'"&amp;A7637&amp;"'!"&amp;B7637)="",FALSE,IF(NOT(ISNUMBER(INDIRECT("'"&amp;A7637&amp;"'!"&amp;B7637))),TRUE,FALSE))</f>
        <v>0</v>
      </c>
      <c r="E7637" t="s">
        <v>435</v>
      </c>
      <c r="F7637" t="str">
        <f>INDEX(Lists!I:I,MATCH(Validation!E7637,Lists!G:G,0))</f>
        <v>Error</v>
      </c>
      <c r="G7637" t="str">
        <f>INDEX(Lists!H:H,MATCH(Validation!E7637,Lists!G:G,0))</f>
        <v>Enter an amount only. Do not enter text or spaces.</v>
      </c>
      <c r="H7637" s="16" t="str">
        <f t="shared" ca="1" si="846"/>
        <v/>
      </c>
      <c r="I7637" s="16" t="str">
        <f t="shared" ca="1" si="847"/>
        <v/>
      </c>
      <c r="J7637" s="17" t="str">
        <f t="shared" ca="1" si="848"/>
        <v/>
      </c>
    </row>
    <row r="7638" spans="1:10" x14ac:dyDescent="0.25">
      <c r="A7638" t="s">
        <v>960</v>
      </c>
      <c r="B7638" t="str">
        <f>ADDRESS(ROW(DFLoan1!B$20),COLUMN(DFLoan1!B$20),4)</f>
        <v>B20</v>
      </c>
      <c r="C7638" t="str">
        <f>ADDRESS(ROW(DFLoan1!C$20),COLUMN(DFLoan1!C$20),4)</f>
        <v>C20</v>
      </c>
      <c r="D7638" t="b" cm="1">
        <f t="array" aca="1" ref="D7638" ca="1">IF(INDIRECT("'"&amp;A7638&amp;"'!"&amp;B7638)="",FALSE,IF(NOT(ISNUMBER(INDIRECT("'"&amp;A7638&amp;"'!"&amp;B7638))),TRUE,FALSE))</f>
        <v>0</v>
      </c>
      <c r="E7638" t="s">
        <v>435</v>
      </c>
      <c r="F7638" t="str">
        <f>INDEX(Lists!I:I,MATCH(Validation!E7638,Lists!G:G,0))</f>
        <v>Error</v>
      </c>
      <c r="G7638" t="str">
        <f>INDEX(Lists!H:H,MATCH(Validation!E7638,Lists!G:G,0))</f>
        <v>Enter an amount only. Do not enter text or spaces.</v>
      </c>
      <c r="H7638" s="16" t="str">
        <f t="shared" ca="1" si="846"/>
        <v/>
      </c>
      <c r="I7638" s="16" t="str">
        <f t="shared" ca="1" si="847"/>
        <v/>
      </c>
      <c r="J7638" s="17" t="str">
        <f t="shared" ca="1" si="848"/>
        <v/>
      </c>
    </row>
    <row r="7639" spans="1:10" x14ac:dyDescent="0.25">
      <c r="A7639" t="s">
        <v>961</v>
      </c>
      <c r="B7639" t="str">
        <f>ADDRESS(ROW(DFLoan1!B$20),COLUMN(DFLoan1!B$20),4)</f>
        <v>B20</v>
      </c>
      <c r="C7639" t="str">
        <f>ADDRESS(ROW(DFLoan1!C$20),COLUMN(DFLoan1!C$20),4)</f>
        <v>C20</v>
      </c>
      <c r="D7639" t="b" cm="1">
        <f t="array" aca="1" ref="D7639" ca="1">IF(INDIRECT("'"&amp;A7639&amp;"'!"&amp;B7639)="",FALSE,IF(NOT(ISNUMBER(INDIRECT("'"&amp;A7639&amp;"'!"&amp;B7639))),TRUE,FALSE))</f>
        <v>0</v>
      </c>
      <c r="E7639" t="s">
        <v>435</v>
      </c>
      <c r="F7639" t="str">
        <f>INDEX(Lists!I:I,MATCH(Validation!E7639,Lists!G:G,0))</f>
        <v>Error</v>
      </c>
      <c r="G7639" t="str">
        <f>INDEX(Lists!H:H,MATCH(Validation!E7639,Lists!G:G,0))</f>
        <v>Enter an amount only. Do not enter text or spaces.</v>
      </c>
      <c r="H7639" s="16" t="str">
        <f t="shared" ca="1" si="846"/>
        <v/>
      </c>
      <c r="I7639" s="16" t="str">
        <f t="shared" ca="1" si="847"/>
        <v/>
      </c>
      <c r="J7639" s="17" t="str">
        <f t="shared" ca="1" si="848"/>
        <v/>
      </c>
    </row>
    <row r="7640" spans="1:10" x14ac:dyDescent="0.25">
      <c r="A7640" t="s">
        <v>962</v>
      </c>
      <c r="B7640" t="str">
        <f>ADDRESS(ROW(DFLoan1!B$20),COLUMN(DFLoan1!B$20),4)</f>
        <v>B20</v>
      </c>
      <c r="C7640" t="str">
        <f>ADDRESS(ROW(DFLoan1!C$20),COLUMN(DFLoan1!C$20),4)</f>
        <v>C20</v>
      </c>
      <c r="D7640" t="b" cm="1">
        <f t="array" aca="1" ref="D7640" ca="1">IF(INDIRECT("'"&amp;A7640&amp;"'!"&amp;B7640)="",FALSE,IF(NOT(ISNUMBER(INDIRECT("'"&amp;A7640&amp;"'!"&amp;B7640))),TRUE,FALSE))</f>
        <v>0</v>
      </c>
      <c r="E7640" t="s">
        <v>435</v>
      </c>
      <c r="F7640" t="str">
        <f>INDEX(Lists!I:I,MATCH(Validation!E7640,Lists!G:G,0))</f>
        <v>Error</v>
      </c>
      <c r="G7640" t="str">
        <f>INDEX(Lists!H:H,MATCH(Validation!E7640,Lists!G:G,0))</f>
        <v>Enter an amount only. Do not enter text or spaces.</v>
      </c>
      <c r="H7640" s="16" t="str">
        <f t="shared" ca="1" si="846"/>
        <v/>
      </c>
      <c r="I7640" s="16" t="str">
        <f t="shared" ca="1" si="847"/>
        <v/>
      </c>
      <c r="J7640" s="17" t="str">
        <f t="shared" ca="1" si="848"/>
        <v/>
      </c>
    </row>
    <row r="7641" spans="1:10" x14ac:dyDescent="0.25">
      <c r="A7641" t="s">
        <v>963</v>
      </c>
      <c r="B7641" t="str">
        <f>ADDRESS(ROW(DFLoan1!B$20),COLUMN(DFLoan1!B$20),4)</f>
        <v>B20</v>
      </c>
      <c r="C7641" t="str">
        <f>ADDRESS(ROW(DFLoan1!C$20),COLUMN(DFLoan1!C$20),4)</f>
        <v>C20</v>
      </c>
      <c r="D7641" t="b" cm="1">
        <f t="array" aca="1" ref="D7641" ca="1">IF(INDIRECT("'"&amp;A7641&amp;"'!"&amp;B7641)="",FALSE,IF(NOT(ISNUMBER(INDIRECT("'"&amp;A7641&amp;"'!"&amp;B7641))),TRUE,FALSE))</f>
        <v>0</v>
      </c>
      <c r="E7641" t="s">
        <v>435</v>
      </c>
      <c r="F7641" t="str">
        <f>INDEX(Lists!I:I,MATCH(Validation!E7641,Lists!G:G,0))</f>
        <v>Error</v>
      </c>
      <c r="G7641" t="str">
        <f>INDEX(Lists!H:H,MATCH(Validation!E7641,Lists!G:G,0))</f>
        <v>Enter an amount only. Do not enter text or spaces.</v>
      </c>
      <c r="H7641" s="16" t="str">
        <f t="shared" ca="1" si="846"/>
        <v/>
      </c>
      <c r="I7641" s="16" t="str">
        <f t="shared" ca="1" si="847"/>
        <v/>
      </c>
      <c r="J7641" s="17" t="str">
        <f t="shared" ca="1" si="848"/>
        <v/>
      </c>
    </row>
    <row r="7642" spans="1:10" x14ac:dyDescent="0.25">
      <c r="A7642" t="s">
        <v>964</v>
      </c>
      <c r="B7642" t="str">
        <f>ADDRESS(ROW(DFLoan1!B$20),COLUMN(DFLoan1!B$20),4)</f>
        <v>B20</v>
      </c>
      <c r="C7642" t="str">
        <f>ADDRESS(ROW(DFLoan1!C$20),COLUMN(DFLoan1!C$20),4)</f>
        <v>C20</v>
      </c>
      <c r="D7642" t="b" cm="1">
        <f t="array" aca="1" ref="D7642" ca="1">IF(INDIRECT("'"&amp;A7642&amp;"'!"&amp;B7642)="",FALSE,IF(NOT(ISNUMBER(INDIRECT("'"&amp;A7642&amp;"'!"&amp;B7642))),TRUE,FALSE))</f>
        <v>0</v>
      </c>
      <c r="E7642" t="s">
        <v>435</v>
      </c>
      <c r="F7642" t="str">
        <f>INDEX(Lists!I:I,MATCH(Validation!E7642,Lists!G:G,0))</f>
        <v>Error</v>
      </c>
      <c r="G7642" t="str">
        <f>INDEX(Lists!H:H,MATCH(Validation!E7642,Lists!G:G,0))</f>
        <v>Enter an amount only. Do not enter text or spaces.</v>
      </c>
      <c r="H7642" s="16" t="str">
        <f t="shared" ca="1" si="846"/>
        <v/>
      </c>
      <c r="I7642" s="16" t="str">
        <f t="shared" ca="1" si="847"/>
        <v/>
      </c>
      <c r="J7642" s="17" t="str">
        <f t="shared" ca="1" si="848"/>
        <v/>
      </c>
    </row>
    <row r="7643" spans="1:10" x14ac:dyDescent="0.25">
      <c r="A7643" t="s">
        <v>965</v>
      </c>
      <c r="B7643" t="str">
        <f>ADDRESS(ROW(DFLoan1!B$20),COLUMN(DFLoan1!B$20),4)</f>
        <v>B20</v>
      </c>
      <c r="C7643" t="str">
        <f>ADDRESS(ROW(DFLoan1!C$20),COLUMN(DFLoan1!C$20),4)</f>
        <v>C20</v>
      </c>
      <c r="D7643" t="b" cm="1">
        <f t="array" aca="1" ref="D7643" ca="1">IF(INDIRECT("'"&amp;A7643&amp;"'!"&amp;B7643)="",FALSE,IF(NOT(ISNUMBER(INDIRECT("'"&amp;A7643&amp;"'!"&amp;B7643))),TRUE,FALSE))</f>
        <v>0</v>
      </c>
      <c r="E7643" t="s">
        <v>435</v>
      </c>
      <c r="F7643" t="str">
        <f>INDEX(Lists!I:I,MATCH(Validation!E7643,Lists!G:G,0))</f>
        <v>Error</v>
      </c>
      <c r="G7643" t="str">
        <f>INDEX(Lists!H:H,MATCH(Validation!E7643,Lists!G:G,0))</f>
        <v>Enter an amount only. Do not enter text or spaces.</v>
      </c>
      <c r="H7643" s="16" t="str">
        <f t="shared" ca="1" si="846"/>
        <v/>
      </c>
      <c r="I7643" s="16" t="str">
        <f t="shared" ca="1" si="847"/>
        <v/>
      </c>
      <c r="J7643" s="17" t="str">
        <f t="shared" ca="1" si="848"/>
        <v/>
      </c>
    </row>
    <row r="7644" spans="1:10" x14ac:dyDescent="0.25">
      <c r="A7644" t="s">
        <v>966</v>
      </c>
      <c r="B7644" t="str">
        <f>ADDRESS(ROW(DFLoan1!B$20),COLUMN(DFLoan1!B$20),4)</f>
        <v>B20</v>
      </c>
      <c r="C7644" t="str">
        <f>ADDRESS(ROW(DFLoan1!C$20),COLUMN(DFLoan1!C$20),4)</f>
        <v>C20</v>
      </c>
      <c r="D7644" t="b" cm="1">
        <f t="array" aca="1" ref="D7644" ca="1">IF(INDIRECT("'"&amp;A7644&amp;"'!"&amp;B7644)="",FALSE,IF(NOT(ISNUMBER(INDIRECT("'"&amp;A7644&amp;"'!"&amp;B7644))),TRUE,FALSE))</f>
        <v>0</v>
      </c>
      <c r="E7644" t="s">
        <v>435</v>
      </c>
      <c r="F7644" t="str">
        <f>INDEX(Lists!I:I,MATCH(Validation!E7644,Lists!G:G,0))</f>
        <v>Error</v>
      </c>
      <c r="G7644" t="str">
        <f>INDEX(Lists!H:H,MATCH(Validation!E7644,Lists!G:G,0))</f>
        <v>Enter an amount only. Do not enter text or spaces.</v>
      </c>
      <c r="H7644" s="16" t="str">
        <f t="shared" ca="1" si="846"/>
        <v/>
      </c>
      <c r="I7644" s="16" t="str">
        <f t="shared" ca="1" si="847"/>
        <v/>
      </c>
      <c r="J7644" s="17" t="str">
        <f t="shared" ca="1" si="848"/>
        <v/>
      </c>
    </row>
    <row r="7645" spans="1:10" x14ac:dyDescent="0.25">
      <c r="A7645" t="s">
        <v>881</v>
      </c>
      <c r="B7645" t="str">
        <f>ADDRESS(ROW(DFLoan1!B$20),COLUMN(DFLoan1!B$20),4)</f>
        <v>B20</v>
      </c>
      <c r="C7645" t="str">
        <f>ADDRESS(ROW(DFLoan1!C$20),COLUMN(DFLoan1!C$20),4)</f>
        <v>C20</v>
      </c>
      <c r="D7645" t="b" cm="1">
        <f t="array" aca="1" ref="D7645" ca="1">IF(INDIRECT("'"&amp;A7645&amp;"'!"&amp;B7645)="",FALSE,IF(INDIRECT("'"&amp;A7645&amp;"'!"&amp;B7645)&lt;0,TRUE,FALSE))</f>
        <v>0</v>
      </c>
      <c r="E7645" t="s">
        <v>434</v>
      </c>
      <c r="F7645" t="str">
        <f>INDEX(Lists!I:I,MATCH(Validation!E7645,Lists!G:G,0))</f>
        <v>Error</v>
      </c>
      <c r="G7645" t="str">
        <f>INDEX(Lists!H:H,MATCH(Validation!E7645,Lists!G:G,0))</f>
        <v>Amount may not be negative. Enter an amount greater than or equal to zero.</v>
      </c>
      <c r="H7645" s="16" t="str">
        <f t="shared" ca="1" si="846"/>
        <v/>
      </c>
      <c r="I7645" s="16" t="str">
        <f t="shared" ca="1" si="847"/>
        <v/>
      </c>
      <c r="J7645" s="17" t="str">
        <f t="shared" ca="1" si="848"/>
        <v/>
      </c>
    </row>
    <row r="7646" spans="1:10" x14ac:dyDescent="0.25">
      <c r="A7646" t="s">
        <v>953</v>
      </c>
      <c r="B7646" t="str">
        <f>ADDRESS(ROW(DFLoan1!B$20),COLUMN(DFLoan1!B$20),4)</f>
        <v>B20</v>
      </c>
      <c r="C7646" t="str">
        <f>ADDRESS(ROW(DFLoan1!C$20),COLUMN(DFLoan1!C$20),4)</f>
        <v>C20</v>
      </c>
      <c r="D7646" t="b" cm="1">
        <f t="array" aca="1" ref="D7646" ca="1">IF(INDIRECT("'"&amp;A7646&amp;"'!"&amp;B7646)="",FALSE,IF(INDIRECT("'"&amp;A7646&amp;"'!"&amp;B7646)&lt;0,TRUE,FALSE))</f>
        <v>0</v>
      </c>
      <c r="E7646" t="s">
        <v>434</v>
      </c>
      <c r="F7646" t="str">
        <f>INDEX(Lists!I:I,MATCH(Validation!E7646,Lists!G:G,0))</f>
        <v>Error</v>
      </c>
      <c r="G7646" t="str">
        <f>INDEX(Lists!H:H,MATCH(Validation!E7646,Lists!G:G,0))</f>
        <v>Amount may not be negative. Enter an amount greater than or equal to zero.</v>
      </c>
      <c r="H7646" s="16" t="str">
        <f t="shared" ca="1" si="846"/>
        <v/>
      </c>
      <c r="I7646" s="16" t="str">
        <f t="shared" ca="1" si="847"/>
        <v/>
      </c>
      <c r="J7646" s="17" t="str">
        <f t="shared" ca="1" si="848"/>
        <v/>
      </c>
    </row>
    <row r="7647" spans="1:10" x14ac:dyDescent="0.25">
      <c r="A7647" t="s">
        <v>954</v>
      </c>
      <c r="B7647" t="str">
        <f>ADDRESS(ROW(DFLoan1!B$20),COLUMN(DFLoan1!B$20),4)</f>
        <v>B20</v>
      </c>
      <c r="C7647" t="str">
        <f>ADDRESS(ROW(DFLoan1!C$20),COLUMN(DFLoan1!C$20),4)</f>
        <v>C20</v>
      </c>
      <c r="D7647" t="b" cm="1">
        <f t="array" aca="1" ref="D7647" ca="1">IF(INDIRECT("'"&amp;A7647&amp;"'!"&amp;B7647)="",FALSE,IF(INDIRECT("'"&amp;A7647&amp;"'!"&amp;B7647)&lt;0,TRUE,FALSE))</f>
        <v>0</v>
      </c>
      <c r="E7647" t="s">
        <v>434</v>
      </c>
      <c r="F7647" t="str">
        <f>INDEX(Lists!I:I,MATCH(Validation!E7647,Lists!G:G,0))</f>
        <v>Error</v>
      </c>
      <c r="G7647" t="str">
        <f>INDEX(Lists!H:H,MATCH(Validation!E7647,Lists!G:G,0))</f>
        <v>Amount may not be negative. Enter an amount greater than or equal to zero.</v>
      </c>
      <c r="H7647" s="16" t="str">
        <f t="shared" ca="1" si="846"/>
        <v/>
      </c>
      <c r="I7647" s="16" t="str">
        <f t="shared" ca="1" si="847"/>
        <v/>
      </c>
      <c r="J7647" s="17" t="str">
        <f t="shared" ca="1" si="848"/>
        <v/>
      </c>
    </row>
    <row r="7648" spans="1:10" x14ac:dyDescent="0.25">
      <c r="A7648" t="s">
        <v>955</v>
      </c>
      <c r="B7648" t="str">
        <f>ADDRESS(ROW(DFLoan1!B$20),COLUMN(DFLoan1!B$20),4)</f>
        <v>B20</v>
      </c>
      <c r="C7648" t="str">
        <f>ADDRESS(ROW(DFLoan1!C$20),COLUMN(DFLoan1!C$20),4)</f>
        <v>C20</v>
      </c>
      <c r="D7648" t="b" cm="1">
        <f t="array" aca="1" ref="D7648" ca="1">IF(INDIRECT("'"&amp;A7648&amp;"'!"&amp;B7648)="",FALSE,IF(INDIRECT("'"&amp;A7648&amp;"'!"&amp;B7648)&lt;0,TRUE,FALSE))</f>
        <v>0</v>
      </c>
      <c r="E7648" t="s">
        <v>434</v>
      </c>
      <c r="F7648" t="str">
        <f>INDEX(Lists!I:I,MATCH(Validation!E7648,Lists!G:G,0))</f>
        <v>Error</v>
      </c>
      <c r="G7648" t="str">
        <f>INDEX(Lists!H:H,MATCH(Validation!E7648,Lists!G:G,0))</f>
        <v>Amount may not be negative. Enter an amount greater than or equal to zero.</v>
      </c>
      <c r="H7648" s="16" t="str">
        <f t="shared" ca="1" si="846"/>
        <v/>
      </c>
      <c r="I7648" s="16" t="str">
        <f t="shared" ca="1" si="847"/>
        <v/>
      </c>
      <c r="J7648" s="17" t="str">
        <f t="shared" ca="1" si="848"/>
        <v/>
      </c>
    </row>
    <row r="7649" spans="1:10" x14ac:dyDescent="0.25">
      <c r="A7649" t="s">
        <v>956</v>
      </c>
      <c r="B7649" t="str">
        <f>ADDRESS(ROW(DFLoan1!B$20),COLUMN(DFLoan1!B$20),4)</f>
        <v>B20</v>
      </c>
      <c r="C7649" t="str">
        <f>ADDRESS(ROW(DFLoan1!C$20),COLUMN(DFLoan1!C$20),4)</f>
        <v>C20</v>
      </c>
      <c r="D7649" t="b" cm="1">
        <f t="array" aca="1" ref="D7649" ca="1">IF(INDIRECT("'"&amp;A7649&amp;"'!"&amp;B7649)="",FALSE,IF(INDIRECT("'"&amp;A7649&amp;"'!"&amp;B7649)&lt;0,TRUE,FALSE))</f>
        <v>0</v>
      </c>
      <c r="E7649" t="s">
        <v>434</v>
      </c>
      <c r="F7649" t="str">
        <f>INDEX(Lists!I:I,MATCH(Validation!E7649,Lists!G:G,0))</f>
        <v>Error</v>
      </c>
      <c r="G7649" t="str">
        <f>INDEX(Lists!H:H,MATCH(Validation!E7649,Lists!G:G,0))</f>
        <v>Amount may not be negative. Enter an amount greater than or equal to zero.</v>
      </c>
      <c r="H7649" s="16" t="str">
        <f t="shared" ca="1" si="846"/>
        <v/>
      </c>
      <c r="I7649" s="16" t="str">
        <f t="shared" ca="1" si="847"/>
        <v/>
      </c>
      <c r="J7649" s="17" t="str">
        <f t="shared" ca="1" si="848"/>
        <v/>
      </c>
    </row>
    <row r="7650" spans="1:10" x14ac:dyDescent="0.25">
      <c r="A7650" t="s">
        <v>957</v>
      </c>
      <c r="B7650" t="str">
        <f>ADDRESS(ROW(DFLoan1!B$20),COLUMN(DFLoan1!B$20),4)</f>
        <v>B20</v>
      </c>
      <c r="C7650" t="str">
        <f>ADDRESS(ROW(DFLoan1!C$20),COLUMN(DFLoan1!C$20),4)</f>
        <v>C20</v>
      </c>
      <c r="D7650" t="b" cm="1">
        <f t="array" aca="1" ref="D7650" ca="1">IF(INDIRECT("'"&amp;A7650&amp;"'!"&amp;B7650)="",FALSE,IF(INDIRECT("'"&amp;A7650&amp;"'!"&amp;B7650)&lt;0,TRUE,FALSE))</f>
        <v>0</v>
      </c>
      <c r="E7650" t="s">
        <v>434</v>
      </c>
      <c r="F7650" t="str">
        <f>INDEX(Lists!I:I,MATCH(Validation!E7650,Lists!G:G,0))</f>
        <v>Error</v>
      </c>
      <c r="G7650" t="str">
        <f>INDEX(Lists!H:H,MATCH(Validation!E7650,Lists!G:G,0))</f>
        <v>Amount may not be negative. Enter an amount greater than or equal to zero.</v>
      </c>
      <c r="H7650" s="16" t="str">
        <f t="shared" ca="1" si="846"/>
        <v/>
      </c>
      <c r="I7650" s="16" t="str">
        <f t="shared" ca="1" si="847"/>
        <v/>
      </c>
      <c r="J7650" s="17" t="str">
        <f t="shared" ca="1" si="848"/>
        <v/>
      </c>
    </row>
    <row r="7651" spans="1:10" x14ac:dyDescent="0.25">
      <c r="A7651" t="s">
        <v>958</v>
      </c>
      <c r="B7651" t="str">
        <f>ADDRESS(ROW(DFLoan1!B$20),COLUMN(DFLoan1!B$20),4)</f>
        <v>B20</v>
      </c>
      <c r="C7651" t="str">
        <f>ADDRESS(ROW(DFLoan1!C$20),COLUMN(DFLoan1!C$20),4)</f>
        <v>C20</v>
      </c>
      <c r="D7651" t="b" cm="1">
        <f t="array" aca="1" ref="D7651" ca="1">IF(INDIRECT("'"&amp;A7651&amp;"'!"&amp;B7651)="",FALSE,IF(INDIRECT("'"&amp;A7651&amp;"'!"&amp;B7651)&lt;0,TRUE,FALSE))</f>
        <v>0</v>
      </c>
      <c r="E7651" t="s">
        <v>434</v>
      </c>
      <c r="F7651" t="str">
        <f>INDEX(Lists!I:I,MATCH(Validation!E7651,Lists!G:G,0))</f>
        <v>Error</v>
      </c>
      <c r="G7651" t="str">
        <f>INDEX(Lists!H:H,MATCH(Validation!E7651,Lists!G:G,0))</f>
        <v>Amount may not be negative. Enter an amount greater than or equal to zero.</v>
      </c>
      <c r="H7651" s="16" t="str">
        <f t="shared" ca="1" si="846"/>
        <v/>
      </c>
      <c r="I7651" s="16" t="str">
        <f t="shared" ca="1" si="847"/>
        <v/>
      </c>
      <c r="J7651" s="17" t="str">
        <f t="shared" ca="1" si="848"/>
        <v/>
      </c>
    </row>
    <row r="7652" spans="1:10" x14ac:dyDescent="0.25">
      <c r="A7652" t="s">
        <v>959</v>
      </c>
      <c r="B7652" t="str">
        <f>ADDRESS(ROW(DFLoan1!B$20),COLUMN(DFLoan1!B$20),4)</f>
        <v>B20</v>
      </c>
      <c r="C7652" t="str">
        <f>ADDRESS(ROW(DFLoan1!C$20),COLUMN(DFLoan1!C$20),4)</f>
        <v>C20</v>
      </c>
      <c r="D7652" t="b" cm="1">
        <f t="array" aca="1" ref="D7652" ca="1">IF(INDIRECT("'"&amp;A7652&amp;"'!"&amp;B7652)="",FALSE,IF(INDIRECT("'"&amp;A7652&amp;"'!"&amp;B7652)&lt;0,TRUE,FALSE))</f>
        <v>0</v>
      </c>
      <c r="E7652" t="s">
        <v>434</v>
      </c>
      <c r="F7652" t="str">
        <f>INDEX(Lists!I:I,MATCH(Validation!E7652,Lists!G:G,0))</f>
        <v>Error</v>
      </c>
      <c r="G7652" t="str">
        <f>INDEX(Lists!H:H,MATCH(Validation!E7652,Lists!G:G,0))</f>
        <v>Amount may not be negative. Enter an amount greater than or equal to zero.</v>
      </c>
      <c r="H7652" s="16" t="str">
        <f t="shared" ca="1" si="846"/>
        <v/>
      </c>
      <c r="I7652" s="16" t="str">
        <f t="shared" ca="1" si="847"/>
        <v/>
      </c>
      <c r="J7652" s="17" t="str">
        <f t="shared" ca="1" si="848"/>
        <v/>
      </c>
    </row>
    <row r="7653" spans="1:10" x14ac:dyDescent="0.25">
      <c r="A7653" t="s">
        <v>960</v>
      </c>
      <c r="B7653" t="str">
        <f>ADDRESS(ROW(DFLoan1!B$20),COLUMN(DFLoan1!B$20),4)</f>
        <v>B20</v>
      </c>
      <c r="C7653" t="str">
        <f>ADDRESS(ROW(DFLoan1!C$20),COLUMN(DFLoan1!C$20),4)</f>
        <v>C20</v>
      </c>
      <c r="D7653" t="b" cm="1">
        <f t="array" aca="1" ref="D7653" ca="1">IF(INDIRECT("'"&amp;A7653&amp;"'!"&amp;B7653)="",FALSE,IF(INDIRECT("'"&amp;A7653&amp;"'!"&amp;B7653)&lt;0,TRUE,FALSE))</f>
        <v>0</v>
      </c>
      <c r="E7653" t="s">
        <v>434</v>
      </c>
      <c r="F7653" t="str">
        <f>INDEX(Lists!I:I,MATCH(Validation!E7653,Lists!G:G,0))</f>
        <v>Error</v>
      </c>
      <c r="G7653" t="str">
        <f>INDEX(Lists!H:H,MATCH(Validation!E7653,Lists!G:G,0))</f>
        <v>Amount may not be negative. Enter an amount greater than or equal to zero.</v>
      </c>
      <c r="H7653" s="16" t="str">
        <f t="shared" ca="1" si="846"/>
        <v/>
      </c>
      <c r="I7653" s="16" t="str">
        <f t="shared" ca="1" si="847"/>
        <v/>
      </c>
      <c r="J7653" s="17" t="str">
        <f t="shared" ca="1" si="848"/>
        <v/>
      </c>
    </row>
    <row r="7654" spans="1:10" x14ac:dyDescent="0.25">
      <c r="A7654" t="s">
        <v>961</v>
      </c>
      <c r="B7654" t="str">
        <f>ADDRESS(ROW(DFLoan1!B$20),COLUMN(DFLoan1!B$20),4)</f>
        <v>B20</v>
      </c>
      <c r="C7654" t="str">
        <f>ADDRESS(ROW(DFLoan1!C$20),COLUMN(DFLoan1!C$20),4)</f>
        <v>C20</v>
      </c>
      <c r="D7654" t="b" cm="1">
        <f t="array" aca="1" ref="D7654" ca="1">IF(INDIRECT("'"&amp;A7654&amp;"'!"&amp;B7654)="",FALSE,IF(INDIRECT("'"&amp;A7654&amp;"'!"&amp;B7654)&lt;0,TRUE,FALSE))</f>
        <v>0</v>
      </c>
      <c r="E7654" t="s">
        <v>434</v>
      </c>
      <c r="F7654" t="str">
        <f>INDEX(Lists!I:I,MATCH(Validation!E7654,Lists!G:G,0))</f>
        <v>Error</v>
      </c>
      <c r="G7654" t="str">
        <f>INDEX(Lists!H:H,MATCH(Validation!E7654,Lists!G:G,0))</f>
        <v>Amount may not be negative. Enter an amount greater than or equal to zero.</v>
      </c>
      <c r="H7654" s="16" t="str">
        <f t="shared" ca="1" si="846"/>
        <v/>
      </c>
      <c r="I7654" s="16" t="str">
        <f t="shared" ca="1" si="847"/>
        <v/>
      </c>
      <c r="J7654" s="17" t="str">
        <f t="shared" ca="1" si="848"/>
        <v/>
      </c>
    </row>
    <row r="7655" spans="1:10" x14ac:dyDescent="0.25">
      <c r="A7655" t="s">
        <v>962</v>
      </c>
      <c r="B7655" t="str">
        <f>ADDRESS(ROW(DFLoan1!B$20),COLUMN(DFLoan1!B$20),4)</f>
        <v>B20</v>
      </c>
      <c r="C7655" t="str">
        <f>ADDRESS(ROW(DFLoan1!C$20),COLUMN(DFLoan1!C$20),4)</f>
        <v>C20</v>
      </c>
      <c r="D7655" t="b" cm="1">
        <f t="array" aca="1" ref="D7655" ca="1">IF(INDIRECT("'"&amp;A7655&amp;"'!"&amp;B7655)="",FALSE,IF(INDIRECT("'"&amp;A7655&amp;"'!"&amp;B7655)&lt;0,TRUE,FALSE))</f>
        <v>0</v>
      </c>
      <c r="E7655" t="s">
        <v>434</v>
      </c>
      <c r="F7655" t="str">
        <f>INDEX(Lists!I:I,MATCH(Validation!E7655,Lists!G:G,0))</f>
        <v>Error</v>
      </c>
      <c r="G7655" t="str">
        <f>INDEX(Lists!H:H,MATCH(Validation!E7655,Lists!G:G,0))</f>
        <v>Amount may not be negative. Enter an amount greater than or equal to zero.</v>
      </c>
      <c r="H7655" s="16" t="str">
        <f t="shared" ca="1" si="846"/>
        <v/>
      </c>
      <c r="I7655" s="16" t="str">
        <f t="shared" ca="1" si="847"/>
        <v/>
      </c>
      <c r="J7655" s="17" t="str">
        <f t="shared" ca="1" si="848"/>
        <v/>
      </c>
    </row>
    <row r="7656" spans="1:10" x14ac:dyDescent="0.25">
      <c r="A7656" t="s">
        <v>963</v>
      </c>
      <c r="B7656" t="str">
        <f>ADDRESS(ROW(DFLoan1!B$20),COLUMN(DFLoan1!B$20),4)</f>
        <v>B20</v>
      </c>
      <c r="C7656" t="str">
        <f>ADDRESS(ROW(DFLoan1!C$20),COLUMN(DFLoan1!C$20),4)</f>
        <v>C20</v>
      </c>
      <c r="D7656" t="b" cm="1">
        <f t="array" aca="1" ref="D7656" ca="1">IF(INDIRECT("'"&amp;A7656&amp;"'!"&amp;B7656)="",FALSE,IF(INDIRECT("'"&amp;A7656&amp;"'!"&amp;B7656)&lt;0,TRUE,FALSE))</f>
        <v>0</v>
      </c>
      <c r="E7656" t="s">
        <v>434</v>
      </c>
      <c r="F7656" t="str">
        <f>INDEX(Lists!I:I,MATCH(Validation!E7656,Lists!G:G,0))</f>
        <v>Error</v>
      </c>
      <c r="G7656" t="str">
        <f>INDEX(Lists!H:H,MATCH(Validation!E7656,Lists!G:G,0))</f>
        <v>Amount may not be negative. Enter an amount greater than or equal to zero.</v>
      </c>
      <c r="H7656" s="16" t="str">
        <f t="shared" ca="1" si="846"/>
        <v/>
      </c>
      <c r="I7656" s="16" t="str">
        <f t="shared" ca="1" si="847"/>
        <v/>
      </c>
      <c r="J7656" s="17" t="str">
        <f t="shared" ca="1" si="848"/>
        <v/>
      </c>
    </row>
    <row r="7657" spans="1:10" x14ac:dyDescent="0.25">
      <c r="A7657" t="s">
        <v>964</v>
      </c>
      <c r="B7657" t="str">
        <f>ADDRESS(ROW(DFLoan1!B$20),COLUMN(DFLoan1!B$20),4)</f>
        <v>B20</v>
      </c>
      <c r="C7657" t="str">
        <f>ADDRESS(ROW(DFLoan1!C$20),COLUMN(DFLoan1!C$20),4)</f>
        <v>C20</v>
      </c>
      <c r="D7657" t="b" cm="1">
        <f t="array" aca="1" ref="D7657" ca="1">IF(INDIRECT("'"&amp;A7657&amp;"'!"&amp;B7657)="",FALSE,IF(INDIRECT("'"&amp;A7657&amp;"'!"&amp;B7657)&lt;0,TRUE,FALSE))</f>
        <v>0</v>
      </c>
      <c r="E7657" t="s">
        <v>434</v>
      </c>
      <c r="F7657" t="str">
        <f>INDEX(Lists!I:I,MATCH(Validation!E7657,Lists!G:G,0))</f>
        <v>Error</v>
      </c>
      <c r="G7657" t="str">
        <f>INDEX(Lists!H:H,MATCH(Validation!E7657,Lists!G:G,0))</f>
        <v>Amount may not be negative. Enter an amount greater than or equal to zero.</v>
      </c>
      <c r="H7657" s="16" t="str">
        <f t="shared" ca="1" si="846"/>
        <v/>
      </c>
      <c r="I7657" s="16" t="str">
        <f t="shared" ca="1" si="847"/>
        <v/>
      </c>
      <c r="J7657" s="17" t="str">
        <f t="shared" ca="1" si="848"/>
        <v/>
      </c>
    </row>
    <row r="7658" spans="1:10" x14ac:dyDescent="0.25">
      <c r="A7658" t="s">
        <v>965</v>
      </c>
      <c r="B7658" t="str">
        <f>ADDRESS(ROW(DFLoan1!B$20),COLUMN(DFLoan1!B$20),4)</f>
        <v>B20</v>
      </c>
      <c r="C7658" t="str">
        <f>ADDRESS(ROW(DFLoan1!C$20),COLUMN(DFLoan1!C$20),4)</f>
        <v>C20</v>
      </c>
      <c r="D7658" t="b" cm="1">
        <f t="array" aca="1" ref="D7658" ca="1">IF(INDIRECT("'"&amp;A7658&amp;"'!"&amp;B7658)="",FALSE,IF(INDIRECT("'"&amp;A7658&amp;"'!"&amp;B7658)&lt;0,TRUE,FALSE))</f>
        <v>0</v>
      </c>
      <c r="E7658" t="s">
        <v>434</v>
      </c>
      <c r="F7658" t="str">
        <f>INDEX(Lists!I:I,MATCH(Validation!E7658,Lists!G:G,0))</f>
        <v>Error</v>
      </c>
      <c r="G7658" t="str">
        <f>INDEX(Lists!H:H,MATCH(Validation!E7658,Lists!G:G,0))</f>
        <v>Amount may not be negative. Enter an amount greater than or equal to zero.</v>
      </c>
      <c r="H7658" s="16" t="str">
        <f t="shared" ca="1" si="846"/>
        <v/>
      </c>
      <c r="I7658" s="16" t="str">
        <f t="shared" ca="1" si="847"/>
        <v/>
      </c>
      <c r="J7658" s="17" t="str">
        <f t="shared" ca="1" si="848"/>
        <v/>
      </c>
    </row>
    <row r="7659" spans="1:10" x14ac:dyDescent="0.25">
      <c r="A7659" t="s">
        <v>966</v>
      </c>
      <c r="B7659" t="str">
        <f>ADDRESS(ROW(DFLoan1!B$20),COLUMN(DFLoan1!B$20),4)</f>
        <v>B20</v>
      </c>
      <c r="C7659" t="str">
        <f>ADDRESS(ROW(DFLoan1!C$20),COLUMN(DFLoan1!C$20),4)</f>
        <v>C20</v>
      </c>
      <c r="D7659" t="b" cm="1">
        <f t="array" aca="1" ref="D7659" ca="1">IF(INDIRECT("'"&amp;A7659&amp;"'!"&amp;B7659)="",FALSE,IF(INDIRECT("'"&amp;A7659&amp;"'!"&amp;B7659)&lt;0,TRUE,FALSE))</f>
        <v>0</v>
      </c>
      <c r="E7659" t="s">
        <v>434</v>
      </c>
      <c r="F7659" t="str">
        <f>INDEX(Lists!I:I,MATCH(Validation!E7659,Lists!G:G,0))</f>
        <v>Error</v>
      </c>
      <c r="G7659" t="str">
        <f>INDEX(Lists!H:H,MATCH(Validation!E7659,Lists!G:G,0))</f>
        <v>Amount may not be negative. Enter an amount greater than or equal to zero.</v>
      </c>
      <c r="H7659" s="16" t="str">
        <f t="shared" ca="1" si="846"/>
        <v/>
      </c>
      <c r="I7659" s="16" t="str">
        <f t="shared" ca="1" si="847"/>
        <v/>
      </c>
      <c r="J7659" s="17" t="str">
        <f t="shared" ca="1" si="848"/>
        <v/>
      </c>
    </row>
    <row r="7660" spans="1:10" x14ac:dyDescent="0.25">
      <c r="A7660" t="s">
        <v>881</v>
      </c>
      <c r="B7660" t="str">
        <f>ADDRESS(ROW(DFLoan1!B$20),COLUMN(DFLoan1!B$20),4)</f>
        <v>B20</v>
      </c>
      <c r="C7660" t="str">
        <f>ADDRESS(ROW(DFLoan1!C$20),COLUMN(DFLoan1!C$20),4)</f>
        <v>C20</v>
      </c>
      <c r="D7660" t="b" cm="1">
        <f t="array" aca="1" ref="D7660" ca="1">IF(INDIRECT("'"&amp;A7660&amp;"'!"&amp;B7660)="",FALSE,IF(TRUNC(INDIRECT("'"&amp;A7660&amp;"'!"&amp;B7660))=INDIRECT("'"&amp;A7660&amp;"'!"&amp;B7660),FALSE,TRUE))</f>
        <v>0</v>
      </c>
      <c r="E7660" t="s">
        <v>436</v>
      </c>
      <c r="F7660" t="str">
        <f>INDEX(Lists!I:I,MATCH(Validation!E7660,Lists!G:G,0))</f>
        <v>Error</v>
      </c>
      <c r="G7660" t="str">
        <f>INDEX(Lists!H:H,MATCH(Validation!E7660,Lists!G:G,0))</f>
        <v>Amount must be rounded to the nearest dollar.</v>
      </c>
      <c r="H7660" s="16" t="str">
        <f t="shared" ca="1" si="846"/>
        <v/>
      </c>
      <c r="I7660" s="16" t="str">
        <f t="shared" ca="1" si="847"/>
        <v/>
      </c>
      <c r="J7660" s="17" t="str">
        <f t="shared" ca="1" si="848"/>
        <v/>
      </c>
    </row>
    <row r="7661" spans="1:10" x14ac:dyDescent="0.25">
      <c r="A7661" t="s">
        <v>953</v>
      </c>
      <c r="B7661" t="str">
        <f>ADDRESS(ROW(DFLoan1!B$20),COLUMN(DFLoan1!B$20),4)</f>
        <v>B20</v>
      </c>
      <c r="C7661" t="str">
        <f>ADDRESS(ROW(DFLoan1!C$20),COLUMN(DFLoan1!C$20),4)</f>
        <v>C20</v>
      </c>
      <c r="D7661" t="b" cm="1">
        <f t="array" aca="1" ref="D7661" ca="1">IF(INDIRECT("'"&amp;A7661&amp;"'!"&amp;B7661)="",FALSE,IF(TRUNC(INDIRECT("'"&amp;A7661&amp;"'!"&amp;B7661))=INDIRECT("'"&amp;A7661&amp;"'!"&amp;B7661),FALSE,TRUE))</f>
        <v>0</v>
      </c>
      <c r="E7661" t="s">
        <v>436</v>
      </c>
      <c r="F7661" t="str">
        <f>INDEX(Lists!I:I,MATCH(Validation!E7661,Lists!G:G,0))</f>
        <v>Error</v>
      </c>
      <c r="G7661" t="str">
        <f>INDEX(Lists!H:H,MATCH(Validation!E7661,Lists!G:G,0))</f>
        <v>Amount must be rounded to the nearest dollar.</v>
      </c>
      <c r="H7661" s="16" t="str">
        <f t="shared" ca="1" si="846"/>
        <v/>
      </c>
      <c r="I7661" s="16" t="str">
        <f t="shared" ca="1" si="847"/>
        <v/>
      </c>
      <c r="J7661" s="17" t="str">
        <f t="shared" ca="1" si="848"/>
        <v/>
      </c>
    </row>
    <row r="7662" spans="1:10" x14ac:dyDescent="0.25">
      <c r="A7662" t="s">
        <v>954</v>
      </c>
      <c r="B7662" t="str">
        <f>ADDRESS(ROW(DFLoan1!B$20),COLUMN(DFLoan1!B$20),4)</f>
        <v>B20</v>
      </c>
      <c r="C7662" t="str">
        <f>ADDRESS(ROW(DFLoan1!C$20),COLUMN(DFLoan1!C$20),4)</f>
        <v>C20</v>
      </c>
      <c r="D7662" t="b" cm="1">
        <f t="array" aca="1" ref="D7662" ca="1">IF(INDIRECT("'"&amp;A7662&amp;"'!"&amp;B7662)="",FALSE,IF(TRUNC(INDIRECT("'"&amp;A7662&amp;"'!"&amp;B7662))=INDIRECT("'"&amp;A7662&amp;"'!"&amp;B7662),FALSE,TRUE))</f>
        <v>0</v>
      </c>
      <c r="E7662" t="s">
        <v>436</v>
      </c>
      <c r="F7662" t="str">
        <f>INDEX(Lists!I:I,MATCH(Validation!E7662,Lists!G:G,0))</f>
        <v>Error</v>
      </c>
      <c r="G7662" t="str">
        <f>INDEX(Lists!H:H,MATCH(Validation!E7662,Lists!G:G,0))</f>
        <v>Amount must be rounded to the nearest dollar.</v>
      </c>
      <c r="H7662" s="16" t="str">
        <f t="shared" ca="1" si="846"/>
        <v/>
      </c>
      <c r="I7662" s="16" t="str">
        <f t="shared" ca="1" si="847"/>
        <v/>
      </c>
      <c r="J7662" s="17" t="str">
        <f t="shared" ca="1" si="848"/>
        <v/>
      </c>
    </row>
    <row r="7663" spans="1:10" x14ac:dyDescent="0.25">
      <c r="A7663" t="s">
        <v>955</v>
      </c>
      <c r="B7663" t="str">
        <f>ADDRESS(ROW(DFLoan1!B$20),COLUMN(DFLoan1!B$20),4)</f>
        <v>B20</v>
      </c>
      <c r="C7663" t="str">
        <f>ADDRESS(ROW(DFLoan1!C$20),COLUMN(DFLoan1!C$20),4)</f>
        <v>C20</v>
      </c>
      <c r="D7663" t="b" cm="1">
        <f t="array" aca="1" ref="D7663" ca="1">IF(INDIRECT("'"&amp;A7663&amp;"'!"&amp;B7663)="",FALSE,IF(TRUNC(INDIRECT("'"&amp;A7663&amp;"'!"&amp;B7663))=INDIRECT("'"&amp;A7663&amp;"'!"&amp;B7663),FALSE,TRUE))</f>
        <v>0</v>
      </c>
      <c r="E7663" t="s">
        <v>436</v>
      </c>
      <c r="F7663" t="str">
        <f>INDEX(Lists!I:I,MATCH(Validation!E7663,Lists!G:G,0))</f>
        <v>Error</v>
      </c>
      <c r="G7663" t="str">
        <f>INDEX(Lists!H:H,MATCH(Validation!E7663,Lists!G:G,0))</f>
        <v>Amount must be rounded to the nearest dollar.</v>
      </c>
      <c r="H7663" s="16" t="str">
        <f t="shared" ca="1" si="846"/>
        <v/>
      </c>
      <c r="I7663" s="16" t="str">
        <f t="shared" ca="1" si="847"/>
        <v/>
      </c>
      <c r="J7663" s="17" t="str">
        <f t="shared" ca="1" si="848"/>
        <v/>
      </c>
    </row>
    <row r="7664" spans="1:10" x14ac:dyDescent="0.25">
      <c r="A7664" t="s">
        <v>956</v>
      </c>
      <c r="B7664" t="str">
        <f>ADDRESS(ROW(DFLoan1!B$20),COLUMN(DFLoan1!B$20),4)</f>
        <v>B20</v>
      </c>
      <c r="C7664" t="str">
        <f>ADDRESS(ROW(DFLoan1!C$20),COLUMN(DFLoan1!C$20),4)</f>
        <v>C20</v>
      </c>
      <c r="D7664" t="b" cm="1">
        <f t="array" aca="1" ref="D7664" ca="1">IF(INDIRECT("'"&amp;A7664&amp;"'!"&amp;B7664)="",FALSE,IF(TRUNC(INDIRECT("'"&amp;A7664&amp;"'!"&amp;B7664))=INDIRECT("'"&amp;A7664&amp;"'!"&amp;B7664),FALSE,TRUE))</f>
        <v>0</v>
      </c>
      <c r="E7664" t="s">
        <v>436</v>
      </c>
      <c r="F7664" t="str">
        <f>INDEX(Lists!I:I,MATCH(Validation!E7664,Lists!G:G,0))</f>
        <v>Error</v>
      </c>
      <c r="G7664" t="str">
        <f>INDEX(Lists!H:H,MATCH(Validation!E7664,Lists!G:G,0))</f>
        <v>Amount must be rounded to the nearest dollar.</v>
      </c>
      <c r="H7664" s="16" t="str">
        <f t="shared" ref="H7664:H7727" ca="1" si="849">IFERROR(IF(OR(NOT(D7664),F7664&lt;&gt;"Error"),"",A7664&amp;CELL("address",INDIRECT(B7664))),"")</f>
        <v/>
      </c>
      <c r="I7664" s="16" t="str">
        <f t="shared" ref="I7664:I7727" ca="1" si="850">IFERROR(IF(NOT(D7664),"",A7664&amp;CELL("address",INDIRECT(C7664))),"")</f>
        <v/>
      </c>
      <c r="J7664" s="17" t="str">
        <f t="shared" ref="J7664:J7727" ca="1" si="851">IFERROR(IF(NOT(D7664),"",A7664),"")</f>
        <v/>
      </c>
    </row>
    <row r="7665" spans="1:10" x14ac:dyDescent="0.25">
      <c r="A7665" t="s">
        <v>957</v>
      </c>
      <c r="B7665" t="str">
        <f>ADDRESS(ROW(DFLoan1!B$20),COLUMN(DFLoan1!B$20),4)</f>
        <v>B20</v>
      </c>
      <c r="C7665" t="str">
        <f>ADDRESS(ROW(DFLoan1!C$20),COLUMN(DFLoan1!C$20),4)</f>
        <v>C20</v>
      </c>
      <c r="D7665" t="b" cm="1">
        <f t="array" aca="1" ref="D7665" ca="1">IF(INDIRECT("'"&amp;A7665&amp;"'!"&amp;B7665)="",FALSE,IF(TRUNC(INDIRECT("'"&amp;A7665&amp;"'!"&amp;B7665))=INDIRECT("'"&amp;A7665&amp;"'!"&amp;B7665),FALSE,TRUE))</f>
        <v>0</v>
      </c>
      <c r="E7665" t="s">
        <v>436</v>
      </c>
      <c r="F7665" t="str">
        <f>INDEX(Lists!I:I,MATCH(Validation!E7665,Lists!G:G,0))</f>
        <v>Error</v>
      </c>
      <c r="G7665" t="str">
        <f>INDEX(Lists!H:H,MATCH(Validation!E7665,Lists!G:G,0))</f>
        <v>Amount must be rounded to the nearest dollar.</v>
      </c>
      <c r="H7665" s="16" t="str">
        <f t="shared" ca="1" si="849"/>
        <v/>
      </c>
      <c r="I7665" s="16" t="str">
        <f t="shared" ca="1" si="850"/>
        <v/>
      </c>
      <c r="J7665" s="17" t="str">
        <f t="shared" ca="1" si="851"/>
        <v/>
      </c>
    </row>
    <row r="7666" spans="1:10" x14ac:dyDescent="0.25">
      <c r="A7666" t="s">
        <v>958</v>
      </c>
      <c r="B7666" t="str">
        <f>ADDRESS(ROW(DFLoan1!B$20),COLUMN(DFLoan1!B$20),4)</f>
        <v>B20</v>
      </c>
      <c r="C7666" t="str">
        <f>ADDRESS(ROW(DFLoan1!C$20),COLUMN(DFLoan1!C$20),4)</f>
        <v>C20</v>
      </c>
      <c r="D7666" t="b" cm="1">
        <f t="array" aca="1" ref="D7666" ca="1">IF(INDIRECT("'"&amp;A7666&amp;"'!"&amp;B7666)="",FALSE,IF(TRUNC(INDIRECT("'"&amp;A7666&amp;"'!"&amp;B7666))=INDIRECT("'"&amp;A7666&amp;"'!"&amp;B7666),FALSE,TRUE))</f>
        <v>0</v>
      </c>
      <c r="E7666" t="s">
        <v>436</v>
      </c>
      <c r="F7666" t="str">
        <f>INDEX(Lists!I:I,MATCH(Validation!E7666,Lists!G:G,0))</f>
        <v>Error</v>
      </c>
      <c r="G7666" t="str">
        <f>INDEX(Lists!H:H,MATCH(Validation!E7666,Lists!G:G,0))</f>
        <v>Amount must be rounded to the nearest dollar.</v>
      </c>
      <c r="H7666" s="16" t="str">
        <f t="shared" ca="1" si="849"/>
        <v/>
      </c>
      <c r="I7666" s="16" t="str">
        <f t="shared" ca="1" si="850"/>
        <v/>
      </c>
      <c r="J7666" s="17" t="str">
        <f t="shared" ca="1" si="851"/>
        <v/>
      </c>
    </row>
    <row r="7667" spans="1:10" x14ac:dyDescent="0.25">
      <c r="A7667" t="s">
        <v>959</v>
      </c>
      <c r="B7667" t="str">
        <f>ADDRESS(ROW(DFLoan1!B$20),COLUMN(DFLoan1!B$20),4)</f>
        <v>B20</v>
      </c>
      <c r="C7667" t="str">
        <f>ADDRESS(ROW(DFLoan1!C$20),COLUMN(DFLoan1!C$20),4)</f>
        <v>C20</v>
      </c>
      <c r="D7667" t="b" cm="1">
        <f t="array" aca="1" ref="D7667" ca="1">IF(INDIRECT("'"&amp;A7667&amp;"'!"&amp;B7667)="",FALSE,IF(TRUNC(INDIRECT("'"&amp;A7667&amp;"'!"&amp;B7667))=INDIRECT("'"&amp;A7667&amp;"'!"&amp;B7667),FALSE,TRUE))</f>
        <v>0</v>
      </c>
      <c r="E7667" t="s">
        <v>436</v>
      </c>
      <c r="F7667" t="str">
        <f>INDEX(Lists!I:I,MATCH(Validation!E7667,Lists!G:G,0))</f>
        <v>Error</v>
      </c>
      <c r="G7667" t="str">
        <f>INDEX(Lists!H:H,MATCH(Validation!E7667,Lists!G:G,0))</f>
        <v>Amount must be rounded to the nearest dollar.</v>
      </c>
      <c r="H7667" s="16" t="str">
        <f t="shared" ca="1" si="849"/>
        <v/>
      </c>
      <c r="I7667" s="16" t="str">
        <f t="shared" ca="1" si="850"/>
        <v/>
      </c>
      <c r="J7667" s="17" t="str">
        <f t="shared" ca="1" si="851"/>
        <v/>
      </c>
    </row>
    <row r="7668" spans="1:10" x14ac:dyDescent="0.25">
      <c r="A7668" t="s">
        <v>960</v>
      </c>
      <c r="B7668" t="str">
        <f>ADDRESS(ROW(DFLoan1!B$20),COLUMN(DFLoan1!B$20),4)</f>
        <v>B20</v>
      </c>
      <c r="C7668" t="str">
        <f>ADDRESS(ROW(DFLoan1!C$20),COLUMN(DFLoan1!C$20),4)</f>
        <v>C20</v>
      </c>
      <c r="D7668" t="b" cm="1">
        <f t="array" aca="1" ref="D7668" ca="1">IF(INDIRECT("'"&amp;A7668&amp;"'!"&amp;B7668)="",FALSE,IF(TRUNC(INDIRECT("'"&amp;A7668&amp;"'!"&amp;B7668))=INDIRECT("'"&amp;A7668&amp;"'!"&amp;B7668),FALSE,TRUE))</f>
        <v>0</v>
      </c>
      <c r="E7668" t="s">
        <v>436</v>
      </c>
      <c r="F7668" t="str">
        <f>INDEX(Lists!I:I,MATCH(Validation!E7668,Lists!G:G,0))</f>
        <v>Error</v>
      </c>
      <c r="G7668" t="str">
        <f>INDEX(Lists!H:H,MATCH(Validation!E7668,Lists!G:G,0))</f>
        <v>Amount must be rounded to the nearest dollar.</v>
      </c>
      <c r="H7668" s="16" t="str">
        <f t="shared" ca="1" si="849"/>
        <v/>
      </c>
      <c r="I7668" s="16" t="str">
        <f t="shared" ca="1" si="850"/>
        <v/>
      </c>
      <c r="J7668" s="17" t="str">
        <f t="shared" ca="1" si="851"/>
        <v/>
      </c>
    </row>
    <row r="7669" spans="1:10" x14ac:dyDescent="0.25">
      <c r="A7669" t="s">
        <v>961</v>
      </c>
      <c r="B7669" t="str">
        <f>ADDRESS(ROW(DFLoan1!B$20),COLUMN(DFLoan1!B$20),4)</f>
        <v>B20</v>
      </c>
      <c r="C7669" t="str">
        <f>ADDRESS(ROW(DFLoan1!C$20),COLUMN(DFLoan1!C$20),4)</f>
        <v>C20</v>
      </c>
      <c r="D7669" t="b" cm="1">
        <f t="array" aca="1" ref="D7669" ca="1">IF(INDIRECT("'"&amp;A7669&amp;"'!"&amp;B7669)="",FALSE,IF(TRUNC(INDIRECT("'"&amp;A7669&amp;"'!"&amp;B7669))=INDIRECT("'"&amp;A7669&amp;"'!"&amp;B7669),FALSE,TRUE))</f>
        <v>0</v>
      </c>
      <c r="E7669" t="s">
        <v>436</v>
      </c>
      <c r="F7669" t="str">
        <f>INDEX(Lists!I:I,MATCH(Validation!E7669,Lists!G:G,0))</f>
        <v>Error</v>
      </c>
      <c r="G7669" t="str">
        <f>INDEX(Lists!H:H,MATCH(Validation!E7669,Lists!G:G,0))</f>
        <v>Amount must be rounded to the nearest dollar.</v>
      </c>
      <c r="H7669" s="16" t="str">
        <f t="shared" ca="1" si="849"/>
        <v/>
      </c>
      <c r="I7669" s="16" t="str">
        <f t="shared" ca="1" si="850"/>
        <v/>
      </c>
      <c r="J7669" s="17" t="str">
        <f t="shared" ca="1" si="851"/>
        <v/>
      </c>
    </row>
    <row r="7670" spans="1:10" x14ac:dyDescent="0.25">
      <c r="A7670" t="s">
        <v>962</v>
      </c>
      <c r="B7670" t="str">
        <f>ADDRESS(ROW(DFLoan1!B$20),COLUMN(DFLoan1!B$20),4)</f>
        <v>B20</v>
      </c>
      <c r="C7670" t="str">
        <f>ADDRESS(ROW(DFLoan1!C$20),COLUMN(DFLoan1!C$20),4)</f>
        <v>C20</v>
      </c>
      <c r="D7670" t="b" cm="1">
        <f t="array" aca="1" ref="D7670" ca="1">IF(INDIRECT("'"&amp;A7670&amp;"'!"&amp;B7670)="",FALSE,IF(TRUNC(INDIRECT("'"&amp;A7670&amp;"'!"&amp;B7670))=INDIRECT("'"&amp;A7670&amp;"'!"&amp;B7670),FALSE,TRUE))</f>
        <v>0</v>
      </c>
      <c r="E7670" t="s">
        <v>436</v>
      </c>
      <c r="F7670" t="str">
        <f>INDEX(Lists!I:I,MATCH(Validation!E7670,Lists!G:G,0))</f>
        <v>Error</v>
      </c>
      <c r="G7670" t="str">
        <f>INDEX(Lists!H:H,MATCH(Validation!E7670,Lists!G:G,0))</f>
        <v>Amount must be rounded to the nearest dollar.</v>
      </c>
      <c r="H7670" s="16" t="str">
        <f t="shared" ca="1" si="849"/>
        <v/>
      </c>
      <c r="I7670" s="16" t="str">
        <f t="shared" ca="1" si="850"/>
        <v/>
      </c>
      <c r="J7670" s="17" t="str">
        <f t="shared" ca="1" si="851"/>
        <v/>
      </c>
    </row>
    <row r="7671" spans="1:10" x14ac:dyDescent="0.25">
      <c r="A7671" t="s">
        <v>963</v>
      </c>
      <c r="B7671" t="str">
        <f>ADDRESS(ROW(DFLoan1!B$20),COLUMN(DFLoan1!B$20),4)</f>
        <v>B20</v>
      </c>
      <c r="C7671" t="str">
        <f>ADDRESS(ROW(DFLoan1!C$20),COLUMN(DFLoan1!C$20),4)</f>
        <v>C20</v>
      </c>
      <c r="D7671" t="b" cm="1">
        <f t="array" aca="1" ref="D7671" ca="1">IF(INDIRECT("'"&amp;A7671&amp;"'!"&amp;B7671)="",FALSE,IF(TRUNC(INDIRECT("'"&amp;A7671&amp;"'!"&amp;B7671))=INDIRECT("'"&amp;A7671&amp;"'!"&amp;B7671),FALSE,TRUE))</f>
        <v>0</v>
      </c>
      <c r="E7671" t="s">
        <v>436</v>
      </c>
      <c r="F7671" t="str">
        <f>INDEX(Lists!I:I,MATCH(Validation!E7671,Lists!G:G,0))</f>
        <v>Error</v>
      </c>
      <c r="G7671" t="str">
        <f>INDEX(Lists!H:H,MATCH(Validation!E7671,Lists!G:G,0))</f>
        <v>Amount must be rounded to the nearest dollar.</v>
      </c>
      <c r="H7671" s="16" t="str">
        <f t="shared" ca="1" si="849"/>
        <v/>
      </c>
      <c r="I7671" s="16" t="str">
        <f t="shared" ca="1" si="850"/>
        <v/>
      </c>
      <c r="J7671" s="17" t="str">
        <f t="shared" ca="1" si="851"/>
        <v/>
      </c>
    </row>
    <row r="7672" spans="1:10" x14ac:dyDescent="0.25">
      <c r="A7672" t="s">
        <v>964</v>
      </c>
      <c r="B7672" t="str">
        <f>ADDRESS(ROW(DFLoan1!B$20),COLUMN(DFLoan1!B$20),4)</f>
        <v>B20</v>
      </c>
      <c r="C7672" t="str">
        <f>ADDRESS(ROW(DFLoan1!C$20),COLUMN(DFLoan1!C$20),4)</f>
        <v>C20</v>
      </c>
      <c r="D7672" t="b" cm="1">
        <f t="array" aca="1" ref="D7672" ca="1">IF(INDIRECT("'"&amp;A7672&amp;"'!"&amp;B7672)="",FALSE,IF(TRUNC(INDIRECT("'"&amp;A7672&amp;"'!"&amp;B7672))=INDIRECT("'"&amp;A7672&amp;"'!"&amp;B7672),FALSE,TRUE))</f>
        <v>0</v>
      </c>
      <c r="E7672" t="s">
        <v>436</v>
      </c>
      <c r="F7672" t="str">
        <f>INDEX(Lists!I:I,MATCH(Validation!E7672,Lists!G:G,0))</f>
        <v>Error</v>
      </c>
      <c r="G7672" t="str">
        <f>INDEX(Lists!H:H,MATCH(Validation!E7672,Lists!G:G,0))</f>
        <v>Amount must be rounded to the nearest dollar.</v>
      </c>
      <c r="H7672" s="16" t="str">
        <f t="shared" ca="1" si="849"/>
        <v/>
      </c>
      <c r="I7672" s="16" t="str">
        <f t="shared" ca="1" si="850"/>
        <v/>
      </c>
      <c r="J7672" s="17" t="str">
        <f t="shared" ca="1" si="851"/>
        <v/>
      </c>
    </row>
    <row r="7673" spans="1:10" x14ac:dyDescent="0.25">
      <c r="A7673" t="s">
        <v>965</v>
      </c>
      <c r="B7673" t="str">
        <f>ADDRESS(ROW(DFLoan1!B$20),COLUMN(DFLoan1!B$20),4)</f>
        <v>B20</v>
      </c>
      <c r="C7673" t="str">
        <f>ADDRESS(ROW(DFLoan1!C$20),COLUMN(DFLoan1!C$20),4)</f>
        <v>C20</v>
      </c>
      <c r="D7673" t="b" cm="1">
        <f t="array" aca="1" ref="D7673" ca="1">IF(INDIRECT("'"&amp;A7673&amp;"'!"&amp;B7673)="",FALSE,IF(TRUNC(INDIRECT("'"&amp;A7673&amp;"'!"&amp;B7673))=INDIRECT("'"&amp;A7673&amp;"'!"&amp;B7673),FALSE,TRUE))</f>
        <v>0</v>
      </c>
      <c r="E7673" t="s">
        <v>436</v>
      </c>
      <c r="F7673" t="str">
        <f>INDEX(Lists!I:I,MATCH(Validation!E7673,Lists!G:G,0))</f>
        <v>Error</v>
      </c>
      <c r="G7673" t="str">
        <f>INDEX(Lists!H:H,MATCH(Validation!E7673,Lists!G:G,0))</f>
        <v>Amount must be rounded to the nearest dollar.</v>
      </c>
      <c r="H7673" s="16" t="str">
        <f t="shared" ca="1" si="849"/>
        <v/>
      </c>
      <c r="I7673" s="16" t="str">
        <f t="shared" ca="1" si="850"/>
        <v/>
      </c>
      <c r="J7673" s="17" t="str">
        <f t="shared" ca="1" si="851"/>
        <v/>
      </c>
    </row>
    <row r="7674" spans="1:10" x14ac:dyDescent="0.25">
      <c r="A7674" t="s">
        <v>966</v>
      </c>
      <c r="B7674" t="str">
        <f>ADDRESS(ROW(DFLoan1!B$20),COLUMN(DFLoan1!B$20),4)</f>
        <v>B20</v>
      </c>
      <c r="C7674" t="str">
        <f>ADDRESS(ROW(DFLoan1!C$20),COLUMN(DFLoan1!C$20),4)</f>
        <v>C20</v>
      </c>
      <c r="D7674" t="b" cm="1">
        <f t="array" aca="1" ref="D7674" ca="1">IF(INDIRECT("'"&amp;A7674&amp;"'!"&amp;B7674)="",FALSE,IF(TRUNC(INDIRECT("'"&amp;A7674&amp;"'!"&amp;B7674))=INDIRECT("'"&amp;A7674&amp;"'!"&amp;B7674),FALSE,TRUE))</f>
        <v>0</v>
      </c>
      <c r="E7674" t="s">
        <v>436</v>
      </c>
      <c r="F7674" t="str">
        <f>INDEX(Lists!I:I,MATCH(Validation!E7674,Lists!G:G,0))</f>
        <v>Error</v>
      </c>
      <c r="G7674" t="str">
        <f>INDEX(Lists!H:H,MATCH(Validation!E7674,Lists!G:G,0))</f>
        <v>Amount must be rounded to the nearest dollar.</v>
      </c>
      <c r="H7674" s="16" t="str">
        <f t="shared" ca="1" si="849"/>
        <v/>
      </c>
      <c r="I7674" s="16" t="str">
        <f t="shared" ca="1" si="850"/>
        <v/>
      </c>
      <c r="J7674" s="17" t="str">
        <f t="shared" ca="1" si="851"/>
        <v/>
      </c>
    </row>
    <row r="7675" spans="1:10" x14ac:dyDescent="0.25">
      <c r="A7675" t="s">
        <v>881</v>
      </c>
      <c r="B7675" t="str">
        <f>ADDRESS(ROW(DFLoan1!B$21),COLUMN(DFLoan1!B$21),4)</f>
        <v>B21</v>
      </c>
      <c r="C7675" t="str">
        <f>ADDRESS(ROW(DFLoan1!C$21),COLUMN(DFLoan1!C$21),4)</f>
        <v>C21</v>
      </c>
      <c r="D7675" t="b" cm="1">
        <f t="array" aca="1" ref="D7675" ca="1">IF(INDIRECT("'"&amp;A7675&amp;"'!"&amp;B7675)="",FALSE,IF(NOT(ISNUMBER(INDIRECT("'"&amp;A7675&amp;"'!"&amp;B7675))),TRUE,FALSE))</f>
        <v>0</v>
      </c>
      <c r="E7675" t="s">
        <v>435</v>
      </c>
      <c r="F7675" t="str">
        <f>INDEX(Lists!I:I,MATCH(Validation!E7675,Lists!G:G,0))</f>
        <v>Error</v>
      </c>
      <c r="G7675" t="str">
        <f>INDEX(Lists!H:H,MATCH(Validation!E7675,Lists!G:G,0))</f>
        <v>Enter an amount only. Do not enter text or spaces.</v>
      </c>
      <c r="H7675" s="16" t="str">
        <f t="shared" ca="1" si="849"/>
        <v/>
      </c>
      <c r="I7675" s="16" t="str">
        <f t="shared" ca="1" si="850"/>
        <v/>
      </c>
      <c r="J7675" s="17" t="str">
        <f t="shared" ca="1" si="851"/>
        <v/>
      </c>
    </row>
    <row r="7676" spans="1:10" x14ac:dyDescent="0.25">
      <c r="A7676" t="s">
        <v>953</v>
      </c>
      <c r="B7676" t="str">
        <f>ADDRESS(ROW(DFLoan1!B$21),COLUMN(DFLoan1!B$21),4)</f>
        <v>B21</v>
      </c>
      <c r="C7676" t="str">
        <f>ADDRESS(ROW(DFLoan1!C$21),COLUMN(DFLoan1!C$21),4)</f>
        <v>C21</v>
      </c>
      <c r="D7676" t="b" cm="1">
        <f t="array" aca="1" ref="D7676" ca="1">IF(INDIRECT("'"&amp;A7676&amp;"'!"&amp;B7676)="",FALSE,IF(NOT(ISNUMBER(INDIRECT("'"&amp;A7676&amp;"'!"&amp;B7676))),TRUE,FALSE))</f>
        <v>0</v>
      </c>
      <c r="E7676" t="s">
        <v>435</v>
      </c>
      <c r="F7676" t="str">
        <f>INDEX(Lists!I:I,MATCH(Validation!E7676,Lists!G:G,0))</f>
        <v>Error</v>
      </c>
      <c r="G7676" t="str">
        <f>INDEX(Lists!H:H,MATCH(Validation!E7676,Lists!G:G,0))</f>
        <v>Enter an amount only. Do not enter text or spaces.</v>
      </c>
      <c r="H7676" s="16" t="str">
        <f t="shared" ca="1" si="849"/>
        <v/>
      </c>
      <c r="I7676" s="16" t="str">
        <f t="shared" ca="1" si="850"/>
        <v/>
      </c>
      <c r="J7676" s="17" t="str">
        <f t="shared" ca="1" si="851"/>
        <v/>
      </c>
    </row>
    <row r="7677" spans="1:10" x14ac:dyDescent="0.25">
      <c r="A7677" t="s">
        <v>954</v>
      </c>
      <c r="B7677" t="str">
        <f>ADDRESS(ROW(DFLoan1!B$21),COLUMN(DFLoan1!B$21),4)</f>
        <v>B21</v>
      </c>
      <c r="C7677" t="str">
        <f>ADDRESS(ROW(DFLoan1!C$21),COLUMN(DFLoan1!C$21),4)</f>
        <v>C21</v>
      </c>
      <c r="D7677" t="b" cm="1">
        <f t="array" aca="1" ref="D7677" ca="1">IF(INDIRECT("'"&amp;A7677&amp;"'!"&amp;B7677)="",FALSE,IF(NOT(ISNUMBER(INDIRECT("'"&amp;A7677&amp;"'!"&amp;B7677))),TRUE,FALSE))</f>
        <v>0</v>
      </c>
      <c r="E7677" t="s">
        <v>435</v>
      </c>
      <c r="F7677" t="str">
        <f>INDEX(Lists!I:I,MATCH(Validation!E7677,Lists!G:G,0))</f>
        <v>Error</v>
      </c>
      <c r="G7677" t="str">
        <f>INDEX(Lists!H:H,MATCH(Validation!E7677,Lists!G:G,0))</f>
        <v>Enter an amount only. Do not enter text or spaces.</v>
      </c>
      <c r="H7677" s="16" t="str">
        <f t="shared" ca="1" si="849"/>
        <v/>
      </c>
      <c r="I7677" s="16" t="str">
        <f t="shared" ca="1" si="850"/>
        <v/>
      </c>
      <c r="J7677" s="17" t="str">
        <f t="shared" ca="1" si="851"/>
        <v/>
      </c>
    </row>
    <row r="7678" spans="1:10" x14ac:dyDescent="0.25">
      <c r="A7678" t="s">
        <v>955</v>
      </c>
      <c r="B7678" t="str">
        <f>ADDRESS(ROW(DFLoan1!B$21),COLUMN(DFLoan1!B$21),4)</f>
        <v>B21</v>
      </c>
      <c r="C7678" t="str">
        <f>ADDRESS(ROW(DFLoan1!C$21),COLUMN(DFLoan1!C$21),4)</f>
        <v>C21</v>
      </c>
      <c r="D7678" t="b" cm="1">
        <f t="array" aca="1" ref="D7678" ca="1">IF(INDIRECT("'"&amp;A7678&amp;"'!"&amp;B7678)="",FALSE,IF(NOT(ISNUMBER(INDIRECT("'"&amp;A7678&amp;"'!"&amp;B7678))),TRUE,FALSE))</f>
        <v>0</v>
      </c>
      <c r="E7678" t="s">
        <v>435</v>
      </c>
      <c r="F7678" t="str">
        <f>INDEX(Lists!I:I,MATCH(Validation!E7678,Lists!G:G,0))</f>
        <v>Error</v>
      </c>
      <c r="G7678" t="str">
        <f>INDEX(Lists!H:H,MATCH(Validation!E7678,Lists!G:G,0))</f>
        <v>Enter an amount only. Do not enter text or spaces.</v>
      </c>
      <c r="H7678" s="16" t="str">
        <f t="shared" ca="1" si="849"/>
        <v/>
      </c>
      <c r="I7678" s="16" t="str">
        <f t="shared" ca="1" si="850"/>
        <v/>
      </c>
      <c r="J7678" s="17" t="str">
        <f t="shared" ca="1" si="851"/>
        <v/>
      </c>
    </row>
    <row r="7679" spans="1:10" x14ac:dyDescent="0.25">
      <c r="A7679" t="s">
        <v>956</v>
      </c>
      <c r="B7679" t="str">
        <f>ADDRESS(ROW(DFLoan1!B$21),COLUMN(DFLoan1!B$21),4)</f>
        <v>B21</v>
      </c>
      <c r="C7679" t="str">
        <f>ADDRESS(ROW(DFLoan1!C$21),COLUMN(DFLoan1!C$21),4)</f>
        <v>C21</v>
      </c>
      <c r="D7679" t="b" cm="1">
        <f t="array" aca="1" ref="D7679" ca="1">IF(INDIRECT("'"&amp;A7679&amp;"'!"&amp;B7679)="",FALSE,IF(NOT(ISNUMBER(INDIRECT("'"&amp;A7679&amp;"'!"&amp;B7679))),TRUE,FALSE))</f>
        <v>0</v>
      </c>
      <c r="E7679" t="s">
        <v>435</v>
      </c>
      <c r="F7679" t="str">
        <f>INDEX(Lists!I:I,MATCH(Validation!E7679,Lists!G:G,0))</f>
        <v>Error</v>
      </c>
      <c r="G7679" t="str">
        <f>INDEX(Lists!H:H,MATCH(Validation!E7679,Lists!G:G,0))</f>
        <v>Enter an amount only. Do not enter text or spaces.</v>
      </c>
      <c r="H7679" s="16" t="str">
        <f t="shared" ca="1" si="849"/>
        <v/>
      </c>
      <c r="I7679" s="16" t="str">
        <f t="shared" ca="1" si="850"/>
        <v/>
      </c>
      <c r="J7679" s="17" t="str">
        <f t="shared" ca="1" si="851"/>
        <v/>
      </c>
    </row>
    <row r="7680" spans="1:10" x14ac:dyDescent="0.25">
      <c r="A7680" t="s">
        <v>957</v>
      </c>
      <c r="B7680" t="str">
        <f>ADDRESS(ROW(DFLoan1!B$21),COLUMN(DFLoan1!B$21),4)</f>
        <v>B21</v>
      </c>
      <c r="C7680" t="str">
        <f>ADDRESS(ROW(DFLoan1!C$21),COLUMN(DFLoan1!C$21),4)</f>
        <v>C21</v>
      </c>
      <c r="D7680" t="b" cm="1">
        <f t="array" aca="1" ref="D7680" ca="1">IF(INDIRECT("'"&amp;A7680&amp;"'!"&amp;B7680)="",FALSE,IF(NOT(ISNUMBER(INDIRECT("'"&amp;A7680&amp;"'!"&amp;B7680))),TRUE,FALSE))</f>
        <v>0</v>
      </c>
      <c r="E7680" t="s">
        <v>435</v>
      </c>
      <c r="F7680" t="str">
        <f>INDEX(Lists!I:I,MATCH(Validation!E7680,Lists!G:G,0))</f>
        <v>Error</v>
      </c>
      <c r="G7680" t="str">
        <f>INDEX(Lists!H:H,MATCH(Validation!E7680,Lists!G:G,0))</f>
        <v>Enter an amount only. Do not enter text or spaces.</v>
      </c>
      <c r="H7680" s="16" t="str">
        <f t="shared" ca="1" si="849"/>
        <v/>
      </c>
      <c r="I7680" s="16" t="str">
        <f t="shared" ca="1" si="850"/>
        <v/>
      </c>
      <c r="J7680" s="17" t="str">
        <f t="shared" ca="1" si="851"/>
        <v/>
      </c>
    </row>
    <row r="7681" spans="1:10" x14ac:dyDescent="0.25">
      <c r="A7681" t="s">
        <v>958</v>
      </c>
      <c r="B7681" t="str">
        <f>ADDRESS(ROW(DFLoan1!B$21),COLUMN(DFLoan1!B$21),4)</f>
        <v>B21</v>
      </c>
      <c r="C7681" t="str">
        <f>ADDRESS(ROW(DFLoan1!C$21),COLUMN(DFLoan1!C$21),4)</f>
        <v>C21</v>
      </c>
      <c r="D7681" t="b" cm="1">
        <f t="array" aca="1" ref="D7681" ca="1">IF(INDIRECT("'"&amp;A7681&amp;"'!"&amp;B7681)="",FALSE,IF(NOT(ISNUMBER(INDIRECT("'"&amp;A7681&amp;"'!"&amp;B7681))),TRUE,FALSE))</f>
        <v>0</v>
      </c>
      <c r="E7681" t="s">
        <v>435</v>
      </c>
      <c r="F7681" t="str">
        <f>INDEX(Lists!I:I,MATCH(Validation!E7681,Lists!G:G,0))</f>
        <v>Error</v>
      </c>
      <c r="G7681" t="str">
        <f>INDEX(Lists!H:H,MATCH(Validation!E7681,Lists!G:G,0))</f>
        <v>Enter an amount only. Do not enter text or spaces.</v>
      </c>
      <c r="H7681" s="16" t="str">
        <f t="shared" ca="1" si="849"/>
        <v/>
      </c>
      <c r="I7681" s="16" t="str">
        <f t="shared" ca="1" si="850"/>
        <v/>
      </c>
      <c r="J7681" s="17" t="str">
        <f t="shared" ca="1" si="851"/>
        <v/>
      </c>
    </row>
    <row r="7682" spans="1:10" x14ac:dyDescent="0.25">
      <c r="A7682" t="s">
        <v>959</v>
      </c>
      <c r="B7682" t="str">
        <f>ADDRESS(ROW(DFLoan1!B$21),COLUMN(DFLoan1!B$21),4)</f>
        <v>B21</v>
      </c>
      <c r="C7682" t="str">
        <f>ADDRESS(ROW(DFLoan1!C$21),COLUMN(DFLoan1!C$21),4)</f>
        <v>C21</v>
      </c>
      <c r="D7682" t="b" cm="1">
        <f t="array" aca="1" ref="D7682" ca="1">IF(INDIRECT("'"&amp;A7682&amp;"'!"&amp;B7682)="",FALSE,IF(NOT(ISNUMBER(INDIRECT("'"&amp;A7682&amp;"'!"&amp;B7682))),TRUE,FALSE))</f>
        <v>0</v>
      </c>
      <c r="E7682" t="s">
        <v>435</v>
      </c>
      <c r="F7682" t="str">
        <f>INDEX(Lists!I:I,MATCH(Validation!E7682,Lists!G:G,0))</f>
        <v>Error</v>
      </c>
      <c r="G7682" t="str">
        <f>INDEX(Lists!H:H,MATCH(Validation!E7682,Lists!G:G,0))</f>
        <v>Enter an amount only. Do not enter text or spaces.</v>
      </c>
      <c r="H7682" s="16" t="str">
        <f t="shared" ca="1" si="849"/>
        <v/>
      </c>
      <c r="I7682" s="16" t="str">
        <f t="shared" ca="1" si="850"/>
        <v/>
      </c>
      <c r="J7682" s="17" t="str">
        <f t="shared" ca="1" si="851"/>
        <v/>
      </c>
    </row>
    <row r="7683" spans="1:10" x14ac:dyDescent="0.25">
      <c r="A7683" t="s">
        <v>960</v>
      </c>
      <c r="B7683" t="str">
        <f>ADDRESS(ROW(DFLoan1!B$21),COLUMN(DFLoan1!B$21),4)</f>
        <v>B21</v>
      </c>
      <c r="C7683" t="str">
        <f>ADDRESS(ROW(DFLoan1!C$21),COLUMN(DFLoan1!C$21),4)</f>
        <v>C21</v>
      </c>
      <c r="D7683" t="b" cm="1">
        <f t="array" aca="1" ref="D7683" ca="1">IF(INDIRECT("'"&amp;A7683&amp;"'!"&amp;B7683)="",FALSE,IF(NOT(ISNUMBER(INDIRECT("'"&amp;A7683&amp;"'!"&amp;B7683))),TRUE,FALSE))</f>
        <v>0</v>
      </c>
      <c r="E7683" t="s">
        <v>435</v>
      </c>
      <c r="F7683" t="str">
        <f>INDEX(Lists!I:I,MATCH(Validation!E7683,Lists!G:G,0))</f>
        <v>Error</v>
      </c>
      <c r="G7683" t="str">
        <f>INDEX(Lists!H:H,MATCH(Validation!E7683,Lists!G:G,0))</f>
        <v>Enter an amount only. Do not enter text or spaces.</v>
      </c>
      <c r="H7683" s="16" t="str">
        <f t="shared" ca="1" si="849"/>
        <v/>
      </c>
      <c r="I7683" s="16" t="str">
        <f t="shared" ca="1" si="850"/>
        <v/>
      </c>
      <c r="J7683" s="17" t="str">
        <f t="shared" ca="1" si="851"/>
        <v/>
      </c>
    </row>
    <row r="7684" spans="1:10" x14ac:dyDescent="0.25">
      <c r="A7684" t="s">
        <v>961</v>
      </c>
      <c r="B7684" t="str">
        <f>ADDRESS(ROW(DFLoan1!B$21),COLUMN(DFLoan1!B$21),4)</f>
        <v>B21</v>
      </c>
      <c r="C7684" t="str">
        <f>ADDRESS(ROW(DFLoan1!C$21),COLUMN(DFLoan1!C$21),4)</f>
        <v>C21</v>
      </c>
      <c r="D7684" t="b" cm="1">
        <f t="array" aca="1" ref="D7684" ca="1">IF(INDIRECT("'"&amp;A7684&amp;"'!"&amp;B7684)="",FALSE,IF(NOT(ISNUMBER(INDIRECT("'"&amp;A7684&amp;"'!"&amp;B7684))),TRUE,FALSE))</f>
        <v>0</v>
      </c>
      <c r="E7684" t="s">
        <v>435</v>
      </c>
      <c r="F7684" t="str">
        <f>INDEX(Lists!I:I,MATCH(Validation!E7684,Lists!G:G,0))</f>
        <v>Error</v>
      </c>
      <c r="G7684" t="str">
        <f>INDEX(Lists!H:H,MATCH(Validation!E7684,Lists!G:G,0))</f>
        <v>Enter an amount only. Do not enter text or spaces.</v>
      </c>
      <c r="H7684" s="16" t="str">
        <f t="shared" ca="1" si="849"/>
        <v/>
      </c>
      <c r="I7684" s="16" t="str">
        <f t="shared" ca="1" si="850"/>
        <v/>
      </c>
      <c r="J7684" s="17" t="str">
        <f t="shared" ca="1" si="851"/>
        <v/>
      </c>
    </row>
    <row r="7685" spans="1:10" x14ac:dyDescent="0.25">
      <c r="A7685" t="s">
        <v>962</v>
      </c>
      <c r="B7685" t="str">
        <f>ADDRESS(ROW(DFLoan1!B$21),COLUMN(DFLoan1!B$21),4)</f>
        <v>B21</v>
      </c>
      <c r="C7685" t="str">
        <f>ADDRESS(ROW(DFLoan1!C$21),COLUMN(DFLoan1!C$21),4)</f>
        <v>C21</v>
      </c>
      <c r="D7685" t="b" cm="1">
        <f t="array" aca="1" ref="D7685" ca="1">IF(INDIRECT("'"&amp;A7685&amp;"'!"&amp;B7685)="",FALSE,IF(NOT(ISNUMBER(INDIRECT("'"&amp;A7685&amp;"'!"&amp;B7685))),TRUE,FALSE))</f>
        <v>0</v>
      </c>
      <c r="E7685" t="s">
        <v>435</v>
      </c>
      <c r="F7685" t="str">
        <f>INDEX(Lists!I:I,MATCH(Validation!E7685,Lists!G:G,0))</f>
        <v>Error</v>
      </c>
      <c r="G7685" t="str">
        <f>INDEX(Lists!H:H,MATCH(Validation!E7685,Lists!G:G,0))</f>
        <v>Enter an amount only. Do not enter text or spaces.</v>
      </c>
      <c r="H7685" s="16" t="str">
        <f t="shared" ca="1" si="849"/>
        <v/>
      </c>
      <c r="I7685" s="16" t="str">
        <f t="shared" ca="1" si="850"/>
        <v/>
      </c>
      <c r="J7685" s="17" t="str">
        <f t="shared" ca="1" si="851"/>
        <v/>
      </c>
    </row>
    <row r="7686" spans="1:10" x14ac:dyDescent="0.25">
      <c r="A7686" t="s">
        <v>963</v>
      </c>
      <c r="B7686" t="str">
        <f>ADDRESS(ROW(DFLoan1!B$21),COLUMN(DFLoan1!B$21),4)</f>
        <v>B21</v>
      </c>
      <c r="C7686" t="str">
        <f>ADDRESS(ROW(DFLoan1!C$21),COLUMN(DFLoan1!C$21),4)</f>
        <v>C21</v>
      </c>
      <c r="D7686" t="b" cm="1">
        <f t="array" aca="1" ref="D7686" ca="1">IF(INDIRECT("'"&amp;A7686&amp;"'!"&amp;B7686)="",FALSE,IF(NOT(ISNUMBER(INDIRECT("'"&amp;A7686&amp;"'!"&amp;B7686))),TRUE,FALSE))</f>
        <v>0</v>
      </c>
      <c r="E7686" t="s">
        <v>435</v>
      </c>
      <c r="F7686" t="str">
        <f>INDEX(Lists!I:I,MATCH(Validation!E7686,Lists!G:G,0))</f>
        <v>Error</v>
      </c>
      <c r="G7686" t="str">
        <f>INDEX(Lists!H:H,MATCH(Validation!E7686,Lists!G:G,0))</f>
        <v>Enter an amount only. Do not enter text or spaces.</v>
      </c>
      <c r="H7686" s="16" t="str">
        <f t="shared" ca="1" si="849"/>
        <v/>
      </c>
      <c r="I7686" s="16" t="str">
        <f t="shared" ca="1" si="850"/>
        <v/>
      </c>
      <c r="J7686" s="17" t="str">
        <f t="shared" ca="1" si="851"/>
        <v/>
      </c>
    </row>
    <row r="7687" spans="1:10" x14ac:dyDescent="0.25">
      <c r="A7687" t="s">
        <v>964</v>
      </c>
      <c r="B7687" t="str">
        <f>ADDRESS(ROW(DFLoan1!B$21),COLUMN(DFLoan1!B$21),4)</f>
        <v>B21</v>
      </c>
      <c r="C7687" t="str">
        <f>ADDRESS(ROW(DFLoan1!C$21),COLUMN(DFLoan1!C$21),4)</f>
        <v>C21</v>
      </c>
      <c r="D7687" t="b" cm="1">
        <f t="array" aca="1" ref="D7687" ca="1">IF(INDIRECT("'"&amp;A7687&amp;"'!"&amp;B7687)="",FALSE,IF(NOT(ISNUMBER(INDIRECT("'"&amp;A7687&amp;"'!"&amp;B7687))),TRUE,FALSE))</f>
        <v>0</v>
      </c>
      <c r="E7687" t="s">
        <v>435</v>
      </c>
      <c r="F7687" t="str">
        <f>INDEX(Lists!I:I,MATCH(Validation!E7687,Lists!G:G,0))</f>
        <v>Error</v>
      </c>
      <c r="G7687" t="str">
        <f>INDEX(Lists!H:H,MATCH(Validation!E7687,Lists!G:G,0))</f>
        <v>Enter an amount only. Do not enter text or spaces.</v>
      </c>
      <c r="H7687" s="16" t="str">
        <f t="shared" ca="1" si="849"/>
        <v/>
      </c>
      <c r="I7687" s="16" t="str">
        <f t="shared" ca="1" si="850"/>
        <v/>
      </c>
      <c r="J7687" s="17" t="str">
        <f t="shared" ca="1" si="851"/>
        <v/>
      </c>
    </row>
    <row r="7688" spans="1:10" x14ac:dyDescent="0.25">
      <c r="A7688" t="s">
        <v>965</v>
      </c>
      <c r="B7688" t="str">
        <f>ADDRESS(ROW(DFLoan1!B$21),COLUMN(DFLoan1!B$21),4)</f>
        <v>B21</v>
      </c>
      <c r="C7688" t="str">
        <f>ADDRESS(ROW(DFLoan1!C$21),COLUMN(DFLoan1!C$21),4)</f>
        <v>C21</v>
      </c>
      <c r="D7688" t="b" cm="1">
        <f t="array" aca="1" ref="D7688" ca="1">IF(INDIRECT("'"&amp;A7688&amp;"'!"&amp;B7688)="",FALSE,IF(NOT(ISNUMBER(INDIRECT("'"&amp;A7688&amp;"'!"&amp;B7688))),TRUE,FALSE))</f>
        <v>0</v>
      </c>
      <c r="E7688" t="s">
        <v>435</v>
      </c>
      <c r="F7688" t="str">
        <f>INDEX(Lists!I:I,MATCH(Validation!E7688,Lists!G:G,0))</f>
        <v>Error</v>
      </c>
      <c r="G7688" t="str">
        <f>INDEX(Lists!H:H,MATCH(Validation!E7688,Lists!G:G,0))</f>
        <v>Enter an amount only. Do not enter text or spaces.</v>
      </c>
      <c r="H7688" s="16" t="str">
        <f t="shared" ca="1" si="849"/>
        <v/>
      </c>
      <c r="I7688" s="16" t="str">
        <f t="shared" ca="1" si="850"/>
        <v/>
      </c>
      <c r="J7688" s="17" t="str">
        <f t="shared" ca="1" si="851"/>
        <v/>
      </c>
    </row>
    <row r="7689" spans="1:10" x14ac:dyDescent="0.25">
      <c r="A7689" t="s">
        <v>966</v>
      </c>
      <c r="B7689" t="str">
        <f>ADDRESS(ROW(DFLoan1!B$21),COLUMN(DFLoan1!B$21),4)</f>
        <v>B21</v>
      </c>
      <c r="C7689" t="str">
        <f>ADDRESS(ROW(DFLoan1!C$21),COLUMN(DFLoan1!C$21),4)</f>
        <v>C21</v>
      </c>
      <c r="D7689" t="b" cm="1">
        <f t="array" aca="1" ref="D7689" ca="1">IF(INDIRECT("'"&amp;A7689&amp;"'!"&amp;B7689)="",FALSE,IF(NOT(ISNUMBER(INDIRECT("'"&amp;A7689&amp;"'!"&amp;B7689))),TRUE,FALSE))</f>
        <v>0</v>
      </c>
      <c r="E7689" t="s">
        <v>435</v>
      </c>
      <c r="F7689" t="str">
        <f>INDEX(Lists!I:I,MATCH(Validation!E7689,Lists!G:G,0))</f>
        <v>Error</v>
      </c>
      <c r="G7689" t="str">
        <f>INDEX(Lists!H:H,MATCH(Validation!E7689,Lists!G:G,0))</f>
        <v>Enter an amount only. Do not enter text or spaces.</v>
      </c>
      <c r="H7689" s="16" t="str">
        <f t="shared" ca="1" si="849"/>
        <v/>
      </c>
      <c r="I7689" s="16" t="str">
        <f t="shared" ca="1" si="850"/>
        <v/>
      </c>
      <c r="J7689" s="17" t="str">
        <f t="shared" ca="1" si="851"/>
        <v/>
      </c>
    </row>
    <row r="7690" spans="1:10" x14ac:dyDescent="0.25">
      <c r="A7690" t="s">
        <v>881</v>
      </c>
      <c r="B7690" t="str">
        <f>ADDRESS(ROW(DFLoan1!B$21),COLUMN(DFLoan1!B$21),4)</f>
        <v>B21</v>
      </c>
      <c r="C7690" t="str">
        <f>ADDRESS(ROW(DFLoan1!C$21),COLUMN(DFLoan1!C$21),4)</f>
        <v>C21</v>
      </c>
      <c r="D7690" t="b" cm="1">
        <f t="array" aca="1" ref="D7690" ca="1">IF(INDIRECT("'"&amp;A7690&amp;"'!"&amp;B7690)="",FALSE,IF(TRUNC(INDIRECT("'"&amp;A7690&amp;"'!"&amp;B7690))=INDIRECT("'"&amp;A7690&amp;"'!"&amp;B7690),FALSE,TRUE))</f>
        <v>0</v>
      </c>
      <c r="E7690" t="s">
        <v>436</v>
      </c>
      <c r="F7690" t="str">
        <f>INDEX(Lists!I:I,MATCH(Validation!E7690,Lists!G:G,0))</f>
        <v>Error</v>
      </c>
      <c r="G7690" t="str">
        <f>INDEX(Lists!H:H,MATCH(Validation!E7690,Lists!G:G,0))</f>
        <v>Amount must be rounded to the nearest dollar.</v>
      </c>
      <c r="H7690" s="16" t="str">
        <f t="shared" ca="1" si="849"/>
        <v/>
      </c>
      <c r="I7690" s="16" t="str">
        <f t="shared" ca="1" si="850"/>
        <v/>
      </c>
      <c r="J7690" s="17" t="str">
        <f t="shared" ca="1" si="851"/>
        <v/>
      </c>
    </row>
    <row r="7691" spans="1:10" x14ac:dyDescent="0.25">
      <c r="A7691" t="s">
        <v>953</v>
      </c>
      <c r="B7691" t="str">
        <f>ADDRESS(ROW(DFLoan1!B$21),COLUMN(DFLoan1!B$21),4)</f>
        <v>B21</v>
      </c>
      <c r="C7691" t="str">
        <f>ADDRESS(ROW(DFLoan1!C$21),COLUMN(DFLoan1!C$21),4)</f>
        <v>C21</v>
      </c>
      <c r="D7691" t="b" cm="1">
        <f t="array" aca="1" ref="D7691" ca="1">IF(INDIRECT("'"&amp;A7691&amp;"'!"&amp;B7691)="",FALSE,IF(TRUNC(INDIRECT("'"&amp;A7691&amp;"'!"&amp;B7691))=INDIRECT("'"&amp;A7691&amp;"'!"&amp;B7691),FALSE,TRUE))</f>
        <v>0</v>
      </c>
      <c r="E7691" t="s">
        <v>436</v>
      </c>
      <c r="F7691" t="str">
        <f>INDEX(Lists!I:I,MATCH(Validation!E7691,Lists!G:G,0))</f>
        <v>Error</v>
      </c>
      <c r="G7691" t="str">
        <f>INDEX(Lists!H:H,MATCH(Validation!E7691,Lists!G:G,0))</f>
        <v>Amount must be rounded to the nearest dollar.</v>
      </c>
      <c r="H7691" s="16" t="str">
        <f t="shared" ca="1" si="849"/>
        <v/>
      </c>
      <c r="I7691" s="16" t="str">
        <f t="shared" ca="1" si="850"/>
        <v/>
      </c>
      <c r="J7691" s="17" t="str">
        <f t="shared" ca="1" si="851"/>
        <v/>
      </c>
    </row>
    <row r="7692" spans="1:10" x14ac:dyDescent="0.25">
      <c r="A7692" t="s">
        <v>954</v>
      </c>
      <c r="B7692" t="str">
        <f>ADDRESS(ROW(DFLoan1!B$21),COLUMN(DFLoan1!B$21),4)</f>
        <v>B21</v>
      </c>
      <c r="C7692" t="str">
        <f>ADDRESS(ROW(DFLoan1!C$21),COLUMN(DFLoan1!C$21),4)</f>
        <v>C21</v>
      </c>
      <c r="D7692" t="b" cm="1">
        <f t="array" aca="1" ref="D7692" ca="1">IF(INDIRECT("'"&amp;A7692&amp;"'!"&amp;B7692)="",FALSE,IF(TRUNC(INDIRECT("'"&amp;A7692&amp;"'!"&amp;B7692))=INDIRECT("'"&amp;A7692&amp;"'!"&amp;B7692),FALSE,TRUE))</f>
        <v>0</v>
      </c>
      <c r="E7692" t="s">
        <v>436</v>
      </c>
      <c r="F7692" t="str">
        <f>INDEX(Lists!I:I,MATCH(Validation!E7692,Lists!G:G,0))</f>
        <v>Error</v>
      </c>
      <c r="G7692" t="str">
        <f>INDEX(Lists!H:H,MATCH(Validation!E7692,Lists!G:G,0))</f>
        <v>Amount must be rounded to the nearest dollar.</v>
      </c>
      <c r="H7692" s="16" t="str">
        <f t="shared" ca="1" si="849"/>
        <v/>
      </c>
      <c r="I7692" s="16" t="str">
        <f t="shared" ca="1" si="850"/>
        <v/>
      </c>
      <c r="J7692" s="17" t="str">
        <f t="shared" ca="1" si="851"/>
        <v/>
      </c>
    </row>
    <row r="7693" spans="1:10" x14ac:dyDescent="0.25">
      <c r="A7693" t="s">
        <v>955</v>
      </c>
      <c r="B7693" t="str">
        <f>ADDRESS(ROW(DFLoan1!B$21),COLUMN(DFLoan1!B$21),4)</f>
        <v>B21</v>
      </c>
      <c r="C7693" t="str">
        <f>ADDRESS(ROW(DFLoan1!C$21),COLUMN(DFLoan1!C$21),4)</f>
        <v>C21</v>
      </c>
      <c r="D7693" t="b" cm="1">
        <f t="array" aca="1" ref="D7693" ca="1">IF(INDIRECT("'"&amp;A7693&amp;"'!"&amp;B7693)="",FALSE,IF(TRUNC(INDIRECT("'"&amp;A7693&amp;"'!"&amp;B7693))=INDIRECT("'"&amp;A7693&amp;"'!"&amp;B7693),FALSE,TRUE))</f>
        <v>0</v>
      </c>
      <c r="E7693" t="s">
        <v>436</v>
      </c>
      <c r="F7693" t="str">
        <f>INDEX(Lists!I:I,MATCH(Validation!E7693,Lists!G:G,0))</f>
        <v>Error</v>
      </c>
      <c r="G7693" t="str">
        <f>INDEX(Lists!H:H,MATCH(Validation!E7693,Lists!G:G,0))</f>
        <v>Amount must be rounded to the nearest dollar.</v>
      </c>
      <c r="H7693" s="16" t="str">
        <f t="shared" ca="1" si="849"/>
        <v/>
      </c>
      <c r="I7693" s="16" t="str">
        <f t="shared" ca="1" si="850"/>
        <v/>
      </c>
      <c r="J7693" s="17" t="str">
        <f t="shared" ca="1" si="851"/>
        <v/>
      </c>
    </row>
    <row r="7694" spans="1:10" x14ac:dyDescent="0.25">
      <c r="A7694" t="s">
        <v>956</v>
      </c>
      <c r="B7694" t="str">
        <f>ADDRESS(ROW(DFLoan1!B$21),COLUMN(DFLoan1!B$21),4)</f>
        <v>B21</v>
      </c>
      <c r="C7694" t="str">
        <f>ADDRESS(ROW(DFLoan1!C$21),COLUMN(DFLoan1!C$21),4)</f>
        <v>C21</v>
      </c>
      <c r="D7694" t="b" cm="1">
        <f t="array" aca="1" ref="D7694" ca="1">IF(INDIRECT("'"&amp;A7694&amp;"'!"&amp;B7694)="",FALSE,IF(TRUNC(INDIRECT("'"&amp;A7694&amp;"'!"&amp;B7694))=INDIRECT("'"&amp;A7694&amp;"'!"&amp;B7694),FALSE,TRUE))</f>
        <v>0</v>
      </c>
      <c r="E7694" t="s">
        <v>436</v>
      </c>
      <c r="F7694" t="str">
        <f>INDEX(Lists!I:I,MATCH(Validation!E7694,Lists!G:G,0))</f>
        <v>Error</v>
      </c>
      <c r="G7694" t="str">
        <f>INDEX(Lists!H:H,MATCH(Validation!E7694,Lists!G:G,0))</f>
        <v>Amount must be rounded to the nearest dollar.</v>
      </c>
      <c r="H7694" s="16" t="str">
        <f t="shared" ca="1" si="849"/>
        <v/>
      </c>
      <c r="I7694" s="16" t="str">
        <f t="shared" ca="1" si="850"/>
        <v/>
      </c>
      <c r="J7694" s="17" t="str">
        <f t="shared" ca="1" si="851"/>
        <v/>
      </c>
    </row>
    <row r="7695" spans="1:10" x14ac:dyDescent="0.25">
      <c r="A7695" t="s">
        <v>957</v>
      </c>
      <c r="B7695" t="str">
        <f>ADDRESS(ROW(DFLoan1!B$21),COLUMN(DFLoan1!B$21),4)</f>
        <v>B21</v>
      </c>
      <c r="C7695" t="str">
        <f>ADDRESS(ROW(DFLoan1!C$21),COLUMN(DFLoan1!C$21),4)</f>
        <v>C21</v>
      </c>
      <c r="D7695" t="b" cm="1">
        <f t="array" aca="1" ref="D7695" ca="1">IF(INDIRECT("'"&amp;A7695&amp;"'!"&amp;B7695)="",FALSE,IF(TRUNC(INDIRECT("'"&amp;A7695&amp;"'!"&amp;B7695))=INDIRECT("'"&amp;A7695&amp;"'!"&amp;B7695),FALSE,TRUE))</f>
        <v>0</v>
      </c>
      <c r="E7695" t="s">
        <v>436</v>
      </c>
      <c r="F7695" t="str">
        <f>INDEX(Lists!I:I,MATCH(Validation!E7695,Lists!G:G,0))</f>
        <v>Error</v>
      </c>
      <c r="G7695" t="str">
        <f>INDEX(Lists!H:H,MATCH(Validation!E7695,Lists!G:G,0))</f>
        <v>Amount must be rounded to the nearest dollar.</v>
      </c>
      <c r="H7695" s="16" t="str">
        <f t="shared" ca="1" si="849"/>
        <v/>
      </c>
      <c r="I7695" s="16" t="str">
        <f t="shared" ca="1" si="850"/>
        <v/>
      </c>
      <c r="J7695" s="17" t="str">
        <f t="shared" ca="1" si="851"/>
        <v/>
      </c>
    </row>
    <row r="7696" spans="1:10" x14ac:dyDescent="0.25">
      <c r="A7696" t="s">
        <v>958</v>
      </c>
      <c r="B7696" t="str">
        <f>ADDRESS(ROW(DFLoan1!B$21),COLUMN(DFLoan1!B$21),4)</f>
        <v>B21</v>
      </c>
      <c r="C7696" t="str">
        <f>ADDRESS(ROW(DFLoan1!C$21),COLUMN(DFLoan1!C$21),4)</f>
        <v>C21</v>
      </c>
      <c r="D7696" t="b" cm="1">
        <f t="array" aca="1" ref="D7696" ca="1">IF(INDIRECT("'"&amp;A7696&amp;"'!"&amp;B7696)="",FALSE,IF(TRUNC(INDIRECT("'"&amp;A7696&amp;"'!"&amp;B7696))=INDIRECT("'"&amp;A7696&amp;"'!"&amp;B7696),FALSE,TRUE))</f>
        <v>0</v>
      </c>
      <c r="E7696" t="s">
        <v>436</v>
      </c>
      <c r="F7696" t="str">
        <f>INDEX(Lists!I:I,MATCH(Validation!E7696,Lists!G:G,0))</f>
        <v>Error</v>
      </c>
      <c r="G7696" t="str">
        <f>INDEX(Lists!H:H,MATCH(Validation!E7696,Lists!G:G,0))</f>
        <v>Amount must be rounded to the nearest dollar.</v>
      </c>
      <c r="H7696" s="16" t="str">
        <f t="shared" ca="1" si="849"/>
        <v/>
      </c>
      <c r="I7696" s="16" t="str">
        <f t="shared" ca="1" si="850"/>
        <v/>
      </c>
      <c r="J7696" s="17" t="str">
        <f t="shared" ca="1" si="851"/>
        <v/>
      </c>
    </row>
    <row r="7697" spans="1:10" x14ac:dyDescent="0.25">
      <c r="A7697" t="s">
        <v>959</v>
      </c>
      <c r="B7697" t="str">
        <f>ADDRESS(ROW(DFLoan1!B$21),COLUMN(DFLoan1!B$21),4)</f>
        <v>B21</v>
      </c>
      <c r="C7697" t="str">
        <f>ADDRESS(ROW(DFLoan1!C$21),COLUMN(DFLoan1!C$21),4)</f>
        <v>C21</v>
      </c>
      <c r="D7697" t="b" cm="1">
        <f t="array" aca="1" ref="D7697" ca="1">IF(INDIRECT("'"&amp;A7697&amp;"'!"&amp;B7697)="",FALSE,IF(TRUNC(INDIRECT("'"&amp;A7697&amp;"'!"&amp;B7697))=INDIRECT("'"&amp;A7697&amp;"'!"&amp;B7697),FALSE,TRUE))</f>
        <v>0</v>
      </c>
      <c r="E7697" t="s">
        <v>436</v>
      </c>
      <c r="F7697" t="str">
        <f>INDEX(Lists!I:I,MATCH(Validation!E7697,Lists!G:G,0))</f>
        <v>Error</v>
      </c>
      <c r="G7697" t="str">
        <f>INDEX(Lists!H:H,MATCH(Validation!E7697,Lists!G:G,0))</f>
        <v>Amount must be rounded to the nearest dollar.</v>
      </c>
      <c r="H7697" s="16" t="str">
        <f t="shared" ca="1" si="849"/>
        <v/>
      </c>
      <c r="I7697" s="16" t="str">
        <f t="shared" ca="1" si="850"/>
        <v/>
      </c>
      <c r="J7697" s="17" t="str">
        <f t="shared" ca="1" si="851"/>
        <v/>
      </c>
    </row>
    <row r="7698" spans="1:10" x14ac:dyDescent="0.25">
      <c r="A7698" t="s">
        <v>960</v>
      </c>
      <c r="B7698" t="str">
        <f>ADDRESS(ROW(DFLoan1!B$21),COLUMN(DFLoan1!B$21),4)</f>
        <v>B21</v>
      </c>
      <c r="C7698" t="str">
        <f>ADDRESS(ROW(DFLoan1!C$21),COLUMN(DFLoan1!C$21),4)</f>
        <v>C21</v>
      </c>
      <c r="D7698" t="b" cm="1">
        <f t="array" aca="1" ref="D7698" ca="1">IF(INDIRECT("'"&amp;A7698&amp;"'!"&amp;B7698)="",FALSE,IF(TRUNC(INDIRECT("'"&amp;A7698&amp;"'!"&amp;B7698))=INDIRECT("'"&amp;A7698&amp;"'!"&amp;B7698),FALSE,TRUE))</f>
        <v>0</v>
      </c>
      <c r="E7698" t="s">
        <v>436</v>
      </c>
      <c r="F7698" t="str">
        <f>INDEX(Lists!I:I,MATCH(Validation!E7698,Lists!G:G,0))</f>
        <v>Error</v>
      </c>
      <c r="G7698" t="str">
        <f>INDEX(Lists!H:H,MATCH(Validation!E7698,Lists!G:G,0))</f>
        <v>Amount must be rounded to the nearest dollar.</v>
      </c>
      <c r="H7698" s="16" t="str">
        <f t="shared" ca="1" si="849"/>
        <v/>
      </c>
      <c r="I7698" s="16" t="str">
        <f t="shared" ca="1" si="850"/>
        <v/>
      </c>
      <c r="J7698" s="17" t="str">
        <f t="shared" ca="1" si="851"/>
        <v/>
      </c>
    </row>
    <row r="7699" spans="1:10" x14ac:dyDescent="0.25">
      <c r="A7699" t="s">
        <v>961</v>
      </c>
      <c r="B7699" t="str">
        <f>ADDRESS(ROW(DFLoan1!B$21),COLUMN(DFLoan1!B$21),4)</f>
        <v>B21</v>
      </c>
      <c r="C7699" t="str">
        <f>ADDRESS(ROW(DFLoan1!C$21),COLUMN(DFLoan1!C$21),4)</f>
        <v>C21</v>
      </c>
      <c r="D7699" t="b" cm="1">
        <f t="array" aca="1" ref="D7699" ca="1">IF(INDIRECT("'"&amp;A7699&amp;"'!"&amp;B7699)="",FALSE,IF(TRUNC(INDIRECT("'"&amp;A7699&amp;"'!"&amp;B7699))=INDIRECT("'"&amp;A7699&amp;"'!"&amp;B7699),FALSE,TRUE))</f>
        <v>0</v>
      </c>
      <c r="E7699" t="s">
        <v>436</v>
      </c>
      <c r="F7699" t="str">
        <f>INDEX(Lists!I:I,MATCH(Validation!E7699,Lists!G:G,0))</f>
        <v>Error</v>
      </c>
      <c r="G7699" t="str">
        <f>INDEX(Lists!H:H,MATCH(Validation!E7699,Lists!G:G,0))</f>
        <v>Amount must be rounded to the nearest dollar.</v>
      </c>
      <c r="H7699" s="16" t="str">
        <f t="shared" ca="1" si="849"/>
        <v/>
      </c>
      <c r="I7699" s="16" t="str">
        <f t="shared" ca="1" si="850"/>
        <v/>
      </c>
      <c r="J7699" s="17" t="str">
        <f t="shared" ca="1" si="851"/>
        <v/>
      </c>
    </row>
    <row r="7700" spans="1:10" x14ac:dyDescent="0.25">
      <c r="A7700" t="s">
        <v>962</v>
      </c>
      <c r="B7700" t="str">
        <f>ADDRESS(ROW(DFLoan1!B$21),COLUMN(DFLoan1!B$21),4)</f>
        <v>B21</v>
      </c>
      <c r="C7700" t="str">
        <f>ADDRESS(ROW(DFLoan1!C$21),COLUMN(DFLoan1!C$21),4)</f>
        <v>C21</v>
      </c>
      <c r="D7700" t="b" cm="1">
        <f t="array" aca="1" ref="D7700" ca="1">IF(INDIRECT("'"&amp;A7700&amp;"'!"&amp;B7700)="",FALSE,IF(TRUNC(INDIRECT("'"&amp;A7700&amp;"'!"&amp;B7700))=INDIRECT("'"&amp;A7700&amp;"'!"&amp;B7700),FALSE,TRUE))</f>
        <v>0</v>
      </c>
      <c r="E7700" t="s">
        <v>436</v>
      </c>
      <c r="F7700" t="str">
        <f>INDEX(Lists!I:I,MATCH(Validation!E7700,Lists!G:G,0))</f>
        <v>Error</v>
      </c>
      <c r="G7700" t="str">
        <f>INDEX(Lists!H:H,MATCH(Validation!E7700,Lists!G:G,0))</f>
        <v>Amount must be rounded to the nearest dollar.</v>
      </c>
      <c r="H7700" s="16" t="str">
        <f t="shared" ca="1" si="849"/>
        <v/>
      </c>
      <c r="I7700" s="16" t="str">
        <f t="shared" ca="1" si="850"/>
        <v/>
      </c>
      <c r="J7700" s="17" t="str">
        <f t="shared" ca="1" si="851"/>
        <v/>
      </c>
    </row>
    <row r="7701" spans="1:10" x14ac:dyDescent="0.25">
      <c r="A7701" t="s">
        <v>963</v>
      </c>
      <c r="B7701" t="str">
        <f>ADDRESS(ROW(DFLoan1!B$21),COLUMN(DFLoan1!B$21),4)</f>
        <v>B21</v>
      </c>
      <c r="C7701" t="str">
        <f>ADDRESS(ROW(DFLoan1!C$21),COLUMN(DFLoan1!C$21),4)</f>
        <v>C21</v>
      </c>
      <c r="D7701" t="b" cm="1">
        <f t="array" aca="1" ref="D7701" ca="1">IF(INDIRECT("'"&amp;A7701&amp;"'!"&amp;B7701)="",FALSE,IF(TRUNC(INDIRECT("'"&amp;A7701&amp;"'!"&amp;B7701))=INDIRECT("'"&amp;A7701&amp;"'!"&amp;B7701),FALSE,TRUE))</f>
        <v>0</v>
      </c>
      <c r="E7701" t="s">
        <v>436</v>
      </c>
      <c r="F7701" t="str">
        <f>INDEX(Lists!I:I,MATCH(Validation!E7701,Lists!G:G,0))</f>
        <v>Error</v>
      </c>
      <c r="G7701" t="str">
        <f>INDEX(Lists!H:H,MATCH(Validation!E7701,Lists!G:G,0))</f>
        <v>Amount must be rounded to the nearest dollar.</v>
      </c>
      <c r="H7701" s="16" t="str">
        <f t="shared" ca="1" si="849"/>
        <v/>
      </c>
      <c r="I7701" s="16" t="str">
        <f t="shared" ca="1" si="850"/>
        <v/>
      </c>
      <c r="J7701" s="17" t="str">
        <f t="shared" ca="1" si="851"/>
        <v/>
      </c>
    </row>
    <row r="7702" spans="1:10" x14ac:dyDescent="0.25">
      <c r="A7702" t="s">
        <v>964</v>
      </c>
      <c r="B7702" t="str">
        <f>ADDRESS(ROW(DFLoan1!B$21),COLUMN(DFLoan1!B$21),4)</f>
        <v>B21</v>
      </c>
      <c r="C7702" t="str">
        <f>ADDRESS(ROW(DFLoan1!C$21),COLUMN(DFLoan1!C$21),4)</f>
        <v>C21</v>
      </c>
      <c r="D7702" t="b" cm="1">
        <f t="array" aca="1" ref="D7702" ca="1">IF(INDIRECT("'"&amp;A7702&amp;"'!"&amp;B7702)="",FALSE,IF(TRUNC(INDIRECT("'"&amp;A7702&amp;"'!"&amp;B7702))=INDIRECT("'"&amp;A7702&amp;"'!"&amp;B7702),FALSE,TRUE))</f>
        <v>0</v>
      </c>
      <c r="E7702" t="s">
        <v>436</v>
      </c>
      <c r="F7702" t="str">
        <f>INDEX(Lists!I:I,MATCH(Validation!E7702,Lists!G:G,0))</f>
        <v>Error</v>
      </c>
      <c r="G7702" t="str">
        <f>INDEX(Lists!H:H,MATCH(Validation!E7702,Lists!G:G,0))</f>
        <v>Amount must be rounded to the nearest dollar.</v>
      </c>
      <c r="H7702" s="16" t="str">
        <f t="shared" ca="1" si="849"/>
        <v/>
      </c>
      <c r="I7702" s="16" t="str">
        <f t="shared" ca="1" si="850"/>
        <v/>
      </c>
      <c r="J7702" s="17" t="str">
        <f t="shared" ca="1" si="851"/>
        <v/>
      </c>
    </row>
    <row r="7703" spans="1:10" x14ac:dyDescent="0.25">
      <c r="A7703" t="s">
        <v>965</v>
      </c>
      <c r="B7703" t="str">
        <f>ADDRESS(ROW(DFLoan1!B$21),COLUMN(DFLoan1!B$21),4)</f>
        <v>B21</v>
      </c>
      <c r="C7703" t="str">
        <f>ADDRESS(ROW(DFLoan1!C$21),COLUMN(DFLoan1!C$21),4)</f>
        <v>C21</v>
      </c>
      <c r="D7703" t="b" cm="1">
        <f t="array" aca="1" ref="D7703" ca="1">IF(INDIRECT("'"&amp;A7703&amp;"'!"&amp;B7703)="",FALSE,IF(TRUNC(INDIRECT("'"&amp;A7703&amp;"'!"&amp;B7703))=INDIRECT("'"&amp;A7703&amp;"'!"&amp;B7703),FALSE,TRUE))</f>
        <v>0</v>
      </c>
      <c r="E7703" t="s">
        <v>436</v>
      </c>
      <c r="F7703" t="str">
        <f>INDEX(Lists!I:I,MATCH(Validation!E7703,Lists!G:G,0))</f>
        <v>Error</v>
      </c>
      <c r="G7703" t="str">
        <f>INDEX(Lists!H:H,MATCH(Validation!E7703,Lists!G:G,0))</f>
        <v>Amount must be rounded to the nearest dollar.</v>
      </c>
      <c r="H7703" s="16" t="str">
        <f t="shared" ca="1" si="849"/>
        <v/>
      </c>
      <c r="I7703" s="16" t="str">
        <f t="shared" ca="1" si="850"/>
        <v/>
      </c>
      <c r="J7703" s="17" t="str">
        <f t="shared" ca="1" si="851"/>
        <v/>
      </c>
    </row>
    <row r="7704" spans="1:10" x14ac:dyDescent="0.25">
      <c r="A7704" t="s">
        <v>966</v>
      </c>
      <c r="B7704" t="str">
        <f>ADDRESS(ROW(DFLoan1!B$21),COLUMN(DFLoan1!B$21),4)</f>
        <v>B21</v>
      </c>
      <c r="C7704" t="str">
        <f>ADDRESS(ROW(DFLoan1!C$21),COLUMN(DFLoan1!C$21),4)</f>
        <v>C21</v>
      </c>
      <c r="D7704" t="b" cm="1">
        <f t="array" aca="1" ref="D7704" ca="1">IF(INDIRECT("'"&amp;A7704&amp;"'!"&amp;B7704)="",FALSE,IF(TRUNC(INDIRECT("'"&amp;A7704&amp;"'!"&amp;B7704))=INDIRECT("'"&amp;A7704&amp;"'!"&amp;B7704),FALSE,TRUE))</f>
        <v>0</v>
      </c>
      <c r="E7704" t="s">
        <v>436</v>
      </c>
      <c r="F7704" t="str">
        <f>INDEX(Lists!I:I,MATCH(Validation!E7704,Lists!G:G,0))</f>
        <v>Error</v>
      </c>
      <c r="G7704" t="str">
        <f>INDEX(Lists!H:H,MATCH(Validation!E7704,Lists!G:G,0))</f>
        <v>Amount must be rounded to the nearest dollar.</v>
      </c>
      <c r="H7704" s="16" t="str">
        <f t="shared" ca="1" si="849"/>
        <v/>
      </c>
      <c r="I7704" s="16" t="str">
        <f t="shared" ca="1" si="850"/>
        <v/>
      </c>
      <c r="J7704" s="17" t="str">
        <f t="shared" ca="1" si="851"/>
        <v/>
      </c>
    </row>
    <row r="7705" spans="1:10" x14ac:dyDescent="0.25">
      <c r="A7705" t="s">
        <v>881</v>
      </c>
      <c r="B7705" t="str">
        <f>ADDRESS(ROW(DFLoan1!B$22),COLUMN(DFLoan1!B$22),4)</f>
        <v>B22</v>
      </c>
      <c r="C7705" t="str">
        <f>ADDRESS(ROW(DFLoan1!C$22),COLUMN(DFLoan1!C$22),4)</f>
        <v>C22</v>
      </c>
      <c r="D7705" t="b" cm="1">
        <f t="array" aca="1" ref="D7705" ca="1">IF(INDIRECT("'"&amp;A7705&amp;"'!"&amp;B7705)="",FALSE,IF(NOT(ISNUMBER(INDIRECT("'"&amp;A7705&amp;"'!"&amp;B7705))),TRUE,FALSE))</f>
        <v>0</v>
      </c>
      <c r="E7705" t="s">
        <v>435</v>
      </c>
      <c r="F7705" t="str">
        <f>INDEX(Lists!I:I,MATCH(Validation!E7705,Lists!G:G,0))</f>
        <v>Error</v>
      </c>
      <c r="G7705" t="str">
        <f>INDEX(Lists!H:H,MATCH(Validation!E7705,Lists!G:G,0))</f>
        <v>Enter an amount only. Do not enter text or spaces.</v>
      </c>
      <c r="H7705" s="16" t="str">
        <f t="shared" ca="1" si="849"/>
        <v/>
      </c>
      <c r="I7705" s="16" t="str">
        <f t="shared" ca="1" si="850"/>
        <v/>
      </c>
      <c r="J7705" s="17" t="str">
        <f t="shared" ca="1" si="851"/>
        <v/>
      </c>
    </row>
    <row r="7706" spans="1:10" x14ac:dyDescent="0.25">
      <c r="A7706" t="s">
        <v>953</v>
      </c>
      <c r="B7706" t="str">
        <f>ADDRESS(ROW(DFLoan1!B$22),COLUMN(DFLoan1!B$22),4)</f>
        <v>B22</v>
      </c>
      <c r="C7706" t="str">
        <f>ADDRESS(ROW(DFLoan1!C$22),COLUMN(DFLoan1!C$22),4)</f>
        <v>C22</v>
      </c>
      <c r="D7706" t="b" cm="1">
        <f t="array" aca="1" ref="D7706" ca="1">IF(INDIRECT("'"&amp;A7706&amp;"'!"&amp;B7706)="",FALSE,IF(NOT(ISNUMBER(INDIRECT("'"&amp;A7706&amp;"'!"&amp;B7706))),TRUE,FALSE))</f>
        <v>0</v>
      </c>
      <c r="E7706" t="s">
        <v>435</v>
      </c>
      <c r="F7706" t="str">
        <f>INDEX(Lists!I:I,MATCH(Validation!E7706,Lists!G:G,0))</f>
        <v>Error</v>
      </c>
      <c r="G7706" t="str">
        <f>INDEX(Lists!H:H,MATCH(Validation!E7706,Lists!G:G,0))</f>
        <v>Enter an amount only. Do not enter text or spaces.</v>
      </c>
      <c r="H7706" s="16" t="str">
        <f t="shared" ca="1" si="849"/>
        <v/>
      </c>
      <c r="I7706" s="16" t="str">
        <f t="shared" ca="1" si="850"/>
        <v/>
      </c>
      <c r="J7706" s="17" t="str">
        <f t="shared" ca="1" si="851"/>
        <v/>
      </c>
    </row>
    <row r="7707" spans="1:10" x14ac:dyDescent="0.25">
      <c r="A7707" t="s">
        <v>954</v>
      </c>
      <c r="B7707" t="str">
        <f>ADDRESS(ROW(DFLoan1!B$22),COLUMN(DFLoan1!B$22),4)</f>
        <v>B22</v>
      </c>
      <c r="C7707" t="str">
        <f>ADDRESS(ROW(DFLoan1!C$22),COLUMN(DFLoan1!C$22),4)</f>
        <v>C22</v>
      </c>
      <c r="D7707" t="b" cm="1">
        <f t="array" aca="1" ref="D7707" ca="1">IF(INDIRECT("'"&amp;A7707&amp;"'!"&amp;B7707)="",FALSE,IF(NOT(ISNUMBER(INDIRECT("'"&amp;A7707&amp;"'!"&amp;B7707))),TRUE,FALSE))</f>
        <v>0</v>
      </c>
      <c r="E7707" t="s">
        <v>435</v>
      </c>
      <c r="F7707" t="str">
        <f>INDEX(Lists!I:I,MATCH(Validation!E7707,Lists!G:G,0))</f>
        <v>Error</v>
      </c>
      <c r="G7707" t="str">
        <f>INDEX(Lists!H:H,MATCH(Validation!E7707,Lists!G:G,0))</f>
        <v>Enter an amount only. Do not enter text or spaces.</v>
      </c>
      <c r="H7707" s="16" t="str">
        <f t="shared" ca="1" si="849"/>
        <v/>
      </c>
      <c r="I7707" s="16" t="str">
        <f t="shared" ca="1" si="850"/>
        <v/>
      </c>
      <c r="J7707" s="17" t="str">
        <f t="shared" ca="1" si="851"/>
        <v/>
      </c>
    </row>
    <row r="7708" spans="1:10" x14ac:dyDescent="0.25">
      <c r="A7708" t="s">
        <v>955</v>
      </c>
      <c r="B7708" t="str">
        <f>ADDRESS(ROW(DFLoan1!B$22),COLUMN(DFLoan1!B$22),4)</f>
        <v>B22</v>
      </c>
      <c r="C7708" t="str">
        <f>ADDRESS(ROW(DFLoan1!C$22),COLUMN(DFLoan1!C$22),4)</f>
        <v>C22</v>
      </c>
      <c r="D7708" t="b" cm="1">
        <f t="array" aca="1" ref="D7708" ca="1">IF(INDIRECT("'"&amp;A7708&amp;"'!"&amp;B7708)="",FALSE,IF(NOT(ISNUMBER(INDIRECT("'"&amp;A7708&amp;"'!"&amp;B7708))),TRUE,FALSE))</f>
        <v>0</v>
      </c>
      <c r="E7708" t="s">
        <v>435</v>
      </c>
      <c r="F7708" t="str">
        <f>INDEX(Lists!I:I,MATCH(Validation!E7708,Lists!G:G,0))</f>
        <v>Error</v>
      </c>
      <c r="G7708" t="str">
        <f>INDEX(Lists!H:H,MATCH(Validation!E7708,Lists!G:G,0))</f>
        <v>Enter an amount only. Do not enter text or spaces.</v>
      </c>
      <c r="H7708" s="16" t="str">
        <f t="shared" ca="1" si="849"/>
        <v/>
      </c>
      <c r="I7708" s="16" t="str">
        <f t="shared" ca="1" si="850"/>
        <v/>
      </c>
      <c r="J7708" s="17" t="str">
        <f t="shared" ca="1" si="851"/>
        <v/>
      </c>
    </row>
    <row r="7709" spans="1:10" x14ac:dyDescent="0.25">
      <c r="A7709" t="s">
        <v>956</v>
      </c>
      <c r="B7709" t="str">
        <f>ADDRESS(ROW(DFLoan1!B$22),COLUMN(DFLoan1!B$22),4)</f>
        <v>B22</v>
      </c>
      <c r="C7709" t="str">
        <f>ADDRESS(ROW(DFLoan1!C$22),COLUMN(DFLoan1!C$22),4)</f>
        <v>C22</v>
      </c>
      <c r="D7709" t="b" cm="1">
        <f t="array" aca="1" ref="D7709" ca="1">IF(INDIRECT("'"&amp;A7709&amp;"'!"&amp;B7709)="",FALSE,IF(NOT(ISNUMBER(INDIRECT("'"&amp;A7709&amp;"'!"&amp;B7709))),TRUE,FALSE))</f>
        <v>0</v>
      </c>
      <c r="E7709" t="s">
        <v>435</v>
      </c>
      <c r="F7709" t="str">
        <f>INDEX(Lists!I:I,MATCH(Validation!E7709,Lists!G:G,0))</f>
        <v>Error</v>
      </c>
      <c r="G7709" t="str">
        <f>INDEX(Lists!H:H,MATCH(Validation!E7709,Lists!G:G,0))</f>
        <v>Enter an amount only. Do not enter text or spaces.</v>
      </c>
      <c r="H7709" s="16" t="str">
        <f t="shared" ca="1" si="849"/>
        <v/>
      </c>
      <c r="I7709" s="16" t="str">
        <f t="shared" ca="1" si="850"/>
        <v/>
      </c>
      <c r="J7709" s="17" t="str">
        <f t="shared" ca="1" si="851"/>
        <v/>
      </c>
    </row>
    <row r="7710" spans="1:10" x14ac:dyDescent="0.25">
      <c r="A7710" t="s">
        <v>957</v>
      </c>
      <c r="B7710" t="str">
        <f>ADDRESS(ROW(DFLoan1!B$22),COLUMN(DFLoan1!B$22),4)</f>
        <v>B22</v>
      </c>
      <c r="C7710" t="str">
        <f>ADDRESS(ROW(DFLoan1!C$22),COLUMN(DFLoan1!C$22),4)</f>
        <v>C22</v>
      </c>
      <c r="D7710" t="b" cm="1">
        <f t="array" aca="1" ref="D7710" ca="1">IF(INDIRECT("'"&amp;A7710&amp;"'!"&amp;B7710)="",FALSE,IF(NOT(ISNUMBER(INDIRECT("'"&amp;A7710&amp;"'!"&amp;B7710))),TRUE,FALSE))</f>
        <v>0</v>
      </c>
      <c r="E7710" t="s">
        <v>435</v>
      </c>
      <c r="F7710" t="str">
        <f>INDEX(Lists!I:I,MATCH(Validation!E7710,Lists!G:G,0))</f>
        <v>Error</v>
      </c>
      <c r="G7710" t="str">
        <f>INDEX(Lists!H:H,MATCH(Validation!E7710,Lists!G:G,0))</f>
        <v>Enter an amount only. Do not enter text or spaces.</v>
      </c>
      <c r="H7710" s="16" t="str">
        <f t="shared" ca="1" si="849"/>
        <v/>
      </c>
      <c r="I7710" s="16" t="str">
        <f t="shared" ca="1" si="850"/>
        <v/>
      </c>
      <c r="J7710" s="17" t="str">
        <f t="shared" ca="1" si="851"/>
        <v/>
      </c>
    </row>
    <row r="7711" spans="1:10" x14ac:dyDescent="0.25">
      <c r="A7711" t="s">
        <v>958</v>
      </c>
      <c r="B7711" t="str">
        <f>ADDRESS(ROW(DFLoan1!B$22),COLUMN(DFLoan1!B$22),4)</f>
        <v>B22</v>
      </c>
      <c r="C7711" t="str">
        <f>ADDRESS(ROW(DFLoan1!C$22),COLUMN(DFLoan1!C$22),4)</f>
        <v>C22</v>
      </c>
      <c r="D7711" t="b" cm="1">
        <f t="array" aca="1" ref="D7711" ca="1">IF(INDIRECT("'"&amp;A7711&amp;"'!"&amp;B7711)="",FALSE,IF(NOT(ISNUMBER(INDIRECT("'"&amp;A7711&amp;"'!"&amp;B7711))),TRUE,FALSE))</f>
        <v>0</v>
      </c>
      <c r="E7711" t="s">
        <v>435</v>
      </c>
      <c r="F7711" t="str">
        <f>INDEX(Lists!I:I,MATCH(Validation!E7711,Lists!G:G,0))</f>
        <v>Error</v>
      </c>
      <c r="G7711" t="str">
        <f>INDEX(Lists!H:H,MATCH(Validation!E7711,Lists!G:G,0))</f>
        <v>Enter an amount only. Do not enter text or spaces.</v>
      </c>
      <c r="H7711" s="16" t="str">
        <f t="shared" ca="1" si="849"/>
        <v/>
      </c>
      <c r="I7711" s="16" t="str">
        <f t="shared" ca="1" si="850"/>
        <v/>
      </c>
      <c r="J7711" s="17" t="str">
        <f t="shared" ca="1" si="851"/>
        <v/>
      </c>
    </row>
    <row r="7712" spans="1:10" x14ac:dyDescent="0.25">
      <c r="A7712" t="s">
        <v>959</v>
      </c>
      <c r="B7712" t="str">
        <f>ADDRESS(ROW(DFLoan1!B$22),COLUMN(DFLoan1!B$22),4)</f>
        <v>B22</v>
      </c>
      <c r="C7712" t="str">
        <f>ADDRESS(ROW(DFLoan1!C$22),COLUMN(DFLoan1!C$22),4)</f>
        <v>C22</v>
      </c>
      <c r="D7712" t="b" cm="1">
        <f t="array" aca="1" ref="D7712" ca="1">IF(INDIRECT("'"&amp;A7712&amp;"'!"&amp;B7712)="",FALSE,IF(NOT(ISNUMBER(INDIRECT("'"&amp;A7712&amp;"'!"&amp;B7712))),TRUE,FALSE))</f>
        <v>0</v>
      </c>
      <c r="E7712" t="s">
        <v>435</v>
      </c>
      <c r="F7712" t="str">
        <f>INDEX(Lists!I:I,MATCH(Validation!E7712,Lists!G:G,0))</f>
        <v>Error</v>
      </c>
      <c r="G7712" t="str">
        <f>INDEX(Lists!H:H,MATCH(Validation!E7712,Lists!G:G,0))</f>
        <v>Enter an amount only. Do not enter text or spaces.</v>
      </c>
      <c r="H7712" s="16" t="str">
        <f t="shared" ca="1" si="849"/>
        <v/>
      </c>
      <c r="I7712" s="16" t="str">
        <f t="shared" ca="1" si="850"/>
        <v/>
      </c>
      <c r="J7712" s="17" t="str">
        <f t="shared" ca="1" si="851"/>
        <v/>
      </c>
    </row>
    <row r="7713" spans="1:10" x14ac:dyDescent="0.25">
      <c r="A7713" t="s">
        <v>960</v>
      </c>
      <c r="B7713" t="str">
        <f>ADDRESS(ROW(DFLoan1!B$22),COLUMN(DFLoan1!B$22),4)</f>
        <v>B22</v>
      </c>
      <c r="C7713" t="str">
        <f>ADDRESS(ROW(DFLoan1!C$22),COLUMN(DFLoan1!C$22),4)</f>
        <v>C22</v>
      </c>
      <c r="D7713" t="b" cm="1">
        <f t="array" aca="1" ref="D7713" ca="1">IF(INDIRECT("'"&amp;A7713&amp;"'!"&amp;B7713)="",FALSE,IF(NOT(ISNUMBER(INDIRECT("'"&amp;A7713&amp;"'!"&amp;B7713))),TRUE,FALSE))</f>
        <v>0</v>
      </c>
      <c r="E7713" t="s">
        <v>435</v>
      </c>
      <c r="F7713" t="str">
        <f>INDEX(Lists!I:I,MATCH(Validation!E7713,Lists!G:G,0))</f>
        <v>Error</v>
      </c>
      <c r="G7713" t="str">
        <f>INDEX(Lists!H:H,MATCH(Validation!E7713,Lists!G:G,0))</f>
        <v>Enter an amount only. Do not enter text or spaces.</v>
      </c>
      <c r="H7713" s="16" t="str">
        <f t="shared" ca="1" si="849"/>
        <v/>
      </c>
      <c r="I7713" s="16" t="str">
        <f t="shared" ca="1" si="850"/>
        <v/>
      </c>
      <c r="J7713" s="17" t="str">
        <f t="shared" ca="1" si="851"/>
        <v/>
      </c>
    </row>
    <row r="7714" spans="1:10" x14ac:dyDescent="0.25">
      <c r="A7714" t="s">
        <v>961</v>
      </c>
      <c r="B7714" t="str">
        <f>ADDRESS(ROW(DFLoan1!B$22),COLUMN(DFLoan1!B$22),4)</f>
        <v>B22</v>
      </c>
      <c r="C7714" t="str">
        <f>ADDRESS(ROW(DFLoan1!C$22),COLUMN(DFLoan1!C$22),4)</f>
        <v>C22</v>
      </c>
      <c r="D7714" t="b" cm="1">
        <f t="array" aca="1" ref="D7714" ca="1">IF(INDIRECT("'"&amp;A7714&amp;"'!"&amp;B7714)="",FALSE,IF(NOT(ISNUMBER(INDIRECT("'"&amp;A7714&amp;"'!"&amp;B7714))),TRUE,FALSE))</f>
        <v>0</v>
      </c>
      <c r="E7714" t="s">
        <v>435</v>
      </c>
      <c r="F7714" t="str">
        <f>INDEX(Lists!I:I,MATCH(Validation!E7714,Lists!G:G,0))</f>
        <v>Error</v>
      </c>
      <c r="G7714" t="str">
        <f>INDEX(Lists!H:H,MATCH(Validation!E7714,Lists!G:G,0))</f>
        <v>Enter an amount only. Do not enter text or spaces.</v>
      </c>
      <c r="H7714" s="16" t="str">
        <f t="shared" ca="1" si="849"/>
        <v/>
      </c>
      <c r="I7714" s="16" t="str">
        <f t="shared" ca="1" si="850"/>
        <v/>
      </c>
      <c r="J7714" s="17" t="str">
        <f t="shared" ca="1" si="851"/>
        <v/>
      </c>
    </row>
    <row r="7715" spans="1:10" x14ac:dyDescent="0.25">
      <c r="A7715" t="s">
        <v>962</v>
      </c>
      <c r="B7715" t="str">
        <f>ADDRESS(ROW(DFLoan1!B$22),COLUMN(DFLoan1!B$22),4)</f>
        <v>B22</v>
      </c>
      <c r="C7715" t="str">
        <f>ADDRESS(ROW(DFLoan1!C$22),COLUMN(DFLoan1!C$22),4)</f>
        <v>C22</v>
      </c>
      <c r="D7715" t="b" cm="1">
        <f t="array" aca="1" ref="D7715" ca="1">IF(INDIRECT("'"&amp;A7715&amp;"'!"&amp;B7715)="",FALSE,IF(NOT(ISNUMBER(INDIRECT("'"&amp;A7715&amp;"'!"&amp;B7715))),TRUE,FALSE))</f>
        <v>0</v>
      </c>
      <c r="E7715" t="s">
        <v>435</v>
      </c>
      <c r="F7715" t="str">
        <f>INDEX(Lists!I:I,MATCH(Validation!E7715,Lists!G:G,0))</f>
        <v>Error</v>
      </c>
      <c r="G7715" t="str">
        <f>INDEX(Lists!H:H,MATCH(Validation!E7715,Lists!G:G,0))</f>
        <v>Enter an amount only. Do not enter text or spaces.</v>
      </c>
      <c r="H7715" s="16" t="str">
        <f t="shared" ca="1" si="849"/>
        <v/>
      </c>
      <c r="I7715" s="16" t="str">
        <f t="shared" ca="1" si="850"/>
        <v/>
      </c>
      <c r="J7715" s="17" t="str">
        <f t="shared" ca="1" si="851"/>
        <v/>
      </c>
    </row>
    <row r="7716" spans="1:10" x14ac:dyDescent="0.25">
      <c r="A7716" t="s">
        <v>963</v>
      </c>
      <c r="B7716" t="str">
        <f>ADDRESS(ROW(DFLoan1!B$22),COLUMN(DFLoan1!B$22),4)</f>
        <v>B22</v>
      </c>
      <c r="C7716" t="str">
        <f>ADDRESS(ROW(DFLoan1!C$22),COLUMN(DFLoan1!C$22),4)</f>
        <v>C22</v>
      </c>
      <c r="D7716" t="b" cm="1">
        <f t="array" aca="1" ref="D7716" ca="1">IF(INDIRECT("'"&amp;A7716&amp;"'!"&amp;B7716)="",FALSE,IF(NOT(ISNUMBER(INDIRECT("'"&amp;A7716&amp;"'!"&amp;B7716))),TRUE,FALSE))</f>
        <v>0</v>
      </c>
      <c r="E7716" t="s">
        <v>435</v>
      </c>
      <c r="F7716" t="str">
        <f>INDEX(Lists!I:I,MATCH(Validation!E7716,Lists!G:G,0))</f>
        <v>Error</v>
      </c>
      <c r="G7716" t="str">
        <f>INDEX(Lists!H:H,MATCH(Validation!E7716,Lists!G:G,0))</f>
        <v>Enter an amount only. Do not enter text or spaces.</v>
      </c>
      <c r="H7716" s="16" t="str">
        <f t="shared" ca="1" si="849"/>
        <v/>
      </c>
      <c r="I7716" s="16" t="str">
        <f t="shared" ca="1" si="850"/>
        <v/>
      </c>
      <c r="J7716" s="17" t="str">
        <f t="shared" ca="1" si="851"/>
        <v/>
      </c>
    </row>
    <row r="7717" spans="1:10" x14ac:dyDescent="0.25">
      <c r="A7717" t="s">
        <v>964</v>
      </c>
      <c r="B7717" t="str">
        <f>ADDRESS(ROW(DFLoan1!B$22),COLUMN(DFLoan1!B$22),4)</f>
        <v>B22</v>
      </c>
      <c r="C7717" t="str">
        <f>ADDRESS(ROW(DFLoan1!C$22),COLUMN(DFLoan1!C$22),4)</f>
        <v>C22</v>
      </c>
      <c r="D7717" t="b" cm="1">
        <f t="array" aca="1" ref="D7717" ca="1">IF(INDIRECT("'"&amp;A7717&amp;"'!"&amp;B7717)="",FALSE,IF(NOT(ISNUMBER(INDIRECT("'"&amp;A7717&amp;"'!"&amp;B7717))),TRUE,FALSE))</f>
        <v>0</v>
      </c>
      <c r="E7717" t="s">
        <v>435</v>
      </c>
      <c r="F7717" t="str">
        <f>INDEX(Lists!I:I,MATCH(Validation!E7717,Lists!G:G,0))</f>
        <v>Error</v>
      </c>
      <c r="G7717" t="str">
        <f>INDEX(Lists!H:H,MATCH(Validation!E7717,Lists!G:G,0))</f>
        <v>Enter an amount only. Do not enter text or spaces.</v>
      </c>
      <c r="H7717" s="16" t="str">
        <f t="shared" ca="1" si="849"/>
        <v/>
      </c>
      <c r="I7717" s="16" t="str">
        <f t="shared" ca="1" si="850"/>
        <v/>
      </c>
      <c r="J7717" s="17" t="str">
        <f t="shared" ca="1" si="851"/>
        <v/>
      </c>
    </row>
    <row r="7718" spans="1:10" x14ac:dyDescent="0.25">
      <c r="A7718" t="s">
        <v>965</v>
      </c>
      <c r="B7718" t="str">
        <f>ADDRESS(ROW(DFLoan1!B$22),COLUMN(DFLoan1!B$22),4)</f>
        <v>B22</v>
      </c>
      <c r="C7718" t="str">
        <f>ADDRESS(ROW(DFLoan1!C$22),COLUMN(DFLoan1!C$22),4)</f>
        <v>C22</v>
      </c>
      <c r="D7718" t="b" cm="1">
        <f t="array" aca="1" ref="D7718" ca="1">IF(INDIRECT("'"&amp;A7718&amp;"'!"&amp;B7718)="",FALSE,IF(NOT(ISNUMBER(INDIRECT("'"&amp;A7718&amp;"'!"&amp;B7718))),TRUE,FALSE))</f>
        <v>0</v>
      </c>
      <c r="E7718" t="s">
        <v>435</v>
      </c>
      <c r="F7718" t="str">
        <f>INDEX(Lists!I:I,MATCH(Validation!E7718,Lists!G:G,0))</f>
        <v>Error</v>
      </c>
      <c r="G7718" t="str">
        <f>INDEX(Lists!H:H,MATCH(Validation!E7718,Lists!G:G,0))</f>
        <v>Enter an amount only. Do not enter text or spaces.</v>
      </c>
      <c r="H7718" s="16" t="str">
        <f t="shared" ca="1" si="849"/>
        <v/>
      </c>
      <c r="I7718" s="16" t="str">
        <f t="shared" ca="1" si="850"/>
        <v/>
      </c>
      <c r="J7718" s="17" t="str">
        <f t="shared" ca="1" si="851"/>
        <v/>
      </c>
    </row>
    <row r="7719" spans="1:10" x14ac:dyDescent="0.25">
      <c r="A7719" t="s">
        <v>966</v>
      </c>
      <c r="B7719" t="str">
        <f>ADDRESS(ROW(DFLoan1!B$22),COLUMN(DFLoan1!B$22),4)</f>
        <v>B22</v>
      </c>
      <c r="C7719" t="str">
        <f>ADDRESS(ROW(DFLoan1!C$22),COLUMN(DFLoan1!C$22),4)</f>
        <v>C22</v>
      </c>
      <c r="D7719" t="b" cm="1">
        <f t="array" aca="1" ref="D7719" ca="1">IF(INDIRECT("'"&amp;A7719&amp;"'!"&amp;B7719)="",FALSE,IF(NOT(ISNUMBER(INDIRECT("'"&amp;A7719&amp;"'!"&amp;B7719))),TRUE,FALSE))</f>
        <v>0</v>
      </c>
      <c r="E7719" t="s">
        <v>435</v>
      </c>
      <c r="F7719" t="str">
        <f>INDEX(Lists!I:I,MATCH(Validation!E7719,Lists!G:G,0))</f>
        <v>Error</v>
      </c>
      <c r="G7719" t="str">
        <f>INDEX(Lists!H:H,MATCH(Validation!E7719,Lists!G:G,0))</f>
        <v>Enter an amount only. Do not enter text or spaces.</v>
      </c>
      <c r="H7719" s="16" t="str">
        <f t="shared" ca="1" si="849"/>
        <v/>
      </c>
      <c r="I7719" s="16" t="str">
        <f t="shared" ca="1" si="850"/>
        <v/>
      </c>
      <c r="J7719" s="17" t="str">
        <f t="shared" ca="1" si="851"/>
        <v/>
      </c>
    </row>
    <row r="7720" spans="1:10" x14ac:dyDescent="0.25">
      <c r="A7720" t="s">
        <v>881</v>
      </c>
      <c r="B7720" t="str">
        <f>ADDRESS(ROW(DFLoan1!B$22),COLUMN(DFLoan1!B$22),4)</f>
        <v>B22</v>
      </c>
      <c r="C7720" t="str">
        <f>ADDRESS(ROW(DFLoan1!C$22),COLUMN(DFLoan1!C$22),4)</f>
        <v>C22</v>
      </c>
      <c r="D7720" t="b" cm="1">
        <f t="array" aca="1" ref="D7720" ca="1">IF(INDIRECT("'"&amp;A7720&amp;"'!"&amp;B7720)="",FALSE,IF(TRUNC(INDIRECT("'"&amp;A7720&amp;"'!"&amp;B7720))=INDIRECT("'"&amp;A7720&amp;"'!"&amp;B7720),FALSE,TRUE))</f>
        <v>0</v>
      </c>
      <c r="E7720" t="s">
        <v>436</v>
      </c>
      <c r="F7720" t="str">
        <f>INDEX(Lists!I:I,MATCH(Validation!E7720,Lists!G:G,0))</f>
        <v>Error</v>
      </c>
      <c r="G7720" t="str">
        <f>INDEX(Lists!H:H,MATCH(Validation!E7720,Lists!G:G,0))</f>
        <v>Amount must be rounded to the nearest dollar.</v>
      </c>
      <c r="H7720" s="16" t="str">
        <f t="shared" ca="1" si="849"/>
        <v/>
      </c>
      <c r="I7720" s="16" t="str">
        <f t="shared" ca="1" si="850"/>
        <v/>
      </c>
      <c r="J7720" s="17" t="str">
        <f t="shared" ca="1" si="851"/>
        <v/>
      </c>
    </row>
    <row r="7721" spans="1:10" x14ac:dyDescent="0.25">
      <c r="A7721" t="s">
        <v>953</v>
      </c>
      <c r="B7721" t="str">
        <f>ADDRESS(ROW(DFLoan1!B$22),COLUMN(DFLoan1!B$22),4)</f>
        <v>B22</v>
      </c>
      <c r="C7721" t="str">
        <f>ADDRESS(ROW(DFLoan1!C$22),COLUMN(DFLoan1!C$22),4)</f>
        <v>C22</v>
      </c>
      <c r="D7721" t="b" cm="1">
        <f t="array" aca="1" ref="D7721" ca="1">IF(INDIRECT("'"&amp;A7721&amp;"'!"&amp;B7721)="",FALSE,IF(TRUNC(INDIRECT("'"&amp;A7721&amp;"'!"&amp;B7721))=INDIRECT("'"&amp;A7721&amp;"'!"&amp;B7721),FALSE,TRUE))</f>
        <v>0</v>
      </c>
      <c r="E7721" t="s">
        <v>436</v>
      </c>
      <c r="F7721" t="str">
        <f>INDEX(Lists!I:I,MATCH(Validation!E7721,Lists!G:G,0))</f>
        <v>Error</v>
      </c>
      <c r="G7721" t="str">
        <f>INDEX(Lists!H:H,MATCH(Validation!E7721,Lists!G:G,0))</f>
        <v>Amount must be rounded to the nearest dollar.</v>
      </c>
      <c r="H7721" s="16" t="str">
        <f t="shared" ca="1" si="849"/>
        <v/>
      </c>
      <c r="I7721" s="16" t="str">
        <f t="shared" ca="1" si="850"/>
        <v/>
      </c>
      <c r="J7721" s="17" t="str">
        <f t="shared" ca="1" si="851"/>
        <v/>
      </c>
    </row>
    <row r="7722" spans="1:10" x14ac:dyDescent="0.25">
      <c r="A7722" t="s">
        <v>954</v>
      </c>
      <c r="B7722" t="str">
        <f>ADDRESS(ROW(DFLoan1!B$22),COLUMN(DFLoan1!B$22),4)</f>
        <v>B22</v>
      </c>
      <c r="C7722" t="str">
        <f>ADDRESS(ROW(DFLoan1!C$22),COLUMN(DFLoan1!C$22),4)</f>
        <v>C22</v>
      </c>
      <c r="D7722" t="b" cm="1">
        <f t="array" aca="1" ref="D7722" ca="1">IF(INDIRECT("'"&amp;A7722&amp;"'!"&amp;B7722)="",FALSE,IF(TRUNC(INDIRECT("'"&amp;A7722&amp;"'!"&amp;B7722))=INDIRECT("'"&amp;A7722&amp;"'!"&amp;B7722),FALSE,TRUE))</f>
        <v>0</v>
      </c>
      <c r="E7722" t="s">
        <v>436</v>
      </c>
      <c r="F7722" t="str">
        <f>INDEX(Lists!I:I,MATCH(Validation!E7722,Lists!G:G,0))</f>
        <v>Error</v>
      </c>
      <c r="G7722" t="str">
        <f>INDEX(Lists!H:H,MATCH(Validation!E7722,Lists!G:G,0))</f>
        <v>Amount must be rounded to the nearest dollar.</v>
      </c>
      <c r="H7722" s="16" t="str">
        <f t="shared" ca="1" si="849"/>
        <v/>
      </c>
      <c r="I7722" s="16" t="str">
        <f t="shared" ca="1" si="850"/>
        <v/>
      </c>
      <c r="J7722" s="17" t="str">
        <f t="shared" ca="1" si="851"/>
        <v/>
      </c>
    </row>
    <row r="7723" spans="1:10" x14ac:dyDescent="0.25">
      <c r="A7723" t="s">
        <v>955</v>
      </c>
      <c r="B7723" t="str">
        <f>ADDRESS(ROW(DFLoan1!B$22),COLUMN(DFLoan1!B$22),4)</f>
        <v>B22</v>
      </c>
      <c r="C7723" t="str">
        <f>ADDRESS(ROW(DFLoan1!C$22),COLUMN(DFLoan1!C$22),4)</f>
        <v>C22</v>
      </c>
      <c r="D7723" t="b" cm="1">
        <f t="array" aca="1" ref="D7723" ca="1">IF(INDIRECT("'"&amp;A7723&amp;"'!"&amp;B7723)="",FALSE,IF(TRUNC(INDIRECT("'"&amp;A7723&amp;"'!"&amp;B7723))=INDIRECT("'"&amp;A7723&amp;"'!"&amp;B7723),FALSE,TRUE))</f>
        <v>0</v>
      </c>
      <c r="E7723" t="s">
        <v>436</v>
      </c>
      <c r="F7723" t="str">
        <f>INDEX(Lists!I:I,MATCH(Validation!E7723,Lists!G:G,0))</f>
        <v>Error</v>
      </c>
      <c r="G7723" t="str">
        <f>INDEX(Lists!H:H,MATCH(Validation!E7723,Lists!G:G,0))</f>
        <v>Amount must be rounded to the nearest dollar.</v>
      </c>
      <c r="H7723" s="16" t="str">
        <f t="shared" ca="1" si="849"/>
        <v/>
      </c>
      <c r="I7723" s="16" t="str">
        <f t="shared" ca="1" si="850"/>
        <v/>
      </c>
      <c r="J7723" s="17" t="str">
        <f t="shared" ca="1" si="851"/>
        <v/>
      </c>
    </row>
    <row r="7724" spans="1:10" x14ac:dyDescent="0.25">
      <c r="A7724" t="s">
        <v>956</v>
      </c>
      <c r="B7724" t="str">
        <f>ADDRESS(ROW(DFLoan1!B$22),COLUMN(DFLoan1!B$22),4)</f>
        <v>B22</v>
      </c>
      <c r="C7724" t="str">
        <f>ADDRESS(ROW(DFLoan1!C$22),COLUMN(DFLoan1!C$22),4)</f>
        <v>C22</v>
      </c>
      <c r="D7724" t="b" cm="1">
        <f t="array" aca="1" ref="D7724" ca="1">IF(INDIRECT("'"&amp;A7724&amp;"'!"&amp;B7724)="",FALSE,IF(TRUNC(INDIRECT("'"&amp;A7724&amp;"'!"&amp;B7724))=INDIRECT("'"&amp;A7724&amp;"'!"&amp;B7724),FALSE,TRUE))</f>
        <v>0</v>
      </c>
      <c r="E7724" t="s">
        <v>436</v>
      </c>
      <c r="F7724" t="str">
        <f>INDEX(Lists!I:I,MATCH(Validation!E7724,Lists!G:G,0))</f>
        <v>Error</v>
      </c>
      <c r="G7724" t="str">
        <f>INDEX(Lists!H:H,MATCH(Validation!E7724,Lists!G:G,0))</f>
        <v>Amount must be rounded to the nearest dollar.</v>
      </c>
      <c r="H7724" s="16" t="str">
        <f t="shared" ca="1" si="849"/>
        <v/>
      </c>
      <c r="I7724" s="16" t="str">
        <f t="shared" ca="1" si="850"/>
        <v/>
      </c>
      <c r="J7724" s="17" t="str">
        <f t="shared" ca="1" si="851"/>
        <v/>
      </c>
    </row>
    <row r="7725" spans="1:10" x14ac:dyDescent="0.25">
      <c r="A7725" t="s">
        <v>957</v>
      </c>
      <c r="B7725" t="str">
        <f>ADDRESS(ROW(DFLoan1!B$22),COLUMN(DFLoan1!B$22),4)</f>
        <v>B22</v>
      </c>
      <c r="C7725" t="str">
        <f>ADDRESS(ROW(DFLoan1!C$22),COLUMN(DFLoan1!C$22),4)</f>
        <v>C22</v>
      </c>
      <c r="D7725" t="b" cm="1">
        <f t="array" aca="1" ref="D7725" ca="1">IF(INDIRECT("'"&amp;A7725&amp;"'!"&amp;B7725)="",FALSE,IF(TRUNC(INDIRECT("'"&amp;A7725&amp;"'!"&amp;B7725))=INDIRECT("'"&amp;A7725&amp;"'!"&amp;B7725),FALSE,TRUE))</f>
        <v>0</v>
      </c>
      <c r="E7725" t="s">
        <v>436</v>
      </c>
      <c r="F7725" t="str">
        <f>INDEX(Lists!I:I,MATCH(Validation!E7725,Lists!G:G,0))</f>
        <v>Error</v>
      </c>
      <c r="G7725" t="str">
        <f>INDEX(Lists!H:H,MATCH(Validation!E7725,Lists!G:G,0))</f>
        <v>Amount must be rounded to the nearest dollar.</v>
      </c>
      <c r="H7725" s="16" t="str">
        <f t="shared" ca="1" si="849"/>
        <v/>
      </c>
      <c r="I7725" s="16" t="str">
        <f t="shared" ca="1" si="850"/>
        <v/>
      </c>
      <c r="J7725" s="17" t="str">
        <f t="shared" ca="1" si="851"/>
        <v/>
      </c>
    </row>
    <row r="7726" spans="1:10" x14ac:dyDescent="0.25">
      <c r="A7726" t="s">
        <v>958</v>
      </c>
      <c r="B7726" t="str">
        <f>ADDRESS(ROW(DFLoan1!B$22),COLUMN(DFLoan1!B$22),4)</f>
        <v>B22</v>
      </c>
      <c r="C7726" t="str">
        <f>ADDRESS(ROW(DFLoan1!C$22),COLUMN(DFLoan1!C$22),4)</f>
        <v>C22</v>
      </c>
      <c r="D7726" t="b" cm="1">
        <f t="array" aca="1" ref="D7726" ca="1">IF(INDIRECT("'"&amp;A7726&amp;"'!"&amp;B7726)="",FALSE,IF(TRUNC(INDIRECT("'"&amp;A7726&amp;"'!"&amp;B7726))=INDIRECT("'"&amp;A7726&amp;"'!"&amp;B7726),FALSE,TRUE))</f>
        <v>0</v>
      </c>
      <c r="E7726" t="s">
        <v>436</v>
      </c>
      <c r="F7726" t="str">
        <f>INDEX(Lists!I:I,MATCH(Validation!E7726,Lists!G:G,0))</f>
        <v>Error</v>
      </c>
      <c r="G7726" t="str">
        <f>INDEX(Lists!H:H,MATCH(Validation!E7726,Lists!G:G,0))</f>
        <v>Amount must be rounded to the nearest dollar.</v>
      </c>
      <c r="H7726" s="16" t="str">
        <f t="shared" ca="1" si="849"/>
        <v/>
      </c>
      <c r="I7726" s="16" t="str">
        <f t="shared" ca="1" si="850"/>
        <v/>
      </c>
      <c r="J7726" s="17" t="str">
        <f t="shared" ca="1" si="851"/>
        <v/>
      </c>
    </row>
    <row r="7727" spans="1:10" x14ac:dyDescent="0.25">
      <c r="A7727" t="s">
        <v>959</v>
      </c>
      <c r="B7727" t="str">
        <f>ADDRESS(ROW(DFLoan1!B$22),COLUMN(DFLoan1!B$22),4)</f>
        <v>B22</v>
      </c>
      <c r="C7727" t="str">
        <f>ADDRESS(ROW(DFLoan1!C$22),COLUMN(DFLoan1!C$22),4)</f>
        <v>C22</v>
      </c>
      <c r="D7727" t="b" cm="1">
        <f t="array" aca="1" ref="D7727" ca="1">IF(INDIRECT("'"&amp;A7727&amp;"'!"&amp;B7727)="",FALSE,IF(TRUNC(INDIRECT("'"&amp;A7727&amp;"'!"&amp;B7727))=INDIRECT("'"&amp;A7727&amp;"'!"&amp;B7727),FALSE,TRUE))</f>
        <v>0</v>
      </c>
      <c r="E7727" t="s">
        <v>436</v>
      </c>
      <c r="F7727" t="str">
        <f>INDEX(Lists!I:I,MATCH(Validation!E7727,Lists!G:G,0))</f>
        <v>Error</v>
      </c>
      <c r="G7727" t="str">
        <f>INDEX(Lists!H:H,MATCH(Validation!E7727,Lists!G:G,0))</f>
        <v>Amount must be rounded to the nearest dollar.</v>
      </c>
      <c r="H7727" s="16" t="str">
        <f t="shared" ca="1" si="849"/>
        <v/>
      </c>
      <c r="I7727" s="16" t="str">
        <f t="shared" ca="1" si="850"/>
        <v/>
      </c>
      <c r="J7727" s="17" t="str">
        <f t="shared" ca="1" si="851"/>
        <v/>
      </c>
    </row>
    <row r="7728" spans="1:10" x14ac:dyDescent="0.25">
      <c r="A7728" t="s">
        <v>960</v>
      </c>
      <c r="B7728" t="str">
        <f>ADDRESS(ROW(DFLoan1!B$22),COLUMN(DFLoan1!B$22),4)</f>
        <v>B22</v>
      </c>
      <c r="C7728" t="str">
        <f>ADDRESS(ROW(DFLoan1!C$22),COLUMN(DFLoan1!C$22),4)</f>
        <v>C22</v>
      </c>
      <c r="D7728" t="b" cm="1">
        <f t="array" aca="1" ref="D7728" ca="1">IF(INDIRECT("'"&amp;A7728&amp;"'!"&amp;B7728)="",FALSE,IF(TRUNC(INDIRECT("'"&amp;A7728&amp;"'!"&amp;B7728))=INDIRECT("'"&amp;A7728&amp;"'!"&amp;B7728),FALSE,TRUE))</f>
        <v>0</v>
      </c>
      <c r="E7728" t="s">
        <v>436</v>
      </c>
      <c r="F7728" t="str">
        <f>INDEX(Lists!I:I,MATCH(Validation!E7728,Lists!G:G,0))</f>
        <v>Error</v>
      </c>
      <c r="G7728" t="str">
        <f>INDEX(Lists!H:H,MATCH(Validation!E7728,Lists!G:G,0))</f>
        <v>Amount must be rounded to the nearest dollar.</v>
      </c>
      <c r="H7728" s="16" t="str">
        <f t="shared" ref="H7728:H7791" ca="1" si="852">IFERROR(IF(OR(NOT(D7728),F7728&lt;&gt;"Error"),"",A7728&amp;CELL("address",INDIRECT(B7728))),"")</f>
        <v/>
      </c>
      <c r="I7728" s="16" t="str">
        <f t="shared" ref="I7728:I7791" ca="1" si="853">IFERROR(IF(NOT(D7728),"",A7728&amp;CELL("address",INDIRECT(C7728))),"")</f>
        <v/>
      </c>
      <c r="J7728" s="17" t="str">
        <f t="shared" ref="J7728:J7791" ca="1" si="854">IFERROR(IF(NOT(D7728),"",A7728),"")</f>
        <v/>
      </c>
    </row>
    <row r="7729" spans="1:10" x14ac:dyDescent="0.25">
      <c r="A7729" t="s">
        <v>961</v>
      </c>
      <c r="B7729" t="str">
        <f>ADDRESS(ROW(DFLoan1!B$22),COLUMN(DFLoan1!B$22),4)</f>
        <v>B22</v>
      </c>
      <c r="C7729" t="str">
        <f>ADDRESS(ROW(DFLoan1!C$22),COLUMN(DFLoan1!C$22),4)</f>
        <v>C22</v>
      </c>
      <c r="D7729" t="b" cm="1">
        <f t="array" aca="1" ref="D7729" ca="1">IF(INDIRECT("'"&amp;A7729&amp;"'!"&amp;B7729)="",FALSE,IF(TRUNC(INDIRECT("'"&amp;A7729&amp;"'!"&amp;B7729))=INDIRECT("'"&amp;A7729&amp;"'!"&amp;B7729),FALSE,TRUE))</f>
        <v>0</v>
      </c>
      <c r="E7729" t="s">
        <v>436</v>
      </c>
      <c r="F7729" t="str">
        <f>INDEX(Lists!I:I,MATCH(Validation!E7729,Lists!G:G,0))</f>
        <v>Error</v>
      </c>
      <c r="G7729" t="str">
        <f>INDEX(Lists!H:H,MATCH(Validation!E7729,Lists!G:G,0))</f>
        <v>Amount must be rounded to the nearest dollar.</v>
      </c>
      <c r="H7729" s="16" t="str">
        <f t="shared" ca="1" si="852"/>
        <v/>
      </c>
      <c r="I7729" s="16" t="str">
        <f t="shared" ca="1" si="853"/>
        <v/>
      </c>
      <c r="J7729" s="17" t="str">
        <f t="shared" ca="1" si="854"/>
        <v/>
      </c>
    </row>
    <row r="7730" spans="1:10" x14ac:dyDescent="0.25">
      <c r="A7730" t="s">
        <v>962</v>
      </c>
      <c r="B7730" t="str">
        <f>ADDRESS(ROW(DFLoan1!B$22),COLUMN(DFLoan1!B$22),4)</f>
        <v>B22</v>
      </c>
      <c r="C7730" t="str">
        <f>ADDRESS(ROW(DFLoan1!C$22),COLUMN(DFLoan1!C$22),4)</f>
        <v>C22</v>
      </c>
      <c r="D7730" t="b" cm="1">
        <f t="array" aca="1" ref="D7730" ca="1">IF(INDIRECT("'"&amp;A7730&amp;"'!"&amp;B7730)="",FALSE,IF(TRUNC(INDIRECT("'"&amp;A7730&amp;"'!"&amp;B7730))=INDIRECT("'"&amp;A7730&amp;"'!"&amp;B7730),FALSE,TRUE))</f>
        <v>0</v>
      </c>
      <c r="E7730" t="s">
        <v>436</v>
      </c>
      <c r="F7730" t="str">
        <f>INDEX(Lists!I:I,MATCH(Validation!E7730,Lists!G:G,0))</f>
        <v>Error</v>
      </c>
      <c r="G7730" t="str">
        <f>INDEX(Lists!H:H,MATCH(Validation!E7730,Lists!G:G,0))</f>
        <v>Amount must be rounded to the nearest dollar.</v>
      </c>
      <c r="H7730" s="16" t="str">
        <f t="shared" ca="1" si="852"/>
        <v/>
      </c>
      <c r="I7730" s="16" t="str">
        <f t="shared" ca="1" si="853"/>
        <v/>
      </c>
      <c r="J7730" s="17" t="str">
        <f t="shared" ca="1" si="854"/>
        <v/>
      </c>
    </row>
    <row r="7731" spans="1:10" x14ac:dyDescent="0.25">
      <c r="A7731" t="s">
        <v>963</v>
      </c>
      <c r="B7731" t="str">
        <f>ADDRESS(ROW(DFLoan1!B$22),COLUMN(DFLoan1!B$22),4)</f>
        <v>B22</v>
      </c>
      <c r="C7731" t="str">
        <f>ADDRESS(ROW(DFLoan1!C$22),COLUMN(DFLoan1!C$22),4)</f>
        <v>C22</v>
      </c>
      <c r="D7731" t="b" cm="1">
        <f t="array" aca="1" ref="D7731" ca="1">IF(INDIRECT("'"&amp;A7731&amp;"'!"&amp;B7731)="",FALSE,IF(TRUNC(INDIRECT("'"&amp;A7731&amp;"'!"&amp;B7731))=INDIRECT("'"&amp;A7731&amp;"'!"&amp;B7731),FALSE,TRUE))</f>
        <v>0</v>
      </c>
      <c r="E7731" t="s">
        <v>436</v>
      </c>
      <c r="F7731" t="str">
        <f>INDEX(Lists!I:I,MATCH(Validation!E7731,Lists!G:G,0))</f>
        <v>Error</v>
      </c>
      <c r="G7731" t="str">
        <f>INDEX(Lists!H:H,MATCH(Validation!E7731,Lists!G:G,0))</f>
        <v>Amount must be rounded to the nearest dollar.</v>
      </c>
      <c r="H7731" s="16" t="str">
        <f t="shared" ca="1" si="852"/>
        <v/>
      </c>
      <c r="I7731" s="16" t="str">
        <f t="shared" ca="1" si="853"/>
        <v/>
      </c>
      <c r="J7731" s="17" t="str">
        <f t="shared" ca="1" si="854"/>
        <v/>
      </c>
    </row>
    <row r="7732" spans="1:10" x14ac:dyDescent="0.25">
      <c r="A7732" t="s">
        <v>964</v>
      </c>
      <c r="B7732" t="str">
        <f>ADDRESS(ROW(DFLoan1!B$22),COLUMN(DFLoan1!B$22),4)</f>
        <v>B22</v>
      </c>
      <c r="C7732" t="str">
        <f>ADDRESS(ROW(DFLoan1!C$22),COLUMN(DFLoan1!C$22),4)</f>
        <v>C22</v>
      </c>
      <c r="D7732" t="b" cm="1">
        <f t="array" aca="1" ref="D7732" ca="1">IF(INDIRECT("'"&amp;A7732&amp;"'!"&amp;B7732)="",FALSE,IF(TRUNC(INDIRECT("'"&amp;A7732&amp;"'!"&amp;B7732))=INDIRECT("'"&amp;A7732&amp;"'!"&amp;B7732),FALSE,TRUE))</f>
        <v>0</v>
      </c>
      <c r="E7732" t="s">
        <v>436</v>
      </c>
      <c r="F7732" t="str">
        <f>INDEX(Lists!I:I,MATCH(Validation!E7732,Lists!G:G,0))</f>
        <v>Error</v>
      </c>
      <c r="G7732" t="str">
        <f>INDEX(Lists!H:H,MATCH(Validation!E7732,Lists!G:G,0))</f>
        <v>Amount must be rounded to the nearest dollar.</v>
      </c>
      <c r="H7732" s="16" t="str">
        <f t="shared" ca="1" si="852"/>
        <v/>
      </c>
      <c r="I7732" s="16" t="str">
        <f t="shared" ca="1" si="853"/>
        <v/>
      </c>
      <c r="J7732" s="17" t="str">
        <f t="shared" ca="1" si="854"/>
        <v/>
      </c>
    </row>
    <row r="7733" spans="1:10" x14ac:dyDescent="0.25">
      <c r="A7733" t="s">
        <v>965</v>
      </c>
      <c r="B7733" t="str">
        <f>ADDRESS(ROW(DFLoan1!B$22),COLUMN(DFLoan1!B$22),4)</f>
        <v>B22</v>
      </c>
      <c r="C7733" t="str">
        <f>ADDRESS(ROW(DFLoan1!C$22),COLUMN(DFLoan1!C$22),4)</f>
        <v>C22</v>
      </c>
      <c r="D7733" t="b" cm="1">
        <f t="array" aca="1" ref="D7733" ca="1">IF(INDIRECT("'"&amp;A7733&amp;"'!"&amp;B7733)="",FALSE,IF(TRUNC(INDIRECT("'"&amp;A7733&amp;"'!"&amp;B7733))=INDIRECT("'"&amp;A7733&amp;"'!"&amp;B7733),FALSE,TRUE))</f>
        <v>0</v>
      </c>
      <c r="E7733" t="s">
        <v>436</v>
      </c>
      <c r="F7733" t="str">
        <f>INDEX(Lists!I:I,MATCH(Validation!E7733,Lists!G:G,0))</f>
        <v>Error</v>
      </c>
      <c r="G7733" t="str">
        <f>INDEX(Lists!H:H,MATCH(Validation!E7733,Lists!G:G,0))</f>
        <v>Amount must be rounded to the nearest dollar.</v>
      </c>
      <c r="H7733" s="16" t="str">
        <f t="shared" ca="1" si="852"/>
        <v/>
      </c>
      <c r="I7733" s="16" t="str">
        <f t="shared" ca="1" si="853"/>
        <v/>
      </c>
      <c r="J7733" s="17" t="str">
        <f t="shared" ca="1" si="854"/>
        <v/>
      </c>
    </row>
    <row r="7734" spans="1:10" x14ac:dyDescent="0.25">
      <c r="A7734" t="s">
        <v>966</v>
      </c>
      <c r="B7734" t="str">
        <f>ADDRESS(ROW(DFLoan1!B$22),COLUMN(DFLoan1!B$22),4)</f>
        <v>B22</v>
      </c>
      <c r="C7734" t="str">
        <f>ADDRESS(ROW(DFLoan1!C$22),COLUMN(DFLoan1!C$22),4)</f>
        <v>C22</v>
      </c>
      <c r="D7734" t="b" cm="1">
        <f t="array" aca="1" ref="D7734" ca="1">IF(INDIRECT("'"&amp;A7734&amp;"'!"&amp;B7734)="",FALSE,IF(TRUNC(INDIRECT("'"&amp;A7734&amp;"'!"&amp;B7734))=INDIRECT("'"&amp;A7734&amp;"'!"&amp;B7734),FALSE,TRUE))</f>
        <v>0</v>
      </c>
      <c r="E7734" t="s">
        <v>436</v>
      </c>
      <c r="F7734" t="str">
        <f>INDEX(Lists!I:I,MATCH(Validation!E7734,Lists!G:G,0))</f>
        <v>Error</v>
      </c>
      <c r="G7734" t="str">
        <f>INDEX(Lists!H:H,MATCH(Validation!E7734,Lists!G:G,0))</f>
        <v>Amount must be rounded to the nearest dollar.</v>
      </c>
      <c r="H7734" s="16" t="str">
        <f t="shared" ca="1" si="852"/>
        <v/>
      </c>
      <c r="I7734" s="16" t="str">
        <f t="shared" ca="1" si="853"/>
        <v/>
      </c>
      <c r="J7734" s="17" t="str">
        <f t="shared" ca="1" si="854"/>
        <v/>
      </c>
    </row>
    <row r="7735" spans="1:10" x14ac:dyDescent="0.25">
      <c r="A7735" t="s">
        <v>881</v>
      </c>
      <c r="B7735" t="str">
        <f>ADDRESS(ROW(DFLoan1!B$23),COLUMN(DFLoan1!B$23),4)</f>
        <v>B23</v>
      </c>
      <c r="C7735" t="str">
        <f>ADDRESS(ROW(DFLoan1!C$23),COLUMN(DFLoan1!C$23),4)</f>
        <v>C23</v>
      </c>
      <c r="D7735" t="b" cm="1">
        <f t="array" aca="1" ref="D7735" ca="1">IF(INDIRECT("'"&amp;A7735&amp;"'!"&amp;B7735)&lt;0,TRUE,FALSE)</f>
        <v>0</v>
      </c>
      <c r="E7735" t="s">
        <v>626</v>
      </c>
      <c r="F7735" t="str">
        <f>INDEX(Lists!I:I,MATCH(Validation!E7735,Lists!G:G,0))</f>
        <v>Error</v>
      </c>
      <c r="G7735" t="str">
        <f>INDEX(Lists!H:H,MATCH(Validation!E7735,Lists!G:G,0))</f>
        <v>Principal outstanding cannot be negative.</v>
      </c>
      <c r="H7735" s="16" t="str">
        <f t="shared" ca="1" si="852"/>
        <v/>
      </c>
      <c r="I7735" s="16" t="str">
        <f t="shared" ca="1" si="853"/>
        <v/>
      </c>
      <c r="J7735" s="17" t="str">
        <f t="shared" ca="1" si="854"/>
        <v/>
      </c>
    </row>
    <row r="7736" spans="1:10" x14ac:dyDescent="0.25">
      <c r="A7736" t="s">
        <v>953</v>
      </c>
      <c r="B7736" t="str">
        <f>ADDRESS(ROW(DFLoan1!B$23),COLUMN(DFLoan1!B$23),4)</f>
        <v>B23</v>
      </c>
      <c r="C7736" t="str">
        <f>ADDRESS(ROW(DFLoan1!C$23),COLUMN(DFLoan1!C$23),4)</f>
        <v>C23</v>
      </c>
      <c r="D7736" t="b" cm="1">
        <f t="array" aca="1" ref="D7736" ca="1">IF(INDIRECT("'"&amp;A7736&amp;"'!"&amp;B7736)&lt;0,TRUE,FALSE)</f>
        <v>0</v>
      </c>
      <c r="E7736" t="s">
        <v>626</v>
      </c>
      <c r="F7736" t="str">
        <f>INDEX(Lists!I:I,MATCH(Validation!E7736,Lists!G:G,0))</f>
        <v>Error</v>
      </c>
      <c r="G7736" t="str">
        <f>INDEX(Lists!H:H,MATCH(Validation!E7736,Lists!G:G,0))</f>
        <v>Principal outstanding cannot be negative.</v>
      </c>
      <c r="H7736" s="16" t="str">
        <f t="shared" ca="1" si="852"/>
        <v/>
      </c>
      <c r="I7736" s="16" t="str">
        <f t="shared" ca="1" si="853"/>
        <v/>
      </c>
      <c r="J7736" s="17" t="str">
        <f t="shared" ca="1" si="854"/>
        <v/>
      </c>
    </row>
    <row r="7737" spans="1:10" x14ac:dyDescent="0.25">
      <c r="A7737" t="s">
        <v>954</v>
      </c>
      <c r="B7737" t="str">
        <f>ADDRESS(ROW(DFLoan1!B$23),COLUMN(DFLoan1!B$23),4)</f>
        <v>B23</v>
      </c>
      <c r="C7737" t="str">
        <f>ADDRESS(ROW(DFLoan1!C$23),COLUMN(DFLoan1!C$23),4)</f>
        <v>C23</v>
      </c>
      <c r="D7737" t="b" cm="1">
        <f t="array" aca="1" ref="D7737" ca="1">IF(INDIRECT("'"&amp;A7737&amp;"'!"&amp;B7737)&lt;0,TRUE,FALSE)</f>
        <v>0</v>
      </c>
      <c r="E7737" t="s">
        <v>626</v>
      </c>
      <c r="F7737" t="str">
        <f>INDEX(Lists!I:I,MATCH(Validation!E7737,Lists!G:G,0))</f>
        <v>Error</v>
      </c>
      <c r="G7737" t="str">
        <f>INDEX(Lists!H:H,MATCH(Validation!E7737,Lists!G:G,0))</f>
        <v>Principal outstanding cannot be negative.</v>
      </c>
      <c r="H7737" s="16" t="str">
        <f t="shared" ca="1" si="852"/>
        <v/>
      </c>
      <c r="I7737" s="16" t="str">
        <f t="shared" ca="1" si="853"/>
        <v/>
      </c>
      <c r="J7737" s="17" t="str">
        <f t="shared" ca="1" si="854"/>
        <v/>
      </c>
    </row>
    <row r="7738" spans="1:10" x14ac:dyDescent="0.25">
      <c r="A7738" t="s">
        <v>955</v>
      </c>
      <c r="B7738" t="str">
        <f>ADDRESS(ROW(DFLoan1!B$23),COLUMN(DFLoan1!B$23),4)</f>
        <v>B23</v>
      </c>
      <c r="C7738" t="str">
        <f>ADDRESS(ROW(DFLoan1!C$23),COLUMN(DFLoan1!C$23),4)</f>
        <v>C23</v>
      </c>
      <c r="D7738" t="b" cm="1">
        <f t="array" aca="1" ref="D7738" ca="1">IF(INDIRECT("'"&amp;A7738&amp;"'!"&amp;B7738)&lt;0,TRUE,FALSE)</f>
        <v>0</v>
      </c>
      <c r="E7738" t="s">
        <v>626</v>
      </c>
      <c r="F7738" t="str">
        <f>INDEX(Lists!I:I,MATCH(Validation!E7738,Lists!G:G,0))</f>
        <v>Error</v>
      </c>
      <c r="G7738" t="str">
        <f>INDEX(Lists!H:H,MATCH(Validation!E7738,Lists!G:G,0))</f>
        <v>Principal outstanding cannot be negative.</v>
      </c>
      <c r="H7738" s="16" t="str">
        <f t="shared" ca="1" si="852"/>
        <v/>
      </c>
      <c r="I7738" s="16" t="str">
        <f t="shared" ca="1" si="853"/>
        <v/>
      </c>
      <c r="J7738" s="17" t="str">
        <f t="shared" ca="1" si="854"/>
        <v/>
      </c>
    </row>
    <row r="7739" spans="1:10" x14ac:dyDescent="0.25">
      <c r="A7739" t="s">
        <v>956</v>
      </c>
      <c r="B7739" t="str">
        <f>ADDRESS(ROW(DFLoan1!B$23),COLUMN(DFLoan1!B$23),4)</f>
        <v>B23</v>
      </c>
      <c r="C7739" t="str">
        <f>ADDRESS(ROW(DFLoan1!C$23),COLUMN(DFLoan1!C$23),4)</f>
        <v>C23</v>
      </c>
      <c r="D7739" t="b" cm="1">
        <f t="array" aca="1" ref="D7739" ca="1">IF(INDIRECT("'"&amp;A7739&amp;"'!"&amp;B7739)&lt;0,TRUE,FALSE)</f>
        <v>0</v>
      </c>
      <c r="E7739" t="s">
        <v>626</v>
      </c>
      <c r="F7739" t="str">
        <f>INDEX(Lists!I:I,MATCH(Validation!E7739,Lists!G:G,0))</f>
        <v>Error</v>
      </c>
      <c r="G7739" t="str">
        <f>INDEX(Lists!H:H,MATCH(Validation!E7739,Lists!G:G,0))</f>
        <v>Principal outstanding cannot be negative.</v>
      </c>
      <c r="H7739" s="16" t="str">
        <f t="shared" ca="1" si="852"/>
        <v/>
      </c>
      <c r="I7739" s="16" t="str">
        <f t="shared" ca="1" si="853"/>
        <v/>
      </c>
      <c r="J7739" s="17" t="str">
        <f t="shared" ca="1" si="854"/>
        <v/>
      </c>
    </row>
    <row r="7740" spans="1:10" x14ac:dyDescent="0.25">
      <c r="A7740" t="s">
        <v>957</v>
      </c>
      <c r="B7740" t="str">
        <f>ADDRESS(ROW(DFLoan1!B$23),COLUMN(DFLoan1!B$23),4)</f>
        <v>B23</v>
      </c>
      <c r="C7740" t="str">
        <f>ADDRESS(ROW(DFLoan1!C$23),COLUMN(DFLoan1!C$23),4)</f>
        <v>C23</v>
      </c>
      <c r="D7740" t="b" cm="1">
        <f t="array" aca="1" ref="D7740" ca="1">IF(INDIRECT("'"&amp;A7740&amp;"'!"&amp;B7740)&lt;0,TRUE,FALSE)</f>
        <v>0</v>
      </c>
      <c r="E7740" t="s">
        <v>626</v>
      </c>
      <c r="F7740" t="str">
        <f>INDEX(Lists!I:I,MATCH(Validation!E7740,Lists!G:G,0))</f>
        <v>Error</v>
      </c>
      <c r="G7740" t="str">
        <f>INDEX(Lists!H:H,MATCH(Validation!E7740,Lists!G:G,0))</f>
        <v>Principal outstanding cannot be negative.</v>
      </c>
      <c r="H7740" s="16" t="str">
        <f t="shared" ca="1" si="852"/>
        <v/>
      </c>
      <c r="I7740" s="16" t="str">
        <f t="shared" ca="1" si="853"/>
        <v/>
      </c>
      <c r="J7740" s="17" t="str">
        <f t="shared" ca="1" si="854"/>
        <v/>
      </c>
    </row>
    <row r="7741" spans="1:10" x14ac:dyDescent="0.25">
      <c r="A7741" t="s">
        <v>958</v>
      </c>
      <c r="B7741" t="str">
        <f>ADDRESS(ROW(DFLoan1!B$23),COLUMN(DFLoan1!B$23),4)</f>
        <v>B23</v>
      </c>
      <c r="C7741" t="str">
        <f>ADDRESS(ROW(DFLoan1!C$23),COLUMN(DFLoan1!C$23),4)</f>
        <v>C23</v>
      </c>
      <c r="D7741" t="b" cm="1">
        <f t="array" aca="1" ref="D7741" ca="1">IF(INDIRECT("'"&amp;A7741&amp;"'!"&amp;B7741)&lt;0,TRUE,FALSE)</f>
        <v>0</v>
      </c>
      <c r="E7741" t="s">
        <v>626</v>
      </c>
      <c r="F7741" t="str">
        <f>INDEX(Lists!I:I,MATCH(Validation!E7741,Lists!G:G,0))</f>
        <v>Error</v>
      </c>
      <c r="G7741" t="str">
        <f>INDEX(Lists!H:H,MATCH(Validation!E7741,Lists!G:G,0))</f>
        <v>Principal outstanding cannot be negative.</v>
      </c>
      <c r="H7741" s="16" t="str">
        <f t="shared" ca="1" si="852"/>
        <v/>
      </c>
      <c r="I7741" s="16" t="str">
        <f t="shared" ca="1" si="853"/>
        <v/>
      </c>
      <c r="J7741" s="17" t="str">
        <f t="shared" ca="1" si="854"/>
        <v/>
      </c>
    </row>
    <row r="7742" spans="1:10" x14ac:dyDescent="0.25">
      <c r="A7742" t="s">
        <v>959</v>
      </c>
      <c r="B7742" t="str">
        <f>ADDRESS(ROW(DFLoan1!B$23),COLUMN(DFLoan1!B$23),4)</f>
        <v>B23</v>
      </c>
      <c r="C7742" t="str">
        <f>ADDRESS(ROW(DFLoan1!C$23),COLUMN(DFLoan1!C$23),4)</f>
        <v>C23</v>
      </c>
      <c r="D7742" t="b" cm="1">
        <f t="array" aca="1" ref="D7742" ca="1">IF(INDIRECT("'"&amp;A7742&amp;"'!"&amp;B7742)&lt;0,TRUE,FALSE)</f>
        <v>0</v>
      </c>
      <c r="E7742" t="s">
        <v>626</v>
      </c>
      <c r="F7742" t="str">
        <f>INDEX(Lists!I:I,MATCH(Validation!E7742,Lists!G:G,0))</f>
        <v>Error</v>
      </c>
      <c r="G7742" t="str">
        <f>INDEX(Lists!H:H,MATCH(Validation!E7742,Lists!G:G,0))</f>
        <v>Principal outstanding cannot be negative.</v>
      </c>
      <c r="H7742" s="16" t="str">
        <f t="shared" ca="1" si="852"/>
        <v/>
      </c>
      <c r="I7742" s="16" t="str">
        <f t="shared" ca="1" si="853"/>
        <v/>
      </c>
      <c r="J7742" s="17" t="str">
        <f t="shared" ca="1" si="854"/>
        <v/>
      </c>
    </row>
    <row r="7743" spans="1:10" x14ac:dyDescent="0.25">
      <c r="A7743" t="s">
        <v>960</v>
      </c>
      <c r="B7743" t="str">
        <f>ADDRESS(ROW(DFLoan1!B$23),COLUMN(DFLoan1!B$23),4)</f>
        <v>B23</v>
      </c>
      <c r="C7743" t="str">
        <f>ADDRESS(ROW(DFLoan1!C$23),COLUMN(DFLoan1!C$23),4)</f>
        <v>C23</v>
      </c>
      <c r="D7743" t="b" cm="1">
        <f t="array" aca="1" ref="D7743" ca="1">IF(INDIRECT("'"&amp;A7743&amp;"'!"&amp;B7743)&lt;0,TRUE,FALSE)</f>
        <v>0</v>
      </c>
      <c r="E7743" t="s">
        <v>626</v>
      </c>
      <c r="F7743" t="str">
        <f>INDEX(Lists!I:I,MATCH(Validation!E7743,Lists!G:G,0))</f>
        <v>Error</v>
      </c>
      <c r="G7743" t="str">
        <f>INDEX(Lists!H:H,MATCH(Validation!E7743,Lists!G:G,0))</f>
        <v>Principal outstanding cannot be negative.</v>
      </c>
      <c r="H7743" s="16" t="str">
        <f t="shared" ca="1" si="852"/>
        <v/>
      </c>
      <c r="I7743" s="16" t="str">
        <f t="shared" ca="1" si="853"/>
        <v/>
      </c>
      <c r="J7743" s="17" t="str">
        <f t="shared" ca="1" si="854"/>
        <v/>
      </c>
    </row>
    <row r="7744" spans="1:10" x14ac:dyDescent="0.25">
      <c r="A7744" t="s">
        <v>961</v>
      </c>
      <c r="B7744" t="str">
        <f>ADDRESS(ROW(DFLoan1!B$23),COLUMN(DFLoan1!B$23),4)</f>
        <v>B23</v>
      </c>
      <c r="C7744" t="str">
        <f>ADDRESS(ROW(DFLoan1!C$23),COLUMN(DFLoan1!C$23),4)</f>
        <v>C23</v>
      </c>
      <c r="D7744" t="b" cm="1">
        <f t="array" aca="1" ref="D7744" ca="1">IF(INDIRECT("'"&amp;A7744&amp;"'!"&amp;B7744)&lt;0,TRUE,FALSE)</f>
        <v>0</v>
      </c>
      <c r="E7744" t="s">
        <v>626</v>
      </c>
      <c r="F7744" t="str">
        <f>INDEX(Lists!I:I,MATCH(Validation!E7744,Lists!G:G,0))</f>
        <v>Error</v>
      </c>
      <c r="G7744" t="str">
        <f>INDEX(Lists!H:H,MATCH(Validation!E7744,Lists!G:G,0))</f>
        <v>Principal outstanding cannot be negative.</v>
      </c>
      <c r="H7744" s="16" t="str">
        <f t="shared" ca="1" si="852"/>
        <v/>
      </c>
      <c r="I7744" s="16" t="str">
        <f t="shared" ca="1" si="853"/>
        <v/>
      </c>
      <c r="J7744" s="17" t="str">
        <f t="shared" ca="1" si="854"/>
        <v/>
      </c>
    </row>
    <row r="7745" spans="1:10" x14ac:dyDescent="0.25">
      <c r="A7745" t="s">
        <v>962</v>
      </c>
      <c r="B7745" t="str">
        <f>ADDRESS(ROW(DFLoan1!B$23),COLUMN(DFLoan1!B$23),4)</f>
        <v>B23</v>
      </c>
      <c r="C7745" t="str">
        <f>ADDRESS(ROW(DFLoan1!C$23),COLUMN(DFLoan1!C$23),4)</f>
        <v>C23</v>
      </c>
      <c r="D7745" t="b" cm="1">
        <f t="array" aca="1" ref="D7745" ca="1">IF(INDIRECT("'"&amp;A7745&amp;"'!"&amp;B7745)&lt;0,TRUE,FALSE)</f>
        <v>0</v>
      </c>
      <c r="E7745" t="s">
        <v>626</v>
      </c>
      <c r="F7745" t="str">
        <f>INDEX(Lists!I:I,MATCH(Validation!E7745,Lists!G:G,0))</f>
        <v>Error</v>
      </c>
      <c r="G7745" t="str">
        <f>INDEX(Lists!H:H,MATCH(Validation!E7745,Lists!G:G,0))</f>
        <v>Principal outstanding cannot be negative.</v>
      </c>
      <c r="H7745" s="16" t="str">
        <f t="shared" ca="1" si="852"/>
        <v/>
      </c>
      <c r="I7745" s="16" t="str">
        <f t="shared" ca="1" si="853"/>
        <v/>
      </c>
      <c r="J7745" s="17" t="str">
        <f t="shared" ca="1" si="854"/>
        <v/>
      </c>
    </row>
    <row r="7746" spans="1:10" x14ac:dyDescent="0.25">
      <c r="A7746" t="s">
        <v>963</v>
      </c>
      <c r="B7746" t="str">
        <f>ADDRESS(ROW(DFLoan1!B$23),COLUMN(DFLoan1!B$23),4)</f>
        <v>B23</v>
      </c>
      <c r="C7746" t="str">
        <f>ADDRESS(ROW(DFLoan1!C$23),COLUMN(DFLoan1!C$23),4)</f>
        <v>C23</v>
      </c>
      <c r="D7746" t="b" cm="1">
        <f t="array" aca="1" ref="D7746" ca="1">IF(INDIRECT("'"&amp;A7746&amp;"'!"&amp;B7746)&lt;0,TRUE,FALSE)</f>
        <v>0</v>
      </c>
      <c r="E7746" t="s">
        <v>626</v>
      </c>
      <c r="F7746" t="str">
        <f>INDEX(Lists!I:I,MATCH(Validation!E7746,Lists!G:G,0))</f>
        <v>Error</v>
      </c>
      <c r="G7746" t="str">
        <f>INDEX(Lists!H:H,MATCH(Validation!E7746,Lists!G:G,0))</f>
        <v>Principal outstanding cannot be negative.</v>
      </c>
      <c r="H7746" s="16" t="str">
        <f t="shared" ca="1" si="852"/>
        <v/>
      </c>
      <c r="I7746" s="16" t="str">
        <f t="shared" ca="1" si="853"/>
        <v/>
      </c>
      <c r="J7746" s="17" t="str">
        <f t="shared" ca="1" si="854"/>
        <v/>
      </c>
    </row>
    <row r="7747" spans="1:10" x14ac:dyDescent="0.25">
      <c r="A7747" t="s">
        <v>964</v>
      </c>
      <c r="B7747" t="str">
        <f>ADDRESS(ROW(DFLoan1!B$23),COLUMN(DFLoan1!B$23),4)</f>
        <v>B23</v>
      </c>
      <c r="C7747" t="str">
        <f>ADDRESS(ROW(DFLoan1!C$23),COLUMN(DFLoan1!C$23),4)</f>
        <v>C23</v>
      </c>
      <c r="D7747" t="b" cm="1">
        <f t="array" aca="1" ref="D7747" ca="1">IF(INDIRECT("'"&amp;A7747&amp;"'!"&amp;B7747)&lt;0,TRUE,FALSE)</f>
        <v>0</v>
      </c>
      <c r="E7747" t="s">
        <v>626</v>
      </c>
      <c r="F7747" t="str">
        <f>INDEX(Lists!I:I,MATCH(Validation!E7747,Lists!G:G,0))</f>
        <v>Error</v>
      </c>
      <c r="G7747" t="str">
        <f>INDEX(Lists!H:H,MATCH(Validation!E7747,Lists!G:G,0))</f>
        <v>Principal outstanding cannot be negative.</v>
      </c>
      <c r="H7747" s="16" t="str">
        <f t="shared" ca="1" si="852"/>
        <v/>
      </c>
      <c r="I7747" s="16" t="str">
        <f t="shared" ca="1" si="853"/>
        <v/>
      </c>
      <c r="J7747" s="17" t="str">
        <f t="shared" ca="1" si="854"/>
        <v/>
      </c>
    </row>
    <row r="7748" spans="1:10" x14ac:dyDescent="0.25">
      <c r="A7748" t="s">
        <v>965</v>
      </c>
      <c r="B7748" t="str">
        <f>ADDRESS(ROW(DFLoan1!B$23),COLUMN(DFLoan1!B$23),4)</f>
        <v>B23</v>
      </c>
      <c r="C7748" t="str">
        <f>ADDRESS(ROW(DFLoan1!C$23),COLUMN(DFLoan1!C$23),4)</f>
        <v>C23</v>
      </c>
      <c r="D7748" t="b" cm="1">
        <f t="array" aca="1" ref="D7748" ca="1">IF(INDIRECT("'"&amp;A7748&amp;"'!"&amp;B7748)&lt;0,TRUE,FALSE)</f>
        <v>0</v>
      </c>
      <c r="E7748" t="s">
        <v>626</v>
      </c>
      <c r="F7748" t="str">
        <f>INDEX(Lists!I:I,MATCH(Validation!E7748,Lists!G:G,0))</f>
        <v>Error</v>
      </c>
      <c r="G7748" t="str">
        <f>INDEX(Lists!H:H,MATCH(Validation!E7748,Lists!G:G,0))</f>
        <v>Principal outstanding cannot be negative.</v>
      </c>
      <c r="H7748" s="16" t="str">
        <f t="shared" ca="1" si="852"/>
        <v/>
      </c>
      <c r="I7748" s="16" t="str">
        <f t="shared" ca="1" si="853"/>
        <v/>
      </c>
      <c r="J7748" s="17" t="str">
        <f t="shared" ca="1" si="854"/>
        <v/>
      </c>
    </row>
    <row r="7749" spans="1:10" x14ac:dyDescent="0.25">
      <c r="A7749" t="s">
        <v>966</v>
      </c>
      <c r="B7749" t="str">
        <f>ADDRESS(ROW(DFLoan1!B$23),COLUMN(DFLoan1!B$23),4)</f>
        <v>B23</v>
      </c>
      <c r="C7749" t="str">
        <f>ADDRESS(ROW(DFLoan1!C$23),COLUMN(DFLoan1!C$23),4)</f>
        <v>C23</v>
      </c>
      <c r="D7749" t="b" cm="1">
        <f t="array" aca="1" ref="D7749" ca="1">IF(INDIRECT("'"&amp;A7749&amp;"'!"&amp;B7749)&lt;0,TRUE,FALSE)</f>
        <v>0</v>
      </c>
      <c r="E7749" t="s">
        <v>626</v>
      </c>
      <c r="F7749" t="str">
        <f>INDEX(Lists!I:I,MATCH(Validation!E7749,Lists!G:G,0))</f>
        <v>Error</v>
      </c>
      <c r="G7749" t="str">
        <f>INDEX(Lists!H:H,MATCH(Validation!E7749,Lists!G:G,0))</f>
        <v>Principal outstanding cannot be negative.</v>
      </c>
      <c r="H7749" s="16" t="str">
        <f t="shared" ca="1" si="852"/>
        <v/>
      </c>
      <c r="I7749" s="16" t="str">
        <f t="shared" ca="1" si="853"/>
        <v/>
      </c>
      <c r="J7749" s="17" t="str">
        <f t="shared" ca="1" si="854"/>
        <v/>
      </c>
    </row>
    <row r="7750" spans="1:10" x14ac:dyDescent="0.25">
      <c r="A7750" t="s">
        <v>881</v>
      </c>
      <c r="B7750" t="str">
        <f>ADDRESS(ROW(DFLoan1!B$24),COLUMN(DFLoan1!B$24),4)</f>
        <v>B24</v>
      </c>
      <c r="C7750" t="str">
        <f>ADDRESS(ROW(DFLoan1!C$24),COLUMN(DFLoan1!C$24),4)</f>
        <v>C24</v>
      </c>
      <c r="D7750" t="b" cm="1">
        <f t="array" aca="1" ref="D7750" ca="1">IF(INDIRECT("'"&amp;A7750&amp;"'!"&amp;B7750)="",FALSE,IF(NOT(ISNUMBER(INDIRECT("'"&amp;A7750&amp;"'!"&amp;B7750))),TRUE,FALSE))</f>
        <v>0</v>
      </c>
      <c r="E7750" t="s">
        <v>435</v>
      </c>
      <c r="F7750" t="str">
        <f>INDEX(Lists!I:I,MATCH(Validation!E7750,Lists!G:G,0))</f>
        <v>Error</v>
      </c>
      <c r="G7750" t="str">
        <f>INDEX(Lists!H:H,MATCH(Validation!E7750,Lists!G:G,0))</f>
        <v>Enter an amount only. Do not enter text or spaces.</v>
      </c>
      <c r="H7750" s="16" t="str">
        <f t="shared" ca="1" si="852"/>
        <v/>
      </c>
      <c r="I7750" s="16" t="str">
        <f t="shared" ca="1" si="853"/>
        <v/>
      </c>
      <c r="J7750" s="17" t="str">
        <f t="shared" ca="1" si="854"/>
        <v/>
      </c>
    </row>
    <row r="7751" spans="1:10" x14ac:dyDescent="0.25">
      <c r="A7751" t="s">
        <v>953</v>
      </c>
      <c r="B7751" t="str">
        <f>ADDRESS(ROW(DFLoan1!B$24),COLUMN(DFLoan1!B$24),4)</f>
        <v>B24</v>
      </c>
      <c r="C7751" t="str">
        <f>ADDRESS(ROW(DFLoan1!C$24),COLUMN(DFLoan1!C$24),4)</f>
        <v>C24</v>
      </c>
      <c r="D7751" t="b" cm="1">
        <f t="array" aca="1" ref="D7751" ca="1">IF(INDIRECT("'"&amp;A7751&amp;"'!"&amp;B7751)="",FALSE,IF(NOT(ISNUMBER(INDIRECT("'"&amp;A7751&amp;"'!"&amp;B7751))),TRUE,FALSE))</f>
        <v>0</v>
      </c>
      <c r="E7751" t="s">
        <v>435</v>
      </c>
      <c r="F7751" t="str">
        <f>INDEX(Lists!I:I,MATCH(Validation!E7751,Lists!G:G,0))</f>
        <v>Error</v>
      </c>
      <c r="G7751" t="str">
        <f>INDEX(Lists!H:H,MATCH(Validation!E7751,Lists!G:G,0))</f>
        <v>Enter an amount only. Do not enter text or spaces.</v>
      </c>
      <c r="H7751" s="16" t="str">
        <f t="shared" ca="1" si="852"/>
        <v/>
      </c>
      <c r="I7751" s="16" t="str">
        <f t="shared" ca="1" si="853"/>
        <v/>
      </c>
      <c r="J7751" s="17" t="str">
        <f t="shared" ca="1" si="854"/>
        <v/>
      </c>
    </row>
    <row r="7752" spans="1:10" x14ac:dyDescent="0.25">
      <c r="A7752" t="s">
        <v>954</v>
      </c>
      <c r="B7752" t="str">
        <f>ADDRESS(ROW(DFLoan1!B$24),COLUMN(DFLoan1!B$24),4)</f>
        <v>B24</v>
      </c>
      <c r="C7752" t="str">
        <f>ADDRESS(ROW(DFLoan1!C$24),COLUMN(DFLoan1!C$24),4)</f>
        <v>C24</v>
      </c>
      <c r="D7752" t="b" cm="1">
        <f t="array" aca="1" ref="D7752" ca="1">IF(INDIRECT("'"&amp;A7752&amp;"'!"&amp;B7752)="",FALSE,IF(NOT(ISNUMBER(INDIRECT("'"&amp;A7752&amp;"'!"&amp;B7752))),TRUE,FALSE))</f>
        <v>0</v>
      </c>
      <c r="E7752" t="s">
        <v>435</v>
      </c>
      <c r="F7752" t="str">
        <f>INDEX(Lists!I:I,MATCH(Validation!E7752,Lists!G:G,0))</f>
        <v>Error</v>
      </c>
      <c r="G7752" t="str">
        <f>INDEX(Lists!H:H,MATCH(Validation!E7752,Lists!G:G,0))</f>
        <v>Enter an amount only. Do not enter text or spaces.</v>
      </c>
      <c r="H7752" s="16" t="str">
        <f t="shared" ca="1" si="852"/>
        <v/>
      </c>
      <c r="I7752" s="16" t="str">
        <f t="shared" ca="1" si="853"/>
        <v/>
      </c>
      <c r="J7752" s="17" t="str">
        <f t="shared" ca="1" si="854"/>
        <v/>
      </c>
    </row>
    <row r="7753" spans="1:10" x14ac:dyDescent="0.25">
      <c r="A7753" t="s">
        <v>955</v>
      </c>
      <c r="B7753" t="str">
        <f>ADDRESS(ROW(DFLoan1!B$24),COLUMN(DFLoan1!B$24),4)</f>
        <v>B24</v>
      </c>
      <c r="C7753" t="str">
        <f>ADDRESS(ROW(DFLoan1!C$24),COLUMN(DFLoan1!C$24),4)</f>
        <v>C24</v>
      </c>
      <c r="D7753" t="b" cm="1">
        <f t="array" aca="1" ref="D7753" ca="1">IF(INDIRECT("'"&amp;A7753&amp;"'!"&amp;B7753)="",FALSE,IF(NOT(ISNUMBER(INDIRECT("'"&amp;A7753&amp;"'!"&amp;B7753))),TRUE,FALSE))</f>
        <v>0</v>
      </c>
      <c r="E7753" t="s">
        <v>435</v>
      </c>
      <c r="F7753" t="str">
        <f>INDEX(Lists!I:I,MATCH(Validation!E7753,Lists!G:G,0))</f>
        <v>Error</v>
      </c>
      <c r="G7753" t="str">
        <f>INDEX(Lists!H:H,MATCH(Validation!E7753,Lists!G:G,0))</f>
        <v>Enter an amount only. Do not enter text or spaces.</v>
      </c>
      <c r="H7753" s="16" t="str">
        <f t="shared" ca="1" si="852"/>
        <v/>
      </c>
      <c r="I7753" s="16" t="str">
        <f t="shared" ca="1" si="853"/>
        <v/>
      </c>
      <c r="J7753" s="17" t="str">
        <f t="shared" ca="1" si="854"/>
        <v/>
      </c>
    </row>
    <row r="7754" spans="1:10" x14ac:dyDescent="0.25">
      <c r="A7754" t="s">
        <v>956</v>
      </c>
      <c r="B7754" t="str">
        <f>ADDRESS(ROW(DFLoan1!B$24),COLUMN(DFLoan1!B$24),4)</f>
        <v>B24</v>
      </c>
      <c r="C7754" t="str">
        <f>ADDRESS(ROW(DFLoan1!C$24),COLUMN(DFLoan1!C$24),4)</f>
        <v>C24</v>
      </c>
      <c r="D7754" t="b" cm="1">
        <f t="array" aca="1" ref="D7754" ca="1">IF(INDIRECT("'"&amp;A7754&amp;"'!"&amp;B7754)="",FALSE,IF(NOT(ISNUMBER(INDIRECT("'"&amp;A7754&amp;"'!"&amp;B7754))),TRUE,FALSE))</f>
        <v>0</v>
      </c>
      <c r="E7754" t="s">
        <v>435</v>
      </c>
      <c r="F7754" t="str">
        <f>INDEX(Lists!I:I,MATCH(Validation!E7754,Lists!G:G,0))</f>
        <v>Error</v>
      </c>
      <c r="G7754" t="str">
        <f>INDEX(Lists!H:H,MATCH(Validation!E7754,Lists!G:G,0))</f>
        <v>Enter an amount only. Do not enter text or spaces.</v>
      </c>
      <c r="H7754" s="16" t="str">
        <f t="shared" ca="1" si="852"/>
        <v/>
      </c>
      <c r="I7754" s="16" t="str">
        <f t="shared" ca="1" si="853"/>
        <v/>
      </c>
      <c r="J7754" s="17" t="str">
        <f t="shared" ca="1" si="854"/>
        <v/>
      </c>
    </row>
    <row r="7755" spans="1:10" x14ac:dyDescent="0.25">
      <c r="A7755" t="s">
        <v>957</v>
      </c>
      <c r="B7755" t="str">
        <f>ADDRESS(ROW(DFLoan1!B$24),COLUMN(DFLoan1!B$24),4)</f>
        <v>B24</v>
      </c>
      <c r="C7755" t="str">
        <f>ADDRESS(ROW(DFLoan1!C$24),COLUMN(DFLoan1!C$24),4)</f>
        <v>C24</v>
      </c>
      <c r="D7755" t="b" cm="1">
        <f t="array" aca="1" ref="D7755" ca="1">IF(INDIRECT("'"&amp;A7755&amp;"'!"&amp;B7755)="",FALSE,IF(NOT(ISNUMBER(INDIRECT("'"&amp;A7755&amp;"'!"&amp;B7755))),TRUE,FALSE))</f>
        <v>0</v>
      </c>
      <c r="E7755" t="s">
        <v>435</v>
      </c>
      <c r="F7755" t="str">
        <f>INDEX(Lists!I:I,MATCH(Validation!E7755,Lists!G:G,0))</f>
        <v>Error</v>
      </c>
      <c r="G7755" t="str">
        <f>INDEX(Lists!H:H,MATCH(Validation!E7755,Lists!G:G,0))</f>
        <v>Enter an amount only. Do not enter text or spaces.</v>
      </c>
      <c r="H7755" s="16" t="str">
        <f t="shared" ca="1" si="852"/>
        <v/>
      </c>
      <c r="I7755" s="16" t="str">
        <f t="shared" ca="1" si="853"/>
        <v/>
      </c>
      <c r="J7755" s="17" t="str">
        <f t="shared" ca="1" si="854"/>
        <v/>
      </c>
    </row>
    <row r="7756" spans="1:10" x14ac:dyDescent="0.25">
      <c r="A7756" t="s">
        <v>958</v>
      </c>
      <c r="B7756" t="str">
        <f>ADDRESS(ROW(DFLoan1!B$24),COLUMN(DFLoan1!B$24),4)</f>
        <v>B24</v>
      </c>
      <c r="C7756" t="str">
        <f>ADDRESS(ROW(DFLoan1!C$24),COLUMN(DFLoan1!C$24),4)</f>
        <v>C24</v>
      </c>
      <c r="D7756" t="b" cm="1">
        <f t="array" aca="1" ref="D7756" ca="1">IF(INDIRECT("'"&amp;A7756&amp;"'!"&amp;B7756)="",FALSE,IF(NOT(ISNUMBER(INDIRECT("'"&amp;A7756&amp;"'!"&amp;B7756))),TRUE,FALSE))</f>
        <v>0</v>
      </c>
      <c r="E7756" t="s">
        <v>435</v>
      </c>
      <c r="F7756" t="str">
        <f>INDEX(Lists!I:I,MATCH(Validation!E7756,Lists!G:G,0))</f>
        <v>Error</v>
      </c>
      <c r="G7756" t="str">
        <f>INDEX(Lists!H:H,MATCH(Validation!E7756,Lists!G:G,0))</f>
        <v>Enter an amount only. Do not enter text or spaces.</v>
      </c>
      <c r="H7756" s="16" t="str">
        <f t="shared" ca="1" si="852"/>
        <v/>
      </c>
      <c r="I7756" s="16" t="str">
        <f t="shared" ca="1" si="853"/>
        <v/>
      </c>
      <c r="J7756" s="17" t="str">
        <f t="shared" ca="1" si="854"/>
        <v/>
      </c>
    </row>
    <row r="7757" spans="1:10" x14ac:dyDescent="0.25">
      <c r="A7757" t="s">
        <v>959</v>
      </c>
      <c r="B7757" t="str">
        <f>ADDRESS(ROW(DFLoan1!B$24),COLUMN(DFLoan1!B$24),4)</f>
        <v>B24</v>
      </c>
      <c r="C7757" t="str">
        <f>ADDRESS(ROW(DFLoan1!C$24),COLUMN(DFLoan1!C$24),4)</f>
        <v>C24</v>
      </c>
      <c r="D7757" t="b" cm="1">
        <f t="array" aca="1" ref="D7757" ca="1">IF(INDIRECT("'"&amp;A7757&amp;"'!"&amp;B7757)="",FALSE,IF(NOT(ISNUMBER(INDIRECT("'"&amp;A7757&amp;"'!"&amp;B7757))),TRUE,FALSE))</f>
        <v>0</v>
      </c>
      <c r="E7757" t="s">
        <v>435</v>
      </c>
      <c r="F7757" t="str">
        <f>INDEX(Lists!I:I,MATCH(Validation!E7757,Lists!G:G,0))</f>
        <v>Error</v>
      </c>
      <c r="G7757" t="str">
        <f>INDEX(Lists!H:H,MATCH(Validation!E7757,Lists!G:G,0))</f>
        <v>Enter an amount only. Do not enter text or spaces.</v>
      </c>
      <c r="H7757" s="16" t="str">
        <f t="shared" ca="1" si="852"/>
        <v/>
      </c>
      <c r="I7757" s="16" t="str">
        <f t="shared" ca="1" si="853"/>
        <v/>
      </c>
      <c r="J7757" s="17" t="str">
        <f t="shared" ca="1" si="854"/>
        <v/>
      </c>
    </row>
    <row r="7758" spans="1:10" x14ac:dyDescent="0.25">
      <c r="A7758" t="s">
        <v>960</v>
      </c>
      <c r="B7758" t="str">
        <f>ADDRESS(ROW(DFLoan1!B$24),COLUMN(DFLoan1!B$24),4)</f>
        <v>B24</v>
      </c>
      <c r="C7758" t="str">
        <f>ADDRESS(ROW(DFLoan1!C$24),COLUMN(DFLoan1!C$24),4)</f>
        <v>C24</v>
      </c>
      <c r="D7758" t="b" cm="1">
        <f t="array" aca="1" ref="D7758" ca="1">IF(INDIRECT("'"&amp;A7758&amp;"'!"&amp;B7758)="",FALSE,IF(NOT(ISNUMBER(INDIRECT("'"&amp;A7758&amp;"'!"&amp;B7758))),TRUE,FALSE))</f>
        <v>0</v>
      </c>
      <c r="E7758" t="s">
        <v>435</v>
      </c>
      <c r="F7758" t="str">
        <f>INDEX(Lists!I:I,MATCH(Validation!E7758,Lists!G:G,0))</f>
        <v>Error</v>
      </c>
      <c r="G7758" t="str">
        <f>INDEX(Lists!H:H,MATCH(Validation!E7758,Lists!G:G,0))</f>
        <v>Enter an amount only. Do not enter text or spaces.</v>
      </c>
      <c r="H7758" s="16" t="str">
        <f t="shared" ca="1" si="852"/>
        <v/>
      </c>
      <c r="I7758" s="16" t="str">
        <f t="shared" ca="1" si="853"/>
        <v/>
      </c>
      <c r="J7758" s="17" t="str">
        <f t="shared" ca="1" si="854"/>
        <v/>
      </c>
    </row>
    <row r="7759" spans="1:10" x14ac:dyDescent="0.25">
      <c r="A7759" t="s">
        <v>961</v>
      </c>
      <c r="B7759" t="str">
        <f>ADDRESS(ROW(DFLoan1!B$24),COLUMN(DFLoan1!B$24),4)</f>
        <v>B24</v>
      </c>
      <c r="C7759" t="str">
        <f>ADDRESS(ROW(DFLoan1!C$24),COLUMN(DFLoan1!C$24),4)</f>
        <v>C24</v>
      </c>
      <c r="D7759" t="b" cm="1">
        <f t="array" aca="1" ref="D7759" ca="1">IF(INDIRECT("'"&amp;A7759&amp;"'!"&amp;B7759)="",FALSE,IF(NOT(ISNUMBER(INDIRECT("'"&amp;A7759&amp;"'!"&amp;B7759))),TRUE,FALSE))</f>
        <v>0</v>
      </c>
      <c r="E7759" t="s">
        <v>435</v>
      </c>
      <c r="F7759" t="str">
        <f>INDEX(Lists!I:I,MATCH(Validation!E7759,Lists!G:G,0))</f>
        <v>Error</v>
      </c>
      <c r="G7759" t="str">
        <f>INDEX(Lists!H:H,MATCH(Validation!E7759,Lists!G:G,0))</f>
        <v>Enter an amount only. Do not enter text or spaces.</v>
      </c>
      <c r="H7759" s="16" t="str">
        <f t="shared" ca="1" si="852"/>
        <v/>
      </c>
      <c r="I7759" s="16" t="str">
        <f t="shared" ca="1" si="853"/>
        <v/>
      </c>
      <c r="J7759" s="17" t="str">
        <f t="shared" ca="1" si="854"/>
        <v/>
      </c>
    </row>
    <row r="7760" spans="1:10" x14ac:dyDescent="0.25">
      <c r="A7760" t="s">
        <v>962</v>
      </c>
      <c r="B7760" t="str">
        <f>ADDRESS(ROW(DFLoan1!B$24),COLUMN(DFLoan1!B$24),4)</f>
        <v>B24</v>
      </c>
      <c r="C7760" t="str">
        <f>ADDRESS(ROW(DFLoan1!C$24),COLUMN(DFLoan1!C$24),4)</f>
        <v>C24</v>
      </c>
      <c r="D7760" t="b" cm="1">
        <f t="array" aca="1" ref="D7760" ca="1">IF(INDIRECT("'"&amp;A7760&amp;"'!"&amp;B7760)="",FALSE,IF(NOT(ISNUMBER(INDIRECT("'"&amp;A7760&amp;"'!"&amp;B7760))),TRUE,FALSE))</f>
        <v>0</v>
      </c>
      <c r="E7760" t="s">
        <v>435</v>
      </c>
      <c r="F7760" t="str">
        <f>INDEX(Lists!I:I,MATCH(Validation!E7760,Lists!G:G,0))</f>
        <v>Error</v>
      </c>
      <c r="G7760" t="str">
        <f>INDEX(Lists!H:H,MATCH(Validation!E7760,Lists!G:G,0))</f>
        <v>Enter an amount only. Do not enter text or spaces.</v>
      </c>
      <c r="H7760" s="16" t="str">
        <f t="shared" ca="1" si="852"/>
        <v/>
      </c>
      <c r="I7760" s="16" t="str">
        <f t="shared" ca="1" si="853"/>
        <v/>
      </c>
      <c r="J7760" s="17" t="str">
        <f t="shared" ca="1" si="854"/>
        <v/>
      </c>
    </row>
    <row r="7761" spans="1:10" x14ac:dyDescent="0.25">
      <c r="A7761" t="s">
        <v>963</v>
      </c>
      <c r="B7761" t="str">
        <f>ADDRESS(ROW(DFLoan1!B$24),COLUMN(DFLoan1!B$24),4)</f>
        <v>B24</v>
      </c>
      <c r="C7761" t="str">
        <f>ADDRESS(ROW(DFLoan1!C$24),COLUMN(DFLoan1!C$24),4)</f>
        <v>C24</v>
      </c>
      <c r="D7761" t="b" cm="1">
        <f t="array" aca="1" ref="D7761" ca="1">IF(INDIRECT("'"&amp;A7761&amp;"'!"&amp;B7761)="",FALSE,IF(NOT(ISNUMBER(INDIRECT("'"&amp;A7761&amp;"'!"&amp;B7761))),TRUE,FALSE))</f>
        <v>0</v>
      </c>
      <c r="E7761" t="s">
        <v>435</v>
      </c>
      <c r="F7761" t="str">
        <f>INDEX(Lists!I:I,MATCH(Validation!E7761,Lists!G:G,0))</f>
        <v>Error</v>
      </c>
      <c r="G7761" t="str">
        <f>INDEX(Lists!H:H,MATCH(Validation!E7761,Lists!G:G,0))</f>
        <v>Enter an amount only. Do not enter text or spaces.</v>
      </c>
      <c r="H7761" s="16" t="str">
        <f t="shared" ca="1" si="852"/>
        <v/>
      </c>
      <c r="I7761" s="16" t="str">
        <f t="shared" ca="1" si="853"/>
        <v/>
      </c>
      <c r="J7761" s="17" t="str">
        <f t="shared" ca="1" si="854"/>
        <v/>
      </c>
    </row>
    <row r="7762" spans="1:10" x14ac:dyDescent="0.25">
      <c r="A7762" t="s">
        <v>964</v>
      </c>
      <c r="B7762" t="str">
        <f>ADDRESS(ROW(DFLoan1!B$24),COLUMN(DFLoan1!B$24),4)</f>
        <v>B24</v>
      </c>
      <c r="C7762" t="str">
        <f>ADDRESS(ROW(DFLoan1!C$24),COLUMN(DFLoan1!C$24),4)</f>
        <v>C24</v>
      </c>
      <c r="D7762" t="b" cm="1">
        <f t="array" aca="1" ref="D7762" ca="1">IF(INDIRECT("'"&amp;A7762&amp;"'!"&amp;B7762)="",FALSE,IF(NOT(ISNUMBER(INDIRECT("'"&amp;A7762&amp;"'!"&amp;B7762))),TRUE,FALSE))</f>
        <v>0</v>
      </c>
      <c r="E7762" t="s">
        <v>435</v>
      </c>
      <c r="F7762" t="str">
        <f>INDEX(Lists!I:I,MATCH(Validation!E7762,Lists!G:G,0))</f>
        <v>Error</v>
      </c>
      <c r="G7762" t="str">
        <f>INDEX(Lists!H:H,MATCH(Validation!E7762,Lists!G:G,0))</f>
        <v>Enter an amount only. Do not enter text or spaces.</v>
      </c>
      <c r="H7762" s="16" t="str">
        <f t="shared" ca="1" si="852"/>
        <v/>
      </c>
      <c r="I7762" s="16" t="str">
        <f t="shared" ca="1" si="853"/>
        <v/>
      </c>
      <c r="J7762" s="17" t="str">
        <f t="shared" ca="1" si="854"/>
        <v/>
      </c>
    </row>
    <row r="7763" spans="1:10" x14ac:dyDescent="0.25">
      <c r="A7763" t="s">
        <v>965</v>
      </c>
      <c r="B7763" t="str">
        <f>ADDRESS(ROW(DFLoan1!B$24),COLUMN(DFLoan1!B$24),4)</f>
        <v>B24</v>
      </c>
      <c r="C7763" t="str">
        <f>ADDRESS(ROW(DFLoan1!C$24),COLUMN(DFLoan1!C$24),4)</f>
        <v>C24</v>
      </c>
      <c r="D7763" t="b" cm="1">
        <f t="array" aca="1" ref="D7763" ca="1">IF(INDIRECT("'"&amp;A7763&amp;"'!"&amp;B7763)="",FALSE,IF(NOT(ISNUMBER(INDIRECT("'"&amp;A7763&amp;"'!"&amp;B7763))),TRUE,FALSE))</f>
        <v>0</v>
      </c>
      <c r="E7763" t="s">
        <v>435</v>
      </c>
      <c r="F7763" t="str">
        <f>INDEX(Lists!I:I,MATCH(Validation!E7763,Lists!G:G,0))</f>
        <v>Error</v>
      </c>
      <c r="G7763" t="str">
        <f>INDEX(Lists!H:H,MATCH(Validation!E7763,Lists!G:G,0))</f>
        <v>Enter an amount only. Do not enter text or spaces.</v>
      </c>
      <c r="H7763" s="16" t="str">
        <f t="shared" ca="1" si="852"/>
        <v/>
      </c>
      <c r="I7763" s="16" t="str">
        <f t="shared" ca="1" si="853"/>
        <v/>
      </c>
      <c r="J7763" s="17" t="str">
        <f t="shared" ca="1" si="854"/>
        <v/>
      </c>
    </row>
    <row r="7764" spans="1:10" x14ac:dyDescent="0.25">
      <c r="A7764" t="s">
        <v>966</v>
      </c>
      <c r="B7764" t="str">
        <f>ADDRESS(ROW(DFLoan1!B$24),COLUMN(DFLoan1!B$24),4)</f>
        <v>B24</v>
      </c>
      <c r="C7764" t="str">
        <f>ADDRESS(ROW(DFLoan1!C$24),COLUMN(DFLoan1!C$24),4)</f>
        <v>C24</v>
      </c>
      <c r="D7764" t="b" cm="1">
        <f t="array" aca="1" ref="D7764" ca="1">IF(INDIRECT("'"&amp;A7764&amp;"'!"&amp;B7764)="",FALSE,IF(NOT(ISNUMBER(INDIRECT("'"&amp;A7764&amp;"'!"&amp;B7764))),TRUE,FALSE))</f>
        <v>0</v>
      </c>
      <c r="E7764" t="s">
        <v>435</v>
      </c>
      <c r="F7764" t="str">
        <f>INDEX(Lists!I:I,MATCH(Validation!E7764,Lists!G:G,0))</f>
        <v>Error</v>
      </c>
      <c r="G7764" t="str">
        <f>INDEX(Lists!H:H,MATCH(Validation!E7764,Lists!G:G,0))</f>
        <v>Enter an amount only. Do not enter text or spaces.</v>
      </c>
      <c r="H7764" s="16" t="str">
        <f t="shared" ca="1" si="852"/>
        <v/>
      </c>
      <c r="I7764" s="16" t="str">
        <f t="shared" ca="1" si="853"/>
        <v/>
      </c>
      <c r="J7764" s="17" t="str">
        <f t="shared" ca="1" si="854"/>
        <v/>
      </c>
    </row>
    <row r="7765" spans="1:10" x14ac:dyDescent="0.25">
      <c r="A7765" t="s">
        <v>881</v>
      </c>
      <c r="B7765" t="str">
        <f>ADDRESS(ROW(DFLoan1!B$24),COLUMN(DFLoan1!B$24),4)</f>
        <v>B24</v>
      </c>
      <c r="C7765" t="str">
        <f>ADDRESS(ROW(DFLoan1!C$24),COLUMN(DFLoan1!C$24),4)</f>
        <v>C24</v>
      </c>
      <c r="D7765" t="b" cm="1">
        <f t="array" aca="1" ref="D7765" ca="1">IF(INDIRECT("'"&amp;A7765&amp;"'!"&amp;B7765)="",FALSE,IF(INDIRECT("'"&amp;A7765&amp;"'!"&amp;B7765)&lt;0,TRUE,FALSE))</f>
        <v>0</v>
      </c>
      <c r="E7765" t="s">
        <v>434</v>
      </c>
      <c r="F7765" t="str">
        <f>INDEX(Lists!I:I,MATCH(Validation!E7765,Lists!G:G,0))</f>
        <v>Error</v>
      </c>
      <c r="G7765" t="str">
        <f>INDEX(Lists!H:H,MATCH(Validation!E7765,Lists!G:G,0))</f>
        <v>Amount may not be negative. Enter an amount greater than or equal to zero.</v>
      </c>
      <c r="H7765" s="16" t="str">
        <f t="shared" ca="1" si="852"/>
        <v/>
      </c>
      <c r="I7765" s="16" t="str">
        <f t="shared" ca="1" si="853"/>
        <v/>
      </c>
      <c r="J7765" s="17" t="str">
        <f t="shared" ca="1" si="854"/>
        <v/>
      </c>
    </row>
    <row r="7766" spans="1:10" x14ac:dyDescent="0.25">
      <c r="A7766" t="s">
        <v>953</v>
      </c>
      <c r="B7766" t="str">
        <f>ADDRESS(ROW(DFLoan1!B$24),COLUMN(DFLoan1!B$24),4)</f>
        <v>B24</v>
      </c>
      <c r="C7766" t="str">
        <f>ADDRESS(ROW(DFLoan1!C$24),COLUMN(DFLoan1!C$24),4)</f>
        <v>C24</v>
      </c>
      <c r="D7766" t="b" cm="1">
        <f t="array" aca="1" ref="D7766" ca="1">IF(INDIRECT("'"&amp;A7766&amp;"'!"&amp;B7766)="",FALSE,IF(INDIRECT("'"&amp;A7766&amp;"'!"&amp;B7766)&lt;0,TRUE,FALSE))</f>
        <v>0</v>
      </c>
      <c r="E7766" t="s">
        <v>434</v>
      </c>
      <c r="F7766" t="str">
        <f>INDEX(Lists!I:I,MATCH(Validation!E7766,Lists!G:G,0))</f>
        <v>Error</v>
      </c>
      <c r="G7766" t="str">
        <f>INDEX(Lists!H:H,MATCH(Validation!E7766,Lists!G:G,0))</f>
        <v>Amount may not be negative. Enter an amount greater than or equal to zero.</v>
      </c>
      <c r="H7766" s="16" t="str">
        <f t="shared" ca="1" si="852"/>
        <v/>
      </c>
      <c r="I7766" s="16" t="str">
        <f t="shared" ca="1" si="853"/>
        <v/>
      </c>
      <c r="J7766" s="17" t="str">
        <f t="shared" ca="1" si="854"/>
        <v/>
      </c>
    </row>
    <row r="7767" spans="1:10" x14ac:dyDescent="0.25">
      <c r="A7767" t="s">
        <v>954</v>
      </c>
      <c r="B7767" t="str">
        <f>ADDRESS(ROW(DFLoan1!B$24),COLUMN(DFLoan1!B$24),4)</f>
        <v>B24</v>
      </c>
      <c r="C7767" t="str">
        <f>ADDRESS(ROW(DFLoan1!C$24),COLUMN(DFLoan1!C$24),4)</f>
        <v>C24</v>
      </c>
      <c r="D7767" t="b" cm="1">
        <f t="array" aca="1" ref="D7767" ca="1">IF(INDIRECT("'"&amp;A7767&amp;"'!"&amp;B7767)="",FALSE,IF(INDIRECT("'"&amp;A7767&amp;"'!"&amp;B7767)&lt;0,TRUE,FALSE))</f>
        <v>0</v>
      </c>
      <c r="E7767" t="s">
        <v>434</v>
      </c>
      <c r="F7767" t="str">
        <f>INDEX(Lists!I:I,MATCH(Validation!E7767,Lists!G:G,0))</f>
        <v>Error</v>
      </c>
      <c r="G7767" t="str">
        <f>INDEX(Lists!H:H,MATCH(Validation!E7767,Lists!G:G,0))</f>
        <v>Amount may not be negative. Enter an amount greater than or equal to zero.</v>
      </c>
      <c r="H7767" s="16" t="str">
        <f t="shared" ca="1" si="852"/>
        <v/>
      </c>
      <c r="I7767" s="16" t="str">
        <f t="shared" ca="1" si="853"/>
        <v/>
      </c>
      <c r="J7767" s="17" t="str">
        <f t="shared" ca="1" si="854"/>
        <v/>
      </c>
    </row>
    <row r="7768" spans="1:10" x14ac:dyDescent="0.25">
      <c r="A7768" t="s">
        <v>955</v>
      </c>
      <c r="B7768" t="str">
        <f>ADDRESS(ROW(DFLoan1!B$24),COLUMN(DFLoan1!B$24),4)</f>
        <v>B24</v>
      </c>
      <c r="C7768" t="str">
        <f>ADDRESS(ROW(DFLoan1!C$24),COLUMN(DFLoan1!C$24),4)</f>
        <v>C24</v>
      </c>
      <c r="D7768" t="b" cm="1">
        <f t="array" aca="1" ref="D7768" ca="1">IF(INDIRECT("'"&amp;A7768&amp;"'!"&amp;B7768)="",FALSE,IF(INDIRECT("'"&amp;A7768&amp;"'!"&amp;B7768)&lt;0,TRUE,FALSE))</f>
        <v>0</v>
      </c>
      <c r="E7768" t="s">
        <v>434</v>
      </c>
      <c r="F7768" t="str">
        <f>INDEX(Lists!I:I,MATCH(Validation!E7768,Lists!G:G,0))</f>
        <v>Error</v>
      </c>
      <c r="G7768" t="str">
        <f>INDEX(Lists!H:H,MATCH(Validation!E7768,Lists!G:G,0))</f>
        <v>Amount may not be negative. Enter an amount greater than or equal to zero.</v>
      </c>
      <c r="H7768" s="16" t="str">
        <f t="shared" ca="1" si="852"/>
        <v/>
      </c>
      <c r="I7768" s="16" t="str">
        <f t="shared" ca="1" si="853"/>
        <v/>
      </c>
      <c r="J7768" s="17" t="str">
        <f t="shared" ca="1" si="854"/>
        <v/>
      </c>
    </row>
    <row r="7769" spans="1:10" x14ac:dyDescent="0.25">
      <c r="A7769" t="s">
        <v>956</v>
      </c>
      <c r="B7769" t="str">
        <f>ADDRESS(ROW(DFLoan1!B$24),COLUMN(DFLoan1!B$24),4)</f>
        <v>B24</v>
      </c>
      <c r="C7769" t="str">
        <f>ADDRESS(ROW(DFLoan1!C$24),COLUMN(DFLoan1!C$24),4)</f>
        <v>C24</v>
      </c>
      <c r="D7769" t="b" cm="1">
        <f t="array" aca="1" ref="D7769" ca="1">IF(INDIRECT("'"&amp;A7769&amp;"'!"&amp;B7769)="",FALSE,IF(INDIRECT("'"&amp;A7769&amp;"'!"&amp;B7769)&lt;0,TRUE,FALSE))</f>
        <v>0</v>
      </c>
      <c r="E7769" t="s">
        <v>434</v>
      </c>
      <c r="F7769" t="str">
        <f>INDEX(Lists!I:I,MATCH(Validation!E7769,Lists!G:G,0))</f>
        <v>Error</v>
      </c>
      <c r="G7769" t="str">
        <f>INDEX(Lists!H:H,MATCH(Validation!E7769,Lists!G:G,0))</f>
        <v>Amount may not be negative. Enter an amount greater than or equal to zero.</v>
      </c>
      <c r="H7769" s="16" t="str">
        <f t="shared" ca="1" si="852"/>
        <v/>
      </c>
      <c r="I7769" s="16" t="str">
        <f t="shared" ca="1" si="853"/>
        <v/>
      </c>
      <c r="J7769" s="17" t="str">
        <f t="shared" ca="1" si="854"/>
        <v/>
      </c>
    </row>
    <row r="7770" spans="1:10" x14ac:dyDescent="0.25">
      <c r="A7770" t="s">
        <v>957</v>
      </c>
      <c r="B7770" t="str">
        <f>ADDRESS(ROW(DFLoan1!B$24),COLUMN(DFLoan1!B$24),4)</f>
        <v>B24</v>
      </c>
      <c r="C7770" t="str">
        <f>ADDRESS(ROW(DFLoan1!C$24),COLUMN(DFLoan1!C$24),4)</f>
        <v>C24</v>
      </c>
      <c r="D7770" t="b" cm="1">
        <f t="array" aca="1" ref="D7770" ca="1">IF(INDIRECT("'"&amp;A7770&amp;"'!"&amp;B7770)="",FALSE,IF(INDIRECT("'"&amp;A7770&amp;"'!"&amp;B7770)&lt;0,TRUE,FALSE))</f>
        <v>0</v>
      </c>
      <c r="E7770" t="s">
        <v>434</v>
      </c>
      <c r="F7770" t="str">
        <f>INDEX(Lists!I:I,MATCH(Validation!E7770,Lists!G:G,0))</f>
        <v>Error</v>
      </c>
      <c r="G7770" t="str">
        <f>INDEX(Lists!H:H,MATCH(Validation!E7770,Lists!G:G,0))</f>
        <v>Amount may not be negative. Enter an amount greater than or equal to zero.</v>
      </c>
      <c r="H7770" s="16" t="str">
        <f t="shared" ca="1" si="852"/>
        <v/>
      </c>
      <c r="I7770" s="16" t="str">
        <f t="shared" ca="1" si="853"/>
        <v/>
      </c>
      <c r="J7770" s="17" t="str">
        <f t="shared" ca="1" si="854"/>
        <v/>
      </c>
    </row>
    <row r="7771" spans="1:10" x14ac:dyDescent="0.25">
      <c r="A7771" t="s">
        <v>958</v>
      </c>
      <c r="B7771" t="str">
        <f>ADDRESS(ROW(DFLoan1!B$24),COLUMN(DFLoan1!B$24),4)</f>
        <v>B24</v>
      </c>
      <c r="C7771" t="str">
        <f>ADDRESS(ROW(DFLoan1!C$24),COLUMN(DFLoan1!C$24),4)</f>
        <v>C24</v>
      </c>
      <c r="D7771" t="b" cm="1">
        <f t="array" aca="1" ref="D7771" ca="1">IF(INDIRECT("'"&amp;A7771&amp;"'!"&amp;B7771)="",FALSE,IF(INDIRECT("'"&amp;A7771&amp;"'!"&amp;B7771)&lt;0,TRUE,FALSE))</f>
        <v>0</v>
      </c>
      <c r="E7771" t="s">
        <v>434</v>
      </c>
      <c r="F7771" t="str">
        <f>INDEX(Lists!I:I,MATCH(Validation!E7771,Lists!G:G,0))</f>
        <v>Error</v>
      </c>
      <c r="G7771" t="str">
        <f>INDEX(Lists!H:H,MATCH(Validation!E7771,Lists!G:G,0))</f>
        <v>Amount may not be negative. Enter an amount greater than or equal to zero.</v>
      </c>
      <c r="H7771" s="16" t="str">
        <f t="shared" ca="1" si="852"/>
        <v/>
      </c>
      <c r="I7771" s="16" t="str">
        <f t="shared" ca="1" si="853"/>
        <v/>
      </c>
      <c r="J7771" s="17" t="str">
        <f t="shared" ca="1" si="854"/>
        <v/>
      </c>
    </row>
    <row r="7772" spans="1:10" x14ac:dyDescent="0.25">
      <c r="A7772" t="s">
        <v>959</v>
      </c>
      <c r="B7772" t="str">
        <f>ADDRESS(ROW(DFLoan1!B$24),COLUMN(DFLoan1!B$24),4)</f>
        <v>B24</v>
      </c>
      <c r="C7772" t="str">
        <f>ADDRESS(ROW(DFLoan1!C$24),COLUMN(DFLoan1!C$24),4)</f>
        <v>C24</v>
      </c>
      <c r="D7772" t="b" cm="1">
        <f t="array" aca="1" ref="D7772" ca="1">IF(INDIRECT("'"&amp;A7772&amp;"'!"&amp;B7772)="",FALSE,IF(INDIRECT("'"&amp;A7772&amp;"'!"&amp;B7772)&lt;0,TRUE,FALSE))</f>
        <v>0</v>
      </c>
      <c r="E7772" t="s">
        <v>434</v>
      </c>
      <c r="F7772" t="str">
        <f>INDEX(Lists!I:I,MATCH(Validation!E7772,Lists!G:G,0))</f>
        <v>Error</v>
      </c>
      <c r="G7772" t="str">
        <f>INDEX(Lists!H:H,MATCH(Validation!E7772,Lists!G:G,0))</f>
        <v>Amount may not be negative. Enter an amount greater than or equal to zero.</v>
      </c>
      <c r="H7772" s="16" t="str">
        <f t="shared" ca="1" si="852"/>
        <v/>
      </c>
      <c r="I7772" s="16" t="str">
        <f t="shared" ca="1" si="853"/>
        <v/>
      </c>
      <c r="J7772" s="17" t="str">
        <f t="shared" ca="1" si="854"/>
        <v/>
      </c>
    </row>
    <row r="7773" spans="1:10" x14ac:dyDescent="0.25">
      <c r="A7773" t="s">
        <v>960</v>
      </c>
      <c r="B7773" t="str">
        <f>ADDRESS(ROW(DFLoan1!B$24),COLUMN(DFLoan1!B$24),4)</f>
        <v>B24</v>
      </c>
      <c r="C7773" t="str">
        <f>ADDRESS(ROW(DFLoan1!C$24),COLUMN(DFLoan1!C$24),4)</f>
        <v>C24</v>
      </c>
      <c r="D7773" t="b" cm="1">
        <f t="array" aca="1" ref="D7773" ca="1">IF(INDIRECT("'"&amp;A7773&amp;"'!"&amp;B7773)="",FALSE,IF(INDIRECT("'"&amp;A7773&amp;"'!"&amp;B7773)&lt;0,TRUE,FALSE))</f>
        <v>0</v>
      </c>
      <c r="E7773" t="s">
        <v>434</v>
      </c>
      <c r="F7773" t="str">
        <f>INDEX(Lists!I:I,MATCH(Validation!E7773,Lists!G:G,0))</f>
        <v>Error</v>
      </c>
      <c r="G7773" t="str">
        <f>INDEX(Lists!H:H,MATCH(Validation!E7773,Lists!G:G,0))</f>
        <v>Amount may not be negative. Enter an amount greater than or equal to zero.</v>
      </c>
      <c r="H7773" s="16" t="str">
        <f t="shared" ca="1" si="852"/>
        <v/>
      </c>
      <c r="I7773" s="16" t="str">
        <f t="shared" ca="1" si="853"/>
        <v/>
      </c>
      <c r="J7773" s="17" t="str">
        <f t="shared" ca="1" si="854"/>
        <v/>
      </c>
    </row>
    <row r="7774" spans="1:10" x14ac:dyDescent="0.25">
      <c r="A7774" t="s">
        <v>961</v>
      </c>
      <c r="B7774" t="str">
        <f>ADDRESS(ROW(DFLoan1!B$24),COLUMN(DFLoan1!B$24),4)</f>
        <v>B24</v>
      </c>
      <c r="C7774" t="str">
        <f>ADDRESS(ROW(DFLoan1!C$24),COLUMN(DFLoan1!C$24),4)</f>
        <v>C24</v>
      </c>
      <c r="D7774" t="b" cm="1">
        <f t="array" aca="1" ref="D7774" ca="1">IF(INDIRECT("'"&amp;A7774&amp;"'!"&amp;B7774)="",FALSE,IF(INDIRECT("'"&amp;A7774&amp;"'!"&amp;B7774)&lt;0,TRUE,FALSE))</f>
        <v>0</v>
      </c>
      <c r="E7774" t="s">
        <v>434</v>
      </c>
      <c r="F7774" t="str">
        <f>INDEX(Lists!I:I,MATCH(Validation!E7774,Lists!G:G,0))</f>
        <v>Error</v>
      </c>
      <c r="G7774" t="str">
        <f>INDEX(Lists!H:H,MATCH(Validation!E7774,Lists!G:G,0))</f>
        <v>Amount may not be negative. Enter an amount greater than or equal to zero.</v>
      </c>
      <c r="H7774" s="16" t="str">
        <f t="shared" ca="1" si="852"/>
        <v/>
      </c>
      <c r="I7774" s="16" t="str">
        <f t="shared" ca="1" si="853"/>
        <v/>
      </c>
      <c r="J7774" s="17" t="str">
        <f t="shared" ca="1" si="854"/>
        <v/>
      </c>
    </row>
    <row r="7775" spans="1:10" x14ac:dyDescent="0.25">
      <c r="A7775" t="s">
        <v>962</v>
      </c>
      <c r="B7775" t="str">
        <f>ADDRESS(ROW(DFLoan1!B$24),COLUMN(DFLoan1!B$24),4)</f>
        <v>B24</v>
      </c>
      <c r="C7775" t="str">
        <f>ADDRESS(ROW(DFLoan1!C$24),COLUMN(DFLoan1!C$24),4)</f>
        <v>C24</v>
      </c>
      <c r="D7775" t="b" cm="1">
        <f t="array" aca="1" ref="D7775" ca="1">IF(INDIRECT("'"&amp;A7775&amp;"'!"&amp;B7775)="",FALSE,IF(INDIRECT("'"&amp;A7775&amp;"'!"&amp;B7775)&lt;0,TRUE,FALSE))</f>
        <v>0</v>
      </c>
      <c r="E7775" t="s">
        <v>434</v>
      </c>
      <c r="F7775" t="str">
        <f>INDEX(Lists!I:I,MATCH(Validation!E7775,Lists!G:G,0))</f>
        <v>Error</v>
      </c>
      <c r="G7775" t="str">
        <f>INDEX(Lists!H:H,MATCH(Validation!E7775,Lists!G:G,0))</f>
        <v>Amount may not be negative. Enter an amount greater than or equal to zero.</v>
      </c>
      <c r="H7775" s="16" t="str">
        <f t="shared" ca="1" si="852"/>
        <v/>
      </c>
      <c r="I7775" s="16" t="str">
        <f t="shared" ca="1" si="853"/>
        <v/>
      </c>
      <c r="J7775" s="17" t="str">
        <f t="shared" ca="1" si="854"/>
        <v/>
      </c>
    </row>
    <row r="7776" spans="1:10" x14ac:dyDescent="0.25">
      <c r="A7776" t="s">
        <v>963</v>
      </c>
      <c r="B7776" t="str">
        <f>ADDRESS(ROW(DFLoan1!B$24),COLUMN(DFLoan1!B$24),4)</f>
        <v>B24</v>
      </c>
      <c r="C7776" t="str">
        <f>ADDRESS(ROW(DFLoan1!C$24),COLUMN(DFLoan1!C$24),4)</f>
        <v>C24</v>
      </c>
      <c r="D7776" t="b" cm="1">
        <f t="array" aca="1" ref="D7776" ca="1">IF(INDIRECT("'"&amp;A7776&amp;"'!"&amp;B7776)="",FALSE,IF(INDIRECT("'"&amp;A7776&amp;"'!"&amp;B7776)&lt;0,TRUE,FALSE))</f>
        <v>0</v>
      </c>
      <c r="E7776" t="s">
        <v>434</v>
      </c>
      <c r="F7776" t="str">
        <f>INDEX(Lists!I:I,MATCH(Validation!E7776,Lists!G:G,0))</f>
        <v>Error</v>
      </c>
      <c r="G7776" t="str">
        <f>INDEX(Lists!H:H,MATCH(Validation!E7776,Lists!G:G,0))</f>
        <v>Amount may not be negative. Enter an amount greater than or equal to zero.</v>
      </c>
      <c r="H7776" s="16" t="str">
        <f t="shared" ca="1" si="852"/>
        <v/>
      </c>
      <c r="I7776" s="16" t="str">
        <f t="shared" ca="1" si="853"/>
        <v/>
      </c>
      <c r="J7776" s="17" t="str">
        <f t="shared" ca="1" si="854"/>
        <v/>
      </c>
    </row>
    <row r="7777" spans="1:10" x14ac:dyDescent="0.25">
      <c r="A7777" t="s">
        <v>964</v>
      </c>
      <c r="B7777" t="str">
        <f>ADDRESS(ROW(DFLoan1!B$24),COLUMN(DFLoan1!B$24),4)</f>
        <v>B24</v>
      </c>
      <c r="C7777" t="str">
        <f>ADDRESS(ROW(DFLoan1!C$24),COLUMN(DFLoan1!C$24),4)</f>
        <v>C24</v>
      </c>
      <c r="D7777" t="b" cm="1">
        <f t="array" aca="1" ref="D7777" ca="1">IF(INDIRECT("'"&amp;A7777&amp;"'!"&amp;B7777)="",FALSE,IF(INDIRECT("'"&amp;A7777&amp;"'!"&amp;B7777)&lt;0,TRUE,FALSE))</f>
        <v>0</v>
      </c>
      <c r="E7777" t="s">
        <v>434</v>
      </c>
      <c r="F7777" t="str">
        <f>INDEX(Lists!I:I,MATCH(Validation!E7777,Lists!G:G,0))</f>
        <v>Error</v>
      </c>
      <c r="G7777" t="str">
        <f>INDEX(Lists!H:H,MATCH(Validation!E7777,Lists!G:G,0))</f>
        <v>Amount may not be negative. Enter an amount greater than or equal to zero.</v>
      </c>
      <c r="H7777" s="16" t="str">
        <f t="shared" ca="1" si="852"/>
        <v/>
      </c>
      <c r="I7777" s="16" t="str">
        <f t="shared" ca="1" si="853"/>
        <v/>
      </c>
      <c r="J7777" s="17" t="str">
        <f t="shared" ca="1" si="854"/>
        <v/>
      </c>
    </row>
    <row r="7778" spans="1:10" x14ac:dyDescent="0.25">
      <c r="A7778" t="s">
        <v>965</v>
      </c>
      <c r="B7778" t="str">
        <f>ADDRESS(ROW(DFLoan1!B$24),COLUMN(DFLoan1!B$24),4)</f>
        <v>B24</v>
      </c>
      <c r="C7778" t="str">
        <f>ADDRESS(ROW(DFLoan1!C$24),COLUMN(DFLoan1!C$24),4)</f>
        <v>C24</v>
      </c>
      <c r="D7778" t="b" cm="1">
        <f t="array" aca="1" ref="D7778" ca="1">IF(INDIRECT("'"&amp;A7778&amp;"'!"&amp;B7778)="",FALSE,IF(INDIRECT("'"&amp;A7778&amp;"'!"&amp;B7778)&lt;0,TRUE,FALSE))</f>
        <v>0</v>
      </c>
      <c r="E7778" t="s">
        <v>434</v>
      </c>
      <c r="F7778" t="str">
        <f>INDEX(Lists!I:I,MATCH(Validation!E7778,Lists!G:G,0))</f>
        <v>Error</v>
      </c>
      <c r="G7778" t="str">
        <f>INDEX(Lists!H:H,MATCH(Validation!E7778,Lists!G:G,0))</f>
        <v>Amount may not be negative. Enter an amount greater than or equal to zero.</v>
      </c>
      <c r="H7778" s="16" t="str">
        <f t="shared" ca="1" si="852"/>
        <v/>
      </c>
      <c r="I7778" s="16" t="str">
        <f t="shared" ca="1" si="853"/>
        <v/>
      </c>
      <c r="J7778" s="17" t="str">
        <f t="shared" ca="1" si="854"/>
        <v/>
      </c>
    </row>
    <row r="7779" spans="1:10" x14ac:dyDescent="0.25">
      <c r="A7779" t="s">
        <v>966</v>
      </c>
      <c r="B7779" t="str">
        <f>ADDRESS(ROW(DFLoan1!B$24),COLUMN(DFLoan1!B$24),4)</f>
        <v>B24</v>
      </c>
      <c r="C7779" t="str">
        <f>ADDRESS(ROW(DFLoan1!C$24),COLUMN(DFLoan1!C$24),4)</f>
        <v>C24</v>
      </c>
      <c r="D7779" t="b" cm="1">
        <f t="array" aca="1" ref="D7779" ca="1">IF(INDIRECT("'"&amp;A7779&amp;"'!"&amp;B7779)="",FALSE,IF(INDIRECT("'"&amp;A7779&amp;"'!"&amp;B7779)&lt;0,TRUE,FALSE))</f>
        <v>0</v>
      </c>
      <c r="E7779" t="s">
        <v>434</v>
      </c>
      <c r="F7779" t="str">
        <f>INDEX(Lists!I:I,MATCH(Validation!E7779,Lists!G:G,0))</f>
        <v>Error</v>
      </c>
      <c r="G7779" t="str">
        <f>INDEX(Lists!H:H,MATCH(Validation!E7779,Lists!G:G,0))</f>
        <v>Amount may not be negative. Enter an amount greater than or equal to zero.</v>
      </c>
      <c r="H7779" s="16" t="str">
        <f t="shared" ca="1" si="852"/>
        <v/>
      </c>
      <c r="I7779" s="16" t="str">
        <f t="shared" ca="1" si="853"/>
        <v/>
      </c>
      <c r="J7779" s="17" t="str">
        <f t="shared" ca="1" si="854"/>
        <v/>
      </c>
    </row>
    <row r="7780" spans="1:10" x14ac:dyDescent="0.25">
      <c r="A7780" t="s">
        <v>881</v>
      </c>
      <c r="B7780" t="str">
        <f>ADDRESS(ROW(DFLoan1!B$24),COLUMN(DFLoan1!B$24),4)</f>
        <v>B24</v>
      </c>
      <c r="C7780" t="str">
        <f>ADDRESS(ROW(DFLoan1!C$24),COLUMN(DFLoan1!C$24),4)</f>
        <v>C24</v>
      </c>
      <c r="D7780" t="b" cm="1">
        <f t="array" aca="1" ref="D7780" ca="1">IF(INDIRECT("'"&amp;A7780&amp;"'!"&amp;B7780)="",FALSE,IF(TRUNC(INDIRECT("'"&amp;A7780&amp;"'!"&amp;B7780))=INDIRECT("'"&amp;A7780&amp;"'!"&amp;B7780),FALSE,TRUE))</f>
        <v>0</v>
      </c>
      <c r="E7780" t="s">
        <v>436</v>
      </c>
      <c r="F7780" t="str">
        <f>INDEX(Lists!I:I,MATCH(Validation!E7780,Lists!G:G,0))</f>
        <v>Error</v>
      </c>
      <c r="G7780" t="str">
        <f>INDEX(Lists!H:H,MATCH(Validation!E7780,Lists!G:G,0))</f>
        <v>Amount must be rounded to the nearest dollar.</v>
      </c>
      <c r="H7780" s="16" t="str">
        <f t="shared" ca="1" si="852"/>
        <v/>
      </c>
      <c r="I7780" s="16" t="str">
        <f t="shared" ca="1" si="853"/>
        <v/>
      </c>
      <c r="J7780" s="17" t="str">
        <f t="shared" ca="1" si="854"/>
        <v/>
      </c>
    </row>
    <row r="7781" spans="1:10" x14ac:dyDescent="0.25">
      <c r="A7781" t="s">
        <v>953</v>
      </c>
      <c r="B7781" t="str">
        <f>ADDRESS(ROW(DFLoan1!B$24),COLUMN(DFLoan1!B$24),4)</f>
        <v>B24</v>
      </c>
      <c r="C7781" t="str">
        <f>ADDRESS(ROW(DFLoan1!C$24),COLUMN(DFLoan1!C$24),4)</f>
        <v>C24</v>
      </c>
      <c r="D7781" t="b" cm="1">
        <f t="array" aca="1" ref="D7781" ca="1">IF(INDIRECT("'"&amp;A7781&amp;"'!"&amp;B7781)="",FALSE,IF(TRUNC(INDIRECT("'"&amp;A7781&amp;"'!"&amp;B7781))=INDIRECT("'"&amp;A7781&amp;"'!"&amp;B7781),FALSE,TRUE))</f>
        <v>0</v>
      </c>
      <c r="E7781" t="s">
        <v>436</v>
      </c>
      <c r="F7781" t="str">
        <f>INDEX(Lists!I:I,MATCH(Validation!E7781,Lists!G:G,0))</f>
        <v>Error</v>
      </c>
      <c r="G7781" t="str">
        <f>INDEX(Lists!H:H,MATCH(Validation!E7781,Lists!G:G,0))</f>
        <v>Amount must be rounded to the nearest dollar.</v>
      </c>
      <c r="H7781" s="16" t="str">
        <f t="shared" ca="1" si="852"/>
        <v/>
      </c>
      <c r="I7781" s="16" t="str">
        <f t="shared" ca="1" si="853"/>
        <v/>
      </c>
      <c r="J7781" s="17" t="str">
        <f t="shared" ca="1" si="854"/>
        <v/>
      </c>
    </row>
    <row r="7782" spans="1:10" x14ac:dyDescent="0.25">
      <c r="A7782" t="s">
        <v>954</v>
      </c>
      <c r="B7782" t="str">
        <f>ADDRESS(ROW(DFLoan1!B$24),COLUMN(DFLoan1!B$24),4)</f>
        <v>B24</v>
      </c>
      <c r="C7782" t="str">
        <f>ADDRESS(ROW(DFLoan1!C$24),COLUMN(DFLoan1!C$24),4)</f>
        <v>C24</v>
      </c>
      <c r="D7782" t="b" cm="1">
        <f t="array" aca="1" ref="D7782" ca="1">IF(INDIRECT("'"&amp;A7782&amp;"'!"&amp;B7782)="",FALSE,IF(TRUNC(INDIRECT("'"&amp;A7782&amp;"'!"&amp;B7782))=INDIRECT("'"&amp;A7782&amp;"'!"&amp;B7782),FALSE,TRUE))</f>
        <v>0</v>
      </c>
      <c r="E7782" t="s">
        <v>436</v>
      </c>
      <c r="F7782" t="str">
        <f>INDEX(Lists!I:I,MATCH(Validation!E7782,Lists!G:G,0))</f>
        <v>Error</v>
      </c>
      <c r="G7782" t="str">
        <f>INDEX(Lists!H:H,MATCH(Validation!E7782,Lists!G:G,0))</f>
        <v>Amount must be rounded to the nearest dollar.</v>
      </c>
      <c r="H7782" s="16" t="str">
        <f t="shared" ca="1" si="852"/>
        <v/>
      </c>
      <c r="I7782" s="16" t="str">
        <f t="shared" ca="1" si="853"/>
        <v/>
      </c>
      <c r="J7782" s="17" t="str">
        <f t="shared" ca="1" si="854"/>
        <v/>
      </c>
    </row>
    <row r="7783" spans="1:10" x14ac:dyDescent="0.25">
      <c r="A7783" t="s">
        <v>955</v>
      </c>
      <c r="B7783" t="str">
        <f>ADDRESS(ROW(DFLoan1!B$24),COLUMN(DFLoan1!B$24),4)</f>
        <v>B24</v>
      </c>
      <c r="C7783" t="str">
        <f>ADDRESS(ROW(DFLoan1!C$24),COLUMN(DFLoan1!C$24),4)</f>
        <v>C24</v>
      </c>
      <c r="D7783" t="b" cm="1">
        <f t="array" aca="1" ref="D7783" ca="1">IF(INDIRECT("'"&amp;A7783&amp;"'!"&amp;B7783)="",FALSE,IF(TRUNC(INDIRECT("'"&amp;A7783&amp;"'!"&amp;B7783))=INDIRECT("'"&amp;A7783&amp;"'!"&amp;B7783),FALSE,TRUE))</f>
        <v>0</v>
      </c>
      <c r="E7783" t="s">
        <v>436</v>
      </c>
      <c r="F7783" t="str">
        <f>INDEX(Lists!I:I,MATCH(Validation!E7783,Lists!G:G,0))</f>
        <v>Error</v>
      </c>
      <c r="G7783" t="str">
        <f>INDEX(Lists!H:H,MATCH(Validation!E7783,Lists!G:G,0))</f>
        <v>Amount must be rounded to the nearest dollar.</v>
      </c>
      <c r="H7783" s="16" t="str">
        <f t="shared" ca="1" si="852"/>
        <v/>
      </c>
      <c r="I7783" s="16" t="str">
        <f t="shared" ca="1" si="853"/>
        <v/>
      </c>
      <c r="J7783" s="17" t="str">
        <f t="shared" ca="1" si="854"/>
        <v/>
      </c>
    </row>
    <row r="7784" spans="1:10" x14ac:dyDescent="0.25">
      <c r="A7784" t="s">
        <v>956</v>
      </c>
      <c r="B7784" t="str">
        <f>ADDRESS(ROW(DFLoan1!B$24),COLUMN(DFLoan1!B$24),4)</f>
        <v>B24</v>
      </c>
      <c r="C7784" t="str">
        <f>ADDRESS(ROW(DFLoan1!C$24),COLUMN(DFLoan1!C$24),4)</f>
        <v>C24</v>
      </c>
      <c r="D7784" t="b" cm="1">
        <f t="array" aca="1" ref="D7784" ca="1">IF(INDIRECT("'"&amp;A7784&amp;"'!"&amp;B7784)="",FALSE,IF(TRUNC(INDIRECT("'"&amp;A7784&amp;"'!"&amp;B7784))=INDIRECT("'"&amp;A7784&amp;"'!"&amp;B7784),FALSE,TRUE))</f>
        <v>0</v>
      </c>
      <c r="E7784" t="s">
        <v>436</v>
      </c>
      <c r="F7784" t="str">
        <f>INDEX(Lists!I:I,MATCH(Validation!E7784,Lists!G:G,0))</f>
        <v>Error</v>
      </c>
      <c r="G7784" t="str">
        <f>INDEX(Lists!H:H,MATCH(Validation!E7784,Lists!G:G,0))</f>
        <v>Amount must be rounded to the nearest dollar.</v>
      </c>
      <c r="H7784" s="16" t="str">
        <f t="shared" ca="1" si="852"/>
        <v/>
      </c>
      <c r="I7784" s="16" t="str">
        <f t="shared" ca="1" si="853"/>
        <v/>
      </c>
      <c r="J7784" s="17" t="str">
        <f t="shared" ca="1" si="854"/>
        <v/>
      </c>
    </row>
    <row r="7785" spans="1:10" x14ac:dyDescent="0.25">
      <c r="A7785" t="s">
        <v>957</v>
      </c>
      <c r="B7785" t="str">
        <f>ADDRESS(ROW(DFLoan1!B$24),COLUMN(DFLoan1!B$24),4)</f>
        <v>B24</v>
      </c>
      <c r="C7785" t="str">
        <f>ADDRESS(ROW(DFLoan1!C$24),COLUMN(DFLoan1!C$24),4)</f>
        <v>C24</v>
      </c>
      <c r="D7785" t="b" cm="1">
        <f t="array" aca="1" ref="D7785" ca="1">IF(INDIRECT("'"&amp;A7785&amp;"'!"&amp;B7785)="",FALSE,IF(TRUNC(INDIRECT("'"&amp;A7785&amp;"'!"&amp;B7785))=INDIRECT("'"&amp;A7785&amp;"'!"&amp;B7785),FALSE,TRUE))</f>
        <v>0</v>
      </c>
      <c r="E7785" t="s">
        <v>436</v>
      </c>
      <c r="F7785" t="str">
        <f>INDEX(Lists!I:I,MATCH(Validation!E7785,Lists!G:G,0))</f>
        <v>Error</v>
      </c>
      <c r="G7785" t="str">
        <f>INDEX(Lists!H:H,MATCH(Validation!E7785,Lists!G:G,0))</f>
        <v>Amount must be rounded to the nearest dollar.</v>
      </c>
      <c r="H7785" s="16" t="str">
        <f t="shared" ca="1" si="852"/>
        <v/>
      </c>
      <c r="I7785" s="16" t="str">
        <f t="shared" ca="1" si="853"/>
        <v/>
      </c>
      <c r="J7785" s="17" t="str">
        <f t="shared" ca="1" si="854"/>
        <v/>
      </c>
    </row>
    <row r="7786" spans="1:10" x14ac:dyDescent="0.25">
      <c r="A7786" t="s">
        <v>958</v>
      </c>
      <c r="B7786" t="str">
        <f>ADDRESS(ROW(DFLoan1!B$24),COLUMN(DFLoan1!B$24),4)</f>
        <v>B24</v>
      </c>
      <c r="C7786" t="str">
        <f>ADDRESS(ROW(DFLoan1!C$24),COLUMN(DFLoan1!C$24),4)</f>
        <v>C24</v>
      </c>
      <c r="D7786" t="b" cm="1">
        <f t="array" aca="1" ref="D7786" ca="1">IF(INDIRECT("'"&amp;A7786&amp;"'!"&amp;B7786)="",FALSE,IF(TRUNC(INDIRECT("'"&amp;A7786&amp;"'!"&amp;B7786))=INDIRECT("'"&amp;A7786&amp;"'!"&amp;B7786),FALSE,TRUE))</f>
        <v>0</v>
      </c>
      <c r="E7786" t="s">
        <v>436</v>
      </c>
      <c r="F7786" t="str">
        <f>INDEX(Lists!I:I,MATCH(Validation!E7786,Lists!G:G,0))</f>
        <v>Error</v>
      </c>
      <c r="G7786" t="str">
        <f>INDEX(Lists!H:H,MATCH(Validation!E7786,Lists!G:G,0))</f>
        <v>Amount must be rounded to the nearest dollar.</v>
      </c>
      <c r="H7786" s="16" t="str">
        <f t="shared" ca="1" si="852"/>
        <v/>
      </c>
      <c r="I7786" s="16" t="str">
        <f t="shared" ca="1" si="853"/>
        <v/>
      </c>
      <c r="J7786" s="17" t="str">
        <f t="shared" ca="1" si="854"/>
        <v/>
      </c>
    </row>
    <row r="7787" spans="1:10" x14ac:dyDescent="0.25">
      <c r="A7787" t="s">
        <v>959</v>
      </c>
      <c r="B7787" t="str">
        <f>ADDRESS(ROW(DFLoan1!B$24),COLUMN(DFLoan1!B$24),4)</f>
        <v>B24</v>
      </c>
      <c r="C7787" t="str">
        <f>ADDRESS(ROW(DFLoan1!C$24),COLUMN(DFLoan1!C$24),4)</f>
        <v>C24</v>
      </c>
      <c r="D7787" t="b" cm="1">
        <f t="array" aca="1" ref="D7787" ca="1">IF(INDIRECT("'"&amp;A7787&amp;"'!"&amp;B7787)="",FALSE,IF(TRUNC(INDIRECT("'"&amp;A7787&amp;"'!"&amp;B7787))=INDIRECT("'"&amp;A7787&amp;"'!"&amp;B7787),FALSE,TRUE))</f>
        <v>0</v>
      </c>
      <c r="E7787" t="s">
        <v>436</v>
      </c>
      <c r="F7787" t="str">
        <f>INDEX(Lists!I:I,MATCH(Validation!E7787,Lists!G:G,0))</f>
        <v>Error</v>
      </c>
      <c r="G7787" t="str">
        <f>INDEX(Lists!H:H,MATCH(Validation!E7787,Lists!G:G,0))</f>
        <v>Amount must be rounded to the nearest dollar.</v>
      </c>
      <c r="H7787" s="16" t="str">
        <f t="shared" ca="1" si="852"/>
        <v/>
      </c>
      <c r="I7787" s="16" t="str">
        <f t="shared" ca="1" si="853"/>
        <v/>
      </c>
      <c r="J7787" s="17" t="str">
        <f t="shared" ca="1" si="854"/>
        <v/>
      </c>
    </row>
    <row r="7788" spans="1:10" x14ac:dyDescent="0.25">
      <c r="A7788" t="s">
        <v>960</v>
      </c>
      <c r="B7788" t="str">
        <f>ADDRESS(ROW(DFLoan1!B$24),COLUMN(DFLoan1!B$24),4)</f>
        <v>B24</v>
      </c>
      <c r="C7788" t="str">
        <f>ADDRESS(ROW(DFLoan1!C$24),COLUMN(DFLoan1!C$24),4)</f>
        <v>C24</v>
      </c>
      <c r="D7788" t="b" cm="1">
        <f t="array" aca="1" ref="D7788" ca="1">IF(INDIRECT("'"&amp;A7788&amp;"'!"&amp;B7788)="",FALSE,IF(TRUNC(INDIRECT("'"&amp;A7788&amp;"'!"&amp;B7788))=INDIRECT("'"&amp;A7788&amp;"'!"&amp;B7788),FALSE,TRUE))</f>
        <v>0</v>
      </c>
      <c r="E7788" t="s">
        <v>436</v>
      </c>
      <c r="F7788" t="str">
        <f>INDEX(Lists!I:I,MATCH(Validation!E7788,Lists!G:G,0))</f>
        <v>Error</v>
      </c>
      <c r="G7788" t="str">
        <f>INDEX(Lists!H:H,MATCH(Validation!E7788,Lists!G:G,0))</f>
        <v>Amount must be rounded to the nearest dollar.</v>
      </c>
      <c r="H7788" s="16" t="str">
        <f t="shared" ca="1" si="852"/>
        <v/>
      </c>
      <c r="I7788" s="16" t="str">
        <f t="shared" ca="1" si="853"/>
        <v/>
      </c>
      <c r="J7788" s="17" t="str">
        <f t="shared" ca="1" si="854"/>
        <v/>
      </c>
    </row>
    <row r="7789" spans="1:10" x14ac:dyDescent="0.25">
      <c r="A7789" t="s">
        <v>961</v>
      </c>
      <c r="B7789" t="str">
        <f>ADDRESS(ROW(DFLoan1!B$24),COLUMN(DFLoan1!B$24),4)</f>
        <v>B24</v>
      </c>
      <c r="C7789" t="str">
        <f>ADDRESS(ROW(DFLoan1!C$24),COLUMN(DFLoan1!C$24),4)</f>
        <v>C24</v>
      </c>
      <c r="D7789" t="b" cm="1">
        <f t="array" aca="1" ref="D7789" ca="1">IF(INDIRECT("'"&amp;A7789&amp;"'!"&amp;B7789)="",FALSE,IF(TRUNC(INDIRECT("'"&amp;A7789&amp;"'!"&amp;B7789))=INDIRECT("'"&amp;A7789&amp;"'!"&amp;B7789),FALSE,TRUE))</f>
        <v>0</v>
      </c>
      <c r="E7789" t="s">
        <v>436</v>
      </c>
      <c r="F7789" t="str">
        <f>INDEX(Lists!I:I,MATCH(Validation!E7789,Lists!G:G,0))</f>
        <v>Error</v>
      </c>
      <c r="G7789" t="str">
        <f>INDEX(Lists!H:H,MATCH(Validation!E7789,Lists!G:G,0))</f>
        <v>Amount must be rounded to the nearest dollar.</v>
      </c>
      <c r="H7789" s="16" t="str">
        <f t="shared" ca="1" si="852"/>
        <v/>
      </c>
      <c r="I7789" s="16" t="str">
        <f t="shared" ca="1" si="853"/>
        <v/>
      </c>
      <c r="J7789" s="17" t="str">
        <f t="shared" ca="1" si="854"/>
        <v/>
      </c>
    </row>
    <row r="7790" spans="1:10" x14ac:dyDescent="0.25">
      <c r="A7790" t="s">
        <v>962</v>
      </c>
      <c r="B7790" t="str">
        <f>ADDRESS(ROW(DFLoan1!B$24),COLUMN(DFLoan1!B$24),4)</f>
        <v>B24</v>
      </c>
      <c r="C7790" t="str">
        <f>ADDRESS(ROW(DFLoan1!C$24),COLUMN(DFLoan1!C$24),4)</f>
        <v>C24</v>
      </c>
      <c r="D7790" t="b" cm="1">
        <f t="array" aca="1" ref="D7790" ca="1">IF(INDIRECT("'"&amp;A7790&amp;"'!"&amp;B7790)="",FALSE,IF(TRUNC(INDIRECT("'"&amp;A7790&amp;"'!"&amp;B7790))=INDIRECT("'"&amp;A7790&amp;"'!"&amp;B7790),FALSE,TRUE))</f>
        <v>0</v>
      </c>
      <c r="E7790" t="s">
        <v>436</v>
      </c>
      <c r="F7790" t="str">
        <f>INDEX(Lists!I:I,MATCH(Validation!E7790,Lists!G:G,0))</f>
        <v>Error</v>
      </c>
      <c r="G7790" t="str">
        <f>INDEX(Lists!H:H,MATCH(Validation!E7790,Lists!G:G,0))</f>
        <v>Amount must be rounded to the nearest dollar.</v>
      </c>
      <c r="H7790" s="16" t="str">
        <f t="shared" ca="1" si="852"/>
        <v/>
      </c>
      <c r="I7790" s="16" t="str">
        <f t="shared" ca="1" si="853"/>
        <v/>
      </c>
      <c r="J7790" s="17" t="str">
        <f t="shared" ca="1" si="854"/>
        <v/>
      </c>
    </row>
    <row r="7791" spans="1:10" x14ac:dyDescent="0.25">
      <c r="A7791" t="s">
        <v>963</v>
      </c>
      <c r="B7791" t="str">
        <f>ADDRESS(ROW(DFLoan1!B$24),COLUMN(DFLoan1!B$24),4)</f>
        <v>B24</v>
      </c>
      <c r="C7791" t="str">
        <f>ADDRESS(ROW(DFLoan1!C$24),COLUMN(DFLoan1!C$24),4)</f>
        <v>C24</v>
      </c>
      <c r="D7791" t="b" cm="1">
        <f t="array" aca="1" ref="D7791" ca="1">IF(INDIRECT("'"&amp;A7791&amp;"'!"&amp;B7791)="",FALSE,IF(TRUNC(INDIRECT("'"&amp;A7791&amp;"'!"&amp;B7791))=INDIRECT("'"&amp;A7791&amp;"'!"&amp;B7791),FALSE,TRUE))</f>
        <v>0</v>
      </c>
      <c r="E7791" t="s">
        <v>436</v>
      </c>
      <c r="F7791" t="str">
        <f>INDEX(Lists!I:I,MATCH(Validation!E7791,Lists!G:G,0))</f>
        <v>Error</v>
      </c>
      <c r="G7791" t="str">
        <f>INDEX(Lists!H:H,MATCH(Validation!E7791,Lists!G:G,0))</f>
        <v>Amount must be rounded to the nearest dollar.</v>
      </c>
      <c r="H7791" s="16" t="str">
        <f t="shared" ca="1" si="852"/>
        <v/>
      </c>
      <c r="I7791" s="16" t="str">
        <f t="shared" ca="1" si="853"/>
        <v/>
      </c>
      <c r="J7791" s="17" t="str">
        <f t="shared" ca="1" si="854"/>
        <v/>
      </c>
    </row>
    <row r="7792" spans="1:10" x14ac:dyDescent="0.25">
      <c r="A7792" t="s">
        <v>964</v>
      </c>
      <c r="B7792" t="str">
        <f>ADDRESS(ROW(DFLoan1!B$24),COLUMN(DFLoan1!B$24),4)</f>
        <v>B24</v>
      </c>
      <c r="C7792" t="str">
        <f>ADDRESS(ROW(DFLoan1!C$24),COLUMN(DFLoan1!C$24),4)</f>
        <v>C24</v>
      </c>
      <c r="D7792" t="b" cm="1">
        <f t="array" aca="1" ref="D7792" ca="1">IF(INDIRECT("'"&amp;A7792&amp;"'!"&amp;B7792)="",FALSE,IF(TRUNC(INDIRECT("'"&amp;A7792&amp;"'!"&amp;B7792))=INDIRECT("'"&amp;A7792&amp;"'!"&amp;B7792),FALSE,TRUE))</f>
        <v>0</v>
      </c>
      <c r="E7792" t="s">
        <v>436</v>
      </c>
      <c r="F7792" t="str">
        <f>INDEX(Lists!I:I,MATCH(Validation!E7792,Lists!G:G,0))</f>
        <v>Error</v>
      </c>
      <c r="G7792" t="str">
        <f>INDEX(Lists!H:H,MATCH(Validation!E7792,Lists!G:G,0))</f>
        <v>Amount must be rounded to the nearest dollar.</v>
      </c>
      <c r="H7792" s="16" t="str">
        <f t="shared" ref="H7792:H7854" ca="1" si="855">IFERROR(IF(OR(NOT(D7792),F7792&lt;&gt;"Error"),"",A7792&amp;CELL("address",INDIRECT(B7792))),"")</f>
        <v/>
      </c>
      <c r="I7792" s="16" t="str">
        <f t="shared" ref="I7792:I7854" ca="1" si="856">IFERROR(IF(NOT(D7792),"",A7792&amp;CELL("address",INDIRECT(C7792))),"")</f>
        <v/>
      </c>
      <c r="J7792" s="17" t="str">
        <f t="shared" ref="J7792:J7854" ca="1" si="857">IFERROR(IF(NOT(D7792),"",A7792),"")</f>
        <v/>
      </c>
    </row>
    <row r="7793" spans="1:10" x14ac:dyDescent="0.25">
      <c r="A7793" t="s">
        <v>965</v>
      </c>
      <c r="B7793" t="str">
        <f>ADDRESS(ROW(DFLoan1!B$24),COLUMN(DFLoan1!B$24),4)</f>
        <v>B24</v>
      </c>
      <c r="C7793" t="str">
        <f>ADDRESS(ROW(DFLoan1!C$24),COLUMN(DFLoan1!C$24),4)</f>
        <v>C24</v>
      </c>
      <c r="D7793" t="b" cm="1">
        <f t="array" aca="1" ref="D7793" ca="1">IF(INDIRECT("'"&amp;A7793&amp;"'!"&amp;B7793)="",FALSE,IF(TRUNC(INDIRECT("'"&amp;A7793&amp;"'!"&amp;B7793))=INDIRECT("'"&amp;A7793&amp;"'!"&amp;B7793),FALSE,TRUE))</f>
        <v>0</v>
      </c>
      <c r="E7793" t="s">
        <v>436</v>
      </c>
      <c r="F7793" t="str">
        <f>INDEX(Lists!I:I,MATCH(Validation!E7793,Lists!G:G,0))</f>
        <v>Error</v>
      </c>
      <c r="G7793" t="str">
        <f>INDEX(Lists!H:H,MATCH(Validation!E7793,Lists!G:G,0))</f>
        <v>Amount must be rounded to the nearest dollar.</v>
      </c>
      <c r="H7793" s="16" t="str">
        <f t="shared" ca="1" si="855"/>
        <v/>
      </c>
      <c r="I7793" s="16" t="str">
        <f t="shared" ca="1" si="856"/>
        <v/>
      </c>
      <c r="J7793" s="17" t="str">
        <f t="shared" ca="1" si="857"/>
        <v/>
      </c>
    </row>
    <row r="7794" spans="1:10" x14ac:dyDescent="0.25">
      <c r="A7794" t="s">
        <v>966</v>
      </c>
      <c r="B7794" t="str">
        <f>ADDRESS(ROW(DFLoan1!B$24),COLUMN(DFLoan1!B$24),4)</f>
        <v>B24</v>
      </c>
      <c r="C7794" t="str">
        <f>ADDRESS(ROW(DFLoan1!C$24),COLUMN(DFLoan1!C$24),4)</f>
        <v>C24</v>
      </c>
      <c r="D7794" t="b" cm="1">
        <f t="array" aca="1" ref="D7794" ca="1">IF(INDIRECT("'"&amp;A7794&amp;"'!"&amp;B7794)="",FALSE,IF(TRUNC(INDIRECT("'"&amp;A7794&amp;"'!"&amp;B7794))=INDIRECT("'"&amp;A7794&amp;"'!"&amp;B7794),FALSE,TRUE))</f>
        <v>0</v>
      </c>
      <c r="E7794" t="s">
        <v>436</v>
      </c>
      <c r="F7794" t="str">
        <f>INDEX(Lists!I:I,MATCH(Validation!E7794,Lists!G:G,0))</f>
        <v>Error</v>
      </c>
      <c r="G7794" t="str">
        <f>INDEX(Lists!H:H,MATCH(Validation!E7794,Lists!G:G,0))</f>
        <v>Amount must be rounded to the nearest dollar.</v>
      </c>
      <c r="H7794" s="16" t="str">
        <f t="shared" ca="1" si="855"/>
        <v/>
      </c>
      <c r="I7794" s="16" t="str">
        <f t="shared" ca="1" si="856"/>
        <v/>
      </c>
      <c r="J7794" s="17" t="str">
        <f t="shared" ca="1" si="857"/>
        <v/>
      </c>
    </row>
    <row r="7795" spans="1:10" x14ac:dyDescent="0.25">
      <c r="A7795" t="s">
        <v>881</v>
      </c>
      <c r="B7795" t="str">
        <f>ADDRESS(ROW(DFLoan1!B$24),COLUMN(DFLoan1!B$24),4)</f>
        <v>B24</v>
      </c>
      <c r="C7795" t="str">
        <f>ADDRESS(ROW(DFLoan1!C$24),COLUMN(DFLoan1!C$24),4)</f>
        <v>C24</v>
      </c>
      <c r="D7795" t="b" cm="1">
        <f t="array" aca="1" ref="D7795" ca="1">IF(INDIRECT("'"&amp;A7795&amp;"'!"&amp;B7795)="",FALSE,IF(INDIRECT("'"&amp;A7795&amp;"'!"&amp;B7795)&gt;INDIRECT("'"&amp;A7795&amp;"'!B$23"),TRUE,FALSE))</f>
        <v>0</v>
      </c>
      <c r="E7795" t="s">
        <v>628</v>
      </c>
      <c r="F7795" t="str">
        <f>INDEX(Lists!I:I,MATCH(Validation!E7795,Lists!G:G,0))</f>
        <v>Error</v>
      </c>
      <c r="G7795" t="str">
        <f>INDEX(Lists!H:H,MATCH(Validation!E7795,Lists!G:G,0))</f>
        <v>Principal due cannot exceed principal outstanding.</v>
      </c>
      <c r="H7795" s="16" t="str">
        <f t="shared" ca="1" si="855"/>
        <v/>
      </c>
      <c r="I7795" s="16" t="str">
        <f t="shared" ca="1" si="856"/>
        <v/>
      </c>
      <c r="J7795" s="17" t="str">
        <f t="shared" ca="1" si="857"/>
        <v/>
      </c>
    </row>
    <row r="7796" spans="1:10" x14ac:dyDescent="0.25">
      <c r="A7796" t="s">
        <v>953</v>
      </c>
      <c r="B7796" t="str">
        <f>ADDRESS(ROW(DFLoan1!B$24),COLUMN(DFLoan1!B$24),4)</f>
        <v>B24</v>
      </c>
      <c r="C7796" t="str">
        <f>ADDRESS(ROW(DFLoan1!C$24),COLUMN(DFLoan1!C$24),4)</f>
        <v>C24</v>
      </c>
      <c r="D7796" t="b" cm="1">
        <f t="array" aca="1" ref="D7796" ca="1">IF(INDIRECT("'"&amp;A7796&amp;"'!"&amp;B7796)="",FALSE,IF(INDIRECT("'"&amp;A7796&amp;"'!"&amp;B7796)&gt;INDIRECT("'"&amp;A7796&amp;"'!B$23"),TRUE,FALSE))</f>
        <v>0</v>
      </c>
      <c r="E7796" t="s">
        <v>628</v>
      </c>
      <c r="F7796" t="str">
        <f>INDEX(Lists!I:I,MATCH(Validation!E7796,Lists!G:G,0))</f>
        <v>Error</v>
      </c>
      <c r="G7796" t="str">
        <f>INDEX(Lists!H:H,MATCH(Validation!E7796,Lists!G:G,0))</f>
        <v>Principal due cannot exceed principal outstanding.</v>
      </c>
      <c r="H7796" s="16" t="str">
        <f t="shared" ca="1" si="855"/>
        <v/>
      </c>
      <c r="I7796" s="16" t="str">
        <f t="shared" ca="1" si="856"/>
        <v/>
      </c>
      <c r="J7796" s="17" t="str">
        <f t="shared" ca="1" si="857"/>
        <v/>
      </c>
    </row>
    <row r="7797" spans="1:10" x14ac:dyDescent="0.25">
      <c r="A7797" t="s">
        <v>954</v>
      </c>
      <c r="B7797" t="str">
        <f>ADDRESS(ROW(DFLoan1!B$24),COLUMN(DFLoan1!B$24),4)</f>
        <v>B24</v>
      </c>
      <c r="C7797" t="str">
        <f>ADDRESS(ROW(DFLoan1!C$24),COLUMN(DFLoan1!C$24),4)</f>
        <v>C24</v>
      </c>
      <c r="D7797" t="b" cm="1">
        <f t="array" aca="1" ref="D7797" ca="1">IF(INDIRECT("'"&amp;A7797&amp;"'!"&amp;B7797)="",FALSE,IF(INDIRECT("'"&amp;A7797&amp;"'!"&amp;B7797)&gt;INDIRECT("'"&amp;A7797&amp;"'!B$23"),TRUE,FALSE))</f>
        <v>0</v>
      </c>
      <c r="E7797" t="s">
        <v>628</v>
      </c>
      <c r="F7797" t="str">
        <f>INDEX(Lists!I:I,MATCH(Validation!E7797,Lists!G:G,0))</f>
        <v>Error</v>
      </c>
      <c r="G7797" t="str">
        <f>INDEX(Lists!H:H,MATCH(Validation!E7797,Lists!G:G,0))</f>
        <v>Principal due cannot exceed principal outstanding.</v>
      </c>
      <c r="H7797" s="16" t="str">
        <f t="shared" ca="1" si="855"/>
        <v/>
      </c>
      <c r="I7797" s="16" t="str">
        <f t="shared" ca="1" si="856"/>
        <v/>
      </c>
      <c r="J7797" s="17" t="str">
        <f t="shared" ca="1" si="857"/>
        <v/>
      </c>
    </row>
    <row r="7798" spans="1:10" x14ac:dyDescent="0.25">
      <c r="A7798" t="s">
        <v>955</v>
      </c>
      <c r="B7798" t="str">
        <f>ADDRESS(ROW(DFLoan1!B$24),COLUMN(DFLoan1!B$24),4)</f>
        <v>B24</v>
      </c>
      <c r="C7798" t="str">
        <f>ADDRESS(ROW(DFLoan1!C$24),COLUMN(DFLoan1!C$24),4)</f>
        <v>C24</v>
      </c>
      <c r="D7798" t="b" cm="1">
        <f t="array" aca="1" ref="D7798" ca="1">IF(INDIRECT("'"&amp;A7798&amp;"'!"&amp;B7798)="",FALSE,IF(INDIRECT("'"&amp;A7798&amp;"'!"&amp;B7798)&gt;INDIRECT("'"&amp;A7798&amp;"'!B$23"),TRUE,FALSE))</f>
        <v>0</v>
      </c>
      <c r="E7798" t="s">
        <v>628</v>
      </c>
      <c r="F7798" t="str">
        <f>INDEX(Lists!I:I,MATCH(Validation!E7798,Lists!G:G,0))</f>
        <v>Error</v>
      </c>
      <c r="G7798" t="str">
        <f>INDEX(Lists!H:H,MATCH(Validation!E7798,Lists!G:G,0))</f>
        <v>Principal due cannot exceed principal outstanding.</v>
      </c>
      <c r="H7798" s="16" t="str">
        <f t="shared" ca="1" si="855"/>
        <v/>
      </c>
      <c r="I7798" s="16" t="str">
        <f t="shared" ca="1" si="856"/>
        <v/>
      </c>
      <c r="J7798" s="17" t="str">
        <f t="shared" ca="1" si="857"/>
        <v/>
      </c>
    </row>
    <row r="7799" spans="1:10" x14ac:dyDescent="0.25">
      <c r="A7799" t="s">
        <v>956</v>
      </c>
      <c r="B7799" t="str">
        <f>ADDRESS(ROW(DFLoan1!B$24),COLUMN(DFLoan1!B$24),4)</f>
        <v>B24</v>
      </c>
      <c r="C7799" t="str">
        <f>ADDRESS(ROW(DFLoan1!C$24),COLUMN(DFLoan1!C$24),4)</f>
        <v>C24</v>
      </c>
      <c r="D7799" t="b" cm="1">
        <f t="array" aca="1" ref="D7799" ca="1">IF(INDIRECT("'"&amp;A7799&amp;"'!"&amp;B7799)="",FALSE,IF(INDIRECT("'"&amp;A7799&amp;"'!"&amp;B7799)&gt;INDIRECT("'"&amp;A7799&amp;"'!B$23"),TRUE,FALSE))</f>
        <v>0</v>
      </c>
      <c r="E7799" t="s">
        <v>628</v>
      </c>
      <c r="F7799" t="str">
        <f>INDEX(Lists!I:I,MATCH(Validation!E7799,Lists!G:G,0))</f>
        <v>Error</v>
      </c>
      <c r="G7799" t="str">
        <f>INDEX(Lists!H:H,MATCH(Validation!E7799,Lists!G:G,0))</f>
        <v>Principal due cannot exceed principal outstanding.</v>
      </c>
      <c r="H7799" s="16" t="str">
        <f t="shared" ca="1" si="855"/>
        <v/>
      </c>
      <c r="I7799" s="16" t="str">
        <f t="shared" ca="1" si="856"/>
        <v/>
      </c>
      <c r="J7799" s="17" t="str">
        <f t="shared" ca="1" si="857"/>
        <v/>
      </c>
    </row>
    <row r="7800" spans="1:10" x14ac:dyDescent="0.25">
      <c r="A7800" t="s">
        <v>957</v>
      </c>
      <c r="B7800" t="str">
        <f>ADDRESS(ROW(DFLoan1!B$24),COLUMN(DFLoan1!B$24),4)</f>
        <v>B24</v>
      </c>
      <c r="C7800" t="str">
        <f>ADDRESS(ROW(DFLoan1!C$24),COLUMN(DFLoan1!C$24),4)</f>
        <v>C24</v>
      </c>
      <c r="D7800" t="b" cm="1">
        <f t="array" aca="1" ref="D7800" ca="1">IF(INDIRECT("'"&amp;A7800&amp;"'!"&amp;B7800)="",FALSE,IF(INDIRECT("'"&amp;A7800&amp;"'!"&amp;B7800)&gt;INDIRECT("'"&amp;A7800&amp;"'!B$23"),TRUE,FALSE))</f>
        <v>0</v>
      </c>
      <c r="E7800" t="s">
        <v>628</v>
      </c>
      <c r="F7800" t="str">
        <f>INDEX(Lists!I:I,MATCH(Validation!E7800,Lists!G:G,0))</f>
        <v>Error</v>
      </c>
      <c r="G7800" t="str">
        <f>INDEX(Lists!H:H,MATCH(Validation!E7800,Lists!G:G,0))</f>
        <v>Principal due cannot exceed principal outstanding.</v>
      </c>
      <c r="H7800" s="16" t="str">
        <f t="shared" ca="1" si="855"/>
        <v/>
      </c>
      <c r="I7800" s="16" t="str">
        <f t="shared" ca="1" si="856"/>
        <v/>
      </c>
      <c r="J7800" s="17" t="str">
        <f t="shared" ca="1" si="857"/>
        <v/>
      </c>
    </row>
    <row r="7801" spans="1:10" x14ac:dyDescent="0.25">
      <c r="A7801" t="s">
        <v>958</v>
      </c>
      <c r="B7801" t="str">
        <f>ADDRESS(ROW(DFLoan1!B$24),COLUMN(DFLoan1!B$24),4)</f>
        <v>B24</v>
      </c>
      <c r="C7801" t="str">
        <f>ADDRESS(ROW(DFLoan1!C$24),COLUMN(DFLoan1!C$24),4)</f>
        <v>C24</v>
      </c>
      <c r="D7801" t="b" cm="1">
        <f t="array" aca="1" ref="D7801" ca="1">IF(INDIRECT("'"&amp;A7801&amp;"'!"&amp;B7801)="",FALSE,IF(INDIRECT("'"&amp;A7801&amp;"'!"&amp;B7801)&gt;INDIRECT("'"&amp;A7801&amp;"'!B$23"),TRUE,FALSE))</f>
        <v>0</v>
      </c>
      <c r="E7801" t="s">
        <v>628</v>
      </c>
      <c r="F7801" t="str">
        <f>INDEX(Lists!I:I,MATCH(Validation!E7801,Lists!G:G,0))</f>
        <v>Error</v>
      </c>
      <c r="G7801" t="str">
        <f>INDEX(Lists!H:H,MATCH(Validation!E7801,Lists!G:G,0))</f>
        <v>Principal due cannot exceed principal outstanding.</v>
      </c>
      <c r="H7801" s="16" t="str">
        <f t="shared" ca="1" si="855"/>
        <v/>
      </c>
      <c r="I7801" s="16" t="str">
        <f t="shared" ca="1" si="856"/>
        <v/>
      </c>
      <c r="J7801" s="17" t="str">
        <f t="shared" ca="1" si="857"/>
        <v/>
      </c>
    </row>
    <row r="7802" spans="1:10" x14ac:dyDescent="0.25">
      <c r="A7802" t="s">
        <v>959</v>
      </c>
      <c r="B7802" t="str">
        <f>ADDRESS(ROW(DFLoan1!B$24),COLUMN(DFLoan1!B$24),4)</f>
        <v>B24</v>
      </c>
      <c r="C7802" t="str">
        <f>ADDRESS(ROW(DFLoan1!C$24),COLUMN(DFLoan1!C$24),4)</f>
        <v>C24</v>
      </c>
      <c r="D7802" t="b" cm="1">
        <f t="array" aca="1" ref="D7802" ca="1">IF(INDIRECT("'"&amp;A7802&amp;"'!"&amp;B7802)="",FALSE,IF(INDIRECT("'"&amp;A7802&amp;"'!"&amp;B7802)&gt;INDIRECT("'"&amp;A7802&amp;"'!B$23"),TRUE,FALSE))</f>
        <v>0</v>
      </c>
      <c r="E7802" t="s">
        <v>628</v>
      </c>
      <c r="F7802" t="str">
        <f>INDEX(Lists!I:I,MATCH(Validation!E7802,Lists!G:G,0))</f>
        <v>Error</v>
      </c>
      <c r="G7802" t="str">
        <f>INDEX(Lists!H:H,MATCH(Validation!E7802,Lists!G:G,0))</f>
        <v>Principal due cannot exceed principal outstanding.</v>
      </c>
      <c r="H7802" s="16" t="str">
        <f t="shared" ca="1" si="855"/>
        <v/>
      </c>
      <c r="I7802" s="16" t="str">
        <f t="shared" ca="1" si="856"/>
        <v/>
      </c>
      <c r="J7802" s="17" t="str">
        <f t="shared" ca="1" si="857"/>
        <v/>
      </c>
    </row>
    <row r="7803" spans="1:10" x14ac:dyDescent="0.25">
      <c r="A7803" t="s">
        <v>960</v>
      </c>
      <c r="B7803" t="str">
        <f>ADDRESS(ROW(DFLoan1!B$24),COLUMN(DFLoan1!B$24),4)</f>
        <v>B24</v>
      </c>
      <c r="C7803" t="str">
        <f>ADDRESS(ROW(DFLoan1!C$24),COLUMN(DFLoan1!C$24),4)</f>
        <v>C24</v>
      </c>
      <c r="D7803" t="b" cm="1">
        <f t="array" aca="1" ref="D7803" ca="1">IF(INDIRECT("'"&amp;A7803&amp;"'!"&amp;B7803)="",FALSE,IF(INDIRECT("'"&amp;A7803&amp;"'!"&amp;B7803)&gt;INDIRECT("'"&amp;A7803&amp;"'!B$23"),TRUE,FALSE))</f>
        <v>0</v>
      </c>
      <c r="E7803" t="s">
        <v>628</v>
      </c>
      <c r="F7803" t="str">
        <f>INDEX(Lists!I:I,MATCH(Validation!E7803,Lists!G:G,0))</f>
        <v>Error</v>
      </c>
      <c r="G7803" t="str">
        <f>INDEX(Lists!H:H,MATCH(Validation!E7803,Lists!G:G,0))</f>
        <v>Principal due cannot exceed principal outstanding.</v>
      </c>
      <c r="H7803" s="16" t="str">
        <f t="shared" ca="1" si="855"/>
        <v/>
      </c>
      <c r="I7803" s="16" t="str">
        <f t="shared" ca="1" si="856"/>
        <v/>
      </c>
      <c r="J7803" s="17" t="str">
        <f t="shared" ca="1" si="857"/>
        <v/>
      </c>
    </row>
    <row r="7804" spans="1:10" x14ac:dyDescent="0.25">
      <c r="A7804" t="s">
        <v>961</v>
      </c>
      <c r="B7804" t="str">
        <f>ADDRESS(ROW(DFLoan1!B$24),COLUMN(DFLoan1!B$24),4)</f>
        <v>B24</v>
      </c>
      <c r="C7804" t="str">
        <f>ADDRESS(ROW(DFLoan1!C$24),COLUMN(DFLoan1!C$24),4)</f>
        <v>C24</v>
      </c>
      <c r="D7804" t="b" cm="1">
        <f t="array" aca="1" ref="D7804" ca="1">IF(INDIRECT("'"&amp;A7804&amp;"'!"&amp;B7804)="",FALSE,IF(INDIRECT("'"&amp;A7804&amp;"'!"&amp;B7804)&gt;INDIRECT("'"&amp;A7804&amp;"'!B$23"),TRUE,FALSE))</f>
        <v>0</v>
      </c>
      <c r="E7804" t="s">
        <v>628</v>
      </c>
      <c r="F7804" t="str">
        <f>INDEX(Lists!I:I,MATCH(Validation!E7804,Lists!G:G,0))</f>
        <v>Error</v>
      </c>
      <c r="G7804" t="str">
        <f>INDEX(Lists!H:H,MATCH(Validation!E7804,Lists!G:G,0))</f>
        <v>Principal due cannot exceed principal outstanding.</v>
      </c>
      <c r="H7804" s="16" t="str">
        <f t="shared" ca="1" si="855"/>
        <v/>
      </c>
      <c r="I7804" s="16" t="str">
        <f t="shared" ca="1" si="856"/>
        <v/>
      </c>
      <c r="J7804" s="17" t="str">
        <f t="shared" ca="1" si="857"/>
        <v/>
      </c>
    </row>
    <row r="7805" spans="1:10" x14ac:dyDescent="0.25">
      <c r="A7805" t="s">
        <v>962</v>
      </c>
      <c r="B7805" t="str">
        <f>ADDRESS(ROW(DFLoan1!B$24),COLUMN(DFLoan1!B$24),4)</f>
        <v>B24</v>
      </c>
      <c r="C7805" t="str">
        <f>ADDRESS(ROW(DFLoan1!C$24),COLUMN(DFLoan1!C$24),4)</f>
        <v>C24</v>
      </c>
      <c r="D7805" t="b" cm="1">
        <f t="array" aca="1" ref="D7805" ca="1">IF(INDIRECT("'"&amp;A7805&amp;"'!"&amp;B7805)="",FALSE,IF(INDIRECT("'"&amp;A7805&amp;"'!"&amp;B7805)&gt;INDIRECT("'"&amp;A7805&amp;"'!B$23"),TRUE,FALSE))</f>
        <v>0</v>
      </c>
      <c r="E7805" t="s">
        <v>628</v>
      </c>
      <c r="F7805" t="str">
        <f>INDEX(Lists!I:I,MATCH(Validation!E7805,Lists!G:G,0))</f>
        <v>Error</v>
      </c>
      <c r="G7805" t="str">
        <f>INDEX(Lists!H:H,MATCH(Validation!E7805,Lists!G:G,0))</f>
        <v>Principal due cannot exceed principal outstanding.</v>
      </c>
      <c r="H7805" s="16" t="str">
        <f t="shared" ca="1" si="855"/>
        <v/>
      </c>
      <c r="I7805" s="16" t="str">
        <f t="shared" ca="1" si="856"/>
        <v/>
      </c>
      <c r="J7805" s="17" t="str">
        <f t="shared" ca="1" si="857"/>
        <v/>
      </c>
    </row>
    <row r="7806" spans="1:10" x14ac:dyDescent="0.25">
      <c r="A7806" t="s">
        <v>963</v>
      </c>
      <c r="B7806" t="str">
        <f>ADDRESS(ROW(DFLoan1!B$24),COLUMN(DFLoan1!B$24),4)</f>
        <v>B24</v>
      </c>
      <c r="C7806" t="str">
        <f>ADDRESS(ROW(DFLoan1!C$24),COLUMN(DFLoan1!C$24),4)</f>
        <v>C24</v>
      </c>
      <c r="D7806" t="b" cm="1">
        <f t="array" aca="1" ref="D7806" ca="1">IF(INDIRECT("'"&amp;A7806&amp;"'!"&amp;B7806)="",FALSE,IF(INDIRECT("'"&amp;A7806&amp;"'!"&amp;B7806)&gt;INDIRECT("'"&amp;A7806&amp;"'!B$23"),TRUE,FALSE))</f>
        <v>0</v>
      </c>
      <c r="E7806" t="s">
        <v>628</v>
      </c>
      <c r="F7806" t="str">
        <f>INDEX(Lists!I:I,MATCH(Validation!E7806,Lists!G:G,0))</f>
        <v>Error</v>
      </c>
      <c r="G7806" t="str">
        <f>INDEX(Lists!H:H,MATCH(Validation!E7806,Lists!G:G,0))</f>
        <v>Principal due cannot exceed principal outstanding.</v>
      </c>
      <c r="H7806" s="16" t="str">
        <f t="shared" ca="1" si="855"/>
        <v/>
      </c>
      <c r="I7806" s="16" t="str">
        <f t="shared" ca="1" si="856"/>
        <v/>
      </c>
      <c r="J7806" s="17" t="str">
        <f t="shared" ca="1" si="857"/>
        <v/>
      </c>
    </row>
    <row r="7807" spans="1:10" x14ac:dyDescent="0.25">
      <c r="A7807" t="s">
        <v>964</v>
      </c>
      <c r="B7807" t="str">
        <f>ADDRESS(ROW(DFLoan1!B$24),COLUMN(DFLoan1!B$24),4)</f>
        <v>B24</v>
      </c>
      <c r="C7807" t="str">
        <f>ADDRESS(ROW(DFLoan1!C$24),COLUMN(DFLoan1!C$24),4)</f>
        <v>C24</v>
      </c>
      <c r="D7807" t="b" cm="1">
        <f t="array" aca="1" ref="D7807" ca="1">IF(INDIRECT("'"&amp;A7807&amp;"'!"&amp;B7807)="",FALSE,IF(INDIRECT("'"&amp;A7807&amp;"'!"&amp;B7807)&gt;INDIRECT("'"&amp;A7807&amp;"'!B$23"),TRUE,FALSE))</f>
        <v>0</v>
      </c>
      <c r="E7807" t="s">
        <v>628</v>
      </c>
      <c r="F7807" t="str">
        <f>INDEX(Lists!I:I,MATCH(Validation!E7807,Lists!G:G,0))</f>
        <v>Error</v>
      </c>
      <c r="G7807" t="str">
        <f>INDEX(Lists!H:H,MATCH(Validation!E7807,Lists!G:G,0))</f>
        <v>Principal due cannot exceed principal outstanding.</v>
      </c>
      <c r="H7807" s="16" t="str">
        <f t="shared" ca="1" si="855"/>
        <v/>
      </c>
      <c r="I7807" s="16" t="str">
        <f t="shared" ca="1" si="856"/>
        <v/>
      </c>
      <c r="J7807" s="17" t="str">
        <f t="shared" ca="1" si="857"/>
        <v/>
      </c>
    </row>
    <row r="7808" spans="1:10" x14ac:dyDescent="0.25">
      <c r="A7808" t="s">
        <v>965</v>
      </c>
      <c r="B7808" t="str">
        <f>ADDRESS(ROW(DFLoan1!B$24),COLUMN(DFLoan1!B$24),4)</f>
        <v>B24</v>
      </c>
      <c r="C7808" t="str">
        <f>ADDRESS(ROW(DFLoan1!C$24),COLUMN(DFLoan1!C$24),4)</f>
        <v>C24</v>
      </c>
      <c r="D7808" t="b" cm="1">
        <f t="array" aca="1" ref="D7808" ca="1">IF(INDIRECT("'"&amp;A7808&amp;"'!"&amp;B7808)="",FALSE,IF(INDIRECT("'"&amp;A7808&amp;"'!"&amp;B7808)&gt;INDIRECT("'"&amp;A7808&amp;"'!B$23"),TRUE,FALSE))</f>
        <v>0</v>
      </c>
      <c r="E7808" t="s">
        <v>628</v>
      </c>
      <c r="F7808" t="str">
        <f>INDEX(Lists!I:I,MATCH(Validation!E7808,Lists!G:G,0))</f>
        <v>Error</v>
      </c>
      <c r="G7808" t="str">
        <f>INDEX(Lists!H:H,MATCH(Validation!E7808,Lists!G:G,0))</f>
        <v>Principal due cannot exceed principal outstanding.</v>
      </c>
      <c r="H7808" s="16" t="str">
        <f t="shared" ca="1" si="855"/>
        <v/>
      </c>
      <c r="I7808" s="16" t="str">
        <f t="shared" ca="1" si="856"/>
        <v/>
      </c>
      <c r="J7808" s="17" t="str">
        <f t="shared" ca="1" si="857"/>
        <v/>
      </c>
    </row>
    <row r="7809" spans="1:10" x14ac:dyDescent="0.25">
      <c r="A7809" t="s">
        <v>966</v>
      </c>
      <c r="B7809" t="str">
        <f>ADDRESS(ROW(DFLoan1!B$24),COLUMN(DFLoan1!B$24),4)</f>
        <v>B24</v>
      </c>
      <c r="C7809" t="str">
        <f>ADDRESS(ROW(DFLoan1!C$24),COLUMN(DFLoan1!C$24),4)</f>
        <v>C24</v>
      </c>
      <c r="D7809" t="b" cm="1">
        <f t="array" aca="1" ref="D7809" ca="1">IF(INDIRECT("'"&amp;A7809&amp;"'!"&amp;B7809)="",FALSE,IF(INDIRECT("'"&amp;A7809&amp;"'!"&amp;B7809)&gt;INDIRECT("'"&amp;A7809&amp;"'!B$23"),TRUE,FALSE))</f>
        <v>0</v>
      </c>
      <c r="E7809" t="s">
        <v>628</v>
      </c>
      <c r="F7809" t="str">
        <f>INDEX(Lists!I:I,MATCH(Validation!E7809,Lists!G:G,0))</f>
        <v>Error</v>
      </c>
      <c r="G7809" t="str">
        <f>INDEX(Lists!H:H,MATCH(Validation!E7809,Lists!G:G,0))</f>
        <v>Principal due cannot exceed principal outstanding.</v>
      </c>
      <c r="H7809" s="16" t="str">
        <f t="shared" ca="1" si="855"/>
        <v/>
      </c>
      <c r="I7809" s="16" t="str">
        <f t="shared" ca="1" si="856"/>
        <v/>
      </c>
      <c r="J7809" s="17" t="str">
        <f t="shared" ca="1" si="857"/>
        <v/>
      </c>
    </row>
    <row r="7810" spans="1:10" x14ac:dyDescent="0.25">
      <c r="A7810" t="s">
        <v>881</v>
      </c>
      <c r="B7810" t="str">
        <f>ADDRESS(ROW(DFLoan1!B$25),COLUMN(DFLoan1!B$25),4)</f>
        <v>B25</v>
      </c>
      <c r="C7810" t="str">
        <f>ADDRESS(ROW(DFLoan1!C$25),COLUMN(DFLoan1!C$25),4)</f>
        <v>C25</v>
      </c>
      <c r="D7810" t="b" cm="1">
        <f t="array" aca="1" ref="D7810" ca="1">IF(INDIRECT("'"&amp;A7810&amp;"'!"&amp;B7810)="",FALSE,IF(NOT(ISNUMBER(INDIRECT("'"&amp;A7810&amp;"'!"&amp;B7810))),TRUE,FALSE))</f>
        <v>0</v>
      </c>
      <c r="E7810" t="s">
        <v>435</v>
      </c>
      <c r="F7810" t="str">
        <f>INDEX(Lists!I:I,MATCH(Validation!E7810,Lists!G:G,0))</f>
        <v>Error</v>
      </c>
      <c r="G7810" t="str">
        <f>INDEX(Lists!H:H,MATCH(Validation!E7810,Lists!G:G,0))</f>
        <v>Enter an amount only. Do not enter text or spaces.</v>
      </c>
      <c r="H7810" s="16" t="str">
        <f t="shared" ca="1" si="855"/>
        <v/>
      </c>
      <c r="I7810" s="16" t="str">
        <f t="shared" ca="1" si="856"/>
        <v/>
      </c>
      <c r="J7810" s="17" t="str">
        <f t="shared" ca="1" si="857"/>
        <v/>
      </c>
    </row>
    <row r="7811" spans="1:10" x14ac:dyDescent="0.25">
      <c r="A7811" t="s">
        <v>953</v>
      </c>
      <c r="B7811" t="str">
        <f>ADDRESS(ROW(DFLoan1!B$25),COLUMN(DFLoan1!B$25),4)</f>
        <v>B25</v>
      </c>
      <c r="C7811" t="str">
        <f>ADDRESS(ROW(DFLoan1!C$25),COLUMN(DFLoan1!C$25),4)</f>
        <v>C25</v>
      </c>
      <c r="D7811" t="b" cm="1">
        <f t="array" aca="1" ref="D7811" ca="1">IF(INDIRECT("'"&amp;A7811&amp;"'!"&amp;B7811)="",FALSE,IF(NOT(ISNUMBER(INDIRECT("'"&amp;A7811&amp;"'!"&amp;B7811))),TRUE,FALSE))</f>
        <v>0</v>
      </c>
      <c r="E7811" t="s">
        <v>435</v>
      </c>
      <c r="F7811" t="str">
        <f>INDEX(Lists!I:I,MATCH(Validation!E7811,Lists!G:G,0))</f>
        <v>Error</v>
      </c>
      <c r="G7811" t="str">
        <f>INDEX(Lists!H:H,MATCH(Validation!E7811,Lists!G:G,0))</f>
        <v>Enter an amount only. Do not enter text or spaces.</v>
      </c>
      <c r="H7811" s="16" t="str">
        <f t="shared" ca="1" si="855"/>
        <v/>
      </c>
      <c r="I7811" s="16" t="str">
        <f t="shared" ca="1" si="856"/>
        <v/>
      </c>
      <c r="J7811" s="17" t="str">
        <f t="shared" ca="1" si="857"/>
        <v/>
      </c>
    </row>
    <row r="7812" spans="1:10" x14ac:dyDescent="0.25">
      <c r="A7812" t="s">
        <v>954</v>
      </c>
      <c r="B7812" t="str">
        <f>ADDRESS(ROW(DFLoan1!B$25),COLUMN(DFLoan1!B$25),4)</f>
        <v>B25</v>
      </c>
      <c r="C7812" t="str">
        <f>ADDRESS(ROW(DFLoan1!C$25),COLUMN(DFLoan1!C$25),4)</f>
        <v>C25</v>
      </c>
      <c r="D7812" t="b" cm="1">
        <f t="array" aca="1" ref="D7812" ca="1">IF(INDIRECT("'"&amp;A7812&amp;"'!"&amp;B7812)="",FALSE,IF(NOT(ISNUMBER(INDIRECT("'"&amp;A7812&amp;"'!"&amp;B7812))),TRUE,FALSE))</f>
        <v>0</v>
      </c>
      <c r="E7812" t="s">
        <v>435</v>
      </c>
      <c r="F7812" t="str">
        <f>INDEX(Lists!I:I,MATCH(Validation!E7812,Lists!G:G,0))</f>
        <v>Error</v>
      </c>
      <c r="G7812" t="str">
        <f>INDEX(Lists!H:H,MATCH(Validation!E7812,Lists!G:G,0))</f>
        <v>Enter an amount only. Do not enter text or spaces.</v>
      </c>
      <c r="H7812" s="16" t="str">
        <f t="shared" ca="1" si="855"/>
        <v/>
      </c>
      <c r="I7812" s="16" t="str">
        <f t="shared" ca="1" si="856"/>
        <v/>
      </c>
      <c r="J7812" s="17" t="str">
        <f t="shared" ca="1" si="857"/>
        <v/>
      </c>
    </row>
    <row r="7813" spans="1:10" x14ac:dyDescent="0.25">
      <c r="A7813" t="s">
        <v>955</v>
      </c>
      <c r="B7813" t="str">
        <f>ADDRESS(ROW(DFLoan1!B$25),COLUMN(DFLoan1!B$25),4)</f>
        <v>B25</v>
      </c>
      <c r="C7813" t="str">
        <f>ADDRESS(ROW(DFLoan1!C$25),COLUMN(DFLoan1!C$25),4)</f>
        <v>C25</v>
      </c>
      <c r="D7813" t="b" cm="1">
        <f t="array" aca="1" ref="D7813" ca="1">IF(INDIRECT("'"&amp;A7813&amp;"'!"&amp;B7813)="",FALSE,IF(NOT(ISNUMBER(INDIRECT("'"&amp;A7813&amp;"'!"&amp;B7813))),TRUE,FALSE))</f>
        <v>0</v>
      </c>
      <c r="E7813" t="s">
        <v>435</v>
      </c>
      <c r="F7813" t="str">
        <f>INDEX(Lists!I:I,MATCH(Validation!E7813,Lists!G:G,0))</f>
        <v>Error</v>
      </c>
      <c r="G7813" t="str">
        <f>INDEX(Lists!H:H,MATCH(Validation!E7813,Lists!G:G,0))</f>
        <v>Enter an amount only. Do not enter text or spaces.</v>
      </c>
      <c r="H7813" s="16" t="str">
        <f t="shared" ca="1" si="855"/>
        <v/>
      </c>
      <c r="I7813" s="16" t="str">
        <f t="shared" ca="1" si="856"/>
        <v/>
      </c>
      <c r="J7813" s="17" t="str">
        <f t="shared" ca="1" si="857"/>
        <v/>
      </c>
    </row>
    <row r="7814" spans="1:10" x14ac:dyDescent="0.25">
      <c r="A7814" t="s">
        <v>956</v>
      </c>
      <c r="B7814" t="str">
        <f>ADDRESS(ROW(DFLoan1!B$25),COLUMN(DFLoan1!B$25),4)</f>
        <v>B25</v>
      </c>
      <c r="C7814" t="str">
        <f>ADDRESS(ROW(DFLoan1!C$25),COLUMN(DFLoan1!C$25),4)</f>
        <v>C25</v>
      </c>
      <c r="D7814" t="b" cm="1">
        <f t="array" aca="1" ref="D7814" ca="1">IF(INDIRECT("'"&amp;A7814&amp;"'!"&amp;B7814)="",FALSE,IF(NOT(ISNUMBER(INDIRECT("'"&amp;A7814&amp;"'!"&amp;B7814))),TRUE,FALSE))</f>
        <v>0</v>
      </c>
      <c r="E7814" t="s">
        <v>435</v>
      </c>
      <c r="F7814" t="str">
        <f>INDEX(Lists!I:I,MATCH(Validation!E7814,Lists!G:G,0))</f>
        <v>Error</v>
      </c>
      <c r="G7814" t="str">
        <f>INDEX(Lists!H:H,MATCH(Validation!E7814,Lists!G:G,0))</f>
        <v>Enter an amount only. Do not enter text or spaces.</v>
      </c>
      <c r="H7814" s="16" t="str">
        <f t="shared" ca="1" si="855"/>
        <v/>
      </c>
      <c r="I7814" s="16" t="str">
        <f t="shared" ca="1" si="856"/>
        <v/>
      </c>
      <c r="J7814" s="17" t="str">
        <f t="shared" ca="1" si="857"/>
        <v/>
      </c>
    </row>
    <row r="7815" spans="1:10" x14ac:dyDescent="0.25">
      <c r="A7815" t="s">
        <v>957</v>
      </c>
      <c r="B7815" t="str">
        <f>ADDRESS(ROW(DFLoan1!B$25),COLUMN(DFLoan1!B$25),4)</f>
        <v>B25</v>
      </c>
      <c r="C7815" t="str">
        <f>ADDRESS(ROW(DFLoan1!C$25),COLUMN(DFLoan1!C$25),4)</f>
        <v>C25</v>
      </c>
      <c r="D7815" t="b" cm="1">
        <f t="array" aca="1" ref="D7815" ca="1">IF(INDIRECT("'"&amp;A7815&amp;"'!"&amp;B7815)="",FALSE,IF(NOT(ISNUMBER(INDIRECT("'"&amp;A7815&amp;"'!"&amp;B7815))),TRUE,FALSE))</f>
        <v>0</v>
      </c>
      <c r="E7815" t="s">
        <v>435</v>
      </c>
      <c r="F7815" t="str">
        <f>INDEX(Lists!I:I,MATCH(Validation!E7815,Lists!G:G,0))</f>
        <v>Error</v>
      </c>
      <c r="G7815" t="str">
        <f>INDEX(Lists!H:H,MATCH(Validation!E7815,Lists!G:G,0))</f>
        <v>Enter an amount only. Do not enter text or spaces.</v>
      </c>
      <c r="H7815" s="16" t="str">
        <f t="shared" ca="1" si="855"/>
        <v/>
      </c>
      <c r="I7815" s="16" t="str">
        <f t="shared" ca="1" si="856"/>
        <v/>
      </c>
      <c r="J7815" s="17" t="str">
        <f t="shared" ca="1" si="857"/>
        <v/>
      </c>
    </row>
    <row r="7816" spans="1:10" x14ac:dyDescent="0.25">
      <c r="A7816" t="s">
        <v>958</v>
      </c>
      <c r="B7816" t="str">
        <f>ADDRESS(ROW(DFLoan1!B$25),COLUMN(DFLoan1!B$25),4)</f>
        <v>B25</v>
      </c>
      <c r="C7816" t="str">
        <f>ADDRESS(ROW(DFLoan1!C$25),COLUMN(DFLoan1!C$25),4)</f>
        <v>C25</v>
      </c>
      <c r="D7816" t="b" cm="1">
        <f t="array" aca="1" ref="D7816" ca="1">IF(INDIRECT("'"&amp;A7816&amp;"'!"&amp;B7816)="",FALSE,IF(NOT(ISNUMBER(INDIRECT("'"&amp;A7816&amp;"'!"&amp;B7816))),TRUE,FALSE))</f>
        <v>0</v>
      </c>
      <c r="E7816" t="s">
        <v>435</v>
      </c>
      <c r="F7816" t="str">
        <f>INDEX(Lists!I:I,MATCH(Validation!E7816,Lists!G:G,0))</f>
        <v>Error</v>
      </c>
      <c r="G7816" t="str">
        <f>INDEX(Lists!H:H,MATCH(Validation!E7816,Lists!G:G,0))</f>
        <v>Enter an amount only. Do not enter text or spaces.</v>
      </c>
      <c r="H7816" s="16" t="str">
        <f t="shared" ca="1" si="855"/>
        <v/>
      </c>
      <c r="I7816" s="16" t="str">
        <f t="shared" ca="1" si="856"/>
        <v/>
      </c>
      <c r="J7816" s="17" t="str">
        <f t="shared" ca="1" si="857"/>
        <v/>
      </c>
    </row>
    <row r="7817" spans="1:10" x14ac:dyDescent="0.25">
      <c r="A7817" t="s">
        <v>959</v>
      </c>
      <c r="B7817" t="str">
        <f>ADDRESS(ROW(DFLoan1!B$25),COLUMN(DFLoan1!B$25),4)</f>
        <v>B25</v>
      </c>
      <c r="C7817" t="str">
        <f>ADDRESS(ROW(DFLoan1!C$25),COLUMN(DFLoan1!C$25),4)</f>
        <v>C25</v>
      </c>
      <c r="D7817" t="b" cm="1">
        <f t="array" aca="1" ref="D7817" ca="1">IF(INDIRECT("'"&amp;A7817&amp;"'!"&amp;B7817)="",FALSE,IF(NOT(ISNUMBER(INDIRECT("'"&amp;A7817&amp;"'!"&amp;B7817))),TRUE,FALSE))</f>
        <v>0</v>
      </c>
      <c r="E7817" t="s">
        <v>435</v>
      </c>
      <c r="F7817" t="str">
        <f>INDEX(Lists!I:I,MATCH(Validation!E7817,Lists!G:G,0))</f>
        <v>Error</v>
      </c>
      <c r="G7817" t="str">
        <f>INDEX(Lists!H:H,MATCH(Validation!E7817,Lists!G:G,0))</f>
        <v>Enter an amount only. Do not enter text or spaces.</v>
      </c>
      <c r="H7817" s="16" t="str">
        <f t="shared" ca="1" si="855"/>
        <v/>
      </c>
      <c r="I7817" s="16" t="str">
        <f t="shared" ca="1" si="856"/>
        <v/>
      </c>
      <c r="J7817" s="17" t="str">
        <f t="shared" ca="1" si="857"/>
        <v/>
      </c>
    </row>
    <row r="7818" spans="1:10" x14ac:dyDescent="0.25">
      <c r="A7818" t="s">
        <v>960</v>
      </c>
      <c r="B7818" t="str">
        <f>ADDRESS(ROW(DFLoan1!B$25),COLUMN(DFLoan1!B$25),4)</f>
        <v>B25</v>
      </c>
      <c r="C7818" t="str">
        <f>ADDRESS(ROW(DFLoan1!C$25),COLUMN(DFLoan1!C$25),4)</f>
        <v>C25</v>
      </c>
      <c r="D7818" t="b" cm="1">
        <f t="array" aca="1" ref="D7818" ca="1">IF(INDIRECT("'"&amp;A7818&amp;"'!"&amp;B7818)="",FALSE,IF(NOT(ISNUMBER(INDIRECT("'"&amp;A7818&amp;"'!"&amp;B7818))),TRUE,FALSE))</f>
        <v>0</v>
      </c>
      <c r="E7818" t="s">
        <v>435</v>
      </c>
      <c r="F7818" t="str">
        <f>INDEX(Lists!I:I,MATCH(Validation!E7818,Lists!G:G,0))</f>
        <v>Error</v>
      </c>
      <c r="G7818" t="str">
        <f>INDEX(Lists!H:H,MATCH(Validation!E7818,Lists!G:G,0))</f>
        <v>Enter an amount only. Do not enter text or spaces.</v>
      </c>
      <c r="H7818" s="16" t="str">
        <f t="shared" ca="1" si="855"/>
        <v/>
      </c>
      <c r="I7818" s="16" t="str">
        <f t="shared" ca="1" si="856"/>
        <v/>
      </c>
      <c r="J7818" s="17" t="str">
        <f t="shared" ca="1" si="857"/>
        <v/>
      </c>
    </row>
    <row r="7819" spans="1:10" x14ac:dyDescent="0.25">
      <c r="A7819" t="s">
        <v>961</v>
      </c>
      <c r="B7819" t="str">
        <f>ADDRESS(ROW(DFLoan1!B$25),COLUMN(DFLoan1!B$25),4)</f>
        <v>B25</v>
      </c>
      <c r="C7819" t="str">
        <f>ADDRESS(ROW(DFLoan1!C$25),COLUMN(DFLoan1!C$25),4)</f>
        <v>C25</v>
      </c>
      <c r="D7819" t="b" cm="1">
        <f t="array" aca="1" ref="D7819" ca="1">IF(INDIRECT("'"&amp;A7819&amp;"'!"&amp;B7819)="",FALSE,IF(NOT(ISNUMBER(INDIRECT("'"&amp;A7819&amp;"'!"&amp;B7819))),TRUE,FALSE))</f>
        <v>0</v>
      </c>
      <c r="E7819" t="s">
        <v>435</v>
      </c>
      <c r="F7819" t="str">
        <f>INDEX(Lists!I:I,MATCH(Validation!E7819,Lists!G:G,0))</f>
        <v>Error</v>
      </c>
      <c r="G7819" t="str">
        <f>INDEX(Lists!H:H,MATCH(Validation!E7819,Lists!G:G,0))</f>
        <v>Enter an amount only. Do not enter text or spaces.</v>
      </c>
      <c r="H7819" s="16" t="str">
        <f t="shared" ca="1" si="855"/>
        <v/>
      </c>
      <c r="I7819" s="16" t="str">
        <f t="shared" ca="1" si="856"/>
        <v/>
      </c>
      <c r="J7819" s="17" t="str">
        <f t="shared" ca="1" si="857"/>
        <v/>
      </c>
    </row>
    <row r="7820" spans="1:10" x14ac:dyDescent="0.25">
      <c r="A7820" t="s">
        <v>962</v>
      </c>
      <c r="B7820" t="str">
        <f>ADDRESS(ROW(DFLoan1!B$25),COLUMN(DFLoan1!B$25),4)</f>
        <v>B25</v>
      </c>
      <c r="C7820" t="str">
        <f>ADDRESS(ROW(DFLoan1!C$25),COLUMN(DFLoan1!C$25),4)</f>
        <v>C25</v>
      </c>
      <c r="D7820" t="b" cm="1">
        <f t="array" aca="1" ref="D7820" ca="1">IF(INDIRECT("'"&amp;A7820&amp;"'!"&amp;B7820)="",FALSE,IF(NOT(ISNUMBER(INDIRECT("'"&amp;A7820&amp;"'!"&amp;B7820))),TRUE,FALSE))</f>
        <v>0</v>
      </c>
      <c r="E7820" t="s">
        <v>435</v>
      </c>
      <c r="F7820" t="str">
        <f>INDEX(Lists!I:I,MATCH(Validation!E7820,Lists!G:G,0))</f>
        <v>Error</v>
      </c>
      <c r="G7820" t="str">
        <f>INDEX(Lists!H:H,MATCH(Validation!E7820,Lists!G:G,0))</f>
        <v>Enter an amount only. Do not enter text or spaces.</v>
      </c>
      <c r="H7820" s="16" t="str">
        <f t="shared" ca="1" si="855"/>
        <v/>
      </c>
      <c r="I7820" s="16" t="str">
        <f t="shared" ca="1" si="856"/>
        <v/>
      </c>
      <c r="J7820" s="17" t="str">
        <f t="shared" ca="1" si="857"/>
        <v/>
      </c>
    </row>
    <row r="7821" spans="1:10" x14ac:dyDescent="0.25">
      <c r="A7821" t="s">
        <v>963</v>
      </c>
      <c r="B7821" t="str">
        <f>ADDRESS(ROW(DFLoan1!B$25),COLUMN(DFLoan1!B$25),4)</f>
        <v>B25</v>
      </c>
      <c r="C7821" t="str">
        <f>ADDRESS(ROW(DFLoan1!C$25),COLUMN(DFLoan1!C$25),4)</f>
        <v>C25</v>
      </c>
      <c r="D7821" t="b" cm="1">
        <f t="array" aca="1" ref="D7821" ca="1">IF(INDIRECT("'"&amp;A7821&amp;"'!"&amp;B7821)="",FALSE,IF(NOT(ISNUMBER(INDIRECT("'"&amp;A7821&amp;"'!"&amp;B7821))),TRUE,FALSE))</f>
        <v>0</v>
      </c>
      <c r="E7821" t="s">
        <v>435</v>
      </c>
      <c r="F7821" t="str">
        <f>INDEX(Lists!I:I,MATCH(Validation!E7821,Lists!G:G,0))</f>
        <v>Error</v>
      </c>
      <c r="G7821" t="str">
        <f>INDEX(Lists!H:H,MATCH(Validation!E7821,Lists!G:G,0))</f>
        <v>Enter an amount only. Do not enter text or spaces.</v>
      </c>
      <c r="H7821" s="16" t="str">
        <f t="shared" ca="1" si="855"/>
        <v/>
      </c>
      <c r="I7821" s="16" t="str">
        <f t="shared" ca="1" si="856"/>
        <v/>
      </c>
      <c r="J7821" s="17" t="str">
        <f t="shared" ca="1" si="857"/>
        <v/>
      </c>
    </row>
    <row r="7822" spans="1:10" x14ac:dyDescent="0.25">
      <c r="A7822" t="s">
        <v>964</v>
      </c>
      <c r="B7822" t="str">
        <f>ADDRESS(ROW(DFLoan1!B$25),COLUMN(DFLoan1!B$25),4)</f>
        <v>B25</v>
      </c>
      <c r="C7822" t="str">
        <f>ADDRESS(ROW(DFLoan1!C$25),COLUMN(DFLoan1!C$25),4)</f>
        <v>C25</v>
      </c>
      <c r="D7822" t="b" cm="1">
        <f t="array" aca="1" ref="D7822" ca="1">IF(INDIRECT("'"&amp;A7822&amp;"'!"&amp;B7822)="",FALSE,IF(NOT(ISNUMBER(INDIRECT("'"&amp;A7822&amp;"'!"&amp;B7822))),TRUE,FALSE))</f>
        <v>0</v>
      </c>
      <c r="E7822" t="s">
        <v>435</v>
      </c>
      <c r="F7822" t="str">
        <f>INDEX(Lists!I:I,MATCH(Validation!E7822,Lists!G:G,0))</f>
        <v>Error</v>
      </c>
      <c r="G7822" t="str">
        <f>INDEX(Lists!H:H,MATCH(Validation!E7822,Lists!G:G,0))</f>
        <v>Enter an amount only. Do not enter text or spaces.</v>
      </c>
      <c r="H7822" s="16" t="str">
        <f t="shared" ca="1" si="855"/>
        <v/>
      </c>
      <c r="I7822" s="16" t="str">
        <f t="shared" ca="1" si="856"/>
        <v/>
      </c>
      <c r="J7822" s="17" t="str">
        <f t="shared" ca="1" si="857"/>
        <v/>
      </c>
    </row>
    <row r="7823" spans="1:10" x14ac:dyDescent="0.25">
      <c r="A7823" t="s">
        <v>965</v>
      </c>
      <c r="B7823" t="str">
        <f>ADDRESS(ROW(DFLoan1!B$25),COLUMN(DFLoan1!B$25),4)</f>
        <v>B25</v>
      </c>
      <c r="C7823" t="str">
        <f>ADDRESS(ROW(DFLoan1!C$25),COLUMN(DFLoan1!C$25),4)</f>
        <v>C25</v>
      </c>
      <c r="D7823" t="b" cm="1">
        <f t="array" aca="1" ref="D7823" ca="1">IF(INDIRECT("'"&amp;A7823&amp;"'!"&amp;B7823)="",FALSE,IF(NOT(ISNUMBER(INDIRECT("'"&amp;A7823&amp;"'!"&amp;B7823))),TRUE,FALSE))</f>
        <v>0</v>
      </c>
      <c r="E7823" t="s">
        <v>435</v>
      </c>
      <c r="F7823" t="str">
        <f>INDEX(Lists!I:I,MATCH(Validation!E7823,Lists!G:G,0))</f>
        <v>Error</v>
      </c>
      <c r="G7823" t="str">
        <f>INDEX(Lists!H:H,MATCH(Validation!E7823,Lists!G:G,0))</f>
        <v>Enter an amount only. Do not enter text or spaces.</v>
      </c>
      <c r="H7823" s="16" t="str">
        <f t="shared" ca="1" si="855"/>
        <v/>
      </c>
      <c r="I7823" s="16" t="str">
        <f t="shared" ca="1" si="856"/>
        <v/>
      </c>
      <c r="J7823" s="17" t="str">
        <f t="shared" ca="1" si="857"/>
        <v/>
      </c>
    </row>
    <row r="7824" spans="1:10" x14ac:dyDescent="0.25">
      <c r="A7824" t="s">
        <v>966</v>
      </c>
      <c r="B7824" t="str">
        <f>ADDRESS(ROW(DFLoan1!B$25),COLUMN(DFLoan1!B$25),4)</f>
        <v>B25</v>
      </c>
      <c r="C7824" t="str">
        <f>ADDRESS(ROW(DFLoan1!C$25),COLUMN(DFLoan1!C$25),4)</f>
        <v>C25</v>
      </c>
      <c r="D7824" t="b" cm="1">
        <f t="array" aca="1" ref="D7824" ca="1">IF(INDIRECT("'"&amp;A7824&amp;"'!"&amp;B7824)="",FALSE,IF(NOT(ISNUMBER(INDIRECT("'"&amp;A7824&amp;"'!"&amp;B7824))),TRUE,FALSE))</f>
        <v>0</v>
      </c>
      <c r="E7824" t="s">
        <v>435</v>
      </c>
      <c r="F7824" t="str">
        <f>INDEX(Lists!I:I,MATCH(Validation!E7824,Lists!G:G,0))</f>
        <v>Error</v>
      </c>
      <c r="G7824" t="str">
        <f>INDEX(Lists!H:H,MATCH(Validation!E7824,Lists!G:G,0))</f>
        <v>Enter an amount only. Do not enter text or spaces.</v>
      </c>
      <c r="H7824" s="16" t="str">
        <f t="shared" ca="1" si="855"/>
        <v/>
      </c>
      <c r="I7824" s="16" t="str">
        <f t="shared" ca="1" si="856"/>
        <v/>
      </c>
      <c r="J7824" s="17" t="str">
        <f t="shared" ca="1" si="857"/>
        <v/>
      </c>
    </row>
    <row r="7825" spans="1:10" x14ac:dyDescent="0.25">
      <c r="A7825" t="s">
        <v>881</v>
      </c>
      <c r="B7825" t="str">
        <f>ADDRESS(ROW(DFLoan1!B$25),COLUMN(DFLoan1!B$25),4)</f>
        <v>B25</v>
      </c>
      <c r="C7825" t="str">
        <f>ADDRESS(ROW(DFLoan1!C$25),COLUMN(DFLoan1!C$25),4)</f>
        <v>C25</v>
      </c>
      <c r="D7825" t="b" cm="1">
        <f t="array" aca="1" ref="D7825" ca="1">IF(INDIRECT("'"&amp;A7825&amp;"'!"&amp;B7825)="",FALSE,IF(INDIRECT("'"&amp;A7825&amp;"'!"&amp;B7825)&lt;0,TRUE,FALSE))</f>
        <v>0</v>
      </c>
      <c r="E7825" t="s">
        <v>434</v>
      </c>
      <c r="F7825" t="str">
        <f>INDEX(Lists!I:I,MATCH(Validation!E7825,Lists!G:G,0))</f>
        <v>Error</v>
      </c>
      <c r="G7825" t="str">
        <f>INDEX(Lists!H:H,MATCH(Validation!E7825,Lists!G:G,0))</f>
        <v>Amount may not be negative. Enter an amount greater than or equal to zero.</v>
      </c>
      <c r="H7825" s="16" t="str">
        <f t="shared" ca="1" si="855"/>
        <v/>
      </c>
      <c r="I7825" s="16" t="str">
        <f t="shared" ca="1" si="856"/>
        <v/>
      </c>
      <c r="J7825" s="17" t="str">
        <f t="shared" ca="1" si="857"/>
        <v/>
      </c>
    </row>
    <row r="7826" spans="1:10" x14ac:dyDescent="0.25">
      <c r="A7826" t="s">
        <v>953</v>
      </c>
      <c r="B7826" t="str">
        <f>ADDRESS(ROW(DFLoan1!B$25),COLUMN(DFLoan1!B$25),4)</f>
        <v>B25</v>
      </c>
      <c r="C7826" t="str">
        <f>ADDRESS(ROW(DFLoan1!C$25),COLUMN(DFLoan1!C$25),4)</f>
        <v>C25</v>
      </c>
      <c r="D7826" t="b" cm="1">
        <f t="array" aca="1" ref="D7826" ca="1">IF(INDIRECT("'"&amp;A7826&amp;"'!"&amp;B7826)="",FALSE,IF(INDIRECT("'"&amp;A7826&amp;"'!"&amp;B7826)&lt;0,TRUE,FALSE))</f>
        <v>0</v>
      </c>
      <c r="E7826" t="s">
        <v>434</v>
      </c>
      <c r="F7826" t="str">
        <f>INDEX(Lists!I:I,MATCH(Validation!E7826,Lists!G:G,0))</f>
        <v>Error</v>
      </c>
      <c r="G7826" t="str">
        <f>INDEX(Lists!H:H,MATCH(Validation!E7826,Lists!G:G,0))</f>
        <v>Amount may not be negative. Enter an amount greater than or equal to zero.</v>
      </c>
      <c r="H7826" s="16" t="str">
        <f t="shared" ca="1" si="855"/>
        <v/>
      </c>
      <c r="I7826" s="16" t="str">
        <f t="shared" ca="1" si="856"/>
        <v/>
      </c>
      <c r="J7826" s="17" t="str">
        <f t="shared" ca="1" si="857"/>
        <v/>
      </c>
    </row>
    <row r="7827" spans="1:10" x14ac:dyDescent="0.25">
      <c r="A7827" t="s">
        <v>954</v>
      </c>
      <c r="B7827" t="str">
        <f>ADDRESS(ROW(DFLoan1!B$25),COLUMN(DFLoan1!B$25),4)</f>
        <v>B25</v>
      </c>
      <c r="C7827" t="str">
        <f>ADDRESS(ROW(DFLoan1!C$25),COLUMN(DFLoan1!C$25),4)</f>
        <v>C25</v>
      </c>
      <c r="D7827" t="b" cm="1">
        <f t="array" aca="1" ref="D7827" ca="1">IF(INDIRECT("'"&amp;A7827&amp;"'!"&amp;B7827)="",FALSE,IF(INDIRECT("'"&amp;A7827&amp;"'!"&amp;B7827)&lt;0,TRUE,FALSE))</f>
        <v>0</v>
      </c>
      <c r="E7827" t="s">
        <v>434</v>
      </c>
      <c r="F7827" t="str">
        <f>INDEX(Lists!I:I,MATCH(Validation!E7827,Lists!G:G,0))</f>
        <v>Error</v>
      </c>
      <c r="G7827" t="str">
        <f>INDEX(Lists!H:H,MATCH(Validation!E7827,Lists!G:G,0))</f>
        <v>Amount may not be negative. Enter an amount greater than or equal to zero.</v>
      </c>
      <c r="H7827" s="16" t="str">
        <f t="shared" ca="1" si="855"/>
        <v/>
      </c>
      <c r="I7827" s="16" t="str">
        <f t="shared" ca="1" si="856"/>
        <v/>
      </c>
      <c r="J7827" s="17" t="str">
        <f t="shared" ca="1" si="857"/>
        <v/>
      </c>
    </row>
    <row r="7828" spans="1:10" x14ac:dyDescent="0.25">
      <c r="A7828" t="s">
        <v>955</v>
      </c>
      <c r="B7828" t="str">
        <f>ADDRESS(ROW(DFLoan1!B$25),COLUMN(DFLoan1!B$25),4)</f>
        <v>B25</v>
      </c>
      <c r="C7828" t="str">
        <f>ADDRESS(ROW(DFLoan1!C$25),COLUMN(DFLoan1!C$25),4)</f>
        <v>C25</v>
      </c>
      <c r="D7828" t="b" cm="1">
        <f t="array" aca="1" ref="D7828" ca="1">IF(INDIRECT("'"&amp;A7828&amp;"'!"&amp;B7828)="",FALSE,IF(INDIRECT("'"&amp;A7828&amp;"'!"&amp;B7828)&lt;0,TRUE,FALSE))</f>
        <v>0</v>
      </c>
      <c r="E7828" t="s">
        <v>434</v>
      </c>
      <c r="F7828" t="str">
        <f>INDEX(Lists!I:I,MATCH(Validation!E7828,Lists!G:G,0))</f>
        <v>Error</v>
      </c>
      <c r="G7828" t="str">
        <f>INDEX(Lists!H:H,MATCH(Validation!E7828,Lists!G:G,0))</f>
        <v>Amount may not be negative. Enter an amount greater than or equal to zero.</v>
      </c>
      <c r="H7828" s="16" t="str">
        <f t="shared" ca="1" si="855"/>
        <v/>
      </c>
      <c r="I7828" s="16" t="str">
        <f t="shared" ca="1" si="856"/>
        <v/>
      </c>
      <c r="J7828" s="17" t="str">
        <f t="shared" ca="1" si="857"/>
        <v/>
      </c>
    </row>
    <row r="7829" spans="1:10" x14ac:dyDescent="0.25">
      <c r="A7829" t="s">
        <v>956</v>
      </c>
      <c r="B7829" t="str">
        <f>ADDRESS(ROW(DFLoan1!B$25),COLUMN(DFLoan1!B$25),4)</f>
        <v>B25</v>
      </c>
      <c r="C7829" t="str">
        <f>ADDRESS(ROW(DFLoan1!C$25),COLUMN(DFLoan1!C$25),4)</f>
        <v>C25</v>
      </c>
      <c r="D7829" t="b" cm="1">
        <f t="array" aca="1" ref="D7829" ca="1">IF(INDIRECT("'"&amp;A7829&amp;"'!"&amp;B7829)="",FALSE,IF(INDIRECT("'"&amp;A7829&amp;"'!"&amp;B7829)&lt;0,TRUE,FALSE))</f>
        <v>0</v>
      </c>
      <c r="E7829" t="s">
        <v>434</v>
      </c>
      <c r="F7829" t="str">
        <f>INDEX(Lists!I:I,MATCH(Validation!E7829,Lists!G:G,0))</f>
        <v>Error</v>
      </c>
      <c r="G7829" t="str">
        <f>INDEX(Lists!H:H,MATCH(Validation!E7829,Lists!G:G,0))</f>
        <v>Amount may not be negative. Enter an amount greater than or equal to zero.</v>
      </c>
      <c r="H7829" s="16" t="str">
        <f t="shared" ca="1" si="855"/>
        <v/>
      </c>
      <c r="I7829" s="16" t="str">
        <f t="shared" ca="1" si="856"/>
        <v/>
      </c>
      <c r="J7829" s="17" t="str">
        <f t="shared" ca="1" si="857"/>
        <v/>
      </c>
    </row>
    <row r="7830" spans="1:10" x14ac:dyDescent="0.25">
      <c r="A7830" t="s">
        <v>957</v>
      </c>
      <c r="B7830" t="str">
        <f>ADDRESS(ROW(DFLoan1!B$25),COLUMN(DFLoan1!B$25),4)</f>
        <v>B25</v>
      </c>
      <c r="C7830" t="str">
        <f>ADDRESS(ROW(DFLoan1!C$25),COLUMN(DFLoan1!C$25),4)</f>
        <v>C25</v>
      </c>
      <c r="D7830" t="b" cm="1">
        <f t="array" aca="1" ref="D7830" ca="1">IF(INDIRECT("'"&amp;A7830&amp;"'!"&amp;B7830)="",FALSE,IF(INDIRECT("'"&amp;A7830&amp;"'!"&amp;B7830)&lt;0,TRUE,FALSE))</f>
        <v>0</v>
      </c>
      <c r="E7830" t="s">
        <v>434</v>
      </c>
      <c r="F7830" t="str">
        <f>INDEX(Lists!I:I,MATCH(Validation!E7830,Lists!G:G,0))</f>
        <v>Error</v>
      </c>
      <c r="G7830" t="str">
        <f>INDEX(Lists!H:H,MATCH(Validation!E7830,Lists!G:G,0))</f>
        <v>Amount may not be negative. Enter an amount greater than or equal to zero.</v>
      </c>
      <c r="H7830" s="16" t="str">
        <f t="shared" ca="1" si="855"/>
        <v/>
      </c>
      <c r="I7830" s="16" t="str">
        <f t="shared" ca="1" si="856"/>
        <v/>
      </c>
      <c r="J7830" s="17" t="str">
        <f t="shared" ca="1" si="857"/>
        <v/>
      </c>
    </row>
    <row r="7831" spans="1:10" x14ac:dyDescent="0.25">
      <c r="A7831" t="s">
        <v>958</v>
      </c>
      <c r="B7831" t="str">
        <f>ADDRESS(ROW(DFLoan1!B$25),COLUMN(DFLoan1!B$25),4)</f>
        <v>B25</v>
      </c>
      <c r="C7831" t="str">
        <f>ADDRESS(ROW(DFLoan1!C$25),COLUMN(DFLoan1!C$25),4)</f>
        <v>C25</v>
      </c>
      <c r="D7831" t="b" cm="1">
        <f t="array" aca="1" ref="D7831" ca="1">IF(INDIRECT("'"&amp;A7831&amp;"'!"&amp;B7831)="",FALSE,IF(INDIRECT("'"&amp;A7831&amp;"'!"&amp;B7831)&lt;0,TRUE,FALSE))</f>
        <v>0</v>
      </c>
      <c r="E7831" t="s">
        <v>434</v>
      </c>
      <c r="F7831" t="str">
        <f>INDEX(Lists!I:I,MATCH(Validation!E7831,Lists!G:G,0))</f>
        <v>Error</v>
      </c>
      <c r="G7831" t="str">
        <f>INDEX(Lists!H:H,MATCH(Validation!E7831,Lists!G:G,0))</f>
        <v>Amount may not be negative. Enter an amount greater than or equal to zero.</v>
      </c>
      <c r="H7831" s="16" t="str">
        <f t="shared" ca="1" si="855"/>
        <v/>
      </c>
      <c r="I7831" s="16" t="str">
        <f t="shared" ca="1" si="856"/>
        <v/>
      </c>
      <c r="J7831" s="17" t="str">
        <f t="shared" ca="1" si="857"/>
        <v/>
      </c>
    </row>
    <row r="7832" spans="1:10" x14ac:dyDescent="0.25">
      <c r="A7832" t="s">
        <v>959</v>
      </c>
      <c r="B7832" t="str">
        <f>ADDRESS(ROW(DFLoan1!B$25),COLUMN(DFLoan1!B$25),4)</f>
        <v>B25</v>
      </c>
      <c r="C7832" t="str">
        <f>ADDRESS(ROW(DFLoan1!C$25),COLUMN(DFLoan1!C$25),4)</f>
        <v>C25</v>
      </c>
      <c r="D7832" t="b" cm="1">
        <f t="array" aca="1" ref="D7832" ca="1">IF(INDIRECT("'"&amp;A7832&amp;"'!"&amp;B7832)="",FALSE,IF(INDIRECT("'"&amp;A7832&amp;"'!"&amp;B7832)&lt;0,TRUE,FALSE))</f>
        <v>0</v>
      </c>
      <c r="E7832" t="s">
        <v>434</v>
      </c>
      <c r="F7832" t="str">
        <f>INDEX(Lists!I:I,MATCH(Validation!E7832,Lists!G:G,0))</f>
        <v>Error</v>
      </c>
      <c r="G7832" t="str">
        <f>INDEX(Lists!H:H,MATCH(Validation!E7832,Lists!G:G,0))</f>
        <v>Amount may not be negative. Enter an amount greater than or equal to zero.</v>
      </c>
      <c r="H7832" s="16" t="str">
        <f t="shared" ca="1" si="855"/>
        <v/>
      </c>
      <c r="I7832" s="16" t="str">
        <f t="shared" ca="1" si="856"/>
        <v/>
      </c>
      <c r="J7832" s="17" t="str">
        <f t="shared" ca="1" si="857"/>
        <v/>
      </c>
    </row>
    <row r="7833" spans="1:10" x14ac:dyDescent="0.25">
      <c r="A7833" t="s">
        <v>960</v>
      </c>
      <c r="B7833" t="str">
        <f>ADDRESS(ROW(DFLoan1!B$25),COLUMN(DFLoan1!B$25),4)</f>
        <v>B25</v>
      </c>
      <c r="C7833" t="str">
        <f>ADDRESS(ROW(DFLoan1!C$25),COLUMN(DFLoan1!C$25),4)</f>
        <v>C25</v>
      </c>
      <c r="D7833" t="b" cm="1">
        <f t="array" aca="1" ref="D7833" ca="1">IF(INDIRECT("'"&amp;A7833&amp;"'!"&amp;B7833)="",FALSE,IF(INDIRECT("'"&amp;A7833&amp;"'!"&amp;B7833)&lt;0,TRUE,FALSE))</f>
        <v>0</v>
      </c>
      <c r="E7833" t="s">
        <v>434</v>
      </c>
      <c r="F7833" t="str">
        <f>INDEX(Lists!I:I,MATCH(Validation!E7833,Lists!G:G,0))</f>
        <v>Error</v>
      </c>
      <c r="G7833" t="str">
        <f>INDEX(Lists!H:H,MATCH(Validation!E7833,Lists!G:G,0))</f>
        <v>Amount may not be negative. Enter an amount greater than or equal to zero.</v>
      </c>
      <c r="H7833" s="16" t="str">
        <f t="shared" ca="1" si="855"/>
        <v/>
      </c>
      <c r="I7833" s="16" t="str">
        <f t="shared" ca="1" si="856"/>
        <v/>
      </c>
      <c r="J7833" s="17" t="str">
        <f t="shared" ca="1" si="857"/>
        <v/>
      </c>
    </row>
    <row r="7834" spans="1:10" x14ac:dyDescent="0.25">
      <c r="A7834" t="s">
        <v>961</v>
      </c>
      <c r="B7834" t="str">
        <f>ADDRESS(ROW(DFLoan1!B$25),COLUMN(DFLoan1!B$25),4)</f>
        <v>B25</v>
      </c>
      <c r="C7834" t="str">
        <f>ADDRESS(ROW(DFLoan1!C$25),COLUMN(DFLoan1!C$25),4)</f>
        <v>C25</v>
      </c>
      <c r="D7834" t="b" cm="1">
        <f t="array" aca="1" ref="D7834" ca="1">IF(INDIRECT("'"&amp;A7834&amp;"'!"&amp;B7834)="",FALSE,IF(INDIRECT("'"&amp;A7834&amp;"'!"&amp;B7834)&lt;0,TRUE,FALSE))</f>
        <v>0</v>
      </c>
      <c r="E7834" t="s">
        <v>434</v>
      </c>
      <c r="F7834" t="str">
        <f>INDEX(Lists!I:I,MATCH(Validation!E7834,Lists!G:G,0))</f>
        <v>Error</v>
      </c>
      <c r="G7834" t="str">
        <f>INDEX(Lists!H:H,MATCH(Validation!E7834,Lists!G:G,0))</f>
        <v>Amount may not be negative. Enter an amount greater than or equal to zero.</v>
      </c>
      <c r="H7834" s="16" t="str">
        <f t="shared" ca="1" si="855"/>
        <v/>
      </c>
      <c r="I7834" s="16" t="str">
        <f t="shared" ca="1" si="856"/>
        <v/>
      </c>
      <c r="J7834" s="17" t="str">
        <f t="shared" ca="1" si="857"/>
        <v/>
      </c>
    </row>
    <row r="7835" spans="1:10" x14ac:dyDescent="0.25">
      <c r="A7835" t="s">
        <v>962</v>
      </c>
      <c r="B7835" t="str">
        <f>ADDRESS(ROW(DFLoan1!B$25),COLUMN(DFLoan1!B$25),4)</f>
        <v>B25</v>
      </c>
      <c r="C7835" t="str">
        <f>ADDRESS(ROW(DFLoan1!C$25),COLUMN(DFLoan1!C$25),4)</f>
        <v>C25</v>
      </c>
      <c r="D7835" t="b" cm="1">
        <f t="array" aca="1" ref="D7835" ca="1">IF(INDIRECT("'"&amp;A7835&amp;"'!"&amp;B7835)="",FALSE,IF(INDIRECT("'"&amp;A7835&amp;"'!"&amp;B7835)&lt;0,TRUE,FALSE))</f>
        <v>0</v>
      </c>
      <c r="E7835" t="s">
        <v>434</v>
      </c>
      <c r="F7835" t="str">
        <f>INDEX(Lists!I:I,MATCH(Validation!E7835,Lists!G:G,0))</f>
        <v>Error</v>
      </c>
      <c r="G7835" t="str">
        <f>INDEX(Lists!H:H,MATCH(Validation!E7835,Lists!G:G,0))</f>
        <v>Amount may not be negative. Enter an amount greater than or equal to zero.</v>
      </c>
      <c r="H7835" s="16" t="str">
        <f t="shared" ca="1" si="855"/>
        <v/>
      </c>
      <c r="I7835" s="16" t="str">
        <f t="shared" ca="1" si="856"/>
        <v/>
      </c>
      <c r="J7835" s="17" t="str">
        <f t="shared" ca="1" si="857"/>
        <v/>
      </c>
    </row>
    <row r="7836" spans="1:10" x14ac:dyDescent="0.25">
      <c r="A7836" t="s">
        <v>963</v>
      </c>
      <c r="B7836" t="str">
        <f>ADDRESS(ROW(DFLoan1!B$25),COLUMN(DFLoan1!B$25),4)</f>
        <v>B25</v>
      </c>
      <c r="C7836" t="str">
        <f>ADDRESS(ROW(DFLoan1!C$25),COLUMN(DFLoan1!C$25),4)</f>
        <v>C25</v>
      </c>
      <c r="D7836" t="b" cm="1">
        <f t="array" aca="1" ref="D7836" ca="1">IF(INDIRECT("'"&amp;A7836&amp;"'!"&amp;B7836)="",FALSE,IF(INDIRECT("'"&amp;A7836&amp;"'!"&amp;B7836)&lt;0,TRUE,FALSE))</f>
        <v>0</v>
      </c>
      <c r="E7836" t="s">
        <v>434</v>
      </c>
      <c r="F7836" t="str">
        <f>INDEX(Lists!I:I,MATCH(Validation!E7836,Lists!G:G,0))</f>
        <v>Error</v>
      </c>
      <c r="G7836" t="str">
        <f>INDEX(Lists!H:H,MATCH(Validation!E7836,Lists!G:G,0))</f>
        <v>Amount may not be negative. Enter an amount greater than or equal to zero.</v>
      </c>
      <c r="H7836" s="16" t="str">
        <f t="shared" ca="1" si="855"/>
        <v/>
      </c>
      <c r="I7836" s="16" t="str">
        <f t="shared" ca="1" si="856"/>
        <v/>
      </c>
      <c r="J7836" s="17" t="str">
        <f t="shared" ca="1" si="857"/>
        <v/>
      </c>
    </row>
    <row r="7837" spans="1:10" x14ac:dyDescent="0.25">
      <c r="A7837" t="s">
        <v>964</v>
      </c>
      <c r="B7837" t="str">
        <f>ADDRESS(ROW(DFLoan1!B$25),COLUMN(DFLoan1!B$25),4)</f>
        <v>B25</v>
      </c>
      <c r="C7837" t="str">
        <f>ADDRESS(ROW(DFLoan1!C$25),COLUMN(DFLoan1!C$25),4)</f>
        <v>C25</v>
      </c>
      <c r="D7837" t="b" cm="1">
        <f t="array" aca="1" ref="D7837" ca="1">IF(INDIRECT("'"&amp;A7837&amp;"'!"&amp;B7837)="",FALSE,IF(INDIRECT("'"&amp;A7837&amp;"'!"&amp;B7837)&lt;0,TRUE,FALSE))</f>
        <v>0</v>
      </c>
      <c r="E7837" t="s">
        <v>434</v>
      </c>
      <c r="F7837" t="str">
        <f>INDEX(Lists!I:I,MATCH(Validation!E7837,Lists!G:G,0))</f>
        <v>Error</v>
      </c>
      <c r="G7837" t="str">
        <f>INDEX(Lists!H:H,MATCH(Validation!E7837,Lists!G:G,0))</f>
        <v>Amount may not be negative. Enter an amount greater than or equal to zero.</v>
      </c>
      <c r="H7837" s="16" t="str">
        <f t="shared" ca="1" si="855"/>
        <v/>
      </c>
      <c r="I7837" s="16" t="str">
        <f t="shared" ca="1" si="856"/>
        <v/>
      </c>
      <c r="J7837" s="17" t="str">
        <f t="shared" ca="1" si="857"/>
        <v/>
      </c>
    </row>
    <row r="7838" spans="1:10" x14ac:dyDescent="0.25">
      <c r="A7838" t="s">
        <v>965</v>
      </c>
      <c r="B7838" t="str">
        <f>ADDRESS(ROW(DFLoan1!B$25),COLUMN(DFLoan1!B$25),4)</f>
        <v>B25</v>
      </c>
      <c r="C7838" t="str">
        <f>ADDRESS(ROW(DFLoan1!C$25),COLUMN(DFLoan1!C$25),4)</f>
        <v>C25</v>
      </c>
      <c r="D7838" t="b" cm="1">
        <f t="array" aca="1" ref="D7838" ca="1">IF(INDIRECT("'"&amp;A7838&amp;"'!"&amp;B7838)="",FALSE,IF(INDIRECT("'"&amp;A7838&amp;"'!"&amp;B7838)&lt;0,TRUE,FALSE))</f>
        <v>0</v>
      </c>
      <c r="E7838" t="s">
        <v>434</v>
      </c>
      <c r="F7838" t="str">
        <f>INDEX(Lists!I:I,MATCH(Validation!E7838,Lists!G:G,0))</f>
        <v>Error</v>
      </c>
      <c r="G7838" t="str">
        <f>INDEX(Lists!H:H,MATCH(Validation!E7838,Lists!G:G,0))</f>
        <v>Amount may not be negative. Enter an amount greater than or equal to zero.</v>
      </c>
      <c r="H7838" s="16" t="str">
        <f t="shared" ca="1" si="855"/>
        <v/>
      </c>
      <c r="I7838" s="16" t="str">
        <f t="shared" ca="1" si="856"/>
        <v/>
      </c>
      <c r="J7838" s="17" t="str">
        <f t="shared" ca="1" si="857"/>
        <v/>
      </c>
    </row>
    <row r="7839" spans="1:10" x14ac:dyDescent="0.25">
      <c r="A7839" t="s">
        <v>966</v>
      </c>
      <c r="B7839" t="str">
        <f>ADDRESS(ROW(DFLoan1!B$25),COLUMN(DFLoan1!B$25),4)</f>
        <v>B25</v>
      </c>
      <c r="C7839" t="str">
        <f>ADDRESS(ROW(DFLoan1!C$25),COLUMN(DFLoan1!C$25),4)</f>
        <v>C25</v>
      </c>
      <c r="D7839" t="b" cm="1">
        <f t="array" aca="1" ref="D7839" ca="1">IF(INDIRECT("'"&amp;A7839&amp;"'!"&amp;B7839)="",FALSE,IF(INDIRECT("'"&amp;A7839&amp;"'!"&amp;B7839)&lt;0,TRUE,FALSE))</f>
        <v>0</v>
      </c>
      <c r="E7839" t="s">
        <v>434</v>
      </c>
      <c r="F7839" t="str">
        <f>INDEX(Lists!I:I,MATCH(Validation!E7839,Lists!G:G,0))</f>
        <v>Error</v>
      </c>
      <c r="G7839" t="str">
        <f>INDEX(Lists!H:H,MATCH(Validation!E7839,Lists!G:G,0))</f>
        <v>Amount may not be negative. Enter an amount greater than or equal to zero.</v>
      </c>
      <c r="H7839" s="16" t="str">
        <f t="shared" ca="1" si="855"/>
        <v/>
      </c>
      <c r="I7839" s="16" t="str">
        <f t="shared" ca="1" si="856"/>
        <v/>
      </c>
      <c r="J7839" s="17" t="str">
        <f t="shared" ca="1" si="857"/>
        <v/>
      </c>
    </row>
    <row r="7840" spans="1:10" x14ac:dyDescent="0.25">
      <c r="A7840" t="s">
        <v>881</v>
      </c>
      <c r="B7840" t="str">
        <f>ADDRESS(ROW(DFLoan1!B$25),COLUMN(DFLoan1!B$25),4)</f>
        <v>B25</v>
      </c>
      <c r="C7840" t="str">
        <f>ADDRESS(ROW(DFLoan1!C$25),COLUMN(DFLoan1!C$25),4)</f>
        <v>C25</v>
      </c>
      <c r="D7840" t="b" cm="1">
        <f t="array" aca="1" ref="D7840" ca="1">IF(INDIRECT("'"&amp;A7840&amp;"'!"&amp;B7840)="",FALSE,IF(TRUNC(INDIRECT("'"&amp;A7840&amp;"'!"&amp;B7840))=INDIRECT("'"&amp;A7840&amp;"'!"&amp;B7840),FALSE,TRUE))</f>
        <v>0</v>
      </c>
      <c r="E7840" t="s">
        <v>436</v>
      </c>
      <c r="F7840" t="str">
        <f>INDEX(Lists!I:I,MATCH(Validation!E7840,Lists!G:G,0))</f>
        <v>Error</v>
      </c>
      <c r="G7840" t="str">
        <f>INDEX(Lists!H:H,MATCH(Validation!E7840,Lists!G:G,0))</f>
        <v>Amount must be rounded to the nearest dollar.</v>
      </c>
      <c r="H7840" s="16" t="str">
        <f t="shared" ca="1" si="855"/>
        <v/>
      </c>
      <c r="I7840" s="16" t="str">
        <f t="shared" ca="1" si="856"/>
        <v/>
      </c>
      <c r="J7840" s="17" t="str">
        <f t="shared" ca="1" si="857"/>
        <v/>
      </c>
    </row>
    <row r="7841" spans="1:10" x14ac:dyDescent="0.25">
      <c r="A7841" t="s">
        <v>953</v>
      </c>
      <c r="B7841" t="str">
        <f>ADDRESS(ROW(DFLoan1!B$25),COLUMN(DFLoan1!B$25),4)</f>
        <v>B25</v>
      </c>
      <c r="C7841" t="str">
        <f>ADDRESS(ROW(DFLoan1!C$25),COLUMN(DFLoan1!C$25),4)</f>
        <v>C25</v>
      </c>
      <c r="D7841" t="b" cm="1">
        <f t="array" aca="1" ref="D7841" ca="1">IF(INDIRECT("'"&amp;A7841&amp;"'!"&amp;B7841)="",FALSE,IF(TRUNC(INDIRECT("'"&amp;A7841&amp;"'!"&amp;B7841))=INDIRECT("'"&amp;A7841&amp;"'!"&amp;B7841),FALSE,TRUE))</f>
        <v>0</v>
      </c>
      <c r="E7841" t="s">
        <v>436</v>
      </c>
      <c r="F7841" t="str">
        <f>INDEX(Lists!I:I,MATCH(Validation!E7841,Lists!G:G,0))</f>
        <v>Error</v>
      </c>
      <c r="G7841" t="str">
        <f>INDEX(Lists!H:H,MATCH(Validation!E7841,Lists!G:G,0))</f>
        <v>Amount must be rounded to the nearest dollar.</v>
      </c>
      <c r="H7841" s="16" t="str">
        <f t="shared" ca="1" si="855"/>
        <v/>
      </c>
      <c r="I7841" s="16" t="str">
        <f t="shared" ca="1" si="856"/>
        <v/>
      </c>
      <c r="J7841" s="17" t="str">
        <f t="shared" ca="1" si="857"/>
        <v/>
      </c>
    </row>
    <row r="7842" spans="1:10" x14ac:dyDescent="0.25">
      <c r="A7842" t="s">
        <v>954</v>
      </c>
      <c r="B7842" t="str">
        <f>ADDRESS(ROW(DFLoan1!B$25),COLUMN(DFLoan1!B$25),4)</f>
        <v>B25</v>
      </c>
      <c r="C7842" t="str">
        <f>ADDRESS(ROW(DFLoan1!C$25),COLUMN(DFLoan1!C$25),4)</f>
        <v>C25</v>
      </c>
      <c r="D7842" t="b" cm="1">
        <f t="array" aca="1" ref="D7842" ca="1">IF(INDIRECT("'"&amp;A7842&amp;"'!"&amp;B7842)="",FALSE,IF(TRUNC(INDIRECT("'"&amp;A7842&amp;"'!"&amp;B7842))=INDIRECT("'"&amp;A7842&amp;"'!"&amp;B7842),FALSE,TRUE))</f>
        <v>0</v>
      </c>
      <c r="E7842" t="s">
        <v>436</v>
      </c>
      <c r="F7842" t="str">
        <f>INDEX(Lists!I:I,MATCH(Validation!E7842,Lists!G:G,0))</f>
        <v>Error</v>
      </c>
      <c r="G7842" t="str">
        <f>INDEX(Lists!H:H,MATCH(Validation!E7842,Lists!G:G,0))</f>
        <v>Amount must be rounded to the nearest dollar.</v>
      </c>
      <c r="H7842" s="16" t="str">
        <f t="shared" ca="1" si="855"/>
        <v/>
      </c>
      <c r="I7842" s="16" t="str">
        <f t="shared" ca="1" si="856"/>
        <v/>
      </c>
      <c r="J7842" s="17" t="str">
        <f t="shared" ca="1" si="857"/>
        <v/>
      </c>
    </row>
    <row r="7843" spans="1:10" x14ac:dyDescent="0.25">
      <c r="A7843" t="s">
        <v>955</v>
      </c>
      <c r="B7843" t="str">
        <f>ADDRESS(ROW(DFLoan1!B$25),COLUMN(DFLoan1!B$25),4)</f>
        <v>B25</v>
      </c>
      <c r="C7843" t="str">
        <f>ADDRESS(ROW(DFLoan1!C$25),COLUMN(DFLoan1!C$25),4)</f>
        <v>C25</v>
      </c>
      <c r="D7843" t="b" cm="1">
        <f t="array" aca="1" ref="D7843" ca="1">IF(INDIRECT("'"&amp;A7843&amp;"'!"&amp;B7843)="",FALSE,IF(TRUNC(INDIRECT("'"&amp;A7843&amp;"'!"&amp;B7843))=INDIRECT("'"&amp;A7843&amp;"'!"&amp;B7843),FALSE,TRUE))</f>
        <v>0</v>
      </c>
      <c r="E7843" t="s">
        <v>436</v>
      </c>
      <c r="F7843" t="str">
        <f>INDEX(Lists!I:I,MATCH(Validation!E7843,Lists!G:G,0))</f>
        <v>Error</v>
      </c>
      <c r="G7843" t="str">
        <f>INDEX(Lists!H:H,MATCH(Validation!E7843,Lists!G:G,0))</f>
        <v>Amount must be rounded to the nearest dollar.</v>
      </c>
      <c r="H7843" s="16" t="str">
        <f t="shared" ca="1" si="855"/>
        <v/>
      </c>
      <c r="I7843" s="16" t="str">
        <f t="shared" ca="1" si="856"/>
        <v/>
      </c>
      <c r="J7843" s="17" t="str">
        <f t="shared" ca="1" si="857"/>
        <v/>
      </c>
    </row>
    <row r="7844" spans="1:10" x14ac:dyDescent="0.25">
      <c r="A7844" t="s">
        <v>956</v>
      </c>
      <c r="B7844" t="str">
        <f>ADDRESS(ROW(DFLoan1!B$25),COLUMN(DFLoan1!B$25),4)</f>
        <v>B25</v>
      </c>
      <c r="C7844" t="str">
        <f>ADDRESS(ROW(DFLoan1!C$25),COLUMN(DFLoan1!C$25),4)</f>
        <v>C25</v>
      </c>
      <c r="D7844" t="b" cm="1">
        <f t="array" aca="1" ref="D7844" ca="1">IF(INDIRECT("'"&amp;A7844&amp;"'!"&amp;B7844)="",FALSE,IF(TRUNC(INDIRECT("'"&amp;A7844&amp;"'!"&amp;B7844))=INDIRECT("'"&amp;A7844&amp;"'!"&amp;B7844),FALSE,TRUE))</f>
        <v>0</v>
      </c>
      <c r="E7844" t="s">
        <v>436</v>
      </c>
      <c r="F7844" t="str">
        <f>INDEX(Lists!I:I,MATCH(Validation!E7844,Lists!G:G,0))</f>
        <v>Error</v>
      </c>
      <c r="G7844" t="str">
        <f>INDEX(Lists!H:H,MATCH(Validation!E7844,Lists!G:G,0))</f>
        <v>Amount must be rounded to the nearest dollar.</v>
      </c>
      <c r="H7844" s="16" t="str">
        <f t="shared" ca="1" si="855"/>
        <v/>
      </c>
      <c r="I7844" s="16" t="str">
        <f t="shared" ca="1" si="856"/>
        <v/>
      </c>
      <c r="J7844" s="17" t="str">
        <f t="shared" ca="1" si="857"/>
        <v/>
      </c>
    </row>
    <row r="7845" spans="1:10" x14ac:dyDescent="0.25">
      <c r="A7845" t="s">
        <v>957</v>
      </c>
      <c r="B7845" t="str">
        <f>ADDRESS(ROW(DFLoan1!B$25),COLUMN(DFLoan1!B$25),4)</f>
        <v>B25</v>
      </c>
      <c r="C7845" t="str">
        <f>ADDRESS(ROW(DFLoan1!C$25),COLUMN(DFLoan1!C$25),4)</f>
        <v>C25</v>
      </c>
      <c r="D7845" t="b" cm="1">
        <f t="array" aca="1" ref="D7845" ca="1">IF(INDIRECT("'"&amp;A7845&amp;"'!"&amp;B7845)="",FALSE,IF(TRUNC(INDIRECT("'"&amp;A7845&amp;"'!"&amp;B7845))=INDIRECT("'"&amp;A7845&amp;"'!"&amp;B7845),FALSE,TRUE))</f>
        <v>0</v>
      </c>
      <c r="E7845" t="s">
        <v>436</v>
      </c>
      <c r="F7845" t="str">
        <f>INDEX(Lists!I:I,MATCH(Validation!E7845,Lists!G:G,0))</f>
        <v>Error</v>
      </c>
      <c r="G7845" t="str">
        <f>INDEX(Lists!H:H,MATCH(Validation!E7845,Lists!G:G,0))</f>
        <v>Amount must be rounded to the nearest dollar.</v>
      </c>
      <c r="H7845" s="16" t="str">
        <f t="shared" ca="1" si="855"/>
        <v/>
      </c>
      <c r="I7845" s="16" t="str">
        <f t="shared" ca="1" si="856"/>
        <v/>
      </c>
      <c r="J7845" s="17" t="str">
        <f t="shared" ca="1" si="857"/>
        <v/>
      </c>
    </row>
    <row r="7846" spans="1:10" x14ac:dyDescent="0.25">
      <c r="A7846" t="s">
        <v>958</v>
      </c>
      <c r="B7846" t="str">
        <f>ADDRESS(ROW(DFLoan1!B$25),COLUMN(DFLoan1!B$25),4)</f>
        <v>B25</v>
      </c>
      <c r="C7846" t="str">
        <f>ADDRESS(ROW(DFLoan1!C$25),COLUMN(DFLoan1!C$25),4)</f>
        <v>C25</v>
      </c>
      <c r="D7846" t="b" cm="1">
        <f t="array" aca="1" ref="D7846" ca="1">IF(INDIRECT("'"&amp;A7846&amp;"'!"&amp;B7846)="",FALSE,IF(TRUNC(INDIRECT("'"&amp;A7846&amp;"'!"&amp;B7846))=INDIRECT("'"&amp;A7846&amp;"'!"&amp;B7846),FALSE,TRUE))</f>
        <v>0</v>
      </c>
      <c r="E7846" t="s">
        <v>436</v>
      </c>
      <c r="F7846" t="str">
        <f>INDEX(Lists!I:I,MATCH(Validation!E7846,Lists!G:G,0))</f>
        <v>Error</v>
      </c>
      <c r="G7846" t="str">
        <f>INDEX(Lists!H:H,MATCH(Validation!E7846,Lists!G:G,0))</f>
        <v>Amount must be rounded to the nearest dollar.</v>
      </c>
      <c r="H7846" s="16" t="str">
        <f t="shared" ca="1" si="855"/>
        <v/>
      </c>
      <c r="I7846" s="16" t="str">
        <f t="shared" ca="1" si="856"/>
        <v/>
      </c>
      <c r="J7846" s="17" t="str">
        <f t="shared" ca="1" si="857"/>
        <v/>
      </c>
    </row>
    <row r="7847" spans="1:10" x14ac:dyDescent="0.25">
      <c r="A7847" t="s">
        <v>959</v>
      </c>
      <c r="B7847" t="str">
        <f>ADDRESS(ROW(DFLoan1!B$25),COLUMN(DFLoan1!B$25),4)</f>
        <v>B25</v>
      </c>
      <c r="C7847" t="str">
        <f>ADDRESS(ROW(DFLoan1!C$25),COLUMN(DFLoan1!C$25),4)</f>
        <v>C25</v>
      </c>
      <c r="D7847" t="b" cm="1">
        <f t="array" aca="1" ref="D7847" ca="1">IF(INDIRECT("'"&amp;A7847&amp;"'!"&amp;B7847)="",FALSE,IF(TRUNC(INDIRECT("'"&amp;A7847&amp;"'!"&amp;B7847))=INDIRECT("'"&amp;A7847&amp;"'!"&amp;B7847),FALSE,TRUE))</f>
        <v>0</v>
      </c>
      <c r="E7847" t="s">
        <v>436</v>
      </c>
      <c r="F7847" t="str">
        <f>INDEX(Lists!I:I,MATCH(Validation!E7847,Lists!G:G,0))</f>
        <v>Error</v>
      </c>
      <c r="G7847" t="str">
        <f>INDEX(Lists!H:H,MATCH(Validation!E7847,Lists!G:G,0))</f>
        <v>Amount must be rounded to the nearest dollar.</v>
      </c>
      <c r="H7847" s="16" t="str">
        <f t="shared" ca="1" si="855"/>
        <v/>
      </c>
      <c r="I7847" s="16" t="str">
        <f t="shared" ca="1" si="856"/>
        <v/>
      </c>
      <c r="J7847" s="17" t="str">
        <f t="shared" ca="1" si="857"/>
        <v/>
      </c>
    </row>
    <row r="7848" spans="1:10" x14ac:dyDescent="0.25">
      <c r="A7848" t="s">
        <v>960</v>
      </c>
      <c r="B7848" t="str">
        <f>ADDRESS(ROW(DFLoan1!B$25),COLUMN(DFLoan1!B$25),4)</f>
        <v>B25</v>
      </c>
      <c r="C7848" t="str">
        <f>ADDRESS(ROW(DFLoan1!C$25),COLUMN(DFLoan1!C$25),4)</f>
        <v>C25</v>
      </c>
      <c r="D7848" t="b" cm="1">
        <f t="array" aca="1" ref="D7848" ca="1">IF(INDIRECT("'"&amp;A7848&amp;"'!"&amp;B7848)="",FALSE,IF(TRUNC(INDIRECT("'"&amp;A7848&amp;"'!"&amp;B7848))=INDIRECT("'"&amp;A7848&amp;"'!"&amp;B7848),FALSE,TRUE))</f>
        <v>0</v>
      </c>
      <c r="E7848" t="s">
        <v>436</v>
      </c>
      <c r="F7848" t="str">
        <f>INDEX(Lists!I:I,MATCH(Validation!E7848,Lists!G:G,0))</f>
        <v>Error</v>
      </c>
      <c r="G7848" t="str">
        <f>INDEX(Lists!H:H,MATCH(Validation!E7848,Lists!G:G,0))</f>
        <v>Amount must be rounded to the nearest dollar.</v>
      </c>
      <c r="H7848" s="16" t="str">
        <f t="shared" ca="1" si="855"/>
        <v/>
      </c>
      <c r="I7848" s="16" t="str">
        <f t="shared" ca="1" si="856"/>
        <v/>
      </c>
      <c r="J7848" s="17" t="str">
        <f t="shared" ca="1" si="857"/>
        <v/>
      </c>
    </row>
    <row r="7849" spans="1:10" x14ac:dyDescent="0.25">
      <c r="A7849" t="s">
        <v>961</v>
      </c>
      <c r="B7849" t="str">
        <f>ADDRESS(ROW(DFLoan1!B$25),COLUMN(DFLoan1!B$25),4)</f>
        <v>B25</v>
      </c>
      <c r="C7849" t="str">
        <f>ADDRESS(ROW(DFLoan1!C$25),COLUMN(DFLoan1!C$25),4)</f>
        <v>C25</v>
      </c>
      <c r="D7849" t="b" cm="1">
        <f t="array" aca="1" ref="D7849" ca="1">IF(INDIRECT("'"&amp;A7849&amp;"'!"&amp;B7849)="",FALSE,IF(TRUNC(INDIRECT("'"&amp;A7849&amp;"'!"&amp;B7849))=INDIRECT("'"&amp;A7849&amp;"'!"&amp;B7849),FALSE,TRUE))</f>
        <v>0</v>
      </c>
      <c r="E7849" t="s">
        <v>436</v>
      </c>
      <c r="F7849" t="str">
        <f>INDEX(Lists!I:I,MATCH(Validation!E7849,Lists!G:G,0))</f>
        <v>Error</v>
      </c>
      <c r="G7849" t="str">
        <f>INDEX(Lists!H:H,MATCH(Validation!E7849,Lists!G:G,0))</f>
        <v>Amount must be rounded to the nearest dollar.</v>
      </c>
      <c r="H7849" s="16" t="str">
        <f t="shared" ca="1" si="855"/>
        <v/>
      </c>
      <c r="I7849" s="16" t="str">
        <f t="shared" ca="1" si="856"/>
        <v/>
      </c>
      <c r="J7849" s="17" t="str">
        <f t="shared" ca="1" si="857"/>
        <v/>
      </c>
    </row>
    <row r="7850" spans="1:10" x14ac:dyDescent="0.25">
      <c r="A7850" t="s">
        <v>962</v>
      </c>
      <c r="B7850" t="str">
        <f>ADDRESS(ROW(DFLoan1!B$25),COLUMN(DFLoan1!B$25),4)</f>
        <v>B25</v>
      </c>
      <c r="C7850" t="str">
        <f>ADDRESS(ROW(DFLoan1!C$25),COLUMN(DFLoan1!C$25),4)</f>
        <v>C25</v>
      </c>
      <c r="D7850" t="b" cm="1">
        <f t="array" aca="1" ref="D7850" ca="1">IF(INDIRECT("'"&amp;A7850&amp;"'!"&amp;B7850)="",FALSE,IF(TRUNC(INDIRECT("'"&amp;A7850&amp;"'!"&amp;B7850))=INDIRECT("'"&amp;A7850&amp;"'!"&amp;B7850),FALSE,TRUE))</f>
        <v>0</v>
      </c>
      <c r="E7850" t="s">
        <v>436</v>
      </c>
      <c r="F7850" t="str">
        <f>INDEX(Lists!I:I,MATCH(Validation!E7850,Lists!G:G,0))</f>
        <v>Error</v>
      </c>
      <c r="G7850" t="str">
        <f>INDEX(Lists!H:H,MATCH(Validation!E7850,Lists!G:G,0))</f>
        <v>Amount must be rounded to the nearest dollar.</v>
      </c>
      <c r="H7850" s="16" t="str">
        <f t="shared" ca="1" si="855"/>
        <v/>
      </c>
      <c r="I7850" s="16" t="str">
        <f t="shared" ca="1" si="856"/>
        <v/>
      </c>
      <c r="J7850" s="17" t="str">
        <f t="shared" ca="1" si="857"/>
        <v/>
      </c>
    </row>
    <row r="7851" spans="1:10" x14ac:dyDescent="0.25">
      <c r="A7851" t="s">
        <v>963</v>
      </c>
      <c r="B7851" t="str">
        <f>ADDRESS(ROW(DFLoan1!B$25),COLUMN(DFLoan1!B$25),4)</f>
        <v>B25</v>
      </c>
      <c r="C7851" t="str">
        <f>ADDRESS(ROW(DFLoan1!C$25),COLUMN(DFLoan1!C$25),4)</f>
        <v>C25</v>
      </c>
      <c r="D7851" t="b" cm="1">
        <f t="array" aca="1" ref="D7851" ca="1">IF(INDIRECT("'"&amp;A7851&amp;"'!"&amp;B7851)="",FALSE,IF(TRUNC(INDIRECT("'"&amp;A7851&amp;"'!"&amp;B7851))=INDIRECT("'"&amp;A7851&amp;"'!"&amp;B7851),FALSE,TRUE))</f>
        <v>0</v>
      </c>
      <c r="E7851" t="s">
        <v>436</v>
      </c>
      <c r="F7851" t="str">
        <f>INDEX(Lists!I:I,MATCH(Validation!E7851,Lists!G:G,0))</f>
        <v>Error</v>
      </c>
      <c r="G7851" t="str">
        <f>INDEX(Lists!H:H,MATCH(Validation!E7851,Lists!G:G,0))</f>
        <v>Amount must be rounded to the nearest dollar.</v>
      </c>
      <c r="H7851" s="16" t="str">
        <f t="shared" ca="1" si="855"/>
        <v/>
      </c>
      <c r="I7851" s="16" t="str">
        <f t="shared" ca="1" si="856"/>
        <v/>
      </c>
      <c r="J7851" s="17" t="str">
        <f t="shared" ca="1" si="857"/>
        <v/>
      </c>
    </row>
    <row r="7852" spans="1:10" x14ac:dyDescent="0.25">
      <c r="A7852" t="s">
        <v>964</v>
      </c>
      <c r="B7852" t="str">
        <f>ADDRESS(ROW(DFLoan1!B$25),COLUMN(DFLoan1!B$25),4)</f>
        <v>B25</v>
      </c>
      <c r="C7852" t="str">
        <f>ADDRESS(ROW(DFLoan1!C$25),COLUMN(DFLoan1!C$25),4)</f>
        <v>C25</v>
      </c>
      <c r="D7852" t="b" cm="1">
        <f t="array" aca="1" ref="D7852" ca="1">IF(INDIRECT("'"&amp;A7852&amp;"'!"&amp;B7852)="",FALSE,IF(TRUNC(INDIRECT("'"&amp;A7852&amp;"'!"&amp;B7852))=INDIRECT("'"&amp;A7852&amp;"'!"&amp;B7852),FALSE,TRUE))</f>
        <v>0</v>
      </c>
      <c r="E7852" t="s">
        <v>436</v>
      </c>
      <c r="F7852" t="str">
        <f>INDEX(Lists!I:I,MATCH(Validation!E7852,Lists!G:G,0))</f>
        <v>Error</v>
      </c>
      <c r="G7852" t="str">
        <f>INDEX(Lists!H:H,MATCH(Validation!E7852,Lists!G:G,0))</f>
        <v>Amount must be rounded to the nearest dollar.</v>
      </c>
      <c r="H7852" s="16" t="str">
        <f t="shared" ca="1" si="855"/>
        <v/>
      </c>
      <c r="I7852" s="16" t="str">
        <f t="shared" ca="1" si="856"/>
        <v/>
      </c>
      <c r="J7852" s="17" t="str">
        <f t="shared" ca="1" si="857"/>
        <v/>
      </c>
    </row>
    <row r="7853" spans="1:10" x14ac:dyDescent="0.25">
      <c r="A7853" t="s">
        <v>965</v>
      </c>
      <c r="B7853" t="str">
        <f>ADDRESS(ROW(DFLoan1!B$25),COLUMN(DFLoan1!B$25),4)</f>
        <v>B25</v>
      </c>
      <c r="C7853" t="str">
        <f>ADDRESS(ROW(DFLoan1!C$25),COLUMN(DFLoan1!C$25),4)</f>
        <v>C25</v>
      </c>
      <c r="D7853" t="b" cm="1">
        <f t="array" aca="1" ref="D7853" ca="1">IF(INDIRECT("'"&amp;A7853&amp;"'!"&amp;B7853)="",FALSE,IF(TRUNC(INDIRECT("'"&amp;A7853&amp;"'!"&amp;B7853))=INDIRECT("'"&amp;A7853&amp;"'!"&amp;B7853),FALSE,TRUE))</f>
        <v>0</v>
      </c>
      <c r="E7853" t="s">
        <v>436</v>
      </c>
      <c r="F7853" t="str">
        <f>INDEX(Lists!I:I,MATCH(Validation!E7853,Lists!G:G,0))</f>
        <v>Error</v>
      </c>
      <c r="G7853" t="str">
        <f>INDEX(Lists!H:H,MATCH(Validation!E7853,Lists!G:G,0))</f>
        <v>Amount must be rounded to the nearest dollar.</v>
      </c>
      <c r="H7853" s="16" t="str">
        <f t="shared" ca="1" si="855"/>
        <v/>
      </c>
      <c r="I7853" s="16" t="str">
        <f t="shared" ca="1" si="856"/>
        <v/>
      </c>
      <c r="J7853" s="17" t="str">
        <f t="shared" ca="1" si="857"/>
        <v/>
      </c>
    </row>
    <row r="7854" spans="1:10" x14ac:dyDescent="0.25">
      <c r="A7854" t="s">
        <v>966</v>
      </c>
      <c r="B7854" t="str">
        <f>ADDRESS(ROW(DFLoan1!B$25),COLUMN(DFLoan1!B$25),4)</f>
        <v>B25</v>
      </c>
      <c r="C7854" t="str">
        <f>ADDRESS(ROW(DFLoan1!C$25),COLUMN(DFLoan1!C$25),4)</f>
        <v>C25</v>
      </c>
      <c r="D7854" t="b" cm="1">
        <f t="array" aca="1" ref="D7854" ca="1">IF(INDIRECT("'"&amp;A7854&amp;"'!"&amp;B7854)="",FALSE,IF(TRUNC(INDIRECT("'"&amp;A7854&amp;"'!"&amp;B7854))=INDIRECT("'"&amp;A7854&amp;"'!"&amp;B7854),FALSE,TRUE))</f>
        <v>0</v>
      </c>
      <c r="E7854" t="s">
        <v>436</v>
      </c>
      <c r="F7854" t="str">
        <f>INDEX(Lists!I:I,MATCH(Validation!E7854,Lists!G:G,0))</f>
        <v>Error</v>
      </c>
      <c r="G7854" t="str">
        <f>INDEX(Lists!H:H,MATCH(Validation!E7854,Lists!G:G,0))</f>
        <v>Amount must be rounded to the nearest dollar.</v>
      </c>
      <c r="H7854" s="16" t="str">
        <f t="shared" ca="1" si="855"/>
        <v/>
      </c>
      <c r="I7854" s="16" t="str">
        <f t="shared" ca="1" si="856"/>
        <v/>
      </c>
      <c r="J7854" s="17" t="str">
        <f t="shared" ca="1" si="857"/>
        <v/>
      </c>
    </row>
    <row r="7855" spans="1:10" x14ac:dyDescent="0.25">
      <c r="A7855" t="s">
        <v>881</v>
      </c>
      <c r="B7855" t="str">
        <f>ADDRESS(ROW(DFLoan1!B$26),COLUMN(DFLoan1!B$26),4)</f>
        <v>B26</v>
      </c>
      <c r="C7855" t="str">
        <f>ADDRESS(ROW(DFLoan1!C$26),COLUMN(DFLoan1!C$26),4)</f>
        <v>C26</v>
      </c>
      <c r="D7855" t="b" cm="1">
        <f t="array" aca="1" ref="D7855" ca="1">IF(INDIRECT("'"&amp;A7855&amp;"'!"&amp;B7855)="",FALSE,IF(NOT(ISNUMBER(INDIRECT("'"&amp;A7855&amp;"'!"&amp;B7855))),TRUE,FALSE))</f>
        <v>0</v>
      </c>
      <c r="E7855" t="s">
        <v>435</v>
      </c>
      <c r="F7855" t="str">
        <f>INDEX(Lists!I:I,MATCH(Validation!E7855,Lists!G:G,0))</f>
        <v>Error</v>
      </c>
      <c r="G7855" t="str">
        <f>INDEX(Lists!H:H,MATCH(Validation!E7855,Lists!G:G,0))</f>
        <v>Enter an amount only. Do not enter text or spaces.</v>
      </c>
      <c r="H7855" s="16" t="str">
        <f t="shared" ref="H7855:H7918" ca="1" si="858">IFERROR(IF(OR(NOT(D7855),F7855&lt;&gt;"Error"),"",A7855&amp;CELL("address",INDIRECT(B7855))),"")</f>
        <v/>
      </c>
      <c r="I7855" s="16" t="str">
        <f t="shared" ref="I7855:I7918" ca="1" si="859">IFERROR(IF(NOT(D7855),"",A7855&amp;CELL("address",INDIRECT(C7855))),"")</f>
        <v/>
      </c>
      <c r="J7855" s="17" t="str">
        <f t="shared" ref="J7855:J7918" ca="1" si="860">IFERROR(IF(NOT(D7855),"",A7855),"")</f>
        <v/>
      </c>
    </row>
    <row r="7856" spans="1:10" x14ac:dyDescent="0.25">
      <c r="A7856" t="s">
        <v>953</v>
      </c>
      <c r="B7856" t="str">
        <f>ADDRESS(ROW(DFLoan1!B$26),COLUMN(DFLoan1!B$26),4)</f>
        <v>B26</v>
      </c>
      <c r="C7856" t="str">
        <f>ADDRESS(ROW(DFLoan1!C$26),COLUMN(DFLoan1!C$26),4)</f>
        <v>C26</v>
      </c>
      <c r="D7856" t="b" cm="1">
        <f t="array" aca="1" ref="D7856" ca="1">IF(INDIRECT("'"&amp;A7856&amp;"'!"&amp;B7856)="",FALSE,IF(NOT(ISNUMBER(INDIRECT("'"&amp;A7856&amp;"'!"&amp;B7856))),TRUE,FALSE))</f>
        <v>0</v>
      </c>
      <c r="E7856" t="s">
        <v>435</v>
      </c>
      <c r="F7856" t="str">
        <f>INDEX(Lists!I:I,MATCH(Validation!E7856,Lists!G:G,0))</f>
        <v>Error</v>
      </c>
      <c r="G7856" t="str">
        <f>INDEX(Lists!H:H,MATCH(Validation!E7856,Lists!G:G,0))</f>
        <v>Enter an amount only. Do not enter text or spaces.</v>
      </c>
      <c r="H7856" s="16" t="str">
        <f t="shared" ca="1" si="858"/>
        <v/>
      </c>
      <c r="I7856" s="16" t="str">
        <f t="shared" ca="1" si="859"/>
        <v/>
      </c>
      <c r="J7856" s="17" t="str">
        <f t="shared" ca="1" si="860"/>
        <v/>
      </c>
    </row>
    <row r="7857" spans="1:10" x14ac:dyDescent="0.25">
      <c r="A7857" t="s">
        <v>954</v>
      </c>
      <c r="B7857" t="str">
        <f>ADDRESS(ROW(DFLoan1!B$26),COLUMN(DFLoan1!B$26),4)</f>
        <v>B26</v>
      </c>
      <c r="C7857" t="str">
        <f>ADDRESS(ROW(DFLoan1!C$26),COLUMN(DFLoan1!C$26),4)</f>
        <v>C26</v>
      </c>
      <c r="D7857" t="b" cm="1">
        <f t="array" aca="1" ref="D7857" ca="1">IF(INDIRECT("'"&amp;A7857&amp;"'!"&amp;B7857)="",FALSE,IF(NOT(ISNUMBER(INDIRECT("'"&amp;A7857&amp;"'!"&amp;B7857))),TRUE,FALSE))</f>
        <v>0</v>
      </c>
      <c r="E7857" t="s">
        <v>435</v>
      </c>
      <c r="F7857" t="str">
        <f>INDEX(Lists!I:I,MATCH(Validation!E7857,Lists!G:G,0))</f>
        <v>Error</v>
      </c>
      <c r="G7857" t="str">
        <f>INDEX(Lists!H:H,MATCH(Validation!E7857,Lists!G:G,0))</f>
        <v>Enter an amount only. Do not enter text or spaces.</v>
      </c>
      <c r="H7857" s="16" t="str">
        <f t="shared" ca="1" si="858"/>
        <v/>
      </c>
      <c r="I7857" s="16" t="str">
        <f t="shared" ca="1" si="859"/>
        <v/>
      </c>
      <c r="J7857" s="17" t="str">
        <f t="shared" ca="1" si="860"/>
        <v/>
      </c>
    </row>
    <row r="7858" spans="1:10" x14ac:dyDescent="0.25">
      <c r="A7858" t="s">
        <v>955</v>
      </c>
      <c r="B7858" t="str">
        <f>ADDRESS(ROW(DFLoan1!B$26),COLUMN(DFLoan1!B$26),4)</f>
        <v>B26</v>
      </c>
      <c r="C7858" t="str">
        <f>ADDRESS(ROW(DFLoan1!C$26),COLUMN(DFLoan1!C$26),4)</f>
        <v>C26</v>
      </c>
      <c r="D7858" t="b" cm="1">
        <f t="array" aca="1" ref="D7858" ca="1">IF(INDIRECT("'"&amp;A7858&amp;"'!"&amp;B7858)="",FALSE,IF(NOT(ISNUMBER(INDIRECT("'"&amp;A7858&amp;"'!"&amp;B7858))),TRUE,FALSE))</f>
        <v>0</v>
      </c>
      <c r="E7858" t="s">
        <v>435</v>
      </c>
      <c r="F7858" t="str">
        <f>INDEX(Lists!I:I,MATCH(Validation!E7858,Lists!G:G,0))</f>
        <v>Error</v>
      </c>
      <c r="G7858" t="str">
        <f>INDEX(Lists!H:H,MATCH(Validation!E7858,Lists!G:G,0))</f>
        <v>Enter an amount only. Do not enter text or spaces.</v>
      </c>
      <c r="H7858" s="16" t="str">
        <f t="shared" ca="1" si="858"/>
        <v/>
      </c>
      <c r="I7858" s="16" t="str">
        <f t="shared" ca="1" si="859"/>
        <v/>
      </c>
      <c r="J7858" s="17" t="str">
        <f t="shared" ca="1" si="860"/>
        <v/>
      </c>
    </row>
    <row r="7859" spans="1:10" x14ac:dyDescent="0.25">
      <c r="A7859" t="s">
        <v>956</v>
      </c>
      <c r="B7859" t="str">
        <f>ADDRESS(ROW(DFLoan1!B$26),COLUMN(DFLoan1!B$26),4)</f>
        <v>B26</v>
      </c>
      <c r="C7859" t="str">
        <f>ADDRESS(ROW(DFLoan1!C$26),COLUMN(DFLoan1!C$26),4)</f>
        <v>C26</v>
      </c>
      <c r="D7859" t="b" cm="1">
        <f t="array" aca="1" ref="D7859" ca="1">IF(INDIRECT("'"&amp;A7859&amp;"'!"&amp;B7859)="",FALSE,IF(NOT(ISNUMBER(INDIRECT("'"&amp;A7859&amp;"'!"&amp;B7859))),TRUE,FALSE))</f>
        <v>0</v>
      </c>
      <c r="E7859" t="s">
        <v>435</v>
      </c>
      <c r="F7859" t="str">
        <f>INDEX(Lists!I:I,MATCH(Validation!E7859,Lists!G:G,0))</f>
        <v>Error</v>
      </c>
      <c r="G7859" t="str">
        <f>INDEX(Lists!H:H,MATCH(Validation!E7859,Lists!G:G,0))</f>
        <v>Enter an amount only. Do not enter text or spaces.</v>
      </c>
      <c r="H7859" s="16" t="str">
        <f t="shared" ca="1" si="858"/>
        <v/>
      </c>
      <c r="I7859" s="16" t="str">
        <f t="shared" ca="1" si="859"/>
        <v/>
      </c>
      <c r="J7859" s="17" t="str">
        <f t="shared" ca="1" si="860"/>
        <v/>
      </c>
    </row>
    <row r="7860" spans="1:10" x14ac:dyDescent="0.25">
      <c r="A7860" t="s">
        <v>957</v>
      </c>
      <c r="B7860" t="str">
        <f>ADDRESS(ROW(DFLoan1!B$26),COLUMN(DFLoan1!B$26),4)</f>
        <v>B26</v>
      </c>
      <c r="C7860" t="str">
        <f>ADDRESS(ROW(DFLoan1!C$26),COLUMN(DFLoan1!C$26),4)</f>
        <v>C26</v>
      </c>
      <c r="D7860" t="b" cm="1">
        <f t="array" aca="1" ref="D7860" ca="1">IF(INDIRECT("'"&amp;A7860&amp;"'!"&amp;B7860)="",FALSE,IF(NOT(ISNUMBER(INDIRECT("'"&amp;A7860&amp;"'!"&amp;B7860))),TRUE,FALSE))</f>
        <v>0</v>
      </c>
      <c r="E7860" t="s">
        <v>435</v>
      </c>
      <c r="F7860" t="str">
        <f>INDEX(Lists!I:I,MATCH(Validation!E7860,Lists!G:G,0))</f>
        <v>Error</v>
      </c>
      <c r="G7860" t="str">
        <f>INDEX(Lists!H:H,MATCH(Validation!E7860,Lists!G:G,0))</f>
        <v>Enter an amount only. Do not enter text or spaces.</v>
      </c>
      <c r="H7860" s="16" t="str">
        <f t="shared" ca="1" si="858"/>
        <v/>
      </c>
      <c r="I7860" s="16" t="str">
        <f t="shared" ca="1" si="859"/>
        <v/>
      </c>
      <c r="J7860" s="17" t="str">
        <f t="shared" ca="1" si="860"/>
        <v/>
      </c>
    </row>
    <row r="7861" spans="1:10" x14ac:dyDescent="0.25">
      <c r="A7861" t="s">
        <v>958</v>
      </c>
      <c r="B7861" t="str">
        <f>ADDRESS(ROW(DFLoan1!B$26),COLUMN(DFLoan1!B$26),4)</f>
        <v>B26</v>
      </c>
      <c r="C7861" t="str">
        <f>ADDRESS(ROW(DFLoan1!C$26),COLUMN(DFLoan1!C$26),4)</f>
        <v>C26</v>
      </c>
      <c r="D7861" t="b" cm="1">
        <f t="array" aca="1" ref="D7861" ca="1">IF(INDIRECT("'"&amp;A7861&amp;"'!"&amp;B7861)="",FALSE,IF(NOT(ISNUMBER(INDIRECT("'"&amp;A7861&amp;"'!"&amp;B7861))),TRUE,FALSE))</f>
        <v>0</v>
      </c>
      <c r="E7861" t="s">
        <v>435</v>
      </c>
      <c r="F7861" t="str">
        <f>INDEX(Lists!I:I,MATCH(Validation!E7861,Lists!G:G,0))</f>
        <v>Error</v>
      </c>
      <c r="G7861" t="str">
        <f>INDEX(Lists!H:H,MATCH(Validation!E7861,Lists!G:G,0))</f>
        <v>Enter an amount only. Do not enter text or spaces.</v>
      </c>
      <c r="H7861" s="16" t="str">
        <f t="shared" ca="1" si="858"/>
        <v/>
      </c>
      <c r="I7861" s="16" t="str">
        <f t="shared" ca="1" si="859"/>
        <v/>
      </c>
      <c r="J7861" s="17" t="str">
        <f t="shared" ca="1" si="860"/>
        <v/>
      </c>
    </row>
    <row r="7862" spans="1:10" x14ac:dyDescent="0.25">
      <c r="A7862" t="s">
        <v>959</v>
      </c>
      <c r="B7862" t="str">
        <f>ADDRESS(ROW(DFLoan1!B$26),COLUMN(DFLoan1!B$26),4)</f>
        <v>B26</v>
      </c>
      <c r="C7862" t="str">
        <f>ADDRESS(ROW(DFLoan1!C$26),COLUMN(DFLoan1!C$26),4)</f>
        <v>C26</v>
      </c>
      <c r="D7862" t="b" cm="1">
        <f t="array" aca="1" ref="D7862" ca="1">IF(INDIRECT("'"&amp;A7862&amp;"'!"&amp;B7862)="",FALSE,IF(NOT(ISNUMBER(INDIRECT("'"&amp;A7862&amp;"'!"&amp;B7862))),TRUE,FALSE))</f>
        <v>0</v>
      </c>
      <c r="E7862" t="s">
        <v>435</v>
      </c>
      <c r="F7862" t="str">
        <f>INDEX(Lists!I:I,MATCH(Validation!E7862,Lists!G:G,0))</f>
        <v>Error</v>
      </c>
      <c r="G7862" t="str">
        <f>INDEX(Lists!H:H,MATCH(Validation!E7862,Lists!G:G,0))</f>
        <v>Enter an amount only. Do not enter text or spaces.</v>
      </c>
      <c r="H7862" s="16" t="str">
        <f t="shared" ca="1" si="858"/>
        <v/>
      </c>
      <c r="I7862" s="16" t="str">
        <f t="shared" ca="1" si="859"/>
        <v/>
      </c>
      <c r="J7862" s="17" t="str">
        <f t="shared" ca="1" si="860"/>
        <v/>
      </c>
    </row>
    <row r="7863" spans="1:10" x14ac:dyDescent="0.25">
      <c r="A7863" t="s">
        <v>960</v>
      </c>
      <c r="B7863" t="str">
        <f>ADDRESS(ROW(DFLoan1!B$26),COLUMN(DFLoan1!B$26),4)</f>
        <v>B26</v>
      </c>
      <c r="C7863" t="str">
        <f>ADDRESS(ROW(DFLoan1!C$26),COLUMN(DFLoan1!C$26),4)</f>
        <v>C26</v>
      </c>
      <c r="D7863" t="b" cm="1">
        <f t="array" aca="1" ref="D7863" ca="1">IF(INDIRECT("'"&amp;A7863&amp;"'!"&amp;B7863)="",FALSE,IF(NOT(ISNUMBER(INDIRECT("'"&amp;A7863&amp;"'!"&amp;B7863))),TRUE,FALSE))</f>
        <v>0</v>
      </c>
      <c r="E7863" t="s">
        <v>435</v>
      </c>
      <c r="F7863" t="str">
        <f>INDEX(Lists!I:I,MATCH(Validation!E7863,Lists!G:G,0))</f>
        <v>Error</v>
      </c>
      <c r="G7863" t="str">
        <f>INDEX(Lists!H:H,MATCH(Validation!E7863,Lists!G:G,0))</f>
        <v>Enter an amount only. Do not enter text or spaces.</v>
      </c>
      <c r="H7863" s="16" t="str">
        <f t="shared" ca="1" si="858"/>
        <v/>
      </c>
      <c r="I7863" s="16" t="str">
        <f t="shared" ca="1" si="859"/>
        <v/>
      </c>
      <c r="J7863" s="17" t="str">
        <f t="shared" ca="1" si="860"/>
        <v/>
      </c>
    </row>
    <row r="7864" spans="1:10" x14ac:dyDescent="0.25">
      <c r="A7864" t="s">
        <v>961</v>
      </c>
      <c r="B7864" t="str">
        <f>ADDRESS(ROW(DFLoan1!B$26),COLUMN(DFLoan1!B$26),4)</f>
        <v>B26</v>
      </c>
      <c r="C7864" t="str">
        <f>ADDRESS(ROW(DFLoan1!C$26),COLUMN(DFLoan1!C$26),4)</f>
        <v>C26</v>
      </c>
      <c r="D7864" t="b" cm="1">
        <f t="array" aca="1" ref="D7864" ca="1">IF(INDIRECT("'"&amp;A7864&amp;"'!"&amp;B7864)="",FALSE,IF(NOT(ISNUMBER(INDIRECT("'"&amp;A7864&amp;"'!"&amp;B7864))),TRUE,FALSE))</f>
        <v>0</v>
      </c>
      <c r="E7864" t="s">
        <v>435</v>
      </c>
      <c r="F7864" t="str">
        <f>INDEX(Lists!I:I,MATCH(Validation!E7864,Lists!G:G,0))</f>
        <v>Error</v>
      </c>
      <c r="G7864" t="str">
        <f>INDEX(Lists!H:H,MATCH(Validation!E7864,Lists!G:G,0))</f>
        <v>Enter an amount only. Do not enter text or spaces.</v>
      </c>
      <c r="H7864" s="16" t="str">
        <f t="shared" ca="1" si="858"/>
        <v/>
      </c>
      <c r="I7864" s="16" t="str">
        <f t="shared" ca="1" si="859"/>
        <v/>
      </c>
      <c r="J7864" s="17" t="str">
        <f t="shared" ca="1" si="860"/>
        <v/>
      </c>
    </row>
    <row r="7865" spans="1:10" x14ac:dyDescent="0.25">
      <c r="A7865" t="s">
        <v>962</v>
      </c>
      <c r="B7865" t="str">
        <f>ADDRESS(ROW(DFLoan1!B$26),COLUMN(DFLoan1!B$26),4)</f>
        <v>B26</v>
      </c>
      <c r="C7865" t="str">
        <f>ADDRESS(ROW(DFLoan1!C$26),COLUMN(DFLoan1!C$26),4)</f>
        <v>C26</v>
      </c>
      <c r="D7865" t="b" cm="1">
        <f t="array" aca="1" ref="D7865" ca="1">IF(INDIRECT("'"&amp;A7865&amp;"'!"&amp;B7865)="",FALSE,IF(NOT(ISNUMBER(INDIRECT("'"&amp;A7865&amp;"'!"&amp;B7865))),TRUE,FALSE))</f>
        <v>0</v>
      </c>
      <c r="E7865" t="s">
        <v>435</v>
      </c>
      <c r="F7865" t="str">
        <f>INDEX(Lists!I:I,MATCH(Validation!E7865,Lists!G:G,0))</f>
        <v>Error</v>
      </c>
      <c r="G7865" t="str">
        <f>INDEX(Lists!H:H,MATCH(Validation!E7865,Lists!G:G,0))</f>
        <v>Enter an amount only. Do not enter text or spaces.</v>
      </c>
      <c r="H7865" s="16" t="str">
        <f t="shared" ca="1" si="858"/>
        <v/>
      </c>
      <c r="I7865" s="16" t="str">
        <f t="shared" ca="1" si="859"/>
        <v/>
      </c>
      <c r="J7865" s="17" t="str">
        <f t="shared" ca="1" si="860"/>
        <v/>
      </c>
    </row>
    <row r="7866" spans="1:10" x14ac:dyDescent="0.25">
      <c r="A7866" t="s">
        <v>963</v>
      </c>
      <c r="B7866" t="str">
        <f>ADDRESS(ROW(DFLoan1!B$26),COLUMN(DFLoan1!B$26),4)</f>
        <v>B26</v>
      </c>
      <c r="C7866" t="str">
        <f>ADDRESS(ROW(DFLoan1!C$26),COLUMN(DFLoan1!C$26),4)</f>
        <v>C26</v>
      </c>
      <c r="D7866" t="b" cm="1">
        <f t="array" aca="1" ref="D7866" ca="1">IF(INDIRECT("'"&amp;A7866&amp;"'!"&amp;B7866)="",FALSE,IF(NOT(ISNUMBER(INDIRECT("'"&amp;A7866&amp;"'!"&amp;B7866))),TRUE,FALSE))</f>
        <v>0</v>
      </c>
      <c r="E7866" t="s">
        <v>435</v>
      </c>
      <c r="F7866" t="str">
        <f>INDEX(Lists!I:I,MATCH(Validation!E7866,Lists!G:G,0))</f>
        <v>Error</v>
      </c>
      <c r="G7866" t="str">
        <f>INDEX(Lists!H:H,MATCH(Validation!E7866,Lists!G:G,0))</f>
        <v>Enter an amount only. Do not enter text or spaces.</v>
      </c>
      <c r="H7866" s="16" t="str">
        <f t="shared" ca="1" si="858"/>
        <v/>
      </c>
      <c r="I7866" s="16" t="str">
        <f t="shared" ca="1" si="859"/>
        <v/>
      </c>
      <c r="J7866" s="17" t="str">
        <f t="shared" ca="1" si="860"/>
        <v/>
      </c>
    </row>
    <row r="7867" spans="1:10" x14ac:dyDescent="0.25">
      <c r="A7867" t="s">
        <v>964</v>
      </c>
      <c r="B7867" t="str">
        <f>ADDRESS(ROW(DFLoan1!B$26),COLUMN(DFLoan1!B$26),4)</f>
        <v>B26</v>
      </c>
      <c r="C7867" t="str">
        <f>ADDRESS(ROW(DFLoan1!C$26),COLUMN(DFLoan1!C$26),4)</f>
        <v>C26</v>
      </c>
      <c r="D7867" t="b" cm="1">
        <f t="array" aca="1" ref="D7867" ca="1">IF(INDIRECT("'"&amp;A7867&amp;"'!"&amp;B7867)="",FALSE,IF(NOT(ISNUMBER(INDIRECT("'"&amp;A7867&amp;"'!"&amp;B7867))),TRUE,FALSE))</f>
        <v>0</v>
      </c>
      <c r="E7867" t="s">
        <v>435</v>
      </c>
      <c r="F7867" t="str">
        <f>INDEX(Lists!I:I,MATCH(Validation!E7867,Lists!G:G,0))</f>
        <v>Error</v>
      </c>
      <c r="G7867" t="str">
        <f>INDEX(Lists!H:H,MATCH(Validation!E7867,Lists!G:G,0))</f>
        <v>Enter an amount only. Do not enter text or spaces.</v>
      </c>
      <c r="H7867" s="16" t="str">
        <f t="shared" ca="1" si="858"/>
        <v/>
      </c>
      <c r="I7867" s="16" t="str">
        <f t="shared" ca="1" si="859"/>
        <v/>
      </c>
      <c r="J7867" s="17" t="str">
        <f t="shared" ca="1" si="860"/>
        <v/>
      </c>
    </row>
    <row r="7868" spans="1:10" x14ac:dyDescent="0.25">
      <c r="A7868" t="s">
        <v>965</v>
      </c>
      <c r="B7868" t="str">
        <f>ADDRESS(ROW(DFLoan1!B$26),COLUMN(DFLoan1!B$26),4)</f>
        <v>B26</v>
      </c>
      <c r="C7868" t="str">
        <f>ADDRESS(ROW(DFLoan1!C$26),COLUMN(DFLoan1!C$26),4)</f>
        <v>C26</v>
      </c>
      <c r="D7868" t="b" cm="1">
        <f t="array" aca="1" ref="D7868" ca="1">IF(INDIRECT("'"&amp;A7868&amp;"'!"&amp;B7868)="",FALSE,IF(NOT(ISNUMBER(INDIRECT("'"&amp;A7868&amp;"'!"&amp;B7868))),TRUE,FALSE))</f>
        <v>0</v>
      </c>
      <c r="E7868" t="s">
        <v>435</v>
      </c>
      <c r="F7868" t="str">
        <f>INDEX(Lists!I:I,MATCH(Validation!E7868,Lists!G:G,0))</f>
        <v>Error</v>
      </c>
      <c r="G7868" t="str">
        <f>INDEX(Lists!H:H,MATCH(Validation!E7868,Lists!G:G,0))</f>
        <v>Enter an amount only. Do not enter text or spaces.</v>
      </c>
      <c r="H7868" s="16" t="str">
        <f t="shared" ca="1" si="858"/>
        <v/>
      </c>
      <c r="I7868" s="16" t="str">
        <f t="shared" ca="1" si="859"/>
        <v/>
      </c>
      <c r="J7868" s="17" t="str">
        <f t="shared" ca="1" si="860"/>
        <v/>
      </c>
    </row>
    <row r="7869" spans="1:10" x14ac:dyDescent="0.25">
      <c r="A7869" t="s">
        <v>966</v>
      </c>
      <c r="B7869" t="str">
        <f>ADDRESS(ROW(DFLoan1!B$26),COLUMN(DFLoan1!B$26),4)</f>
        <v>B26</v>
      </c>
      <c r="C7869" t="str">
        <f>ADDRESS(ROW(DFLoan1!C$26),COLUMN(DFLoan1!C$26),4)</f>
        <v>C26</v>
      </c>
      <c r="D7869" t="b" cm="1">
        <f t="array" aca="1" ref="D7869" ca="1">IF(INDIRECT("'"&amp;A7869&amp;"'!"&amp;B7869)="",FALSE,IF(NOT(ISNUMBER(INDIRECT("'"&amp;A7869&amp;"'!"&amp;B7869))),TRUE,FALSE))</f>
        <v>0</v>
      </c>
      <c r="E7869" t="s">
        <v>435</v>
      </c>
      <c r="F7869" t="str">
        <f>INDEX(Lists!I:I,MATCH(Validation!E7869,Lists!G:G,0))</f>
        <v>Error</v>
      </c>
      <c r="G7869" t="str">
        <f>INDEX(Lists!H:H,MATCH(Validation!E7869,Lists!G:G,0))</f>
        <v>Enter an amount only. Do not enter text or spaces.</v>
      </c>
      <c r="H7869" s="16" t="str">
        <f t="shared" ca="1" si="858"/>
        <v/>
      </c>
      <c r="I7869" s="16" t="str">
        <f t="shared" ca="1" si="859"/>
        <v/>
      </c>
      <c r="J7869" s="17" t="str">
        <f t="shared" ca="1" si="860"/>
        <v/>
      </c>
    </row>
    <row r="7870" spans="1:10" x14ac:dyDescent="0.25">
      <c r="A7870" t="s">
        <v>881</v>
      </c>
      <c r="B7870" t="str">
        <f>ADDRESS(ROW(DFLoan1!B$26),COLUMN(DFLoan1!B$26),4)</f>
        <v>B26</v>
      </c>
      <c r="C7870" t="str">
        <f>ADDRESS(ROW(DFLoan1!C$26),COLUMN(DFLoan1!C$26),4)</f>
        <v>C26</v>
      </c>
      <c r="D7870" t="b" cm="1">
        <f t="array" aca="1" ref="D7870" ca="1">IF(INDIRECT("'"&amp;A7870&amp;"'!"&amp;B7870)="",FALSE,IF(INDIRECT("'"&amp;A7870&amp;"'!"&amp;B7870)&lt;0,TRUE,FALSE))</f>
        <v>0</v>
      </c>
      <c r="E7870" t="s">
        <v>434</v>
      </c>
      <c r="F7870" t="str">
        <f>INDEX(Lists!I:I,MATCH(Validation!E7870,Lists!G:G,0))</f>
        <v>Error</v>
      </c>
      <c r="G7870" t="str">
        <f>INDEX(Lists!H:H,MATCH(Validation!E7870,Lists!G:G,0))</f>
        <v>Amount may not be negative. Enter an amount greater than or equal to zero.</v>
      </c>
      <c r="H7870" s="16" t="str">
        <f t="shared" ca="1" si="858"/>
        <v/>
      </c>
      <c r="I7870" s="16" t="str">
        <f t="shared" ca="1" si="859"/>
        <v/>
      </c>
      <c r="J7870" s="17" t="str">
        <f t="shared" ca="1" si="860"/>
        <v/>
      </c>
    </row>
    <row r="7871" spans="1:10" x14ac:dyDescent="0.25">
      <c r="A7871" t="s">
        <v>953</v>
      </c>
      <c r="B7871" t="str">
        <f>ADDRESS(ROW(DFLoan1!B$26),COLUMN(DFLoan1!B$26),4)</f>
        <v>B26</v>
      </c>
      <c r="C7871" t="str">
        <f>ADDRESS(ROW(DFLoan1!C$26),COLUMN(DFLoan1!C$26),4)</f>
        <v>C26</v>
      </c>
      <c r="D7871" t="b" cm="1">
        <f t="array" aca="1" ref="D7871" ca="1">IF(INDIRECT("'"&amp;A7871&amp;"'!"&amp;B7871)="",FALSE,IF(INDIRECT("'"&amp;A7871&amp;"'!"&amp;B7871)&lt;0,TRUE,FALSE))</f>
        <v>0</v>
      </c>
      <c r="E7871" t="s">
        <v>434</v>
      </c>
      <c r="F7871" t="str">
        <f>INDEX(Lists!I:I,MATCH(Validation!E7871,Lists!G:G,0))</f>
        <v>Error</v>
      </c>
      <c r="G7871" t="str">
        <f>INDEX(Lists!H:H,MATCH(Validation!E7871,Lists!G:G,0))</f>
        <v>Amount may not be negative. Enter an amount greater than or equal to zero.</v>
      </c>
      <c r="H7871" s="16" t="str">
        <f t="shared" ca="1" si="858"/>
        <v/>
      </c>
      <c r="I7871" s="16" t="str">
        <f t="shared" ca="1" si="859"/>
        <v/>
      </c>
      <c r="J7871" s="17" t="str">
        <f t="shared" ca="1" si="860"/>
        <v/>
      </c>
    </row>
    <row r="7872" spans="1:10" x14ac:dyDescent="0.25">
      <c r="A7872" t="s">
        <v>954</v>
      </c>
      <c r="B7872" t="str">
        <f>ADDRESS(ROW(DFLoan1!B$26),COLUMN(DFLoan1!B$26),4)</f>
        <v>B26</v>
      </c>
      <c r="C7872" t="str">
        <f>ADDRESS(ROW(DFLoan1!C$26),COLUMN(DFLoan1!C$26),4)</f>
        <v>C26</v>
      </c>
      <c r="D7872" t="b" cm="1">
        <f t="array" aca="1" ref="D7872" ca="1">IF(INDIRECT("'"&amp;A7872&amp;"'!"&amp;B7872)="",FALSE,IF(INDIRECT("'"&amp;A7872&amp;"'!"&amp;B7872)&lt;0,TRUE,FALSE))</f>
        <v>0</v>
      </c>
      <c r="E7872" t="s">
        <v>434</v>
      </c>
      <c r="F7872" t="str">
        <f>INDEX(Lists!I:I,MATCH(Validation!E7872,Lists!G:G,0))</f>
        <v>Error</v>
      </c>
      <c r="G7872" t="str">
        <f>INDEX(Lists!H:H,MATCH(Validation!E7872,Lists!G:G,0))</f>
        <v>Amount may not be negative. Enter an amount greater than or equal to zero.</v>
      </c>
      <c r="H7872" s="16" t="str">
        <f t="shared" ca="1" si="858"/>
        <v/>
      </c>
      <c r="I7872" s="16" t="str">
        <f t="shared" ca="1" si="859"/>
        <v/>
      </c>
      <c r="J7872" s="17" t="str">
        <f t="shared" ca="1" si="860"/>
        <v/>
      </c>
    </row>
    <row r="7873" spans="1:10" x14ac:dyDescent="0.25">
      <c r="A7873" t="s">
        <v>955</v>
      </c>
      <c r="B7873" t="str">
        <f>ADDRESS(ROW(DFLoan1!B$26),COLUMN(DFLoan1!B$26),4)</f>
        <v>B26</v>
      </c>
      <c r="C7873" t="str">
        <f>ADDRESS(ROW(DFLoan1!C$26),COLUMN(DFLoan1!C$26),4)</f>
        <v>C26</v>
      </c>
      <c r="D7873" t="b" cm="1">
        <f t="array" aca="1" ref="D7873" ca="1">IF(INDIRECT("'"&amp;A7873&amp;"'!"&amp;B7873)="",FALSE,IF(INDIRECT("'"&amp;A7873&amp;"'!"&amp;B7873)&lt;0,TRUE,FALSE))</f>
        <v>0</v>
      </c>
      <c r="E7873" t="s">
        <v>434</v>
      </c>
      <c r="F7873" t="str">
        <f>INDEX(Lists!I:I,MATCH(Validation!E7873,Lists!G:G,0))</f>
        <v>Error</v>
      </c>
      <c r="G7873" t="str">
        <f>INDEX(Lists!H:H,MATCH(Validation!E7873,Lists!G:G,0))</f>
        <v>Amount may not be negative. Enter an amount greater than or equal to zero.</v>
      </c>
      <c r="H7873" s="16" t="str">
        <f t="shared" ca="1" si="858"/>
        <v/>
      </c>
      <c r="I7873" s="16" t="str">
        <f t="shared" ca="1" si="859"/>
        <v/>
      </c>
      <c r="J7873" s="17" t="str">
        <f t="shared" ca="1" si="860"/>
        <v/>
      </c>
    </row>
    <row r="7874" spans="1:10" x14ac:dyDescent="0.25">
      <c r="A7874" t="s">
        <v>956</v>
      </c>
      <c r="B7874" t="str">
        <f>ADDRESS(ROW(DFLoan1!B$26),COLUMN(DFLoan1!B$26),4)</f>
        <v>B26</v>
      </c>
      <c r="C7874" t="str">
        <f>ADDRESS(ROW(DFLoan1!C$26),COLUMN(DFLoan1!C$26),4)</f>
        <v>C26</v>
      </c>
      <c r="D7874" t="b" cm="1">
        <f t="array" aca="1" ref="D7874" ca="1">IF(INDIRECT("'"&amp;A7874&amp;"'!"&amp;B7874)="",FALSE,IF(INDIRECT("'"&amp;A7874&amp;"'!"&amp;B7874)&lt;0,TRUE,FALSE))</f>
        <v>0</v>
      </c>
      <c r="E7874" t="s">
        <v>434</v>
      </c>
      <c r="F7874" t="str">
        <f>INDEX(Lists!I:I,MATCH(Validation!E7874,Lists!G:G,0))</f>
        <v>Error</v>
      </c>
      <c r="G7874" t="str">
        <f>INDEX(Lists!H:H,MATCH(Validation!E7874,Lists!G:G,0))</f>
        <v>Amount may not be negative. Enter an amount greater than or equal to zero.</v>
      </c>
      <c r="H7874" s="16" t="str">
        <f t="shared" ca="1" si="858"/>
        <v/>
      </c>
      <c r="I7874" s="16" t="str">
        <f t="shared" ca="1" si="859"/>
        <v/>
      </c>
      <c r="J7874" s="17" t="str">
        <f t="shared" ca="1" si="860"/>
        <v/>
      </c>
    </row>
    <row r="7875" spans="1:10" x14ac:dyDescent="0.25">
      <c r="A7875" t="s">
        <v>957</v>
      </c>
      <c r="B7875" t="str">
        <f>ADDRESS(ROW(DFLoan1!B$26),COLUMN(DFLoan1!B$26),4)</f>
        <v>B26</v>
      </c>
      <c r="C7875" t="str">
        <f>ADDRESS(ROW(DFLoan1!C$26),COLUMN(DFLoan1!C$26),4)</f>
        <v>C26</v>
      </c>
      <c r="D7875" t="b" cm="1">
        <f t="array" aca="1" ref="D7875" ca="1">IF(INDIRECT("'"&amp;A7875&amp;"'!"&amp;B7875)="",FALSE,IF(INDIRECT("'"&amp;A7875&amp;"'!"&amp;B7875)&lt;0,TRUE,FALSE))</f>
        <v>0</v>
      </c>
      <c r="E7875" t="s">
        <v>434</v>
      </c>
      <c r="F7875" t="str">
        <f>INDEX(Lists!I:I,MATCH(Validation!E7875,Lists!G:G,0))</f>
        <v>Error</v>
      </c>
      <c r="G7875" t="str">
        <f>INDEX(Lists!H:H,MATCH(Validation!E7875,Lists!G:G,0))</f>
        <v>Amount may not be negative. Enter an amount greater than or equal to zero.</v>
      </c>
      <c r="H7875" s="16" t="str">
        <f t="shared" ca="1" si="858"/>
        <v/>
      </c>
      <c r="I7875" s="16" t="str">
        <f t="shared" ca="1" si="859"/>
        <v/>
      </c>
      <c r="J7875" s="17" t="str">
        <f t="shared" ca="1" si="860"/>
        <v/>
      </c>
    </row>
    <row r="7876" spans="1:10" x14ac:dyDescent="0.25">
      <c r="A7876" t="s">
        <v>958</v>
      </c>
      <c r="B7876" t="str">
        <f>ADDRESS(ROW(DFLoan1!B$26),COLUMN(DFLoan1!B$26),4)</f>
        <v>B26</v>
      </c>
      <c r="C7876" t="str">
        <f>ADDRESS(ROW(DFLoan1!C$26),COLUMN(DFLoan1!C$26),4)</f>
        <v>C26</v>
      </c>
      <c r="D7876" t="b" cm="1">
        <f t="array" aca="1" ref="D7876" ca="1">IF(INDIRECT("'"&amp;A7876&amp;"'!"&amp;B7876)="",FALSE,IF(INDIRECT("'"&amp;A7876&amp;"'!"&amp;B7876)&lt;0,TRUE,FALSE))</f>
        <v>0</v>
      </c>
      <c r="E7876" t="s">
        <v>434</v>
      </c>
      <c r="F7876" t="str">
        <f>INDEX(Lists!I:I,MATCH(Validation!E7876,Lists!G:G,0))</f>
        <v>Error</v>
      </c>
      <c r="G7876" t="str">
        <f>INDEX(Lists!H:H,MATCH(Validation!E7876,Lists!G:G,0))</f>
        <v>Amount may not be negative. Enter an amount greater than or equal to zero.</v>
      </c>
      <c r="H7876" s="16" t="str">
        <f t="shared" ca="1" si="858"/>
        <v/>
      </c>
      <c r="I7876" s="16" t="str">
        <f t="shared" ca="1" si="859"/>
        <v/>
      </c>
      <c r="J7876" s="17" t="str">
        <f t="shared" ca="1" si="860"/>
        <v/>
      </c>
    </row>
    <row r="7877" spans="1:10" x14ac:dyDescent="0.25">
      <c r="A7877" t="s">
        <v>959</v>
      </c>
      <c r="B7877" t="str">
        <f>ADDRESS(ROW(DFLoan1!B$26),COLUMN(DFLoan1!B$26),4)</f>
        <v>B26</v>
      </c>
      <c r="C7877" t="str">
        <f>ADDRESS(ROW(DFLoan1!C$26),COLUMN(DFLoan1!C$26),4)</f>
        <v>C26</v>
      </c>
      <c r="D7877" t="b" cm="1">
        <f t="array" aca="1" ref="D7877" ca="1">IF(INDIRECT("'"&amp;A7877&amp;"'!"&amp;B7877)="",FALSE,IF(INDIRECT("'"&amp;A7877&amp;"'!"&amp;B7877)&lt;0,TRUE,FALSE))</f>
        <v>0</v>
      </c>
      <c r="E7877" t="s">
        <v>434</v>
      </c>
      <c r="F7877" t="str">
        <f>INDEX(Lists!I:I,MATCH(Validation!E7877,Lists!G:G,0))</f>
        <v>Error</v>
      </c>
      <c r="G7877" t="str">
        <f>INDEX(Lists!H:H,MATCH(Validation!E7877,Lists!G:G,0))</f>
        <v>Amount may not be negative. Enter an amount greater than or equal to zero.</v>
      </c>
      <c r="H7877" s="16" t="str">
        <f t="shared" ca="1" si="858"/>
        <v/>
      </c>
      <c r="I7877" s="16" t="str">
        <f t="shared" ca="1" si="859"/>
        <v/>
      </c>
      <c r="J7877" s="17" t="str">
        <f t="shared" ca="1" si="860"/>
        <v/>
      </c>
    </row>
    <row r="7878" spans="1:10" x14ac:dyDescent="0.25">
      <c r="A7878" t="s">
        <v>960</v>
      </c>
      <c r="B7878" t="str">
        <f>ADDRESS(ROW(DFLoan1!B$26),COLUMN(DFLoan1!B$26),4)</f>
        <v>B26</v>
      </c>
      <c r="C7878" t="str">
        <f>ADDRESS(ROW(DFLoan1!C$26),COLUMN(DFLoan1!C$26),4)</f>
        <v>C26</v>
      </c>
      <c r="D7878" t="b" cm="1">
        <f t="array" aca="1" ref="D7878" ca="1">IF(INDIRECT("'"&amp;A7878&amp;"'!"&amp;B7878)="",FALSE,IF(INDIRECT("'"&amp;A7878&amp;"'!"&amp;B7878)&lt;0,TRUE,FALSE))</f>
        <v>0</v>
      </c>
      <c r="E7878" t="s">
        <v>434</v>
      </c>
      <c r="F7878" t="str">
        <f>INDEX(Lists!I:I,MATCH(Validation!E7878,Lists!G:G,0))</f>
        <v>Error</v>
      </c>
      <c r="G7878" t="str">
        <f>INDEX(Lists!H:H,MATCH(Validation!E7878,Lists!G:G,0))</f>
        <v>Amount may not be negative. Enter an amount greater than or equal to zero.</v>
      </c>
      <c r="H7878" s="16" t="str">
        <f t="shared" ca="1" si="858"/>
        <v/>
      </c>
      <c r="I7878" s="16" t="str">
        <f t="shared" ca="1" si="859"/>
        <v/>
      </c>
      <c r="J7878" s="17" t="str">
        <f t="shared" ca="1" si="860"/>
        <v/>
      </c>
    </row>
    <row r="7879" spans="1:10" x14ac:dyDescent="0.25">
      <c r="A7879" t="s">
        <v>961</v>
      </c>
      <c r="B7879" t="str">
        <f>ADDRESS(ROW(DFLoan1!B$26),COLUMN(DFLoan1!B$26),4)</f>
        <v>B26</v>
      </c>
      <c r="C7879" t="str">
        <f>ADDRESS(ROW(DFLoan1!C$26),COLUMN(DFLoan1!C$26),4)</f>
        <v>C26</v>
      </c>
      <c r="D7879" t="b" cm="1">
        <f t="array" aca="1" ref="D7879" ca="1">IF(INDIRECT("'"&amp;A7879&amp;"'!"&amp;B7879)="",FALSE,IF(INDIRECT("'"&amp;A7879&amp;"'!"&amp;B7879)&lt;0,TRUE,FALSE))</f>
        <v>0</v>
      </c>
      <c r="E7879" t="s">
        <v>434</v>
      </c>
      <c r="F7879" t="str">
        <f>INDEX(Lists!I:I,MATCH(Validation!E7879,Lists!G:G,0))</f>
        <v>Error</v>
      </c>
      <c r="G7879" t="str">
        <f>INDEX(Lists!H:H,MATCH(Validation!E7879,Lists!G:G,0))</f>
        <v>Amount may not be negative. Enter an amount greater than or equal to zero.</v>
      </c>
      <c r="H7879" s="16" t="str">
        <f t="shared" ca="1" si="858"/>
        <v/>
      </c>
      <c r="I7879" s="16" t="str">
        <f t="shared" ca="1" si="859"/>
        <v/>
      </c>
      <c r="J7879" s="17" t="str">
        <f t="shared" ca="1" si="860"/>
        <v/>
      </c>
    </row>
    <row r="7880" spans="1:10" x14ac:dyDescent="0.25">
      <c r="A7880" t="s">
        <v>962</v>
      </c>
      <c r="B7880" t="str">
        <f>ADDRESS(ROW(DFLoan1!B$26),COLUMN(DFLoan1!B$26),4)</f>
        <v>B26</v>
      </c>
      <c r="C7880" t="str">
        <f>ADDRESS(ROW(DFLoan1!C$26),COLUMN(DFLoan1!C$26),4)</f>
        <v>C26</v>
      </c>
      <c r="D7880" t="b" cm="1">
        <f t="array" aca="1" ref="D7880" ca="1">IF(INDIRECT("'"&amp;A7880&amp;"'!"&amp;B7880)="",FALSE,IF(INDIRECT("'"&amp;A7880&amp;"'!"&amp;B7880)&lt;0,TRUE,FALSE))</f>
        <v>0</v>
      </c>
      <c r="E7880" t="s">
        <v>434</v>
      </c>
      <c r="F7880" t="str">
        <f>INDEX(Lists!I:I,MATCH(Validation!E7880,Lists!G:G,0))</f>
        <v>Error</v>
      </c>
      <c r="G7880" t="str">
        <f>INDEX(Lists!H:H,MATCH(Validation!E7880,Lists!G:G,0))</f>
        <v>Amount may not be negative. Enter an amount greater than or equal to zero.</v>
      </c>
      <c r="H7880" s="16" t="str">
        <f t="shared" ca="1" si="858"/>
        <v/>
      </c>
      <c r="I7880" s="16" t="str">
        <f t="shared" ca="1" si="859"/>
        <v/>
      </c>
      <c r="J7880" s="17" t="str">
        <f t="shared" ca="1" si="860"/>
        <v/>
      </c>
    </row>
    <row r="7881" spans="1:10" x14ac:dyDescent="0.25">
      <c r="A7881" t="s">
        <v>963</v>
      </c>
      <c r="B7881" t="str">
        <f>ADDRESS(ROW(DFLoan1!B$26),COLUMN(DFLoan1!B$26),4)</f>
        <v>B26</v>
      </c>
      <c r="C7881" t="str">
        <f>ADDRESS(ROW(DFLoan1!C$26),COLUMN(DFLoan1!C$26),4)</f>
        <v>C26</v>
      </c>
      <c r="D7881" t="b" cm="1">
        <f t="array" aca="1" ref="D7881" ca="1">IF(INDIRECT("'"&amp;A7881&amp;"'!"&amp;B7881)="",FALSE,IF(INDIRECT("'"&amp;A7881&amp;"'!"&amp;B7881)&lt;0,TRUE,FALSE))</f>
        <v>0</v>
      </c>
      <c r="E7881" t="s">
        <v>434</v>
      </c>
      <c r="F7881" t="str">
        <f>INDEX(Lists!I:I,MATCH(Validation!E7881,Lists!G:G,0))</f>
        <v>Error</v>
      </c>
      <c r="G7881" t="str">
        <f>INDEX(Lists!H:H,MATCH(Validation!E7881,Lists!G:G,0))</f>
        <v>Amount may not be negative. Enter an amount greater than or equal to zero.</v>
      </c>
      <c r="H7881" s="16" t="str">
        <f t="shared" ca="1" si="858"/>
        <v/>
      </c>
      <c r="I7881" s="16" t="str">
        <f t="shared" ca="1" si="859"/>
        <v/>
      </c>
      <c r="J7881" s="17" t="str">
        <f t="shared" ca="1" si="860"/>
        <v/>
      </c>
    </row>
    <row r="7882" spans="1:10" x14ac:dyDescent="0.25">
      <c r="A7882" t="s">
        <v>964</v>
      </c>
      <c r="B7882" t="str">
        <f>ADDRESS(ROW(DFLoan1!B$26),COLUMN(DFLoan1!B$26),4)</f>
        <v>B26</v>
      </c>
      <c r="C7882" t="str">
        <f>ADDRESS(ROW(DFLoan1!C$26),COLUMN(DFLoan1!C$26),4)</f>
        <v>C26</v>
      </c>
      <c r="D7882" t="b" cm="1">
        <f t="array" aca="1" ref="D7882" ca="1">IF(INDIRECT("'"&amp;A7882&amp;"'!"&amp;B7882)="",FALSE,IF(INDIRECT("'"&amp;A7882&amp;"'!"&amp;B7882)&lt;0,TRUE,FALSE))</f>
        <v>0</v>
      </c>
      <c r="E7882" t="s">
        <v>434</v>
      </c>
      <c r="F7882" t="str">
        <f>INDEX(Lists!I:I,MATCH(Validation!E7882,Lists!G:G,0))</f>
        <v>Error</v>
      </c>
      <c r="G7882" t="str">
        <f>INDEX(Lists!H:H,MATCH(Validation!E7882,Lists!G:G,0))</f>
        <v>Amount may not be negative. Enter an amount greater than or equal to zero.</v>
      </c>
      <c r="H7882" s="16" t="str">
        <f t="shared" ca="1" si="858"/>
        <v/>
      </c>
      <c r="I7882" s="16" t="str">
        <f t="shared" ca="1" si="859"/>
        <v/>
      </c>
      <c r="J7882" s="17" t="str">
        <f t="shared" ca="1" si="860"/>
        <v/>
      </c>
    </row>
    <row r="7883" spans="1:10" x14ac:dyDescent="0.25">
      <c r="A7883" t="s">
        <v>965</v>
      </c>
      <c r="B7883" t="str">
        <f>ADDRESS(ROW(DFLoan1!B$26),COLUMN(DFLoan1!B$26),4)</f>
        <v>B26</v>
      </c>
      <c r="C7883" t="str">
        <f>ADDRESS(ROW(DFLoan1!C$26),COLUMN(DFLoan1!C$26),4)</f>
        <v>C26</v>
      </c>
      <c r="D7883" t="b" cm="1">
        <f t="array" aca="1" ref="D7883" ca="1">IF(INDIRECT("'"&amp;A7883&amp;"'!"&amp;B7883)="",FALSE,IF(INDIRECT("'"&amp;A7883&amp;"'!"&amp;B7883)&lt;0,TRUE,FALSE))</f>
        <v>0</v>
      </c>
      <c r="E7883" t="s">
        <v>434</v>
      </c>
      <c r="F7883" t="str">
        <f>INDEX(Lists!I:I,MATCH(Validation!E7883,Lists!G:G,0))</f>
        <v>Error</v>
      </c>
      <c r="G7883" t="str">
        <f>INDEX(Lists!H:H,MATCH(Validation!E7883,Lists!G:G,0))</f>
        <v>Amount may not be negative. Enter an amount greater than or equal to zero.</v>
      </c>
      <c r="H7883" s="16" t="str">
        <f t="shared" ca="1" si="858"/>
        <v/>
      </c>
      <c r="I7883" s="16" t="str">
        <f t="shared" ca="1" si="859"/>
        <v/>
      </c>
      <c r="J7883" s="17" t="str">
        <f t="shared" ca="1" si="860"/>
        <v/>
      </c>
    </row>
    <row r="7884" spans="1:10" x14ac:dyDescent="0.25">
      <c r="A7884" t="s">
        <v>966</v>
      </c>
      <c r="B7884" t="str">
        <f>ADDRESS(ROW(DFLoan1!B$26),COLUMN(DFLoan1!B$26),4)</f>
        <v>B26</v>
      </c>
      <c r="C7884" t="str">
        <f>ADDRESS(ROW(DFLoan1!C$26),COLUMN(DFLoan1!C$26),4)</f>
        <v>C26</v>
      </c>
      <c r="D7884" t="b" cm="1">
        <f t="array" aca="1" ref="D7884" ca="1">IF(INDIRECT("'"&amp;A7884&amp;"'!"&amp;B7884)="",FALSE,IF(INDIRECT("'"&amp;A7884&amp;"'!"&amp;B7884)&lt;0,TRUE,FALSE))</f>
        <v>0</v>
      </c>
      <c r="E7884" t="s">
        <v>434</v>
      </c>
      <c r="F7884" t="str">
        <f>INDEX(Lists!I:I,MATCH(Validation!E7884,Lists!G:G,0))</f>
        <v>Error</v>
      </c>
      <c r="G7884" t="str">
        <f>INDEX(Lists!H:H,MATCH(Validation!E7884,Lists!G:G,0))</f>
        <v>Amount may not be negative. Enter an amount greater than or equal to zero.</v>
      </c>
      <c r="H7884" s="16" t="str">
        <f t="shared" ca="1" si="858"/>
        <v/>
      </c>
      <c r="I7884" s="16" t="str">
        <f t="shared" ca="1" si="859"/>
        <v/>
      </c>
      <c r="J7884" s="17" t="str">
        <f t="shared" ca="1" si="860"/>
        <v/>
      </c>
    </row>
    <row r="7885" spans="1:10" x14ac:dyDescent="0.25">
      <c r="A7885" t="s">
        <v>881</v>
      </c>
      <c r="B7885" t="str">
        <f>ADDRESS(ROW(DFLoan1!B$26),COLUMN(DFLoan1!B$26),4)</f>
        <v>B26</v>
      </c>
      <c r="C7885" t="str">
        <f>ADDRESS(ROW(DFLoan1!C$26),COLUMN(DFLoan1!C$26),4)</f>
        <v>C26</v>
      </c>
      <c r="D7885" t="b" cm="1">
        <f t="array" aca="1" ref="D7885" ca="1">IF(INDIRECT("'"&amp;A7885&amp;"'!"&amp;B7885)="",FALSE,IF(TRUNC(INDIRECT("'"&amp;A7885&amp;"'!"&amp;B7885))=INDIRECT("'"&amp;A7885&amp;"'!"&amp;B7885),FALSE,TRUE))</f>
        <v>0</v>
      </c>
      <c r="E7885" t="s">
        <v>436</v>
      </c>
      <c r="F7885" t="str">
        <f>INDEX(Lists!I:I,MATCH(Validation!E7885,Lists!G:G,0))</f>
        <v>Error</v>
      </c>
      <c r="G7885" t="str">
        <f>INDEX(Lists!H:H,MATCH(Validation!E7885,Lists!G:G,0))</f>
        <v>Amount must be rounded to the nearest dollar.</v>
      </c>
      <c r="H7885" s="16" t="str">
        <f t="shared" ca="1" si="858"/>
        <v/>
      </c>
      <c r="I7885" s="16" t="str">
        <f t="shared" ca="1" si="859"/>
        <v/>
      </c>
      <c r="J7885" s="17" t="str">
        <f t="shared" ca="1" si="860"/>
        <v/>
      </c>
    </row>
    <row r="7886" spans="1:10" x14ac:dyDescent="0.25">
      <c r="A7886" t="s">
        <v>953</v>
      </c>
      <c r="B7886" t="str">
        <f>ADDRESS(ROW(DFLoan1!B$26),COLUMN(DFLoan1!B$26),4)</f>
        <v>B26</v>
      </c>
      <c r="C7886" t="str">
        <f>ADDRESS(ROW(DFLoan1!C$26),COLUMN(DFLoan1!C$26),4)</f>
        <v>C26</v>
      </c>
      <c r="D7886" t="b" cm="1">
        <f t="array" aca="1" ref="D7886" ca="1">IF(INDIRECT("'"&amp;A7886&amp;"'!"&amp;B7886)="",FALSE,IF(TRUNC(INDIRECT("'"&amp;A7886&amp;"'!"&amp;B7886))=INDIRECT("'"&amp;A7886&amp;"'!"&amp;B7886),FALSE,TRUE))</f>
        <v>0</v>
      </c>
      <c r="E7886" t="s">
        <v>436</v>
      </c>
      <c r="F7886" t="str">
        <f>INDEX(Lists!I:I,MATCH(Validation!E7886,Lists!G:G,0))</f>
        <v>Error</v>
      </c>
      <c r="G7886" t="str">
        <f>INDEX(Lists!H:H,MATCH(Validation!E7886,Lists!G:G,0))</f>
        <v>Amount must be rounded to the nearest dollar.</v>
      </c>
      <c r="H7886" s="16" t="str">
        <f t="shared" ca="1" si="858"/>
        <v/>
      </c>
      <c r="I7886" s="16" t="str">
        <f t="shared" ca="1" si="859"/>
        <v/>
      </c>
      <c r="J7886" s="17" t="str">
        <f t="shared" ca="1" si="860"/>
        <v/>
      </c>
    </row>
    <row r="7887" spans="1:10" x14ac:dyDescent="0.25">
      <c r="A7887" t="s">
        <v>954</v>
      </c>
      <c r="B7887" t="str">
        <f>ADDRESS(ROW(DFLoan1!B$26),COLUMN(DFLoan1!B$26),4)</f>
        <v>B26</v>
      </c>
      <c r="C7887" t="str">
        <f>ADDRESS(ROW(DFLoan1!C$26),COLUMN(DFLoan1!C$26),4)</f>
        <v>C26</v>
      </c>
      <c r="D7887" t="b" cm="1">
        <f t="array" aca="1" ref="D7887" ca="1">IF(INDIRECT("'"&amp;A7887&amp;"'!"&amp;B7887)="",FALSE,IF(TRUNC(INDIRECT("'"&amp;A7887&amp;"'!"&amp;B7887))=INDIRECT("'"&amp;A7887&amp;"'!"&amp;B7887),FALSE,TRUE))</f>
        <v>0</v>
      </c>
      <c r="E7887" t="s">
        <v>436</v>
      </c>
      <c r="F7887" t="str">
        <f>INDEX(Lists!I:I,MATCH(Validation!E7887,Lists!G:G,0))</f>
        <v>Error</v>
      </c>
      <c r="G7887" t="str">
        <f>INDEX(Lists!H:H,MATCH(Validation!E7887,Lists!G:G,0))</f>
        <v>Amount must be rounded to the nearest dollar.</v>
      </c>
      <c r="H7887" s="16" t="str">
        <f t="shared" ca="1" si="858"/>
        <v/>
      </c>
      <c r="I7887" s="16" t="str">
        <f t="shared" ca="1" si="859"/>
        <v/>
      </c>
      <c r="J7887" s="17" t="str">
        <f t="shared" ca="1" si="860"/>
        <v/>
      </c>
    </row>
    <row r="7888" spans="1:10" x14ac:dyDescent="0.25">
      <c r="A7888" t="s">
        <v>955</v>
      </c>
      <c r="B7888" t="str">
        <f>ADDRESS(ROW(DFLoan1!B$26),COLUMN(DFLoan1!B$26),4)</f>
        <v>B26</v>
      </c>
      <c r="C7888" t="str">
        <f>ADDRESS(ROW(DFLoan1!C$26),COLUMN(DFLoan1!C$26),4)</f>
        <v>C26</v>
      </c>
      <c r="D7888" t="b" cm="1">
        <f t="array" aca="1" ref="D7888" ca="1">IF(INDIRECT("'"&amp;A7888&amp;"'!"&amp;B7888)="",FALSE,IF(TRUNC(INDIRECT("'"&amp;A7888&amp;"'!"&amp;B7888))=INDIRECT("'"&amp;A7888&amp;"'!"&amp;B7888),FALSE,TRUE))</f>
        <v>0</v>
      </c>
      <c r="E7888" t="s">
        <v>436</v>
      </c>
      <c r="F7888" t="str">
        <f>INDEX(Lists!I:I,MATCH(Validation!E7888,Lists!G:G,0))</f>
        <v>Error</v>
      </c>
      <c r="G7888" t="str">
        <f>INDEX(Lists!H:H,MATCH(Validation!E7888,Lists!G:G,0))</f>
        <v>Amount must be rounded to the nearest dollar.</v>
      </c>
      <c r="H7888" s="16" t="str">
        <f t="shared" ca="1" si="858"/>
        <v/>
      </c>
      <c r="I7888" s="16" t="str">
        <f t="shared" ca="1" si="859"/>
        <v/>
      </c>
      <c r="J7888" s="17" t="str">
        <f t="shared" ca="1" si="860"/>
        <v/>
      </c>
    </row>
    <row r="7889" spans="1:10" x14ac:dyDescent="0.25">
      <c r="A7889" t="s">
        <v>956</v>
      </c>
      <c r="B7889" t="str">
        <f>ADDRESS(ROW(DFLoan1!B$26),COLUMN(DFLoan1!B$26),4)</f>
        <v>B26</v>
      </c>
      <c r="C7889" t="str">
        <f>ADDRESS(ROW(DFLoan1!C$26),COLUMN(DFLoan1!C$26),4)</f>
        <v>C26</v>
      </c>
      <c r="D7889" t="b" cm="1">
        <f t="array" aca="1" ref="D7889" ca="1">IF(INDIRECT("'"&amp;A7889&amp;"'!"&amp;B7889)="",FALSE,IF(TRUNC(INDIRECT("'"&amp;A7889&amp;"'!"&amp;B7889))=INDIRECT("'"&amp;A7889&amp;"'!"&amp;B7889),FALSE,TRUE))</f>
        <v>0</v>
      </c>
      <c r="E7889" t="s">
        <v>436</v>
      </c>
      <c r="F7889" t="str">
        <f>INDEX(Lists!I:I,MATCH(Validation!E7889,Lists!G:G,0))</f>
        <v>Error</v>
      </c>
      <c r="G7889" t="str">
        <f>INDEX(Lists!H:H,MATCH(Validation!E7889,Lists!G:G,0))</f>
        <v>Amount must be rounded to the nearest dollar.</v>
      </c>
      <c r="H7889" s="16" t="str">
        <f t="shared" ca="1" si="858"/>
        <v/>
      </c>
      <c r="I7889" s="16" t="str">
        <f t="shared" ca="1" si="859"/>
        <v/>
      </c>
      <c r="J7889" s="17" t="str">
        <f t="shared" ca="1" si="860"/>
        <v/>
      </c>
    </row>
    <row r="7890" spans="1:10" x14ac:dyDescent="0.25">
      <c r="A7890" t="s">
        <v>957</v>
      </c>
      <c r="B7890" t="str">
        <f>ADDRESS(ROW(DFLoan1!B$26),COLUMN(DFLoan1!B$26),4)</f>
        <v>B26</v>
      </c>
      <c r="C7890" t="str">
        <f>ADDRESS(ROW(DFLoan1!C$26),COLUMN(DFLoan1!C$26),4)</f>
        <v>C26</v>
      </c>
      <c r="D7890" t="b" cm="1">
        <f t="array" aca="1" ref="D7890" ca="1">IF(INDIRECT("'"&amp;A7890&amp;"'!"&amp;B7890)="",FALSE,IF(TRUNC(INDIRECT("'"&amp;A7890&amp;"'!"&amp;B7890))=INDIRECT("'"&amp;A7890&amp;"'!"&amp;B7890),FALSE,TRUE))</f>
        <v>0</v>
      </c>
      <c r="E7890" t="s">
        <v>436</v>
      </c>
      <c r="F7890" t="str">
        <f>INDEX(Lists!I:I,MATCH(Validation!E7890,Lists!G:G,0))</f>
        <v>Error</v>
      </c>
      <c r="G7890" t="str">
        <f>INDEX(Lists!H:H,MATCH(Validation!E7890,Lists!G:G,0))</f>
        <v>Amount must be rounded to the nearest dollar.</v>
      </c>
      <c r="H7890" s="16" t="str">
        <f t="shared" ca="1" si="858"/>
        <v/>
      </c>
      <c r="I7890" s="16" t="str">
        <f t="shared" ca="1" si="859"/>
        <v/>
      </c>
      <c r="J7890" s="17" t="str">
        <f t="shared" ca="1" si="860"/>
        <v/>
      </c>
    </row>
    <row r="7891" spans="1:10" x14ac:dyDescent="0.25">
      <c r="A7891" t="s">
        <v>958</v>
      </c>
      <c r="B7891" t="str">
        <f>ADDRESS(ROW(DFLoan1!B$26),COLUMN(DFLoan1!B$26),4)</f>
        <v>B26</v>
      </c>
      <c r="C7891" t="str">
        <f>ADDRESS(ROW(DFLoan1!C$26),COLUMN(DFLoan1!C$26),4)</f>
        <v>C26</v>
      </c>
      <c r="D7891" t="b" cm="1">
        <f t="array" aca="1" ref="D7891" ca="1">IF(INDIRECT("'"&amp;A7891&amp;"'!"&amp;B7891)="",FALSE,IF(TRUNC(INDIRECT("'"&amp;A7891&amp;"'!"&amp;B7891))=INDIRECT("'"&amp;A7891&amp;"'!"&amp;B7891),FALSE,TRUE))</f>
        <v>0</v>
      </c>
      <c r="E7891" t="s">
        <v>436</v>
      </c>
      <c r="F7891" t="str">
        <f>INDEX(Lists!I:I,MATCH(Validation!E7891,Lists!G:G,0))</f>
        <v>Error</v>
      </c>
      <c r="G7891" t="str">
        <f>INDEX(Lists!H:H,MATCH(Validation!E7891,Lists!G:G,0))</f>
        <v>Amount must be rounded to the nearest dollar.</v>
      </c>
      <c r="H7891" s="16" t="str">
        <f t="shared" ca="1" si="858"/>
        <v/>
      </c>
      <c r="I7891" s="16" t="str">
        <f t="shared" ca="1" si="859"/>
        <v/>
      </c>
      <c r="J7891" s="17" t="str">
        <f t="shared" ca="1" si="860"/>
        <v/>
      </c>
    </row>
    <row r="7892" spans="1:10" x14ac:dyDescent="0.25">
      <c r="A7892" t="s">
        <v>959</v>
      </c>
      <c r="B7892" t="str">
        <f>ADDRESS(ROW(DFLoan1!B$26),COLUMN(DFLoan1!B$26),4)</f>
        <v>B26</v>
      </c>
      <c r="C7892" t="str">
        <f>ADDRESS(ROW(DFLoan1!C$26),COLUMN(DFLoan1!C$26),4)</f>
        <v>C26</v>
      </c>
      <c r="D7892" t="b" cm="1">
        <f t="array" aca="1" ref="D7892" ca="1">IF(INDIRECT("'"&amp;A7892&amp;"'!"&amp;B7892)="",FALSE,IF(TRUNC(INDIRECT("'"&amp;A7892&amp;"'!"&amp;B7892))=INDIRECT("'"&amp;A7892&amp;"'!"&amp;B7892),FALSE,TRUE))</f>
        <v>0</v>
      </c>
      <c r="E7892" t="s">
        <v>436</v>
      </c>
      <c r="F7892" t="str">
        <f>INDEX(Lists!I:I,MATCH(Validation!E7892,Lists!G:G,0))</f>
        <v>Error</v>
      </c>
      <c r="G7892" t="str">
        <f>INDEX(Lists!H:H,MATCH(Validation!E7892,Lists!G:G,0))</f>
        <v>Amount must be rounded to the nearest dollar.</v>
      </c>
      <c r="H7892" s="16" t="str">
        <f t="shared" ca="1" si="858"/>
        <v/>
      </c>
      <c r="I7892" s="16" t="str">
        <f t="shared" ca="1" si="859"/>
        <v/>
      </c>
      <c r="J7892" s="17" t="str">
        <f t="shared" ca="1" si="860"/>
        <v/>
      </c>
    </row>
    <row r="7893" spans="1:10" x14ac:dyDescent="0.25">
      <c r="A7893" t="s">
        <v>960</v>
      </c>
      <c r="B7893" t="str">
        <f>ADDRESS(ROW(DFLoan1!B$26),COLUMN(DFLoan1!B$26),4)</f>
        <v>B26</v>
      </c>
      <c r="C7893" t="str">
        <f>ADDRESS(ROW(DFLoan1!C$26),COLUMN(DFLoan1!C$26),4)</f>
        <v>C26</v>
      </c>
      <c r="D7893" t="b" cm="1">
        <f t="array" aca="1" ref="D7893" ca="1">IF(INDIRECT("'"&amp;A7893&amp;"'!"&amp;B7893)="",FALSE,IF(TRUNC(INDIRECT("'"&amp;A7893&amp;"'!"&amp;B7893))=INDIRECT("'"&amp;A7893&amp;"'!"&amp;B7893),FALSE,TRUE))</f>
        <v>0</v>
      </c>
      <c r="E7893" t="s">
        <v>436</v>
      </c>
      <c r="F7893" t="str">
        <f>INDEX(Lists!I:I,MATCH(Validation!E7893,Lists!G:G,0))</f>
        <v>Error</v>
      </c>
      <c r="G7893" t="str">
        <f>INDEX(Lists!H:H,MATCH(Validation!E7893,Lists!G:G,0))</f>
        <v>Amount must be rounded to the nearest dollar.</v>
      </c>
      <c r="H7893" s="16" t="str">
        <f t="shared" ca="1" si="858"/>
        <v/>
      </c>
      <c r="I7893" s="16" t="str">
        <f t="shared" ca="1" si="859"/>
        <v/>
      </c>
      <c r="J7893" s="17" t="str">
        <f t="shared" ca="1" si="860"/>
        <v/>
      </c>
    </row>
    <row r="7894" spans="1:10" x14ac:dyDescent="0.25">
      <c r="A7894" t="s">
        <v>961</v>
      </c>
      <c r="B7894" t="str">
        <f>ADDRESS(ROW(DFLoan1!B$26),COLUMN(DFLoan1!B$26),4)</f>
        <v>B26</v>
      </c>
      <c r="C7894" t="str">
        <f>ADDRESS(ROW(DFLoan1!C$26),COLUMN(DFLoan1!C$26),4)</f>
        <v>C26</v>
      </c>
      <c r="D7894" t="b" cm="1">
        <f t="array" aca="1" ref="D7894" ca="1">IF(INDIRECT("'"&amp;A7894&amp;"'!"&amp;B7894)="",FALSE,IF(TRUNC(INDIRECT("'"&amp;A7894&amp;"'!"&amp;B7894))=INDIRECT("'"&amp;A7894&amp;"'!"&amp;B7894),FALSE,TRUE))</f>
        <v>0</v>
      </c>
      <c r="E7894" t="s">
        <v>436</v>
      </c>
      <c r="F7894" t="str">
        <f>INDEX(Lists!I:I,MATCH(Validation!E7894,Lists!G:G,0))</f>
        <v>Error</v>
      </c>
      <c r="G7894" t="str">
        <f>INDEX(Lists!H:H,MATCH(Validation!E7894,Lists!G:G,0))</f>
        <v>Amount must be rounded to the nearest dollar.</v>
      </c>
      <c r="H7894" s="16" t="str">
        <f t="shared" ca="1" si="858"/>
        <v/>
      </c>
      <c r="I7894" s="16" t="str">
        <f t="shared" ca="1" si="859"/>
        <v/>
      </c>
      <c r="J7894" s="17" t="str">
        <f t="shared" ca="1" si="860"/>
        <v/>
      </c>
    </row>
    <row r="7895" spans="1:10" x14ac:dyDescent="0.25">
      <c r="A7895" t="s">
        <v>962</v>
      </c>
      <c r="B7895" t="str">
        <f>ADDRESS(ROW(DFLoan1!B$26),COLUMN(DFLoan1!B$26),4)</f>
        <v>B26</v>
      </c>
      <c r="C7895" t="str">
        <f>ADDRESS(ROW(DFLoan1!C$26),COLUMN(DFLoan1!C$26),4)</f>
        <v>C26</v>
      </c>
      <c r="D7895" t="b" cm="1">
        <f t="array" aca="1" ref="D7895" ca="1">IF(INDIRECT("'"&amp;A7895&amp;"'!"&amp;B7895)="",FALSE,IF(TRUNC(INDIRECT("'"&amp;A7895&amp;"'!"&amp;B7895))=INDIRECT("'"&amp;A7895&amp;"'!"&amp;B7895),FALSE,TRUE))</f>
        <v>0</v>
      </c>
      <c r="E7895" t="s">
        <v>436</v>
      </c>
      <c r="F7895" t="str">
        <f>INDEX(Lists!I:I,MATCH(Validation!E7895,Lists!G:G,0))</f>
        <v>Error</v>
      </c>
      <c r="G7895" t="str">
        <f>INDEX(Lists!H:H,MATCH(Validation!E7895,Lists!G:G,0))</f>
        <v>Amount must be rounded to the nearest dollar.</v>
      </c>
      <c r="H7895" s="16" t="str">
        <f t="shared" ca="1" si="858"/>
        <v/>
      </c>
      <c r="I7895" s="16" t="str">
        <f t="shared" ca="1" si="859"/>
        <v/>
      </c>
      <c r="J7895" s="17" t="str">
        <f t="shared" ca="1" si="860"/>
        <v/>
      </c>
    </row>
    <row r="7896" spans="1:10" x14ac:dyDescent="0.25">
      <c r="A7896" t="s">
        <v>963</v>
      </c>
      <c r="B7896" t="str">
        <f>ADDRESS(ROW(DFLoan1!B$26),COLUMN(DFLoan1!B$26),4)</f>
        <v>B26</v>
      </c>
      <c r="C7896" t="str">
        <f>ADDRESS(ROW(DFLoan1!C$26),COLUMN(DFLoan1!C$26),4)</f>
        <v>C26</v>
      </c>
      <c r="D7896" t="b" cm="1">
        <f t="array" aca="1" ref="D7896" ca="1">IF(INDIRECT("'"&amp;A7896&amp;"'!"&amp;B7896)="",FALSE,IF(TRUNC(INDIRECT("'"&amp;A7896&amp;"'!"&amp;B7896))=INDIRECT("'"&amp;A7896&amp;"'!"&amp;B7896),FALSE,TRUE))</f>
        <v>0</v>
      </c>
      <c r="E7896" t="s">
        <v>436</v>
      </c>
      <c r="F7896" t="str">
        <f>INDEX(Lists!I:I,MATCH(Validation!E7896,Lists!G:G,0))</f>
        <v>Error</v>
      </c>
      <c r="G7896" t="str">
        <f>INDEX(Lists!H:H,MATCH(Validation!E7896,Lists!G:G,0))</f>
        <v>Amount must be rounded to the nearest dollar.</v>
      </c>
      <c r="H7896" s="16" t="str">
        <f t="shared" ca="1" si="858"/>
        <v/>
      </c>
      <c r="I7896" s="16" t="str">
        <f t="shared" ca="1" si="859"/>
        <v/>
      </c>
      <c r="J7896" s="17" t="str">
        <f t="shared" ca="1" si="860"/>
        <v/>
      </c>
    </row>
    <row r="7897" spans="1:10" x14ac:dyDescent="0.25">
      <c r="A7897" t="s">
        <v>964</v>
      </c>
      <c r="B7897" t="str">
        <f>ADDRESS(ROW(DFLoan1!B$26),COLUMN(DFLoan1!B$26),4)</f>
        <v>B26</v>
      </c>
      <c r="C7897" t="str">
        <f>ADDRESS(ROW(DFLoan1!C$26),COLUMN(DFLoan1!C$26),4)</f>
        <v>C26</v>
      </c>
      <c r="D7897" t="b" cm="1">
        <f t="array" aca="1" ref="D7897" ca="1">IF(INDIRECT("'"&amp;A7897&amp;"'!"&amp;B7897)="",FALSE,IF(TRUNC(INDIRECT("'"&amp;A7897&amp;"'!"&amp;B7897))=INDIRECT("'"&amp;A7897&amp;"'!"&amp;B7897),FALSE,TRUE))</f>
        <v>0</v>
      </c>
      <c r="E7897" t="s">
        <v>436</v>
      </c>
      <c r="F7897" t="str">
        <f>INDEX(Lists!I:I,MATCH(Validation!E7897,Lists!G:G,0))</f>
        <v>Error</v>
      </c>
      <c r="G7897" t="str">
        <f>INDEX(Lists!H:H,MATCH(Validation!E7897,Lists!G:G,0))</f>
        <v>Amount must be rounded to the nearest dollar.</v>
      </c>
      <c r="H7897" s="16" t="str">
        <f t="shared" ca="1" si="858"/>
        <v/>
      </c>
      <c r="I7897" s="16" t="str">
        <f t="shared" ca="1" si="859"/>
        <v/>
      </c>
      <c r="J7897" s="17" t="str">
        <f t="shared" ca="1" si="860"/>
        <v/>
      </c>
    </row>
    <row r="7898" spans="1:10" x14ac:dyDescent="0.25">
      <c r="A7898" t="s">
        <v>965</v>
      </c>
      <c r="B7898" t="str">
        <f>ADDRESS(ROW(DFLoan1!B$26),COLUMN(DFLoan1!B$26),4)</f>
        <v>B26</v>
      </c>
      <c r="C7898" t="str">
        <f>ADDRESS(ROW(DFLoan1!C$26),COLUMN(DFLoan1!C$26),4)</f>
        <v>C26</v>
      </c>
      <c r="D7898" t="b" cm="1">
        <f t="array" aca="1" ref="D7898" ca="1">IF(INDIRECT("'"&amp;A7898&amp;"'!"&amp;B7898)="",FALSE,IF(TRUNC(INDIRECT("'"&amp;A7898&amp;"'!"&amp;B7898))=INDIRECT("'"&amp;A7898&amp;"'!"&amp;B7898),FALSE,TRUE))</f>
        <v>0</v>
      </c>
      <c r="E7898" t="s">
        <v>436</v>
      </c>
      <c r="F7898" t="str">
        <f>INDEX(Lists!I:I,MATCH(Validation!E7898,Lists!G:G,0))</f>
        <v>Error</v>
      </c>
      <c r="G7898" t="str">
        <f>INDEX(Lists!H:H,MATCH(Validation!E7898,Lists!G:G,0))</f>
        <v>Amount must be rounded to the nearest dollar.</v>
      </c>
      <c r="H7898" s="16" t="str">
        <f t="shared" ca="1" si="858"/>
        <v/>
      </c>
      <c r="I7898" s="16" t="str">
        <f t="shared" ca="1" si="859"/>
        <v/>
      </c>
      <c r="J7898" s="17" t="str">
        <f t="shared" ca="1" si="860"/>
        <v/>
      </c>
    </row>
    <row r="7899" spans="1:10" x14ac:dyDescent="0.25">
      <c r="A7899" t="s">
        <v>966</v>
      </c>
      <c r="B7899" t="str">
        <f>ADDRESS(ROW(DFLoan1!B$26),COLUMN(DFLoan1!B$26),4)</f>
        <v>B26</v>
      </c>
      <c r="C7899" t="str">
        <f>ADDRESS(ROW(DFLoan1!C$26),COLUMN(DFLoan1!C$26),4)</f>
        <v>C26</v>
      </c>
      <c r="D7899" t="b" cm="1">
        <f t="array" aca="1" ref="D7899" ca="1">IF(INDIRECT("'"&amp;A7899&amp;"'!"&amp;B7899)="",FALSE,IF(TRUNC(INDIRECT("'"&amp;A7899&amp;"'!"&amp;B7899))=INDIRECT("'"&amp;A7899&amp;"'!"&amp;B7899),FALSE,TRUE))</f>
        <v>0</v>
      </c>
      <c r="E7899" t="s">
        <v>436</v>
      </c>
      <c r="F7899" t="str">
        <f>INDEX(Lists!I:I,MATCH(Validation!E7899,Lists!G:G,0))</f>
        <v>Error</v>
      </c>
      <c r="G7899" t="str">
        <f>INDEX(Lists!H:H,MATCH(Validation!E7899,Lists!G:G,0))</f>
        <v>Amount must be rounded to the nearest dollar.</v>
      </c>
      <c r="H7899" s="16" t="str">
        <f t="shared" ca="1" si="858"/>
        <v/>
      </c>
      <c r="I7899" s="16" t="str">
        <f t="shared" ca="1" si="859"/>
        <v/>
      </c>
      <c r="J7899" s="17" t="str">
        <f t="shared" ca="1" si="860"/>
        <v/>
      </c>
    </row>
    <row r="7900" spans="1:10" x14ac:dyDescent="0.25">
      <c r="A7900" t="s">
        <v>881</v>
      </c>
      <c r="B7900" t="str">
        <f>ADDRESS(ROW(DFLoan1!B$27),COLUMN(DFLoan1!B$27),4)</f>
        <v>B27</v>
      </c>
      <c r="C7900" t="str">
        <f>ADDRESS(ROW(DFLoan1!C$27),COLUMN(DFLoan1!C$27),4)</f>
        <v>C27</v>
      </c>
      <c r="D7900" t="b" cm="1">
        <f t="array" aca="1" ref="D7900" ca="1">IF(INDIRECT("'"&amp;A7900&amp;"'!"&amp;B7900)="",FALSE,IF(NOT(ISNUMBER(INDIRECT("'"&amp;A7900&amp;"'!"&amp;B7900))),TRUE,FALSE))</f>
        <v>0</v>
      </c>
      <c r="E7900" t="s">
        <v>435</v>
      </c>
      <c r="F7900" t="str">
        <f>INDEX(Lists!I:I,MATCH(Validation!E7900,Lists!G:G,0))</f>
        <v>Error</v>
      </c>
      <c r="G7900" t="str">
        <f>INDEX(Lists!H:H,MATCH(Validation!E7900,Lists!G:G,0))</f>
        <v>Enter an amount only. Do not enter text or spaces.</v>
      </c>
      <c r="H7900" s="16" t="str">
        <f t="shared" ca="1" si="858"/>
        <v/>
      </c>
      <c r="I7900" s="16" t="str">
        <f t="shared" ca="1" si="859"/>
        <v/>
      </c>
      <c r="J7900" s="17" t="str">
        <f t="shared" ca="1" si="860"/>
        <v/>
      </c>
    </row>
    <row r="7901" spans="1:10" x14ac:dyDescent="0.25">
      <c r="A7901" t="s">
        <v>953</v>
      </c>
      <c r="B7901" t="str">
        <f>ADDRESS(ROW(DFLoan1!B$27),COLUMN(DFLoan1!B$27),4)</f>
        <v>B27</v>
      </c>
      <c r="C7901" t="str">
        <f>ADDRESS(ROW(DFLoan1!C$27),COLUMN(DFLoan1!C$27),4)</f>
        <v>C27</v>
      </c>
      <c r="D7901" t="b" cm="1">
        <f t="array" aca="1" ref="D7901" ca="1">IF(INDIRECT("'"&amp;A7901&amp;"'!"&amp;B7901)="",FALSE,IF(NOT(ISNUMBER(INDIRECT("'"&amp;A7901&amp;"'!"&amp;B7901))),TRUE,FALSE))</f>
        <v>0</v>
      </c>
      <c r="E7901" t="s">
        <v>435</v>
      </c>
      <c r="F7901" t="str">
        <f>INDEX(Lists!I:I,MATCH(Validation!E7901,Lists!G:G,0))</f>
        <v>Error</v>
      </c>
      <c r="G7901" t="str">
        <f>INDEX(Lists!H:H,MATCH(Validation!E7901,Lists!G:G,0))</f>
        <v>Enter an amount only. Do not enter text or spaces.</v>
      </c>
      <c r="H7901" s="16" t="str">
        <f t="shared" ca="1" si="858"/>
        <v/>
      </c>
      <c r="I7901" s="16" t="str">
        <f t="shared" ca="1" si="859"/>
        <v/>
      </c>
      <c r="J7901" s="17" t="str">
        <f t="shared" ca="1" si="860"/>
        <v/>
      </c>
    </row>
    <row r="7902" spans="1:10" x14ac:dyDescent="0.25">
      <c r="A7902" t="s">
        <v>954</v>
      </c>
      <c r="B7902" t="str">
        <f>ADDRESS(ROW(DFLoan1!B$27),COLUMN(DFLoan1!B$27),4)</f>
        <v>B27</v>
      </c>
      <c r="C7902" t="str">
        <f>ADDRESS(ROW(DFLoan1!C$27),COLUMN(DFLoan1!C$27),4)</f>
        <v>C27</v>
      </c>
      <c r="D7902" t="b" cm="1">
        <f t="array" aca="1" ref="D7902" ca="1">IF(INDIRECT("'"&amp;A7902&amp;"'!"&amp;B7902)="",FALSE,IF(NOT(ISNUMBER(INDIRECT("'"&amp;A7902&amp;"'!"&amp;B7902))),TRUE,FALSE))</f>
        <v>0</v>
      </c>
      <c r="E7902" t="s">
        <v>435</v>
      </c>
      <c r="F7902" t="str">
        <f>INDEX(Lists!I:I,MATCH(Validation!E7902,Lists!G:G,0))</f>
        <v>Error</v>
      </c>
      <c r="G7902" t="str">
        <f>INDEX(Lists!H:H,MATCH(Validation!E7902,Lists!G:G,0))</f>
        <v>Enter an amount only. Do not enter text or spaces.</v>
      </c>
      <c r="H7902" s="16" t="str">
        <f t="shared" ca="1" si="858"/>
        <v/>
      </c>
      <c r="I7902" s="16" t="str">
        <f t="shared" ca="1" si="859"/>
        <v/>
      </c>
      <c r="J7902" s="17" t="str">
        <f t="shared" ca="1" si="860"/>
        <v/>
      </c>
    </row>
    <row r="7903" spans="1:10" x14ac:dyDescent="0.25">
      <c r="A7903" t="s">
        <v>955</v>
      </c>
      <c r="B7903" t="str">
        <f>ADDRESS(ROW(DFLoan1!B$27),COLUMN(DFLoan1!B$27),4)</f>
        <v>B27</v>
      </c>
      <c r="C7903" t="str">
        <f>ADDRESS(ROW(DFLoan1!C$27),COLUMN(DFLoan1!C$27),4)</f>
        <v>C27</v>
      </c>
      <c r="D7903" t="b" cm="1">
        <f t="array" aca="1" ref="D7903" ca="1">IF(INDIRECT("'"&amp;A7903&amp;"'!"&amp;B7903)="",FALSE,IF(NOT(ISNUMBER(INDIRECT("'"&amp;A7903&amp;"'!"&amp;B7903))),TRUE,FALSE))</f>
        <v>0</v>
      </c>
      <c r="E7903" t="s">
        <v>435</v>
      </c>
      <c r="F7903" t="str">
        <f>INDEX(Lists!I:I,MATCH(Validation!E7903,Lists!G:G,0))</f>
        <v>Error</v>
      </c>
      <c r="G7903" t="str">
        <f>INDEX(Lists!H:H,MATCH(Validation!E7903,Lists!G:G,0))</f>
        <v>Enter an amount only. Do not enter text or spaces.</v>
      </c>
      <c r="H7903" s="16" t="str">
        <f t="shared" ca="1" si="858"/>
        <v/>
      </c>
      <c r="I7903" s="16" t="str">
        <f t="shared" ca="1" si="859"/>
        <v/>
      </c>
      <c r="J7903" s="17" t="str">
        <f t="shared" ca="1" si="860"/>
        <v/>
      </c>
    </row>
    <row r="7904" spans="1:10" x14ac:dyDescent="0.25">
      <c r="A7904" t="s">
        <v>956</v>
      </c>
      <c r="B7904" t="str">
        <f>ADDRESS(ROW(DFLoan1!B$27),COLUMN(DFLoan1!B$27),4)</f>
        <v>B27</v>
      </c>
      <c r="C7904" t="str">
        <f>ADDRESS(ROW(DFLoan1!C$27),COLUMN(DFLoan1!C$27),4)</f>
        <v>C27</v>
      </c>
      <c r="D7904" t="b" cm="1">
        <f t="array" aca="1" ref="D7904" ca="1">IF(INDIRECT("'"&amp;A7904&amp;"'!"&amp;B7904)="",FALSE,IF(NOT(ISNUMBER(INDIRECT("'"&amp;A7904&amp;"'!"&amp;B7904))),TRUE,FALSE))</f>
        <v>0</v>
      </c>
      <c r="E7904" t="s">
        <v>435</v>
      </c>
      <c r="F7904" t="str">
        <f>INDEX(Lists!I:I,MATCH(Validation!E7904,Lists!G:G,0))</f>
        <v>Error</v>
      </c>
      <c r="G7904" t="str">
        <f>INDEX(Lists!H:H,MATCH(Validation!E7904,Lists!G:G,0))</f>
        <v>Enter an amount only. Do not enter text or spaces.</v>
      </c>
      <c r="H7904" s="16" t="str">
        <f t="shared" ca="1" si="858"/>
        <v/>
      </c>
      <c r="I7904" s="16" t="str">
        <f t="shared" ca="1" si="859"/>
        <v/>
      </c>
      <c r="J7904" s="17" t="str">
        <f t="shared" ca="1" si="860"/>
        <v/>
      </c>
    </row>
    <row r="7905" spans="1:10" x14ac:dyDescent="0.25">
      <c r="A7905" t="s">
        <v>957</v>
      </c>
      <c r="B7905" t="str">
        <f>ADDRESS(ROW(DFLoan1!B$27),COLUMN(DFLoan1!B$27),4)</f>
        <v>B27</v>
      </c>
      <c r="C7905" t="str">
        <f>ADDRESS(ROW(DFLoan1!C$27),COLUMN(DFLoan1!C$27),4)</f>
        <v>C27</v>
      </c>
      <c r="D7905" t="b" cm="1">
        <f t="array" aca="1" ref="D7905" ca="1">IF(INDIRECT("'"&amp;A7905&amp;"'!"&amp;B7905)="",FALSE,IF(NOT(ISNUMBER(INDIRECT("'"&amp;A7905&amp;"'!"&amp;B7905))),TRUE,FALSE))</f>
        <v>0</v>
      </c>
      <c r="E7905" t="s">
        <v>435</v>
      </c>
      <c r="F7905" t="str">
        <f>INDEX(Lists!I:I,MATCH(Validation!E7905,Lists!G:G,0))</f>
        <v>Error</v>
      </c>
      <c r="G7905" t="str">
        <f>INDEX(Lists!H:H,MATCH(Validation!E7905,Lists!G:G,0))</f>
        <v>Enter an amount only. Do not enter text or spaces.</v>
      </c>
      <c r="H7905" s="16" t="str">
        <f t="shared" ca="1" si="858"/>
        <v/>
      </c>
      <c r="I7905" s="16" t="str">
        <f t="shared" ca="1" si="859"/>
        <v/>
      </c>
      <c r="J7905" s="17" t="str">
        <f t="shared" ca="1" si="860"/>
        <v/>
      </c>
    </row>
    <row r="7906" spans="1:10" x14ac:dyDescent="0.25">
      <c r="A7906" t="s">
        <v>958</v>
      </c>
      <c r="B7906" t="str">
        <f>ADDRESS(ROW(DFLoan1!B$27),COLUMN(DFLoan1!B$27),4)</f>
        <v>B27</v>
      </c>
      <c r="C7906" t="str">
        <f>ADDRESS(ROW(DFLoan1!C$27),COLUMN(DFLoan1!C$27),4)</f>
        <v>C27</v>
      </c>
      <c r="D7906" t="b" cm="1">
        <f t="array" aca="1" ref="D7906" ca="1">IF(INDIRECT("'"&amp;A7906&amp;"'!"&amp;B7906)="",FALSE,IF(NOT(ISNUMBER(INDIRECT("'"&amp;A7906&amp;"'!"&amp;B7906))),TRUE,FALSE))</f>
        <v>0</v>
      </c>
      <c r="E7906" t="s">
        <v>435</v>
      </c>
      <c r="F7906" t="str">
        <f>INDEX(Lists!I:I,MATCH(Validation!E7906,Lists!G:G,0))</f>
        <v>Error</v>
      </c>
      <c r="G7906" t="str">
        <f>INDEX(Lists!H:H,MATCH(Validation!E7906,Lists!G:G,0))</f>
        <v>Enter an amount only. Do not enter text or spaces.</v>
      </c>
      <c r="H7906" s="16" t="str">
        <f t="shared" ca="1" si="858"/>
        <v/>
      </c>
      <c r="I7906" s="16" t="str">
        <f t="shared" ca="1" si="859"/>
        <v/>
      </c>
      <c r="J7906" s="17" t="str">
        <f t="shared" ca="1" si="860"/>
        <v/>
      </c>
    </row>
    <row r="7907" spans="1:10" x14ac:dyDescent="0.25">
      <c r="A7907" t="s">
        <v>959</v>
      </c>
      <c r="B7907" t="str">
        <f>ADDRESS(ROW(DFLoan1!B$27),COLUMN(DFLoan1!B$27),4)</f>
        <v>B27</v>
      </c>
      <c r="C7907" t="str">
        <f>ADDRESS(ROW(DFLoan1!C$27),COLUMN(DFLoan1!C$27),4)</f>
        <v>C27</v>
      </c>
      <c r="D7907" t="b" cm="1">
        <f t="array" aca="1" ref="D7907" ca="1">IF(INDIRECT("'"&amp;A7907&amp;"'!"&amp;B7907)="",FALSE,IF(NOT(ISNUMBER(INDIRECT("'"&amp;A7907&amp;"'!"&amp;B7907))),TRUE,FALSE))</f>
        <v>0</v>
      </c>
      <c r="E7907" t="s">
        <v>435</v>
      </c>
      <c r="F7907" t="str">
        <f>INDEX(Lists!I:I,MATCH(Validation!E7907,Lists!G:G,0))</f>
        <v>Error</v>
      </c>
      <c r="G7907" t="str">
        <f>INDEX(Lists!H:H,MATCH(Validation!E7907,Lists!G:G,0))</f>
        <v>Enter an amount only. Do not enter text or spaces.</v>
      </c>
      <c r="H7907" s="16" t="str">
        <f t="shared" ca="1" si="858"/>
        <v/>
      </c>
      <c r="I7907" s="16" t="str">
        <f t="shared" ca="1" si="859"/>
        <v/>
      </c>
      <c r="J7907" s="17" t="str">
        <f t="shared" ca="1" si="860"/>
        <v/>
      </c>
    </row>
    <row r="7908" spans="1:10" x14ac:dyDescent="0.25">
      <c r="A7908" t="s">
        <v>960</v>
      </c>
      <c r="B7908" t="str">
        <f>ADDRESS(ROW(DFLoan1!B$27),COLUMN(DFLoan1!B$27),4)</f>
        <v>B27</v>
      </c>
      <c r="C7908" t="str">
        <f>ADDRESS(ROW(DFLoan1!C$27),COLUMN(DFLoan1!C$27),4)</f>
        <v>C27</v>
      </c>
      <c r="D7908" t="b" cm="1">
        <f t="array" aca="1" ref="D7908" ca="1">IF(INDIRECT("'"&amp;A7908&amp;"'!"&amp;B7908)="",FALSE,IF(NOT(ISNUMBER(INDIRECT("'"&amp;A7908&amp;"'!"&amp;B7908))),TRUE,FALSE))</f>
        <v>0</v>
      </c>
      <c r="E7908" t="s">
        <v>435</v>
      </c>
      <c r="F7908" t="str">
        <f>INDEX(Lists!I:I,MATCH(Validation!E7908,Lists!G:G,0))</f>
        <v>Error</v>
      </c>
      <c r="G7908" t="str">
        <f>INDEX(Lists!H:H,MATCH(Validation!E7908,Lists!G:G,0))</f>
        <v>Enter an amount only. Do not enter text or spaces.</v>
      </c>
      <c r="H7908" s="16" t="str">
        <f t="shared" ca="1" si="858"/>
        <v/>
      </c>
      <c r="I7908" s="16" t="str">
        <f t="shared" ca="1" si="859"/>
        <v/>
      </c>
      <c r="J7908" s="17" t="str">
        <f t="shared" ca="1" si="860"/>
        <v/>
      </c>
    </row>
    <row r="7909" spans="1:10" x14ac:dyDescent="0.25">
      <c r="A7909" t="s">
        <v>961</v>
      </c>
      <c r="B7909" t="str">
        <f>ADDRESS(ROW(DFLoan1!B$27),COLUMN(DFLoan1!B$27),4)</f>
        <v>B27</v>
      </c>
      <c r="C7909" t="str">
        <f>ADDRESS(ROW(DFLoan1!C$27),COLUMN(DFLoan1!C$27),4)</f>
        <v>C27</v>
      </c>
      <c r="D7909" t="b" cm="1">
        <f t="array" aca="1" ref="D7909" ca="1">IF(INDIRECT("'"&amp;A7909&amp;"'!"&amp;B7909)="",FALSE,IF(NOT(ISNUMBER(INDIRECT("'"&amp;A7909&amp;"'!"&amp;B7909))),TRUE,FALSE))</f>
        <v>0</v>
      </c>
      <c r="E7909" t="s">
        <v>435</v>
      </c>
      <c r="F7909" t="str">
        <f>INDEX(Lists!I:I,MATCH(Validation!E7909,Lists!G:G,0))</f>
        <v>Error</v>
      </c>
      <c r="G7909" t="str">
        <f>INDEX(Lists!H:H,MATCH(Validation!E7909,Lists!G:G,0))</f>
        <v>Enter an amount only. Do not enter text or spaces.</v>
      </c>
      <c r="H7909" s="16" t="str">
        <f t="shared" ca="1" si="858"/>
        <v/>
      </c>
      <c r="I7909" s="16" t="str">
        <f t="shared" ca="1" si="859"/>
        <v/>
      </c>
      <c r="J7909" s="17" t="str">
        <f t="shared" ca="1" si="860"/>
        <v/>
      </c>
    </row>
    <row r="7910" spans="1:10" x14ac:dyDescent="0.25">
      <c r="A7910" t="s">
        <v>962</v>
      </c>
      <c r="B7910" t="str">
        <f>ADDRESS(ROW(DFLoan1!B$27),COLUMN(DFLoan1!B$27),4)</f>
        <v>B27</v>
      </c>
      <c r="C7910" t="str">
        <f>ADDRESS(ROW(DFLoan1!C$27),COLUMN(DFLoan1!C$27),4)</f>
        <v>C27</v>
      </c>
      <c r="D7910" t="b" cm="1">
        <f t="array" aca="1" ref="D7910" ca="1">IF(INDIRECT("'"&amp;A7910&amp;"'!"&amp;B7910)="",FALSE,IF(NOT(ISNUMBER(INDIRECT("'"&amp;A7910&amp;"'!"&amp;B7910))),TRUE,FALSE))</f>
        <v>0</v>
      </c>
      <c r="E7910" t="s">
        <v>435</v>
      </c>
      <c r="F7910" t="str">
        <f>INDEX(Lists!I:I,MATCH(Validation!E7910,Lists!G:G,0))</f>
        <v>Error</v>
      </c>
      <c r="G7910" t="str">
        <f>INDEX(Lists!H:H,MATCH(Validation!E7910,Lists!G:G,0))</f>
        <v>Enter an amount only. Do not enter text or spaces.</v>
      </c>
      <c r="H7910" s="16" t="str">
        <f t="shared" ca="1" si="858"/>
        <v/>
      </c>
      <c r="I7910" s="16" t="str">
        <f t="shared" ca="1" si="859"/>
        <v/>
      </c>
      <c r="J7910" s="17" t="str">
        <f t="shared" ca="1" si="860"/>
        <v/>
      </c>
    </row>
    <row r="7911" spans="1:10" x14ac:dyDescent="0.25">
      <c r="A7911" t="s">
        <v>963</v>
      </c>
      <c r="B7911" t="str">
        <f>ADDRESS(ROW(DFLoan1!B$27),COLUMN(DFLoan1!B$27),4)</f>
        <v>B27</v>
      </c>
      <c r="C7911" t="str">
        <f>ADDRESS(ROW(DFLoan1!C$27),COLUMN(DFLoan1!C$27),4)</f>
        <v>C27</v>
      </c>
      <c r="D7911" t="b" cm="1">
        <f t="array" aca="1" ref="D7911" ca="1">IF(INDIRECT("'"&amp;A7911&amp;"'!"&amp;B7911)="",FALSE,IF(NOT(ISNUMBER(INDIRECT("'"&amp;A7911&amp;"'!"&amp;B7911))),TRUE,FALSE))</f>
        <v>0</v>
      </c>
      <c r="E7911" t="s">
        <v>435</v>
      </c>
      <c r="F7911" t="str">
        <f>INDEX(Lists!I:I,MATCH(Validation!E7911,Lists!G:G,0))</f>
        <v>Error</v>
      </c>
      <c r="G7911" t="str">
        <f>INDEX(Lists!H:H,MATCH(Validation!E7911,Lists!G:G,0))</f>
        <v>Enter an amount only. Do not enter text or spaces.</v>
      </c>
      <c r="H7911" s="16" t="str">
        <f t="shared" ca="1" si="858"/>
        <v/>
      </c>
      <c r="I7911" s="16" t="str">
        <f t="shared" ca="1" si="859"/>
        <v/>
      </c>
      <c r="J7911" s="17" t="str">
        <f t="shared" ca="1" si="860"/>
        <v/>
      </c>
    </row>
    <row r="7912" spans="1:10" x14ac:dyDescent="0.25">
      <c r="A7912" t="s">
        <v>964</v>
      </c>
      <c r="B7912" t="str">
        <f>ADDRESS(ROW(DFLoan1!B$27),COLUMN(DFLoan1!B$27),4)</f>
        <v>B27</v>
      </c>
      <c r="C7912" t="str">
        <f>ADDRESS(ROW(DFLoan1!C$27),COLUMN(DFLoan1!C$27),4)</f>
        <v>C27</v>
      </c>
      <c r="D7912" t="b" cm="1">
        <f t="array" aca="1" ref="D7912" ca="1">IF(INDIRECT("'"&amp;A7912&amp;"'!"&amp;B7912)="",FALSE,IF(NOT(ISNUMBER(INDIRECT("'"&amp;A7912&amp;"'!"&amp;B7912))),TRUE,FALSE))</f>
        <v>0</v>
      </c>
      <c r="E7912" t="s">
        <v>435</v>
      </c>
      <c r="F7912" t="str">
        <f>INDEX(Lists!I:I,MATCH(Validation!E7912,Lists!G:G,0))</f>
        <v>Error</v>
      </c>
      <c r="G7912" t="str">
        <f>INDEX(Lists!H:H,MATCH(Validation!E7912,Lists!G:G,0))</f>
        <v>Enter an amount only. Do not enter text or spaces.</v>
      </c>
      <c r="H7912" s="16" t="str">
        <f t="shared" ca="1" si="858"/>
        <v/>
      </c>
      <c r="I7912" s="16" t="str">
        <f t="shared" ca="1" si="859"/>
        <v/>
      </c>
      <c r="J7912" s="17" t="str">
        <f t="shared" ca="1" si="860"/>
        <v/>
      </c>
    </row>
    <row r="7913" spans="1:10" x14ac:dyDescent="0.25">
      <c r="A7913" t="s">
        <v>965</v>
      </c>
      <c r="B7913" t="str">
        <f>ADDRESS(ROW(DFLoan1!B$27),COLUMN(DFLoan1!B$27),4)</f>
        <v>B27</v>
      </c>
      <c r="C7913" t="str">
        <f>ADDRESS(ROW(DFLoan1!C$27),COLUMN(DFLoan1!C$27),4)</f>
        <v>C27</v>
      </c>
      <c r="D7913" t="b" cm="1">
        <f t="array" aca="1" ref="D7913" ca="1">IF(INDIRECT("'"&amp;A7913&amp;"'!"&amp;B7913)="",FALSE,IF(NOT(ISNUMBER(INDIRECT("'"&amp;A7913&amp;"'!"&amp;B7913))),TRUE,FALSE))</f>
        <v>0</v>
      </c>
      <c r="E7913" t="s">
        <v>435</v>
      </c>
      <c r="F7913" t="str">
        <f>INDEX(Lists!I:I,MATCH(Validation!E7913,Lists!G:G,0))</f>
        <v>Error</v>
      </c>
      <c r="G7913" t="str">
        <f>INDEX(Lists!H:H,MATCH(Validation!E7913,Lists!G:G,0))</f>
        <v>Enter an amount only. Do not enter text or spaces.</v>
      </c>
      <c r="H7913" s="16" t="str">
        <f t="shared" ca="1" si="858"/>
        <v/>
      </c>
      <c r="I7913" s="16" t="str">
        <f t="shared" ca="1" si="859"/>
        <v/>
      </c>
      <c r="J7913" s="17" t="str">
        <f t="shared" ca="1" si="860"/>
        <v/>
      </c>
    </row>
    <row r="7914" spans="1:10" x14ac:dyDescent="0.25">
      <c r="A7914" t="s">
        <v>966</v>
      </c>
      <c r="B7914" t="str">
        <f>ADDRESS(ROW(DFLoan1!B$27),COLUMN(DFLoan1!B$27),4)</f>
        <v>B27</v>
      </c>
      <c r="C7914" t="str">
        <f>ADDRESS(ROW(DFLoan1!C$27),COLUMN(DFLoan1!C$27),4)</f>
        <v>C27</v>
      </c>
      <c r="D7914" t="b" cm="1">
        <f t="array" aca="1" ref="D7914" ca="1">IF(INDIRECT("'"&amp;A7914&amp;"'!"&amp;B7914)="",FALSE,IF(NOT(ISNUMBER(INDIRECT("'"&amp;A7914&amp;"'!"&amp;B7914))),TRUE,FALSE))</f>
        <v>0</v>
      </c>
      <c r="E7914" t="s">
        <v>435</v>
      </c>
      <c r="F7914" t="str">
        <f>INDEX(Lists!I:I,MATCH(Validation!E7914,Lists!G:G,0))</f>
        <v>Error</v>
      </c>
      <c r="G7914" t="str">
        <f>INDEX(Lists!H:H,MATCH(Validation!E7914,Lists!G:G,0))</f>
        <v>Enter an amount only. Do not enter text or spaces.</v>
      </c>
      <c r="H7914" s="16" t="str">
        <f t="shared" ca="1" si="858"/>
        <v/>
      </c>
      <c r="I7914" s="16" t="str">
        <f t="shared" ca="1" si="859"/>
        <v/>
      </c>
      <c r="J7914" s="17" t="str">
        <f t="shared" ca="1" si="860"/>
        <v/>
      </c>
    </row>
    <row r="7915" spans="1:10" x14ac:dyDescent="0.25">
      <c r="A7915" t="s">
        <v>881</v>
      </c>
      <c r="B7915" t="str">
        <f>ADDRESS(ROW(DFLoan1!B$27),COLUMN(DFLoan1!B$27),4)</f>
        <v>B27</v>
      </c>
      <c r="C7915" t="str">
        <f>ADDRESS(ROW(DFLoan1!C$27),COLUMN(DFLoan1!C$27),4)</f>
        <v>C27</v>
      </c>
      <c r="D7915" t="b" cm="1">
        <f t="array" aca="1" ref="D7915" ca="1">IF(INDIRECT("'"&amp;A7915&amp;"'!"&amp;B7915)="",FALSE,IF(INDIRECT("'"&amp;A7915&amp;"'!"&amp;B7915)&lt;0,TRUE,FALSE))</f>
        <v>0</v>
      </c>
      <c r="E7915" t="s">
        <v>434</v>
      </c>
      <c r="F7915" t="str">
        <f>INDEX(Lists!I:I,MATCH(Validation!E7915,Lists!G:G,0))</f>
        <v>Error</v>
      </c>
      <c r="G7915" t="str">
        <f>INDEX(Lists!H:H,MATCH(Validation!E7915,Lists!G:G,0))</f>
        <v>Amount may not be negative. Enter an amount greater than or equal to zero.</v>
      </c>
      <c r="H7915" s="16" t="str">
        <f t="shared" ca="1" si="858"/>
        <v/>
      </c>
      <c r="I7915" s="16" t="str">
        <f t="shared" ca="1" si="859"/>
        <v/>
      </c>
      <c r="J7915" s="17" t="str">
        <f t="shared" ca="1" si="860"/>
        <v/>
      </c>
    </row>
    <row r="7916" spans="1:10" x14ac:dyDescent="0.25">
      <c r="A7916" t="s">
        <v>953</v>
      </c>
      <c r="B7916" t="str">
        <f>ADDRESS(ROW(DFLoan1!B$27),COLUMN(DFLoan1!B$27),4)</f>
        <v>B27</v>
      </c>
      <c r="C7916" t="str">
        <f>ADDRESS(ROW(DFLoan1!C$27),COLUMN(DFLoan1!C$27),4)</f>
        <v>C27</v>
      </c>
      <c r="D7916" t="b" cm="1">
        <f t="array" aca="1" ref="D7916" ca="1">IF(INDIRECT("'"&amp;A7916&amp;"'!"&amp;B7916)="",FALSE,IF(INDIRECT("'"&amp;A7916&amp;"'!"&amp;B7916)&lt;0,TRUE,FALSE))</f>
        <v>0</v>
      </c>
      <c r="E7916" t="s">
        <v>434</v>
      </c>
      <c r="F7916" t="str">
        <f>INDEX(Lists!I:I,MATCH(Validation!E7916,Lists!G:G,0))</f>
        <v>Error</v>
      </c>
      <c r="G7916" t="str">
        <f>INDEX(Lists!H:H,MATCH(Validation!E7916,Lists!G:G,0))</f>
        <v>Amount may not be negative. Enter an amount greater than or equal to zero.</v>
      </c>
      <c r="H7916" s="16" t="str">
        <f t="shared" ca="1" si="858"/>
        <v/>
      </c>
      <c r="I7916" s="16" t="str">
        <f t="shared" ca="1" si="859"/>
        <v/>
      </c>
      <c r="J7916" s="17" t="str">
        <f t="shared" ca="1" si="860"/>
        <v/>
      </c>
    </row>
    <row r="7917" spans="1:10" x14ac:dyDescent="0.25">
      <c r="A7917" t="s">
        <v>954</v>
      </c>
      <c r="B7917" t="str">
        <f>ADDRESS(ROW(DFLoan1!B$27),COLUMN(DFLoan1!B$27),4)</f>
        <v>B27</v>
      </c>
      <c r="C7917" t="str">
        <f>ADDRESS(ROW(DFLoan1!C$27),COLUMN(DFLoan1!C$27),4)</f>
        <v>C27</v>
      </c>
      <c r="D7917" t="b" cm="1">
        <f t="array" aca="1" ref="D7917" ca="1">IF(INDIRECT("'"&amp;A7917&amp;"'!"&amp;B7917)="",FALSE,IF(INDIRECT("'"&amp;A7917&amp;"'!"&amp;B7917)&lt;0,TRUE,FALSE))</f>
        <v>0</v>
      </c>
      <c r="E7917" t="s">
        <v>434</v>
      </c>
      <c r="F7917" t="str">
        <f>INDEX(Lists!I:I,MATCH(Validation!E7917,Lists!G:G,0))</f>
        <v>Error</v>
      </c>
      <c r="G7917" t="str">
        <f>INDEX(Lists!H:H,MATCH(Validation!E7917,Lists!G:G,0))</f>
        <v>Amount may not be negative. Enter an amount greater than or equal to zero.</v>
      </c>
      <c r="H7917" s="16" t="str">
        <f t="shared" ca="1" si="858"/>
        <v/>
      </c>
      <c r="I7917" s="16" t="str">
        <f t="shared" ca="1" si="859"/>
        <v/>
      </c>
      <c r="J7917" s="17" t="str">
        <f t="shared" ca="1" si="860"/>
        <v/>
      </c>
    </row>
    <row r="7918" spans="1:10" x14ac:dyDescent="0.25">
      <c r="A7918" t="s">
        <v>955</v>
      </c>
      <c r="B7918" t="str">
        <f>ADDRESS(ROW(DFLoan1!B$27),COLUMN(DFLoan1!B$27),4)</f>
        <v>B27</v>
      </c>
      <c r="C7918" t="str">
        <f>ADDRESS(ROW(DFLoan1!C$27),COLUMN(DFLoan1!C$27),4)</f>
        <v>C27</v>
      </c>
      <c r="D7918" t="b" cm="1">
        <f t="array" aca="1" ref="D7918" ca="1">IF(INDIRECT("'"&amp;A7918&amp;"'!"&amp;B7918)="",FALSE,IF(INDIRECT("'"&amp;A7918&amp;"'!"&amp;B7918)&lt;0,TRUE,FALSE))</f>
        <v>0</v>
      </c>
      <c r="E7918" t="s">
        <v>434</v>
      </c>
      <c r="F7918" t="str">
        <f>INDEX(Lists!I:I,MATCH(Validation!E7918,Lists!G:G,0))</f>
        <v>Error</v>
      </c>
      <c r="G7918" t="str">
        <f>INDEX(Lists!H:H,MATCH(Validation!E7918,Lists!G:G,0))</f>
        <v>Amount may not be negative. Enter an amount greater than or equal to zero.</v>
      </c>
      <c r="H7918" s="16" t="str">
        <f t="shared" ca="1" si="858"/>
        <v/>
      </c>
      <c r="I7918" s="16" t="str">
        <f t="shared" ca="1" si="859"/>
        <v/>
      </c>
      <c r="J7918" s="17" t="str">
        <f t="shared" ca="1" si="860"/>
        <v/>
      </c>
    </row>
    <row r="7919" spans="1:10" x14ac:dyDescent="0.25">
      <c r="A7919" t="s">
        <v>956</v>
      </c>
      <c r="B7919" t="str">
        <f>ADDRESS(ROW(DFLoan1!B$27),COLUMN(DFLoan1!B$27),4)</f>
        <v>B27</v>
      </c>
      <c r="C7919" t="str">
        <f>ADDRESS(ROW(DFLoan1!C$27),COLUMN(DFLoan1!C$27),4)</f>
        <v>C27</v>
      </c>
      <c r="D7919" t="b" cm="1">
        <f t="array" aca="1" ref="D7919" ca="1">IF(INDIRECT("'"&amp;A7919&amp;"'!"&amp;B7919)="",FALSE,IF(INDIRECT("'"&amp;A7919&amp;"'!"&amp;B7919)&lt;0,TRUE,FALSE))</f>
        <v>0</v>
      </c>
      <c r="E7919" t="s">
        <v>434</v>
      </c>
      <c r="F7919" t="str">
        <f>INDEX(Lists!I:I,MATCH(Validation!E7919,Lists!G:G,0))</f>
        <v>Error</v>
      </c>
      <c r="G7919" t="str">
        <f>INDEX(Lists!H:H,MATCH(Validation!E7919,Lists!G:G,0))</f>
        <v>Amount may not be negative. Enter an amount greater than or equal to zero.</v>
      </c>
      <c r="H7919" s="16" t="str">
        <f t="shared" ref="H7919:H7975" ca="1" si="861">IFERROR(IF(OR(NOT(D7919),F7919&lt;&gt;"Error"),"",A7919&amp;CELL("address",INDIRECT(B7919))),"")</f>
        <v/>
      </c>
      <c r="I7919" s="16" t="str">
        <f t="shared" ref="I7919:I7975" ca="1" si="862">IFERROR(IF(NOT(D7919),"",A7919&amp;CELL("address",INDIRECT(C7919))),"")</f>
        <v/>
      </c>
      <c r="J7919" s="17" t="str">
        <f t="shared" ref="J7919:J7975" ca="1" si="863">IFERROR(IF(NOT(D7919),"",A7919),"")</f>
        <v/>
      </c>
    </row>
    <row r="7920" spans="1:10" x14ac:dyDescent="0.25">
      <c r="A7920" t="s">
        <v>957</v>
      </c>
      <c r="B7920" t="str">
        <f>ADDRESS(ROW(DFLoan1!B$27),COLUMN(DFLoan1!B$27),4)</f>
        <v>B27</v>
      </c>
      <c r="C7920" t="str">
        <f>ADDRESS(ROW(DFLoan1!C$27),COLUMN(DFLoan1!C$27),4)</f>
        <v>C27</v>
      </c>
      <c r="D7920" t="b" cm="1">
        <f t="array" aca="1" ref="D7920" ca="1">IF(INDIRECT("'"&amp;A7920&amp;"'!"&amp;B7920)="",FALSE,IF(INDIRECT("'"&amp;A7920&amp;"'!"&amp;B7920)&lt;0,TRUE,FALSE))</f>
        <v>0</v>
      </c>
      <c r="E7920" t="s">
        <v>434</v>
      </c>
      <c r="F7920" t="str">
        <f>INDEX(Lists!I:I,MATCH(Validation!E7920,Lists!G:G,0))</f>
        <v>Error</v>
      </c>
      <c r="G7920" t="str">
        <f>INDEX(Lists!H:H,MATCH(Validation!E7920,Lists!G:G,0))</f>
        <v>Amount may not be negative. Enter an amount greater than or equal to zero.</v>
      </c>
      <c r="H7920" s="16" t="str">
        <f t="shared" ca="1" si="861"/>
        <v/>
      </c>
      <c r="I7920" s="16" t="str">
        <f t="shared" ca="1" si="862"/>
        <v/>
      </c>
      <c r="J7920" s="17" t="str">
        <f t="shared" ca="1" si="863"/>
        <v/>
      </c>
    </row>
    <row r="7921" spans="1:10" x14ac:dyDescent="0.25">
      <c r="A7921" t="s">
        <v>958</v>
      </c>
      <c r="B7921" t="str">
        <f>ADDRESS(ROW(DFLoan1!B$27),COLUMN(DFLoan1!B$27),4)</f>
        <v>B27</v>
      </c>
      <c r="C7921" t="str">
        <f>ADDRESS(ROW(DFLoan1!C$27),COLUMN(DFLoan1!C$27),4)</f>
        <v>C27</v>
      </c>
      <c r="D7921" t="b" cm="1">
        <f t="array" aca="1" ref="D7921" ca="1">IF(INDIRECT("'"&amp;A7921&amp;"'!"&amp;B7921)="",FALSE,IF(INDIRECT("'"&amp;A7921&amp;"'!"&amp;B7921)&lt;0,TRUE,FALSE))</f>
        <v>0</v>
      </c>
      <c r="E7921" t="s">
        <v>434</v>
      </c>
      <c r="F7921" t="str">
        <f>INDEX(Lists!I:I,MATCH(Validation!E7921,Lists!G:G,0))</f>
        <v>Error</v>
      </c>
      <c r="G7921" t="str">
        <f>INDEX(Lists!H:H,MATCH(Validation!E7921,Lists!G:G,0))</f>
        <v>Amount may not be negative. Enter an amount greater than or equal to zero.</v>
      </c>
      <c r="H7921" s="16" t="str">
        <f t="shared" ca="1" si="861"/>
        <v/>
      </c>
      <c r="I7921" s="16" t="str">
        <f t="shared" ca="1" si="862"/>
        <v/>
      </c>
      <c r="J7921" s="17" t="str">
        <f t="shared" ca="1" si="863"/>
        <v/>
      </c>
    </row>
    <row r="7922" spans="1:10" x14ac:dyDescent="0.25">
      <c r="A7922" t="s">
        <v>959</v>
      </c>
      <c r="B7922" t="str">
        <f>ADDRESS(ROW(DFLoan1!B$27),COLUMN(DFLoan1!B$27),4)</f>
        <v>B27</v>
      </c>
      <c r="C7922" t="str">
        <f>ADDRESS(ROW(DFLoan1!C$27),COLUMN(DFLoan1!C$27),4)</f>
        <v>C27</v>
      </c>
      <c r="D7922" t="b" cm="1">
        <f t="array" aca="1" ref="D7922" ca="1">IF(INDIRECT("'"&amp;A7922&amp;"'!"&amp;B7922)="",FALSE,IF(INDIRECT("'"&amp;A7922&amp;"'!"&amp;B7922)&lt;0,TRUE,FALSE))</f>
        <v>0</v>
      </c>
      <c r="E7922" t="s">
        <v>434</v>
      </c>
      <c r="F7922" t="str">
        <f>INDEX(Lists!I:I,MATCH(Validation!E7922,Lists!G:G,0))</f>
        <v>Error</v>
      </c>
      <c r="G7922" t="str">
        <f>INDEX(Lists!H:H,MATCH(Validation!E7922,Lists!G:G,0))</f>
        <v>Amount may not be negative. Enter an amount greater than or equal to zero.</v>
      </c>
      <c r="H7922" s="16" t="str">
        <f t="shared" ca="1" si="861"/>
        <v/>
      </c>
      <c r="I7922" s="16" t="str">
        <f t="shared" ca="1" si="862"/>
        <v/>
      </c>
      <c r="J7922" s="17" t="str">
        <f t="shared" ca="1" si="863"/>
        <v/>
      </c>
    </row>
    <row r="7923" spans="1:10" x14ac:dyDescent="0.25">
      <c r="A7923" t="s">
        <v>960</v>
      </c>
      <c r="B7923" t="str">
        <f>ADDRESS(ROW(DFLoan1!B$27),COLUMN(DFLoan1!B$27),4)</f>
        <v>B27</v>
      </c>
      <c r="C7923" t="str">
        <f>ADDRESS(ROW(DFLoan1!C$27),COLUMN(DFLoan1!C$27),4)</f>
        <v>C27</v>
      </c>
      <c r="D7923" t="b" cm="1">
        <f t="array" aca="1" ref="D7923" ca="1">IF(INDIRECT("'"&amp;A7923&amp;"'!"&amp;B7923)="",FALSE,IF(INDIRECT("'"&amp;A7923&amp;"'!"&amp;B7923)&lt;0,TRUE,FALSE))</f>
        <v>0</v>
      </c>
      <c r="E7923" t="s">
        <v>434</v>
      </c>
      <c r="F7923" t="str">
        <f>INDEX(Lists!I:I,MATCH(Validation!E7923,Lists!G:G,0))</f>
        <v>Error</v>
      </c>
      <c r="G7923" t="str">
        <f>INDEX(Lists!H:H,MATCH(Validation!E7923,Lists!G:G,0))</f>
        <v>Amount may not be negative. Enter an amount greater than or equal to zero.</v>
      </c>
      <c r="H7923" s="16" t="str">
        <f t="shared" ca="1" si="861"/>
        <v/>
      </c>
      <c r="I7923" s="16" t="str">
        <f t="shared" ca="1" si="862"/>
        <v/>
      </c>
      <c r="J7923" s="17" t="str">
        <f t="shared" ca="1" si="863"/>
        <v/>
      </c>
    </row>
    <row r="7924" spans="1:10" x14ac:dyDescent="0.25">
      <c r="A7924" t="s">
        <v>961</v>
      </c>
      <c r="B7924" t="str">
        <f>ADDRESS(ROW(DFLoan1!B$27),COLUMN(DFLoan1!B$27),4)</f>
        <v>B27</v>
      </c>
      <c r="C7924" t="str">
        <f>ADDRESS(ROW(DFLoan1!C$27),COLUMN(DFLoan1!C$27),4)</f>
        <v>C27</v>
      </c>
      <c r="D7924" t="b" cm="1">
        <f t="array" aca="1" ref="D7924" ca="1">IF(INDIRECT("'"&amp;A7924&amp;"'!"&amp;B7924)="",FALSE,IF(INDIRECT("'"&amp;A7924&amp;"'!"&amp;B7924)&lt;0,TRUE,FALSE))</f>
        <v>0</v>
      </c>
      <c r="E7924" t="s">
        <v>434</v>
      </c>
      <c r="F7924" t="str">
        <f>INDEX(Lists!I:I,MATCH(Validation!E7924,Lists!G:G,0))</f>
        <v>Error</v>
      </c>
      <c r="G7924" t="str">
        <f>INDEX(Lists!H:H,MATCH(Validation!E7924,Lists!G:G,0))</f>
        <v>Amount may not be negative. Enter an amount greater than or equal to zero.</v>
      </c>
      <c r="H7924" s="16" t="str">
        <f t="shared" ca="1" si="861"/>
        <v/>
      </c>
      <c r="I7924" s="16" t="str">
        <f t="shared" ca="1" si="862"/>
        <v/>
      </c>
      <c r="J7924" s="17" t="str">
        <f t="shared" ca="1" si="863"/>
        <v/>
      </c>
    </row>
    <row r="7925" spans="1:10" x14ac:dyDescent="0.25">
      <c r="A7925" t="s">
        <v>962</v>
      </c>
      <c r="B7925" t="str">
        <f>ADDRESS(ROW(DFLoan1!B$27),COLUMN(DFLoan1!B$27),4)</f>
        <v>B27</v>
      </c>
      <c r="C7925" t="str">
        <f>ADDRESS(ROW(DFLoan1!C$27),COLUMN(DFLoan1!C$27),4)</f>
        <v>C27</v>
      </c>
      <c r="D7925" t="b" cm="1">
        <f t="array" aca="1" ref="D7925" ca="1">IF(INDIRECT("'"&amp;A7925&amp;"'!"&amp;B7925)="",FALSE,IF(INDIRECT("'"&amp;A7925&amp;"'!"&amp;B7925)&lt;0,TRUE,FALSE))</f>
        <v>0</v>
      </c>
      <c r="E7925" t="s">
        <v>434</v>
      </c>
      <c r="F7925" t="str">
        <f>INDEX(Lists!I:I,MATCH(Validation!E7925,Lists!G:G,0))</f>
        <v>Error</v>
      </c>
      <c r="G7925" t="str">
        <f>INDEX(Lists!H:H,MATCH(Validation!E7925,Lists!G:G,0))</f>
        <v>Amount may not be negative. Enter an amount greater than or equal to zero.</v>
      </c>
      <c r="H7925" s="16" t="str">
        <f t="shared" ca="1" si="861"/>
        <v/>
      </c>
      <c r="I7925" s="16" t="str">
        <f t="shared" ca="1" si="862"/>
        <v/>
      </c>
      <c r="J7925" s="17" t="str">
        <f t="shared" ca="1" si="863"/>
        <v/>
      </c>
    </row>
    <row r="7926" spans="1:10" x14ac:dyDescent="0.25">
      <c r="A7926" t="s">
        <v>963</v>
      </c>
      <c r="B7926" t="str">
        <f>ADDRESS(ROW(DFLoan1!B$27),COLUMN(DFLoan1!B$27),4)</f>
        <v>B27</v>
      </c>
      <c r="C7926" t="str">
        <f>ADDRESS(ROW(DFLoan1!C$27),COLUMN(DFLoan1!C$27),4)</f>
        <v>C27</v>
      </c>
      <c r="D7926" t="b" cm="1">
        <f t="array" aca="1" ref="D7926" ca="1">IF(INDIRECT("'"&amp;A7926&amp;"'!"&amp;B7926)="",FALSE,IF(INDIRECT("'"&amp;A7926&amp;"'!"&amp;B7926)&lt;0,TRUE,FALSE))</f>
        <v>0</v>
      </c>
      <c r="E7926" t="s">
        <v>434</v>
      </c>
      <c r="F7926" t="str">
        <f>INDEX(Lists!I:I,MATCH(Validation!E7926,Lists!G:G,0))</f>
        <v>Error</v>
      </c>
      <c r="G7926" t="str">
        <f>INDEX(Lists!H:H,MATCH(Validation!E7926,Lists!G:G,0))</f>
        <v>Amount may not be negative. Enter an amount greater than or equal to zero.</v>
      </c>
      <c r="H7926" s="16" t="str">
        <f t="shared" ca="1" si="861"/>
        <v/>
      </c>
      <c r="I7926" s="16" t="str">
        <f t="shared" ca="1" si="862"/>
        <v/>
      </c>
      <c r="J7926" s="17" t="str">
        <f t="shared" ca="1" si="863"/>
        <v/>
      </c>
    </row>
    <row r="7927" spans="1:10" x14ac:dyDescent="0.25">
      <c r="A7927" t="s">
        <v>964</v>
      </c>
      <c r="B7927" t="str">
        <f>ADDRESS(ROW(DFLoan1!B$27),COLUMN(DFLoan1!B$27),4)</f>
        <v>B27</v>
      </c>
      <c r="C7927" t="str">
        <f>ADDRESS(ROW(DFLoan1!C$27),COLUMN(DFLoan1!C$27),4)</f>
        <v>C27</v>
      </c>
      <c r="D7927" t="b" cm="1">
        <f t="array" aca="1" ref="D7927" ca="1">IF(INDIRECT("'"&amp;A7927&amp;"'!"&amp;B7927)="",FALSE,IF(INDIRECT("'"&amp;A7927&amp;"'!"&amp;B7927)&lt;0,TRUE,FALSE))</f>
        <v>0</v>
      </c>
      <c r="E7927" t="s">
        <v>434</v>
      </c>
      <c r="F7927" t="str">
        <f>INDEX(Lists!I:I,MATCH(Validation!E7927,Lists!G:G,0))</f>
        <v>Error</v>
      </c>
      <c r="G7927" t="str">
        <f>INDEX(Lists!H:H,MATCH(Validation!E7927,Lists!G:G,0))</f>
        <v>Amount may not be negative. Enter an amount greater than or equal to zero.</v>
      </c>
      <c r="H7927" s="16" t="str">
        <f t="shared" ca="1" si="861"/>
        <v/>
      </c>
      <c r="I7927" s="16" t="str">
        <f t="shared" ca="1" si="862"/>
        <v/>
      </c>
      <c r="J7927" s="17" t="str">
        <f t="shared" ca="1" si="863"/>
        <v/>
      </c>
    </row>
    <row r="7928" spans="1:10" x14ac:dyDescent="0.25">
      <c r="A7928" t="s">
        <v>965</v>
      </c>
      <c r="B7928" t="str">
        <f>ADDRESS(ROW(DFLoan1!B$27),COLUMN(DFLoan1!B$27),4)</f>
        <v>B27</v>
      </c>
      <c r="C7928" t="str">
        <f>ADDRESS(ROW(DFLoan1!C$27),COLUMN(DFLoan1!C$27),4)</f>
        <v>C27</v>
      </c>
      <c r="D7928" t="b" cm="1">
        <f t="array" aca="1" ref="D7928" ca="1">IF(INDIRECT("'"&amp;A7928&amp;"'!"&amp;B7928)="",FALSE,IF(INDIRECT("'"&amp;A7928&amp;"'!"&amp;B7928)&lt;0,TRUE,FALSE))</f>
        <v>0</v>
      </c>
      <c r="E7928" t="s">
        <v>434</v>
      </c>
      <c r="F7928" t="str">
        <f>INDEX(Lists!I:I,MATCH(Validation!E7928,Lists!G:G,0))</f>
        <v>Error</v>
      </c>
      <c r="G7928" t="str">
        <f>INDEX(Lists!H:H,MATCH(Validation!E7928,Lists!G:G,0))</f>
        <v>Amount may not be negative. Enter an amount greater than or equal to zero.</v>
      </c>
      <c r="H7928" s="16" t="str">
        <f t="shared" ca="1" si="861"/>
        <v/>
      </c>
      <c r="I7928" s="16" t="str">
        <f t="shared" ca="1" si="862"/>
        <v/>
      </c>
      <c r="J7928" s="17" t="str">
        <f t="shared" ca="1" si="863"/>
        <v/>
      </c>
    </row>
    <row r="7929" spans="1:10" x14ac:dyDescent="0.25">
      <c r="A7929" t="s">
        <v>966</v>
      </c>
      <c r="B7929" t="str">
        <f>ADDRESS(ROW(DFLoan1!B$27),COLUMN(DFLoan1!B$27),4)</f>
        <v>B27</v>
      </c>
      <c r="C7929" t="str">
        <f>ADDRESS(ROW(DFLoan1!C$27),COLUMN(DFLoan1!C$27),4)</f>
        <v>C27</v>
      </c>
      <c r="D7929" t="b" cm="1">
        <f t="array" aca="1" ref="D7929" ca="1">IF(INDIRECT("'"&amp;A7929&amp;"'!"&amp;B7929)="",FALSE,IF(INDIRECT("'"&amp;A7929&amp;"'!"&amp;B7929)&lt;0,TRUE,FALSE))</f>
        <v>0</v>
      </c>
      <c r="E7929" t="s">
        <v>434</v>
      </c>
      <c r="F7929" t="str">
        <f>INDEX(Lists!I:I,MATCH(Validation!E7929,Lists!G:G,0))</f>
        <v>Error</v>
      </c>
      <c r="G7929" t="str">
        <f>INDEX(Lists!H:H,MATCH(Validation!E7929,Lists!G:G,0))</f>
        <v>Amount may not be negative. Enter an amount greater than or equal to zero.</v>
      </c>
      <c r="H7929" s="16" t="str">
        <f t="shared" ca="1" si="861"/>
        <v/>
      </c>
      <c r="I7929" s="16" t="str">
        <f t="shared" ca="1" si="862"/>
        <v/>
      </c>
      <c r="J7929" s="17" t="str">
        <f t="shared" ca="1" si="863"/>
        <v/>
      </c>
    </row>
    <row r="7930" spans="1:10" x14ac:dyDescent="0.25">
      <c r="A7930" t="s">
        <v>881</v>
      </c>
      <c r="B7930" t="str">
        <f>ADDRESS(ROW(DFLoan1!B$27),COLUMN(DFLoan1!B$27),4)</f>
        <v>B27</v>
      </c>
      <c r="C7930" t="str">
        <f>ADDRESS(ROW(DFLoan1!C$27),COLUMN(DFLoan1!C$27),4)</f>
        <v>C27</v>
      </c>
      <c r="D7930" t="b" cm="1">
        <f t="array" aca="1" ref="D7930" ca="1">IF(INDIRECT("'"&amp;A7930&amp;"'!"&amp;B7930)="",FALSE,IF(TRUNC(INDIRECT("'"&amp;A7930&amp;"'!"&amp;B7930))=INDIRECT("'"&amp;A7930&amp;"'!"&amp;B7930),FALSE,TRUE))</f>
        <v>0</v>
      </c>
      <c r="E7930" t="s">
        <v>436</v>
      </c>
      <c r="F7930" t="str">
        <f>INDEX(Lists!I:I,MATCH(Validation!E7930,Lists!G:G,0))</f>
        <v>Error</v>
      </c>
      <c r="G7930" t="str">
        <f>INDEX(Lists!H:H,MATCH(Validation!E7930,Lists!G:G,0))</f>
        <v>Amount must be rounded to the nearest dollar.</v>
      </c>
      <c r="H7930" s="16" t="str">
        <f t="shared" ca="1" si="861"/>
        <v/>
      </c>
      <c r="I7930" s="16" t="str">
        <f t="shared" ca="1" si="862"/>
        <v/>
      </c>
      <c r="J7930" s="17" t="str">
        <f t="shared" ca="1" si="863"/>
        <v/>
      </c>
    </row>
    <row r="7931" spans="1:10" x14ac:dyDescent="0.25">
      <c r="A7931" t="s">
        <v>953</v>
      </c>
      <c r="B7931" t="str">
        <f>ADDRESS(ROW(DFLoan1!B$27),COLUMN(DFLoan1!B$27),4)</f>
        <v>B27</v>
      </c>
      <c r="C7931" t="str">
        <f>ADDRESS(ROW(DFLoan1!C$27),COLUMN(DFLoan1!C$27),4)</f>
        <v>C27</v>
      </c>
      <c r="D7931" t="b" cm="1">
        <f t="array" aca="1" ref="D7931" ca="1">IF(INDIRECT("'"&amp;A7931&amp;"'!"&amp;B7931)="",FALSE,IF(TRUNC(INDIRECT("'"&amp;A7931&amp;"'!"&amp;B7931))=INDIRECT("'"&amp;A7931&amp;"'!"&amp;B7931),FALSE,TRUE))</f>
        <v>0</v>
      </c>
      <c r="E7931" t="s">
        <v>436</v>
      </c>
      <c r="F7931" t="str">
        <f>INDEX(Lists!I:I,MATCH(Validation!E7931,Lists!G:G,0))</f>
        <v>Error</v>
      </c>
      <c r="G7931" t="str">
        <f>INDEX(Lists!H:H,MATCH(Validation!E7931,Lists!G:G,0))</f>
        <v>Amount must be rounded to the nearest dollar.</v>
      </c>
      <c r="H7931" s="16" t="str">
        <f t="shared" ca="1" si="861"/>
        <v/>
      </c>
      <c r="I7931" s="16" t="str">
        <f t="shared" ca="1" si="862"/>
        <v/>
      </c>
      <c r="J7931" s="17" t="str">
        <f t="shared" ca="1" si="863"/>
        <v/>
      </c>
    </row>
    <row r="7932" spans="1:10" x14ac:dyDescent="0.25">
      <c r="A7932" t="s">
        <v>954</v>
      </c>
      <c r="B7932" t="str">
        <f>ADDRESS(ROW(DFLoan1!B$27),COLUMN(DFLoan1!B$27),4)</f>
        <v>B27</v>
      </c>
      <c r="C7932" t="str">
        <f>ADDRESS(ROW(DFLoan1!C$27),COLUMN(DFLoan1!C$27),4)</f>
        <v>C27</v>
      </c>
      <c r="D7932" t="b" cm="1">
        <f t="array" aca="1" ref="D7932" ca="1">IF(INDIRECT("'"&amp;A7932&amp;"'!"&amp;B7932)="",FALSE,IF(TRUNC(INDIRECT("'"&amp;A7932&amp;"'!"&amp;B7932))=INDIRECT("'"&amp;A7932&amp;"'!"&amp;B7932),FALSE,TRUE))</f>
        <v>0</v>
      </c>
      <c r="E7932" t="s">
        <v>436</v>
      </c>
      <c r="F7932" t="str">
        <f>INDEX(Lists!I:I,MATCH(Validation!E7932,Lists!G:G,0))</f>
        <v>Error</v>
      </c>
      <c r="G7932" t="str">
        <f>INDEX(Lists!H:H,MATCH(Validation!E7932,Lists!G:G,0))</f>
        <v>Amount must be rounded to the nearest dollar.</v>
      </c>
      <c r="H7932" s="16" t="str">
        <f t="shared" ca="1" si="861"/>
        <v/>
      </c>
      <c r="I7932" s="16" t="str">
        <f t="shared" ca="1" si="862"/>
        <v/>
      </c>
      <c r="J7932" s="17" t="str">
        <f t="shared" ca="1" si="863"/>
        <v/>
      </c>
    </row>
    <row r="7933" spans="1:10" x14ac:dyDescent="0.25">
      <c r="A7933" t="s">
        <v>955</v>
      </c>
      <c r="B7933" t="str">
        <f>ADDRESS(ROW(DFLoan1!B$27),COLUMN(DFLoan1!B$27),4)</f>
        <v>B27</v>
      </c>
      <c r="C7933" t="str">
        <f>ADDRESS(ROW(DFLoan1!C$27),COLUMN(DFLoan1!C$27),4)</f>
        <v>C27</v>
      </c>
      <c r="D7933" t="b" cm="1">
        <f t="array" aca="1" ref="D7933" ca="1">IF(INDIRECT("'"&amp;A7933&amp;"'!"&amp;B7933)="",FALSE,IF(TRUNC(INDIRECT("'"&amp;A7933&amp;"'!"&amp;B7933))=INDIRECT("'"&amp;A7933&amp;"'!"&amp;B7933),FALSE,TRUE))</f>
        <v>0</v>
      </c>
      <c r="E7933" t="s">
        <v>436</v>
      </c>
      <c r="F7933" t="str">
        <f>INDEX(Lists!I:I,MATCH(Validation!E7933,Lists!G:G,0))</f>
        <v>Error</v>
      </c>
      <c r="G7933" t="str">
        <f>INDEX(Lists!H:H,MATCH(Validation!E7933,Lists!G:G,0))</f>
        <v>Amount must be rounded to the nearest dollar.</v>
      </c>
      <c r="H7933" s="16" t="str">
        <f t="shared" ca="1" si="861"/>
        <v/>
      </c>
      <c r="I7933" s="16" t="str">
        <f t="shared" ca="1" si="862"/>
        <v/>
      </c>
      <c r="J7933" s="17" t="str">
        <f t="shared" ca="1" si="863"/>
        <v/>
      </c>
    </row>
    <row r="7934" spans="1:10" x14ac:dyDescent="0.25">
      <c r="A7934" t="s">
        <v>956</v>
      </c>
      <c r="B7934" t="str">
        <f>ADDRESS(ROW(DFLoan1!B$27),COLUMN(DFLoan1!B$27),4)</f>
        <v>B27</v>
      </c>
      <c r="C7934" t="str">
        <f>ADDRESS(ROW(DFLoan1!C$27),COLUMN(DFLoan1!C$27),4)</f>
        <v>C27</v>
      </c>
      <c r="D7934" t="b" cm="1">
        <f t="array" aca="1" ref="D7934" ca="1">IF(INDIRECT("'"&amp;A7934&amp;"'!"&amp;B7934)="",FALSE,IF(TRUNC(INDIRECT("'"&amp;A7934&amp;"'!"&amp;B7934))=INDIRECT("'"&amp;A7934&amp;"'!"&amp;B7934),FALSE,TRUE))</f>
        <v>0</v>
      </c>
      <c r="E7934" t="s">
        <v>436</v>
      </c>
      <c r="F7934" t="str">
        <f>INDEX(Lists!I:I,MATCH(Validation!E7934,Lists!G:G,0))</f>
        <v>Error</v>
      </c>
      <c r="G7934" t="str">
        <f>INDEX(Lists!H:H,MATCH(Validation!E7934,Lists!G:G,0))</f>
        <v>Amount must be rounded to the nearest dollar.</v>
      </c>
      <c r="H7934" s="16" t="str">
        <f t="shared" ca="1" si="861"/>
        <v/>
      </c>
      <c r="I7934" s="16" t="str">
        <f t="shared" ca="1" si="862"/>
        <v/>
      </c>
      <c r="J7934" s="17" t="str">
        <f t="shared" ca="1" si="863"/>
        <v/>
      </c>
    </row>
    <row r="7935" spans="1:10" x14ac:dyDescent="0.25">
      <c r="A7935" t="s">
        <v>957</v>
      </c>
      <c r="B7935" t="str">
        <f>ADDRESS(ROW(DFLoan1!B$27),COLUMN(DFLoan1!B$27),4)</f>
        <v>B27</v>
      </c>
      <c r="C7935" t="str">
        <f>ADDRESS(ROW(DFLoan1!C$27),COLUMN(DFLoan1!C$27),4)</f>
        <v>C27</v>
      </c>
      <c r="D7935" t="b" cm="1">
        <f t="array" aca="1" ref="D7935" ca="1">IF(INDIRECT("'"&amp;A7935&amp;"'!"&amp;B7935)="",FALSE,IF(TRUNC(INDIRECT("'"&amp;A7935&amp;"'!"&amp;B7935))=INDIRECT("'"&amp;A7935&amp;"'!"&amp;B7935),FALSE,TRUE))</f>
        <v>0</v>
      </c>
      <c r="E7935" t="s">
        <v>436</v>
      </c>
      <c r="F7935" t="str">
        <f>INDEX(Lists!I:I,MATCH(Validation!E7935,Lists!G:G,0))</f>
        <v>Error</v>
      </c>
      <c r="G7935" t="str">
        <f>INDEX(Lists!H:H,MATCH(Validation!E7935,Lists!G:G,0))</f>
        <v>Amount must be rounded to the nearest dollar.</v>
      </c>
      <c r="H7935" s="16" t="str">
        <f t="shared" ca="1" si="861"/>
        <v/>
      </c>
      <c r="I7935" s="16" t="str">
        <f t="shared" ca="1" si="862"/>
        <v/>
      </c>
      <c r="J7935" s="17" t="str">
        <f t="shared" ca="1" si="863"/>
        <v/>
      </c>
    </row>
    <row r="7936" spans="1:10" x14ac:dyDescent="0.25">
      <c r="A7936" t="s">
        <v>958</v>
      </c>
      <c r="B7936" t="str">
        <f>ADDRESS(ROW(DFLoan1!B$27),COLUMN(DFLoan1!B$27),4)</f>
        <v>B27</v>
      </c>
      <c r="C7936" t="str">
        <f>ADDRESS(ROW(DFLoan1!C$27),COLUMN(DFLoan1!C$27),4)</f>
        <v>C27</v>
      </c>
      <c r="D7936" t="b" cm="1">
        <f t="array" aca="1" ref="D7936" ca="1">IF(INDIRECT("'"&amp;A7936&amp;"'!"&amp;B7936)="",FALSE,IF(TRUNC(INDIRECT("'"&amp;A7936&amp;"'!"&amp;B7936))=INDIRECT("'"&amp;A7936&amp;"'!"&amp;B7936),FALSE,TRUE))</f>
        <v>0</v>
      </c>
      <c r="E7936" t="s">
        <v>436</v>
      </c>
      <c r="F7936" t="str">
        <f>INDEX(Lists!I:I,MATCH(Validation!E7936,Lists!G:G,0))</f>
        <v>Error</v>
      </c>
      <c r="G7936" t="str">
        <f>INDEX(Lists!H:H,MATCH(Validation!E7936,Lists!G:G,0))</f>
        <v>Amount must be rounded to the nearest dollar.</v>
      </c>
      <c r="H7936" s="16" t="str">
        <f t="shared" ca="1" si="861"/>
        <v/>
      </c>
      <c r="I7936" s="16" t="str">
        <f t="shared" ca="1" si="862"/>
        <v/>
      </c>
      <c r="J7936" s="17" t="str">
        <f t="shared" ca="1" si="863"/>
        <v/>
      </c>
    </row>
    <row r="7937" spans="1:10" x14ac:dyDescent="0.25">
      <c r="A7937" t="s">
        <v>959</v>
      </c>
      <c r="B7937" t="str">
        <f>ADDRESS(ROW(DFLoan1!B$27),COLUMN(DFLoan1!B$27),4)</f>
        <v>B27</v>
      </c>
      <c r="C7937" t="str">
        <f>ADDRESS(ROW(DFLoan1!C$27),COLUMN(DFLoan1!C$27),4)</f>
        <v>C27</v>
      </c>
      <c r="D7937" t="b" cm="1">
        <f t="array" aca="1" ref="D7937" ca="1">IF(INDIRECT("'"&amp;A7937&amp;"'!"&amp;B7937)="",FALSE,IF(TRUNC(INDIRECT("'"&amp;A7937&amp;"'!"&amp;B7937))=INDIRECT("'"&amp;A7937&amp;"'!"&amp;B7937),FALSE,TRUE))</f>
        <v>0</v>
      </c>
      <c r="E7937" t="s">
        <v>436</v>
      </c>
      <c r="F7937" t="str">
        <f>INDEX(Lists!I:I,MATCH(Validation!E7937,Lists!G:G,0))</f>
        <v>Error</v>
      </c>
      <c r="G7937" t="str">
        <f>INDEX(Lists!H:H,MATCH(Validation!E7937,Lists!G:G,0))</f>
        <v>Amount must be rounded to the nearest dollar.</v>
      </c>
      <c r="H7937" s="16" t="str">
        <f t="shared" ca="1" si="861"/>
        <v/>
      </c>
      <c r="I7937" s="16" t="str">
        <f t="shared" ca="1" si="862"/>
        <v/>
      </c>
      <c r="J7937" s="17" t="str">
        <f t="shared" ca="1" si="863"/>
        <v/>
      </c>
    </row>
    <row r="7938" spans="1:10" x14ac:dyDescent="0.25">
      <c r="A7938" t="s">
        <v>960</v>
      </c>
      <c r="B7938" t="str">
        <f>ADDRESS(ROW(DFLoan1!B$27),COLUMN(DFLoan1!B$27),4)</f>
        <v>B27</v>
      </c>
      <c r="C7938" t="str">
        <f>ADDRESS(ROW(DFLoan1!C$27),COLUMN(DFLoan1!C$27),4)</f>
        <v>C27</v>
      </c>
      <c r="D7938" t="b" cm="1">
        <f t="array" aca="1" ref="D7938" ca="1">IF(INDIRECT("'"&amp;A7938&amp;"'!"&amp;B7938)="",FALSE,IF(TRUNC(INDIRECT("'"&amp;A7938&amp;"'!"&amp;B7938))=INDIRECT("'"&amp;A7938&amp;"'!"&amp;B7938),FALSE,TRUE))</f>
        <v>0</v>
      </c>
      <c r="E7938" t="s">
        <v>436</v>
      </c>
      <c r="F7938" t="str">
        <f>INDEX(Lists!I:I,MATCH(Validation!E7938,Lists!G:G,0))</f>
        <v>Error</v>
      </c>
      <c r="G7938" t="str">
        <f>INDEX(Lists!H:H,MATCH(Validation!E7938,Lists!G:G,0))</f>
        <v>Amount must be rounded to the nearest dollar.</v>
      </c>
      <c r="H7938" s="16" t="str">
        <f t="shared" ca="1" si="861"/>
        <v/>
      </c>
      <c r="I7938" s="16" t="str">
        <f t="shared" ca="1" si="862"/>
        <v/>
      </c>
      <c r="J7938" s="17" t="str">
        <f t="shared" ca="1" si="863"/>
        <v/>
      </c>
    </row>
    <row r="7939" spans="1:10" x14ac:dyDescent="0.25">
      <c r="A7939" t="s">
        <v>961</v>
      </c>
      <c r="B7939" t="str">
        <f>ADDRESS(ROW(DFLoan1!B$27),COLUMN(DFLoan1!B$27),4)</f>
        <v>B27</v>
      </c>
      <c r="C7939" t="str">
        <f>ADDRESS(ROW(DFLoan1!C$27),COLUMN(DFLoan1!C$27),4)</f>
        <v>C27</v>
      </c>
      <c r="D7939" t="b" cm="1">
        <f t="array" aca="1" ref="D7939" ca="1">IF(INDIRECT("'"&amp;A7939&amp;"'!"&amp;B7939)="",FALSE,IF(TRUNC(INDIRECT("'"&amp;A7939&amp;"'!"&amp;B7939))=INDIRECT("'"&amp;A7939&amp;"'!"&amp;B7939),FALSE,TRUE))</f>
        <v>0</v>
      </c>
      <c r="E7939" t="s">
        <v>436</v>
      </c>
      <c r="F7939" t="str">
        <f>INDEX(Lists!I:I,MATCH(Validation!E7939,Lists!G:G,0))</f>
        <v>Error</v>
      </c>
      <c r="G7939" t="str">
        <f>INDEX(Lists!H:H,MATCH(Validation!E7939,Lists!G:G,0))</f>
        <v>Amount must be rounded to the nearest dollar.</v>
      </c>
      <c r="H7939" s="16" t="str">
        <f t="shared" ca="1" si="861"/>
        <v/>
      </c>
      <c r="I7939" s="16" t="str">
        <f t="shared" ca="1" si="862"/>
        <v/>
      </c>
      <c r="J7939" s="17" t="str">
        <f t="shared" ca="1" si="863"/>
        <v/>
      </c>
    </row>
    <row r="7940" spans="1:10" x14ac:dyDescent="0.25">
      <c r="A7940" t="s">
        <v>962</v>
      </c>
      <c r="B7940" t="str">
        <f>ADDRESS(ROW(DFLoan1!B$27),COLUMN(DFLoan1!B$27),4)</f>
        <v>B27</v>
      </c>
      <c r="C7940" t="str">
        <f>ADDRESS(ROW(DFLoan1!C$27),COLUMN(DFLoan1!C$27),4)</f>
        <v>C27</v>
      </c>
      <c r="D7940" t="b" cm="1">
        <f t="array" aca="1" ref="D7940" ca="1">IF(INDIRECT("'"&amp;A7940&amp;"'!"&amp;B7940)="",FALSE,IF(TRUNC(INDIRECT("'"&amp;A7940&amp;"'!"&amp;B7940))=INDIRECT("'"&amp;A7940&amp;"'!"&amp;B7940),FALSE,TRUE))</f>
        <v>0</v>
      </c>
      <c r="E7940" t="s">
        <v>436</v>
      </c>
      <c r="F7940" t="str">
        <f>INDEX(Lists!I:I,MATCH(Validation!E7940,Lists!G:G,0))</f>
        <v>Error</v>
      </c>
      <c r="G7940" t="str">
        <f>INDEX(Lists!H:H,MATCH(Validation!E7940,Lists!G:G,0))</f>
        <v>Amount must be rounded to the nearest dollar.</v>
      </c>
      <c r="H7940" s="16" t="str">
        <f t="shared" ca="1" si="861"/>
        <v/>
      </c>
      <c r="I7940" s="16" t="str">
        <f t="shared" ca="1" si="862"/>
        <v/>
      </c>
      <c r="J7940" s="17" t="str">
        <f t="shared" ca="1" si="863"/>
        <v/>
      </c>
    </row>
    <row r="7941" spans="1:10" x14ac:dyDescent="0.25">
      <c r="A7941" t="s">
        <v>963</v>
      </c>
      <c r="B7941" t="str">
        <f>ADDRESS(ROW(DFLoan1!B$27),COLUMN(DFLoan1!B$27),4)</f>
        <v>B27</v>
      </c>
      <c r="C7941" t="str">
        <f>ADDRESS(ROW(DFLoan1!C$27),COLUMN(DFLoan1!C$27),4)</f>
        <v>C27</v>
      </c>
      <c r="D7941" t="b" cm="1">
        <f t="array" aca="1" ref="D7941" ca="1">IF(INDIRECT("'"&amp;A7941&amp;"'!"&amp;B7941)="",FALSE,IF(TRUNC(INDIRECT("'"&amp;A7941&amp;"'!"&amp;B7941))=INDIRECT("'"&amp;A7941&amp;"'!"&amp;B7941),FALSE,TRUE))</f>
        <v>0</v>
      </c>
      <c r="E7941" t="s">
        <v>436</v>
      </c>
      <c r="F7941" t="str">
        <f>INDEX(Lists!I:I,MATCH(Validation!E7941,Lists!G:G,0))</f>
        <v>Error</v>
      </c>
      <c r="G7941" t="str">
        <f>INDEX(Lists!H:H,MATCH(Validation!E7941,Lists!G:G,0))</f>
        <v>Amount must be rounded to the nearest dollar.</v>
      </c>
      <c r="H7941" s="16" t="str">
        <f t="shared" ca="1" si="861"/>
        <v/>
      </c>
      <c r="I7941" s="16" t="str">
        <f t="shared" ca="1" si="862"/>
        <v/>
      </c>
      <c r="J7941" s="17" t="str">
        <f t="shared" ca="1" si="863"/>
        <v/>
      </c>
    </row>
    <row r="7942" spans="1:10" x14ac:dyDescent="0.25">
      <c r="A7942" t="s">
        <v>964</v>
      </c>
      <c r="B7942" t="str">
        <f>ADDRESS(ROW(DFLoan1!B$27),COLUMN(DFLoan1!B$27),4)</f>
        <v>B27</v>
      </c>
      <c r="C7942" t="str">
        <f>ADDRESS(ROW(DFLoan1!C$27),COLUMN(DFLoan1!C$27),4)</f>
        <v>C27</v>
      </c>
      <c r="D7942" t="b" cm="1">
        <f t="array" aca="1" ref="D7942" ca="1">IF(INDIRECT("'"&amp;A7942&amp;"'!"&amp;B7942)="",FALSE,IF(TRUNC(INDIRECT("'"&amp;A7942&amp;"'!"&amp;B7942))=INDIRECT("'"&amp;A7942&amp;"'!"&amp;B7942),FALSE,TRUE))</f>
        <v>0</v>
      </c>
      <c r="E7942" t="s">
        <v>436</v>
      </c>
      <c r="F7942" t="str">
        <f>INDEX(Lists!I:I,MATCH(Validation!E7942,Lists!G:G,0))</f>
        <v>Error</v>
      </c>
      <c r="G7942" t="str">
        <f>INDEX(Lists!H:H,MATCH(Validation!E7942,Lists!G:G,0))</f>
        <v>Amount must be rounded to the nearest dollar.</v>
      </c>
      <c r="H7942" s="16" t="str">
        <f t="shared" ca="1" si="861"/>
        <v/>
      </c>
      <c r="I7942" s="16" t="str">
        <f t="shared" ca="1" si="862"/>
        <v/>
      </c>
      <c r="J7942" s="17" t="str">
        <f t="shared" ca="1" si="863"/>
        <v/>
      </c>
    </row>
    <row r="7943" spans="1:10" x14ac:dyDescent="0.25">
      <c r="A7943" t="s">
        <v>965</v>
      </c>
      <c r="B7943" t="str">
        <f>ADDRESS(ROW(DFLoan1!B$27),COLUMN(DFLoan1!B$27),4)</f>
        <v>B27</v>
      </c>
      <c r="C7943" t="str">
        <f>ADDRESS(ROW(DFLoan1!C$27),COLUMN(DFLoan1!C$27),4)</f>
        <v>C27</v>
      </c>
      <c r="D7943" t="b" cm="1">
        <f t="array" aca="1" ref="D7943" ca="1">IF(INDIRECT("'"&amp;A7943&amp;"'!"&amp;B7943)="",FALSE,IF(TRUNC(INDIRECT("'"&amp;A7943&amp;"'!"&amp;B7943))=INDIRECT("'"&amp;A7943&amp;"'!"&amp;B7943),FALSE,TRUE))</f>
        <v>0</v>
      </c>
      <c r="E7943" t="s">
        <v>436</v>
      </c>
      <c r="F7943" t="str">
        <f>INDEX(Lists!I:I,MATCH(Validation!E7943,Lists!G:G,0))</f>
        <v>Error</v>
      </c>
      <c r="G7943" t="str">
        <f>INDEX(Lists!H:H,MATCH(Validation!E7943,Lists!G:G,0))</f>
        <v>Amount must be rounded to the nearest dollar.</v>
      </c>
      <c r="H7943" s="16" t="str">
        <f t="shared" ca="1" si="861"/>
        <v/>
      </c>
      <c r="I7943" s="16" t="str">
        <f t="shared" ca="1" si="862"/>
        <v/>
      </c>
      <c r="J7943" s="17" t="str">
        <f t="shared" ca="1" si="863"/>
        <v/>
      </c>
    </row>
    <row r="7944" spans="1:10" x14ac:dyDescent="0.25">
      <c r="A7944" t="s">
        <v>966</v>
      </c>
      <c r="B7944" t="str">
        <f>ADDRESS(ROW(DFLoan1!B$27),COLUMN(DFLoan1!B$27),4)</f>
        <v>B27</v>
      </c>
      <c r="C7944" t="str">
        <f>ADDRESS(ROW(DFLoan1!C$27),COLUMN(DFLoan1!C$27),4)</f>
        <v>C27</v>
      </c>
      <c r="D7944" t="b" cm="1">
        <f t="array" aca="1" ref="D7944" ca="1">IF(INDIRECT("'"&amp;A7944&amp;"'!"&amp;B7944)="",FALSE,IF(TRUNC(INDIRECT("'"&amp;A7944&amp;"'!"&amp;B7944))=INDIRECT("'"&amp;A7944&amp;"'!"&amp;B7944),FALSE,TRUE))</f>
        <v>0</v>
      </c>
      <c r="E7944" t="s">
        <v>436</v>
      </c>
      <c r="F7944" t="str">
        <f>INDEX(Lists!I:I,MATCH(Validation!E7944,Lists!G:G,0))</f>
        <v>Error</v>
      </c>
      <c r="G7944" t="str">
        <f>INDEX(Lists!H:H,MATCH(Validation!E7944,Lists!G:G,0))</f>
        <v>Amount must be rounded to the nearest dollar.</v>
      </c>
      <c r="H7944" s="16" t="str">
        <f t="shared" ca="1" si="861"/>
        <v/>
      </c>
      <c r="I7944" s="16" t="str">
        <f t="shared" ca="1" si="862"/>
        <v/>
      </c>
      <c r="J7944" s="17" t="str">
        <f t="shared" ca="1" si="863"/>
        <v/>
      </c>
    </row>
    <row r="7945" spans="1:10" x14ac:dyDescent="0.25">
      <c r="A7945" t="s">
        <v>881</v>
      </c>
      <c r="B7945" t="str">
        <f>ADDRESS(ROW(DFLoan1!$A$29),COLUMN(DFLoan1!$A$29),4)</f>
        <v>A29</v>
      </c>
      <c r="C7945" t="str">
        <f>ADDRESS(ROW(DFLoan1!C$28),COLUMN(DFLoan1!C$28),4)</f>
        <v>C28</v>
      </c>
      <c r="D7945" t="b" cm="1">
        <f t="array" aca="1" ref="D7945" ca="1">IF(ISBLANK(INDIRECT("'"&amp;A7945&amp;"'!"&amp;B7945)),FALSE,IF(LEN(TRIM(CLEAN(INDIRECT("'"&amp;A7945&amp;"'!"&amp;B7945))))&lt;15,TRUE,FALSE))</f>
        <v>0</v>
      </c>
      <c r="E7945" t="s">
        <v>635</v>
      </c>
      <c r="F7945" t="str">
        <f>INDEX(Lists!I:I,MATCH(Validation!E7945,Lists!G:G,0))</f>
        <v>Error</v>
      </c>
      <c r="G7945" t="str">
        <f>INDEX(Lists!H:H,MATCH(Validation!E7945,Lists!G:G,0))</f>
        <v>Insufficient information. Please provide a longer comment.</v>
      </c>
      <c r="H7945" s="16" t="str">
        <f t="shared" ca="1" si="861"/>
        <v/>
      </c>
      <c r="I7945" s="16" t="str">
        <f t="shared" ca="1" si="862"/>
        <v/>
      </c>
      <c r="J7945" s="17" t="str">
        <f t="shared" ca="1" si="863"/>
        <v/>
      </c>
    </row>
    <row r="7946" spans="1:10" x14ac:dyDescent="0.25">
      <c r="A7946" t="s">
        <v>953</v>
      </c>
      <c r="B7946" t="str">
        <f>ADDRESS(ROW(DFLoan1!$A$29),COLUMN(DFLoan1!$A$29),4)</f>
        <v>A29</v>
      </c>
      <c r="C7946" t="str">
        <f>ADDRESS(ROW(DFLoan1!C$28),COLUMN(DFLoan1!C$28),4)</f>
        <v>C28</v>
      </c>
      <c r="D7946" t="b" cm="1">
        <f t="array" aca="1" ref="D7946" ca="1">IF(ISBLANK(INDIRECT("'"&amp;A7946&amp;"'!"&amp;B7946)),FALSE,IF(LEN(TRIM(CLEAN(INDIRECT("'"&amp;A7946&amp;"'!"&amp;B7946))))&lt;15,TRUE,FALSE))</f>
        <v>0</v>
      </c>
      <c r="E7946" t="s">
        <v>635</v>
      </c>
      <c r="F7946" t="str">
        <f>INDEX(Lists!I:I,MATCH(Validation!E7946,Lists!G:G,0))</f>
        <v>Error</v>
      </c>
      <c r="G7946" t="str">
        <f>INDEX(Lists!H:H,MATCH(Validation!E7946,Lists!G:G,0))</f>
        <v>Insufficient information. Please provide a longer comment.</v>
      </c>
      <c r="H7946" s="16" t="str">
        <f t="shared" ca="1" si="861"/>
        <v/>
      </c>
      <c r="I7946" s="16" t="str">
        <f t="shared" ca="1" si="862"/>
        <v/>
      </c>
      <c r="J7946" s="17" t="str">
        <f t="shared" ca="1" si="863"/>
        <v/>
      </c>
    </row>
    <row r="7947" spans="1:10" x14ac:dyDescent="0.25">
      <c r="A7947" t="s">
        <v>954</v>
      </c>
      <c r="B7947" t="str">
        <f>ADDRESS(ROW(DFLoan1!$A$29),COLUMN(DFLoan1!$A$29),4)</f>
        <v>A29</v>
      </c>
      <c r="C7947" t="str">
        <f>ADDRESS(ROW(DFLoan1!C$28),COLUMN(DFLoan1!C$28),4)</f>
        <v>C28</v>
      </c>
      <c r="D7947" t="b" cm="1">
        <f t="array" aca="1" ref="D7947" ca="1">IF(ISBLANK(INDIRECT("'"&amp;A7947&amp;"'!"&amp;B7947)),FALSE,IF(LEN(TRIM(CLEAN(INDIRECT("'"&amp;A7947&amp;"'!"&amp;B7947))))&lt;15,TRUE,FALSE))</f>
        <v>0</v>
      </c>
      <c r="E7947" t="s">
        <v>635</v>
      </c>
      <c r="F7947" t="str">
        <f>INDEX(Lists!I:I,MATCH(Validation!E7947,Lists!G:G,0))</f>
        <v>Error</v>
      </c>
      <c r="G7947" t="str">
        <f>INDEX(Lists!H:H,MATCH(Validation!E7947,Lists!G:G,0))</f>
        <v>Insufficient information. Please provide a longer comment.</v>
      </c>
      <c r="H7947" s="16" t="str">
        <f t="shared" ca="1" si="861"/>
        <v/>
      </c>
      <c r="I7947" s="16" t="str">
        <f t="shared" ca="1" si="862"/>
        <v/>
      </c>
      <c r="J7947" s="17" t="str">
        <f t="shared" ca="1" si="863"/>
        <v/>
      </c>
    </row>
    <row r="7948" spans="1:10" x14ac:dyDescent="0.25">
      <c r="A7948" t="s">
        <v>955</v>
      </c>
      <c r="B7948" t="str">
        <f>ADDRESS(ROW(DFLoan1!$A$29),COLUMN(DFLoan1!$A$29),4)</f>
        <v>A29</v>
      </c>
      <c r="C7948" t="str">
        <f>ADDRESS(ROW(DFLoan1!C$28),COLUMN(DFLoan1!C$28),4)</f>
        <v>C28</v>
      </c>
      <c r="D7948" t="b" cm="1">
        <f t="array" aca="1" ref="D7948" ca="1">IF(ISBLANK(INDIRECT("'"&amp;A7948&amp;"'!"&amp;B7948)),FALSE,IF(LEN(TRIM(CLEAN(INDIRECT("'"&amp;A7948&amp;"'!"&amp;B7948))))&lt;15,TRUE,FALSE))</f>
        <v>0</v>
      </c>
      <c r="E7948" t="s">
        <v>635</v>
      </c>
      <c r="F7948" t="str">
        <f>INDEX(Lists!I:I,MATCH(Validation!E7948,Lists!G:G,0))</f>
        <v>Error</v>
      </c>
      <c r="G7948" t="str">
        <f>INDEX(Lists!H:H,MATCH(Validation!E7948,Lists!G:G,0))</f>
        <v>Insufficient information. Please provide a longer comment.</v>
      </c>
      <c r="H7948" s="16" t="str">
        <f t="shared" ca="1" si="861"/>
        <v/>
      </c>
      <c r="I7948" s="16" t="str">
        <f t="shared" ca="1" si="862"/>
        <v/>
      </c>
      <c r="J7948" s="17" t="str">
        <f t="shared" ca="1" si="863"/>
        <v/>
      </c>
    </row>
    <row r="7949" spans="1:10" x14ac:dyDescent="0.25">
      <c r="A7949" t="s">
        <v>956</v>
      </c>
      <c r="B7949" t="str">
        <f>ADDRESS(ROW(DFLoan1!$A$29),COLUMN(DFLoan1!$A$29),4)</f>
        <v>A29</v>
      </c>
      <c r="C7949" t="str">
        <f>ADDRESS(ROW(DFLoan1!C$28),COLUMN(DFLoan1!C$28),4)</f>
        <v>C28</v>
      </c>
      <c r="D7949" t="b" cm="1">
        <f t="array" aca="1" ref="D7949" ca="1">IF(ISBLANK(INDIRECT("'"&amp;A7949&amp;"'!"&amp;B7949)),FALSE,IF(LEN(TRIM(CLEAN(INDIRECT("'"&amp;A7949&amp;"'!"&amp;B7949))))&lt;15,TRUE,FALSE))</f>
        <v>0</v>
      </c>
      <c r="E7949" t="s">
        <v>635</v>
      </c>
      <c r="F7949" t="str">
        <f>INDEX(Lists!I:I,MATCH(Validation!E7949,Lists!G:G,0))</f>
        <v>Error</v>
      </c>
      <c r="G7949" t="str">
        <f>INDEX(Lists!H:H,MATCH(Validation!E7949,Lists!G:G,0))</f>
        <v>Insufficient information. Please provide a longer comment.</v>
      </c>
      <c r="H7949" s="16" t="str">
        <f t="shared" ca="1" si="861"/>
        <v/>
      </c>
      <c r="I7949" s="16" t="str">
        <f t="shared" ca="1" si="862"/>
        <v/>
      </c>
      <c r="J7949" s="17" t="str">
        <f t="shared" ca="1" si="863"/>
        <v/>
      </c>
    </row>
    <row r="7950" spans="1:10" x14ac:dyDescent="0.25">
      <c r="A7950" t="s">
        <v>957</v>
      </c>
      <c r="B7950" t="str">
        <f>ADDRESS(ROW(DFLoan1!$A$29),COLUMN(DFLoan1!$A$29),4)</f>
        <v>A29</v>
      </c>
      <c r="C7950" t="str">
        <f>ADDRESS(ROW(DFLoan1!C$28),COLUMN(DFLoan1!C$28),4)</f>
        <v>C28</v>
      </c>
      <c r="D7950" t="b" cm="1">
        <f t="array" aca="1" ref="D7950" ca="1">IF(ISBLANK(INDIRECT("'"&amp;A7950&amp;"'!"&amp;B7950)),FALSE,IF(LEN(TRIM(CLEAN(INDIRECT("'"&amp;A7950&amp;"'!"&amp;B7950))))&lt;15,TRUE,FALSE))</f>
        <v>0</v>
      </c>
      <c r="E7950" t="s">
        <v>635</v>
      </c>
      <c r="F7950" t="str">
        <f>INDEX(Lists!I:I,MATCH(Validation!E7950,Lists!G:G,0))</f>
        <v>Error</v>
      </c>
      <c r="G7950" t="str">
        <f>INDEX(Lists!H:H,MATCH(Validation!E7950,Lists!G:G,0))</f>
        <v>Insufficient information. Please provide a longer comment.</v>
      </c>
      <c r="H7950" s="16" t="str">
        <f t="shared" ca="1" si="861"/>
        <v/>
      </c>
      <c r="I7950" s="16" t="str">
        <f t="shared" ca="1" si="862"/>
        <v/>
      </c>
      <c r="J7950" s="17" t="str">
        <f t="shared" ca="1" si="863"/>
        <v/>
      </c>
    </row>
    <row r="7951" spans="1:10" x14ac:dyDescent="0.25">
      <c r="A7951" t="s">
        <v>958</v>
      </c>
      <c r="B7951" t="str">
        <f>ADDRESS(ROW(DFLoan1!$A$29),COLUMN(DFLoan1!$A$29),4)</f>
        <v>A29</v>
      </c>
      <c r="C7951" t="str">
        <f>ADDRESS(ROW(DFLoan1!C$28),COLUMN(DFLoan1!C$28),4)</f>
        <v>C28</v>
      </c>
      <c r="D7951" t="b" cm="1">
        <f t="array" aca="1" ref="D7951" ca="1">IF(ISBLANK(INDIRECT("'"&amp;A7951&amp;"'!"&amp;B7951)),FALSE,IF(LEN(TRIM(CLEAN(INDIRECT("'"&amp;A7951&amp;"'!"&amp;B7951))))&lt;15,TRUE,FALSE))</f>
        <v>0</v>
      </c>
      <c r="E7951" t="s">
        <v>635</v>
      </c>
      <c r="F7951" t="str">
        <f>INDEX(Lists!I:I,MATCH(Validation!E7951,Lists!G:G,0))</f>
        <v>Error</v>
      </c>
      <c r="G7951" t="str">
        <f>INDEX(Lists!H:H,MATCH(Validation!E7951,Lists!G:G,0))</f>
        <v>Insufficient information. Please provide a longer comment.</v>
      </c>
      <c r="H7951" s="16" t="str">
        <f t="shared" ca="1" si="861"/>
        <v/>
      </c>
      <c r="I7951" s="16" t="str">
        <f t="shared" ca="1" si="862"/>
        <v/>
      </c>
      <c r="J7951" s="17" t="str">
        <f t="shared" ca="1" si="863"/>
        <v/>
      </c>
    </row>
    <row r="7952" spans="1:10" x14ac:dyDescent="0.25">
      <c r="A7952" t="s">
        <v>959</v>
      </c>
      <c r="B7952" t="str">
        <f>ADDRESS(ROW(DFLoan1!$A$29),COLUMN(DFLoan1!$A$29),4)</f>
        <v>A29</v>
      </c>
      <c r="C7952" t="str">
        <f>ADDRESS(ROW(DFLoan1!C$28),COLUMN(DFLoan1!C$28),4)</f>
        <v>C28</v>
      </c>
      <c r="D7952" t="b" cm="1">
        <f t="array" aca="1" ref="D7952" ca="1">IF(ISBLANK(INDIRECT("'"&amp;A7952&amp;"'!"&amp;B7952)),FALSE,IF(LEN(TRIM(CLEAN(INDIRECT("'"&amp;A7952&amp;"'!"&amp;B7952))))&lt;15,TRUE,FALSE))</f>
        <v>0</v>
      </c>
      <c r="E7952" t="s">
        <v>635</v>
      </c>
      <c r="F7952" t="str">
        <f>INDEX(Lists!I:I,MATCH(Validation!E7952,Lists!G:G,0))</f>
        <v>Error</v>
      </c>
      <c r="G7952" t="str">
        <f>INDEX(Lists!H:H,MATCH(Validation!E7952,Lists!G:G,0))</f>
        <v>Insufficient information. Please provide a longer comment.</v>
      </c>
      <c r="H7952" s="16" t="str">
        <f t="shared" ca="1" si="861"/>
        <v/>
      </c>
      <c r="I7952" s="16" t="str">
        <f t="shared" ca="1" si="862"/>
        <v/>
      </c>
      <c r="J7952" s="17" t="str">
        <f t="shared" ca="1" si="863"/>
        <v/>
      </c>
    </row>
    <row r="7953" spans="1:10" x14ac:dyDescent="0.25">
      <c r="A7953" t="s">
        <v>960</v>
      </c>
      <c r="B7953" t="str">
        <f>ADDRESS(ROW(DFLoan1!$A$29),COLUMN(DFLoan1!$A$29),4)</f>
        <v>A29</v>
      </c>
      <c r="C7953" t="str">
        <f>ADDRESS(ROW(DFLoan1!C$28),COLUMN(DFLoan1!C$28),4)</f>
        <v>C28</v>
      </c>
      <c r="D7953" t="b" cm="1">
        <f t="array" aca="1" ref="D7953" ca="1">IF(ISBLANK(INDIRECT("'"&amp;A7953&amp;"'!"&amp;B7953)),FALSE,IF(LEN(TRIM(CLEAN(INDIRECT("'"&amp;A7953&amp;"'!"&amp;B7953))))&lt;15,TRUE,FALSE))</f>
        <v>0</v>
      </c>
      <c r="E7953" t="s">
        <v>635</v>
      </c>
      <c r="F7953" t="str">
        <f>INDEX(Lists!I:I,MATCH(Validation!E7953,Lists!G:G,0))</f>
        <v>Error</v>
      </c>
      <c r="G7953" t="str">
        <f>INDEX(Lists!H:H,MATCH(Validation!E7953,Lists!G:G,0))</f>
        <v>Insufficient information. Please provide a longer comment.</v>
      </c>
      <c r="H7953" s="16" t="str">
        <f t="shared" ca="1" si="861"/>
        <v/>
      </c>
      <c r="I7953" s="16" t="str">
        <f t="shared" ca="1" si="862"/>
        <v/>
      </c>
      <c r="J7953" s="17" t="str">
        <f t="shared" ca="1" si="863"/>
        <v/>
      </c>
    </row>
    <row r="7954" spans="1:10" x14ac:dyDescent="0.25">
      <c r="A7954" t="s">
        <v>961</v>
      </c>
      <c r="B7954" t="str">
        <f>ADDRESS(ROW(DFLoan1!$A$29),COLUMN(DFLoan1!$A$29),4)</f>
        <v>A29</v>
      </c>
      <c r="C7954" t="str">
        <f>ADDRESS(ROW(DFLoan1!C$28),COLUMN(DFLoan1!C$28),4)</f>
        <v>C28</v>
      </c>
      <c r="D7954" t="b" cm="1">
        <f t="array" aca="1" ref="D7954" ca="1">IF(ISBLANK(INDIRECT("'"&amp;A7954&amp;"'!"&amp;B7954)),FALSE,IF(LEN(TRIM(CLEAN(INDIRECT("'"&amp;A7954&amp;"'!"&amp;B7954))))&lt;15,TRUE,FALSE))</f>
        <v>0</v>
      </c>
      <c r="E7954" t="s">
        <v>635</v>
      </c>
      <c r="F7954" t="str">
        <f>INDEX(Lists!I:I,MATCH(Validation!E7954,Lists!G:G,0))</f>
        <v>Error</v>
      </c>
      <c r="G7954" t="str">
        <f>INDEX(Lists!H:H,MATCH(Validation!E7954,Lists!G:G,0))</f>
        <v>Insufficient information. Please provide a longer comment.</v>
      </c>
      <c r="H7954" s="16" t="str">
        <f t="shared" ca="1" si="861"/>
        <v/>
      </c>
      <c r="I7954" s="16" t="str">
        <f t="shared" ca="1" si="862"/>
        <v/>
      </c>
      <c r="J7954" s="17" t="str">
        <f t="shared" ca="1" si="863"/>
        <v/>
      </c>
    </row>
    <row r="7955" spans="1:10" x14ac:dyDescent="0.25">
      <c r="A7955" t="s">
        <v>962</v>
      </c>
      <c r="B7955" t="str">
        <f>ADDRESS(ROW(DFLoan1!$A$29),COLUMN(DFLoan1!$A$29),4)</f>
        <v>A29</v>
      </c>
      <c r="C7955" t="str">
        <f>ADDRESS(ROW(DFLoan1!C$28),COLUMN(DFLoan1!C$28),4)</f>
        <v>C28</v>
      </c>
      <c r="D7955" t="b" cm="1">
        <f t="array" aca="1" ref="D7955" ca="1">IF(ISBLANK(INDIRECT("'"&amp;A7955&amp;"'!"&amp;B7955)),FALSE,IF(LEN(TRIM(CLEAN(INDIRECT("'"&amp;A7955&amp;"'!"&amp;B7955))))&lt;15,TRUE,FALSE))</f>
        <v>0</v>
      </c>
      <c r="E7955" t="s">
        <v>635</v>
      </c>
      <c r="F7955" t="str">
        <f>INDEX(Lists!I:I,MATCH(Validation!E7955,Lists!G:G,0))</f>
        <v>Error</v>
      </c>
      <c r="G7955" t="str">
        <f>INDEX(Lists!H:H,MATCH(Validation!E7955,Lists!G:G,0))</f>
        <v>Insufficient information. Please provide a longer comment.</v>
      </c>
      <c r="H7955" s="16" t="str">
        <f t="shared" ca="1" si="861"/>
        <v/>
      </c>
      <c r="I7955" s="16" t="str">
        <f t="shared" ca="1" si="862"/>
        <v/>
      </c>
      <c r="J7955" s="17" t="str">
        <f t="shared" ca="1" si="863"/>
        <v/>
      </c>
    </row>
    <row r="7956" spans="1:10" x14ac:dyDescent="0.25">
      <c r="A7956" t="s">
        <v>963</v>
      </c>
      <c r="B7956" t="str">
        <f>ADDRESS(ROW(DFLoan1!$A$29),COLUMN(DFLoan1!$A$29),4)</f>
        <v>A29</v>
      </c>
      <c r="C7956" t="str">
        <f>ADDRESS(ROW(DFLoan1!C$28),COLUMN(DFLoan1!C$28),4)</f>
        <v>C28</v>
      </c>
      <c r="D7956" t="b" cm="1">
        <f t="array" aca="1" ref="D7956" ca="1">IF(ISBLANK(INDIRECT("'"&amp;A7956&amp;"'!"&amp;B7956)),FALSE,IF(LEN(TRIM(CLEAN(INDIRECT("'"&amp;A7956&amp;"'!"&amp;B7956))))&lt;15,TRUE,FALSE))</f>
        <v>0</v>
      </c>
      <c r="E7956" t="s">
        <v>635</v>
      </c>
      <c r="F7956" t="str">
        <f>INDEX(Lists!I:I,MATCH(Validation!E7956,Lists!G:G,0))</f>
        <v>Error</v>
      </c>
      <c r="G7956" t="str">
        <f>INDEX(Lists!H:H,MATCH(Validation!E7956,Lists!G:G,0))</f>
        <v>Insufficient information. Please provide a longer comment.</v>
      </c>
      <c r="H7956" s="16" t="str">
        <f t="shared" ca="1" si="861"/>
        <v/>
      </c>
      <c r="I7956" s="16" t="str">
        <f t="shared" ca="1" si="862"/>
        <v/>
      </c>
      <c r="J7956" s="17" t="str">
        <f t="shared" ca="1" si="863"/>
        <v/>
      </c>
    </row>
    <row r="7957" spans="1:10" x14ac:dyDescent="0.25">
      <c r="A7957" t="s">
        <v>964</v>
      </c>
      <c r="B7957" t="str">
        <f>ADDRESS(ROW(DFLoan1!$A$29),COLUMN(DFLoan1!$A$29),4)</f>
        <v>A29</v>
      </c>
      <c r="C7957" t="str">
        <f>ADDRESS(ROW(DFLoan1!C$28),COLUMN(DFLoan1!C$28),4)</f>
        <v>C28</v>
      </c>
      <c r="D7957" t="b" cm="1">
        <f t="array" aca="1" ref="D7957" ca="1">IF(ISBLANK(INDIRECT("'"&amp;A7957&amp;"'!"&amp;B7957)),FALSE,IF(LEN(TRIM(CLEAN(INDIRECT("'"&amp;A7957&amp;"'!"&amp;B7957))))&lt;15,TRUE,FALSE))</f>
        <v>0</v>
      </c>
      <c r="E7957" t="s">
        <v>635</v>
      </c>
      <c r="F7957" t="str">
        <f>INDEX(Lists!I:I,MATCH(Validation!E7957,Lists!G:G,0))</f>
        <v>Error</v>
      </c>
      <c r="G7957" t="str">
        <f>INDEX(Lists!H:H,MATCH(Validation!E7957,Lists!G:G,0))</f>
        <v>Insufficient information. Please provide a longer comment.</v>
      </c>
      <c r="H7957" s="16" t="str">
        <f t="shared" ca="1" si="861"/>
        <v/>
      </c>
      <c r="I7957" s="16" t="str">
        <f t="shared" ca="1" si="862"/>
        <v/>
      </c>
      <c r="J7957" s="17" t="str">
        <f t="shared" ca="1" si="863"/>
        <v/>
      </c>
    </row>
    <row r="7958" spans="1:10" x14ac:dyDescent="0.25">
      <c r="A7958" t="s">
        <v>965</v>
      </c>
      <c r="B7958" t="str">
        <f>ADDRESS(ROW(DFLoan1!$A$29),COLUMN(DFLoan1!$A$29),4)</f>
        <v>A29</v>
      </c>
      <c r="C7958" t="str">
        <f>ADDRESS(ROW(DFLoan1!C$28),COLUMN(DFLoan1!C$28),4)</f>
        <v>C28</v>
      </c>
      <c r="D7958" t="b" cm="1">
        <f t="array" aca="1" ref="D7958" ca="1">IF(ISBLANK(INDIRECT("'"&amp;A7958&amp;"'!"&amp;B7958)),FALSE,IF(LEN(TRIM(CLEAN(INDIRECT("'"&amp;A7958&amp;"'!"&amp;B7958))))&lt;15,TRUE,FALSE))</f>
        <v>0</v>
      </c>
      <c r="E7958" t="s">
        <v>635</v>
      </c>
      <c r="F7958" t="str">
        <f>INDEX(Lists!I:I,MATCH(Validation!E7958,Lists!G:G,0))</f>
        <v>Error</v>
      </c>
      <c r="G7958" t="str">
        <f>INDEX(Lists!H:H,MATCH(Validation!E7958,Lists!G:G,0))</f>
        <v>Insufficient information. Please provide a longer comment.</v>
      </c>
      <c r="H7958" s="16" t="str">
        <f t="shared" ca="1" si="861"/>
        <v/>
      </c>
      <c r="I7958" s="16" t="str">
        <f t="shared" ca="1" si="862"/>
        <v/>
      </c>
      <c r="J7958" s="17" t="str">
        <f t="shared" ca="1" si="863"/>
        <v/>
      </c>
    </row>
    <row r="7959" spans="1:10" x14ac:dyDescent="0.25">
      <c r="A7959" t="s">
        <v>966</v>
      </c>
      <c r="B7959" t="str">
        <f>ADDRESS(ROW(DFLoan1!$A$29),COLUMN(DFLoan1!$A$29),4)</f>
        <v>A29</v>
      </c>
      <c r="C7959" t="str">
        <f>ADDRESS(ROW(DFLoan1!C$28),COLUMN(DFLoan1!C$28),4)</f>
        <v>C28</v>
      </c>
      <c r="D7959" t="b" cm="1">
        <f t="array" aca="1" ref="D7959" ca="1">IF(ISBLANK(INDIRECT("'"&amp;A7959&amp;"'!"&amp;B7959)),FALSE,IF(LEN(TRIM(CLEAN(INDIRECT("'"&amp;A7959&amp;"'!"&amp;B7959))))&lt;15,TRUE,FALSE))</f>
        <v>0</v>
      </c>
      <c r="E7959" t="s">
        <v>635</v>
      </c>
      <c r="F7959" t="str">
        <f>INDEX(Lists!I:I,MATCH(Validation!E7959,Lists!G:G,0))</f>
        <v>Error</v>
      </c>
      <c r="G7959" t="str">
        <f>INDEX(Lists!H:H,MATCH(Validation!E7959,Lists!G:G,0))</f>
        <v>Insufficient information. Please provide a longer comment.</v>
      </c>
      <c r="H7959" s="16" t="str">
        <f t="shared" ca="1" si="861"/>
        <v/>
      </c>
      <c r="I7959" s="16" t="str">
        <f t="shared" ca="1" si="862"/>
        <v/>
      </c>
      <c r="J7959" s="17" t="str">
        <f t="shared" ca="1" si="863"/>
        <v/>
      </c>
    </row>
    <row r="7960" spans="1:10" x14ac:dyDescent="0.25">
      <c r="A7960" t="s">
        <v>881</v>
      </c>
      <c r="B7960" t="str">
        <f>ADDRESS(ROW(DFLoan1!$A$29),COLUMN(DFLoan1!$A$29),4)</f>
        <v>A29</v>
      </c>
      <c r="C7960" t="str">
        <f>ADDRESS(ROW(DFLoan1!C$28),COLUMN(DFLoan1!C$28),4)</f>
        <v>C28</v>
      </c>
      <c r="D7960" t="b" cm="1">
        <f t="array" aca="1" ref="D7960" ca="1">IF(LEN(INDIRECT("'"&amp;A7960&amp;"'!"&amp;B7960))&gt;500,TRUE,FALSE)</f>
        <v>0</v>
      </c>
      <c r="E7960" t="s">
        <v>636</v>
      </c>
      <c r="F7960" t="str">
        <f>INDEX(Lists!I:I,MATCH(Validation!E7960,Lists!G:G,0))</f>
        <v>Error</v>
      </c>
      <c r="G7960" t="str">
        <f>INDEX(Lists!H:H,MATCH(Validation!E7960,Lists!G:G,0))</f>
        <v>Comments cannot exceed 500 characters. (Limit length. Send email to further explain.)</v>
      </c>
      <c r="H7960" s="16" t="str">
        <f t="shared" ca="1" si="861"/>
        <v/>
      </c>
      <c r="I7960" s="16" t="str">
        <f t="shared" ca="1" si="862"/>
        <v/>
      </c>
      <c r="J7960" s="17" t="str">
        <f t="shared" ca="1" si="863"/>
        <v/>
      </c>
    </row>
    <row r="7961" spans="1:10" x14ac:dyDescent="0.25">
      <c r="A7961" t="s">
        <v>953</v>
      </c>
      <c r="B7961" t="str">
        <f>ADDRESS(ROW(DFLoan1!$A$29),COLUMN(DFLoan1!$A$29),4)</f>
        <v>A29</v>
      </c>
      <c r="C7961" t="str">
        <f>ADDRESS(ROW(DFLoan1!C$28),COLUMN(DFLoan1!C$28),4)</f>
        <v>C28</v>
      </c>
      <c r="D7961" t="b" cm="1">
        <f t="array" aca="1" ref="D7961" ca="1">IF(LEN(INDIRECT("'"&amp;A7961&amp;"'!"&amp;B7961))&gt;500,TRUE,FALSE)</f>
        <v>0</v>
      </c>
      <c r="E7961" t="s">
        <v>636</v>
      </c>
      <c r="F7961" t="str">
        <f>INDEX(Lists!I:I,MATCH(Validation!E7961,Lists!G:G,0))</f>
        <v>Error</v>
      </c>
      <c r="G7961" t="str">
        <f>INDEX(Lists!H:H,MATCH(Validation!E7961,Lists!G:G,0))</f>
        <v>Comments cannot exceed 500 characters. (Limit length. Send email to further explain.)</v>
      </c>
      <c r="H7961" s="16" t="str">
        <f t="shared" ca="1" si="861"/>
        <v/>
      </c>
      <c r="I7961" s="16" t="str">
        <f t="shared" ca="1" si="862"/>
        <v/>
      </c>
      <c r="J7961" s="17" t="str">
        <f t="shared" ca="1" si="863"/>
        <v/>
      </c>
    </row>
    <row r="7962" spans="1:10" x14ac:dyDescent="0.25">
      <c r="A7962" t="s">
        <v>954</v>
      </c>
      <c r="B7962" t="str">
        <f>ADDRESS(ROW(DFLoan1!$A$29),COLUMN(DFLoan1!$A$29),4)</f>
        <v>A29</v>
      </c>
      <c r="C7962" t="str">
        <f>ADDRESS(ROW(DFLoan1!C$28),COLUMN(DFLoan1!C$28),4)</f>
        <v>C28</v>
      </c>
      <c r="D7962" t="b" cm="1">
        <f t="array" aca="1" ref="D7962" ca="1">IF(LEN(INDIRECT("'"&amp;A7962&amp;"'!"&amp;B7962))&gt;500,TRUE,FALSE)</f>
        <v>0</v>
      </c>
      <c r="E7962" t="s">
        <v>636</v>
      </c>
      <c r="F7962" t="str">
        <f>INDEX(Lists!I:I,MATCH(Validation!E7962,Lists!G:G,0))</f>
        <v>Error</v>
      </c>
      <c r="G7962" t="str">
        <f>INDEX(Lists!H:H,MATCH(Validation!E7962,Lists!G:G,0))</f>
        <v>Comments cannot exceed 500 characters. (Limit length. Send email to further explain.)</v>
      </c>
      <c r="H7962" s="16" t="str">
        <f t="shared" ca="1" si="861"/>
        <v/>
      </c>
      <c r="I7962" s="16" t="str">
        <f t="shared" ca="1" si="862"/>
        <v/>
      </c>
      <c r="J7962" s="17" t="str">
        <f t="shared" ca="1" si="863"/>
        <v/>
      </c>
    </row>
    <row r="7963" spans="1:10" x14ac:dyDescent="0.25">
      <c r="A7963" t="s">
        <v>955</v>
      </c>
      <c r="B7963" t="str">
        <f>ADDRESS(ROW(DFLoan1!$A$29),COLUMN(DFLoan1!$A$29),4)</f>
        <v>A29</v>
      </c>
      <c r="C7963" t="str">
        <f>ADDRESS(ROW(DFLoan1!C$28),COLUMN(DFLoan1!C$28),4)</f>
        <v>C28</v>
      </c>
      <c r="D7963" t="b" cm="1">
        <f t="array" aca="1" ref="D7963" ca="1">IF(LEN(INDIRECT("'"&amp;A7963&amp;"'!"&amp;B7963))&gt;500,TRUE,FALSE)</f>
        <v>0</v>
      </c>
      <c r="E7963" t="s">
        <v>636</v>
      </c>
      <c r="F7963" t="str">
        <f>INDEX(Lists!I:I,MATCH(Validation!E7963,Lists!G:G,0))</f>
        <v>Error</v>
      </c>
      <c r="G7963" t="str">
        <f>INDEX(Lists!H:H,MATCH(Validation!E7963,Lists!G:G,0))</f>
        <v>Comments cannot exceed 500 characters. (Limit length. Send email to further explain.)</v>
      </c>
      <c r="H7963" s="16" t="str">
        <f t="shared" ca="1" si="861"/>
        <v/>
      </c>
      <c r="I7963" s="16" t="str">
        <f t="shared" ca="1" si="862"/>
        <v/>
      </c>
      <c r="J7963" s="17" t="str">
        <f t="shared" ca="1" si="863"/>
        <v/>
      </c>
    </row>
    <row r="7964" spans="1:10" x14ac:dyDescent="0.25">
      <c r="A7964" t="s">
        <v>956</v>
      </c>
      <c r="B7964" t="str">
        <f>ADDRESS(ROW(DFLoan1!$A$29),COLUMN(DFLoan1!$A$29),4)</f>
        <v>A29</v>
      </c>
      <c r="C7964" t="str">
        <f>ADDRESS(ROW(DFLoan1!C$28),COLUMN(DFLoan1!C$28),4)</f>
        <v>C28</v>
      </c>
      <c r="D7964" t="b" cm="1">
        <f t="array" aca="1" ref="D7964" ca="1">IF(LEN(INDIRECT("'"&amp;A7964&amp;"'!"&amp;B7964))&gt;500,TRUE,FALSE)</f>
        <v>0</v>
      </c>
      <c r="E7964" t="s">
        <v>636</v>
      </c>
      <c r="F7964" t="str">
        <f>INDEX(Lists!I:I,MATCH(Validation!E7964,Lists!G:G,0))</f>
        <v>Error</v>
      </c>
      <c r="G7964" t="str">
        <f>INDEX(Lists!H:H,MATCH(Validation!E7964,Lists!G:G,0))</f>
        <v>Comments cannot exceed 500 characters. (Limit length. Send email to further explain.)</v>
      </c>
      <c r="H7964" s="16" t="str">
        <f t="shared" ca="1" si="861"/>
        <v/>
      </c>
      <c r="I7964" s="16" t="str">
        <f t="shared" ca="1" si="862"/>
        <v/>
      </c>
      <c r="J7964" s="17" t="str">
        <f t="shared" ca="1" si="863"/>
        <v/>
      </c>
    </row>
    <row r="7965" spans="1:10" x14ac:dyDescent="0.25">
      <c r="A7965" t="s">
        <v>957</v>
      </c>
      <c r="B7965" t="str">
        <f>ADDRESS(ROW(DFLoan1!$A$29),COLUMN(DFLoan1!$A$29),4)</f>
        <v>A29</v>
      </c>
      <c r="C7965" t="str">
        <f>ADDRESS(ROW(DFLoan1!C$28),COLUMN(DFLoan1!C$28),4)</f>
        <v>C28</v>
      </c>
      <c r="D7965" t="b" cm="1">
        <f t="array" aca="1" ref="D7965" ca="1">IF(LEN(INDIRECT("'"&amp;A7965&amp;"'!"&amp;B7965))&gt;500,TRUE,FALSE)</f>
        <v>0</v>
      </c>
      <c r="E7965" t="s">
        <v>636</v>
      </c>
      <c r="F7965" t="str">
        <f>INDEX(Lists!I:I,MATCH(Validation!E7965,Lists!G:G,0))</f>
        <v>Error</v>
      </c>
      <c r="G7965" t="str">
        <f>INDEX(Lists!H:H,MATCH(Validation!E7965,Lists!G:G,0))</f>
        <v>Comments cannot exceed 500 characters. (Limit length. Send email to further explain.)</v>
      </c>
      <c r="H7965" s="16" t="str">
        <f t="shared" ca="1" si="861"/>
        <v/>
      </c>
      <c r="I7965" s="16" t="str">
        <f t="shared" ca="1" si="862"/>
        <v/>
      </c>
      <c r="J7965" s="17" t="str">
        <f t="shared" ca="1" si="863"/>
        <v/>
      </c>
    </row>
    <row r="7966" spans="1:10" x14ac:dyDescent="0.25">
      <c r="A7966" t="s">
        <v>958</v>
      </c>
      <c r="B7966" t="str">
        <f>ADDRESS(ROW(DFLoan1!$A$29),COLUMN(DFLoan1!$A$29),4)</f>
        <v>A29</v>
      </c>
      <c r="C7966" t="str">
        <f>ADDRESS(ROW(DFLoan1!C$28),COLUMN(DFLoan1!C$28),4)</f>
        <v>C28</v>
      </c>
      <c r="D7966" t="b" cm="1">
        <f t="array" aca="1" ref="D7966" ca="1">IF(LEN(INDIRECT("'"&amp;A7966&amp;"'!"&amp;B7966))&gt;500,TRUE,FALSE)</f>
        <v>0</v>
      </c>
      <c r="E7966" t="s">
        <v>636</v>
      </c>
      <c r="F7966" t="str">
        <f>INDEX(Lists!I:I,MATCH(Validation!E7966,Lists!G:G,0))</f>
        <v>Error</v>
      </c>
      <c r="G7966" t="str">
        <f>INDEX(Lists!H:H,MATCH(Validation!E7966,Lists!G:G,0))</f>
        <v>Comments cannot exceed 500 characters. (Limit length. Send email to further explain.)</v>
      </c>
      <c r="H7966" s="16" t="str">
        <f t="shared" ca="1" si="861"/>
        <v/>
      </c>
      <c r="I7966" s="16" t="str">
        <f t="shared" ca="1" si="862"/>
        <v/>
      </c>
      <c r="J7966" s="17" t="str">
        <f t="shared" ca="1" si="863"/>
        <v/>
      </c>
    </row>
    <row r="7967" spans="1:10" x14ac:dyDescent="0.25">
      <c r="A7967" t="s">
        <v>959</v>
      </c>
      <c r="B7967" t="str">
        <f>ADDRESS(ROW(DFLoan1!$A$29),COLUMN(DFLoan1!$A$29),4)</f>
        <v>A29</v>
      </c>
      <c r="C7967" t="str">
        <f>ADDRESS(ROW(DFLoan1!C$28),COLUMN(DFLoan1!C$28),4)</f>
        <v>C28</v>
      </c>
      <c r="D7967" t="b" cm="1">
        <f t="array" aca="1" ref="D7967" ca="1">IF(LEN(INDIRECT("'"&amp;A7967&amp;"'!"&amp;B7967))&gt;500,TRUE,FALSE)</f>
        <v>0</v>
      </c>
      <c r="E7967" t="s">
        <v>636</v>
      </c>
      <c r="F7967" t="str">
        <f>INDEX(Lists!I:I,MATCH(Validation!E7967,Lists!G:G,0))</f>
        <v>Error</v>
      </c>
      <c r="G7967" t="str">
        <f>INDEX(Lists!H:H,MATCH(Validation!E7967,Lists!G:G,0))</f>
        <v>Comments cannot exceed 500 characters. (Limit length. Send email to further explain.)</v>
      </c>
      <c r="H7967" s="16" t="str">
        <f t="shared" ca="1" si="861"/>
        <v/>
      </c>
      <c r="I7967" s="16" t="str">
        <f t="shared" ca="1" si="862"/>
        <v/>
      </c>
      <c r="J7967" s="17" t="str">
        <f t="shared" ca="1" si="863"/>
        <v/>
      </c>
    </row>
    <row r="7968" spans="1:10" x14ac:dyDescent="0.25">
      <c r="A7968" t="s">
        <v>960</v>
      </c>
      <c r="B7968" t="str">
        <f>ADDRESS(ROW(DFLoan1!$A$29),COLUMN(DFLoan1!$A$29),4)</f>
        <v>A29</v>
      </c>
      <c r="C7968" t="str">
        <f>ADDRESS(ROW(DFLoan1!C$28),COLUMN(DFLoan1!C$28),4)</f>
        <v>C28</v>
      </c>
      <c r="D7968" t="b" cm="1">
        <f t="array" aca="1" ref="D7968" ca="1">IF(LEN(INDIRECT("'"&amp;A7968&amp;"'!"&amp;B7968))&gt;500,TRUE,FALSE)</f>
        <v>0</v>
      </c>
      <c r="E7968" t="s">
        <v>636</v>
      </c>
      <c r="F7968" t="str">
        <f>INDEX(Lists!I:I,MATCH(Validation!E7968,Lists!G:G,0))</f>
        <v>Error</v>
      </c>
      <c r="G7968" t="str">
        <f>INDEX(Lists!H:H,MATCH(Validation!E7968,Lists!G:G,0))</f>
        <v>Comments cannot exceed 500 characters. (Limit length. Send email to further explain.)</v>
      </c>
      <c r="H7968" s="16" t="str">
        <f t="shared" ca="1" si="861"/>
        <v/>
      </c>
      <c r="I7968" s="16" t="str">
        <f t="shared" ca="1" si="862"/>
        <v/>
      </c>
      <c r="J7968" s="17" t="str">
        <f t="shared" ca="1" si="863"/>
        <v/>
      </c>
    </row>
    <row r="7969" spans="1:10" x14ac:dyDescent="0.25">
      <c r="A7969" t="s">
        <v>961</v>
      </c>
      <c r="B7969" t="str">
        <f>ADDRESS(ROW(DFLoan1!$A$29),COLUMN(DFLoan1!$A$29),4)</f>
        <v>A29</v>
      </c>
      <c r="C7969" t="str">
        <f>ADDRESS(ROW(DFLoan1!C$28),COLUMN(DFLoan1!C$28),4)</f>
        <v>C28</v>
      </c>
      <c r="D7969" t="b" cm="1">
        <f t="array" aca="1" ref="D7969" ca="1">IF(LEN(INDIRECT("'"&amp;A7969&amp;"'!"&amp;B7969))&gt;500,TRUE,FALSE)</f>
        <v>0</v>
      </c>
      <c r="E7969" t="s">
        <v>636</v>
      </c>
      <c r="F7969" t="str">
        <f>INDEX(Lists!I:I,MATCH(Validation!E7969,Lists!G:G,0))</f>
        <v>Error</v>
      </c>
      <c r="G7969" t="str">
        <f>INDEX(Lists!H:H,MATCH(Validation!E7969,Lists!G:G,0))</f>
        <v>Comments cannot exceed 500 characters. (Limit length. Send email to further explain.)</v>
      </c>
      <c r="H7969" s="16" t="str">
        <f t="shared" ca="1" si="861"/>
        <v/>
      </c>
      <c r="I7969" s="16" t="str">
        <f t="shared" ca="1" si="862"/>
        <v/>
      </c>
      <c r="J7969" s="17" t="str">
        <f t="shared" ca="1" si="863"/>
        <v/>
      </c>
    </row>
    <row r="7970" spans="1:10" x14ac:dyDescent="0.25">
      <c r="A7970" t="s">
        <v>962</v>
      </c>
      <c r="B7970" t="str">
        <f>ADDRESS(ROW(DFLoan1!$A$29),COLUMN(DFLoan1!$A$29),4)</f>
        <v>A29</v>
      </c>
      <c r="C7970" t="str">
        <f>ADDRESS(ROW(DFLoan1!C$28),COLUMN(DFLoan1!C$28),4)</f>
        <v>C28</v>
      </c>
      <c r="D7970" t="b" cm="1">
        <f t="array" aca="1" ref="D7970" ca="1">IF(LEN(INDIRECT("'"&amp;A7970&amp;"'!"&amp;B7970))&gt;500,TRUE,FALSE)</f>
        <v>0</v>
      </c>
      <c r="E7970" t="s">
        <v>636</v>
      </c>
      <c r="F7970" t="str">
        <f>INDEX(Lists!I:I,MATCH(Validation!E7970,Lists!G:G,0))</f>
        <v>Error</v>
      </c>
      <c r="G7970" t="str">
        <f>INDEX(Lists!H:H,MATCH(Validation!E7970,Lists!G:G,0))</f>
        <v>Comments cannot exceed 500 characters. (Limit length. Send email to further explain.)</v>
      </c>
      <c r="H7970" s="16" t="str">
        <f t="shared" ca="1" si="861"/>
        <v/>
      </c>
      <c r="I7970" s="16" t="str">
        <f t="shared" ca="1" si="862"/>
        <v/>
      </c>
      <c r="J7970" s="17" t="str">
        <f t="shared" ca="1" si="863"/>
        <v/>
      </c>
    </row>
    <row r="7971" spans="1:10" x14ac:dyDescent="0.25">
      <c r="A7971" t="s">
        <v>963</v>
      </c>
      <c r="B7971" t="str">
        <f>ADDRESS(ROW(DFLoan1!$A$29),COLUMN(DFLoan1!$A$29),4)</f>
        <v>A29</v>
      </c>
      <c r="C7971" t="str">
        <f>ADDRESS(ROW(DFLoan1!C$28),COLUMN(DFLoan1!C$28),4)</f>
        <v>C28</v>
      </c>
      <c r="D7971" t="b" cm="1">
        <f t="array" aca="1" ref="D7971" ca="1">IF(LEN(INDIRECT("'"&amp;A7971&amp;"'!"&amp;B7971))&gt;500,TRUE,FALSE)</f>
        <v>0</v>
      </c>
      <c r="E7971" t="s">
        <v>636</v>
      </c>
      <c r="F7971" t="str">
        <f>INDEX(Lists!I:I,MATCH(Validation!E7971,Lists!G:G,0))</f>
        <v>Error</v>
      </c>
      <c r="G7971" t="str">
        <f>INDEX(Lists!H:H,MATCH(Validation!E7971,Lists!G:G,0))</f>
        <v>Comments cannot exceed 500 characters. (Limit length. Send email to further explain.)</v>
      </c>
      <c r="H7971" s="16" t="str">
        <f t="shared" ca="1" si="861"/>
        <v/>
      </c>
      <c r="I7971" s="16" t="str">
        <f t="shared" ca="1" si="862"/>
        <v/>
      </c>
      <c r="J7971" s="17" t="str">
        <f t="shared" ca="1" si="863"/>
        <v/>
      </c>
    </row>
    <row r="7972" spans="1:10" x14ac:dyDescent="0.25">
      <c r="A7972" t="s">
        <v>964</v>
      </c>
      <c r="B7972" t="str">
        <f>ADDRESS(ROW(DFLoan1!$A$29),COLUMN(DFLoan1!$A$29),4)</f>
        <v>A29</v>
      </c>
      <c r="C7972" t="str">
        <f>ADDRESS(ROW(DFLoan1!C$28),COLUMN(DFLoan1!C$28),4)</f>
        <v>C28</v>
      </c>
      <c r="D7972" t="b" cm="1">
        <f t="array" aca="1" ref="D7972" ca="1">IF(LEN(INDIRECT("'"&amp;A7972&amp;"'!"&amp;B7972))&gt;500,TRUE,FALSE)</f>
        <v>0</v>
      </c>
      <c r="E7972" t="s">
        <v>636</v>
      </c>
      <c r="F7972" t="str">
        <f>INDEX(Lists!I:I,MATCH(Validation!E7972,Lists!G:G,0))</f>
        <v>Error</v>
      </c>
      <c r="G7972" t="str">
        <f>INDEX(Lists!H:H,MATCH(Validation!E7972,Lists!G:G,0))</f>
        <v>Comments cannot exceed 500 characters. (Limit length. Send email to further explain.)</v>
      </c>
      <c r="H7972" s="16" t="str">
        <f t="shared" ca="1" si="861"/>
        <v/>
      </c>
      <c r="I7972" s="16" t="str">
        <f t="shared" ca="1" si="862"/>
        <v/>
      </c>
      <c r="J7972" s="17" t="str">
        <f t="shared" ca="1" si="863"/>
        <v/>
      </c>
    </row>
    <row r="7973" spans="1:10" x14ac:dyDescent="0.25">
      <c r="A7973" t="s">
        <v>965</v>
      </c>
      <c r="B7973" t="str">
        <f>ADDRESS(ROW(DFLoan1!$A$29),COLUMN(DFLoan1!$A$29),4)</f>
        <v>A29</v>
      </c>
      <c r="C7973" t="str">
        <f>ADDRESS(ROW(DFLoan1!C$28),COLUMN(DFLoan1!C$28),4)</f>
        <v>C28</v>
      </c>
      <c r="D7973" t="b" cm="1">
        <f t="array" aca="1" ref="D7973" ca="1">IF(LEN(INDIRECT("'"&amp;A7973&amp;"'!"&amp;B7973))&gt;500,TRUE,FALSE)</f>
        <v>0</v>
      </c>
      <c r="E7973" t="s">
        <v>636</v>
      </c>
      <c r="F7973" t="str">
        <f>INDEX(Lists!I:I,MATCH(Validation!E7973,Lists!G:G,0))</f>
        <v>Error</v>
      </c>
      <c r="G7973" t="str">
        <f>INDEX(Lists!H:H,MATCH(Validation!E7973,Lists!G:G,0))</f>
        <v>Comments cannot exceed 500 characters. (Limit length. Send email to further explain.)</v>
      </c>
      <c r="H7973" s="16" t="str">
        <f t="shared" ca="1" si="861"/>
        <v/>
      </c>
      <c r="I7973" s="16" t="str">
        <f t="shared" ca="1" si="862"/>
        <v/>
      </c>
      <c r="J7973" s="17" t="str">
        <f t="shared" ca="1" si="863"/>
        <v/>
      </c>
    </row>
    <row r="7974" spans="1:10" x14ac:dyDescent="0.25">
      <c r="A7974" t="s">
        <v>966</v>
      </c>
      <c r="B7974" t="str">
        <f>ADDRESS(ROW(DFLoan1!$A$29),COLUMN(DFLoan1!$A$29),4)</f>
        <v>A29</v>
      </c>
      <c r="C7974" t="str">
        <f>ADDRESS(ROW(DFLoan1!C$28),COLUMN(DFLoan1!C$28),4)</f>
        <v>C28</v>
      </c>
      <c r="D7974" t="b" cm="1">
        <f t="array" aca="1" ref="D7974" ca="1">IF(LEN(INDIRECT("'"&amp;A7974&amp;"'!"&amp;B7974))&gt;500,TRUE,FALSE)</f>
        <v>0</v>
      </c>
      <c r="E7974" t="s">
        <v>636</v>
      </c>
      <c r="F7974" t="str">
        <f>INDEX(Lists!I:I,MATCH(Validation!E7974,Lists!G:G,0))</f>
        <v>Error</v>
      </c>
      <c r="G7974" t="str">
        <f>INDEX(Lists!H:H,MATCH(Validation!E7974,Lists!G:G,0))</f>
        <v>Comments cannot exceed 500 characters. (Limit length. Send email to further explain.)</v>
      </c>
      <c r="H7974" s="16" t="str">
        <f t="shared" ca="1" si="861"/>
        <v/>
      </c>
      <c r="I7974" s="16" t="str">
        <f t="shared" ca="1" si="862"/>
        <v/>
      </c>
      <c r="J7974" s="17" t="str">
        <f t="shared" ca="1" si="863"/>
        <v/>
      </c>
    </row>
    <row r="7975" spans="1:10" x14ac:dyDescent="0.25">
      <c r="A7975" t="s">
        <v>282</v>
      </c>
      <c r="C7975" t="str">
        <f>ADDRESS(ROW(Revenues!E$6),COLUMN(Revenues!E$6),4)</f>
        <v>E6</v>
      </c>
      <c r="D7975" t="b">
        <f>IF((COUNTIF(Revenues!C$7:C$8,"")+COUNTIF(Revenues!C$10:C$14,"")+COUNTIF(Revenues!B$7:B$8,"")+COUNTIF(Revenues!B$10:B$14,""))&gt;0,TRUE,FALSE)</f>
        <v>1</v>
      </c>
      <c r="E7975" t="s">
        <v>632</v>
      </c>
      <c r="F7975" t="str">
        <f>INDEX(Lists!I:I,MATCH(Validation!E7975,Lists!G:G,0))</f>
        <v>Error</v>
      </c>
      <c r="G7975" t="str">
        <f>INDEX(Lists!H:H,MATCH(Validation!E7975,Lists!G:G,0))</f>
        <v xml:space="preserve">Complete entry of all rows on this tab. (Enter zero when appropriate.) </v>
      </c>
      <c r="H7975" s="16" t="str">
        <f t="shared" ca="1" si="861"/>
        <v/>
      </c>
      <c r="I7975" s="16" t="str">
        <f t="shared" ca="1" si="862"/>
        <v>Revenues$E$6</v>
      </c>
      <c r="J7975" s="17" t="str">
        <f t="shared" si="863"/>
        <v>Revenues</v>
      </c>
    </row>
    <row r="7976" spans="1:10" x14ac:dyDescent="0.25">
      <c r="A7976" t="s">
        <v>282</v>
      </c>
      <c r="B7976" t="str">
        <f>ADDRESS(ROW(TIF_DistrictYear_TaxIncRevPriorAdj_Entry),COLUMN(TIF_DistrictYear_TaxIncRevPriorAdj_Entry),4)</f>
        <v>B7</v>
      </c>
      <c r="C7976" t="str">
        <f>ADDRESS(ROW('Rev Exp Bal'!E$7),COLUMN('Rev Exp Bal'!E$7),4)</f>
        <v>E7</v>
      </c>
      <c r="D7976" t="b" cm="1">
        <f t="array" aca="1" ref="D7976" ca="1">IF(INDIRECT("'"&amp;A7976&amp;"'!"&amp;B7976)="",FALSE,IF(NOT(ISNUMBER(INDIRECT("'"&amp;A7976&amp;"'!"&amp;B7976))),TRUE,FALSE))</f>
        <v>0</v>
      </c>
      <c r="E7976" t="s">
        <v>435</v>
      </c>
      <c r="F7976" t="str">
        <f>INDEX(Lists!I:I,MATCH(Validation!E7976,Lists!G:G,0))</f>
        <v>Error</v>
      </c>
      <c r="G7976" t="str">
        <f>INDEX(Lists!H:H,MATCH(Validation!E7976,Lists!G:G,0))</f>
        <v>Enter an amount only. Do not enter text or spaces.</v>
      </c>
      <c r="H7976" s="16" t="str">
        <f t="shared" ref="H7976:H8007" ca="1" si="864">IFERROR(IF(OR(NOT(D7976),F7976&lt;&gt;"Error"),"",A7976&amp;CELL("address",INDIRECT(B7976))),"")</f>
        <v/>
      </c>
      <c r="I7976" s="16" t="str">
        <f t="shared" ref="I7976:I8007" ca="1" si="865">IFERROR(IF(NOT(D7976),"",A7976&amp;CELL("address",INDIRECT(C7976))),"")</f>
        <v/>
      </c>
      <c r="J7976" s="17" t="str">
        <f t="shared" ref="J7976:J8007" ca="1" si="866">IFERROR(IF(NOT(D7976),"",A7976),"")</f>
        <v/>
      </c>
    </row>
    <row r="7977" spans="1:10" x14ac:dyDescent="0.25">
      <c r="A7977" t="s">
        <v>282</v>
      </c>
      <c r="B7977" t="str">
        <f>ADDRESS(ROW(TIF_DistrictYear_TaxIncRevPriorAdj_Entry),COLUMN(TIF_DistrictYear_TaxIncRevPriorAdj_Entry),4)</f>
        <v>B7</v>
      </c>
      <c r="C7977" t="str">
        <f>ADDRESS(ROW('Rev Exp Bal'!E$7),COLUMN('Rev Exp Bal'!E$7),4)</f>
        <v>E7</v>
      </c>
      <c r="D7977" t="b" cm="1">
        <f t="array" aca="1" ref="D7977" ca="1">IF(INDIRECT("'"&amp;A7977&amp;"'!"&amp;B7977)="",FALSE,IF(INDIRECT("'"&amp;A7977&amp;"'!"&amp;B7977)&lt;0,TRUE,FALSE))</f>
        <v>0</v>
      </c>
      <c r="E7977" t="s">
        <v>434</v>
      </c>
      <c r="F7977" t="str">
        <f>INDEX(Lists!I:I,MATCH(Validation!E7977,Lists!G:G,0))</f>
        <v>Error</v>
      </c>
      <c r="G7977" t="str">
        <f>INDEX(Lists!H:H,MATCH(Validation!E7977,Lists!G:G,0))</f>
        <v>Amount may not be negative. Enter an amount greater than or equal to zero.</v>
      </c>
      <c r="H7977" s="16" t="str">
        <f t="shared" ca="1" si="864"/>
        <v/>
      </c>
      <c r="I7977" s="16" t="str">
        <f t="shared" ca="1" si="865"/>
        <v/>
      </c>
      <c r="J7977" s="17" t="str">
        <f t="shared" ca="1" si="866"/>
        <v/>
      </c>
    </row>
    <row r="7978" spans="1:10" x14ac:dyDescent="0.25">
      <c r="A7978" t="s">
        <v>282</v>
      </c>
      <c r="B7978" t="str">
        <f>ADDRESS(ROW(TIF_DistrictYear_TaxIncRevPriorAdj_Entry),COLUMN(TIF_DistrictYear_TaxIncRevPriorAdj_Entry),4)</f>
        <v>B7</v>
      </c>
      <c r="C7978" t="str">
        <f>ADDRESS(ROW('Rev Exp Bal'!E$7),COLUMN('Rev Exp Bal'!E$7),4)</f>
        <v>E7</v>
      </c>
      <c r="D7978" t="b" cm="1">
        <f t="array" aca="1" ref="D7978" ca="1">IF(INDIRECT("'"&amp;A7978&amp;"'!"&amp;B7978)="",FALSE,IF(TRUNC(INDIRECT("'"&amp;A7978&amp;"'!"&amp;B7978))=INDIRECT("'"&amp;A7978&amp;"'!"&amp;B7978),FALSE,TRUE))</f>
        <v>0</v>
      </c>
      <c r="E7978" t="s">
        <v>436</v>
      </c>
      <c r="F7978" t="str">
        <f>INDEX(Lists!I:I,MATCH(Validation!E7978,Lists!G:G,0))</f>
        <v>Error</v>
      </c>
      <c r="G7978" t="str">
        <f>INDEX(Lists!H:H,MATCH(Validation!E7978,Lists!G:G,0))</f>
        <v>Amount must be rounded to the nearest dollar.</v>
      </c>
      <c r="H7978" s="16" t="str">
        <f t="shared" ca="1" si="864"/>
        <v/>
      </c>
      <c r="I7978" s="16" t="str">
        <f t="shared" ca="1" si="865"/>
        <v/>
      </c>
      <c r="J7978" s="17" t="str">
        <f t="shared" ca="1" si="866"/>
        <v/>
      </c>
    </row>
    <row r="7979" spans="1:10" x14ac:dyDescent="0.25">
      <c r="A7979" t="s">
        <v>282</v>
      </c>
      <c r="B7979" t="str">
        <f>ADDRESS(ROW(TIF_DistrictYear_TaxIncRevAmt),COLUMN(TIF_DistrictYear_TaxIncRevAmt),4)</f>
        <v>C7</v>
      </c>
      <c r="C7979" t="str">
        <f>ADDRESS(ROW('Rev Exp Bal'!E$7),COLUMN('Rev Exp Bal'!E$7),4)</f>
        <v>E7</v>
      </c>
      <c r="D7979" t="b" cm="1">
        <f t="array" aca="1" ref="D7979" ca="1">IF(INDIRECT("'"&amp;A7979&amp;"'!"&amp;B7979)="",FALSE,IF(NOT(ISNUMBER(INDIRECT("'"&amp;A7979&amp;"'!"&amp;B7979))),TRUE,FALSE))</f>
        <v>0</v>
      </c>
      <c r="E7979" t="s">
        <v>435</v>
      </c>
      <c r="F7979" t="str">
        <f>INDEX(Lists!I:I,MATCH(Validation!E7979,Lists!G:G,0))</f>
        <v>Error</v>
      </c>
      <c r="G7979" t="str">
        <f>INDEX(Lists!H:H,MATCH(Validation!E7979,Lists!G:G,0))</f>
        <v>Enter an amount only. Do not enter text or spaces.</v>
      </c>
      <c r="H7979" s="16" t="str">
        <f t="shared" ca="1" si="864"/>
        <v/>
      </c>
      <c r="I7979" s="16" t="str">
        <f t="shared" ca="1" si="865"/>
        <v/>
      </c>
      <c r="J7979" s="17" t="str">
        <f t="shared" ca="1" si="866"/>
        <v/>
      </c>
    </row>
    <row r="7980" spans="1:10" x14ac:dyDescent="0.25">
      <c r="A7980" t="s">
        <v>282</v>
      </c>
      <c r="B7980" t="str">
        <f>ADDRESS(ROW(TIF_DistrictYear_TaxIncRevAmt),COLUMN(TIF_DistrictYear_TaxIncRevAmt),4)</f>
        <v>C7</v>
      </c>
      <c r="C7980" t="str">
        <f>ADDRESS(ROW('Rev Exp Bal'!E$7),COLUMN('Rev Exp Bal'!E$7),4)</f>
        <v>E7</v>
      </c>
      <c r="D7980" t="b" cm="1">
        <f t="array" aca="1" ref="D7980" ca="1">IF(INDIRECT("'"&amp;A7980&amp;"'!"&amp;B7980)="",FALSE,IF(INDIRECT("'"&amp;A7980&amp;"'!"&amp;B7980)&lt;0,TRUE,FALSE))</f>
        <v>0</v>
      </c>
      <c r="E7980" t="s">
        <v>434</v>
      </c>
      <c r="F7980" t="str">
        <f>INDEX(Lists!I:I,MATCH(Validation!E7980,Lists!G:G,0))</f>
        <v>Error</v>
      </c>
      <c r="G7980" t="str">
        <f>INDEX(Lists!H:H,MATCH(Validation!E7980,Lists!G:G,0))</f>
        <v>Amount may not be negative. Enter an amount greater than or equal to zero.</v>
      </c>
      <c r="H7980" s="16" t="str">
        <f t="shared" ca="1" si="864"/>
        <v/>
      </c>
      <c r="I7980" s="16" t="str">
        <f t="shared" ca="1" si="865"/>
        <v/>
      </c>
      <c r="J7980" s="17" t="str">
        <f t="shared" ca="1" si="866"/>
        <v/>
      </c>
    </row>
    <row r="7981" spans="1:10" x14ac:dyDescent="0.25">
      <c r="A7981" t="s">
        <v>282</v>
      </c>
      <c r="B7981" t="str">
        <f>ADDRESS(ROW(TIF_DistrictYear_TaxIncRevAmt),COLUMN(TIF_DistrictYear_TaxIncRevAmt),4)</f>
        <v>C7</v>
      </c>
      <c r="C7981" t="str">
        <f>ADDRESS(ROW('Rev Exp Bal'!E$7),COLUMN('Rev Exp Bal'!E$7),4)</f>
        <v>E7</v>
      </c>
      <c r="D7981" t="b" cm="1">
        <f t="array" aca="1" ref="D7981" ca="1">IF(INDIRECT("'"&amp;A7981&amp;"'!"&amp;B7981)="",FALSE,IF(TRUNC(INDIRECT("'"&amp;A7981&amp;"'!"&amp;B7981))=INDIRECT("'"&amp;A7981&amp;"'!"&amp;B7981),FALSE,TRUE))</f>
        <v>0</v>
      </c>
      <c r="E7981" t="s">
        <v>436</v>
      </c>
      <c r="F7981" t="str">
        <f>INDEX(Lists!I:I,MATCH(Validation!E7981,Lists!G:G,0))</f>
        <v>Error</v>
      </c>
      <c r="G7981" t="str">
        <f>INDEX(Lists!H:H,MATCH(Validation!E7981,Lists!G:G,0))</f>
        <v>Amount must be rounded to the nearest dollar.</v>
      </c>
      <c r="H7981" s="16" t="str">
        <f t="shared" ca="1" si="864"/>
        <v/>
      </c>
      <c r="I7981" s="16" t="str">
        <f t="shared" ca="1" si="865"/>
        <v/>
      </c>
      <c r="J7981" s="17" t="str">
        <f t="shared" ca="1" si="866"/>
        <v/>
      </c>
    </row>
    <row r="7982" spans="1:10" x14ac:dyDescent="0.25">
      <c r="A7982" t="s">
        <v>282</v>
      </c>
      <c r="B7982" t="str">
        <f>ADDRESS(ROW(TIF_DistrictYear_MVHCPriorAdj_Entry),COLUMN(TIF_DistrictYear_MVHCPriorAdj_Entry),4)</f>
        <v>B8</v>
      </c>
      <c r="C7982" t="str">
        <f>ADDRESS(ROW('Rev Exp Bal'!E$8),COLUMN('Rev Exp Bal'!E$8),4)</f>
        <v>E8</v>
      </c>
      <c r="D7982" t="b" cm="1">
        <f t="array" aca="1" ref="D7982" ca="1">IF(INDIRECT("'"&amp;A7982&amp;"'!"&amp;B7982)="",FALSE,IF(NOT(ISNUMBER(INDIRECT("'"&amp;A7982&amp;"'!"&amp;B7982))),TRUE,FALSE))</f>
        <v>0</v>
      </c>
      <c r="E7982" t="s">
        <v>435</v>
      </c>
      <c r="F7982" t="str">
        <f>INDEX(Lists!I:I,MATCH(Validation!E7982,Lists!G:G,0))</f>
        <v>Error</v>
      </c>
      <c r="G7982" t="str">
        <f>INDEX(Lists!H:H,MATCH(Validation!E7982,Lists!G:G,0))</f>
        <v>Enter an amount only. Do not enter text or spaces.</v>
      </c>
      <c r="H7982" s="16" t="str">
        <f t="shared" ca="1" si="864"/>
        <v/>
      </c>
      <c r="I7982" s="16" t="str">
        <f t="shared" ca="1" si="865"/>
        <v/>
      </c>
      <c r="J7982" s="17" t="str">
        <f t="shared" ca="1" si="866"/>
        <v/>
      </c>
    </row>
    <row r="7983" spans="1:10" x14ac:dyDescent="0.25">
      <c r="A7983" t="s">
        <v>282</v>
      </c>
      <c r="B7983" t="str">
        <f>ADDRESS(ROW(TIF_DistrictYear_MVHCPriorAdj_Entry),COLUMN(TIF_DistrictYear_MVHCPriorAdj_Entry),4)</f>
        <v>B8</v>
      </c>
      <c r="C7983" t="str">
        <f>ADDRESS(ROW('Rev Exp Bal'!E$8),COLUMN('Rev Exp Bal'!E$8),4)</f>
        <v>E8</v>
      </c>
      <c r="D7983" t="b" cm="1">
        <f t="array" aca="1" ref="D7983" ca="1">IF(INDIRECT("'"&amp;A7983&amp;"'!"&amp;B7983)="",FALSE,IF(INDIRECT("'"&amp;A7983&amp;"'!"&amp;B7983)&lt;0,TRUE,FALSE))</f>
        <v>0</v>
      </c>
      <c r="E7983" t="s">
        <v>434</v>
      </c>
      <c r="F7983" t="str">
        <f>INDEX(Lists!I:I,MATCH(Validation!E7983,Lists!G:G,0))</f>
        <v>Error</v>
      </c>
      <c r="G7983" t="str">
        <f>INDEX(Lists!H:H,MATCH(Validation!E7983,Lists!G:G,0))</f>
        <v>Amount may not be negative. Enter an amount greater than or equal to zero.</v>
      </c>
      <c r="H7983" s="16" t="str">
        <f t="shared" ca="1" si="864"/>
        <v/>
      </c>
      <c r="I7983" s="16" t="str">
        <f t="shared" ca="1" si="865"/>
        <v/>
      </c>
      <c r="J7983" s="17" t="str">
        <f t="shared" ca="1" si="866"/>
        <v/>
      </c>
    </row>
    <row r="7984" spans="1:10" x14ac:dyDescent="0.25">
      <c r="A7984" t="s">
        <v>282</v>
      </c>
      <c r="B7984" t="str">
        <f>ADDRESS(ROW(TIF_DistrictYear_MVHCPriorAdj_Entry),COLUMN(TIF_DistrictYear_MVHCPriorAdj_Entry),4)</f>
        <v>B8</v>
      </c>
      <c r="C7984" t="str">
        <f>ADDRESS(ROW('Rev Exp Bal'!E$8),COLUMN('Rev Exp Bal'!E$8),4)</f>
        <v>E8</v>
      </c>
      <c r="D7984" t="b" cm="1">
        <f t="array" aca="1" ref="D7984" ca="1">IF(INDIRECT("'"&amp;A7984&amp;"'!"&amp;B7984)="",FALSE,IF(TRUNC(INDIRECT("'"&amp;A7984&amp;"'!"&amp;B7984))=INDIRECT("'"&amp;A7984&amp;"'!"&amp;B7984),FALSE,TRUE))</f>
        <v>0</v>
      </c>
      <c r="E7984" t="s">
        <v>436</v>
      </c>
      <c r="F7984" t="str">
        <f>INDEX(Lists!I:I,MATCH(Validation!E7984,Lists!G:G,0))</f>
        <v>Error</v>
      </c>
      <c r="G7984" t="str">
        <f>INDEX(Lists!H:H,MATCH(Validation!E7984,Lists!G:G,0))</f>
        <v>Amount must be rounded to the nearest dollar.</v>
      </c>
      <c r="H7984" s="16" t="str">
        <f t="shared" ca="1" si="864"/>
        <v/>
      </c>
      <c r="I7984" s="16" t="str">
        <f t="shared" ca="1" si="865"/>
        <v/>
      </c>
      <c r="J7984" s="17" t="str">
        <f t="shared" ca="1" si="866"/>
        <v/>
      </c>
    </row>
    <row r="7985" spans="1:10" x14ac:dyDescent="0.25">
      <c r="A7985" t="s">
        <v>282</v>
      </c>
      <c r="B7985" t="str">
        <f>ADDRESS(ROW(TIF_DistrictYear_MVHCAmt),COLUMN(TIF_DistrictYear_MVHCAmt),4)</f>
        <v>C8</v>
      </c>
      <c r="C7985" t="str">
        <f>ADDRESS(ROW('Rev Exp Bal'!E$8),COLUMN('Rev Exp Bal'!E$8),4)</f>
        <v>E8</v>
      </c>
      <c r="D7985" t="b" cm="1">
        <f t="array" aca="1" ref="D7985" ca="1">IF(INDIRECT("'"&amp;A7985&amp;"'!"&amp;B7985)="",FALSE,IF(NOT(ISNUMBER(INDIRECT("'"&amp;A7985&amp;"'!"&amp;B7985))),TRUE,FALSE))</f>
        <v>0</v>
      </c>
      <c r="E7985" t="s">
        <v>435</v>
      </c>
      <c r="F7985" t="str">
        <f>INDEX(Lists!I:I,MATCH(Validation!E7985,Lists!G:G,0))</f>
        <v>Error</v>
      </c>
      <c r="G7985" t="str">
        <f>INDEX(Lists!H:H,MATCH(Validation!E7985,Lists!G:G,0))</f>
        <v>Enter an amount only. Do not enter text or spaces.</v>
      </c>
      <c r="H7985" s="16" t="str">
        <f t="shared" ca="1" si="864"/>
        <v/>
      </c>
      <c r="I7985" s="16" t="str">
        <f t="shared" ca="1" si="865"/>
        <v/>
      </c>
      <c r="J7985" s="17" t="str">
        <f t="shared" ca="1" si="866"/>
        <v/>
      </c>
    </row>
    <row r="7986" spans="1:10" x14ac:dyDescent="0.25">
      <c r="A7986" t="s">
        <v>282</v>
      </c>
      <c r="B7986" t="str">
        <f>ADDRESS(ROW(TIF_DistrictYear_MVHCAmt),COLUMN(TIF_DistrictYear_MVHCAmt),4)</f>
        <v>C8</v>
      </c>
      <c r="C7986" t="str">
        <f>ADDRESS(ROW('Rev Exp Bal'!E$8),COLUMN('Rev Exp Bal'!E$8),4)</f>
        <v>E8</v>
      </c>
      <c r="D7986" t="b" cm="1">
        <f t="array" aca="1" ref="D7986" ca="1">IF(INDIRECT("'"&amp;A7986&amp;"'!"&amp;B7986)="",FALSE,IF(INDIRECT("'"&amp;A7986&amp;"'!"&amp;B7986)&lt;0,TRUE,FALSE))</f>
        <v>0</v>
      </c>
      <c r="E7986" t="s">
        <v>434</v>
      </c>
      <c r="F7986" t="str">
        <f>INDEX(Lists!I:I,MATCH(Validation!E7986,Lists!G:G,0))</f>
        <v>Error</v>
      </c>
      <c r="G7986" t="str">
        <f>INDEX(Lists!H:H,MATCH(Validation!E7986,Lists!G:G,0))</f>
        <v>Amount may not be negative. Enter an amount greater than or equal to zero.</v>
      </c>
      <c r="H7986" s="16" t="str">
        <f t="shared" ca="1" si="864"/>
        <v/>
      </c>
      <c r="I7986" s="16" t="str">
        <f t="shared" ca="1" si="865"/>
        <v/>
      </c>
      <c r="J7986" s="17" t="str">
        <f t="shared" ca="1" si="866"/>
        <v/>
      </c>
    </row>
    <row r="7987" spans="1:10" x14ac:dyDescent="0.25">
      <c r="A7987" t="s">
        <v>282</v>
      </c>
      <c r="B7987" t="str">
        <f>ADDRESS(ROW(TIF_DistrictYear_MVHCAmt),COLUMN(TIF_DistrictYear_MVHCAmt),4)</f>
        <v>C8</v>
      </c>
      <c r="C7987" t="str">
        <f>ADDRESS(ROW('Rev Exp Bal'!E$8),COLUMN('Rev Exp Bal'!E$8),4)</f>
        <v>E8</v>
      </c>
      <c r="D7987" t="b" cm="1">
        <f t="array" aca="1" ref="D7987" ca="1">IF(INDIRECT("'"&amp;A7987&amp;"'!"&amp;B7987)="",FALSE,IF(TRUNC(INDIRECT("'"&amp;A7987&amp;"'!"&amp;B7987))=INDIRECT("'"&amp;A7987&amp;"'!"&amp;B7987),FALSE,TRUE))</f>
        <v>0</v>
      </c>
      <c r="E7987" t="s">
        <v>436</v>
      </c>
      <c r="F7987" t="str">
        <f>INDEX(Lists!I:I,MATCH(Validation!E7987,Lists!G:G,0))</f>
        <v>Error</v>
      </c>
      <c r="G7987" t="str">
        <f>INDEX(Lists!H:H,MATCH(Validation!E7987,Lists!G:G,0))</f>
        <v>Amount must be rounded to the nearest dollar.</v>
      </c>
      <c r="H7987" s="16" t="str">
        <f t="shared" ca="1" si="864"/>
        <v/>
      </c>
      <c r="I7987" s="16" t="str">
        <f t="shared" ca="1" si="865"/>
        <v/>
      </c>
      <c r="J7987" s="17" t="str">
        <f t="shared" ca="1" si="866"/>
        <v/>
      </c>
    </row>
    <row r="7988" spans="1:10" x14ac:dyDescent="0.25">
      <c r="A7988" t="s">
        <v>282</v>
      </c>
      <c r="B7988" t="str">
        <f>ADDRESS(ROW(TIF_DistrictYear_InvestmentEarningsPriorAdj_Entry),COLUMN(TIF_DistrictYear_InvestmentEarningsPriorAdj_Entry),4)</f>
        <v>B10</v>
      </c>
      <c r="C7988" t="str">
        <f>ADDRESS(ROW('Rev Exp Bal'!E$10),COLUMN('Rev Exp Bal'!E$10),4)</f>
        <v>E10</v>
      </c>
      <c r="D7988" t="b" cm="1">
        <f t="array" aca="1" ref="D7988" ca="1">IF(INDIRECT("'"&amp;A7988&amp;"'!"&amp;B7988)="",FALSE,IF(NOT(ISNUMBER(INDIRECT("'"&amp;A7988&amp;"'!"&amp;B7988))),TRUE,FALSE))</f>
        <v>0</v>
      </c>
      <c r="E7988" t="s">
        <v>435</v>
      </c>
      <c r="F7988" t="str">
        <f>INDEX(Lists!I:I,MATCH(Validation!E7988,Lists!G:G,0))</f>
        <v>Error</v>
      </c>
      <c r="G7988" t="str">
        <f>INDEX(Lists!H:H,MATCH(Validation!E7988,Lists!G:G,0))</f>
        <v>Enter an amount only. Do not enter text or spaces.</v>
      </c>
      <c r="H7988" s="16" t="str">
        <f t="shared" ca="1" si="864"/>
        <v/>
      </c>
      <c r="I7988" s="16" t="str">
        <f t="shared" ca="1" si="865"/>
        <v/>
      </c>
      <c r="J7988" s="17" t="str">
        <f t="shared" ca="1" si="866"/>
        <v/>
      </c>
    </row>
    <row r="7989" spans="1:10" x14ac:dyDescent="0.25">
      <c r="A7989" t="s">
        <v>282</v>
      </c>
      <c r="B7989" t="str">
        <f>ADDRESS(ROW(TIF_DistrictYear_InvestmentEarningsPriorAdj_Entry),COLUMN(TIF_DistrictYear_InvestmentEarningsPriorAdj_Entry),4)</f>
        <v>B10</v>
      </c>
      <c r="C7989" t="str">
        <f>ADDRESS(ROW('Rev Exp Bal'!E$10),COLUMN('Rev Exp Bal'!E$10),4)</f>
        <v>E10</v>
      </c>
      <c r="D7989" t="b" cm="1">
        <f t="array" aca="1" ref="D7989" ca="1">IF(INDIRECT("'"&amp;A7989&amp;"'!"&amp;B7989)="",FALSE,IF(INDIRECT("'"&amp;A7989&amp;"'!"&amp;B7989)&lt;0,TRUE,FALSE))</f>
        <v>0</v>
      </c>
      <c r="E7989" t="s">
        <v>434</v>
      </c>
      <c r="F7989" t="str">
        <f>INDEX(Lists!I:I,MATCH(Validation!E7989,Lists!G:G,0))</f>
        <v>Error</v>
      </c>
      <c r="G7989" t="str">
        <f>INDEX(Lists!H:H,MATCH(Validation!E7989,Lists!G:G,0))</f>
        <v>Amount may not be negative. Enter an amount greater than or equal to zero.</v>
      </c>
      <c r="H7989" s="16" t="str">
        <f t="shared" ca="1" si="864"/>
        <v/>
      </c>
      <c r="I7989" s="16" t="str">
        <f t="shared" ca="1" si="865"/>
        <v/>
      </c>
      <c r="J7989" s="17" t="str">
        <f t="shared" ca="1" si="866"/>
        <v/>
      </c>
    </row>
    <row r="7990" spans="1:10" x14ac:dyDescent="0.25">
      <c r="A7990" t="s">
        <v>282</v>
      </c>
      <c r="B7990" t="str">
        <f>ADDRESS(ROW(TIF_DistrictYear_InvestmentEarningsPriorAdj_Entry),COLUMN(TIF_DistrictYear_InvestmentEarningsPriorAdj_Entry),4)</f>
        <v>B10</v>
      </c>
      <c r="C7990" t="str">
        <f>ADDRESS(ROW('Rev Exp Bal'!E$10),COLUMN('Rev Exp Bal'!E$10),4)</f>
        <v>E10</v>
      </c>
      <c r="D7990" t="b" cm="1">
        <f t="array" aca="1" ref="D7990" ca="1">IF(INDIRECT("'"&amp;A7990&amp;"'!"&amp;B7990)="",FALSE,IF(TRUNC(INDIRECT("'"&amp;A7990&amp;"'!"&amp;B7990))=INDIRECT("'"&amp;A7990&amp;"'!"&amp;B7990),FALSE,TRUE))</f>
        <v>0</v>
      </c>
      <c r="E7990" t="s">
        <v>436</v>
      </c>
      <c r="F7990" t="str">
        <f>INDEX(Lists!I:I,MATCH(Validation!E7990,Lists!G:G,0))</f>
        <v>Error</v>
      </c>
      <c r="G7990" t="str">
        <f>INDEX(Lists!H:H,MATCH(Validation!E7990,Lists!G:G,0))</f>
        <v>Amount must be rounded to the nearest dollar.</v>
      </c>
      <c r="H7990" s="16" t="str">
        <f t="shared" ca="1" si="864"/>
        <v/>
      </c>
      <c r="I7990" s="16" t="str">
        <f t="shared" ca="1" si="865"/>
        <v/>
      </c>
      <c r="J7990" s="17" t="str">
        <f t="shared" ca="1" si="866"/>
        <v/>
      </c>
    </row>
    <row r="7991" spans="1:10" x14ac:dyDescent="0.25">
      <c r="A7991" t="s">
        <v>282</v>
      </c>
      <c r="B7991" t="str">
        <f>ADDRESS(ROW(TIF_DistrictYear_InvestmentEarningsAmt),COLUMN(TIF_DistrictYear_MVHCAmt),4)</f>
        <v>C10</v>
      </c>
      <c r="C7991" t="str">
        <f>ADDRESS(ROW('Rev Exp Bal'!E$10),COLUMN('Rev Exp Bal'!E$10),4)</f>
        <v>E10</v>
      </c>
      <c r="D7991" t="b" cm="1">
        <f t="array" aca="1" ref="D7991" ca="1">IF(INDIRECT("'"&amp;A7991&amp;"'!"&amp;B7991)="",FALSE,IF(NOT(ISNUMBER(INDIRECT("'"&amp;A7991&amp;"'!"&amp;B7991))),TRUE,FALSE))</f>
        <v>0</v>
      </c>
      <c r="E7991" t="s">
        <v>435</v>
      </c>
      <c r="F7991" t="str">
        <f>INDEX(Lists!I:I,MATCH(Validation!E7991,Lists!G:G,0))</f>
        <v>Error</v>
      </c>
      <c r="G7991" t="str">
        <f>INDEX(Lists!H:H,MATCH(Validation!E7991,Lists!G:G,0))</f>
        <v>Enter an amount only. Do not enter text or spaces.</v>
      </c>
      <c r="H7991" s="16" t="str">
        <f t="shared" ca="1" si="864"/>
        <v/>
      </c>
      <c r="I7991" s="16" t="str">
        <f t="shared" ca="1" si="865"/>
        <v/>
      </c>
      <c r="J7991" s="17" t="str">
        <f t="shared" ca="1" si="866"/>
        <v/>
      </c>
    </row>
    <row r="7992" spans="1:10" x14ac:dyDescent="0.25">
      <c r="A7992" t="s">
        <v>282</v>
      </c>
      <c r="B7992" t="str">
        <f>ADDRESS(ROW(TIF_DistrictYear_InvestmentEarningsAmt),COLUMN(TIF_DistrictYear_MVHCAmt),4)</f>
        <v>C10</v>
      </c>
      <c r="C7992" t="str">
        <f>ADDRESS(ROW('Rev Exp Bal'!E$10),COLUMN('Rev Exp Bal'!E$10),4)</f>
        <v>E10</v>
      </c>
      <c r="D7992" t="b" cm="1">
        <f t="array" aca="1" ref="D7992" ca="1">IF(INDIRECT("'"&amp;A7992&amp;"'!"&amp;B7992)="",FALSE,IF(INDIRECT("'"&amp;A7992&amp;"'!"&amp;B7992)&lt;0,TRUE,FALSE))</f>
        <v>0</v>
      </c>
      <c r="E7992" t="s">
        <v>434</v>
      </c>
      <c r="F7992" t="str">
        <f>INDEX(Lists!I:I,MATCH(Validation!E7992,Lists!G:G,0))</f>
        <v>Error</v>
      </c>
      <c r="G7992" t="str">
        <f>INDEX(Lists!H:H,MATCH(Validation!E7992,Lists!G:G,0))</f>
        <v>Amount may not be negative. Enter an amount greater than or equal to zero.</v>
      </c>
      <c r="H7992" s="16" t="str">
        <f t="shared" ca="1" si="864"/>
        <v/>
      </c>
      <c r="I7992" s="16" t="str">
        <f t="shared" ca="1" si="865"/>
        <v/>
      </c>
      <c r="J7992" s="17" t="str">
        <f t="shared" ca="1" si="866"/>
        <v/>
      </c>
    </row>
    <row r="7993" spans="1:10" x14ac:dyDescent="0.25">
      <c r="A7993" t="s">
        <v>282</v>
      </c>
      <c r="B7993" t="str">
        <f>ADDRESS(ROW(TIF_DistrictYear_InvestmentEarningsAmt),COLUMN(TIF_DistrictYear_MVHCAmt),4)</f>
        <v>C10</v>
      </c>
      <c r="C7993" t="str">
        <f>ADDRESS(ROW('Rev Exp Bal'!E$10),COLUMN('Rev Exp Bal'!E$10),4)</f>
        <v>E10</v>
      </c>
      <c r="D7993" t="b" cm="1">
        <f t="array" aca="1" ref="D7993" ca="1">IF(INDIRECT("'"&amp;A7993&amp;"'!"&amp;B7993)="",FALSE,IF(TRUNC(INDIRECT("'"&amp;A7993&amp;"'!"&amp;B7993))=INDIRECT("'"&amp;A7993&amp;"'!"&amp;B7993),FALSE,TRUE))</f>
        <v>0</v>
      </c>
      <c r="E7993" t="s">
        <v>436</v>
      </c>
      <c r="F7993" t="str">
        <f>INDEX(Lists!I:I,MATCH(Validation!E7993,Lists!G:G,0))</f>
        <v>Error</v>
      </c>
      <c r="G7993" t="str">
        <f>INDEX(Lists!H:H,MATCH(Validation!E7993,Lists!G:G,0))</f>
        <v>Amount must be rounded to the nearest dollar.</v>
      </c>
      <c r="H7993" s="16" t="str">
        <f t="shared" ca="1" si="864"/>
        <v/>
      </c>
      <c r="I7993" s="16" t="str">
        <f t="shared" ca="1" si="865"/>
        <v/>
      </c>
      <c r="J7993" s="17" t="str">
        <f t="shared" ca="1" si="866"/>
        <v/>
      </c>
    </row>
    <row r="7994" spans="1:10" x14ac:dyDescent="0.25">
      <c r="A7994" t="s">
        <v>282</v>
      </c>
      <c r="B7994" t="str">
        <f>ADDRESS(ROW(TIF_DistrictYear_PropertySalesPriorAdj_Entry),COLUMN(TIF_DistrictYear_PropertySalesPriorAdj_Entry),4)</f>
        <v>B11</v>
      </c>
      <c r="C7994" t="str">
        <f>ADDRESS(ROW('Rev Exp Bal'!E$11),COLUMN('Rev Exp Bal'!E$11),4)</f>
        <v>E11</v>
      </c>
      <c r="D7994" t="b" cm="1">
        <f t="array" aca="1" ref="D7994" ca="1">IF(INDIRECT("'"&amp;A7994&amp;"'!"&amp;B7994)="",FALSE,IF(NOT(ISNUMBER(INDIRECT("'"&amp;A7994&amp;"'!"&amp;B7994))),TRUE,FALSE))</f>
        <v>0</v>
      </c>
      <c r="E7994" t="s">
        <v>435</v>
      </c>
      <c r="F7994" t="str">
        <f>INDEX(Lists!I:I,MATCH(Validation!E7994,Lists!G:G,0))</f>
        <v>Error</v>
      </c>
      <c r="G7994" t="str">
        <f>INDEX(Lists!H:H,MATCH(Validation!E7994,Lists!G:G,0))</f>
        <v>Enter an amount only. Do not enter text or spaces.</v>
      </c>
      <c r="H7994" s="16" t="str">
        <f t="shared" ca="1" si="864"/>
        <v/>
      </c>
      <c r="I7994" s="16" t="str">
        <f t="shared" ca="1" si="865"/>
        <v/>
      </c>
      <c r="J7994" s="17" t="str">
        <f t="shared" ca="1" si="866"/>
        <v/>
      </c>
    </row>
    <row r="7995" spans="1:10" x14ac:dyDescent="0.25">
      <c r="A7995" t="s">
        <v>282</v>
      </c>
      <c r="B7995" t="str">
        <f>ADDRESS(ROW(TIF_DistrictYear_PropertySalesPriorAdj_Entry),COLUMN(TIF_DistrictYear_PropertySalesPriorAdj_Entry),4)</f>
        <v>B11</v>
      </c>
      <c r="C7995" t="str">
        <f>ADDRESS(ROW('Rev Exp Bal'!E$11),COLUMN('Rev Exp Bal'!E$11),4)</f>
        <v>E11</v>
      </c>
      <c r="D7995" t="b" cm="1">
        <f t="array" aca="1" ref="D7995" ca="1">IF(INDIRECT("'"&amp;A7995&amp;"'!"&amp;B7995)="",FALSE,IF(INDIRECT("'"&amp;A7995&amp;"'!"&amp;B7995)&lt;0,TRUE,FALSE))</f>
        <v>0</v>
      </c>
      <c r="E7995" t="s">
        <v>434</v>
      </c>
      <c r="F7995" t="str">
        <f>INDEX(Lists!I:I,MATCH(Validation!E7995,Lists!G:G,0))</f>
        <v>Error</v>
      </c>
      <c r="G7995" t="str">
        <f>INDEX(Lists!H:H,MATCH(Validation!E7995,Lists!G:G,0))</f>
        <v>Amount may not be negative. Enter an amount greater than or equal to zero.</v>
      </c>
      <c r="H7995" s="16" t="str">
        <f t="shared" ca="1" si="864"/>
        <v/>
      </c>
      <c r="I7995" s="16" t="str">
        <f t="shared" ca="1" si="865"/>
        <v/>
      </c>
      <c r="J7995" s="17" t="str">
        <f t="shared" ca="1" si="866"/>
        <v/>
      </c>
    </row>
    <row r="7996" spans="1:10" x14ac:dyDescent="0.25">
      <c r="A7996" t="s">
        <v>282</v>
      </c>
      <c r="B7996" t="str">
        <f>ADDRESS(ROW(TIF_DistrictYear_PropertySalesPriorAdj_Entry),COLUMN(TIF_DistrictYear_PropertySalesPriorAdj_Entry),4)</f>
        <v>B11</v>
      </c>
      <c r="C7996" t="str">
        <f>ADDRESS(ROW('Rev Exp Bal'!E$11),COLUMN('Rev Exp Bal'!E$11),4)</f>
        <v>E11</v>
      </c>
      <c r="D7996" t="b" cm="1">
        <f t="array" aca="1" ref="D7996" ca="1">IF(INDIRECT("'"&amp;A7996&amp;"'!"&amp;B7996)="",FALSE,IF(TRUNC(INDIRECT("'"&amp;A7996&amp;"'!"&amp;B7996))=INDIRECT("'"&amp;A7996&amp;"'!"&amp;B7996),FALSE,TRUE))</f>
        <v>0</v>
      </c>
      <c r="E7996" t="s">
        <v>436</v>
      </c>
      <c r="F7996" t="str">
        <f>INDEX(Lists!I:I,MATCH(Validation!E7996,Lists!G:G,0))</f>
        <v>Error</v>
      </c>
      <c r="G7996" t="str">
        <f>INDEX(Lists!H:H,MATCH(Validation!E7996,Lists!G:G,0))</f>
        <v>Amount must be rounded to the nearest dollar.</v>
      </c>
      <c r="H7996" s="16" t="str">
        <f t="shared" ca="1" si="864"/>
        <v/>
      </c>
      <c r="I7996" s="16" t="str">
        <f t="shared" ca="1" si="865"/>
        <v/>
      </c>
      <c r="J7996" s="17" t="str">
        <f t="shared" ca="1" si="866"/>
        <v/>
      </c>
    </row>
    <row r="7997" spans="1:10" x14ac:dyDescent="0.25">
      <c r="A7997" t="s">
        <v>282</v>
      </c>
      <c r="B7997" t="str">
        <f>ADDRESS(ROW(TIF_DistrictYear_PropertySalesAmt),COLUMN(TIF_DistrictYear_MVHCAmt),4)</f>
        <v>C11</v>
      </c>
      <c r="C7997" t="str">
        <f>ADDRESS(ROW('Rev Exp Bal'!E$11),COLUMN('Rev Exp Bal'!E$11),4)</f>
        <v>E11</v>
      </c>
      <c r="D7997" t="b" cm="1">
        <f t="array" aca="1" ref="D7997" ca="1">IF(INDIRECT("'"&amp;A7997&amp;"'!"&amp;B7997)="",FALSE,IF(NOT(ISNUMBER(INDIRECT("'"&amp;A7997&amp;"'!"&amp;B7997))),TRUE,FALSE))</f>
        <v>0</v>
      </c>
      <c r="E7997" t="s">
        <v>435</v>
      </c>
      <c r="F7997" t="str">
        <f>INDEX(Lists!I:I,MATCH(Validation!E7997,Lists!G:G,0))</f>
        <v>Error</v>
      </c>
      <c r="G7997" t="str">
        <f>INDEX(Lists!H:H,MATCH(Validation!E7997,Lists!G:G,0))</f>
        <v>Enter an amount only. Do not enter text or spaces.</v>
      </c>
      <c r="H7997" s="16" t="str">
        <f t="shared" ca="1" si="864"/>
        <v/>
      </c>
      <c r="I7997" s="16" t="str">
        <f t="shared" ca="1" si="865"/>
        <v/>
      </c>
      <c r="J7997" s="17" t="str">
        <f t="shared" ca="1" si="866"/>
        <v/>
      </c>
    </row>
    <row r="7998" spans="1:10" x14ac:dyDescent="0.25">
      <c r="A7998" t="s">
        <v>282</v>
      </c>
      <c r="B7998" t="str">
        <f>ADDRESS(ROW(TIF_DistrictYear_PropertySalesAmt),COLUMN(TIF_DistrictYear_MVHCAmt),4)</f>
        <v>C11</v>
      </c>
      <c r="C7998" t="str">
        <f>ADDRESS(ROW('Rev Exp Bal'!E$11),COLUMN('Rev Exp Bal'!E$11),4)</f>
        <v>E11</v>
      </c>
      <c r="D7998" t="b" cm="1">
        <f t="array" aca="1" ref="D7998" ca="1">IF(INDIRECT("'"&amp;A7998&amp;"'!"&amp;B7998)="",FALSE,IF(INDIRECT("'"&amp;A7998&amp;"'!"&amp;B7998)&lt;0,TRUE,FALSE))</f>
        <v>0</v>
      </c>
      <c r="E7998" t="s">
        <v>434</v>
      </c>
      <c r="F7998" t="str">
        <f>INDEX(Lists!I:I,MATCH(Validation!E7998,Lists!G:G,0))</f>
        <v>Error</v>
      </c>
      <c r="G7998" t="str">
        <f>INDEX(Lists!H:H,MATCH(Validation!E7998,Lists!G:G,0))</f>
        <v>Amount may not be negative. Enter an amount greater than or equal to zero.</v>
      </c>
      <c r="H7998" s="16" t="str">
        <f t="shared" ca="1" si="864"/>
        <v/>
      </c>
      <c r="I7998" s="16" t="str">
        <f t="shared" ca="1" si="865"/>
        <v/>
      </c>
      <c r="J7998" s="17" t="str">
        <f t="shared" ca="1" si="866"/>
        <v/>
      </c>
    </row>
    <row r="7999" spans="1:10" x14ac:dyDescent="0.25">
      <c r="A7999" t="s">
        <v>282</v>
      </c>
      <c r="B7999" t="str">
        <f>ADDRESS(ROW(TIF_DistrictYear_PropertySalesAmt),COLUMN(TIF_DistrictYear_MVHCAmt),4)</f>
        <v>C11</v>
      </c>
      <c r="C7999" t="str">
        <f>ADDRESS(ROW('Rev Exp Bal'!E$11),COLUMN('Rev Exp Bal'!E$11),4)</f>
        <v>E11</v>
      </c>
      <c r="D7999" t="b" cm="1">
        <f t="array" aca="1" ref="D7999" ca="1">IF(INDIRECT("'"&amp;A7999&amp;"'!"&amp;B7999)="",FALSE,IF(TRUNC(INDIRECT("'"&amp;A7999&amp;"'!"&amp;B7999))=INDIRECT("'"&amp;A7999&amp;"'!"&amp;B7999),FALSE,TRUE))</f>
        <v>0</v>
      </c>
      <c r="E7999" t="s">
        <v>436</v>
      </c>
      <c r="F7999" t="str">
        <f>INDEX(Lists!I:I,MATCH(Validation!E7999,Lists!G:G,0))</f>
        <v>Error</v>
      </c>
      <c r="G7999" t="str">
        <f>INDEX(Lists!H:H,MATCH(Validation!E7999,Lists!G:G,0))</f>
        <v>Amount must be rounded to the nearest dollar.</v>
      </c>
      <c r="H7999" s="16" t="str">
        <f t="shared" ca="1" si="864"/>
        <v/>
      </c>
      <c r="I7999" s="16" t="str">
        <f t="shared" ca="1" si="865"/>
        <v/>
      </c>
      <c r="J7999" s="17" t="str">
        <f t="shared" ca="1" si="866"/>
        <v/>
      </c>
    </row>
    <row r="8000" spans="1:10" x14ac:dyDescent="0.25">
      <c r="A8000" t="s">
        <v>282</v>
      </c>
      <c r="B8000" t="str">
        <f>ADDRESS(ROW(TIF_DistrictYear_LeaseProceedsPriorAdj_Entry),COLUMN(TIF_DistrictYear_LeaseProceedsPriorAdj_Entry),4)</f>
        <v>B12</v>
      </c>
      <c r="C8000" t="str">
        <f>ADDRESS(ROW('Rev Exp Bal'!E$12),COLUMN('Rev Exp Bal'!E$12),4)</f>
        <v>E12</v>
      </c>
      <c r="D8000" t="b" cm="1">
        <f t="array" aca="1" ref="D8000" ca="1">IF(INDIRECT("'"&amp;A8000&amp;"'!"&amp;B8000)="",FALSE,IF(NOT(ISNUMBER(INDIRECT("'"&amp;A8000&amp;"'!"&amp;B8000))),TRUE,FALSE))</f>
        <v>0</v>
      </c>
      <c r="E8000" t="s">
        <v>435</v>
      </c>
      <c r="F8000" t="str">
        <f>INDEX(Lists!I:I,MATCH(Validation!E8000,Lists!G:G,0))</f>
        <v>Error</v>
      </c>
      <c r="G8000" t="str">
        <f>INDEX(Lists!H:H,MATCH(Validation!E8000,Lists!G:G,0))</f>
        <v>Enter an amount only. Do not enter text or spaces.</v>
      </c>
      <c r="H8000" s="16" t="str">
        <f t="shared" ca="1" si="864"/>
        <v/>
      </c>
      <c r="I8000" s="16" t="str">
        <f t="shared" ca="1" si="865"/>
        <v/>
      </c>
      <c r="J8000" s="17" t="str">
        <f t="shared" ca="1" si="866"/>
        <v/>
      </c>
    </row>
    <row r="8001" spans="1:10" x14ac:dyDescent="0.25">
      <c r="A8001" t="s">
        <v>282</v>
      </c>
      <c r="B8001" t="str">
        <f>ADDRESS(ROW(TIF_DistrictYear_LeaseProceedsPriorAdj_Entry),COLUMN(TIF_DistrictYear_LeaseProceedsPriorAdj_Entry),4)</f>
        <v>B12</v>
      </c>
      <c r="C8001" t="str">
        <f>ADDRESS(ROW('Rev Exp Bal'!E$12),COLUMN('Rev Exp Bal'!E$12),4)</f>
        <v>E12</v>
      </c>
      <c r="D8001" t="b" cm="1">
        <f t="array" aca="1" ref="D8001" ca="1">IF(INDIRECT("'"&amp;A8001&amp;"'!"&amp;B8001)="",FALSE,IF(INDIRECT("'"&amp;A8001&amp;"'!"&amp;B8001)&lt;0,TRUE,FALSE))</f>
        <v>0</v>
      </c>
      <c r="E8001" t="s">
        <v>434</v>
      </c>
      <c r="F8001" t="str">
        <f>INDEX(Lists!I:I,MATCH(Validation!E8001,Lists!G:G,0))</f>
        <v>Error</v>
      </c>
      <c r="G8001" t="str">
        <f>INDEX(Lists!H:H,MATCH(Validation!E8001,Lists!G:G,0))</f>
        <v>Amount may not be negative. Enter an amount greater than or equal to zero.</v>
      </c>
      <c r="H8001" s="16" t="str">
        <f t="shared" ca="1" si="864"/>
        <v/>
      </c>
      <c r="I8001" s="16" t="str">
        <f t="shared" ca="1" si="865"/>
        <v/>
      </c>
      <c r="J8001" s="17" t="str">
        <f t="shared" ca="1" si="866"/>
        <v/>
      </c>
    </row>
    <row r="8002" spans="1:10" x14ac:dyDescent="0.25">
      <c r="A8002" t="s">
        <v>282</v>
      </c>
      <c r="B8002" t="str">
        <f>ADDRESS(ROW(TIF_DistrictYear_LeaseProceedsPriorAdj_Entry),COLUMN(TIF_DistrictYear_LeaseProceedsPriorAdj_Entry),4)</f>
        <v>B12</v>
      </c>
      <c r="C8002" t="str">
        <f>ADDRESS(ROW('Rev Exp Bal'!E$12),COLUMN('Rev Exp Bal'!E$12),4)</f>
        <v>E12</v>
      </c>
      <c r="D8002" t="b" cm="1">
        <f t="array" aca="1" ref="D8002" ca="1">IF(INDIRECT("'"&amp;A8002&amp;"'!"&amp;B8002)="",FALSE,IF(TRUNC(INDIRECT("'"&amp;A8002&amp;"'!"&amp;B8002))=INDIRECT("'"&amp;A8002&amp;"'!"&amp;B8002),FALSE,TRUE))</f>
        <v>0</v>
      </c>
      <c r="E8002" t="s">
        <v>436</v>
      </c>
      <c r="F8002" t="str">
        <f>INDEX(Lists!I:I,MATCH(Validation!E8002,Lists!G:G,0))</f>
        <v>Error</v>
      </c>
      <c r="G8002" t="str">
        <f>INDEX(Lists!H:H,MATCH(Validation!E8002,Lists!G:G,0))</f>
        <v>Amount must be rounded to the nearest dollar.</v>
      </c>
      <c r="H8002" s="16" t="str">
        <f t="shared" ca="1" si="864"/>
        <v/>
      </c>
      <c r="I8002" s="16" t="str">
        <f t="shared" ca="1" si="865"/>
        <v/>
      </c>
      <c r="J8002" s="17" t="str">
        <f t="shared" ca="1" si="866"/>
        <v/>
      </c>
    </row>
    <row r="8003" spans="1:10" x14ac:dyDescent="0.25">
      <c r="A8003" t="s">
        <v>282</v>
      </c>
      <c r="B8003" t="str">
        <f>ADDRESS(ROW(TIF_DistrictYear_LeaseProceedsAmt),COLUMN(TIF_DistrictYear_LeaseProceedsAmt),4)</f>
        <v>C12</v>
      </c>
      <c r="C8003" t="str">
        <f>ADDRESS(ROW('Rev Exp Bal'!E$12),COLUMN('Rev Exp Bal'!E$12),4)</f>
        <v>E12</v>
      </c>
      <c r="D8003" t="b" cm="1">
        <f t="array" aca="1" ref="D8003" ca="1">IF(INDIRECT("'"&amp;A8003&amp;"'!"&amp;B8003)="",FALSE,IF(NOT(ISNUMBER(INDIRECT("'"&amp;A8003&amp;"'!"&amp;B8003))),TRUE,FALSE))</f>
        <v>0</v>
      </c>
      <c r="E8003" t="s">
        <v>435</v>
      </c>
      <c r="F8003" t="str">
        <f>INDEX(Lists!I:I,MATCH(Validation!E8003,Lists!G:G,0))</f>
        <v>Error</v>
      </c>
      <c r="G8003" t="str">
        <f>INDEX(Lists!H:H,MATCH(Validation!E8003,Lists!G:G,0))</f>
        <v>Enter an amount only. Do not enter text or spaces.</v>
      </c>
      <c r="H8003" s="16" t="str">
        <f t="shared" ca="1" si="864"/>
        <v/>
      </c>
      <c r="I8003" s="16" t="str">
        <f t="shared" ca="1" si="865"/>
        <v/>
      </c>
      <c r="J8003" s="17" t="str">
        <f t="shared" ca="1" si="866"/>
        <v/>
      </c>
    </row>
    <row r="8004" spans="1:10" x14ac:dyDescent="0.25">
      <c r="A8004" t="s">
        <v>282</v>
      </c>
      <c r="B8004" t="str">
        <f>ADDRESS(ROW(TIF_DistrictYear_LeaseProceedsAmt),COLUMN(TIF_DistrictYear_LeaseProceedsAmt),4)</f>
        <v>C12</v>
      </c>
      <c r="C8004" t="str">
        <f>ADDRESS(ROW('Rev Exp Bal'!E$12),COLUMN('Rev Exp Bal'!E$12),4)</f>
        <v>E12</v>
      </c>
      <c r="D8004" t="b" cm="1">
        <f t="array" aca="1" ref="D8004" ca="1">IF(INDIRECT("'"&amp;A8004&amp;"'!"&amp;B8004)="",FALSE,IF(INDIRECT("'"&amp;A8004&amp;"'!"&amp;B8004)&lt;0,TRUE,FALSE))</f>
        <v>0</v>
      </c>
      <c r="E8004" t="s">
        <v>434</v>
      </c>
      <c r="F8004" t="str">
        <f>INDEX(Lists!I:I,MATCH(Validation!E8004,Lists!G:G,0))</f>
        <v>Error</v>
      </c>
      <c r="G8004" t="str">
        <f>INDEX(Lists!H:H,MATCH(Validation!E8004,Lists!G:G,0))</f>
        <v>Amount may not be negative. Enter an amount greater than or equal to zero.</v>
      </c>
      <c r="H8004" s="16" t="str">
        <f t="shared" ca="1" si="864"/>
        <v/>
      </c>
      <c r="I8004" s="16" t="str">
        <f t="shared" ca="1" si="865"/>
        <v/>
      </c>
      <c r="J8004" s="17" t="str">
        <f t="shared" ca="1" si="866"/>
        <v/>
      </c>
    </row>
    <row r="8005" spans="1:10" x14ac:dyDescent="0.25">
      <c r="A8005" t="s">
        <v>282</v>
      </c>
      <c r="B8005" t="str">
        <f>ADDRESS(ROW(TIF_DistrictYear_LeaseProceedsAmt),COLUMN(TIF_DistrictYear_LeaseProceedsAmt),4)</f>
        <v>C12</v>
      </c>
      <c r="C8005" t="str">
        <f>ADDRESS(ROW('Rev Exp Bal'!E$12),COLUMN('Rev Exp Bal'!E$12),4)</f>
        <v>E12</v>
      </c>
      <c r="D8005" t="b" cm="1">
        <f t="array" aca="1" ref="D8005" ca="1">IF(INDIRECT("'"&amp;A8005&amp;"'!"&amp;B8005)="",FALSE,IF(TRUNC(INDIRECT("'"&amp;A8005&amp;"'!"&amp;B8005))=INDIRECT("'"&amp;A8005&amp;"'!"&amp;B8005),FALSE,TRUE))</f>
        <v>0</v>
      </c>
      <c r="E8005" t="s">
        <v>436</v>
      </c>
      <c r="F8005" t="str">
        <f>INDEX(Lists!I:I,MATCH(Validation!E8005,Lists!G:G,0))</f>
        <v>Error</v>
      </c>
      <c r="G8005" t="str">
        <f>INDEX(Lists!H:H,MATCH(Validation!E8005,Lists!G:G,0))</f>
        <v>Amount must be rounded to the nearest dollar.</v>
      </c>
      <c r="H8005" s="16" t="str">
        <f t="shared" ca="1" si="864"/>
        <v/>
      </c>
      <c r="I8005" s="16" t="str">
        <f t="shared" ca="1" si="865"/>
        <v/>
      </c>
      <c r="J8005" s="17" t="str">
        <f t="shared" ca="1" si="866"/>
        <v/>
      </c>
    </row>
    <row r="8006" spans="1:10" x14ac:dyDescent="0.25">
      <c r="A8006" t="s">
        <v>282</v>
      </c>
      <c r="B8006" t="str">
        <f>ADDRESS(ROW(TIF_DistrictYear_LoanAdvanceRepaymentsPriorAdj_Entry),COLUMN(TIF_DistrictYear_LoanAdvanceRepaymentsPriorAdj_Entry),4)</f>
        <v>B13</v>
      </c>
      <c r="C8006" t="str">
        <f>ADDRESS(ROW('Rev Exp Bal'!E$13),COLUMN('Rev Exp Bal'!E$13),4)</f>
        <v>E13</v>
      </c>
      <c r="D8006" t="b" cm="1">
        <f t="array" aca="1" ref="D8006" ca="1">IF(INDIRECT("'"&amp;A8006&amp;"'!"&amp;B8006)="",FALSE,IF(NOT(ISNUMBER(INDIRECT("'"&amp;A8006&amp;"'!"&amp;B8006))),TRUE,FALSE))</f>
        <v>0</v>
      </c>
      <c r="E8006" t="s">
        <v>435</v>
      </c>
      <c r="F8006" t="str">
        <f>INDEX(Lists!I:I,MATCH(Validation!E8006,Lists!G:G,0))</f>
        <v>Error</v>
      </c>
      <c r="G8006" t="str">
        <f>INDEX(Lists!H:H,MATCH(Validation!E8006,Lists!G:G,0))</f>
        <v>Enter an amount only. Do not enter text or spaces.</v>
      </c>
      <c r="H8006" s="16" t="str">
        <f t="shared" ca="1" si="864"/>
        <v/>
      </c>
      <c r="I8006" s="16" t="str">
        <f t="shared" ca="1" si="865"/>
        <v/>
      </c>
      <c r="J8006" s="17" t="str">
        <f t="shared" ca="1" si="866"/>
        <v/>
      </c>
    </row>
    <row r="8007" spans="1:10" x14ac:dyDescent="0.25">
      <c r="A8007" t="s">
        <v>282</v>
      </c>
      <c r="B8007" t="str">
        <f>ADDRESS(ROW(TIF_DistrictYear_LoanAdvanceRepaymentsPriorAdj_Entry),COLUMN(TIF_DistrictYear_LoanAdvanceRepaymentsPriorAdj_Entry),4)</f>
        <v>B13</v>
      </c>
      <c r="C8007" t="str">
        <f>ADDRESS(ROW('Rev Exp Bal'!E$13),COLUMN('Rev Exp Bal'!E$13),4)</f>
        <v>E13</v>
      </c>
      <c r="D8007" t="b" cm="1">
        <f t="array" aca="1" ref="D8007" ca="1">IF(INDIRECT("'"&amp;A8007&amp;"'!"&amp;B8007)="",FALSE,IF(INDIRECT("'"&amp;A8007&amp;"'!"&amp;B8007)&lt;0,TRUE,FALSE))</f>
        <v>0</v>
      </c>
      <c r="E8007" t="s">
        <v>434</v>
      </c>
      <c r="F8007" t="str">
        <f>INDEX(Lists!I:I,MATCH(Validation!E8007,Lists!G:G,0))</f>
        <v>Error</v>
      </c>
      <c r="G8007" t="str">
        <f>INDEX(Lists!H:H,MATCH(Validation!E8007,Lists!G:G,0))</f>
        <v>Amount may not be negative. Enter an amount greater than or equal to zero.</v>
      </c>
      <c r="H8007" s="16" t="str">
        <f t="shared" ca="1" si="864"/>
        <v/>
      </c>
      <c r="I8007" s="16" t="str">
        <f t="shared" ca="1" si="865"/>
        <v/>
      </c>
      <c r="J8007" s="17" t="str">
        <f t="shared" ca="1" si="866"/>
        <v/>
      </c>
    </row>
    <row r="8008" spans="1:10" x14ac:dyDescent="0.25">
      <c r="A8008" t="s">
        <v>282</v>
      </c>
      <c r="B8008" t="str">
        <f>ADDRESS(ROW(TIF_DistrictYear_LoanAdvanceRepaymentsPriorAdj_Entry),COLUMN(TIF_DistrictYear_LoanAdvanceRepaymentsPriorAdj_Entry),4)</f>
        <v>B13</v>
      </c>
      <c r="C8008" t="str">
        <f>ADDRESS(ROW('Rev Exp Bal'!E$13),COLUMN('Rev Exp Bal'!E$13),4)</f>
        <v>E13</v>
      </c>
      <c r="D8008" t="b" cm="1">
        <f t="array" aca="1" ref="D8008" ca="1">IF(INDIRECT("'"&amp;A8008&amp;"'!"&amp;B8008)="",FALSE,IF(TRUNC(INDIRECT("'"&amp;A8008&amp;"'!"&amp;B8008))=INDIRECT("'"&amp;A8008&amp;"'!"&amp;B8008),FALSE,TRUE))</f>
        <v>0</v>
      </c>
      <c r="E8008" t="s">
        <v>436</v>
      </c>
      <c r="F8008" t="str">
        <f>INDEX(Lists!I:I,MATCH(Validation!E8008,Lists!G:G,0))</f>
        <v>Error</v>
      </c>
      <c r="G8008" t="str">
        <f>INDEX(Lists!H:H,MATCH(Validation!E8008,Lists!G:G,0))</f>
        <v>Amount must be rounded to the nearest dollar.</v>
      </c>
      <c r="H8008" s="16" t="str">
        <f t="shared" ref="H8008:H8019" ca="1" si="867">IFERROR(IF(OR(NOT(D8008),F8008&lt;&gt;"Error"),"",A8008&amp;CELL("address",INDIRECT(B8008))),"")</f>
        <v/>
      </c>
      <c r="I8008" s="16" t="str">
        <f t="shared" ref="I8008:I8019" ca="1" si="868">IFERROR(IF(NOT(D8008),"",A8008&amp;CELL("address",INDIRECT(C8008))),"")</f>
        <v/>
      </c>
      <c r="J8008" s="17" t="str">
        <f t="shared" ref="J8008:J8019" ca="1" si="869">IFERROR(IF(NOT(D8008),"",A8008),"")</f>
        <v/>
      </c>
    </row>
    <row r="8009" spans="1:10" x14ac:dyDescent="0.25">
      <c r="A8009" t="s">
        <v>282</v>
      </c>
      <c r="B8009" t="str">
        <f>ADDRESS(ROW(TIF_DistrictYear_LoanAdvanceRepaymentsAmt),COLUMN(TIF_DistrictYear_LoanAdvanceRepaymentsAmt),4)</f>
        <v>C13</v>
      </c>
      <c r="C8009" t="str">
        <f>ADDRESS(ROW('Rev Exp Bal'!E$13),COLUMN('Rev Exp Bal'!E$13),4)</f>
        <v>E13</v>
      </c>
      <c r="D8009" t="b" cm="1">
        <f t="array" aca="1" ref="D8009" ca="1">IF(INDIRECT("'"&amp;A8009&amp;"'!"&amp;B8009)="",FALSE,IF(NOT(ISNUMBER(INDIRECT("'"&amp;A8009&amp;"'!"&amp;B8009))),TRUE,FALSE))</f>
        <v>0</v>
      </c>
      <c r="E8009" t="s">
        <v>435</v>
      </c>
      <c r="F8009" t="str">
        <f>INDEX(Lists!I:I,MATCH(Validation!E8009,Lists!G:G,0))</f>
        <v>Error</v>
      </c>
      <c r="G8009" t="str">
        <f>INDEX(Lists!H:H,MATCH(Validation!E8009,Lists!G:G,0))</f>
        <v>Enter an amount only. Do not enter text or spaces.</v>
      </c>
      <c r="H8009" s="16" t="str">
        <f t="shared" ca="1" si="867"/>
        <v/>
      </c>
      <c r="I8009" s="16" t="str">
        <f t="shared" ca="1" si="868"/>
        <v/>
      </c>
      <c r="J8009" s="17" t="str">
        <f t="shared" ca="1" si="869"/>
        <v/>
      </c>
    </row>
    <row r="8010" spans="1:10" x14ac:dyDescent="0.25">
      <c r="A8010" t="s">
        <v>282</v>
      </c>
      <c r="B8010" t="str">
        <f>ADDRESS(ROW(TIF_DistrictYear_LoanAdvanceRepaymentsAmt),COLUMN(TIF_DistrictYear_LoanAdvanceRepaymentsAmt),4)</f>
        <v>C13</v>
      </c>
      <c r="C8010" t="str">
        <f>ADDRESS(ROW('Rev Exp Bal'!E$13),COLUMN('Rev Exp Bal'!E$13),4)</f>
        <v>E13</v>
      </c>
      <c r="D8010" t="b" cm="1">
        <f t="array" aca="1" ref="D8010" ca="1">IF(INDIRECT("'"&amp;A8010&amp;"'!"&amp;B8010)="",FALSE,IF(INDIRECT("'"&amp;A8010&amp;"'!"&amp;B8010)&lt;0,TRUE,FALSE))</f>
        <v>0</v>
      </c>
      <c r="E8010" t="s">
        <v>434</v>
      </c>
      <c r="F8010" t="str">
        <f>INDEX(Lists!I:I,MATCH(Validation!E8010,Lists!G:G,0))</f>
        <v>Error</v>
      </c>
      <c r="G8010" t="str">
        <f>INDEX(Lists!H:H,MATCH(Validation!E8010,Lists!G:G,0))</f>
        <v>Amount may not be negative. Enter an amount greater than or equal to zero.</v>
      </c>
      <c r="H8010" s="16" t="str">
        <f t="shared" ca="1" si="867"/>
        <v/>
      </c>
      <c r="I8010" s="16" t="str">
        <f t="shared" ca="1" si="868"/>
        <v/>
      </c>
      <c r="J8010" s="17" t="str">
        <f t="shared" ca="1" si="869"/>
        <v/>
      </c>
    </row>
    <row r="8011" spans="1:10" x14ac:dyDescent="0.25">
      <c r="A8011" t="s">
        <v>282</v>
      </c>
      <c r="B8011" t="str">
        <f>ADDRESS(ROW(TIF_DistrictYear_LoanAdvanceRepaymentsAmt),COLUMN(TIF_DistrictYear_LoanAdvanceRepaymentsAmt),4)</f>
        <v>C13</v>
      </c>
      <c r="C8011" t="str">
        <f>ADDRESS(ROW('Rev Exp Bal'!E$13),COLUMN('Rev Exp Bal'!E$13),4)</f>
        <v>E13</v>
      </c>
      <c r="D8011" t="b" cm="1">
        <f t="array" aca="1" ref="D8011" ca="1">IF(INDIRECT("'"&amp;A8011&amp;"'!"&amp;B8011)="",FALSE,IF(TRUNC(INDIRECT("'"&amp;A8011&amp;"'!"&amp;B8011))=INDIRECT("'"&amp;A8011&amp;"'!"&amp;B8011),FALSE,TRUE))</f>
        <v>0</v>
      </c>
      <c r="E8011" t="s">
        <v>436</v>
      </c>
      <c r="F8011" t="str">
        <f>INDEX(Lists!I:I,MATCH(Validation!E8011,Lists!G:G,0))</f>
        <v>Error</v>
      </c>
      <c r="G8011" t="str">
        <f>INDEX(Lists!H:H,MATCH(Validation!E8011,Lists!G:G,0))</f>
        <v>Amount must be rounded to the nearest dollar.</v>
      </c>
      <c r="H8011" s="16" t="str">
        <f t="shared" ca="1" si="867"/>
        <v/>
      </c>
      <c r="I8011" s="16" t="str">
        <f t="shared" ca="1" si="868"/>
        <v/>
      </c>
      <c r="J8011" s="17" t="str">
        <f t="shared" ca="1" si="869"/>
        <v/>
      </c>
    </row>
    <row r="8012" spans="1:10" x14ac:dyDescent="0.25">
      <c r="A8012" t="s">
        <v>282</v>
      </c>
      <c r="B8012" t="str">
        <f>ADDRESS(ROW(TIF_DistrictYear_AgreementRepaymentPriorAdj_Entry),COLUMN(TIF_DistrictYear_AgreementRepaymentPriorAdj_Entry),4)</f>
        <v>B14</v>
      </c>
      <c r="C8012" t="str">
        <f>ADDRESS(ROW('Rev Exp Bal'!E$14),COLUMN('Rev Exp Bal'!E$14),4)</f>
        <v>E14</v>
      </c>
      <c r="D8012" t="b" cm="1">
        <f t="array" aca="1" ref="D8012" ca="1">IF(INDIRECT("'"&amp;A8012&amp;"'!"&amp;B8012)="",FALSE,IF(NOT(ISNUMBER(INDIRECT("'"&amp;A8012&amp;"'!"&amp;B8012))),TRUE,FALSE))</f>
        <v>0</v>
      </c>
      <c r="E8012" t="s">
        <v>435</v>
      </c>
      <c r="F8012" t="str">
        <f>INDEX(Lists!I:I,MATCH(Validation!E8012,Lists!G:G,0))</f>
        <v>Error</v>
      </c>
      <c r="G8012" t="str">
        <f>INDEX(Lists!H:H,MATCH(Validation!E8012,Lists!G:G,0))</f>
        <v>Enter an amount only. Do not enter text or spaces.</v>
      </c>
      <c r="H8012" s="16" t="str">
        <f t="shared" ca="1" si="867"/>
        <v/>
      </c>
      <c r="I8012" s="16" t="str">
        <f t="shared" ca="1" si="868"/>
        <v/>
      </c>
      <c r="J8012" s="17" t="str">
        <f t="shared" ca="1" si="869"/>
        <v/>
      </c>
    </row>
    <row r="8013" spans="1:10" x14ac:dyDescent="0.25">
      <c r="A8013" t="s">
        <v>282</v>
      </c>
      <c r="B8013" t="str">
        <f>ADDRESS(ROW(TIF_DistrictYear_AgreementRepaymentPriorAdj_Entry),COLUMN(TIF_DistrictYear_AgreementRepaymentPriorAdj_Entry),4)</f>
        <v>B14</v>
      </c>
      <c r="C8013" t="str">
        <f>ADDRESS(ROW('Rev Exp Bal'!E$14),COLUMN('Rev Exp Bal'!E$14),4)</f>
        <v>E14</v>
      </c>
      <c r="D8013" t="b" cm="1">
        <f t="array" aca="1" ref="D8013" ca="1">IF(INDIRECT("'"&amp;A8013&amp;"'!"&amp;B8013)="",FALSE,IF(INDIRECT("'"&amp;A8013&amp;"'!"&amp;B8013)&lt;0,TRUE,FALSE))</f>
        <v>0</v>
      </c>
      <c r="E8013" t="s">
        <v>434</v>
      </c>
      <c r="F8013" t="str">
        <f>INDEX(Lists!I:I,MATCH(Validation!E8013,Lists!G:G,0))</f>
        <v>Error</v>
      </c>
      <c r="G8013" t="str">
        <f>INDEX(Lists!H:H,MATCH(Validation!E8013,Lists!G:G,0))</f>
        <v>Amount may not be negative. Enter an amount greater than or equal to zero.</v>
      </c>
      <c r="H8013" s="16" t="str">
        <f t="shared" ca="1" si="867"/>
        <v/>
      </c>
      <c r="I8013" s="16" t="str">
        <f t="shared" ca="1" si="868"/>
        <v/>
      </c>
      <c r="J8013" s="17" t="str">
        <f t="shared" ca="1" si="869"/>
        <v/>
      </c>
    </row>
    <row r="8014" spans="1:10" x14ac:dyDescent="0.25">
      <c r="A8014" t="s">
        <v>282</v>
      </c>
      <c r="B8014" t="str">
        <f>ADDRESS(ROW(TIF_DistrictYear_AgreementRepaymentPriorAdj_Entry),COLUMN(TIF_DistrictYear_AgreementRepaymentPriorAdj_Entry),4)</f>
        <v>B14</v>
      </c>
      <c r="C8014" t="str">
        <f>ADDRESS(ROW('Rev Exp Bal'!E$14),COLUMN('Rev Exp Bal'!E$14),4)</f>
        <v>E14</v>
      </c>
      <c r="D8014" t="b" cm="1">
        <f t="array" aca="1" ref="D8014" ca="1">IF(INDIRECT("'"&amp;A8014&amp;"'!"&amp;B8014)="",FALSE,IF(TRUNC(INDIRECT("'"&amp;A8014&amp;"'!"&amp;B8014))=INDIRECT("'"&amp;A8014&amp;"'!"&amp;B8014),FALSE,TRUE))</f>
        <v>0</v>
      </c>
      <c r="E8014" t="s">
        <v>436</v>
      </c>
      <c r="F8014" t="str">
        <f>INDEX(Lists!I:I,MATCH(Validation!E8014,Lists!G:G,0))</f>
        <v>Error</v>
      </c>
      <c r="G8014" t="str">
        <f>INDEX(Lists!H:H,MATCH(Validation!E8014,Lists!G:G,0))</f>
        <v>Amount must be rounded to the nearest dollar.</v>
      </c>
      <c r="H8014" s="16" t="str">
        <f t="shared" ca="1" si="867"/>
        <v/>
      </c>
      <c r="I8014" s="16" t="str">
        <f t="shared" ca="1" si="868"/>
        <v/>
      </c>
      <c r="J8014" s="17" t="str">
        <f t="shared" ca="1" si="869"/>
        <v/>
      </c>
    </row>
    <row r="8015" spans="1:10" x14ac:dyDescent="0.25">
      <c r="A8015" t="s">
        <v>282</v>
      </c>
      <c r="B8015" t="str">
        <f>ADDRESS(ROW(TIF_DistrictYear_AgreementRepaymentAmt),COLUMN(TIF_DistrictYear_AgreementRepaymentAmt),4)</f>
        <v>C14</v>
      </c>
      <c r="C8015" t="str">
        <f>ADDRESS(ROW('Rev Exp Bal'!E$14),COLUMN('Rev Exp Bal'!E$14),4)</f>
        <v>E14</v>
      </c>
      <c r="D8015" t="b" cm="1">
        <f t="array" aca="1" ref="D8015" ca="1">IF(INDIRECT("'"&amp;A8015&amp;"'!"&amp;B8015)="",FALSE,IF(NOT(ISNUMBER(INDIRECT("'"&amp;A8015&amp;"'!"&amp;B8015))),TRUE,FALSE))</f>
        <v>0</v>
      </c>
      <c r="E8015" t="s">
        <v>435</v>
      </c>
      <c r="F8015" t="str">
        <f>INDEX(Lists!I:I,MATCH(Validation!E8015,Lists!G:G,0))</f>
        <v>Error</v>
      </c>
      <c r="G8015" t="str">
        <f>INDEX(Lists!H:H,MATCH(Validation!E8015,Lists!G:G,0))</f>
        <v>Enter an amount only. Do not enter text or spaces.</v>
      </c>
      <c r="H8015" s="16" t="str">
        <f t="shared" ca="1" si="867"/>
        <v/>
      </c>
      <c r="I8015" s="16" t="str">
        <f t="shared" ca="1" si="868"/>
        <v/>
      </c>
      <c r="J8015" s="17" t="str">
        <f t="shared" ca="1" si="869"/>
        <v/>
      </c>
    </row>
    <row r="8016" spans="1:10" x14ac:dyDescent="0.25">
      <c r="A8016" t="s">
        <v>282</v>
      </c>
      <c r="B8016" t="str">
        <f>ADDRESS(ROW(TIF_DistrictYear_AgreementRepaymentAmt),COLUMN(TIF_DistrictYear_AgreementRepaymentAmt),4)</f>
        <v>C14</v>
      </c>
      <c r="C8016" t="str">
        <f>ADDRESS(ROW('Rev Exp Bal'!E$14),COLUMN('Rev Exp Bal'!E$14),4)</f>
        <v>E14</v>
      </c>
      <c r="D8016" t="b" cm="1">
        <f t="array" aca="1" ref="D8016" ca="1">IF(INDIRECT("'"&amp;A8016&amp;"'!"&amp;B8016)="",FALSE,IF(INDIRECT("'"&amp;A8016&amp;"'!"&amp;B8016)&lt;0,TRUE,FALSE))</f>
        <v>0</v>
      </c>
      <c r="E8016" t="s">
        <v>434</v>
      </c>
      <c r="F8016" t="str">
        <f>INDEX(Lists!I:I,MATCH(Validation!E8016,Lists!G:G,0))</f>
        <v>Error</v>
      </c>
      <c r="G8016" t="str">
        <f>INDEX(Lists!H:H,MATCH(Validation!E8016,Lists!G:G,0))</f>
        <v>Amount may not be negative. Enter an amount greater than or equal to zero.</v>
      </c>
      <c r="H8016" s="16" t="str">
        <f t="shared" ca="1" si="867"/>
        <v/>
      </c>
      <c r="I8016" s="16" t="str">
        <f t="shared" ca="1" si="868"/>
        <v/>
      </c>
      <c r="J8016" s="17" t="str">
        <f t="shared" ca="1" si="869"/>
        <v/>
      </c>
    </row>
    <row r="8017" spans="1:10" x14ac:dyDescent="0.25">
      <c r="A8017" t="s">
        <v>282</v>
      </c>
      <c r="B8017" t="str">
        <f>ADDRESS(ROW(TIF_DistrictYear_AgreementRepaymentAmt),COLUMN(TIF_DistrictYear_AgreementRepaymentAmt),4)</f>
        <v>C14</v>
      </c>
      <c r="C8017" t="str">
        <f>ADDRESS(ROW('Rev Exp Bal'!E$14),COLUMN('Rev Exp Bal'!E$14),4)</f>
        <v>E14</v>
      </c>
      <c r="D8017" t="b" cm="1">
        <f t="array" aca="1" ref="D8017" ca="1">IF(INDIRECT("'"&amp;A8017&amp;"'!"&amp;B8017)="",FALSE,IF(TRUNC(INDIRECT("'"&amp;A8017&amp;"'!"&amp;B8017))=INDIRECT("'"&amp;A8017&amp;"'!"&amp;B8017),FALSE,TRUE))</f>
        <v>0</v>
      </c>
      <c r="E8017" t="s">
        <v>436</v>
      </c>
      <c r="F8017" t="str">
        <f>INDEX(Lists!I:I,MATCH(Validation!E8017,Lists!G:G,0))</f>
        <v>Error</v>
      </c>
      <c r="G8017" t="str">
        <f>INDEX(Lists!H:H,MATCH(Validation!E8017,Lists!G:G,0))</f>
        <v>Amount must be rounded to the nearest dollar.</v>
      </c>
      <c r="H8017" s="16" t="str">
        <f t="shared" ca="1" si="867"/>
        <v/>
      </c>
      <c r="I8017" s="16" t="str">
        <f t="shared" ca="1" si="868"/>
        <v/>
      </c>
      <c r="J8017" s="17" t="str">
        <f t="shared" ca="1" si="869"/>
        <v/>
      </c>
    </row>
    <row r="8018" spans="1:10" x14ac:dyDescent="0.25">
      <c r="A8018" t="s">
        <v>282</v>
      </c>
      <c r="B8018" t="str">
        <f>ADDRESS(ROW(TIF_DistrictYear_UserCommentsRevenues),COLUMN(TIF_DistrictYear_UserCommentsRevenues),4)</f>
        <v>A17</v>
      </c>
      <c r="C8018" t="str">
        <f>ADDRESS(ROW(Revenues!E$16),COLUMN(Revenues!E$16),4)</f>
        <v>E16</v>
      </c>
      <c r="D8018" t="b" cm="1">
        <f t="array" aca="1" ref="D8018" ca="1">IF(ISBLANK(INDIRECT("'"&amp;A8018&amp;"'!"&amp;B8018)),FALSE,IF(LEN(TRIM(CLEAN(INDIRECT("'"&amp;A8018&amp;"'!"&amp;B8018))))&lt;15,TRUE,FALSE))</f>
        <v>0</v>
      </c>
      <c r="E8018" t="s">
        <v>635</v>
      </c>
      <c r="F8018" t="str">
        <f>INDEX(Lists!I:I,MATCH(Validation!E8018,Lists!G:G,0))</f>
        <v>Error</v>
      </c>
      <c r="G8018" t="str">
        <f>INDEX(Lists!H:H,MATCH(Validation!E8018,Lists!G:G,0))</f>
        <v>Insufficient information. Please provide a longer comment.</v>
      </c>
      <c r="H8018" s="25" t="str">
        <f t="shared" ca="1" si="867"/>
        <v/>
      </c>
      <c r="I8018" s="25" t="str">
        <f t="shared" ca="1" si="868"/>
        <v/>
      </c>
      <c r="J8018" s="26" t="str">
        <f t="shared" ca="1" si="869"/>
        <v/>
      </c>
    </row>
    <row r="8019" spans="1:10" x14ac:dyDescent="0.25">
      <c r="A8019" t="s">
        <v>282</v>
      </c>
      <c r="B8019" t="str">
        <f>ADDRESS(ROW(TIF_DistrictYear_UserCommentsRevenues),COLUMN(TIF_DistrictYear_UserCommentsRevenues),4)</f>
        <v>A17</v>
      </c>
      <c r="C8019" t="str">
        <f>ADDRESS(ROW(Revenues!E$16),COLUMN(Revenues!E$16),4)</f>
        <v>E16</v>
      </c>
      <c r="D8019" t="b" cm="1">
        <f t="array" aca="1" ref="D8019" ca="1">IF(LEN(INDIRECT("'"&amp;A8019&amp;"'!"&amp;B8019))&gt;500,TRUE,FALSE)</f>
        <v>0</v>
      </c>
      <c r="E8019" t="s">
        <v>636</v>
      </c>
      <c r="F8019" t="str">
        <f>INDEX(Lists!I:I,MATCH(Validation!E8019,Lists!G:G,0))</f>
        <v>Error</v>
      </c>
      <c r="G8019" t="str">
        <f>INDEX(Lists!H:H,MATCH(Validation!E8019,Lists!G:G,0))</f>
        <v>Comments cannot exceed 500 characters. (Limit length. Send email to further explain.)</v>
      </c>
      <c r="H8019" s="25" t="str">
        <f t="shared" ca="1" si="867"/>
        <v/>
      </c>
      <c r="I8019" s="25" t="str">
        <f t="shared" ca="1" si="868"/>
        <v/>
      </c>
      <c r="J8019" s="26" t="str">
        <f t="shared" ca="1" si="869"/>
        <v/>
      </c>
    </row>
    <row r="8020" spans="1:10" x14ac:dyDescent="0.25">
      <c r="A8020" t="s">
        <v>265</v>
      </c>
      <c r="C8020" t="str">
        <f>ADDRESS(ROW(Expenditures!E$6),COLUMN(Expenditures!E$6),4)</f>
        <v>E6</v>
      </c>
      <c r="D8020" t="b">
        <f>IF((COUNTIF(Expenditures!B$7:B$16,"")+COUNTIF(Expenditures!B$18:B$19,"")+COUNTIF(Expenditures!B$21:B$22,"")+COUNTIF(Expenditures!C$7:C$16,"")+COUNTIF(Expenditures!C$18:C$19,"")+COUNTIF(Expenditures!C$21:C$22,""))&gt;0,TRUE,FALSE)</f>
        <v>1</v>
      </c>
      <c r="E8020" t="s">
        <v>632</v>
      </c>
      <c r="F8020" t="str">
        <f>INDEX(Lists!I:I,MATCH(Validation!E8020,Lists!G:G,0))</f>
        <v>Error</v>
      </c>
      <c r="G8020" t="str">
        <f>INDEX(Lists!H:H,MATCH(Validation!E8020,Lists!G:G,0))</f>
        <v xml:space="preserve">Complete entry of all rows on this tab. (Enter zero when appropriate.) </v>
      </c>
      <c r="H8020" s="16" t="str">
        <f t="shared" ref="H8020" ca="1" si="870">IFERROR(IF(OR(NOT(D8020),F8020&lt;&gt;"Error"),"",A8020&amp;CELL("address",INDIRECT(B8020))),"")</f>
        <v/>
      </c>
      <c r="I8020" s="16" t="str">
        <f t="shared" ref="I8020" ca="1" si="871">IFERROR(IF(NOT(D8020),"",A8020&amp;CELL("address",INDIRECT(C8020))),"")</f>
        <v>Expenditures$E$6</v>
      </c>
      <c r="J8020" s="17" t="str">
        <f t="shared" ref="J8020" si="872">IFERROR(IF(NOT(D8020),"",A8020),"")</f>
        <v>Expenditures</v>
      </c>
    </row>
    <row r="8021" spans="1:10" x14ac:dyDescent="0.25">
      <c r="A8021" t="s">
        <v>265</v>
      </c>
      <c r="B8021" t="str">
        <f>ADDRESS(ROW(TIF_DistrictYear_LandBldgAcquisitionCostPriorAdj_Entry),COLUMN(TIF_DistrictYear_LandBldgAcquisitionCostPriorAdj_Entry),4)</f>
        <v>B7</v>
      </c>
      <c r="C8021" t="str">
        <f>ADDRESS(ROW(Expenditures!E7),COLUMN(Expenditures!E$7),4)</f>
        <v>E7</v>
      </c>
      <c r="D8021" t="b" cm="1">
        <f t="array" aca="1" ref="D8021" ca="1">IF(INDIRECT("'"&amp;A8021&amp;"'!"&amp;B8021)="",FALSE,IF(NOT(ISNUMBER(INDIRECT("'"&amp;A8021&amp;"'!"&amp;B8021))),TRUE,FALSE))</f>
        <v>0</v>
      </c>
      <c r="E8021" t="s">
        <v>435</v>
      </c>
      <c r="F8021" t="str">
        <f>INDEX(Lists!I:I,MATCH(Validation!E8021,Lists!G:G,0))</f>
        <v>Error</v>
      </c>
      <c r="G8021" t="str">
        <f>INDEX(Lists!H:H,MATCH(Validation!E8021,Lists!G:G,0))</f>
        <v>Enter an amount only. Do not enter text or spaces.</v>
      </c>
      <c r="H8021" s="16" t="str">
        <f t="shared" ref="H8021" ca="1" si="873">IFERROR(IF(OR(NOT(D8021),F8021&lt;&gt;"Error"),"",A8021&amp;CELL("address",INDIRECT(B8021))),"")</f>
        <v/>
      </c>
      <c r="I8021" s="16" t="str">
        <f t="shared" ref="I8021" ca="1" si="874">IFERROR(IF(NOT(D8021),"",A8021&amp;CELL("address",INDIRECT(C8021))),"")</f>
        <v/>
      </c>
      <c r="J8021" s="17" t="str">
        <f t="shared" ref="J8021" ca="1" si="875">IFERROR(IF(NOT(D8021),"",A8021),"")</f>
        <v/>
      </c>
    </row>
    <row r="8022" spans="1:10" x14ac:dyDescent="0.25">
      <c r="A8022" t="s">
        <v>265</v>
      </c>
      <c r="B8022" t="str">
        <f>ADDRESS(ROW(TIF_DistrictYear_LandBldgAcquisitionCostPriorAdj_Entry),COLUMN(TIF_DistrictYear_LandBldgAcquisitionCostPriorAdj_Entry),4)</f>
        <v>B7</v>
      </c>
      <c r="C8022" t="str">
        <f>ADDRESS(ROW(Expenditures!E7),COLUMN(Expenditures!E$7),4)</f>
        <v>E7</v>
      </c>
      <c r="D8022" t="b" cm="1">
        <f t="array" aca="1" ref="D8022" ca="1">IF(INDIRECT("'"&amp;A8022&amp;"'!"&amp;B8022)="",FALSE,IF(INDIRECT("'"&amp;A8022&amp;"'!"&amp;B8022)&lt;0,TRUE,FALSE))</f>
        <v>0</v>
      </c>
      <c r="E8022" t="s">
        <v>434</v>
      </c>
      <c r="F8022" t="str">
        <f>INDEX(Lists!I:I,MATCH(Validation!E8022,Lists!G:G,0))</f>
        <v>Error</v>
      </c>
      <c r="G8022" t="str">
        <f>INDEX(Lists!H:H,MATCH(Validation!E8022,Lists!G:G,0))</f>
        <v>Amount may not be negative. Enter an amount greater than or equal to zero.</v>
      </c>
      <c r="H8022" s="16" t="str">
        <f t="shared" ref="H8022:H8080" ca="1" si="876">IFERROR(IF(OR(NOT(D8022),F8022&lt;&gt;"Error"),"",A8022&amp;CELL("address",INDIRECT(B8022))),"")</f>
        <v/>
      </c>
      <c r="I8022" s="16" t="str">
        <f t="shared" ref="I8022:I8080" ca="1" si="877">IFERROR(IF(NOT(D8022),"",A8022&amp;CELL("address",INDIRECT(C8022))),"")</f>
        <v/>
      </c>
      <c r="J8022" s="17" t="str">
        <f t="shared" ref="J8022:J8080" ca="1" si="878">IFERROR(IF(NOT(D8022),"",A8022),"")</f>
        <v/>
      </c>
    </row>
    <row r="8023" spans="1:10" x14ac:dyDescent="0.25">
      <c r="A8023" t="s">
        <v>265</v>
      </c>
      <c r="B8023" t="str">
        <f>ADDRESS(ROW(TIF_DistrictYear_LandBldgAcquisitionCostPriorAdj_Entry),COLUMN(TIF_DistrictYear_LandBldgAcquisitionCostPriorAdj_Entry),4)</f>
        <v>B7</v>
      </c>
      <c r="C8023" t="str">
        <f>ADDRESS(ROW(Expenditures!E7),COLUMN(Expenditures!E$7),4)</f>
        <v>E7</v>
      </c>
      <c r="D8023" t="b" cm="1">
        <f t="array" aca="1" ref="D8023" ca="1">IF(INDIRECT("'"&amp;A8023&amp;"'!"&amp;B8023)="",FALSE,IF(TRUNC(INDIRECT("'"&amp;A8023&amp;"'!"&amp;B8023))=INDIRECT("'"&amp;A8023&amp;"'!"&amp;B8023),FALSE,TRUE))</f>
        <v>0</v>
      </c>
      <c r="E8023" t="s">
        <v>436</v>
      </c>
      <c r="F8023" t="str">
        <f>INDEX(Lists!I:I,MATCH(Validation!E8023,Lists!G:G,0))</f>
        <v>Error</v>
      </c>
      <c r="G8023" t="str">
        <f>INDEX(Lists!H:H,MATCH(Validation!E8023,Lists!G:G,0))</f>
        <v>Amount must be rounded to the nearest dollar.</v>
      </c>
      <c r="H8023" s="16" t="str">
        <f t="shared" ca="1" si="876"/>
        <v/>
      </c>
      <c r="I8023" s="16" t="str">
        <f t="shared" ca="1" si="877"/>
        <v/>
      </c>
      <c r="J8023" s="17" t="str">
        <f t="shared" ca="1" si="878"/>
        <v/>
      </c>
    </row>
    <row r="8024" spans="1:10" x14ac:dyDescent="0.25">
      <c r="A8024" t="s">
        <v>265</v>
      </c>
      <c r="B8024" t="str">
        <f>ADDRESS(ROW(TIF_DistrictYear_LandBldgAcquisitionCost_Entry),COLUMN(TIF_DistrictYear_LandBldgAcquisitionCost_Entry),4)</f>
        <v>C7</v>
      </c>
      <c r="C8024" t="str">
        <f>ADDRESS(ROW(Expenditures!E7),COLUMN(Expenditures!E$7),4)</f>
        <v>E7</v>
      </c>
      <c r="D8024" t="b" cm="1">
        <f t="array" aca="1" ref="D8024" ca="1">IF(INDIRECT("'"&amp;A8024&amp;"'!"&amp;B8024)="",FALSE,IF(NOT(ISNUMBER(INDIRECT("'"&amp;A8024&amp;"'!"&amp;B8024))),TRUE,FALSE))</f>
        <v>0</v>
      </c>
      <c r="E8024" t="s">
        <v>435</v>
      </c>
      <c r="F8024" t="str">
        <f>INDEX(Lists!I:I,MATCH(Validation!E8024,Lists!G:G,0))</f>
        <v>Error</v>
      </c>
      <c r="G8024" t="str">
        <f>INDEX(Lists!H:H,MATCH(Validation!E8024,Lists!G:G,0))</f>
        <v>Enter an amount only. Do not enter text or spaces.</v>
      </c>
      <c r="H8024" s="16" t="str">
        <f t="shared" ca="1" si="876"/>
        <v/>
      </c>
      <c r="I8024" s="16" t="str">
        <f t="shared" ca="1" si="877"/>
        <v/>
      </c>
      <c r="J8024" s="17" t="str">
        <f t="shared" ca="1" si="878"/>
        <v/>
      </c>
    </row>
    <row r="8025" spans="1:10" x14ac:dyDescent="0.25">
      <c r="A8025" t="s">
        <v>265</v>
      </c>
      <c r="B8025" t="str">
        <f>ADDRESS(ROW(TIF_DistrictYear_LandBldgAcquisitionCost_Entry),COLUMN(TIF_DistrictYear_LandBldgAcquisitionCost_Entry),4)</f>
        <v>C7</v>
      </c>
      <c r="C8025" t="str">
        <f>ADDRESS(ROW(Expenditures!E7),COLUMN(Expenditures!E$7),4)</f>
        <v>E7</v>
      </c>
      <c r="D8025" t="b" cm="1">
        <f t="array" aca="1" ref="D8025" ca="1">IF(INDIRECT("'"&amp;A8025&amp;"'!"&amp;B8025)="",FALSE,IF(INDIRECT("'"&amp;A8025&amp;"'!"&amp;B8025)&lt;0,TRUE,FALSE))</f>
        <v>0</v>
      </c>
      <c r="E8025" t="s">
        <v>434</v>
      </c>
      <c r="F8025" t="str">
        <f>INDEX(Lists!I:I,MATCH(Validation!E8025,Lists!G:G,0))</f>
        <v>Error</v>
      </c>
      <c r="G8025" t="str">
        <f>INDEX(Lists!H:H,MATCH(Validation!E8025,Lists!G:G,0))</f>
        <v>Amount may not be negative. Enter an amount greater than or equal to zero.</v>
      </c>
      <c r="H8025" s="16" t="str">
        <f t="shared" ca="1" si="876"/>
        <v/>
      </c>
      <c r="I8025" s="16" t="str">
        <f t="shared" ca="1" si="877"/>
        <v/>
      </c>
      <c r="J8025" s="17" t="str">
        <f t="shared" ca="1" si="878"/>
        <v/>
      </c>
    </row>
    <row r="8026" spans="1:10" x14ac:dyDescent="0.25">
      <c r="A8026" t="s">
        <v>265</v>
      </c>
      <c r="B8026" t="str">
        <f>ADDRESS(ROW(TIF_DistrictYear_LandBldgAcquisitionCost_Entry),COLUMN(TIF_DistrictYear_LandBldgAcquisitionCost_Entry),4)</f>
        <v>C7</v>
      </c>
      <c r="C8026" t="str">
        <f>ADDRESS(ROW(Expenditures!E7),COLUMN(Expenditures!E$7),4)</f>
        <v>E7</v>
      </c>
      <c r="D8026" t="b" cm="1">
        <f t="array" aca="1" ref="D8026" ca="1">IF(INDIRECT("'"&amp;A8026&amp;"'!"&amp;B8026)="",FALSE,IF(TRUNC(INDIRECT("'"&amp;A8026&amp;"'!"&amp;B8026))=INDIRECT("'"&amp;A8026&amp;"'!"&amp;B8026),FALSE,TRUE))</f>
        <v>0</v>
      </c>
      <c r="E8026" t="s">
        <v>436</v>
      </c>
      <c r="F8026" t="str">
        <f>INDEX(Lists!I:I,MATCH(Validation!E8026,Lists!G:G,0))</f>
        <v>Error</v>
      </c>
      <c r="G8026" t="str">
        <f>INDEX(Lists!H:H,MATCH(Validation!E8026,Lists!G:G,0))</f>
        <v>Amount must be rounded to the nearest dollar.</v>
      </c>
      <c r="H8026" s="16" t="str">
        <f t="shared" ca="1" si="876"/>
        <v/>
      </c>
      <c r="I8026" s="16" t="str">
        <f t="shared" ca="1" si="877"/>
        <v/>
      </c>
      <c r="J8026" s="17" t="str">
        <f t="shared" ca="1" si="878"/>
        <v/>
      </c>
    </row>
    <row r="8027" spans="1:10" x14ac:dyDescent="0.25">
      <c r="A8027" t="s">
        <v>265</v>
      </c>
      <c r="B8027" t="str">
        <f>ADDRESS(ROW(TIF_DistrictYear_SiteImprovementsCostPriorAdj_Entry),COLUMN(TIF_DistrictYear_SiteImprovementsCostPriorAdj_Entry),4)</f>
        <v>B8</v>
      </c>
      <c r="C8027" t="str">
        <f>ADDRESS(ROW(Expenditures!E$8),COLUMN(Expenditures!E$8),4)</f>
        <v>E8</v>
      </c>
      <c r="D8027" t="b" cm="1">
        <f t="array" aca="1" ref="D8027" ca="1">IF(INDIRECT("'"&amp;A8027&amp;"'!"&amp;B8027)="",FALSE,IF(NOT(ISNUMBER(INDIRECT("'"&amp;A8027&amp;"'!"&amp;B8027))),TRUE,FALSE))</f>
        <v>0</v>
      </c>
      <c r="E8027" t="s">
        <v>435</v>
      </c>
      <c r="F8027" t="str">
        <f>INDEX(Lists!I:I,MATCH(Validation!E8027,Lists!G:G,0))</f>
        <v>Error</v>
      </c>
      <c r="G8027" t="str">
        <f>INDEX(Lists!H:H,MATCH(Validation!E8027,Lists!G:G,0))</f>
        <v>Enter an amount only. Do not enter text or spaces.</v>
      </c>
      <c r="H8027" s="16" t="str">
        <f t="shared" ca="1" si="876"/>
        <v/>
      </c>
      <c r="I8027" s="16" t="str">
        <f t="shared" ca="1" si="877"/>
        <v/>
      </c>
      <c r="J8027" s="17" t="str">
        <f t="shared" ca="1" si="878"/>
        <v/>
      </c>
    </row>
    <row r="8028" spans="1:10" x14ac:dyDescent="0.25">
      <c r="A8028" t="s">
        <v>265</v>
      </c>
      <c r="B8028" t="str">
        <f>ADDRESS(ROW(TIF_DistrictYear_SiteImprovementsCostPriorAdj_Entry),COLUMN(TIF_DistrictYear_SiteImprovementsCostPriorAdj_Entry),4)</f>
        <v>B8</v>
      </c>
      <c r="C8028" t="str">
        <f>ADDRESS(ROW(Expenditures!E$8),COLUMN(Expenditures!E$8),4)</f>
        <v>E8</v>
      </c>
      <c r="D8028" t="b" cm="1">
        <f t="array" aca="1" ref="D8028" ca="1">IF(INDIRECT("'"&amp;A8028&amp;"'!"&amp;B8028)="",FALSE,IF(INDIRECT("'"&amp;A8028&amp;"'!"&amp;B8028)&lt;0,TRUE,FALSE))</f>
        <v>0</v>
      </c>
      <c r="E8028" t="s">
        <v>434</v>
      </c>
      <c r="F8028" t="str">
        <f>INDEX(Lists!I:I,MATCH(Validation!E8028,Lists!G:G,0))</f>
        <v>Error</v>
      </c>
      <c r="G8028" t="str">
        <f>INDEX(Lists!H:H,MATCH(Validation!E8028,Lists!G:G,0))</f>
        <v>Amount may not be negative. Enter an amount greater than or equal to zero.</v>
      </c>
      <c r="H8028" s="16" t="str">
        <f t="shared" ca="1" si="876"/>
        <v/>
      </c>
      <c r="I8028" s="16" t="str">
        <f t="shared" ca="1" si="877"/>
        <v/>
      </c>
      <c r="J8028" s="17" t="str">
        <f t="shared" ca="1" si="878"/>
        <v/>
      </c>
    </row>
    <row r="8029" spans="1:10" x14ac:dyDescent="0.25">
      <c r="A8029" t="s">
        <v>265</v>
      </c>
      <c r="B8029" t="str">
        <f>ADDRESS(ROW(TIF_DistrictYear_SiteImprovementsCostPriorAdj_Entry),COLUMN(TIF_DistrictYear_SiteImprovementsCostPriorAdj_Entry),4)</f>
        <v>B8</v>
      </c>
      <c r="C8029" t="str">
        <f>ADDRESS(ROW(Expenditures!E$8),COLUMN(Expenditures!E$8),4)</f>
        <v>E8</v>
      </c>
      <c r="D8029" t="b" cm="1">
        <f t="array" aca="1" ref="D8029" ca="1">IF(INDIRECT("'"&amp;A8029&amp;"'!"&amp;B8029)="",FALSE,IF(TRUNC(INDIRECT("'"&amp;A8029&amp;"'!"&amp;B8029))=INDIRECT("'"&amp;A8029&amp;"'!"&amp;B8029),FALSE,TRUE))</f>
        <v>0</v>
      </c>
      <c r="E8029" t="s">
        <v>436</v>
      </c>
      <c r="F8029" t="str">
        <f>INDEX(Lists!I:I,MATCH(Validation!E8029,Lists!G:G,0))</f>
        <v>Error</v>
      </c>
      <c r="G8029" t="str">
        <f>INDEX(Lists!H:H,MATCH(Validation!E8029,Lists!G:G,0))</f>
        <v>Amount must be rounded to the nearest dollar.</v>
      </c>
      <c r="H8029" s="16" t="str">
        <f t="shared" ca="1" si="876"/>
        <v/>
      </c>
      <c r="I8029" s="16" t="str">
        <f t="shared" ca="1" si="877"/>
        <v/>
      </c>
      <c r="J8029" s="17" t="str">
        <f t="shared" ca="1" si="878"/>
        <v/>
      </c>
    </row>
    <row r="8030" spans="1:10" x14ac:dyDescent="0.25">
      <c r="A8030" t="s">
        <v>265</v>
      </c>
      <c r="B8030" t="str">
        <f>ADDRESS(ROW(TIF_DistrictYear_SiteImprovementsCost),COLUMN(TIF_DistrictYear_SiteImprovementsCost),4)</f>
        <v>C8</v>
      </c>
      <c r="C8030" t="str">
        <f>ADDRESS(ROW(Expenditures!E$8),COLUMN(Expenditures!E$8),4)</f>
        <v>E8</v>
      </c>
      <c r="D8030" t="b" cm="1">
        <f t="array" aca="1" ref="D8030" ca="1">IF(INDIRECT("'"&amp;A8030&amp;"'!"&amp;B8030)="",FALSE,IF(NOT(ISNUMBER(INDIRECT("'"&amp;A8030&amp;"'!"&amp;B8030))),TRUE,FALSE))</f>
        <v>0</v>
      </c>
      <c r="E8030" t="s">
        <v>435</v>
      </c>
      <c r="F8030" t="str">
        <f>INDEX(Lists!I:I,MATCH(Validation!E8030,Lists!G:G,0))</f>
        <v>Error</v>
      </c>
      <c r="G8030" t="str">
        <f>INDEX(Lists!H:H,MATCH(Validation!E8030,Lists!G:G,0))</f>
        <v>Enter an amount only. Do not enter text or spaces.</v>
      </c>
      <c r="H8030" s="16" t="str">
        <f t="shared" ca="1" si="876"/>
        <v/>
      </c>
      <c r="I8030" s="16" t="str">
        <f t="shared" ca="1" si="877"/>
        <v/>
      </c>
      <c r="J8030" s="17" t="str">
        <f t="shared" ca="1" si="878"/>
        <v/>
      </c>
    </row>
    <row r="8031" spans="1:10" x14ac:dyDescent="0.25">
      <c r="A8031" t="s">
        <v>265</v>
      </c>
      <c r="B8031" t="str">
        <f>ADDRESS(ROW(TIF_DistrictYear_SiteImprovementsCost),COLUMN(TIF_DistrictYear_SiteImprovementsCost),4)</f>
        <v>C8</v>
      </c>
      <c r="C8031" t="str">
        <f>ADDRESS(ROW(Expenditures!E$8),COLUMN(Expenditures!E$8),4)</f>
        <v>E8</v>
      </c>
      <c r="D8031" t="b" cm="1">
        <f t="array" aca="1" ref="D8031" ca="1">IF(INDIRECT("'"&amp;A8031&amp;"'!"&amp;B8031)="",FALSE,IF(INDIRECT("'"&amp;A8031&amp;"'!"&amp;B8031)&lt;0,TRUE,FALSE))</f>
        <v>0</v>
      </c>
      <c r="E8031" t="s">
        <v>434</v>
      </c>
      <c r="F8031" t="str">
        <f>INDEX(Lists!I:I,MATCH(Validation!E8031,Lists!G:G,0))</f>
        <v>Error</v>
      </c>
      <c r="G8031" t="str">
        <f>INDEX(Lists!H:H,MATCH(Validation!E8031,Lists!G:G,0))</f>
        <v>Amount may not be negative. Enter an amount greater than or equal to zero.</v>
      </c>
      <c r="H8031" s="16" t="str">
        <f t="shared" ca="1" si="876"/>
        <v/>
      </c>
      <c r="I8031" s="16" t="str">
        <f t="shared" ca="1" si="877"/>
        <v/>
      </c>
      <c r="J8031" s="17" t="str">
        <f t="shared" ca="1" si="878"/>
        <v/>
      </c>
    </row>
    <row r="8032" spans="1:10" x14ac:dyDescent="0.25">
      <c r="A8032" t="s">
        <v>265</v>
      </c>
      <c r="B8032" t="str">
        <f>ADDRESS(ROW(TIF_DistrictYear_SiteImprovementsCost),COLUMN(TIF_DistrictYear_SiteImprovementsCost),4)</f>
        <v>C8</v>
      </c>
      <c r="C8032" t="str">
        <f>ADDRESS(ROW(Expenditures!E$8),COLUMN(Expenditures!E$8),4)</f>
        <v>E8</v>
      </c>
      <c r="D8032" t="b" cm="1">
        <f t="array" aca="1" ref="D8032" ca="1">IF(INDIRECT("'"&amp;A8032&amp;"'!"&amp;B8032)="",FALSE,IF(TRUNC(INDIRECT("'"&amp;A8032&amp;"'!"&amp;B8032))=INDIRECT("'"&amp;A8032&amp;"'!"&amp;B8032),FALSE,TRUE))</f>
        <v>0</v>
      </c>
      <c r="E8032" t="s">
        <v>436</v>
      </c>
      <c r="F8032" t="str">
        <f>INDEX(Lists!I:I,MATCH(Validation!E8032,Lists!G:G,0))</f>
        <v>Error</v>
      </c>
      <c r="G8032" t="str">
        <f>INDEX(Lists!H:H,MATCH(Validation!E8032,Lists!G:G,0))</f>
        <v>Amount must be rounded to the nearest dollar.</v>
      </c>
      <c r="H8032" s="16" t="str">
        <f t="shared" ca="1" si="876"/>
        <v/>
      </c>
      <c r="I8032" s="16" t="str">
        <f t="shared" ca="1" si="877"/>
        <v/>
      </c>
      <c r="J8032" s="17" t="str">
        <f t="shared" ca="1" si="878"/>
        <v/>
      </c>
    </row>
    <row r="8033" spans="1:10" x14ac:dyDescent="0.25">
      <c r="A8033" t="s">
        <v>265</v>
      </c>
      <c r="B8033" t="str">
        <f>ADDRESS(ROW(TIF_DistrictYear_UtilitiesCostPriorAdj_Entry),COLUMN(TIF_DistrictYear_UtilitiesCostPriorAdj_Entry),4)</f>
        <v>B9</v>
      </c>
      <c r="C8033" t="str">
        <f>ADDRESS(ROW(Expenditures!E$9),COLUMN(Expenditures!E$9),4)</f>
        <v>E9</v>
      </c>
      <c r="D8033" t="b" cm="1">
        <f t="array" aca="1" ref="D8033" ca="1">IF(INDIRECT("'"&amp;A8033&amp;"'!"&amp;B8033)="",FALSE,IF(NOT(ISNUMBER(INDIRECT("'"&amp;A8033&amp;"'!"&amp;B8033))),TRUE,FALSE))</f>
        <v>0</v>
      </c>
      <c r="E8033" t="s">
        <v>435</v>
      </c>
      <c r="F8033" t="str">
        <f>INDEX(Lists!I:I,MATCH(Validation!E8033,Lists!G:G,0))</f>
        <v>Error</v>
      </c>
      <c r="G8033" t="str">
        <f>INDEX(Lists!H:H,MATCH(Validation!E8033,Lists!G:G,0))</f>
        <v>Enter an amount only. Do not enter text or spaces.</v>
      </c>
      <c r="H8033" s="16" t="str">
        <f t="shared" ca="1" si="876"/>
        <v/>
      </c>
      <c r="I8033" s="16" t="str">
        <f t="shared" ca="1" si="877"/>
        <v/>
      </c>
      <c r="J8033" s="17" t="str">
        <f t="shared" ca="1" si="878"/>
        <v/>
      </c>
    </row>
    <row r="8034" spans="1:10" x14ac:dyDescent="0.25">
      <c r="A8034" t="s">
        <v>265</v>
      </c>
      <c r="B8034" t="str">
        <f>ADDRESS(ROW(TIF_DistrictYear_UtilitiesCostPriorAdj_Entry),COLUMN(TIF_DistrictYear_UtilitiesCostPriorAdj_Entry),4)</f>
        <v>B9</v>
      </c>
      <c r="C8034" t="str">
        <f>ADDRESS(ROW(Expenditures!E$9),COLUMN(Expenditures!E$9),4)</f>
        <v>E9</v>
      </c>
      <c r="D8034" t="b" cm="1">
        <f t="array" aca="1" ref="D8034" ca="1">IF(INDIRECT("'"&amp;A8034&amp;"'!"&amp;B8034)="",FALSE,IF(INDIRECT("'"&amp;A8034&amp;"'!"&amp;B8034)&lt;0,TRUE,FALSE))</f>
        <v>0</v>
      </c>
      <c r="E8034" t="s">
        <v>434</v>
      </c>
      <c r="F8034" t="str">
        <f>INDEX(Lists!I:I,MATCH(Validation!E8034,Lists!G:G,0))</f>
        <v>Error</v>
      </c>
      <c r="G8034" t="str">
        <f>INDEX(Lists!H:H,MATCH(Validation!E8034,Lists!G:G,0))</f>
        <v>Amount may not be negative. Enter an amount greater than or equal to zero.</v>
      </c>
      <c r="H8034" s="16" t="str">
        <f t="shared" ca="1" si="876"/>
        <v/>
      </c>
      <c r="I8034" s="16" t="str">
        <f t="shared" ca="1" si="877"/>
        <v/>
      </c>
      <c r="J8034" s="17" t="str">
        <f t="shared" ca="1" si="878"/>
        <v/>
      </c>
    </row>
    <row r="8035" spans="1:10" x14ac:dyDescent="0.25">
      <c r="A8035" t="s">
        <v>265</v>
      </c>
      <c r="B8035" t="str">
        <f>ADDRESS(ROW(TIF_DistrictYear_UtilitiesCostPriorAdj_Entry),COLUMN(TIF_DistrictYear_UtilitiesCostPriorAdj_Entry),4)</f>
        <v>B9</v>
      </c>
      <c r="C8035" t="str">
        <f>ADDRESS(ROW(Expenditures!E$9),COLUMN(Expenditures!E$9),4)</f>
        <v>E9</v>
      </c>
      <c r="D8035" t="b" cm="1">
        <f t="array" aca="1" ref="D8035" ca="1">IF(INDIRECT("'"&amp;A8035&amp;"'!"&amp;B8035)="",FALSE,IF(TRUNC(INDIRECT("'"&amp;A8035&amp;"'!"&amp;B8035))=INDIRECT("'"&amp;A8035&amp;"'!"&amp;B8035),FALSE,TRUE))</f>
        <v>0</v>
      </c>
      <c r="E8035" t="s">
        <v>436</v>
      </c>
      <c r="F8035" t="str">
        <f>INDEX(Lists!I:I,MATCH(Validation!E8035,Lists!G:G,0))</f>
        <v>Error</v>
      </c>
      <c r="G8035" t="str">
        <f>INDEX(Lists!H:H,MATCH(Validation!E8035,Lists!G:G,0))</f>
        <v>Amount must be rounded to the nearest dollar.</v>
      </c>
      <c r="H8035" s="16" t="str">
        <f t="shared" ca="1" si="876"/>
        <v/>
      </c>
      <c r="I8035" s="16" t="str">
        <f t="shared" ca="1" si="877"/>
        <v/>
      </c>
      <c r="J8035" s="17" t="str">
        <f t="shared" ca="1" si="878"/>
        <v/>
      </c>
    </row>
    <row r="8036" spans="1:10" x14ac:dyDescent="0.25">
      <c r="A8036" t="s">
        <v>265</v>
      </c>
      <c r="B8036" t="str">
        <f>ADDRESS(ROW(TIF_DistrictYear_UtilitiesCost),COLUMN(TIF_DistrictYear_UtilitiesCost),4)</f>
        <v>C9</v>
      </c>
      <c r="C8036" t="str">
        <f>ADDRESS(ROW(Expenditures!E$9),COLUMN(Expenditures!E$9),4)</f>
        <v>E9</v>
      </c>
      <c r="D8036" t="b" cm="1">
        <f t="array" aca="1" ref="D8036" ca="1">IF(INDIRECT("'"&amp;A8036&amp;"'!"&amp;B8036)="",FALSE,IF(NOT(ISNUMBER(INDIRECT("'"&amp;A8036&amp;"'!"&amp;B8036))),TRUE,FALSE))</f>
        <v>0</v>
      </c>
      <c r="E8036" t="s">
        <v>435</v>
      </c>
      <c r="F8036" t="str">
        <f>INDEX(Lists!I:I,MATCH(Validation!E8036,Lists!G:G,0))</f>
        <v>Error</v>
      </c>
      <c r="G8036" t="str">
        <f>INDEX(Lists!H:H,MATCH(Validation!E8036,Lists!G:G,0))</f>
        <v>Enter an amount only. Do not enter text or spaces.</v>
      </c>
      <c r="H8036" s="16" t="str">
        <f t="shared" ca="1" si="876"/>
        <v/>
      </c>
      <c r="I8036" s="16" t="str">
        <f t="shared" ca="1" si="877"/>
        <v/>
      </c>
      <c r="J8036" s="17" t="str">
        <f t="shared" ca="1" si="878"/>
        <v/>
      </c>
    </row>
    <row r="8037" spans="1:10" x14ac:dyDescent="0.25">
      <c r="A8037" t="s">
        <v>265</v>
      </c>
      <c r="B8037" t="str">
        <f>ADDRESS(ROW(TIF_DistrictYear_UtilitiesCost),COLUMN(TIF_DistrictYear_UtilitiesCost),4)</f>
        <v>C9</v>
      </c>
      <c r="C8037" t="str">
        <f>ADDRESS(ROW(Expenditures!E$9),COLUMN(Expenditures!E$9),4)</f>
        <v>E9</v>
      </c>
      <c r="D8037" t="b" cm="1">
        <f t="array" aca="1" ref="D8037" ca="1">IF(INDIRECT("'"&amp;A8037&amp;"'!"&amp;B8037)="",FALSE,IF(INDIRECT("'"&amp;A8037&amp;"'!"&amp;B8037)&lt;0,TRUE,FALSE))</f>
        <v>0</v>
      </c>
      <c r="E8037" t="s">
        <v>434</v>
      </c>
      <c r="F8037" t="str">
        <f>INDEX(Lists!I:I,MATCH(Validation!E8037,Lists!G:G,0))</f>
        <v>Error</v>
      </c>
      <c r="G8037" t="str">
        <f>INDEX(Lists!H:H,MATCH(Validation!E8037,Lists!G:G,0))</f>
        <v>Amount may not be negative. Enter an amount greater than or equal to zero.</v>
      </c>
      <c r="H8037" s="16" t="str">
        <f t="shared" ca="1" si="876"/>
        <v/>
      </c>
      <c r="I8037" s="16" t="str">
        <f t="shared" ca="1" si="877"/>
        <v/>
      </c>
      <c r="J8037" s="17" t="str">
        <f t="shared" ca="1" si="878"/>
        <v/>
      </c>
    </row>
    <row r="8038" spans="1:10" x14ac:dyDescent="0.25">
      <c r="A8038" t="s">
        <v>265</v>
      </c>
      <c r="B8038" t="str">
        <f>ADDRESS(ROW(TIF_DistrictYear_UtilitiesCost),COLUMN(TIF_DistrictYear_UtilitiesCost),4)</f>
        <v>C9</v>
      </c>
      <c r="C8038" t="str">
        <f>ADDRESS(ROW(Expenditures!E$9),COLUMN(Expenditures!E$9),4)</f>
        <v>E9</v>
      </c>
      <c r="D8038" t="b" cm="1">
        <f t="array" aca="1" ref="D8038" ca="1">IF(INDIRECT("'"&amp;A8038&amp;"'!"&amp;B8038)="",FALSE,IF(TRUNC(INDIRECT("'"&amp;A8038&amp;"'!"&amp;B8038))=INDIRECT("'"&amp;A8038&amp;"'!"&amp;B8038),FALSE,TRUE))</f>
        <v>0</v>
      </c>
      <c r="E8038" t="s">
        <v>436</v>
      </c>
      <c r="F8038" t="str">
        <f>INDEX(Lists!I:I,MATCH(Validation!E8038,Lists!G:G,0))</f>
        <v>Error</v>
      </c>
      <c r="G8038" t="str">
        <f>INDEX(Lists!H:H,MATCH(Validation!E8038,Lists!G:G,0))</f>
        <v>Amount must be rounded to the nearest dollar.</v>
      </c>
      <c r="H8038" s="16" t="str">
        <f t="shared" ca="1" si="876"/>
        <v/>
      </c>
      <c r="I8038" s="16" t="str">
        <f t="shared" ca="1" si="877"/>
        <v/>
      </c>
      <c r="J8038" s="17" t="str">
        <f t="shared" ca="1" si="878"/>
        <v/>
      </c>
    </row>
    <row r="8039" spans="1:10" x14ac:dyDescent="0.25">
      <c r="A8039" t="s">
        <v>265</v>
      </c>
      <c r="B8039" t="str">
        <f>ADDRESS(ROW(TIF_DistrictYear_AffordableHsgCostPriorAdj_Entry),COLUMN(TIF_DistrictYear_AffordableHsgCostPriorAdj_Entry),4)</f>
        <v>B10</v>
      </c>
      <c r="C8039" t="str">
        <f>ADDRESS(ROW(Expenditures!E$10),COLUMN(Expenditures!E$10),4)</f>
        <v>E10</v>
      </c>
      <c r="D8039" t="b" cm="1">
        <f t="array" aca="1" ref="D8039" ca="1">IF(INDIRECT("'"&amp;A8039&amp;"'!"&amp;B8039)="",FALSE,IF(NOT(ISNUMBER(INDIRECT("'"&amp;A8039&amp;"'!"&amp;B8039))),TRUE,FALSE))</f>
        <v>0</v>
      </c>
      <c r="E8039" t="s">
        <v>435</v>
      </c>
      <c r="F8039" t="str">
        <f>INDEX(Lists!I:I,MATCH(Validation!E8039,Lists!G:G,0))</f>
        <v>Error</v>
      </c>
      <c r="G8039" t="str">
        <f>INDEX(Lists!H:H,MATCH(Validation!E8039,Lists!G:G,0))</f>
        <v>Enter an amount only. Do not enter text or spaces.</v>
      </c>
      <c r="H8039" s="16" t="str">
        <f t="shared" ca="1" si="876"/>
        <v/>
      </c>
      <c r="I8039" s="16" t="str">
        <f t="shared" ca="1" si="877"/>
        <v/>
      </c>
      <c r="J8039" s="17" t="str">
        <f t="shared" ca="1" si="878"/>
        <v/>
      </c>
    </row>
    <row r="8040" spans="1:10" x14ac:dyDescent="0.25">
      <c r="A8040" t="s">
        <v>265</v>
      </c>
      <c r="B8040" t="str">
        <f>ADDRESS(ROW(TIF_DistrictYear_AffordableHsgCostPriorAdj_Entry),COLUMN(TIF_DistrictYear_AffordableHsgCostPriorAdj_Entry),4)</f>
        <v>B10</v>
      </c>
      <c r="C8040" t="str">
        <f>ADDRESS(ROW(Expenditures!E$10),COLUMN(Expenditures!E$10),4)</f>
        <v>E10</v>
      </c>
      <c r="D8040" t="b" cm="1">
        <f t="array" aca="1" ref="D8040" ca="1">IF(INDIRECT("'"&amp;A8040&amp;"'!"&amp;B8040)="",FALSE,IF(INDIRECT("'"&amp;A8040&amp;"'!"&amp;B8040)&lt;0,TRUE,FALSE))</f>
        <v>0</v>
      </c>
      <c r="E8040" t="s">
        <v>434</v>
      </c>
      <c r="F8040" t="str">
        <f>INDEX(Lists!I:I,MATCH(Validation!E8040,Lists!G:G,0))</f>
        <v>Error</v>
      </c>
      <c r="G8040" t="str">
        <f>INDEX(Lists!H:H,MATCH(Validation!E8040,Lists!G:G,0))</f>
        <v>Amount may not be negative. Enter an amount greater than or equal to zero.</v>
      </c>
      <c r="H8040" s="16" t="str">
        <f t="shared" ca="1" si="876"/>
        <v/>
      </c>
      <c r="I8040" s="16" t="str">
        <f t="shared" ca="1" si="877"/>
        <v/>
      </c>
      <c r="J8040" s="17" t="str">
        <f t="shared" ca="1" si="878"/>
        <v/>
      </c>
    </row>
    <row r="8041" spans="1:10" x14ac:dyDescent="0.25">
      <c r="A8041" t="s">
        <v>265</v>
      </c>
      <c r="B8041" t="str">
        <f>ADDRESS(ROW(TIF_DistrictYear_AffordableHsgCostPriorAdj_Entry),COLUMN(TIF_DistrictYear_AffordableHsgCostPriorAdj_Entry),4)</f>
        <v>B10</v>
      </c>
      <c r="C8041" t="str">
        <f>ADDRESS(ROW(Expenditures!E$10),COLUMN(Expenditures!E$10),4)</f>
        <v>E10</v>
      </c>
      <c r="D8041" t="b" cm="1">
        <f t="array" aca="1" ref="D8041" ca="1">IF(INDIRECT("'"&amp;A8041&amp;"'!"&amp;B8041)="",FALSE,IF(TRUNC(INDIRECT("'"&amp;A8041&amp;"'!"&amp;B8041))=INDIRECT("'"&amp;A8041&amp;"'!"&amp;B8041),FALSE,TRUE))</f>
        <v>0</v>
      </c>
      <c r="E8041" t="s">
        <v>436</v>
      </c>
      <c r="F8041" t="str">
        <f>INDEX(Lists!I:I,MATCH(Validation!E8041,Lists!G:G,0))</f>
        <v>Error</v>
      </c>
      <c r="G8041" t="str">
        <f>INDEX(Lists!H:H,MATCH(Validation!E8041,Lists!G:G,0))</f>
        <v>Amount must be rounded to the nearest dollar.</v>
      </c>
      <c r="H8041" s="16" t="str">
        <f t="shared" ca="1" si="876"/>
        <v/>
      </c>
      <c r="I8041" s="16" t="str">
        <f t="shared" ca="1" si="877"/>
        <v/>
      </c>
      <c r="J8041" s="17" t="str">
        <f t="shared" ca="1" si="878"/>
        <v/>
      </c>
    </row>
    <row r="8042" spans="1:10" x14ac:dyDescent="0.25">
      <c r="A8042" t="s">
        <v>265</v>
      </c>
      <c r="B8042" t="str">
        <f>ADDRESS(ROW(TIF_DistrictYear_AffordableHsgCost),COLUMN(TIF_DistrictYear_AffordableHsgCost),4)</f>
        <v>C10</v>
      </c>
      <c r="C8042" t="str">
        <f>ADDRESS(ROW(Expenditures!E$10),COLUMN(Expenditures!E$10),4)</f>
        <v>E10</v>
      </c>
      <c r="D8042" t="b" cm="1">
        <f t="array" aca="1" ref="D8042" ca="1">IF(INDIRECT("'"&amp;A8042&amp;"'!"&amp;B8042)="",FALSE,IF(NOT(ISNUMBER(INDIRECT("'"&amp;A8042&amp;"'!"&amp;B8042))),TRUE,FALSE))</f>
        <v>0</v>
      </c>
      <c r="E8042" t="s">
        <v>435</v>
      </c>
      <c r="F8042" t="str">
        <f>INDEX(Lists!I:I,MATCH(Validation!E8042,Lists!G:G,0))</f>
        <v>Error</v>
      </c>
      <c r="G8042" t="str">
        <f>INDEX(Lists!H:H,MATCH(Validation!E8042,Lists!G:G,0))</f>
        <v>Enter an amount only. Do not enter text or spaces.</v>
      </c>
      <c r="H8042" s="16" t="str">
        <f t="shared" ca="1" si="876"/>
        <v/>
      </c>
      <c r="I8042" s="16" t="str">
        <f t="shared" ca="1" si="877"/>
        <v/>
      </c>
      <c r="J8042" s="17" t="str">
        <f t="shared" ca="1" si="878"/>
        <v/>
      </c>
    </row>
    <row r="8043" spans="1:10" x14ac:dyDescent="0.25">
      <c r="A8043" t="s">
        <v>265</v>
      </c>
      <c r="B8043" t="str">
        <f>ADDRESS(ROW(TIF_DistrictYear_AffordableHsgCost),COLUMN(TIF_DistrictYear_AffordableHsgCost),4)</f>
        <v>C10</v>
      </c>
      <c r="C8043" t="str">
        <f>ADDRESS(ROW(Expenditures!E$10),COLUMN(Expenditures!E$10),4)</f>
        <v>E10</v>
      </c>
      <c r="D8043" t="b" cm="1">
        <f t="array" aca="1" ref="D8043" ca="1">IF(INDIRECT("'"&amp;A8043&amp;"'!"&amp;B8043)="",FALSE,IF(INDIRECT("'"&amp;A8043&amp;"'!"&amp;B8043)&lt;0,TRUE,FALSE))</f>
        <v>0</v>
      </c>
      <c r="E8043" t="s">
        <v>434</v>
      </c>
      <c r="F8043" t="str">
        <f>INDEX(Lists!I:I,MATCH(Validation!E8043,Lists!G:G,0))</f>
        <v>Error</v>
      </c>
      <c r="G8043" t="str">
        <f>INDEX(Lists!H:H,MATCH(Validation!E8043,Lists!G:G,0))</f>
        <v>Amount may not be negative. Enter an amount greater than or equal to zero.</v>
      </c>
      <c r="H8043" s="16" t="str">
        <f t="shared" ca="1" si="876"/>
        <v/>
      </c>
      <c r="I8043" s="16" t="str">
        <f t="shared" ca="1" si="877"/>
        <v/>
      </c>
      <c r="J8043" s="17" t="str">
        <f t="shared" ca="1" si="878"/>
        <v/>
      </c>
    </row>
    <row r="8044" spans="1:10" x14ac:dyDescent="0.25">
      <c r="A8044" t="s">
        <v>265</v>
      </c>
      <c r="B8044" t="str">
        <f>ADDRESS(ROW(TIF_DistrictYear_AffordableHsgCost),COLUMN(TIF_DistrictYear_AffordableHsgCost),4)</f>
        <v>C10</v>
      </c>
      <c r="C8044" t="str">
        <f>ADDRESS(ROW(Expenditures!E$10),COLUMN(Expenditures!E$10),4)</f>
        <v>E10</v>
      </c>
      <c r="D8044" t="b" cm="1">
        <f t="array" aca="1" ref="D8044" ca="1">IF(INDIRECT("'"&amp;A8044&amp;"'!"&amp;B8044)="",FALSE,IF(TRUNC(INDIRECT("'"&amp;A8044&amp;"'!"&amp;B8044))=INDIRECT("'"&amp;A8044&amp;"'!"&amp;B8044),FALSE,TRUE))</f>
        <v>0</v>
      </c>
      <c r="E8044" t="s">
        <v>436</v>
      </c>
      <c r="F8044" t="str">
        <f>INDEX(Lists!I:I,MATCH(Validation!E8044,Lists!G:G,0))</f>
        <v>Error</v>
      </c>
      <c r="G8044" t="str">
        <f>INDEX(Lists!H:H,MATCH(Validation!E8044,Lists!G:G,0))</f>
        <v>Amount must be rounded to the nearest dollar.</v>
      </c>
      <c r="H8044" s="16" t="str">
        <f t="shared" ca="1" si="876"/>
        <v/>
      </c>
      <c r="I8044" s="16" t="str">
        <f t="shared" ca="1" si="877"/>
        <v/>
      </c>
      <c r="J8044" s="17" t="str">
        <f t="shared" ca="1" si="878"/>
        <v/>
      </c>
    </row>
    <row r="8045" spans="1:10" x14ac:dyDescent="0.25">
      <c r="A8045" t="s">
        <v>265</v>
      </c>
      <c r="B8045" t="str">
        <f>ADDRESS(ROW(TIF_DistrictYear_OutDistrictElectedHousingPriorAdj_Entry),COLUMN(TIF_DistrictYear_OutDistrictElectedHousingPriorAdj_Entry),4)</f>
        <v>B11</v>
      </c>
      <c r="C8045" t="str">
        <f>ADDRESS(ROW(Expenditures!E$11),COLUMN(Expenditures!E$11),4)</f>
        <v>E11</v>
      </c>
      <c r="D8045" t="b" cm="1">
        <f t="array" aca="1" ref="D8045" ca="1">IF(INDIRECT("'"&amp;A8045&amp;"'!"&amp;B8045)="",FALSE,IF(NOT(ISNUMBER(INDIRECT("'"&amp;A8045&amp;"'!"&amp;B8045))),TRUE,FALSE))</f>
        <v>0</v>
      </c>
      <c r="E8045" t="s">
        <v>435</v>
      </c>
      <c r="F8045" t="str">
        <f>INDEX(Lists!I:I,MATCH(Validation!E8045,Lists!G:G,0))</f>
        <v>Error</v>
      </c>
      <c r="G8045" t="str">
        <f>INDEX(Lists!H:H,MATCH(Validation!E8045,Lists!G:G,0))</f>
        <v>Enter an amount only. Do not enter text or spaces.</v>
      </c>
      <c r="H8045" s="16" t="str">
        <f t="shared" ca="1" si="876"/>
        <v/>
      </c>
      <c r="I8045" s="16" t="str">
        <f t="shared" ca="1" si="877"/>
        <v/>
      </c>
      <c r="J8045" s="17" t="str">
        <f t="shared" ca="1" si="878"/>
        <v/>
      </c>
    </row>
    <row r="8046" spans="1:10" x14ac:dyDescent="0.25">
      <c r="A8046" t="s">
        <v>265</v>
      </c>
      <c r="B8046" t="str">
        <f>ADDRESS(ROW(TIF_DistrictYear_OutDistrictElectedHousingPriorAdj_Entry),COLUMN(TIF_DistrictYear_OutDistrictElectedHousingPriorAdj_Entry),4)</f>
        <v>B11</v>
      </c>
      <c r="C8046" t="str">
        <f>ADDRESS(ROW(Expenditures!E$11),COLUMN(Expenditures!E$11),4)</f>
        <v>E11</v>
      </c>
      <c r="D8046" t="b" cm="1">
        <f t="array" aca="1" ref="D8046" ca="1">IF(INDIRECT("'"&amp;A8046&amp;"'!"&amp;B8046)="",FALSE,IF(INDIRECT("'"&amp;A8046&amp;"'!"&amp;B8046)&lt;0,TRUE,FALSE))</f>
        <v>0</v>
      </c>
      <c r="E8046" t="s">
        <v>434</v>
      </c>
      <c r="F8046" t="str">
        <f>INDEX(Lists!I:I,MATCH(Validation!E8046,Lists!G:G,0))</f>
        <v>Error</v>
      </c>
      <c r="G8046" t="str">
        <f>INDEX(Lists!H:H,MATCH(Validation!E8046,Lists!G:G,0))</f>
        <v>Amount may not be negative. Enter an amount greater than or equal to zero.</v>
      </c>
      <c r="H8046" s="16" t="str">
        <f t="shared" ca="1" si="876"/>
        <v/>
      </c>
      <c r="I8046" s="16" t="str">
        <f t="shared" ca="1" si="877"/>
        <v/>
      </c>
      <c r="J8046" s="17" t="str">
        <f t="shared" ca="1" si="878"/>
        <v/>
      </c>
    </row>
    <row r="8047" spans="1:10" x14ac:dyDescent="0.25">
      <c r="A8047" t="s">
        <v>265</v>
      </c>
      <c r="B8047" t="str">
        <f>ADDRESS(ROW(TIF_DistrictYear_OutDistrictElectedHousingPriorAdj_Entry),COLUMN(TIF_DistrictYear_OutDistrictElectedHousingPriorAdj_Entry),4)</f>
        <v>B11</v>
      </c>
      <c r="C8047" t="str">
        <f>ADDRESS(ROW(Expenditures!E$11),COLUMN(Expenditures!E$11),4)</f>
        <v>E11</v>
      </c>
      <c r="D8047" t="b" cm="1">
        <f t="array" aca="1" ref="D8047" ca="1">IF(INDIRECT("'"&amp;A8047&amp;"'!"&amp;B8047)="",FALSE,IF(TRUNC(INDIRECT("'"&amp;A8047&amp;"'!"&amp;B8047))=INDIRECT("'"&amp;A8047&amp;"'!"&amp;B8047),FALSE,TRUE))</f>
        <v>0</v>
      </c>
      <c r="E8047" t="s">
        <v>436</v>
      </c>
      <c r="F8047" t="str">
        <f>INDEX(Lists!I:I,MATCH(Validation!E8047,Lists!G:G,0))</f>
        <v>Error</v>
      </c>
      <c r="G8047" t="str">
        <f>INDEX(Lists!H:H,MATCH(Validation!E8047,Lists!G:G,0))</f>
        <v>Amount must be rounded to the nearest dollar.</v>
      </c>
      <c r="H8047" s="16" t="str">
        <f t="shared" ca="1" si="876"/>
        <v/>
      </c>
      <c r="I8047" s="16" t="str">
        <f t="shared" ca="1" si="877"/>
        <v/>
      </c>
      <c r="J8047" s="17" t="str">
        <f t="shared" ca="1" si="878"/>
        <v/>
      </c>
    </row>
    <row r="8048" spans="1:10" x14ac:dyDescent="0.25">
      <c r="A8048" t="s">
        <v>265</v>
      </c>
      <c r="B8048" t="str">
        <f>ADDRESS(ROW(TIF_DistrictYear_OutDistrictElectedHousing),COLUMN(TIF_DistrictYear_OutDistrictElectedHousing),4)</f>
        <v>C11</v>
      </c>
      <c r="C8048" t="str">
        <f>ADDRESS(ROW(Expenditures!E$11),COLUMN(Expenditures!E$11),4)</f>
        <v>E11</v>
      </c>
      <c r="D8048" t="b" cm="1">
        <f t="array" aca="1" ref="D8048" ca="1">IF(INDIRECT("'"&amp;A8048&amp;"'!"&amp;B8048)="",FALSE,IF(NOT(ISNUMBER(INDIRECT("'"&amp;A8048&amp;"'!"&amp;B8048))),TRUE,FALSE))</f>
        <v>0</v>
      </c>
      <c r="E8048" t="s">
        <v>435</v>
      </c>
      <c r="F8048" t="str">
        <f>INDEX(Lists!I:I,MATCH(Validation!E8048,Lists!G:G,0))</f>
        <v>Error</v>
      </c>
      <c r="G8048" t="str">
        <f>INDEX(Lists!H:H,MATCH(Validation!E8048,Lists!G:G,0))</f>
        <v>Enter an amount only. Do not enter text or spaces.</v>
      </c>
      <c r="H8048" s="16" t="str">
        <f t="shared" ca="1" si="876"/>
        <v/>
      </c>
      <c r="I8048" s="16" t="str">
        <f t="shared" ca="1" si="877"/>
        <v/>
      </c>
      <c r="J8048" s="17" t="str">
        <f t="shared" ca="1" si="878"/>
        <v/>
      </c>
    </row>
    <row r="8049" spans="1:10" x14ac:dyDescent="0.25">
      <c r="A8049" t="s">
        <v>265</v>
      </c>
      <c r="B8049" t="str">
        <f>ADDRESS(ROW(TIF_DistrictYear_OutDistrictElectedHousing),COLUMN(TIF_DistrictYear_OutDistrictElectedHousing),4)</f>
        <v>C11</v>
      </c>
      <c r="C8049" t="str">
        <f>ADDRESS(ROW(Expenditures!E$11),COLUMN(Expenditures!E$11),4)</f>
        <v>E11</v>
      </c>
      <c r="D8049" t="b" cm="1">
        <f t="array" aca="1" ref="D8049" ca="1">IF(INDIRECT("'"&amp;A8049&amp;"'!"&amp;B8049)="",FALSE,IF(INDIRECT("'"&amp;A8049&amp;"'!"&amp;B8049)&lt;0,TRUE,FALSE))</f>
        <v>0</v>
      </c>
      <c r="E8049" t="s">
        <v>434</v>
      </c>
      <c r="F8049" t="str">
        <f>INDEX(Lists!I:I,MATCH(Validation!E8049,Lists!G:G,0))</f>
        <v>Error</v>
      </c>
      <c r="G8049" t="str">
        <f>INDEX(Lists!H:H,MATCH(Validation!E8049,Lists!G:G,0))</f>
        <v>Amount may not be negative. Enter an amount greater than or equal to zero.</v>
      </c>
      <c r="H8049" s="16" t="str">
        <f t="shared" ca="1" si="876"/>
        <v/>
      </c>
      <c r="I8049" s="16" t="str">
        <f t="shared" ca="1" si="877"/>
        <v/>
      </c>
      <c r="J8049" s="17" t="str">
        <f t="shared" ca="1" si="878"/>
        <v/>
      </c>
    </row>
    <row r="8050" spans="1:10" x14ac:dyDescent="0.25">
      <c r="A8050" t="s">
        <v>265</v>
      </c>
      <c r="B8050" t="str">
        <f>ADDRESS(ROW(TIF_DistrictYear_OutDistrictElectedHousing),COLUMN(TIF_DistrictYear_OutDistrictElectedHousing),4)</f>
        <v>C11</v>
      </c>
      <c r="C8050" t="str">
        <f>ADDRESS(ROW(Expenditures!E$11),COLUMN(Expenditures!E$11),4)</f>
        <v>E11</v>
      </c>
      <c r="D8050" t="b" cm="1">
        <f t="array" aca="1" ref="D8050" ca="1">IF(INDIRECT("'"&amp;A8050&amp;"'!"&amp;B8050)="",FALSE,IF(TRUNC(INDIRECT("'"&amp;A8050&amp;"'!"&amp;B8050))=INDIRECT("'"&amp;A8050&amp;"'!"&amp;B8050),FALSE,TRUE))</f>
        <v>0</v>
      </c>
      <c r="E8050" t="s">
        <v>436</v>
      </c>
      <c r="F8050" t="str">
        <f>INDEX(Lists!I:I,MATCH(Validation!E8050,Lists!G:G,0))</f>
        <v>Error</v>
      </c>
      <c r="G8050" t="str">
        <f>INDEX(Lists!H:H,MATCH(Validation!E8050,Lists!G:G,0))</f>
        <v>Amount must be rounded to the nearest dollar.</v>
      </c>
      <c r="H8050" s="16" t="str">
        <f t="shared" ca="1" si="876"/>
        <v/>
      </c>
      <c r="I8050" s="16" t="str">
        <f t="shared" ca="1" si="877"/>
        <v/>
      </c>
      <c r="J8050" s="17" t="str">
        <f t="shared" ca="1" si="878"/>
        <v/>
      </c>
    </row>
    <row r="8051" spans="1:10" x14ac:dyDescent="0.25">
      <c r="A8051" t="s">
        <v>265</v>
      </c>
      <c r="B8051" t="str">
        <f>ADDRESS(ROW(TIF_DistrictYear_OtherPublicCostPriorAdj_Entry),COLUMN(TIF_DistrictYear_OtherPublicCostPriorAdj_Entry),4)</f>
        <v>B12</v>
      </c>
      <c r="C8051" t="str">
        <f>ADDRESS(ROW(Expenditures!E$12),COLUMN(Expenditures!E$12),4)</f>
        <v>E12</v>
      </c>
      <c r="D8051" t="b" cm="1">
        <f t="array" aca="1" ref="D8051" ca="1">IF(INDIRECT("'"&amp;A8051&amp;"'!"&amp;B8051)="",FALSE,IF(NOT(ISNUMBER(INDIRECT("'"&amp;A8051&amp;"'!"&amp;B8051))),TRUE,FALSE))</f>
        <v>0</v>
      </c>
      <c r="E8051" t="s">
        <v>435</v>
      </c>
      <c r="F8051" t="str">
        <f>INDEX(Lists!I:I,MATCH(Validation!E8051,Lists!G:G,0))</f>
        <v>Error</v>
      </c>
      <c r="G8051" t="str">
        <f>INDEX(Lists!H:H,MATCH(Validation!E8051,Lists!G:G,0))</f>
        <v>Enter an amount only. Do not enter text or spaces.</v>
      </c>
      <c r="H8051" s="16" t="str">
        <f t="shared" ca="1" si="876"/>
        <v/>
      </c>
      <c r="I8051" s="16" t="str">
        <f t="shared" ca="1" si="877"/>
        <v/>
      </c>
      <c r="J8051" s="17" t="str">
        <f t="shared" ca="1" si="878"/>
        <v/>
      </c>
    </row>
    <row r="8052" spans="1:10" x14ac:dyDescent="0.25">
      <c r="A8052" t="s">
        <v>265</v>
      </c>
      <c r="B8052" t="str">
        <f>ADDRESS(ROW(TIF_DistrictYear_OtherPublicCostPriorAdj_Entry),COLUMN(TIF_DistrictYear_OtherPublicCostPriorAdj_Entry),4)</f>
        <v>B12</v>
      </c>
      <c r="C8052" t="str">
        <f>ADDRESS(ROW(Expenditures!E$12),COLUMN(Expenditures!E$12),4)</f>
        <v>E12</v>
      </c>
      <c r="D8052" t="b" cm="1">
        <f t="array" aca="1" ref="D8052" ca="1">IF(INDIRECT("'"&amp;A8052&amp;"'!"&amp;B8052)="",FALSE,IF(INDIRECT("'"&amp;A8052&amp;"'!"&amp;B8052)&lt;0,TRUE,FALSE))</f>
        <v>0</v>
      </c>
      <c r="E8052" t="s">
        <v>434</v>
      </c>
      <c r="F8052" t="str">
        <f>INDEX(Lists!I:I,MATCH(Validation!E8052,Lists!G:G,0))</f>
        <v>Error</v>
      </c>
      <c r="G8052" t="str">
        <f>INDEX(Lists!H:H,MATCH(Validation!E8052,Lists!G:G,0))</f>
        <v>Amount may not be negative. Enter an amount greater than or equal to zero.</v>
      </c>
      <c r="H8052" s="16" t="str">
        <f t="shared" ca="1" si="876"/>
        <v/>
      </c>
      <c r="I8052" s="16" t="str">
        <f t="shared" ca="1" si="877"/>
        <v/>
      </c>
      <c r="J8052" s="17" t="str">
        <f t="shared" ca="1" si="878"/>
        <v/>
      </c>
    </row>
    <row r="8053" spans="1:10" x14ac:dyDescent="0.25">
      <c r="A8053" t="s">
        <v>265</v>
      </c>
      <c r="B8053" t="str">
        <f>ADDRESS(ROW(TIF_DistrictYear_OtherPublicCostPriorAdj_Entry),COLUMN(TIF_DistrictYear_OtherPublicCostPriorAdj_Entry),4)</f>
        <v>B12</v>
      </c>
      <c r="C8053" t="str">
        <f>ADDRESS(ROW(Expenditures!E$12),COLUMN(Expenditures!E$12),4)</f>
        <v>E12</v>
      </c>
      <c r="D8053" t="b" cm="1">
        <f t="array" aca="1" ref="D8053" ca="1">IF(INDIRECT("'"&amp;A8053&amp;"'!"&amp;B8053)="",FALSE,IF(TRUNC(INDIRECT("'"&amp;A8053&amp;"'!"&amp;B8053))=INDIRECT("'"&amp;A8053&amp;"'!"&amp;B8053),FALSE,TRUE))</f>
        <v>0</v>
      </c>
      <c r="E8053" t="s">
        <v>436</v>
      </c>
      <c r="F8053" t="str">
        <f>INDEX(Lists!I:I,MATCH(Validation!E8053,Lists!G:G,0))</f>
        <v>Error</v>
      </c>
      <c r="G8053" t="str">
        <f>INDEX(Lists!H:H,MATCH(Validation!E8053,Lists!G:G,0))</f>
        <v>Amount must be rounded to the nearest dollar.</v>
      </c>
      <c r="H8053" s="16" t="str">
        <f t="shared" ca="1" si="876"/>
        <v/>
      </c>
      <c r="I8053" s="16" t="str">
        <f t="shared" ca="1" si="877"/>
        <v/>
      </c>
      <c r="J8053" s="17" t="str">
        <f t="shared" ca="1" si="878"/>
        <v/>
      </c>
    </row>
    <row r="8054" spans="1:10" x14ac:dyDescent="0.25">
      <c r="A8054" t="s">
        <v>265</v>
      </c>
      <c r="B8054" t="str">
        <f>ADDRESS(ROW(TIF_DistrictYear_OtherPublicCost),COLUMN(TIF_DistrictYear_OtherPublicCost),4)</f>
        <v>C12</v>
      </c>
      <c r="C8054" t="str">
        <f>ADDRESS(ROW(Expenditures!E$12),COLUMN(Expenditures!E$12),4)</f>
        <v>E12</v>
      </c>
      <c r="D8054" t="b" cm="1">
        <f t="array" aca="1" ref="D8054" ca="1">IF(INDIRECT("'"&amp;A8054&amp;"'!"&amp;B8054)="",FALSE,IF(NOT(ISNUMBER(INDIRECT("'"&amp;A8054&amp;"'!"&amp;B8054))),TRUE,FALSE))</f>
        <v>0</v>
      </c>
      <c r="E8054" t="s">
        <v>435</v>
      </c>
      <c r="F8054" t="str">
        <f>INDEX(Lists!I:I,MATCH(Validation!E8054,Lists!G:G,0))</f>
        <v>Error</v>
      </c>
      <c r="G8054" t="str">
        <f>INDEX(Lists!H:H,MATCH(Validation!E8054,Lists!G:G,0))</f>
        <v>Enter an amount only. Do not enter text or spaces.</v>
      </c>
      <c r="H8054" s="16" t="str">
        <f t="shared" ca="1" si="876"/>
        <v/>
      </c>
      <c r="I8054" s="16" t="str">
        <f t="shared" ca="1" si="877"/>
        <v/>
      </c>
      <c r="J8054" s="17" t="str">
        <f t="shared" ca="1" si="878"/>
        <v/>
      </c>
    </row>
    <row r="8055" spans="1:10" x14ac:dyDescent="0.25">
      <c r="A8055" t="s">
        <v>265</v>
      </c>
      <c r="B8055" t="str">
        <f>ADDRESS(ROW(TIF_DistrictYear_OtherPublicCost),COLUMN(TIF_DistrictYear_OtherPublicCost),4)</f>
        <v>C12</v>
      </c>
      <c r="C8055" t="str">
        <f>ADDRESS(ROW(Expenditures!E$12),COLUMN(Expenditures!E$12),4)</f>
        <v>E12</v>
      </c>
      <c r="D8055" t="b" cm="1">
        <f t="array" aca="1" ref="D8055" ca="1">IF(INDIRECT("'"&amp;A8055&amp;"'!"&amp;B8055)="",FALSE,IF(INDIRECT("'"&amp;A8055&amp;"'!"&amp;B8055)&lt;0,TRUE,FALSE))</f>
        <v>0</v>
      </c>
      <c r="E8055" t="s">
        <v>434</v>
      </c>
      <c r="F8055" t="str">
        <f>INDEX(Lists!I:I,MATCH(Validation!E8055,Lists!G:G,0))</f>
        <v>Error</v>
      </c>
      <c r="G8055" t="str">
        <f>INDEX(Lists!H:H,MATCH(Validation!E8055,Lists!G:G,0))</f>
        <v>Amount may not be negative. Enter an amount greater than or equal to zero.</v>
      </c>
      <c r="H8055" s="16" t="str">
        <f t="shared" ca="1" si="876"/>
        <v/>
      </c>
      <c r="I8055" s="16" t="str">
        <f t="shared" ca="1" si="877"/>
        <v/>
      </c>
      <c r="J8055" s="17" t="str">
        <f t="shared" ca="1" si="878"/>
        <v/>
      </c>
    </row>
    <row r="8056" spans="1:10" x14ac:dyDescent="0.25">
      <c r="A8056" t="s">
        <v>265</v>
      </c>
      <c r="B8056" t="str">
        <f>ADDRESS(ROW(TIF_DistrictYear_OtherPublicCost),COLUMN(TIF_DistrictYear_OtherPublicCost),4)</f>
        <v>C12</v>
      </c>
      <c r="C8056" t="str">
        <f>ADDRESS(ROW(Expenditures!E$12),COLUMN(Expenditures!E$12),4)</f>
        <v>E12</v>
      </c>
      <c r="D8056" t="b" cm="1">
        <f t="array" aca="1" ref="D8056" ca="1">IF(INDIRECT("'"&amp;A8056&amp;"'!"&amp;B8056)="",FALSE,IF(TRUNC(INDIRECT("'"&amp;A8056&amp;"'!"&amp;B8056))=INDIRECT("'"&amp;A8056&amp;"'!"&amp;B8056),FALSE,TRUE))</f>
        <v>0</v>
      </c>
      <c r="E8056" t="s">
        <v>436</v>
      </c>
      <c r="F8056" t="str">
        <f>INDEX(Lists!I:I,MATCH(Validation!E8056,Lists!G:G,0))</f>
        <v>Error</v>
      </c>
      <c r="G8056" t="str">
        <f>INDEX(Lists!H:H,MATCH(Validation!E8056,Lists!G:G,0))</f>
        <v>Amount must be rounded to the nearest dollar.</v>
      </c>
      <c r="H8056" s="16" t="str">
        <f t="shared" ca="1" si="876"/>
        <v/>
      </c>
      <c r="I8056" s="16" t="str">
        <f t="shared" ca="1" si="877"/>
        <v/>
      </c>
      <c r="J8056" s="17" t="str">
        <f t="shared" ca="1" si="878"/>
        <v/>
      </c>
    </row>
    <row r="8057" spans="1:10" x14ac:dyDescent="0.25">
      <c r="A8057" t="s">
        <v>265</v>
      </c>
      <c r="B8057" t="str">
        <f>ADDRESS(ROW(TIF_DistrictYear_AuthorityAdminCostPriorAdj_Entry),COLUMN(TIF_DistrictYear_AuthorityAdminCostPriorAdj_Entry),4)</f>
        <v>B13</v>
      </c>
      <c r="C8057" t="str">
        <f>ADDRESS(ROW(Expenditures!E$13),COLUMN(Expenditures!E$13),4)</f>
        <v>E13</v>
      </c>
      <c r="D8057" t="b" cm="1">
        <f t="array" aca="1" ref="D8057" ca="1">IF(INDIRECT("'"&amp;A8057&amp;"'!"&amp;B8057)="",FALSE,IF(NOT(ISNUMBER(INDIRECT("'"&amp;A8057&amp;"'!"&amp;B8057))),TRUE,FALSE))</f>
        <v>0</v>
      </c>
      <c r="E8057" t="s">
        <v>435</v>
      </c>
      <c r="F8057" t="str">
        <f>INDEX(Lists!I:I,MATCH(Validation!E8057,Lists!G:G,0))</f>
        <v>Error</v>
      </c>
      <c r="G8057" t="str">
        <f>INDEX(Lists!H:H,MATCH(Validation!E8057,Lists!G:G,0))</f>
        <v>Enter an amount only. Do not enter text or spaces.</v>
      </c>
      <c r="H8057" s="16" t="str">
        <f t="shared" ca="1" si="876"/>
        <v/>
      </c>
      <c r="I8057" s="16" t="str">
        <f t="shared" ca="1" si="877"/>
        <v/>
      </c>
      <c r="J8057" s="17" t="str">
        <f t="shared" ca="1" si="878"/>
        <v/>
      </c>
    </row>
    <row r="8058" spans="1:10" x14ac:dyDescent="0.25">
      <c r="A8058" t="s">
        <v>265</v>
      </c>
      <c r="B8058" t="str">
        <f>ADDRESS(ROW(TIF_DistrictYear_AuthorityAdminCostPriorAdj_Entry),COLUMN(TIF_DistrictYear_AuthorityAdminCostPriorAdj_Entry),4)</f>
        <v>B13</v>
      </c>
      <c r="C8058" t="str">
        <f>ADDRESS(ROW(Expenditures!E$13),COLUMN(Expenditures!E$13),4)</f>
        <v>E13</v>
      </c>
      <c r="D8058" t="b" cm="1">
        <f t="array" aca="1" ref="D8058" ca="1">IF(INDIRECT("'"&amp;A8058&amp;"'!"&amp;B8058)="",FALSE,IF(INDIRECT("'"&amp;A8058&amp;"'!"&amp;B8058)&lt;0,TRUE,FALSE))</f>
        <v>0</v>
      </c>
      <c r="E8058" t="s">
        <v>434</v>
      </c>
      <c r="F8058" t="str">
        <f>INDEX(Lists!I:I,MATCH(Validation!E8058,Lists!G:G,0))</f>
        <v>Error</v>
      </c>
      <c r="G8058" t="str">
        <f>INDEX(Lists!H:H,MATCH(Validation!E8058,Lists!G:G,0))</f>
        <v>Amount may not be negative. Enter an amount greater than or equal to zero.</v>
      </c>
      <c r="H8058" s="16" t="str">
        <f t="shared" ca="1" si="876"/>
        <v/>
      </c>
      <c r="I8058" s="16" t="str">
        <f t="shared" ca="1" si="877"/>
        <v/>
      </c>
      <c r="J8058" s="17" t="str">
        <f t="shared" ca="1" si="878"/>
        <v/>
      </c>
    </row>
    <row r="8059" spans="1:10" x14ac:dyDescent="0.25">
      <c r="A8059" t="s">
        <v>265</v>
      </c>
      <c r="B8059" t="str">
        <f>ADDRESS(ROW(TIF_DistrictYear_AuthorityAdminCostPriorAdj_Entry),COLUMN(TIF_DistrictYear_AuthorityAdminCostPriorAdj_Entry),4)</f>
        <v>B13</v>
      </c>
      <c r="C8059" t="str">
        <f>ADDRESS(ROW(Expenditures!E$13),COLUMN(Expenditures!E$13),4)</f>
        <v>E13</v>
      </c>
      <c r="D8059" t="b" cm="1">
        <f t="array" aca="1" ref="D8059" ca="1">IF(INDIRECT("'"&amp;A8059&amp;"'!"&amp;B8059)="",FALSE,IF(TRUNC(INDIRECT("'"&amp;A8059&amp;"'!"&amp;B8059))=INDIRECT("'"&amp;A8059&amp;"'!"&amp;B8059),FALSE,TRUE))</f>
        <v>0</v>
      </c>
      <c r="E8059" t="s">
        <v>436</v>
      </c>
      <c r="F8059" t="str">
        <f>INDEX(Lists!I:I,MATCH(Validation!E8059,Lists!G:G,0))</f>
        <v>Error</v>
      </c>
      <c r="G8059" t="str">
        <f>INDEX(Lists!H:H,MATCH(Validation!E8059,Lists!G:G,0))</f>
        <v>Amount must be rounded to the nearest dollar.</v>
      </c>
      <c r="H8059" s="16" t="str">
        <f t="shared" ca="1" si="876"/>
        <v/>
      </c>
      <c r="I8059" s="16" t="str">
        <f t="shared" ca="1" si="877"/>
        <v/>
      </c>
      <c r="J8059" s="17" t="str">
        <f t="shared" ca="1" si="878"/>
        <v/>
      </c>
    </row>
    <row r="8060" spans="1:10" x14ac:dyDescent="0.25">
      <c r="A8060" t="s">
        <v>265</v>
      </c>
      <c r="B8060" t="str">
        <f>ADDRESS(ROW(TIF_DistrictYear_AuthorityAdminCost),COLUMN(TIF_DistrictYear_AuthorityAdminCost),4)</f>
        <v>C13</v>
      </c>
      <c r="C8060" t="str">
        <f>ADDRESS(ROW(Expenditures!E$13),COLUMN(Expenditures!E$13),4)</f>
        <v>E13</v>
      </c>
      <c r="D8060" t="b" cm="1">
        <f t="array" aca="1" ref="D8060" ca="1">IF(INDIRECT("'"&amp;A8060&amp;"'!"&amp;B8060)="",FALSE,IF(NOT(ISNUMBER(INDIRECT("'"&amp;A8060&amp;"'!"&amp;B8060))),TRUE,FALSE))</f>
        <v>0</v>
      </c>
      <c r="E8060" t="s">
        <v>435</v>
      </c>
      <c r="F8060" t="str">
        <f>INDEX(Lists!I:I,MATCH(Validation!E8060,Lists!G:G,0))</f>
        <v>Error</v>
      </c>
      <c r="G8060" t="str">
        <f>INDEX(Lists!H:H,MATCH(Validation!E8060,Lists!G:G,0))</f>
        <v>Enter an amount only. Do not enter text or spaces.</v>
      </c>
      <c r="H8060" s="16" t="str">
        <f t="shared" ca="1" si="876"/>
        <v/>
      </c>
      <c r="I8060" s="16" t="str">
        <f t="shared" ca="1" si="877"/>
        <v/>
      </c>
      <c r="J8060" s="17" t="str">
        <f t="shared" ca="1" si="878"/>
        <v/>
      </c>
    </row>
    <row r="8061" spans="1:10" x14ac:dyDescent="0.25">
      <c r="A8061" t="s">
        <v>265</v>
      </c>
      <c r="B8061" t="str">
        <f>ADDRESS(ROW(TIF_DistrictYear_AuthorityAdminCost),COLUMN(TIF_DistrictYear_AuthorityAdminCost),4)</f>
        <v>C13</v>
      </c>
      <c r="C8061" t="str">
        <f>ADDRESS(ROW(Expenditures!E$13),COLUMN(Expenditures!E$13),4)</f>
        <v>E13</v>
      </c>
      <c r="D8061" t="b" cm="1">
        <f t="array" aca="1" ref="D8061" ca="1">IF(INDIRECT("'"&amp;A8061&amp;"'!"&amp;B8061)="",FALSE,IF(INDIRECT("'"&amp;A8061&amp;"'!"&amp;B8061)&lt;0,TRUE,FALSE))</f>
        <v>0</v>
      </c>
      <c r="E8061" t="s">
        <v>434</v>
      </c>
      <c r="F8061" t="str">
        <f>INDEX(Lists!I:I,MATCH(Validation!E8061,Lists!G:G,0))</f>
        <v>Error</v>
      </c>
      <c r="G8061" t="str">
        <f>INDEX(Lists!H:H,MATCH(Validation!E8061,Lists!G:G,0))</f>
        <v>Amount may not be negative. Enter an amount greater than or equal to zero.</v>
      </c>
      <c r="H8061" s="16" t="str">
        <f t="shared" ca="1" si="876"/>
        <v/>
      </c>
      <c r="I8061" s="16" t="str">
        <f t="shared" ca="1" si="877"/>
        <v/>
      </c>
      <c r="J8061" s="17" t="str">
        <f t="shared" ca="1" si="878"/>
        <v/>
      </c>
    </row>
    <row r="8062" spans="1:10" x14ac:dyDescent="0.25">
      <c r="A8062" t="s">
        <v>265</v>
      </c>
      <c r="B8062" t="str">
        <f>ADDRESS(ROW(TIF_DistrictYear_AuthorityAdminCost),COLUMN(TIF_DistrictYear_AuthorityAdminCost),4)</f>
        <v>C13</v>
      </c>
      <c r="C8062" t="str">
        <f>ADDRESS(ROW(Expenditures!E$13),COLUMN(Expenditures!E$13),4)</f>
        <v>E13</v>
      </c>
      <c r="D8062" t="b" cm="1">
        <f t="array" aca="1" ref="D8062" ca="1">IF(INDIRECT("'"&amp;A8062&amp;"'!"&amp;B8062)="",FALSE,IF(TRUNC(INDIRECT("'"&amp;A8062&amp;"'!"&amp;B8062))=INDIRECT("'"&amp;A8062&amp;"'!"&amp;B8062),FALSE,TRUE))</f>
        <v>0</v>
      </c>
      <c r="E8062" t="s">
        <v>436</v>
      </c>
      <c r="F8062" t="str">
        <f>INDEX(Lists!I:I,MATCH(Validation!E8062,Lists!G:G,0))</f>
        <v>Error</v>
      </c>
      <c r="G8062" t="str">
        <f>INDEX(Lists!H:H,MATCH(Validation!E8062,Lists!G:G,0))</f>
        <v>Amount must be rounded to the nearest dollar.</v>
      </c>
      <c r="H8062" s="16" t="str">
        <f t="shared" ca="1" si="876"/>
        <v/>
      </c>
      <c r="I8062" s="16" t="str">
        <f t="shared" ca="1" si="877"/>
        <v/>
      </c>
      <c r="J8062" s="17" t="str">
        <f t="shared" ca="1" si="878"/>
        <v/>
      </c>
    </row>
    <row r="8063" spans="1:10" x14ac:dyDescent="0.25">
      <c r="A8063" t="s">
        <v>265</v>
      </c>
      <c r="B8063" t="str">
        <f>ADDRESS(ROW(TIF_DistrictYear_CountyAdminCostPriorAdj_Entry),COLUMN(TIF_DistrictYear_CountyAdminCostPriorAdj_Entry),4)</f>
        <v>B14</v>
      </c>
      <c r="C8063" t="str">
        <f>ADDRESS(ROW(Expenditures!E$13),COLUMN(Expenditures!E$13),4)</f>
        <v>E13</v>
      </c>
      <c r="D8063" t="b" cm="1">
        <f t="array" aca="1" ref="D8063" ca="1">IF(INDIRECT("'"&amp;A8063&amp;"'!"&amp;B8063)="",FALSE,IF(NOT(ISNUMBER(INDIRECT("'"&amp;A8063&amp;"'!"&amp;B8063))),TRUE,FALSE))</f>
        <v>0</v>
      </c>
      <c r="E8063" t="s">
        <v>435</v>
      </c>
      <c r="F8063" t="str">
        <f>INDEX(Lists!I:I,MATCH(Validation!E8063,Lists!G:G,0))</f>
        <v>Error</v>
      </c>
      <c r="G8063" t="str">
        <f>INDEX(Lists!H:H,MATCH(Validation!E8063,Lists!G:G,0))</f>
        <v>Enter an amount only. Do not enter text or spaces.</v>
      </c>
      <c r="H8063" s="16" t="str">
        <f t="shared" ref="H8063:H8068" ca="1" si="879">IFERROR(IF(OR(NOT(D8063),F8063&lt;&gt;"Error"),"",A8063&amp;CELL("address",INDIRECT(B8063))),"")</f>
        <v/>
      </c>
      <c r="I8063" s="16" t="str">
        <f t="shared" ref="I8063:I8068" ca="1" si="880">IFERROR(IF(NOT(D8063),"",A8063&amp;CELL("address",INDIRECT(C8063))),"")</f>
        <v/>
      </c>
      <c r="J8063" s="17" t="str">
        <f t="shared" ref="J8063:J8068" ca="1" si="881">IFERROR(IF(NOT(D8063),"",A8063),"")</f>
        <v/>
      </c>
    </row>
    <row r="8064" spans="1:10" x14ac:dyDescent="0.25">
      <c r="A8064" t="s">
        <v>265</v>
      </c>
      <c r="B8064" t="str">
        <f>ADDRESS(ROW(TIF_DistrictYear_CountyAdminCostPriorAdj_Entry),COLUMN(TIF_DistrictYear_CountyAdminCostPriorAdj_Entry),4)</f>
        <v>B14</v>
      </c>
      <c r="C8064" t="str">
        <f>ADDRESS(ROW(Expenditures!E$13),COLUMN(Expenditures!E$13),4)</f>
        <v>E13</v>
      </c>
      <c r="D8064" t="b" cm="1">
        <f t="array" aca="1" ref="D8064" ca="1">IF(INDIRECT("'"&amp;A8064&amp;"'!"&amp;B8064)="",FALSE,IF(INDIRECT("'"&amp;A8064&amp;"'!"&amp;B8064)&lt;0,TRUE,FALSE))</f>
        <v>0</v>
      </c>
      <c r="E8064" t="s">
        <v>434</v>
      </c>
      <c r="F8064" t="str">
        <f>INDEX(Lists!I:I,MATCH(Validation!E8064,Lists!G:G,0))</f>
        <v>Error</v>
      </c>
      <c r="G8064" t="str">
        <f>INDEX(Lists!H:H,MATCH(Validation!E8064,Lists!G:G,0))</f>
        <v>Amount may not be negative. Enter an amount greater than or equal to zero.</v>
      </c>
      <c r="H8064" s="16" t="str">
        <f t="shared" ca="1" si="879"/>
        <v/>
      </c>
      <c r="I8064" s="16" t="str">
        <f t="shared" ca="1" si="880"/>
        <v/>
      </c>
      <c r="J8064" s="17" t="str">
        <f t="shared" ca="1" si="881"/>
        <v/>
      </c>
    </row>
    <row r="8065" spans="1:10" x14ac:dyDescent="0.25">
      <c r="A8065" t="s">
        <v>265</v>
      </c>
      <c r="B8065" t="str">
        <f>ADDRESS(ROW(TIF_DistrictYear_CountyAdminCostPriorAdj_Entry),COLUMN(TIF_DistrictYear_CountyAdminCostPriorAdj_Entry),4)</f>
        <v>B14</v>
      </c>
      <c r="C8065" t="str">
        <f>ADDRESS(ROW(Expenditures!E$13),COLUMN(Expenditures!E$13),4)</f>
        <v>E13</v>
      </c>
      <c r="D8065" t="b" cm="1">
        <f t="array" aca="1" ref="D8065" ca="1">IF(INDIRECT("'"&amp;A8065&amp;"'!"&amp;B8065)="",FALSE,IF(TRUNC(INDIRECT("'"&amp;A8065&amp;"'!"&amp;B8065))=INDIRECT("'"&amp;A8065&amp;"'!"&amp;B8065),FALSE,TRUE))</f>
        <v>0</v>
      </c>
      <c r="E8065" t="s">
        <v>436</v>
      </c>
      <c r="F8065" t="str">
        <f>INDEX(Lists!I:I,MATCH(Validation!E8065,Lists!G:G,0))</f>
        <v>Error</v>
      </c>
      <c r="G8065" t="str">
        <f>INDEX(Lists!H:H,MATCH(Validation!E8065,Lists!G:G,0))</f>
        <v>Amount must be rounded to the nearest dollar.</v>
      </c>
      <c r="H8065" s="16" t="str">
        <f t="shared" ca="1" si="879"/>
        <v/>
      </c>
      <c r="I8065" s="16" t="str">
        <f t="shared" ca="1" si="880"/>
        <v/>
      </c>
      <c r="J8065" s="17" t="str">
        <f t="shared" ca="1" si="881"/>
        <v/>
      </c>
    </row>
    <row r="8066" spans="1:10" x14ac:dyDescent="0.25">
      <c r="A8066" t="s">
        <v>265</v>
      </c>
      <c r="B8066" t="str">
        <f>ADDRESS(ROW(TIF_DistrictYear_CountyAdminCost),COLUMN(TIF_DistrictYear_CountyAdminCost),4)</f>
        <v>C14</v>
      </c>
      <c r="C8066" t="str">
        <f>ADDRESS(ROW(Expenditures!E$13),COLUMN(Expenditures!E$13),4)</f>
        <v>E13</v>
      </c>
      <c r="D8066" t="b" cm="1">
        <f t="array" aca="1" ref="D8066" ca="1">IF(INDIRECT("'"&amp;A8066&amp;"'!"&amp;B8066)="",FALSE,IF(NOT(ISNUMBER(INDIRECT("'"&amp;A8066&amp;"'!"&amp;B8066))),TRUE,FALSE))</f>
        <v>0</v>
      </c>
      <c r="E8066" t="s">
        <v>435</v>
      </c>
      <c r="F8066" t="str">
        <f>INDEX(Lists!I:I,MATCH(Validation!E8066,Lists!G:G,0))</f>
        <v>Error</v>
      </c>
      <c r="G8066" t="str">
        <f>INDEX(Lists!H:H,MATCH(Validation!E8066,Lists!G:G,0))</f>
        <v>Enter an amount only. Do not enter text or spaces.</v>
      </c>
      <c r="H8066" s="16" t="str">
        <f t="shared" ca="1" si="879"/>
        <v/>
      </c>
      <c r="I8066" s="16" t="str">
        <f t="shared" ca="1" si="880"/>
        <v/>
      </c>
      <c r="J8066" s="17" t="str">
        <f t="shared" ca="1" si="881"/>
        <v/>
      </c>
    </row>
    <row r="8067" spans="1:10" x14ac:dyDescent="0.25">
      <c r="A8067" t="s">
        <v>265</v>
      </c>
      <c r="B8067" t="str">
        <f>ADDRESS(ROW(TIF_DistrictYear_CountyAdminCost),COLUMN(TIF_DistrictYear_CountyAdminCost),4)</f>
        <v>C14</v>
      </c>
      <c r="C8067" t="str">
        <f>ADDRESS(ROW(Expenditures!E$13),COLUMN(Expenditures!E$13),4)</f>
        <v>E13</v>
      </c>
      <c r="D8067" t="b" cm="1">
        <f t="array" aca="1" ref="D8067" ca="1">IF(INDIRECT("'"&amp;A8067&amp;"'!"&amp;B8067)="",FALSE,IF(INDIRECT("'"&amp;A8067&amp;"'!"&amp;B8067)&lt;0,TRUE,FALSE))</f>
        <v>0</v>
      </c>
      <c r="E8067" t="s">
        <v>434</v>
      </c>
      <c r="F8067" t="str">
        <f>INDEX(Lists!I:I,MATCH(Validation!E8067,Lists!G:G,0))</f>
        <v>Error</v>
      </c>
      <c r="G8067" t="str">
        <f>INDEX(Lists!H:H,MATCH(Validation!E8067,Lists!G:G,0))</f>
        <v>Amount may not be negative. Enter an amount greater than or equal to zero.</v>
      </c>
      <c r="H8067" s="16" t="str">
        <f t="shared" ca="1" si="879"/>
        <v/>
      </c>
      <c r="I8067" s="16" t="str">
        <f t="shared" ca="1" si="880"/>
        <v/>
      </c>
      <c r="J8067" s="17" t="str">
        <f t="shared" ca="1" si="881"/>
        <v/>
      </c>
    </row>
    <row r="8068" spans="1:10" x14ac:dyDescent="0.25">
      <c r="A8068" t="s">
        <v>265</v>
      </c>
      <c r="B8068" t="str">
        <f>ADDRESS(ROW(TIF_DistrictYear_CountyAdminCost),COLUMN(TIF_DistrictYear_CountyAdminCost),4)</f>
        <v>C14</v>
      </c>
      <c r="C8068" t="str">
        <f>ADDRESS(ROW(Expenditures!E$13),COLUMN(Expenditures!E$13),4)</f>
        <v>E13</v>
      </c>
      <c r="D8068" t="b" cm="1">
        <f t="array" aca="1" ref="D8068" ca="1">IF(INDIRECT("'"&amp;A8068&amp;"'!"&amp;B8068)="",FALSE,IF(TRUNC(INDIRECT("'"&amp;A8068&amp;"'!"&amp;B8068))=INDIRECT("'"&amp;A8068&amp;"'!"&amp;B8068),FALSE,TRUE))</f>
        <v>0</v>
      </c>
      <c r="E8068" t="s">
        <v>436</v>
      </c>
      <c r="F8068" t="str">
        <f>INDEX(Lists!I:I,MATCH(Validation!E8068,Lists!G:G,0))</f>
        <v>Error</v>
      </c>
      <c r="G8068" t="str">
        <f>INDEX(Lists!H:H,MATCH(Validation!E8068,Lists!G:G,0))</f>
        <v>Amount must be rounded to the nearest dollar.</v>
      </c>
      <c r="H8068" s="16" t="str">
        <f t="shared" ca="1" si="879"/>
        <v/>
      </c>
      <c r="I8068" s="16" t="str">
        <f t="shared" ca="1" si="880"/>
        <v/>
      </c>
      <c r="J8068" s="17" t="str">
        <f t="shared" ca="1" si="881"/>
        <v/>
      </c>
    </row>
    <row r="8069" spans="1:10" x14ac:dyDescent="0.25">
      <c r="A8069" t="s">
        <v>265</v>
      </c>
      <c r="B8069" t="str">
        <f>ADDRESS(ROW(TIF_DistrictYear_JobsBillCostPriorAdj_Entry),COLUMN(TIF_DistrictYear_JobsBillCostPriorAdj_Entry),4)</f>
        <v>B15</v>
      </c>
      <c r="C8069" t="str">
        <f>ADDRESS(ROW(Expenditures!E$15),COLUMN(Expenditures!E$15),4)</f>
        <v>E15</v>
      </c>
      <c r="D8069" t="b" cm="1">
        <f t="array" aca="1" ref="D8069" ca="1">IF(INDIRECT("'"&amp;A8069&amp;"'!"&amp;B8069)="",FALSE,IF(NOT(ISNUMBER(INDIRECT("'"&amp;A8069&amp;"'!"&amp;B8069))),TRUE,FALSE))</f>
        <v>0</v>
      </c>
      <c r="E8069" t="s">
        <v>435</v>
      </c>
      <c r="F8069" t="str">
        <f>INDEX(Lists!I:I,MATCH(Validation!E8069,Lists!G:G,0))</f>
        <v>Error</v>
      </c>
      <c r="G8069" t="str">
        <f>INDEX(Lists!H:H,MATCH(Validation!E8069,Lists!G:G,0))</f>
        <v>Enter an amount only. Do not enter text or spaces.</v>
      </c>
      <c r="H8069" s="16" t="str">
        <f t="shared" ca="1" si="876"/>
        <v/>
      </c>
      <c r="I8069" s="16" t="str">
        <f t="shared" ca="1" si="877"/>
        <v/>
      </c>
      <c r="J8069" s="17" t="str">
        <f t="shared" ca="1" si="878"/>
        <v/>
      </c>
    </row>
    <row r="8070" spans="1:10" x14ac:dyDescent="0.25">
      <c r="A8070" t="s">
        <v>265</v>
      </c>
      <c r="B8070" t="str">
        <f>ADDRESS(ROW(TIF_DistrictYear_JobsBillCostPriorAdj_Entry),COLUMN(TIF_DistrictYear_JobsBillCostPriorAdj_Entry),4)</f>
        <v>B15</v>
      </c>
      <c r="C8070" t="str">
        <f>ADDRESS(ROW(Expenditures!E$15),COLUMN(Expenditures!E$15),4)</f>
        <v>E15</v>
      </c>
      <c r="D8070" t="b" cm="1">
        <f t="array" aca="1" ref="D8070" ca="1">IF(INDIRECT("'"&amp;A8070&amp;"'!"&amp;B8070)="",FALSE,IF(INDIRECT("'"&amp;A8070&amp;"'!"&amp;B8070)&lt;0,TRUE,FALSE))</f>
        <v>0</v>
      </c>
      <c r="E8070" t="s">
        <v>434</v>
      </c>
      <c r="F8070" t="str">
        <f>INDEX(Lists!I:I,MATCH(Validation!E8070,Lists!G:G,0))</f>
        <v>Error</v>
      </c>
      <c r="G8070" t="str">
        <f>INDEX(Lists!H:H,MATCH(Validation!E8070,Lists!G:G,0))</f>
        <v>Amount may not be negative. Enter an amount greater than or equal to zero.</v>
      </c>
      <c r="H8070" s="16" t="str">
        <f t="shared" ca="1" si="876"/>
        <v/>
      </c>
      <c r="I8070" s="16" t="str">
        <f t="shared" ca="1" si="877"/>
        <v/>
      </c>
      <c r="J8070" s="17" t="str">
        <f t="shared" ca="1" si="878"/>
        <v/>
      </c>
    </row>
    <row r="8071" spans="1:10" x14ac:dyDescent="0.25">
      <c r="A8071" t="s">
        <v>265</v>
      </c>
      <c r="B8071" t="str">
        <f>ADDRESS(ROW(TIF_DistrictYear_JobsBillCostPriorAdj_Entry),COLUMN(TIF_DistrictYear_JobsBillCostPriorAdj_Entry),4)</f>
        <v>B15</v>
      </c>
      <c r="C8071" t="str">
        <f>ADDRESS(ROW(Expenditures!E$15),COLUMN(Expenditures!E$15),4)</f>
        <v>E15</v>
      </c>
      <c r="D8071" t="b" cm="1">
        <f t="array" aca="1" ref="D8071" ca="1">IF(INDIRECT("'"&amp;A8071&amp;"'!"&amp;B8071)="",FALSE,IF(TRUNC(INDIRECT("'"&amp;A8071&amp;"'!"&amp;B8071))=INDIRECT("'"&amp;A8071&amp;"'!"&amp;B8071),FALSE,TRUE))</f>
        <v>0</v>
      </c>
      <c r="E8071" t="s">
        <v>436</v>
      </c>
      <c r="F8071" t="str">
        <f>INDEX(Lists!I:I,MATCH(Validation!E8071,Lists!G:G,0))</f>
        <v>Error</v>
      </c>
      <c r="G8071" t="str">
        <f>INDEX(Lists!H:H,MATCH(Validation!E8071,Lists!G:G,0))</f>
        <v>Amount must be rounded to the nearest dollar.</v>
      </c>
      <c r="H8071" s="16" t="str">
        <f t="shared" ca="1" si="876"/>
        <v/>
      </c>
      <c r="I8071" s="16" t="str">
        <f t="shared" ca="1" si="877"/>
        <v/>
      </c>
      <c r="J8071" s="17" t="str">
        <f t="shared" ca="1" si="878"/>
        <v/>
      </c>
    </row>
    <row r="8072" spans="1:10" x14ac:dyDescent="0.25">
      <c r="A8072" t="s">
        <v>265</v>
      </c>
      <c r="B8072" t="str">
        <f>ADDRESS(ROW(TIF_DistrictYear_JobsBillCost),COLUMN(TIF_DistrictYear_JobsBillCost),4)</f>
        <v>C15</v>
      </c>
      <c r="C8072" t="str">
        <f>ADDRESS(ROW(Expenditures!E$15),COLUMN(Expenditures!E$15),4)</f>
        <v>E15</v>
      </c>
      <c r="D8072" t="b" cm="1">
        <f t="array" aca="1" ref="D8072" ca="1">IF(INDIRECT("'"&amp;A8072&amp;"'!"&amp;B8072)="",FALSE,IF(NOT(ISNUMBER(INDIRECT("'"&amp;A8072&amp;"'!"&amp;B8072))),TRUE,FALSE))</f>
        <v>0</v>
      </c>
      <c r="E8072" t="s">
        <v>435</v>
      </c>
      <c r="F8072" t="str">
        <f>INDEX(Lists!I:I,MATCH(Validation!E8072,Lists!G:G,0))</f>
        <v>Error</v>
      </c>
      <c r="G8072" t="str">
        <f>INDEX(Lists!H:H,MATCH(Validation!E8072,Lists!G:G,0))</f>
        <v>Enter an amount only. Do not enter text or spaces.</v>
      </c>
      <c r="H8072" s="16" t="str">
        <f t="shared" ca="1" si="876"/>
        <v/>
      </c>
      <c r="I8072" s="16" t="str">
        <f t="shared" ca="1" si="877"/>
        <v/>
      </c>
      <c r="J8072" s="17" t="str">
        <f t="shared" ca="1" si="878"/>
        <v/>
      </c>
    </row>
    <row r="8073" spans="1:10" x14ac:dyDescent="0.25">
      <c r="A8073" t="s">
        <v>265</v>
      </c>
      <c r="B8073" t="str">
        <f>ADDRESS(ROW(TIF_DistrictYear_JobsBillCost),COLUMN(TIF_DistrictYear_JobsBillCost),4)</f>
        <v>C15</v>
      </c>
      <c r="C8073" t="str">
        <f>ADDRESS(ROW(Expenditures!E$15),COLUMN(Expenditures!E$15),4)</f>
        <v>E15</v>
      </c>
      <c r="D8073" t="b" cm="1">
        <f t="array" aca="1" ref="D8073" ca="1">IF(INDIRECT("'"&amp;A8073&amp;"'!"&amp;B8073)="",FALSE,IF(INDIRECT("'"&amp;A8073&amp;"'!"&amp;B8073)&lt;0,TRUE,FALSE))</f>
        <v>0</v>
      </c>
      <c r="E8073" t="s">
        <v>434</v>
      </c>
      <c r="F8073" t="str">
        <f>INDEX(Lists!I:I,MATCH(Validation!E8073,Lists!G:G,0))</f>
        <v>Error</v>
      </c>
      <c r="G8073" t="str">
        <f>INDEX(Lists!H:H,MATCH(Validation!E8073,Lists!G:G,0))</f>
        <v>Amount may not be negative. Enter an amount greater than or equal to zero.</v>
      </c>
      <c r="H8073" s="16" t="str">
        <f t="shared" ca="1" si="876"/>
        <v/>
      </c>
      <c r="I8073" s="16" t="str">
        <f t="shared" ca="1" si="877"/>
        <v/>
      </c>
      <c r="J8073" s="17" t="str">
        <f t="shared" ca="1" si="878"/>
        <v/>
      </c>
    </row>
    <row r="8074" spans="1:10" x14ac:dyDescent="0.25">
      <c r="A8074" t="s">
        <v>265</v>
      </c>
      <c r="B8074" t="str">
        <f>ADDRESS(ROW(TIF_DistrictYear_JobsBillCost),COLUMN(TIF_DistrictYear_JobsBillCost),4)</f>
        <v>C15</v>
      </c>
      <c r="C8074" t="str">
        <f>ADDRESS(ROW(Expenditures!E$15),COLUMN(Expenditures!E$15),4)</f>
        <v>E15</v>
      </c>
      <c r="D8074" t="b" cm="1">
        <f t="array" aca="1" ref="D8074" ca="1">IF(INDIRECT("'"&amp;A8074&amp;"'!"&amp;B8074)="",FALSE,IF(TRUNC(INDIRECT("'"&amp;A8074&amp;"'!"&amp;B8074))=INDIRECT("'"&amp;A8074&amp;"'!"&amp;B8074),FALSE,TRUE))</f>
        <v>0</v>
      </c>
      <c r="E8074" t="s">
        <v>436</v>
      </c>
      <c r="F8074" t="str">
        <f>INDEX(Lists!I:I,MATCH(Validation!E8074,Lists!G:G,0))</f>
        <v>Error</v>
      </c>
      <c r="G8074" t="str">
        <f>INDEX(Lists!H:H,MATCH(Validation!E8074,Lists!G:G,0))</f>
        <v>Amount must be rounded to the nearest dollar.</v>
      </c>
      <c r="H8074" s="16" t="str">
        <f t="shared" ca="1" si="876"/>
        <v/>
      </c>
      <c r="I8074" s="16" t="str">
        <f t="shared" ca="1" si="877"/>
        <v/>
      </c>
      <c r="J8074" s="17" t="str">
        <f t="shared" ca="1" si="878"/>
        <v/>
      </c>
    </row>
    <row r="8075" spans="1:10" x14ac:dyDescent="0.25">
      <c r="A8075" t="s">
        <v>265</v>
      </c>
      <c r="B8075" t="str">
        <f>ADDRESS(ROW(TIF_DistrictYear_TempTransferAuthorityPriorAdj_Entry),COLUMN(TIF_DistrictYear_TempTransferAuthorityPriorAdj_Entry),4)</f>
        <v>B16</v>
      </c>
      <c r="C8075" t="str">
        <f>ADDRESS(ROW(Expenditures!E$16),COLUMN(Expenditures!E$16),4)</f>
        <v>E16</v>
      </c>
      <c r="D8075" t="b" cm="1">
        <f t="array" aca="1" ref="D8075" ca="1">IF(INDIRECT("'"&amp;A8075&amp;"'!"&amp;B8075)="",FALSE,IF(NOT(ISNUMBER(INDIRECT("'"&amp;A8075&amp;"'!"&amp;B8075))),TRUE,FALSE))</f>
        <v>0</v>
      </c>
      <c r="E8075" t="s">
        <v>435</v>
      </c>
      <c r="F8075" t="str">
        <f>INDEX(Lists!I:I,MATCH(Validation!E8075,Lists!G:G,0))</f>
        <v>Error</v>
      </c>
      <c r="G8075" t="str">
        <f>INDEX(Lists!H:H,MATCH(Validation!E8075,Lists!G:G,0))</f>
        <v>Enter an amount only. Do not enter text or spaces.</v>
      </c>
      <c r="H8075" s="16" t="str">
        <f t="shared" ca="1" si="876"/>
        <v/>
      </c>
      <c r="I8075" s="16" t="str">
        <f t="shared" ca="1" si="877"/>
        <v/>
      </c>
      <c r="J8075" s="17" t="str">
        <f t="shared" ca="1" si="878"/>
        <v/>
      </c>
    </row>
    <row r="8076" spans="1:10" x14ac:dyDescent="0.25">
      <c r="A8076" t="s">
        <v>265</v>
      </c>
      <c r="B8076" t="str">
        <f>ADDRESS(ROW(TIF_DistrictYear_TempTransferAuthorityPriorAdj_Entry),COLUMN(TIF_DistrictYear_TempTransferAuthorityPriorAdj_Entry),4)</f>
        <v>B16</v>
      </c>
      <c r="C8076" t="str">
        <f>ADDRESS(ROW(Expenditures!E$16),COLUMN(Expenditures!E$16),4)</f>
        <v>E16</v>
      </c>
      <c r="D8076" t="b" cm="1">
        <f t="array" aca="1" ref="D8076" ca="1">IF(INDIRECT("'"&amp;A8076&amp;"'!"&amp;B8076)="",FALSE,IF(INDIRECT("'"&amp;A8076&amp;"'!"&amp;B8076)&lt;0,TRUE,FALSE))</f>
        <v>0</v>
      </c>
      <c r="E8076" t="s">
        <v>434</v>
      </c>
      <c r="F8076" t="str">
        <f>INDEX(Lists!I:I,MATCH(Validation!E8076,Lists!G:G,0))</f>
        <v>Error</v>
      </c>
      <c r="G8076" t="str">
        <f>INDEX(Lists!H:H,MATCH(Validation!E8076,Lists!G:G,0))</f>
        <v>Amount may not be negative. Enter an amount greater than or equal to zero.</v>
      </c>
      <c r="H8076" s="16" t="str">
        <f t="shared" ca="1" si="876"/>
        <v/>
      </c>
      <c r="I8076" s="16" t="str">
        <f t="shared" ca="1" si="877"/>
        <v/>
      </c>
      <c r="J8076" s="17" t="str">
        <f t="shared" ca="1" si="878"/>
        <v/>
      </c>
    </row>
    <row r="8077" spans="1:10" x14ac:dyDescent="0.25">
      <c r="A8077" t="s">
        <v>265</v>
      </c>
      <c r="B8077" t="str">
        <f>ADDRESS(ROW(TIF_DistrictYear_TempTransferAuthorityPriorAdj_Entry),COLUMN(TIF_DistrictYear_TempTransferAuthorityPriorAdj_Entry),4)</f>
        <v>B16</v>
      </c>
      <c r="C8077" t="str">
        <f>ADDRESS(ROW(Expenditures!E$16),COLUMN(Expenditures!E$16),4)</f>
        <v>E16</v>
      </c>
      <c r="D8077" t="b" cm="1">
        <f t="array" aca="1" ref="D8077" ca="1">IF(INDIRECT("'"&amp;A8077&amp;"'!"&amp;B8077)="",FALSE,IF(TRUNC(INDIRECT("'"&amp;A8077&amp;"'!"&amp;B8077))=INDIRECT("'"&amp;A8077&amp;"'!"&amp;B8077),FALSE,TRUE))</f>
        <v>0</v>
      </c>
      <c r="E8077" t="s">
        <v>436</v>
      </c>
      <c r="F8077" t="str">
        <f>INDEX(Lists!I:I,MATCH(Validation!E8077,Lists!G:G,0))</f>
        <v>Error</v>
      </c>
      <c r="G8077" t="str">
        <f>INDEX(Lists!H:H,MATCH(Validation!E8077,Lists!G:G,0))</f>
        <v>Amount must be rounded to the nearest dollar.</v>
      </c>
      <c r="H8077" s="16" t="str">
        <f t="shared" ca="1" si="876"/>
        <v/>
      </c>
      <c r="I8077" s="16" t="str">
        <f t="shared" ca="1" si="877"/>
        <v/>
      </c>
      <c r="J8077" s="17" t="str">
        <f t="shared" ca="1" si="878"/>
        <v/>
      </c>
    </row>
    <row r="8078" spans="1:10" x14ac:dyDescent="0.25">
      <c r="A8078" t="s">
        <v>265</v>
      </c>
      <c r="B8078" t="str">
        <f>ADDRESS(ROW(TIF_DistrictYear_TempTransferAuthority),COLUMN(TIF_DistrictYear_TempTransferAuthority),4)</f>
        <v>C16</v>
      </c>
      <c r="C8078" t="str">
        <f>ADDRESS(ROW(Expenditures!E$16),COLUMN(Expenditures!E$16),4)</f>
        <v>E16</v>
      </c>
      <c r="D8078" t="b" cm="1">
        <f t="array" aca="1" ref="D8078" ca="1">IF(INDIRECT("'"&amp;A8078&amp;"'!"&amp;B8078)="",FALSE,IF(NOT(ISNUMBER(INDIRECT("'"&amp;A8078&amp;"'!"&amp;B8078))),TRUE,FALSE))</f>
        <v>0</v>
      </c>
      <c r="E8078" t="s">
        <v>435</v>
      </c>
      <c r="F8078" t="str">
        <f>INDEX(Lists!I:I,MATCH(Validation!E8078,Lists!G:G,0))</f>
        <v>Error</v>
      </c>
      <c r="G8078" t="str">
        <f>INDEX(Lists!H:H,MATCH(Validation!E8078,Lists!G:G,0))</f>
        <v>Enter an amount only. Do not enter text or spaces.</v>
      </c>
      <c r="H8078" s="16" t="str">
        <f t="shared" ca="1" si="876"/>
        <v/>
      </c>
      <c r="I8078" s="16" t="str">
        <f t="shared" ca="1" si="877"/>
        <v/>
      </c>
      <c r="J8078" s="17" t="str">
        <f t="shared" ca="1" si="878"/>
        <v/>
      </c>
    </row>
    <row r="8079" spans="1:10" x14ac:dyDescent="0.25">
      <c r="A8079" t="s">
        <v>265</v>
      </c>
      <c r="B8079" t="str">
        <f>ADDRESS(ROW(TIF_DistrictYear_TempTransferAuthority),COLUMN(TIF_DistrictYear_TempTransferAuthority),4)</f>
        <v>C16</v>
      </c>
      <c r="C8079" t="str">
        <f>ADDRESS(ROW(Expenditures!E$16),COLUMN(Expenditures!E$16),4)</f>
        <v>E16</v>
      </c>
      <c r="D8079" t="b" cm="1">
        <f t="array" aca="1" ref="D8079" ca="1">IF(INDIRECT("'"&amp;A8079&amp;"'!"&amp;B8079)="",FALSE,IF(INDIRECT("'"&amp;A8079&amp;"'!"&amp;B8079)&lt;0,TRUE,FALSE))</f>
        <v>0</v>
      </c>
      <c r="E8079" t="s">
        <v>434</v>
      </c>
      <c r="F8079" t="str">
        <f>INDEX(Lists!I:I,MATCH(Validation!E8079,Lists!G:G,0))</f>
        <v>Error</v>
      </c>
      <c r="G8079" t="str">
        <f>INDEX(Lists!H:H,MATCH(Validation!E8079,Lists!G:G,0))</f>
        <v>Amount may not be negative. Enter an amount greater than or equal to zero.</v>
      </c>
      <c r="H8079" s="16" t="str">
        <f t="shared" ca="1" si="876"/>
        <v/>
      </c>
      <c r="I8079" s="16" t="str">
        <f t="shared" ca="1" si="877"/>
        <v/>
      </c>
      <c r="J8079" s="17" t="str">
        <f t="shared" ca="1" si="878"/>
        <v/>
      </c>
    </row>
    <row r="8080" spans="1:10" x14ac:dyDescent="0.25">
      <c r="A8080" t="s">
        <v>265</v>
      </c>
      <c r="B8080" t="str">
        <f>ADDRESS(ROW(TIF_DistrictYear_TempTransferAuthority),COLUMN(TIF_DistrictYear_TempTransferAuthority),4)</f>
        <v>C16</v>
      </c>
      <c r="C8080" t="str">
        <f>ADDRESS(ROW(Expenditures!E$16),COLUMN(Expenditures!E$16),4)</f>
        <v>E16</v>
      </c>
      <c r="D8080" t="b" cm="1">
        <f t="array" aca="1" ref="D8080" ca="1">IF(INDIRECT("'"&amp;A8080&amp;"'!"&amp;B8080)="",FALSE,IF(TRUNC(INDIRECT("'"&amp;A8080&amp;"'!"&amp;B8080))=INDIRECT("'"&amp;A8080&amp;"'!"&amp;B8080),FALSE,TRUE))</f>
        <v>0</v>
      </c>
      <c r="E8080" t="s">
        <v>436</v>
      </c>
      <c r="F8080" t="str">
        <f>INDEX(Lists!I:I,MATCH(Validation!E8080,Lists!G:G,0))</f>
        <v>Error</v>
      </c>
      <c r="G8080" t="str">
        <f>INDEX(Lists!H:H,MATCH(Validation!E8080,Lists!G:G,0))</f>
        <v>Amount must be rounded to the nearest dollar.</v>
      </c>
      <c r="H8080" s="16" t="str">
        <f t="shared" ca="1" si="876"/>
        <v/>
      </c>
      <c r="I8080" s="16" t="str">
        <f t="shared" ca="1" si="877"/>
        <v/>
      </c>
      <c r="J8080" s="17" t="str">
        <f t="shared" ca="1" si="878"/>
        <v/>
      </c>
    </row>
    <row r="8081" spans="1:10" x14ac:dyDescent="0.25">
      <c r="A8081" t="s">
        <v>265</v>
      </c>
      <c r="B8081" t="str">
        <f>ADDRESS(ROW(TIF_DistrictYear_InDistProjCostsIncPriorAdj_Entry),COLUMN(TIF_DistrictYear_InDistProjCostsIncPriorAdj_Entry),4)</f>
        <v>B18</v>
      </c>
      <c r="C8081" t="str">
        <f>ADDRESS(ROW(Expenditures!E$18),COLUMN(Expenditures!E$18),4)</f>
        <v>E18</v>
      </c>
      <c r="D8081" t="b" cm="1">
        <f t="array" aca="1" ref="D8081" ca="1">IF(INDIRECT("'"&amp;A8081&amp;"'!"&amp;B8081)="",FALSE,IF(NOT(ISNUMBER(INDIRECT("'"&amp;A8081&amp;"'!"&amp;B8081))),TRUE,FALSE))</f>
        <v>0</v>
      </c>
      <c r="E8081" t="s">
        <v>435</v>
      </c>
      <c r="F8081" t="str">
        <f>INDEX(Lists!I:I,MATCH(Validation!E8081,Lists!G:G,0))</f>
        <v>Error</v>
      </c>
      <c r="G8081" t="str">
        <f>INDEX(Lists!H:H,MATCH(Validation!E8081,Lists!G:G,0))</f>
        <v>Enter an amount only. Do not enter text or spaces.</v>
      </c>
      <c r="H8081" s="16" t="str">
        <f t="shared" ref="H8081:H8086" ca="1" si="882">IFERROR(IF(OR(NOT(D8081),F8081&lt;&gt;"Error"),"",A8081&amp;CELL("address",INDIRECT(B8081))),"")</f>
        <v/>
      </c>
      <c r="I8081" s="16" t="str">
        <f t="shared" ref="I8081:I8086" ca="1" si="883">IFERROR(IF(NOT(D8081),"",A8081&amp;CELL("address",INDIRECT(C8081))),"")</f>
        <v/>
      </c>
      <c r="J8081" s="17" t="str">
        <f t="shared" ref="J8081:J8086" ca="1" si="884">IFERROR(IF(NOT(D8081),"",A8081),"")</f>
        <v/>
      </c>
    </row>
    <row r="8082" spans="1:10" x14ac:dyDescent="0.25">
      <c r="A8082" t="s">
        <v>265</v>
      </c>
      <c r="B8082" t="str">
        <f>ADDRESS(ROW(TIF_DistrictYear_InDistProjCostsIncPriorAdj_Entry),COLUMN(TIF_DistrictYear_InDistProjCostsIncPriorAdj_Entry),4)</f>
        <v>B18</v>
      </c>
      <c r="C8082" t="str">
        <f>ADDRESS(ROW(Expenditures!E$18),COLUMN(Expenditures!E$18),4)</f>
        <v>E18</v>
      </c>
      <c r="D8082" t="b" cm="1">
        <f t="array" aca="1" ref="D8082" ca="1">IF(INDIRECT("'"&amp;A8082&amp;"'!"&amp;B8082)="",FALSE,IF(INDIRECT("'"&amp;A8082&amp;"'!"&amp;B8082)&lt;0,TRUE,FALSE))</f>
        <v>0</v>
      </c>
      <c r="E8082" t="s">
        <v>434</v>
      </c>
      <c r="F8082" t="str">
        <f>INDEX(Lists!I:I,MATCH(Validation!E8082,Lists!G:G,0))</f>
        <v>Error</v>
      </c>
      <c r="G8082" t="str">
        <f>INDEX(Lists!H:H,MATCH(Validation!E8082,Lists!G:G,0))</f>
        <v>Amount may not be negative. Enter an amount greater than or equal to zero.</v>
      </c>
      <c r="H8082" s="16" t="str">
        <f t="shared" ca="1" si="882"/>
        <v/>
      </c>
      <c r="I8082" s="16" t="str">
        <f t="shared" ca="1" si="883"/>
        <v/>
      </c>
      <c r="J8082" s="17" t="str">
        <f t="shared" ca="1" si="884"/>
        <v/>
      </c>
    </row>
    <row r="8083" spans="1:10" x14ac:dyDescent="0.25">
      <c r="A8083" t="s">
        <v>265</v>
      </c>
      <c r="B8083" t="str">
        <f>ADDRESS(ROW(TIF_DistrictYear_InDistProjCostsIncPriorAdj_Entry),COLUMN(TIF_DistrictYear_InDistProjCostsIncPriorAdj_Entry),4)</f>
        <v>B18</v>
      </c>
      <c r="C8083" t="str">
        <f>ADDRESS(ROW(Expenditures!E$18),COLUMN(Expenditures!E$18),4)</f>
        <v>E18</v>
      </c>
      <c r="D8083" t="b" cm="1">
        <f t="array" aca="1" ref="D8083" ca="1">IF(INDIRECT("'"&amp;A8083&amp;"'!"&amp;B8083)="",FALSE,IF(TRUNC(INDIRECT("'"&amp;A8083&amp;"'!"&amp;B8083))=INDIRECT("'"&amp;A8083&amp;"'!"&amp;B8083),FALSE,TRUE))</f>
        <v>0</v>
      </c>
      <c r="E8083" t="s">
        <v>436</v>
      </c>
      <c r="F8083" t="str">
        <f>INDEX(Lists!I:I,MATCH(Validation!E8083,Lists!G:G,0))</f>
        <v>Error</v>
      </c>
      <c r="G8083" t="str">
        <f>INDEX(Lists!H:H,MATCH(Validation!E8083,Lists!G:G,0))</f>
        <v>Amount must be rounded to the nearest dollar.</v>
      </c>
      <c r="H8083" s="16" t="str">
        <f t="shared" ca="1" si="882"/>
        <v/>
      </c>
      <c r="I8083" s="16" t="str">
        <f t="shared" ca="1" si="883"/>
        <v/>
      </c>
      <c r="J8083" s="17" t="str">
        <f t="shared" ca="1" si="884"/>
        <v/>
      </c>
    </row>
    <row r="8084" spans="1:10" x14ac:dyDescent="0.25">
      <c r="A8084" t="s">
        <v>265</v>
      </c>
      <c r="B8084" t="str">
        <f>ADDRESS(ROW(TIF_DistrictYear_InDistProjCostsInc),COLUMN(TIF_DistrictYear_InDistProjCostsInc),4)</f>
        <v>C18</v>
      </c>
      <c r="C8084" t="str">
        <f>ADDRESS(ROW(Expenditures!E$18),COLUMN(Expenditures!E$18),4)</f>
        <v>E18</v>
      </c>
      <c r="D8084" t="b" cm="1">
        <f t="array" aca="1" ref="D8084" ca="1">IF(INDIRECT("'"&amp;A8084&amp;"'!"&amp;B8084)="",FALSE,IF(NOT(ISNUMBER(INDIRECT("'"&amp;A8084&amp;"'!"&amp;B8084))),TRUE,FALSE))</f>
        <v>0</v>
      </c>
      <c r="E8084" t="s">
        <v>435</v>
      </c>
      <c r="F8084" t="str">
        <f>INDEX(Lists!I:I,MATCH(Validation!E8084,Lists!G:G,0))</f>
        <v>Error</v>
      </c>
      <c r="G8084" t="str">
        <f>INDEX(Lists!H:H,MATCH(Validation!E8084,Lists!G:G,0))</f>
        <v>Enter an amount only. Do not enter text or spaces.</v>
      </c>
      <c r="H8084" s="16" t="str">
        <f t="shared" ca="1" si="882"/>
        <v/>
      </c>
      <c r="I8084" s="16" t="str">
        <f t="shared" ca="1" si="883"/>
        <v/>
      </c>
      <c r="J8084" s="17" t="str">
        <f t="shared" ca="1" si="884"/>
        <v/>
      </c>
    </row>
    <row r="8085" spans="1:10" x14ac:dyDescent="0.25">
      <c r="A8085" t="s">
        <v>265</v>
      </c>
      <c r="B8085" t="str">
        <f>ADDRESS(ROW(TIF_DistrictYear_InDistProjCostsInc),COLUMN(TIF_DistrictYear_InDistProjCostsInc),4)</f>
        <v>C18</v>
      </c>
      <c r="C8085" t="str">
        <f>ADDRESS(ROW(Expenditures!E$18),COLUMN(Expenditures!E$18),4)</f>
        <v>E18</v>
      </c>
      <c r="D8085" t="b" cm="1">
        <f t="array" aca="1" ref="D8085" ca="1">IF(INDIRECT("'"&amp;A8085&amp;"'!"&amp;B8085)="",FALSE,IF(INDIRECT("'"&amp;A8085&amp;"'!"&amp;B8085)&lt;0,TRUE,FALSE))</f>
        <v>0</v>
      </c>
      <c r="E8085" t="s">
        <v>434</v>
      </c>
      <c r="F8085" t="str">
        <f>INDEX(Lists!I:I,MATCH(Validation!E8085,Lists!G:G,0))</f>
        <v>Error</v>
      </c>
      <c r="G8085" t="str">
        <f>INDEX(Lists!H:H,MATCH(Validation!E8085,Lists!G:G,0))</f>
        <v>Amount may not be negative. Enter an amount greater than or equal to zero.</v>
      </c>
      <c r="H8085" s="16" t="str">
        <f t="shared" ca="1" si="882"/>
        <v/>
      </c>
      <c r="I8085" s="16" t="str">
        <f t="shared" ca="1" si="883"/>
        <v/>
      </c>
      <c r="J8085" s="17" t="str">
        <f t="shared" ca="1" si="884"/>
        <v/>
      </c>
    </row>
    <row r="8086" spans="1:10" x14ac:dyDescent="0.25">
      <c r="A8086" t="s">
        <v>265</v>
      </c>
      <c r="B8086" t="str">
        <f>ADDRESS(ROW(TIF_DistrictYear_InDistProjCostsInc),COLUMN(TIF_DistrictYear_InDistProjCostsInc),4)</f>
        <v>C18</v>
      </c>
      <c r="C8086" t="str">
        <f>ADDRESS(ROW(Expenditures!E$18),COLUMN(Expenditures!E$18),4)</f>
        <v>E18</v>
      </c>
      <c r="D8086" t="b" cm="1">
        <f t="array" aca="1" ref="D8086" ca="1">IF(INDIRECT("'"&amp;A8086&amp;"'!"&amp;B8086)="",FALSE,IF(TRUNC(INDIRECT("'"&amp;A8086&amp;"'!"&amp;B8086))=INDIRECT("'"&amp;A8086&amp;"'!"&amp;B8086),FALSE,TRUE))</f>
        <v>0</v>
      </c>
      <c r="E8086" t="s">
        <v>436</v>
      </c>
      <c r="F8086" t="str">
        <f>INDEX(Lists!I:I,MATCH(Validation!E8086,Lists!G:G,0))</f>
        <v>Error</v>
      </c>
      <c r="G8086" t="str">
        <f>INDEX(Lists!H:H,MATCH(Validation!E8086,Lists!G:G,0))</f>
        <v>Amount must be rounded to the nearest dollar.</v>
      </c>
      <c r="H8086" s="16" t="str">
        <f t="shared" ca="1" si="882"/>
        <v/>
      </c>
      <c r="I8086" s="16" t="str">
        <f t="shared" ca="1" si="883"/>
        <v/>
      </c>
      <c r="J8086" s="17" t="str">
        <f t="shared" ca="1" si="884"/>
        <v/>
      </c>
    </row>
    <row r="8087" spans="1:10" x14ac:dyDescent="0.25">
      <c r="A8087" t="s">
        <v>265</v>
      </c>
      <c r="B8087" t="str">
        <f>ADDRESS(ROW(TIF_DistrictYear_OutDistProjCostsIncPriorAdj_Entry),COLUMN(TIF_DistrictYear_OutDistProjCostsIncPriorAdj_Entry),4)</f>
        <v>B19</v>
      </c>
      <c r="C8087" t="str">
        <f>ADDRESS(ROW(Expenditures!E$19),COLUMN(Expenditures!E$19),4)</f>
        <v>E19</v>
      </c>
      <c r="D8087" t="b" cm="1">
        <f t="array" aca="1" ref="D8087" ca="1">IF(INDIRECT("'"&amp;A8087&amp;"'!"&amp;B8087)="",FALSE,IF(NOT(ISNUMBER(INDIRECT("'"&amp;A8087&amp;"'!"&amp;B8087))),TRUE,FALSE))</f>
        <v>0</v>
      </c>
      <c r="E8087" t="s">
        <v>435</v>
      </c>
      <c r="F8087" t="str">
        <f>INDEX(Lists!I:I,MATCH(Validation!E8087,Lists!G:G,0))</f>
        <v>Error</v>
      </c>
      <c r="G8087" t="str">
        <f>INDEX(Lists!H:H,MATCH(Validation!E8087,Lists!G:G,0))</f>
        <v>Enter an amount only. Do not enter text or spaces.</v>
      </c>
      <c r="H8087" s="16" t="str">
        <f t="shared" ref="H8087:H8092" ca="1" si="885">IFERROR(IF(OR(NOT(D8087),F8087&lt;&gt;"Error"),"",A8087&amp;CELL("address",INDIRECT(B8087))),"")</f>
        <v/>
      </c>
      <c r="I8087" s="16" t="str">
        <f t="shared" ref="I8087:I8092" ca="1" si="886">IFERROR(IF(NOT(D8087),"",A8087&amp;CELL("address",INDIRECT(C8087))),"")</f>
        <v/>
      </c>
      <c r="J8087" s="17" t="str">
        <f t="shared" ref="J8087:J8092" ca="1" si="887">IFERROR(IF(NOT(D8087),"",A8087),"")</f>
        <v/>
      </c>
    </row>
    <row r="8088" spans="1:10" x14ac:dyDescent="0.25">
      <c r="A8088" t="s">
        <v>265</v>
      </c>
      <c r="B8088" t="str">
        <f>ADDRESS(ROW(TIF_DistrictYear_OutDistProjCostsIncPriorAdj_Entry),COLUMN(TIF_DistrictYear_OutDistProjCostsIncPriorAdj_Entry),4)</f>
        <v>B19</v>
      </c>
      <c r="C8088" t="str">
        <f>ADDRESS(ROW(Expenditures!E$19),COLUMN(Expenditures!E$19),4)</f>
        <v>E19</v>
      </c>
      <c r="D8088" t="b" cm="1">
        <f t="array" aca="1" ref="D8088" ca="1">IF(INDIRECT("'"&amp;A8088&amp;"'!"&amp;B8088)="",FALSE,IF(INDIRECT("'"&amp;A8088&amp;"'!"&amp;B8088)&lt;0,TRUE,FALSE))</f>
        <v>0</v>
      </c>
      <c r="E8088" t="s">
        <v>434</v>
      </c>
      <c r="F8088" t="str">
        <f>INDEX(Lists!I:I,MATCH(Validation!E8088,Lists!G:G,0))</f>
        <v>Error</v>
      </c>
      <c r="G8088" t="str">
        <f>INDEX(Lists!H:H,MATCH(Validation!E8088,Lists!G:G,0))</f>
        <v>Amount may not be negative. Enter an amount greater than or equal to zero.</v>
      </c>
      <c r="H8088" s="16" t="str">
        <f t="shared" ca="1" si="885"/>
        <v/>
      </c>
      <c r="I8088" s="16" t="str">
        <f t="shared" ca="1" si="886"/>
        <v/>
      </c>
      <c r="J8088" s="17" t="str">
        <f t="shared" ca="1" si="887"/>
        <v/>
      </c>
    </row>
    <row r="8089" spans="1:10" x14ac:dyDescent="0.25">
      <c r="A8089" t="s">
        <v>265</v>
      </c>
      <c r="B8089" t="str">
        <f>ADDRESS(ROW(TIF_DistrictYear_OutDistProjCostsIncPriorAdj_Entry),COLUMN(TIF_DistrictYear_OutDistProjCostsIncPriorAdj_Entry),4)</f>
        <v>B19</v>
      </c>
      <c r="C8089" t="str">
        <f>ADDRESS(ROW(Expenditures!E$19),COLUMN(Expenditures!E$19),4)</f>
        <v>E19</v>
      </c>
      <c r="D8089" t="b" cm="1">
        <f t="array" aca="1" ref="D8089" ca="1">IF(INDIRECT("'"&amp;A8089&amp;"'!"&amp;B8089)="",FALSE,IF(TRUNC(INDIRECT("'"&amp;A8089&amp;"'!"&amp;B8089))=INDIRECT("'"&amp;A8089&amp;"'!"&amp;B8089),FALSE,TRUE))</f>
        <v>0</v>
      </c>
      <c r="E8089" t="s">
        <v>436</v>
      </c>
      <c r="F8089" t="str">
        <f>INDEX(Lists!I:I,MATCH(Validation!E8089,Lists!G:G,0))</f>
        <v>Error</v>
      </c>
      <c r="G8089" t="str">
        <f>INDEX(Lists!H:H,MATCH(Validation!E8089,Lists!G:G,0))</f>
        <v>Amount must be rounded to the nearest dollar.</v>
      </c>
      <c r="H8089" s="16" t="str">
        <f t="shared" ca="1" si="885"/>
        <v/>
      </c>
      <c r="I8089" s="16" t="str">
        <f t="shared" ca="1" si="886"/>
        <v/>
      </c>
      <c r="J8089" s="17" t="str">
        <f t="shared" ca="1" si="887"/>
        <v/>
      </c>
    </row>
    <row r="8090" spans="1:10" x14ac:dyDescent="0.25">
      <c r="A8090" t="s">
        <v>265</v>
      </c>
      <c r="B8090" t="str">
        <f>ADDRESS(ROW(TIF_DistrictYear_OutDistProjCostsInc),COLUMN(TIF_DistrictYear_OutDistProjCostsInc),4)</f>
        <v>C19</v>
      </c>
      <c r="C8090" t="str">
        <f>ADDRESS(ROW(Expenditures!E$19),COLUMN(Expenditures!E$19),4)</f>
        <v>E19</v>
      </c>
      <c r="D8090" t="b" cm="1">
        <f t="array" aca="1" ref="D8090" ca="1">IF(INDIRECT("'"&amp;A8090&amp;"'!"&amp;B8090)="",FALSE,IF(NOT(ISNUMBER(INDIRECT("'"&amp;A8090&amp;"'!"&amp;B8090))),TRUE,FALSE))</f>
        <v>0</v>
      </c>
      <c r="E8090" t="s">
        <v>435</v>
      </c>
      <c r="F8090" t="str">
        <f>INDEX(Lists!I:I,MATCH(Validation!E8090,Lists!G:G,0))</f>
        <v>Error</v>
      </c>
      <c r="G8090" t="str">
        <f>INDEX(Lists!H:H,MATCH(Validation!E8090,Lists!G:G,0))</f>
        <v>Enter an amount only. Do not enter text or spaces.</v>
      </c>
      <c r="H8090" s="16" t="str">
        <f t="shared" ca="1" si="885"/>
        <v/>
      </c>
      <c r="I8090" s="16" t="str">
        <f t="shared" ca="1" si="886"/>
        <v/>
      </c>
      <c r="J8090" s="17" t="str">
        <f t="shared" ca="1" si="887"/>
        <v/>
      </c>
    </row>
    <row r="8091" spans="1:10" x14ac:dyDescent="0.25">
      <c r="A8091" t="s">
        <v>265</v>
      </c>
      <c r="B8091" t="str">
        <f>ADDRESS(ROW(TIF_DistrictYear_OutDistProjCostsInc),COLUMN(TIF_DistrictYear_OutDistProjCostsInc),4)</f>
        <v>C19</v>
      </c>
      <c r="C8091" t="str">
        <f>ADDRESS(ROW(Expenditures!E$19),COLUMN(Expenditures!E$19),4)</f>
        <v>E19</v>
      </c>
      <c r="D8091" t="b" cm="1">
        <f t="array" aca="1" ref="D8091" ca="1">IF(INDIRECT("'"&amp;A8091&amp;"'!"&amp;B8091)="",FALSE,IF(INDIRECT("'"&amp;A8091&amp;"'!"&amp;B8091)&lt;0,TRUE,FALSE))</f>
        <v>0</v>
      </c>
      <c r="E8091" t="s">
        <v>434</v>
      </c>
      <c r="F8091" t="str">
        <f>INDEX(Lists!I:I,MATCH(Validation!E8091,Lists!G:G,0))</f>
        <v>Error</v>
      </c>
      <c r="G8091" t="str">
        <f>INDEX(Lists!H:H,MATCH(Validation!E8091,Lists!G:G,0))</f>
        <v>Amount may not be negative. Enter an amount greater than or equal to zero.</v>
      </c>
      <c r="H8091" s="16" t="str">
        <f t="shared" ca="1" si="885"/>
        <v/>
      </c>
      <c r="I8091" s="16" t="str">
        <f t="shared" ca="1" si="886"/>
        <v/>
      </c>
      <c r="J8091" s="17" t="str">
        <f t="shared" ca="1" si="887"/>
        <v/>
      </c>
    </row>
    <row r="8092" spans="1:10" x14ac:dyDescent="0.25">
      <c r="A8092" t="s">
        <v>265</v>
      </c>
      <c r="B8092" t="str">
        <f>ADDRESS(ROW(TIF_DistrictYear_OutDistProjCostsInc),COLUMN(TIF_DistrictYear_OutDistProjCostsInc),4)</f>
        <v>C19</v>
      </c>
      <c r="C8092" t="str">
        <f>ADDRESS(ROW(Expenditures!E$19),COLUMN(Expenditures!E$19),4)</f>
        <v>E19</v>
      </c>
      <c r="D8092" t="b" cm="1">
        <f t="array" aca="1" ref="D8092" ca="1">IF(INDIRECT("'"&amp;A8092&amp;"'!"&amp;B8092)="",FALSE,IF(TRUNC(INDIRECT("'"&amp;A8092&amp;"'!"&amp;B8092))=INDIRECT("'"&amp;A8092&amp;"'!"&amp;B8092),FALSE,TRUE))</f>
        <v>0</v>
      </c>
      <c r="E8092" t="s">
        <v>436</v>
      </c>
      <c r="F8092" t="str">
        <f>INDEX(Lists!I:I,MATCH(Validation!E8092,Lists!G:G,0))</f>
        <v>Error</v>
      </c>
      <c r="G8092" t="str">
        <f>INDEX(Lists!H:H,MATCH(Validation!E8092,Lists!G:G,0))</f>
        <v>Amount must be rounded to the nearest dollar.</v>
      </c>
      <c r="H8092" s="16" t="str">
        <f t="shared" ca="1" si="885"/>
        <v/>
      </c>
      <c r="I8092" s="16" t="str">
        <f t="shared" ca="1" si="886"/>
        <v/>
      </c>
      <c r="J8092" s="17" t="str">
        <f t="shared" ca="1" si="887"/>
        <v/>
      </c>
    </row>
    <row r="8093" spans="1:10" x14ac:dyDescent="0.25">
      <c r="A8093" t="s">
        <v>265</v>
      </c>
      <c r="B8093" t="str">
        <f>ADDRESS(ROW(TIF_DistrictYear_AuthorityAdminOperCostPriorAdj_Entry),COLUMN(TIF_DistrictYear_AuthorityAdminOperCostPriorAdj_Entry),4)</f>
        <v>B21</v>
      </c>
      <c r="C8093" t="str">
        <f>ADDRESS(ROW(Expenditures!E$21),COLUMN(Expenditures!E$21),4)</f>
        <v>E21</v>
      </c>
      <c r="D8093" t="b" cm="1">
        <f t="array" aca="1" ref="D8093" ca="1">IF(INDIRECT("'"&amp;A8093&amp;"'!"&amp;B8093)="",FALSE,IF(NOT(ISNUMBER(INDIRECT("'"&amp;A8093&amp;"'!"&amp;B8093))),TRUE,FALSE))</f>
        <v>0</v>
      </c>
      <c r="E8093" t="s">
        <v>435</v>
      </c>
      <c r="F8093" t="str">
        <f>INDEX(Lists!I:I,MATCH(Validation!E8093,Lists!G:G,0))</f>
        <v>Error</v>
      </c>
      <c r="G8093" t="str">
        <f>INDEX(Lists!H:H,MATCH(Validation!E8093,Lists!G:G,0))</f>
        <v>Enter an amount only. Do not enter text or spaces.</v>
      </c>
      <c r="H8093" s="16" t="str">
        <f t="shared" ref="H8093:H8099" ca="1" si="888">IFERROR(IF(OR(NOT(D8093),F8093&lt;&gt;"Error"),"",A8093&amp;CELL("address",INDIRECT(B8093))),"")</f>
        <v/>
      </c>
      <c r="I8093" s="16" t="str">
        <f t="shared" ref="I8093:I8099" ca="1" si="889">IFERROR(IF(NOT(D8093),"",A8093&amp;CELL("address",INDIRECT(C8093))),"")</f>
        <v/>
      </c>
      <c r="J8093" s="17" t="str">
        <f t="shared" ref="J8093:J8099" ca="1" si="890">IFERROR(IF(NOT(D8093),"",A8093),"")</f>
        <v/>
      </c>
    </row>
    <row r="8094" spans="1:10" x14ac:dyDescent="0.25">
      <c r="A8094" t="s">
        <v>265</v>
      </c>
      <c r="B8094" t="str">
        <f>ADDRESS(ROW(TIF_DistrictYear_AuthorityAdminOperCostPriorAdj_Entry),COLUMN(TIF_DistrictYear_AuthorityAdminOperCostPriorAdj_Entry),4)</f>
        <v>B21</v>
      </c>
      <c r="C8094" t="str">
        <f>ADDRESS(ROW(Expenditures!E$21),COLUMN(Expenditures!E$21),4)</f>
        <v>E21</v>
      </c>
      <c r="D8094" t="b" cm="1">
        <f t="array" aca="1" ref="D8094" ca="1">IF(INDIRECT("'"&amp;A8094&amp;"'!"&amp;B8094)="",FALSE,IF(INDIRECT("'"&amp;A8094&amp;"'!"&amp;B8094)&lt;0,TRUE,FALSE))</f>
        <v>0</v>
      </c>
      <c r="E8094" t="s">
        <v>434</v>
      </c>
      <c r="F8094" t="str">
        <f>INDEX(Lists!I:I,MATCH(Validation!E8094,Lists!G:G,0))</f>
        <v>Error</v>
      </c>
      <c r="G8094" t="str">
        <f>INDEX(Lists!H:H,MATCH(Validation!E8094,Lists!G:G,0))</f>
        <v>Amount may not be negative. Enter an amount greater than or equal to zero.</v>
      </c>
      <c r="H8094" s="16" t="str">
        <f t="shared" ca="1" si="888"/>
        <v/>
      </c>
      <c r="I8094" s="16" t="str">
        <f t="shared" ca="1" si="889"/>
        <v/>
      </c>
      <c r="J8094" s="17" t="str">
        <f t="shared" ca="1" si="890"/>
        <v/>
      </c>
    </row>
    <row r="8095" spans="1:10" x14ac:dyDescent="0.25">
      <c r="A8095" t="s">
        <v>265</v>
      </c>
      <c r="B8095" t="str">
        <f>ADDRESS(ROW(TIF_DistrictYear_AuthorityAdminOperCostPriorAdj_Entry),COLUMN(TIF_DistrictYear_AuthorityAdminOperCostPriorAdj_Entry),4)</f>
        <v>B21</v>
      </c>
      <c r="C8095" t="str">
        <f>ADDRESS(ROW(Expenditures!E$21),COLUMN(Expenditures!E$21),4)</f>
        <v>E21</v>
      </c>
      <c r="D8095" t="b" cm="1">
        <f t="array" aca="1" ref="D8095" ca="1">IF(INDIRECT("'"&amp;A8095&amp;"'!"&amp;B8095)="",FALSE,IF(TRUNC(INDIRECT("'"&amp;A8095&amp;"'!"&amp;B8095))=INDIRECT("'"&amp;A8095&amp;"'!"&amp;B8095),FALSE,TRUE))</f>
        <v>0</v>
      </c>
      <c r="E8095" t="s">
        <v>436</v>
      </c>
      <c r="F8095" t="str">
        <f>INDEX(Lists!I:I,MATCH(Validation!E8095,Lists!G:G,0))</f>
        <v>Error</v>
      </c>
      <c r="G8095" t="str">
        <f>INDEX(Lists!H:H,MATCH(Validation!E8095,Lists!G:G,0))</f>
        <v>Amount must be rounded to the nearest dollar.</v>
      </c>
      <c r="H8095" s="16" t="str">
        <f t="shared" ca="1" si="888"/>
        <v/>
      </c>
      <c r="I8095" s="16" t="str">
        <f t="shared" ca="1" si="889"/>
        <v/>
      </c>
      <c r="J8095" s="17" t="str">
        <f t="shared" ca="1" si="890"/>
        <v/>
      </c>
    </row>
    <row r="8096" spans="1:10" x14ac:dyDescent="0.25">
      <c r="A8096" t="s">
        <v>265</v>
      </c>
      <c r="B8096" t="str">
        <f>ADDRESS(ROW(TIF_DistrictYear_AuthorityAdminOperCostPriorAdj_Entry),COLUMN(TIF_DistrictYear_AuthorityAdminOperCostPriorAdj_Entry),4)</f>
        <v>B21</v>
      </c>
      <c r="C8096" t="str">
        <f>ADDRESS(ROW(Expenditures!E$21),COLUMN(Expenditures!E$21),4)</f>
        <v>E21</v>
      </c>
      <c r="D8096" t="b">
        <f>IF(TIF_DistrictYear_AuthorityAdminOperCostPriorAdj_Entry&gt;TIF_DistrictYear_AuthorityAdminCostPriorAdj_Entry,TRUE,FALSE)</f>
        <v>0</v>
      </c>
      <c r="E8096" t="s">
        <v>1486</v>
      </c>
      <c r="F8096" t="str">
        <f>INDEX(Lists!I:I,MATCH(Validation!E8096,Lists!G:G,0))</f>
        <v>Error</v>
      </c>
      <c r="G8096" t="str">
        <f>INDEX(Lists!H:H,MATCH(Validation!E8096,Lists!G:G,0))</f>
        <v xml:space="preserve">These amounts may not exceed admin costs on Row 13. </v>
      </c>
      <c r="H8096" s="16" t="str">
        <f t="shared" ca="1" si="888"/>
        <v/>
      </c>
      <c r="I8096" s="16" t="str">
        <f t="shared" ca="1" si="889"/>
        <v/>
      </c>
      <c r="J8096" s="17" t="str">
        <f t="shared" si="890"/>
        <v/>
      </c>
    </row>
    <row r="8097" spans="1:10" x14ac:dyDescent="0.25">
      <c r="A8097" t="s">
        <v>265</v>
      </c>
      <c r="B8097" t="str">
        <f>ADDRESS(ROW(TIF_DistrictYear_AuthorityAdminOperCost),COLUMN(TIF_DistrictYear_AuthorityAdminOperCost),4)</f>
        <v>C21</v>
      </c>
      <c r="C8097" t="str">
        <f>ADDRESS(ROW(Expenditures!E$21),COLUMN(Expenditures!E$21),4)</f>
        <v>E21</v>
      </c>
      <c r="D8097" t="b" cm="1">
        <f t="array" aca="1" ref="D8097" ca="1">IF(INDIRECT("'"&amp;A8097&amp;"'!"&amp;B8097)="",FALSE,IF(NOT(ISNUMBER(INDIRECT("'"&amp;A8097&amp;"'!"&amp;B8097))),TRUE,FALSE))</f>
        <v>0</v>
      </c>
      <c r="E8097" t="s">
        <v>435</v>
      </c>
      <c r="F8097" t="str">
        <f>INDEX(Lists!I:I,MATCH(Validation!E8097,Lists!G:G,0))</f>
        <v>Error</v>
      </c>
      <c r="G8097" t="str">
        <f>INDEX(Lists!H:H,MATCH(Validation!E8097,Lists!G:G,0))</f>
        <v>Enter an amount only. Do not enter text or spaces.</v>
      </c>
      <c r="H8097" s="16" t="str">
        <f t="shared" ca="1" si="888"/>
        <v/>
      </c>
      <c r="I8097" s="16" t="str">
        <f t="shared" ca="1" si="889"/>
        <v/>
      </c>
      <c r="J8097" s="17" t="str">
        <f t="shared" ca="1" si="890"/>
        <v/>
      </c>
    </row>
    <row r="8098" spans="1:10" x14ac:dyDescent="0.25">
      <c r="A8098" t="s">
        <v>265</v>
      </c>
      <c r="B8098" t="str">
        <f>ADDRESS(ROW(TIF_DistrictYear_AuthorityAdminOperCost),COLUMN(TIF_DistrictYear_AuthorityAdminOperCost),4)</f>
        <v>C21</v>
      </c>
      <c r="C8098" t="str">
        <f>ADDRESS(ROW(Expenditures!E$21),COLUMN(Expenditures!E$21),4)</f>
        <v>E21</v>
      </c>
      <c r="D8098" t="b" cm="1">
        <f t="array" aca="1" ref="D8098" ca="1">IF(INDIRECT("'"&amp;A8098&amp;"'!"&amp;B8098)="",FALSE,IF(INDIRECT("'"&amp;A8098&amp;"'!"&amp;B8098)&lt;0,TRUE,FALSE))</f>
        <v>0</v>
      </c>
      <c r="E8098" t="s">
        <v>434</v>
      </c>
      <c r="F8098" t="str">
        <f>INDEX(Lists!I:I,MATCH(Validation!E8098,Lists!G:G,0))</f>
        <v>Error</v>
      </c>
      <c r="G8098" t="str">
        <f>INDEX(Lists!H:H,MATCH(Validation!E8098,Lists!G:G,0))</f>
        <v>Amount may not be negative. Enter an amount greater than or equal to zero.</v>
      </c>
      <c r="H8098" s="16" t="str">
        <f t="shared" ca="1" si="888"/>
        <v/>
      </c>
      <c r="I8098" s="16" t="str">
        <f t="shared" ca="1" si="889"/>
        <v/>
      </c>
      <c r="J8098" s="17" t="str">
        <f t="shared" ca="1" si="890"/>
        <v/>
      </c>
    </row>
    <row r="8099" spans="1:10" x14ac:dyDescent="0.25">
      <c r="A8099" t="s">
        <v>265</v>
      </c>
      <c r="B8099" t="str">
        <f>ADDRESS(ROW(TIF_DistrictYear_AuthorityAdminOperCost),COLUMN(TIF_DistrictYear_AuthorityAdminOperCost),4)</f>
        <v>C21</v>
      </c>
      <c r="C8099" t="str">
        <f>ADDRESS(ROW(Expenditures!E$21),COLUMN(Expenditures!E$21),4)</f>
        <v>E21</v>
      </c>
      <c r="D8099" t="b" cm="1">
        <f t="array" aca="1" ref="D8099" ca="1">IF(INDIRECT("'"&amp;A8099&amp;"'!"&amp;B8099)="",FALSE,IF(TRUNC(INDIRECT("'"&amp;A8099&amp;"'!"&amp;B8099))=INDIRECT("'"&amp;A8099&amp;"'!"&amp;B8099),FALSE,TRUE))</f>
        <v>0</v>
      </c>
      <c r="E8099" t="s">
        <v>436</v>
      </c>
      <c r="F8099" t="str">
        <f>INDEX(Lists!I:I,MATCH(Validation!E8099,Lists!G:G,0))</f>
        <v>Error</v>
      </c>
      <c r="G8099" t="str">
        <f>INDEX(Lists!H:H,MATCH(Validation!E8099,Lists!G:G,0))</f>
        <v>Amount must be rounded to the nearest dollar.</v>
      </c>
      <c r="H8099" s="16" t="str">
        <f t="shared" ca="1" si="888"/>
        <v/>
      </c>
      <c r="I8099" s="16" t="str">
        <f t="shared" ca="1" si="889"/>
        <v/>
      </c>
      <c r="J8099" s="17" t="str">
        <f t="shared" ca="1" si="890"/>
        <v/>
      </c>
    </row>
    <row r="8100" spans="1:10" x14ac:dyDescent="0.25">
      <c r="A8100" t="s">
        <v>265</v>
      </c>
      <c r="B8100" t="str">
        <f>ADDRESS(ROW(TIF_DistrictYear_AuthorityAdminOperCost),COLUMN(TIF_DistrictYear_AuthorityAdminOperCost),4)</f>
        <v>C21</v>
      </c>
      <c r="C8100" t="str">
        <f>ADDRESS(ROW(Expenditures!E$21),COLUMN(Expenditures!E$21),4)</f>
        <v>E21</v>
      </c>
      <c r="D8100" t="b">
        <f>IF(TIF_DistrictYear_AuthorityAdminOperCost&gt;TIF_DistrictYear_CountyAdminCost,TRUE,FALSE)</f>
        <v>0</v>
      </c>
      <c r="E8100" t="s">
        <v>1486</v>
      </c>
      <c r="F8100" t="str">
        <f>INDEX(Lists!I:I,MATCH(Validation!E8100,Lists!G:G,0))</f>
        <v>Error</v>
      </c>
      <c r="G8100" t="str">
        <f>INDEX(Lists!H:H,MATCH(Validation!E8100,Lists!G:G,0))</f>
        <v xml:space="preserve">These amounts may not exceed admin costs on Row 13. </v>
      </c>
      <c r="H8100" s="16" t="str">
        <f t="shared" ref="H8100" ca="1" si="891">IFERROR(IF(OR(NOT(D8100),F8100&lt;&gt;"Error"),"",A8100&amp;CELL("address",INDIRECT(B8100))),"")</f>
        <v/>
      </c>
      <c r="I8100" s="16" t="str">
        <f t="shared" ref="I8100" ca="1" si="892">IFERROR(IF(NOT(D8100),"",A8100&amp;CELL("address",INDIRECT(C8100))),"")</f>
        <v/>
      </c>
      <c r="J8100" s="17" t="str">
        <f t="shared" ref="J8100" si="893">IFERROR(IF(NOT(D8100),"",A8100),"")</f>
        <v/>
      </c>
    </row>
    <row r="8101" spans="1:10" x14ac:dyDescent="0.25">
      <c r="A8101" t="s">
        <v>265</v>
      </c>
      <c r="B8101" t="str">
        <f>ADDRESS(ROW(Expenditures!D21),COLUMN(Expenditures!D21),4)</f>
        <v>D21</v>
      </c>
      <c r="C8101" t="str">
        <f>ADDRESS(ROW(Expenditures!E$21),COLUMN(Expenditures!E$21),4)</f>
        <v>E21</v>
      </c>
      <c r="D8101" t="b">
        <f>IF(Expenditures!D21&gt;Expenditures!D13,TRUE,FALSE)</f>
        <v>0</v>
      </c>
      <c r="E8101" t="s">
        <v>1486</v>
      </c>
      <c r="F8101" t="str">
        <f>INDEX(Lists!I:I,MATCH(Validation!E8101,Lists!G:G,0))</f>
        <v>Error</v>
      </c>
      <c r="G8101" t="str">
        <f>INDEX(Lists!H:H,MATCH(Validation!E8101,Lists!G:G,0))</f>
        <v xml:space="preserve">These amounts may not exceed admin costs on Row 13. </v>
      </c>
      <c r="H8101" s="16" t="str">
        <f t="shared" ref="H8101" ca="1" si="894">IFERROR(IF(OR(NOT(D8101),F8101&lt;&gt;"Error"),"",A8101&amp;CELL("address",INDIRECT(B8101))),"")</f>
        <v/>
      </c>
      <c r="I8101" s="16" t="str">
        <f t="shared" ref="I8101" ca="1" si="895">IFERROR(IF(NOT(D8101),"",A8101&amp;CELL("address",INDIRECT(C8101))),"")</f>
        <v/>
      </c>
      <c r="J8101" s="17" t="str">
        <f t="shared" ref="J8101" si="896">IFERROR(IF(NOT(D8101),"",A8101),"")</f>
        <v/>
      </c>
    </row>
    <row r="8102" spans="1:10" x14ac:dyDescent="0.25">
      <c r="A8102" t="s">
        <v>265</v>
      </c>
      <c r="B8102" t="str">
        <f>ADDRESS(ROW(TIF_DistrictYear_AuthorityAdminOperCostLeaseProceedTIPriorAdj_Entry),COLUMN(TIF_DistrictYear_AuthorityAdminOperCostLeaseProceedTIPriorAdj_Entry),4)</f>
        <v>B22</v>
      </c>
      <c r="C8102" t="str">
        <f>ADDRESS(ROW(Expenditures!E$22),COLUMN(Expenditures!E$22),4)</f>
        <v>E22</v>
      </c>
      <c r="D8102" t="b" cm="1">
        <f t="array" aca="1" ref="D8102" ca="1">IF(INDIRECT("'"&amp;A8102&amp;"'!"&amp;B8102)="",FALSE,IF(NOT(ISNUMBER(INDIRECT("'"&amp;A8102&amp;"'!"&amp;B8102))),TRUE,FALSE))</f>
        <v>0</v>
      </c>
      <c r="E8102" t="s">
        <v>435</v>
      </c>
      <c r="F8102" t="str">
        <f>INDEX(Lists!I:I,MATCH(Validation!E8102,Lists!G:G,0))</f>
        <v>Error</v>
      </c>
      <c r="G8102" t="str">
        <f>INDEX(Lists!H:H,MATCH(Validation!E8102,Lists!G:G,0))</f>
        <v>Enter an amount only. Do not enter text or spaces.</v>
      </c>
      <c r="H8102" s="16" t="str">
        <f t="shared" ref="H8102:H8109" ca="1" si="897">IFERROR(IF(OR(NOT(D8102),F8102&lt;&gt;"Error"),"",A8102&amp;CELL("address",INDIRECT(B8102))),"")</f>
        <v/>
      </c>
      <c r="I8102" s="16" t="str">
        <f t="shared" ref="I8102:I8109" ca="1" si="898">IFERROR(IF(NOT(D8102),"",A8102&amp;CELL("address",INDIRECT(C8102))),"")</f>
        <v/>
      </c>
      <c r="J8102" s="17" t="str">
        <f t="shared" ref="J8102:J8109" ca="1" si="899">IFERROR(IF(NOT(D8102),"",A8102),"")</f>
        <v/>
      </c>
    </row>
    <row r="8103" spans="1:10" x14ac:dyDescent="0.25">
      <c r="A8103" t="s">
        <v>265</v>
      </c>
      <c r="B8103" t="str">
        <f>ADDRESS(ROW(TIF_DistrictYear_AuthorityAdminOperCostLeaseProceedTIPriorAdj_Entry),COLUMN(TIF_DistrictYear_AuthorityAdminOperCostLeaseProceedTIPriorAdj_Entry),4)</f>
        <v>B22</v>
      </c>
      <c r="C8103" t="str">
        <f>ADDRESS(ROW(Expenditures!E$22),COLUMN(Expenditures!E$22),4)</f>
        <v>E22</v>
      </c>
      <c r="D8103" t="b" cm="1">
        <f t="array" aca="1" ref="D8103" ca="1">IF(INDIRECT("'"&amp;A8103&amp;"'!"&amp;B8103)="",FALSE,IF(INDIRECT("'"&amp;A8103&amp;"'!"&amp;B8103)&lt;0,TRUE,FALSE))</f>
        <v>0</v>
      </c>
      <c r="E8103" t="s">
        <v>434</v>
      </c>
      <c r="F8103" t="str">
        <f>INDEX(Lists!I:I,MATCH(Validation!E8103,Lists!G:G,0))</f>
        <v>Error</v>
      </c>
      <c r="G8103" t="str">
        <f>INDEX(Lists!H:H,MATCH(Validation!E8103,Lists!G:G,0))</f>
        <v>Amount may not be negative. Enter an amount greater than or equal to zero.</v>
      </c>
      <c r="H8103" s="16" t="str">
        <f t="shared" ca="1" si="897"/>
        <v/>
      </c>
      <c r="I8103" s="16" t="str">
        <f t="shared" ca="1" si="898"/>
        <v/>
      </c>
      <c r="J8103" s="17" t="str">
        <f t="shared" ca="1" si="899"/>
        <v/>
      </c>
    </row>
    <row r="8104" spans="1:10" x14ac:dyDescent="0.25">
      <c r="A8104" t="s">
        <v>265</v>
      </c>
      <c r="B8104" t="str">
        <f>ADDRESS(ROW(TIF_DistrictYear_AuthorityAdminOperCostLeaseProceedTIPriorAdj_Entry),COLUMN(TIF_DistrictYear_AuthorityAdminOperCostLeaseProceedTIPriorAdj_Entry),4)</f>
        <v>B22</v>
      </c>
      <c r="C8104" t="str">
        <f>ADDRESS(ROW(Expenditures!E$22),COLUMN(Expenditures!E$22),4)</f>
        <v>E22</v>
      </c>
      <c r="D8104" t="b" cm="1">
        <f t="array" aca="1" ref="D8104" ca="1">IF(INDIRECT("'"&amp;A8104&amp;"'!"&amp;B8104)="",FALSE,IF(TRUNC(INDIRECT("'"&amp;A8104&amp;"'!"&amp;B8104))=INDIRECT("'"&amp;A8104&amp;"'!"&amp;B8104),FALSE,TRUE))</f>
        <v>0</v>
      </c>
      <c r="E8104" t="s">
        <v>436</v>
      </c>
      <c r="F8104" t="str">
        <f>INDEX(Lists!I:I,MATCH(Validation!E8104,Lists!G:G,0))</f>
        <v>Error</v>
      </c>
      <c r="G8104" t="str">
        <f>INDEX(Lists!H:H,MATCH(Validation!E8104,Lists!G:G,0))</f>
        <v>Amount must be rounded to the nearest dollar.</v>
      </c>
      <c r="H8104" s="16" t="str">
        <f t="shared" ca="1" si="897"/>
        <v/>
      </c>
      <c r="I8104" s="16" t="str">
        <f t="shared" ca="1" si="898"/>
        <v/>
      </c>
      <c r="J8104" s="17" t="str">
        <f t="shared" ca="1" si="899"/>
        <v/>
      </c>
    </row>
    <row r="8105" spans="1:10" x14ac:dyDescent="0.25">
      <c r="A8105" t="s">
        <v>265</v>
      </c>
      <c r="B8105" t="str">
        <f>ADDRESS(ROW(TIF_DistrictYear_AuthorityAdminOperCostLeaseProceedTIPriorAdj_Entry),COLUMN(TIF_DistrictYear_AuthorityAdminOperCostLeaseProceedTIPriorAdj_Entry),4)</f>
        <v>B22</v>
      </c>
      <c r="C8105" t="str">
        <f>ADDRESS(ROW(Expenditures!E$22),COLUMN(Expenditures!E$22),4)</f>
        <v>E22</v>
      </c>
      <c r="D8105" t="b">
        <f>IF(TIF_DistrictYear_AuthorityAdminOperCostLeaseProceedTIPriorAdj_Entry&gt;TIF_DistrictYear_AuthorityAdminOperCostPriorAdj_Entry,TRUE,FALSE)</f>
        <v>0</v>
      </c>
      <c r="E8105" t="s">
        <v>1489</v>
      </c>
      <c r="F8105" t="str">
        <f>INDEX(Lists!I:I,MATCH(Validation!E8105,Lists!G:G,0))</f>
        <v>Error</v>
      </c>
      <c r="G8105" t="str">
        <f>INDEX(Lists!H:H,MATCH(Validation!E8105,Lists!G:G,0))</f>
        <v xml:space="preserve">These amounts may not exceed admin costs on Row 21. </v>
      </c>
      <c r="H8105" s="16" t="str">
        <f t="shared" ref="H8105" ca="1" si="900">IFERROR(IF(OR(NOT(D8105),F8105&lt;&gt;"Error"),"",A8105&amp;CELL("address",INDIRECT(B8105))),"")</f>
        <v/>
      </c>
      <c r="I8105" s="16" t="str">
        <f t="shared" ref="I8105" ca="1" si="901">IFERROR(IF(NOT(D8105),"",A8105&amp;CELL("address",INDIRECT(C8105))),"")</f>
        <v/>
      </c>
      <c r="J8105" s="17" t="str">
        <f t="shared" ref="J8105" si="902">IFERROR(IF(NOT(D8105),"",A8105),"")</f>
        <v/>
      </c>
    </row>
    <row r="8106" spans="1:10" x14ac:dyDescent="0.25">
      <c r="A8106" t="s">
        <v>265</v>
      </c>
      <c r="B8106" t="str">
        <f>ADDRESS(ROW(TIF_DistrictYear_AuthorityAdminOperCostLeaseProceedTIPriorAdj_Entry),COLUMN(TIF_DistrictYear_AuthorityAdminOperCostLeaseProceedTIPriorAdj_Entry),4)</f>
        <v>B22</v>
      </c>
      <c r="C8106" t="str">
        <f>ADDRESS(ROW(Expenditures!E$22),COLUMN(Expenditures!E$22),4)</f>
        <v>E22</v>
      </c>
      <c r="D8106" t="b">
        <f>IF(TIF_DistrictYear_AuthorityAdminOperCostLeaseProceedTIPriorAdj_Entry&gt;(TIF_DistrictYear_LeaseProceedsPriorAdj_Entry+TIF_DistrictYear_PropertySalesPriorAdj_Entry),TRUE,FALSE)</f>
        <v>0</v>
      </c>
      <c r="E8106" t="s">
        <v>1490</v>
      </c>
      <c r="F8106" t="str">
        <f>INDEX(Lists!I:I,MATCH(Validation!E8106,Lists!G:G,0))</f>
        <v>Error</v>
      </c>
      <c r="G8106" t="str">
        <f>INDEX(Lists!H:H,MATCH(Validation!E8106,Lists!G:G,0))</f>
        <v xml:space="preserve">These amounts may not exceed sale and lease proceeds on Revenues Tab Row 11 &amp; 12. </v>
      </c>
      <c r="H8106" s="16" t="str">
        <f t="shared" ref="H8106" ca="1" si="903">IFERROR(IF(OR(NOT(D8106),F8106&lt;&gt;"Error"),"",A8106&amp;CELL("address",INDIRECT(B8106))),"")</f>
        <v/>
      </c>
      <c r="I8106" s="16" t="str">
        <f t="shared" ref="I8106" ca="1" si="904">IFERROR(IF(NOT(D8106),"",A8106&amp;CELL("address",INDIRECT(C8106))),"")</f>
        <v/>
      </c>
      <c r="J8106" s="17" t="str">
        <f t="shared" ref="J8106" si="905">IFERROR(IF(NOT(D8106),"",A8106),"")</f>
        <v/>
      </c>
    </row>
    <row r="8107" spans="1:10" x14ac:dyDescent="0.25">
      <c r="A8107" t="s">
        <v>265</v>
      </c>
      <c r="B8107" t="str">
        <f>ADDRESS(ROW(TIF_DistrictYear_AuthorityAdminOperCostLeaseProceedTI),COLUMN(TIF_DistrictYear_AuthorityAdminOperCostLeaseProceedTI),4)</f>
        <v>C22</v>
      </c>
      <c r="C8107" t="str">
        <f>ADDRESS(ROW(Expenditures!E$22),COLUMN(Expenditures!E$22),4)</f>
        <v>E22</v>
      </c>
      <c r="D8107" t="b" cm="1">
        <f t="array" aca="1" ref="D8107" ca="1">IF(INDIRECT("'"&amp;A8107&amp;"'!"&amp;B8107)="",FALSE,IF(NOT(ISNUMBER(INDIRECT("'"&amp;A8107&amp;"'!"&amp;B8107))),TRUE,FALSE))</f>
        <v>0</v>
      </c>
      <c r="E8107" t="s">
        <v>435</v>
      </c>
      <c r="F8107" t="str">
        <f>INDEX(Lists!I:I,MATCH(Validation!E8107,Lists!G:G,0))</f>
        <v>Error</v>
      </c>
      <c r="G8107" t="str">
        <f>INDEX(Lists!H:H,MATCH(Validation!E8107,Lists!G:G,0))</f>
        <v>Enter an amount only. Do not enter text or spaces.</v>
      </c>
      <c r="H8107" s="16" t="str">
        <f t="shared" ca="1" si="897"/>
        <v/>
      </c>
      <c r="I8107" s="16" t="str">
        <f t="shared" ca="1" si="898"/>
        <v/>
      </c>
      <c r="J8107" s="17" t="str">
        <f t="shared" ca="1" si="899"/>
        <v/>
      </c>
    </row>
    <row r="8108" spans="1:10" x14ac:dyDescent="0.25">
      <c r="A8108" t="s">
        <v>265</v>
      </c>
      <c r="B8108" t="str">
        <f>ADDRESS(ROW(TIF_DistrictYear_AuthorityAdminOperCostLeaseProceedTI),COLUMN(TIF_DistrictYear_AuthorityAdminOperCostLeaseProceedTI),4)</f>
        <v>C22</v>
      </c>
      <c r="C8108" t="str">
        <f>ADDRESS(ROW(Expenditures!E$22),COLUMN(Expenditures!E$22),4)</f>
        <v>E22</v>
      </c>
      <c r="D8108" t="b" cm="1">
        <f t="array" aca="1" ref="D8108" ca="1">IF(INDIRECT("'"&amp;A8108&amp;"'!"&amp;B8108)="",FALSE,IF(INDIRECT("'"&amp;A8108&amp;"'!"&amp;B8108)&lt;0,TRUE,FALSE))</f>
        <v>0</v>
      </c>
      <c r="E8108" t="s">
        <v>434</v>
      </c>
      <c r="F8108" t="str">
        <f>INDEX(Lists!I:I,MATCH(Validation!E8108,Lists!G:G,0))</f>
        <v>Error</v>
      </c>
      <c r="G8108" t="str">
        <f>INDEX(Lists!H:H,MATCH(Validation!E8108,Lists!G:G,0))</f>
        <v>Amount may not be negative. Enter an amount greater than or equal to zero.</v>
      </c>
      <c r="H8108" s="16" t="str">
        <f t="shared" ca="1" si="897"/>
        <v/>
      </c>
      <c r="I8108" s="16" t="str">
        <f t="shared" ca="1" si="898"/>
        <v/>
      </c>
      <c r="J8108" s="17" t="str">
        <f t="shared" ca="1" si="899"/>
        <v/>
      </c>
    </row>
    <row r="8109" spans="1:10" x14ac:dyDescent="0.25">
      <c r="A8109" t="s">
        <v>265</v>
      </c>
      <c r="B8109" t="str">
        <f>ADDRESS(ROW(TIF_DistrictYear_AuthorityAdminOperCostLeaseProceedTI),COLUMN(TIF_DistrictYear_AuthorityAdminOperCostLeaseProceedTI),4)</f>
        <v>C22</v>
      </c>
      <c r="C8109" t="str">
        <f>ADDRESS(ROW(Expenditures!E$22),COLUMN(Expenditures!E$22),4)</f>
        <v>E22</v>
      </c>
      <c r="D8109" t="b" cm="1">
        <f t="array" aca="1" ref="D8109" ca="1">IF(INDIRECT("'"&amp;A8109&amp;"'!"&amp;B8109)="",FALSE,IF(TRUNC(INDIRECT("'"&amp;A8109&amp;"'!"&amp;B8109))=INDIRECT("'"&amp;A8109&amp;"'!"&amp;B8109),FALSE,TRUE))</f>
        <v>0</v>
      </c>
      <c r="E8109" t="s">
        <v>436</v>
      </c>
      <c r="F8109" t="str">
        <f>INDEX(Lists!I:I,MATCH(Validation!E8109,Lists!G:G,0))</f>
        <v>Error</v>
      </c>
      <c r="G8109" t="str">
        <f>INDEX(Lists!H:H,MATCH(Validation!E8109,Lists!G:G,0))</f>
        <v>Amount must be rounded to the nearest dollar.</v>
      </c>
      <c r="H8109" s="16" t="str">
        <f t="shared" ca="1" si="897"/>
        <v/>
      </c>
      <c r="I8109" s="16" t="str">
        <f t="shared" ca="1" si="898"/>
        <v/>
      </c>
      <c r="J8109" s="17" t="str">
        <f t="shared" ca="1" si="899"/>
        <v/>
      </c>
    </row>
    <row r="8110" spans="1:10" x14ac:dyDescent="0.25">
      <c r="A8110" t="s">
        <v>265</v>
      </c>
      <c r="B8110" t="str">
        <f>ADDRESS(ROW(TIF_DistrictYear_AuthorityAdminOperCostLeaseProceedTI),COLUMN(TIF_DistrictYear_AuthorityAdminOperCostLeaseProceedTI),4)</f>
        <v>C22</v>
      </c>
      <c r="C8110" t="str">
        <f>ADDRESS(ROW(Expenditures!E$22),COLUMN(Expenditures!E$22),4)</f>
        <v>E22</v>
      </c>
      <c r="D8110" t="b">
        <f>IF(TIF_DistrictYear_AuthorityAdminOperCostLeaseProceedTI&gt;TIF_DistrictYear_AuthorityAdminOperCost,TRUE,FALSE)</f>
        <v>0</v>
      </c>
      <c r="E8110" t="s">
        <v>1489</v>
      </c>
      <c r="F8110" t="str">
        <f>INDEX(Lists!I:I,MATCH(Validation!E8110,Lists!G:G,0))</f>
        <v>Error</v>
      </c>
      <c r="G8110" t="str">
        <f>INDEX(Lists!H:H,MATCH(Validation!E8110,Lists!G:G,0))</f>
        <v xml:space="preserve">These amounts may not exceed admin costs on Row 21. </v>
      </c>
      <c r="H8110" s="16" t="str">
        <f t="shared" ref="H8110:H8111" ca="1" si="906">IFERROR(IF(OR(NOT(D8110),F8110&lt;&gt;"Error"),"",A8110&amp;CELL("address",INDIRECT(B8110))),"")</f>
        <v/>
      </c>
      <c r="I8110" s="16" t="str">
        <f t="shared" ref="I8110:I8111" ca="1" si="907">IFERROR(IF(NOT(D8110),"",A8110&amp;CELL("address",INDIRECT(C8110))),"")</f>
        <v/>
      </c>
      <c r="J8110" s="17" t="str">
        <f t="shared" ref="J8110:J8111" si="908">IFERROR(IF(NOT(D8110),"",A8110),"")</f>
        <v/>
      </c>
    </row>
    <row r="8111" spans="1:10" x14ac:dyDescent="0.25">
      <c r="A8111" t="s">
        <v>265</v>
      </c>
      <c r="B8111" t="str">
        <f>ADDRESS(ROW(Expenditures!D22),COLUMN(Expenditures!D22),4)</f>
        <v>D22</v>
      </c>
      <c r="C8111" t="str">
        <f>ADDRESS(ROW(Expenditures!E$22),COLUMN(Expenditures!E$22),4)</f>
        <v>E22</v>
      </c>
      <c r="D8111" t="b">
        <f>IF(TIF_DistrictYear_AuthorityAdminOperCostLeaseProceedTIPriorAdj_Entry+TIF_DistrictYear_AuthorityAdminOperCostLeaseProceedTI&gt;(TIF_DistrictYear_LeaseProceedsPriorAdj_Entry+TIF_DistrictYear_LeaseProceedsAmt+TIF_DistrictYear_PropertySalesPriorAdj_Entry+TIF_DistrictYear_PropertySalesAmt),TRUE,FALSE)</f>
        <v>0</v>
      </c>
      <c r="E8111" t="s">
        <v>1490</v>
      </c>
      <c r="F8111" t="str">
        <f>INDEX(Lists!I:I,MATCH(Validation!E8111,Lists!G:G,0))</f>
        <v>Error</v>
      </c>
      <c r="G8111" t="str">
        <f>INDEX(Lists!H:H,MATCH(Validation!E8111,Lists!G:G,0))</f>
        <v xml:space="preserve">These amounts may not exceed sale and lease proceeds on Revenues Tab Row 11 &amp; 12. </v>
      </c>
      <c r="H8111" s="16" t="str">
        <f t="shared" ca="1" si="906"/>
        <v/>
      </c>
      <c r="I8111" s="16" t="str">
        <f t="shared" ca="1" si="907"/>
        <v/>
      </c>
      <c r="J8111" s="17" t="str">
        <f t="shared" si="908"/>
        <v/>
      </c>
    </row>
    <row r="8112" spans="1:10" x14ac:dyDescent="0.25">
      <c r="A8112" t="s">
        <v>265</v>
      </c>
      <c r="B8112" t="str">
        <f>ADDRESS(ROW(Expenditures!D22),COLUMN(Expenditures!D22),4)</f>
        <v>D22</v>
      </c>
      <c r="C8112" t="str">
        <f>ADDRESS(ROW(Expenditures!E$22),COLUMN(Expenditures!E$22),4)</f>
        <v>E22</v>
      </c>
      <c r="D8112" t="b">
        <f>IF(Expenditures!D22&gt;Expenditures!D21,TRUE,FALSE)</f>
        <v>0</v>
      </c>
      <c r="E8112" t="s">
        <v>1489</v>
      </c>
      <c r="F8112" t="str">
        <f>INDEX(Lists!I:I,MATCH(Validation!E8112,Lists!G:G,0))</f>
        <v>Error</v>
      </c>
      <c r="G8112" t="str">
        <f>INDEX(Lists!H:H,MATCH(Validation!E8112,Lists!G:G,0))</f>
        <v xml:space="preserve">These amounts may not exceed admin costs on Row 21. </v>
      </c>
      <c r="H8112" s="16" t="str">
        <f ca="1">IFERROR(IF(OR(NOT(D8112),F8112&lt;&gt;"Error"),"",A8112&amp;CELL("address",INDIRECT(B8112))),"")</f>
        <v/>
      </c>
      <c r="I8112" s="16" t="str">
        <f ca="1">IFERROR(IF(NOT(D8112),"",A8112&amp;CELL("address",INDIRECT(C8112))),"")</f>
        <v/>
      </c>
      <c r="J8112" s="17" t="str">
        <f>IFERROR(IF(NOT(D8112),"",A8112),"")</f>
        <v/>
      </c>
    </row>
    <row r="8113" spans="1:10" x14ac:dyDescent="0.25">
      <c r="A8113" t="s">
        <v>265</v>
      </c>
      <c r="B8113" t="str">
        <f>ADDRESS(ROW(TIF_DistrictYear_UserCommentsExpenditures),COLUMN(TIF_DistrictYear_UserCommentsExpenditures),4)</f>
        <v>A24</v>
      </c>
      <c r="C8113" t="str">
        <f>ADDRESS(ROW(Expenditures!E$23),COLUMN(Expenditures!E$23),4)</f>
        <v>E23</v>
      </c>
      <c r="D8113" t="b" cm="1">
        <f t="array" aca="1" ref="D8113" ca="1">IF(ISBLANK(INDIRECT("'"&amp;A8113&amp;"'!"&amp;B8113)),FALSE,IF(LEN(TRIM(CLEAN(INDIRECT("'"&amp;A8113&amp;"'!"&amp;B8113))))&lt;15,TRUE,FALSE))</f>
        <v>0</v>
      </c>
      <c r="E8113" t="s">
        <v>635</v>
      </c>
      <c r="F8113" t="str">
        <f>INDEX(Lists!I:I,MATCH(Validation!E8113,Lists!G:G,0))</f>
        <v>Error</v>
      </c>
      <c r="G8113" t="str">
        <f>INDEX(Lists!H:H,MATCH(Validation!E8113,Lists!G:G,0))</f>
        <v>Insufficient information. Please provide a longer comment.</v>
      </c>
      <c r="H8113" s="25" t="str">
        <f t="shared" ref="H8113:H8114" ca="1" si="909">IFERROR(IF(OR(NOT(D8113),F8113&lt;&gt;"Error"),"",A8113&amp;CELL("address",INDIRECT(B8113))),"")</f>
        <v/>
      </c>
      <c r="I8113" s="25" t="str">
        <f t="shared" ref="I8113:I8114" ca="1" si="910">IFERROR(IF(NOT(D8113),"",A8113&amp;CELL("address",INDIRECT(C8113))),"")</f>
        <v/>
      </c>
      <c r="J8113" s="26" t="str">
        <f t="shared" ref="J8113:J8114" ca="1" si="911">IFERROR(IF(NOT(D8113),"",A8113),"")</f>
        <v/>
      </c>
    </row>
    <row r="8114" spans="1:10" x14ac:dyDescent="0.25">
      <c r="A8114" t="s">
        <v>265</v>
      </c>
      <c r="B8114" t="str">
        <f>ADDRESS(ROW(TIF_DistrictYear_UserCommentsExpenditures),COLUMN(TIF_DistrictYear_UserCommentsExpenditures),4)</f>
        <v>A24</v>
      </c>
      <c r="C8114" t="str">
        <f>ADDRESS(ROW(Expenditures!E$23),COLUMN(Expenditures!E$23),4)</f>
        <v>E23</v>
      </c>
      <c r="D8114" t="b" cm="1">
        <f t="array" aca="1" ref="D8114" ca="1">IF(LEN(INDIRECT("'"&amp;A8114&amp;"'!"&amp;B8114))&gt;500,TRUE,FALSE)</f>
        <v>0</v>
      </c>
      <c r="E8114" t="s">
        <v>636</v>
      </c>
      <c r="F8114" t="str">
        <f>INDEX(Lists!I:I,MATCH(Validation!E8114,Lists!G:G,0))</f>
        <v>Error</v>
      </c>
      <c r="G8114" t="str">
        <f>INDEX(Lists!H:H,MATCH(Validation!E8114,Lists!G:G,0))</f>
        <v>Comments cannot exceed 500 characters. (Limit length. Send email to further explain.)</v>
      </c>
      <c r="H8114" s="25" t="str">
        <f t="shared" ca="1" si="909"/>
        <v/>
      </c>
      <c r="I8114" s="25" t="str">
        <f t="shared" ca="1" si="910"/>
        <v/>
      </c>
      <c r="J8114" s="26" t="str">
        <f t="shared" ca="1" si="911"/>
        <v/>
      </c>
    </row>
    <row r="8115" spans="1:10" x14ac:dyDescent="0.25">
      <c r="A8115" t="s">
        <v>320</v>
      </c>
      <c r="B8115" t="str">
        <f>ADDRESS(ROW(TIF_TemporaryTransfer_TransferInd),COLUMN(TIF_TemporaryTransfer_TransferInd),4)</f>
        <v>J32</v>
      </c>
      <c r="C8115" t="str">
        <f>ADDRESS(ROW(Transfers!H32),COLUMN(Transfers!H32),4)</f>
        <v>H32</v>
      </c>
      <c r="D8115" t="b">
        <f>IF(TIF_TemporaryTransfer_TransferInd=FALSE,TRUE,FALSE)</f>
        <v>1</v>
      </c>
      <c r="E8115" t="s">
        <v>1019</v>
      </c>
      <c r="F8115" t="str">
        <f>INDEX(Lists!I:I,MATCH(Validation!E8115,Lists!G:G,0))</f>
        <v>Information</v>
      </c>
      <c r="G8115" t="str">
        <f>INDEX(Lists!H:H,MATCH(Validation!E8115,Lists!G:G,0))</f>
        <v>This section does not apply to this district. Skip to next tab.</v>
      </c>
      <c r="H8115" s="16" t="str">
        <f t="shared" ref="H8115:H8196" ca="1" si="912">IFERROR(IF(OR(NOT(D8115),F8115&lt;&gt;"Error"),"",A8115&amp;CELL("address",INDIRECT(B8115))),"")</f>
        <v/>
      </c>
      <c r="I8115" s="16" t="str">
        <f t="shared" ref="I8115:I8196" ca="1" si="913">IFERROR(IF(NOT(D8115),"",A8115&amp;CELL("address",INDIRECT(C8115))),"")</f>
        <v>Transfers$H$32</v>
      </c>
      <c r="J8115" s="17" t="str">
        <f t="shared" ref="J8115:J8196" si="914">IFERROR(IF(NOT(D8115),"",A8115),"")</f>
        <v>Transfers</v>
      </c>
    </row>
    <row r="8116" spans="1:10" x14ac:dyDescent="0.25">
      <c r="A8116" t="s">
        <v>320</v>
      </c>
      <c r="B8116" t="str">
        <f>ADDRESS(ROW(TIF_Transfer_TransferInd_Entry),COLUMN(TIF_Transfer_TransferInd_Entry),4)</f>
        <v>B6</v>
      </c>
      <c r="C8116" t="str">
        <f>ADDRESS(ROW(Transfers!H$6),COLUMN(Transfers!H$6),4)</f>
        <v>H6</v>
      </c>
      <c r="D8116" s="18" t="b">
        <f>IF(TIF_Transfer_TransferInd_Entry="Select One",TRUE,FALSE)</f>
        <v>1</v>
      </c>
      <c r="E8116" t="s">
        <v>73</v>
      </c>
      <c r="F8116" t="str">
        <f>INDEX(Lists!I:I,MATCH(Validation!E8116,Lists!G:G,0))</f>
        <v>Error</v>
      </c>
      <c r="G8116" t="str">
        <f>INDEX(Lists!H:H,MATCH(Validation!E8116,Lists!G:G,0))</f>
        <v>You must select Yes or No.</v>
      </c>
      <c r="H8116" s="16" t="str">
        <f t="shared" ca="1" si="912"/>
        <v>Transfers$B$6</v>
      </c>
      <c r="I8116" s="16" t="str">
        <f t="shared" ca="1" si="913"/>
        <v>Transfers$H$6</v>
      </c>
      <c r="J8116" s="17" t="str">
        <f t="shared" si="914"/>
        <v>Transfers</v>
      </c>
    </row>
    <row r="8117" spans="1:10" x14ac:dyDescent="0.25">
      <c r="A8117" t="s">
        <v>320</v>
      </c>
      <c r="B8117" t="str">
        <f>ADDRESS(ROW(TIF_Transfer_TransferInd_Entry),COLUMN(TIF_Transfer_TransferInd_Entry),4)</f>
        <v>B6</v>
      </c>
      <c r="C8117" t="str">
        <f>ADDRESS(ROW(Transfers!H$6),COLUMN(Transfers!H$6),4)</f>
        <v>H6</v>
      </c>
      <c r="D8117" s="18" t="b">
        <f>IF(AND(TIF_Transfer_TransferInd_Input=TRUE,TIF_Transfer_TransferInd_Entry="No"),TRUE,FALSE)</f>
        <v>0</v>
      </c>
      <c r="E8117" t="s">
        <v>491</v>
      </c>
      <c r="F8117" t="str">
        <f>INDEX(Lists!I:I,MATCH(Validation!E8117,Lists!G:G,0))</f>
        <v>Error</v>
      </c>
      <c r="G8117" t="str">
        <f>INDEX(Lists!H:H,MATCH(Validation!E8117,Lists!G:G,0))</f>
        <v>Yes was previously reported and must be selected. Contact TIF Division to change.</v>
      </c>
      <c r="H8117" s="16" t="str">
        <f t="shared" ca="1" si="912"/>
        <v/>
      </c>
      <c r="I8117" s="16" t="str">
        <f t="shared" ca="1" si="913"/>
        <v/>
      </c>
      <c r="J8117" s="17" t="str">
        <f t="shared" si="914"/>
        <v/>
      </c>
    </row>
    <row r="8118" spans="1:10" x14ac:dyDescent="0.25">
      <c r="A8118" t="s">
        <v>320</v>
      </c>
      <c r="B8118" t="str">
        <f>ADDRESS(ROW(TIF_Transfer_TransferInd_Entry),COLUMN(TIF_Transfer_TransferInd_Entry),4)</f>
        <v>B6</v>
      </c>
      <c r="C8118" t="str">
        <f>ADDRESS(ROW(Transfers!H$6),COLUMN(Transfers!H$6),4)</f>
        <v>H6</v>
      </c>
      <c r="D8118" s="18" t="b">
        <f>IF(AND(TIF_Transfer_TransferInd_Entry="Yes",OR(Transfers!A9="Select One",ISBLANK(Transfers!A9))),TRUE,FALSE)</f>
        <v>0</v>
      </c>
      <c r="E8118" t="s">
        <v>1023</v>
      </c>
      <c r="F8118" t="str">
        <f>INDEX(Lists!I:I,MATCH(Validation!E8118,Lists!G:G,0))</f>
        <v>Error</v>
      </c>
      <c r="G8118" t="str">
        <f>INDEX(Lists!H:H,MATCH(Validation!E8118,Lists!G:G,0))</f>
        <v>If Yes, you must report at least one transfer below.</v>
      </c>
      <c r="H8118" s="16" t="str">
        <f t="shared" ca="1" si="912"/>
        <v/>
      </c>
      <c r="I8118" s="16" t="str">
        <f t="shared" ca="1" si="913"/>
        <v/>
      </c>
      <c r="J8118" s="17" t="str">
        <f t="shared" si="914"/>
        <v/>
      </c>
    </row>
    <row r="8119" spans="1:10" x14ac:dyDescent="0.25">
      <c r="A8119" t="s">
        <v>320</v>
      </c>
      <c r="B8119" t="str">
        <f>ADDRESS(ROW(TIF_Transfer_TransferInd_Entry),COLUMN(TIF_Transfer_TransferInd_Entry),4)</f>
        <v>B6</v>
      </c>
      <c r="C8119" t="str">
        <f>ADDRESS(ROW(Transfers!H$6),COLUMN(Transfers!H$6),4)</f>
        <v>H6</v>
      </c>
      <c r="D8119" s="18" t="b">
        <f>IF(AND(TIF_Transfer_TransferInd_Entry="No",NOT(OR(Transfers!A9="Select One",ISBLANK(Transfers!A9)))),TRUE,FALSE)</f>
        <v>0</v>
      </c>
      <c r="E8119" t="s">
        <v>1025</v>
      </c>
      <c r="F8119" t="str">
        <f>INDEX(Lists!I:I,MATCH(Validation!E8119,Lists!G:G,0))</f>
        <v>Error</v>
      </c>
      <c r="G8119" t="str">
        <f>INDEX(Lists!H:H,MATCH(Validation!E8119,Lists!G:G,0))</f>
        <v>You must answer Yes to report a transfer below.</v>
      </c>
      <c r="H8119" s="16" t="str">
        <f t="shared" ca="1" si="912"/>
        <v/>
      </c>
      <c r="I8119" s="16" t="str">
        <f t="shared" ca="1" si="913"/>
        <v/>
      </c>
      <c r="J8119" s="17" t="str">
        <f t="shared" si="914"/>
        <v/>
      </c>
    </row>
    <row r="8120" spans="1:10" x14ac:dyDescent="0.25">
      <c r="A8120" t="s">
        <v>320</v>
      </c>
      <c r="B8120" t="str">
        <f>ADDRESS(ROW(TIF_Transfer_TransferInd_Entry),COLUMN(TIF_Transfer_TransferInd_Entry),4)</f>
        <v>B6</v>
      </c>
      <c r="C8120" t="str">
        <f>ADDRESS(ROW(Transfers!H$6),COLUMN(Transfers!H$6),4)</f>
        <v>H6</v>
      </c>
      <c r="D8120" s="18" t="b">
        <f>IF(TIF_Transfer_TransferInd_Entry="No",TRUE,FALSE)</f>
        <v>0</v>
      </c>
      <c r="E8120" t="s">
        <v>1027</v>
      </c>
      <c r="F8120" t="str">
        <f>INDEX(Lists!I:I,MATCH(Validation!E8120,Lists!G:G,0))</f>
        <v>Information</v>
      </c>
      <c r="G8120" t="str">
        <f>INDEX(Lists!H:H,MATCH(Validation!E8120,Lists!G:G,0))</f>
        <v>If No, skip this section and check the Temporary Transfers section below.</v>
      </c>
      <c r="H8120" s="16" t="str">
        <f t="shared" ca="1" si="912"/>
        <v/>
      </c>
      <c r="I8120" s="16" t="str">
        <f t="shared" ca="1" si="913"/>
        <v/>
      </c>
      <c r="J8120" s="17" t="str">
        <f t="shared" si="914"/>
        <v/>
      </c>
    </row>
    <row r="8121" spans="1:10" x14ac:dyDescent="0.25">
      <c r="A8121" t="s">
        <v>320</v>
      </c>
      <c r="B8121" t="str">
        <f>ADDRESS(ROW(Transfers!A9),COLUMN(Transfers!A9),4)</f>
        <v>A9</v>
      </c>
      <c r="C8121" t="str">
        <f>ADDRESS(ROW(Transfers!H9),COLUMN(Transfers!H9),4)</f>
        <v>H9</v>
      </c>
      <c r="D8121" t="b">
        <f>IF(AND(NOT(OR(ISBLANK(Transfers!A10),Transfers!A10="Select One")),OR(ISBLANK(Transfers!A9),Transfers!A9="Select One")),TRUE,FALSE)</f>
        <v>0</v>
      </c>
      <c r="E8121" t="s">
        <v>644</v>
      </c>
      <c r="F8121" t="str">
        <f>INDEX(Lists!I:I,MATCH(Validation!E8121,Lists!G:G,0))</f>
        <v>Error</v>
      </c>
      <c r="G8121" t="str">
        <f>INDEX(Lists!H:H,MATCH(Validation!E8121,Lists!G:G,0))</f>
        <v>Do not skip rows.</v>
      </c>
      <c r="H8121" s="16" t="str">
        <f t="shared" ca="1" si="912"/>
        <v/>
      </c>
      <c r="I8121" s="16" t="str">
        <f t="shared" ca="1" si="913"/>
        <v/>
      </c>
      <c r="J8121" s="17" t="str">
        <f t="shared" si="914"/>
        <v/>
      </c>
    </row>
    <row r="8122" spans="1:10" x14ac:dyDescent="0.25">
      <c r="A8122" t="s">
        <v>320</v>
      </c>
      <c r="B8122" t="str">
        <f>ADDRESS(ROW(Transfers!A10),COLUMN(Transfers!A10),4)</f>
        <v>A10</v>
      </c>
      <c r="C8122" t="str">
        <f>ADDRESS(ROW(Transfers!H10),COLUMN(Transfers!H10),4)</f>
        <v>H10</v>
      </c>
      <c r="D8122" t="b">
        <f>IF(AND(NOT(OR(ISBLANK(Transfers!A11),Transfers!A11="Select One")),OR(ISBLANK(Transfers!A10),Transfers!A10="Select One")),TRUE,FALSE)</f>
        <v>0</v>
      </c>
      <c r="E8122" t="s">
        <v>644</v>
      </c>
      <c r="F8122" t="str">
        <f>INDEX(Lists!I:I,MATCH(Validation!E8122,Lists!G:G,0))</f>
        <v>Error</v>
      </c>
      <c r="G8122" t="str">
        <f>INDEX(Lists!H:H,MATCH(Validation!E8122,Lists!G:G,0))</f>
        <v>Do not skip rows.</v>
      </c>
      <c r="H8122" s="16" t="str">
        <f t="shared" ref="H8122" ca="1" si="915">IFERROR(IF(OR(NOT(D8122),F8122&lt;&gt;"Error"),"",A8122&amp;CELL("address",INDIRECT(B8122))),"")</f>
        <v/>
      </c>
      <c r="I8122" s="16" t="str">
        <f t="shared" ref="I8122" ca="1" si="916">IFERROR(IF(NOT(D8122),"",A8122&amp;CELL("address",INDIRECT(C8122))),"")</f>
        <v/>
      </c>
      <c r="J8122" s="17" t="str">
        <f t="shared" ref="J8122" si="917">IFERROR(IF(NOT(D8122),"",A8122),"")</f>
        <v/>
      </c>
    </row>
    <row r="8123" spans="1:10" x14ac:dyDescent="0.25">
      <c r="A8123" t="s">
        <v>320</v>
      </c>
      <c r="B8123" t="str">
        <f>ADDRESS(ROW(Transfers!A11),COLUMN(Transfers!A11),4)</f>
        <v>A11</v>
      </c>
      <c r="C8123" t="str">
        <f>ADDRESS(ROW(Transfers!H11),COLUMN(Transfers!H11),4)</f>
        <v>H11</v>
      </c>
      <c r="D8123" t="b">
        <f>IF(AND(NOT(OR(ISBLANK(Transfers!A12),Transfers!A12="Select One")),OR(ISBLANK(Transfers!A11),Transfers!A11="Select One")),TRUE,FALSE)</f>
        <v>0</v>
      </c>
      <c r="E8123" t="s">
        <v>644</v>
      </c>
      <c r="F8123" t="str">
        <f>INDEX(Lists!I:I,MATCH(Validation!E8123,Lists!G:G,0))</f>
        <v>Error</v>
      </c>
      <c r="G8123" t="str">
        <f>INDEX(Lists!H:H,MATCH(Validation!E8123,Lists!G:G,0))</f>
        <v>Do not skip rows.</v>
      </c>
      <c r="H8123" s="16" t="str">
        <f t="shared" ca="1" si="912"/>
        <v/>
      </c>
      <c r="I8123" s="16" t="str">
        <f t="shared" ca="1" si="913"/>
        <v/>
      </c>
      <c r="J8123" s="17" t="str">
        <f t="shared" si="914"/>
        <v/>
      </c>
    </row>
    <row r="8124" spans="1:10" x14ac:dyDescent="0.25">
      <c r="A8124" t="s">
        <v>320</v>
      </c>
      <c r="B8124" t="str">
        <f>ADDRESS(ROW(Transfers!A12),COLUMN(Transfers!A12),4)</f>
        <v>A12</v>
      </c>
      <c r="C8124" t="str">
        <f>ADDRESS(ROW(Transfers!H12),COLUMN(Transfers!H12),4)</f>
        <v>H12</v>
      </c>
      <c r="D8124" t="b">
        <f>IF(AND(NOT(OR(ISBLANK(Transfers!A13),Transfers!A13="Select One")),OR(ISBLANK(Transfers!A12),Transfers!A12="Select One")),TRUE,FALSE)</f>
        <v>0</v>
      </c>
      <c r="E8124" t="s">
        <v>644</v>
      </c>
      <c r="F8124" t="str">
        <f>INDEX(Lists!I:I,MATCH(Validation!E8124,Lists!G:G,0))</f>
        <v>Error</v>
      </c>
      <c r="G8124" t="str">
        <f>INDEX(Lists!H:H,MATCH(Validation!E8124,Lists!G:G,0))</f>
        <v>Do not skip rows.</v>
      </c>
      <c r="H8124" s="16" t="str">
        <f t="shared" ca="1" si="912"/>
        <v/>
      </c>
      <c r="I8124" s="16" t="str">
        <f t="shared" ca="1" si="913"/>
        <v/>
      </c>
      <c r="J8124" s="17" t="str">
        <f t="shared" si="914"/>
        <v/>
      </c>
    </row>
    <row r="8125" spans="1:10" x14ac:dyDescent="0.25">
      <c r="A8125" t="s">
        <v>320</v>
      </c>
      <c r="B8125" t="str">
        <f>ADDRESS(ROW(Transfers!A13),COLUMN(Transfers!A13),4)</f>
        <v>A13</v>
      </c>
      <c r="C8125" t="str">
        <f>ADDRESS(ROW(Transfers!H13),COLUMN(Transfers!H13),4)</f>
        <v>H13</v>
      </c>
      <c r="D8125" t="b">
        <f>IF(AND(NOT(OR(ISBLANK(Transfers!A14),Transfers!A14="Select One")),OR(ISBLANK(Transfers!A13),Transfers!A13="Select One")),TRUE,FALSE)</f>
        <v>0</v>
      </c>
      <c r="E8125" t="s">
        <v>644</v>
      </c>
      <c r="F8125" t="str">
        <f>INDEX(Lists!I:I,MATCH(Validation!E8125,Lists!G:G,0))</f>
        <v>Error</v>
      </c>
      <c r="G8125" t="str">
        <f>INDEX(Lists!H:H,MATCH(Validation!E8125,Lists!G:G,0))</f>
        <v>Do not skip rows.</v>
      </c>
      <c r="H8125" s="16" t="str">
        <f t="shared" ca="1" si="912"/>
        <v/>
      </c>
      <c r="I8125" s="16" t="str">
        <f t="shared" ca="1" si="913"/>
        <v/>
      </c>
      <c r="J8125" s="17" t="str">
        <f t="shared" si="914"/>
        <v/>
      </c>
    </row>
    <row r="8126" spans="1:10" x14ac:dyDescent="0.25">
      <c r="A8126" t="s">
        <v>320</v>
      </c>
      <c r="B8126" t="str">
        <f>ADDRESS(ROW(Transfers!A14),COLUMN(Transfers!A14),4)</f>
        <v>A14</v>
      </c>
      <c r="C8126" t="str">
        <f>ADDRESS(ROW(Transfers!H14),COLUMN(Transfers!H14),4)</f>
        <v>H14</v>
      </c>
      <c r="D8126" t="b">
        <f>IF(AND(NOT(OR(ISBLANK(Transfers!A15),Transfers!A15="Select One")),OR(ISBLANK(Transfers!A14),Transfers!A14="Select One")),TRUE,FALSE)</f>
        <v>0</v>
      </c>
      <c r="E8126" t="s">
        <v>644</v>
      </c>
      <c r="F8126" t="str">
        <f>INDEX(Lists!I:I,MATCH(Validation!E8126,Lists!G:G,0))</f>
        <v>Error</v>
      </c>
      <c r="G8126" t="str">
        <f>INDEX(Lists!H:H,MATCH(Validation!E8126,Lists!G:G,0))</f>
        <v>Do not skip rows.</v>
      </c>
      <c r="H8126" s="16" t="str">
        <f t="shared" ca="1" si="912"/>
        <v/>
      </c>
      <c r="I8126" s="16" t="str">
        <f t="shared" ca="1" si="913"/>
        <v/>
      </c>
      <c r="J8126" s="17" t="str">
        <f t="shared" si="914"/>
        <v/>
      </c>
    </row>
    <row r="8127" spans="1:10" x14ac:dyDescent="0.25">
      <c r="A8127" t="s">
        <v>320</v>
      </c>
      <c r="B8127" t="str">
        <f>ADDRESS(ROW(Transfers!A15),COLUMN(Transfers!A15),4)</f>
        <v>A15</v>
      </c>
      <c r="C8127" t="str">
        <f>ADDRESS(ROW(Transfers!H15),COLUMN(Transfers!H15),4)</f>
        <v>H15</v>
      </c>
      <c r="D8127" t="b">
        <f>IF(AND(NOT(OR(ISBLANK(Transfers!A16),Transfers!A16="Select One")),OR(ISBLANK(Transfers!A15),Transfers!A15="Select One")),TRUE,FALSE)</f>
        <v>0</v>
      </c>
      <c r="E8127" t="s">
        <v>644</v>
      </c>
      <c r="F8127" t="str">
        <f>INDEX(Lists!I:I,MATCH(Validation!E8127,Lists!G:G,0))</f>
        <v>Error</v>
      </c>
      <c r="G8127" t="str">
        <f>INDEX(Lists!H:H,MATCH(Validation!E8127,Lists!G:G,0))</f>
        <v>Do not skip rows.</v>
      </c>
      <c r="H8127" s="16" t="str">
        <f t="shared" ca="1" si="912"/>
        <v/>
      </c>
      <c r="I8127" s="16" t="str">
        <f t="shared" ca="1" si="913"/>
        <v/>
      </c>
      <c r="J8127" s="17" t="str">
        <f t="shared" si="914"/>
        <v/>
      </c>
    </row>
    <row r="8128" spans="1:10" x14ac:dyDescent="0.25">
      <c r="A8128" t="s">
        <v>320</v>
      </c>
      <c r="B8128" t="str">
        <f>ADDRESS(ROW(Transfers!A16),COLUMN(Transfers!A16),4)</f>
        <v>A16</v>
      </c>
      <c r="C8128" t="str">
        <f>ADDRESS(ROW(Transfers!H16),COLUMN(Transfers!H16),4)</f>
        <v>H16</v>
      </c>
      <c r="D8128" t="b">
        <f>IF(AND(NOT(OR(ISBLANK(Transfers!A17),Transfers!A17="Select One")),OR(ISBLANK(Transfers!A16),Transfers!A16="Select One")),TRUE,FALSE)</f>
        <v>0</v>
      </c>
      <c r="E8128" t="s">
        <v>644</v>
      </c>
      <c r="F8128" t="str">
        <f>INDEX(Lists!I:I,MATCH(Validation!E8128,Lists!G:G,0))</f>
        <v>Error</v>
      </c>
      <c r="G8128" t="str">
        <f>INDEX(Lists!H:H,MATCH(Validation!E8128,Lists!G:G,0))</f>
        <v>Do not skip rows.</v>
      </c>
      <c r="H8128" s="16" t="str">
        <f t="shared" ca="1" si="912"/>
        <v/>
      </c>
      <c r="I8128" s="16" t="str">
        <f t="shared" ca="1" si="913"/>
        <v/>
      </c>
      <c r="J8128" s="17" t="str">
        <f t="shared" si="914"/>
        <v/>
      </c>
    </row>
    <row r="8129" spans="1:10" x14ac:dyDescent="0.25">
      <c r="A8129" t="s">
        <v>320</v>
      </c>
      <c r="B8129" t="str">
        <f>ADDRESS(ROW(Transfers!A17),COLUMN(Transfers!A17),4)</f>
        <v>A17</v>
      </c>
      <c r="C8129" t="str">
        <f>ADDRESS(ROW(Transfers!H17),COLUMN(Transfers!H17),4)</f>
        <v>H17</v>
      </c>
      <c r="D8129" t="b">
        <f>IF(AND(NOT(OR(ISBLANK(Transfers!A18),Transfers!A18="Select One")),OR(ISBLANK(Transfers!A17),Transfers!A17="Select One")),TRUE,FALSE)</f>
        <v>0</v>
      </c>
      <c r="E8129" t="s">
        <v>644</v>
      </c>
      <c r="F8129" t="str">
        <f>INDEX(Lists!I:I,MATCH(Validation!E8129,Lists!G:G,0))</f>
        <v>Error</v>
      </c>
      <c r="G8129" t="str">
        <f>INDEX(Lists!H:H,MATCH(Validation!E8129,Lists!G:G,0))</f>
        <v>Do not skip rows.</v>
      </c>
      <c r="H8129" s="16" t="str">
        <f t="shared" ca="1" si="912"/>
        <v/>
      </c>
      <c r="I8129" s="16" t="str">
        <f t="shared" ca="1" si="913"/>
        <v/>
      </c>
      <c r="J8129" s="17" t="str">
        <f t="shared" si="914"/>
        <v/>
      </c>
    </row>
    <row r="8130" spans="1:10" x14ac:dyDescent="0.25">
      <c r="A8130" t="s">
        <v>320</v>
      </c>
      <c r="B8130" t="str">
        <f>ADDRESS(ROW(Transfers!A18),COLUMN(Transfers!A18),4)</f>
        <v>A18</v>
      </c>
      <c r="C8130" t="str">
        <f>ADDRESS(ROW(Transfers!H18),COLUMN(Transfers!H18),4)</f>
        <v>H18</v>
      </c>
      <c r="D8130" t="b">
        <f>IF(AND(NOT(OR(ISBLANK(Transfers!A19),Transfers!A19="Select One")),OR(ISBLANK(Transfers!A18),Transfers!A18="Select One")),TRUE,FALSE)</f>
        <v>0</v>
      </c>
      <c r="E8130" t="s">
        <v>644</v>
      </c>
      <c r="F8130" t="str">
        <f>INDEX(Lists!I:I,MATCH(Validation!E8130,Lists!G:G,0))</f>
        <v>Error</v>
      </c>
      <c r="G8130" t="str">
        <f>INDEX(Lists!H:H,MATCH(Validation!E8130,Lists!G:G,0))</f>
        <v>Do not skip rows.</v>
      </c>
      <c r="H8130" s="16" t="str">
        <f t="shared" ca="1" si="912"/>
        <v/>
      </c>
      <c r="I8130" s="16" t="str">
        <f t="shared" ca="1" si="913"/>
        <v/>
      </c>
      <c r="J8130" s="17" t="str">
        <f t="shared" si="914"/>
        <v/>
      </c>
    </row>
    <row r="8131" spans="1:10" x14ac:dyDescent="0.25">
      <c r="A8131" t="s">
        <v>320</v>
      </c>
      <c r="B8131" t="str">
        <f>ADDRESS(ROW(Transfers!A19),COLUMN(Transfers!A19),4)</f>
        <v>A19</v>
      </c>
      <c r="C8131" t="str">
        <f>ADDRESS(ROW(Transfers!H19),COLUMN(Transfers!H19),4)</f>
        <v>H19</v>
      </c>
      <c r="D8131" t="b">
        <f>IF(AND(NOT(OR(ISBLANK(Transfers!A20),Transfers!A20="Select One")),OR(ISBLANK(Transfers!A19),Transfers!A19="Select One")),TRUE,FALSE)</f>
        <v>0</v>
      </c>
      <c r="E8131" t="s">
        <v>644</v>
      </c>
      <c r="F8131" t="str">
        <f>INDEX(Lists!I:I,MATCH(Validation!E8131,Lists!G:G,0))</f>
        <v>Error</v>
      </c>
      <c r="G8131" t="str">
        <f>INDEX(Lists!H:H,MATCH(Validation!E8131,Lists!G:G,0))</f>
        <v>Do not skip rows.</v>
      </c>
      <c r="H8131" s="16" t="str">
        <f t="shared" ca="1" si="912"/>
        <v/>
      </c>
      <c r="I8131" s="16" t="str">
        <f t="shared" ca="1" si="913"/>
        <v/>
      </c>
      <c r="J8131" s="17" t="str">
        <f t="shared" si="914"/>
        <v/>
      </c>
    </row>
    <row r="8132" spans="1:10" x14ac:dyDescent="0.25">
      <c r="A8132" t="s">
        <v>320</v>
      </c>
      <c r="B8132" t="str">
        <f>ADDRESS(ROW(Transfers!A20),COLUMN(Transfers!A20),4)</f>
        <v>A20</v>
      </c>
      <c r="C8132" t="str">
        <f>ADDRESS(ROW(Transfers!H20),COLUMN(Transfers!H20),4)</f>
        <v>H20</v>
      </c>
      <c r="D8132" t="b">
        <f>IF(AND(NOT(OR(ISBLANK(Transfers!A21),Transfers!A21="Select One")),OR(ISBLANK(Transfers!A20),Transfers!A20="Select One")),TRUE,FALSE)</f>
        <v>0</v>
      </c>
      <c r="E8132" t="s">
        <v>644</v>
      </c>
      <c r="F8132" t="str">
        <f>INDEX(Lists!I:I,MATCH(Validation!E8132,Lists!G:G,0))</f>
        <v>Error</v>
      </c>
      <c r="G8132" t="str">
        <f>INDEX(Lists!H:H,MATCH(Validation!E8132,Lists!G:G,0))</f>
        <v>Do not skip rows.</v>
      </c>
      <c r="H8132" s="16" t="str">
        <f t="shared" ca="1" si="912"/>
        <v/>
      </c>
      <c r="I8132" s="16" t="str">
        <f t="shared" ca="1" si="913"/>
        <v/>
      </c>
      <c r="J8132" s="17" t="str">
        <f t="shared" si="914"/>
        <v/>
      </c>
    </row>
    <row r="8133" spans="1:10" x14ac:dyDescent="0.25">
      <c r="A8133" t="s">
        <v>320</v>
      </c>
      <c r="B8133" t="str">
        <f>ADDRESS(ROW(Transfers!A21),COLUMN(Transfers!A21),4)</f>
        <v>A21</v>
      </c>
      <c r="C8133" t="str">
        <f>ADDRESS(ROW(Transfers!H21),COLUMN(Transfers!H21),4)</f>
        <v>H21</v>
      </c>
      <c r="D8133" t="b">
        <f>IF(AND(NOT(OR(ISBLANK(Transfers!A22),Transfers!A22="Select One")),OR(ISBLANK(Transfers!A21),Transfers!A21="Select One")),TRUE,FALSE)</f>
        <v>0</v>
      </c>
      <c r="E8133" t="s">
        <v>644</v>
      </c>
      <c r="F8133" t="str">
        <f>INDEX(Lists!I:I,MATCH(Validation!E8133,Lists!G:G,0))</f>
        <v>Error</v>
      </c>
      <c r="G8133" t="str">
        <f>INDEX(Lists!H:H,MATCH(Validation!E8133,Lists!G:G,0))</f>
        <v>Do not skip rows.</v>
      </c>
      <c r="H8133" s="16" t="str">
        <f t="shared" ca="1" si="912"/>
        <v/>
      </c>
      <c r="I8133" s="16" t="str">
        <f t="shared" ca="1" si="913"/>
        <v/>
      </c>
      <c r="J8133" s="17" t="str">
        <f t="shared" si="914"/>
        <v/>
      </c>
    </row>
    <row r="8134" spans="1:10" x14ac:dyDescent="0.25">
      <c r="A8134" t="s">
        <v>320</v>
      </c>
      <c r="B8134" t="str">
        <f>ADDRESS(ROW(Transfers!A22),COLUMN(Transfers!A22),4)</f>
        <v>A22</v>
      </c>
      <c r="C8134" t="str">
        <f>ADDRESS(ROW(Transfers!H22),COLUMN(Transfers!H22),4)</f>
        <v>H22</v>
      </c>
      <c r="D8134" t="b">
        <f>IF(AND(NOT(OR(ISBLANK(Transfers!A23),Transfers!A23="Select One")),OR(ISBLANK(Transfers!A22),Transfers!A22="Select One")),TRUE,FALSE)</f>
        <v>0</v>
      </c>
      <c r="E8134" t="s">
        <v>644</v>
      </c>
      <c r="F8134" t="str">
        <f>INDEX(Lists!I:I,MATCH(Validation!E8134,Lists!G:G,0))</f>
        <v>Error</v>
      </c>
      <c r="G8134" t="str">
        <f>INDEX(Lists!H:H,MATCH(Validation!E8134,Lists!G:G,0))</f>
        <v>Do not skip rows.</v>
      </c>
      <c r="H8134" s="16" t="str">
        <f t="shared" ca="1" si="912"/>
        <v/>
      </c>
      <c r="I8134" s="16" t="str">
        <f t="shared" ca="1" si="913"/>
        <v/>
      </c>
      <c r="J8134" s="17" t="str">
        <f t="shared" si="914"/>
        <v/>
      </c>
    </row>
    <row r="8135" spans="1:10" x14ac:dyDescent="0.25">
      <c r="A8135" t="s">
        <v>320</v>
      </c>
      <c r="B8135" t="str">
        <f>ADDRESS(ROW(Transfers!A23),COLUMN(Transfers!A23),4)</f>
        <v>A23</v>
      </c>
      <c r="C8135" t="str">
        <f>ADDRESS(ROW(Transfers!H23),COLUMN(Transfers!H23),4)</f>
        <v>H23</v>
      </c>
      <c r="D8135" t="b">
        <f>IF(AND(NOT(OR(ISBLANK(Transfers!A24),Transfers!A24="Select One")),OR(ISBLANK(Transfers!A23),Transfers!A23="Select One")),TRUE,FALSE)</f>
        <v>0</v>
      </c>
      <c r="E8135" t="s">
        <v>644</v>
      </c>
      <c r="F8135" t="str">
        <f>INDEX(Lists!I:I,MATCH(Validation!E8135,Lists!G:G,0))</f>
        <v>Error</v>
      </c>
      <c r="G8135" t="str">
        <f>INDEX(Lists!H:H,MATCH(Validation!E8135,Lists!G:G,0))</f>
        <v>Do not skip rows.</v>
      </c>
      <c r="H8135" s="16" t="str">
        <f t="shared" ca="1" si="912"/>
        <v/>
      </c>
      <c r="I8135" s="16" t="str">
        <f t="shared" ca="1" si="913"/>
        <v/>
      </c>
      <c r="J8135" s="17" t="str">
        <f t="shared" si="914"/>
        <v/>
      </c>
    </row>
    <row r="8136" spans="1:10" x14ac:dyDescent="0.25">
      <c r="A8136" t="s">
        <v>320</v>
      </c>
      <c r="B8136" t="str">
        <f>ADDRESS(ROW(Transfers!A24),COLUMN(Transfers!A24),4)</f>
        <v>A24</v>
      </c>
      <c r="C8136" t="str">
        <f>ADDRESS(ROW(Transfers!H24),COLUMN(Transfers!H24),4)</f>
        <v>H24</v>
      </c>
      <c r="D8136" t="b">
        <f>IF(AND(NOT(OR(ISBLANK(Transfers!A25),Transfers!A25="Select One")),OR(ISBLANK(Transfers!A24),Transfers!A24="Select One")),TRUE,FALSE)</f>
        <v>0</v>
      </c>
      <c r="E8136" t="s">
        <v>644</v>
      </c>
      <c r="F8136" t="str">
        <f>INDEX(Lists!I:I,MATCH(Validation!E8136,Lists!G:G,0))</f>
        <v>Error</v>
      </c>
      <c r="G8136" t="str">
        <f>INDEX(Lists!H:H,MATCH(Validation!E8136,Lists!G:G,0))</f>
        <v>Do not skip rows.</v>
      </c>
      <c r="H8136" s="16" t="str">
        <f t="shared" ca="1" si="912"/>
        <v/>
      </c>
      <c r="I8136" s="16" t="str">
        <f t="shared" ca="1" si="913"/>
        <v/>
      </c>
      <c r="J8136" s="17" t="str">
        <f t="shared" si="914"/>
        <v/>
      </c>
    </row>
    <row r="8137" spans="1:10" x14ac:dyDescent="0.25">
      <c r="A8137" t="s">
        <v>320</v>
      </c>
      <c r="B8137" t="str">
        <f>ADDRESS(ROW(Transfers!A25),COLUMN(Transfers!A25),4)</f>
        <v>A25</v>
      </c>
      <c r="C8137" t="str">
        <f>ADDRESS(ROW(Transfers!H25),COLUMN(Transfers!H25),4)</f>
        <v>H25</v>
      </c>
      <c r="D8137" t="b">
        <f>IF(AND(NOT(OR(ISBLANK(Transfers!A26),Transfers!A26="Select One")),OR(ISBLANK(Transfers!A25),Transfers!A25="Select One")),TRUE,FALSE)</f>
        <v>0</v>
      </c>
      <c r="E8137" t="s">
        <v>644</v>
      </c>
      <c r="F8137" t="str">
        <f>INDEX(Lists!I:I,MATCH(Validation!E8137,Lists!G:G,0))</f>
        <v>Error</v>
      </c>
      <c r="G8137" t="str">
        <f>INDEX(Lists!H:H,MATCH(Validation!E8137,Lists!G:G,0))</f>
        <v>Do not skip rows.</v>
      </c>
      <c r="H8137" s="16" t="str">
        <f t="shared" ca="1" si="912"/>
        <v/>
      </c>
      <c r="I8137" s="16" t="str">
        <f t="shared" ca="1" si="913"/>
        <v/>
      </c>
      <c r="J8137" s="17" t="str">
        <f t="shared" si="914"/>
        <v/>
      </c>
    </row>
    <row r="8138" spans="1:10" x14ac:dyDescent="0.25">
      <c r="A8138" t="s">
        <v>320</v>
      </c>
      <c r="B8138" t="str">
        <f>ADDRESS(ROW(Transfers!A26),COLUMN(Transfers!A26),4)</f>
        <v>A26</v>
      </c>
      <c r="C8138" t="str">
        <f>ADDRESS(ROW(Transfers!H26),COLUMN(Transfers!H26),4)</f>
        <v>H26</v>
      </c>
      <c r="D8138" t="b">
        <f>IF(AND(NOT(OR(ISBLANK(Transfers!A27),Transfers!A27="Select One")),OR(ISBLANK(Transfers!A26),Transfers!A26="Select One")),TRUE,FALSE)</f>
        <v>0</v>
      </c>
      <c r="E8138" t="s">
        <v>644</v>
      </c>
      <c r="F8138" t="str">
        <f>INDEX(Lists!I:I,MATCH(Validation!E8138,Lists!G:G,0))</f>
        <v>Error</v>
      </c>
      <c r="G8138" t="str">
        <f>INDEX(Lists!H:H,MATCH(Validation!E8138,Lists!G:G,0))</f>
        <v>Do not skip rows.</v>
      </c>
      <c r="H8138" s="16" t="str">
        <f t="shared" ca="1" si="912"/>
        <v/>
      </c>
      <c r="I8138" s="16" t="str">
        <f t="shared" ca="1" si="913"/>
        <v/>
      </c>
      <c r="J8138" s="17" t="str">
        <f t="shared" si="914"/>
        <v/>
      </c>
    </row>
    <row r="8139" spans="1:10" x14ac:dyDescent="0.25">
      <c r="A8139" t="s">
        <v>320</v>
      </c>
      <c r="B8139" t="str">
        <f>ADDRESS(ROW(Transfers!A27),COLUMN(Transfers!A27),4)</f>
        <v>A27</v>
      </c>
      <c r="C8139" t="str">
        <f>ADDRESS(ROW(Transfers!H27),COLUMN(Transfers!H27),4)</f>
        <v>H27</v>
      </c>
      <c r="D8139" t="b">
        <f>IF(AND(NOT(OR(ISBLANK(Transfers!A28),Transfers!A28="Select One")),OR(ISBLANK(Transfers!A27),Transfers!A27="Select One")),TRUE,FALSE)</f>
        <v>0</v>
      </c>
      <c r="E8139" t="s">
        <v>644</v>
      </c>
      <c r="F8139" t="str">
        <f>INDEX(Lists!I:I,MATCH(Validation!E8139,Lists!G:G,0))</f>
        <v>Error</v>
      </c>
      <c r="G8139" t="str">
        <f>INDEX(Lists!H:H,MATCH(Validation!E8139,Lists!G:G,0))</f>
        <v>Do not skip rows.</v>
      </c>
      <c r="H8139" s="16" t="str">
        <f t="shared" ca="1" si="912"/>
        <v/>
      </c>
      <c r="I8139" s="16" t="str">
        <f t="shared" ca="1" si="913"/>
        <v/>
      </c>
      <c r="J8139" s="17" t="str">
        <f t="shared" si="914"/>
        <v/>
      </c>
    </row>
    <row r="8140" spans="1:10" x14ac:dyDescent="0.25">
      <c r="A8140" t="s">
        <v>320</v>
      </c>
      <c r="B8140" t="str">
        <f>ADDRESS(ROW(Transfers!A28),COLUMN(Transfers!A28),4)</f>
        <v>A28</v>
      </c>
      <c r="C8140" t="str">
        <f>ADDRESS(ROW(Transfers!H28),COLUMN(Transfers!H28),4)</f>
        <v>H28</v>
      </c>
      <c r="D8140" t="b">
        <f>IF(AND(NOT(OR(ISBLANK(Transfers!A29),Transfers!A29="Select One")),OR(ISBLANK(Transfers!A28),Transfers!A28="Select One")),TRUE,FALSE)</f>
        <v>0</v>
      </c>
      <c r="E8140" t="s">
        <v>644</v>
      </c>
      <c r="F8140" t="str">
        <f>INDEX(Lists!I:I,MATCH(Validation!E8140,Lists!G:G,0))</f>
        <v>Error</v>
      </c>
      <c r="G8140" t="str">
        <f>INDEX(Lists!H:H,MATCH(Validation!E8140,Lists!G:G,0))</f>
        <v>Do not skip rows.</v>
      </c>
      <c r="H8140" s="16" t="str">
        <f t="shared" ca="1" si="912"/>
        <v/>
      </c>
      <c r="I8140" s="16" t="str">
        <f t="shared" ca="1" si="913"/>
        <v/>
      </c>
      <c r="J8140" s="17" t="str">
        <f t="shared" si="914"/>
        <v/>
      </c>
    </row>
    <row r="8141" spans="1:10" x14ac:dyDescent="0.25">
      <c r="A8141" t="s">
        <v>320</v>
      </c>
      <c r="B8141" t="str">
        <f>ADDRESS(ROW(Transfers!A29),COLUMN(Transfers!A29),4)</f>
        <v>A29</v>
      </c>
      <c r="C8141" t="str">
        <f>ADDRESS(ROW(Transfers!H29),COLUMN(Transfers!H29),4)</f>
        <v>H29</v>
      </c>
      <c r="D8141" t="b">
        <f>IF(AND(NOT(OR(ISBLANK(Transfers!A30),Transfers!A30="Select One")),OR(ISBLANK(Transfers!A29),Transfers!A29="Select One")),TRUE,FALSE)</f>
        <v>0</v>
      </c>
      <c r="E8141" t="s">
        <v>644</v>
      </c>
      <c r="F8141" t="str">
        <f>INDEX(Lists!I:I,MATCH(Validation!E8141,Lists!G:G,0))</f>
        <v>Error</v>
      </c>
      <c r="G8141" t="str">
        <f>INDEX(Lists!H:H,MATCH(Validation!E8141,Lists!G:G,0))</f>
        <v>Do not skip rows.</v>
      </c>
      <c r="H8141" s="16" t="str">
        <f t="shared" ca="1" si="912"/>
        <v/>
      </c>
      <c r="I8141" s="16" t="str">
        <f t="shared" ca="1" si="913"/>
        <v/>
      </c>
      <c r="J8141" s="17" t="str">
        <f t="shared" si="914"/>
        <v/>
      </c>
    </row>
    <row r="8142" spans="1:10" x14ac:dyDescent="0.25">
      <c r="A8142" t="s">
        <v>320</v>
      </c>
      <c r="B8142" t="str">
        <f>ADDRESS(ROW(Transfers!A9),COLUMN(Transfers!A9),4)</f>
        <v>A9</v>
      </c>
      <c r="C8142" t="str">
        <f>ADDRESS(ROW(Transfers!H9),COLUMN(Transfers!H9),4)</f>
        <v>H9</v>
      </c>
      <c r="D8142" t="b">
        <f>IF(COUNTIF(TIF_Transfer_TransferName,Transfers!A9)&gt;1,TRUE,FALSE)</f>
        <v>0</v>
      </c>
      <c r="E8142" t="s">
        <v>1030</v>
      </c>
      <c r="F8142" t="str">
        <f>INDEX(Lists!I:I,MATCH(Validation!E8142,Lists!G:G,0))</f>
        <v>Error</v>
      </c>
      <c r="G8142" t="str">
        <f>INDEX(Lists!H:H,MATCH(Validation!E8142,Lists!G:G,0))</f>
        <v>Duplicate district name. Do not enter the same district more than once.</v>
      </c>
      <c r="H8142" s="16" t="str">
        <f t="shared" ref="H8142" ca="1" si="918">IFERROR(IF(OR(NOT(D8142),F8142&lt;&gt;"Error"),"",A8142&amp;CELL("address",INDIRECT(B8142))),"")</f>
        <v/>
      </c>
      <c r="I8142" s="16" t="str">
        <f t="shared" ref="I8142" ca="1" si="919">IFERROR(IF(NOT(D8142),"",A8142&amp;CELL("address",INDIRECT(C8142))),"")</f>
        <v/>
      </c>
      <c r="J8142" s="17" t="str">
        <f t="shared" ref="J8142" si="920">IFERROR(IF(NOT(D8142),"",A8142),"")</f>
        <v/>
      </c>
    </row>
    <row r="8143" spans="1:10" x14ac:dyDescent="0.25">
      <c r="A8143" t="s">
        <v>320</v>
      </c>
      <c r="B8143" t="str">
        <f>ADDRESS(ROW(Transfers!A10),COLUMN(Transfers!A10),4)</f>
        <v>A10</v>
      </c>
      <c r="C8143" t="str">
        <f>ADDRESS(ROW(Transfers!H10),COLUMN(Transfers!H10),4)</f>
        <v>H10</v>
      </c>
      <c r="D8143" t="b">
        <f>IF(COUNTIF(TIF_Transfer_TransferName,Transfers!A10)&gt;1,TRUE,FALSE)</f>
        <v>0</v>
      </c>
      <c r="E8143" t="s">
        <v>1030</v>
      </c>
      <c r="F8143" t="str">
        <f>INDEX(Lists!I:I,MATCH(Validation!E8143,Lists!G:G,0))</f>
        <v>Error</v>
      </c>
      <c r="G8143" t="str">
        <f>INDEX(Lists!H:H,MATCH(Validation!E8143,Lists!G:G,0))</f>
        <v>Duplicate district name. Do not enter the same district more than once.</v>
      </c>
      <c r="H8143" s="16" t="str">
        <f t="shared" ca="1" si="912"/>
        <v/>
      </c>
      <c r="I8143" s="16" t="str">
        <f t="shared" ca="1" si="913"/>
        <v/>
      </c>
      <c r="J8143" s="17" t="str">
        <f t="shared" si="914"/>
        <v/>
      </c>
    </row>
    <row r="8144" spans="1:10" x14ac:dyDescent="0.25">
      <c r="A8144" t="s">
        <v>320</v>
      </c>
      <c r="B8144" t="str">
        <f>ADDRESS(ROW(Transfers!A11),COLUMN(Transfers!A11),4)</f>
        <v>A11</v>
      </c>
      <c r="C8144" t="str">
        <f>ADDRESS(ROW(Transfers!H11),COLUMN(Transfers!H11),4)</f>
        <v>H11</v>
      </c>
      <c r="D8144" t="b">
        <f>IF(COUNTIF(TIF_Transfer_TransferName,Transfers!A11)&gt;1,TRUE,FALSE)</f>
        <v>0</v>
      </c>
      <c r="E8144" t="s">
        <v>1030</v>
      </c>
      <c r="F8144" t="str">
        <f>INDEX(Lists!I:I,MATCH(Validation!E8144,Lists!G:G,0))</f>
        <v>Error</v>
      </c>
      <c r="G8144" t="str">
        <f>INDEX(Lists!H:H,MATCH(Validation!E8144,Lists!G:G,0))</f>
        <v>Duplicate district name. Do not enter the same district more than once.</v>
      </c>
      <c r="H8144" s="16" t="str">
        <f t="shared" ca="1" si="912"/>
        <v/>
      </c>
      <c r="I8144" s="16" t="str">
        <f t="shared" ca="1" si="913"/>
        <v/>
      </c>
      <c r="J8144" s="17" t="str">
        <f t="shared" si="914"/>
        <v/>
      </c>
    </row>
    <row r="8145" spans="1:10" x14ac:dyDescent="0.25">
      <c r="A8145" t="s">
        <v>320</v>
      </c>
      <c r="B8145" t="str">
        <f>ADDRESS(ROW(Transfers!A12),COLUMN(Transfers!A12),4)</f>
        <v>A12</v>
      </c>
      <c r="C8145" t="str">
        <f>ADDRESS(ROW(Transfers!H12),COLUMN(Transfers!H12),4)</f>
        <v>H12</v>
      </c>
      <c r="D8145" t="b">
        <f>IF(COUNTIF(TIF_Transfer_TransferName,Transfers!A12)&gt;1,TRUE,FALSE)</f>
        <v>0</v>
      </c>
      <c r="E8145" t="s">
        <v>1030</v>
      </c>
      <c r="F8145" t="str">
        <f>INDEX(Lists!I:I,MATCH(Validation!E8145,Lists!G:G,0))</f>
        <v>Error</v>
      </c>
      <c r="G8145" t="str">
        <f>INDEX(Lists!H:H,MATCH(Validation!E8145,Lists!G:G,0))</f>
        <v>Duplicate district name. Do not enter the same district more than once.</v>
      </c>
      <c r="H8145" s="16" t="str">
        <f t="shared" ca="1" si="912"/>
        <v/>
      </c>
      <c r="I8145" s="16" t="str">
        <f t="shared" ca="1" si="913"/>
        <v/>
      </c>
      <c r="J8145" s="17" t="str">
        <f t="shared" si="914"/>
        <v/>
      </c>
    </row>
    <row r="8146" spans="1:10" x14ac:dyDescent="0.25">
      <c r="A8146" t="s">
        <v>320</v>
      </c>
      <c r="B8146" t="str">
        <f>ADDRESS(ROW(Transfers!A13),COLUMN(Transfers!A13),4)</f>
        <v>A13</v>
      </c>
      <c r="C8146" t="str">
        <f>ADDRESS(ROW(Transfers!H13),COLUMN(Transfers!H13),4)</f>
        <v>H13</v>
      </c>
      <c r="D8146" t="b">
        <f>IF(COUNTIF(TIF_Transfer_TransferName,Transfers!A13)&gt;1,TRUE,FALSE)</f>
        <v>0</v>
      </c>
      <c r="E8146" t="s">
        <v>1030</v>
      </c>
      <c r="F8146" t="str">
        <f>INDEX(Lists!I:I,MATCH(Validation!E8146,Lists!G:G,0))</f>
        <v>Error</v>
      </c>
      <c r="G8146" t="str">
        <f>INDEX(Lists!H:H,MATCH(Validation!E8146,Lists!G:G,0))</f>
        <v>Duplicate district name. Do not enter the same district more than once.</v>
      </c>
      <c r="H8146" s="16" t="str">
        <f t="shared" ca="1" si="912"/>
        <v/>
      </c>
      <c r="I8146" s="16" t="str">
        <f t="shared" ca="1" si="913"/>
        <v/>
      </c>
      <c r="J8146" s="17" t="str">
        <f t="shared" si="914"/>
        <v/>
      </c>
    </row>
    <row r="8147" spans="1:10" x14ac:dyDescent="0.25">
      <c r="A8147" t="s">
        <v>320</v>
      </c>
      <c r="B8147" t="str">
        <f>ADDRESS(ROW(Transfers!A14),COLUMN(Transfers!A14),4)</f>
        <v>A14</v>
      </c>
      <c r="C8147" t="str">
        <f>ADDRESS(ROW(Transfers!H14),COLUMN(Transfers!H14),4)</f>
        <v>H14</v>
      </c>
      <c r="D8147" t="b">
        <f>IF(COUNTIF(TIF_Transfer_TransferName,Transfers!A14)&gt;1,TRUE,FALSE)</f>
        <v>0</v>
      </c>
      <c r="E8147" t="s">
        <v>1030</v>
      </c>
      <c r="F8147" t="str">
        <f>INDEX(Lists!I:I,MATCH(Validation!E8147,Lists!G:G,0))</f>
        <v>Error</v>
      </c>
      <c r="G8147" t="str">
        <f>INDEX(Lists!H:H,MATCH(Validation!E8147,Lists!G:G,0))</f>
        <v>Duplicate district name. Do not enter the same district more than once.</v>
      </c>
      <c r="H8147" s="16" t="str">
        <f t="shared" ca="1" si="912"/>
        <v/>
      </c>
      <c r="I8147" s="16" t="str">
        <f t="shared" ca="1" si="913"/>
        <v/>
      </c>
      <c r="J8147" s="17" t="str">
        <f t="shared" si="914"/>
        <v/>
      </c>
    </row>
    <row r="8148" spans="1:10" x14ac:dyDescent="0.25">
      <c r="A8148" t="s">
        <v>320</v>
      </c>
      <c r="B8148" t="str">
        <f>ADDRESS(ROW(Transfers!A15),COLUMN(Transfers!A15),4)</f>
        <v>A15</v>
      </c>
      <c r="C8148" t="str">
        <f>ADDRESS(ROW(Transfers!H15),COLUMN(Transfers!H15),4)</f>
        <v>H15</v>
      </c>
      <c r="D8148" t="b">
        <f>IF(COUNTIF(TIF_Transfer_TransferName,Transfers!A15)&gt;1,TRUE,FALSE)</f>
        <v>0</v>
      </c>
      <c r="E8148" t="s">
        <v>1030</v>
      </c>
      <c r="F8148" t="str">
        <f>INDEX(Lists!I:I,MATCH(Validation!E8148,Lists!G:G,0))</f>
        <v>Error</v>
      </c>
      <c r="G8148" t="str">
        <f>INDEX(Lists!H:H,MATCH(Validation!E8148,Lists!G:G,0))</f>
        <v>Duplicate district name. Do not enter the same district more than once.</v>
      </c>
      <c r="H8148" s="16" t="str">
        <f t="shared" ca="1" si="912"/>
        <v/>
      </c>
      <c r="I8148" s="16" t="str">
        <f t="shared" ca="1" si="913"/>
        <v/>
      </c>
      <c r="J8148" s="17" t="str">
        <f t="shared" si="914"/>
        <v/>
      </c>
    </row>
    <row r="8149" spans="1:10" x14ac:dyDescent="0.25">
      <c r="A8149" t="s">
        <v>320</v>
      </c>
      <c r="B8149" t="str">
        <f>ADDRESS(ROW(Transfers!A16),COLUMN(Transfers!A16),4)</f>
        <v>A16</v>
      </c>
      <c r="C8149" t="str">
        <f>ADDRESS(ROW(Transfers!H16),COLUMN(Transfers!H16),4)</f>
        <v>H16</v>
      </c>
      <c r="D8149" t="b">
        <f>IF(COUNTIF(TIF_Transfer_TransferName,Transfers!A16)&gt;1,TRUE,FALSE)</f>
        <v>0</v>
      </c>
      <c r="E8149" t="s">
        <v>1030</v>
      </c>
      <c r="F8149" t="str">
        <f>INDEX(Lists!I:I,MATCH(Validation!E8149,Lists!G:G,0))</f>
        <v>Error</v>
      </c>
      <c r="G8149" t="str">
        <f>INDEX(Lists!H:H,MATCH(Validation!E8149,Lists!G:G,0))</f>
        <v>Duplicate district name. Do not enter the same district more than once.</v>
      </c>
      <c r="H8149" s="16" t="str">
        <f t="shared" ca="1" si="912"/>
        <v/>
      </c>
      <c r="I8149" s="16" t="str">
        <f t="shared" ca="1" si="913"/>
        <v/>
      </c>
      <c r="J8149" s="17" t="str">
        <f t="shared" si="914"/>
        <v/>
      </c>
    </row>
    <row r="8150" spans="1:10" x14ac:dyDescent="0.25">
      <c r="A8150" t="s">
        <v>320</v>
      </c>
      <c r="B8150" t="str">
        <f>ADDRESS(ROW(Transfers!A17),COLUMN(Transfers!A17),4)</f>
        <v>A17</v>
      </c>
      <c r="C8150" t="str">
        <f>ADDRESS(ROW(Transfers!H17),COLUMN(Transfers!H17),4)</f>
        <v>H17</v>
      </c>
      <c r="D8150" t="b">
        <f>IF(COUNTIF(TIF_Transfer_TransferName,Transfers!A17)&gt;1,TRUE,FALSE)</f>
        <v>0</v>
      </c>
      <c r="E8150" t="s">
        <v>1030</v>
      </c>
      <c r="F8150" t="str">
        <f>INDEX(Lists!I:I,MATCH(Validation!E8150,Lists!G:G,0))</f>
        <v>Error</v>
      </c>
      <c r="G8150" t="str">
        <f>INDEX(Lists!H:H,MATCH(Validation!E8150,Lists!G:G,0))</f>
        <v>Duplicate district name. Do not enter the same district more than once.</v>
      </c>
      <c r="H8150" s="16" t="str">
        <f t="shared" ca="1" si="912"/>
        <v/>
      </c>
      <c r="I8150" s="16" t="str">
        <f t="shared" ca="1" si="913"/>
        <v/>
      </c>
      <c r="J8150" s="17" t="str">
        <f t="shared" si="914"/>
        <v/>
      </c>
    </row>
    <row r="8151" spans="1:10" x14ac:dyDescent="0.25">
      <c r="A8151" t="s">
        <v>320</v>
      </c>
      <c r="B8151" t="str">
        <f>ADDRESS(ROW(Transfers!A18),COLUMN(Transfers!A18),4)</f>
        <v>A18</v>
      </c>
      <c r="C8151" t="str">
        <f>ADDRESS(ROW(Transfers!H18),COLUMN(Transfers!H18),4)</f>
        <v>H18</v>
      </c>
      <c r="D8151" t="b">
        <f>IF(COUNTIF(TIF_Transfer_TransferName,Transfers!A18)&gt;1,TRUE,FALSE)</f>
        <v>0</v>
      </c>
      <c r="E8151" t="s">
        <v>1030</v>
      </c>
      <c r="F8151" t="str">
        <f>INDEX(Lists!I:I,MATCH(Validation!E8151,Lists!G:G,0))</f>
        <v>Error</v>
      </c>
      <c r="G8151" t="str">
        <f>INDEX(Lists!H:H,MATCH(Validation!E8151,Lists!G:G,0))</f>
        <v>Duplicate district name. Do not enter the same district more than once.</v>
      </c>
      <c r="H8151" s="16" t="str">
        <f t="shared" ca="1" si="912"/>
        <v/>
      </c>
      <c r="I8151" s="16" t="str">
        <f t="shared" ca="1" si="913"/>
        <v/>
      </c>
      <c r="J8151" s="17" t="str">
        <f t="shared" si="914"/>
        <v/>
      </c>
    </row>
    <row r="8152" spans="1:10" x14ac:dyDescent="0.25">
      <c r="A8152" t="s">
        <v>320</v>
      </c>
      <c r="B8152" t="str">
        <f>ADDRESS(ROW(Transfers!A19),COLUMN(Transfers!A19),4)</f>
        <v>A19</v>
      </c>
      <c r="C8152" t="str">
        <f>ADDRESS(ROW(Transfers!H19),COLUMN(Transfers!H19),4)</f>
        <v>H19</v>
      </c>
      <c r="D8152" t="b">
        <f>IF(COUNTIF(TIF_Transfer_TransferName,Transfers!A19)&gt;1,TRUE,FALSE)</f>
        <v>0</v>
      </c>
      <c r="E8152" t="s">
        <v>1030</v>
      </c>
      <c r="F8152" t="str">
        <f>INDEX(Lists!I:I,MATCH(Validation!E8152,Lists!G:G,0))</f>
        <v>Error</v>
      </c>
      <c r="G8152" t="str">
        <f>INDEX(Lists!H:H,MATCH(Validation!E8152,Lists!G:G,0))</f>
        <v>Duplicate district name. Do not enter the same district more than once.</v>
      </c>
      <c r="H8152" s="16" t="str">
        <f t="shared" ca="1" si="912"/>
        <v/>
      </c>
      <c r="I8152" s="16" t="str">
        <f t="shared" ca="1" si="913"/>
        <v/>
      </c>
      <c r="J8152" s="17" t="str">
        <f t="shared" si="914"/>
        <v/>
      </c>
    </row>
    <row r="8153" spans="1:10" x14ac:dyDescent="0.25">
      <c r="A8153" t="s">
        <v>320</v>
      </c>
      <c r="B8153" t="str">
        <f>ADDRESS(ROW(Transfers!A20),COLUMN(Transfers!A20),4)</f>
        <v>A20</v>
      </c>
      <c r="C8153" t="str">
        <f>ADDRESS(ROW(Transfers!H20),COLUMN(Transfers!H20),4)</f>
        <v>H20</v>
      </c>
      <c r="D8153" t="b">
        <f>IF(COUNTIF(TIF_Transfer_TransferName,Transfers!A20)&gt;1,TRUE,FALSE)</f>
        <v>0</v>
      </c>
      <c r="E8153" t="s">
        <v>1030</v>
      </c>
      <c r="F8153" t="str">
        <f>INDEX(Lists!I:I,MATCH(Validation!E8153,Lists!G:G,0))</f>
        <v>Error</v>
      </c>
      <c r="G8153" t="str">
        <f>INDEX(Lists!H:H,MATCH(Validation!E8153,Lists!G:G,0))</f>
        <v>Duplicate district name. Do not enter the same district more than once.</v>
      </c>
      <c r="H8153" s="16" t="str">
        <f t="shared" ca="1" si="912"/>
        <v/>
      </c>
      <c r="I8153" s="16" t="str">
        <f t="shared" ca="1" si="913"/>
        <v/>
      </c>
      <c r="J8153" s="17" t="str">
        <f t="shared" si="914"/>
        <v/>
      </c>
    </row>
    <row r="8154" spans="1:10" x14ac:dyDescent="0.25">
      <c r="A8154" t="s">
        <v>320</v>
      </c>
      <c r="B8154" t="str">
        <f>ADDRESS(ROW(Transfers!A21),COLUMN(Transfers!A21),4)</f>
        <v>A21</v>
      </c>
      <c r="C8154" t="str">
        <f>ADDRESS(ROW(Transfers!H21),COLUMN(Transfers!H21),4)</f>
        <v>H21</v>
      </c>
      <c r="D8154" t="b">
        <f>IF(COUNTIF(TIF_Transfer_TransferName,Transfers!A21)&gt;1,TRUE,FALSE)</f>
        <v>0</v>
      </c>
      <c r="E8154" t="s">
        <v>1030</v>
      </c>
      <c r="F8154" t="str">
        <f>INDEX(Lists!I:I,MATCH(Validation!E8154,Lists!G:G,0))</f>
        <v>Error</v>
      </c>
      <c r="G8154" t="str">
        <f>INDEX(Lists!H:H,MATCH(Validation!E8154,Lists!G:G,0))</f>
        <v>Duplicate district name. Do not enter the same district more than once.</v>
      </c>
      <c r="H8154" s="16" t="str">
        <f t="shared" ca="1" si="912"/>
        <v/>
      </c>
      <c r="I8154" s="16" t="str">
        <f t="shared" ca="1" si="913"/>
        <v/>
      </c>
      <c r="J8154" s="17" t="str">
        <f t="shared" si="914"/>
        <v/>
      </c>
    </row>
    <row r="8155" spans="1:10" x14ac:dyDescent="0.25">
      <c r="A8155" t="s">
        <v>320</v>
      </c>
      <c r="B8155" t="str">
        <f>ADDRESS(ROW(Transfers!A22),COLUMN(Transfers!A22),4)</f>
        <v>A22</v>
      </c>
      <c r="C8155" t="str">
        <f>ADDRESS(ROW(Transfers!H22),COLUMN(Transfers!H22),4)</f>
        <v>H22</v>
      </c>
      <c r="D8155" t="b">
        <f>IF(COUNTIF(TIF_Transfer_TransferName,Transfers!A22)&gt;1,TRUE,FALSE)</f>
        <v>0</v>
      </c>
      <c r="E8155" t="s">
        <v>1030</v>
      </c>
      <c r="F8155" t="str">
        <f>INDEX(Lists!I:I,MATCH(Validation!E8155,Lists!G:G,0))</f>
        <v>Error</v>
      </c>
      <c r="G8155" t="str">
        <f>INDEX(Lists!H:H,MATCH(Validation!E8155,Lists!G:G,0))</f>
        <v>Duplicate district name. Do not enter the same district more than once.</v>
      </c>
      <c r="H8155" s="16" t="str">
        <f t="shared" ca="1" si="912"/>
        <v/>
      </c>
      <c r="I8155" s="16" t="str">
        <f t="shared" ca="1" si="913"/>
        <v/>
      </c>
      <c r="J8155" s="17" t="str">
        <f t="shared" si="914"/>
        <v/>
      </c>
    </row>
    <row r="8156" spans="1:10" x14ac:dyDescent="0.25">
      <c r="A8156" t="s">
        <v>320</v>
      </c>
      <c r="B8156" t="str">
        <f>ADDRESS(ROW(Transfers!A23),COLUMN(Transfers!A23),4)</f>
        <v>A23</v>
      </c>
      <c r="C8156" t="str">
        <f>ADDRESS(ROW(Transfers!H23),COLUMN(Transfers!H23),4)</f>
        <v>H23</v>
      </c>
      <c r="D8156" t="b">
        <f>IF(COUNTIF(TIF_Transfer_TransferName,Transfers!A23)&gt;1,TRUE,FALSE)</f>
        <v>0</v>
      </c>
      <c r="E8156" t="s">
        <v>1030</v>
      </c>
      <c r="F8156" t="str">
        <f>INDEX(Lists!I:I,MATCH(Validation!E8156,Lists!G:G,0))</f>
        <v>Error</v>
      </c>
      <c r="G8156" t="str">
        <f>INDEX(Lists!H:H,MATCH(Validation!E8156,Lists!G:G,0))</f>
        <v>Duplicate district name. Do not enter the same district more than once.</v>
      </c>
      <c r="H8156" s="16" t="str">
        <f t="shared" ca="1" si="912"/>
        <v/>
      </c>
      <c r="I8156" s="16" t="str">
        <f t="shared" ca="1" si="913"/>
        <v/>
      </c>
      <c r="J8156" s="17" t="str">
        <f t="shared" si="914"/>
        <v/>
      </c>
    </row>
    <row r="8157" spans="1:10" x14ac:dyDescent="0.25">
      <c r="A8157" t="s">
        <v>320</v>
      </c>
      <c r="B8157" t="str">
        <f>ADDRESS(ROW(Transfers!A24),COLUMN(Transfers!A24),4)</f>
        <v>A24</v>
      </c>
      <c r="C8157" t="str">
        <f>ADDRESS(ROW(Transfers!H24),COLUMN(Transfers!H24),4)</f>
        <v>H24</v>
      </c>
      <c r="D8157" t="b">
        <f>IF(COUNTIF(TIF_Transfer_TransferName,Transfers!A24)&gt;1,TRUE,FALSE)</f>
        <v>0</v>
      </c>
      <c r="E8157" t="s">
        <v>1030</v>
      </c>
      <c r="F8157" t="str">
        <f>INDEX(Lists!I:I,MATCH(Validation!E8157,Lists!G:G,0))</f>
        <v>Error</v>
      </c>
      <c r="G8157" t="str">
        <f>INDEX(Lists!H:H,MATCH(Validation!E8157,Lists!G:G,0))</f>
        <v>Duplicate district name. Do not enter the same district more than once.</v>
      </c>
      <c r="H8157" s="16" t="str">
        <f t="shared" ca="1" si="912"/>
        <v/>
      </c>
      <c r="I8157" s="16" t="str">
        <f t="shared" ca="1" si="913"/>
        <v/>
      </c>
      <c r="J8157" s="17" t="str">
        <f t="shared" si="914"/>
        <v/>
      </c>
    </row>
    <row r="8158" spans="1:10" x14ac:dyDescent="0.25">
      <c r="A8158" t="s">
        <v>320</v>
      </c>
      <c r="B8158" t="str">
        <f>ADDRESS(ROW(Transfers!A25),COLUMN(Transfers!A25),4)</f>
        <v>A25</v>
      </c>
      <c r="C8158" t="str">
        <f>ADDRESS(ROW(Transfers!H25),COLUMN(Transfers!H25),4)</f>
        <v>H25</v>
      </c>
      <c r="D8158" t="b">
        <f>IF(COUNTIF(TIF_Transfer_TransferName,Transfers!A25)&gt;1,TRUE,FALSE)</f>
        <v>0</v>
      </c>
      <c r="E8158" t="s">
        <v>1030</v>
      </c>
      <c r="F8158" t="str">
        <f>INDEX(Lists!I:I,MATCH(Validation!E8158,Lists!G:G,0))</f>
        <v>Error</v>
      </c>
      <c r="G8158" t="str">
        <f>INDEX(Lists!H:H,MATCH(Validation!E8158,Lists!G:G,0))</f>
        <v>Duplicate district name. Do not enter the same district more than once.</v>
      </c>
      <c r="H8158" s="16" t="str">
        <f t="shared" ca="1" si="912"/>
        <v/>
      </c>
      <c r="I8158" s="16" t="str">
        <f t="shared" ca="1" si="913"/>
        <v/>
      </c>
      <c r="J8158" s="17" t="str">
        <f t="shared" si="914"/>
        <v/>
      </c>
    </row>
    <row r="8159" spans="1:10" x14ac:dyDescent="0.25">
      <c r="A8159" t="s">
        <v>320</v>
      </c>
      <c r="B8159" t="str">
        <f>ADDRESS(ROW(Transfers!A26),COLUMN(Transfers!A26),4)</f>
        <v>A26</v>
      </c>
      <c r="C8159" t="str">
        <f>ADDRESS(ROW(Transfers!H26),COLUMN(Transfers!H26),4)</f>
        <v>H26</v>
      </c>
      <c r="D8159" t="b">
        <f>IF(COUNTIF(TIF_Transfer_TransferName,Transfers!A26)&gt;1,TRUE,FALSE)</f>
        <v>0</v>
      </c>
      <c r="E8159" t="s">
        <v>1030</v>
      </c>
      <c r="F8159" t="str">
        <f>INDEX(Lists!I:I,MATCH(Validation!E8159,Lists!G:G,0))</f>
        <v>Error</v>
      </c>
      <c r="G8159" t="str">
        <f>INDEX(Lists!H:H,MATCH(Validation!E8159,Lists!G:G,0))</f>
        <v>Duplicate district name. Do not enter the same district more than once.</v>
      </c>
      <c r="H8159" s="16" t="str">
        <f t="shared" ca="1" si="912"/>
        <v/>
      </c>
      <c r="I8159" s="16" t="str">
        <f t="shared" ca="1" si="913"/>
        <v/>
      </c>
      <c r="J8159" s="17" t="str">
        <f t="shared" si="914"/>
        <v/>
      </c>
    </row>
    <row r="8160" spans="1:10" x14ac:dyDescent="0.25">
      <c r="A8160" t="s">
        <v>320</v>
      </c>
      <c r="B8160" t="str">
        <f>ADDRESS(ROW(Transfers!A27),COLUMN(Transfers!A27),4)</f>
        <v>A27</v>
      </c>
      <c r="C8160" t="str">
        <f>ADDRESS(ROW(Transfers!H27),COLUMN(Transfers!H27),4)</f>
        <v>H27</v>
      </c>
      <c r="D8160" t="b">
        <f>IF(COUNTIF(TIF_Transfer_TransferName,Transfers!A27)&gt;1,TRUE,FALSE)</f>
        <v>0</v>
      </c>
      <c r="E8160" t="s">
        <v>1030</v>
      </c>
      <c r="F8160" t="str">
        <f>INDEX(Lists!I:I,MATCH(Validation!E8160,Lists!G:G,0))</f>
        <v>Error</v>
      </c>
      <c r="G8160" t="str">
        <f>INDEX(Lists!H:H,MATCH(Validation!E8160,Lists!G:G,0))</f>
        <v>Duplicate district name. Do not enter the same district more than once.</v>
      </c>
      <c r="H8160" s="16" t="str">
        <f t="shared" ca="1" si="912"/>
        <v/>
      </c>
      <c r="I8160" s="16" t="str">
        <f t="shared" ca="1" si="913"/>
        <v/>
      </c>
      <c r="J8160" s="17" t="str">
        <f t="shared" si="914"/>
        <v/>
      </c>
    </row>
    <row r="8161" spans="1:10" x14ac:dyDescent="0.25">
      <c r="A8161" t="s">
        <v>320</v>
      </c>
      <c r="B8161" t="str">
        <f>ADDRESS(ROW(Transfers!A28),COLUMN(Transfers!A28),4)</f>
        <v>A28</v>
      </c>
      <c r="C8161" t="str">
        <f>ADDRESS(ROW(Transfers!H28),COLUMN(Transfers!H28),4)</f>
        <v>H28</v>
      </c>
      <c r="D8161" t="b">
        <f>IF(COUNTIF(TIF_Transfer_TransferName,Transfers!A28)&gt;1,TRUE,FALSE)</f>
        <v>0</v>
      </c>
      <c r="E8161" t="s">
        <v>1030</v>
      </c>
      <c r="F8161" t="str">
        <f>INDEX(Lists!I:I,MATCH(Validation!E8161,Lists!G:G,0))</f>
        <v>Error</v>
      </c>
      <c r="G8161" t="str">
        <f>INDEX(Lists!H:H,MATCH(Validation!E8161,Lists!G:G,0))</f>
        <v>Duplicate district name. Do not enter the same district more than once.</v>
      </c>
      <c r="H8161" s="16" t="str">
        <f t="shared" ca="1" si="912"/>
        <v/>
      </c>
      <c r="I8161" s="16" t="str">
        <f t="shared" ca="1" si="913"/>
        <v/>
      </c>
      <c r="J8161" s="17" t="str">
        <f t="shared" si="914"/>
        <v/>
      </c>
    </row>
    <row r="8162" spans="1:10" x14ac:dyDescent="0.25">
      <c r="A8162" t="s">
        <v>320</v>
      </c>
      <c r="B8162" t="str">
        <f>ADDRESS(ROW(Transfers!A29),COLUMN(Transfers!A29),4)</f>
        <v>A29</v>
      </c>
      <c r="C8162" t="str">
        <f>ADDRESS(ROW(Transfers!H29),COLUMN(Transfers!H29),4)</f>
        <v>H29</v>
      </c>
      <c r="D8162" t="b">
        <f>IF(COUNTIF(TIF_Transfer_TransferName,Transfers!A29)&gt;1,TRUE,FALSE)</f>
        <v>0</v>
      </c>
      <c r="E8162" t="s">
        <v>1030</v>
      </c>
      <c r="F8162" t="str">
        <f>INDEX(Lists!I:I,MATCH(Validation!E8162,Lists!G:G,0))</f>
        <v>Error</v>
      </c>
      <c r="G8162" t="str">
        <f>INDEX(Lists!H:H,MATCH(Validation!E8162,Lists!G:G,0))</f>
        <v>Duplicate district name. Do not enter the same district more than once.</v>
      </c>
      <c r="H8162" s="16" t="str">
        <f t="shared" ca="1" si="912"/>
        <v/>
      </c>
      <c r="I8162" s="16" t="str">
        <f t="shared" ca="1" si="913"/>
        <v/>
      </c>
      <c r="J8162" s="17" t="str">
        <f t="shared" si="914"/>
        <v/>
      </c>
    </row>
    <row r="8163" spans="1:10" x14ac:dyDescent="0.25">
      <c r="A8163" t="s">
        <v>320</v>
      </c>
      <c r="B8163" t="str">
        <f>ADDRESS(ROW(Transfers!A30),COLUMN(Transfers!A30),4)</f>
        <v>A30</v>
      </c>
      <c r="C8163" t="str">
        <f>ADDRESS(ROW(Transfers!H30),COLUMN(Transfers!H30),4)</f>
        <v>H30</v>
      </c>
      <c r="D8163" t="b">
        <f>IF(COUNTIF(TIF_Transfer_TransferName,Transfers!A30)&gt;1,TRUE,FALSE)</f>
        <v>0</v>
      </c>
      <c r="E8163" t="s">
        <v>1030</v>
      </c>
      <c r="F8163" t="str">
        <f>INDEX(Lists!I:I,MATCH(Validation!E8163,Lists!G:G,0))</f>
        <v>Error</v>
      </c>
      <c r="G8163" t="str">
        <f>INDEX(Lists!H:H,MATCH(Validation!E8163,Lists!G:G,0))</f>
        <v>Duplicate district name. Do not enter the same district more than once.</v>
      </c>
      <c r="H8163" s="16" t="str">
        <f t="shared" ca="1" si="912"/>
        <v/>
      </c>
      <c r="I8163" s="16" t="str">
        <f t="shared" ca="1" si="913"/>
        <v/>
      </c>
      <c r="J8163" s="17" t="str">
        <f t="shared" si="914"/>
        <v/>
      </c>
    </row>
    <row r="8164" spans="1:10" x14ac:dyDescent="0.25">
      <c r="A8164" t="s">
        <v>320</v>
      </c>
      <c r="B8164" t="str">
        <f>ADDRESS(ROW(Transfers!A9),COLUMN(Transfers!A9),4)</f>
        <v>A9</v>
      </c>
      <c r="C8164" t="str">
        <f>ADDRESS(ROW(Transfers!H9),COLUMN(Transfers!H9),4)</f>
        <v>H9</v>
      </c>
      <c r="D8164" t="b">
        <f>IF(AND(OR(Transfers!A9="Select One",ISBLANK(Transfers!A9)),COUNTA(Transfers!B9,Transfers!C9,Transfers!E9,Transfers!F9)&lt;&gt;0),TRUE,FALSE)</f>
        <v>0</v>
      </c>
      <c r="E8164" t="s">
        <v>1034</v>
      </c>
      <c r="F8164" t="str">
        <f>INDEX(Lists!I:I,MATCH(Validation!E8164,Lists!G:G,0))</f>
        <v>Error</v>
      </c>
      <c r="G8164" t="str">
        <f>INDEX(Lists!H:H,MATCH(Validation!E8164,Lists!G:G,0))</f>
        <v>Select the district from the dropdown first before entering values.</v>
      </c>
      <c r="H8164" s="16" t="str">
        <f t="shared" ref="H8164:H8186" ca="1" si="921">IFERROR(IF(OR(NOT(D8164),F8164&lt;&gt;"Error"),"",A8164&amp;CELL("address",INDIRECT(B8164))),"")</f>
        <v/>
      </c>
      <c r="I8164" s="16" t="str">
        <f t="shared" ref="I8164:I8186" ca="1" si="922">IFERROR(IF(NOT(D8164),"",A8164&amp;CELL("address",INDIRECT(C8164))),"")</f>
        <v/>
      </c>
      <c r="J8164" s="17" t="str">
        <f t="shared" ref="J8164:J8186" si="923">IFERROR(IF(NOT(D8164),"",A8164),"")</f>
        <v/>
      </c>
    </row>
    <row r="8165" spans="1:10" x14ac:dyDescent="0.25">
      <c r="A8165" t="s">
        <v>320</v>
      </c>
      <c r="B8165" t="str">
        <f>ADDRESS(ROW(Transfers!A10),COLUMN(Transfers!A10),4)</f>
        <v>A10</v>
      </c>
      <c r="C8165" t="str">
        <f>ADDRESS(ROW(Transfers!H10),COLUMN(Transfers!H10),4)</f>
        <v>H10</v>
      </c>
      <c r="D8165" t="b">
        <f>IF(AND(OR(Transfers!A10="Select One",ISBLANK(Transfers!A10)),COUNTA(Transfers!B10,Transfers!C10,Transfers!E10,Transfers!F10)&lt;&gt;0),TRUE,FALSE)</f>
        <v>0</v>
      </c>
      <c r="E8165" t="s">
        <v>1034</v>
      </c>
      <c r="F8165" t="str">
        <f>INDEX(Lists!I:I,MATCH(Validation!E8165,Lists!G:G,0))</f>
        <v>Error</v>
      </c>
      <c r="G8165" t="str">
        <f>INDEX(Lists!H:H,MATCH(Validation!E8165,Lists!G:G,0))</f>
        <v>Select the district from the dropdown first before entering values.</v>
      </c>
      <c r="H8165" s="16" t="str">
        <f t="shared" ca="1" si="921"/>
        <v/>
      </c>
      <c r="I8165" s="16" t="str">
        <f t="shared" ca="1" si="922"/>
        <v/>
      </c>
      <c r="J8165" s="17" t="str">
        <f t="shared" si="923"/>
        <v/>
      </c>
    </row>
    <row r="8166" spans="1:10" x14ac:dyDescent="0.25">
      <c r="A8166" t="s">
        <v>320</v>
      </c>
      <c r="B8166" t="str">
        <f>ADDRESS(ROW(Transfers!A11),COLUMN(Transfers!A11),4)</f>
        <v>A11</v>
      </c>
      <c r="C8166" t="str">
        <f>ADDRESS(ROW(Transfers!H11),COLUMN(Transfers!H11),4)</f>
        <v>H11</v>
      </c>
      <c r="D8166" t="b">
        <f>IF(AND(OR(Transfers!A11="Select One",ISBLANK(Transfers!A11)),COUNTA(Transfers!B11,Transfers!C11,Transfers!E11,Transfers!F11)&lt;&gt;0),TRUE,FALSE)</f>
        <v>0</v>
      </c>
      <c r="E8166" t="s">
        <v>1034</v>
      </c>
      <c r="F8166" t="str">
        <f>INDEX(Lists!I:I,MATCH(Validation!E8166,Lists!G:G,0))</f>
        <v>Error</v>
      </c>
      <c r="G8166" t="str">
        <f>INDEX(Lists!H:H,MATCH(Validation!E8166,Lists!G:G,0))</f>
        <v>Select the district from the dropdown first before entering values.</v>
      </c>
      <c r="H8166" s="16" t="str">
        <f t="shared" ca="1" si="921"/>
        <v/>
      </c>
      <c r="I8166" s="16" t="str">
        <f t="shared" ca="1" si="922"/>
        <v/>
      </c>
      <c r="J8166" s="17" t="str">
        <f t="shared" si="923"/>
        <v/>
      </c>
    </row>
    <row r="8167" spans="1:10" x14ac:dyDescent="0.25">
      <c r="A8167" t="s">
        <v>320</v>
      </c>
      <c r="B8167" t="str">
        <f>ADDRESS(ROW(Transfers!A12),COLUMN(Transfers!A12),4)</f>
        <v>A12</v>
      </c>
      <c r="C8167" t="str">
        <f>ADDRESS(ROW(Transfers!H12),COLUMN(Transfers!H12),4)</f>
        <v>H12</v>
      </c>
      <c r="D8167" t="b">
        <f>IF(AND(OR(Transfers!A12="Select One",ISBLANK(Transfers!A12)),COUNTA(Transfers!B12,Transfers!C12,Transfers!E12,Transfers!F12)&lt;&gt;0),TRUE,FALSE)</f>
        <v>0</v>
      </c>
      <c r="E8167" t="s">
        <v>1034</v>
      </c>
      <c r="F8167" t="str">
        <f>INDEX(Lists!I:I,MATCH(Validation!E8167,Lists!G:G,0))</f>
        <v>Error</v>
      </c>
      <c r="G8167" t="str">
        <f>INDEX(Lists!H:H,MATCH(Validation!E8167,Lists!G:G,0))</f>
        <v>Select the district from the dropdown first before entering values.</v>
      </c>
      <c r="H8167" s="16" t="str">
        <f t="shared" ca="1" si="921"/>
        <v/>
      </c>
      <c r="I8167" s="16" t="str">
        <f t="shared" ca="1" si="922"/>
        <v/>
      </c>
      <c r="J8167" s="17" t="str">
        <f t="shared" si="923"/>
        <v/>
      </c>
    </row>
    <row r="8168" spans="1:10" x14ac:dyDescent="0.25">
      <c r="A8168" t="s">
        <v>320</v>
      </c>
      <c r="B8168" t="str">
        <f>ADDRESS(ROW(Transfers!A13),COLUMN(Transfers!A13),4)</f>
        <v>A13</v>
      </c>
      <c r="C8168" t="str">
        <f>ADDRESS(ROW(Transfers!H13),COLUMN(Transfers!H13),4)</f>
        <v>H13</v>
      </c>
      <c r="D8168" t="b">
        <f>IF(AND(OR(Transfers!A13="Select One",ISBLANK(Transfers!A13)),COUNTA(Transfers!B13,Transfers!C13,Transfers!E13,Transfers!F13)&lt;&gt;0),TRUE,FALSE)</f>
        <v>0</v>
      </c>
      <c r="E8168" t="s">
        <v>1034</v>
      </c>
      <c r="F8168" t="str">
        <f>INDEX(Lists!I:I,MATCH(Validation!E8168,Lists!G:G,0))</f>
        <v>Error</v>
      </c>
      <c r="G8168" t="str">
        <f>INDEX(Lists!H:H,MATCH(Validation!E8168,Lists!G:G,0))</f>
        <v>Select the district from the dropdown first before entering values.</v>
      </c>
      <c r="H8168" s="16" t="str">
        <f t="shared" ca="1" si="921"/>
        <v/>
      </c>
      <c r="I8168" s="16" t="str">
        <f t="shared" ca="1" si="922"/>
        <v/>
      </c>
      <c r="J8168" s="17" t="str">
        <f t="shared" si="923"/>
        <v/>
      </c>
    </row>
    <row r="8169" spans="1:10" x14ac:dyDescent="0.25">
      <c r="A8169" t="s">
        <v>320</v>
      </c>
      <c r="B8169" t="str">
        <f>ADDRESS(ROW(Transfers!A14),COLUMN(Transfers!A14),4)</f>
        <v>A14</v>
      </c>
      <c r="C8169" t="str">
        <f>ADDRESS(ROW(Transfers!H14),COLUMN(Transfers!H14),4)</f>
        <v>H14</v>
      </c>
      <c r="D8169" t="b">
        <f>IF(AND(OR(Transfers!A14="Select One",ISBLANK(Transfers!A14)),COUNTA(Transfers!B14,Transfers!C14,Transfers!E14,Transfers!F14)&lt;&gt;0),TRUE,FALSE)</f>
        <v>0</v>
      </c>
      <c r="E8169" t="s">
        <v>1034</v>
      </c>
      <c r="F8169" t="str">
        <f>INDEX(Lists!I:I,MATCH(Validation!E8169,Lists!G:G,0))</f>
        <v>Error</v>
      </c>
      <c r="G8169" t="str">
        <f>INDEX(Lists!H:H,MATCH(Validation!E8169,Lists!G:G,0))</f>
        <v>Select the district from the dropdown first before entering values.</v>
      </c>
      <c r="H8169" s="16" t="str">
        <f t="shared" ca="1" si="921"/>
        <v/>
      </c>
      <c r="I8169" s="16" t="str">
        <f t="shared" ca="1" si="922"/>
        <v/>
      </c>
      <c r="J8169" s="17" t="str">
        <f t="shared" si="923"/>
        <v/>
      </c>
    </row>
    <row r="8170" spans="1:10" x14ac:dyDescent="0.25">
      <c r="A8170" t="s">
        <v>320</v>
      </c>
      <c r="B8170" t="str">
        <f>ADDRESS(ROW(Transfers!A15),COLUMN(Transfers!A15),4)</f>
        <v>A15</v>
      </c>
      <c r="C8170" t="str">
        <f>ADDRESS(ROW(Transfers!H15),COLUMN(Transfers!H15),4)</f>
        <v>H15</v>
      </c>
      <c r="D8170" t="b">
        <f>IF(AND(OR(Transfers!A15="Select One",ISBLANK(Transfers!A15)),COUNTA(Transfers!B15,Transfers!C15,Transfers!E15,Transfers!F15)&lt;&gt;0),TRUE,FALSE)</f>
        <v>0</v>
      </c>
      <c r="E8170" t="s">
        <v>1034</v>
      </c>
      <c r="F8170" t="str">
        <f>INDEX(Lists!I:I,MATCH(Validation!E8170,Lists!G:G,0))</f>
        <v>Error</v>
      </c>
      <c r="G8170" t="str">
        <f>INDEX(Lists!H:H,MATCH(Validation!E8170,Lists!G:G,0))</f>
        <v>Select the district from the dropdown first before entering values.</v>
      </c>
      <c r="H8170" s="16" t="str">
        <f t="shared" ca="1" si="921"/>
        <v/>
      </c>
      <c r="I8170" s="16" t="str">
        <f t="shared" ca="1" si="922"/>
        <v/>
      </c>
      <c r="J8170" s="17" t="str">
        <f t="shared" si="923"/>
        <v/>
      </c>
    </row>
    <row r="8171" spans="1:10" x14ac:dyDescent="0.25">
      <c r="A8171" t="s">
        <v>320</v>
      </c>
      <c r="B8171" t="str">
        <f>ADDRESS(ROW(Transfers!A16),COLUMN(Transfers!A16),4)</f>
        <v>A16</v>
      </c>
      <c r="C8171" t="str">
        <f>ADDRESS(ROW(Transfers!H16),COLUMN(Transfers!H16),4)</f>
        <v>H16</v>
      </c>
      <c r="D8171" t="b">
        <f>IF(AND(OR(Transfers!A16="Select One",ISBLANK(Transfers!A16)),COUNTA(Transfers!B16,Transfers!C16,Transfers!E16,Transfers!F16)&lt;&gt;0),TRUE,FALSE)</f>
        <v>0</v>
      </c>
      <c r="E8171" t="s">
        <v>1034</v>
      </c>
      <c r="F8171" t="str">
        <f>INDEX(Lists!I:I,MATCH(Validation!E8171,Lists!G:G,0))</f>
        <v>Error</v>
      </c>
      <c r="G8171" t="str">
        <f>INDEX(Lists!H:H,MATCH(Validation!E8171,Lists!G:G,0))</f>
        <v>Select the district from the dropdown first before entering values.</v>
      </c>
      <c r="H8171" s="16" t="str">
        <f t="shared" ca="1" si="921"/>
        <v/>
      </c>
      <c r="I8171" s="16" t="str">
        <f t="shared" ca="1" si="922"/>
        <v/>
      </c>
      <c r="J8171" s="17" t="str">
        <f t="shared" si="923"/>
        <v/>
      </c>
    </row>
    <row r="8172" spans="1:10" x14ac:dyDescent="0.25">
      <c r="A8172" t="s">
        <v>320</v>
      </c>
      <c r="B8172" t="str">
        <f>ADDRESS(ROW(Transfers!A17),COLUMN(Transfers!A17),4)</f>
        <v>A17</v>
      </c>
      <c r="C8172" t="str">
        <f>ADDRESS(ROW(Transfers!H17),COLUMN(Transfers!H17),4)</f>
        <v>H17</v>
      </c>
      <c r="D8172" t="b">
        <f>IF(AND(OR(Transfers!A17="Select One",ISBLANK(Transfers!A17)),COUNTA(Transfers!B17,Transfers!C17,Transfers!E17,Transfers!F17)&lt;&gt;0),TRUE,FALSE)</f>
        <v>0</v>
      </c>
      <c r="E8172" t="s">
        <v>1034</v>
      </c>
      <c r="F8172" t="str">
        <f>INDEX(Lists!I:I,MATCH(Validation!E8172,Lists!G:G,0))</f>
        <v>Error</v>
      </c>
      <c r="G8172" t="str">
        <f>INDEX(Lists!H:H,MATCH(Validation!E8172,Lists!G:G,0))</f>
        <v>Select the district from the dropdown first before entering values.</v>
      </c>
      <c r="H8172" s="16" t="str">
        <f t="shared" ca="1" si="921"/>
        <v/>
      </c>
      <c r="I8172" s="16" t="str">
        <f t="shared" ca="1" si="922"/>
        <v/>
      </c>
      <c r="J8172" s="17" t="str">
        <f t="shared" si="923"/>
        <v/>
      </c>
    </row>
    <row r="8173" spans="1:10" x14ac:dyDescent="0.25">
      <c r="A8173" t="s">
        <v>320</v>
      </c>
      <c r="B8173" t="str">
        <f>ADDRESS(ROW(Transfers!A18),COLUMN(Transfers!A18),4)</f>
        <v>A18</v>
      </c>
      <c r="C8173" t="str">
        <f>ADDRESS(ROW(Transfers!H18),COLUMN(Transfers!H18),4)</f>
        <v>H18</v>
      </c>
      <c r="D8173" t="b">
        <f>IF(AND(OR(Transfers!A18="Select One",ISBLANK(Transfers!A18)),COUNTA(Transfers!B18,Transfers!C18,Transfers!E18,Transfers!F18)&lt;&gt;0),TRUE,FALSE)</f>
        <v>0</v>
      </c>
      <c r="E8173" t="s">
        <v>1034</v>
      </c>
      <c r="F8173" t="str">
        <f>INDEX(Lists!I:I,MATCH(Validation!E8173,Lists!G:G,0))</f>
        <v>Error</v>
      </c>
      <c r="G8173" t="str">
        <f>INDEX(Lists!H:H,MATCH(Validation!E8173,Lists!G:G,0))</f>
        <v>Select the district from the dropdown first before entering values.</v>
      </c>
      <c r="H8173" s="16" t="str">
        <f t="shared" ca="1" si="921"/>
        <v/>
      </c>
      <c r="I8173" s="16" t="str">
        <f t="shared" ca="1" si="922"/>
        <v/>
      </c>
      <c r="J8173" s="17" t="str">
        <f t="shared" si="923"/>
        <v/>
      </c>
    </row>
    <row r="8174" spans="1:10" x14ac:dyDescent="0.25">
      <c r="A8174" t="s">
        <v>320</v>
      </c>
      <c r="B8174" t="str">
        <f>ADDRESS(ROW(Transfers!A19),COLUMN(Transfers!A19),4)</f>
        <v>A19</v>
      </c>
      <c r="C8174" t="str">
        <f>ADDRESS(ROW(Transfers!H19),COLUMN(Transfers!H19),4)</f>
        <v>H19</v>
      </c>
      <c r="D8174" t="b">
        <f>IF(AND(OR(Transfers!A19="Select One",ISBLANK(Transfers!A19)),COUNTA(Transfers!B19,Transfers!C19,Transfers!E19,Transfers!F19)&lt;&gt;0),TRUE,FALSE)</f>
        <v>0</v>
      </c>
      <c r="E8174" t="s">
        <v>1034</v>
      </c>
      <c r="F8174" t="str">
        <f>INDEX(Lists!I:I,MATCH(Validation!E8174,Lists!G:G,0))</f>
        <v>Error</v>
      </c>
      <c r="G8174" t="str">
        <f>INDEX(Lists!H:H,MATCH(Validation!E8174,Lists!G:G,0))</f>
        <v>Select the district from the dropdown first before entering values.</v>
      </c>
      <c r="H8174" s="16" t="str">
        <f t="shared" ca="1" si="921"/>
        <v/>
      </c>
      <c r="I8174" s="16" t="str">
        <f t="shared" ca="1" si="922"/>
        <v/>
      </c>
      <c r="J8174" s="17" t="str">
        <f t="shared" si="923"/>
        <v/>
      </c>
    </row>
    <row r="8175" spans="1:10" x14ac:dyDescent="0.25">
      <c r="A8175" t="s">
        <v>320</v>
      </c>
      <c r="B8175" t="str">
        <f>ADDRESS(ROW(Transfers!A20),COLUMN(Transfers!A20),4)</f>
        <v>A20</v>
      </c>
      <c r="C8175" t="str">
        <f>ADDRESS(ROW(Transfers!H20),COLUMN(Transfers!H20),4)</f>
        <v>H20</v>
      </c>
      <c r="D8175" t="b">
        <f>IF(AND(OR(Transfers!A20="Select One",ISBLANK(Transfers!A20)),COUNTA(Transfers!B20,Transfers!C20,Transfers!E20,Transfers!F20)&lt;&gt;0),TRUE,FALSE)</f>
        <v>0</v>
      </c>
      <c r="E8175" t="s">
        <v>1034</v>
      </c>
      <c r="F8175" t="str">
        <f>INDEX(Lists!I:I,MATCH(Validation!E8175,Lists!G:G,0))</f>
        <v>Error</v>
      </c>
      <c r="G8175" t="str">
        <f>INDEX(Lists!H:H,MATCH(Validation!E8175,Lists!G:G,0))</f>
        <v>Select the district from the dropdown first before entering values.</v>
      </c>
      <c r="H8175" s="16" t="str">
        <f t="shared" ca="1" si="921"/>
        <v/>
      </c>
      <c r="I8175" s="16" t="str">
        <f t="shared" ca="1" si="922"/>
        <v/>
      </c>
      <c r="J8175" s="17" t="str">
        <f t="shared" si="923"/>
        <v/>
      </c>
    </row>
    <row r="8176" spans="1:10" x14ac:dyDescent="0.25">
      <c r="A8176" t="s">
        <v>320</v>
      </c>
      <c r="B8176" t="str">
        <f>ADDRESS(ROW(Transfers!A21),COLUMN(Transfers!A21),4)</f>
        <v>A21</v>
      </c>
      <c r="C8176" t="str">
        <f>ADDRESS(ROW(Transfers!H21),COLUMN(Transfers!H21),4)</f>
        <v>H21</v>
      </c>
      <c r="D8176" t="b">
        <f>IF(AND(OR(Transfers!A21="Select One",ISBLANK(Transfers!A21)),COUNTA(Transfers!B21,Transfers!C21,Transfers!E21,Transfers!F21)&lt;&gt;0),TRUE,FALSE)</f>
        <v>0</v>
      </c>
      <c r="E8176" t="s">
        <v>1034</v>
      </c>
      <c r="F8176" t="str">
        <f>INDEX(Lists!I:I,MATCH(Validation!E8176,Lists!G:G,0))</f>
        <v>Error</v>
      </c>
      <c r="G8176" t="str">
        <f>INDEX(Lists!H:H,MATCH(Validation!E8176,Lists!G:G,0))</f>
        <v>Select the district from the dropdown first before entering values.</v>
      </c>
      <c r="H8176" s="16" t="str">
        <f t="shared" ca="1" si="921"/>
        <v/>
      </c>
      <c r="I8176" s="16" t="str">
        <f t="shared" ca="1" si="922"/>
        <v/>
      </c>
      <c r="J8176" s="17" t="str">
        <f t="shared" si="923"/>
        <v/>
      </c>
    </row>
    <row r="8177" spans="1:10" x14ac:dyDescent="0.25">
      <c r="A8177" t="s">
        <v>320</v>
      </c>
      <c r="B8177" t="str">
        <f>ADDRESS(ROW(Transfers!A22),COLUMN(Transfers!A22),4)</f>
        <v>A22</v>
      </c>
      <c r="C8177" t="str">
        <f>ADDRESS(ROW(Transfers!H22),COLUMN(Transfers!H22),4)</f>
        <v>H22</v>
      </c>
      <c r="D8177" t="b">
        <f>IF(AND(OR(Transfers!A22="Select One",ISBLANK(Transfers!A22)),COUNTA(Transfers!B22,Transfers!C22,Transfers!E22,Transfers!F22)&lt;&gt;0),TRUE,FALSE)</f>
        <v>0</v>
      </c>
      <c r="E8177" t="s">
        <v>1034</v>
      </c>
      <c r="F8177" t="str">
        <f>INDEX(Lists!I:I,MATCH(Validation!E8177,Lists!G:G,0))</f>
        <v>Error</v>
      </c>
      <c r="G8177" t="str">
        <f>INDEX(Lists!H:H,MATCH(Validation!E8177,Lists!G:G,0))</f>
        <v>Select the district from the dropdown first before entering values.</v>
      </c>
      <c r="H8177" s="16" t="str">
        <f t="shared" ca="1" si="921"/>
        <v/>
      </c>
      <c r="I8177" s="16" t="str">
        <f t="shared" ca="1" si="922"/>
        <v/>
      </c>
      <c r="J8177" s="17" t="str">
        <f t="shared" si="923"/>
        <v/>
      </c>
    </row>
    <row r="8178" spans="1:10" x14ac:dyDescent="0.25">
      <c r="A8178" t="s">
        <v>320</v>
      </c>
      <c r="B8178" t="str">
        <f>ADDRESS(ROW(Transfers!A23),COLUMN(Transfers!A23),4)</f>
        <v>A23</v>
      </c>
      <c r="C8178" t="str">
        <f>ADDRESS(ROW(Transfers!H23),COLUMN(Transfers!H23),4)</f>
        <v>H23</v>
      </c>
      <c r="D8178" t="b">
        <f>IF(AND(OR(Transfers!A23="Select One",ISBLANK(Transfers!A23)),COUNTA(Transfers!B23,Transfers!C23,Transfers!E23,Transfers!F23)&lt;&gt;0),TRUE,FALSE)</f>
        <v>0</v>
      </c>
      <c r="E8178" t="s">
        <v>1034</v>
      </c>
      <c r="F8178" t="str">
        <f>INDEX(Lists!I:I,MATCH(Validation!E8178,Lists!G:G,0))</f>
        <v>Error</v>
      </c>
      <c r="G8178" t="str">
        <f>INDEX(Lists!H:H,MATCH(Validation!E8178,Lists!G:G,0))</f>
        <v>Select the district from the dropdown first before entering values.</v>
      </c>
      <c r="H8178" s="16" t="str">
        <f t="shared" ca="1" si="921"/>
        <v/>
      </c>
      <c r="I8178" s="16" t="str">
        <f t="shared" ca="1" si="922"/>
        <v/>
      </c>
      <c r="J8178" s="17" t="str">
        <f t="shared" si="923"/>
        <v/>
      </c>
    </row>
    <row r="8179" spans="1:10" x14ac:dyDescent="0.25">
      <c r="A8179" t="s">
        <v>320</v>
      </c>
      <c r="B8179" t="str">
        <f>ADDRESS(ROW(Transfers!A24),COLUMN(Transfers!A24),4)</f>
        <v>A24</v>
      </c>
      <c r="C8179" t="str">
        <f>ADDRESS(ROW(Transfers!H24),COLUMN(Transfers!H24),4)</f>
        <v>H24</v>
      </c>
      <c r="D8179" t="b">
        <f>IF(AND(OR(Transfers!A24="Select One",ISBLANK(Transfers!A24)),COUNTA(Transfers!B24,Transfers!C24,Transfers!E24,Transfers!F24)&lt;&gt;0),TRUE,FALSE)</f>
        <v>0</v>
      </c>
      <c r="E8179" t="s">
        <v>1034</v>
      </c>
      <c r="F8179" t="str">
        <f>INDEX(Lists!I:I,MATCH(Validation!E8179,Lists!G:G,0))</f>
        <v>Error</v>
      </c>
      <c r="G8179" t="str">
        <f>INDEX(Lists!H:H,MATCH(Validation!E8179,Lists!G:G,0))</f>
        <v>Select the district from the dropdown first before entering values.</v>
      </c>
      <c r="H8179" s="16" t="str">
        <f t="shared" ca="1" si="921"/>
        <v/>
      </c>
      <c r="I8179" s="16" t="str">
        <f t="shared" ca="1" si="922"/>
        <v/>
      </c>
      <c r="J8179" s="17" t="str">
        <f t="shared" si="923"/>
        <v/>
      </c>
    </row>
    <row r="8180" spans="1:10" x14ac:dyDescent="0.25">
      <c r="A8180" t="s">
        <v>320</v>
      </c>
      <c r="B8180" t="str">
        <f>ADDRESS(ROW(Transfers!A25),COLUMN(Transfers!A25),4)</f>
        <v>A25</v>
      </c>
      <c r="C8180" t="str">
        <f>ADDRESS(ROW(Transfers!H25),COLUMN(Transfers!H25),4)</f>
        <v>H25</v>
      </c>
      <c r="D8180" t="b">
        <f>IF(AND(OR(Transfers!A25="Select One",ISBLANK(Transfers!A25)),COUNTA(Transfers!B25,Transfers!C25,Transfers!E25,Transfers!F25)&lt;&gt;0),TRUE,FALSE)</f>
        <v>0</v>
      </c>
      <c r="E8180" t="s">
        <v>1034</v>
      </c>
      <c r="F8180" t="str">
        <f>INDEX(Lists!I:I,MATCH(Validation!E8180,Lists!G:G,0))</f>
        <v>Error</v>
      </c>
      <c r="G8180" t="str">
        <f>INDEX(Lists!H:H,MATCH(Validation!E8180,Lists!G:G,0))</f>
        <v>Select the district from the dropdown first before entering values.</v>
      </c>
      <c r="H8180" s="16" t="str">
        <f t="shared" ca="1" si="921"/>
        <v/>
      </c>
      <c r="I8180" s="16" t="str">
        <f t="shared" ca="1" si="922"/>
        <v/>
      </c>
      <c r="J8180" s="17" t="str">
        <f t="shared" si="923"/>
        <v/>
      </c>
    </row>
    <row r="8181" spans="1:10" x14ac:dyDescent="0.25">
      <c r="A8181" t="s">
        <v>320</v>
      </c>
      <c r="B8181" t="str">
        <f>ADDRESS(ROW(Transfers!A26),COLUMN(Transfers!A26),4)</f>
        <v>A26</v>
      </c>
      <c r="C8181" t="str">
        <f>ADDRESS(ROW(Transfers!H26),COLUMN(Transfers!H26),4)</f>
        <v>H26</v>
      </c>
      <c r="D8181" t="b">
        <f>IF(AND(OR(Transfers!A26="Select One",ISBLANK(Transfers!A26)),COUNTA(Transfers!B26,Transfers!C26,Transfers!E26,Transfers!F26)&lt;&gt;0),TRUE,FALSE)</f>
        <v>0</v>
      </c>
      <c r="E8181" t="s">
        <v>1034</v>
      </c>
      <c r="F8181" t="str">
        <f>INDEX(Lists!I:I,MATCH(Validation!E8181,Lists!G:G,0))</f>
        <v>Error</v>
      </c>
      <c r="G8181" t="str">
        <f>INDEX(Lists!H:H,MATCH(Validation!E8181,Lists!G:G,0))</f>
        <v>Select the district from the dropdown first before entering values.</v>
      </c>
      <c r="H8181" s="16" t="str">
        <f t="shared" ca="1" si="921"/>
        <v/>
      </c>
      <c r="I8181" s="16" t="str">
        <f t="shared" ca="1" si="922"/>
        <v/>
      </c>
      <c r="J8181" s="17" t="str">
        <f t="shared" si="923"/>
        <v/>
      </c>
    </row>
    <row r="8182" spans="1:10" x14ac:dyDescent="0.25">
      <c r="A8182" t="s">
        <v>320</v>
      </c>
      <c r="B8182" t="str">
        <f>ADDRESS(ROW(Transfers!A27),COLUMN(Transfers!A27),4)</f>
        <v>A27</v>
      </c>
      <c r="C8182" t="str">
        <f>ADDRESS(ROW(Transfers!H27),COLUMN(Transfers!H27),4)</f>
        <v>H27</v>
      </c>
      <c r="D8182" t="b">
        <f>IF(AND(OR(Transfers!A27="Select One",ISBLANK(Transfers!A27)),COUNTA(Transfers!B27,Transfers!C27,Transfers!E27,Transfers!F27)&lt;&gt;0),TRUE,FALSE)</f>
        <v>0</v>
      </c>
      <c r="E8182" t="s">
        <v>1034</v>
      </c>
      <c r="F8182" t="str">
        <f>INDEX(Lists!I:I,MATCH(Validation!E8182,Lists!G:G,0))</f>
        <v>Error</v>
      </c>
      <c r="G8182" t="str">
        <f>INDEX(Lists!H:H,MATCH(Validation!E8182,Lists!G:G,0))</f>
        <v>Select the district from the dropdown first before entering values.</v>
      </c>
      <c r="H8182" s="16" t="str">
        <f t="shared" ca="1" si="921"/>
        <v/>
      </c>
      <c r="I8182" s="16" t="str">
        <f t="shared" ca="1" si="922"/>
        <v/>
      </c>
      <c r="J8182" s="17" t="str">
        <f t="shared" si="923"/>
        <v/>
      </c>
    </row>
    <row r="8183" spans="1:10" x14ac:dyDescent="0.25">
      <c r="A8183" t="s">
        <v>320</v>
      </c>
      <c r="B8183" t="str">
        <f>ADDRESS(ROW(Transfers!A28),COLUMN(Transfers!A28),4)</f>
        <v>A28</v>
      </c>
      <c r="C8183" t="str">
        <f>ADDRESS(ROW(Transfers!H28),COLUMN(Transfers!H28),4)</f>
        <v>H28</v>
      </c>
      <c r="D8183" t="b">
        <f>IF(AND(OR(Transfers!A28="Select One",ISBLANK(Transfers!A28)),COUNTA(Transfers!B28,Transfers!C28,Transfers!E28,Transfers!F28)&lt;&gt;0),TRUE,FALSE)</f>
        <v>0</v>
      </c>
      <c r="E8183" t="s">
        <v>1034</v>
      </c>
      <c r="F8183" t="str">
        <f>INDEX(Lists!I:I,MATCH(Validation!E8183,Lists!G:G,0))</f>
        <v>Error</v>
      </c>
      <c r="G8183" t="str">
        <f>INDEX(Lists!H:H,MATCH(Validation!E8183,Lists!G:G,0))</f>
        <v>Select the district from the dropdown first before entering values.</v>
      </c>
      <c r="H8183" s="16" t="str">
        <f t="shared" ca="1" si="921"/>
        <v/>
      </c>
      <c r="I8183" s="16" t="str">
        <f t="shared" ca="1" si="922"/>
        <v/>
      </c>
      <c r="J8183" s="17" t="str">
        <f t="shared" si="923"/>
        <v/>
      </c>
    </row>
    <row r="8184" spans="1:10" x14ac:dyDescent="0.25">
      <c r="A8184" t="s">
        <v>320</v>
      </c>
      <c r="B8184" t="str">
        <f>ADDRESS(ROW(Transfers!A29),COLUMN(Transfers!A29),4)</f>
        <v>A29</v>
      </c>
      <c r="C8184" t="str">
        <f>ADDRESS(ROW(Transfers!H29),COLUMN(Transfers!H29),4)</f>
        <v>H29</v>
      </c>
      <c r="D8184" t="b">
        <f>IF(AND(OR(Transfers!A29="Select One",ISBLANK(Transfers!A29)),COUNTA(Transfers!B29,Transfers!C29,Transfers!E29,Transfers!F29)&lt;&gt;0),TRUE,FALSE)</f>
        <v>0</v>
      </c>
      <c r="E8184" t="s">
        <v>1034</v>
      </c>
      <c r="F8184" t="str">
        <f>INDEX(Lists!I:I,MATCH(Validation!E8184,Lists!G:G,0))</f>
        <v>Error</v>
      </c>
      <c r="G8184" t="str">
        <f>INDEX(Lists!H:H,MATCH(Validation!E8184,Lists!G:G,0))</f>
        <v>Select the district from the dropdown first before entering values.</v>
      </c>
      <c r="H8184" s="16" t="str">
        <f t="shared" ca="1" si="921"/>
        <v/>
      </c>
      <c r="I8184" s="16" t="str">
        <f t="shared" ca="1" si="922"/>
        <v/>
      </c>
      <c r="J8184" s="17" t="str">
        <f t="shared" si="923"/>
        <v/>
      </c>
    </row>
    <row r="8185" spans="1:10" x14ac:dyDescent="0.25">
      <c r="A8185" t="s">
        <v>320</v>
      </c>
      <c r="B8185" t="str">
        <f>ADDRESS(ROW(Transfers!A30),COLUMN(Transfers!A30),4)</f>
        <v>A30</v>
      </c>
      <c r="C8185" t="str">
        <f>ADDRESS(ROW(Transfers!H30),COLUMN(Transfers!H30),4)</f>
        <v>H30</v>
      </c>
      <c r="D8185" t="b">
        <f>IF(AND(OR(Transfers!A30="Select One",ISBLANK(Transfers!A30)),COUNTA(Transfers!B30,Transfers!C30,Transfers!E30,Transfers!F30)&lt;&gt;0),TRUE,FALSE)</f>
        <v>0</v>
      </c>
      <c r="E8185" t="s">
        <v>1034</v>
      </c>
      <c r="F8185" t="str">
        <f>INDEX(Lists!I:I,MATCH(Validation!E8185,Lists!G:G,0))</f>
        <v>Error</v>
      </c>
      <c r="G8185" t="str">
        <f>INDEX(Lists!H:H,MATCH(Validation!E8185,Lists!G:G,0))</f>
        <v>Select the district from the dropdown first before entering values.</v>
      </c>
      <c r="H8185" s="16" t="str">
        <f t="shared" ca="1" si="921"/>
        <v/>
      </c>
      <c r="I8185" s="16" t="str">
        <f t="shared" ca="1" si="922"/>
        <v/>
      </c>
      <c r="J8185" s="17" t="str">
        <f t="shared" si="923"/>
        <v/>
      </c>
    </row>
    <row r="8186" spans="1:10" x14ac:dyDescent="0.25">
      <c r="A8186" t="s">
        <v>320</v>
      </c>
      <c r="B8186" t="str">
        <f>ADDRESS(ROW(Transfers!B9),COLUMN(Transfers!B9),4)</f>
        <v>B9</v>
      </c>
      <c r="C8186" t="str">
        <f>ADDRESS(ROW(Transfers!H9),COLUMN(Transfers!H9),4)</f>
        <v>H9</v>
      </c>
      <c r="D8186" t="b" cm="1">
        <f t="array" aca="1" ref="D8186" ca="1">IF(INDIRECT("'"&amp;A8186&amp;"'!"&amp;B8186)="",FALSE,IF(NOT(ISNUMBER(INDIRECT("'"&amp;A8186&amp;"'!"&amp;B8186))),TRUE,FALSE))</f>
        <v>0</v>
      </c>
      <c r="E8186" t="s">
        <v>435</v>
      </c>
      <c r="F8186" t="str">
        <f>INDEX(Lists!I:I,MATCH(Validation!E8186,Lists!G:G,0))</f>
        <v>Error</v>
      </c>
      <c r="G8186" t="str">
        <f>INDEX(Lists!H:H,MATCH(Validation!E8186,Lists!G:G,0))</f>
        <v>Enter an amount only. Do not enter text or spaces.</v>
      </c>
      <c r="H8186" s="16" t="str">
        <f t="shared" ca="1" si="921"/>
        <v/>
      </c>
      <c r="I8186" s="16" t="str">
        <f t="shared" ca="1" si="922"/>
        <v/>
      </c>
      <c r="J8186" s="17" t="str">
        <f t="shared" ca="1" si="923"/>
        <v/>
      </c>
    </row>
    <row r="8187" spans="1:10" x14ac:dyDescent="0.25">
      <c r="A8187" t="s">
        <v>320</v>
      </c>
      <c r="B8187" t="str">
        <f>ADDRESS(ROW(Transfers!B10),COLUMN(Transfers!B10),4)</f>
        <v>B10</v>
      </c>
      <c r="C8187" t="str">
        <f>ADDRESS(ROW(Transfers!H10),COLUMN(Transfers!H10),4)</f>
        <v>H10</v>
      </c>
      <c r="D8187" t="b" cm="1">
        <f t="array" aca="1" ref="D8187" ca="1">IF(INDIRECT("'"&amp;A8187&amp;"'!"&amp;B8187)="",FALSE,IF(NOT(ISNUMBER(INDIRECT("'"&amp;A8187&amp;"'!"&amp;B8187))),TRUE,FALSE))</f>
        <v>0</v>
      </c>
      <c r="E8187" t="s">
        <v>435</v>
      </c>
      <c r="F8187" t="str">
        <f>INDEX(Lists!I:I,MATCH(Validation!E8187,Lists!G:G,0))</f>
        <v>Error</v>
      </c>
      <c r="G8187" t="str">
        <f>INDEX(Lists!H:H,MATCH(Validation!E8187,Lists!G:G,0))</f>
        <v>Enter an amount only. Do not enter text or spaces.</v>
      </c>
      <c r="H8187" s="16" t="str">
        <f t="shared" ca="1" si="912"/>
        <v/>
      </c>
      <c r="I8187" s="16" t="str">
        <f t="shared" ca="1" si="913"/>
        <v/>
      </c>
      <c r="J8187" s="17" t="str">
        <f t="shared" ca="1" si="914"/>
        <v/>
      </c>
    </row>
    <row r="8188" spans="1:10" x14ac:dyDescent="0.25">
      <c r="A8188" t="s">
        <v>320</v>
      </c>
      <c r="B8188" t="str">
        <f>ADDRESS(ROW(Transfers!B11),COLUMN(Transfers!B11),4)</f>
        <v>B11</v>
      </c>
      <c r="C8188" t="str">
        <f>ADDRESS(ROW(Transfers!H11),COLUMN(Transfers!H11),4)</f>
        <v>H11</v>
      </c>
      <c r="D8188" t="b" cm="1">
        <f t="array" aca="1" ref="D8188" ca="1">IF(INDIRECT("'"&amp;A8188&amp;"'!"&amp;B8188)="",FALSE,IF(NOT(ISNUMBER(INDIRECT("'"&amp;A8188&amp;"'!"&amp;B8188))),TRUE,FALSE))</f>
        <v>0</v>
      </c>
      <c r="E8188" t="s">
        <v>435</v>
      </c>
      <c r="F8188" t="str">
        <f>INDEX(Lists!I:I,MATCH(Validation!E8188,Lists!G:G,0))</f>
        <v>Error</v>
      </c>
      <c r="G8188" t="str">
        <f>INDEX(Lists!H:H,MATCH(Validation!E8188,Lists!G:G,0))</f>
        <v>Enter an amount only. Do not enter text or spaces.</v>
      </c>
      <c r="H8188" s="16" t="str">
        <f t="shared" ca="1" si="912"/>
        <v/>
      </c>
      <c r="I8188" s="16" t="str">
        <f t="shared" ca="1" si="913"/>
        <v/>
      </c>
      <c r="J8188" s="17" t="str">
        <f t="shared" ca="1" si="914"/>
        <v/>
      </c>
    </row>
    <row r="8189" spans="1:10" x14ac:dyDescent="0.25">
      <c r="A8189" t="s">
        <v>320</v>
      </c>
      <c r="B8189" t="str">
        <f>ADDRESS(ROW(Transfers!B12),COLUMN(Transfers!B12),4)</f>
        <v>B12</v>
      </c>
      <c r="C8189" t="str">
        <f>ADDRESS(ROW(Transfers!H12),COLUMN(Transfers!H12),4)</f>
        <v>H12</v>
      </c>
      <c r="D8189" t="b" cm="1">
        <f t="array" aca="1" ref="D8189" ca="1">IF(INDIRECT("'"&amp;A8189&amp;"'!"&amp;B8189)="",FALSE,IF(NOT(ISNUMBER(INDIRECT("'"&amp;A8189&amp;"'!"&amp;B8189))),TRUE,FALSE))</f>
        <v>0</v>
      </c>
      <c r="E8189" t="s">
        <v>435</v>
      </c>
      <c r="F8189" t="str">
        <f>INDEX(Lists!I:I,MATCH(Validation!E8189,Lists!G:G,0))</f>
        <v>Error</v>
      </c>
      <c r="G8189" t="str">
        <f>INDEX(Lists!H:H,MATCH(Validation!E8189,Lists!G:G,0))</f>
        <v>Enter an amount only. Do not enter text or spaces.</v>
      </c>
      <c r="H8189" s="16" t="str">
        <f t="shared" ca="1" si="912"/>
        <v/>
      </c>
      <c r="I8189" s="16" t="str">
        <f t="shared" ca="1" si="913"/>
        <v/>
      </c>
      <c r="J8189" s="17" t="str">
        <f t="shared" ca="1" si="914"/>
        <v/>
      </c>
    </row>
    <row r="8190" spans="1:10" x14ac:dyDescent="0.25">
      <c r="A8190" t="s">
        <v>320</v>
      </c>
      <c r="B8190" t="str">
        <f>ADDRESS(ROW(Transfers!B13),COLUMN(Transfers!B13),4)</f>
        <v>B13</v>
      </c>
      <c r="C8190" t="str">
        <f>ADDRESS(ROW(Transfers!H13),COLUMN(Transfers!H13),4)</f>
        <v>H13</v>
      </c>
      <c r="D8190" t="b" cm="1">
        <f t="array" aca="1" ref="D8190" ca="1">IF(INDIRECT("'"&amp;A8190&amp;"'!"&amp;B8190)="",FALSE,IF(NOT(ISNUMBER(INDIRECT("'"&amp;A8190&amp;"'!"&amp;B8190))),TRUE,FALSE))</f>
        <v>0</v>
      </c>
      <c r="E8190" t="s">
        <v>435</v>
      </c>
      <c r="F8190" t="str">
        <f>INDEX(Lists!I:I,MATCH(Validation!E8190,Lists!G:G,0))</f>
        <v>Error</v>
      </c>
      <c r="G8190" t="str">
        <f>INDEX(Lists!H:H,MATCH(Validation!E8190,Lists!G:G,0))</f>
        <v>Enter an amount only. Do not enter text or spaces.</v>
      </c>
      <c r="H8190" s="16" t="str">
        <f t="shared" ca="1" si="912"/>
        <v/>
      </c>
      <c r="I8190" s="16" t="str">
        <f t="shared" ca="1" si="913"/>
        <v/>
      </c>
      <c r="J8190" s="17" t="str">
        <f t="shared" ca="1" si="914"/>
        <v/>
      </c>
    </row>
    <row r="8191" spans="1:10" x14ac:dyDescent="0.25">
      <c r="A8191" t="s">
        <v>320</v>
      </c>
      <c r="B8191" t="str">
        <f>ADDRESS(ROW(Transfers!B14),COLUMN(Transfers!B14),4)</f>
        <v>B14</v>
      </c>
      <c r="C8191" t="str">
        <f>ADDRESS(ROW(Transfers!H14),COLUMN(Transfers!H14),4)</f>
        <v>H14</v>
      </c>
      <c r="D8191" t="b" cm="1">
        <f t="array" aca="1" ref="D8191" ca="1">IF(INDIRECT("'"&amp;A8191&amp;"'!"&amp;B8191)="",FALSE,IF(NOT(ISNUMBER(INDIRECT("'"&amp;A8191&amp;"'!"&amp;B8191))),TRUE,FALSE))</f>
        <v>0</v>
      </c>
      <c r="E8191" t="s">
        <v>435</v>
      </c>
      <c r="F8191" t="str">
        <f>INDEX(Lists!I:I,MATCH(Validation!E8191,Lists!G:G,0))</f>
        <v>Error</v>
      </c>
      <c r="G8191" t="str">
        <f>INDEX(Lists!H:H,MATCH(Validation!E8191,Lists!G:G,0))</f>
        <v>Enter an amount only. Do not enter text or spaces.</v>
      </c>
      <c r="H8191" s="16" t="str">
        <f t="shared" ca="1" si="912"/>
        <v/>
      </c>
      <c r="I8191" s="16" t="str">
        <f t="shared" ca="1" si="913"/>
        <v/>
      </c>
      <c r="J8191" s="17" t="str">
        <f t="shared" ca="1" si="914"/>
        <v/>
      </c>
    </row>
    <row r="8192" spans="1:10" x14ac:dyDescent="0.25">
      <c r="A8192" t="s">
        <v>320</v>
      </c>
      <c r="B8192" t="str">
        <f>ADDRESS(ROW(Transfers!B15),COLUMN(Transfers!B15),4)</f>
        <v>B15</v>
      </c>
      <c r="C8192" t="str">
        <f>ADDRESS(ROW(Transfers!H15),COLUMN(Transfers!H15),4)</f>
        <v>H15</v>
      </c>
      <c r="D8192" t="b" cm="1">
        <f t="array" aca="1" ref="D8192" ca="1">IF(INDIRECT("'"&amp;A8192&amp;"'!"&amp;B8192)="",FALSE,IF(NOT(ISNUMBER(INDIRECT("'"&amp;A8192&amp;"'!"&amp;B8192))),TRUE,FALSE))</f>
        <v>0</v>
      </c>
      <c r="E8192" t="s">
        <v>435</v>
      </c>
      <c r="F8192" t="str">
        <f>INDEX(Lists!I:I,MATCH(Validation!E8192,Lists!G:G,0))</f>
        <v>Error</v>
      </c>
      <c r="G8192" t="str">
        <f>INDEX(Lists!H:H,MATCH(Validation!E8192,Lists!G:G,0))</f>
        <v>Enter an amount only. Do not enter text or spaces.</v>
      </c>
      <c r="H8192" s="16" t="str">
        <f t="shared" ca="1" si="912"/>
        <v/>
      </c>
      <c r="I8192" s="16" t="str">
        <f t="shared" ca="1" si="913"/>
        <v/>
      </c>
      <c r="J8192" s="17" t="str">
        <f t="shared" ca="1" si="914"/>
        <v/>
      </c>
    </row>
    <row r="8193" spans="1:10" x14ac:dyDescent="0.25">
      <c r="A8193" t="s">
        <v>320</v>
      </c>
      <c r="B8193" t="str">
        <f>ADDRESS(ROW(Transfers!B16),COLUMN(Transfers!B16),4)</f>
        <v>B16</v>
      </c>
      <c r="C8193" t="str">
        <f>ADDRESS(ROW(Transfers!H16),COLUMN(Transfers!H16),4)</f>
        <v>H16</v>
      </c>
      <c r="D8193" t="b" cm="1">
        <f t="array" aca="1" ref="D8193" ca="1">IF(INDIRECT("'"&amp;A8193&amp;"'!"&amp;B8193)="",FALSE,IF(NOT(ISNUMBER(INDIRECT("'"&amp;A8193&amp;"'!"&amp;B8193))),TRUE,FALSE))</f>
        <v>0</v>
      </c>
      <c r="E8193" t="s">
        <v>435</v>
      </c>
      <c r="F8193" t="str">
        <f>INDEX(Lists!I:I,MATCH(Validation!E8193,Lists!G:G,0))</f>
        <v>Error</v>
      </c>
      <c r="G8193" t="str">
        <f>INDEX(Lists!H:H,MATCH(Validation!E8193,Lists!G:G,0))</f>
        <v>Enter an amount only. Do not enter text or spaces.</v>
      </c>
      <c r="H8193" s="16" t="str">
        <f t="shared" ca="1" si="912"/>
        <v/>
      </c>
      <c r="I8193" s="16" t="str">
        <f t="shared" ca="1" si="913"/>
        <v/>
      </c>
      <c r="J8193" s="17" t="str">
        <f t="shared" ca="1" si="914"/>
        <v/>
      </c>
    </row>
    <row r="8194" spans="1:10" x14ac:dyDescent="0.25">
      <c r="A8194" t="s">
        <v>320</v>
      </c>
      <c r="B8194" t="str">
        <f>ADDRESS(ROW(Transfers!B17),COLUMN(Transfers!B17),4)</f>
        <v>B17</v>
      </c>
      <c r="C8194" t="str">
        <f>ADDRESS(ROW(Transfers!H17),COLUMN(Transfers!H17),4)</f>
        <v>H17</v>
      </c>
      <c r="D8194" t="b" cm="1">
        <f t="array" aca="1" ref="D8194" ca="1">IF(INDIRECT("'"&amp;A8194&amp;"'!"&amp;B8194)="",FALSE,IF(NOT(ISNUMBER(INDIRECT("'"&amp;A8194&amp;"'!"&amp;B8194))),TRUE,FALSE))</f>
        <v>0</v>
      </c>
      <c r="E8194" t="s">
        <v>435</v>
      </c>
      <c r="F8194" t="str">
        <f>INDEX(Lists!I:I,MATCH(Validation!E8194,Lists!G:G,0))</f>
        <v>Error</v>
      </c>
      <c r="G8194" t="str">
        <f>INDEX(Lists!H:H,MATCH(Validation!E8194,Lists!G:G,0))</f>
        <v>Enter an amount only. Do not enter text or spaces.</v>
      </c>
      <c r="H8194" s="16" t="str">
        <f t="shared" ca="1" si="912"/>
        <v/>
      </c>
      <c r="I8194" s="16" t="str">
        <f t="shared" ca="1" si="913"/>
        <v/>
      </c>
      <c r="J8194" s="17" t="str">
        <f t="shared" ca="1" si="914"/>
        <v/>
      </c>
    </row>
    <row r="8195" spans="1:10" x14ac:dyDescent="0.25">
      <c r="A8195" t="s">
        <v>320</v>
      </c>
      <c r="B8195" t="str">
        <f>ADDRESS(ROW(Transfers!B18),COLUMN(Transfers!B18),4)</f>
        <v>B18</v>
      </c>
      <c r="C8195" t="str">
        <f>ADDRESS(ROW(Transfers!H18),COLUMN(Transfers!H18),4)</f>
        <v>H18</v>
      </c>
      <c r="D8195" t="b" cm="1">
        <f t="array" aca="1" ref="D8195" ca="1">IF(INDIRECT("'"&amp;A8195&amp;"'!"&amp;B8195)="",FALSE,IF(NOT(ISNUMBER(INDIRECT("'"&amp;A8195&amp;"'!"&amp;B8195))),TRUE,FALSE))</f>
        <v>0</v>
      </c>
      <c r="E8195" t="s">
        <v>435</v>
      </c>
      <c r="F8195" t="str">
        <f>INDEX(Lists!I:I,MATCH(Validation!E8195,Lists!G:G,0))</f>
        <v>Error</v>
      </c>
      <c r="G8195" t="str">
        <f>INDEX(Lists!H:H,MATCH(Validation!E8195,Lists!G:G,0))</f>
        <v>Enter an amount only. Do not enter text or spaces.</v>
      </c>
      <c r="H8195" s="16" t="str">
        <f t="shared" ca="1" si="912"/>
        <v/>
      </c>
      <c r="I8195" s="16" t="str">
        <f t="shared" ca="1" si="913"/>
        <v/>
      </c>
      <c r="J8195" s="17" t="str">
        <f t="shared" ca="1" si="914"/>
        <v/>
      </c>
    </row>
    <row r="8196" spans="1:10" x14ac:dyDescent="0.25">
      <c r="A8196" t="s">
        <v>320</v>
      </c>
      <c r="B8196" t="str">
        <f>ADDRESS(ROW(Transfers!B19),COLUMN(Transfers!B19),4)</f>
        <v>B19</v>
      </c>
      <c r="C8196" t="str">
        <f>ADDRESS(ROW(Transfers!H19),COLUMN(Transfers!H19),4)</f>
        <v>H19</v>
      </c>
      <c r="D8196" t="b" cm="1">
        <f t="array" aca="1" ref="D8196" ca="1">IF(INDIRECT("'"&amp;A8196&amp;"'!"&amp;B8196)="",FALSE,IF(NOT(ISNUMBER(INDIRECT("'"&amp;A8196&amp;"'!"&amp;B8196))),TRUE,FALSE))</f>
        <v>0</v>
      </c>
      <c r="E8196" t="s">
        <v>435</v>
      </c>
      <c r="F8196" t="str">
        <f>INDEX(Lists!I:I,MATCH(Validation!E8196,Lists!G:G,0))</f>
        <v>Error</v>
      </c>
      <c r="G8196" t="str">
        <f>INDEX(Lists!H:H,MATCH(Validation!E8196,Lists!G:G,0))</f>
        <v>Enter an amount only. Do not enter text or spaces.</v>
      </c>
      <c r="H8196" s="16" t="str">
        <f t="shared" ca="1" si="912"/>
        <v/>
      </c>
      <c r="I8196" s="16" t="str">
        <f t="shared" ca="1" si="913"/>
        <v/>
      </c>
      <c r="J8196" s="17" t="str">
        <f t="shared" ca="1" si="914"/>
        <v/>
      </c>
    </row>
    <row r="8197" spans="1:10" x14ac:dyDescent="0.25">
      <c r="A8197" t="s">
        <v>320</v>
      </c>
      <c r="B8197" t="str">
        <f>ADDRESS(ROW(Transfers!B20),COLUMN(Transfers!B20),4)</f>
        <v>B20</v>
      </c>
      <c r="C8197" t="str">
        <f>ADDRESS(ROW(Transfers!H20),COLUMN(Transfers!H20),4)</f>
        <v>H20</v>
      </c>
      <c r="D8197" t="b" cm="1">
        <f t="array" aca="1" ref="D8197" ca="1">IF(INDIRECT("'"&amp;A8197&amp;"'!"&amp;B8197)="",FALSE,IF(NOT(ISNUMBER(INDIRECT("'"&amp;A8197&amp;"'!"&amp;B8197))),TRUE,FALSE))</f>
        <v>0</v>
      </c>
      <c r="E8197" t="s">
        <v>435</v>
      </c>
      <c r="F8197" t="str">
        <f>INDEX(Lists!I:I,MATCH(Validation!E8197,Lists!G:G,0))</f>
        <v>Error</v>
      </c>
      <c r="G8197" t="str">
        <f>INDEX(Lists!H:H,MATCH(Validation!E8197,Lists!G:G,0))</f>
        <v>Enter an amount only. Do not enter text or spaces.</v>
      </c>
      <c r="H8197" s="16" t="str">
        <f t="shared" ref="H8197:H8247" ca="1" si="924">IFERROR(IF(OR(NOT(D8197),F8197&lt;&gt;"Error"),"",A8197&amp;CELL("address",INDIRECT(B8197))),"")</f>
        <v/>
      </c>
      <c r="I8197" s="16" t="str">
        <f t="shared" ref="I8197:I8247" ca="1" si="925">IFERROR(IF(NOT(D8197),"",A8197&amp;CELL("address",INDIRECT(C8197))),"")</f>
        <v/>
      </c>
      <c r="J8197" s="17" t="str">
        <f t="shared" ref="J8197:J8247" ca="1" si="926">IFERROR(IF(NOT(D8197),"",A8197),"")</f>
        <v/>
      </c>
    </row>
    <row r="8198" spans="1:10" x14ac:dyDescent="0.25">
      <c r="A8198" t="s">
        <v>320</v>
      </c>
      <c r="B8198" t="str">
        <f>ADDRESS(ROW(Transfers!B21),COLUMN(Transfers!B21),4)</f>
        <v>B21</v>
      </c>
      <c r="C8198" t="str">
        <f>ADDRESS(ROW(Transfers!H21),COLUMN(Transfers!H21),4)</f>
        <v>H21</v>
      </c>
      <c r="D8198" t="b" cm="1">
        <f t="array" aca="1" ref="D8198" ca="1">IF(INDIRECT("'"&amp;A8198&amp;"'!"&amp;B8198)="",FALSE,IF(NOT(ISNUMBER(INDIRECT("'"&amp;A8198&amp;"'!"&amp;B8198))),TRUE,FALSE))</f>
        <v>0</v>
      </c>
      <c r="E8198" t="s">
        <v>435</v>
      </c>
      <c r="F8198" t="str">
        <f>INDEX(Lists!I:I,MATCH(Validation!E8198,Lists!G:G,0))</f>
        <v>Error</v>
      </c>
      <c r="G8198" t="str">
        <f>INDEX(Lists!H:H,MATCH(Validation!E8198,Lists!G:G,0))</f>
        <v>Enter an amount only. Do not enter text or spaces.</v>
      </c>
      <c r="H8198" s="16" t="str">
        <f t="shared" ca="1" si="924"/>
        <v/>
      </c>
      <c r="I8198" s="16" t="str">
        <f t="shared" ca="1" si="925"/>
        <v/>
      </c>
      <c r="J8198" s="17" t="str">
        <f t="shared" ca="1" si="926"/>
        <v/>
      </c>
    </row>
    <row r="8199" spans="1:10" x14ac:dyDescent="0.25">
      <c r="A8199" t="s">
        <v>320</v>
      </c>
      <c r="B8199" t="str">
        <f>ADDRESS(ROW(Transfers!B22),COLUMN(Transfers!B22),4)</f>
        <v>B22</v>
      </c>
      <c r="C8199" t="str">
        <f>ADDRESS(ROW(Transfers!H22),COLUMN(Transfers!H22),4)</f>
        <v>H22</v>
      </c>
      <c r="D8199" t="b" cm="1">
        <f t="array" aca="1" ref="D8199" ca="1">IF(INDIRECT("'"&amp;A8199&amp;"'!"&amp;B8199)="",FALSE,IF(NOT(ISNUMBER(INDIRECT("'"&amp;A8199&amp;"'!"&amp;B8199))),TRUE,FALSE))</f>
        <v>0</v>
      </c>
      <c r="E8199" t="s">
        <v>435</v>
      </c>
      <c r="F8199" t="str">
        <f>INDEX(Lists!I:I,MATCH(Validation!E8199,Lists!G:G,0))</f>
        <v>Error</v>
      </c>
      <c r="G8199" t="str">
        <f>INDEX(Lists!H:H,MATCH(Validation!E8199,Lists!G:G,0))</f>
        <v>Enter an amount only. Do not enter text or spaces.</v>
      </c>
      <c r="H8199" s="16" t="str">
        <f t="shared" ca="1" si="924"/>
        <v/>
      </c>
      <c r="I8199" s="16" t="str">
        <f t="shared" ca="1" si="925"/>
        <v/>
      </c>
      <c r="J8199" s="17" t="str">
        <f t="shared" ca="1" si="926"/>
        <v/>
      </c>
    </row>
    <row r="8200" spans="1:10" x14ac:dyDescent="0.25">
      <c r="A8200" t="s">
        <v>320</v>
      </c>
      <c r="B8200" t="str">
        <f>ADDRESS(ROW(Transfers!B23),COLUMN(Transfers!B23),4)</f>
        <v>B23</v>
      </c>
      <c r="C8200" t="str">
        <f>ADDRESS(ROW(Transfers!H23),COLUMN(Transfers!H23),4)</f>
        <v>H23</v>
      </c>
      <c r="D8200" t="b" cm="1">
        <f t="array" aca="1" ref="D8200" ca="1">IF(INDIRECT("'"&amp;A8200&amp;"'!"&amp;B8200)="",FALSE,IF(NOT(ISNUMBER(INDIRECT("'"&amp;A8200&amp;"'!"&amp;B8200))),TRUE,FALSE))</f>
        <v>0</v>
      </c>
      <c r="E8200" t="s">
        <v>435</v>
      </c>
      <c r="F8200" t="str">
        <f>INDEX(Lists!I:I,MATCH(Validation!E8200,Lists!G:G,0))</f>
        <v>Error</v>
      </c>
      <c r="G8200" t="str">
        <f>INDEX(Lists!H:H,MATCH(Validation!E8200,Lists!G:G,0))</f>
        <v>Enter an amount only. Do not enter text or spaces.</v>
      </c>
      <c r="H8200" s="16" t="str">
        <f t="shared" ca="1" si="924"/>
        <v/>
      </c>
      <c r="I8200" s="16" t="str">
        <f t="shared" ca="1" si="925"/>
        <v/>
      </c>
      <c r="J8200" s="17" t="str">
        <f t="shared" ca="1" si="926"/>
        <v/>
      </c>
    </row>
    <row r="8201" spans="1:10" x14ac:dyDescent="0.25">
      <c r="A8201" t="s">
        <v>320</v>
      </c>
      <c r="B8201" t="str">
        <f>ADDRESS(ROW(Transfers!B24),COLUMN(Transfers!B24),4)</f>
        <v>B24</v>
      </c>
      <c r="C8201" t="str">
        <f>ADDRESS(ROW(Transfers!H24),COLUMN(Transfers!H24),4)</f>
        <v>H24</v>
      </c>
      <c r="D8201" t="b" cm="1">
        <f t="array" aca="1" ref="D8201" ca="1">IF(INDIRECT("'"&amp;A8201&amp;"'!"&amp;B8201)="",FALSE,IF(NOT(ISNUMBER(INDIRECT("'"&amp;A8201&amp;"'!"&amp;B8201))),TRUE,FALSE))</f>
        <v>0</v>
      </c>
      <c r="E8201" t="s">
        <v>435</v>
      </c>
      <c r="F8201" t="str">
        <f>INDEX(Lists!I:I,MATCH(Validation!E8201,Lists!G:G,0))</f>
        <v>Error</v>
      </c>
      <c r="G8201" t="str">
        <f>INDEX(Lists!H:H,MATCH(Validation!E8201,Lists!G:G,0))</f>
        <v>Enter an amount only. Do not enter text or spaces.</v>
      </c>
      <c r="H8201" s="16" t="str">
        <f t="shared" ca="1" si="924"/>
        <v/>
      </c>
      <c r="I8201" s="16" t="str">
        <f t="shared" ca="1" si="925"/>
        <v/>
      </c>
      <c r="J8201" s="17" t="str">
        <f t="shared" ca="1" si="926"/>
        <v/>
      </c>
    </row>
    <row r="8202" spans="1:10" x14ac:dyDescent="0.25">
      <c r="A8202" t="s">
        <v>320</v>
      </c>
      <c r="B8202" t="str">
        <f>ADDRESS(ROW(Transfers!B25),COLUMN(Transfers!B25),4)</f>
        <v>B25</v>
      </c>
      <c r="C8202" t="str">
        <f>ADDRESS(ROW(Transfers!H25),COLUMN(Transfers!H25),4)</f>
        <v>H25</v>
      </c>
      <c r="D8202" t="b" cm="1">
        <f t="array" aca="1" ref="D8202" ca="1">IF(INDIRECT("'"&amp;A8202&amp;"'!"&amp;B8202)="",FALSE,IF(NOT(ISNUMBER(INDIRECT("'"&amp;A8202&amp;"'!"&amp;B8202))),TRUE,FALSE))</f>
        <v>0</v>
      </c>
      <c r="E8202" t="s">
        <v>435</v>
      </c>
      <c r="F8202" t="str">
        <f>INDEX(Lists!I:I,MATCH(Validation!E8202,Lists!G:G,0))</f>
        <v>Error</v>
      </c>
      <c r="G8202" t="str">
        <f>INDEX(Lists!H:H,MATCH(Validation!E8202,Lists!G:G,0))</f>
        <v>Enter an amount only. Do not enter text or spaces.</v>
      </c>
      <c r="H8202" s="16" t="str">
        <f t="shared" ca="1" si="924"/>
        <v/>
      </c>
      <c r="I8202" s="16" t="str">
        <f t="shared" ca="1" si="925"/>
        <v/>
      </c>
      <c r="J8202" s="17" t="str">
        <f t="shared" ca="1" si="926"/>
        <v/>
      </c>
    </row>
    <row r="8203" spans="1:10" x14ac:dyDescent="0.25">
      <c r="A8203" t="s">
        <v>320</v>
      </c>
      <c r="B8203" t="str">
        <f>ADDRESS(ROW(Transfers!B26),COLUMN(Transfers!B26),4)</f>
        <v>B26</v>
      </c>
      <c r="C8203" t="str">
        <f>ADDRESS(ROW(Transfers!H26),COLUMN(Transfers!H26),4)</f>
        <v>H26</v>
      </c>
      <c r="D8203" t="b" cm="1">
        <f t="array" aca="1" ref="D8203" ca="1">IF(INDIRECT("'"&amp;A8203&amp;"'!"&amp;B8203)="",FALSE,IF(NOT(ISNUMBER(INDIRECT("'"&amp;A8203&amp;"'!"&amp;B8203))),TRUE,FALSE))</f>
        <v>0</v>
      </c>
      <c r="E8203" t="s">
        <v>435</v>
      </c>
      <c r="F8203" t="str">
        <f>INDEX(Lists!I:I,MATCH(Validation!E8203,Lists!G:G,0))</f>
        <v>Error</v>
      </c>
      <c r="G8203" t="str">
        <f>INDEX(Lists!H:H,MATCH(Validation!E8203,Lists!G:G,0))</f>
        <v>Enter an amount only. Do not enter text or spaces.</v>
      </c>
      <c r="H8203" s="16" t="str">
        <f t="shared" ca="1" si="924"/>
        <v/>
      </c>
      <c r="I8203" s="16" t="str">
        <f t="shared" ca="1" si="925"/>
        <v/>
      </c>
      <c r="J8203" s="17" t="str">
        <f t="shared" ca="1" si="926"/>
        <v/>
      </c>
    </row>
    <row r="8204" spans="1:10" x14ac:dyDescent="0.25">
      <c r="A8204" t="s">
        <v>320</v>
      </c>
      <c r="B8204" t="str">
        <f>ADDRESS(ROW(Transfers!B27),COLUMN(Transfers!B27),4)</f>
        <v>B27</v>
      </c>
      <c r="C8204" t="str">
        <f>ADDRESS(ROW(Transfers!H27),COLUMN(Transfers!H27),4)</f>
        <v>H27</v>
      </c>
      <c r="D8204" t="b" cm="1">
        <f t="array" aca="1" ref="D8204" ca="1">IF(INDIRECT("'"&amp;A8204&amp;"'!"&amp;B8204)="",FALSE,IF(NOT(ISNUMBER(INDIRECT("'"&amp;A8204&amp;"'!"&amp;B8204))),TRUE,FALSE))</f>
        <v>0</v>
      </c>
      <c r="E8204" t="s">
        <v>435</v>
      </c>
      <c r="F8204" t="str">
        <f>INDEX(Lists!I:I,MATCH(Validation!E8204,Lists!G:G,0))</f>
        <v>Error</v>
      </c>
      <c r="G8204" t="str">
        <f>INDEX(Lists!H:H,MATCH(Validation!E8204,Lists!G:G,0))</f>
        <v>Enter an amount only. Do not enter text or spaces.</v>
      </c>
      <c r="H8204" s="16" t="str">
        <f t="shared" ca="1" si="924"/>
        <v/>
      </c>
      <c r="I8204" s="16" t="str">
        <f t="shared" ca="1" si="925"/>
        <v/>
      </c>
      <c r="J8204" s="17" t="str">
        <f t="shared" ca="1" si="926"/>
        <v/>
      </c>
    </row>
    <row r="8205" spans="1:10" x14ac:dyDescent="0.25">
      <c r="A8205" t="s">
        <v>320</v>
      </c>
      <c r="B8205" t="str">
        <f>ADDRESS(ROW(Transfers!B28),COLUMN(Transfers!B28),4)</f>
        <v>B28</v>
      </c>
      <c r="C8205" t="str">
        <f>ADDRESS(ROW(Transfers!H28),COLUMN(Transfers!H28),4)</f>
        <v>H28</v>
      </c>
      <c r="D8205" t="b" cm="1">
        <f t="array" aca="1" ref="D8205" ca="1">IF(INDIRECT("'"&amp;A8205&amp;"'!"&amp;B8205)="",FALSE,IF(NOT(ISNUMBER(INDIRECT("'"&amp;A8205&amp;"'!"&amp;B8205))),TRUE,FALSE))</f>
        <v>0</v>
      </c>
      <c r="E8205" t="s">
        <v>435</v>
      </c>
      <c r="F8205" t="str">
        <f>INDEX(Lists!I:I,MATCH(Validation!E8205,Lists!G:G,0))</f>
        <v>Error</v>
      </c>
      <c r="G8205" t="str">
        <f>INDEX(Lists!H:H,MATCH(Validation!E8205,Lists!G:G,0))</f>
        <v>Enter an amount only. Do not enter text or spaces.</v>
      </c>
      <c r="H8205" s="16" t="str">
        <f t="shared" ca="1" si="924"/>
        <v/>
      </c>
      <c r="I8205" s="16" t="str">
        <f t="shared" ca="1" si="925"/>
        <v/>
      </c>
      <c r="J8205" s="17" t="str">
        <f t="shared" ca="1" si="926"/>
        <v/>
      </c>
    </row>
    <row r="8206" spans="1:10" x14ac:dyDescent="0.25">
      <c r="A8206" t="s">
        <v>320</v>
      </c>
      <c r="B8206" t="str">
        <f>ADDRESS(ROW(Transfers!B29),COLUMN(Transfers!B29),4)</f>
        <v>B29</v>
      </c>
      <c r="C8206" t="str">
        <f>ADDRESS(ROW(Transfers!H29),COLUMN(Transfers!H29),4)</f>
        <v>H29</v>
      </c>
      <c r="D8206" t="b" cm="1">
        <f t="array" aca="1" ref="D8206" ca="1">IF(INDIRECT("'"&amp;A8206&amp;"'!"&amp;B8206)="",FALSE,IF(NOT(ISNUMBER(INDIRECT("'"&amp;A8206&amp;"'!"&amp;B8206))),TRUE,FALSE))</f>
        <v>0</v>
      </c>
      <c r="E8206" t="s">
        <v>435</v>
      </c>
      <c r="F8206" t="str">
        <f>INDEX(Lists!I:I,MATCH(Validation!E8206,Lists!G:G,0))</f>
        <v>Error</v>
      </c>
      <c r="G8206" t="str">
        <f>INDEX(Lists!H:H,MATCH(Validation!E8206,Lists!G:G,0))</f>
        <v>Enter an amount only. Do not enter text or spaces.</v>
      </c>
      <c r="H8206" s="16" t="str">
        <f t="shared" ca="1" si="924"/>
        <v/>
      </c>
      <c r="I8206" s="16" t="str">
        <f t="shared" ca="1" si="925"/>
        <v/>
      </c>
      <c r="J8206" s="17" t="str">
        <f t="shared" ca="1" si="926"/>
        <v/>
      </c>
    </row>
    <row r="8207" spans="1:10" x14ac:dyDescent="0.25">
      <c r="A8207" t="s">
        <v>320</v>
      </c>
      <c r="B8207" t="str">
        <f>ADDRESS(ROW(Transfers!B30),COLUMN(Transfers!B30),4)</f>
        <v>B30</v>
      </c>
      <c r="C8207" t="str">
        <f>ADDRESS(ROW(Transfers!H30),COLUMN(Transfers!H30),4)</f>
        <v>H30</v>
      </c>
      <c r="D8207" t="b" cm="1">
        <f t="array" aca="1" ref="D8207" ca="1">IF(INDIRECT("'"&amp;A8207&amp;"'!"&amp;B8207)="",FALSE,IF(NOT(ISNUMBER(INDIRECT("'"&amp;A8207&amp;"'!"&amp;B8207))),TRUE,FALSE))</f>
        <v>0</v>
      </c>
      <c r="E8207" t="s">
        <v>435</v>
      </c>
      <c r="F8207" t="str">
        <f>INDEX(Lists!I:I,MATCH(Validation!E8207,Lists!G:G,0))</f>
        <v>Error</v>
      </c>
      <c r="G8207" t="str">
        <f>INDEX(Lists!H:H,MATCH(Validation!E8207,Lists!G:G,0))</f>
        <v>Enter an amount only. Do not enter text or spaces.</v>
      </c>
      <c r="H8207" s="16" t="str">
        <f t="shared" ca="1" si="924"/>
        <v/>
      </c>
      <c r="I8207" s="16" t="str">
        <f t="shared" ca="1" si="925"/>
        <v/>
      </c>
      <c r="J8207" s="17" t="str">
        <f t="shared" ca="1" si="926"/>
        <v/>
      </c>
    </row>
    <row r="8208" spans="1:10" x14ac:dyDescent="0.25">
      <c r="A8208" t="s">
        <v>320</v>
      </c>
      <c r="B8208" t="str">
        <f>ADDRESS(ROW(Transfers!B9),COLUMN(Transfers!B9),4)</f>
        <v>B9</v>
      </c>
      <c r="C8208" t="str">
        <f>ADDRESS(ROW(Transfers!H9),COLUMN(Transfers!H9),4)</f>
        <v>H9</v>
      </c>
      <c r="D8208" t="b" cm="1">
        <f t="array" aca="1" ref="D8208" ca="1">IF(INDIRECT("'"&amp;A8208&amp;"'!"&amp;B8208)="",FALSE,IF(INDIRECT("'"&amp;A8208&amp;"'!"&amp;B8208)&lt;0,TRUE,FALSE))</f>
        <v>0</v>
      </c>
      <c r="E8208" t="s">
        <v>434</v>
      </c>
      <c r="F8208" t="str">
        <f>INDEX(Lists!I:I,MATCH(Validation!E8208,Lists!G:G,0))</f>
        <v>Error</v>
      </c>
      <c r="G8208" t="str">
        <f>INDEX(Lists!H:H,MATCH(Validation!E8208,Lists!G:G,0))</f>
        <v>Amount may not be negative. Enter an amount greater than or equal to zero.</v>
      </c>
      <c r="H8208" s="16" t="str">
        <f t="shared" ca="1" si="924"/>
        <v/>
      </c>
      <c r="I8208" s="16" t="str">
        <f t="shared" ca="1" si="925"/>
        <v/>
      </c>
      <c r="J8208" s="17" t="str">
        <f t="shared" ca="1" si="926"/>
        <v/>
      </c>
    </row>
    <row r="8209" spans="1:10" x14ac:dyDescent="0.25">
      <c r="A8209" t="s">
        <v>320</v>
      </c>
      <c r="B8209" t="str">
        <f>ADDRESS(ROW(Transfers!B10),COLUMN(Transfers!B10),4)</f>
        <v>B10</v>
      </c>
      <c r="C8209" t="str">
        <f>ADDRESS(ROW(Transfers!H10),COLUMN(Transfers!H10),4)</f>
        <v>H10</v>
      </c>
      <c r="D8209" t="b" cm="1">
        <f t="array" aca="1" ref="D8209" ca="1">IF(INDIRECT("'"&amp;A8209&amp;"'!"&amp;B8209)="",FALSE,IF(INDIRECT("'"&amp;A8209&amp;"'!"&amp;B8209)&lt;0,TRUE,FALSE))</f>
        <v>0</v>
      </c>
      <c r="E8209" t="s">
        <v>434</v>
      </c>
      <c r="F8209" t="str">
        <f>INDEX(Lists!I:I,MATCH(Validation!E8209,Lists!G:G,0))</f>
        <v>Error</v>
      </c>
      <c r="G8209" t="str">
        <f>INDEX(Lists!H:H,MATCH(Validation!E8209,Lists!G:G,0))</f>
        <v>Amount may not be negative. Enter an amount greater than or equal to zero.</v>
      </c>
      <c r="H8209" s="16" t="str">
        <f t="shared" ca="1" si="924"/>
        <v/>
      </c>
      <c r="I8209" s="16" t="str">
        <f t="shared" ca="1" si="925"/>
        <v/>
      </c>
      <c r="J8209" s="17" t="str">
        <f t="shared" ca="1" si="926"/>
        <v/>
      </c>
    </row>
    <row r="8210" spans="1:10" x14ac:dyDescent="0.25">
      <c r="A8210" t="s">
        <v>320</v>
      </c>
      <c r="B8210" t="str">
        <f>ADDRESS(ROW(Transfers!B11),COLUMN(Transfers!B11),4)</f>
        <v>B11</v>
      </c>
      <c r="C8210" t="str">
        <f>ADDRESS(ROW(Transfers!H11),COLUMN(Transfers!H11),4)</f>
        <v>H11</v>
      </c>
      <c r="D8210" t="b" cm="1">
        <f t="array" aca="1" ref="D8210" ca="1">IF(INDIRECT("'"&amp;A8210&amp;"'!"&amp;B8210)="",FALSE,IF(INDIRECT("'"&amp;A8210&amp;"'!"&amp;B8210)&lt;0,TRUE,FALSE))</f>
        <v>0</v>
      </c>
      <c r="E8210" t="s">
        <v>434</v>
      </c>
      <c r="F8210" t="str">
        <f>INDEX(Lists!I:I,MATCH(Validation!E8210,Lists!G:G,0))</f>
        <v>Error</v>
      </c>
      <c r="G8210" t="str">
        <f>INDEX(Lists!H:H,MATCH(Validation!E8210,Lists!G:G,0))</f>
        <v>Amount may not be negative. Enter an amount greater than or equal to zero.</v>
      </c>
      <c r="H8210" s="16" t="str">
        <f t="shared" ca="1" si="924"/>
        <v/>
      </c>
      <c r="I8210" s="16" t="str">
        <f t="shared" ca="1" si="925"/>
        <v/>
      </c>
      <c r="J8210" s="17" t="str">
        <f t="shared" ca="1" si="926"/>
        <v/>
      </c>
    </row>
    <row r="8211" spans="1:10" x14ac:dyDescent="0.25">
      <c r="A8211" t="s">
        <v>320</v>
      </c>
      <c r="B8211" t="str">
        <f>ADDRESS(ROW(Transfers!B12),COLUMN(Transfers!B12),4)</f>
        <v>B12</v>
      </c>
      <c r="C8211" t="str">
        <f>ADDRESS(ROW(Transfers!H12),COLUMN(Transfers!H12),4)</f>
        <v>H12</v>
      </c>
      <c r="D8211" t="b" cm="1">
        <f t="array" aca="1" ref="D8211" ca="1">IF(INDIRECT("'"&amp;A8211&amp;"'!"&amp;B8211)="",FALSE,IF(INDIRECT("'"&amp;A8211&amp;"'!"&amp;B8211)&lt;0,TRUE,FALSE))</f>
        <v>0</v>
      </c>
      <c r="E8211" t="s">
        <v>434</v>
      </c>
      <c r="F8211" t="str">
        <f>INDEX(Lists!I:I,MATCH(Validation!E8211,Lists!G:G,0))</f>
        <v>Error</v>
      </c>
      <c r="G8211" t="str">
        <f>INDEX(Lists!H:H,MATCH(Validation!E8211,Lists!G:G,0))</f>
        <v>Amount may not be negative. Enter an amount greater than or equal to zero.</v>
      </c>
      <c r="H8211" s="16" t="str">
        <f t="shared" ca="1" si="924"/>
        <v/>
      </c>
      <c r="I8211" s="16" t="str">
        <f t="shared" ca="1" si="925"/>
        <v/>
      </c>
      <c r="J8211" s="17" t="str">
        <f t="shared" ca="1" si="926"/>
        <v/>
      </c>
    </row>
    <row r="8212" spans="1:10" x14ac:dyDescent="0.25">
      <c r="A8212" t="s">
        <v>320</v>
      </c>
      <c r="B8212" t="str">
        <f>ADDRESS(ROW(Transfers!B13),COLUMN(Transfers!B13),4)</f>
        <v>B13</v>
      </c>
      <c r="C8212" t="str">
        <f>ADDRESS(ROW(Transfers!H13),COLUMN(Transfers!H13),4)</f>
        <v>H13</v>
      </c>
      <c r="D8212" t="b" cm="1">
        <f t="array" aca="1" ref="D8212" ca="1">IF(INDIRECT("'"&amp;A8212&amp;"'!"&amp;B8212)="",FALSE,IF(INDIRECT("'"&amp;A8212&amp;"'!"&amp;B8212)&lt;0,TRUE,FALSE))</f>
        <v>0</v>
      </c>
      <c r="E8212" t="s">
        <v>434</v>
      </c>
      <c r="F8212" t="str">
        <f>INDEX(Lists!I:I,MATCH(Validation!E8212,Lists!G:G,0))</f>
        <v>Error</v>
      </c>
      <c r="G8212" t="str">
        <f>INDEX(Lists!H:H,MATCH(Validation!E8212,Lists!G:G,0))</f>
        <v>Amount may not be negative. Enter an amount greater than or equal to zero.</v>
      </c>
      <c r="H8212" s="16" t="str">
        <f t="shared" ca="1" si="924"/>
        <v/>
      </c>
      <c r="I8212" s="16" t="str">
        <f t="shared" ca="1" si="925"/>
        <v/>
      </c>
      <c r="J8212" s="17" t="str">
        <f t="shared" ca="1" si="926"/>
        <v/>
      </c>
    </row>
    <row r="8213" spans="1:10" x14ac:dyDescent="0.25">
      <c r="A8213" t="s">
        <v>320</v>
      </c>
      <c r="B8213" t="str">
        <f>ADDRESS(ROW(Transfers!B14),COLUMN(Transfers!B14),4)</f>
        <v>B14</v>
      </c>
      <c r="C8213" t="str">
        <f>ADDRESS(ROW(Transfers!H14),COLUMN(Transfers!H14),4)</f>
        <v>H14</v>
      </c>
      <c r="D8213" t="b" cm="1">
        <f t="array" aca="1" ref="D8213" ca="1">IF(INDIRECT("'"&amp;A8213&amp;"'!"&amp;B8213)="",FALSE,IF(INDIRECT("'"&amp;A8213&amp;"'!"&amp;B8213)&lt;0,TRUE,FALSE))</f>
        <v>0</v>
      </c>
      <c r="E8213" t="s">
        <v>434</v>
      </c>
      <c r="F8213" t="str">
        <f>INDEX(Lists!I:I,MATCH(Validation!E8213,Lists!G:G,0))</f>
        <v>Error</v>
      </c>
      <c r="G8213" t="str">
        <f>INDEX(Lists!H:H,MATCH(Validation!E8213,Lists!G:G,0))</f>
        <v>Amount may not be negative. Enter an amount greater than or equal to zero.</v>
      </c>
      <c r="H8213" s="16" t="str">
        <f t="shared" ca="1" si="924"/>
        <v/>
      </c>
      <c r="I8213" s="16" t="str">
        <f t="shared" ca="1" si="925"/>
        <v/>
      </c>
      <c r="J8213" s="17" t="str">
        <f t="shared" ca="1" si="926"/>
        <v/>
      </c>
    </row>
    <row r="8214" spans="1:10" x14ac:dyDescent="0.25">
      <c r="A8214" t="s">
        <v>320</v>
      </c>
      <c r="B8214" t="str">
        <f>ADDRESS(ROW(Transfers!B15),COLUMN(Transfers!B15),4)</f>
        <v>B15</v>
      </c>
      <c r="C8214" t="str">
        <f>ADDRESS(ROW(Transfers!H15),COLUMN(Transfers!H15),4)</f>
        <v>H15</v>
      </c>
      <c r="D8214" t="b" cm="1">
        <f t="array" aca="1" ref="D8214" ca="1">IF(INDIRECT("'"&amp;A8214&amp;"'!"&amp;B8214)="",FALSE,IF(INDIRECT("'"&amp;A8214&amp;"'!"&amp;B8214)&lt;0,TRUE,FALSE))</f>
        <v>0</v>
      </c>
      <c r="E8214" t="s">
        <v>434</v>
      </c>
      <c r="F8214" t="str">
        <f>INDEX(Lists!I:I,MATCH(Validation!E8214,Lists!G:G,0))</f>
        <v>Error</v>
      </c>
      <c r="G8214" t="str">
        <f>INDEX(Lists!H:H,MATCH(Validation!E8214,Lists!G:G,0))</f>
        <v>Amount may not be negative. Enter an amount greater than or equal to zero.</v>
      </c>
      <c r="H8214" s="16" t="str">
        <f t="shared" ca="1" si="924"/>
        <v/>
      </c>
      <c r="I8214" s="16" t="str">
        <f t="shared" ca="1" si="925"/>
        <v/>
      </c>
      <c r="J8214" s="17" t="str">
        <f t="shared" ca="1" si="926"/>
        <v/>
      </c>
    </row>
    <row r="8215" spans="1:10" x14ac:dyDescent="0.25">
      <c r="A8215" t="s">
        <v>320</v>
      </c>
      <c r="B8215" t="str">
        <f>ADDRESS(ROW(Transfers!B16),COLUMN(Transfers!B16),4)</f>
        <v>B16</v>
      </c>
      <c r="C8215" t="str">
        <f>ADDRESS(ROW(Transfers!H16),COLUMN(Transfers!H16),4)</f>
        <v>H16</v>
      </c>
      <c r="D8215" t="b" cm="1">
        <f t="array" aca="1" ref="D8215" ca="1">IF(INDIRECT("'"&amp;A8215&amp;"'!"&amp;B8215)="",FALSE,IF(INDIRECT("'"&amp;A8215&amp;"'!"&amp;B8215)&lt;0,TRUE,FALSE))</f>
        <v>0</v>
      </c>
      <c r="E8215" t="s">
        <v>434</v>
      </c>
      <c r="F8215" t="str">
        <f>INDEX(Lists!I:I,MATCH(Validation!E8215,Lists!G:G,0))</f>
        <v>Error</v>
      </c>
      <c r="G8215" t="str">
        <f>INDEX(Lists!H:H,MATCH(Validation!E8215,Lists!G:G,0))</f>
        <v>Amount may not be negative. Enter an amount greater than or equal to zero.</v>
      </c>
      <c r="H8215" s="16" t="str">
        <f t="shared" ca="1" si="924"/>
        <v/>
      </c>
      <c r="I8215" s="16" t="str">
        <f t="shared" ca="1" si="925"/>
        <v/>
      </c>
      <c r="J8215" s="17" t="str">
        <f t="shared" ca="1" si="926"/>
        <v/>
      </c>
    </row>
    <row r="8216" spans="1:10" x14ac:dyDescent="0.25">
      <c r="A8216" t="s">
        <v>320</v>
      </c>
      <c r="B8216" t="str">
        <f>ADDRESS(ROW(Transfers!B17),COLUMN(Transfers!B17),4)</f>
        <v>B17</v>
      </c>
      <c r="C8216" t="str">
        <f>ADDRESS(ROW(Transfers!H17),COLUMN(Transfers!H17),4)</f>
        <v>H17</v>
      </c>
      <c r="D8216" t="b" cm="1">
        <f t="array" aca="1" ref="D8216" ca="1">IF(INDIRECT("'"&amp;A8216&amp;"'!"&amp;B8216)="",FALSE,IF(INDIRECT("'"&amp;A8216&amp;"'!"&amp;B8216)&lt;0,TRUE,FALSE))</f>
        <v>0</v>
      </c>
      <c r="E8216" t="s">
        <v>434</v>
      </c>
      <c r="F8216" t="str">
        <f>INDEX(Lists!I:I,MATCH(Validation!E8216,Lists!G:G,0))</f>
        <v>Error</v>
      </c>
      <c r="G8216" t="str">
        <f>INDEX(Lists!H:H,MATCH(Validation!E8216,Lists!G:G,0))</f>
        <v>Amount may not be negative. Enter an amount greater than or equal to zero.</v>
      </c>
      <c r="H8216" s="16" t="str">
        <f t="shared" ca="1" si="924"/>
        <v/>
      </c>
      <c r="I8216" s="16" t="str">
        <f t="shared" ca="1" si="925"/>
        <v/>
      </c>
      <c r="J8216" s="17" t="str">
        <f t="shared" ca="1" si="926"/>
        <v/>
      </c>
    </row>
    <row r="8217" spans="1:10" x14ac:dyDescent="0.25">
      <c r="A8217" t="s">
        <v>320</v>
      </c>
      <c r="B8217" t="str">
        <f>ADDRESS(ROW(Transfers!B18),COLUMN(Transfers!B18),4)</f>
        <v>B18</v>
      </c>
      <c r="C8217" t="str">
        <f>ADDRESS(ROW(Transfers!H18),COLUMN(Transfers!H18),4)</f>
        <v>H18</v>
      </c>
      <c r="D8217" t="b" cm="1">
        <f t="array" aca="1" ref="D8217" ca="1">IF(INDIRECT("'"&amp;A8217&amp;"'!"&amp;B8217)="",FALSE,IF(INDIRECT("'"&amp;A8217&amp;"'!"&amp;B8217)&lt;0,TRUE,FALSE))</f>
        <v>0</v>
      </c>
      <c r="E8217" t="s">
        <v>434</v>
      </c>
      <c r="F8217" t="str">
        <f>INDEX(Lists!I:I,MATCH(Validation!E8217,Lists!G:G,0))</f>
        <v>Error</v>
      </c>
      <c r="G8217" t="str">
        <f>INDEX(Lists!H:H,MATCH(Validation!E8217,Lists!G:G,0))</f>
        <v>Amount may not be negative. Enter an amount greater than or equal to zero.</v>
      </c>
      <c r="H8217" s="16" t="str">
        <f t="shared" ca="1" si="924"/>
        <v/>
      </c>
      <c r="I8217" s="16" t="str">
        <f t="shared" ca="1" si="925"/>
        <v/>
      </c>
      <c r="J8217" s="17" t="str">
        <f t="shared" ca="1" si="926"/>
        <v/>
      </c>
    </row>
    <row r="8218" spans="1:10" x14ac:dyDescent="0.25">
      <c r="A8218" t="s">
        <v>320</v>
      </c>
      <c r="B8218" t="str">
        <f>ADDRESS(ROW(Transfers!B19),COLUMN(Transfers!B19),4)</f>
        <v>B19</v>
      </c>
      <c r="C8218" t="str">
        <f>ADDRESS(ROW(Transfers!H19),COLUMN(Transfers!H19),4)</f>
        <v>H19</v>
      </c>
      <c r="D8218" t="b" cm="1">
        <f t="array" aca="1" ref="D8218" ca="1">IF(INDIRECT("'"&amp;A8218&amp;"'!"&amp;B8218)="",FALSE,IF(INDIRECT("'"&amp;A8218&amp;"'!"&amp;B8218)&lt;0,TRUE,FALSE))</f>
        <v>0</v>
      </c>
      <c r="E8218" t="s">
        <v>434</v>
      </c>
      <c r="F8218" t="str">
        <f>INDEX(Lists!I:I,MATCH(Validation!E8218,Lists!G:G,0))</f>
        <v>Error</v>
      </c>
      <c r="G8218" t="str">
        <f>INDEX(Lists!H:H,MATCH(Validation!E8218,Lists!G:G,0))</f>
        <v>Amount may not be negative. Enter an amount greater than or equal to zero.</v>
      </c>
      <c r="H8218" s="16" t="str">
        <f t="shared" ca="1" si="924"/>
        <v/>
      </c>
      <c r="I8218" s="16" t="str">
        <f t="shared" ca="1" si="925"/>
        <v/>
      </c>
      <c r="J8218" s="17" t="str">
        <f t="shared" ca="1" si="926"/>
        <v/>
      </c>
    </row>
    <row r="8219" spans="1:10" x14ac:dyDescent="0.25">
      <c r="A8219" t="s">
        <v>320</v>
      </c>
      <c r="B8219" t="str">
        <f>ADDRESS(ROW(Transfers!B20),COLUMN(Transfers!B20),4)</f>
        <v>B20</v>
      </c>
      <c r="C8219" t="str">
        <f>ADDRESS(ROW(Transfers!H20),COLUMN(Transfers!H20),4)</f>
        <v>H20</v>
      </c>
      <c r="D8219" t="b" cm="1">
        <f t="array" aca="1" ref="D8219" ca="1">IF(INDIRECT("'"&amp;A8219&amp;"'!"&amp;B8219)="",FALSE,IF(INDIRECT("'"&amp;A8219&amp;"'!"&amp;B8219)&lt;0,TRUE,FALSE))</f>
        <v>0</v>
      </c>
      <c r="E8219" t="s">
        <v>434</v>
      </c>
      <c r="F8219" t="str">
        <f>INDEX(Lists!I:I,MATCH(Validation!E8219,Lists!G:G,0))</f>
        <v>Error</v>
      </c>
      <c r="G8219" t="str">
        <f>INDEX(Lists!H:H,MATCH(Validation!E8219,Lists!G:G,0))</f>
        <v>Amount may not be negative. Enter an amount greater than or equal to zero.</v>
      </c>
      <c r="H8219" s="16" t="str">
        <f t="shared" ca="1" si="924"/>
        <v/>
      </c>
      <c r="I8219" s="16" t="str">
        <f t="shared" ca="1" si="925"/>
        <v/>
      </c>
      <c r="J8219" s="17" t="str">
        <f t="shared" ca="1" si="926"/>
        <v/>
      </c>
    </row>
    <row r="8220" spans="1:10" x14ac:dyDescent="0.25">
      <c r="A8220" t="s">
        <v>320</v>
      </c>
      <c r="B8220" t="str">
        <f>ADDRESS(ROW(Transfers!B21),COLUMN(Transfers!B21),4)</f>
        <v>B21</v>
      </c>
      <c r="C8220" t="str">
        <f>ADDRESS(ROW(Transfers!H21),COLUMN(Transfers!H21),4)</f>
        <v>H21</v>
      </c>
      <c r="D8220" t="b" cm="1">
        <f t="array" aca="1" ref="D8220" ca="1">IF(INDIRECT("'"&amp;A8220&amp;"'!"&amp;B8220)="",FALSE,IF(INDIRECT("'"&amp;A8220&amp;"'!"&amp;B8220)&lt;0,TRUE,FALSE))</f>
        <v>0</v>
      </c>
      <c r="E8220" t="s">
        <v>434</v>
      </c>
      <c r="F8220" t="str">
        <f>INDEX(Lists!I:I,MATCH(Validation!E8220,Lists!G:G,0))</f>
        <v>Error</v>
      </c>
      <c r="G8220" t="str">
        <f>INDEX(Lists!H:H,MATCH(Validation!E8220,Lists!G:G,0))</f>
        <v>Amount may not be negative. Enter an amount greater than or equal to zero.</v>
      </c>
      <c r="H8220" s="16" t="str">
        <f t="shared" ca="1" si="924"/>
        <v/>
      </c>
      <c r="I8220" s="16" t="str">
        <f t="shared" ca="1" si="925"/>
        <v/>
      </c>
      <c r="J8220" s="17" t="str">
        <f t="shared" ca="1" si="926"/>
        <v/>
      </c>
    </row>
    <row r="8221" spans="1:10" x14ac:dyDescent="0.25">
      <c r="A8221" t="s">
        <v>320</v>
      </c>
      <c r="B8221" t="str">
        <f>ADDRESS(ROW(Transfers!B22),COLUMN(Transfers!B22),4)</f>
        <v>B22</v>
      </c>
      <c r="C8221" t="str">
        <f>ADDRESS(ROW(Transfers!H22),COLUMN(Transfers!H22),4)</f>
        <v>H22</v>
      </c>
      <c r="D8221" t="b" cm="1">
        <f t="array" aca="1" ref="D8221" ca="1">IF(INDIRECT("'"&amp;A8221&amp;"'!"&amp;B8221)="",FALSE,IF(INDIRECT("'"&amp;A8221&amp;"'!"&amp;B8221)&lt;0,TRUE,FALSE))</f>
        <v>0</v>
      </c>
      <c r="E8221" t="s">
        <v>434</v>
      </c>
      <c r="F8221" t="str">
        <f>INDEX(Lists!I:I,MATCH(Validation!E8221,Lists!G:G,0))</f>
        <v>Error</v>
      </c>
      <c r="G8221" t="str">
        <f>INDEX(Lists!H:H,MATCH(Validation!E8221,Lists!G:G,0))</f>
        <v>Amount may not be negative. Enter an amount greater than or equal to zero.</v>
      </c>
      <c r="H8221" s="16" t="str">
        <f t="shared" ca="1" si="924"/>
        <v/>
      </c>
      <c r="I8221" s="16" t="str">
        <f t="shared" ca="1" si="925"/>
        <v/>
      </c>
      <c r="J8221" s="17" t="str">
        <f t="shared" ca="1" si="926"/>
        <v/>
      </c>
    </row>
    <row r="8222" spans="1:10" x14ac:dyDescent="0.25">
      <c r="A8222" t="s">
        <v>320</v>
      </c>
      <c r="B8222" t="str">
        <f>ADDRESS(ROW(Transfers!B23),COLUMN(Transfers!B23),4)</f>
        <v>B23</v>
      </c>
      <c r="C8222" t="str">
        <f>ADDRESS(ROW(Transfers!H23),COLUMN(Transfers!H23),4)</f>
        <v>H23</v>
      </c>
      <c r="D8222" t="b" cm="1">
        <f t="array" aca="1" ref="D8222" ca="1">IF(INDIRECT("'"&amp;A8222&amp;"'!"&amp;B8222)="",FALSE,IF(INDIRECT("'"&amp;A8222&amp;"'!"&amp;B8222)&lt;0,TRUE,FALSE))</f>
        <v>0</v>
      </c>
      <c r="E8222" t="s">
        <v>434</v>
      </c>
      <c r="F8222" t="str">
        <f>INDEX(Lists!I:I,MATCH(Validation!E8222,Lists!G:G,0))</f>
        <v>Error</v>
      </c>
      <c r="G8222" t="str">
        <f>INDEX(Lists!H:H,MATCH(Validation!E8222,Lists!G:G,0))</f>
        <v>Amount may not be negative. Enter an amount greater than or equal to zero.</v>
      </c>
      <c r="H8222" s="16" t="str">
        <f t="shared" ca="1" si="924"/>
        <v/>
      </c>
      <c r="I8222" s="16" t="str">
        <f t="shared" ca="1" si="925"/>
        <v/>
      </c>
      <c r="J8222" s="17" t="str">
        <f t="shared" ca="1" si="926"/>
        <v/>
      </c>
    </row>
    <row r="8223" spans="1:10" x14ac:dyDescent="0.25">
      <c r="A8223" t="s">
        <v>320</v>
      </c>
      <c r="B8223" t="str">
        <f>ADDRESS(ROW(Transfers!B24),COLUMN(Transfers!B24),4)</f>
        <v>B24</v>
      </c>
      <c r="C8223" t="str">
        <f>ADDRESS(ROW(Transfers!H24),COLUMN(Transfers!H24),4)</f>
        <v>H24</v>
      </c>
      <c r="D8223" t="b" cm="1">
        <f t="array" aca="1" ref="D8223" ca="1">IF(INDIRECT("'"&amp;A8223&amp;"'!"&amp;B8223)="",FALSE,IF(INDIRECT("'"&amp;A8223&amp;"'!"&amp;B8223)&lt;0,TRUE,FALSE))</f>
        <v>0</v>
      </c>
      <c r="E8223" t="s">
        <v>434</v>
      </c>
      <c r="F8223" t="str">
        <f>INDEX(Lists!I:I,MATCH(Validation!E8223,Lists!G:G,0))</f>
        <v>Error</v>
      </c>
      <c r="G8223" t="str">
        <f>INDEX(Lists!H:H,MATCH(Validation!E8223,Lists!G:G,0))</f>
        <v>Amount may not be negative. Enter an amount greater than or equal to zero.</v>
      </c>
      <c r="H8223" s="16" t="str">
        <f t="shared" ca="1" si="924"/>
        <v/>
      </c>
      <c r="I8223" s="16" t="str">
        <f t="shared" ca="1" si="925"/>
        <v/>
      </c>
      <c r="J8223" s="17" t="str">
        <f t="shared" ca="1" si="926"/>
        <v/>
      </c>
    </row>
    <row r="8224" spans="1:10" x14ac:dyDescent="0.25">
      <c r="A8224" t="s">
        <v>320</v>
      </c>
      <c r="B8224" t="str">
        <f>ADDRESS(ROW(Transfers!B25),COLUMN(Transfers!B25),4)</f>
        <v>B25</v>
      </c>
      <c r="C8224" t="str">
        <f>ADDRESS(ROW(Transfers!H25),COLUMN(Transfers!H25),4)</f>
        <v>H25</v>
      </c>
      <c r="D8224" t="b" cm="1">
        <f t="array" aca="1" ref="D8224" ca="1">IF(INDIRECT("'"&amp;A8224&amp;"'!"&amp;B8224)="",FALSE,IF(INDIRECT("'"&amp;A8224&amp;"'!"&amp;B8224)&lt;0,TRUE,FALSE))</f>
        <v>0</v>
      </c>
      <c r="E8224" t="s">
        <v>434</v>
      </c>
      <c r="F8224" t="str">
        <f>INDEX(Lists!I:I,MATCH(Validation!E8224,Lists!G:G,0))</f>
        <v>Error</v>
      </c>
      <c r="G8224" t="str">
        <f>INDEX(Lists!H:H,MATCH(Validation!E8224,Lists!G:G,0))</f>
        <v>Amount may not be negative. Enter an amount greater than or equal to zero.</v>
      </c>
      <c r="H8224" s="16" t="str">
        <f t="shared" ca="1" si="924"/>
        <v/>
      </c>
      <c r="I8224" s="16" t="str">
        <f t="shared" ca="1" si="925"/>
        <v/>
      </c>
      <c r="J8224" s="17" t="str">
        <f t="shared" ca="1" si="926"/>
        <v/>
      </c>
    </row>
    <row r="8225" spans="1:10" x14ac:dyDescent="0.25">
      <c r="A8225" t="s">
        <v>320</v>
      </c>
      <c r="B8225" t="str">
        <f>ADDRESS(ROW(Transfers!B26),COLUMN(Transfers!B26),4)</f>
        <v>B26</v>
      </c>
      <c r="C8225" t="str">
        <f>ADDRESS(ROW(Transfers!H26),COLUMN(Transfers!H26),4)</f>
        <v>H26</v>
      </c>
      <c r="D8225" t="b" cm="1">
        <f t="array" aca="1" ref="D8225" ca="1">IF(INDIRECT("'"&amp;A8225&amp;"'!"&amp;B8225)="",FALSE,IF(INDIRECT("'"&amp;A8225&amp;"'!"&amp;B8225)&lt;0,TRUE,FALSE))</f>
        <v>0</v>
      </c>
      <c r="E8225" t="s">
        <v>434</v>
      </c>
      <c r="F8225" t="str">
        <f>INDEX(Lists!I:I,MATCH(Validation!E8225,Lists!G:G,0))</f>
        <v>Error</v>
      </c>
      <c r="G8225" t="str">
        <f>INDEX(Lists!H:H,MATCH(Validation!E8225,Lists!G:G,0))</f>
        <v>Amount may not be negative. Enter an amount greater than or equal to zero.</v>
      </c>
      <c r="H8225" s="16" t="str">
        <f t="shared" ca="1" si="924"/>
        <v/>
      </c>
      <c r="I8225" s="16" t="str">
        <f t="shared" ca="1" si="925"/>
        <v/>
      </c>
      <c r="J8225" s="17" t="str">
        <f t="shared" ca="1" si="926"/>
        <v/>
      </c>
    </row>
    <row r="8226" spans="1:10" x14ac:dyDescent="0.25">
      <c r="A8226" t="s">
        <v>320</v>
      </c>
      <c r="B8226" t="str">
        <f>ADDRESS(ROW(Transfers!B27),COLUMN(Transfers!B27),4)</f>
        <v>B27</v>
      </c>
      <c r="C8226" t="str">
        <f>ADDRESS(ROW(Transfers!H27),COLUMN(Transfers!H27),4)</f>
        <v>H27</v>
      </c>
      <c r="D8226" t="b" cm="1">
        <f t="array" aca="1" ref="D8226" ca="1">IF(INDIRECT("'"&amp;A8226&amp;"'!"&amp;B8226)="",FALSE,IF(INDIRECT("'"&amp;A8226&amp;"'!"&amp;B8226)&lt;0,TRUE,FALSE))</f>
        <v>0</v>
      </c>
      <c r="E8226" t="s">
        <v>434</v>
      </c>
      <c r="F8226" t="str">
        <f>INDEX(Lists!I:I,MATCH(Validation!E8226,Lists!G:G,0))</f>
        <v>Error</v>
      </c>
      <c r="G8226" t="str">
        <f>INDEX(Lists!H:H,MATCH(Validation!E8226,Lists!G:G,0))</f>
        <v>Amount may not be negative. Enter an amount greater than or equal to zero.</v>
      </c>
      <c r="H8226" s="16" t="str">
        <f t="shared" ca="1" si="924"/>
        <v/>
      </c>
      <c r="I8226" s="16" t="str">
        <f t="shared" ca="1" si="925"/>
        <v/>
      </c>
      <c r="J8226" s="17" t="str">
        <f t="shared" ca="1" si="926"/>
        <v/>
      </c>
    </row>
    <row r="8227" spans="1:10" x14ac:dyDescent="0.25">
      <c r="A8227" t="s">
        <v>320</v>
      </c>
      <c r="B8227" t="str">
        <f>ADDRESS(ROW(Transfers!B28),COLUMN(Transfers!B28),4)</f>
        <v>B28</v>
      </c>
      <c r="C8227" t="str">
        <f>ADDRESS(ROW(Transfers!H28),COLUMN(Transfers!H28),4)</f>
        <v>H28</v>
      </c>
      <c r="D8227" t="b" cm="1">
        <f t="array" aca="1" ref="D8227" ca="1">IF(INDIRECT("'"&amp;A8227&amp;"'!"&amp;B8227)="",FALSE,IF(INDIRECT("'"&amp;A8227&amp;"'!"&amp;B8227)&lt;0,TRUE,FALSE))</f>
        <v>0</v>
      </c>
      <c r="E8227" t="s">
        <v>434</v>
      </c>
      <c r="F8227" t="str">
        <f>INDEX(Lists!I:I,MATCH(Validation!E8227,Lists!G:G,0))</f>
        <v>Error</v>
      </c>
      <c r="G8227" t="str">
        <f>INDEX(Lists!H:H,MATCH(Validation!E8227,Lists!G:G,0))</f>
        <v>Amount may not be negative. Enter an amount greater than or equal to zero.</v>
      </c>
      <c r="H8227" s="16" t="str">
        <f t="shared" ca="1" si="924"/>
        <v/>
      </c>
      <c r="I8227" s="16" t="str">
        <f t="shared" ca="1" si="925"/>
        <v/>
      </c>
      <c r="J8227" s="17" t="str">
        <f t="shared" ca="1" si="926"/>
        <v/>
      </c>
    </row>
    <row r="8228" spans="1:10" x14ac:dyDescent="0.25">
      <c r="A8228" t="s">
        <v>320</v>
      </c>
      <c r="B8228" t="str">
        <f>ADDRESS(ROW(Transfers!B29),COLUMN(Transfers!B29),4)</f>
        <v>B29</v>
      </c>
      <c r="C8228" t="str">
        <f>ADDRESS(ROW(Transfers!H29),COLUMN(Transfers!H29),4)</f>
        <v>H29</v>
      </c>
      <c r="D8228" t="b" cm="1">
        <f t="array" aca="1" ref="D8228" ca="1">IF(INDIRECT("'"&amp;A8228&amp;"'!"&amp;B8228)="",FALSE,IF(INDIRECT("'"&amp;A8228&amp;"'!"&amp;B8228)&lt;0,TRUE,FALSE))</f>
        <v>0</v>
      </c>
      <c r="E8228" t="s">
        <v>434</v>
      </c>
      <c r="F8228" t="str">
        <f>INDEX(Lists!I:I,MATCH(Validation!E8228,Lists!G:G,0))</f>
        <v>Error</v>
      </c>
      <c r="G8228" t="str">
        <f>INDEX(Lists!H:H,MATCH(Validation!E8228,Lists!G:G,0))</f>
        <v>Amount may not be negative. Enter an amount greater than or equal to zero.</v>
      </c>
      <c r="H8228" s="16" t="str">
        <f t="shared" ca="1" si="924"/>
        <v/>
      </c>
      <c r="I8228" s="16" t="str">
        <f t="shared" ca="1" si="925"/>
        <v/>
      </c>
      <c r="J8228" s="17" t="str">
        <f t="shared" ca="1" si="926"/>
        <v/>
      </c>
    </row>
    <row r="8229" spans="1:10" x14ac:dyDescent="0.25">
      <c r="A8229" t="s">
        <v>320</v>
      </c>
      <c r="B8229" t="str">
        <f>ADDRESS(ROW(Transfers!B30),COLUMN(Transfers!B30),4)</f>
        <v>B30</v>
      </c>
      <c r="C8229" t="str">
        <f>ADDRESS(ROW(Transfers!H30),COLUMN(Transfers!H30),4)</f>
        <v>H30</v>
      </c>
      <c r="D8229" t="b" cm="1">
        <f t="array" aca="1" ref="D8229" ca="1">IF(INDIRECT("'"&amp;A8229&amp;"'!"&amp;B8229)="",FALSE,IF(INDIRECT("'"&amp;A8229&amp;"'!"&amp;B8229)&lt;0,TRUE,FALSE))</f>
        <v>0</v>
      </c>
      <c r="E8229" t="s">
        <v>434</v>
      </c>
      <c r="F8229" t="str">
        <f>INDEX(Lists!I:I,MATCH(Validation!E8229,Lists!G:G,0))</f>
        <v>Error</v>
      </c>
      <c r="G8229" t="str">
        <f>INDEX(Lists!H:H,MATCH(Validation!E8229,Lists!G:G,0))</f>
        <v>Amount may not be negative. Enter an amount greater than or equal to zero.</v>
      </c>
      <c r="H8229" s="16" t="str">
        <f t="shared" ca="1" si="924"/>
        <v/>
      </c>
      <c r="I8229" s="16" t="str">
        <f t="shared" ca="1" si="925"/>
        <v/>
      </c>
      <c r="J8229" s="17" t="str">
        <f t="shared" ca="1" si="926"/>
        <v/>
      </c>
    </row>
    <row r="8230" spans="1:10" x14ac:dyDescent="0.25">
      <c r="A8230" t="s">
        <v>320</v>
      </c>
      <c r="B8230" t="str">
        <f>ADDRESS(ROW(Transfers!B9),COLUMN(Transfers!B9),4)</f>
        <v>B9</v>
      </c>
      <c r="C8230" t="str">
        <f>ADDRESS(ROW(Transfers!H9),COLUMN(Transfers!H9),4)</f>
        <v>H9</v>
      </c>
      <c r="D8230" t="b" cm="1">
        <f t="array" aca="1" ref="D8230" ca="1">IF(INDIRECT("'"&amp;A8230&amp;"'!"&amp;B8230)="",FALSE,IF(TRUNC(INDIRECT("'"&amp;A8230&amp;"'!"&amp;B8230))=INDIRECT("'"&amp;A8230&amp;"'!"&amp;B8230),FALSE,TRUE))</f>
        <v>0</v>
      </c>
      <c r="E8230" t="s">
        <v>436</v>
      </c>
      <c r="F8230" t="str">
        <f>INDEX(Lists!I:I,MATCH(Validation!E8230,Lists!G:G,0))</f>
        <v>Error</v>
      </c>
      <c r="G8230" t="str">
        <f>INDEX(Lists!H:H,MATCH(Validation!E8230,Lists!G:G,0))</f>
        <v>Amount must be rounded to the nearest dollar.</v>
      </c>
      <c r="H8230" s="16" t="str">
        <f t="shared" ca="1" si="924"/>
        <v/>
      </c>
      <c r="I8230" s="16" t="str">
        <f t="shared" ca="1" si="925"/>
        <v/>
      </c>
      <c r="J8230" s="17" t="str">
        <f t="shared" ca="1" si="926"/>
        <v/>
      </c>
    </row>
    <row r="8231" spans="1:10" x14ac:dyDescent="0.25">
      <c r="A8231" t="s">
        <v>320</v>
      </c>
      <c r="B8231" t="str">
        <f>ADDRESS(ROW(Transfers!B10),COLUMN(Transfers!B10),4)</f>
        <v>B10</v>
      </c>
      <c r="C8231" t="str">
        <f>ADDRESS(ROW(Transfers!H10),COLUMN(Transfers!H10),4)</f>
        <v>H10</v>
      </c>
      <c r="D8231" t="b" cm="1">
        <f t="array" aca="1" ref="D8231" ca="1">IF(INDIRECT("'"&amp;A8231&amp;"'!"&amp;B8231)="",FALSE,IF(TRUNC(INDIRECT("'"&amp;A8231&amp;"'!"&amp;B8231))=INDIRECT("'"&amp;A8231&amp;"'!"&amp;B8231),FALSE,TRUE))</f>
        <v>0</v>
      </c>
      <c r="E8231" t="s">
        <v>436</v>
      </c>
      <c r="F8231" t="str">
        <f>INDEX(Lists!I:I,MATCH(Validation!E8231,Lists!G:G,0))</f>
        <v>Error</v>
      </c>
      <c r="G8231" t="str">
        <f>INDEX(Lists!H:H,MATCH(Validation!E8231,Lists!G:G,0))</f>
        <v>Amount must be rounded to the nearest dollar.</v>
      </c>
      <c r="H8231" s="16" t="str">
        <f t="shared" ca="1" si="924"/>
        <v/>
      </c>
      <c r="I8231" s="16" t="str">
        <f t="shared" ca="1" si="925"/>
        <v/>
      </c>
      <c r="J8231" s="17" t="str">
        <f t="shared" ca="1" si="926"/>
        <v/>
      </c>
    </row>
    <row r="8232" spans="1:10" x14ac:dyDescent="0.25">
      <c r="A8232" t="s">
        <v>320</v>
      </c>
      <c r="B8232" t="str">
        <f>ADDRESS(ROW(Transfers!B11),COLUMN(Transfers!B11),4)</f>
        <v>B11</v>
      </c>
      <c r="C8232" t="str">
        <f>ADDRESS(ROW(Transfers!H11),COLUMN(Transfers!H11),4)</f>
        <v>H11</v>
      </c>
      <c r="D8232" t="b" cm="1">
        <f t="array" aca="1" ref="D8232" ca="1">IF(INDIRECT("'"&amp;A8232&amp;"'!"&amp;B8232)="",FALSE,IF(TRUNC(INDIRECT("'"&amp;A8232&amp;"'!"&amp;B8232))=INDIRECT("'"&amp;A8232&amp;"'!"&amp;B8232),FALSE,TRUE))</f>
        <v>0</v>
      </c>
      <c r="E8232" t="s">
        <v>436</v>
      </c>
      <c r="F8232" t="str">
        <f>INDEX(Lists!I:I,MATCH(Validation!E8232,Lists!G:G,0))</f>
        <v>Error</v>
      </c>
      <c r="G8232" t="str">
        <f>INDEX(Lists!H:H,MATCH(Validation!E8232,Lists!G:G,0))</f>
        <v>Amount must be rounded to the nearest dollar.</v>
      </c>
      <c r="H8232" s="16" t="str">
        <f t="shared" ca="1" si="924"/>
        <v/>
      </c>
      <c r="I8232" s="16" t="str">
        <f t="shared" ca="1" si="925"/>
        <v/>
      </c>
      <c r="J8232" s="17" t="str">
        <f t="shared" ca="1" si="926"/>
        <v/>
      </c>
    </row>
    <row r="8233" spans="1:10" x14ac:dyDescent="0.25">
      <c r="A8233" t="s">
        <v>320</v>
      </c>
      <c r="B8233" t="str">
        <f>ADDRESS(ROW(Transfers!B12),COLUMN(Transfers!B12),4)</f>
        <v>B12</v>
      </c>
      <c r="C8233" t="str">
        <f>ADDRESS(ROW(Transfers!H12),COLUMN(Transfers!H12),4)</f>
        <v>H12</v>
      </c>
      <c r="D8233" t="b" cm="1">
        <f t="array" aca="1" ref="D8233" ca="1">IF(INDIRECT("'"&amp;A8233&amp;"'!"&amp;B8233)="",FALSE,IF(TRUNC(INDIRECT("'"&amp;A8233&amp;"'!"&amp;B8233))=INDIRECT("'"&amp;A8233&amp;"'!"&amp;B8233),FALSE,TRUE))</f>
        <v>0</v>
      </c>
      <c r="E8233" t="s">
        <v>436</v>
      </c>
      <c r="F8233" t="str">
        <f>INDEX(Lists!I:I,MATCH(Validation!E8233,Lists!G:G,0))</f>
        <v>Error</v>
      </c>
      <c r="G8233" t="str">
        <f>INDEX(Lists!H:H,MATCH(Validation!E8233,Lists!G:G,0))</f>
        <v>Amount must be rounded to the nearest dollar.</v>
      </c>
      <c r="H8233" s="16" t="str">
        <f t="shared" ca="1" si="924"/>
        <v/>
      </c>
      <c r="I8233" s="16" t="str">
        <f t="shared" ca="1" si="925"/>
        <v/>
      </c>
      <c r="J8233" s="17" t="str">
        <f t="shared" ca="1" si="926"/>
        <v/>
      </c>
    </row>
    <row r="8234" spans="1:10" x14ac:dyDescent="0.25">
      <c r="A8234" t="s">
        <v>320</v>
      </c>
      <c r="B8234" t="str">
        <f>ADDRESS(ROW(Transfers!B13),COLUMN(Transfers!B13),4)</f>
        <v>B13</v>
      </c>
      <c r="C8234" t="str">
        <f>ADDRESS(ROW(Transfers!H13),COLUMN(Transfers!H13),4)</f>
        <v>H13</v>
      </c>
      <c r="D8234" t="b" cm="1">
        <f t="array" aca="1" ref="D8234" ca="1">IF(INDIRECT("'"&amp;A8234&amp;"'!"&amp;B8234)="",FALSE,IF(TRUNC(INDIRECT("'"&amp;A8234&amp;"'!"&amp;B8234))=INDIRECT("'"&amp;A8234&amp;"'!"&amp;B8234),FALSE,TRUE))</f>
        <v>0</v>
      </c>
      <c r="E8234" t="s">
        <v>436</v>
      </c>
      <c r="F8234" t="str">
        <f>INDEX(Lists!I:I,MATCH(Validation!E8234,Lists!G:G,0))</f>
        <v>Error</v>
      </c>
      <c r="G8234" t="str">
        <f>INDEX(Lists!H:H,MATCH(Validation!E8234,Lists!G:G,0))</f>
        <v>Amount must be rounded to the nearest dollar.</v>
      </c>
      <c r="H8234" s="16" t="str">
        <f t="shared" ca="1" si="924"/>
        <v/>
      </c>
      <c r="I8234" s="16" t="str">
        <f t="shared" ca="1" si="925"/>
        <v/>
      </c>
      <c r="J8234" s="17" t="str">
        <f t="shared" ca="1" si="926"/>
        <v/>
      </c>
    </row>
    <row r="8235" spans="1:10" x14ac:dyDescent="0.25">
      <c r="A8235" t="s">
        <v>320</v>
      </c>
      <c r="B8235" t="str">
        <f>ADDRESS(ROW(Transfers!B14),COLUMN(Transfers!B14),4)</f>
        <v>B14</v>
      </c>
      <c r="C8235" t="str">
        <f>ADDRESS(ROW(Transfers!H14),COLUMN(Transfers!H14),4)</f>
        <v>H14</v>
      </c>
      <c r="D8235" t="b" cm="1">
        <f t="array" aca="1" ref="D8235" ca="1">IF(INDIRECT("'"&amp;A8235&amp;"'!"&amp;B8235)="",FALSE,IF(TRUNC(INDIRECT("'"&amp;A8235&amp;"'!"&amp;B8235))=INDIRECT("'"&amp;A8235&amp;"'!"&amp;B8235),FALSE,TRUE))</f>
        <v>0</v>
      </c>
      <c r="E8235" t="s">
        <v>436</v>
      </c>
      <c r="F8235" t="str">
        <f>INDEX(Lists!I:I,MATCH(Validation!E8235,Lists!G:G,0))</f>
        <v>Error</v>
      </c>
      <c r="G8235" t="str">
        <f>INDEX(Lists!H:H,MATCH(Validation!E8235,Lists!G:G,0))</f>
        <v>Amount must be rounded to the nearest dollar.</v>
      </c>
      <c r="H8235" s="16" t="str">
        <f t="shared" ca="1" si="924"/>
        <v/>
      </c>
      <c r="I8235" s="16" t="str">
        <f t="shared" ca="1" si="925"/>
        <v/>
      </c>
      <c r="J8235" s="17" t="str">
        <f t="shared" ca="1" si="926"/>
        <v/>
      </c>
    </row>
    <row r="8236" spans="1:10" x14ac:dyDescent="0.25">
      <c r="A8236" t="s">
        <v>320</v>
      </c>
      <c r="B8236" t="str">
        <f>ADDRESS(ROW(Transfers!B15),COLUMN(Transfers!B15),4)</f>
        <v>B15</v>
      </c>
      <c r="C8236" t="str">
        <f>ADDRESS(ROW(Transfers!H15),COLUMN(Transfers!H15),4)</f>
        <v>H15</v>
      </c>
      <c r="D8236" t="b" cm="1">
        <f t="array" aca="1" ref="D8236" ca="1">IF(INDIRECT("'"&amp;A8236&amp;"'!"&amp;B8236)="",FALSE,IF(TRUNC(INDIRECT("'"&amp;A8236&amp;"'!"&amp;B8236))=INDIRECT("'"&amp;A8236&amp;"'!"&amp;B8236),FALSE,TRUE))</f>
        <v>0</v>
      </c>
      <c r="E8236" t="s">
        <v>436</v>
      </c>
      <c r="F8236" t="str">
        <f>INDEX(Lists!I:I,MATCH(Validation!E8236,Lists!G:G,0))</f>
        <v>Error</v>
      </c>
      <c r="G8236" t="str">
        <f>INDEX(Lists!H:H,MATCH(Validation!E8236,Lists!G:G,0))</f>
        <v>Amount must be rounded to the nearest dollar.</v>
      </c>
      <c r="H8236" s="16" t="str">
        <f t="shared" ca="1" si="924"/>
        <v/>
      </c>
      <c r="I8236" s="16" t="str">
        <f t="shared" ca="1" si="925"/>
        <v/>
      </c>
      <c r="J8236" s="17" t="str">
        <f t="shared" ca="1" si="926"/>
        <v/>
      </c>
    </row>
    <row r="8237" spans="1:10" x14ac:dyDescent="0.25">
      <c r="A8237" t="s">
        <v>320</v>
      </c>
      <c r="B8237" t="str">
        <f>ADDRESS(ROW(Transfers!B16),COLUMN(Transfers!B16),4)</f>
        <v>B16</v>
      </c>
      <c r="C8237" t="str">
        <f>ADDRESS(ROW(Transfers!H16),COLUMN(Transfers!H16),4)</f>
        <v>H16</v>
      </c>
      <c r="D8237" t="b" cm="1">
        <f t="array" aca="1" ref="D8237" ca="1">IF(INDIRECT("'"&amp;A8237&amp;"'!"&amp;B8237)="",FALSE,IF(TRUNC(INDIRECT("'"&amp;A8237&amp;"'!"&amp;B8237))=INDIRECT("'"&amp;A8237&amp;"'!"&amp;B8237),FALSE,TRUE))</f>
        <v>0</v>
      </c>
      <c r="E8237" t="s">
        <v>436</v>
      </c>
      <c r="F8237" t="str">
        <f>INDEX(Lists!I:I,MATCH(Validation!E8237,Lists!G:G,0))</f>
        <v>Error</v>
      </c>
      <c r="G8237" t="str">
        <f>INDEX(Lists!H:H,MATCH(Validation!E8237,Lists!G:G,0))</f>
        <v>Amount must be rounded to the nearest dollar.</v>
      </c>
      <c r="H8237" s="16" t="str">
        <f t="shared" ca="1" si="924"/>
        <v/>
      </c>
      <c r="I8237" s="16" t="str">
        <f t="shared" ca="1" si="925"/>
        <v/>
      </c>
      <c r="J8237" s="17" t="str">
        <f t="shared" ca="1" si="926"/>
        <v/>
      </c>
    </row>
    <row r="8238" spans="1:10" x14ac:dyDescent="0.25">
      <c r="A8238" t="s">
        <v>320</v>
      </c>
      <c r="B8238" t="str">
        <f>ADDRESS(ROW(Transfers!B17),COLUMN(Transfers!B17),4)</f>
        <v>B17</v>
      </c>
      <c r="C8238" t="str">
        <f>ADDRESS(ROW(Transfers!H17),COLUMN(Transfers!H17),4)</f>
        <v>H17</v>
      </c>
      <c r="D8238" t="b" cm="1">
        <f t="array" aca="1" ref="D8238" ca="1">IF(INDIRECT("'"&amp;A8238&amp;"'!"&amp;B8238)="",FALSE,IF(TRUNC(INDIRECT("'"&amp;A8238&amp;"'!"&amp;B8238))=INDIRECT("'"&amp;A8238&amp;"'!"&amp;B8238),FALSE,TRUE))</f>
        <v>0</v>
      </c>
      <c r="E8238" t="s">
        <v>436</v>
      </c>
      <c r="F8238" t="str">
        <f>INDEX(Lists!I:I,MATCH(Validation!E8238,Lists!G:G,0))</f>
        <v>Error</v>
      </c>
      <c r="G8238" t="str">
        <f>INDEX(Lists!H:H,MATCH(Validation!E8238,Lists!G:G,0))</f>
        <v>Amount must be rounded to the nearest dollar.</v>
      </c>
      <c r="H8238" s="16" t="str">
        <f t="shared" ca="1" si="924"/>
        <v/>
      </c>
      <c r="I8238" s="16" t="str">
        <f t="shared" ca="1" si="925"/>
        <v/>
      </c>
      <c r="J8238" s="17" t="str">
        <f t="shared" ca="1" si="926"/>
        <v/>
      </c>
    </row>
    <row r="8239" spans="1:10" x14ac:dyDescent="0.25">
      <c r="A8239" t="s">
        <v>320</v>
      </c>
      <c r="B8239" t="str">
        <f>ADDRESS(ROW(Transfers!B18),COLUMN(Transfers!B18),4)</f>
        <v>B18</v>
      </c>
      <c r="C8239" t="str">
        <f>ADDRESS(ROW(Transfers!H18),COLUMN(Transfers!H18),4)</f>
        <v>H18</v>
      </c>
      <c r="D8239" t="b" cm="1">
        <f t="array" aca="1" ref="D8239" ca="1">IF(INDIRECT("'"&amp;A8239&amp;"'!"&amp;B8239)="",FALSE,IF(TRUNC(INDIRECT("'"&amp;A8239&amp;"'!"&amp;B8239))=INDIRECT("'"&amp;A8239&amp;"'!"&amp;B8239),FALSE,TRUE))</f>
        <v>0</v>
      </c>
      <c r="E8239" t="s">
        <v>436</v>
      </c>
      <c r="F8239" t="str">
        <f>INDEX(Lists!I:I,MATCH(Validation!E8239,Lists!G:G,0))</f>
        <v>Error</v>
      </c>
      <c r="G8239" t="str">
        <f>INDEX(Lists!H:H,MATCH(Validation!E8239,Lists!G:G,0))</f>
        <v>Amount must be rounded to the nearest dollar.</v>
      </c>
      <c r="H8239" s="16" t="str">
        <f t="shared" ca="1" si="924"/>
        <v/>
      </c>
      <c r="I8239" s="16" t="str">
        <f t="shared" ca="1" si="925"/>
        <v/>
      </c>
      <c r="J8239" s="17" t="str">
        <f t="shared" ca="1" si="926"/>
        <v/>
      </c>
    </row>
    <row r="8240" spans="1:10" x14ac:dyDescent="0.25">
      <c r="A8240" t="s">
        <v>320</v>
      </c>
      <c r="B8240" t="str">
        <f>ADDRESS(ROW(Transfers!B19),COLUMN(Transfers!B19),4)</f>
        <v>B19</v>
      </c>
      <c r="C8240" t="str">
        <f>ADDRESS(ROW(Transfers!H19),COLUMN(Transfers!H19),4)</f>
        <v>H19</v>
      </c>
      <c r="D8240" t="b" cm="1">
        <f t="array" aca="1" ref="D8240" ca="1">IF(INDIRECT("'"&amp;A8240&amp;"'!"&amp;B8240)="",FALSE,IF(TRUNC(INDIRECT("'"&amp;A8240&amp;"'!"&amp;B8240))=INDIRECT("'"&amp;A8240&amp;"'!"&amp;B8240),FALSE,TRUE))</f>
        <v>0</v>
      </c>
      <c r="E8240" t="s">
        <v>436</v>
      </c>
      <c r="F8240" t="str">
        <f>INDEX(Lists!I:I,MATCH(Validation!E8240,Lists!G:G,0))</f>
        <v>Error</v>
      </c>
      <c r="G8240" t="str">
        <f>INDEX(Lists!H:H,MATCH(Validation!E8240,Lists!G:G,0))</f>
        <v>Amount must be rounded to the nearest dollar.</v>
      </c>
      <c r="H8240" s="16" t="str">
        <f t="shared" ca="1" si="924"/>
        <v/>
      </c>
      <c r="I8240" s="16" t="str">
        <f t="shared" ca="1" si="925"/>
        <v/>
      </c>
      <c r="J8240" s="17" t="str">
        <f t="shared" ca="1" si="926"/>
        <v/>
      </c>
    </row>
    <row r="8241" spans="1:10" x14ac:dyDescent="0.25">
      <c r="A8241" t="s">
        <v>320</v>
      </c>
      <c r="B8241" t="str">
        <f>ADDRESS(ROW(Transfers!B20),COLUMN(Transfers!B20),4)</f>
        <v>B20</v>
      </c>
      <c r="C8241" t="str">
        <f>ADDRESS(ROW(Transfers!H20),COLUMN(Transfers!H20),4)</f>
        <v>H20</v>
      </c>
      <c r="D8241" t="b" cm="1">
        <f t="array" aca="1" ref="D8241" ca="1">IF(INDIRECT("'"&amp;A8241&amp;"'!"&amp;B8241)="",FALSE,IF(TRUNC(INDIRECT("'"&amp;A8241&amp;"'!"&amp;B8241))=INDIRECT("'"&amp;A8241&amp;"'!"&amp;B8241),FALSE,TRUE))</f>
        <v>0</v>
      </c>
      <c r="E8241" t="s">
        <v>436</v>
      </c>
      <c r="F8241" t="str">
        <f>INDEX(Lists!I:I,MATCH(Validation!E8241,Lists!G:G,0))</f>
        <v>Error</v>
      </c>
      <c r="G8241" t="str">
        <f>INDEX(Lists!H:H,MATCH(Validation!E8241,Lists!G:G,0))</f>
        <v>Amount must be rounded to the nearest dollar.</v>
      </c>
      <c r="H8241" s="16" t="str">
        <f t="shared" ca="1" si="924"/>
        <v/>
      </c>
      <c r="I8241" s="16" t="str">
        <f t="shared" ca="1" si="925"/>
        <v/>
      </c>
      <c r="J8241" s="17" t="str">
        <f t="shared" ca="1" si="926"/>
        <v/>
      </c>
    </row>
    <row r="8242" spans="1:10" x14ac:dyDescent="0.25">
      <c r="A8242" t="s">
        <v>320</v>
      </c>
      <c r="B8242" t="str">
        <f>ADDRESS(ROW(Transfers!B21),COLUMN(Transfers!B21),4)</f>
        <v>B21</v>
      </c>
      <c r="C8242" t="str">
        <f>ADDRESS(ROW(Transfers!H21),COLUMN(Transfers!H21),4)</f>
        <v>H21</v>
      </c>
      <c r="D8242" t="b" cm="1">
        <f t="array" aca="1" ref="D8242" ca="1">IF(INDIRECT("'"&amp;A8242&amp;"'!"&amp;B8242)="",FALSE,IF(TRUNC(INDIRECT("'"&amp;A8242&amp;"'!"&amp;B8242))=INDIRECT("'"&amp;A8242&amp;"'!"&amp;B8242),FALSE,TRUE))</f>
        <v>0</v>
      </c>
      <c r="E8242" t="s">
        <v>436</v>
      </c>
      <c r="F8242" t="str">
        <f>INDEX(Lists!I:I,MATCH(Validation!E8242,Lists!G:G,0))</f>
        <v>Error</v>
      </c>
      <c r="G8242" t="str">
        <f>INDEX(Lists!H:H,MATCH(Validation!E8242,Lists!G:G,0))</f>
        <v>Amount must be rounded to the nearest dollar.</v>
      </c>
      <c r="H8242" s="16" t="str">
        <f t="shared" ca="1" si="924"/>
        <v/>
      </c>
      <c r="I8242" s="16" t="str">
        <f t="shared" ca="1" si="925"/>
        <v/>
      </c>
      <c r="J8242" s="17" t="str">
        <f t="shared" ca="1" si="926"/>
        <v/>
      </c>
    </row>
    <row r="8243" spans="1:10" x14ac:dyDescent="0.25">
      <c r="A8243" t="s">
        <v>320</v>
      </c>
      <c r="B8243" t="str">
        <f>ADDRESS(ROW(Transfers!B22),COLUMN(Transfers!B22),4)</f>
        <v>B22</v>
      </c>
      <c r="C8243" t="str">
        <f>ADDRESS(ROW(Transfers!H22),COLUMN(Transfers!H22),4)</f>
        <v>H22</v>
      </c>
      <c r="D8243" t="b" cm="1">
        <f t="array" aca="1" ref="D8243" ca="1">IF(INDIRECT("'"&amp;A8243&amp;"'!"&amp;B8243)="",FALSE,IF(TRUNC(INDIRECT("'"&amp;A8243&amp;"'!"&amp;B8243))=INDIRECT("'"&amp;A8243&amp;"'!"&amp;B8243),FALSE,TRUE))</f>
        <v>0</v>
      </c>
      <c r="E8243" t="s">
        <v>436</v>
      </c>
      <c r="F8243" t="str">
        <f>INDEX(Lists!I:I,MATCH(Validation!E8243,Lists!G:G,0))</f>
        <v>Error</v>
      </c>
      <c r="G8243" t="str">
        <f>INDEX(Lists!H:H,MATCH(Validation!E8243,Lists!G:G,0))</f>
        <v>Amount must be rounded to the nearest dollar.</v>
      </c>
      <c r="H8243" s="16" t="str">
        <f t="shared" ca="1" si="924"/>
        <v/>
      </c>
      <c r="I8243" s="16" t="str">
        <f t="shared" ca="1" si="925"/>
        <v/>
      </c>
      <c r="J8243" s="17" t="str">
        <f t="shared" ca="1" si="926"/>
        <v/>
      </c>
    </row>
    <row r="8244" spans="1:10" x14ac:dyDescent="0.25">
      <c r="A8244" t="s">
        <v>320</v>
      </c>
      <c r="B8244" t="str">
        <f>ADDRESS(ROW(Transfers!B23),COLUMN(Transfers!B23),4)</f>
        <v>B23</v>
      </c>
      <c r="C8244" t="str">
        <f>ADDRESS(ROW(Transfers!H23),COLUMN(Transfers!H23),4)</f>
        <v>H23</v>
      </c>
      <c r="D8244" t="b" cm="1">
        <f t="array" aca="1" ref="D8244" ca="1">IF(INDIRECT("'"&amp;A8244&amp;"'!"&amp;B8244)="",FALSE,IF(TRUNC(INDIRECT("'"&amp;A8244&amp;"'!"&amp;B8244))=INDIRECT("'"&amp;A8244&amp;"'!"&amp;B8244),FALSE,TRUE))</f>
        <v>0</v>
      </c>
      <c r="E8244" t="s">
        <v>436</v>
      </c>
      <c r="F8244" t="str">
        <f>INDEX(Lists!I:I,MATCH(Validation!E8244,Lists!G:G,0))</f>
        <v>Error</v>
      </c>
      <c r="G8244" t="str">
        <f>INDEX(Lists!H:H,MATCH(Validation!E8244,Lists!G:G,0))</f>
        <v>Amount must be rounded to the nearest dollar.</v>
      </c>
      <c r="H8244" s="16" t="str">
        <f t="shared" ca="1" si="924"/>
        <v/>
      </c>
      <c r="I8244" s="16" t="str">
        <f t="shared" ca="1" si="925"/>
        <v/>
      </c>
      <c r="J8244" s="17" t="str">
        <f t="shared" ca="1" si="926"/>
        <v/>
      </c>
    </row>
    <row r="8245" spans="1:10" x14ac:dyDescent="0.25">
      <c r="A8245" t="s">
        <v>320</v>
      </c>
      <c r="B8245" t="str">
        <f>ADDRESS(ROW(Transfers!B24),COLUMN(Transfers!B24),4)</f>
        <v>B24</v>
      </c>
      <c r="C8245" t="str">
        <f>ADDRESS(ROW(Transfers!H24),COLUMN(Transfers!H24),4)</f>
        <v>H24</v>
      </c>
      <c r="D8245" t="b" cm="1">
        <f t="array" aca="1" ref="D8245" ca="1">IF(INDIRECT("'"&amp;A8245&amp;"'!"&amp;B8245)="",FALSE,IF(TRUNC(INDIRECT("'"&amp;A8245&amp;"'!"&amp;B8245))=INDIRECT("'"&amp;A8245&amp;"'!"&amp;B8245),FALSE,TRUE))</f>
        <v>0</v>
      </c>
      <c r="E8245" t="s">
        <v>436</v>
      </c>
      <c r="F8245" t="str">
        <f>INDEX(Lists!I:I,MATCH(Validation!E8245,Lists!G:G,0))</f>
        <v>Error</v>
      </c>
      <c r="G8245" t="str">
        <f>INDEX(Lists!H:H,MATCH(Validation!E8245,Lists!G:G,0))</f>
        <v>Amount must be rounded to the nearest dollar.</v>
      </c>
      <c r="H8245" s="16" t="str">
        <f t="shared" ca="1" si="924"/>
        <v/>
      </c>
      <c r="I8245" s="16" t="str">
        <f t="shared" ca="1" si="925"/>
        <v/>
      </c>
      <c r="J8245" s="17" t="str">
        <f t="shared" ca="1" si="926"/>
        <v/>
      </c>
    </row>
    <row r="8246" spans="1:10" x14ac:dyDescent="0.25">
      <c r="A8246" t="s">
        <v>320</v>
      </c>
      <c r="B8246" t="str">
        <f>ADDRESS(ROW(Transfers!B25),COLUMN(Transfers!B25),4)</f>
        <v>B25</v>
      </c>
      <c r="C8246" t="str">
        <f>ADDRESS(ROW(Transfers!H25),COLUMN(Transfers!H25),4)</f>
        <v>H25</v>
      </c>
      <c r="D8246" t="b" cm="1">
        <f t="array" aca="1" ref="D8246" ca="1">IF(INDIRECT("'"&amp;A8246&amp;"'!"&amp;B8246)="",FALSE,IF(TRUNC(INDIRECT("'"&amp;A8246&amp;"'!"&amp;B8246))=INDIRECT("'"&amp;A8246&amp;"'!"&amp;B8246),FALSE,TRUE))</f>
        <v>0</v>
      </c>
      <c r="E8246" t="s">
        <v>436</v>
      </c>
      <c r="F8246" t="str">
        <f>INDEX(Lists!I:I,MATCH(Validation!E8246,Lists!G:G,0))</f>
        <v>Error</v>
      </c>
      <c r="G8246" t="str">
        <f>INDEX(Lists!H:H,MATCH(Validation!E8246,Lists!G:G,0))</f>
        <v>Amount must be rounded to the nearest dollar.</v>
      </c>
      <c r="H8246" s="16" t="str">
        <f t="shared" ca="1" si="924"/>
        <v/>
      </c>
      <c r="I8246" s="16" t="str">
        <f t="shared" ca="1" si="925"/>
        <v/>
      </c>
      <c r="J8246" s="17" t="str">
        <f t="shared" ca="1" si="926"/>
        <v/>
      </c>
    </row>
    <row r="8247" spans="1:10" x14ac:dyDescent="0.25">
      <c r="A8247" t="s">
        <v>320</v>
      </c>
      <c r="B8247" t="str">
        <f>ADDRESS(ROW(Transfers!B26),COLUMN(Transfers!B26),4)</f>
        <v>B26</v>
      </c>
      <c r="C8247" t="str">
        <f>ADDRESS(ROW(Transfers!H26),COLUMN(Transfers!H26),4)</f>
        <v>H26</v>
      </c>
      <c r="D8247" t="b" cm="1">
        <f t="array" aca="1" ref="D8247" ca="1">IF(INDIRECT("'"&amp;A8247&amp;"'!"&amp;B8247)="",FALSE,IF(TRUNC(INDIRECT("'"&amp;A8247&amp;"'!"&amp;B8247))=INDIRECT("'"&amp;A8247&amp;"'!"&amp;B8247),FALSE,TRUE))</f>
        <v>0</v>
      </c>
      <c r="E8247" t="s">
        <v>436</v>
      </c>
      <c r="F8247" t="str">
        <f>INDEX(Lists!I:I,MATCH(Validation!E8247,Lists!G:G,0))</f>
        <v>Error</v>
      </c>
      <c r="G8247" t="str">
        <f>INDEX(Lists!H:H,MATCH(Validation!E8247,Lists!G:G,0))</f>
        <v>Amount must be rounded to the nearest dollar.</v>
      </c>
      <c r="H8247" s="16" t="str">
        <f t="shared" ca="1" si="924"/>
        <v/>
      </c>
      <c r="I8247" s="16" t="str">
        <f t="shared" ca="1" si="925"/>
        <v/>
      </c>
      <c r="J8247" s="17" t="str">
        <f t="shared" ca="1" si="926"/>
        <v/>
      </c>
    </row>
    <row r="8248" spans="1:10" x14ac:dyDescent="0.25">
      <c r="A8248" t="s">
        <v>320</v>
      </c>
      <c r="B8248" t="str">
        <f>ADDRESS(ROW(Transfers!B27),COLUMN(Transfers!B27),4)</f>
        <v>B27</v>
      </c>
      <c r="C8248" t="str">
        <f>ADDRESS(ROW(Transfers!H27),COLUMN(Transfers!H27),4)</f>
        <v>H27</v>
      </c>
      <c r="D8248" t="b" cm="1">
        <f t="array" aca="1" ref="D8248" ca="1">IF(INDIRECT("'"&amp;A8248&amp;"'!"&amp;B8248)="",FALSE,IF(TRUNC(INDIRECT("'"&amp;A8248&amp;"'!"&amp;B8248))=INDIRECT("'"&amp;A8248&amp;"'!"&amp;B8248),FALSE,TRUE))</f>
        <v>0</v>
      </c>
      <c r="E8248" t="s">
        <v>436</v>
      </c>
      <c r="F8248" t="str">
        <f>INDEX(Lists!I:I,MATCH(Validation!E8248,Lists!G:G,0))</f>
        <v>Error</v>
      </c>
      <c r="G8248" t="str">
        <f>INDEX(Lists!H:H,MATCH(Validation!E8248,Lists!G:G,0))</f>
        <v>Amount must be rounded to the nearest dollar.</v>
      </c>
      <c r="H8248" s="16" t="str">
        <f t="shared" ref="H8248:H8311" ca="1" si="927">IFERROR(IF(OR(NOT(D8248),F8248&lt;&gt;"Error"),"",A8248&amp;CELL("address",INDIRECT(B8248))),"")</f>
        <v/>
      </c>
      <c r="I8248" s="16" t="str">
        <f t="shared" ref="I8248:I8311" ca="1" si="928">IFERROR(IF(NOT(D8248),"",A8248&amp;CELL("address",INDIRECT(C8248))),"")</f>
        <v/>
      </c>
      <c r="J8248" s="17" t="str">
        <f t="shared" ref="J8248:J8311" ca="1" si="929">IFERROR(IF(NOT(D8248),"",A8248),"")</f>
        <v/>
      </c>
    </row>
    <row r="8249" spans="1:10" x14ac:dyDescent="0.25">
      <c r="A8249" t="s">
        <v>320</v>
      </c>
      <c r="B8249" t="str">
        <f>ADDRESS(ROW(Transfers!B28),COLUMN(Transfers!B28),4)</f>
        <v>B28</v>
      </c>
      <c r="C8249" t="str">
        <f>ADDRESS(ROW(Transfers!H28),COLUMN(Transfers!H28),4)</f>
        <v>H28</v>
      </c>
      <c r="D8249" t="b" cm="1">
        <f t="array" aca="1" ref="D8249" ca="1">IF(INDIRECT("'"&amp;A8249&amp;"'!"&amp;B8249)="",FALSE,IF(TRUNC(INDIRECT("'"&amp;A8249&amp;"'!"&amp;B8249))=INDIRECT("'"&amp;A8249&amp;"'!"&amp;B8249),FALSE,TRUE))</f>
        <v>0</v>
      </c>
      <c r="E8249" t="s">
        <v>436</v>
      </c>
      <c r="F8249" t="str">
        <f>INDEX(Lists!I:I,MATCH(Validation!E8249,Lists!G:G,0))</f>
        <v>Error</v>
      </c>
      <c r="G8249" t="str">
        <f>INDEX(Lists!H:H,MATCH(Validation!E8249,Lists!G:G,0))</f>
        <v>Amount must be rounded to the nearest dollar.</v>
      </c>
      <c r="H8249" s="16" t="str">
        <f t="shared" ca="1" si="927"/>
        <v/>
      </c>
      <c r="I8249" s="16" t="str">
        <f t="shared" ca="1" si="928"/>
        <v/>
      </c>
      <c r="J8249" s="17" t="str">
        <f t="shared" ca="1" si="929"/>
        <v/>
      </c>
    </row>
    <row r="8250" spans="1:10" x14ac:dyDescent="0.25">
      <c r="A8250" t="s">
        <v>320</v>
      </c>
      <c r="B8250" t="str">
        <f>ADDRESS(ROW(Transfers!B29),COLUMN(Transfers!B29),4)</f>
        <v>B29</v>
      </c>
      <c r="C8250" t="str">
        <f>ADDRESS(ROW(Transfers!H29),COLUMN(Transfers!H29),4)</f>
        <v>H29</v>
      </c>
      <c r="D8250" t="b" cm="1">
        <f t="array" aca="1" ref="D8250" ca="1">IF(INDIRECT("'"&amp;A8250&amp;"'!"&amp;B8250)="",FALSE,IF(TRUNC(INDIRECT("'"&amp;A8250&amp;"'!"&amp;B8250))=INDIRECT("'"&amp;A8250&amp;"'!"&amp;B8250),FALSE,TRUE))</f>
        <v>0</v>
      </c>
      <c r="E8250" t="s">
        <v>436</v>
      </c>
      <c r="F8250" t="str">
        <f>INDEX(Lists!I:I,MATCH(Validation!E8250,Lists!G:G,0))</f>
        <v>Error</v>
      </c>
      <c r="G8250" t="str">
        <f>INDEX(Lists!H:H,MATCH(Validation!E8250,Lists!G:G,0))</f>
        <v>Amount must be rounded to the nearest dollar.</v>
      </c>
      <c r="H8250" s="16" t="str">
        <f t="shared" ca="1" si="927"/>
        <v/>
      </c>
      <c r="I8250" s="16" t="str">
        <f t="shared" ca="1" si="928"/>
        <v/>
      </c>
      <c r="J8250" s="17" t="str">
        <f t="shared" ca="1" si="929"/>
        <v/>
      </c>
    </row>
    <row r="8251" spans="1:10" x14ac:dyDescent="0.25">
      <c r="A8251" t="s">
        <v>320</v>
      </c>
      <c r="B8251" t="str">
        <f>ADDRESS(ROW(Transfers!B30),COLUMN(Transfers!B30),4)</f>
        <v>B30</v>
      </c>
      <c r="C8251" t="str">
        <f>ADDRESS(ROW(Transfers!H30),COLUMN(Transfers!H30),4)</f>
        <v>H30</v>
      </c>
      <c r="D8251" t="b" cm="1">
        <f t="array" aca="1" ref="D8251" ca="1">IF(INDIRECT("'"&amp;A8251&amp;"'!"&amp;B8251)="",FALSE,IF(TRUNC(INDIRECT("'"&amp;A8251&amp;"'!"&amp;B8251))=INDIRECT("'"&amp;A8251&amp;"'!"&amp;B8251),FALSE,TRUE))</f>
        <v>0</v>
      </c>
      <c r="E8251" t="s">
        <v>436</v>
      </c>
      <c r="F8251" t="str">
        <f>INDEX(Lists!I:I,MATCH(Validation!E8251,Lists!G:G,0))</f>
        <v>Error</v>
      </c>
      <c r="G8251" t="str">
        <f>INDEX(Lists!H:H,MATCH(Validation!E8251,Lists!G:G,0))</f>
        <v>Amount must be rounded to the nearest dollar.</v>
      </c>
      <c r="H8251" s="16" t="str">
        <f t="shared" ca="1" si="927"/>
        <v/>
      </c>
      <c r="I8251" s="16" t="str">
        <f t="shared" ca="1" si="928"/>
        <v/>
      </c>
      <c r="J8251" s="17" t="str">
        <f t="shared" ca="1" si="929"/>
        <v/>
      </c>
    </row>
    <row r="8252" spans="1:10" x14ac:dyDescent="0.25">
      <c r="A8252" t="s">
        <v>320</v>
      </c>
      <c r="B8252" t="str">
        <f>ADDRESS(ROW(Transfers!C9),COLUMN(Transfers!C9),4)</f>
        <v>C9</v>
      </c>
      <c r="C8252" t="str">
        <f>ADDRESS(ROW(Transfers!H9),COLUMN(Transfers!H9),4)</f>
        <v>H9</v>
      </c>
      <c r="D8252" t="b" cm="1">
        <f t="array" aca="1" ref="D8252" ca="1">IF(INDIRECT("'"&amp;A8252&amp;"'!"&amp;B8252)="",FALSE,IF(NOT(ISNUMBER(INDIRECT("'"&amp;A8252&amp;"'!"&amp;B8252))),TRUE,FALSE))</f>
        <v>0</v>
      </c>
      <c r="E8252" t="s">
        <v>435</v>
      </c>
      <c r="F8252" t="str">
        <f>INDEX(Lists!I:I,MATCH(Validation!E8252,Lists!G:G,0))</f>
        <v>Error</v>
      </c>
      <c r="G8252" t="str">
        <f>INDEX(Lists!H:H,MATCH(Validation!E8252,Lists!G:G,0))</f>
        <v>Enter an amount only. Do not enter text or spaces.</v>
      </c>
      <c r="H8252" s="16" t="str">
        <f t="shared" ca="1" si="927"/>
        <v/>
      </c>
      <c r="I8252" s="16" t="str">
        <f t="shared" ca="1" si="928"/>
        <v/>
      </c>
      <c r="J8252" s="17" t="str">
        <f t="shared" ca="1" si="929"/>
        <v/>
      </c>
    </row>
    <row r="8253" spans="1:10" x14ac:dyDescent="0.25">
      <c r="A8253" t="s">
        <v>320</v>
      </c>
      <c r="B8253" t="str">
        <f>ADDRESS(ROW(Transfers!C10),COLUMN(Transfers!C10),4)</f>
        <v>C10</v>
      </c>
      <c r="C8253" t="str">
        <f>ADDRESS(ROW(Transfers!H10),COLUMN(Transfers!H10),4)</f>
        <v>H10</v>
      </c>
      <c r="D8253" t="b" cm="1">
        <f t="array" aca="1" ref="D8253" ca="1">IF(INDIRECT("'"&amp;A8253&amp;"'!"&amp;B8253)="",FALSE,IF(NOT(ISNUMBER(INDIRECT("'"&amp;A8253&amp;"'!"&amp;B8253))),TRUE,FALSE))</f>
        <v>0</v>
      </c>
      <c r="E8253" t="s">
        <v>435</v>
      </c>
      <c r="F8253" t="str">
        <f>INDEX(Lists!I:I,MATCH(Validation!E8253,Lists!G:G,0))</f>
        <v>Error</v>
      </c>
      <c r="G8253" t="str">
        <f>INDEX(Lists!H:H,MATCH(Validation!E8253,Lists!G:G,0))</f>
        <v>Enter an amount only. Do not enter text or spaces.</v>
      </c>
      <c r="H8253" s="16" t="str">
        <f t="shared" ca="1" si="927"/>
        <v/>
      </c>
      <c r="I8253" s="16" t="str">
        <f t="shared" ca="1" si="928"/>
        <v/>
      </c>
      <c r="J8253" s="17" t="str">
        <f t="shared" ca="1" si="929"/>
        <v/>
      </c>
    </row>
    <row r="8254" spans="1:10" x14ac:dyDescent="0.25">
      <c r="A8254" t="s">
        <v>320</v>
      </c>
      <c r="B8254" t="str">
        <f>ADDRESS(ROW(Transfers!C11),COLUMN(Transfers!C11),4)</f>
        <v>C11</v>
      </c>
      <c r="C8254" t="str">
        <f>ADDRESS(ROW(Transfers!H11),COLUMN(Transfers!H11),4)</f>
        <v>H11</v>
      </c>
      <c r="D8254" t="b" cm="1">
        <f t="array" aca="1" ref="D8254" ca="1">IF(INDIRECT("'"&amp;A8254&amp;"'!"&amp;B8254)="",FALSE,IF(NOT(ISNUMBER(INDIRECT("'"&amp;A8254&amp;"'!"&amp;B8254))),TRUE,FALSE))</f>
        <v>0</v>
      </c>
      <c r="E8254" t="s">
        <v>435</v>
      </c>
      <c r="F8254" t="str">
        <f>INDEX(Lists!I:I,MATCH(Validation!E8254,Lists!G:G,0))</f>
        <v>Error</v>
      </c>
      <c r="G8254" t="str">
        <f>INDEX(Lists!H:H,MATCH(Validation!E8254,Lists!G:G,0))</f>
        <v>Enter an amount only. Do not enter text or spaces.</v>
      </c>
      <c r="H8254" s="16" t="str">
        <f t="shared" ca="1" si="927"/>
        <v/>
      </c>
      <c r="I8254" s="16" t="str">
        <f t="shared" ca="1" si="928"/>
        <v/>
      </c>
      <c r="J8254" s="17" t="str">
        <f t="shared" ca="1" si="929"/>
        <v/>
      </c>
    </row>
    <row r="8255" spans="1:10" x14ac:dyDescent="0.25">
      <c r="A8255" t="s">
        <v>320</v>
      </c>
      <c r="B8255" t="str">
        <f>ADDRESS(ROW(Transfers!C12),COLUMN(Transfers!C12),4)</f>
        <v>C12</v>
      </c>
      <c r="C8255" t="str">
        <f>ADDRESS(ROW(Transfers!H12),COLUMN(Transfers!H12),4)</f>
        <v>H12</v>
      </c>
      <c r="D8255" t="b" cm="1">
        <f t="array" aca="1" ref="D8255" ca="1">IF(INDIRECT("'"&amp;A8255&amp;"'!"&amp;B8255)="",FALSE,IF(NOT(ISNUMBER(INDIRECT("'"&amp;A8255&amp;"'!"&amp;B8255))),TRUE,FALSE))</f>
        <v>0</v>
      </c>
      <c r="E8255" t="s">
        <v>435</v>
      </c>
      <c r="F8255" t="str">
        <f>INDEX(Lists!I:I,MATCH(Validation!E8255,Lists!G:G,0))</f>
        <v>Error</v>
      </c>
      <c r="G8255" t="str">
        <f>INDEX(Lists!H:H,MATCH(Validation!E8255,Lists!G:G,0))</f>
        <v>Enter an amount only. Do not enter text or spaces.</v>
      </c>
      <c r="H8255" s="16" t="str">
        <f t="shared" ca="1" si="927"/>
        <v/>
      </c>
      <c r="I8255" s="16" t="str">
        <f t="shared" ca="1" si="928"/>
        <v/>
      </c>
      <c r="J8255" s="17" t="str">
        <f t="shared" ca="1" si="929"/>
        <v/>
      </c>
    </row>
    <row r="8256" spans="1:10" x14ac:dyDescent="0.25">
      <c r="A8256" t="s">
        <v>320</v>
      </c>
      <c r="B8256" t="str">
        <f>ADDRESS(ROW(Transfers!C13),COLUMN(Transfers!C13),4)</f>
        <v>C13</v>
      </c>
      <c r="C8256" t="str">
        <f>ADDRESS(ROW(Transfers!H13),COLUMN(Transfers!H13),4)</f>
        <v>H13</v>
      </c>
      <c r="D8256" t="b" cm="1">
        <f t="array" aca="1" ref="D8256" ca="1">IF(INDIRECT("'"&amp;A8256&amp;"'!"&amp;B8256)="",FALSE,IF(NOT(ISNUMBER(INDIRECT("'"&amp;A8256&amp;"'!"&amp;B8256))),TRUE,FALSE))</f>
        <v>0</v>
      </c>
      <c r="E8256" t="s">
        <v>435</v>
      </c>
      <c r="F8256" t="str">
        <f>INDEX(Lists!I:I,MATCH(Validation!E8256,Lists!G:G,0))</f>
        <v>Error</v>
      </c>
      <c r="G8256" t="str">
        <f>INDEX(Lists!H:H,MATCH(Validation!E8256,Lists!G:G,0))</f>
        <v>Enter an amount only. Do not enter text or spaces.</v>
      </c>
      <c r="H8256" s="16" t="str">
        <f t="shared" ca="1" si="927"/>
        <v/>
      </c>
      <c r="I8256" s="16" t="str">
        <f t="shared" ca="1" si="928"/>
        <v/>
      </c>
      <c r="J8256" s="17" t="str">
        <f t="shared" ca="1" si="929"/>
        <v/>
      </c>
    </row>
    <row r="8257" spans="1:10" x14ac:dyDescent="0.25">
      <c r="A8257" t="s">
        <v>320</v>
      </c>
      <c r="B8257" t="str">
        <f>ADDRESS(ROW(Transfers!C14),COLUMN(Transfers!C14),4)</f>
        <v>C14</v>
      </c>
      <c r="C8257" t="str">
        <f>ADDRESS(ROW(Transfers!H14),COLUMN(Transfers!H14),4)</f>
        <v>H14</v>
      </c>
      <c r="D8257" t="b" cm="1">
        <f t="array" aca="1" ref="D8257" ca="1">IF(INDIRECT("'"&amp;A8257&amp;"'!"&amp;B8257)="",FALSE,IF(NOT(ISNUMBER(INDIRECT("'"&amp;A8257&amp;"'!"&amp;B8257))),TRUE,FALSE))</f>
        <v>0</v>
      </c>
      <c r="E8257" t="s">
        <v>435</v>
      </c>
      <c r="F8257" t="str">
        <f>INDEX(Lists!I:I,MATCH(Validation!E8257,Lists!G:G,0))</f>
        <v>Error</v>
      </c>
      <c r="G8257" t="str">
        <f>INDEX(Lists!H:H,MATCH(Validation!E8257,Lists!G:G,0))</f>
        <v>Enter an amount only. Do not enter text or spaces.</v>
      </c>
      <c r="H8257" s="16" t="str">
        <f t="shared" ca="1" si="927"/>
        <v/>
      </c>
      <c r="I8257" s="16" t="str">
        <f t="shared" ca="1" si="928"/>
        <v/>
      </c>
      <c r="J8257" s="17" t="str">
        <f t="shared" ca="1" si="929"/>
        <v/>
      </c>
    </row>
    <row r="8258" spans="1:10" x14ac:dyDescent="0.25">
      <c r="A8258" t="s">
        <v>320</v>
      </c>
      <c r="B8258" t="str">
        <f>ADDRESS(ROW(Transfers!C15),COLUMN(Transfers!C15),4)</f>
        <v>C15</v>
      </c>
      <c r="C8258" t="str">
        <f>ADDRESS(ROW(Transfers!H15),COLUMN(Transfers!H15),4)</f>
        <v>H15</v>
      </c>
      <c r="D8258" t="b" cm="1">
        <f t="array" aca="1" ref="D8258" ca="1">IF(INDIRECT("'"&amp;A8258&amp;"'!"&amp;B8258)="",FALSE,IF(NOT(ISNUMBER(INDIRECT("'"&amp;A8258&amp;"'!"&amp;B8258))),TRUE,FALSE))</f>
        <v>0</v>
      </c>
      <c r="E8258" t="s">
        <v>435</v>
      </c>
      <c r="F8258" t="str">
        <f>INDEX(Lists!I:I,MATCH(Validation!E8258,Lists!G:G,0))</f>
        <v>Error</v>
      </c>
      <c r="G8258" t="str">
        <f>INDEX(Lists!H:H,MATCH(Validation!E8258,Lists!G:G,0))</f>
        <v>Enter an amount only. Do not enter text or spaces.</v>
      </c>
      <c r="H8258" s="16" t="str">
        <f t="shared" ca="1" si="927"/>
        <v/>
      </c>
      <c r="I8258" s="16" t="str">
        <f t="shared" ca="1" si="928"/>
        <v/>
      </c>
      <c r="J8258" s="17" t="str">
        <f t="shared" ca="1" si="929"/>
        <v/>
      </c>
    </row>
    <row r="8259" spans="1:10" x14ac:dyDescent="0.25">
      <c r="A8259" t="s">
        <v>320</v>
      </c>
      <c r="B8259" t="str">
        <f>ADDRESS(ROW(Transfers!C16),COLUMN(Transfers!C16),4)</f>
        <v>C16</v>
      </c>
      <c r="C8259" t="str">
        <f>ADDRESS(ROW(Transfers!H16),COLUMN(Transfers!H16),4)</f>
        <v>H16</v>
      </c>
      <c r="D8259" t="b" cm="1">
        <f t="array" aca="1" ref="D8259" ca="1">IF(INDIRECT("'"&amp;A8259&amp;"'!"&amp;B8259)="",FALSE,IF(NOT(ISNUMBER(INDIRECT("'"&amp;A8259&amp;"'!"&amp;B8259))),TRUE,FALSE))</f>
        <v>0</v>
      </c>
      <c r="E8259" t="s">
        <v>435</v>
      </c>
      <c r="F8259" t="str">
        <f>INDEX(Lists!I:I,MATCH(Validation!E8259,Lists!G:G,0))</f>
        <v>Error</v>
      </c>
      <c r="G8259" t="str">
        <f>INDEX(Lists!H:H,MATCH(Validation!E8259,Lists!G:G,0))</f>
        <v>Enter an amount only. Do not enter text or spaces.</v>
      </c>
      <c r="H8259" s="16" t="str">
        <f t="shared" ca="1" si="927"/>
        <v/>
      </c>
      <c r="I8259" s="16" t="str">
        <f t="shared" ca="1" si="928"/>
        <v/>
      </c>
      <c r="J8259" s="17" t="str">
        <f t="shared" ca="1" si="929"/>
        <v/>
      </c>
    </row>
    <row r="8260" spans="1:10" x14ac:dyDescent="0.25">
      <c r="A8260" t="s">
        <v>320</v>
      </c>
      <c r="B8260" t="str">
        <f>ADDRESS(ROW(Transfers!C17),COLUMN(Transfers!C17),4)</f>
        <v>C17</v>
      </c>
      <c r="C8260" t="str">
        <f>ADDRESS(ROW(Transfers!H17),COLUMN(Transfers!H17),4)</f>
        <v>H17</v>
      </c>
      <c r="D8260" t="b" cm="1">
        <f t="array" aca="1" ref="D8260" ca="1">IF(INDIRECT("'"&amp;A8260&amp;"'!"&amp;B8260)="",FALSE,IF(NOT(ISNUMBER(INDIRECT("'"&amp;A8260&amp;"'!"&amp;B8260))),TRUE,FALSE))</f>
        <v>0</v>
      </c>
      <c r="E8260" t="s">
        <v>435</v>
      </c>
      <c r="F8260" t="str">
        <f>INDEX(Lists!I:I,MATCH(Validation!E8260,Lists!G:G,0))</f>
        <v>Error</v>
      </c>
      <c r="G8260" t="str">
        <f>INDEX(Lists!H:H,MATCH(Validation!E8260,Lists!G:G,0))</f>
        <v>Enter an amount only. Do not enter text or spaces.</v>
      </c>
      <c r="H8260" s="16" t="str">
        <f t="shared" ca="1" si="927"/>
        <v/>
      </c>
      <c r="I8260" s="16" t="str">
        <f t="shared" ca="1" si="928"/>
        <v/>
      </c>
      <c r="J8260" s="17" t="str">
        <f t="shared" ca="1" si="929"/>
        <v/>
      </c>
    </row>
    <row r="8261" spans="1:10" x14ac:dyDescent="0.25">
      <c r="A8261" t="s">
        <v>320</v>
      </c>
      <c r="B8261" t="str">
        <f>ADDRESS(ROW(Transfers!C18),COLUMN(Transfers!C18),4)</f>
        <v>C18</v>
      </c>
      <c r="C8261" t="str">
        <f>ADDRESS(ROW(Transfers!H18),COLUMN(Transfers!H18),4)</f>
        <v>H18</v>
      </c>
      <c r="D8261" t="b" cm="1">
        <f t="array" aca="1" ref="D8261" ca="1">IF(INDIRECT("'"&amp;A8261&amp;"'!"&amp;B8261)="",FALSE,IF(NOT(ISNUMBER(INDIRECT("'"&amp;A8261&amp;"'!"&amp;B8261))),TRUE,FALSE))</f>
        <v>0</v>
      </c>
      <c r="E8261" t="s">
        <v>435</v>
      </c>
      <c r="F8261" t="str">
        <f>INDEX(Lists!I:I,MATCH(Validation!E8261,Lists!G:G,0))</f>
        <v>Error</v>
      </c>
      <c r="G8261" t="str">
        <f>INDEX(Lists!H:H,MATCH(Validation!E8261,Lists!G:G,0))</f>
        <v>Enter an amount only. Do not enter text or spaces.</v>
      </c>
      <c r="H8261" s="16" t="str">
        <f t="shared" ca="1" si="927"/>
        <v/>
      </c>
      <c r="I8261" s="16" t="str">
        <f t="shared" ca="1" si="928"/>
        <v/>
      </c>
      <c r="J8261" s="17" t="str">
        <f t="shared" ca="1" si="929"/>
        <v/>
      </c>
    </row>
    <row r="8262" spans="1:10" x14ac:dyDescent="0.25">
      <c r="A8262" t="s">
        <v>320</v>
      </c>
      <c r="B8262" t="str">
        <f>ADDRESS(ROW(Transfers!C19),COLUMN(Transfers!C19),4)</f>
        <v>C19</v>
      </c>
      <c r="C8262" t="str">
        <f>ADDRESS(ROW(Transfers!H19),COLUMN(Transfers!H19),4)</f>
        <v>H19</v>
      </c>
      <c r="D8262" t="b" cm="1">
        <f t="array" aca="1" ref="D8262" ca="1">IF(INDIRECT("'"&amp;A8262&amp;"'!"&amp;B8262)="",FALSE,IF(NOT(ISNUMBER(INDIRECT("'"&amp;A8262&amp;"'!"&amp;B8262))),TRUE,FALSE))</f>
        <v>0</v>
      </c>
      <c r="E8262" t="s">
        <v>435</v>
      </c>
      <c r="F8262" t="str">
        <f>INDEX(Lists!I:I,MATCH(Validation!E8262,Lists!G:G,0))</f>
        <v>Error</v>
      </c>
      <c r="G8262" t="str">
        <f>INDEX(Lists!H:H,MATCH(Validation!E8262,Lists!G:G,0))</f>
        <v>Enter an amount only. Do not enter text or spaces.</v>
      </c>
      <c r="H8262" s="16" t="str">
        <f t="shared" ca="1" si="927"/>
        <v/>
      </c>
      <c r="I8262" s="16" t="str">
        <f t="shared" ca="1" si="928"/>
        <v/>
      </c>
      <c r="J8262" s="17" t="str">
        <f t="shared" ca="1" si="929"/>
        <v/>
      </c>
    </row>
    <row r="8263" spans="1:10" x14ac:dyDescent="0.25">
      <c r="A8263" t="s">
        <v>320</v>
      </c>
      <c r="B8263" t="str">
        <f>ADDRESS(ROW(Transfers!C20),COLUMN(Transfers!C20),4)</f>
        <v>C20</v>
      </c>
      <c r="C8263" t="str">
        <f>ADDRESS(ROW(Transfers!H20),COLUMN(Transfers!H20),4)</f>
        <v>H20</v>
      </c>
      <c r="D8263" t="b" cm="1">
        <f t="array" aca="1" ref="D8263" ca="1">IF(INDIRECT("'"&amp;A8263&amp;"'!"&amp;B8263)="",FALSE,IF(NOT(ISNUMBER(INDIRECT("'"&amp;A8263&amp;"'!"&amp;B8263))),TRUE,FALSE))</f>
        <v>0</v>
      </c>
      <c r="E8263" t="s">
        <v>435</v>
      </c>
      <c r="F8263" t="str">
        <f>INDEX(Lists!I:I,MATCH(Validation!E8263,Lists!G:G,0))</f>
        <v>Error</v>
      </c>
      <c r="G8263" t="str">
        <f>INDEX(Lists!H:H,MATCH(Validation!E8263,Lists!G:G,0))</f>
        <v>Enter an amount only. Do not enter text or spaces.</v>
      </c>
      <c r="H8263" s="16" t="str">
        <f t="shared" ca="1" si="927"/>
        <v/>
      </c>
      <c r="I8263" s="16" t="str">
        <f t="shared" ca="1" si="928"/>
        <v/>
      </c>
      <c r="J8263" s="17" t="str">
        <f t="shared" ca="1" si="929"/>
        <v/>
      </c>
    </row>
    <row r="8264" spans="1:10" x14ac:dyDescent="0.25">
      <c r="A8264" t="s">
        <v>320</v>
      </c>
      <c r="B8264" t="str">
        <f>ADDRESS(ROW(Transfers!C21),COLUMN(Transfers!C21),4)</f>
        <v>C21</v>
      </c>
      <c r="C8264" t="str">
        <f>ADDRESS(ROW(Transfers!H21),COLUMN(Transfers!H21),4)</f>
        <v>H21</v>
      </c>
      <c r="D8264" t="b" cm="1">
        <f t="array" aca="1" ref="D8264" ca="1">IF(INDIRECT("'"&amp;A8264&amp;"'!"&amp;B8264)="",FALSE,IF(NOT(ISNUMBER(INDIRECT("'"&amp;A8264&amp;"'!"&amp;B8264))),TRUE,FALSE))</f>
        <v>0</v>
      </c>
      <c r="E8264" t="s">
        <v>435</v>
      </c>
      <c r="F8264" t="str">
        <f>INDEX(Lists!I:I,MATCH(Validation!E8264,Lists!G:G,0))</f>
        <v>Error</v>
      </c>
      <c r="G8264" t="str">
        <f>INDEX(Lists!H:H,MATCH(Validation!E8264,Lists!G:G,0))</f>
        <v>Enter an amount only. Do not enter text or spaces.</v>
      </c>
      <c r="H8264" s="16" t="str">
        <f t="shared" ca="1" si="927"/>
        <v/>
      </c>
      <c r="I8264" s="16" t="str">
        <f t="shared" ca="1" si="928"/>
        <v/>
      </c>
      <c r="J8264" s="17" t="str">
        <f t="shared" ca="1" si="929"/>
        <v/>
      </c>
    </row>
    <row r="8265" spans="1:10" x14ac:dyDescent="0.25">
      <c r="A8265" t="s">
        <v>320</v>
      </c>
      <c r="B8265" t="str">
        <f>ADDRESS(ROW(Transfers!C22),COLUMN(Transfers!C22),4)</f>
        <v>C22</v>
      </c>
      <c r="C8265" t="str">
        <f>ADDRESS(ROW(Transfers!H22),COLUMN(Transfers!H22),4)</f>
        <v>H22</v>
      </c>
      <c r="D8265" t="b" cm="1">
        <f t="array" aca="1" ref="D8265" ca="1">IF(INDIRECT("'"&amp;A8265&amp;"'!"&amp;B8265)="",FALSE,IF(NOT(ISNUMBER(INDIRECT("'"&amp;A8265&amp;"'!"&amp;B8265))),TRUE,FALSE))</f>
        <v>0</v>
      </c>
      <c r="E8265" t="s">
        <v>435</v>
      </c>
      <c r="F8265" t="str">
        <f>INDEX(Lists!I:I,MATCH(Validation!E8265,Lists!G:G,0))</f>
        <v>Error</v>
      </c>
      <c r="G8265" t="str">
        <f>INDEX(Lists!H:H,MATCH(Validation!E8265,Lists!G:G,0))</f>
        <v>Enter an amount only. Do not enter text or spaces.</v>
      </c>
      <c r="H8265" s="16" t="str">
        <f t="shared" ca="1" si="927"/>
        <v/>
      </c>
      <c r="I8265" s="16" t="str">
        <f t="shared" ca="1" si="928"/>
        <v/>
      </c>
      <c r="J8265" s="17" t="str">
        <f t="shared" ca="1" si="929"/>
        <v/>
      </c>
    </row>
    <row r="8266" spans="1:10" x14ac:dyDescent="0.25">
      <c r="A8266" t="s">
        <v>320</v>
      </c>
      <c r="B8266" t="str">
        <f>ADDRESS(ROW(Transfers!C23),COLUMN(Transfers!C23),4)</f>
        <v>C23</v>
      </c>
      <c r="C8266" t="str">
        <f>ADDRESS(ROW(Transfers!H23),COLUMN(Transfers!H23),4)</f>
        <v>H23</v>
      </c>
      <c r="D8266" t="b" cm="1">
        <f t="array" aca="1" ref="D8266" ca="1">IF(INDIRECT("'"&amp;A8266&amp;"'!"&amp;B8266)="",FALSE,IF(NOT(ISNUMBER(INDIRECT("'"&amp;A8266&amp;"'!"&amp;B8266))),TRUE,FALSE))</f>
        <v>0</v>
      </c>
      <c r="E8266" t="s">
        <v>435</v>
      </c>
      <c r="F8266" t="str">
        <f>INDEX(Lists!I:I,MATCH(Validation!E8266,Lists!G:G,0))</f>
        <v>Error</v>
      </c>
      <c r="G8266" t="str">
        <f>INDEX(Lists!H:H,MATCH(Validation!E8266,Lists!G:G,0))</f>
        <v>Enter an amount only. Do not enter text or spaces.</v>
      </c>
      <c r="H8266" s="16" t="str">
        <f t="shared" ca="1" si="927"/>
        <v/>
      </c>
      <c r="I8266" s="16" t="str">
        <f t="shared" ca="1" si="928"/>
        <v/>
      </c>
      <c r="J8266" s="17" t="str">
        <f t="shared" ca="1" si="929"/>
        <v/>
      </c>
    </row>
    <row r="8267" spans="1:10" x14ac:dyDescent="0.25">
      <c r="A8267" t="s">
        <v>320</v>
      </c>
      <c r="B8267" t="str">
        <f>ADDRESS(ROW(Transfers!C24),COLUMN(Transfers!C24),4)</f>
        <v>C24</v>
      </c>
      <c r="C8267" t="str">
        <f>ADDRESS(ROW(Transfers!H24),COLUMN(Transfers!H24),4)</f>
        <v>H24</v>
      </c>
      <c r="D8267" t="b" cm="1">
        <f t="array" aca="1" ref="D8267" ca="1">IF(INDIRECT("'"&amp;A8267&amp;"'!"&amp;B8267)="",FALSE,IF(NOT(ISNUMBER(INDIRECT("'"&amp;A8267&amp;"'!"&amp;B8267))),TRUE,FALSE))</f>
        <v>0</v>
      </c>
      <c r="E8267" t="s">
        <v>435</v>
      </c>
      <c r="F8267" t="str">
        <f>INDEX(Lists!I:I,MATCH(Validation!E8267,Lists!G:G,0))</f>
        <v>Error</v>
      </c>
      <c r="G8267" t="str">
        <f>INDEX(Lists!H:H,MATCH(Validation!E8267,Lists!G:G,0))</f>
        <v>Enter an amount only. Do not enter text or spaces.</v>
      </c>
      <c r="H8267" s="16" t="str">
        <f t="shared" ca="1" si="927"/>
        <v/>
      </c>
      <c r="I8267" s="16" t="str">
        <f t="shared" ca="1" si="928"/>
        <v/>
      </c>
      <c r="J8267" s="17" t="str">
        <f t="shared" ca="1" si="929"/>
        <v/>
      </c>
    </row>
    <row r="8268" spans="1:10" x14ac:dyDescent="0.25">
      <c r="A8268" t="s">
        <v>320</v>
      </c>
      <c r="B8268" t="str">
        <f>ADDRESS(ROW(Transfers!C25),COLUMN(Transfers!C25),4)</f>
        <v>C25</v>
      </c>
      <c r="C8268" t="str">
        <f>ADDRESS(ROW(Transfers!H25),COLUMN(Transfers!H25),4)</f>
        <v>H25</v>
      </c>
      <c r="D8268" t="b" cm="1">
        <f t="array" aca="1" ref="D8268" ca="1">IF(INDIRECT("'"&amp;A8268&amp;"'!"&amp;B8268)="",FALSE,IF(NOT(ISNUMBER(INDIRECT("'"&amp;A8268&amp;"'!"&amp;B8268))),TRUE,FALSE))</f>
        <v>0</v>
      </c>
      <c r="E8268" t="s">
        <v>435</v>
      </c>
      <c r="F8268" t="str">
        <f>INDEX(Lists!I:I,MATCH(Validation!E8268,Lists!G:G,0))</f>
        <v>Error</v>
      </c>
      <c r="G8268" t="str">
        <f>INDEX(Lists!H:H,MATCH(Validation!E8268,Lists!G:G,0))</f>
        <v>Enter an amount only. Do not enter text or spaces.</v>
      </c>
      <c r="H8268" s="16" t="str">
        <f t="shared" ca="1" si="927"/>
        <v/>
      </c>
      <c r="I8268" s="16" t="str">
        <f t="shared" ca="1" si="928"/>
        <v/>
      </c>
      <c r="J8268" s="17" t="str">
        <f t="shared" ca="1" si="929"/>
        <v/>
      </c>
    </row>
    <row r="8269" spans="1:10" x14ac:dyDescent="0.25">
      <c r="A8269" t="s">
        <v>320</v>
      </c>
      <c r="B8269" t="str">
        <f>ADDRESS(ROW(Transfers!C26),COLUMN(Transfers!C26),4)</f>
        <v>C26</v>
      </c>
      <c r="C8269" t="str">
        <f>ADDRESS(ROW(Transfers!H26),COLUMN(Transfers!H26),4)</f>
        <v>H26</v>
      </c>
      <c r="D8269" t="b" cm="1">
        <f t="array" aca="1" ref="D8269" ca="1">IF(INDIRECT("'"&amp;A8269&amp;"'!"&amp;B8269)="",FALSE,IF(NOT(ISNUMBER(INDIRECT("'"&amp;A8269&amp;"'!"&amp;B8269))),TRUE,FALSE))</f>
        <v>0</v>
      </c>
      <c r="E8269" t="s">
        <v>435</v>
      </c>
      <c r="F8269" t="str">
        <f>INDEX(Lists!I:I,MATCH(Validation!E8269,Lists!G:G,0))</f>
        <v>Error</v>
      </c>
      <c r="G8269" t="str">
        <f>INDEX(Lists!H:H,MATCH(Validation!E8269,Lists!G:G,0))</f>
        <v>Enter an amount only. Do not enter text or spaces.</v>
      </c>
      <c r="H8269" s="16" t="str">
        <f t="shared" ca="1" si="927"/>
        <v/>
      </c>
      <c r="I8269" s="16" t="str">
        <f t="shared" ca="1" si="928"/>
        <v/>
      </c>
      <c r="J8269" s="17" t="str">
        <f t="shared" ca="1" si="929"/>
        <v/>
      </c>
    </row>
    <row r="8270" spans="1:10" x14ac:dyDescent="0.25">
      <c r="A8270" t="s">
        <v>320</v>
      </c>
      <c r="B8270" t="str">
        <f>ADDRESS(ROW(Transfers!C27),COLUMN(Transfers!C27),4)</f>
        <v>C27</v>
      </c>
      <c r="C8270" t="str">
        <f>ADDRESS(ROW(Transfers!H27),COLUMN(Transfers!H27),4)</f>
        <v>H27</v>
      </c>
      <c r="D8270" t="b" cm="1">
        <f t="array" aca="1" ref="D8270" ca="1">IF(INDIRECT("'"&amp;A8270&amp;"'!"&amp;B8270)="",FALSE,IF(NOT(ISNUMBER(INDIRECT("'"&amp;A8270&amp;"'!"&amp;B8270))),TRUE,FALSE))</f>
        <v>0</v>
      </c>
      <c r="E8270" t="s">
        <v>435</v>
      </c>
      <c r="F8270" t="str">
        <f>INDEX(Lists!I:I,MATCH(Validation!E8270,Lists!G:G,0))</f>
        <v>Error</v>
      </c>
      <c r="G8270" t="str">
        <f>INDEX(Lists!H:H,MATCH(Validation!E8270,Lists!G:G,0))</f>
        <v>Enter an amount only. Do not enter text or spaces.</v>
      </c>
      <c r="H8270" s="16" t="str">
        <f t="shared" ca="1" si="927"/>
        <v/>
      </c>
      <c r="I8270" s="16" t="str">
        <f t="shared" ca="1" si="928"/>
        <v/>
      </c>
      <c r="J8270" s="17" t="str">
        <f t="shared" ca="1" si="929"/>
        <v/>
      </c>
    </row>
    <row r="8271" spans="1:10" x14ac:dyDescent="0.25">
      <c r="A8271" t="s">
        <v>320</v>
      </c>
      <c r="B8271" t="str">
        <f>ADDRESS(ROW(Transfers!C28),COLUMN(Transfers!C28),4)</f>
        <v>C28</v>
      </c>
      <c r="C8271" t="str">
        <f>ADDRESS(ROW(Transfers!H28),COLUMN(Transfers!H28),4)</f>
        <v>H28</v>
      </c>
      <c r="D8271" t="b" cm="1">
        <f t="array" aca="1" ref="D8271" ca="1">IF(INDIRECT("'"&amp;A8271&amp;"'!"&amp;B8271)="",FALSE,IF(NOT(ISNUMBER(INDIRECT("'"&amp;A8271&amp;"'!"&amp;B8271))),TRUE,FALSE))</f>
        <v>0</v>
      </c>
      <c r="E8271" t="s">
        <v>435</v>
      </c>
      <c r="F8271" t="str">
        <f>INDEX(Lists!I:I,MATCH(Validation!E8271,Lists!G:G,0))</f>
        <v>Error</v>
      </c>
      <c r="G8271" t="str">
        <f>INDEX(Lists!H:H,MATCH(Validation!E8271,Lists!G:G,0))</f>
        <v>Enter an amount only. Do not enter text or spaces.</v>
      </c>
      <c r="H8271" s="16" t="str">
        <f t="shared" ca="1" si="927"/>
        <v/>
      </c>
      <c r="I8271" s="16" t="str">
        <f t="shared" ca="1" si="928"/>
        <v/>
      </c>
      <c r="J8271" s="17" t="str">
        <f t="shared" ca="1" si="929"/>
        <v/>
      </c>
    </row>
    <row r="8272" spans="1:10" x14ac:dyDescent="0.25">
      <c r="A8272" t="s">
        <v>320</v>
      </c>
      <c r="B8272" t="str">
        <f>ADDRESS(ROW(Transfers!C29),COLUMN(Transfers!C29),4)</f>
        <v>C29</v>
      </c>
      <c r="C8272" t="str">
        <f>ADDRESS(ROW(Transfers!H29),COLUMN(Transfers!H29),4)</f>
        <v>H29</v>
      </c>
      <c r="D8272" t="b" cm="1">
        <f t="array" aca="1" ref="D8272" ca="1">IF(INDIRECT("'"&amp;A8272&amp;"'!"&amp;B8272)="",FALSE,IF(NOT(ISNUMBER(INDIRECT("'"&amp;A8272&amp;"'!"&amp;B8272))),TRUE,FALSE))</f>
        <v>0</v>
      </c>
      <c r="E8272" t="s">
        <v>435</v>
      </c>
      <c r="F8272" t="str">
        <f>INDEX(Lists!I:I,MATCH(Validation!E8272,Lists!G:G,0))</f>
        <v>Error</v>
      </c>
      <c r="G8272" t="str">
        <f>INDEX(Lists!H:H,MATCH(Validation!E8272,Lists!G:G,0))</f>
        <v>Enter an amount only. Do not enter text or spaces.</v>
      </c>
      <c r="H8272" s="16" t="str">
        <f t="shared" ca="1" si="927"/>
        <v/>
      </c>
      <c r="I8272" s="16" t="str">
        <f t="shared" ca="1" si="928"/>
        <v/>
      </c>
      <c r="J8272" s="17" t="str">
        <f t="shared" ca="1" si="929"/>
        <v/>
      </c>
    </row>
    <row r="8273" spans="1:10" x14ac:dyDescent="0.25">
      <c r="A8273" t="s">
        <v>320</v>
      </c>
      <c r="B8273" t="str">
        <f>ADDRESS(ROW(Transfers!C30),COLUMN(Transfers!C30),4)</f>
        <v>C30</v>
      </c>
      <c r="C8273" t="str">
        <f>ADDRESS(ROW(Transfers!H30),COLUMN(Transfers!H30),4)</f>
        <v>H30</v>
      </c>
      <c r="D8273" t="b" cm="1">
        <f t="array" aca="1" ref="D8273" ca="1">IF(INDIRECT("'"&amp;A8273&amp;"'!"&amp;B8273)="",FALSE,IF(NOT(ISNUMBER(INDIRECT("'"&amp;A8273&amp;"'!"&amp;B8273))),TRUE,FALSE))</f>
        <v>0</v>
      </c>
      <c r="E8273" t="s">
        <v>435</v>
      </c>
      <c r="F8273" t="str">
        <f>INDEX(Lists!I:I,MATCH(Validation!E8273,Lists!G:G,0))</f>
        <v>Error</v>
      </c>
      <c r="G8273" t="str">
        <f>INDEX(Lists!H:H,MATCH(Validation!E8273,Lists!G:G,0))</f>
        <v>Enter an amount only. Do not enter text or spaces.</v>
      </c>
      <c r="H8273" s="16" t="str">
        <f t="shared" ca="1" si="927"/>
        <v/>
      </c>
      <c r="I8273" s="16" t="str">
        <f t="shared" ca="1" si="928"/>
        <v/>
      </c>
      <c r="J8273" s="17" t="str">
        <f t="shared" ca="1" si="929"/>
        <v/>
      </c>
    </row>
    <row r="8274" spans="1:10" x14ac:dyDescent="0.25">
      <c r="A8274" t="s">
        <v>320</v>
      </c>
      <c r="B8274" t="str">
        <f>ADDRESS(ROW(Transfers!C9),COLUMN(Transfers!C9),4)</f>
        <v>C9</v>
      </c>
      <c r="C8274" t="str">
        <f>ADDRESS(ROW(Transfers!H9),COLUMN(Transfers!H9),4)</f>
        <v>H9</v>
      </c>
      <c r="D8274" t="b" cm="1">
        <f t="array" aca="1" ref="D8274" ca="1">IF(INDIRECT("'"&amp;A8274&amp;"'!"&amp;B8274)="",FALSE,IF(INDIRECT("'"&amp;A8274&amp;"'!"&amp;B8274)&lt;0,TRUE,FALSE))</f>
        <v>0</v>
      </c>
      <c r="E8274" t="s">
        <v>434</v>
      </c>
      <c r="F8274" t="str">
        <f>INDEX(Lists!I:I,MATCH(Validation!E8274,Lists!G:G,0))</f>
        <v>Error</v>
      </c>
      <c r="G8274" t="str">
        <f>INDEX(Lists!H:H,MATCH(Validation!E8274,Lists!G:G,0))</f>
        <v>Amount may not be negative. Enter an amount greater than or equal to zero.</v>
      </c>
      <c r="H8274" s="16" t="str">
        <f t="shared" ca="1" si="927"/>
        <v/>
      </c>
      <c r="I8274" s="16" t="str">
        <f t="shared" ca="1" si="928"/>
        <v/>
      </c>
      <c r="J8274" s="17" t="str">
        <f t="shared" ca="1" si="929"/>
        <v/>
      </c>
    </row>
    <row r="8275" spans="1:10" x14ac:dyDescent="0.25">
      <c r="A8275" t="s">
        <v>320</v>
      </c>
      <c r="B8275" t="str">
        <f>ADDRESS(ROW(Transfers!C10),COLUMN(Transfers!C10),4)</f>
        <v>C10</v>
      </c>
      <c r="C8275" t="str">
        <f>ADDRESS(ROW(Transfers!H10),COLUMN(Transfers!H10),4)</f>
        <v>H10</v>
      </c>
      <c r="D8275" t="b" cm="1">
        <f t="array" aca="1" ref="D8275" ca="1">IF(INDIRECT("'"&amp;A8275&amp;"'!"&amp;B8275)="",FALSE,IF(INDIRECT("'"&amp;A8275&amp;"'!"&amp;B8275)&lt;0,TRUE,FALSE))</f>
        <v>0</v>
      </c>
      <c r="E8275" t="s">
        <v>434</v>
      </c>
      <c r="F8275" t="str">
        <f>INDEX(Lists!I:I,MATCH(Validation!E8275,Lists!G:G,0))</f>
        <v>Error</v>
      </c>
      <c r="G8275" t="str">
        <f>INDEX(Lists!H:H,MATCH(Validation!E8275,Lists!G:G,0))</f>
        <v>Amount may not be negative. Enter an amount greater than or equal to zero.</v>
      </c>
      <c r="H8275" s="16" t="str">
        <f t="shared" ca="1" si="927"/>
        <v/>
      </c>
      <c r="I8275" s="16" t="str">
        <f t="shared" ca="1" si="928"/>
        <v/>
      </c>
      <c r="J8275" s="17" t="str">
        <f t="shared" ca="1" si="929"/>
        <v/>
      </c>
    </row>
    <row r="8276" spans="1:10" x14ac:dyDescent="0.25">
      <c r="A8276" t="s">
        <v>320</v>
      </c>
      <c r="B8276" t="str">
        <f>ADDRESS(ROW(Transfers!C11),COLUMN(Transfers!C11),4)</f>
        <v>C11</v>
      </c>
      <c r="C8276" t="str">
        <f>ADDRESS(ROW(Transfers!H11),COLUMN(Transfers!H11),4)</f>
        <v>H11</v>
      </c>
      <c r="D8276" t="b" cm="1">
        <f t="array" aca="1" ref="D8276" ca="1">IF(INDIRECT("'"&amp;A8276&amp;"'!"&amp;B8276)="",FALSE,IF(INDIRECT("'"&amp;A8276&amp;"'!"&amp;B8276)&lt;0,TRUE,FALSE))</f>
        <v>0</v>
      </c>
      <c r="E8276" t="s">
        <v>434</v>
      </c>
      <c r="F8276" t="str">
        <f>INDEX(Lists!I:I,MATCH(Validation!E8276,Lists!G:G,0))</f>
        <v>Error</v>
      </c>
      <c r="G8276" t="str">
        <f>INDEX(Lists!H:H,MATCH(Validation!E8276,Lists!G:G,0))</f>
        <v>Amount may not be negative. Enter an amount greater than or equal to zero.</v>
      </c>
      <c r="H8276" s="16" t="str">
        <f t="shared" ca="1" si="927"/>
        <v/>
      </c>
      <c r="I8276" s="16" t="str">
        <f t="shared" ca="1" si="928"/>
        <v/>
      </c>
      <c r="J8276" s="17" t="str">
        <f t="shared" ca="1" si="929"/>
        <v/>
      </c>
    </row>
    <row r="8277" spans="1:10" x14ac:dyDescent="0.25">
      <c r="A8277" t="s">
        <v>320</v>
      </c>
      <c r="B8277" t="str">
        <f>ADDRESS(ROW(Transfers!C12),COLUMN(Transfers!C12),4)</f>
        <v>C12</v>
      </c>
      <c r="C8277" t="str">
        <f>ADDRESS(ROW(Transfers!H12),COLUMN(Transfers!H12),4)</f>
        <v>H12</v>
      </c>
      <c r="D8277" t="b" cm="1">
        <f t="array" aca="1" ref="D8277" ca="1">IF(INDIRECT("'"&amp;A8277&amp;"'!"&amp;B8277)="",FALSE,IF(INDIRECT("'"&amp;A8277&amp;"'!"&amp;B8277)&lt;0,TRUE,FALSE))</f>
        <v>0</v>
      </c>
      <c r="E8277" t="s">
        <v>434</v>
      </c>
      <c r="F8277" t="str">
        <f>INDEX(Lists!I:I,MATCH(Validation!E8277,Lists!G:G,0))</f>
        <v>Error</v>
      </c>
      <c r="G8277" t="str">
        <f>INDEX(Lists!H:H,MATCH(Validation!E8277,Lists!G:G,0))</f>
        <v>Amount may not be negative. Enter an amount greater than or equal to zero.</v>
      </c>
      <c r="H8277" s="16" t="str">
        <f t="shared" ca="1" si="927"/>
        <v/>
      </c>
      <c r="I8277" s="16" t="str">
        <f t="shared" ca="1" si="928"/>
        <v/>
      </c>
      <c r="J8277" s="17" t="str">
        <f t="shared" ca="1" si="929"/>
        <v/>
      </c>
    </row>
    <row r="8278" spans="1:10" x14ac:dyDescent="0.25">
      <c r="A8278" t="s">
        <v>320</v>
      </c>
      <c r="B8278" t="str">
        <f>ADDRESS(ROW(Transfers!C13),COLUMN(Transfers!C13),4)</f>
        <v>C13</v>
      </c>
      <c r="C8278" t="str">
        <f>ADDRESS(ROW(Transfers!H13),COLUMN(Transfers!H13),4)</f>
        <v>H13</v>
      </c>
      <c r="D8278" t="b" cm="1">
        <f t="array" aca="1" ref="D8278" ca="1">IF(INDIRECT("'"&amp;A8278&amp;"'!"&amp;B8278)="",FALSE,IF(INDIRECT("'"&amp;A8278&amp;"'!"&amp;B8278)&lt;0,TRUE,FALSE))</f>
        <v>0</v>
      </c>
      <c r="E8278" t="s">
        <v>434</v>
      </c>
      <c r="F8278" t="str">
        <f>INDEX(Lists!I:I,MATCH(Validation!E8278,Lists!G:G,0))</f>
        <v>Error</v>
      </c>
      <c r="G8278" t="str">
        <f>INDEX(Lists!H:H,MATCH(Validation!E8278,Lists!G:G,0))</f>
        <v>Amount may not be negative. Enter an amount greater than or equal to zero.</v>
      </c>
      <c r="H8278" s="16" t="str">
        <f t="shared" ca="1" si="927"/>
        <v/>
      </c>
      <c r="I8278" s="16" t="str">
        <f t="shared" ca="1" si="928"/>
        <v/>
      </c>
      <c r="J8278" s="17" t="str">
        <f t="shared" ca="1" si="929"/>
        <v/>
      </c>
    </row>
    <row r="8279" spans="1:10" x14ac:dyDescent="0.25">
      <c r="A8279" t="s">
        <v>320</v>
      </c>
      <c r="B8279" t="str">
        <f>ADDRESS(ROW(Transfers!C14),COLUMN(Transfers!C14),4)</f>
        <v>C14</v>
      </c>
      <c r="C8279" t="str">
        <f>ADDRESS(ROW(Transfers!H14),COLUMN(Transfers!H14),4)</f>
        <v>H14</v>
      </c>
      <c r="D8279" t="b" cm="1">
        <f t="array" aca="1" ref="D8279" ca="1">IF(INDIRECT("'"&amp;A8279&amp;"'!"&amp;B8279)="",FALSE,IF(INDIRECT("'"&amp;A8279&amp;"'!"&amp;B8279)&lt;0,TRUE,FALSE))</f>
        <v>0</v>
      </c>
      <c r="E8279" t="s">
        <v>434</v>
      </c>
      <c r="F8279" t="str">
        <f>INDEX(Lists!I:I,MATCH(Validation!E8279,Lists!G:G,0))</f>
        <v>Error</v>
      </c>
      <c r="G8279" t="str">
        <f>INDEX(Lists!H:H,MATCH(Validation!E8279,Lists!G:G,0))</f>
        <v>Amount may not be negative. Enter an amount greater than or equal to zero.</v>
      </c>
      <c r="H8279" s="16" t="str">
        <f t="shared" ca="1" si="927"/>
        <v/>
      </c>
      <c r="I8279" s="16" t="str">
        <f t="shared" ca="1" si="928"/>
        <v/>
      </c>
      <c r="J8279" s="17" t="str">
        <f t="shared" ca="1" si="929"/>
        <v/>
      </c>
    </row>
    <row r="8280" spans="1:10" x14ac:dyDescent="0.25">
      <c r="A8280" t="s">
        <v>320</v>
      </c>
      <c r="B8280" t="str">
        <f>ADDRESS(ROW(Transfers!C15),COLUMN(Transfers!C15),4)</f>
        <v>C15</v>
      </c>
      <c r="C8280" t="str">
        <f>ADDRESS(ROW(Transfers!H15),COLUMN(Transfers!H15),4)</f>
        <v>H15</v>
      </c>
      <c r="D8280" t="b" cm="1">
        <f t="array" aca="1" ref="D8280" ca="1">IF(INDIRECT("'"&amp;A8280&amp;"'!"&amp;B8280)="",FALSE,IF(INDIRECT("'"&amp;A8280&amp;"'!"&amp;B8280)&lt;0,TRUE,FALSE))</f>
        <v>0</v>
      </c>
      <c r="E8280" t="s">
        <v>434</v>
      </c>
      <c r="F8280" t="str">
        <f>INDEX(Lists!I:I,MATCH(Validation!E8280,Lists!G:G,0))</f>
        <v>Error</v>
      </c>
      <c r="G8280" t="str">
        <f>INDEX(Lists!H:H,MATCH(Validation!E8280,Lists!G:G,0))</f>
        <v>Amount may not be negative. Enter an amount greater than or equal to zero.</v>
      </c>
      <c r="H8280" s="16" t="str">
        <f t="shared" ca="1" si="927"/>
        <v/>
      </c>
      <c r="I8280" s="16" t="str">
        <f t="shared" ca="1" si="928"/>
        <v/>
      </c>
      <c r="J8280" s="17" t="str">
        <f t="shared" ca="1" si="929"/>
        <v/>
      </c>
    </row>
    <row r="8281" spans="1:10" x14ac:dyDescent="0.25">
      <c r="A8281" t="s">
        <v>320</v>
      </c>
      <c r="B8281" t="str">
        <f>ADDRESS(ROW(Transfers!C16),COLUMN(Transfers!C16),4)</f>
        <v>C16</v>
      </c>
      <c r="C8281" t="str">
        <f>ADDRESS(ROW(Transfers!H16),COLUMN(Transfers!H16),4)</f>
        <v>H16</v>
      </c>
      <c r="D8281" t="b" cm="1">
        <f t="array" aca="1" ref="D8281" ca="1">IF(INDIRECT("'"&amp;A8281&amp;"'!"&amp;B8281)="",FALSE,IF(INDIRECT("'"&amp;A8281&amp;"'!"&amp;B8281)&lt;0,TRUE,FALSE))</f>
        <v>0</v>
      </c>
      <c r="E8281" t="s">
        <v>434</v>
      </c>
      <c r="F8281" t="str">
        <f>INDEX(Lists!I:I,MATCH(Validation!E8281,Lists!G:G,0))</f>
        <v>Error</v>
      </c>
      <c r="G8281" t="str">
        <f>INDEX(Lists!H:H,MATCH(Validation!E8281,Lists!G:G,0))</f>
        <v>Amount may not be negative. Enter an amount greater than or equal to zero.</v>
      </c>
      <c r="H8281" s="16" t="str">
        <f t="shared" ca="1" si="927"/>
        <v/>
      </c>
      <c r="I8281" s="16" t="str">
        <f t="shared" ca="1" si="928"/>
        <v/>
      </c>
      <c r="J8281" s="17" t="str">
        <f t="shared" ca="1" si="929"/>
        <v/>
      </c>
    </row>
    <row r="8282" spans="1:10" x14ac:dyDescent="0.25">
      <c r="A8282" t="s">
        <v>320</v>
      </c>
      <c r="B8282" t="str">
        <f>ADDRESS(ROW(Transfers!C17),COLUMN(Transfers!C17),4)</f>
        <v>C17</v>
      </c>
      <c r="C8282" t="str">
        <f>ADDRESS(ROW(Transfers!H17),COLUMN(Transfers!H17),4)</f>
        <v>H17</v>
      </c>
      <c r="D8282" t="b" cm="1">
        <f t="array" aca="1" ref="D8282" ca="1">IF(INDIRECT("'"&amp;A8282&amp;"'!"&amp;B8282)="",FALSE,IF(INDIRECT("'"&amp;A8282&amp;"'!"&amp;B8282)&lt;0,TRUE,FALSE))</f>
        <v>0</v>
      </c>
      <c r="E8282" t="s">
        <v>434</v>
      </c>
      <c r="F8282" t="str">
        <f>INDEX(Lists!I:I,MATCH(Validation!E8282,Lists!G:G,0))</f>
        <v>Error</v>
      </c>
      <c r="G8282" t="str">
        <f>INDEX(Lists!H:H,MATCH(Validation!E8282,Lists!G:G,0))</f>
        <v>Amount may not be negative. Enter an amount greater than or equal to zero.</v>
      </c>
      <c r="H8282" s="16" t="str">
        <f t="shared" ca="1" si="927"/>
        <v/>
      </c>
      <c r="I8282" s="16" t="str">
        <f t="shared" ca="1" si="928"/>
        <v/>
      </c>
      <c r="J8282" s="17" t="str">
        <f t="shared" ca="1" si="929"/>
        <v/>
      </c>
    </row>
    <row r="8283" spans="1:10" x14ac:dyDescent="0.25">
      <c r="A8283" t="s">
        <v>320</v>
      </c>
      <c r="B8283" t="str">
        <f>ADDRESS(ROW(Transfers!C18),COLUMN(Transfers!C18),4)</f>
        <v>C18</v>
      </c>
      <c r="C8283" t="str">
        <f>ADDRESS(ROW(Transfers!H18),COLUMN(Transfers!H18),4)</f>
        <v>H18</v>
      </c>
      <c r="D8283" t="b" cm="1">
        <f t="array" aca="1" ref="D8283" ca="1">IF(INDIRECT("'"&amp;A8283&amp;"'!"&amp;B8283)="",FALSE,IF(INDIRECT("'"&amp;A8283&amp;"'!"&amp;B8283)&lt;0,TRUE,FALSE))</f>
        <v>0</v>
      </c>
      <c r="E8283" t="s">
        <v>434</v>
      </c>
      <c r="F8283" t="str">
        <f>INDEX(Lists!I:I,MATCH(Validation!E8283,Lists!G:G,0))</f>
        <v>Error</v>
      </c>
      <c r="G8283" t="str">
        <f>INDEX(Lists!H:H,MATCH(Validation!E8283,Lists!G:G,0))</f>
        <v>Amount may not be negative. Enter an amount greater than or equal to zero.</v>
      </c>
      <c r="H8283" s="16" t="str">
        <f t="shared" ca="1" si="927"/>
        <v/>
      </c>
      <c r="I8283" s="16" t="str">
        <f t="shared" ca="1" si="928"/>
        <v/>
      </c>
      <c r="J8283" s="17" t="str">
        <f t="shared" ca="1" si="929"/>
        <v/>
      </c>
    </row>
    <row r="8284" spans="1:10" x14ac:dyDescent="0.25">
      <c r="A8284" t="s">
        <v>320</v>
      </c>
      <c r="B8284" t="str">
        <f>ADDRESS(ROW(Transfers!C19),COLUMN(Transfers!C19),4)</f>
        <v>C19</v>
      </c>
      <c r="C8284" t="str">
        <f>ADDRESS(ROW(Transfers!H19),COLUMN(Transfers!H19),4)</f>
        <v>H19</v>
      </c>
      <c r="D8284" t="b" cm="1">
        <f t="array" aca="1" ref="D8284" ca="1">IF(INDIRECT("'"&amp;A8284&amp;"'!"&amp;B8284)="",FALSE,IF(INDIRECT("'"&amp;A8284&amp;"'!"&amp;B8284)&lt;0,TRUE,FALSE))</f>
        <v>0</v>
      </c>
      <c r="E8284" t="s">
        <v>434</v>
      </c>
      <c r="F8284" t="str">
        <f>INDEX(Lists!I:I,MATCH(Validation!E8284,Lists!G:G,0))</f>
        <v>Error</v>
      </c>
      <c r="G8284" t="str">
        <f>INDEX(Lists!H:H,MATCH(Validation!E8284,Lists!G:G,0))</f>
        <v>Amount may not be negative. Enter an amount greater than or equal to zero.</v>
      </c>
      <c r="H8284" s="16" t="str">
        <f t="shared" ca="1" si="927"/>
        <v/>
      </c>
      <c r="I8284" s="16" t="str">
        <f t="shared" ca="1" si="928"/>
        <v/>
      </c>
      <c r="J8284" s="17" t="str">
        <f t="shared" ca="1" si="929"/>
        <v/>
      </c>
    </row>
    <row r="8285" spans="1:10" x14ac:dyDescent="0.25">
      <c r="A8285" t="s">
        <v>320</v>
      </c>
      <c r="B8285" t="str">
        <f>ADDRESS(ROW(Transfers!C20),COLUMN(Transfers!C20),4)</f>
        <v>C20</v>
      </c>
      <c r="C8285" t="str">
        <f>ADDRESS(ROW(Transfers!H20),COLUMN(Transfers!H20),4)</f>
        <v>H20</v>
      </c>
      <c r="D8285" t="b" cm="1">
        <f t="array" aca="1" ref="D8285" ca="1">IF(INDIRECT("'"&amp;A8285&amp;"'!"&amp;B8285)="",FALSE,IF(INDIRECT("'"&amp;A8285&amp;"'!"&amp;B8285)&lt;0,TRUE,FALSE))</f>
        <v>0</v>
      </c>
      <c r="E8285" t="s">
        <v>434</v>
      </c>
      <c r="F8285" t="str">
        <f>INDEX(Lists!I:I,MATCH(Validation!E8285,Lists!G:G,0))</f>
        <v>Error</v>
      </c>
      <c r="G8285" t="str">
        <f>INDEX(Lists!H:H,MATCH(Validation!E8285,Lists!G:G,0))</f>
        <v>Amount may not be negative. Enter an amount greater than or equal to zero.</v>
      </c>
      <c r="H8285" s="16" t="str">
        <f t="shared" ca="1" si="927"/>
        <v/>
      </c>
      <c r="I8285" s="16" t="str">
        <f t="shared" ca="1" si="928"/>
        <v/>
      </c>
      <c r="J8285" s="17" t="str">
        <f t="shared" ca="1" si="929"/>
        <v/>
      </c>
    </row>
    <row r="8286" spans="1:10" x14ac:dyDescent="0.25">
      <c r="A8286" t="s">
        <v>320</v>
      </c>
      <c r="B8286" t="str">
        <f>ADDRESS(ROW(Transfers!C21),COLUMN(Transfers!C21),4)</f>
        <v>C21</v>
      </c>
      <c r="C8286" t="str">
        <f>ADDRESS(ROW(Transfers!H21),COLUMN(Transfers!H21),4)</f>
        <v>H21</v>
      </c>
      <c r="D8286" t="b" cm="1">
        <f t="array" aca="1" ref="D8286" ca="1">IF(INDIRECT("'"&amp;A8286&amp;"'!"&amp;B8286)="",FALSE,IF(INDIRECT("'"&amp;A8286&amp;"'!"&amp;B8286)&lt;0,TRUE,FALSE))</f>
        <v>0</v>
      </c>
      <c r="E8286" t="s">
        <v>434</v>
      </c>
      <c r="F8286" t="str">
        <f>INDEX(Lists!I:I,MATCH(Validation!E8286,Lists!G:G,0))</f>
        <v>Error</v>
      </c>
      <c r="G8286" t="str">
        <f>INDEX(Lists!H:H,MATCH(Validation!E8286,Lists!G:G,0))</f>
        <v>Amount may not be negative. Enter an amount greater than or equal to zero.</v>
      </c>
      <c r="H8286" s="16" t="str">
        <f t="shared" ca="1" si="927"/>
        <v/>
      </c>
      <c r="I8286" s="16" t="str">
        <f t="shared" ca="1" si="928"/>
        <v/>
      </c>
      <c r="J8286" s="17" t="str">
        <f t="shared" ca="1" si="929"/>
        <v/>
      </c>
    </row>
    <row r="8287" spans="1:10" x14ac:dyDescent="0.25">
      <c r="A8287" t="s">
        <v>320</v>
      </c>
      <c r="B8287" t="str">
        <f>ADDRESS(ROW(Transfers!C22),COLUMN(Transfers!C22),4)</f>
        <v>C22</v>
      </c>
      <c r="C8287" t="str">
        <f>ADDRESS(ROW(Transfers!H22),COLUMN(Transfers!H22),4)</f>
        <v>H22</v>
      </c>
      <c r="D8287" t="b" cm="1">
        <f t="array" aca="1" ref="D8287" ca="1">IF(INDIRECT("'"&amp;A8287&amp;"'!"&amp;B8287)="",FALSE,IF(INDIRECT("'"&amp;A8287&amp;"'!"&amp;B8287)&lt;0,TRUE,FALSE))</f>
        <v>0</v>
      </c>
      <c r="E8287" t="s">
        <v>434</v>
      </c>
      <c r="F8287" t="str">
        <f>INDEX(Lists!I:I,MATCH(Validation!E8287,Lists!G:G,0))</f>
        <v>Error</v>
      </c>
      <c r="G8287" t="str">
        <f>INDEX(Lists!H:H,MATCH(Validation!E8287,Lists!G:G,0))</f>
        <v>Amount may not be negative. Enter an amount greater than or equal to zero.</v>
      </c>
      <c r="H8287" s="16" t="str">
        <f t="shared" ca="1" si="927"/>
        <v/>
      </c>
      <c r="I8287" s="16" t="str">
        <f t="shared" ca="1" si="928"/>
        <v/>
      </c>
      <c r="J8287" s="17" t="str">
        <f t="shared" ca="1" si="929"/>
        <v/>
      </c>
    </row>
    <row r="8288" spans="1:10" x14ac:dyDescent="0.25">
      <c r="A8288" t="s">
        <v>320</v>
      </c>
      <c r="B8288" t="str">
        <f>ADDRESS(ROW(Transfers!C23),COLUMN(Transfers!C23),4)</f>
        <v>C23</v>
      </c>
      <c r="C8288" t="str">
        <f>ADDRESS(ROW(Transfers!H23),COLUMN(Transfers!H23),4)</f>
        <v>H23</v>
      </c>
      <c r="D8288" t="b" cm="1">
        <f t="array" aca="1" ref="D8288" ca="1">IF(INDIRECT("'"&amp;A8288&amp;"'!"&amp;B8288)="",FALSE,IF(INDIRECT("'"&amp;A8288&amp;"'!"&amp;B8288)&lt;0,TRUE,FALSE))</f>
        <v>0</v>
      </c>
      <c r="E8288" t="s">
        <v>434</v>
      </c>
      <c r="F8288" t="str">
        <f>INDEX(Lists!I:I,MATCH(Validation!E8288,Lists!G:G,0))</f>
        <v>Error</v>
      </c>
      <c r="G8288" t="str">
        <f>INDEX(Lists!H:H,MATCH(Validation!E8288,Lists!G:G,0))</f>
        <v>Amount may not be negative. Enter an amount greater than or equal to zero.</v>
      </c>
      <c r="H8288" s="16" t="str">
        <f t="shared" ca="1" si="927"/>
        <v/>
      </c>
      <c r="I8288" s="16" t="str">
        <f t="shared" ca="1" si="928"/>
        <v/>
      </c>
      <c r="J8288" s="17" t="str">
        <f t="shared" ca="1" si="929"/>
        <v/>
      </c>
    </row>
    <row r="8289" spans="1:10" x14ac:dyDescent="0.25">
      <c r="A8289" t="s">
        <v>320</v>
      </c>
      <c r="B8289" t="str">
        <f>ADDRESS(ROW(Transfers!C24),COLUMN(Transfers!C24),4)</f>
        <v>C24</v>
      </c>
      <c r="C8289" t="str">
        <f>ADDRESS(ROW(Transfers!H24),COLUMN(Transfers!H24),4)</f>
        <v>H24</v>
      </c>
      <c r="D8289" t="b" cm="1">
        <f t="array" aca="1" ref="D8289" ca="1">IF(INDIRECT("'"&amp;A8289&amp;"'!"&amp;B8289)="",FALSE,IF(INDIRECT("'"&amp;A8289&amp;"'!"&amp;B8289)&lt;0,TRUE,FALSE))</f>
        <v>0</v>
      </c>
      <c r="E8289" t="s">
        <v>434</v>
      </c>
      <c r="F8289" t="str">
        <f>INDEX(Lists!I:I,MATCH(Validation!E8289,Lists!G:G,0))</f>
        <v>Error</v>
      </c>
      <c r="G8289" t="str">
        <f>INDEX(Lists!H:H,MATCH(Validation!E8289,Lists!G:G,0))</f>
        <v>Amount may not be negative. Enter an amount greater than or equal to zero.</v>
      </c>
      <c r="H8289" s="16" t="str">
        <f t="shared" ca="1" si="927"/>
        <v/>
      </c>
      <c r="I8289" s="16" t="str">
        <f t="shared" ca="1" si="928"/>
        <v/>
      </c>
      <c r="J8289" s="17" t="str">
        <f t="shared" ca="1" si="929"/>
        <v/>
      </c>
    </row>
    <row r="8290" spans="1:10" x14ac:dyDescent="0.25">
      <c r="A8290" t="s">
        <v>320</v>
      </c>
      <c r="B8290" t="str">
        <f>ADDRESS(ROW(Transfers!C25),COLUMN(Transfers!C25),4)</f>
        <v>C25</v>
      </c>
      <c r="C8290" t="str">
        <f>ADDRESS(ROW(Transfers!H25),COLUMN(Transfers!H25),4)</f>
        <v>H25</v>
      </c>
      <c r="D8290" t="b" cm="1">
        <f t="array" aca="1" ref="D8290" ca="1">IF(INDIRECT("'"&amp;A8290&amp;"'!"&amp;B8290)="",FALSE,IF(INDIRECT("'"&amp;A8290&amp;"'!"&amp;B8290)&lt;0,TRUE,FALSE))</f>
        <v>0</v>
      </c>
      <c r="E8290" t="s">
        <v>434</v>
      </c>
      <c r="F8290" t="str">
        <f>INDEX(Lists!I:I,MATCH(Validation!E8290,Lists!G:G,0))</f>
        <v>Error</v>
      </c>
      <c r="G8290" t="str">
        <f>INDEX(Lists!H:H,MATCH(Validation!E8290,Lists!G:G,0))</f>
        <v>Amount may not be negative. Enter an amount greater than or equal to zero.</v>
      </c>
      <c r="H8290" s="16" t="str">
        <f t="shared" ca="1" si="927"/>
        <v/>
      </c>
      <c r="I8290" s="16" t="str">
        <f t="shared" ca="1" si="928"/>
        <v/>
      </c>
      <c r="J8290" s="17" t="str">
        <f t="shared" ca="1" si="929"/>
        <v/>
      </c>
    </row>
    <row r="8291" spans="1:10" x14ac:dyDescent="0.25">
      <c r="A8291" t="s">
        <v>320</v>
      </c>
      <c r="B8291" t="str">
        <f>ADDRESS(ROW(Transfers!C26),COLUMN(Transfers!C26),4)</f>
        <v>C26</v>
      </c>
      <c r="C8291" t="str">
        <f>ADDRESS(ROW(Transfers!H26),COLUMN(Transfers!H26),4)</f>
        <v>H26</v>
      </c>
      <c r="D8291" t="b" cm="1">
        <f t="array" aca="1" ref="D8291" ca="1">IF(INDIRECT("'"&amp;A8291&amp;"'!"&amp;B8291)="",FALSE,IF(INDIRECT("'"&amp;A8291&amp;"'!"&amp;B8291)&lt;0,TRUE,FALSE))</f>
        <v>0</v>
      </c>
      <c r="E8291" t="s">
        <v>434</v>
      </c>
      <c r="F8291" t="str">
        <f>INDEX(Lists!I:I,MATCH(Validation!E8291,Lists!G:G,0))</f>
        <v>Error</v>
      </c>
      <c r="G8291" t="str">
        <f>INDEX(Lists!H:H,MATCH(Validation!E8291,Lists!G:G,0))</f>
        <v>Amount may not be negative. Enter an amount greater than or equal to zero.</v>
      </c>
      <c r="H8291" s="16" t="str">
        <f t="shared" ca="1" si="927"/>
        <v/>
      </c>
      <c r="I8291" s="16" t="str">
        <f t="shared" ca="1" si="928"/>
        <v/>
      </c>
      <c r="J8291" s="17" t="str">
        <f t="shared" ca="1" si="929"/>
        <v/>
      </c>
    </row>
    <row r="8292" spans="1:10" x14ac:dyDescent="0.25">
      <c r="A8292" t="s">
        <v>320</v>
      </c>
      <c r="B8292" t="str">
        <f>ADDRESS(ROW(Transfers!C27),COLUMN(Transfers!C27),4)</f>
        <v>C27</v>
      </c>
      <c r="C8292" t="str">
        <f>ADDRESS(ROW(Transfers!H27),COLUMN(Transfers!H27),4)</f>
        <v>H27</v>
      </c>
      <c r="D8292" t="b" cm="1">
        <f t="array" aca="1" ref="D8292" ca="1">IF(INDIRECT("'"&amp;A8292&amp;"'!"&amp;B8292)="",FALSE,IF(INDIRECT("'"&amp;A8292&amp;"'!"&amp;B8292)&lt;0,TRUE,FALSE))</f>
        <v>0</v>
      </c>
      <c r="E8292" t="s">
        <v>434</v>
      </c>
      <c r="F8292" t="str">
        <f>INDEX(Lists!I:I,MATCH(Validation!E8292,Lists!G:G,0))</f>
        <v>Error</v>
      </c>
      <c r="G8292" t="str">
        <f>INDEX(Lists!H:H,MATCH(Validation!E8292,Lists!G:G,0))</f>
        <v>Amount may not be negative. Enter an amount greater than or equal to zero.</v>
      </c>
      <c r="H8292" s="16" t="str">
        <f t="shared" ca="1" si="927"/>
        <v/>
      </c>
      <c r="I8292" s="16" t="str">
        <f t="shared" ca="1" si="928"/>
        <v/>
      </c>
      <c r="J8292" s="17" t="str">
        <f t="shared" ca="1" si="929"/>
        <v/>
      </c>
    </row>
    <row r="8293" spans="1:10" x14ac:dyDescent="0.25">
      <c r="A8293" t="s">
        <v>320</v>
      </c>
      <c r="B8293" t="str">
        <f>ADDRESS(ROW(Transfers!C28),COLUMN(Transfers!C28),4)</f>
        <v>C28</v>
      </c>
      <c r="C8293" t="str">
        <f>ADDRESS(ROW(Transfers!H28),COLUMN(Transfers!H28),4)</f>
        <v>H28</v>
      </c>
      <c r="D8293" t="b" cm="1">
        <f t="array" aca="1" ref="D8293" ca="1">IF(INDIRECT("'"&amp;A8293&amp;"'!"&amp;B8293)="",FALSE,IF(INDIRECT("'"&amp;A8293&amp;"'!"&amp;B8293)&lt;0,TRUE,FALSE))</f>
        <v>0</v>
      </c>
      <c r="E8293" t="s">
        <v>434</v>
      </c>
      <c r="F8293" t="str">
        <f>INDEX(Lists!I:I,MATCH(Validation!E8293,Lists!G:G,0))</f>
        <v>Error</v>
      </c>
      <c r="G8293" t="str">
        <f>INDEX(Lists!H:H,MATCH(Validation!E8293,Lists!G:G,0))</f>
        <v>Amount may not be negative. Enter an amount greater than or equal to zero.</v>
      </c>
      <c r="H8293" s="16" t="str">
        <f t="shared" ca="1" si="927"/>
        <v/>
      </c>
      <c r="I8293" s="16" t="str">
        <f t="shared" ca="1" si="928"/>
        <v/>
      </c>
      <c r="J8293" s="17" t="str">
        <f t="shared" ca="1" si="929"/>
        <v/>
      </c>
    </row>
    <row r="8294" spans="1:10" x14ac:dyDescent="0.25">
      <c r="A8294" t="s">
        <v>320</v>
      </c>
      <c r="B8294" t="str">
        <f>ADDRESS(ROW(Transfers!C29),COLUMN(Transfers!C29),4)</f>
        <v>C29</v>
      </c>
      <c r="C8294" t="str">
        <f>ADDRESS(ROW(Transfers!H29),COLUMN(Transfers!H29),4)</f>
        <v>H29</v>
      </c>
      <c r="D8294" t="b" cm="1">
        <f t="array" aca="1" ref="D8294" ca="1">IF(INDIRECT("'"&amp;A8294&amp;"'!"&amp;B8294)="",FALSE,IF(INDIRECT("'"&amp;A8294&amp;"'!"&amp;B8294)&lt;0,TRUE,FALSE))</f>
        <v>0</v>
      </c>
      <c r="E8294" t="s">
        <v>434</v>
      </c>
      <c r="F8294" t="str">
        <f>INDEX(Lists!I:I,MATCH(Validation!E8294,Lists!G:G,0))</f>
        <v>Error</v>
      </c>
      <c r="G8294" t="str">
        <f>INDEX(Lists!H:H,MATCH(Validation!E8294,Lists!G:G,0))</f>
        <v>Amount may not be negative. Enter an amount greater than or equal to zero.</v>
      </c>
      <c r="H8294" s="16" t="str">
        <f t="shared" ca="1" si="927"/>
        <v/>
      </c>
      <c r="I8294" s="16" t="str">
        <f t="shared" ca="1" si="928"/>
        <v/>
      </c>
      <c r="J8294" s="17" t="str">
        <f t="shared" ca="1" si="929"/>
        <v/>
      </c>
    </row>
    <row r="8295" spans="1:10" x14ac:dyDescent="0.25">
      <c r="A8295" t="s">
        <v>320</v>
      </c>
      <c r="B8295" t="str">
        <f>ADDRESS(ROW(Transfers!C30),COLUMN(Transfers!C30),4)</f>
        <v>C30</v>
      </c>
      <c r="C8295" t="str">
        <f>ADDRESS(ROW(Transfers!H30),COLUMN(Transfers!H30),4)</f>
        <v>H30</v>
      </c>
      <c r="D8295" t="b" cm="1">
        <f t="array" aca="1" ref="D8295" ca="1">IF(INDIRECT("'"&amp;A8295&amp;"'!"&amp;B8295)="",FALSE,IF(INDIRECT("'"&amp;A8295&amp;"'!"&amp;B8295)&lt;0,TRUE,FALSE))</f>
        <v>0</v>
      </c>
      <c r="E8295" t="s">
        <v>434</v>
      </c>
      <c r="F8295" t="str">
        <f>INDEX(Lists!I:I,MATCH(Validation!E8295,Lists!G:G,0))</f>
        <v>Error</v>
      </c>
      <c r="G8295" t="str">
        <f>INDEX(Lists!H:H,MATCH(Validation!E8295,Lists!G:G,0))</f>
        <v>Amount may not be negative. Enter an amount greater than or equal to zero.</v>
      </c>
      <c r="H8295" s="16" t="str">
        <f t="shared" ca="1" si="927"/>
        <v/>
      </c>
      <c r="I8295" s="16" t="str">
        <f t="shared" ca="1" si="928"/>
        <v/>
      </c>
      <c r="J8295" s="17" t="str">
        <f t="shared" ca="1" si="929"/>
        <v/>
      </c>
    </row>
    <row r="8296" spans="1:10" x14ac:dyDescent="0.25">
      <c r="A8296" t="s">
        <v>320</v>
      </c>
      <c r="B8296" t="str">
        <f>ADDRESS(ROW(Transfers!C9),COLUMN(Transfers!C9),4)</f>
        <v>C9</v>
      </c>
      <c r="C8296" t="str">
        <f>ADDRESS(ROW(Transfers!H9),COLUMN(Transfers!H9),4)</f>
        <v>H9</v>
      </c>
      <c r="D8296" t="b" cm="1">
        <f t="array" aca="1" ref="D8296" ca="1">IF(INDIRECT("'"&amp;A8296&amp;"'!"&amp;B8296)="",FALSE,IF(TRUNC(INDIRECT("'"&amp;A8296&amp;"'!"&amp;B8296))=INDIRECT("'"&amp;A8296&amp;"'!"&amp;B8296),FALSE,TRUE))</f>
        <v>0</v>
      </c>
      <c r="E8296" t="s">
        <v>436</v>
      </c>
      <c r="F8296" t="str">
        <f>INDEX(Lists!I:I,MATCH(Validation!E8296,Lists!G:G,0))</f>
        <v>Error</v>
      </c>
      <c r="G8296" t="str">
        <f>INDEX(Lists!H:H,MATCH(Validation!E8296,Lists!G:G,0))</f>
        <v>Amount must be rounded to the nearest dollar.</v>
      </c>
      <c r="H8296" s="16" t="str">
        <f t="shared" ca="1" si="927"/>
        <v/>
      </c>
      <c r="I8296" s="16" t="str">
        <f t="shared" ca="1" si="928"/>
        <v/>
      </c>
      <c r="J8296" s="17" t="str">
        <f t="shared" ca="1" si="929"/>
        <v/>
      </c>
    </row>
    <row r="8297" spans="1:10" x14ac:dyDescent="0.25">
      <c r="A8297" t="s">
        <v>320</v>
      </c>
      <c r="B8297" t="str">
        <f>ADDRESS(ROW(Transfers!C10),COLUMN(Transfers!C10),4)</f>
        <v>C10</v>
      </c>
      <c r="C8297" t="str">
        <f>ADDRESS(ROW(Transfers!H10),COLUMN(Transfers!H10),4)</f>
        <v>H10</v>
      </c>
      <c r="D8297" t="b" cm="1">
        <f t="array" aca="1" ref="D8297" ca="1">IF(INDIRECT("'"&amp;A8297&amp;"'!"&amp;B8297)="",FALSE,IF(TRUNC(INDIRECT("'"&amp;A8297&amp;"'!"&amp;B8297))=INDIRECT("'"&amp;A8297&amp;"'!"&amp;B8297),FALSE,TRUE))</f>
        <v>0</v>
      </c>
      <c r="E8297" t="s">
        <v>436</v>
      </c>
      <c r="F8297" t="str">
        <f>INDEX(Lists!I:I,MATCH(Validation!E8297,Lists!G:G,0))</f>
        <v>Error</v>
      </c>
      <c r="G8297" t="str">
        <f>INDEX(Lists!H:H,MATCH(Validation!E8297,Lists!G:G,0))</f>
        <v>Amount must be rounded to the nearest dollar.</v>
      </c>
      <c r="H8297" s="16" t="str">
        <f t="shared" ca="1" si="927"/>
        <v/>
      </c>
      <c r="I8297" s="16" t="str">
        <f t="shared" ca="1" si="928"/>
        <v/>
      </c>
      <c r="J8297" s="17" t="str">
        <f t="shared" ca="1" si="929"/>
        <v/>
      </c>
    </row>
    <row r="8298" spans="1:10" x14ac:dyDescent="0.25">
      <c r="A8298" t="s">
        <v>320</v>
      </c>
      <c r="B8298" t="str">
        <f>ADDRESS(ROW(Transfers!C11),COLUMN(Transfers!C11),4)</f>
        <v>C11</v>
      </c>
      <c r="C8298" t="str">
        <f>ADDRESS(ROW(Transfers!H11),COLUMN(Transfers!H11),4)</f>
        <v>H11</v>
      </c>
      <c r="D8298" t="b" cm="1">
        <f t="array" aca="1" ref="D8298" ca="1">IF(INDIRECT("'"&amp;A8298&amp;"'!"&amp;B8298)="",FALSE,IF(TRUNC(INDIRECT("'"&amp;A8298&amp;"'!"&amp;B8298))=INDIRECT("'"&amp;A8298&amp;"'!"&amp;B8298),FALSE,TRUE))</f>
        <v>0</v>
      </c>
      <c r="E8298" t="s">
        <v>436</v>
      </c>
      <c r="F8298" t="str">
        <f>INDEX(Lists!I:I,MATCH(Validation!E8298,Lists!G:G,0))</f>
        <v>Error</v>
      </c>
      <c r="G8298" t="str">
        <f>INDEX(Lists!H:H,MATCH(Validation!E8298,Lists!G:G,0))</f>
        <v>Amount must be rounded to the nearest dollar.</v>
      </c>
      <c r="H8298" s="16" t="str">
        <f t="shared" ca="1" si="927"/>
        <v/>
      </c>
      <c r="I8298" s="16" t="str">
        <f t="shared" ca="1" si="928"/>
        <v/>
      </c>
      <c r="J8298" s="17" t="str">
        <f t="shared" ca="1" si="929"/>
        <v/>
      </c>
    </row>
    <row r="8299" spans="1:10" x14ac:dyDescent="0.25">
      <c r="A8299" t="s">
        <v>320</v>
      </c>
      <c r="B8299" t="str">
        <f>ADDRESS(ROW(Transfers!C12),COLUMN(Transfers!C12),4)</f>
        <v>C12</v>
      </c>
      <c r="C8299" t="str">
        <f>ADDRESS(ROW(Transfers!H12),COLUMN(Transfers!H12),4)</f>
        <v>H12</v>
      </c>
      <c r="D8299" t="b" cm="1">
        <f t="array" aca="1" ref="D8299" ca="1">IF(INDIRECT("'"&amp;A8299&amp;"'!"&amp;B8299)="",FALSE,IF(TRUNC(INDIRECT("'"&amp;A8299&amp;"'!"&amp;B8299))=INDIRECT("'"&amp;A8299&amp;"'!"&amp;B8299),FALSE,TRUE))</f>
        <v>0</v>
      </c>
      <c r="E8299" t="s">
        <v>436</v>
      </c>
      <c r="F8299" t="str">
        <f>INDEX(Lists!I:I,MATCH(Validation!E8299,Lists!G:G,0))</f>
        <v>Error</v>
      </c>
      <c r="G8299" t="str">
        <f>INDEX(Lists!H:H,MATCH(Validation!E8299,Lists!G:G,0))</f>
        <v>Amount must be rounded to the nearest dollar.</v>
      </c>
      <c r="H8299" s="16" t="str">
        <f t="shared" ca="1" si="927"/>
        <v/>
      </c>
      <c r="I8299" s="16" t="str">
        <f t="shared" ca="1" si="928"/>
        <v/>
      </c>
      <c r="J8299" s="17" t="str">
        <f t="shared" ca="1" si="929"/>
        <v/>
      </c>
    </row>
    <row r="8300" spans="1:10" x14ac:dyDescent="0.25">
      <c r="A8300" t="s">
        <v>320</v>
      </c>
      <c r="B8300" t="str">
        <f>ADDRESS(ROW(Transfers!C13),COLUMN(Transfers!C13),4)</f>
        <v>C13</v>
      </c>
      <c r="C8300" t="str">
        <f>ADDRESS(ROW(Transfers!H13),COLUMN(Transfers!H13),4)</f>
        <v>H13</v>
      </c>
      <c r="D8300" t="b" cm="1">
        <f t="array" aca="1" ref="D8300" ca="1">IF(INDIRECT("'"&amp;A8300&amp;"'!"&amp;B8300)="",FALSE,IF(TRUNC(INDIRECT("'"&amp;A8300&amp;"'!"&amp;B8300))=INDIRECT("'"&amp;A8300&amp;"'!"&amp;B8300),FALSE,TRUE))</f>
        <v>0</v>
      </c>
      <c r="E8300" t="s">
        <v>436</v>
      </c>
      <c r="F8300" t="str">
        <f>INDEX(Lists!I:I,MATCH(Validation!E8300,Lists!G:G,0))</f>
        <v>Error</v>
      </c>
      <c r="G8300" t="str">
        <f>INDEX(Lists!H:H,MATCH(Validation!E8300,Lists!G:G,0))</f>
        <v>Amount must be rounded to the nearest dollar.</v>
      </c>
      <c r="H8300" s="16" t="str">
        <f t="shared" ca="1" si="927"/>
        <v/>
      </c>
      <c r="I8300" s="16" t="str">
        <f t="shared" ca="1" si="928"/>
        <v/>
      </c>
      <c r="J8300" s="17" t="str">
        <f t="shared" ca="1" si="929"/>
        <v/>
      </c>
    </row>
    <row r="8301" spans="1:10" x14ac:dyDescent="0.25">
      <c r="A8301" t="s">
        <v>320</v>
      </c>
      <c r="B8301" t="str">
        <f>ADDRESS(ROW(Transfers!C14),COLUMN(Transfers!C14),4)</f>
        <v>C14</v>
      </c>
      <c r="C8301" t="str">
        <f>ADDRESS(ROW(Transfers!H14),COLUMN(Transfers!H14),4)</f>
        <v>H14</v>
      </c>
      <c r="D8301" t="b" cm="1">
        <f t="array" aca="1" ref="D8301" ca="1">IF(INDIRECT("'"&amp;A8301&amp;"'!"&amp;B8301)="",FALSE,IF(TRUNC(INDIRECT("'"&amp;A8301&amp;"'!"&amp;B8301))=INDIRECT("'"&amp;A8301&amp;"'!"&amp;B8301),FALSE,TRUE))</f>
        <v>0</v>
      </c>
      <c r="E8301" t="s">
        <v>436</v>
      </c>
      <c r="F8301" t="str">
        <f>INDEX(Lists!I:I,MATCH(Validation!E8301,Lists!G:G,0))</f>
        <v>Error</v>
      </c>
      <c r="G8301" t="str">
        <f>INDEX(Lists!H:H,MATCH(Validation!E8301,Lists!G:G,0))</f>
        <v>Amount must be rounded to the nearest dollar.</v>
      </c>
      <c r="H8301" s="16" t="str">
        <f t="shared" ca="1" si="927"/>
        <v/>
      </c>
      <c r="I8301" s="16" t="str">
        <f t="shared" ca="1" si="928"/>
        <v/>
      </c>
      <c r="J8301" s="17" t="str">
        <f t="shared" ca="1" si="929"/>
        <v/>
      </c>
    </row>
    <row r="8302" spans="1:10" x14ac:dyDescent="0.25">
      <c r="A8302" t="s">
        <v>320</v>
      </c>
      <c r="B8302" t="str">
        <f>ADDRESS(ROW(Transfers!C15),COLUMN(Transfers!C15),4)</f>
        <v>C15</v>
      </c>
      <c r="C8302" t="str">
        <f>ADDRESS(ROW(Transfers!H15),COLUMN(Transfers!H15),4)</f>
        <v>H15</v>
      </c>
      <c r="D8302" t="b" cm="1">
        <f t="array" aca="1" ref="D8302" ca="1">IF(INDIRECT("'"&amp;A8302&amp;"'!"&amp;B8302)="",FALSE,IF(TRUNC(INDIRECT("'"&amp;A8302&amp;"'!"&amp;B8302))=INDIRECT("'"&amp;A8302&amp;"'!"&amp;B8302),FALSE,TRUE))</f>
        <v>0</v>
      </c>
      <c r="E8302" t="s">
        <v>436</v>
      </c>
      <c r="F8302" t="str">
        <f>INDEX(Lists!I:I,MATCH(Validation!E8302,Lists!G:G,0))</f>
        <v>Error</v>
      </c>
      <c r="G8302" t="str">
        <f>INDEX(Lists!H:H,MATCH(Validation!E8302,Lists!G:G,0))</f>
        <v>Amount must be rounded to the nearest dollar.</v>
      </c>
      <c r="H8302" s="16" t="str">
        <f t="shared" ca="1" si="927"/>
        <v/>
      </c>
      <c r="I8302" s="16" t="str">
        <f t="shared" ca="1" si="928"/>
        <v/>
      </c>
      <c r="J8302" s="17" t="str">
        <f t="shared" ca="1" si="929"/>
        <v/>
      </c>
    </row>
    <row r="8303" spans="1:10" x14ac:dyDescent="0.25">
      <c r="A8303" t="s">
        <v>320</v>
      </c>
      <c r="B8303" t="str">
        <f>ADDRESS(ROW(Transfers!C16),COLUMN(Transfers!C16),4)</f>
        <v>C16</v>
      </c>
      <c r="C8303" t="str">
        <f>ADDRESS(ROW(Transfers!H16),COLUMN(Transfers!H16),4)</f>
        <v>H16</v>
      </c>
      <c r="D8303" t="b" cm="1">
        <f t="array" aca="1" ref="D8303" ca="1">IF(INDIRECT("'"&amp;A8303&amp;"'!"&amp;B8303)="",FALSE,IF(TRUNC(INDIRECT("'"&amp;A8303&amp;"'!"&amp;B8303))=INDIRECT("'"&amp;A8303&amp;"'!"&amp;B8303),FALSE,TRUE))</f>
        <v>0</v>
      </c>
      <c r="E8303" t="s">
        <v>436</v>
      </c>
      <c r="F8303" t="str">
        <f>INDEX(Lists!I:I,MATCH(Validation!E8303,Lists!G:G,0))</f>
        <v>Error</v>
      </c>
      <c r="G8303" t="str">
        <f>INDEX(Lists!H:H,MATCH(Validation!E8303,Lists!G:G,0))</f>
        <v>Amount must be rounded to the nearest dollar.</v>
      </c>
      <c r="H8303" s="16" t="str">
        <f t="shared" ca="1" si="927"/>
        <v/>
      </c>
      <c r="I8303" s="16" t="str">
        <f t="shared" ca="1" si="928"/>
        <v/>
      </c>
      <c r="J8303" s="17" t="str">
        <f t="shared" ca="1" si="929"/>
        <v/>
      </c>
    </row>
    <row r="8304" spans="1:10" x14ac:dyDescent="0.25">
      <c r="A8304" t="s">
        <v>320</v>
      </c>
      <c r="B8304" t="str">
        <f>ADDRESS(ROW(Transfers!C17),COLUMN(Transfers!C17),4)</f>
        <v>C17</v>
      </c>
      <c r="C8304" t="str">
        <f>ADDRESS(ROW(Transfers!H17),COLUMN(Transfers!H17),4)</f>
        <v>H17</v>
      </c>
      <c r="D8304" t="b" cm="1">
        <f t="array" aca="1" ref="D8304" ca="1">IF(INDIRECT("'"&amp;A8304&amp;"'!"&amp;B8304)="",FALSE,IF(TRUNC(INDIRECT("'"&amp;A8304&amp;"'!"&amp;B8304))=INDIRECT("'"&amp;A8304&amp;"'!"&amp;B8304),FALSE,TRUE))</f>
        <v>0</v>
      </c>
      <c r="E8304" t="s">
        <v>436</v>
      </c>
      <c r="F8304" t="str">
        <f>INDEX(Lists!I:I,MATCH(Validation!E8304,Lists!G:G,0))</f>
        <v>Error</v>
      </c>
      <c r="G8304" t="str">
        <f>INDEX(Lists!H:H,MATCH(Validation!E8304,Lists!G:G,0))</f>
        <v>Amount must be rounded to the nearest dollar.</v>
      </c>
      <c r="H8304" s="16" t="str">
        <f t="shared" ca="1" si="927"/>
        <v/>
      </c>
      <c r="I8304" s="16" t="str">
        <f t="shared" ca="1" si="928"/>
        <v/>
      </c>
      <c r="J8304" s="17" t="str">
        <f t="shared" ca="1" si="929"/>
        <v/>
      </c>
    </row>
    <row r="8305" spans="1:10" x14ac:dyDescent="0.25">
      <c r="A8305" t="s">
        <v>320</v>
      </c>
      <c r="B8305" t="str">
        <f>ADDRESS(ROW(Transfers!C18),COLUMN(Transfers!C18),4)</f>
        <v>C18</v>
      </c>
      <c r="C8305" t="str">
        <f>ADDRESS(ROW(Transfers!H18),COLUMN(Transfers!H18),4)</f>
        <v>H18</v>
      </c>
      <c r="D8305" t="b" cm="1">
        <f t="array" aca="1" ref="D8305" ca="1">IF(INDIRECT("'"&amp;A8305&amp;"'!"&amp;B8305)="",FALSE,IF(TRUNC(INDIRECT("'"&amp;A8305&amp;"'!"&amp;B8305))=INDIRECT("'"&amp;A8305&amp;"'!"&amp;B8305),FALSE,TRUE))</f>
        <v>0</v>
      </c>
      <c r="E8305" t="s">
        <v>436</v>
      </c>
      <c r="F8305" t="str">
        <f>INDEX(Lists!I:I,MATCH(Validation!E8305,Lists!G:G,0))</f>
        <v>Error</v>
      </c>
      <c r="G8305" t="str">
        <f>INDEX(Lists!H:H,MATCH(Validation!E8305,Lists!G:G,0))</f>
        <v>Amount must be rounded to the nearest dollar.</v>
      </c>
      <c r="H8305" s="16" t="str">
        <f t="shared" ca="1" si="927"/>
        <v/>
      </c>
      <c r="I8305" s="16" t="str">
        <f t="shared" ca="1" si="928"/>
        <v/>
      </c>
      <c r="J8305" s="17" t="str">
        <f t="shared" ca="1" si="929"/>
        <v/>
      </c>
    </row>
    <row r="8306" spans="1:10" x14ac:dyDescent="0.25">
      <c r="A8306" t="s">
        <v>320</v>
      </c>
      <c r="B8306" t="str">
        <f>ADDRESS(ROW(Transfers!C19),COLUMN(Transfers!C19),4)</f>
        <v>C19</v>
      </c>
      <c r="C8306" t="str">
        <f>ADDRESS(ROW(Transfers!H19),COLUMN(Transfers!H19),4)</f>
        <v>H19</v>
      </c>
      <c r="D8306" t="b" cm="1">
        <f t="array" aca="1" ref="D8306" ca="1">IF(INDIRECT("'"&amp;A8306&amp;"'!"&amp;B8306)="",FALSE,IF(TRUNC(INDIRECT("'"&amp;A8306&amp;"'!"&amp;B8306))=INDIRECT("'"&amp;A8306&amp;"'!"&amp;B8306),FALSE,TRUE))</f>
        <v>0</v>
      </c>
      <c r="E8306" t="s">
        <v>436</v>
      </c>
      <c r="F8306" t="str">
        <f>INDEX(Lists!I:I,MATCH(Validation!E8306,Lists!G:G,0))</f>
        <v>Error</v>
      </c>
      <c r="G8306" t="str">
        <f>INDEX(Lists!H:H,MATCH(Validation!E8306,Lists!G:G,0))</f>
        <v>Amount must be rounded to the nearest dollar.</v>
      </c>
      <c r="H8306" s="16" t="str">
        <f t="shared" ca="1" si="927"/>
        <v/>
      </c>
      <c r="I8306" s="16" t="str">
        <f t="shared" ca="1" si="928"/>
        <v/>
      </c>
      <c r="J8306" s="17" t="str">
        <f t="shared" ca="1" si="929"/>
        <v/>
      </c>
    </row>
    <row r="8307" spans="1:10" x14ac:dyDescent="0.25">
      <c r="A8307" t="s">
        <v>320</v>
      </c>
      <c r="B8307" t="str">
        <f>ADDRESS(ROW(Transfers!C20),COLUMN(Transfers!C20),4)</f>
        <v>C20</v>
      </c>
      <c r="C8307" t="str">
        <f>ADDRESS(ROW(Transfers!H20),COLUMN(Transfers!H20),4)</f>
        <v>H20</v>
      </c>
      <c r="D8307" t="b" cm="1">
        <f t="array" aca="1" ref="D8307" ca="1">IF(INDIRECT("'"&amp;A8307&amp;"'!"&amp;B8307)="",FALSE,IF(TRUNC(INDIRECT("'"&amp;A8307&amp;"'!"&amp;B8307))=INDIRECT("'"&amp;A8307&amp;"'!"&amp;B8307),FALSE,TRUE))</f>
        <v>0</v>
      </c>
      <c r="E8307" t="s">
        <v>436</v>
      </c>
      <c r="F8307" t="str">
        <f>INDEX(Lists!I:I,MATCH(Validation!E8307,Lists!G:G,0))</f>
        <v>Error</v>
      </c>
      <c r="G8307" t="str">
        <f>INDEX(Lists!H:H,MATCH(Validation!E8307,Lists!G:G,0))</f>
        <v>Amount must be rounded to the nearest dollar.</v>
      </c>
      <c r="H8307" s="16" t="str">
        <f t="shared" ca="1" si="927"/>
        <v/>
      </c>
      <c r="I8307" s="16" t="str">
        <f t="shared" ca="1" si="928"/>
        <v/>
      </c>
      <c r="J8307" s="17" t="str">
        <f t="shared" ca="1" si="929"/>
        <v/>
      </c>
    </row>
    <row r="8308" spans="1:10" x14ac:dyDescent="0.25">
      <c r="A8308" t="s">
        <v>320</v>
      </c>
      <c r="B8308" t="str">
        <f>ADDRESS(ROW(Transfers!C21),COLUMN(Transfers!C21),4)</f>
        <v>C21</v>
      </c>
      <c r="C8308" t="str">
        <f>ADDRESS(ROW(Transfers!H21),COLUMN(Transfers!H21),4)</f>
        <v>H21</v>
      </c>
      <c r="D8308" t="b" cm="1">
        <f t="array" aca="1" ref="D8308" ca="1">IF(INDIRECT("'"&amp;A8308&amp;"'!"&amp;B8308)="",FALSE,IF(TRUNC(INDIRECT("'"&amp;A8308&amp;"'!"&amp;B8308))=INDIRECT("'"&amp;A8308&amp;"'!"&amp;B8308),FALSE,TRUE))</f>
        <v>0</v>
      </c>
      <c r="E8308" t="s">
        <v>436</v>
      </c>
      <c r="F8308" t="str">
        <f>INDEX(Lists!I:I,MATCH(Validation!E8308,Lists!G:G,0))</f>
        <v>Error</v>
      </c>
      <c r="G8308" t="str">
        <f>INDEX(Lists!H:H,MATCH(Validation!E8308,Lists!G:G,0))</f>
        <v>Amount must be rounded to the nearest dollar.</v>
      </c>
      <c r="H8308" s="16" t="str">
        <f t="shared" ca="1" si="927"/>
        <v/>
      </c>
      <c r="I8308" s="16" t="str">
        <f t="shared" ca="1" si="928"/>
        <v/>
      </c>
      <c r="J8308" s="17" t="str">
        <f t="shared" ca="1" si="929"/>
        <v/>
      </c>
    </row>
    <row r="8309" spans="1:10" x14ac:dyDescent="0.25">
      <c r="A8309" t="s">
        <v>320</v>
      </c>
      <c r="B8309" t="str">
        <f>ADDRESS(ROW(Transfers!C22),COLUMN(Transfers!C22),4)</f>
        <v>C22</v>
      </c>
      <c r="C8309" t="str">
        <f>ADDRESS(ROW(Transfers!H22),COLUMN(Transfers!H22),4)</f>
        <v>H22</v>
      </c>
      <c r="D8309" t="b" cm="1">
        <f t="array" aca="1" ref="D8309" ca="1">IF(INDIRECT("'"&amp;A8309&amp;"'!"&amp;B8309)="",FALSE,IF(TRUNC(INDIRECT("'"&amp;A8309&amp;"'!"&amp;B8309))=INDIRECT("'"&amp;A8309&amp;"'!"&amp;B8309),FALSE,TRUE))</f>
        <v>0</v>
      </c>
      <c r="E8309" t="s">
        <v>436</v>
      </c>
      <c r="F8309" t="str">
        <f>INDEX(Lists!I:I,MATCH(Validation!E8309,Lists!G:G,0))</f>
        <v>Error</v>
      </c>
      <c r="G8309" t="str">
        <f>INDEX(Lists!H:H,MATCH(Validation!E8309,Lists!G:G,0))</f>
        <v>Amount must be rounded to the nearest dollar.</v>
      </c>
      <c r="H8309" s="16" t="str">
        <f t="shared" ca="1" si="927"/>
        <v/>
      </c>
      <c r="I8309" s="16" t="str">
        <f t="shared" ca="1" si="928"/>
        <v/>
      </c>
      <c r="J8309" s="17" t="str">
        <f t="shared" ca="1" si="929"/>
        <v/>
      </c>
    </row>
    <row r="8310" spans="1:10" x14ac:dyDescent="0.25">
      <c r="A8310" t="s">
        <v>320</v>
      </c>
      <c r="B8310" t="str">
        <f>ADDRESS(ROW(Transfers!C23),COLUMN(Transfers!C23),4)</f>
        <v>C23</v>
      </c>
      <c r="C8310" t="str">
        <f>ADDRESS(ROW(Transfers!H23),COLUMN(Transfers!H23),4)</f>
        <v>H23</v>
      </c>
      <c r="D8310" t="b" cm="1">
        <f t="array" aca="1" ref="D8310" ca="1">IF(INDIRECT("'"&amp;A8310&amp;"'!"&amp;B8310)="",FALSE,IF(TRUNC(INDIRECT("'"&amp;A8310&amp;"'!"&amp;B8310))=INDIRECT("'"&amp;A8310&amp;"'!"&amp;B8310),FALSE,TRUE))</f>
        <v>0</v>
      </c>
      <c r="E8310" t="s">
        <v>436</v>
      </c>
      <c r="F8310" t="str">
        <f>INDEX(Lists!I:I,MATCH(Validation!E8310,Lists!G:G,0))</f>
        <v>Error</v>
      </c>
      <c r="G8310" t="str">
        <f>INDEX(Lists!H:H,MATCH(Validation!E8310,Lists!G:G,0))</f>
        <v>Amount must be rounded to the nearest dollar.</v>
      </c>
      <c r="H8310" s="16" t="str">
        <f t="shared" ca="1" si="927"/>
        <v/>
      </c>
      <c r="I8310" s="16" t="str">
        <f t="shared" ca="1" si="928"/>
        <v/>
      </c>
      <c r="J8310" s="17" t="str">
        <f t="shared" ca="1" si="929"/>
        <v/>
      </c>
    </row>
    <row r="8311" spans="1:10" x14ac:dyDescent="0.25">
      <c r="A8311" t="s">
        <v>320</v>
      </c>
      <c r="B8311" t="str">
        <f>ADDRESS(ROW(Transfers!C24),COLUMN(Transfers!C24),4)</f>
        <v>C24</v>
      </c>
      <c r="C8311" t="str">
        <f>ADDRESS(ROW(Transfers!H24),COLUMN(Transfers!H24),4)</f>
        <v>H24</v>
      </c>
      <c r="D8311" t="b" cm="1">
        <f t="array" aca="1" ref="D8311" ca="1">IF(INDIRECT("'"&amp;A8311&amp;"'!"&amp;B8311)="",FALSE,IF(TRUNC(INDIRECT("'"&amp;A8311&amp;"'!"&amp;B8311))=INDIRECT("'"&amp;A8311&amp;"'!"&amp;B8311),FALSE,TRUE))</f>
        <v>0</v>
      </c>
      <c r="E8311" t="s">
        <v>436</v>
      </c>
      <c r="F8311" t="str">
        <f>INDEX(Lists!I:I,MATCH(Validation!E8311,Lists!G:G,0))</f>
        <v>Error</v>
      </c>
      <c r="G8311" t="str">
        <f>INDEX(Lists!H:H,MATCH(Validation!E8311,Lists!G:G,0))</f>
        <v>Amount must be rounded to the nearest dollar.</v>
      </c>
      <c r="H8311" s="16" t="str">
        <f t="shared" ca="1" si="927"/>
        <v/>
      </c>
      <c r="I8311" s="16" t="str">
        <f t="shared" ca="1" si="928"/>
        <v/>
      </c>
      <c r="J8311" s="17" t="str">
        <f t="shared" ca="1" si="929"/>
        <v/>
      </c>
    </row>
    <row r="8312" spans="1:10" x14ac:dyDescent="0.25">
      <c r="A8312" t="s">
        <v>320</v>
      </c>
      <c r="B8312" t="str">
        <f>ADDRESS(ROW(Transfers!C25),COLUMN(Transfers!C25),4)</f>
        <v>C25</v>
      </c>
      <c r="C8312" t="str">
        <f>ADDRESS(ROW(Transfers!H25),COLUMN(Transfers!H25),4)</f>
        <v>H25</v>
      </c>
      <c r="D8312" t="b" cm="1">
        <f t="array" aca="1" ref="D8312" ca="1">IF(INDIRECT("'"&amp;A8312&amp;"'!"&amp;B8312)="",FALSE,IF(TRUNC(INDIRECT("'"&amp;A8312&amp;"'!"&amp;B8312))=INDIRECT("'"&amp;A8312&amp;"'!"&amp;B8312),FALSE,TRUE))</f>
        <v>0</v>
      </c>
      <c r="E8312" t="s">
        <v>436</v>
      </c>
      <c r="F8312" t="str">
        <f>INDEX(Lists!I:I,MATCH(Validation!E8312,Lists!G:G,0))</f>
        <v>Error</v>
      </c>
      <c r="G8312" t="str">
        <f>INDEX(Lists!H:H,MATCH(Validation!E8312,Lists!G:G,0))</f>
        <v>Amount must be rounded to the nearest dollar.</v>
      </c>
      <c r="H8312" s="16" t="str">
        <f t="shared" ref="H8312:H8345" ca="1" si="930">IFERROR(IF(OR(NOT(D8312),F8312&lt;&gt;"Error"),"",A8312&amp;CELL("address",INDIRECT(B8312))),"")</f>
        <v/>
      </c>
      <c r="I8312" s="16" t="str">
        <f t="shared" ref="I8312:I8345" ca="1" si="931">IFERROR(IF(NOT(D8312),"",A8312&amp;CELL("address",INDIRECT(C8312))),"")</f>
        <v/>
      </c>
      <c r="J8312" s="17" t="str">
        <f t="shared" ref="J8312:J8345" ca="1" si="932">IFERROR(IF(NOT(D8312),"",A8312),"")</f>
        <v/>
      </c>
    </row>
    <row r="8313" spans="1:10" x14ac:dyDescent="0.25">
      <c r="A8313" t="s">
        <v>320</v>
      </c>
      <c r="B8313" t="str">
        <f>ADDRESS(ROW(Transfers!C26),COLUMN(Transfers!C26),4)</f>
        <v>C26</v>
      </c>
      <c r="C8313" t="str">
        <f>ADDRESS(ROW(Transfers!H26),COLUMN(Transfers!H26),4)</f>
        <v>H26</v>
      </c>
      <c r="D8313" t="b" cm="1">
        <f t="array" aca="1" ref="D8313" ca="1">IF(INDIRECT("'"&amp;A8313&amp;"'!"&amp;B8313)="",FALSE,IF(TRUNC(INDIRECT("'"&amp;A8313&amp;"'!"&amp;B8313))=INDIRECT("'"&amp;A8313&amp;"'!"&amp;B8313),FALSE,TRUE))</f>
        <v>0</v>
      </c>
      <c r="E8313" t="s">
        <v>436</v>
      </c>
      <c r="F8313" t="str">
        <f>INDEX(Lists!I:I,MATCH(Validation!E8313,Lists!G:G,0))</f>
        <v>Error</v>
      </c>
      <c r="G8313" t="str">
        <f>INDEX(Lists!H:H,MATCH(Validation!E8313,Lists!G:G,0))</f>
        <v>Amount must be rounded to the nearest dollar.</v>
      </c>
      <c r="H8313" s="16" t="str">
        <f t="shared" ca="1" si="930"/>
        <v/>
      </c>
      <c r="I8313" s="16" t="str">
        <f t="shared" ca="1" si="931"/>
        <v/>
      </c>
      <c r="J8313" s="17" t="str">
        <f t="shared" ca="1" si="932"/>
        <v/>
      </c>
    </row>
    <row r="8314" spans="1:10" x14ac:dyDescent="0.25">
      <c r="A8314" t="s">
        <v>320</v>
      </c>
      <c r="B8314" t="str">
        <f>ADDRESS(ROW(Transfers!C27),COLUMN(Transfers!C27),4)</f>
        <v>C27</v>
      </c>
      <c r="C8314" t="str">
        <f>ADDRESS(ROW(Transfers!H27),COLUMN(Transfers!H27),4)</f>
        <v>H27</v>
      </c>
      <c r="D8314" t="b" cm="1">
        <f t="array" aca="1" ref="D8314" ca="1">IF(INDIRECT("'"&amp;A8314&amp;"'!"&amp;B8314)="",FALSE,IF(TRUNC(INDIRECT("'"&amp;A8314&amp;"'!"&amp;B8314))=INDIRECT("'"&amp;A8314&amp;"'!"&amp;B8314),FALSE,TRUE))</f>
        <v>0</v>
      </c>
      <c r="E8314" t="s">
        <v>436</v>
      </c>
      <c r="F8314" t="str">
        <f>INDEX(Lists!I:I,MATCH(Validation!E8314,Lists!G:G,0))</f>
        <v>Error</v>
      </c>
      <c r="G8314" t="str">
        <f>INDEX(Lists!H:H,MATCH(Validation!E8314,Lists!G:G,0))</f>
        <v>Amount must be rounded to the nearest dollar.</v>
      </c>
      <c r="H8314" s="16" t="str">
        <f t="shared" ca="1" si="930"/>
        <v/>
      </c>
      <c r="I8314" s="16" t="str">
        <f t="shared" ca="1" si="931"/>
        <v/>
      </c>
      <c r="J8314" s="17" t="str">
        <f t="shared" ca="1" si="932"/>
        <v/>
      </c>
    </row>
    <row r="8315" spans="1:10" x14ac:dyDescent="0.25">
      <c r="A8315" t="s">
        <v>320</v>
      </c>
      <c r="B8315" t="str">
        <f>ADDRESS(ROW(Transfers!C28),COLUMN(Transfers!C28),4)</f>
        <v>C28</v>
      </c>
      <c r="C8315" t="str">
        <f>ADDRESS(ROW(Transfers!H28),COLUMN(Transfers!H28),4)</f>
        <v>H28</v>
      </c>
      <c r="D8315" t="b" cm="1">
        <f t="array" aca="1" ref="D8315" ca="1">IF(INDIRECT("'"&amp;A8315&amp;"'!"&amp;B8315)="",FALSE,IF(TRUNC(INDIRECT("'"&amp;A8315&amp;"'!"&amp;B8315))=INDIRECT("'"&amp;A8315&amp;"'!"&amp;B8315),FALSE,TRUE))</f>
        <v>0</v>
      </c>
      <c r="E8315" t="s">
        <v>436</v>
      </c>
      <c r="F8315" t="str">
        <f>INDEX(Lists!I:I,MATCH(Validation!E8315,Lists!G:G,0))</f>
        <v>Error</v>
      </c>
      <c r="G8315" t="str">
        <f>INDEX(Lists!H:H,MATCH(Validation!E8315,Lists!G:G,0))</f>
        <v>Amount must be rounded to the nearest dollar.</v>
      </c>
      <c r="H8315" s="16" t="str">
        <f t="shared" ca="1" si="930"/>
        <v/>
      </c>
      <c r="I8315" s="16" t="str">
        <f t="shared" ca="1" si="931"/>
        <v/>
      </c>
      <c r="J8315" s="17" t="str">
        <f t="shared" ca="1" si="932"/>
        <v/>
      </c>
    </row>
    <row r="8316" spans="1:10" x14ac:dyDescent="0.25">
      <c r="A8316" t="s">
        <v>320</v>
      </c>
      <c r="B8316" t="str">
        <f>ADDRESS(ROW(Transfers!C29),COLUMN(Transfers!C29),4)</f>
        <v>C29</v>
      </c>
      <c r="C8316" t="str">
        <f>ADDRESS(ROW(Transfers!H29),COLUMN(Transfers!H29),4)</f>
        <v>H29</v>
      </c>
      <c r="D8316" t="b" cm="1">
        <f t="array" aca="1" ref="D8316" ca="1">IF(INDIRECT("'"&amp;A8316&amp;"'!"&amp;B8316)="",FALSE,IF(TRUNC(INDIRECT("'"&amp;A8316&amp;"'!"&amp;B8316))=INDIRECT("'"&amp;A8316&amp;"'!"&amp;B8316),FALSE,TRUE))</f>
        <v>0</v>
      </c>
      <c r="E8316" t="s">
        <v>436</v>
      </c>
      <c r="F8316" t="str">
        <f>INDEX(Lists!I:I,MATCH(Validation!E8316,Lists!G:G,0))</f>
        <v>Error</v>
      </c>
      <c r="G8316" t="str">
        <f>INDEX(Lists!H:H,MATCH(Validation!E8316,Lists!G:G,0))</f>
        <v>Amount must be rounded to the nearest dollar.</v>
      </c>
      <c r="H8316" s="16" t="str">
        <f t="shared" ca="1" si="930"/>
        <v/>
      </c>
      <c r="I8316" s="16" t="str">
        <f t="shared" ca="1" si="931"/>
        <v/>
      </c>
      <c r="J8316" s="17" t="str">
        <f t="shared" ca="1" si="932"/>
        <v/>
      </c>
    </row>
    <row r="8317" spans="1:10" x14ac:dyDescent="0.25">
      <c r="A8317" t="s">
        <v>320</v>
      </c>
      <c r="B8317" t="str">
        <f>ADDRESS(ROW(Transfers!C30),COLUMN(Transfers!C30),4)</f>
        <v>C30</v>
      </c>
      <c r="C8317" t="str">
        <f>ADDRESS(ROW(Transfers!H30),COLUMN(Transfers!H30),4)</f>
        <v>H30</v>
      </c>
      <c r="D8317" t="b" cm="1">
        <f t="array" aca="1" ref="D8317" ca="1">IF(INDIRECT("'"&amp;A8317&amp;"'!"&amp;B8317)="",FALSE,IF(TRUNC(INDIRECT("'"&amp;A8317&amp;"'!"&amp;B8317))=INDIRECT("'"&amp;A8317&amp;"'!"&amp;B8317),FALSE,TRUE))</f>
        <v>0</v>
      </c>
      <c r="E8317" t="s">
        <v>436</v>
      </c>
      <c r="F8317" t="str">
        <f>INDEX(Lists!I:I,MATCH(Validation!E8317,Lists!G:G,0))</f>
        <v>Error</v>
      </c>
      <c r="G8317" t="str">
        <f>INDEX(Lists!H:H,MATCH(Validation!E8317,Lists!G:G,0))</f>
        <v>Amount must be rounded to the nearest dollar.</v>
      </c>
      <c r="H8317" s="16" t="str">
        <f t="shared" ca="1" si="930"/>
        <v/>
      </c>
      <c r="I8317" s="16" t="str">
        <f t="shared" ca="1" si="931"/>
        <v/>
      </c>
      <c r="J8317" s="17" t="str">
        <f t="shared" ca="1" si="932"/>
        <v/>
      </c>
    </row>
    <row r="8318" spans="1:10" x14ac:dyDescent="0.25">
      <c r="A8318" t="s">
        <v>320</v>
      </c>
      <c r="B8318" t="str">
        <f>ADDRESS(ROW(Transfers!E9),COLUMN(Transfers!E9),4)</f>
        <v>E9</v>
      </c>
      <c r="C8318" t="str">
        <f>ADDRESS(ROW(Transfers!H9),COLUMN(Transfers!H9),4)</f>
        <v>H9</v>
      </c>
      <c r="D8318" t="b" cm="1">
        <f t="array" aca="1" ref="D8318" ca="1">IF(INDIRECT("'"&amp;A8318&amp;"'!"&amp;B8318)="",FALSE,IF(NOT(ISNUMBER(INDIRECT("'"&amp;A8318&amp;"'!"&amp;B8318))),TRUE,FALSE))</f>
        <v>0</v>
      </c>
      <c r="E8318" t="s">
        <v>435</v>
      </c>
      <c r="F8318" t="str">
        <f>INDEX(Lists!I:I,MATCH(Validation!E8318,Lists!G:G,0))</f>
        <v>Error</v>
      </c>
      <c r="G8318" t="str">
        <f>INDEX(Lists!H:H,MATCH(Validation!E8318,Lists!G:G,0))</f>
        <v>Enter an amount only. Do not enter text or spaces.</v>
      </c>
      <c r="H8318" s="16" t="str">
        <f t="shared" ca="1" si="930"/>
        <v/>
      </c>
      <c r="I8318" s="16" t="str">
        <f t="shared" ca="1" si="931"/>
        <v/>
      </c>
      <c r="J8318" s="17" t="str">
        <f t="shared" ca="1" si="932"/>
        <v/>
      </c>
    </row>
    <row r="8319" spans="1:10" x14ac:dyDescent="0.25">
      <c r="A8319" t="s">
        <v>320</v>
      </c>
      <c r="B8319" t="str">
        <f>ADDRESS(ROW(Transfers!E10),COLUMN(Transfers!E10),4)</f>
        <v>E10</v>
      </c>
      <c r="C8319" t="str">
        <f>ADDRESS(ROW(Transfers!H10),COLUMN(Transfers!H10),4)</f>
        <v>H10</v>
      </c>
      <c r="D8319" t="b" cm="1">
        <f t="array" aca="1" ref="D8319" ca="1">IF(INDIRECT("'"&amp;A8319&amp;"'!"&amp;B8319)="",FALSE,IF(NOT(ISNUMBER(INDIRECT("'"&amp;A8319&amp;"'!"&amp;B8319))),TRUE,FALSE))</f>
        <v>0</v>
      </c>
      <c r="E8319" t="s">
        <v>435</v>
      </c>
      <c r="F8319" t="str">
        <f>INDEX(Lists!I:I,MATCH(Validation!E8319,Lists!G:G,0))</f>
        <v>Error</v>
      </c>
      <c r="G8319" t="str">
        <f>INDEX(Lists!H:H,MATCH(Validation!E8319,Lists!G:G,0))</f>
        <v>Enter an amount only. Do not enter text or spaces.</v>
      </c>
      <c r="H8319" s="16" t="str">
        <f t="shared" ca="1" si="930"/>
        <v/>
      </c>
      <c r="I8319" s="16" t="str">
        <f t="shared" ca="1" si="931"/>
        <v/>
      </c>
      <c r="J8319" s="17" t="str">
        <f t="shared" ca="1" si="932"/>
        <v/>
      </c>
    </row>
    <row r="8320" spans="1:10" x14ac:dyDescent="0.25">
      <c r="A8320" t="s">
        <v>320</v>
      </c>
      <c r="B8320" t="str">
        <f>ADDRESS(ROW(Transfers!E11),COLUMN(Transfers!E11),4)</f>
        <v>E11</v>
      </c>
      <c r="C8320" t="str">
        <f>ADDRESS(ROW(Transfers!H11),COLUMN(Transfers!H11),4)</f>
        <v>H11</v>
      </c>
      <c r="D8320" t="b" cm="1">
        <f t="array" aca="1" ref="D8320" ca="1">IF(INDIRECT("'"&amp;A8320&amp;"'!"&amp;B8320)="",FALSE,IF(NOT(ISNUMBER(INDIRECT("'"&amp;A8320&amp;"'!"&amp;B8320))),TRUE,FALSE))</f>
        <v>0</v>
      </c>
      <c r="E8320" t="s">
        <v>435</v>
      </c>
      <c r="F8320" t="str">
        <f>INDEX(Lists!I:I,MATCH(Validation!E8320,Lists!G:G,0))</f>
        <v>Error</v>
      </c>
      <c r="G8320" t="str">
        <f>INDEX(Lists!H:H,MATCH(Validation!E8320,Lists!G:G,0))</f>
        <v>Enter an amount only. Do not enter text or spaces.</v>
      </c>
      <c r="H8320" s="16" t="str">
        <f t="shared" ca="1" si="930"/>
        <v/>
      </c>
      <c r="I8320" s="16" t="str">
        <f t="shared" ca="1" si="931"/>
        <v/>
      </c>
      <c r="J8320" s="17" t="str">
        <f t="shared" ca="1" si="932"/>
        <v/>
      </c>
    </row>
    <row r="8321" spans="1:10" x14ac:dyDescent="0.25">
      <c r="A8321" t="s">
        <v>320</v>
      </c>
      <c r="B8321" t="str">
        <f>ADDRESS(ROW(Transfers!E12),COLUMN(Transfers!E12),4)</f>
        <v>E12</v>
      </c>
      <c r="C8321" t="str">
        <f>ADDRESS(ROW(Transfers!H12),COLUMN(Transfers!H12),4)</f>
        <v>H12</v>
      </c>
      <c r="D8321" t="b" cm="1">
        <f t="array" aca="1" ref="D8321" ca="1">IF(INDIRECT("'"&amp;A8321&amp;"'!"&amp;B8321)="",FALSE,IF(NOT(ISNUMBER(INDIRECT("'"&amp;A8321&amp;"'!"&amp;B8321))),TRUE,FALSE))</f>
        <v>0</v>
      </c>
      <c r="E8321" t="s">
        <v>435</v>
      </c>
      <c r="F8321" t="str">
        <f>INDEX(Lists!I:I,MATCH(Validation!E8321,Lists!G:G,0))</f>
        <v>Error</v>
      </c>
      <c r="G8321" t="str">
        <f>INDEX(Lists!H:H,MATCH(Validation!E8321,Lists!G:G,0))</f>
        <v>Enter an amount only. Do not enter text or spaces.</v>
      </c>
      <c r="H8321" s="16" t="str">
        <f t="shared" ca="1" si="930"/>
        <v/>
      </c>
      <c r="I8321" s="16" t="str">
        <f t="shared" ca="1" si="931"/>
        <v/>
      </c>
      <c r="J8321" s="17" t="str">
        <f t="shared" ca="1" si="932"/>
        <v/>
      </c>
    </row>
    <row r="8322" spans="1:10" x14ac:dyDescent="0.25">
      <c r="A8322" t="s">
        <v>320</v>
      </c>
      <c r="B8322" t="str">
        <f>ADDRESS(ROW(Transfers!E13),COLUMN(Transfers!E13),4)</f>
        <v>E13</v>
      </c>
      <c r="C8322" t="str">
        <f>ADDRESS(ROW(Transfers!H13),COLUMN(Transfers!H13),4)</f>
        <v>H13</v>
      </c>
      <c r="D8322" t="b" cm="1">
        <f t="array" aca="1" ref="D8322" ca="1">IF(INDIRECT("'"&amp;A8322&amp;"'!"&amp;B8322)="",FALSE,IF(NOT(ISNUMBER(INDIRECT("'"&amp;A8322&amp;"'!"&amp;B8322))),TRUE,FALSE))</f>
        <v>0</v>
      </c>
      <c r="E8322" t="s">
        <v>435</v>
      </c>
      <c r="F8322" t="str">
        <f>INDEX(Lists!I:I,MATCH(Validation!E8322,Lists!G:G,0))</f>
        <v>Error</v>
      </c>
      <c r="G8322" t="str">
        <f>INDEX(Lists!H:H,MATCH(Validation!E8322,Lists!G:G,0))</f>
        <v>Enter an amount only. Do not enter text or spaces.</v>
      </c>
      <c r="H8322" s="16" t="str">
        <f t="shared" ca="1" si="930"/>
        <v/>
      </c>
      <c r="I8322" s="16" t="str">
        <f t="shared" ca="1" si="931"/>
        <v/>
      </c>
      <c r="J8322" s="17" t="str">
        <f t="shared" ca="1" si="932"/>
        <v/>
      </c>
    </row>
    <row r="8323" spans="1:10" x14ac:dyDescent="0.25">
      <c r="A8323" t="s">
        <v>320</v>
      </c>
      <c r="B8323" t="str">
        <f>ADDRESS(ROW(Transfers!E14),COLUMN(Transfers!E14),4)</f>
        <v>E14</v>
      </c>
      <c r="C8323" t="str">
        <f>ADDRESS(ROW(Transfers!H14),COLUMN(Transfers!H14),4)</f>
        <v>H14</v>
      </c>
      <c r="D8323" t="b" cm="1">
        <f t="array" aca="1" ref="D8323" ca="1">IF(INDIRECT("'"&amp;A8323&amp;"'!"&amp;B8323)="",FALSE,IF(NOT(ISNUMBER(INDIRECT("'"&amp;A8323&amp;"'!"&amp;B8323))),TRUE,FALSE))</f>
        <v>0</v>
      </c>
      <c r="E8323" t="s">
        <v>435</v>
      </c>
      <c r="F8323" t="str">
        <f>INDEX(Lists!I:I,MATCH(Validation!E8323,Lists!G:G,0))</f>
        <v>Error</v>
      </c>
      <c r="G8323" t="str">
        <f>INDEX(Lists!H:H,MATCH(Validation!E8323,Lists!G:G,0))</f>
        <v>Enter an amount only. Do not enter text or spaces.</v>
      </c>
      <c r="H8323" s="16" t="str">
        <f t="shared" ca="1" si="930"/>
        <v/>
      </c>
      <c r="I8323" s="16" t="str">
        <f t="shared" ca="1" si="931"/>
        <v/>
      </c>
      <c r="J8323" s="17" t="str">
        <f t="shared" ca="1" si="932"/>
        <v/>
      </c>
    </row>
    <row r="8324" spans="1:10" x14ac:dyDescent="0.25">
      <c r="A8324" t="s">
        <v>320</v>
      </c>
      <c r="B8324" t="str">
        <f>ADDRESS(ROW(Transfers!E15),COLUMN(Transfers!E15),4)</f>
        <v>E15</v>
      </c>
      <c r="C8324" t="str">
        <f>ADDRESS(ROW(Transfers!H15),COLUMN(Transfers!H15),4)</f>
        <v>H15</v>
      </c>
      <c r="D8324" t="b" cm="1">
        <f t="array" aca="1" ref="D8324" ca="1">IF(INDIRECT("'"&amp;A8324&amp;"'!"&amp;B8324)="",FALSE,IF(NOT(ISNUMBER(INDIRECT("'"&amp;A8324&amp;"'!"&amp;B8324))),TRUE,FALSE))</f>
        <v>0</v>
      </c>
      <c r="E8324" t="s">
        <v>435</v>
      </c>
      <c r="F8324" t="str">
        <f>INDEX(Lists!I:I,MATCH(Validation!E8324,Lists!G:G,0))</f>
        <v>Error</v>
      </c>
      <c r="G8324" t="str">
        <f>INDEX(Lists!H:H,MATCH(Validation!E8324,Lists!G:G,0))</f>
        <v>Enter an amount only. Do not enter text or spaces.</v>
      </c>
      <c r="H8324" s="16" t="str">
        <f t="shared" ca="1" si="930"/>
        <v/>
      </c>
      <c r="I8324" s="16" t="str">
        <f t="shared" ca="1" si="931"/>
        <v/>
      </c>
      <c r="J8324" s="17" t="str">
        <f t="shared" ca="1" si="932"/>
        <v/>
      </c>
    </row>
    <row r="8325" spans="1:10" x14ac:dyDescent="0.25">
      <c r="A8325" t="s">
        <v>320</v>
      </c>
      <c r="B8325" t="str">
        <f>ADDRESS(ROW(Transfers!E16),COLUMN(Transfers!E16),4)</f>
        <v>E16</v>
      </c>
      <c r="C8325" t="str">
        <f>ADDRESS(ROW(Transfers!H16),COLUMN(Transfers!H16),4)</f>
        <v>H16</v>
      </c>
      <c r="D8325" t="b" cm="1">
        <f t="array" aca="1" ref="D8325" ca="1">IF(INDIRECT("'"&amp;A8325&amp;"'!"&amp;B8325)="",FALSE,IF(NOT(ISNUMBER(INDIRECT("'"&amp;A8325&amp;"'!"&amp;B8325))),TRUE,FALSE))</f>
        <v>0</v>
      </c>
      <c r="E8325" t="s">
        <v>435</v>
      </c>
      <c r="F8325" t="str">
        <f>INDEX(Lists!I:I,MATCH(Validation!E8325,Lists!G:G,0))</f>
        <v>Error</v>
      </c>
      <c r="G8325" t="str">
        <f>INDEX(Lists!H:H,MATCH(Validation!E8325,Lists!G:G,0))</f>
        <v>Enter an amount only. Do not enter text or spaces.</v>
      </c>
      <c r="H8325" s="16" t="str">
        <f t="shared" ca="1" si="930"/>
        <v/>
      </c>
      <c r="I8325" s="16" t="str">
        <f t="shared" ca="1" si="931"/>
        <v/>
      </c>
      <c r="J8325" s="17" t="str">
        <f t="shared" ca="1" si="932"/>
        <v/>
      </c>
    </row>
    <row r="8326" spans="1:10" x14ac:dyDescent="0.25">
      <c r="A8326" t="s">
        <v>320</v>
      </c>
      <c r="B8326" t="str">
        <f>ADDRESS(ROW(Transfers!E17),COLUMN(Transfers!E17),4)</f>
        <v>E17</v>
      </c>
      <c r="C8326" t="str">
        <f>ADDRESS(ROW(Transfers!H17),COLUMN(Transfers!H17),4)</f>
        <v>H17</v>
      </c>
      <c r="D8326" t="b" cm="1">
        <f t="array" aca="1" ref="D8326" ca="1">IF(INDIRECT("'"&amp;A8326&amp;"'!"&amp;B8326)="",FALSE,IF(NOT(ISNUMBER(INDIRECT("'"&amp;A8326&amp;"'!"&amp;B8326))),TRUE,FALSE))</f>
        <v>0</v>
      </c>
      <c r="E8326" t="s">
        <v>435</v>
      </c>
      <c r="F8326" t="str">
        <f>INDEX(Lists!I:I,MATCH(Validation!E8326,Lists!G:G,0))</f>
        <v>Error</v>
      </c>
      <c r="G8326" t="str">
        <f>INDEX(Lists!H:H,MATCH(Validation!E8326,Lists!G:G,0))</f>
        <v>Enter an amount only. Do not enter text or spaces.</v>
      </c>
      <c r="H8326" s="16" t="str">
        <f t="shared" ca="1" si="930"/>
        <v/>
      </c>
      <c r="I8326" s="16" t="str">
        <f t="shared" ca="1" si="931"/>
        <v/>
      </c>
      <c r="J8326" s="17" t="str">
        <f t="shared" ca="1" si="932"/>
        <v/>
      </c>
    </row>
    <row r="8327" spans="1:10" x14ac:dyDescent="0.25">
      <c r="A8327" t="s">
        <v>320</v>
      </c>
      <c r="B8327" t="str">
        <f>ADDRESS(ROW(Transfers!E18),COLUMN(Transfers!E18),4)</f>
        <v>E18</v>
      </c>
      <c r="C8327" t="str">
        <f>ADDRESS(ROW(Transfers!H18),COLUMN(Transfers!H18),4)</f>
        <v>H18</v>
      </c>
      <c r="D8327" t="b" cm="1">
        <f t="array" aca="1" ref="D8327" ca="1">IF(INDIRECT("'"&amp;A8327&amp;"'!"&amp;B8327)="",FALSE,IF(NOT(ISNUMBER(INDIRECT("'"&amp;A8327&amp;"'!"&amp;B8327))),TRUE,FALSE))</f>
        <v>0</v>
      </c>
      <c r="E8327" t="s">
        <v>435</v>
      </c>
      <c r="F8327" t="str">
        <f>INDEX(Lists!I:I,MATCH(Validation!E8327,Lists!G:G,0))</f>
        <v>Error</v>
      </c>
      <c r="G8327" t="str">
        <f>INDEX(Lists!H:H,MATCH(Validation!E8327,Lists!G:G,0))</f>
        <v>Enter an amount only. Do not enter text or spaces.</v>
      </c>
      <c r="H8327" s="16" t="str">
        <f t="shared" ca="1" si="930"/>
        <v/>
      </c>
      <c r="I8327" s="16" t="str">
        <f t="shared" ca="1" si="931"/>
        <v/>
      </c>
      <c r="J8327" s="17" t="str">
        <f t="shared" ca="1" si="932"/>
        <v/>
      </c>
    </row>
    <row r="8328" spans="1:10" x14ac:dyDescent="0.25">
      <c r="A8328" t="s">
        <v>320</v>
      </c>
      <c r="B8328" t="str">
        <f>ADDRESS(ROW(Transfers!E19),COLUMN(Transfers!E19),4)</f>
        <v>E19</v>
      </c>
      <c r="C8328" t="str">
        <f>ADDRESS(ROW(Transfers!H19),COLUMN(Transfers!H19),4)</f>
        <v>H19</v>
      </c>
      <c r="D8328" t="b" cm="1">
        <f t="array" aca="1" ref="D8328" ca="1">IF(INDIRECT("'"&amp;A8328&amp;"'!"&amp;B8328)="",FALSE,IF(NOT(ISNUMBER(INDIRECT("'"&amp;A8328&amp;"'!"&amp;B8328))),TRUE,FALSE))</f>
        <v>0</v>
      </c>
      <c r="E8328" t="s">
        <v>435</v>
      </c>
      <c r="F8328" t="str">
        <f>INDEX(Lists!I:I,MATCH(Validation!E8328,Lists!G:G,0))</f>
        <v>Error</v>
      </c>
      <c r="G8328" t="str">
        <f>INDEX(Lists!H:H,MATCH(Validation!E8328,Lists!G:G,0))</f>
        <v>Enter an amount only. Do not enter text or spaces.</v>
      </c>
      <c r="H8328" s="16" t="str">
        <f t="shared" ca="1" si="930"/>
        <v/>
      </c>
      <c r="I8328" s="16" t="str">
        <f t="shared" ca="1" si="931"/>
        <v/>
      </c>
      <c r="J8328" s="17" t="str">
        <f t="shared" ca="1" si="932"/>
        <v/>
      </c>
    </row>
    <row r="8329" spans="1:10" x14ac:dyDescent="0.25">
      <c r="A8329" t="s">
        <v>320</v>
      </c>
      <c r="B8329" t="str">
        <f>ADDRESS(ROW(Transfers!E20),COLUMN(Transfers!E20),4)</f>
        <v>E20</v>
      </c>
      <c r="C8329" t="str">
        <f>ADDRESS(ROW(Transfers!H20),COLUMN(Transfers!H20),4)</f>
        <v>H20</v>
      </c>
      <c r="D8329" t="b" cm="1">
        <f t="array" aca="1" ref="D8329" ca="1">IF(INDIRECT("'"&amp;A8329&amp;"'!"&amp;B8329)="",FALSE,IF(NOT(ISNUMBER(INDIRECT("'"&amp;A8329&amp;"'!"&amp;B8329))),TRUE,FALSE))</f>
        <v>0</v>
      </c>
      <c r="E8329" t="s">
        <v>435</v>
      </c>
      <c r="F8329" t="str">
        <f>INDEX(Lists!I:I,MATCH(Validation!E8329,Lists!G:G,0))</f>
        <v>Error</v>
      </c>
      <c r="G8329" t="str">
        <f>INDEX(Lists!H:H,MATCH(Validation!E8329,Lists!G:G,0))</f>
        <v>Enter an amount only. Do not enter text or spaces.</v>
      </c>
      <c r="H8329" s="16" t="str">
        <f t="shared" ca="1" si="930"/>
        <v/>
      </c>
      <c r="I8329" s="16" t="str">
        <f t="shared" ca="1" si="931"/>
        <v/>
      </c>
      <c r="J8329" s="17" t="str">
        <f t="shared" ca="1" si="932"/>
        <v/>
      </c>
    </row>
    <row r="8330" spans="1:10" x14ac:dyDescent="0.25">
      <c r="A8330" t="s">
        <v>320</v>
      </c>
      <c r="B8330" t="str">
        <f>ADDRESS(ROW(Transfers!E21),COLUMN(Transfers!E21),4)</f>
        <v>E21</v>
      </c>
      <c r="C8330" t="str">
        <f>ADDRESS(ROW(Transfers!H21),COLUMN(Transfers!H21),4)</f>
        <v>H21</v>
      </c>
      <c r="D8330" t="b" cm="1">
        <f t="array" aca="1" ref="D8330" ca="1">IF(INDIRECT("'"&amp;A8330&amp;"'!"&amp;B8330)="",FALSE,IF(NOT(ISNUMBER(INDIRECT("'"&amp;A8330&amp;"'!"&amp;B8330))),TRUE,FALSE))</f>
        <v>0</v>
      </c>
      <c r="E8330" t="s">
        <v>435</v>
      </c>
      <c r="F8330" t="str">
        <f>INDEX(Lists!I:I,MATCH(Validation!E8330,Lists!G:G,0))</f>
        <v>Error</v>
      </c>
      <c r="G8330" t="str">
        <f>INDEX(Lists!H:H,MATCH(Validation!E8330,Lists!G:G,0))</f>
        <v>Enter an amount only. Do not enter text or spaces.</v>
      </c>
      <c r="H8330" s="16" t="str">
        <f t="shared" ca="1" si="930"/>
        <v/>
      </c>
      <c r="I8330" s="16" t="str">
        <f t="shared" ca="1" si="931"/>
        <v/>
      </c>
      <c r="J8330" s="17" t="str">
        <f t="shared" ca="1" si="932"/>
        <v/>
      </c>
    </row>
    <row r="8331" spans="1:10" x14ac:dyDescent="0.25">
      <c r="A8331" t="s">
        <v>320</v>
      </c>
      <c r="B8331" t="str">
        <f>ADDRESS(ROW(Transfers!E22),COLUMN(Transfers!E22),4)</f>
        <v>E22</v>
      </c>
      <c r="C8331" t="str">
        <f>ADDRESS(ROW(Transfers!H22),COLUMN(Transfers!H22),4)</f>
        <v>H22</v>
      </c>
      <c r="D8331" t="b" cm="1">
        <f t="array" aca="1" ref="D8331" ca="1">IF(INDIRECT("'"&amp;A8331&amp;"'!"&amp;B8331)="",FALSE,IF(NOT(ISNUMBER(INDIRECT("'"&amp;A8331&amp;"'!"&amp;B8331))),TRUE,FALSE))</f>
        <v>0</v>
      </c>
      <c r="E8331" t="s">
        <v>435</v>
      </c>
      <c r="F8331" t="str">
        <f>INDEX(Lists!I:I,MATCH(Validation!E8331,Lists!G:G,0))</f>
        <v>Error</v>
      </c>
      <c r="G8331" t="str">
        <f>INDEX(Lists!H:H,MATCH(Validation!E8331,Lists!G:G,0))</f>
        <v>Enter an amount only. Do not enter text or spaces.</v>
      </c>
      <c r="H8331" s="16" t="str">
        <f t="shared" ca="1" si="930"/>
        <v/>
      </c>
      <c r="I8331" s="16" t="str">
        <f t="shared" ca="1" si="931"/>
        <v/>
      </c>
      <c r="J8331" s="17" t="str">
        <f t="shared" ca="1" si="932"/>
        <v/>
      </c>
    </row>
    <row r="8332" spans="1:10" x14ac:dyDescent="0.25">
      <c r="A8332" t="s">
        <v>320</v>
      </c>
      <c r="B8332" t="str">
        <f>ADDRESS(ROW(Transfers!E23),COLUMN(Transfers!E23),4)</f>
        <v>E23</v>
      </c>
      <c r="C8332" t="str">
        <f>ADDRESS(ROW(Transfers!H23),COLUMN(Transfers!H23),4)</f>
        <v>H23</v>
      </c>
      <c r="D8332" t="b" cm="1">
        <f t="array" aca="1" ref="D8332" ca="1">IF(INDIRECT("'"&amp;A8332&amp;"'!"&amp;B8332)="",FALSE,IF(NOT(ISNUMBER(INDIRECT("'"&amp;A8332&amp;"'!"&amp;B8332))),TRUE,FALSE))</f>
        <v>0</v>
      </c>
      <c r="E8332" t="s">
        <v>435</v>
      </c>
      <c r="F8332" t="str">
        <f>INDEX(Lists!I:I,MATCH(Validation!E8332,Lists!G:G,0))</f>
        <v>Error</v>
      </c>
      <c r="G8332" t="str">
        <f>INDEX(Lists!H:H,MATCH(Validation!E8332,Lists!G:G,0))</f>
        <v>Enter an amount only. Do not enter text or spaces.</v>
      </c>
      <c r="H8332" s="16" t="str">
        <f t="shared" ca="1" si="930"/>
        <v/>
      </c>
      <c r="I8332" s="16" t="str">
        <f t="shared" ca="1" si="931"/>
        <v/>
      </c>
      <c r="J8332" s="17" t="str">
        <f t="shared" ca="1" si="932"/>
        <v/>
      </c>
    </row>
    <row r="8333" spans="1:10" x14ac:dyDescent="0.25">
      <c r="A8333" t="s">
        <v>320</v>
      </c>
      <c r="B8333" t="str">
        <f>ADDRESS(ROW(Transfers!E24),COLUMN(Transfers!E24),4)</f>
        <v>E24</v>
      </c>
      <c r="C8333" t="str">
        <f>ADDRESS(ROW(Transfers!H24),COLUMN(Transfers!H24),4)</f>
        <v>H24</v>
      </c>
      <c r="D8333" t="b" cm="1">
        <f t="array" aca="1" ref="D8333" ca="1">IF(INDIRECT("'"&amp;A8333&amp;"'!"&amp;B8333)="",FALSE,IF(NOT(ISNUMBER(INDIRECT("'"&amp;A8333&amp;"'!"&amp;B8333))),TRUE,FALSE))</f>
        <v>0</v>
      </c>
      <c r="E8333" t="s">
        <v>435</v>
      </c>
      <c r="F8333" t="str">
        <f>INDEX(Lists!I:I,MATCH(Validation!E8333,Lists!G:G,0))</f>
        <v>Error</v>
      </c>
      <c r="G8333" t="str">
        <f>INDEX(Lists!H:H,MATCH(Validation!E8333,Lists!G:G,0))</f>
        <v>Enter an amount only. Do not enter text or spaces.</v>
      </c>
      <c r="H8333" s="16" t="str">
        <f t="shared" ca="1" si="930"/>
        <v/>
      </c>
      <c r="I8333" s="16" t="str">
        <f t="shared" ca="1" si="931"/>
        <v/>
      </c>
      <c r="J8333" s="17" t="str">
        <f t="shared" ca="1" si="932"/>
        <v/>
      </c>
    </row>
    <row r="8334" spans="1:10" x14ac:dyDescent="0.25">
      <c r="A8334" t="s">
        <v>320</v>
      </c>
      <c r="B8334" t="str">
        <f>ADDRESS(ROW(Transfers!E25),COLUMN(Transfers!E25),4)</f>
        <v>E25</v>
      </c>
      <c r="C8334" t="str">
        <f>ADDRESS(ROW(Transfers!H25),COLUMN(Transfers!H25),4)</f>
        <v>H25</v>
      </c>
      <c r="D8334" t="b" cm="1">
        <f t="array" aca="1" ref="D8334" ca="1">IF(INDIRECT("'"&amp;A8334&amp;"'!"&amp;B8334)="",FALSE,IF(NOT(ISNUMBER(INDIRECT("'"&amp;A8334&amp;"'!"&amp;B8334))),TRUE,FALSE))</f>
        <v>0</v>
      </c>
      <c r="E8334" t="s">
        <v>435</v>
      </c>
      <c r="F8334" t="str">
        <f>INDEX(Lists!I:I,MATCH(Validation!E8334,Lists!G:G,0))</f>
        <v>Error</v>
      </c>
      <c r="G8334" t="str">
        <f>INDEX(Lists!H:H,MATCH(Validation!E8334,Lists!G:G,0))</f>
        <v>Enter an amount only. Do not enter text or spaces.</v>
      </c>
      <c r="H8334" s="16" t="str">
        <f t="shared" ca="1" si="930"/>
        <v/>
      </c>
      <c r="I8334" s="16" t="str">
        <f t="shared" ca="1" si="931"/>
        <v/>
      </c>
      <c r="J8334" s="17" t="str">
        <f t="shared" ca="1" si="932"/>
        <v/>
      </c>
    </row>
    <row r="8335" spans="1:10" x14ac:dyDescent="0.25">
      <c r="A8335" t="s">
        <v>320</v>
      </c>
      <c r="B8335" t="str">
        <f>ADDRESS(ROW(Transfers!E26),COLUMN(Transfers!E26),4)</f>
        <v>E26</v>
      </c>
      <c r="C8335" t="str">
        <f>ADDRESS(ROW(Transfers!H26),COLUMN(Transfers!H26),4)</f>
        <v>H26</v>
      </c>
      <c r="D8335" t="b" cm="1">
        <f t="array" aca="1" ref="D8335" ca="1">IF(INDIRECT("'"&amp;A8335&amp;"'!"&amp;B8335)="",FALSE,IF(NOT(ISNUMBER(INDIRECT("'"&amp;A8335&amp;"'!"&amp;B8335))),TRUE,FALSE))</f>
        <v>0</v>
      </c>
      <c r="E8335" t="s">
        <v>435</v>
      </c>
      <c r="F8335" t="str">
        <f>INDEX(Lists!I:I,MATCH(Validation!E8335,Lists!G:G,0))</f>
        <v>Error</v>
      </c>
      <c r="G8335" t="str">
        <f>INDEX(Lists!H:H,MATCH(Validation!E8335,Lists!G:G,0))</f>
        <v>Enter an amount only. Do not enter text or spaces.</v>
      </c>
      <c r="H8335" s="16" t="str">
        <f t="shared" ca="1" si="930"/>
        <v/>
      </c>
      <c r="I8335" s="16" t="str">
        <f t="shared" ca="1" si="931"/>
        <v/>
      </c>
      <c r="J8335" s="17" t="str">
        <f t="shared" ca="1" si="932"/>
        <v/>
      </c>
    </row>
    <row r="8336" spans="1:10" x14ac:dyDescent="0.25">
      <c r="A8336" t="s">
        <v>320</v>
      </c>
      <c r="B8336" t="str">
        <f>ADDRESS(ROW(Transfers!E27),COLUMN(Transfers!E27),4)</f>
        <v>E27</v>
      </c>
      <c r="C8336" t="str">
        <f>ADDRESS(ROW(Transfers!H27),COLUMN(Transfers!H27),4)</f>
        <v>H27</v>
      </c>
      <c r="D8336" t="b" cm="1">
        <f t="array" aca="1" ref="D8336" ca="1">IF(INDIRECT("'"&amp;A8336&amp;"'!"&amp;B8336)="",FALSE,IF(NOT(ISNUMBER(INDIRECT("'"&amp;A8336&amp;"'!"&amp;B8336))),TRUE,FALSE))</f>
        <v>0</v>
      </c>
      <c r="E8336" t="s">
        <v>435</v>
      </c>
      <c r="F8336" t="str">
        <f>INDEX(Lists!I:I,MATCH(Validation!E8336,Lists!G:G,0))</f>
        <v>Error</v>
      </c>
      <c r="G8336" t="str">
        <f>INDEX(Lists!H:H,MATCH(Validation!E8336,Lists!G:G,0))</f>
        <v>Enter an amount only. Do not enter text or spaces.</v>
      </c>
      <c r="H8336" s="16" t="str">
        <f t="shared" ca="1" si="930"/>
        <v/>
      </c>
      <c r="I8336" s="16" t="str">
        <f t="shared" ca="1" si="931"/>
        <v/>
      </c>
      <c r="J8336" s="17" t="str">
        <f t="shared" ca="1" si="932"/>
        <v/>
      </c>
    </row>
    <row r="8337" spans="1:10" x14ac:dyDescent="0.25">
      <c r="A8337" t="s">
        <v>320</v>
      </c>
      <c r="B8337" t="str">
        <f>ADDRESS(ROW(Transfers!E28),COLUMN(Transfers!E28),4)</f>
        <v>E28</v>
      </c>
      <c r="C8337" t="str">
        <f>ADDRESS(ROW(Transfers!H28),COLUMN(Transfers!H28),4)</f>
        <v>H28</v>
      </c>
      <c r="D8337" t="b" cm="1">
        <f t="array" aca="1" ref="D8337" ca="1">IF(INDIRECT("'"&amp;A8337&amp;"'!"&amp;B8337)="",FALSE,IF(NOT(ISNUMBER(INDIRECT("'"&amp;A8337&amp;"'!"&amp;B8337))),TRUE,FALSE))</f>
        <v>0</v>
      </c>
      <c r="E8337" t="s">
        <v>435</v>
      </c>
      <c r="F8337" t="str">
        <f>INDEX(Lists!I:I,MATCH(Validation!E8337,Lists!G:G,0))</f>
        <v>Error</v>
      </c>
      <c r="G8337" t="str">
        <f>INDEX(Lists!H:H,MATCH(Validation!E8337,Lists!G:G,0))</f>
        <v>Enter an amount only. Do not enter text or spaces.</v>
      </c>
      <c r="H8337" s="16" t="str">
        <f t="shared" ca="1" si="930"/>
        <v/>
      </c>
      <c r="I8337" s="16" t="str">
        <f t="shared" ca="1" si="931"/>
        <v/>
      </c>
      <c r="J8337" s="17" t="str">
        <f t="shared" ca="1" si="932"/>
        <v/>
      </c>
    </row>
    <row r="8338" spans="1:10" x14ac:dyDescent="0.25">
      <c r="A8338" t="s">
        <v>320</v>
      </c>
      <c r="B8338" t="str">
        <f>ADDRESS(ROW(Transfers!E29),COLUMN(Transfers!E29),4)</f>
        <v>E29</v>
      </c>
      <c r="C8338" t="str">
        <f>ADDRESS(ROW(Transfers!H29),COLUMN(Transfers!H29),4)</f>
        <v>H29</v>
      </c>
      <c r="D8338" t="b" cm="1">
        <f t="array" aca="1" ref="D8338" ca="1">IF(INDIRECT("'"&amp;A8338&amp;"'!"&amp;B8338)="",FALSE,IF(NOT(ISNUMBER(INDIRECT("'"&amp;A8338&amp;"'!"&amp;B8338))),TRUE,FALSE))</f>
        <v>0</v>
      </c>
      <c r="E8338" t="s">
        <v>435</v>
      </c>
      <c r="F8338" t="str">
        <f>INDEX(Lists!I:I,MATCH(Validation!E8338,Lists!G:G,0))</f>
        <v>Error</v>
      </c>
      <c r="G8338" t="str">
        <f>INDEX(Lists!H:H,MATCH(Validation!E8338,Lists!G:G,0))</f>
        <v>Enter an amount only. Do not enter text or spaces.</v>
      </c>
      <c r="H8338" s="16" t="str">
        <f t="shared" ca="1" si="930"/>
        <v/>
      </c>
      <c r="I8338" s="16" t="str">
        <f t="shared" ca="1" si="931"/>
        <v/>
      </c>
      <c r="J8338" s="17" t="str">
        <f t="shared" ca="1" si="932"/>
        <v/>
      </c>
    </row>
    <row r="8339" spans="1:10" x14ac:dyDescent="0.25">
      <c r="A8339" t="s">
        <v>320</v>
      </c>
      <c r="B8339" t="str">
        <f>ADDRESS(ROW(Transfers!E30),COLUMN(Transfers!E30),4)</f>
        <v>E30</v>
      </c>
      <c r="C8339" t="str">
        <f>ADDRESS(ROW(Transfers!H30),COLUMN(Transfers!H30),4)</f>
        <v>H30</v>
      </c>
      <c r="D8339" t="b" cm="1">
        <f t="array" aca="1" ref="D8339" ca="1">IF(INDIRECT("'"&amp;A8339&amp;"'!"&amp;B8339)="",FALSE,IF(NOT(ISNUMBER(INDIRECT("'"&amp;A8339&amp;"'!"&amp;B8339))),TRUE,FALSE))</f>
        <v>0</v>
      </c>
      <c r="E8339" t="s">
        <v>435</v>
      </c>
      <c r="F8339" t="str">
        <f>INDEX(Lists!I:I,MATCH(Validation!E8339,Lists!G:G,0))</f>
        <v>Error</v>
      </c>
      <c r="G8339" t="str">
        <f>INDEX(Lists!H:H,MATCH(Validation!E8339,Lists!G:G,0))</f>
        <v>Enter an amount only. Do not enter text or spaces.</v>
      </c>
      <c r="H8339" s="16" t="str">
        <f t="shared" ca="1" si="930"/>
        <v/>
      </c>
      <c r="I8339" s="16" t="str">
        <f t="shared" ca="1" si="931"/>
        <v/>
      </c>
      <c r="J8339" s="17" t="str">
        <f t="shared" ca="1" si="932"/>
        <v/>
      </c>
    </row>
    <row r="8340" spans="1:10" x14ac:dyDescent="0.25">
      <c r="A8340" t="s">
        <v>320</v>
      </c>
      <c r="B8340" t="str">
        <f>ADDRESS(ROW(Transfers!E9),COLUMN(Transfers!E9),4)</f>
        <v>E9</v>
      </c>
      <c r="C8340" t="str">
        <f>ADDRESS(ROW(Transfers!H9),COLUMN(Transfers!H9),4)</f>
        <v>H9</v>
      </c>
      <c r="D8340" t="b" cm="1">
        <f t="array" aca="1" ref="D8340" ca="1">IF(INDIRECT("'"&amp;A8340&amp;"'!"&amp;B8340)="",FALSE,IF(INDIRECT("'"&amp;A8340&amp;"'!"&amp;B8340)&lt;0,TRUE,FALSE))</f>
        <v>0</v>
      </c>
      <c r="E8340" t="s">
        <v>434</v>
      </c>
      <c r="F8340" t="str">
        <f>INDEX(Lists!I:I,MATCH(Validation!E8340,Lists!G:G,0))</f>
        <v>Error</v>
      </c>
      <c r="G8340" t="str">
        <f>INDEX(Lists!H:H,MATCH(Validation!E8340,Lists!G:G,0))</f>
        <v>Amount may not be negative. Enter an amount greater than or equal to zero.</v>
      </c>
      <c r="H8340" s="16" t="str">
        <f t="shared" ca="1" si="930"/>
        <v/>
      </c>
      <c r="I8340" s="16" t="str">
        <f t="shared" ca="1" si="931"/>
        <v/>
      </c>
      <c r="J8340" s="17" t="str">
        <f t="shared" ca="1" si="932"/>
        <v/>
      </c>
    </row>
    <row r="8341" spans="1:10" x14ac:dyDescent="0.25">
      <c r="A8341" t="s">
        <v>320</v>
      </c>
      <c r="B8341" t="str">
        <f>ADDRESS(ROW(Transfers!E10),COLUMN(Transfers!E10),4)</f>
        <v>E10</v>
      </c>
      <c r="C8341" t="str">
        <f>ADDRESS(ROW(Transfers!H10),COLUMN(Transfers!H10),4)</f>
        <v>H10</v>
      </c>
      <c r="D8341" t="b" cm="1">
        <f t="array" aca="1" ref="D8341" ca="1">IF(INDIRECT("'"&amp;A8341&amp;"'!"&amp;B8341)="",FALSE,IF(INDIRECT("'"&amp;A8341&amp;"'!"&amp;B8341)&lt;0,TRUE,FALSE))</f>
        <v>0</v>
      </c>
      <c r="E8341" t="s">
        <v>434</v>
      </c>
      <c r="F8341" t="str">
        <f>INDEX(Lists!I:I,MATCH(Validation!E8341,Lists!G:G,0))</f>
        <v>Error</v>
      </c>
      <c r="G8341" t="str">
        <f>INDEX(Lists!H:H,MATCH(Validation!E8341,Lists!G:G,0))</f>
        <v>Amount may not be negative. Enter an amount greater than or equal to zero.</v>
      </c>
      <c r="H8341" s="16" t="str">
        <f t="shared" ca="1" si="930"/>
        <v/>
      </c>
      <c r="I8341" s="16" t="str">
        <f t="shared" ca="1" si="931"/>
        <v/>
      </c>
      <c r="J8341" s="17" t="str">
        <f t="shared" ca="1" si="932"/>
        <v/>
      </c>
    </row>
    <row r="8342" spans="1:10" x14ac:dyDescent="0.25">
      <c r="A8342" t="s">
        <v>320</v>
      </c>
      <c r="B8342" t="str">
        <f>ADDRESS(ROW(Transfers!E11),COLUMN(Transfers!E11),4)</f>
        <v>E11</v>
      </c>
      <c r="C8342" t="str">
        <f>ADDRESS(ROW(Transfers!H11),COLUMN(Transfers!H11),4)</f>
        <v>H11</v>
      </c>
      <c r="D8342" t="b" cm="1">
        <f t="array" aca="1" ref="D8342" ca="1">IF(INDIRECT("'"&amp;A8342&amp;"'!"&amp;B8342)="",FALSE,IF(INDIRECT("'"&amp;A8342&amp;"'!"&amp;B8342)&lt;0,TRUE,FALSE))</f>
        <v>0</v>
      </c>
      <c r="E8342" t="s">
        <v>434</v>
      </c>
      <c r="F8342" t="str">
        <f>INDEX(Lists!I:I,MATCH(Validation!E8342,Lists!G:G,0))</f>
        <v>Error</v>
      </c>
      <c r="G8342" t="str">
        <f>INDEX(Lists!H:H,MATCH(Validation!E8342,Lists!G:G,0))</f>
        <v>Amount may not be negative. Enter an amount greater than or equal to zero.</v>
      </c>
      <c r="H8342" s="16" t="str">
        <f t="shared" ca="1" si="930"/>
        <v/>
      </c>
      <c r="I8342" s="16" t="str">
        <f t="shared" ca="1" si="931"/>
        <v/>
      </c>
      <c r="J8342" s="17" t="str">
        <f t="shared" ca="1" si="932"/>
        <v/>
      </c>
    </row>
    <row r="8343" spans="1:10" x14ac:dyDescent="0.25">
      <c r="A8343" t="s">
        <v>320</v>
      </c>
      <c r="B8343" t="str">
        <f>ADDRESS(ROW(Transfers!E12),COLUMN(Transfers!E12),4)</f>
        <v>E12</v>
      </c>
      <c r="C8343" t="str">
        <f>ADDRESS(ROW(Transfers!H12),COLUMN(Transfers!H12),4)</f>
        <v>H12</v>
      </c>
      <c r="D8343" t="b" cm="1">
        <f t="array" aca="1" ref="D8343" ca="1">IF(INDIRECT("'"&amp;A8343&amp;"'!"&amp;B8343)="",FALSE,IF(INDIRECT("'"&amp;A8343&amp;"'!"&amp;B8343)&lt;0,TRUE,FALSE))</f>
        <v>0</v>
      </c>
      <c r="E8343" t="s">
        <v>434</v>
      </c>
      <c r="F8343" t="str">
        <f>INDEX(Lists!I:I,MATCH(Validation!E8343,Lists!G:G,0))</f>
        <v>Error</v>
      </c>
      <c r="G8343" t="str">
        <f>INDEX(Lists!H:H,MATCH(Validation!E8343,Lists!G:G,0))</f>
        <v>Amount may not be negative. Enter an amount greater than or equal to zero.</v>
      </c>
      <c r="H8343" s="16" t="str">
        <f t="shared" ca="1" si="930"/>
        <v/>
      </c>
      <c r="I8343" s="16" t="str">
        <f t="shared" ca="1" si="931"/>
        <v/>
      </c>
      <c r="J8343" s="17" t="str">
        <f t="shared" ca="1" si="932"/>
        <v/>
      </c>
    </row>
    <row r="8344" spans="1:10" x14ac:dyDescent="0.25">
      <c r="A8344" t="s">
        <v>320</v>
      </c>
      <c r="B8344" t="str">
        <f>ADDRESS(ROW(Transfers!E13),COLUMN(Transfers!E13),4)</f>
        <v>E13</v>
      </c>
      <c r="C8344" t="str">
        <f>ADDRESS(ROW(Transfers!H13),COLUMN(Transfers!H13),4)</f>
        <v>H13</v>
      </c>
      <c r="D8344" t="b" cm="1">
        <f t="array" aca="1" ref="D8344" ca="1">IF(INDIRECT("'"&amp;A8344&amp;"'!"&amp;B8344)="",FALSE,IF(INDIRECT("'"&amp;A8344&amp;"'!"&amp;B8344)&lt;0,TRUE,FALSE))</f>
        <v>0</v>
      </c>
      <c r="E8344" t="s">
        <v>434</v>
      </c>
      <c r="F8344" t="str">
        <f>INDEX(Lists!I:I,MATCH(Validation!E8344,Lists!G:G,0))</f>
        <v>Error</v>
      </c>
      <c r="G8344" t="str">
        <f>INDEX(Lists!H:H,MATCH(Validation!E8344,Lists!G:G,0))</f>
        <v>Amount may not be negative. Enter an amount greater than or equal to zero.</v>
      </c>
      <c r="H8344" s="16" t="str">
        <f t="shared" ca="1" si="930"/>
        <v/>
      </c>
      <c r="I8344" s="16" t="str">
        <f t="shared" ca="1" si="931"/>
        <v/>
      </c>
      <c r="J8344" s="17" t="str">
        <f t="shared" ca="1" si="932"/>
        <v/>
      </c>
    </row>
    <row r="8345" spans="1:10" x14ac:dyDescent="0.25">
      <c r="A8345" t="s">
        <v>320</v>
      </c>
      <c r="B8345" t="str">
        <f>ADDRESS(ROW(Transfers!E14),COLUMN(Transfers!E14),4)</f>
        <v>E14</v>
      </c>
      <c r="C8345" t="str">
        <f>ADDRESS(ROW(Transfers!H14),COLUMN(Transfers!H14),4)</f>
        <v>H14</v>
      </c>
      <c r="D8345" t="b" cm="1">
        <f t="array" aca="1" ref="D8345" ca="1">IF(INDIRECT("'"&amp;A8345&amp;"'!"&amp;B8345)="",FALSE,IF(INDIRECT("'"&amp;A8345&amp;"'!"&amp;B8345)&lt;0,TRUE,FALSE))</f>
        <v>0</v>
      </c>
      <c r="E8345" t="s">
        <v>434</v>
      </c>
      <c r="F8345" t="str">
        <f>INDEX(Lists!I:I,MATCH(Validation!E8345,Lists!G:G,0))</f>
        <v>Error</v>
      </c>
      <c r="G8345" t="str">
        <f>INDEX(Lists!H:H,MATCH(Validation!E8345,Lists!G:G,0))</f>
        <v>Amount may not be negative. Enter an amount greater than or equal to zero.</v>
      </c>
      <c r="H8345" s="16" t="str">
        <f t="shared" ca="1" si="930"/>
        <v/>
      </c>
      <c r="I8345" s="16" t="str">
        <f t="shared" ca="1" si="931"/>
        <v/>
      </c>
      <c r="J8345" s="17" t="str">
        <f t="shared" ca="1" si="932"/>
        <v/>
      </c>
    </row>
    <row r="8346" spans="1:10" x14ac:dyDescent="0.25">
      <c r="A8346" t="s">
        <v>320</v>
      </c>
      <c r="B8346" t="str">
        <f>ADDRESS(ROW(Transfers!E15),COLUMN(Transfers!E15),4)</f>
        <v>E15</v>
      </c>
      <c r="C8346" t="str">
        <f>ADDRESS(ROW(Transfers!H15),COLUMN(Transfers!H15),4)</f>
        <v>H15</v>
      </c>
      <c r="D8346" t="b" cm="1">
        <f t="array" aca="1" ref="D8346" ca="1">IF(INDIRECT("'"&amp;A8346&amp;"'!"&amp;B8346)="",FALSE,IF(INDIRECT("'"&amp;A8346&amp;"'!"&amp;B8346)&lt;0,TRUE,FALSE))</f>
        <v>0</v>
      </c>
      <c r="E8346" t="s">
        <v>434</v>
      </c>
      <c r="F8346" t="str">
        <f>INDEX(Lists!I:I,MATCH(Validation!E8346,Lists!G:G,0))</f>
        <v>Error</v>
      </c>
      <c r="G8346" t="str">
        <f>INDEX(Lists!H:H,MATCH(Validation!E8346,Lists!G:G,0))</f>
        <v>Amount may not be negative. Enter an amount greater than or equal to zero.</v>
      </c>
      <c r="H8346" s="16" t="str">
        <f t="shared" ref="H8346:H8409" ca="1" si="933">IFERROR(IF(OR(NOT(D8346),F8346&lt;&gt;"Error"),"",A8346&amp;CELL("address",INDIRECT(B8346))),"")</f>
        <v/>
      </c>
      <c r="I8346" s="16" t="str">
        <f t="shared" ref="I8346:I8409" ca="1" si="934">IFERROR(IF(NOT(D8346),"",A8346&amp;CELL("address",INDIRECT(C8346))),"")</f>
        <v/>
      </c>
      <c r="J8346" s="17" t="str">
        <f t="shared" ref="J8346:J8409" ca="1" si="935">IFERROR(IF(NOT(D8346),"",A8346),"")</f>
        <v/>
      </c>
    </row>
    <row r="8347" spans="1:10" x14ac:dyDescent="0.25">
      <c r="A8347" t="s">
        <v>320</v>
      </c>
      <c r="B8347" t="str">
        <f>ADDRESS(ROW(Transfers!E16),COLUMN(Transfers!E16),4)</f>
        <v>E16</v>
      </c>
      <c r="C8347" t="str">
        <f>ADDRESS(ROW(Transfers!H16),COLUMN(Transfers!H16),4)</f>
        <v>H16</v>
      </c>
      <c r="D8347" t="b" cm="1">
        <f t="array" aca="1" ref="D8347" ca="1">IF(INDIRECT("'"&amp;A8347&amp;"'!"&amp;B8347)="",FALSE,IF(INDIRECT("'"&amp;A8347&amp;"'!"&amp;B8347)&lt;0,TRUE,FALSE))</f>
        <v>0</v>
      </c>
      <c r="E8347" t="s">
        <v>434</v>
      </c>
      <c r="F8347" t="str">
        <f>INDEX(Lists!I:I,MATCH(Validation!E8347,Lists!G:G,0))</f>
        <v>Error</v>
      </c>
      <c r="G8347" t="str">
        <f>INDEX(Lists!H:H,MATCH(Validation!E8347,Lists!G:G,0))</f>
        <v>Amount may not be negative. Enter an amount greater than or equal to zero.</v>
      </c>
      <c r="H8347" s="16" t="str">
        <f t="shared" ca="1" si="933"/>
        <v/>
      </c>
      <c r="I8347" s="16" t="str">
        <f t="shared" ca="1" si="934"/>
        <v/>
      </c>
      <c r="J8347" s="17" t="str">
        <f t="shared" ca="1" si="935"/>
        <v/>
      </c>
    </row>
    <row r="8348" spans="1:10" x14ac:dyDescent="0.25">
      <c r="A8348" t="s">
        <v>320</v>
      </c>
      <c r="B8348" t="str">
        <f>ADDRESS(ROW(Transfers!E17),COLUMN(Transfers!E17),4)</f>
        <v>E17</v>
      </c>
      <c r="C8348" t="str">
        <f>ADDRESS(ROW(Transfers!H17),COLUMN(Transfers!H17),4)</f>
        <v>H17</v>
      </c>
      <c r="D8348" t="b" cm="1">
        <f t="array" aca="1" ref="D8348" ca="1">IF(INDIRECT("'"&amp;A8348&amp;"'!"&amp;B8348)="",FALSE,IF(INDIRECT("'"&amp;A8348&amp;"'!"&amp;B8348)&lt;0,TRUE,FALSE))</f>
        <v>0</v>
      </c>
      <c r="E8348" t="s">
        <v>434</v>
      </c>
      <c r="F8348" t="str">
        <f>INDEX(Lists!I:I,MATCH(Validation!E8348,Lists!G:G,0))</f>
        <v>Error</v>
      </c>
      <c r="G8348" t="str">
        <f>INDEX(Lists!H:H,MATCH(Validation!E8348,Lists!G:G,0))</f>
        <v>Amount may not be negative. Enter an amount greater than or equal to zero.</v>
      </c>
      <c r="H8348" s="16" t="str">
        <f t="shared" ca="1" si="933"/>
        <v/>
      </c>
      <c r="I8348" s="16" t="str">
        <f t="shared" ca="1" si="934"/>
        <v/>
      </c>
      <c r="J8348" s="17" t="str">
        <f t="shared" ca="1" si="935"/>
        <v/>
      </c>
    </row>
    <row r="8349" spans="1:10" x14ac:dyDescent="0.25">
      <c r="A8349" t="s">
        <v>320</v>
      </c>
      <c r="B8349" t="str">
        <f>ADDRESS(ROW(Transfers!E18),COLUMN(Transfers!E18),4)</f>
        <v>E18</v>
      </c>
      <c r="C8349" t="str">
        <f>ADDRESS(ROW(Transfers!H18),COLUMN(Transfers!H18),4)</f>
        <v>H18</v>
      </c>
      <c r="D8349" t="b" cm="1">
        <f t="array" aca="1" ref="D8349" ca="1">IF(INDIRECT("'"&amp;A8349&amp;"'!"&amp;B8349)="",FALSE,IF(INDIRECT("'"&amp;A8349&amp;"'!"&amp;B8349)&lt;0,TRUE,FALSE))</f>
        <v>0</v>
      </c>
      <c r="E8349" t="s">
        <v>434</v>
      </c>
      <c r="F8349" t="str">
        <f>INDEX(Lists!I:I,MATCH(Validation!E8349,Lists!G:G,0))</f>
        <v>Error</v>
      </c>
      <c r="G8349" t="str">
        <f>INDEX(Lists!H:H,MATCH(Validation!E8349,Lists!G:G,0))</f>
        <v>Amount may not be negative. Enter an amount greater than or equal to zero.</v>
      </c>
      <c r="H8349" s="16" t="str">
        <f t="shared" ca="1" si="933"/>
        <v/>
      </c>
      <c r="I8349" s="16" t="str">
        <f t="shared" ca="1" si="934"/>
        <v/>
      </c>
      <c r="J8349" s="17" t="str">
        <f t="shared" ca="1" si="935"/>
        <v/>
      </c>
    </row>
    <row r="8350" spans="1:10" x14ac:dyDescent="0.25">
      <c r="A8350" t="s">
        <v>320</v>
      </c>
      <c r="B8350" t="str">
        <f>ADDRESS(ROW(Transfers!E19),COLUMN(Transfers!E19),4)</f>
        <v>E19</v>
      </c>
      <c r="C8350" t="str">
        <f>ADDRESS(ROW(Transfers!H19),COLUMN(Transfers!H19),4)</f>
        <v>H19</v>
      </c>
      <c r="D8350" t="b" cm="1">
        <f t="array" aca="1" ref="D8350" ca="1">IF(INDIRECT("'"&amp;A8350&amp;"'!"&amp;B8350)="",FALSE,IF(INDIRECT("'"&amp;A8350&amp;"'!"&amp;B8350)&lt;0,TRUE,FALSE))</f>
        <v>0</v>
      </c>
      <c r="E8350" t="s">
        <v>434</v>
      </c>
      <c r="F8350" t="str">
        <f>INDEX(Lists!I:I,MATCH(Validation!E8350,Lists!G:G,0))</f>
        <v>Error</v>
      </c>
      <c r="G8350" t="str">
        <f>INDEX(Lists!H:H,MATCH(Validation!E8350,Lists!G:G,0))</f>
        <v>Amount may not be negative. Enter an amount greater than or equal to zero.</v>
      </c>
      <c r="H8350" s="16" t="str">
        <f t="shared" ca="1" si="933"/>
        <v/>
      </c>
      <c r="I8350" s="16" t="str">
        <f t="shared" ca="1" si="934"/>
        <v/>
      </c>
      <c r="J8350" s="17" t="str">
        <f t="shared" ca="1" si="935"/>
        <v/>
      </c>
    </row>
    <row r="8351" spans="1:10" x14ac:dyDescent="0.25">
      <c r="A8351" t="s">
        <v>320</v>
      </c>
      <c r="B8351" t="str">
        <f>ADDRESS(ROW(Transfers!E20),COLUMN(Transfers!E20),4)</f>
        <v>E20</v>
      </c>
      <c r="C8351" t="str">
        <f>ADDRESS(ROW(Transfers!H20),COLUMN(Transfers!H20),4)</f>
        <v>H20</v>
      </c>
      <c r="D8351" t="b" cm="1">
        <f t="array" aca="1" ref="D8351" ca="1">IF(INDIRECT("'"&amp;A8351&amp;"'!"&amp;B8351)="",FALSE,IF(INDIRECT("'"&amp;A8351&amp;"'!"&amp;B8351)&lt;0,TRUE,FALSE))</f>
        <v>0</v>
      </c>
      <c r="E8351" t="s">
        <v>434</v>
      </c>
      <c r="F8351" t="str">
        <f>INDEX(Lists!I:I,MATCH(Validation!E8351,Lists!G:G,0))</f>
        <v>Error</v>
      </c>
      <c r="G8351" t="str">
        <f>INDEX(Lists!H:H,MATCH(Validation!E8351,Lists!G:G,0))</f>
        <v>Amount may not be negative. Enter an amount greater than or equal to zero.</v>
      </c>
      <c r="H8351" s="16" t="str">
        <f t="shared" ca="1" si="933"/>
        <v/>
      </c>
      <c r="I8351" s="16" t="str">
        <f t="shared" ca="1" si="934"/>
        <v/>
      </c>
      <c r="J8351" s="17" t="str">
        <f t="shared" ca="1" si="935"/>
        <v/>
      </c>
    </row>
    <row r="8352" spans="1:10" x14ac:dyDescent="0.25">
      <c r="A8352" t="s">
        <v>320</v>
      </c>
      <c r="B8352" t="str">
        <f>ADDRESS(ROW(Transfers!E21),COLUMN(Transfers!E21),4)</f>
        <v>E21</v>
      </c>
      <c r="C8352" t="str">
        <f>ADDRESS(ROW(Transfers!H21),COLUMN(Transfers!H21),4)</f>
        <v>H21</v>
      </c>
      <c r="D8352" t="b" cm="1">
        <f t="array" aca="1" ref="D8352" ca="1">IF(INDIRECT("'"&amp;A8352&amp;"'!"&amp;B8352)="",FALSE,IF(INDIRECT("'"&amp;A8352&amp;"'!"&amp;B8352)&lt;0,TRUE,FALSE))</f>
        <v>0</v>
      </c>
      <c r="E8352" t="s">
        <v>434</v>
      </c>
      <c r="F8352" t="str">
        <f>INDEX(Lists!I:I,MATCH(Validation!E8352,Lists!G:G,0))</f>
        <v>Error</v>
      </c>
      <c r="G8352" t="str">
        <f>INDEX(Lists!H:H,MATCH(Validation!E8352,Lists!G:G,0))</f>
        <v>Amount may not be negative. Enter an amount greater than or equal to zero.</v>
      </c>
      <c r="H8352" s="16" t="str">
        <f t="shared" ca="1" si="933"/>
        <v/>
      </c>
      <c r="I8352" s="16" t="str">
        <f t="shared" ca="1" si="934"/>
        <v/>
      </c>
      <c r="J8352" s="17" t="str">
        <f t="shared" ca="1" si="935"/>
        <v/>
      </c>
    </row>
    <row r="8353" spans="1:10" x14ac:dyDescent="0.25">
      <c r="A8353" t="s">
        <v>320</v>
      </c>
      <c r="B8353" t="str">
        <f>ADDRESS(ROW(Transfers!E22),COLUMN(Transfers!E22),4)</f>
        <v>E22</v>
      </c>
      <c r="C8353" t="str">
        <f>ADDRESS(ROW(Transfers!H22),COLUMN(Transfers!H22),4)</f>
        <v>H22</v>
      </c>
      <c r="D8353" t="b" cm="1">
        <f t="array" aca="1" ref="D8353" ca="1">IF(INDIRECT("'"&amp;A8353&amp;"'!"&amp;B8353)="",FALSE,IF(INDIRECT("'"&amp;A8353&amp;"'!"&amp;B8353)&lt;0,TRUE,FALSE))</f>
        <v>0</v>
      </c>
      <c r="E8353" t="s">
        <v>434</v>
      </c>
      <c r="F8353" t="str">
        <f>INDEX(Lists!I:I,MATCH(Validation!E8353,Lists!G:G,0))</f>
        <v>Error</v>
      </c>
      <c r="G8353" t="str">
        <f>INDEX(Lists!H:H,MATCH(Validation!E8353,Lists!G:G,0))</f>
        <v>Amount may not be negative. Enter an amount greater than or equal to zero.</v>
      </c>
      <c r="H8353" s="16" t="str">
        <f t="shared" ca="1" si="933"/>
        <v/>
      </c>
      <c r="I8353" s="16" t="str">
        <f t="shared" ca="1" si="934"/>
        <v/>
      </c>
      <c r="J8353" s="17" t="str">
        <f t="shared" ca="1" si="935"/>
        <v/>
      </c>
    </row>
    <row r="8354" spans="1:10" x14ac:dyDescent="0.25">
      <c r="A8354" t="s">
        <v>320</v>
      </c>
      <c r="B8354" t="str">
        <f>ADDRESS(ROW(Transfers!E23),COLUMN(Transfers!E23),4)</f>
        <v>E23</v>
      </c>
      <c r="C8354" t="str">
        <f>ADDRESS(ROW(Transfers!H23),COLUMN(Transfers!H23),4)</f>
        <v>H23</v>
      </c>
      <c r="D8354" t="b" cm="1">
        <f t="array" aca="1" ref="D8354" ca="1">IF(INDIRECT("'"&amp;A8354&amp;"'!"&amp;B8354)="",FALSE,IF(INDIRECT("'"&amp;A8354&amp;"'!"&amp;B8354)&lt;0,TRUE,FALSE))</f>
        <v>0</v>
      </c>
      <c r="E8354" t="s">
        <v>434</v>
      </c>
      <c r="F8354" t="str">
        <f>INDEX(Lists!I:I,MATCH(Validation!E8354,Lists!G:G,0))</f>
        <v>Error</v>
      </c>
      <c r="G8354" t="str">
        <f>INDEX(Lists!H:H,MATCH(Validation!E8354,Lists!G:G,0))</f>
        <v>Amount may not be negative. Enter an amount greater than or equal to zero.</v>
      </c>
      <c r="H8354" s="16" t="str">
        <f t="shared" ca="1" si="933"/>
        <v/>
      </c>
      <c r="I8354" s="16" t="str">
        <f t="shared" ca="1" si="934"/>
        <v/>
      </c>
      <c r="J8354" s="17" t="str">
        <f t="shared" ca="1" si="935"/>
        <v/>
      </c>
    </row>
    <row r="8355" spans="1:10" x14ac:dyDescent="0.25">
      <c r="A8355" t="s">
        <v>320</v>
      </c>
      <c r="B8355" t="str">
        <f>ADDRESS(ROW(Transfers!E24),COLUMN(Transfers!E24),4)</f>
        <v>E24</v>
      </c>
      <c r="C8355" t="str">
        <f>ADDRESS(ROW(Transfers!H24),COLUMN(Transfers!H24),4)</f>
        <v>H24</v>
      </c>
      <c r="D8355" t="b" cm="1">
        <f t="array" aca="1" ref="D8355" ca="1">IF(INDIRECT("'"&amp;A8355&amp;"'!"&amp;B8355)="",FALSE,IF(INDIRECT("'"&amp;A8355&amp;"'!"&amp;B8355)&lt;0,TRUE,FALSE))</f>
        <v>0</v>
      </c>
      <c r="E8355" t="s">
        <v>434</v>
      </c>
      <c r="F8355" t="str">
        <f>INDEX(Lists!I:I,MATCH(Validation!E8355,Lists!G:G,0))</f>
        <v>Error</v>
      </c>
      <c r="G8355" t="str">
        <f>INDEX(Lists!H:H,MATCH(Validation!E8355,Lists!G:G,0))</f>
        <v>Amount may not be negative. Enter an amount greater than or equal to zero.</v>
      </c>
      <c r="H8355" s="16" t="str">
        <f t="shared" ca="1" si="933"/>
        <v/>
      </c>
      <c r="I8355" s="16" t="str">
        <f t="shared" ca="1" si="934"/>
        <v/>
      </c>
      <c r="J8355" s="17" t="str">
        <f t="shared" ca="1" si="935"/>
        <v/>
      </c>
    </row>
    <row r="8356" spans="1:10" x14ac:dyDescent="0.25">
      <c r="A8356" t="s">
        <v>320</v>
      </c>
      <c r="B8356" t="str">
        <f>ADDRESS(ROW(Transfers!E25),COLUMN(Transfers!E25),4)</f>
        <v>E25</v>
      </c>
      <c r="C8356" t="str">
        <f>ADDRESS(ROW(Transfers!H25),COLUMN(Transfers!H25),4)</f>
        <v>H25</v>
      </c>
      <c r="D8356" t="b" cm="1">
        <f t="array" aca="1" ref="D8356" ca="1">IF(INDIRECT("'"&amp;A8356&amp;"'!"&amp;B8356)="",FALSE,IF(INDIRECT("'"&amp;A8356&amp;"'!"&amp;B8356)&lt;0,TRUE,FALSE))</f>
        <v>0</v>
      </c>
      <c r="E8356" t="s">
        <v>434</v>
      </c>
      <c r="F8356" t="str">
        <f>INDEX(Lists!I:I,MATCH(Validation!E8356,Lists!G:G,0))</f>
        <v>Error</v>
      </c>
      <c r="G8356" t="str">
        <f>INDEX(Lists!H:H,MATCH(Validation!E8356,Lists!G:G,0))</f>
        <v>Amount may not be negative. Enter an amount greater than or equal to zero.</v>
      </c>
      <c r="H8356" s="16" t="str">
        <f t="shared" ca="1" si="933"/>
        <v/>
      </c>
      <c r="I8356" s="16" t="str">
        <f t="shared" ca="1" si="934"/>
        <v/>
      </c>
      <c r="J8356" s="17" t="str">
        <f t="shared" ca="1" si="935"/>
        <v/>
      </c>
    </row>
    <row r="8357" spans="1:10" x14ac:dyDescent="0.25">
      <c r="A8357" t="s">
        <v>320</v>
      </c>
      <c r="B8357" t="str">
        <f>ADDRESS(ROW(Transfers!E26),COLUMN(Transfers!E26),4)</f>
        <v>E26</v>
      </c>
      <c r="C8357" t="str">
        <f>ADDRESS(ROW(Transfers!H26),COLUMN(Transfers!H26),4)</f>
        <v>H26</v>
      </c>
      <c r="D8357" t="b" cm="1">
        <f t="array" aca="1" ref="D8357" ca="1">IF(INDIRECT("'"&amp;A8357&amp;"'!"&amp;B8357)="",FALSE,IF(INDIRECT("'"&amp;A8357&amp;"'!"&amp;B8357)&lt;0,TRUE,FALSE))</f>
        <v>0</v>
      </c>
      <c r="E8357" t="s">
        <v>434</v>
      </c>
      <c r="F8357" t="str">
        <f>INDEX(Lists!I:I,MATCH(Validation!E8357,Lists!G:G,0))</f>
        <v>Error</v>
      </c>
      <c r="G8357" t="str">
        <f>INDEX(Lists!H:H,MATCH(Validation!E8357,Lists!G:G,0))</f>
        <v>Amount may not be negative. Enter an amount greater than or equal to zero.</v>
      </c>
      <c r="H8357" s="16" t="str">
        <f t="shared" ca="1" si="933"/>
        <v/>
      </c>
      <c r="I8357" s="16" t="str">
        <f t="shared" ca="1" si="934"/>
        <v/>
      </c>
      <c r="J8357" s="17" t="str">
        <f t="shared" ca="1" si="935"/>
        <v/>
      </c>
    </row>
    <row r="8358" spans="1:10" x14ac:dyDescent="0.25">
      <c r="A8358" t="s">
        <v>320</v>
      </c>
      <c r="B8358" t="str">
        <f>ADDRESS(ROW(Transfers!E27),COLUMN(Transfers!E27),4)</f>
        <v>E27</v>
      </c>
      <c r="C8358" t="str">
        <f>ADDRESS(ROW(Transfers!H27),COLUMN(Transfers!H27),4)</f>
        <v>H27</v>
      </c>
      <c r="D8358" t="b" cm="1">
        <f t="array" aca="1" ref="D8358" ca="1">IF(INDIRECT("'"&amp;A8358&amp;"'!"&amp;B8358)="",FALSE,IF(INDIRECT("'"&amp;A8358&amp;"'!"&amp;B8358)&lt;0,TRUE,FALSE))</f>
        <v>0</v>
      </c>
      <c r="E8358" t="s">
        <v>434</v>
      </c>
      <c r="F8358" t="str">
        <f>INDEX(Lists!I:I,MATCH(Validation!E8358,Lists!G:G,0))</f>
        <v>Error</v>
      </c>
      <c r="G8358" t="str">
        <f>INDEX(Lists!H:H,MATCH(Validation!E8358,Lists!G:G,0))</f>
        <v>Amount may not be negative. Enter an amount greater than or equal to zero.</v>
      </c>
      <c r="H8358" s="16" t="str">
        <f t="shared" ca="1" si="933"/>
        <v/>
      </c>
      <c r="I8358" s="16" t="str">
        <f t="shared" ca="1" si="934"/>
        <v/>
      </c>
      <c r="J8358" s="17" t="str">
        <f t="shared" ca="1" si="935"/>
        <v/>
      </c>
    </row>
    <row r="8359" spans="1:10" x14ac:dyDescent="0.25">
      <c r="A8359" t="s">
        <v>320</v>
      </c>
      <c r="B8359" t="str">
        <f>ADDRESS(ROW(Transfers!E28),COLUMN(Transfers!E28),4)</f>
        <v>E28</v>
      </c>
      <c r="C8359" t="str">
        <f>ADDRESS(ROW(Transfers!H28),COLUMN(Transfers!H28),4)</f>
        <v>H28</v>
      </c>
      <c r="D8359" t="b" cm="1">
        <f t="array" aca="1" ref="D8359" ca="1">IF(INDIRECT("'"&amp;A8359&amp;"'!"&amp;B8359)="",FALSE,IF(INDIRECT("'"&amp;A8359&amp;"'!"&amp;B8359)&lt;0,TRUE,FALSE))</f>
        <v>0</v>
      </c>
      <c r="E8359" t="s">
        <v>434</v>
      </c>
      <c r="F8359" t="str">
        <f>INDEX(Lists!I:I,MATCH(Validation!E8359,Lists!G:G,0))</f>
        <v>Error</v>
      </c>
      <c r="G8359" t="str">
        <f>INDEX(Lists!H:H,MATCH(Validation!E8359,Lists!G:G,0))</f>
        <v>Amount may not be negative. Enter an amount greater than or equal to zero.</v>
      </c>
      <c r="H8359" s="16" t="str">
        <f t="shared" ca="1" si="933"/>
        <v/>
      </c>
      <c r="I8359" s="16" t="str">
        <f t="shared" ca="1" si="934"/>
        <v/>
      </c>
      <c r="J8359" s="17" t="str">
        <f t="shared" ca="1" si="935"/>
        <v/>
      </c>
    </row>
    <row r="8360" spans="1:10" x14ac:dyDescent="0.25">
      <c r="A8360" t="s">
        <v>320</v>
      </c>
      <c r="B8360" t="str">
        <f>ADDRESS(ROW(Transfers!E29),COLUMN(Transfers!E29),4)</f>
        <v>E29</v>
      </c>
      <c r="C8360" t="str">
        <f>ADDRESS(ROW(Transfers!H29),COLUMN(Transfers!H29),4)</f>
        <v>H29</v>
      </c>
      <c r="D8360" t="b" cm="1">
        <f t="array" aca="1" ref="D8360" ca="1">IF(INDIRECT("'"&amp;A8360&amp;"'!"&amp;B8360)="",FALSE,IF(INDIRECT("'"&amp;A8360&amp;"'!"&amp;B8360)&lt;0,TRUE,FALSE))</f>
        <v>0</v>
      </c>
      <c r="E8360" t="s">
        <v>434</v>
      </c>
      <c r="F8360" t="str">
        <f>INDEX(Lists!I:I,MATCH(Validation!E8360,Lists!G:G,0))</f>
        <v>Error</v>
      </c>
      <c r="G8360" t="str">
        <f>INDEX(Lists!H:H,MATCH(Validation!E8360,Lists!G:G,0))</f>
        <v>Amount may not be negative. Enter an amount greater than or equal to zero.</v>
      </c>
      <c r="H8360" s="16" t="str">
        <f t="shared" ca="1" si="933"/>
        <v/>
      </c>
      <c r="I8360" s="16" t="str">
        <f t="shared" ca="1" si="934"/>
        <v/>
      </c>
      <c r="J8360" s="17" t="str">
        <f t="shared" ca="1" si="935"/>
        <v/>
      </c>
    </row>
    <row r="8361" spans="1:10" x14ac:dyDescent="0.25">
      <c r="A8361" t="s">
        <v>320</v>
      </c>
      <c r="B8361" t="str">
        <f>ADDRESS(ROW(Transfers!E30),COLUMN(Transfers!E30),4)</f>
        <v>E30</v>
      </c>
      <c r="C8361" t="str">
        <f>ADDRESS(ROW(Transfers!H30),COLUMN(Transfers!H30),4)</f>
        <v>H30</v>
      </c>
      <c r="D8361" t="b" cm="1">
        <f t="array" aca="1" ref="D8361" ca="1">IF(INDIRECT("'"&amp;A8361&amp;"'!"&amp;B8361)="",FALSE,IF(INDIRECT("'"&amp;A8361&amp;"'!"&amp;B8361)&lt;0,TRUE,FALSE))</f>
        <v>0</v>
      </c>
      <c r="E8361" t="s">
        <v>434</v>
      </c>
      <c r="F8361" t="str">
        <f>INDEX(Lists!I:I,MATCH(Validation!E8361,Lists!G:G,0))</f>
        <v>Error</v>
      </c>
      <c r="G8361" t="str">
        <f>INDEX(Lists!H:H,MATCH(Validation!E8361,Lists!G:G,0))</f>
        <v>Amount may not be negative. Enter an amount greater than or equal to zero.</v>
      </c>
      <c r="H8361" s="16" t="str">
        <f t="shared" ca="1" si="933"/>
        <v/>
      </c>
      <c r="I8361" s="16" t="str">
        <f t="shared" ca="1" si="934"/>
        <v/>
      </c>
      <c r="J8361" s="17" t="str">
        <f t="shared" ca="1" si="935"/>
        <v/>
      </c>
    </row>
    <row r="8362" spans="1:10" x14ac:dyDescent="0.25">
      <c r="A8362" t="s">
        <v>320</v>
      </c>
      <c r="B8362" t="str">
        <f>ADDRESS(ROW(Transfers!E9),COLUMN(Transfers!E9),4)</f>
        <v>E9</v>
      </c>
      <c r="C8362" t="str">
        <f>ADDRESS(ROW(Transfers!H9),COLUMN(Transfers!H9),4)</f>
        <v>H9</v>
      </c>
      <c r="D8362" t="b" cm="1">
        <f t="array" aca="1" ref="D8362" ca="1">IF(INDIRECT("'"&amp;A8362&amp;"'!"&amp;B8362)="",FALSE,IF(TRUNC(INDIRECT("'"&amp;A8362&amp;"'!"&amp;B8362))=INDIRECT("'"&amp;A8362&amp;"'!"&amp;B8362),FALSE,TRUE))</f>
        <v>0</v>
      </c>
      <c r="E8362" t="s">
        <v>436</v>
      </c>
      <c r="F8362" t="str">
        <f>INDEX(Lists!I:I,MATCH(Validation!E8362,Lists!G:G,0))</f>
        <v>Error</v>
      </c>
      <c r="G8362" t="str">
        <f>INDEX(Lists!H:H,MATCH(Validation!E8362,Lists!G:G,0))</f>
        <v>Amount must be rounded to the nearest dollar.</v>
      </c>
      <c r="H8362" s="16" t="str">
        <f t="shared" ca="1" si="933"/>
        <v/>
      </c>
      <c r="I8362" s="16" t="str">
        <f t="shared" ca="1" si="934"/>
        <v/>
      </c>
      <c r="J8362" s="17" t="str">
        <f t="shared" ca="1" si="935"/>
        <v/>
      </c>
    </row>
    <row r="8363" spans="1:10" x14ac:dyDescent="0.25">
      <c r="A8363" t="s">
        <v>320</v>
      </c>
      <c r="B8363" t="str">
        <f>ADDRESS(ROW(Transfers!E10),COLUMN(Transfers!E10),4)</f>
        <v>E10</v>
      </c>
      <c r="C8363" t="str">
        <f>ADDRESS(ROW(Transfers!H10),COLUMN(Transfers!H10),4)</f>
        <v>H10</v>
      </c>
      <c r="D8363" t="b" cm="1">
        <f t="array" aca="1" ref="D8363" ca="1">IF(INDIRECT("'"&amp;A8363&amp;"'!"&amp;B8363)="",FALSE,IF(TRUNC(INDIRECT("'"&amp;A8363&amp;"'!"&amp;B8363))=INDIRECT("'"&amp;A8363&amp;"'!"&amp;B8363),FALSE,TRUE))</f>
        <v>0</v>
      </c>
      <c r="E8363" t="s">
        <v>436</v>
      </c>
      <c r="F8363" t="str">
        <f>INDEX(Lists!I:I,MATCH(Validation!E8363,Lists!G:G,0))</f>
        <v>Error</v>
      </c>
      <c r="G8363" t="str">
        <f>INDEX(Lists!H:H,MATCH(Validation!E8363,Lists!G:G,0))</f>
        <v>Amount must be rounded to the nearest dollar.</v>
      </c>
      <c r="H8363" s="16" t="str">
        <f t="shared" ca="1" si="933"/>
        <v/>
      </c>
      <c r="I8363" s="16" t="str">
        <f t="shared" ca="1" si="934"/>
        <v/>
      </c>
      <c r="J8363" s="17" t="str">
        <f t="shared" ca="1" si="935"/>
        <v/>
      </c>
    </row>
    <row r="8364" spans="1:10" x14ac:dyDescent="0.25">
      <c r="A8364" t="s">
        <v>320</v>
      </c>
      <c r="B8364" t="str">
        <f>ADDRESS(ROW(Transfers!E11),COLUMN(Transfers!E11),4)</f>
        <v>E11</v>
      </c>
      <c r="C8364" t="str">
        <f>ADDRESS(ROW(Transfers!H11),COLUMN(Transfers!H11),4)</f>
        <v>H11</v>
      </c>
      <c r="D8364" t="b" cm="1">
        <f t="array" aca="1" ref="D8364" ca="1">IF(INDIRECT("'"&amp;A8364&amp;"'!"&amp;B8364)="",FALSE,IF(TRUNC(INDIRECT("'"&amp;A8364&amp;"'!"&amp;B8364))=INDIRECT("'"&amp;A8364&amp;"'!"&amp;B8364),FALSE,TRUE))</f>
        <v>0</v>
      </c>
      <c r="E8364" t="s">
        <v>436</v>
      </c>
      <c r="F8364" t="str">
        <f>INDEX(Lists!I:I,MATCH(Validation!E8364,Lists!G:G,0))</f>
        <v>Error</v>
      </c>
      <c r="G8364" t="str">
        <f>INDEX(Lists!H:H,MATCH(Validation!E8364,Lists!G:G,0))</f>
        <v>Amount must be rounded to the nearest dollar.</v>
      </c>
      <c r="H8364" s="16" t="str">
        <f t="shared" ca="1" si="933"/>
        <v/>
      </c>
      <c r="I8364" s="16" t="str">
        <f t="shared" ca="1" si="934"/>
        <v/>
      </c>
      <c r="J8364" s="17" t="str">
        <f t="shared" ca="1" si="935"/>
        <v/>
      </c>
    </row>
    <row r="8365" spans="1:10" x14ac:dyDescent="0.25">
      <c r="A8365" t="s">
        <v>320</v>
      </c>
      <c r="B8365" t="str">
        <f>ADDRESS(ROW(Transfers!E12),COLUMN(Transfers!E12),4)</f>
        <v>E12</v>
      </c>
      <c r="C8365" t="str">
        <f>ADDRESS(ROW(Transfers!H12),COLUMN(Transfers!H12),4)</f>
        <v>H12</v>
      </c>
      <c r="D8365" t="b" cm="1">
        <f t="array" aca="1" ref="D8365" ca="1">IF(INDIRECT("'"&amp;A8365&amp;"'!"&amp;B8365)="",FALSE,IF(TRUNC(INDIRECT("'"&amp;A8365&amp;"'!"&amp;B8365))=INDIRECT("'"&amp;A8365&amp;"'!"&amp;B8365),FALSE,TRUE))</f>
        <v>0</v>
      </c>
      <c r="E8365" t="s">
        <v>436</v>
      </c>
      <c r="F8365" t="str">
        <f>INDEX(Lists!I:I,MATCH(Validation!E8365,Lists!G:G,0))</f>
        <v>Error</v>
      </c>
      <c r="G8365" t="str">
        <f>INDEX(Lists!H:H,MATCH(Validation!E8365,Lists!G:G,0))</f>
        <v>Amount must be rounded to the nearest dollar.</v>
      </c>
      <c r="H8365" s="16" t="str">
        <f t="shared" ca="1" si="933"/>
        <v/>
      </c>
      <c r="I8365" s="16" t="str">
        <f t="shared" ca="1" si="934"/>
        <v/>
      </c>
      <c r="J8365" s="17" t="str">
        <f t="shared" ca="1" si="935"/>
        <v/>
      </c>
    </row>
    <row r="8366" spans="1:10" x14ac:dyDescent="0.25">
      <c r="A8366" t="s">
        <v>320</v>
      </c>
      <c r="B8366" t="str">
        <f>ADDRESS(ROW(Transfers!E13),COLUMN(Transfers!E13),4)</f>
        <v>E13</v>
      </c>
      <c r="C8366" t="str">
        <f>ADDRESS(ROW(Transfers!H13),COLUMN(Transfers!H13),4)</f>
        <v>H13</v>
      </c>
      <c r="D8366" t="b" cm="1">
        <f t="array" aca="1" ref="D8366" ca="1">IF(INDIRECT("'"&amp;A8366&amp;"'!"&amp;B8366)="",FALSE,IF(TRUNC(INDIRECT("'"&amp;A8366&amp;"'!"&amp;B8366))=INDIRECT("'"&amp;A8366&amp;"'!"&amp;B8366),FALSE,TRUE))</f>
        <v>0</v>
      </c>
      <c r="E8366" t="s">
        <v>436</v>
      </c>
      <c r="F8366" t="str">
        <f>INDEX(Lists!I:I,MATCH(Validation!E8366,Lists!G:G,0))</f>
        <v>Error</v>
      </c>
      <c r="G8366" t="str">
        <f>INDEX(Lists!H:H,MATCH(Validation!E8366,Lists!G:G,0))</f>
        <v>Amount must be rounded to the nearest dollar.</v>
      </c>
      <c r="H8366" s="16" t="str">
        <f t="shared" ca="1" si="933"/>
        <v/>
      </c>
      <c r="I8366" s="16" t="str">
        <f t="shared" ca="1" si="934"/>
        <v/>
      </c>
      <c r="J8366" s="17" t="str">
        <f t="shared" ca="1" si="935"/>
        <v/>
      </c>
    </row>
    <row r="8367" spans="1:10" x14ac:dyDescent="0.25">
      <c r="A8367" t="s">
        <v>320</v>
      </c>
      <c r="B8367" t="str">
        <f>ADDRESS(ROW(Transfers!E14),COLUMN(Transfers!E14),4)</f>
        <v>E14</v>
      </c>
      <c r="C8367" t="str">
        <f>ADDRESS(ROW(Transfers!H14),COLUMN(Transfers!H14),4)</f>
        <v>H14</v>
      </c>
      <c r="D8367" t="b" cm="1">
        <f t="array" aca="1" ref="D8367" ca="1">IF(INDIRECT("'"&amp;A8367&amp;"'!"&amp;B8367)="",FALSE,IF(TRUNC(INDIRECT("'"&amp;A8367&amp;"'!"&amp;B8367))=INDIRECT("'"&amp;A8367&amp;"'!"&amp;B8367),FALSE,TRUE))</f>
        <v>0</v>
      </c>
      <c r="E8367" t="s">
        <v>436</v>
      </c>
      <c r="F8367" t="str">
        <f>INDEX(Lists!I:I,MATCH(Validation!E8367,Lists!G:G,0))</f>
        <v>Error</v>
      </c>
      <c r="G8367" t="str">
        <f>INDEX(Lists!H:H,MATCH(Validation!E8367,Lists!G:G,0))</f>
        <v>Amount must be rounded to the nearest dollar.</v>
      </c>
      <c r="H8367" s="16" t="str">
        <f t="shared" ca="1" si="933"/>
        <v/>
      </c>
      <c r="I8367" s="16" t="str">
        <f t="shared" ca="1" si="934"/>
        <v/>
      </c>
      <c r="J8367" s="17" t="str">
        <f t="shared" ca="1" si="935"/>
        <v/>
      </c>
    </row>
    <row r="8368" spans="1:10" x14ac:dyDescent="0.25">
      <c r="A8368" t="s">
        <v>320</v>
      </c>
      <c r="B8368" t="str">
        <f>ADDRESS(ROW(Transfers!E15),COLUMN(Transfers!E15),4)</f>
        <v>E15</v>
      </c>
      <c r="C8368" t="str">
        <f>ADDRESS(ROW(Transfers!H15),COLUMN(Transfers!H15),4)</f>
        <v>H15</v>
      </c>
      <c r="D8368" t="b" cm="1">
        <f t="array" aca="1" ref="D8368" ca="1">IF(INDIRECT("'"&amp;A8368&amp;"'!"&amp;B8368)="",FALSE,IF(TRUNC(INDIRECT("'"&amp;A8368&amp;"'!"&amp;B8368))=INDIRECT("'"&amp;A8368&amp;"'!"&amp;B8368),FALSE,TRUE))</f>
        <v>0</v>
      </c>
      <c r="E8368" t="s">
        <v>436</v>
      </c>
      <c r="F8368" t="str">
        <f>INDEX(Lists!I:I,MATCH(Validation!E8368,Lists!G:G,0))</f>
        <v>Error</v>
      </c>
      <c r="G8368" t="str">
        <f>INDEX(Lists!H:H,MATCH(Validation!E8368,Lists!G:G,0))</f>
        <v>Amount must be rounded to the nearest dollar.</v>
      </c>
      <c r="H8368" s="16" t="str">
        <f t="shared" ca="1" si="933"/>
        <v/>
      </c>
      <c r="I8368" s="16" t="str">
        <f t="shared" ca="1" si="934"/>
        <v/>
      </c>
      <c r="J8368" s="17" t="str">
        <f t="shared" ca="1" si="935"/>
        <v/>
      </c>
    </row>
    <row r="8369" spans="1:10" x14ac:dyDescent="0.25">
      <c r="A8369" t="s">
        <v>320</v>
      </c>
      <c r="B8369" t="str">
        <f>ADDRESS(ROW(Transfers!E16),COLUMN(Transfers!E16),4)</f>
        <v>E16</v>
      </c>
      <c r="C8369" t="str">
        <f>ADDRESS(ROW(Transfers!H16),COLUMN(Transfers!H16),4)</f>
        <v>H16</v>
      </c>
      <c r="D8369" t="b" cm="1">
        <f t="array" aca="1" ref="D8369" ca="1">IF(INDIRECT("'"&amp;A8369&amp;"'!"&amp;B8369)="",FALSE,IF(TRUNC(INDIRECT("'"&amp;A8369&amp;"'!"&amp;B8369))=INDIRECT("'"&amp;A8369&amp;"'!"&amp;B8369),FALSE,TRUE))</f>
        <v>0</v>
      </c>
      <c r="E8369" t="s">
        <v>436</v>
      </c>
      <c r="F8369" t="str">
        <f>INDEX(Lists!I:I,MATCH(Validation!E8369,Lists!G:G,0))</f>
        <v>Error</v>
      </c>
      <c r="G8369" t="str">
        <f>INDEX(Lists!H:H,MATCH(Validation!E8369,Lists!G:G,0))</f>
        <v>Amount must be rounded to the nearest dollar.</v>
      </c>
      <c r="H8369" s="16" t="str">
        <f t="shared" ca="1" si="933"/>
        <v/>
      </c>
      <c r="I8369" s="16" t="str">
        <f t="shared" ca="1" si="934"/>
        <v/>
      </c>
      <c r="J8369" s="17" t="str">
        <f t="shared" ca="1" si="935"/>
        <v/>
      </c>
    </row>
    <row r="8370" spans="1:10" x14ac:dyDescent="0.25">
      <c r="A8370" t="s">
        <v>320</v>
      </c>
      <c r="B8370" t="str">
        <f>ADDRESS(ROW(Transfers!E17),COLUMN(Transfers!E17),4)</f>
        <v>E17</v>
      </c>
      <c r="C8370" t="str">
        <f>ADDRESS(ROW(Transfers!H17),COLUMN(Transfers!H17),4)</f>
        <v>H17</v>
      </c>
      <c r="D8370" t="b" cm="1">
        <f t="array" aca="1" ref="D8370" ca="1">IF(INDIRECT("'"&amp;A8370&amp;"'!"&amp;B8370)="",FALSE,IF(TRUNC(INDIRECT("'"&amp;A8370&amp;"'!"&amp;B8370))=INDIRECT("'"&amp;A8370&amp;"'!"&amp;B8370),FALSE,TRUE))</f>
        <v>0</v>
      </c>
      <c r="E8370" t="s">
        <v>436</v>
      </c>
      <c r="F8370" t="str">
        <f>INDEX(Lists!I:I,MATCH(Validation!E8370,Lists!G:G,0))</f>
        <v>Error</v>
      </c>
      <c r="G8370" t="str">
        <f>INDEX(Lists!H:H,MATCH(Validation!E8370,Lists!G:G,0))</f>
        <v>Amount must be rounded to the nearest dollar.</v>
      </c>
      <c r="H8370" s="16" t="str">
        <f t="shared" ca="1" si="933"/>
        <v/>
      </c>
      <c r="I8370" s="16" t="str">
        <f t="shared" ca="1" si="934"/>
        <v/>
      </c>
      <c r="J8370" s="17" t="str">
        <f t="shared" ca="1" si="935"/>
        <v/>
      </c>
    </row>
    <row r="8371" spans="1:10" x14ac:dyDescent="0.25">
      <c r="A8371" t="s">
        <v>320</v>
      </c>
      <c r="B8371" t="str">
        <f>ADDRESS(ROW(Transfers!E18),COLUMN(Transfers!E18),4)</f>
        <v>E18</v>
      </c>
      <c r="C8371" t="str">
        <f>ADDRESS(ROW(Transfers!H18),COLUMN(Transfers!H18),4)</f>
        <v>H18</v>
      </c>
      <c r="D8371" t="b" cm="1">
        <f t="array" aca="1" ref="D8371" ca="1">IF(INDIRECT("'"&amp;A8371&amp;"'!"&amp;B8371)="",FALSE,IF(TRUNC(INDIRECT("'"&amp;A8371&amp;"'!"&amp;B8371))=INDIRECT("'"&amp;A8371&amp;"'!"&amp;B8371),FALSE,TRUE))</f>
        <v>0</v>
      </c>
      <c r="E8371" t="s">
        <v>436</v>
      </c>
      <c r="F8371" t="str">
        <f>INDEX(Lists!I:I,MATCH(Validation!E8371,Lists!G:G,0))</f>
        <v>Error</v>
      </c>
      <c r="G8371" t="str">
        <f>INDEX(Lists!H:H,MATCH(Validation!E8371,Lists!G:G,0))</f>
        <v>Amount must be rounded to the nearest dollar.</v>
      </c>
      <c r="H8371" s="16" t="str">
        <f t="shared" ca="1" si="933"/>
        <v/>
      </c>
      <c r="I8371" s="16" t="str">
        <f t="shared" ca="1" si="934"/>
        <v/>
      </c>
      <c r="J8371" s="17" t="str">
        <f t="shared" ca="1" si="935"/>
        <v/>
      </c>
    </row>
    <row r="8372" spans="1:10" x14ac:dyDescent="0.25">
      <c r="A8372" t="s">
        <v>320</v>
      </c>
      <c r="B8372" t="str">
        <f>ADDRESS(ROW(Transfers!E19),COLUMN(Transfers!E19),4)</f>
        <v>E19</v>
      </c>
      <c r="C8372" t="str">
        <f>ADDRESS(ROW(Transfers!H19),COLUMN(Transfers!H19),4)</f>
        <v>H19</v>
      </c>
      <c r="D8372" t="b" cm="1">
        <f t="array" aca="1" ref="D8372" ca="1">IF(INDIRECT("'"&amp;A8372&amp;"'!"&amp;B8372)="",FALSE,IF(TRUNC(INDIRECT("'"&amp;A8372&amp;"'!"&amp;B8372))=INDIRECT("'"&amp;A8372&amp;"'!"&amp;B8372),FALSE,TRUE))</f>
        <v>0</v>
      </c>
      <c r="E8372" t="s">
        <v>436</v>
      </c>
      <c r="F8372" t="str">
        <f>INDEX(Lists!I:I,MATCH(Validation!E8372,Lists!G:G,0))</f>
        <v>Error</v>
      </c>
      <c r="G8372" t="str">
        <f>INDEX(Lists!H:H,MATCH(Validation!E8372,Lists!G:G,0))</f>
        <v>Amount must be rounded to the nearest dollar.</v>
      </c>
      <c r="H8372" s="16" t="str">
        <f t="shared" ca="1" si="933"/>
        <v/>
      </c>
      <c r="I8372" s="16" t="str">
        <f t="shared" ca="1" si="934"/>
        <v/>
      </c>
      <c r="J8372" s="17" t="str">
        <f t="shared" ca="1" si="935"/>
        <v/>
      </c>
    </row>
    <row r="8373" spans="1:10" x14ac:dyDescent="0.25">
      <c r="A8373" t="s">
        <v>320</v>
      </c>
      <c r="B8373" t="str">
        <f>ADDRESS(ROW(Transfers!E20),COLUMN(Transfers!E20),4)</f>
        <v>E20</v>
      </c>
      <c r="C8373" t="str">
        <f>ADDRESS(ROW(Transfers!H20),COLUMN(Transfers!H20),4)</f>
        <v>H20</v>
      </c>
      <c r="D8373" t="b" cm="1">
        <f t="array" aca="1" ref="D8373" ca="1">IF(INDIRECT("'"&amp;A8373&amp;"'!"&amp;B8373)="",FALSE,IF(TRUNC(INDIRECT("'"&amp;A8373&amp;"'!"&amp;B8373))=INDIRECT("'"&amp;A8373&amp;"'!"&amp;B8373),FALSE,TRUE))</f>
        <v>0</v>
      </c>
      <c r="E8373" t="s">
        <v>436</v>
      </c>
      <c r="F8373" t="str">
        <f>INDEX(Lists!I:I,MATCH(Validation!E8373,Lists!G:G,0))</f>
        <v>Error</v>
      </c>
      <c r="G8373" t="str">
        <f>INDEX(Lists!H:H,MATCH(Validation!E8373,Lists!G:G,0))</f>
        <v>Amount must be rounded to the nearest dollar.</v>
      </c>
      <c r="H8373" s="16" t="str">
        <f t="shared" ca="1" si="933"/>
        <v/>
      </c>
      <c r="I8373" s="16" t="str">
        <f t="shared" ca="1" si="934"/>
        <v/>
      </c>
      <c r="J8373" s="17" t="str">
        <f t="shared" ca="1" si="935"/>
        <v/>
      </c>
    </row>
    <row r="8374" spans="1:10" x14ac:dyDescent="0.25">
      <c r="A8374" t="s">
        <v>320</v>
      </c>
      <c r="B8374" t="str">
        <f>ADDRESS(ROW(Transfers!E21),COLUMN(Transfers!E21),4)</f>
        <v>E21</v>
      </c>
      <c r="C8374" t="str">
        <f>ADDRESS(ROW(Transfers!H21),COLUMN(Transfers!H21),4)</f>
        <v>H21</v>
      </c>
      <c r="D8374" t="b" cm="1">
        <f t="array" aca="1" ref="D8374" ca="1">IF(INDIRECT("'"&amp;A8374&amp;"'!"&amp;B8374)="",FALSE,IF(TRUNC(INDIRECT("'"&amp;A8374&amp;"'!"&amp;B8374))=INDIRECT("'"&amp;A8374&amp;"'!"&amp;B8374),FALSE,TRUE))</f>
        <v>0</v>
      </c>
      <c r="E8374" t="s">
        <v>436</v>
      </c>
      <c r="F8374" t="str">
        <f>INDEX(Lists!I:I,MATCH(Validation!E8374,Lists!G:G,0))</f>
        <v>Error</v>
      </c>
      <c r="G8374" t="str">
        <f>INDEX(Lists!H:H,MATCH(Validation!E8374,Lists!G:G,0))</f>
        <v>Amount must be rounded to the nearest dollar.</v>
      </c>
      <c r="H8374" s="16" t="str">
        <f t="shared" ca="1" si="933"/>
        <v/>
      </c>
      <c r="I8374" s="16" t="str">
        <f t="shared" ca="1" si="934"/>
        <v/>
      </c>
      <c r="J8374" s="17" t="str">
        <f t="shared" ca="1" si="935"/>
        <v/>
      </c>
    </row>
    <row r="8375" spans="1:10" x14ac:dyDescent="0.25">
      <c r="A8375" t="s">
        <v>320</v>
      </c>
      <c r="B8375" t="str">
        <f>ADDRESS(ROW(Transfers!E22),COLUMN(Transfers!E22),4)</f>
        <v>E22</v>
      </c>
      <c r="C8375" t="str">
        <f>ADDRESS(ROW(Transfers!H22),COLUMN(Transfers!H22),4)</f>
        <v>H22</v>
      </c>
      <c r="D8375" t="b" cm="1">
        <f t="array" aca="1" ref="D8375" ca="1">IF(INDIRECT("'"&amp;A8375&amp;"'!"&amp;B8375)="",FALSE,IF(TRUNC(INDIRECT("'"&amp;A8375&amp;"'!"&amp;B8375))=INDIRECT("'"&amp;A8375&amp;"'!"&amp;B8375),FALSE,TRUE))</f>
        <v>0</v>
      </c>
      <c r="E8375" t="s">
        <v>436</v>
      </c>
      <c r="F8375" t="str">
        <f>INDEX(Lists!I:I,MATCH(Validation!E8375,Lists!G:G,0))</f>
        <v>Error</v>
      </c>
      <c r="G8375" t="str">
        <f>INDEX(Lists!H:H,MATCH(Validation!E8375,Lists!G:G,0))</f>
        <v>Amount must be rounded to the nearest dollar.</v>
      </c>
      <c r="H8375" s="16" t="str">
        <f t="shared" ca="1" si="933"/>
        <v/>
      </c>
      <c r="I8375" s="16" t="str">
        <f t="shared" ca="1" si="934"/>
        <v/>
      </c>
      <c r="J8375" s="17" t="str">
        <f t="shared" ca="1" si="935"/>
        <v/>
      </c>
    </row>
    <row r="8376" spans="1:10" x14ac:dyDescent="0.25">
      <c r="A8376" t="s">
        <v>320</v>
      </c>
      <c r="B8376" t="str">
        <f>ADDRESS(ROW(Transfers!E23),COLUMN(Transfers!E23),4)</f>
        <v>E23</v>
      </c>
      <c r="C8376" t="str">
        <f>ADDRESS(ROW(Transfers!H23),COLUMN(Transfers!H23),4)</f>
        <v>H23</v>
      </c>
      <c r="D8376" t="b" cm="1">
        <f t="array" aca="1" ref="D8376" ca="1">IF(INDIRECT("'"&amp;A8376&amp;"'!"&amp;B8376)="",FALSE,IF(TRUNC(INDIRECT("'"&amp;A8376&amp;"'!"&amp;B8376))=INDIRECT("'"&amp;A8376&amp;"'!"&amp;B8376),FALSE,TRUE))</f>
        <v>0</v>
      </c>
      <c r="E8376" t="s">
        <v>436</v>
      </c>
      <c r="F8376" t="str">
        <f>INDEX(Lists!I:I,MATCH(Validation!E8376,Lists!G:G,0))</f>
        <v>Error</v>
      </c>
      <c r="G8376" t="str">
        <f>INDEX(Lists!H:H,MATCH(Validation!E8376,Lists!G:G,0))</f>
        <v>Amount must be rounded to the nearest dollar.</v>
      </c>
      <c r="H8376" s="16" t="str">
        <f t="shared" ca="1" si="933"/>
        <v/>
      </c>
      <c r="I8376" s="16" t="str">
        <f t="shared" ca="1" si="934"/>
        <v/>
      </c>
      <c r="J8376" s="17" t="str">
        <f t="shared" ca="1" si="935"/>
        <v/>
      </c>
    </row>
    <row r="8377" spans="1:10" x14ac:dyDescent="0.25">
      <c r="A8377" t="s">
        <v>320</v>
      </c>
      <c r="B8377" t="str">
        <f>ADDRESS(ROW(Transfers!E24),COLUMN(Transfers!E24),4)</f>
        <v>E24</v>
      </c>
      <c r="C8377" t="str">
        <f>ADDRESS(ROW(Transfers!H24),COLUMN(Transfers!H24),4)</f>
        <v>H24</v>
      </c>
      <c r="D8377" t="b" cm="1">
        <f t="array" aca="1" ref="D8377" ca="1">IF(INDIRECT("'"&amp;A8377&amp;"'!"&amp;B8377)="",FALSE,IF(TRUNC(INDIRECT("'"&amp;A8377&amp;"'!"&amp;B8377))=INDIRECT("'"&amp;A8377&amp;"'!"&amp;B8377),FALSE,TRUE))</f>
        <v>0</v>
      </c>
      <c r="E8377" t="s">
        <v>436</v>
      </c>
      <c r="F8377" t="str">
        <f>INDEX(Lists!I:I,MATCH(Validation!E8377,Lists!G:G,0))</f>
        <v>Error</v>
      </c>
      <c r="G8377" t="str">
        <f>INDEX(Lists!H:H,MATCH(Validation!E8377,Lists!G:G,0))</f>
        <v>Amount must be rounded to the nearest dollar.</v>
      </c>
      <c r="H8377" s="16" t="str">
        <f t="shared" ca="1" si="933"/>
        <v/>
      </c>
      <c r="I8377" s="16" t="str">
        <f t="shared" ca="1" si="934"/>
        <v/>
      </c>
      <c r="J8377" s="17" t="str">
        <f t="shared" ca="1" si="935"/>
        <v/>
      </c>
    </row>
    <row r="8378" spans="1:10" x14ac:dyDescent="0.25">
      <c r="A8378" t="s">
        <v>320</v>
      </c>
      <c r="B8378" t="str">
        <f>ADDRESS(ROW(Transfers!E25),COLUMN(Transfers!E25),4)</f>
        <v>E25</v>
      </c>
      <c r="C8378" t="str">
        <f>ADDRESS(ROW(Transfers!H25),COLUMN(Transfers!H25),4)</f>
        <v>H25</v>
      </c>
      <c r="D8378" t="b" cm="1">
        <f t="array" aca="1" ref="D8378" ca="1">IF(INDIRECT("'"&amp;A8378&amp;"'!"&amp;B8378)="",FALSE,IF(TRUNC(INDIRECT("'"&amp;A8378&amp;"'!"&amp;B8378))=INDIRECT("'"&amp;A8378&amp;"'!"&amp;B8378),FALSE,TRUE))</f>
        <v>0</v>
      </c>
      <c r="E8378" t="s">
        <v>436</v>
      </c>
      <c r="F8378" t="str">
        <f>INDEX(Lists!I:I,MATCH(Validation!E8378,Lists!G:G,0))</f>
        <v>Error</v>
      </c>
      <c r="G8378" t="str">
        <f>INDEX(Lists!H:H,MATCH(Validation!E8378,Lists!G:G,0))</f>
        <v>Amount must be rounded to the nearest dollar.</v>
      </c>
      <c r="H8378" s="16" t="str">
        <f t="shared" ca="1" si="933"/>
        <v/>
      </c>
      <c r="I8378" s="16" t="str">
        <f t="shared" ca="1" si="934"/>
        <v/>
      </c>
      <c r="J8378" s="17" t="str">
        <f t="shared" ca="1" si="935"/>
        <v/>
      </c>
    </row>
    <row r="8379" spans="1:10" x14ac:dyDescent="0.25">
      <c r="A8379" t="s">
        <v>320</v>
      </c>
      <c r="B8379" t="str">
        <f>ADDRESS(ROW(Transfers!E26),COLUMN(Transfers!E26),4)</f>
        <v>E26</v>
      </c>
      <c r="C8379" t="str">
        <f>ADDRESS(ROW(Transfers!H26),COLUMN(Transfers!H26),4)</f>
        <v>H26</v>
      </c>
      <c r="D8379" t="b" cm="1">
        <f t="array" aca="1" ref="D8379" ca="1">IF(INDIRECT("'"&amp;A8379&amp;"'!"&amp;B8379)="",FALSE,IF(TRUNC(INDIRECT("'"&amp;A8379&amp;"'!"&amp;B8379))=INDIRECT("'"&amp;A8379&amp;"'!"&amp;B8379),FALSE,TRUE))</f>
        <v>0</v>
      </c>
      <c r="E8379" t="s">
        <v>436</v>
      </c>
      <c r="F8379" t="str">
        <f>INDEX(Lists!I:I,MATCH(Validation!E8379,Lists!G:G,0))</f>
        <v>Error</v>
      </c>
      <c r="G8379" t="str">
        <f>INDEX(Lists!H:H,MATCH(Validation!E8379,Lists!G:G,0))</f>
        <v>Amount must be rounded to the nearest dollar.</v>
      </c>
      <c r="H8379" s="16" t="str">
        <f t="shared" ca="1" si="933"/>
        <v/>
      </c>
      <c r="I8379" s="16" t="str">
        <f t="shared" ca="1" si="934"/>
        <v/>
      </c>
      <c r="J8379" s="17" t="str">
        <f t="shared" ca="1" si="935"/>
        <v/>
      </c>
    </row>
    <row r="8380" spans="1:10" x14ac:dyDescent="0.25">
      <c r="A8380" t="s">
        <v>320</v>
      </c>
      <c r="B8380" t="str">
        <f>ADDRESS(ROW(Transfers!E27),COLUMN(Transfers!E27),4)</f>
        <v>E27</v>
      </c>
      <c r="C8380" t="str">
        <f>ADDRESS(ROW(Transfers!H27),COLUMN(Transfers!H27),4)</f>
        <v>H27</v>
      </c>
      <c r="D8380" t="b" cm="1">
        <f t="array" aca="1" ref="D8380" ca="1">IF(INDIRECT("'"&amp;A8380&amp;"'!"&amp;B8380)="",FALSE,IF(TRUNC(INDIRECT("'"&amp;A8380&amp;"'!"&amp;B8380))=INDIRECT("'"&amp;A8380&amp;"'!"&amp;B8380),FALSE,TRUE))</f>
        <v>0</v>
      </c>
      <c r="E8380" t="s">
        <v>436</v>
      </c>
      <c r="F8380" t="str">
        <f>INDEX(Lists!I:I,MATCH(Validation!E8380,Lists!G:G,0))</f>
        <v>Error</v>
      </c>
      <c r="G8380" t="str">
        <f>INDEX(Lists!H:H,MATCH(Validation!E8380,Lists!G:G,0))</f>
        <v>Amount must be rounded to the nearest dollar.</v>
      </c>
      <c r="H8380" s="16" t="str">
        <f t="shared" ca="1" si="933"/>
        <v/>
      </c>
      <c r="I8380" s="16" t="str">
        <f t="shared" ca="1" si="934"/>
        <v/>
      </c>
      <c r="J8380" s="17" t="str">
        <f t="shared" ca="1" si="935"/>
        <v/>
      </c>
    </row>
    <row r="8381" spans="1:10" x14ac:dyDescent="0.25">
      <c r="A8381" t="s">
        <v>320</v>
      </c>
      <c r="B8381" t="str">
        <f>ADDRESS(ROW(Transfers!E28),COLUMN(Transfers!E28),4)</f>
        <v>E28</v>
      </c>
      <c r="C8381" t="str">
        <f>ADDRESS(ROW(Transfers!H28),COLUMN(Transfers!H28),4)</f>
        <v>H28</v>
      </c>
      <c r="D8381" t="b" cm="1">
        <f t="array" aca="1" ref="D8381" ca="1">IF(INDIRECT("'"&amp;A8381&amp;"'!"&amp;B8381)="",FALSE,IF(TRUNC(INDIRECT("'"&amp;A8381&amp;"'!"&amp;B8381))=INDIRECT("'"&amp;A8381&amp;"'!"&amp;B8381),FALSE,TRUE))</f>
        <v>0</v>
      </c>
      <c r="E8381" t="s">
        <v>436</v>
      </c>
      <c r="F8381" t="str">
        <f>INDEX(Lists!I:I,MATCH(Validation!E8381,Lists!G:G,0))</f>
        <v>Error</v>
      </c>
      <c r="G8381" t="str">
        <f>INDEX(Lists!H:H,MATCH(Validation!E8381,Lists!G:G,0))</f>
        <v>Amount must be rounded to the nearest dollar.</v>
      </c>
      <c r="H8381" s="16" t="str">
        <f t="shared" ca="1" si="933"/>
        <v/>
      </c>
      <c r="I8381" s="16" t="str">
        <f t="shared" ca="1" si="934"/>
        <v/>
      </c>
      <c r="J8381" s="17" t="str">
        <f t="shared" ca="1" si="935"/>
        <v/>
      </c>
    </row>
    <row r="8382" spans="1:10" x14ac:dyDescent="0.25">
      <c r="A8382" t="s">
        <v>320</v>
      </c>
      <c r="B8382" t="str">
        <f>ADDRESS(ROW(Transfers!E29),COLUMN(Transfers!E29),4)</f>
        <v>E29</v>
      </c>
      <c r="C8382" t="str">
        <f>ADDRESS(ROW(Transfers!H29),COLUMN(Transfers!H29),4)</f>
        <v>H29</v>
      </c>
      <c r="D8382" t="b" cm="1">
        <f t="array" aca="1" ref="D8382" ca="1">IF(INDIRECT("'"&amp;A8382&amp;"'!"&amp;B8382)="",FALSE,IF(TRUNC(INDIRECT("'"&amp;A8382&amp;"'!"&amp;B8382))=INDIRECT("'"&amp;A8382&amp;"'!"&amp;B8382),FALSE,TRUE))</f>
        <v>0</v>
      </c>
      <c r="E8382" t="s">
        <v>436</v>
      </c>
      <c r="F8382" t="str">
        <f>INDEX(Lists!I:I,MATCH(Validation!E8382,Lists!G:G,0))</f>
        <v>Error</v>
      </c>
      <c r="G8382" t="str">
        <f>INDEX(Lists!H:H,MATCH(Validation!E8382,Lists!G:G,0))</f>
        <v>Amount must be rounded to the nearest dollar.</v>
      </c>
      <c r="H8382" s="16" t="str">
        <f t="shared" ca="1" si="933"/>
        <v/>
      </c>
      <c r="I8382" s="16" t="str">
        <f t="shared" ca="1" si="934"/>
        <v/>
      </c>
      <c r="J8382" s="17" t="str">
        <f t="shared" ca="1" si="935"/>
        <v/>
      </c>
    </row>
    <row r="8383" spans="1:10" x14ac:dyDescent="0.25">
      <c r="A8383" t="s">
        <v>320</v>
      </c>
      <c r="B8383" t="str">
        <f>ADDRESS(ROW(Transfers!E30),COLUMN(Transfers!E30),4)</f>
        <v>E30</v>
      </c>
      <c r="C8383" t="str">
        <f>ADDRESS(ROW(Transfers!H30),COLUMN(Transfers!H30),4)</f>
        <v>H30</v>
      </c>
      <c r="D8383" t="b" cm="1">
        <f t="array" aca="1" ref="D8383" ca="1">IF(INDIRECT("'"&amp;A8383&amp;"'!"&amp;B8383)="",FALSE,IF(TRUNC(INDIRECT("'"&amp;A8383&amp;"'!"&amp;B8383))=INDIRECT("'"&amp;A8383&amp;"'!"&amp;B8383),FALSE,TRUE))</f>
        <v>0</v>
      </c>
      <c r="E8383" t="s">
        <v>436</v>
      </c>
      <c r="F8383" t="str">
        <f>INDEX(Lists!I:I,MATCH(Validation!E8383,Lists!G:G,0))</f>
        <v>Error</v>
      </c>
      <c r="G8383" t="str">
        <f>INDEX(Lists!H:H,MATCH(Validation!E8383,Lists!G:G,0))</f>
        <v>Amount must be rounded to the nearest dollar.</v>
      </c>
      <c r="H8383" s="16" t="str">
        <f t="shared" ca="1" si="933"/>
        <v/>
      </c>
      <c r="I8383" s="16" t="str">
        <f t="shared" ca="1" si="934"/>
        <v/>
      </c>
      <c r="J8383" s="17" t="str">
        <f t="shared" ca="1" si="935"/>
        <v/>
      </c>
    </row>
    <row r="8384" spans="1:10" x14ac:dyDescent="0.25">
      <c r="A8384" t="s">
        <v>320</v>
      </c>
      <c r="B8384" t="str">
        <f>ADDRESS(ROW(Transfers!F9),COLUMN(Transfers!F9),4)</f>
        <v>F9</v>
      </c>
      <c r="C8384" t="str">
        <f>ADDRESS(ROW(Transfers!H9),COLUMN(Transfers!H9),4)</f>
        <v>H9</v>
      </c>
      <c r="D8384" t="b" cm="1">
        <f t="array" aca="1" ref="D8384" ca="1">IF(INDIRECT("'"&amp;A8384&amp;"'!"&amp;B8384)="",FALSE,IF(NOT(ISNUMBER(INDIRECT("'"&amp;A8384&amp;"'!"&amp;B8384))),TRUE,FALSE))</f>
        <v>0</v>
      </c>
      <c r="E8384" t="s">
        <v>435</v>
      </c>
      <c r="F8384" t="str">
        <f>INDEX(Lists!I:I,MATCH(Validation!E8384,Lists!G:G,0))</f>
        <v>Error</v>
      </c>
      <c r="G8384" t="str">
        <f>INDEX(Lists!H:H,MATCH(Validation!E8384,Lists!G:G,0))</f>
        <v>Enter an amount only. Do not enter text or spaces.</v>
      </c>
      <c r="H8384" s="16" t="str">
        <f t="shared" ca="1" si="933"/>
        <v/>
      </c>
      <c r="I8384" s="16" t="str">
        <f t="shared" ca="1" si="934"/>
        <v/>
      </c>
      <c r="J8384" s="17" t="str">
        <f t="shared" ca="1" si="935"/>
        <v/>
      </c>
    </row>
    <row r="8385" spans="1:10" x14ac:dyDescent="0.25">
      <c r="A8385" t="s">
        <v>320</v>
      </c>
      <c r="B8385" t="str">
        <f>ADDRESS(ROW(Transfers!F10),COLUMN(Transfers!F10),4)</f>
        <v>F10</v>
      </c>
      <c r="C8385" t="str">
        <f>ADDRESS(ROW(Transfers!H10),COLUMN(Transfers!H10),4)</f>
        <v>H10</v>
      </c>
      <c r="D8385" t="b" cm="1">
        <f t="array" aca="1" ref="D8385" ca="1">IF(INDIRECT("'"&amp;A8385&amp;"'!"&amp;B8385)="",FALSE,IF(NOT(ISNUMBER(INDIRECT("'"&amp;A8385&amp;"'!"&amp;B8385))),TRUE,FALSE))</f>
        <v>0</v>
      </c>
      <c r="E8385" t="s">
        <v>435</v>
      </c>
      <c r="F8385" t="str">
        <f>INDEX(Lists!I:I,MATCH(Validation!E8385,Lists!G:G,0))</f>
        <v>Error</v>
      </c>
      <c r="G8385" t="str">
        <f>INDEX(Lists!H:H,MATCH(Validation!E8385,Lists!G:G,0))</f>
        <v>Enter an amount only. Do not enter text or spaces.</v>
      </c>
      <c r="H8385" s="16" t="str">
        <f t="shared" ca="1" si="933"/>
        <v/>
      </c>
      <c r="I8385" s="16" t="str">
        <f t="shared" ca="1" si="934"/>
        <v/>
      </c>
      <c r="J8385" s="17" t="str">
        <f t="shared" ca="1" si="935"/>
        <v/>
      </c>
    </row>
    <row r="8386" spans="1:10" x14ac:dyDescent="0.25">
      <c r="A8386" t="s">
        <v>320</v>
      </c>
      <c r="B8386" t="str">
        <f>ADDRESS(ROW(Transfers!F11),COLUMN(Transfers!F11),4)</f>
        <v>F11</v>
      </c>
      <c r="C8386" t="str">
        <f>ADDRESS(ROW(Transfers!H11),COLUMN(Transfers!H11),4)</f>
        <v>H11</v>
      </c>
      <c r="D8386" t="b" cm="1">
        <f t="array" aca="1" ref="D8386" ca="1">IF(INDIRECT("'"&amp;A8386&amp;"'!"&amp;B8386)="",FALSE,IF(NOT(ISNUMBER(INDIRECT("'"&amp;A8386&amp;"'!"&amp;B8386))),TRUE,FALSE))</f>
        <v>0</v>
      </c>
      <c r="E8386" t="s">
        <v>435</v>
      </c>
      <c r="F8386" t="str">
        <f>INDEX(Lists!I:I,MATCH(Validation!E8386,Lists!G:G,0))</f>
        <v>Error</v>
      </c>
      <c r="G8386" t="str">
        <f>INDEX(Lists!H:H,MATCH(Validation!E8386,Lists!G:G,0))</f>
        <v>Enter an amount only. Do not enter text or spaces.</v>
      </c>
      <c r="H8386" s="16" t="str">
        <f t="shared" ca="1" si="933"/>
        <v/>
      </c>
      <c r="I8386" s="16" t="str">
        <f t="shared" ca="1" si="934"/>
        <v/>
      </c>
      <c r="J8386" s="17" t="str">
        <f t="shared" ca="1" si="935"/>
        <v/>
      </c>
    </row>
    <row r="8387" spans="1:10" x14ac:dyDescent="0.25">
      <c r="A8387" t="s">
        <v>320</v>
      </c>
      <c r="B8387" t="str">
        <f>ADDRESS(ROW(Transfers!F12),COLUMN(Transfers!F12),4)</f>
        <v>F12</v>
      </c>
      <c r="C8387" t="str">
        <f>ADDRESS(ROW(Transfers!H12),COLUMN(Transfers!H12),4)</f>
        <v>H12</v>
      </c>
      <c r="D8387" t="b" cm="1">
        <f t="array" aca="1" ref="D8387" ca="1">IF(INDIRECT("'"&amp;A8387&amp;"'!"&amp;B8387)="",FALSE,IF(NOT(ISNUMBER(INDIRECT("'"&amp;A8387&amp;"'!"&amp;B8387))),TRUE,FALSE))</f>
        <v>0</v>
      </c>
      <c r="E8387" t="s">
        <v>435</v>
      </c>
      <c r="F8387" t="str">
        <f>INDEX(Lists!I:I,MATCH(Validation!E8387,Lists!G:G,0))</f>
        <v>Error</v>
      </c>
      <c r="G8387" t="str">
        <f>INDEX(Lists!H:H,MATCH(Validation!E8387,Lists!G:G,0))</f>
        <v>Enter an amount only. Do not enter text or spaces.</v>
      </c>
      <c r="H8387" s="16" t="str">
        <f t="shared" ca="1" si="933"/>
        <v/>
      </c>
      <c r="I8387" s="16" t="str">
        <f t="shared" ca="1" si="934"/>
        <v/>
      </c>
      <c r="J8387" s="17" t="str">
        <f t="shared" ca="1" si="935"/>
        <v/>
      </c>
    </row>
    <row r="8388" spans="1:10" x14ac:dyDescent="0.25">
      <c r="A8388" t="s">
        <v>320</v>
      </c>
      <c r="B8388" t="str">
        <f>ADDRESS(ROW(Transfers!F13),COLUMN(Transfers!F13),4)</f>
        <v>F13</v>
      </c>
      <c r="C8388" t="str">
        <f>ADDRESS(ROW(Transfers!H13),COLUMN(Transfers!H13),4)</f>
        <v>H13</v>
      </c>
      <c r="D8388" t="b" cm="1">
        <f t="array" aca="1" ref="D8388" ca="1">IF(INDIRECT("'"&amp;A8388&amp;"'!"&amp;B8388)="",FALSE,IF(NOT(ISNUMBER(INDIRECT("'"&amp;A8388&amp;"'!"&amp;B8388))),TRUE,FALSE))</f>
        <v>0</v>
      </c>
      <c r="E8388" t="s">
        <v>435</v>
      </c>
      <c r="F8388" t="str">
        <f>INDEX(Lists!I:I,MATCH(Validation!E8388,Lists!G:G,0))</f>
        <v>Error</v>
      </c>
      <c r="G8388" t="str">
        <f>INDEX(Lists!H:H,MATCH(Validation!E8388,Lists!G:G,0))</f>
        <v>Enter an amount only. Do not enter text or spaces.</v>
      </c>
      <c r="H8388" s="16" t="str">
        <f t="shared" ca="1" si="933"/>
        <v/>
      </c>
      <c r="I8388" s="16" t="str">
        <f t="shared" ca="1" si="934"/>
        <v/>
      </c>
      <c r="J8388" s="17" t="str">
        <f t="shared" ca="1" si="935"/>
        <v/>
      </c>
    </row>
    <row r="8389" spans="1:10" x14ac:dyDescent="0.25">
      <c r="A8389" t="s">
        <v>320</v>
      </c>
      <c r="B8389" t="str">
        <f>ADDRESS(ROW(Transfers!F14),COLUMN(Transfers!F14),4)</f>
        <v>F14</v>
      </c>
      <c r="C8389" t="str">
        <f>ADDRESS(ROW(Transfers!H14),COLUMN(Transfers!H14),4)</f>
        <v>H14</v>
      </c>
      <c r="D8389" t="b" cm="1">
        <f t="array" aca="1" ref="D8389" ca="1">IF(INDIRECT("'"&amp;A8389&amp;"'!"&amp;B8389)="",FALSE,IF(NOT(ISNUMBER(INDIRECT("'"&amp;A8389&amp;"'!"&amp;B8389))),TRUE,FALSE))</f>
        <v>0</v>
      </c>
      <c r="E8389" t="s">
        <v>435</v>
      </c>
      <c r="F8389" t="str">
        <f>INDEX(Lists!I:I,MATCH(Validation!E8389,Lists!G:G,0))</f>
        <v>Error</v>
      </c>
      <c r="G8389" t="str">
        <f>INDEX(Lists!H:H,MATCH(Validation!E8389,Lists!G:G,0))</f>
        <v>Enter an amount only. Do not enter text or spaces.</v>
      </c>
      <c r="H8389" s="16" t="str">
        <f t="shared" ca="1" si="933"/>
        <v/>
      </c>
      <c r="I8389" s="16" t="str">
        <f t="shared" ca="1" si="934"/>
        <v/>
      </c>
      <c r="J8389" s="17" t="str">
        <f t="shared" ca="1" si="935"/>
        <v/>
      </c>
    </row>
    <row r="8390" spans="1:10" x14ac:dyDescent="0.25">
      <c r="A8390" t="s">
        <v>320</v>
      </c>
      <c r="B8390" t="str">
        <f>ADDRESS(ROW(Transfers!F15),COLUMN(Transfers!F15),4)</f>
        <v>F15</v>
      </c>
      <c r="C8390" t="str">
        <f>ADDRESS(ROW(Transfers!H15),COLUMN(Transfers!H15),4)</f>
        <v>H15</v>
      </c>
      <c r="D8390" t="b" cm="1">
        <f t="array" aca="1" ref="D8390" ca="1">IF(INDIRECT("'"&amp;A8390&amp;"'!"&amp;B8390)="",FALSE,IF(NOT(ISNUMBER(INDIRECT("'"&amp;A8390&amp;"'!"&amp;B8390))),TRUE,FALSE))</f>
        <v>0</v>
      </c>
      <c r="E8390" t="s">
        <v>435</v>
      </c>
      <c r="F8390" t="str">
        <f>INDEX(Lists!I:I,MATCH(Validation!E8390,Lists!G:G,0))</f>
        <v>Error</v>
      </c>
      <c r="G8390" t="str">
        <f>INDEX(Lists!H:H,MATCH(Validation!E8390,Lists!G:G,0))</f>
        <v>Enter an amount only. Do not enter text or spaces.</v>
      </c>
      <c r="H8390" s="16" t="str">
        <f t="shared" ca="1" si="933"/>
        <v/>
      </c>
      <c r="I8390" s="16" t="str">
        <f t="shared" ca="1" si="934"/>
        <v/>
      </c>
      <c r="J8390" s="17" t="str">
        <f t="shared" ca="1" si="935"/>
        <v/>
      </c>
    </row>
    <row r="8391" spans="1:10" x14ac:dyDescent="0.25">
      <c r="A8391" t="s">
        <v>320</v>
      </c>
      <c r="B8391" t="str">
        <f>ADDRESS(ROW(Transfers!F16),COLUMN(Transfers!F16),4)</f>
        <v>F16</v>
      </c>
      <c r="C8391" t="str">
        <f>ADDRESS(ROW(Transfers!H16),COLUMN(Transfers!H16),4)</f>
        <v>H16</v>
      </c>
      <c r="D8391" t="b" cm="1">
        <f t="array" aca="1" ref="D8391" ca="1">IF(INDIRECT("'"&amp;A8391&amp;"'!"&amp;B8391)="",FALSE,IF(NOT(ISNUMBER(INDIRECT("'"&amp;A8391&amp;"'!"&amp;B8391))),TRUE,FALSE))</f>
        <v>0</v>
      </c>
      <c r="E8391" t="s">
        <v>435</v>
      </c>
      <c r="F8391" t="str">
        <f>INDEX(Lists!I:I,MATCH(Validation!E8391,Lists!G:G,0))</f>
        <v>Error</v>
      </c>
      <c r="G8391" t="str">
        <f>INDEX(Lists!H:H,MATCH(Validation!E8391,Lists!G:G,0))</f>
        <v>Enter an amount only. Do not enter text or spaces.</v>
      </c>
      <c r="H8391" s="16" t="str">
        <f t="shared" ca="1" si="933"/>
        <v/>
      </c>
      <c r="I8391" s="16" t="str">
        <f t="shared" ca="1" si="934"/>
        <v/>
      </c>
      <c r="J8391" s="17" t="str">
        <f t="shared" ca="1" si="935"/>
        <v/>
      </c>
    </row>
    <row r="8392" spans="1:10" x14ac:dyDescent="0.25">
      <c r="A8392" t="s">
        <v>320</v>
      </c>
      <c r="B8392" t="str">
        <f>ADDRESS(ROW(Transfers!F17),COLUMN(Transfers!F17),4)</f>
        <v>F17</v>
      </c>
      <c r="C8392" t="str">
        <f>ADDRESS(ROW(Transfers!H17),COLUMN(Transfers!H17),4)</f>
        <v>H17</v>
      </c>
      <c r="D8392" t="b" cm="1">
        <f t="array" aca="1" ref="D8392" ca="1">IF(INDIRECT("'"&amp;A8392&amp;"'!"&amp;B8392)="",FALSE,IF(NOT(ISNUMBER(INDIRECT("'"&amp;A8392&amp;"'!"&amp;B8392))),TRUE,FALSE))</f>
        <v>0</v>
      </c>
      <c r="E8392" t="s">
        <v>435</v>
      </c>
      <c r="F8392" t="str">
        <f>INDEX(Lists!I:I,MATCH(Validation!E8392,Lists!G:G,0))</f>
        <v>Error</v>
      </c>
      <c r="G8392" t="str">
        <f>INDEX(Lists!H:H,MATCH(Validation!E8392,Lists!G:G,0))</f>
        <v>Enter an amount only. Do not enter text or spaces.</v>
      </c>
      <c r="H8392" s="16" t="str">
        <f t="shared" ca="1" si="933"/>
        <v/>
      </c>
      <c r="I8392" s="16" t="str">
        <f t="shared" ca="1" si="934"/>
        <v/>
      </c>
      <c r="J8392" s="17" t="str">
        <f t="shared" ca="1" si="935"/>
        <v/>
      </c>
    </row>
    <row r="8393" spans="1:10" x14ac:dyDescent="0.25">
      <c r="A8393" t="s">
        <v>320</v>
      </c>
      <c r="B8393" t="str">
        <f>ADDRESS(ROW(Transfers!F18),COLUMN(Transfers!F18),4)</f>
        <v>F18</v>
      </c>
      <c r="C8393" t="str">
        <f>ADDRESS(ROW(Transfers!H18),COLUMN(Transfers!H18),4)</f>
        <v>H18</v>
      </c>
      <c r="D8393" t="b" cm="1">
        <f t="array" aca="1" ref="D8393" ca="1">IF(INDIRECT("'"&amp;A8393&amp;"'!"&amp;B8393)="",FALSE,IF(NOT(ISNUMBER(INDIRECT("'"&amp;A8393&amp;"'!"&amp;B8393))),TRUE,FALSE))</f>
        <v>0</v>
      </c>
      <c r="E8393" t="s">
        <v>435</v>
      </c>
      <c r="F8393" t="str">
        <f>INDEX(Lists!I:I,MATCH(Validation!E8393,Lists!G:G,0))</f>
        <v>Error</v>
      </c>
      <c r="G8393" t="str">
        <f>INDEX(Lists!H:H,MATCH(Validation!E8393,Lists!G:G,0))</f>
        <v>Enter an amount only. Do not enter text or spaces.</v>
      </c>
      <c r="H8393" s="16" t="str">
        <f t="shared" ca="1" si="933"/>
        <v/>
      </c>
      <c r="I8393" s="16" t="str">
        <f t="shared" ca="1" si="934"/>
        <v/>
      </c>
      <c r="J8393" s="17" t="str">
        <f t="shared" ca="1" si="935"/>
        <v/>
      </c>
    </row>
    <row r="8394" spans="1:10" x14ac:dyDescent="0.25">
      <c r="A8394" t="s">
        <v>320</v>
      </c>
      <c r="B8394" t="str">
        <f>ADDRESS(ROW(Transfers!F19),COLUMN(Transfers!F19),4)</f>
        <v>F19</v>
      </c>
      <c r="C8394" t="str">
        <f>ADDRESS(ROW(Transfers!H19),COLUMN(Transfers!H19),4)</f>
        <v>H19</v>
      </c>
      <c r="D8394" t="b" cm="1">
        <f t="array" aca="1" ref="D8394" ca="1">IF(INDIRECT("'"&amp;A8394&amp;"'!"&amp;B8394)="",FALSE,IF(NOT(ISNUMBER(INDIRECT("'"&amp;A8394&amp;"'!"&amp;B8394))),TRUE,FALSE))</f>
        <v>0</v>
      </c>
      <c r="E8394" t="s">
        <v>435</v>
      </c>
      <c r="F8394" t="str">
        <f>INDEX(Lists!I:I,MATCH(Validation!E8394,Lists!G:G,0))</f>
        <v>Error</v>
      </c>
      <c r="G8394" t="str">
        <f>INDEX(Lists!H:H,MATCH(Validation!E8394,Lists!G:G,0))</f>
        <v>Enter an amount only. Do not enter text or spaces.</v>
      </c>
      <c r="H8394" s="16" t="str">
        <f t="shared" ca="1" si="933"/>
        <v/>
      </c>
      <c r="I8394" s="16" t="str">
        <f t="shared" ca="1" si="934"/>
        <v/>
      </c>
      <c r="J8394" s="17" t="str">
        <f t="shared" ca="1" si="935"/>
        <v/>
      </c>
    </row>
    <row r="8395" spans="1:10" x14ac:dyDescent="0.25">
      <c r="A8395" t="s">
        <v>320</v>
      </c>
      <c r="B8395" t="str">
        <f>ADDRESS(ROW(Transfers!F20),COLUMN(Transfers!F20),4)</f>
        <v>F20</v>
      </c>
      <c r="C8395" t="str">
        <f>ADDRESS(ROW(Transfers!H20),COLUMN(Transfers!H20),4)</f>
        <v>H20</v>
      </c>
      <c r="D8395" t="b" cm="1">
        <f t="array" aca="1" ref="D8395" ca="1">IF(INDIRECT("'"&amp;A8395&amp;"'!"&amp;B8395)="",FALSE,IF(NOT(ISNUMBER(INDIRECT("'"&amp;A8395&amp;"'!"&amp;B8395))),TRUE,FALSE))</f>
        <v>0</v>
      </c>
      <c r="E8395" t="s">
        <v>435</v>
      </c>
      <c r="F8395" t="str">
        <f>INDEX(Lists!I:I,MATCH(Validation!E8395,Lists!G:G,0))</f>
        <v>Error</v>
      </c>
      <c r="G8395" t="str">
        <f>INDEX(Lists!H:H,MATCH(Validation!E8395,Lists!G:G,0))</f>
        <v>Enter an amount only. Do not enter text or spaces.</v>
      </c>
      <c r="H8395" s="16" t="str">
        <f t="shared" ca="1" si="933"/>
        <v/>
      </c>
      <c r="I8395" s="16" t="str">
        <f t="shared" ca="1" si="934"/>
        <v/>
      </c>
      <c r="J8395" s="17" t="str">
        <f t="shared" ca="1" si="935"/>
        <v/>
      </c>
    </row>
    <row r="8396" spans="1:10" x14ac:dyDescent="0.25">
      <c r="A8396" t="s">
        <v>320</v>
      </c>
      <c r="B8396" t="str">
        <f>ADDRESS(ROW(Transfers!F21),COLUMN(Transfers!F21),4)</f>
        <v>F21</v>
      </c>
      <c r="C8396" t="str">
        <f>ADDRESS(ROW(Transfers!H21),COLUMN(Transfers!H21),4)</f>
        <v>H21</v>
      </c>
      <c r="D8396" t="b" cm="1">
        <f t="array" aca="1" ref="D8396" ca="1">IF(INDIRECT("'"&amp;A8396&amp;"'!"&amp;B8396)="",FALSE,IF(NOT(ISNUMBER(INDIRECT("'"&amp;A8396&amp;"'!"&amp;B8396))),TRUE,FALSE))</f>
        <v>0</v>
      </c>
      <c r="E8396" t="s">
        <v>435</v>
      </c>
      <c r="F8396" t="str">
        <f>INDEX(Lists!I:I,MATCH(Validation!E8396,Lists!G:G,0))</f>
        <v>Error</v>
      </c>
      <c r="G8396" t="str">
        <f>INDEX(Lists!H:H,MATCH(Validation!E8396,Lists!G:G,0))</f>
        <v>Enter an amount only. Do not enter text or spaces.</v>
      </c>
      <c r="H8396" s="16" t="str">
        <f t="shared" ca="1" si="933"/>
        <v/>
      </c>
      <c r="I8396" s="16" t="str">
        <f t="shared" ca="1" si="934"/>
        <v/>
      </c>
      <c r="J8396" s="17" t="str">
        <f t="shared" ca="1" si="935"/>
        <v/>
      </c>
    </row>
    <row r="8397" spans="1:10" x14ac:dyDescent="0.25">
      <c r="A8397" t="s">
        <v>320</v>
      </c>
      <c r="B8397" t="str">
        <f>ADDRESS(ROW(Transfers!F22),COLUMN(Transfers!F22),4)</f>
        <v>F22</v>
      </c>
      <c r="C8397" t="str">
        <f>ADDRESS(ROW(Transfers!H22),COLUMN(Transfers!H22),4)</f>
        <v>H22</v>
      </c>
      <c r="D8397" t="b" cm="1">
        <f t="array" aca="1" ref="D8397" ca="1">IF(INDIRECT("'"&amp;A8397&amp;"'!"&amp;B8397)="",FALSE,IF(NOT(ISNUMBER(INDIRECT("'"&amp;A8397&amp;"'!"&amp;B8397))),TRUE,FALSE))</f>
        <v>0</v>
      </c>
      <c r="E8397" t="s">
        <v>435</v>
      </c>
      <c r="F8397" t="str">
        <f>INDEX(Lists!I:I,MATCH(Validation!E8397,Lists!G:G,0))</f>
        <v>Error</v>
      </c>
      <c r="G8397" t="str">
        <f>INDEX(Lists!H:H,MATCH(Validation!E8397,Lists!G:G,0))</f>
        <v>Enter an amount only. Do not enter text or spaces.</v>
      </c>
      <c r="H8397" s="16" t="str">
        <f t="shared" ca="1" si="933"/>
        <v/>
      </c>
      <c r="I8397" s="16" t="str">
        <f t="shared" ca="1" si="934"/>
        <v/>
      </c>
      <c r="J8397" s="17" t="str">
        <f t="shared" ca="1" si="935"/>
        <v/>
      </c>
    </row>
    <row r="8398" spans="1:10" x14ac:dyDescent="0.25">
      <c r="A8398" t="s">
        <v>320</v>
      </c>
      <c r="B8398" t="str">
        <f>ADDRESS(ROW(Transfers!F23),COLUMN(Transfers!F23),4)</f>
        <v>F23</v>
      </c>
      <c r="C8398" t="str">
        <f>ADDRESS(ROW(Transfers!H23),COLUMN(Transfers!H23),4)</f>
        <v>H23</v>
      </c>
      <c r="D8398" t="b" cm="1">
        <f t="array" aca="1" ref="D8398" ca="1">IF(INDIRECT("'"&amp;A8398&amp;"'!"&amp;B8398)="",FALSE,IF(NOT(ISNUMBER(INDIRECT("'"&amp;A8398&amp;"'!"&amp;B8398))),TRUE,FALSE))</f>
        <v>0</v>
      </c>
      <c r="E8398" t="s">
        <v>435</v>
      </c>
      <c r="F8398" t="str">
        <f>INDEX(Lists!I:I,MATCH(Validation!E8398,Lists!G:G,0))</f>
        <v>Error</v>
      </c>
      <c r="G8398" t="str">
        <f>INDEX(Lists!H:H,MATCH(Validation!E8398,Lists!G:G,0))</f>
        <v>Enter an amount only. Do not enter text or spaces.</v>
      </c>
      <c r="H8398" s="16" t="str">
        <f t="shared" ca="1" si="933"/>
        <v/>
      </c>
      <c r="I8398" s="16" t="str">
        <f t="shared" ca="1" si="934"/>
        <v/>
      </c>
      <c r="J8398" s="17" t="str">
        <f t="shared" ca="1" si="935"/>
        <v/>
      </c>
    </row>
    <row r="8399" spans="1:10" x14ac:dyDescent="0.25">
      <c r="A8399" t="s">
        <v>320</v>
      </c>
      <c r="B8399" t="str">
        <f>ADDRESS(ROW(Transfers!F24),COLUMN(Transfers!F24),4)</f>
        <v>F24</v>
      </c>
      <c r="C8399" t="str">
        <f>ADDRESS(ROW(Transfers!H24),COLUMN(Transfers!H24),4)</f>
        <v>H24</v>
      </c>
      <c r="D8399" t="b" cm="1">
        <f t="array" aca="1" ref="D8399" ca="1">IF(INDIRECT("'"&amp;A8399&amp;"'!"&amp;B8399)="",FALSE,IF(NOT(ISNUMBER(INDIRECT("'"&amp;A8399&amp;"'!"&amp;B8399))),TRUE,FALSE))</f>
        <v>0</v>
      </c>
      <c r="E8399" t="s">
        <v>435</v>
      </c>
      <c r="F8399" t="str">
        <f>INDEX(Lists!I:I,MATCH(Validation!E8399,Lists!G:G,0))</f>
        <v>Error</v>
      </c>
      <c r="G8399" t="str">
        <f>INDEX(Lists!H:H,MATCH(Validation!E8399,Lists!G:G,0))</f>
        <v>Enter an amount only. Do not enter text or spaces.</v>
      </c>
      <c r="H8399" s="16" t="str">
        <f t="shared" ca="1" si="933"/>
        <v/>
      </c>
      <c r="I8399" s="16" t="str">
        <f t="shared" ca="1" si="934"/>
        <v/>
      </c>
      <c r="J8399" s="17" t="str">
        <f t="shared" ca="1" si="935"/>
        <v/>
      </c>
    </row>
    <row r="8400" spans="1:10" x14ac:dyDescent="0.25">
      <c r="A8400" t="s">
        <v>320</v>
      </c>
      <c r="B8400" t="str">
        <f>ADDRESS(ROW(Transfers!F25),COLUMN(Transfers!F25),4)</f>
        <v>F25</v>
      </c>
      <c r="C8400" t="str">
        <f>ADDRESS(ROW(Transfers!H25),COLUMN(Transfers!H25),4)</f>
        <v>H25</v>
      </c>
      <c r="D8400" t="b" cm="1">
        <f t="array" aca="1" ref="D8400" ca="1">IF(INDIRECT("'"&amp;A8400&amp;"'!"&amp;B8400)="",FALSE,IF(NOT(ISNUMBER(INDIRECT("'"&amp;A8400&amp;"'!"&amp;B8400))),TRUE,FALSE))</f>
        <v>0</v>
      </c>
      <c r="E8400" t="s">
        <v>435</v>
      </c>
      <c r="F8400" t="str">
        <f>INDEX(Lists!I:I,MATCH(Validation!E8400,Lists!G:G,0))</f>
        <v>Error</v>
      </c>
      <c r="G8400" t="str">
        <f>INDEX(Lists!H:H,MATCH(Validation!E8400,Lists!G:G,0))</f>
        <v>Enter an amount only. Do not enter text or spaces.</v>
      </c>
      <c r="H8400" s="16" t="str">
        <f t="shared" ca="1" si="933"/>
        <v/>
      </c>
      <c r="I8400" s="16" t="str">
        <f t="shared" ca="1" si="934"/>
        <v/>
      </c>
      <c r="J8400" s="17" t="str">
        <f t="shared" ca="1" si="935"/>
        <v/>
      </c>
    </row>
    <row r="8401" spans="1:10" x14ac:dyDescent="0.25">
      <c r="A8401" t="s">
        <v>320</v>
      </c>
      <c r="B8401" t="str">
        <f>ADDRESS(ROW(Transfers!F26),COLUMN(Transfers!F26),4)</f>
        <v>F26</v>
      </c>
      <c r="C8401" t="str">
        <f>ADDRESS(ROW(Transfers!H26),COLUMN(Transfers!H26),4)</f>
        <v>H26</v>
      </c>
      <c r="D8401" t="b" cm="1">
        <f t="array" aca="1" ref="D8401" ca="1">IF(INDIRECT("'"&amp;A8401&amp;"'!"&amp;B8401)="",FALSE,IF(NOT(ISNUMBER(INDIRECT("'"&amp;A8401&amp;"'!"&amp;B8401))),TRUE,FALSE))</f>
        <v>0</v>
      </c>
      <c r="E8401" t="s">
        <v>435</v>
      </c>
      <c r="F8401" t="str">
        <f>INDEX(Lists!I:I,MATCH(Validation!E8401,Lists!G:G,0))</f>
        <v>Error</v>
      </c>
      <c r="G8401" t="str">
        <f>INDEX(Lists!H:H,MATCH(Validation!E8401,Lists!G:G,0))</f>
        <v>Enter an amount only. Do not enter text or spaces.</v>
      </c>
      <c r="H8401" s="16" t="str">
        <f t="shared" ca="1" si="933"/>
        <v/>
      </c>
      <c r="I8401" s="16" t="str">
        <f t="shared" ca="1" si="934"/>
        <v/>
      </c>
      <c r="J8401" s="17" t="str">
        <f t="shared" ca="1" si="935"/>
        <v/>
      </c>
    </row>
    <row r="8402" spans="1:10" x14ac:dyDescent="0.25">
      <c r="A8402" t="s">
        <v>320</v>
      </c>
      <c r="B8402" t="str">
        <f>ADDRESS(ROW(Transfers!F27),COLUMN(Transfers!F27),4)</f>
        <v>F27</v>
      </c>
      <c r="C8402" t="str">
        <f>ADDRESS(ROW(Transfers!H27),COLUMN(Transfers!H27),4)</f>
        <v>H27</v>
      </c>
      <c r="D8402" t="b" cm="1">
        <f t="array" aca="1" ref="D8402" ca="1">IF(INDIRECT("'"&amp;A8402&amp;"'!"&amp;B8402)="",FALSE,IF(NOT(ISNUMBER(INDIRECT("'"&amp;A8402&amp;"'!"&amp;B8402))),TRUE,FALSE))</f>
        <v>0</v>
      </c>
      <c r="E8402" t="s">
        <v>435</v>
      </c>
      <c r="F8402" t="str">
        <f>INDEX(Lists!I:I,MATCH(Validation!E8402,Lists!G:G,0))</f>
        <v>Error</v>
      </c>
      <c r="G8402" t="str">
        <f>INDEX(Lists!H:H,MATCH(Validation!E8402,Lists!G:G,0))</f>
        <v>Enter an amount only. Do not enter text or spaces.</v>
      </c>
      <c r="H8402" s="16" t="str">
        <f t="shared" ca="1" si="933"/>
        <v/>
      </c>
      <c r="I8402" s="16" t="str">
        <f t="shared" ca="1" si="934"/>
        <v/>
      </c>
      <c r="J8402" s="17" t="str">
        <f t="shared" ca="1" si="935"/>
        <v/>
      </c>
    </row>
    <row r="8403" spans="1:10" x14ac:dyDescent="0.25">
      <c r="A8403" t="s">
        <v>320</v>
      </c>
      <c r="B8403" t="str">
        <f>ADDRESS(ROW(Transfers!F28),COLUMN(Transfers!F28),4)</f>
        <v>F28</v>
      </c>
      <c r="C8403" t="str">
        <f>ADDRESS(ROW(Transfers!H28),COLUMN(Transfers!H28),4)</f>
        <v>H28</v>
      </c>
      <c r="D8403" t="b" cm="1">
        <f t="array" aca="1" ref="D8403" ca="1">IF(INDIRECT("'"&amp;A8403&amp;"'!"&amp;B8403)="",FALSE,IF(NOT(ISNUMBER(INDIRECT("'"&amp;A8403&amp;"'!"&amp;B8403))),TRUE,FALSE))</f>
        <v>0</v>
      </c>
      <c r="E8403" t="s">
        <v>435</v>
      </c>
      <c r="F8403" t="str">
        <f>INDEX(Lists!I:I,MATCH(Validation!E8403,Lists!G:G,0))</f>
        <v>Error</v>
      </c>
      <c r="G8403" t="str">
        <f>INDEX(Lists!H:H,MATCH(Validation!E8403,Lists!G:G,0))</f>
        <v>Enter an amount only. Do not enter text or spaces.</v>
      </c>
      <c r="H8403" s="16" t="str">
        <f t="shared" ca="1" si="933"/>
        <v/>
      </c>
      <c r="I8403" s="16" t="str">
        <f t="shared" ca="1" si="934"/>
        <v/>
      </c>
      <c r="J8403" s="17" t="str">
        <f t="shared" ca="1" si="935"/>
        <v/>
      </c>
    </row>
    <row r="8404" spans="1:10" x14ac:dyDescent="0.25">
      <c r="A8404" t="s">
        <v>320</v>
      </c>
      <c r="B8404" t="str">
        <f>ADDRESS(ROW(Transfers!F29),COLUMN(Transfers!F29),4)</f>
        <v>F29</v>
      </c>
      <c r="C8404" t="str">
        <f>ADDRESS(ROW(Transfers!H29),COLUMN(Transfers!H29),4)</f>
        <v>H29</v>
      </c>
      <c r="D8404" t="b" cm="1">
        <f t="array" aca="1" ref="D8404" ca="1">IF(INDIRECT("'"&amp;A8404&amp;"'!"&amp;B8404)="",FALSE,IF(NOT(ISNUMBER(INDIRECT("'"&amp;A8404&amp;"'!"&amp;B8404))),TRUE,FALSE))</f>
        <v>0</v>
      </c>
      <c r="E8404" t="s">
        <v>435</v>
      </c>
      <c r="F8404" t="str">
        <f>INDEX(Lists!I:I,MATCH(Validation!E8404,Lists!G:G,0))</f>
        <v>Error</v>
      </c>
      <c r="G8404" t="str">
        <f>INDEX(Lists!H:H,MATCH(Validation!E8404,Lists!G:G,0))</f>
        <v>Enter an amount only. Do not enter text or spaces.</v>
      </c>
      <c r="H8404" s="16" t="str">
        <f t="shared" ca="1" si="933"/>
        <v/>
      </c>
      <c r="I8404" s="16" t="str">
        <f t="shared" ca="1" si="934"/>
        <v/>
      </c>
      <c r="J8404" s="17" t="str">
        <f t="shared" ca="1" si="935"/>
        <v/>
      </c>
    </row>
    <row r="8405" spans="1:10" x14ac:dyDescent="0.25">
      <c r="A8405" t="s">
        <v>320</v>
      </c>
      <c r="B8405" t="str">
        <f>ADDRESS(ROW(Transfers!F30),COLUMN(Transfers!F30),4)</f>
        <v>F30</v>
      </c>
      <c r="C8405" t="str">
        <f>ADDRESS(ROW(Transfers!H30),COLUMN(Transfers!H30),4)</f>
        <v>H30</v>
      </c>
      <c r="D8405" t="b" cm="1">
        <f t="array" aca="1" ref="D8405" ca="1">IF(INDIRECT("'"&amp;A8405&amp;"'!"&amp;B8405)="",FALSE,IF(NOT(ISNUMBER(INDIRECT("'"&amp;A8405&amp;"'!"&amp;B8405))),TRUE,FALSE))</f>
        <v>0</v>
      </c>
      <c r="E8405" t="s">
        <v>435</v>
      </c>
      <c r="F8405" t="str">
        <f>INDEX(Lists!I:I,MATCH(Validation!E8405,Lists!G:G,0))</f>
        <v>Error</v>
      </c>
      <c r="G8405" t="str">
        <f>INDEX(Lists!H:H,MATCH(Validation!E8405,Lists!G:G,0))</f>
        <v>Enter an amount only. Do not enter text or spaces.</v>
      </c>
      <c r="H8405" s="16" t="str">
        <f t="shared" ca="1" si="933"/>
        <v/>
      </c>
      <c r="I8405" s="16" t="str">
        <f t="shared" ca="1" si="934"/>
        <v/>
      </c>
      <c r="J8405" s="17" t="str">
        <f t="shared" ca="1" si="935"/>
        <v/>
      </c>
    </row>
    <row r="8406" spans="1:10" x14ac:dyDescent="0.25">
      <c r="A8406" t="s">
        <v>320</v>
      </c>
      <c r="B8406" t="str">
        <f>ADDRESS(ROW(Transfers!F9),COLUMN(Transfers!F9),4)</f>
        <v>F9</v>
      </c>
      <c r="C8406" t="str">
        <f>ADDRESS(ROW(Transfers!H9),COLUMN(Transfers!H9),4)</f>
        <v>H9</v>
      </c>
      <c r="D8406" t="b" cm="1">
        <f t="array" aca="1" ref="D8406" ca="1">IF(INDIRECT("'"&amp;A8406&amp;"'!"&amp;B8406)="",FALSE,IF(INDIRECT("'"&amp;A8406&amp;"'!"&amp;B8406)&lt;0,TRUE,FALSE))</f>
        <v>0</v>
      </c>
      <c r="E8406" t="s">
        <v>434</v>
      </c>
      <c r="F8406" t="str">
        <f>INDEX(Lists!I:I,MATCH(Validation!E8406,Lists!G:G,0))</f>
        <v>Error</v>
      </c>
      <c r="G8406" t="str">
        <f>INDEX(Lists!H:H,MATCH(Validation!E8406,Lists!G:G,0))</f>
        <v>Amount may not be negative. Enter an amount greater than or equal to zero.</v>
      </c>
      <c r="H8406" s="16" t="str">
        <f t="shared" ca="1" si="933"/>
        <v/>
      </c>
      <c r="I8406" s="16" t="str">
        <f t="shared" ca="1" si="934"/>
        <v/>
      </c>
      <c r="J8406" s="17" t="str">
        <f t="shared" ca="1" si="935"/>
        <v/>
      </c>
    </row>
    <row r="8407" spans="1:10" x14ac:dyDescent="0.25">
      <c r="A8407" t="s">
        <v>320</v>
      </c>
      <c r="B8407" t="str">
        <f>ADDRESS(ROW(Transfers!F10),COLUMN(Transfers!F10),4)</f>
        <v>F10</v>
      </c>
      <c r="C8407" t="str">
        <f>ADDRESS(ROW(Transfers!H10),COLUMN(Transfers!H10),4)</f>
        <v>H10</v>
      </c>
      <c r="D8407" t="b" cm="1">
        <f t="array" aca="1" ref="D8407" ca="1">IF(INDIRECT("'"&amp;A8407&amp;"'!"&amp;B8407)="",FALSE,IF(INDIRECT("'"&amp;A8407&amp;"'!"&amp;B8407)&lt;0,TRUE,FALSE))</f>
        <v>0</v>
      </c>
      <c r="E8407" t="s">
        <v>434</v>
      </c>
      <c r="F8407" t="str">
        <f>INDEX(Lists!I:I,MATCH(Validation!E8407,Lists!G:G,0))</f>
        <v>Error</v>
      </c>
      <c r="G8407" t="str">
        <f>INDEX(Lists!H:H,MATCH(Validation!E8407,Lists!G:G,0))</f>
        <v>Amount may not be negative. Enter an amount greater than or equal to zero.</v>
      </c>
      <c r="H8407" s="16" t="str">
        <f t="shared" ca="1" si="933"/>
        <v/>
      </c>
      <c r="I8407" s="16" t="str">
        <f t="shared" ca="1" si="934"/>
        <v/>
      </c>
      <c r="J8407" s="17" t="str">
        <f t="shared" ca="1" si="935"/>
        <v/>
      </c>
    </row>
    <row r="8408" spans="1:10" x14ac:dyDescent="0.25">
      <c r="A8408" t="s">
        <v>320</v>
      </c>
      <c r="B8408" t="str">
        <f>ADDRESS(ROW(Transfers!F11),COLUMN(Transfers!F11),4)</f>
        <v>F11</v>
      </c>
      <c r="C8408" t="str">
        <f>ADDRESS(ROW(Transfers!H11),COLUMN(Transfers!H11),4)</f>
        <v>H11</v>
      </c>
      <c r="D8408" t="b" cm="1">
        <f t="array" aca="1" ref="D8408" ca="1">IF(INDIRECT("'"&amp;A8408&amp;"'!"&amp;B8408)="",FALSE,IF(INDIRECT("'"&amp;A8408&amp;"'!"&amp;B8408)&lt;0,TRUE,FALSE))</f>
        <v>0</v>
      </c>
      <c r="E8408" t="s">
        <v>434</v>
      </c>
      <c r="F8408" t="str">
        <f>INDEX(Lists!I:I,MATCH(Validation!E8408,Lists!G:G,0))</f>
        <v>Error</v>
      </c>
      <c r="G8408" t="str">
        <f>INDEX(Lists!H:H,MATCH(Validation!E8408,Lists!G:G,0))</f>
        <v>Amount may not be negative. Enter an amount greater than or equal to zero.</v>
      </c>
      <c r="H8408" s="16" t="str">
        <f t="shared" ca="1" si="933"/>
        <v/>
      </c>
      <c r="I8408" s="16" t="str">
        <f t="shared" ca="1" si="934"/>
        <v/>
      </c>
      <c r="J8408" s="17" t="str">
        <f t="shared" ca="1" si="935"/>
        <v/>
      </c>
    </row>
    <row r="8409" spans="1:10" x14ac:dyDescent="0.25">
      <c r="A8409" t="s">
        <v>320</v>
      </c>
      <c r="B8409" t="str">
        <f>ADDRESS(ROW(Transfers!F12),COLUMN(Transfers!F12),4)</f>
        <v>F12</v>
      </c>
      <c r="C8409" t="str">
        <f>ADDRESS(ROW(Transfers!H12),COLUMN(Transfers!H12),4)</f>
        <v>H12</v>
      </c>
      <c r="D8409" t="b" cm="1">
        <f t="array" aca="1" ref="D8409" ca="1">IF(INDIRECT("'"&amp;A8409&amp;"'!"&amp;B8409)="",FALSE,IF(INDIRECT("'"&amp;A8409&amp;"'!"&amp;B8409)&lt;0,TRUE,FALSE))</f>
        <v>0</v>
      </c>
      <c r="E8409" t="s">
        <v>434</v>
      </c>
      <c r="F8409" t="str">
        <f>INDEX(Lists!I:I,MATCH(Validation!E8409,Lists!G:G,0))</f>
        <v>Error</v>
      </c>
      <c r="G8409" t="str">
        <f>INDEX(Lists!H:H,MATCH(Validation!E8409,Lists!G:G,0))</f>
        <v>Amount may not be negative. Enter an amount greater than or equal to zero.</v>
      </c>
      <c r="H8409" s="16" t="str">
        <f t="shared" ca="1" si="933"/>
        <v/>
      </c>
      <c r="I8409" s="16" t="str">
        <f t="shared" ca="1" si="934"/>
        <v/>
      </c>
      <c r="J8409" s="17" t="str">
        <f t="shared" ca="1" si="935"/>
        <v/>
      </c>
    </row>
    <row r="8410" spans="1:10" x14ac:dyDescent="0.25">
      <c r="A8410" t="s">
        <v>320</v>
      </c>
      <c r="B8410" t="str">
        <f>ADDRESS(ROW(Transfers!F13),COLUMN(Transfers!F13),4)</f>
        <v>F13</v>
      </c>
      <c r="C8410" t="str">
        <f>ADDRESS(ROW(Transfers!H13),COLUMN(Transfers!H13),4)</f>
        <v>H13</v>
      </c>
      <c r="D8410" t="b" cm="1">
        <f t="array" aca="1" ref="D8410" ca="1">IF(INDIRECT("'"&amp;A8410&amp;"'!"&amp;B8410)="",FALSE,IF(INDIRECT("'"&amp;A8410&amp;"'!"&amp;B8410)&lt;0,TRUE,FALSE))</f>
        <v>0</v>
      </c>
      <c r="E8410" t="s">
        <v>434</v>
      </c>
      <c r="F8410" t="str">
        <f>INDEX(Lists!I:I,MATCH(Validation!E8410,Lists!G:G,0))</f>
        <v>Error</v>
      </c>
      <c r="G8410" t="str">
        <f>INDEX(Lists!H:H,MATCH(Validation!E8410,Lists!G:G,0))</f>
        <v>Amount may not be negative. Enter an amount greater than or equal to zero.</v>
      </c>
      <c r="H8410" s="16" t="str">
        <f t="shared" ref="H8410:H8417" ca="1" si="936">IFERROR(IF(OR(NOT(D8410),F8410&lt;&gt;"Error"),"",A8410&amp;CELL("address",INDIRECT(B8410))),"")</f>
        <v/>
      </c>
      <c r="I8410" s="16" t="str">
        <f t="shared" ref="I8410:I8417" ca="1" si="937">IFERROR(IF(NOT(D8410),"",A8410&amp;CELL("address",INDIRECT(C8410))),"")</f>
        <v/>
      </c>
      <c r="J8410" s="17" t="str">
        <f t="shared" ref="J8410:J8417" ca="1" si="938">IFERROR(IF(NOT(D8410),"",A8410),"")</f>
        <v/>
      </c>
    </row>
    <row r="8411" spans="1:10" x14ac:dyDescent="0.25">
      <c r="A8411" t="s">
        <v>320</v>
      </c>
      <c r="B8411" t="str">
        <f>ADDRESS(ROW(Transfers!F14),COLUMN(Transfers!F14),4)</f>
        <v>F14</v>
      </c>
      <c r="C8411" t="str">
        <f>ADDRESS(ROW(Transfers!H14),COLUMN(Transfers!H14),4)</f>
        <v>H14</v>
      </c>
      <c r="D8411" t="b" cm="1">
        <f t="array" aca="1" ref="D8411" ca="1">IF(INDIRECT("'"&amp;A8411&amp;"'!"&amp;B8411)="",FALSE,IF(INDIRECT("'"&amp;A8411&amp;"'!"&amp;B8411)&lt;0,TRUE,FALSE))</f>
        <v>0</v>
      </c>
      <c r="E8411" t="s">
        <v>434</v>
      </c>
      <c r="F8411" t="str">
        <f>INDEX(Lists!I:I,MATCH(Validation!E8411,Lists!G:G,0))</f>
        <v>Error</v>
      </c>
      <c r="G8411" t="str">
        <f>INDEX(Lists!H:H,MATCH(Validation!E8411,Lists!G:G,0))</f>
        <v>Amount may not be negative. Enter an amount greater than or equal to zero.</v>
      </c>
      <c r="H8411" s="16" t="str">
        <f t="shared" ca="1" si="936"/>
        <v/>
      </c>
      <c r="I8411" s="16" t="str">
        <f t="shared" ca="1" si="937"/>
        <v/>
      </c>
      <c r="J8411" s="17" t="str">
        <f t="shared" ca="1" si="938"/>
        <v/>
      </c>
    </row>
    <row r="8412" spans="1:10" x14ac:dyDescent="0.25">
      <c r="A8412" t="s">
        <v>320</v>
      </c>
      <c r="B8412" t="str">
        <f>ADDRESS(ROW(Transfers!F15),COLUMN(Transfers!F15),4)</f>
        <v>F15</v>
      </c>
      <c r="C8412" t="str">
        <f>ADDRESS(ROW(Transfers!H15),COLUMN(Transfers!H15),4)</f>
        <v>H15</v>
      </c>
      <c r="D8412" t="b" cm="1">
        <f t="array" aca="1" ref="D8412" ca="1">IF(INDIRECT("'"&amp;A8412&amp;"'!"&amp;B8412)="",FALSE,IF(INDIRECT("'"&amp;A8412&amp;"'!"&amp;B8412)&lt;0,TRUE,FALSE))</f>
        <v>0</v>
      </c>
      <c r="E8412" t="s">
        <v>434</v>
      </c>
      <c r="F8412" t="str">
        <f>INDEX(Lists!I:I,MATCH(Validation!E8412,Lists!G:G,0))</f>
        <v>Error</v>
      </c>
      <c r="G8412" t="str">
        <f>INDEX(Lists!H:H,MATCH(Validation!E8412,Lists!G:G,0))</f>
        <v>Amount may not be negative. Enter an amount greater than or equal to zero.</v>
      </c>
      <c r="H8412" s="16" t="str">
        <f t="shared" ca="1" si="936"/>
        <v/>
      </c>
      <c r="I8412" s="16" t="str">
        <f t="shared" ca="1" si="937"/>
        <v/>
      </c>
      <c r="J8412" s="17" t="str">
        <f t="shared" ca="1" si="938"/>
        <v/>
      </c>
    </row>
    <row r="8413" spans="1:10" x14ac:dyDescent="0.25">
      <c r="A8413" t="s">
        <v>320</v>
      </c>
      <c r="B8413" t="str">
        <f>ADDRESS(ROW(Transfers!F16),COLUMN(Transfers!F16),4)</f>
        <v>F16</v>
      </c>
      <c r="C8413" t="str">
        <f>ADDRESS(ROW(Transfers!H16),COLUMN(Transfers!H16),4)</f>
        <v>H16</v>
      </c>
      <c r="D8413" t="b" cm="1">
        <f t="array" aca="1" ref="D8413" ca="1">IF(INDIRECT("'"&amp;A8413&amp;"'!"&amp;B8413)="",FALSE,IF(INDIRECT("'"&amp;A8413&amp;"'!"&amp;B8413)&lt;0,TRUE,FALSE))</f>
        <v>0</v>
      </c>
      <c r="E8413" t="s">
        <v>434</v>
      </c>
      <c r="F8413" t="str">
        <f>INDEX(Lists!I:I,MATCH(Validation!E8413,Lists!G:G,0))</f>
        <v>Error</v>
      </c>
      <c r="G8413" t="str">
        <f>INDEX(Lists!H:H,MATCH(Validation!E8413,Lists!G:G,0))</f>
        <v>Amount may not be negative. Enter an amount greater than or equal to zero.</v>
      </c>
      <c r="H8413" s="16" t="str">
        <f t="shared" ca="1" si="936"/>
        <v/>
      </c>
      <c r="I8413" s="16" t="str">
        <f t="shared" ca="1" si="937"/>
        <v/>
      </c>
      <c r="J8413" s="17" t="str">
        <f t="shared" ca="1" si="938"/>
        <v/>
      </c>
    </row>
    <row r="8414" spans="1:10" x14ac:dyDescent="0.25">
      <c r="A8414" t="s">
        <v>320</v>
      </c>
      <c r="B8414" t="str">
        <f>ADDRESS(ROW(Transfers!F17),COLUMN(Transfers!F17),4)</f>
        <v>F17</v>
      </c>
      <c r="C8414" t="str">
        <f>ADDRESS(ROW(Transfers!H17),COLUMN(Transfers!H17),4)</f>
        <v>H17</v>
      </c>
      <c r="D8414" t="b" cm="1">
        <f t="array" aca="1" ref="D8414" ca="1">IF(INDIRECT("'"&amp;A8414&amp;"'!"&amp;B8414)="",FALSE,IF(INDIRECT("'"&amp;A8414&amp;"'!"&amp;B8414)&lt;0,TRUE,FALSE))</f>
        <v>0</v>
      </c>
      <c r="E8414" t="s">
        <v>434</v>
      </c>
      <c r="F8414" t="str">
        <f>INDEX(Lists!I:I,MATCH(Validation!E8414,Lists!G:G,0))</f>
        <v>Error</v>
      </c>
      <c r="G8414" t="str">
        <f>INDEX(Lists!H:H,MATCH(Validation!E8414,Lists!G:G,0))</f>
        <v>Amount may not be negative. Enter an amount greater than or equal to zero.</v>
      </c>
      <c r="H8414" s="16" t="str">
        <f t="shared" ca="1" si="936"/>
        <v/>
      </c>
      <c r="I8414" s="16" t="str">
        <f t="shared" ca="1" si="937"/>
        <v/>
      </c>
      <c r="J8414" s="17" t="str">
        <f t="shared" ca="1" si="938"/>
        <v/>
      </c>
    </row>
    <row r="8415" spans="1:10" x14ac:dyDescent="0.25">
      <c r="A8415" t="s">
        <v>320</v>
      </c>
      <c r="B8415" t="str">
        <f>ADDRESS(ROW(Transfers!F18),COLUMN(Transfers!F18),4)</f>
        <v>F18</v>
      </c>
      <c r="C8415" t="str">
        <f>ADDRESS(ROW(Transfers!H18),COLUMN(Transfers!H18),4)</f>
        <v>H18</v>
      </c>
      <c r="D8415" t="b" cm="1">
        <f t="array" aca="1" ref="D8415" ca="1">IF(INDIRECT("'"&amp;A8415&amp;"'!"&amp;B8415)="",FALSE,IF(INDIRECT("'"&amp;A8415&amp;"'!"&amp;B8415)&lt;0,TRUE,FALSE))</f>
        <v>0</v>
      </c>
      <c r="E8415" t="s">
        <v>434</v>
      </c>
      <c r="F8415" t="str">
        <f>INDEX(Lists!I:I,MATCH(Validation!E8415,Lists!G:G,0))</f>
        <v>Error</v>
      </c>
      <c r="G8415" t="str">
        <f>INDEX(Lists!H:H,MATCH(Validation!E8415,Lists!G:G,0))</f>
        <v>Amount may not be negative. Enter an amount greater than or equal to zero.</v>
      </c>
      <c r="H8415" s="16" t="str">
        <f t="shared" ca="1" si="936"/>
        <v/>
      </c>
      <c r="I8415" s="16" t="str">
        <f t="shared" ca="1" si="937"/>
        <v/>
      </c>
      <c r="J8415" s="17" t="str">
        <f t="shared" ca="1" si="938"/>
        <v/>
      </c>
    </row>
    <row r="8416" spans="1:10" x14ac:dyDescent="0.25">
      <c r="A8416" t="s">
        <v>320</v>
      </c>
      <c r="B8416" t="str">
        <f>ADDRESS(ROW(Transfers!F19),COLUMN(Transfers!F19),4)</f>
        <v>F19</v>
      </c>
      <c r="C8416" t="str">
        <f>ADDRESS(ROW(Transfers!H19),COLUMN(Transfers!H19),4)</f>
        <v>H19</v>
      </c>
      <c r="D8416" t="b" cm="1">
        <f t="array" aca="1" ref="D8416" ca="1">IF(INDIRECT("'"&amp;A8416&amp;"'!"&amp;B8416)="",FALSE,IF(INDIRECT("'"&amp;A8416&amp;"'!"&amp;B8416)&lt;0,TRUE,FALSE))</f>
        <v>0</v>
      </c>
      <c r="E8416" t="s">
        <v>434</v>
      </c>
      <c r="F8416" t="str">
        <f>INDEX(Lists!I:I,MATCH(Validation!E8416,Lists!G:G,0))</f>
        <v>Error</v>
      </c>
      <c r="G8416" t="str">
        <f>INDEX(Lists!H:H,MATCH(Validation!E8416,Lists!G:G,0))</f>
        <v>Amount may not be negative. Enter an amount greater than or equal to zero.</v>
      </c>
      <c r="H8416" s="16" t="str">
        <f t="shared" ca="1" si="936"/>
        <v/>
      </c>
      <c r="I8416" s="16" t="str">
        <f t="shared" ca="1" si="937"/>
        <v/>
      </c>
      <c r="J8416" s="17" t="str">
        <f t="shared" ca="1" si="938"/>
        <v/>
      </c>
    </row>
    <row r="8417" spans="1:10" x14ac:dyDescent="0.25">
      <c r="A8417" t="s">
        <v>320</v>
      </c>
      <c r="B8417" t="str">
        <f>ADDRESS(ROW(Transfers!F20),COLUMN(Transfers!F20),4)</f>
        <v>F20</v>
      </c>
      <c r="C8417" t="str">
        <f>ADDRESS(ROW(Transfers!H20),COLUMN(Transfers!H20),4)</f>
        <v>H20</v>
      </c>
      <c r="D8417" t="b" cm="1">
        <f t="array" aca="1" ref="D8417" ca="1">IF(INDIRECT("'"&amp;A8417&amp;"'!"&amp;B8417)="",FALSE,IF(INDIRECT("'"&amp;A8417&amp;"'!"&amp;B8417)&lt;0,TRUE,FALSE))</f>
        <v>0</v>
      </c>
      <c r="E8417" t="s">
        <v>434</v>
      </c>
      <c r="F8417" t="str">
        <f>INDEX(Lists!I:I,MATCH(Validation!E8417,Lists!G:G,0))</f>
        <v>Error</v>
      </c>
      <c r="G8417" t="str">
        <f>INDEX(Lists!H:H,MATCH(Validation!E8417,Lists!G:G,0))</f>
        <v>Amount may not be negative. Enter an amount greater than or equal to zero.</v>
      </c>
      <c r="H8417" s="16" t="str">
        <f t="shared" ca="1" si="936"/>
        <v/>
      </c>
      <c r="I8417" s="16" t="str">
        <f t="shared" ca="1" si="937"/>
        <v/>
      </c>
      <c r="J8417" s="17" t="str">
        <f t="shared" ca="1" si="938"/>
        <v/>
      </c>
    </row>
    <row r="8418" spans="1:10" x14ac:dyDescent="0.25">
      <c r="A8418" t="s">
        <v>320</v>
      </c>
      <c r="B8418" t="str">
        <f>ADDRESS(ROW(Transfers!F21),COLUMN(Transfers!F21),4)</f>
        <v>F21</v>
      </c>
      <c r="C8418" t="str">
        <f>ADDRESS(ROW(Transfers!H21),COLUMN(Transfers!H21),4)</f>
        <v>H21</v>
      </c>
      <c r="D8418" t="b" cm="1">
        <f t="array" aca="1" ref="D8418" ca="1">IF(INDIRECT("'"&amp;A8418&amp;"'!"&amp;B8418)="",FALSE,IF(INDIRECT("'"&amp;A8418&amp;"'!"&amp;B8418)&lt;0,TRUE,FALSE))</f>
        <v>0</v>
      </c>
      <c r="E8418" t="s">
        <v>434</v>
      </c>
      <c r="F8418" t="str">
        <f>INDEX(Lists!I:I,MATCH(Validation!E8418,Lists!G:G,0))</f>
        <v>Error</v>
      </c>
      <c r="G8418" t="str">
        <f>INDEX(Lists!H:H,MATCH(Validation!E8418,Lists!G:G,0))</f>
        <v>Amount may not be negative. Enter an amount greater than or equal to zero.</v>
      </c>
      <c r="H8418" s="16" t="str">
        <f t="shared" ref="H8418:H8449" ca="1" si="939">IFERROR(IF(OR(NOT(D8418),F8418&lt;&gt;"Error"),"",A8418&amp;CELL("address",INDIRECT(B8418))),"")</f>
        <v/>
      </c>
      <c r="I8418" s="16" t="str">
        <f t="shared" ref="I8418:I8449" ca="1" si="940">IFERROR(IF(NOT(D8418),"",A8418&amp;CELL("address",INDIRECT(C8418))),"")</f>
        <v/>
      </c>
      <c r="J8418" s="17" t="str">
        <f t="shared" ref="J8418:J8449" ca="1" si="941">IFERROR(IF(NOT(D8418),"",A8418),"")</f>
        <v/>
      </c>
    </row>
    <row r="8419" spans="1:10" x14ac:dyDescent="0.25">
      <c r="A8419" t="s">
        <v>320</v>
      </c>
      <c r="B8419" t="str">
        <f>ADDRESS(ROW(Transfers!F22),COLUMN(Transfers!F22),4)</f>
        <v>F22</v>
      </c>
      <c r="C8419" t="str">
        <f>ADDRESS(ROW(Transfers!H22),COLUMN(Transfers!H22),4)</f>
        <v>H22</v>
      </c>
      <c r="D8419" t="b" cm="1">
        <f t="array" aca="1" ref="D8419" ca="1">IF(INDIRECT("'"&amp;A8419&amp;"'!"&amp;B8419)="",FALSE,IF(INDIRECT("'"&amp;A8419&amp;"'!"&amp;B8419)&lt;0,TRUE,FALSE))</f>
        <v>0</v>
      </c>
      <c r="E8419" t="s">
        <v>434</v>
      </c>
      <c r="F8419" t="str">
        <f>INDEX(Lists!I:I,MATCH(Validation!E8419,Lists!G:G,0))</f>
        <v>Error</v>
      </c>
      <c r="G8419" t="str">
        <f>INDEX(Lists!H:H,MATCH(Validation!E8419,Lists!G:G,0))</f>
        <v>Amount may not be negative. Enter an amount greater than or equal to zero.</v>
      </c>
      <c r="H8419" s="16" t="str">
        <f t="shared" ca="1" si="939"/>
        <v/>
      </c>
      <c r="I8419" s="16" t="str">
        <f t="shared" ca="1" si="940"/>
        <v/>
      </c>
      <c r="J8419" s="17" t="str">
        <f t="shared" ca="1" si="941"/>
        <v/>
      </c>
    </row>
    <row r="8420" spans="1:10" x14ac:dyDescent="0.25">
      <c r="A8420" t="s">
        <v>320</v>
      </c>
      <c r="B8420" t="str">
        <f>ADDRESS(ROW(Transfers!F23),COLUMN(Transfers!F23),4)</f>
        <v>F23</v>
      </c>
      <c r="C8420" t="str">
        <f>ADDRESS(ROW(Transfers!H23),COLUMN(Transfers!H23),4)</f>
        <v>H23</v>
      </c>
      <c r="D8420" t="b" cm="1">
        <f t="array" aca="1" ref="D8420" ca="1">IF(INDIRECT("'"&amp;A8420&amp;"'!"&amp;B8420)="",FALSE,IF(INDIRECT("'"&amp;A8420&amp;"'!"&amp;B8420)&lt;0,TRUE,FALSE))</f>
        <v>0</v>
      </c>
      <c r="E8420" t="s">
        <v>434</v>
      </c>
      <c r="F8420" t="str">
        <f>INDEX(Lists!I:I,MATCH(Validation!E8420,Lists!G:G,0))</f>
        <v>Error</v>
      </c>
      <c r="G8420" t="str">
        <f>INDEX(Lists!H:H,MATCH(Validation!E8420,Lists!G:G,0))</f>
        <v>Amount may not be negative. Enter an amount greater than or equal to zero.</v>
      </c>
      <c r="H8420" s="16" t="str">
        <f t="shared" ca="1" si="939"/>
        <v/>
      </c>
      <c r="I8420" s="16" t="str">
        <f t="shared" ca="1" si="940"/>
        <v/>
      </c>
      <c r="J8420" s="17" t="str">
        <f t="shared" ca="1" si="941"/>
        <v/>
      </c>
    </row>
    <row r="8421" spans="1:10" x14ac:dyDescent="0.25">
      <c r="A8421" t="s">
        <v>320</v>
      </c>
      <c r="B8421" t="str">
        <f>ADDRESS(ROW(Transfers!F24),COLUMN(Transfers!F24),4)</f>
        <v>F24</v>
      </c>
      <c r="C8421" t="str">
        <f>ADDRESS(ROW(Transfers!H24),COLUMN(Transfers!H24),4)</f>
        <v>H24</v>
      </c>
      <c r="D8421" t="b" cm="1">
        <f t="array" aca="1" ref="D8421" ca="1">IF(INDIRECT("'"&amp;A8421&amp;"'!"&amp;B8421)="",FALSE,IF(INDIRECT("'"&amp;A8421&amp;"'!"&amp;B8421)&lt;0,TRUE,FALSE))</f>
        <v>0</v>
      </c>
      <c r="E8421" t="s">
        <v>434</v>
      </c>
      <c r="F8421" t="str">
        <f>INDEX(Lists!I:I,MATCH(Validation!E8421,Lists!G:G,0))</f>
        <v>Error</v>
      </c>
      <c r="G8421" t="str">
        <f>INDEX(Lists!H:H,MATCH(Validation!E8421,Lists!G:G,0))</f>
        <v>Amount may not be negative. Enter an amount greater than or equal to zero.</v>
      </c>
      <c r="H8421" s="16" t="str">
        <f t="shared" ca="1" si="939"/>
        <v/>
      </c>
      <c r="I8421" s="16" t="str">
        <f t="shared" ca="1" si="940"/>
        <v/>
      </c>
      <c r="J8421" s="17" t="str">
        <f t="shared" ca="1" si="941"/>
        <v/>
      </c>
    </row>
    <row r="8422" spans="1:10" x14ac:dyDescent="0.25">
      <c r="A8422" t="s">
        <v>320</v>
      </c>
      <c r="B8422" t="str">
        <f>ADDRESS(ROW(Transfers!F25),COLUMN(Transfers!F25),4)</f>
        <v>F25</v>
      </c>
      <c r="C8422" t="str">
        <f>ADDRESS(ROW(Transfers!H25),COLUMN(Transfers!H25),4)</f>
        <v>H25</v>
      </c>
      <c r="D8422" t="b" cm="1">
        <f t="array" aca="1" ref="D8422" ca="1">IF(INDIRECT("'"&amp;A8422&amp;"'!"&amp;B8422)="",FALSE,IF(INDIRECT("'"&amp;A8422&amp;"'!"&amp;B8422)&lt;0,TRUE,FALSE))</f>
        <v>0</v>
      </c>
      <c r="E8422" t="s">
        <v>434</v>
      </c>
      <c r="F8422" t="str">
        <f>INDEX(Lists!I:I,MATCH(Validation!E8422,Lists!G:G,0))</f>
        <v>Error</v>
      </c>
      <c r="G8422" t="str">
        <f>INDEX(Lists!H:H,MATCH(Validation!E8422,Lists!G:G,0))</f>
        <v>Amount may not be negative. Enter an amount greater than or equal to zero.</v>
      </c>
      <c r="H8422" s="16" t="str">
        <f t="shared" ca="1" si="939"/>
        <v/>
      </c>
      <c r="I8422" s="16" t="str">
        <f t="shared" ca="1" si="940"/>
        <v/>
      </c>
      <c r="J8422" s="17" t="str">
        <f t="shared" ca="1" si="941"/>
        <v/>
      </c>
    </row>
    <row r="8423" spans="1:10" x14ac:dyDescent="0.25">
      <c r="A8423" t="s">
        <v>320</v>
      </c>
      <c r="B8423" t="str">
        <f>ADDRESS(ROW(Transfers!F26),COLUMN(Transfers!F26),4)</f>
        <v>F26</v>
      </c>
      <c r="C8423" t="str">
        <f>ADDRESS(ROW(Transfers!H26),COLUMN(Transfers!H26),4)</f>
        <v>H26</v>
      </c>
      <c r="D8423" t="b" cm="1">
        <f t="array" aca="1" ref="D8423" ca="1">IF(INDIRECT("'"&amp;A8423&amp;"'!"&amp;B8423)="",FALSE,IF(INDIRECT("'"&amp;A8423&amp;"'!"&amp;B8423)&lt;0,TRUE,FALSE))</f>
        <v>0</v>
      </c>
      <c r="E8423" t="s">
        <v>434</v>
      </c>
      <c r="F8423" t="str">
        <f>INDEX(Lists!I:I,MATCH(Validation!E8423,Lists!G:G,0))</f>
        <v>Error</v>
      </c>
      <c r="G8423" t="str">
        <f>INDEX(Lists!H:H,MATCH(Validation!E8423,Lists!G:G,0))</f>
        <v>Amount may not be negative. Enter an amount greater than or equal to zero.</v>
      </c>
      <c r="H8423" s="16" t="str">
        <f t="shared" ca="1" si="939"/>
        <v/>
      </c>
      <c r="I8423" s="16" t="str">
        <f t="shared" ca="1" si="940"/>
        <v/>
      </c>
      <c r="J8423" s="17" t="str">
        <f t="shared" ca="1" si="941"/>
        <v/>
      </c>
    </row>
    <row r="8424" spans="1:10" x14ac:dyDescent="0.25">
      <c r="A8424" t="s">
        <v>320</v>
      </c>
      <c r="B8424" t="str">
        <f>ADDRESS(ROW(Transfers!F27),COLUMN(Transfers!F27),4)</f>
        <v>F27</v>
      </c>
      <c r="C8424" t="str">
        <f>ADDRESS(ROW(Transfers!H27),COLUMN(Transfers!H27),4)</f>
        <v>H27</v>
      </c>
      <c r="D8424" t="b" cm="1">
        <f t="array" aca="1" ref="D8424" ca="1">IF(INDIRECT("'"&amp;A8424&amp;"'!"&amp;B8424)="",FALSE,IF(INDIRECT("'"&amp;A8424&amp;"'!"&amp;B8424)&lt;0,TRUE,FALSE))</f>
        <v>0</v>
      </c>
      <c r="E8424" t="s">
        <v>434</v>
      </c>
      <c r="F8424" t="str">
        <f>INDEX(Lists!I:I,MATCH(Validation!E8424,Lists!G:G,0))</f>
        <v>Error</v>
      </c>
      <c r="G8424" t="str">
        <f>INDEX(Lists!H:H,MATCH(Validation!E8424,Lists!G:G,0))</f>
        <v>Amount may not be negative. Enter an amount greater than or equal to zero.</v>
      </c>
      <c r="H8424" s="16" t="str">
        <f t="shared" ca="1" si="939"/>
        <v/>
      </c>
      <c r="I8424" s="16" t="str">
        <f t="shared" ca="1" si="940"/>
        <v/>
      </c>
      <c r="J8424" s="17" t="str">
        <f t="shared" ca="1" si="941"/>
        <v/>
      </c>
    </row>
    <row r="8425" spans="1:10" x14ac:dyDescent="0.25">
      <c r="A8425" t="s">
        <v>320</v>
      </c>
      <c r="B8425" t="str">
        <f>ADDRESS(ROW(Transfers!F28),COLUMN(Transfers!F28),4)</f>
        <v>F28</v>
      </c>
      <c r="C8425" t="str">
        <f>ADDRESS(ROW(Transfers!H28),COLUMN(Transfers!H28),4)</f>
        <v>H28</v>
      </c>
      <c r="D8425" t="b" cm="1">
        <f t="array" aca="1" ref="D8425" ca="1">IF(INDIRECT("'"&amp;A8425&amp;"'!"&amp;B8425)="",FALSE,IF(INDIRECT("'"&amp;A8425&amp;"'!"&amp;B8425)&lt;0,TRUE,FALSE))</f>
        <v>0</v>
      </c>
      <c r="E8425" t="s">
        <v>434</v>
      </c>
      <c r="F8425" t="str">
        <f>INDEX(Lists!I:I,MATCH(Validation!E8425,Lists!G:G,0))</f>
        <v>Error</v>
      </c>
      <c r="G8425" t="str">
        <f>INDEX(Lists!H:H,MATCH(Validation!E8425,Lists!G:G,0))</f>
        <v>Amount may not be negative. Enter an amount greater than or equal to zero.</v>
      </c>
      <c r="H8425" s="16" t="str">
        <f t="shared" ca="1" si="939"/>
        <v/>
      </c>
      <c r="I8425" s="16" t="str">
        <f t="shared" ca="1" si="940"/>
        <v/>
      </c>
      <c r="J8425" s="17" t="str">
        <f t="shared" ca="1" si="941"/>
        <v/>
      </c>
    </row>
    <row r="8426" spans="1:10" x14ac:dyDescent="0.25">
      <c r="A8426" t="s">
        <v>320</v>
      </c>
      <c r="B8426" t="str">
        <f>ADDRESS(ROW(Transfers!F29),COLUMN(Transfers!F29),4)</f>
        <v>F29</v>
      </c>
      <c r="C8426" t="str">
        <f>ADDRESS(ROW(Transfers!H29),COLUMN(Transfers!H29),4)</f>
        <v>H29</v>
      </c>
      <c r="D8426" t="b" cm="1">
        <f t="array" aca="1" ref="D8426" ca="1">IF(INDIRECT("'"&amp;A8426&amp;"'!"&amp;B8426)="",FALSE,IF(INDIRECT("'"&amp;A8426&amp;"'!"&amp;B8426)&lt;0,TRUE,FALSE))</f>
        <v>0</v>
      </c>
      <c r="E8426" t="s">
        <v>434</v>
      </c>
      <c r="F8426" t="str">
        <f>INDEX(Lists!I:I,MATCH(Validation!E8426,Lists!G:G,0))</f>
        <v>Error</v>
      </c>
      <c r="G8426" t="str">
        <f>INDEX(Lists!H:H,MATCH(Validation!E8426,Lists!G:G,0))</f>
        <v>Amount may not be negative. Enter an amount greater than or equal to zero.</v>
      </c>
      <c r="H8426" s="16" t="str">
        <f t="shared" ca="1" si="939"/>
        <v/>
      </c>
      <c r="I8426" s="16" t="str">
        <f t="shared" ca="1" si="940"/>
        <v/>
      </c>
      <c r="J8426" s="17" t="str">
        <f t="shared" ca="1" si="941"/>
        <v/>
      </c>
    </row>
    <row r="8427" spans="1:10" x14ac:dyDescent="0.25">
      <c r="A8427" t="s">
        <v>320</v>
      </c>
      <c r="B8427" t="str">
        <f>ADDRESS(ROW(Transfers!F30),COLUMN(Transfers!F30),4)</f>
        <v>F30</v>
      </c>
      <c r="C8427" t="str">
        <f>ADDRESS(ROW(Transfers!H30),COLUMN(Transfers!H30),4)</f>
        <v>H30</v>
      </c>
      <c r="D8427" t="b" cm="1">
        <f t="array" aca="1" ref="D8427" ca="1">IF(INDIRECT("'"&amp;A8427&amp;"'!"&amp;B8427)="",FALSE,IF(INDIRECT("'"&amp;A8427&amp;"'!"&amp;B8427)&lt;0,TRUE,FALSE))</f>
        <v>0</v>
      </c>
      <c r="E8427" t="s">
        <v>434</v>
      </c>
      <c r="F8427" t="str">
        <f>INDEX(Lists!I:I,MATCH(Validation!E8427,Lists!G:G,0))</f>
        <v>Error</v>
      </c>
      <c r="G8427" t="str">
        <f>INDEX(Lists!H:H,MATCH(Validation!E8427,Lists!G:G,0))</f>
        <v>Amount may not be negative. Enter an amount greater than or equal to zero.</v>
      </c>
      <c r="H8427" s="16" t="str">
        <f t="shared" ca="1" si="939"/>
        <v/>
      </c>
      <c r="I8427" s="16" t="str">
        <f t="shared" ca="1" si="940"/>
        <v/>
      </c>
      <c r="J8427" s="17" t="str">
        <f t="shared" ca="1" si="941"/>
        <v/>
      </c>
    </row>
    <row r="8428" spans="1:10" x14ac:dyDescent="0.25">
      <c r="A8428" t="s">
        <v>320</v>
      </c>
      <c r="B8428" t="str">
        <f>ADDRESS(ROW(Transfers!F9),COLUMN(Transfers!F9),4)</f>
        <v>F9</v>
      </c>
      <c r="C8428" t="str">
        <f>ADDRESS(ROW(Transfers!H9),COLUMN(Transfers!H9),4)</f>
        <v>H9</v>
      </c>
      <c r="D8428" t="b" cm="1">
        <f t="array" aca="1" ref="D8428" ca="1">IF(INDIRECT("'"&amp;A8428&amp;"'!"&amp;B8428)="",FALSE,IF(TRUNC(INDIRECT("'"&amp;A8428&amp;"'!"&amp;B8428))=INDIRECT("'"&amp;A8428&amp;"'!"&amp;B8428),FALSE,TRUE))</f>
        <v>0</v>
      </c>
      <c r="E8428" t="s">
        <v>436</v>
      </c>
      <c r="F8428" t="str">
        <f>INDEX(Lists!I:I,MATCH(Validation!E8428,Lists!G:G,0))</f>
        <v>Error</v>
      </c>
      <c r="G8428" t="str">
        <f>INDEX(Lists!H:H,MATCH(Validation!E8428,Lists!G:G,0))</f>
        <v>Amount must be rounded to the nearest dollar.</v>
      </c>
      <c r="H8428" s="16" t="str">
        <f t="shared" ca="1" si="939"/>
        <v/>
      </c>
      <c r="I8428" s="16" t="str">
        <f t="shared" ca="1" si="940"/>
        <v/>
      </c>
      <c r="J8428" s="17" t="str">
        <f t="shared" ca="1" si="941"/>
        <v/>
      </c>
    </row>
    <row r="8429" spans="1:10" x14ac:dyDescent="0.25">
      <c r="A8429" t="s">
        <v>320</v>
      </c>
      <c r="B8429" t="str">
        <f>ADDRESS(ROW(Transfers!F10),COLUMN(Transfers!F10),4)</f>
        <v>F10</v>
      </c>
      <c r="C8429" t="str">
        <f>ADDRESS(ROW(Transfers!H10),COLUMN(Transfers!H10),4)</f>
        <v>H10</v>
      </c>
      <c r="D8429" t="b" cm="1">
        <f t="array" aca="1" ref="D8429" ca="1">IF(INDIRECT("'"&amp;A8429&amp;"'!"&amp;B8429)="",FALSE,IF(TRUNC(INDIRECT("'"&amp;A8429&amp;"'!"&amp;B8429))=INDIRECT("'"&amp;A8429&amp;"'!"&amp;B8429),FALSE,TRUE))</f>
        <v>0</v>
      </c>
      <c r="E8429" t="s">
        <v>436</v>
      </c>
      <c r="F8429" t="str">
        <f>INDEX(Lists!I:I,MATCH(Validation!E8429,Lists!G:G,0))</f>
        <v>Error</v>
      </c>
      <c r="G8429" t="str">
        <f>INDEX(Lists!H:H,MATCH(Validation!E8429,Lists!G:G,0))</f>
        <v>Amount must be rounded to the nearest dollar.</v>
      </c>
      <c r="H8429" s="16" t="str">
        <f t="shared" ca="1" si="939"/>
        <v/>
      </c>
      <c r="I8429" s="16" t="str">
        <f t="shared" ca="1" si="940"/>
        <v/>
      </c>
      <c r="J8429" s="17" t="str">
        <f t="shared" ca="1" si="941"/>
        <v/>
      </c>
    </row>
    <row r="8430" spans="1:10" x14ac:dyDescent="0.25">
      <c r="A8430" t="s">
        <v>320</v>
      </c>
      <c r="B8430" t="str">
        <f>ADDRESS(ROW(Transfers!F11),COLUMN(Transfers!F11),4)</f>
        <v>F11</v>
      </c>
      <c r="C8430" t="str">
        <f>ADDRESS(ROW(Transfers!H11),COLUMN(Transfers!H11),4)</f>
        <v>H11</v>
      </c>
      <c r="D8430" t="b" cm="1">
        <f t="array" aca="1" ref="D8430" ca="1">IF(INDIRECT("'"&amp;A8430&amp;"'!"&amp;B8430)="",FALSE,IF(TRUNC(INDIRECT("'"&amp;A8430&amp;"'!"&amp;B8430))=INDIRECT("'"&amp;A8430&amp;"'!"&amp;B8430),FALSE,TRUE))</f>
        <v>0</v>
      </c>
      <c r="E8430" t="s">
        <v>436</v>
      </c>
      <c r="F8430" t="str">
        <f>INDEX(Lists!I:I,MATCH(Validation!E8430,Lists!G:G,0))</f>
        <v>Error</v>
      </c>
      <c r="G8430" t="str">
        <f>INDEX(Lists!H:H,MATCH(Validation!E8430,Lists!G:G,0))</f>
        <v>Amount must be rounded to the nearest dollar.</v>
      </c>
      <c r="H8430" s="16" t="str">
        <f t="shared" ca="1" si="939"/>
        <v/>
      </c>
      <c r="I8430" s="16" t="str">
        <f t="shared" ca="1" si="940"/>
        <v/>
      </c>
      <c r="J8430" s="17" t="str">
        <f t="shared" ca="1" si="941"/>
        <v/>
      </c>
    </row>
    <row r="8431" spans="1:10" x14ac:dyDescent="0.25">
      <c r="A8431" t="s">
        <v>320</v>
      </c>
      <c r="B8431" t="str">
        <f>ADDRESS(ROW(Transfers!F12),COLUMN(Transfers!F12),4)</f>
        <v>F12</v>
      </c>
      <c r="C8431" t="str">
        <f>ADDRESS(ROW(Transfers!H12),COLUMN(Transfers!H12),4)</f>
        <v>H12</v>
      </c>
      <c r="D8431" t="b" cm="1">
        <f t="array" aca="1" ref="D8431" ca="1">IF(INDIRECT("'"&amp;A8431&amp;"'!"&amp;B8431)="",FALSE,IF(TRUNC(INDIRECT("'"&amp;A8431&amp;"'!"&amp;B8431))=INDIRECT("'"&amp;A8431&amp;"'!"&amp;B8431),FALSE,TRUE))</f>
        <v>0</v>
      </c>
      <c r="E8431" t="s">
        <v>436</v>
      </c>
      <c r="F8431" t="str">
        <f>INDEX(Lists!I:I,MATCH(Validation!E8431,Lists!G:G,0))</f>
        <v>Error</v>
      </c>
      <c r="G8431" t="str">
        <f>INDEX(Lists!H:H,MATCH(Validation!E8431,Lists!G:G,0))</f>
        <v>Amount must be rounded to the nearest dollar.</v>
      </c>
      <c r="H8431" s="16" t="str">
        <f t="shared" ca="1" si="939"/>
        <v/>
      </c>
      <c r="I8431" s="16" t="str">
        <f t="shared" ca="1" si="940"/>
        <v/>
      </c>
      <c r="J8431" s="17" t="str">
        <f t="shared" ca="1" si="941"/>
        <v/>
      </c>
    </row>
    <row r="8432" spans="1:10" x14ac:dyDescent="0.25">
      <c r="A8432" t="s">
        <v>320</v>
      </c>
      <c r="B8432" t="str">
        <f>ADDRESS(ROW(Transfers!F13),COLUMN(Transfers!F13),4)</f>
        <v>F13</v>
      </c>
      <c r="C8432" t="str">
        <f>ADDRESS(ROW(Transfers!H13),COLUMN(Transfers!H13),4)</f>
        <v>H13</v>
      </c>
      <c r="D8432" t="b" cm="1">
        <f t="array" aca="1" ref="D8432" ca="1">IF(INDIRECT("'"&amp;A8432&amp;"'!"&amp;B8432)="",FALSE,IF(TRUNC(INDIRECT("'"&amp;A8432&amp;"'!"&amp;B8432))=INDIRECT("'"&amp;A8432&amp;"'!"&amp;B8432),FALSE,TRUE))</f>
        <v>0</v>
      </c>
      <c r="E8432" t="s">
        <v>436</v>
      </c>
      <c r="F8432" t="str">
        <f>INDEX(Lists!I:I,MATCH(Validation!E8432,Lists!G:G,0))</f>
        <v>Error</v>
      </c>
      <c r="G8432" t="str">
        <f>INDEX(Lists!H:H,MATCH(Validation!E8432,Lists!G:G,0))</f>
        <v>Amount must be rounded to the nearest dollar.</v>
      </c>
      <c r="H8432" s="16" t="str">
        <f t="shared" ca="1" si="939"/>
        <v/>
      </c>
      <c r="I8432" s="16" t="str">
        <f t="shared" ca="1" si="940"/>
        <v/>
      </c>
      <c r="J8432" s="17" t="str">
        <f t="shared" ca="1" si="941"/>
        <v/>
      </c>
    </row>
    <row r="8433" spans="1:10" x14ac:dyDescent="0.25">
      <c r="A8433" t="s">
        <v>320</v>
      </c>
      <c r="B8433" t="str">
        <f>ADDRESS(ROW(Transfers!F14),COLUMN(Transfers!F14),4)</f>
        <v>F14</v>
      </c>
      <c r="C8433" t="str">
        <f>ADDRESS(ROW(Transfers!H14),COLUMN(Transfers!H14),4)</f>
        <v>H14</v>
      </c>
      <c r="D8433" t="b" cm="1">
        <f t="array" aca="1" ref="D8433" ca="1">IF(INDIRECT("'"&amp;A8433&amp;"'!"&amp;B8433)="",FALSE,IF(TRUNC(INDIRECT("'"&amp;A8433&amp;"'!"&amp;B8433))=INDIRECT("'"&amp;A8433&amp;"'!"&amp;B8433),FALSE,TRUE))</f>
        <v>0</v>
      </c>
      <c r="E8433" t="s">
        <v>436</v>
      </c>
      <c r="F8433" t="str">
        <f>INDEX(Lists!I:I,MATCH(Validation!E8433,Lists!G:G,0))</f>
        <v>Error</v>
      </c>
      <c r="G8433" t="str">
        <f>INDEX(Lists!H:H,MATCH(Validation!E8433,Lists!G:G,0))</f>
        <v>Amount must be rounded to the nearest dollar.</v>
      </c>
      <c r="H8433" s="16" t="str">
        <f t="shared" ca="1" si="939"/>
        <v/>
      </c>
      <c r="I8433" s="16" t="str">
        <f t="shared" ca="1" si="940"/>
        <v/>
      </c>
      <c r="J8433" s="17" t="str">
        <f t="shared" ca="1" si="941"/>
        <v/>
      </c>
    </row>
    <row r="8434" spans="1:10" x14ac:dyDescent="0.25">
      <c r="A8434" t="s">
        <v>320</v>
      </c>
      <c r="B8434" t="str">
        <f>ADDRESS(ROW(Transfers!F15),COLUMN(Transfers!F15),4)</f>
        <v>F15</v>
      </c>
      <c r="C8434" t="str">
        <f>ADDRESS(ROW(Transfers!H15),COLUMN(Transfers!H15),4)</f>
        <v>H15</v>
      </c>
      <c r="D8434" t="b" cm="1">
        <f t="array" aca="1" ref="D8434" ca="1">IF(INDIRECT("'"&amp;A8434&amp;"'!"&amp;B8434)="",FALSE,IF(TRUNC(INDIRECT("'"&amp;A8434&amp;"'!"&amp;B8434))=INDIRECT("'"&amp;A8434&amp;"'!"&amp;B8434),FALSE,TRUE))</f>
        <v>0</v>
      </c>
      <c r="E8434" t="s">
        <v>436</v>
      </c>
      <c r="F8434" t="str">
        <f>INDEX(Lists!I:I,MATCH(Validation!E8434,Lists!G:G,0))</f>
        <v>Error</v>
      </c>
      <c r="G8434" t="str">
        <f>INDEX(Lists!H:H,MATCH(Validation!E8434,Lists!G:G,0))</f>
        <v>Amount must be rounded to the nearest dollar.</v>
      </c>
      <c r="H8434" s="16" t="str">
        <f t="shared" ca="1" si="939"/>
        <v/>
      </c>
      <c r="I8434" s="16" t="str">
        <f t="shared" ca="1" si="940"/>
        <v/>
      </c>
      <c r="J8434" s="17" t="str">
        <f t="shared" ca="1" si="941"/>
        <v/>
      </c>
    </row>
    <row r="8435" spans="1:10" x14ac:dyDescent="0.25">
      <c r="A8435" t="s">
        <v>320</v>
      </c>
      <c r="B8435" t="str">
        <f>ADDRESS(ROW(Transfers!F16),COLUMN(Transfers!F16),4)</f>
        <v>F16</v>
      </c>
      <c r="C8435" t="str">
        <f>ADDRESS(ROW(Transfers!H16),COLUMN(Transfers!H16),4)</f>
        <v>H16</v>
      </c>
      <c r="D8435" t="b" cm="1">
        <f t="array" aca="1" ref="D8435" ca="1">IF(INDIRECT("'"&amp;A8435&amp;"'!"&amp;B8435)="",FALSE,IF(TRUNC(INDIRECT("'"&amp;A8435&amp;"'!"&amp;B8435))=INDIRECT("'"&amp;A8435&amp;"'!"&amp;B8435),FALSE,TRUE))</f>
        <v>0</v>
      </c>
      <c r="E8435" t="s">
        <v>436</v>
      </c>
      <c r="F8435" t="str">
        <f>INDEX(Lists!I:I,MATCH(Validation!E8435,Lists!G:G,0))</f>
        <v>Error</v>
      </c>
      <c r="G8435" t="str">
        <f>INDEX(Lists!H:H,MATCH(Validation!E8435,Lists!G:G,0))</f>
        <v>Amount must be rounded to the nearest dollar.</v>
      </c>
      <c r="H8435" s="16" t="str">
        <f t="shared" ca="1" si="939"/>
        <v/>
      </c>
      <c r="I8435" s="16" t="str">
        <f t="shared" ca="1" si="940"/>
        <v/>
      </c>
      <c r="J8435" s="17" t="str">
        <f t="shared" ca="1" si="941"/>
        <v/>
      </c>
    </row>
    <row r="8436" spans="1:10" x14ac:dyDescent="0.25">
      <c r="A8436" t="s">
        <v>320</v>
      </c>
      <c r="B8436" t="str">
        <f>ADDRESS(ROW(Transfers!F17),COLUMN(Transfers!F17),4)</f>
        <v>F17</v>
      </c>
      <c r="C8436" t="str">
        <f>ADDRESS(ROW(Transfers!H17),COLUMN(Transfers!H17),4)</f>
        <v>H17</v>
      </c>
      <c r="D8436" t="b" cm="1">
        <f t="array" aca="1" ref="D8436" ca="1">IF(INDIRECT("'"&amp;A8436&amp;"'!"&amp;B8436)="",FALSE,IF(TRUNC(INDIRECT("'"&amp;A8436&amp;"'!"&amp;B8436))=INDIRECT("'"&amp;A8436&amp;"'!"&amp;B8436),FALSE,TRUE))</f>
        <v>0</v>
      </c>
      <c r="E8436" t="s">
        <v>436</v>
      </c>
      <c r="F8436" t="str">
        <f>INDEX(Lists!I:I,MATCH(Validation!E8436,Lists!G:G,0))</f>
        <v>Error</v>
      </c>
      <c r="G8436" t="str">
        <f>INDEX(Lists!H:H,MATCH(Validation!E8436,Lists!G:G,0))</f>
        <v>Amount must be rounded to the nearest dollar.</v>
      </c>
      <c r="H8436" s="16" t="str">
        <f t="shared" ca="1" si="939"/>
        <v/>
      </c>
      <c r="I8436" s="16" t="str">
        <f t="shared" ca="1" si="940"/>
        <v/>
      </c>
      <c r="J8436" s="17" t="str">
        <f t="shared" ca="1" si="941"/>
        <v/>
      </c>
    </row>
    <row r="8437" spans="1:10" x14ac:dyDescent="0.25">
      <c r="A8437" t="s">
        <v>320</v>
      </c>
      <c r="B8437" t="str">
        <f>ADDRESS(ROW(Transfers!F18),COLUMN(Transfers!F18),4)</f>
        <v>F18</v>
      </c>
      <c r="C8437" t="str">
        <f>ADDRESS(ROW(Transfers!H18),COLUMN(Transfers!H18),4)</f>
        <v>H18</v>
      </c>
      <c r="D8437" t="b" cm="1">
        <f t="array" aca="1" ref="D8437" ca="1">IF(INDIRECT("'"&amp;A8437&amp;"'!"&amp;B8437)="",FALSE,IF(TRUNC(INDIRECT("'"&amp;A8437&amp;"'!"&amp;B8437))=INDIRECT("'"&amp;A8437&amp;"'!"&amp;B8437),FALSE,TRUE))</f>
        <v>0</v>
      </c>
      <c r="E8437" t="s">
        <v>436</v>
      </c>
      <c r="F8437" t="str">
        <f>INDEX(Lists!I:I,MATCH(Validation!E8437,Lists!G:G,0))</f>
        <v>Error</v>
      </c>
      <c r="G8437" t="str">
        <f>INDEX(Lists!H:H,MATCH(Validation!E8437,Lists!G:G,0))</f>
        <v>Amount must be rounded to the nearest dollar.</v>
      </c>
      <c r="H8437" s="16" t="str">
        <f t="shared" ca="1" si="939"/>
        <v/>
      </c>
      <c r="I8437" s="16" t="str">
        <f t="shared" ca="1" si="940"/>
        <v/>
      </c>
      <c r="J8437" s="17" t="str">
        <f t="shared" ca="1" si="941"/>
        <v/>
      </c>
    </row>
    <row r="8438" spans="1:10" x14ac:dyDescent="0.25">
      <c r="A8438" t="s">
        <v>320</v>
      </c>
      <c r="B8438" t="str">
        <f>ADDRESS(ROW(Transfers!F19),COLUMN(Transfers!F19),4)</f>
        <v>F19</v>
      </c>
      <c r="C8438" t="str">
        <f>ADDRESS(ROW(Transfers!H19),COLUMN(Transfers!H19),4)</f>
        <v>H19</v>
      </c>
      <c r="D8438" t="b" cm="1">
        <f t="array" aca="1" ref="D8438" ca="1">IF(INDIRECT("'"&amp;A8438&amp;"'!"&amp;B8438)="",FALSE,IF(TRUNC(INDIRECT("'"&amp;A8438&amp;"'!"&amp;B8438))=INDIRECT("'"&amp;A8438&amp;"'!"&amp;B8438),FALSE,TRUE))</f>
        <v>0</v>
      </c>
      <c r="E8438" t="s">
        <v>436</v>
      </c>
      <c r="F8438" t="str">
        <f>INDEX(Lists!I:I,MATCH(Validation!E8438,Lists!G:G,0))</f>
        <v>Error</v>
      </c>
      <c r="G8438" t="str">
        <f>INDEX(Lists!H:H,MATCH(Validation!E8438,Lists!G:G,0))</f>
        <v>Amount must be rounded to the nearest dollar.</v>
      </c>
      <c r="H8438" s="16" t="str">
        <f t="shared" ca="1" si="939"/>
        <v/>
      </c>
      <c r="I8438" s="16" t="str">
        <f t="shared" ca="1" si="940"/>
        <v/>
      </c>
      <c r="J8438" s="17" t="str">
        <f t="shared" ca="1" si="941"/>
        <v/>
      </c>
    </row>
    <row r="8439" spans="1:10" x14ac:dyDescent="0.25">
      <c r="A8439" t="s">
        <v>320</v>
      </c>
      <c r="B8439" t="str">
        <f>ADDRESS(ROW(Transfers!F20),COLUMN(Transfers!F20),4)</f>
        <v>F20</v>
      </c>
      <c r="C8439" t="str">
        <f>ADDRESS(ROW(Transfers!H20),COLUMN(Transfers!H20),4)</f>
        <v>H20</v>
      </c>
      <c r="D8439" t="b" cm="1">
        <f t="array" aca="1" ref="D8439" ca="1">IF(INDIRECT("'"&amp;A8439&amp;"'!"&amp;B8439)="",FALSE,IF(TRUNC(INDIRECT("'"&amp;A8439&amp;"'!"&amp;B8439))=INDIRECT("'"&amp;A8439&amp;"'!"&amp;B8439),FALSE,TRUE))</f>
        <v>0</v>
      </c>
      <c r="E8439" t="s">
        <v>436</v>
      </c>
      <c r="F8439" t="str">
        <f>INDEX(Lists!I:I,MATCH(Validation!E8439,Lists!G:G,0))</f>
        <v>Error</v>
      </c>
      <c r="G8439" t="str">
        <f>INDEX(Lists!H:H,MATCH(Validation!E8439,Lists!G:G,0))</f>
        <v>Amount must be rounded to the nearest dollar.</v>
      </c>
      <c r="H8439" s="16" t="str">
        <f t="shared" ca="1" si="939"/>
        <v/>
      </c>
      <c r="I8439" s="16" t="str">
        <f t="shared" ca="1" si="940"/>
        <v/>
      </c>
      <c r="J8439" s="17" t="str">
        <f t="shared" ca="1" si="941"/>
        <v/>
      </c>
    </row>
    <row r="8440" spans="1:10" x14ac:dyDescent="0.25">
      <c r="A8440" t="s">
        <v>320</v>
      </c>
      <c r="B8440" t="str">
        <f>ADDRESS(ROW(Transfers!F21),COLUMN(Transfers!F21),4)</f>
        <v>F21</v>
      </c>
      <c r="C8440" t="str">
        <f>ADDRESS(ROW(Transfers!H21),COLUMN(Transfers!H21),4)</f>
        <v>H21</v>
      </c>
      <c r="D8440" t="b" cm="1">
        <f t="array" aca="1" ref="D8440" ca="1">IF(INDIRECT("'"&amp;A8440&amp;"'!"&amp;B8440)="",FALSE,IF(TRUNC(INDIRECT("'"&amp;A8440&amp;"'!"&amp;B8440))=INDIRECT("'"&amp;A8440&amp;"'!"&amp;B8440),FALSE,TRUE))</f>
        <v>0</v>
      </c>
      <c r="E8440" t="s">
        <v>436</v>
      </c>
      <c r="F8440" t="str">
        <f>INDEX(Lists!I:I,MATCH(Validation!E8440,Lists!G:G,0))</f>
        <v>Error</v>
      </c>
      <c r="G8440" t="str">
        <f>INDEX(Lists!H:H,MATCH(Validation!E8440,Lists!G:G,0))</f>
        <v>Amount must be rounded to the nearest dollar.</v>
      </c>
      <c r="H8440" s="16" t="str">
        <f t="shared" ca="1" si="939"/>
        <v/>
      </c>
      <c r="I8440" s="16" t="str">
        <f t="shared" ca="1" si="940"/>
        <v/>
      </c>
      <c r="J8440" s="17" t="str">
        <f t="shared" ca="1" si="941"/>
        <v/>
      </c>
    </row>
    <row r="8441" spans="1:10" x14ac:dyDescent="0.25">
      <c r="A8441" t="s">
        <v>320</v>
      </c>
      <c r="B8441" t="str">
        <f>ADDRESS(ROW(Transfers!F22),COLUMN(Transfers!F22),4)</f>
        <v>F22</v>
      </c>
      <c r="C8441" t="str">
        <f>ADDRESS(ROW(Transfers!H22),COLUMN(Transfers!H22),4)</f>
        <v>H22</v>
      </c>
      <c r="D8441" t="b" cm="1">
        <f t="array" aca="1" ref="D8441" ca="1">IF(INDIRECT("'"&amp;A8441&amp;"'!"&amp;B8441)="",FALSE,IF(TRUNC(INDIRECT("'"&amp;A8441&amp;"'!"&amp;B8441))=INDIRECT("'"&amp;A8441&amp;"'!"&amp;B8441),FALSE,TRUE))</f>
        <v>0</v>
      </c>
      <c r="E8441" t="s">
        <v>436</v>
      </c>
      <c r="F8441" t="str">
        <f>INDEX(Lists!I:I,MATCH(Validation!E8441,Lists!G:G,0))</f>
        <v>Error</v>
      </c>
      <c r="G8441" t="str">
        <f>INDEX(Lists!H:H,MATCH(Validation!E8441,Lists!G:G,0))</f>
        <v>Amount must be rounded to the nearest dollar.</v>
      </c>
      <c r="H8441" s="16" t="str">
        <f t="shared" ca="1" si="939"/>
        <v/>
      </c>
      <c r="I8441" s="16" t="str">
        <f t="shared" ca="1" si="940"/>
        <v/>
      </c>
      <c r="J8441" s="17" t="str">
        <f t="shared" ca="1" si="941"/>
        <v/>
      </c>
    </row>
    <row r="8442" spans="1:10" x14ac:dyDescent="0.25">
      <c r="A8442" t="s">
        <v>320</v>
      </c>
      <c r="B8442" t="str">
        <f>ADDRESS(ROW(Transfers!F23),COLUMN(Transfers!F23),4)</f>
        <v>F23</v>
      </c>
      <c r="C8442" t="str">
        <f>ADDRESS(ROW(Transfers!H23),COLUMN(Transfers!H23),4)</f>
        <v>H23</v>
      </c>
      <c r="D8442" t="b" cm="1">
        <f t="array" aca="1" ref="D8442" ca="1">IF(INDIRECT("'"&amp;A8442&amp;"'!"&amp;B8442)="",FALSE,IF(TRUNC(INDIRECT("'"&amp;A8442&amp;"'!"&amp;B8442))=INDIRECT("'"&amp;A8442&amp;"'!"&amp;B8442),FALSE,TRUE))</f>
        <v>0</v>
      </c>
      <c r="E8442" t="s">
        <v>436</v>
      </c>
      <c r="F8442" t="str">
        <f>INDEX(Lists!I:I,MATCH(Validation!E8442,Lists!G:G,0))</f>
        <v>Error</v>
      </c>
      <c r="G8442" t="str">
        <f>INDEX(Lists!H:H,MATCH(Validation!E8442,Lists!G:G,0))</f>
        <v>Amount must be rounded to the nearest dollar.</v>
      </c>
      <c r="H8442" s="16" t="str">
        <f t="shared" ca="1" si="939"/>
        <v/>
      </c>
      <c r="I8442" s="16" t="str">
        <f t="shared" ca="1" si="940"/>
        <v/>
      </c>
      <c r="J8442" s="17" t="str">
        <f t="shared" ca="1" si="941"/>
        <v/>
      </c>
    </row>
    <row r="8443" spans="1:10" x14ac:dyDescent="0.25">
      <c r="A8443" t="s">
        <v>320</v>
      </c>
      <c r="B8443" t="str">
        <f>ADDRESS(ROW(Transfers!F24),COLUMN(Transfers!F24),4)</f>
        <v>F24</v>
      </c>
      <c r="C8443" t="str">
        <f>ADDRESS(ROW(Transfers!H24),COLUMN(Transfers!H24),4)</f>
        <v>H24</v>
      </c>
      <c r="D8443" t="b" cm="1">
        <f t="array" aca="1" ref="D8443" ca="1">IF(INDIRECT("'"&amp;A8443&amp;"'!"&amp;B8443)="",FALSE,IF(TRUNC(INDIRECT("'"&amp;A8443&amp;"'!"&amp;B8443))=INDIRECT("'"&amp;A8443&amp;"'!"&amp;B8443),FALSE,TRUE))</f>
        <v>0</v>
      </c>
      <c r="E8443" t="s">
        <v>436</v>
      </c>
      <c r="F8443" t="str">
        <f>INDEX(Lists!I:I,MATCH(Validation!E8443,Lists!G:G,0))</f>
        <v>Error</v>
      </c>
      <c r="G8443" t="str">
        <f>INDEX(Lists!H:H,MATCH(Validation!E8443,Lists!G:G,0))</f>
        <v>Amount must be rounded to the nearest dollar.</v>
      </c>
      <c r="H8443" s="16" t="str">
        <f t="shared" ca="1" si="939"/>
        <v/>
      </c>
      <c r="I8443" s="16" t="str">
        <f t="shared" ca="1" si="940"/>
        <v/>
      </c>
      <c r="J8443" s="17" t="str">
        <f t="shared" ca="1" si="941"/>
        <v/>
      </c>
    </row>
    <row r="8444" spans="1:10" x14ac:dyDescent="0.25">
      <c r="A8444" t="s">
        <v>320</v>
      </c>
      <c r="B8444" t="str">
        <f>ADDRESS(ROW(Transfers!F25),COLUMN(Transfers!F25),4)</f>
        <v>F25</v>
      </c>
      <c r="C8444" t="str">
        <f>ADDRESS(ROW(Transfers!H25),COLUMN(Transfers!H25),4)</f>
        <v>H25</v>
      </c>
      <c r="D8444" t="b" cm="1">
        <f t="array" aca="1" ref="D8444" ca="1">IF(INDIRECT("'"&amp;A8444&amp;"'!"&amp;B8444)="",FALSE,IF(TRUNC(INDIRECT("'"&amp;A8444&amp;"'!"&amp;B8444))=INDIRECT("'"&amp;A8444&amp;"'!"&amp;B8444),FALSE,TRUE))</f>
        <v>0</v>
      </c>
      <c r="E8444" t="s">
        <v>436</v>
      </c>
      <c r="F8444" t="str">
        <f>INDEX(Lists!I:I,MATCH(Validation!E8444,Lists!G:G,0))</f>
        <v>Error</v>
      </c>
      <c r="G8444" t="str">
        <f>INDEX(Lists!H:H,MATCH(Validation!E8444,Lists!G:G,0))</f>
        <v>Amount must be rounded to the nearest dollar.</v>
      </c>
      <c r="H8444" s="16" t="str">
        <f t="shared" ca="1" si="939"/>
        <v/>
      </c>
      <c r="I8444" s="16" t="str">
        <f t="shared" ca="1" si="940"/>
        <v/>
      </c>
      <c r="J8444" s="17" t="str">
        <f t="shared" ca="1" si="941"/>
        <v/>
      </c>
    </row>
    <row r="8445" spans="1:10" x14ac:dyDescent="0.25">
      <c r="A8445" t="s">
        <v>320</v>
      </c>
      <c r="B8445" t="str">
        <f>ADDRESS(ROW(Transfers!F26),COLUMN(Transfers!F26),4)</f>
        <v>F26</v>
      </c>
      <c r="C8445" t="str">
        <f>ADDRESS(ROW(Transfers!H26),COLUMN(Transfers!H26),4)</f>
        <v>H26</v>
      </c>
      <c r="D8445" t="b" cm="1">
        <f t="array" aca="1" ref="D8445" ca="1">IF(INDIRECT("'"&amp;A8445&amp;"'!"&amp;B8445)="",FALSE,IF(TRUNC(INDIRECT("'"&amp;A8445&amp;"'!"&amp;B8445))=INDIRECT("'"&amp;A8445&amp;"'!"&amp;B8445),FALSE,TRUE))</f>
        <v>0</v>
      </c>
      <c r="E8445" t="s">
        <v>436</v>
      </c>
      <c r="F8445" t="str">
        <f>INDEX(Lists!I:I,MATCH(Validation!E8445,Lists!G:G,0))</f>
        <v>Error</v>
      </c>
      <c r="G8445" t="str">
        <f>INDEX(Lists!H:H,MATCH(Validation!E8445,Lists!G:G,0))</f>
        <v>Amount must be rounded to the nearest dollar.</v>
      </c>
      <c r="H8445" s="16" t="str">
        <f t="shared" ca="1" si="939"/>
        <v/>
      </c>
      <c r="I8445" s="16" t="str">
        <f t="shared" ca="1" si="940"/>
        <v/>
      </c>
      <c r="J8445" s="17" t="str">
        <f t="shared" ca="1" si="941"/>
        <v/>
      </c>
    </row>
    <row r="8446" spans="1:10" x14ac:dyDescent="0.25">
      <c r="A8446" t="s">
        <v>320</v>
      </c>
      <c r="B8446" t="str">
        <f>ADDRESS(ROW(Transfers!F27),COLUMN(Transfers!F27),4)</f>
        <v>F27</v>
      </c>
      <c r="C8446" t="str">
        <f>ADDRESS(ROW(Transfers!H27),COLUMN(Transfers!H27),4)</f>
        <v>H27</v>
      </c>
      <c r="D8446" t="b" cm="1">
        <f t="array" aca="1" ref="D8446" ca="1">IF(INDIRECT("'"&amp;A8446&amp;"'!"&amp;B8446)="",FALSE,IF(TRUNC(INDIRECT("'"&amp;A8446&amp;"'!"&amp;B8446))=INDIRECT("'"&amp;A8446&amp;"'!"&amp;B8446),FALSE,TRUE))</f>
        <v>0</v>
      </c>
      <c r="E8446" t="s">
        <v>436</v>
      </c>
      <c r="F8446" t="str">
        <f>INDEX(Lists!I:I,MATCH(Validation!E8446,Lists!G:G,0))</f>
        <v>Error</v>
      </c>
      <c r="G8446" t="str">
        <f>INDEX(Lists!H:H,MATCH(Validation!E8446,Lists!G:G,0))</f>
        <v>Amount must be rounded to the nearest dollar.</v>
      </c>
      <c r="H8446" s="16" t="str">
        <f t="shared" ca="1" si="939"/>
        <v/>
      </c>
      <c r="I8446" s="16" t="str">
        <f t="shared" ca="1" si="940"/>
        <v/>
      </c>
      <c r="J8446" s="17" t="str">
        <f t="shared" ca="1" si="941"/>
        <v/>
      </c>
    </row>
    <row r="8447" spans="1:10" x14ac:dyDescent="0.25">
      <c r="A8447" t="s">
        <v>320</v>
      </c>
      <c r="B8447" t="str">
        <f>ADDRESS(ROW(Transfers!F28),COLUMN(Transfers!F28),4)</f>
        <v>F28</v>
      </c>
      <c r="C8447" t="str">
        <f>ADDRESS(ROW(Transfers!H28),COLUMN(Transfers!H28),4)</f>
        <v>H28</v>
      </c>
      <c r="D8447" t="b" cm="1">
        <f t="array" aca="1" ref="D8447" ca="1">IF(INDIRECT("'"&amp;A8447&amp;"'!"&amp;B8447)="",FALSE,IF(TRUNC(INDIRECT("'"&amp;A8447&amp;"'!"&amp;B8447))=INDIRECT("'"&amp;A8447&amp;"'!"&amp;B8447),FALSE,TRUE))</f>
        <v>0</v>
      </c>
      <c r="E8447" t="s">
        <v>436</v>
      </c>
      <c r="F8447" t="str">
        <f>INDEX(Lists!I:I,MATCH(Validation!E8447,Lists!G:G,0))</f>
        <v>Error</v>
      </c>
      <c r="G8447" t="str">
        <f>INDEX(Lists!H:H,MATCH(Validation!E8447,Lists!G:G,0))</f>
        <v>Amount must be rounded to the nearest dollar.</v>
      </c>
      <c r="H8447" s="16" t="str">
        <f t="shared" ca="1" si="939"/>
        <v/>
      </c>
      <c r="I8447" s="16" t="str">
        <f t="shared" ca="1" si="940"/>
        <v/>
      </c>
      <c r="J8447" s="17" t="str">
        <f t="shared" ca="1" si="941"/>
        <v/>
      </c>
    </row>
    <row r="8448" spans="1:10" x14ac:dyDescent="0.25">
      <c r="A8448" t="s">
        <v>320</v>
      </c>
      <c r="B8448" t="str">
        <f>ADDRESS(ROW(Transfers!F29),COLUMN(Transfers!F29),4)</f>
        <v>F29</v>
      </c>
      <c r="C8448" t="str">
        <f>ADDRESS(ROW(Transfers!H29),COLUMN(Transfers!H29),4)</f>
        <v>H29</v>
      </c>
      <c r="D8448" t="b" cm="1">
        <f t="array" aca="1" ref="D8448" ca="1">IF(INDIRECT("'"&amp;A8448&amp;"'!"&amp;B8448)="",FALSE,IF(TRUNC(INDIRECT("'"&amp;A8448&amp;"'!"&amp;B8448))=INDIRECT("'"&amp;A8448&amp;"'!"&amp;B8448),FALSE,TRUE))</f>
        <v>0</v>
      </c>
      <c r="E8448" t="s">
        <v>436</v>
      </c>
      <c r="F8448" t="str">
        <f>INDEX(Lists!I:I,MATCH(Validation!E8448,Lists!G:G,0))</f>
        <v>Error</v>
      </c>
      <c r="G8448" t="str">
        <f>INDEX(Lists!H:H,MATCH(Validation!E8448,Lists!G:G,0))</f>
        <v>Amount must be rounded to the nearest dollar.</v>
      </c>
      <c r="H8448" s="16" t="str">
        <f t="shared" ca="1" si="939"/>
        <v/>
      </c>
      <c r="I8448" s="16" t="str">
        <f t="shared" ca="1" si="940"/>
        <v/>
      </c>
      <c r="J8448" s="17" t="str">
        <f t="shared" ca="1" si="941"/>
        <v/>
      </c>
    </row>
    <row r="8449" spans="1:10" x14ac:dyDescent="0.25">
      <c r="A8449" t="s">
        <v>320</v>
      </c>
      <c r="B8449" t="str">
        <f>ADDRESS(ROW(Transfers!F30),COLUMN(Transfers!F30),4)</f>
        <v>F30</v>
      </c>
      <c r="C8449" t="str">
        <f>ADDRESS(ROW(Transfers!H30),COLUMN(Transfers!H30),4)</f>
        <v>H30</v>
      </c>
      <c r="D8449" t="b" cm="1">
        <f t="array" aca="1" ref="D8449" ca="1">IF(INDIRECT("'"&amp;A8449&amp;"'!"&amp;B8449)="",FALSE,IF(TRUNC(INDIRECT("'"&amp;A8449&amp;"'!"&amp;B8449))=INDIRECT("'"&amp;A8449&amp;"'!"&amp;B8449),FALSE,TRUE))</f>
        <v>0</v>
      </c>
      <c r="E8449" t="s">
        <v>436</v>
      </c>
      <c r="F8449" t="str">
        <f>INDEX(Lists!I:I,MATCH(Validation!E8449,Lists!G:G,0))</f>
        <v>Error</v>
      </c>
      <c r="G8449" t="str">
        <f>INDEX(Lists!H:H,MATCH(Validation!E8449,Lists!G:G,0))</f>
        <v>Amount must be rounded to the nearest dollar.</v>
      </c>
      <c r="H8449" s="16" t="str">
        <f t="shared" ca="1" si="939"/>
        <v/>
      </c>
      <c r="I8449" s="16" t="str">
        <f t="shared" ca="1" si="940"/>
        <v/>
      </c>
      <c r="J8449" s="17" t="str">
        <f t="shared" ca="1" si="941"/>
        <v/>
      </c>
    </row>
    <row r="8450" spans="1:10" x14ac:dyDescent="0.25">
      <c r="A8450" t="s">
        <v>320</v>
      </c>
      <c r="B8450" t="str">
        <f>ADDRESS(ROW(Transfers!F9),COLUMN(Transfers!F9),4)</f>
        <v>F9</v>
      </c>
      <c r="C8450" t="str">
        <f>ADDRESS(ROW(Transfers!H9),COLUMN(Transfers!H9),4)</f>
        <v>H9</v>
      </c>
      <c r="D8450" t="b">
        <f>IF(AND(NOT(OR(Transfers!A9="Select One",ISBLANK(Transfers!A9))),COUNTA(Transfers!A9,Transfers!B9,Transfers!C9,Transfers!E9,Transfers!F9)&lt;&gt;5),TRUE,FALSE)</f>
        <v>0</v>
      </c>
      <c r="E8450" t="s">
        <v>1032</v>
      </c>
      <c r="F8450" t="str">
        <f>INDEX(Lists!I:I,MATCH(Validation!E8450,Lists!G:G,0))</f>
        <v>Error</v>
      </c>
      <c r="G8450" t="str">
        <f>INDEX(Lists!H:H,MATCH(Validation!E8450,Lists!G:G,0))</f>
        <v xml:space="preserve">Complete entry of all columns on this row. (Enter zero when appropriate.) </v>
      </c>
      <c r="H8450" s="16" t="str">
        <f t="shared" ref="H8450:H8479" ca="1" si="942">IFERROR(IF(OR(NOT(D8450),F8450&lt;&gt;"Error"),"",A8450&amp;CELL("address",INDIRECT(B8450))),"")</f>
        <v/>
      </c>
      <c r="I8450" s="16" t="str">
        <f t="shared" ref="I8450:I8479" ca="1" si="943">IFERROR(IF(NOT(D8450),"",A8450&amp;CELL("address",INDIRECT(C8450))),"")</f>
        <v/>
      </c>
      <c r="J8450" s="17" t="str">
        <f t="shared" ref="J8450:J8479" si="944">IFERROR(IF(NOT(D8450),"",A8450),"")</f>
        <v/>
      </c>
    </row>
    <row r="8451" spans="1:10" x14ac:dyDescent="0.25">
      <c r="A8451" t="s">
        <v>320</v>
      </c>
      <c r="B8451" t="str">
        <f>ADDRESS(ROW(Transfers!F10),COLUMN(Transfers!F10),4)</f>
        <v>F10</v>
      </c>
      <c r="C8451" t="str">
        <f>ADDRESS(ROW(Transfers!H10),COLUMN(Transfers!H10),4)</f>
        <v>H10</v>
      </c>
      <c r="D8451" t="b">
        <f>IF(AND(NOT(OR(Transfers!A10="Select One",ISBLANK(Transfers!A10))),COUNTA(Transfers!A10,Transfers!B10,Transfers!C10,Transfers!E10,Transfers!F10)&lt;&gt;5),TRUE,FALSE)</f>
        <v>0</v>
      </c>
      <c r="E8451" t="s">
        <v>1032</v>
      </c>
      <c r="F8451" t="str">
        <f>INDEX(Lists!I:I,MATCH(Validation!E8451,Lists!G:G,0))</f>
        <v>Error</v>
      </c>
      <c r="G8451" t="str">
        <f>INDEX(Lists!H:H,MATCH(Validation!E8451,Lists!G:G,0))</f>
        <v xml:space="preserve">Complete entry of all columns on this row. (Enter zero when appropriate.) </v>
      </c>
      <c r="H8451" s="16" t="str">
        <f t="shared" ca="1" si="942"/>
        <v/>
      </c>
      <c r="I8451" s="16" t="str">
        <f t="shared" ca="1" si="943"/>
        <v/>
      </c>
      <c r="J8451" s="17" t="str">
        <f t="shared" si="944"/>
        <v/>
      </c>
    </row>
    <row r="8452" spans="1:10" x14ac:dyDescent="0.25">
      <c r="A8452" t="s">
        <v>320</v>
      </c>
      <c r="B8452" t="str">
        <f>ADDRESS(ROW(Transfers!F11),COLUMN(Transfers!F11),4)</f>
        <v>F11</v>
      </c>
      <c r="C8452" t="str">
        <f>ADDRESS(ROW(Transfers!H11),COLUMN(Transfers!H11),4)</f>
        <v>H11</v>
      </c>
      <c r="D8452" t="b">
        <f>IF(AND(NOT(OR(Transfers!A11="Select One",ISBLANK(Transfers!A11))),COUNTA(Transfers!A11,Transfers!B11,Transfers!C11,Transfers!E11,Transfers!F11)&lt;&gt;5),TRUE,FALSE)</f>
        <v>0</v>
      </c>
      <c r="E8452" t="s">
        <v>1032</v>
      </c>
      <c r="F8452" t="str">
        <f>INDEX(Lists!I:I,MATCH(Validation!E8452,Lists!G:G,0))</f>
        <v>Error</v>
      </c>
      <c r="G8452" t="str">
        <f>INDEX(Lists!H:H,MATCH(Validation!E8452,Lists!G:G,0))</f>
        <v xml:space="preserve">Complete entry of all columns on this row. (Enter zero when appropriate.) </v>
      </c>
      <c r="H8452" s="16" t="str">
        <f t="shared" ca="1" si="942"/>
        <v/>
      </c>
      <c r="I8452" s="16" t="str">
        <f t="shared" ca="1" si="943"/>
        <v/>
      </c>
      <c r="J8452" s="17" t="str">
        <f t="shared" si="944"/>
        <v/>
      </c>
    </row>
    <row r="8453" spans="1:10" x14ac:dyDescent="0.25">
      <c r="A8453" t="s">
        <v>320</v>
      </c>
      <c r="B8453" t="str">
        <f>ADDRESS(ROW(Transfers!F12),COLUMN(Transfers!F12),4)</f>
        <v>F12</v>
      </c>
      <c r="C8453" t="str">
        <f>ADDRESS(ROW(Transfers!H12),COLUMN(Transfers!H12),4)</f>
        <v>H12</v>
      </c>
      <c r="D8453" t="b">
        <f>IF(AND(NOT(OR(Transfers!A12="Select One",ISBLANK(Transfers!A12))),COUNTA(Transfers!A12,Transfers!B12,Transfers!C12,Transfers!E12,Transfers!F12)&lt;&gt;5),TRUE,FALSE)</f>
        <v>0</v>
      </c>
      <c r="E8453" t="s">
        <v>1032</v>
      </c>
      <c r="F8453" t="str">
        <f>INDEX(Lists!I:I,MATCH(Validation!E8453,Lists!G:G,0))</f>
        <v>Error</v>
      </c>
      <c r="G8453" t="str">
        <f>INDEX(Lists!H:H,MATCH(Validation!E8453,Lists!G:G,0))</f>
        <v xml:space="preserve">Complete entry of all columns on this row. (Enter zero when appropriate.) </v>
      </c>
      <c r="H8453" s="16" t="str">
        <f t="shared" ca="1" si="942"/>
        <v/>
      </c>
      <c r="I8453" s="16" t="str">
        <f t="shared" ca="1" si="943"/>
        <v/>
      </c>
      <c r="J8453" s="17" t="str">
        <f t="shared" si="944"/>
        <v/>
      </c>
    </row>
    <row r="8454" spans="1:10" x14ac:dyDescent="0.25">
      <c r="A8454" t="s">
        <v>320</v>
      </c>
      <c r="B8454" t="str">
        <f>ADDRESS(ROW(Transfers!F13),COLUMN(Transfers!F13),4)</f>
        <v>F13</v>
      </c>
      <c r="C8454" t="str">
        <f>ADDRESS(ROW(Transfers!H13),COLUMN(Transfers!H13),4)</f>
        <v>H13</v>
      </c>
      <c r="D8454" t="b">
        <f>IF(AND(NOT(OR(Transfers!A13="Select One",ISBLANK(Transfers!A13))),COUNTA(Transfers!A13,Transfers!B13,Transfers!C13,Transfers!E13,Transfers!F13)&lt;&gt;5),TRUE,FALSE)</f>
        <v>0</v>
      </c>
      <c r="E8454" t="s">
        <v>1032</v>
      </c>
      <c r="F8454" t="str">
        <f>INDEX(Lists!I:I,MATCH(Validation!E8454,Lists!G:G,0))</f>
        <v>Error</v>
      </c>
      <c r="G8454" t="str">
        <f>INDEX(Lists!H:H,MATCH(Validation!E8454,Lists!G:G,0))</f>
        <v xml:space="preserve">Complete entry of all columns on this row. (Enter zero when appropriate.) </v>
      </c>
      <c r="H8454" s="16" t="str">
        <f t="shared" ca="1" si="942"/>
        <v/>
      </c>
      <c r="I8454" s="16" t="str">
        <f t="shared" ca="1" si="943"/>
        <v/>
      </c>
      <c r="J8454" s="17" t="str">
        <f t="shared" si="944"/>
        <v/>
      </c>
    </row>
    <row r="8455" spans="1:10" x14ac:dyDescent="0.25">
      <c r="A8455" t="s">
        <v>320</v>
      </c>
      <c r="B8455" t="str">
        <f>ADDRESS(ROW(Transfers!F14),COLUMN(Transfers!F14),4)</f>
        <v>F14</v>
      </c>
      <c r="C8455" t="str">
        <f>ADDRESS(ROW(Transfers!H14),COLUMN(Transfers!H14),4)</f>
        <v>H14</v>
      </c>
      <c r="D8455" t="b">
        <f>IF(AND(NOT(OR(Transfers!A14="Select One",ISBLANK(Transfers!A14))),COUNTA(Transfers!A14,Transfers!B14,Transfers!C14,Transfers!E14,Transfers!F14)&lt;&gt;5),TRUE,FALSE)</f>
        <v>0</v>
      </c>
      <c r="E8455" t="s">
        <v>1032</v>
      </c>
      <c r="F8455" t="str">
        <f>INDEX(Lists!I:I,MATCH(Validation!E8455,Lists!G:G,0))</f>
        <v>Error</v>
      </c>
      <c r="G8455" t="str">
        <f>INDEX(Lists!H:H,MATCH(Validation!E8455,Lists!G:G,0))</f>
        <v xml:space="preserve">Complete entry of all columns on this row. (Enter zero when appropriate.) </v>
      </c>
      <c r="H8455" s="16" t="str">
        <f t="shared" ca="1" si="942"/>
        <v/>
      </c>
      <c r="I8455" s="16" t="str">
        <f t="shared" ca="1" si="943"/>
        <v/>
      </c>
      <c r="J8455" s="17" t="str">
        <f t="shared" si="944"/>
        <v/>
      </c>
    </row>
    <row r="8456" spans="1:10" x14ac:dyDescent="0.25">
      <c r="A8456" t="s">
        <v>320</v>
      </c>
      <c r="B8456" t="str">
        <f>ADDRESS(ROW(Transfers!F15),COLUMN(Transfers!F15),4)</f>
        <v>F15</v>
      </c>
      <c r="C8456" t="str">
        <f>ADDRESS(ROW(Transfers!H15),COLUMN(Transfers!H15),4)</f>
        <v>H15</v>
      </c>
      <c r="D8456" t="b">
        <f>IF(AND(NOT(OR(Transfers!A15="Select One",ISBLANK(Transfers!A15))),COUNTA(Transfers!A15,Transfers!B15,Transfers!C15,Transfers!E15,Transfers!F15)&lt;&gt;5),TRUE,FALSE)</f>
        <v>0</v>
      </c>
      <c r="E8456" t="s">
        <v>1032</v>
      </c>
      <c r="F8456" t="str">
        <f>INDEX(Lists!I:I,MATCH(Validation!E8456,Lists!G:G,0))</f>
        <v>Error</v>
      </c>
      <c r="G8456" t="str">
        <f>INDEX(Lists!H:H,MATCH(Validation!E8456,Lists!G:G,0))</f>
        <v xml:space="preserve">Complete entry of all columns on this row. (Enter zero when appropriate.) </v>
      </c>
      <c r="H8456" s="16" t="str">
        <f t="shared" ca="1" si="942"/>
        <v/>
      </c>
      <c r="I8456" s="16" t="str">
        <f t="shared" ca="1" si="943"/>
        <v/>
      </c>
      <c r="J8456" s="17" t="str">
        <f t="shared" si="944"/>
        <v/>
      </c>
    </row>
    <row r="8457" spans="1:10" x14ac:dyDescent="0.25">
      <c r="A8457" t="s">
        <v>320</v>
      </c>
      <c r="B8457" t="str">
        <f>ADDRESS(ROW(Transfers!F16),COLUMN(Transfers!F16),4)</f>
        <v>F16</v>
      </c>
      <c r="C8457" t="str">
        <f>ADDRESS(ROW(Transfers!H16),COLUMN(Transfers!H16),4)</f>
        <v>H16</v>
      </c>
      <c r="D8457" t="b">
        <f>IF(AND(NOT(OR(Transfers!A16="Select One",ISBLANK(Transfers!A16))),COUNTA(Transfers!A16,Transfers!B16,Transfers!C16,Transfers!E16,Transfers!F16)&lt;&gt;5),TRUE,FALSE)</f>
        <v>0</v>
      </c>
      <c r="E8457" t="s">
        <v>1032</v>
      </c>
      <c r="F8457" t="str">
        <f>INDEX(Lists!I:I,MATCH(Validation!E8457,Lists!G:G,0))</f>
        <v>Error</v>
      </c>
      <c r="G8457" t="str">
        <f>INDEX(Lists!H:H,MATCH(Validation!E8457,Lists!G:G,0))</f>
        <v xml:space="preserve">Complete entry of all columns on this row. (Enter zero when appropriate.) </v>
      </c>
      <c r="H8457" s="16" t="str">
        <f t="shared" ca="1" si="942"/>
        <v/>
      </c>
      <c r="I8457" s="16" t="str">
        <f t="shared" ca="1" si="943"/>
        <v/>
      </c>
      <c r="J8457" s="17" t="str">
        <f t="shared" si="944"/>
        <v/>
      </c>
    </row>
    <row r="8458" spans="1:10" x14ac:dyDescent="0.25">
      <c r="A8458" t="s">
        <v>320</v>
      </c>
      <c r="B8458" t="str">
        <f>ADDRESS(ROW(Transfers!F17),COLUMN(Transfers!F17),4)</f>
        <v>F17</v>
      </c>
      <c r="C8458" t="str">
        <f>ADDRESS(ROW(Transfers!H17),COLUMN(Transfers!H17),4)</f>
        <v>H17</v>
      </c>
      <c r="D8458" t="b">
        <f>IF(AND(NOT(OR(Transfers!A17="Select One",ISBLANK(Transfers!A17))),COUNTA(Transfers!A17,Transfers!B17,Transfers!C17,Transfers!E17,Transfers!F17)&lt;&gt;5),TRUE,FALSE)</f>
        <v>0</v>
      </c>
      <c r="E8458" t="s">
        <v>1032</v>
      </c>
      <c r="F8458" t="str">
        <f>INDEX(Lists!I:I,MATCH(Validation!E8458,Lists!G:G,0))</f>
        <v>Error</v>
      </c>
      <c r="G8458" t="str">
        <f>INDEX(Lists!H:H,MATCH(Validation!E8458,Lists!G:G,0))</f>
        <v xml:space="preserve">Complete entry of all columns on this row. (Enter zero when appropriate.) </v>
      </c>
      <c r="H8458" s="16" t="str">
        <f t="shared" ca="1" si="942"/>
        <v/>
      </c>
      <c r="I8458" s="16" t="str">
        <f t="shared" ca="1" si="943"/>
        <v/>
      </c>
      <c r="J8458" s="17" t="str">
        <f t="shared" si="944"/>
        <v/>
      </c>
    </row>
    <row r="8459" spans="1:10" x14ac:dyDescent="0.25">
      <c r="A8459" t="s">
        <v>320</v>
      </c>
      <c r="B8459" t="str">
        <f>ADDRESS(ROW(Transfers!F18),COLUMN(Transfers!F18),4)</f>
        <v>F18</v>
      </c>
      <c r="C8459" t="str">
        <f>ADDRESS(ROW(Transfers!H18),COLUMN(Transfers!H18),4)</f>
        <v>H18</v>
      </c>
      <c r="D8459" t="b">
        <f>IF(AND(NOT(OR(Transfers!A18="Select One",ISBLANK(Transfers!A18))),COUNTA(Transfers!A18,Transfers!B18,Transfers!C18,Transfers!E18,Transfers!F18)&lt;&gt;5),TRUE,FALSE)</f>
        <v>0</v>
      </c>
      <c r="E8459" t="s">
        <v>1032</v>
      </c>
      <c r="F8459" t="str">
        <f>INDEX(Lists!I:I,MATCH(Validation!E8459,Lists!G:G,0))</f>
        <v>Error</v>
      </c>
      <c r="G8459" t="str">
        <f>INDEX(Lists!H:H,MATCH(Validation!E8459,Lists!G:G,0))</f>
        <v xml:space="preserve">Complete entry of all columns on this row. (Enter zero when appropriate.) </v>
      </c>
      <c r="H8459" s="16" t="str">
        <f t="shared" ca="1" si="942"/>
        <v/>
      </c>
      <c r="I8459" s="16" t="str">
        <f t="shared" ca="1" si="943"/>
        <v/>
      </c>
      <c r="J8459" s="17" t="str">
        <f t="shared" si="944"/>
        <v/>
      </c>
    </row>
    <row r="8460" spans="1:10" x14ac:dyDescent="0.25">
      <c r="A8460" t="s">
        <v>320</v>
      </c>
      <c r="B8460" t="str">
        <f>ADDRESS(ROW(Transfers!F19),COLUMN(Transfers!F19),4)</f>
        <v>F19</v>
      </c>
      <c r="C8460" t="str">
        <f>ADDRESS(ROW(Transfers!H19),COLUMN(Transfers!H19),4)</f>
        <v>H19</v>
      </c>
      <c r="D8460" t="b">
        <f>IF(AND(NOT(OR(Transfers!A19="Select One",ISBLANK(Transfers!A19))),COUNTA(Transfers!A19,Transfers!B19,Transfers!C19,Transfers!E19,Transfers!F19)&lt;&gt;5),TRUE,FALSE)</f>
        <v>0</v>
      </c>
      <c r="E8460" t="s">
        <v>1032</v>
      </c>
      <c r="F8460" t="str">
        <f>INDEX(Lists!I:I,MATCH(Validation!E8460,Lists!G:G,0))</f>
        <v>Error</v>
      </c>
      <c r="G8460" t="str">
        <f>INDEX(Lists!H:H,MATCH(Validation!E8460,Lists!G:G,0))</f>
        <v xml:space="preserve">Complete entry of all columns on this row. (Enter zero when appropriate.) </v>
      </c>
      <c r="H8460" s="16" t="str">
        <f t="shared" ca="1" si="942"/>
        <v/>
      </c>
      <c r="I8460" s="16" t="str">
        <f t="shared" ca="1" si="943"/>
        <v/>
      </c>
      <c r="J8460" s="17" t="str">
        <f t="shared" si="944"/>
        <v/>
      </c>
    </row>
    <row r="8461" spans="1:10" x14ac:dyDescent="0.25">
      <c r="A8461" t="s">
        <v>320</v>
      </c>
      <c r="B8461" t="str">
        <f>ADDRESS(ROW(Transfers!F20),COLUMN(Transfers!F20),4)</f>
        <v>F20</v>
      </c>
      <c r="C8461" t="str">
        <f>ADDRESS(ROW(Transfers!H20),COLUMN(Transfers!H20),4)</f>
        <v>H20</v>
      </c>
      <c r="D8461" t="b">
        <f>IF(AND(NOT(OR(Transfers!A20="Select One",ISBLANK(Transfers!A20))),COUNTA(Transfers!A20,Transfers!B20,Transfers!C20,Transfers!E20,Transfers!F20)&lt;&gt;5),TRUE,FALSE)</f>
        <v>0</v>
      </c>
      <c r="E8461" t="s">
        <v>1032</v>
      </c>
      <c r="F8461" t="str">
        <f>INDEX(Lists!I:I,MATCH(Validation!E8461,Lists!G:G,0))</f>
        <v>Error</v>
      </c>
      <c r="G8461" t="str">
        <f>INDEX(Lists!H:H,MATCH(Validation!E8461,Lists!G:G,0))</f>
        <v xml:space="preserve">Complete entry of all columns on this row. (Enter zero when appropriate.) </v>
      </c>
      <c r="H8461" s="16" t="str">
        <f t="shared" ca="1" si="942"/>
        <v/>
      </c>
      <c r="I8461" s="16" t="str">
        <f t="shared" ca="1" si="943"/>
        <v/>
      </c>
      <c r="J8461" s="17" t="str">
        <f t="shared" si="944"/>
        <v/>
      </c>
    </row>
    <row r="8462" spans="1:10" x14ac:dyDescent="0.25">
      <c r="A8462" t="s">
        <v>320</v>
      </c>
      <c r="B8462" t="str">
        <f>ADDRESS(ROW(Transfers!F21),COLUMN(Transfers!F21),4)</f>
        <v>F21</v>
      </c>
      <c r="C8462" t="str">
        <f>ADDRESS(ROW(Transfers!H21),COLUMN(Transfers!H21),4)</f>
        <v>H21</v>
      </c>
      <c r="D8462" t="b">
        <f>IF(AND(NOT(OR(Transfers!A21="Select One",ISBLANK(Transfers!A21))),COUNTA(Transfers!A21,Transfers!B21,Transfers!C21,Transfers!E21,Transfers!F21)&lt;&gt;5),TRUE,FALSE)</f>
        <v>0</v>
      </c>
      <c r="E8462" t="s">
        <v>1032</v>
      </c>
      <c r="F8462" t="str">
        <f>INDEX(Lists!I:I,MATCH(Validation!E8462,Lists!G:G,0))</f>
        <v>Error</v>
      </c>
      <c r="G8462" t="str">
        <f>INDEX(Lists!H:H,MATCH(Validation!E8462,Lists!G:G,0))</f>
        <v xml:space="preserve">Complete entry of all columns on this row. (Enter zero when appropriate.) </v>
      </c>
      <c r="H8462" s="16" t="str">
        <f t="shared" ca="1" si="942"/>
        <v/>
      </c>
      <c r="I8462" s="16" t="str">
        <f t="shared" ca="1" si="943"/>
        <v/>
      </c>
      <c r="J8462" s="17" t="str">
        <f t="shared" si="944"/>
        <v/>
      </c>
    </row>
    <row r="8463" spans="1:10" x14ac:dyDescent="0.25">
      <c r="A8463" t="s">
        <v>320</v>
      </c>
      <c r="B8463" t="str">
        <f>ADDRESS(ROW(Transfers!F22),COLUMN(Transfers!F22),4)</f>
        <v>F22</v>
      </c>
      <c r="C8463" t="str">
        <f>ADDRESS(ROW(Transfers!H22),COLUMN(Transfers!H22),4)</f>
        <v>H22</v>
      </c>
      <c r="D8463" t="b">
        <f>IF(AND(NOT(OR(Transfers!A22="Select One",ISBLANK(Transfers!A22))),COUNTA(Transfers!A22,Transfers!B22,Transfers!C22,Transfers!E22,Transfers!F22)&lt;&gt;5),TRUE,FALSE)</f>
        <v>0</v>
      </c>
      <c r="E8463" t="s">
        <v>1032</v>
      </c>
      <c r="F8463" t="str">
        <f>INDEX(Lists!I:I,MATCH(Validation!E8463,Lists!G:G,0))</f>
        <v>Error</v>
      </c>
      <c r="G8463" t="str">
        <f>INDEX(Lists!H:H,MATCH(Validation!E8463,Lists!G:G,0))</f>
        <v xml:space="preserve">Complete entry of all columns on this row. (Enter zero when appropriate.) </v>
      </c>
      <c r="H8463" s="16" t="str">
        <f t="shared" ca="1" si="942"/>
        <v/>
      </c>
      <c r="I8463" s="16" t="str">
        <f t="shared" ca="1" si="943"/>
        <v/>
      </c>
      <c r="J8463" s="17" t="str">
        <f t="shared" si="944"/>
        <v/>
      </c>
    </row>
    <row r="8464" spans="1:10" x14ac:dyDescent="0.25">
      <c r="A8464" t="s">
        <v>320</v>
      </c>
      <c r="B8464" t="str">
        <f>ADDRESS(ROW(Transfers!F23),COLUMN(Transfers!F23),4)</f>
        <v>F23</v>
      </c>
      <c r="C8464" t="str">
        <f>ADDRESS(ROW(Transfers!H23),COLUMN(Transfers!H23),4)</f>
        <v>H23</v>
      </c>
      <c r="D8464" t="b">
        <f>IF(AND(NOT(OR(Transfers!A23="Select One",ISBLANK(Transfers!A23))),COUNTA(Transfers!A23,Transfers!B23,Transfers!C23,Transfers!E23,Transfers!F23)&lt;&gt;5),TRUE,FALSE)</f>
        <v>0</v>
      </c>
      <c r="E8464" t="s">
        <v>1032</v>
      </c>
      <c r="F8464" t="str">
        <f>INDEX(Lists!I:I,MATCH(Validation!E8464,Lists!G:G,0))</f>
        <v>Error</v>
      </c>
      <c r="G8464" t="str">
        <f>INDEX(Lists!H:H,MATCH(Validation!E8464,Lists!G:G,0))</f>
        <v xml:space="preserve">Complete entry of all columns on this row. (Enter zero when appropriate.) </v>
      </c>
      <c r="H8464" s="16" t="str">
        <f t="shared" ca="1" si="942"/>
        <v/>
      </c>
      <c r="I8464" s="16" t="str">
        <f t="shared" ca="1" si="943"/>
        <v/>
      </c>
      <c r="J8464" s="17" t="str">
        <f t="shared" si="944"/>
        <v/>
      </c>
    </row>
    <row r="8465" spans="1:10" x14ac:dyDescent="0.25">
      <c r="A8465" t="s">
        <v>320</v>
      </c>
      <c r="B8465" t="str">
        <f>ADDRESS(ROW(Transfers!F24),COLUMN(Transfers!F24),4)</f>
        <v>F24</v>
      </c>
      <c r="C8465" t="str">
        <f>ADDRESS(ROW(Transfers!H24),COLUMN(Transfers!H24),4)</f>
        <v>H24</v>
      </c>
      <c r="D8465" t="b">
        <f>IF(AND(NOT(OR(Transfers!A24="Select One",ISBLANK(Transfers!A24))),COUNTA(Transfers!A24,Transfers!B24,Transfers!C24,Transfers!E24,Transfers!F24)&lt;&gt;5),TRUE,FALSE)</f>
        <v>0</v>
      </c>
      <c r="E8465" t="s">
        <v>1032</v>
      </c>
      <c r="F8465" t="str">
        <f>INDEX(Lists!I:I,MATCH(Validation!E8465,Lists!G:G,0))</f>
        <v>Error</v>
      </c>
      <c r="G8465" t="str">
        <f>INDEX(Lists!H:H,MATCH(Validation!E8465,Lists!G:G,0))</f>
        <v xml:space="preserve">Complete entry of all columns on this row. (Enter zero when appropriate.) </v>
      </c>
      <c r="H8465" s="16" t="str">
        <f t="shared" ca="1" si="942"/>
        <v/>
      </c>
      <c r="I8465" s="16" t="str">
        <f t="shared" ca="1" si="943"/>
        <v/>
      </c>
      <c r="J8465" s="17" t="str">
        <f t="shared" si="944"/>
        <v/>
      </c>
    </row>
    <row r="8466" spans="1:10" x14ac:dyDescent="0.25">
      <c r="A8466" t="s">
        <v>320</v>
      </c>
      <c r="B8466" t="str">
        <f>ADDRESS(ROW(Transfers!F25),COLUMN(Transfers!F25),4)</f>
        <v>F25</v>
      </c>
      <c r="C8466" t="str">
        <f>ADDRESS(ROW(Transfers!H25),COLUMN(Transfers!H25),4)</f>
        <v>H25</v>
      </c>
      <c r="D8466" t="b">
        <f>IF(AND(NOT(OR(Transfers!A25="Select One",ISBLANK(Transfers!A25))),COUNTA(Transfers!A25,Transfers!B25,Transfers!C25,Transfers!E25,Transfers!F25)&lt;&gt;5),TRUE,FALSE)</f>
        <v>0</v>
      </c>
      <c r="E8466" t="s">
        <v>1032</v>
      </c>
      <c r="F8466" t="str">
        <f>INDEX(Lists!I:I,MATCH(Validation!E8466,Lists!G:G,0))</f>
        <v>Error</v>
      </c>
      <c r="G8466" t="str">
        <f>INDEX(Lists!H:H,MATCH(Validation!E8466,Lists!G:G,0))</f>
        <v xml:space="preserve">Complete entry of all columns on this row. (Enter zero when appropriate.) </v>
      </c>
      <c r="H8466" s="16" t="str">
        <f t="shared" ca="1" si="942"/>
        <v/>
      </c>
      <c r="I8466" s="16" t="str">
        <f t="shared" ca="1" si="943"/>
        <v/>
      </c>
      <c r="J8466" s="17" t="str">
        <f t="shared" si="944"/>
        <v/>
      </c>
    </row>
    <row r="8467" spans="1:10" x14ac:dyDescent="0.25">
      <c r="A8467" t="s">
        <v>320</v>
      </c>
      <c r="B8467" t="str">
        <f>ADDRESS(ROW(Transfers!F26),COLUMN(Transfers!F26),4)</f>
        <v>F26</v>
      </c>
      <c r="C8467" t="str">
        <f>ADDRESS(ROW(Transfers!H26),COLUMN(Transfers!H26),4)</f>
        <v>H26</v>
      </c>
      <c r="D8467" t="b">
        <f>IF(AND(NOT(OR(Transfers!A26="Select One",ISBLANK(Transfers!A26))),COUNTA(Transfers!A26,Transfers!B26,Transfers!C26,Transfers!E26,Transfers!F26)&lt;&gt;5),TRUE,FALSE)</f>
        <v>0</v>
      </c>
      <c r="E8467" t="s">
        <v>1032</v>
      </c>
      <c r="F8467" t="str">
        <f>INDEX(Lists!I:I,MATCH(Validation!E8467,Lists!G:G,0))</f>
        <v>Error</v>
      </c>
      <c r="G8467" t="str">
        <f>INDEX(Lists!H:H,MATCH(Validation!E8467,Lists!G:G,0))</f>
        <v xml:space="preserve">Complete entry of all columns on this row. (Enter zero when appropriate.) </v>
      </c>
      <c r="H8467" s="16" t="str">
        <f t="shared" ca="1" si="942"/>
        <v/>
      </c>
      <c r="I8467" s="16" t="str">
        <f t="shared" ca="1" si="943"/>
        <v/>
      </c>
      <c r="J8467" s="17" t="str">
        <f t="shared" si="944"/>
        <v/>
      </c>
    </row>
    <row r="8468" spans="1:10" x14ac:dyDescent="0.25">
      <c r="A8468" t="s">
        <v>320</v>
      </c>
      <c r="B8468" t="str">
        <f>ADDRESS(ROW(Transfers!F27),COLUMN(Transfers!F27),4)</f>
        <v>F27</v>
      </c>
      <c r="C8468" t="str">
        <f>ADDRESS(ROW(Transfers!H27),COLUMN(Transfers!H27),4)</f>
        <v>H27</v>
      </c>
      <c r="D8468" t="b">
        <f>IF(AND(NOT(OR(Transfers!A27="Select One",ISBLANK(Transfers!A27))),COUNTA(Transfers!A27,Transfers!B27,Transfers!C27,Transfers!E27,Transfers!F27)&lt;&gt;5),TRUE,FALSE)</f>
        <v>0</v>
      </c>
      <c r="E8468" t="s">
        <v>1032</v>
      </c>
      <c r="F8468" t="str">
        <f>INDEX(Lists!I:I,MATCH(Validation!E8468,Lists!G:G,0))</f>
        <v>Error</v>
      </c>
      <c r="G8468" t="str">
        <f>INDEX(Lists!H:H,MATCH(Validation!E8468,Lists!G:G,0))</f>
        <v xml:space="preserve">Complete entry of all columns on this row. (Enter zero when appropriate.) </v>
      </c>
      <c r="H8468" s="16" t="str">
        <f t="shared" ca="1" si="942"/>
        <v/>
      </c>
      <c r="I8468" s="16" t="str">
        <f t="shared" ca="1" si="943"/>
        <v/>
      </c>
      <c r="J8468" s="17" t="str">
        <f t="shared" si="944"/>
        <v/>
      </c>
    </row>
    <row r="8469" spans="1:10" x14ac:dyDescent="0.25">
      <c r="A8469" t="s">
        <v>320</v>
      </c>
      <c r="B8469" t="str">
        <f>ADDRESS(ROW(Transfers!F28),COLUMN(Transfers!F28),4)</f>
        <v>F28</v>
      </c>
      <c r="C8469" t="str">
        <f>ADDRESS(ROW(Transfers!H28),COLUMN(Transfers!H28),4)</f>
        <v>H28</v>
      </c>
      <c r="D8469" t="b">
        <f>IF(AND(NOT(OR(Transfers!A28="Select One",ISBLANK(Transfers!A28))),COUNTA(Transfers!A28,Transfers!B28,Transfers!C28,Transfers!E28,Transfers!F28)&lt;&gt;5),TRUE,FALSE)</f>
        <v>0</v>
      </c>
      <c r="E8469" t="s">
        <v>1032</v>
      </c>
      <c r="F8469" t="str">
        <f>INDEX(Lists!I:I,MATCH(Validation!E8469,Lists!G:G,0))</f>
        <v>Error</v>
      </c>
      <c r="G8469" t="str">
        <f>INDEX(Lists!H:H,MATCH(Validation!E8469,Lists!G:G,0))</f>
        <v xml:space="preserve">Complete entry of all columns on this row. (Enter zero when appropriate.) </v>
      </c>
      <c r="H8469" s="16" t="str">
        <f t="shared" ca="1" si="942"/>
        <v/>
      </c>
      <c r="I8469" s="16" t="str">
        <f t="shared" ca="1" si="943"/>
        <v/>
      </c>
      <c r="J8469" s="17" t="str">
        <f t="shared" si="944"/>
        <v/>
      </c>
    </row>
    <row r="8470" spans="1:10" x14ac:dyDescent="0.25">
      <c r="A8470" t="s">
        <v>320</v>
      </c>
      <c r="B8470" t="str">
        <f>ADDRESS(ROW(Transfers!F29),COLUMN(Transfers!F29),4)</f>
        <v>F29</v>
      </c>
      <c r="C8470" t="str">
        <f>ADDRESS(ROW(Transfers!H29),COLUMN(Transfers!H29),4)</f>
        <v>H29</v>
      </c>
      <c r="D8470" t="b">
        <f>IF(AND(NOT(OR(Transfers!A29="Select One",ISBLANK(Transfers!A29))),COUNTA(Transfers!A29,Transfers!B29,Transfers!C29,Transfers!E29,Transfers!F29)&lt;&gt;5),TRUE,FALSE)</f>
        <v>0</v>
      </c>
      <c r="E8470" t="s">
        <v>1032</v>
      </c>
      <c r="F8470" t="str">
        <f>INDEX(Lists!I:I,MATCH(Validation!E8470,Lists!G:G,0))</f>
        <v>Error</v>
      </c>
      <c r="G8470" t="str">
        <f>INDEX(Lists!H:H,MATCH(Validation!E8470,Lists!G:G,0))</f>
        <v xml:space="preserve">Complete entry of all columns on this row. (Enter zero when appropriate.) </v>
      </c>
      <c r="H8470" s="16" t="str">
        <f t="shared" ca="1" si="942"/>
        <v/>
      </c>
      <c r="I8470" s="16" t="str">
        <f t="shared" ca="1" si="943"/>
        <v/>
      </c>
      <c r="J8470" s="17" t="str">
        <f t="shared" si="944"/>
        <v/>
      </c>
    </row>
    <row r="8471" spans="1:10" x14ac:dyDescent="0.25">
      <c r="A8471" t="s">
        <v>320</v>
      </c>
      <c r="B8471" t="str">
        <f>ADDRESS(ROW(Transfers!F30),COLUMN(Transfers!F30),4)</f>
        <v>F30</v>
      </c>
      <c r="C8471" t="str">
        <f>ADDRESS(ROW(Transfers!H30),COLUMN(Transfers!H30),4)</f>
        <v>H30</v>
      </c>
      <c r="D8471" t="b">
        <f>IF(AND(NOT(OR(Transfers!A30="Select One",ISBLANK(Transfers!A30))),COUNTA(Transfers!A30,Transfers!B30,Transfers!C30,Transfers!E30,Transfers!F30)&lt;&gt;5),TRUE,FALSE)</f>
        <v>0</v>
      </c>
      <c r="E8471" t="s">
        <v>1032</v>
      </c>
      <c r="F8471" t="str">
        <f>INDEX(Lists!I:I,MATCH(Validation!E8471,Lists!G:G,0))</f>
        <v>Error</v>
      </c>
      <c r="G8471" t="str">
        <f>INDEX(Lists!H:H,MATCH(Validation!E8471,Lists!G:G,0))</f>
        <v xml:space="preserve">Complete entry of all columns on this row. (Enter zero when appropriate.) </v>
      </c>
      <c r="H8471" s="16" t="str">
        <f t="shared" ca="1" si="942"/>
        <v/>
      </c>
      <c r="I8471" s="16" t="str">
        <f t="shared" ca="1" si="943"/>
        <v/>
      </c>
      <c r="J8471" s="17" t="str">
        <f t="shared" si="944"/>
        <v/>
      </c>
    </row>
    <row r="8472" spans="1:10" x14ac:dyDescent="0.25">
      <c r="A8472" t="s">
        <v>320</v>
      </c>
      <c r="B8472" t="str">
        <f>ADDRESS(ROW(Transfers!C34),COLUMN(Transfers!C34),4)</f>
        <v>C34</v>
      </c>
      <c r="C8472" t="str">
        <f>ADDRESS(ROW(Transfers!H34),COLUMN(Transfers!H34),4)</f>
        <v>H34</v>
      </c>
      <c r="D8472" t="b" cm="1">
        <f t="array" aca="1" ref="D8472" ca="1">IF(INDIRECT("'"&amp;A8472&amp;"'!"&amp;B8472)="",FALSE,IF(NOT(ISNUMBER(INDIRECT("'"&amp;A8472&amp;"'!"&amp;B8472))),TRUE,FALSE))</f>
        <v>0</v>
      </c>
      <c r="E8472" t="s">
        <v>435</v>
      </c>
      <c r="F8472" t="str">
        <f>INDEX(Lists!I:I,MATCH(Validation!E8472,Lists!G:G,0))</f>
        <v>Error</v>
      </c>
      <c r="G8472" t="str">
        <f>INDEX(Lists!H:H,MATCH(Validation!E8472,Lists!G:G,0))</f>
        <v>Enter an amount only. Do not enter text or spaces.</v>
      </c>
      <c r="H8472" s="16" t="str">
        <f t="shared" ca="1" si="942"/>
        <v/>
      </c>
      <c r="I8472" s="16" t="str">
        <f t="shared" ca="1" si="943"/>
        <v/>
      </c>
      <c r="J8472" s="17" t="str">
        <f t="shared" ca="1" si="944"/>
        <v/>
      </c>
    </row>
    <row r="8473" spans="1:10" x14ac:dyDescent="0.25">
      <c r="A8473" t="s">
        <v>320</v>
      </c>
      <c r="B8473" t="str">
        <f>ADDRESS(ROW(Transfers!D34),COLUMN(Transfers!D34),4)</f>
        <v>D34</v>
      </c>
      <c r="C8473" t="str">
        <f>ADDRESS(ROW(Transfers!H34),COLUMN(Transfers!H34),4)</f>
        <v>H34</v>
      </c>
      <c r="D8473" t="b" cm="1">
        <f t="array" aca="1" ref="D8473" ca="1">IF(INDIRECT("'"&amp;A8473&amp;"'!"&amp;B8473)="",FALSE,IF(NOT(ISNUMBER(INDIRECT("'"&amp;A8473&amp;"'!"&amp;B8473))),TRUE,FALSE))</f>
        <v>0</v>
      </c>
      <c r="E8473" t="s">
        <v>435</v>
      </c>
      <c r="F8473" t="str">
        <f>INDEX(Lists!I:I,MATCH(Validation!E8473,Lists!G:G,0))</f>
        <v>Error</v>
      </c>
      <c r="G8473" t="str">
        <f>INDEX(Lists!H:H,MATCH(Validation!E8473,Lists!G:G,0))</f>
        <v>Enter an amount only. Do not enter text or spaces.</v>
      </c>
      <c r="H8473" s="16" t="str">
        <f t="shared" ca="1" si="942"/>
        <v/>
      </c>
      <c r="I8473" s="16" t="str">
        <f t="shared" ca="1" si="943"/>
        <v/>
      </c>
      <c r="J8473" s="17" t="str">
        <f t="shared" ca="1" si="944"/>
        <v/>
      </c>
    </row>
    <row r="8474" spans="1:10" x14ac:dyDescent="0.25">
      <c r="A8474" t="s">
        <v>320</v>
      </c>
      <c r="B8474" t="str">
        <f>ADDRESS(ROW(Transfers!F34),COLUMN(Transfers!F34),4)</f>
        <v>F34</v>
      </c>
      <c r="C8474" t="str">
        <f>ADDRESS(ROW(Transfers!H34),COLUMN(Transfers!H34),4)</f>
        <v>H34</v>
      </c>
      <c r="D8474" t="b" cm="1">
        <f t="array" aca="1" ref="D8474" ca="1">IF(INDIRECT("'"&amp;A8474&amp;"'!"&amp;B8474)="",FALSE,IF(NOT(ISNUMBER(INDIRECT("'"&amp;A8474&amp;"'!"&amp;B8474))),TRUE,FALSE))</f>
        <v>0</v>
      </c>
      <c r="E8474" t="s">
        <v>435</v>
      </c>
      <c r="F8474" t="str">
        <f>INDEX(Lists!I:I,MATCH(Validation!E8474,Lists!G:G,0))</f>
        <v>Error</v>
      </c>
      <c r="G8474" t="str">
        <f>INDEX(Lists!H:H,MATCH(Validation!E8474,Lists!G:G,0))</f>
        <v>Enter an amount only. Do not enter text or spaces.</v>
      </c>
      <c r="H8474" s="16" t="str">
        <f t="shared" ca="1" si="942"/>
        <v/>
      </c>
      <c r="I8474" s="16" t="str">
        <f t="shared" ca="1" si="943"/>
        <v/>
      </c>
      <c r="J8474" s="17" t="str">
        <f t="shared" ca="1" si="944"/>
        <v/>
      </c>
    </row>
    <row r="8475" spans="1:10" x14ac:dyDescent="0.25">
      <c r="A8475" t="s">
        <v>320</v>
      </c>
      <c r="B8475" t="str">
        <f>ADDRESS(ROW(Transfers!C34),COLUMN(Transfers!C34),4)</f>
        <v>C34</v>
      </c>
      <c r="C8475" t="str">
        <f>ADDRESS(ROW(Transfers!H34),COLUMN(Transfers!H34),4)</f>
        <v>H34</v>
      </c>
      <c r="D8475" t="b" cm="1">
        <f t="array" aca="1" ref="D8475" ca="1">IF(INDIRECT("'"&amp;A8475&amp;"'!"&amp;B8475)="",FALSE,IF(INDIRECT("'"&amp;A8475&amp;"'!"&amp;B8475)&lt;0,TRUE,FALSE))</f>
        <v>0</v>
      </c>
      <c r="E8475" t="s">
        <v>434</v>
      </c>
      <c r="F8475" t="str">
        <f>INDEX(Lists!I:I,MATCH(Validation!E8475,Lists!G:G,0))</f>
        <v>Error</v>
      </c>
      <c r="G8475" t="str">
        <f>INDEX(Lists!H:H,MATCH(Validation!E8475,Lists!G:G,0))</f>
        <v>Amount may not be negative. Enter an amount greater than or equal to zero.</v>
      </c>
      <c r="H8475" s="16" t="str">
        <f t="shared" ca="1" si="942"/>
        <v/>
      </c>
      <c r="I8475" s="16" t="str">
        <f t="shared" ca="1" si="943"/>
        <v/>
      </c>
      <c r="J8475" s="17" t="str">
        <f t="shared" ca="1" si="944"/>
        <v/>
      </c>
    </row>
    <row r="8476" spans="1:10" x14ac:dyDescent="0.25">
      <c r="A8476" t="s">
        <v>320</v>
      </c>
      <c r="B8476" t="str">
        <f>ADDRESS(ROW(Transfers!D34),COLUMN(Transfers!D34),4)</f>
        <v>D34</v>
      </c>
      <c r="C8476" t="str">
        <f>ADDRESS(ROW(Transfers!H34),COLUMN(Transfers!H34),4)</f>
        <v>H34</v>
      </c>
      <c r="D8476" t="b" cm="1">
        <f t="array" aca="1" ref="D8476" ca="1">IF(INDIRECT("'"&amp;A8476&amp;"'!"&amp;B8476)="",FALSE,IF(INDIRECT("'"&amp;A8476&amp;"'!"&amp;B8476)&lt;0,TRUE,FALSE))</f>
        <v>0</v>
      </c>
      <c r="E8476" t="s">
        <v>434</v>
      </c>
      <c r="F8476" t="str">
        <f>INDEX(Lists!I:I,MATCH(Validation!E8476,Lists!G:G,0))</f>
        <v>Error</v>
      </c>
      <c r="G8476" t="str">
        <f>INDEX(Lists!H:H,MATCH(Validation!E8476,Lists!G:G,0))</f>
        <v>Amount may not be negative. Enter an amount greater than or equal to zero.</v>
      </c>
      <c r="H8476" s="16" t="str">
        <f t="shared" ca="1" si="942"/>
        <v/>
      </c>
      <c r="I8476" s="16" t="str">
        <f t="shared" ca="1" si="943"/>
        <v/>
      </c>
      <c r="J8476" s="17" t="str">
        <f t="shared" ca="1" si="944"/>
        <v/>
      </c>
    </row>
    <row r="8477" spans="1:10" x14ac:dyDescent="0.25">
      <c r="A8477" t="s">
        <v>320</v>
      </c>
      <c r="B8477" t="str">
        <f>ADDRESS(ROW(Transfers!F34),COLUMN(Transfers!F34),4)</f>
        <v>F34</v>
      </c>
      <c r="C8477" t="str">
        <f>ADDRESS(ROW(Transfers!H34),COLUMN(Transfers!H34),4)</f>
        <v>H34</v>
      </c>
      <c r="D8477" t="b" cm="1">
        <f t="array" aca="1" ref="D8477" ca="1">IF(INDIRECT("'"&amp;A8477&amp;"'!"&amp;B8477)="",FALSE,IF(INDIRECT("'"&amp;A8477&amp;"'!"&amp;B8477)&lt;0,TRUE,FALSE))</f>
        <v>0</v>
      </c>
      <c r="E8477" t="s">
        <v>434</v>
      </c>
      <c r="F8477" t="str">
        <f>INDEX(Lists!I:I,MATCH(Validation!E8477,Lists!G:G,0))</f>
        <v>Error</v>
      </c>
      <c r="G8477" t="str">
        <f>INDEX(Lists!H:H,MATCH(Validation!E8477,Lists!G:G,0))</f>
        <v>Amount may not be negative. Enter an amount greater than or equal to zero.</v>
      </c>
      <c r="H8477" s="16" t="str">
        <f t="shared" ca="1" si="942"/>
        <v/>
      </c>
      <c r="I8477" s="16" t="str">
        <f t="shared" ca="1" si="943"/>
        <v/>
      </c>
      <c r="J8477" s="17" t="str">
        <f t="shared" ca="1" si="944"/>
        <v/>
      </c>
    </row>
    <row r="8478" spans="1:10" x14ac:dyDescent="0.25">
      <c r="A8478" t="s">
        <v>320</v>
      </c>
      <c r="B8478" t="str">
        <f>ADDRESS(ROW(Transfers!C34),COLUMN(Transfers!C34),4)</f>
        <v>C34</v>
      </c>
      <c r="C8478" t="str">
        <f>ADDRESS(ROW(Transfers!H34),COLUMN(Transfers!H34),4)</f>
        <v>H34</v>
      </c>
      <c r="D8478" t="b" cm="1">
        <f t="array" aca="1" ref="D8478" ca="1">IF(INDIRECT("'"&amp;A8478&amp;"'!"&amp;B8478)="",FALSE,IF(TRUNC(INDIRECT("'"&amp;A8478&amp;"'!"&amp;B8478))=INDIRECT("'"&amp;A8478&amp;"'!"&amp;B8478),FALSE,TRUE))</f>
        <v>0</v>
      </c>
      <c r="E8478" t="s">
        <v>436</v>
      </c>
      <c r="F8478" t="str">
        <f>INDEX(Lists!I:I,MATCH(Validation!E8478,Lists!G:G,0))</f>
        <v>Error</v>
      </c>
      <c r="G8478" t="str">
        <f>INDEX(Lists!H:H,MATCH(Validation!E8478,Lists!G:G,0))</f>
        <v>Amount must be rounded to the nearest dollar.</v>
      </c>
      <c r="H8478" s="16" t="str">
        <f t="shared" ca="1" si="942"/>
        <v/>
      </c>
      <c r="I8478" s="16" t="str">
        <f t="shared" ca="1" si="943"/>
        <v/>
      </c>
      <c r="J8478" s="17" t="str">
        <f t="shared" ca="1" si="944"/>
        <v/>
      </c>
    </row>
    <row r="8479" spans="1:10" x14ac:dyDescent="0.25">
      <c r="A8479" t="s">
        <v>320</v>
      </c>
      <c r="B8479" t="str">
        <f>ADDRESS(ROW(Transfers!D34),COLUMN(Transfers!D34),4)</f>
        <v>D34</v>
      </c>
      <c r="C8479" t="str">
        <f>ADDRESS(ROW(Transfers!H34),COLUMN(Transfers!H34),4)</f>
        <v>H34</v>
      </c>
      <c r="D8479" t="b" cm="1">
        <f t="array" aca="1" ref="D8479" ca="1">IF(INDIRECT("'"&amp;A8479&amp;"'!"&amp;B8479)="",FALSE,IF(TRUNC(INDIRECT("'"&amp;A8479&amp;"'!"&amp;B8479))=INDIRECT("'"&amp;A8479&amp;"'!"&amp;B8479),FALSE,TRUE))</f>
        <v>0</v>
      </c>
      <c r="E8479" t="s">
        <v>436</v>
      </c>
      <c r="F8479" t="str">
        <f>INDEX(Lists!I:I,MATCH(Validation!E8479,Lists!G:G,0))</f>
        <v>Error</v>
      </c>
      <c r="G8479" t="str">
        <f>INDEX(Lists!H:H,MATCH(Validation!E8479,Lists!G:G,0))</f>
        <v>Amount must be rounded to the nearest dollar.</v>
      </c>
      <c r="H8479" s="16" t="str">
        <f t="shared" ca="1" si="942"/>
        <v/>
      </c>
      <c r="I8479" s="16" t="str">
        <f t="shared" ca="1" si="943"/>
        <v/>
      </c>
      <c r="J8479" s="17" t="str">
        <f t="shared" ca="1" si="944"/>
        <v/>
      </c>
    </row>
    <row r="8480" spans="1:10" x14ac:dyDescent="0.25">
      <c r="A8480" t="s">
        <v>320</v>
      </c>
      <c r="B8480" t="str">
        <f>ADDRESS(ROW(Transfers!F34),COLUMN(Transfers!F34),4)</f>
        <v>F34</v>
      </c>
      <c r="C8480" t="str">
        <f>ADDRESS(ROW(Transfers!H34),COLUMN(Transfers!H34),4)</f>
        <v>H34</v>
      </c>
      <c r="D8480" t="b" cm="1">
        <f t="array" aca="1" ref="D8480" ca="1">IF(INDIRECT("'"&amp;A8480&amp;"'!"&amp;B8480)="",FALSE,IF(TRUNC(INDIRECT("'"&amp;A8480&amp;"'!"&amp;B8480))=INDIRECT("'"&amp;A8480&amp;"'!"&amp;B8480),FALSE,TRUE))</f>
        <v>0</v>
      </c>
      <c r="E8480" t="s">
        <v>436</v>
      </c>
      <c r="F8480" t="str">
        <f>INDEX(Lists!I:I,MATCH(Validation!E8480,Lists!G:G,0))</f>
        <v>Error</v>
      </c>
      <c r="G8480" t="str">
        <f>INDEX(Lists!H:H,MATCH(Validation!E8480,Lists!G:G,0))</f>
        <v>Amount must be rounded to the nearest dollar.</v>
      </c>
      <c r="H8480" s="16" t="str">
        <f t="shared" ref="H8480" ca="1" si="945">IFERROR(IF(OR(NOT(D8480),F8480&lt;&gt;"Error"),"",A8480&amp;CELL("address",INDIRECT(B8480))),"")</f>
        <v/>
      </c>
      <c r="I8480" s="16" t="str">
        <f t="shared" ref="I8480" ca="1" si="946">IFERROR(IF(NOT(D8480),"",A8480&amp;CELL("address",INDIRECT(C8480))),"")</f>
        <v/>
      </c>
      <c r="J8480" s="17" t="str">
        <f t="shared" ref="J8480" ca="1" si="947">IFERROR(IF(NOT(D8480),"",A8480),"")</f>
        <v/>
      </c>
    </row>
    <row r="8481" spans="1:10" x14ac:dyDescent="0.25">
      <c r="A8481" t="s">
        <v>320</v>
      </c>
      <c r="B8481" t="str">
        <f>ADDRESS(ROW(Transfers!E34),COLUMN(Transfers!E34),4)</f>
        <v>E34</v>
      </c>
      <c r="C8481" t="str">
        <f>ADDRESS(ROW(Transfers!H34),COLUMN(Transfers!H34),4)</f>
        <v>H34</v>
      </c>
      <c r="D8481" t="b">
        <f>IF(Transfers!E34&gt;Transfers!B34,TRUE,FALSE)</f>
        <v>0</v>
      </c>
      <c r="E8481" t="s">
        <v>1036</v>
      </c>
      <c r="F8481" t="str">
        <f>INDEX(Lists!I:I,MATCH(Validation!E8481,Lists!G:G,0))</f>
        <v>Error</v>
      </c>
      <c r="G8481" t="str">
        <f>INDEX(Lists!H:H,MATCH(Validation!E8481,Lists!G:G,0))</f>
        <v>Expenditures of transferred increment cannot exceed total transfer amount.</v>
      </c>
      <c r="H8481" s="16" t="str">
        <f t="shared" ref="H8481" ca="1" si="948">IFERROR(IF(OR(NOT(D8481),F8481&lt;&gt;"Error"),"",A8481&amp;CELL("address",INDIRECT(B8481))),"")</f>
        <v/>
      </c>
      <c r="I8481" s="16" t="str">
        <f t="shared" ref="I8481" ca="1" si="949">IFERROR(IF(NOT(D8481),"",A8481&amp;CELL("address",INDIRECT(C8481))),"")</f>
        <v/>
      </c>
      <c r="J8481" s="17" t="str">
        <f t="shared" ref="J8481" si="950">IFERROR(IF(NOT(D8481),"",A8481),"")</f>
        <v/>
      </c>
    </row>
    <row r="8482" spans="1:10" x14ac:dyDescent="0.25">
      <c r="A8482" t="s">
        <v>320</v>
      </c>
      <c r="B8482" t="str">
        <f>ADDRESS(ROW(Transfers!G34),COLUMN(Transfers!G34),4)</f>
        <v>G34</v>
      </c>
      <c r="C8482" t="str">
        <f>ADDRESS(ROW(Transfers!H34),COLUMN(Transfers!H34),4)</f>
        <v>H34</v>
      </c>
      <c r="D8482" t="b">
        <f>IF(AND(Year_DestinationYearID&gt;=2025,Transfers!G34&gt;0),TRUE,FALSE)</f>
        <v>0</v>
      </c>
      <c r="E8482" t="s">
        <v>1039</v>
      </c>
      <c r="F8482" t="str">
        <f>INDEX(Lists!I:I,MATCH(Validation!E8482,Lists!G:G,0))</f>
        <v>Alert</v>
      </c>
      <c r="G8482" t="str">
        <f>INDEX(Lists!H:H,MATCH(Validation!E8482,Lists!G:G,0))</f>
        <v>Unspent transfers as of 12/31/2025 were required to be returned to the district!</v>
      </c>
      <c r="H8482" s="16" t="str">
        <f t="shared" ref="H8482" ca="1" si="951">IFERROR(IF(OR(NOT(D8482),F8482&lt;&gt;"Error"),"",A8482&amp;CELL("address",INDIRECT(B8482))),"")</f>
        <v/>
      </c>
      <c r="I8482" s="16" t="str">
        <f t="shared" ref="I8482" ca="1" si="952">IFERROR(IF(NOT(D8482),"",A8482&amp;CELL("address",INDIRECT(C8482))),"")</f>
        <v/>
      </c>
      <c r="J8482" s="17" t="str">
        <f t="shared" ref="J8482" si="953">IFERROR(IF(NOT(D8482),"",A8482),"")</f>
        <v/>
      </c>
    </row>
    <row r="8483" spans="1:10" x14ac:dyDescent="0.25">
      <c r="A8483" t="s">
        <v>320</v>
      </c>
      <c r="B8483" t="str">
        <f>ADDRESS(ROW(Transfers!F34),COLUMN(Transfers!F34),4)</f>
        <v>F34</v>
      </c>
      <c r="C8483" t="str">
        <f>ADDRESS(ROW(Transfers!H34),COLUMN(Transfers!H34),4)</f>
        <v>H34</v>
      </c>
      <c r="D8483" t="b" cm="1">
        <f t="array" ref="D8483">IF(TIF_TemporaryTransfer_TransfersIn&gt;(Transfers!B34-Transfers!E34),TRUE,FALSE)</f>
        <v>0</v>
      </c>
      <c r="E8483" t="s">
        <v>1041</v>
      </c>
      <c r="F8483" t="str">
        <f>INDEX(Lists!I:I,MATCH(Validation!E8483,Lists!G:G,0))</f>
        <v>Error</v>
      </c>
      <c r="G8483" t="str">
        <f>INDEX(Lists!H:H,MATCH(Validation!E8483,Lists!G:G,0))</f>
        <v>Transfer back to district exceeds unspent transfers.</v>
      </c>
      <c r="H8483" s="16" t="str">
        <f t="shared" ref="H8483:H8486" ca="1" si="954">IFERROR(IF(OR(NOT(D8483),F8483&lt;&gt;"Error"),"",A8483&amp;CELL("address",INDIRECT(B8483))),"")</f>
        <v/>
      </c>
      <c r="I8483" s="16" t="str">
        <f t="shared" ref="I8483:I8486" ca="1" si="955">IFERROR(IF(NOT(D8483),"",A8483&amp;CELL("address",INDIRECT(C8483))),"")</f>
        <v/>
      </c>
      <c r="J8483" s="17" t="str">
        <f t="shared" ref="J8483:J8486" si="956">IFERROR(IF(NOT(D8483),"",A8483),"")</f>
        <v/>
      </c>
    </row>
    <row r="8484" spans="1:10" x14ac:dyDescent="0.25">
      <c r="A8484" t="s">
        <v>320</v>
      </c>
      <c r="B8484" t="str">
        <f>ADDRESS(ROW(Transfers!G34),COLUMN(Transfers!G34),4)</f>
        <v>G34</v>
      </c>
      <c r="C8484" t="str">
        <f>ADDRESS(ROW(Transfers!H34),COLUMN(Transfers!H34),4)</f>
        <v>H34</v>
      </c>
      <c r="D8484" t="b">
        <f>IF(AND(TIF_TemporaryTransfer_TransferInd=TRUE,COUNTA(Transfers!C34,Transfers!D34,Transfers!F34)&lt;&gt;3),TRUE,FALSE)</f>
        <v>0</v>
      </c>
      <c r="E8484" t="s">
        <v>1032</v>
      </c>
      <c r="F8484" t="str">
        <f>INDEX(Lists!I:I,MATCH(Validation!E8484,Lists!G:G,0))</f>
        <v>Error</v>
      </c>
      <c r="G8484" t="str">
        <f>INDEX(Lists!H:H,MATCH(Validation!E8484,Lists!G:G,0))</f>
        <v xml:space="preserve">Complete entry of all columns on this row. (Enter zero when appropriate.) </v>
      </c>
      <c r="H8484" s="16" t="str">
        <f t="shared" ca="1" si="954"/>
        <v/>
      </c>
      <c r="I8484" s="16" t="str">
        <f t="shared" ca="1" si="955"/>
        <v/>
      </c>
      <c r="J8484" s="17" t="str">
        <f t="shared" si="956"/>
        <v/>
      </c>
    </row>
    <row r="8485" spans="1:10" x14ac:dyDescent="0.25">
      <c r="A8485" t="s">
        <v>320</v>
      </c>
      <c r="B8485" t="str">
        <f>ADDRESS(ROW(TIF_DistrictYear_UserCommentsTransfers),COLUMN(TIF_DistrictYear_UserCommentsTransfers),4)</f>
        <v>A36</v>
      </c>
      <c r="C8485" t="str">
        <f>ADDRESS(ROW(Transfers!H$35),COLUMN(Transfers!H$35),4)</f>
        <v>H35</v>
      </c>
      <c r="D8485" t="b" cm="1">
        <f t="array" aca="1" ref="D8485" ca="1">IF(ISBLANK(INDIRECT("'"&amp;A8485&amp;"'!"&amp;B8485)),FALSE,IF(LEN(TRIM(CLEAN(INDIRECT("'"&amp;A8485&amp;"'!"&amp;B8485))))&lt;15,TRUE,FALSE))</f>
        <v>0</v>
      </c>
      <c r="E8485" t="s">
        <v>635</v>
      </c>
      <c r="F8485" t="str">
        <f>INDEX(Lists!I:I,MATCH(Validation!E8485,Lists!G:G,0))</f>
        <v>Error</v>
      </c>
      <c r="G8485" t="str">
        <f>INDEX(Lists!H:H,MATCH(Validation!E8485,Lists!G:G,0))</f>
        <v>Insufficient information. Please provide a longer comment.</v>
      </c>
      <c r="H8485" s="25" t="str">
        <f t="shared" ca="1" si="954"/>
        <v/>
      </c>
      <c r="I8485" s="25" t="str">
        <f t="shared" ca="1" si="955"/>
        <v/>
      </c>
      <c r="J8485" s="26" t="str">
        <f t="shared" ca="1" si="956"/>
        <v/>
      </c>
    </row>
    <row r="8486" spans="1:10" x14ac:dyDescent="0.25">
      <c r="A8486" t="s">
        <v>320</v>
      </c>
      <c r="B8486" t="str">
        <f>ADDRESS(ROW(TIF_DistrictYear_UserCommentsTransfers),COLUMN(TIF_DistrictYear_UserCommentsTransfers),4)</f>
        <v>A36</v>
      </c>
      <c r="C8486" t="str">
        <f>ADDRESS(ROW(Transfers!H$35),COLUMN(Transfers!H$35),4)</f>
        <v>H35</v>
      </c>
      <c r="D8486" t="b" cm="1">
        <f t="array" aca="1" ref="D8486" ca="1">IF(LEN(INDIRECT("'"&amp;A8486&amp;"'!"&amp;B8486))&gt;500,TRUE,FALSE)</f>
        <v>0</v>
      </c>
      <c r="E8486" t="s">
        <v>636</v>
      </c>
      <c r="F8486" t="str">
        <f>INDEX(Lists!I:I,MATCH(Validation!E8486,Lists!G:G,0))</f>
        <v>Error</v>
      </c>
      <c r="G8486" t="str">
        <f>INDEX(Lists!H:H,MATCH(Validation!E8486,Lists!G:G,0))</f>
        <v>Comments cannot exceed 500 characters. (Limit length. Send email to further explain.)</v>
      </c>
      <c r="H8486" s="25" t="str">
        <f t="shared" ca="1" si="954"/>
        <v/>
      </c>
      <c r="I8486" s="25" t="str">
        <f t="shared" ca="1" si="955"/>
        <v/>
      </c>
      <c r="J8486" s="26" t="str">
        <f t="shared" ca="1" si="956"/>
        <v/>
      </c>
    </row>
    <row r="8487" spans="1:10" x14ac:dyDescent="0.25">
      <c r="A8487" t="s">
        <v>1102</v>
      </c>
      <c r="B8487" t="str">
        <f>ADDRESS(ROW(TIF_DistrictYear_ExcessReturnedPriorAdj),COLUMN(TIF_DistrictYear_ExcessReturnedPriorAdj),4)</f>
        <v>B7</v>
      </c>
      <c r="C8487" t="str">
        <f>ADDRESS(ROW(Returned!E$7),COLUMN(Returned!E$7),4)</f>
        <v>E7</v>
      </c>
      <c r="D8487" t="b" cm="1">
        <f t="array" aca="1" ref="D8487" ca="1">IF(OR(INDIRECT("'"&amp;A8487&amp;"'!"&amp;B8487)="",ISBLANK(INDIRECT("'"&amp;A8487&amp;"'!"&amp;B8487))),TRUE,FALSE)</f>
        <v>0</v>
      </c>
      <c r="E8487" t="s">
        <v>1140</v>
      </c>
      <c r="F8487" t="str">
        <f>INDEX(Lists!I:I,MATCH(Validation!E8487,Lists!G:G,0))</f>
        <v>Error</v>
      </c>
      <c r="G8487" t="str">
        <f>INDEX(Lists!H:H,MATCH(Validation!E8487,Lists!G:G,0))</f>
        <v>Entry required. Identify each line's share of Prior Years Total. Enter $0 if applicable.</v>
      </c>
      <c r="H8487" s="16" t="str">
        <f t="shared" ref="H8487:H8518" ca="1" si="957">IFERROR(IF(OR(NOT(D8487),F8487&lt;&gt;"Error"),"",A8487&amp;CELL("address",INDIRECT(B8487))),"")</f>
        <v/>
      </c>
      <c r="I8487" s="16" t="str">
        <f t="shared" ref="I8487:I8518" ca="1" si="958">IFERROR(IF(NOT(D8487),"",A8487&amp;CELL("address",INDIRECT(C8487))),"")</f>
        <v/>
      </c>
      <c r="J8487" s="17" t="str">
        <f t="shared" ref="J8487:J8518" ca="1" si="959">IFERROR(IF(NOT(D8487),"",A8487),"")</f>
        <v/>
      </c>
    </row>
    <row r="8488" spans="1:10" x14ac:dyDescent="0.25">
      <c r="A8488" t="s">
        <v>1102</v>
      </c>
      <c r="B8488" t="str">
        <f>ADDRESS(ROW(TIF_DistrictYear_ExcessReturnedPriorAdj),COLUMN(TIF_DistrictYear_ExcessReturnedPriorAdj),4)</f>
        <v>B7</v>
      </c>
      <c r="C8488" t="str">
        <f>ADDRESS(ROW(Returned!E$7),COLUMN(Returned!E$7),4)</f>
        <v>E7</v>
      </c>
      <c r="D8488" t="b" cm="1">
        <f t="array" aca="1" ref="D8488" ca="1">IF(INDIRECT("'"&amp;A8488&amp;"'!"&amp;B8488)="",FALSE,IF(NOT(ISNUMBER(INDIRECT("'"&amp;A8488&amp;"'!"&amp;B8488))),TRUE,FALSE))</f>
        <v>0</v>
      </c>
      <c r="E8488" t="s">
        <v>435</v>
      </c>
      <c r="F8488" t="str">
        <f>INDEX(Lists!I:I,MATCH(Validation!E8488,Lists!G:G,0))</f>
        <v>Error</v>
      </c>
      <c r="G8488" t="str">
        <f>INDEX(Lists!H:H,MATCH(Validation!E8488,Lists!G:G,0))</f>
        <v>Enter an amount only. Do not enter text or spaces.</v>
      </c>
      <c r="H8488" s="16" t="str">
        <f t="shared" ca="1" si="957"/>
        <v/>
      </c>
      <c r="I8488" s="16" t="str">
        <f t="shared" ca="1" si="958"/>
        <v/>
      </c>
      <c r="J8488" s="17" t="str">
        <f t="shared" ca="1" si="959"/>
        <v/>
      </c>
    </row>
    <row r="8489" spans="1:10" x14ac:dyDescent="0.25">
      <c r="A8489" t="s">
        <v>1102</v>
      </c>
      <c r="B8489" t="str">
        <f>ADDRESS(ROW(TIF_DistrictYear_ExcessReturnedPriorAdj),COLUMN(TIF_DistrictYear_ExcessReturnedPriorAdj),4)</f>
        <v>B7</v>
      </c>
      <c r="C8489" t="str">
        <f>ADDRESS(ROW(Returned!E$7),COLUMN(Returned!E$7),4)</f>
        <v>E7</v>
      </c>
      <c r="D8489" t="b" cm="1">
        <f t="array" aca="1" ref="D8489" ca="1">IF(INDIRECT("'"&amp;A8489&amp;"'!"&amp;B8489)="",FALSE,IF(INDIRECT("'"&amp;A8489&amp;"'!"&amp;B8489)&lt;0,TRUE,FALSE))</f>
        <v>0</v>
      </c>
      <c r="E8489" t="s">
        <v>434</v>
      </c>
      <c r="F8489" t="str">
        <f>INDEX(Lists!I:I,MATCH(Validation!E8489,Lists!G:G,0))</f>
        <v>Error</v>
      </c>
      <c r="G8489" t="str">
        <f>INDEX(Lists!H:H,MATCH(Validation!E8489,Lists!G:G,0))</f>
        <v>Amount may not be negative. Enter an amount greater than or equal to zero.</v>
      </c>
      <c r="H8489" s="16" t="str">
        <f t="shared" ca="1" si="957"/>
        <v/>
      </c>
      <c r="I8489" s="16" t="str">
        <f t="shared" ca="1" si="958"/>
        <v/>
      </c>
      <c r="J8489" s="17" t="str">
        <f t="shared" ca="1" si="959"/>
        <v/>
      </c>
    </row>
    <row r="8490" spans="1:10" x14ac:dyDescent="0.25">
      <c r="A8490" t="s">
        <v>1102</v>
      </c>
      <c r="B8490" t="str">
        <f>ADDRESS(ROW(TIF_DistrictYear_ExcessReturnedPriorAdj),COLUMN(TIF_DistrictYear_ExcessReturnedPriorAdj),4)</f>
        <v>B7</v>
      </c>
      <c r="C8490" t="str">
        <f>ADDRESS(ROW(Returned!E$7),COLUMN(Returned!E$7),4)</f>
        <v>E7</v>
      </c>
      <c r="D8490" t="b" cm="1">
        <f t="array" aca="1" ref="D8490" ca="1">IF(INDIRECT("'"&amp;A8490&amp;"'!"&amp;B8490)="",FALSE,IF(TRUNC(INDIRECT("'"&amp;A8490&amp;"'!"&amp;B8490))=INDIRECT("'"&amp;A8490&amp;"'!"&amp;B8490),FALSE,TRUE))</f>
        <v>0</v>
      </c>
      <c r="E8490" t="s">
        <v>436</v>
      </c>
      <c r="F8490" t="str">
        <f>INDEX(Lists!I:I,MATCH(Validation!E8490,Lists!G:G,0))</f>
        <v>Error</v>
      </c>
      <c r="G8490" t="str">
        <f>INDEX(Lists!H:H,MATCH(Validation!E8490,Lists!G:G,0))</f>
        <v>Amount must be rounded to the nearest dollar.</v>
      </c>
      <c r="H8490" s="16" t="str">
        <f t="shared" ca="1" si="957"/>
        <v/>
      </c>
      <c r="I8490" s="16" t="str">
        <f t="shared" ca="1" si="958"/>
        <v/>
      </c>
      <c r="J8490" s="17" t="str">
        <f t="shared" ca="1" si="959"/>
        <v/>
      </c>
    </row>
    <row r="8491" spans="1:10" x14ac:dyDescent="0.25">
      <c r="A8491" t="s">
        <v>1102</v>
      </c>
      <c r="B8491" t="str">
        <f>ADDRESS(ROW(TIF_DistrictYear_SurplusReturnedPriorAdj),COLUMN(TIF_DistrictYear_SurplusReturnedPriorAdj),4)</f>
        <v>B8</v>
      </c>
      <c r="C8491" t="str">
        <f>ADDRESS(ROW(Returned!E$8),COLUMN(Returned!E$8),4)</f>
        <v>E8</v>
      </c>
      <c r="D8491" t="b" cm="1">
        <f t="array" aca="1" ref="D8491" ca="1">IF(OR(INDIRECT("'"&amp;A8491&amp;"'!"&amp;B8491)="",ISBLANK(INDIRECT("'"&amp;A8491&amp;"'!"&amp;B8491))),TRUE,FALSE)</f>
        <v>0</v>
      </c>
      <c r="E8491" t="s">
        <v>1140</v>
      </c>
      <c r="F8491" t="str">
        <f>INDEX(Lists!I:I,MATCH(Validation!E8491,Lists!G:G,0))</f>
        <v>Error</v>
      </c>
      <c r="G8491" t="str">
        <f>INDEX(Lists!H:H,MATCH(Validation!E8491,Lists!G:G,0))</f>
        <v>Entry required. Identify each line's share of Prior Years Total. Enter $0 if applicable.</v>
      </c>
      <c r="H8491" s="16" t="str">
        <f t="shared" ca="1" si="957"/>
        <v/>
      </c>
      <c r="I8491" s="16" t="str">
        <f t="shared" ca="1" si="958"/>
        <v/>
      </c>
      <c r="J8491" s="17" t="str">
        <f t="shared" ca="1" si="959"/>
        <v/>
      </c>
    </row>
    <row r="8492" spans="1:10" x14ac:dyDescent="0.25">
      <c r="A8492" t="s">
        <v>1102</v>
      </c>
      <c r="B8492" t="str">
        <f>ADDRESS(ROW(TIF_DistrictYear_SurplusReturnedPriorAdj),COLUMN(TIF_DistrictYear_SurplusReturnedPriorAdj),4)</f>
        <v>B8</v>
      </c>
      <c r="C8492" t="str">
        <f>ADDRESS(ROW(Returned!E$8),COLUMN(Returned!E$8),4)</f>
        <v>E8</v>
      </c>
      <c r="D8492" t="b" cm="1">
        <f t="array" aca="1" ref="D8492" ca="1">IF(INDIRECT("'"&amp;A8492&amp;"'!"&amp;B8492)="",FALSE,IF(NOT(ISNUMBER(INDIRECT("'"&amp;A8492&amp;"'!"&amp;B8492))),TRUE,FALSE))</f>
        <v>0</v>
      </c>
      <c r="E8492" t="s">
        <v>435</v>
      </c>
      <c r="F8492" t="str">
        <f>INDEX(Lists!I:I,MATCH(Validation!E8492,Lists!G:G,0))</f>
        <v>Error</v>
      </c>
      <c r="G8492" t="str">
        <f>INDEX(Lists!H:H,MATCH(Validation!E8492,Lists!G:G,0))</f>
        <v>Enter an amount only. Do not enter text or spaces.</v>
      </c>
      <c r="H8492" s="16" t="str">
        <f t="shared" ca="1" si="957"/>
        <v/>
      </c>
      <c r="I8492" s="16" t="str">
        <f t="shared" ca="1" si="958"/>
        <v/>
      </c>
      <c r="J8492" s="17" t="str">
        <f t="shared" ca="1" si="959"/>
        <v/>
      </c>
    </row>
    <row r="8493" spans="1:10" x14ac:dyDescent="0.25">
      <c r="A8493" t="s">
        <v>1102</v>
      </c>
      <c r="B8493" t="str">
        <f>ADDRESS(ROW(TIF_DistrictYear_SurplusReturnedPriorAdj),COLUMN(TIF_DistrictYear_SurplusReturnedPriorAdj),4)</f>
        <v>B8</v>
      </c>
      <c r="C8493" t="str">
        <f>ADDRESS(ROW(Returned!E$8),COLUMN(Returned!E$8),4)</f>
        <v>E8</v>
      </c>
      <c r="D8493" t="b" cm="1">
        <f t="array" aca="1" ref="D8493" ca="1">IF(INDIRECT("'"&amp;A8493&amp;"'!"&amp;B8493)="",FALSE,IF(INDIRECT("'"&amp;A8493&amp;"'!"&amp;B8493)&lt;0,TRUE,FALSE))</f>
        <v>0</v>
      </c>
      <c r="E8493" t="s">
        <v>434</v>
      </c>
      <c r="F8493" t="str">
        <f>INDEX(Lists!I:I,MATCH(Validation!E8493,Lists!G:G,0))</f>
        <v>Error</v>
      </c>
      <c r="G8493" t="str">
        <f>INDEX(Lists!H:H,MATCH(Validation!E8493,Lists!G:G,0))</f>
        <v>Amount may not be negative. Enter an amount greater than or equal to zero.</v>
      </c>
      <c r="H8493" s="16" t="str">
        <f t="shared" ca="1" si="957"/>
        <v/>
      </c>
      <c r="I8493" s="16" t="str">
        <f t="shared" ca="1" si="958"/>
        <v/>
      </c>
      <c r="J8493" s="17" t="str">
        <f t="shared" ca="1" si="959"/>
        <v/>
      </c>
    </row>
    <row r="8494" spans="1:10" x14ac:dyDescent="0.25">
      <c r="A8494" t="s">
        <v>1102</v>
      </c>
      <c r="B8494" t="str">
        <f>ADDRESS(ROW(TIF_DistrictYear_SurplusReturnedPriorAdj),COLUMN(TIF_DistrictYear_SurplusReturnedPriorAdj),4)</f>
        <v>B8</v>
      </c>
      <c r="C8494" t="str">
        <f>ADDRESS(ROW(Returned!E$8),COLUMN(Returned!E$8),4)</f>
        <v>E8</v>
      </c>
      <c r="D8494" t="b" cm="1">
        <f t="array" aca="1" ref="D8494" ca="1">IF(INDIRECT("'"&amp;A8494&amp;"'!"&amp;B8494)="",FALSE,IF(TRUNC(INDIRECT("'"&amp;A8494&amp;"'!"&amp;B8494))=INDIRECT("'"&amp;A8494&amp;"'!"&amp;B8494),FALSE,TRUE))</f>
        <v>0</v>
      </c>
      <c r="E8494" t="s">
        <v>436</v>
      </c>
      <c r="F8494" t="str">
        <f>INDEX(Lists!I:I,MATCH(Validation!E8494,Lists!G:G,0))</f>
        <v>Error</v>
      </c>
      <c r="G8494" t="str">
        <f>INDEX(Lists!H:H,MATCH(Validation!E8494,Lists!G:G,0))</f>
        <v>Amount must be rounded to the nearest dollar.</v>
      </c>
      <c r="H8494" s="16" t="str">
        <f t="shared" ca="1" si="957"/>
        <v/>
      </c>
      <c r="I8494" s="16" t="str">
        <f t="shared" ca="1" si="958"/>
        <v/>
      </c>
      <c r="J8494" s="17" t="str">
        <f t="shared" ca="1" si="959"/>
        <v/>
      </c>
    </row>
    <row r="8495" spans="1:10" x14ac:dyDescent="0.25">
      <c r="A8495" t="s">
        <v>1102</v>
      </c>
      <c r="B8495" t="str">
        <f>ADDRESS(ROW(TIF_DistrictYear_RemedyImproperReceiptPriorAdj),COLUMN(TIF_DistrictYear_RemedyImproperReceiptPriorAdj),4)</f>
        <v>B9</v>
      </c>
      <c r="C8495" t="str">
        <f>ADDRESS(ROW(Returned!E$9),COLUMN(Returned!E$9),4)</f>
        <v>E9</v>
      </c>
      <c r="D8495" t="b" cm="1">
        <f t="array" aca="1" ref="D8495" ca="1">IF(OR(INDIRECT("'"&amp;A8495&amp;"'!"&amp;B8495)="",ISBLANK(INDIRECT("'"&amp;A8495&amp;"'!"&amp;B8495))),TRUE,FALSE)</f>
        <v>0</v>
      </c>
      <c r="E8495" t="s">
        <v>1140</v>
      </c>
      <c r="F8495" t="str">
        <f>INDEX(Lists!I:I,MATCH(Validation!E8495,Lists!G:G,0))</f>
        <v>Error</v>
      </c>
      <c r="G8495" t="str">
        <f>INDEX(Lists!H:H,MATCH(Validation!E8495,Lists!G:G,0))</f>
        <v>Entry required. Identify each line's share of Prior Years Total. Enter $0 if applicable.</v>
      </c>
      <c r="H8495" s="16" t="str">
        <f t="shared" ca="1" si="957"/>
        <v/>
      </c>
      <c r="I8495" s="16" t="str">
        <f t="shared" ca="1" si="958"/>
        <v/>
      </c>
      <c r="J8495" s="17" t="str">
        <f t="shared" ca="1" si="959"/>
        <v/>
      </c>
    </row>
    <row r="8496" spans="1:10" x14ac:dyDescent="0.25">
      <c r="A8496" t="s">
        <v>1102</v>
      </c>
      <c r="B8496" t="str">
        <f>ADDRESS(ROW(TIF_DistrictYear_RemedyImproperReceiptPriorAdj),COLUMN(TIF_DistrictYear_RemedyImproperReceiptPriorAdj),4)</f>
        <v>B9</v>
      </c>
      <c r="C8496" t="str">
        <f>ADDRESS(ROW(Returned!E$9),COLUMN(Returned!E$9),4)</f>
        <v>E9</v>
      </c>
      <c r="D8496" t="b" cm="1">
        <f t="array" aca="1" ref="D8496" ca="1">IF(INDIRECT("'"&amp;A8496&amp;"'!"&amp;B8496)="",FALSE,IF(NOT(ISNUMBER(INDIRECT("'"&amp;A8496&amp;"'!"&amp;B8496))),TRUE,FALSE))</f>
        <v>0</v>
      </c>
      <c r="E8496" t="s">
        <v>435</v>
      </c>
      <c r="F8496" t="str">
        <f>INDEX(Lists!I:I,MATCH(Validation!E8496,Lists!G:G,0))</f>
        <v>Error</v>
      </c>
      <c r="G8496" t="str">
        <f>INDEX(Lists!H:H,MATCH(Validation!E8496,Lists!G:G,0))</f>
        <v>Enter an amount only. Do not enter text or spaces.</v>
      </c>
      <c r="H8496" s="16" t="str">
        <f t="shared" ca="1" si="957"/>
        <v/>
      </c>
      <c r="I8496" s="16" t="str">
        <f t="shared" ca="1" si="958"/>
        <v/>
      </c>
      <c r="J8496" s="17" t="str">
        <f t="shared" ca="1" si="959"/>
        <v/>
      </c>
    </row>
    <row r="8497" spans="1:10" x14ac:dyDescent="0.25">
      <c r="A8497" t="s">
        <v>1102</v>
      </c>
      <c r="B8497" t="str">
        <f>ADDRESS(ROW(TIF_DistrictYear_RemedyImproperReceiptPriorAdj),COLUMN(TIF_DistrictYear_RemedyImproperReceiptPriorAdj),4)</f>
        <v>B9</v>
      </c>
      <c r="C8497" t="str">
        <f>ADDRESS(ROW(Returned!E$9),COLUMN(Returned!E$9),4)</f>
        <v>E9</v>
      </c>
      <c r="D8497" t="b" cm="1">
        <f t="array" aca="1" ref="D8497" ca="1">IF(INDIRECT("'"&amp;A8497&amp;"'!"&amp;B8497)="",FALSE,IF(INDIRECT("'"&amp;A8497&amp;"'!"&amp;B8497)&lt;0,TRUE,FALSE))</f>
        <v>0</v>
      </c>
      <c r="E8497" t="s">
        <v>434</v>
      </c>
      <c r="F8497" t="str">
        <f>INDEX(Lists!I:I,MATCH(Validation!E8497,Lists!G:G,0))</f>
        <v>Error</v>
      </c>
      <c r="G8497" t="str">
        <f>INDEX(Lists!H:H,MATCH(Validation!E8497,Lists!G:G,0))</f>
        <v>Amount may not be negative. Enter an amount greater than or equal to zero.</v>
      </c>
      <c r="H8497" s="16" t="str">
        <f t="shared" ca="1" si="957"/>
        <v/>
      </c>
      <c r="I8497" s="16" t="str">
        <f t="shared" ca="1" si="958"/>
        <v/>
      </c>
      <c r="J8497" s="17" t="str">
        <f t="shared" ca="1" si="959"/>
        <v/>
      </c>
    </row>
    <row r="8498" spans="1:10" x14ac:dyDescent="0.25">
      <c r="A8498" t="s">
        <v>1102</v>
      </c>
      <c r="B8498" t="str">
        <f>ADDRESS(ROW(TIF_DistrictYear_RemedyImproperReceiptPriorAdj),COLUMN(TIF_DistrictYear_RemedyImproperReceiptPriorAdj),4)</f>
        <v>B9</v>
      </c>
      <c r="C8498" t="str">
        <f>ADDRESS(ROW(Returned!E$9),COLUMN(Returned!E$9),4)</f>
        <v>E9</v>
      </c>
      <c r="D8498" t="b" cm="1">
        <f t="array" aca="1" ref="D8498" ca="1">IF(INDIRECT("'"&amp;A8498&amp;"'!"&amp;B8498)="",FALSE,IF(TRUNC(INDIRECT("'"&amp;A8498&amp;"'!"&amp;B8498))=INDIRECT("'"&amp;A8498&amp;"'!"&amp;B8498),FALSE,TRUE))</f>
        <v>0</v>
      </c>
      <c r="E8498" t="s">
        <v>436</v>
      </c>
      <c r="F8498" t="str">
        <f>INDEX(Lists!I:I,MATCH(Validation!E8498,Lists!G:G,0))</f>
        <v>Error</v>
      </c>
      <c r="G8498" t="str">
        <f>INDEX(Lists!H:H,MATCH(Validation!E8498,Lists!G:G,0))</f>
        <v>Amount must be rounded to the nearest dollar.</v>
      </c>
      <c r="H8498" s="16" t="str">
        <f t="shared" ca="1" si="957"/>
        <v/>
      </c>
      <c r="I8498" s="16" t="str">
        <f t="shared" ca="1" si="958"/>
        <v/>
      </c>
      <c r="J8498" s="17" t="str">
        <f t="shared" ca="1" si="959"/>
        <v/>
      </c>
    </row>
    <row r="8499" spans="1:10" x14ac:dyDescent="0.25">
      <c r="A8499" t="s">
        <v>1102</v>
      </c>
      <c r="B8499" t="str">
        <f>ADDRESS(ROW(TIF_DistrictYear_RemedyImproperExpendPriorAdj),COLUMN(TIF_DistrictYear_RemedyImproperExpendPriorAdj),4)</f>
        <v>B10</v>
      </c>
      <c r="C8499" t="str">
        <f>ADDRESS(ROW(Returned!E$10),COLUMN(Returned!E$10),4)</f>
        <v>E10</v>
      </c>
      <c r="D8499" t="b" cm="1">
        <f t="array" aca="1" ref="D8499" ca="1">IF(OR(INDIRECT("'"&amp;A8499&amp;"'!"&amp;B8499)="",ISBLANK(INDIRECT("'"&amp;A8499&amp;"'!"&amp;B8499))),TRUE,FALSE)</f>
        <v>0</v>
      </c>
      <c r="E8499" t="s">
        <v>1140</v>
      </c>
      <c r="F8499" t="str">
        <f>INDEX(Lists!I:I,MATCH(Validation!E8499,Lists!G:G,0))</f>
        <v>Error</v>
      </c>
      <c r="G8499" t="str">
        <f>INDEX(Lists!H:H,MATCH(Validation!E8499,Lists!G:G,0))</f>
        <v>Entry required. Identify each line's share of Prior Years Total. Enter $0 if applicable.</v>
      </c>
      <c r="H8499" s="16" t="str">
        <f t="shared" ca="1" si="957"/>
        <v/>
      </c>
      <c r="I8499" s="16" t="str">
        <f t="shared" ca="1" si="958"/>
        <v/>
      </c>
      <c r="J8499" s="17" t="str">
        <f t="shared" ca="1" si="959"/>
        <v/>
      </c>
    </row>
    <row r="8500" spans="1:10" x14ac:dyDescent="0.25">
      <c r="A8500" t="s">
        <v>1102</v>
      </c>
      <c r="B8500" t="str">
        <f>ADDRESS(ROW(TIF_DistrictYear_RemedyImproperExpendPriorAdj),COLUMN(TIF_DistrictYear_RemedyImproperExpendPriorAdj),4)</f>
        <v>B10</v>
      </c>
      <c r="C8500" t="str">
        <f>ADDRESS(ROW(Returned!E$10),COLUMN(Returned!E$10),4)</f>
        <v>E10</v>
      </c>
      <c r="D8500" t="b" cm="1">
        <f t="array" aca="1" ref="D8500" ca="1">IF(INDIRECT("'"&amp;A8500&amp;"'!"&amp;B8500)="",FALSE,IF(NOT(ISNUMBER(INDIRECT("'"&amp;A8500&amp;"'!"&amp;B8500))),TRUE,FALSE))</f>
        <v>0</v>
      </c>
      <c r="E8500" t="s">
        <v>435</v>
      </c>
      <c r="F8500" t="str">
        <f>INDEX(Lists!I:I,MATCH(Validation!E8500,Lists!G:G,0))</f>
        <v>Error</v>
      </c>
      <c r="G8500" t="str">
        <f>INDEX(Lists!H:H,MATCH(Validation!E8500,Lists!G:G,0))</f>
        <v>Enter an amount only. Do not enter text or spaces.</v>
      </c>
      <c r="H8500" s="16" t="str">
        <f t="shared" ca="1" si="957"/>
        <v/>
      </c>
      <c r="I8500" s="16" t="str">
        <f t="shared" ca="1" si="958"/>
        <v/>
      </c>
      <c r="J8500" s="17" t="str">
        <f t="shared" ca="1" si="959"/>
        <v/>
      </c>
    </row>
    <row r="8501" spans="1:10" x14ac:dyDescent="0.25">
      <c r="A8501" t="s">
        <v>1102</v>
      </c>
      <c r="B8501" t="str">
        <f>ADDRESS(ROW(TIF_DistrictYear_RemedyImproperExpendPriorAdj),COLUMN(TIF_DistrictYear_RemedyImproperExpendPriorAdj),4)</f>
        <v>B10</v>
      </c>
      <c r="C8501" t="str">
        <f>ADDRESS(ROW(Returned!E$10),COLUMN(Returned!E$10),4)</f>
        <v>E10</v>
      </c>
      <c r="D8501" t="b" cm="1">
        <f t="array" aca="1" ref="D8501" ca="1">IF(INDIRECT("'"&amp;A8501&amp;"'!"&amp;B8501)="",FALSE,IF(INDIRECT("'"&amp;A8501&amp;"'!"&amp;B8501)&lt;0,TRUE,FALSE))</f>
        <v>0</v>
      </c>
      <c r="E8501" t="s">
        <v>434</v>
      </c>
      <c r="F8501" t="str">
        <f>INDEX(Lists!I:I,MATCH(Validation!E8501,Lists!G:G,0))</f>
        <v>Error</v>
      </c>
      <c r="G8501" t="str">
        <f>INDEX(Lists!H:H,MATCH(Validation!E8501,Lists!G:G,0))</f>
        <v>Amount may not be negative. Enter an amount greater than or equal to zero.</v>
      </c>
      <c r="H8501" s="16" t="str">
        <f t="shared" ca="1" si="957"/>
        <v/>
      </c>
      <c r="I8501" s="16" t="str">
        <f t="shared" ca="1" si="958"/>
        <v/>
      </c>
      <c r="J8501" s="17" t="str">
        <f t="shared" ca="1" si="959"/>
        <v/>
      </c>
    </row>
    <row r="8502" spans="1:10" x14ac:dyDescent="0.25">
      <c r="A8502" t="s">
        <v>1102</v>
      </c>
      <c r="B8502" t="str">
        <f>ADDRESS(ROW(TIF_DistrictYear_RemedyImproperExpendPriorAdj),COLUMN(TIF_DistrictYear_RemedyImproperExpendPriorAdj),4)</f>
        <v>B10</v>
      </c>
      <c r="C8502" t="str">
        <f>ADDRESS(ROW(Returned!E$10),COLUMN(Returned!E$10),4)</f>
        <v>E10</v>
      </c>
      <c r="D8502" t="b" cm="1">
        <f t="array" aca="1" ref="D8502" ca="1">IF(INDIRECT("'"&amp;A8502&amp;"'!"&amp;B8502)="",FALSE,IF(TRUNC(INDIRECT("'"&amp;A8502&amp;"'!"&amp;B8502))=INDIRECT("'"&amp;A8502&amp;"'!"&amp;B8502),FALSE,TRUE))</f>
        <v>0</v>
      </c>
      <c r="E8502" t="s">
        <v>436</v>
      </c>
      <c r="F8502" t="str">
        <f>INDEX(Lists!I:I,MATCH(Validation!E8502,Lists!G:G,0))</f>
        <v>Error</v>
      </c>
      <c r="G8502" t="str">
        <f>INDEX(Lists!H:H,MATCH(Validation!E8502,Lists!G:G,0))</f>
        <v>Amount must be rounded to the nearest dollar.</v>
      </c>
      <c r="H8502" s="16" t="str">
        <f t="shared" ca="1" si="957"/>
        <v/>
      </c>
      <c r="I8502" s="16" t="str">
        <f t="shared" ca="1" si="958"/>
        <v/>
      </c>
      <c r="J8502" s="17" t="str">
        <f t="shared" ca="1" si="959"/>
        <v/>
      </c>
    </row>
    <row r="8503" spans="1:10" x14ac:dyDescent="0.25">
      <c r="A8503" t="s">
        <v>1102</v>
      </c>
      <c r="B8503" t="str">
        <f>ADDRESS(ROW(TIF_DistrictYear_ExcessReturned),COLUMN(TIF_DistrictYear_ExcessReturned),4)</f>
        <v>C7</v>
      </c>
      <c r="C8503" t="str">
        <f>ADDRESS(ROW(Returned!E$7),COLUMN(Returned!E$7),4)</f>
        <v>E7</v>
      </c>
      <c r="D8503" t="b" cm="1">
        <f t="array" aca="1" ref="D8503" ca="1">IF(OR(INDIRECT("'"&amp;A8503&amp;"'!"&amp;B8503)="",ISBLANK(INDIRECT("'"&amp;A8503&amp;"'!"&amp;B8503))),TRUE,FALSE)</f>
        <v>1</v>
      </c>
      <c r="E8503" t="s">
        <v>1141</v>
      </c>
      <c r="F8503" t="str">
        <f>INDEX(Lists!I:I,MATCH(Validation!E8503,Lists!G:G,0))</f>
        <v>Error</v>
      </c>
      <c r="G8503" t="str">
        <f>INDEX(Lists!H:H,MATCH(Validation!E8503,Lists!G:G,0))</f>
        <v>Entry required in 2024 Amount column. Enter $0 if applicable.</v>
      </c>
      <c r="H8503" s="16" t="str">
        <f t="shared" ca="1" si="957"/>
        <v>Returned$C$7</v>
      </c>
      <c r="I8503" s="16" t="str">
        <f t="shared" ca="1" si="958"/>
        <v>Returned$E$7</v>
      </c>
      <c r="J8503" s="17" t="str">
        <f t="shared" ca="1" si="959"/>
        <v>Returned</v>
      </c>
    </row>
    <row r="8504" spans="1:10" x14ac:dyDescent="0.25">
      <c r="A8504" t="s">
        <v>1102</v>
      </c>
      <c r="B8504" t="str">
        <f>ADDRESS(ROW(TIF_DistrictYear_ExcessReturned),COLUMN(TIF_DistrictYear_ExcessReturned),4)</f>
        <v>C7</v>
      </c>
      <c r="C8504" t="str">
        <f>ADDRESS(ROW(Returned!E$7),COLUMN(Returned!E$7),4)</f>
        <v>E7</v>
      </c>
      <c r="D8504" t="b" cm="1">
        <f t="array" aca="1" ref="D8504" ca="1">IF(INDIRECT("'"&amp;A8504&amp;"'!"&amp;B8504)="",FALSE,IF(NOT(ISNUMBER(INDIRECT("'"&amp;A8504&amp;"'!"&amp;B8504))),TRUE,FALSE))</f>
        <v>0</v>
      </c>
      <c r="E8504" t="s">
        <v>435</v>
      </c>
      <c r="F8504" t="str">
        <f>INDEX(Lists!I:I,MATCH(Validation!E8504,Lists!G:G,0))</f>
        <v>Error</v>
      </c>
      <c r="G8504" t="str">
        <f>INDEX(Lists!H:H,MATCH(Validation!E8504,Lists!G:G,0))</f>
        <v>Enter an amount only. Do not enter text or spaces.</v>
      </c>
      <c r="H8504" s="16" t="str">
        <f t="shared" ca="1" si="957"/>
        <v/>
      </c>
      <c r="I8504" s="16" t="str">
        <f t="shared" ca="1" si="958"/>
        <v/>
      </c>
      <c r="J8504" s="17" t="str">
        <f t="shared" ca="1" si="959"/>
        <v/>
      </c>
    </row>
    <row r="8505" spans="1:10" x14ac:dyDescent="0.25">
      <c r="A8505" t="s">
        <v>1102</v>
      </c>
      <c r="B8505" t="str">
        <f>ADDRESS(ROW(TIF_DistrictYear_ExcessReturned),COLUMN(TIF_DistrictYear_ExcessReturned),4)</f>
        <v>C7</v>
      </c>
      <c r="C8505" t="str">
        <f>ADDRESS(ROW(Returned!E$7),COLUMN(Returned!E$7),4)</f>
        <v>E7</v>
      </c>
      <c r="D8505" t="b" cm="1">
        <f t="array" aca="1" ref="D8505" ca="1">IF(INDIRECT("'"&amp;A8505&amp;"'!"&amp;B8505)="",FALSE,IF(INDIRECT("'"&amp;A8505&amp;"'!"&amp;B8505)&lt;0,TRUE,FALSE))</f>
        <v>0</v>
      </c>
      <c r="E8505" t="s">
        <v>434</v>
      </c>
      <c r="F8505" t="str">
        <f>INDEX(Lists!I:I,MATCH(Validation!E8505,Lists!G:G,0))</f>
        <v>Error</v>
      </c>
      <c r="G8505" t="str">
        <f>INDEX(Lists!H:H,MATCH(Validation!E8505,Lists!G:G,0))</f>
        <v>Amount may not be negative. Enter an amount greater than or equal to zero.</v>
      </c>
      <c r="H8505" s="16" t="str">
        <f t="shared" ca="1" si="957"/>
        <v/>
      </c>
      <c r="I8505" s="16" t="str">
        <f t="shared" ca="1" si="958"/>
        <v/>
      </c>
      <c r="J8505" s="17" t="str">
        <f t="shared" ca="1" si="959"/>
        <v/>
      </c>
    </row>
    <row r="8506" spans="1:10" x14ac:dyDescent="0.25">
      <c r="A8506" t="s">
        <v>1102</v>
      </c>
      <c r="B8506" t="str">
        <f>ADDRESS(ROW(TIF_DistrictYear_ExcessReturned),COLUMN(TIF_DistrictYear_ExcessReturned),4)</f>
        <v>C7</v>
      </c>
      <c r="C8506" t="str">
        <f>ADDRESS(ROW(Returned!E$7),COLUMN(Returned!E$7),4)</f>
        <v>E7</v>
      </c>
      <c r="D8506" t="b" cm="1">
        <f t="array" aca="1" ref="D8506" ca="1">IF(INDIRECT("'"&amp;A8506&amp;"'!"&amp;B8506)="",FALSE,IF(TRUNC(INDIRECT("'"&amp;A8506&amp;"'!"&amp;B8506))=INDIRECT("'"&amp;A8506&amp;"'!"&amp;B8506),FALSE,TRUE))</f>
        <v>0</v>
      </c>
      <c r="E8506" t="s">
        <v>436</v>
      </c>
      <c r="F8506" t="str">
        <f>INDEX(Lists!I:I,MATCH(Validation!E8506,Lists!G:G,0))</f>
        <v>Error</v>
      </c>
      <c r="G8506" t="str">
        <f>INDEX(Lists!H:H,MATCH(Validation!E8506,Lists!G:G,0))</f>
        <v>Amount must be rounded to the nearest dollar.</v>
      </c>
      <c r="H8506" s="16" t="str">
        <f t="shared" ca="1" si="957"/>
        <v/>
      </c>
      <c r="I8506" s="16" t="str">
        <f t="shared" ca="1" si="958"/>
        <v/>
      </c>
      <c r="J8506" s="17" t="str">
        <f t="shared" ca="1" si="959"/>
        <v/>
      </c>
    </row>
    <row r="8507" spans="1:10" x14ac:dyDescent="0.25">
      <c r="A8507" t="s">
        <v>1102</v>
      </c>
      <c r="B8507" t="str">
        <f>ADDRESS(ROW(TIF_DistrictYear_SurplusReturned),COLUMN(TIF_DistrictYear_SurplusReturned),4)</f>
        <v>C8</v>
      </c>
      <c r="C8507" t="str">
        <f>ADDRESS(ROW(Returned!E$8),COLUMN(Returned!E$8),4)</f>
        <v>E8</v>
      </c>
      <c r="D8507" t="b" cm="1">
        <f t="array" aca="1" ref="D8507" ca="1">IF(OR(INDIRECT("'"&amp;A8507&amp;"'!"&amp;B8507)="",ISBLANK(INDIRECT("'"&amp;A8507&amp;"'!"&amp;B8507))),TRUE,FALSE)</f>
        <v>1</v>
      </c>
      <c r="E8507" t="s">
        <v>1141</v>
      </c>
      <c r="F8507" t="str">
        <f>INDEX(Lists!I:I,MATCH(Validation!E8507,Lists!G:G,0))</f>
        <v>Error</v>
      </c>
      <c r="G8507" t="str">
        <f>INDEX(Lists!H:H,MATCH(Validation!E8507,Lists!G:G,0))</f>
        <v>Entry required in 2024 Amount column. Enter $0 if applicable.</v>
      </c>
      <c r="H8507" s="16" t="str">
        <f t="shared" ca="1" si="957"/>
        <v>Returned$C$8</v>
      </c>
      <c r="I8507" s="16" t="str">
        <f t="shared" ca="1" si="958"/>
        <v>Returned$E$8</v>
      </c>
      <c r="J8507" s="17" t="str">
        <f t="shared" ca="1" si="959"/>
        <v>Returned</v>
      </c>
    </row>
    <row r="8508" spans="1:10" x14ac:dyDescent="0.25">
      <c r="A8508" t="s">
        <v>1102</v>
      </c>
      <c r="B8508" t="str">
        <f>ADDRESS(ROW(TIF_DistrictYear_SurplusReturned),COLUMN(TIF_DistrictYear_SurplusReturned),4)</f>
        <v>C8</v>
      </c>
      <c r="C8508" t="str">
        <f>ADDRESS(ROW(Returned!E$8),COLUMN(Returned!E$8),4)</f>
        <v>E8</v>
      </c>
      <c r="D8508" t="b" cm="1">
        <f t="array" aca="1" ref="D8508" ca="1">IF(INDIRECT("'"&amp;A8508&amp;"'!"&amp;B8508)="",FALSE,IF(NOT(ISNUMBER(INDIRECT("'"&amp;A8508&amp;"'!"&amp;B8508))),TRUE,FALSE))</f>
        <v>0</v>
      </c>
      <c r="E8508" t="s">
        <v>435</v>
      </c>
      <c r="F8508" t="str">
        <f>INDEX(Lists!I:I,MATCH(Validation!E8508,Lists!G:G,0))</f>
        <v>Error</v>
      </c>
      <c r="G8508" t="str">
        <f>INDEX(Lists!H:H,MATCH(Validation!E8508,Lists!G:G,0))</f>
        <v>Enter an amount only. Do not enter text or spaces.</v>
      </c>
      <c r="H8508" s="16" t="str">
        <f t="shared" ca="1" si="957"/>
        <v/>
      </c>
      <c r="I8508" s="16" t="str">
        <f t="shared" ca="1" si="958"/>
        <v/>
      </c>
      <c r="J8508" s="17" t="str">
        <f t="shared" ca="1" si="959"/>
        <v/>
      </c>
    </row>
    <row r="8509" spans="1:10" x14ac:dyDescent="0.25">
      <c r="A8509" t="s">
        <v>1102</v>
      </c>
      <c r="B8509" t="str">
        <f>ADDRESS(ROW(TIF_DistrictYear_SurplusReturned),COLUMN(TIF_DistrictYear_SurplusReturned),4)</f>
        <v>C8</v>
      </c>
      <c r="C8509" t="str">
        <f>ADDRESS(ROW(Returned!E$8),COLUMN(Returned!E$8),4)</f>
        <v>E8</v>
      </c>
      <c r="D8509" t="b" cm="1">
        <f t="array" aca="1" ref="D8509" ca="1">IF(INDIRECT("'"&amp;A8509&amp;"'!"&amp;B8509)="",FALSE,IF(INDIRECT("'"&amp;A8509&amp;"'!"&amp;B8509)&lt;0,TRUE,FALSE))</f>
        <v>0</v>
      </c>
      <c r="E8509" t="s">
        <v>434</v>
      </c>
      <c r="F8509" t="str">
        <f>INDEX(Lists!I:I,MATCH(Validation!E8509,Lists!G:G,0))</f>
        <v>Error</v>
      </c>
      <c r="G8509" t="str">
        <f>INDEX(Lists!H:H,MATCH(Validation!E8509,Lists!G:G,0))</f>
        <v>Amount may not be negative. Enter an amount greater than or equal to zero.</v>
      </c>
      <c r="H8509" s="16" t="str">
        <f t="shared" ca="1" si="957"/>
        <v/>
      </c>
      <c r="I8509" s="16" t="str">
        <f t="shared" ca="1" si="958"/>
        <v/>
      </c>
      <c r="J8509" s="17" t="str">
        <f t="shared" ca="1" si="959"/>
        <v/>
      </c>
    </row>
    <row r="8510" spans="1:10" x14ac:dyDescent="0.25">
      <c r="A8510" t="s">
        <v>1102</v>
      </c>
      <c r="B8510" t="str">
        <f>ADDRESS(ROW(TIF_DistrictYear_SurplusReturned),COLUMN(TIF_DistrictYear_SurplusReturned),4)</f>
        <v>C8</v>
      </c>
      <c r="C8510" t="str">
        <f>ADDRESS(ROW(Returned!E$8),COLUMN(Returned!E$8),4)</f>
        <v>E8</v>
      </c>
      <c r="D8510" t="b" cm="1">
        <f t="array" aca="1" ref="D8510" ca="1">IF(INDIRECT("'"&amp;A8510&amp;"'!"&amp;B8510)="",FALSE,IF(TRUNC(INDIRECT("'"&amp;A8510&amp;"'!"&amp;B8510))=INDIRECT("'"&amp;A8510&amp;"'!"&amp;B8510),FALSE,TRUE))</f>
        <v>0</v>
      </c>
      <c r="E8510" t="s">
        <v>436</v>
      </c>
      <c r="F8510" t="str">
        <f>INDEX(Lists!I:I,MATCH(Validation!E8510,Lists!G:G,0))</f>
        <v>Error</v>
      </c>
      <c r="G8510" t="str">
        <f>INDEX(Lists!H:H,MATCH(Validation!E8510,Lists!G:G,0))</f>
        <v>Amount must be rounded to the nearest dollar.</v>
      </c>
      <c r="H8510" s="16" t="str">
        <f t="shared" ca="1" si="957"/>
        <v/>
      </c>
      <c r="I8510" s="16" t="str">
        <f t="shared" ca="1" si="958"/>
        <v/>
      </c>
      <c r="J8510" s="17" t="str">
        <f t="shared" ca="1" si="959"/>
        <v/>
      </c>
    </row>
    <row r="8511" spans="1:10" x14ac:dyDescent="0.25">
      <c r="A8511" t="s">
        <v>1102</v>
      </c>
      <c r="B8511" t="str">
        <f>ADDRESS(ROW(TIF_DistrictYear_RemedyImproperReceipt),COLUMN(TIF_DistrictYear_RemedyImproperReceipt),4)</f>
        <v>C9</v>
      </c>
      <c r="C8511" t="str">
        <f>ADDRESS(ROW(Returned!E$9),COLUMN(Returned!E$9),4)</f>
        <v>E9</v>
      </c>
      <c r="D8511" t="b" cm="1">
        <f t="array" aca="1" ref="D8511" ca="1">IF(OR(INDIRECT("'"&amp;A8511&amp;"'!"&amp;B8511)="",ISBLANK(INDIRECT("'"&amp;A8511&amp;"'!"&amp;B8511))),TRUE,FALSE)</f>
        <v>1</v>
      </c>
      <c r="E8511" t="s">
        <v>1141</v>
      </c>
      <c r="F8511" t="str">
        <f>INDEX(Lists!I:I,MATCH(Validation!E8511,Lists!G:G,0))</f>
        <v>Error</v>
      </c>
      <c r="G8511" t="str">
        <f>INDEX(Lists!H:H,MATCH(Validation!E8511,Lists!G:G,0))</f>
        <v>Entry required in 2024 Amount column. Enter $0 if applicable.</v>
      </c>
      <c r="H8511" s="16" t="str">
        <f t="shared" ca="1" si="957"/>
        <v>Returned$C$9</v>
      </c>
      <c r="I8511" s="16" t="str">
        <f t="shared" ca="1" si="958"/>
        <v>Returned$E$9</v>
      </c>
      <c r="J8511" s="17" t="str">
        <f t="shared" ca="1" si="959"/>
        <v>Returned</v>
      </c>
    </row>
    <row r="8512" spans="1:10" x14ac:dyDescent="0.25">
      <c r="A8512" t="s">
        <v>1102</v>
      </c>
      <c r="B8512" t="str">
        <f>ADDRESS(ROW(TIF_DistrictYear_RemedyImproperReceipt),COLUMN(TIF_DistrictYear_RemedyImproperReceipt),4)</f>
        <v>C9</v>
      </c>
      <c r="C8512" t="str">
        <f>ADDRESS(ROW(Returned!E$9),COLUMN(Returned!E$9),4)</f>
        <v>E9</v>
      </c>
      <c r="D8512" t="b" cm="1">
        <f t="array" aca="1" ref="D8512" ca="1">IF(INDIRECT("'"&amp;A8512&amp;"'!"&amp;B8512)="",FALSE,IF(NOT(ISNUMBER(INDIRECT("'"&amp;A8512&amp;"'!"&amp;B8512))),TRUE,FALSE))</f>
        <v>0</v>
      </c>
      <c r="E8512" t="s">
        <v>435</v>
      </c>
      <c r="F8512" t="str">
        <f>INDEX(Lists!I:I,MATCH(Validation!E8512,Lists!G:G,0))</f>
        <v>Error</v>
      </c>
      <c r="G8512" t="str">
        <f>INDEX(Lists!H:H,MATCH(Validation!E8512,Lists!G:G,0))</f>
        <v>Enter an amount only. Do not enter text or spaces.</v>
      </c>
      <c r="H8512" s="16" t="str">
        <f t="shared" ca="1" si="957"/>
        <v/>
      </c>
      <c r="I8512" s="16" t="str">
        <f t="shared" ca="1" si="958"/>
        <v/>
      </c>
      <c r="J8512" s="17" t="str">
        <f t="shared" ca="1" si="959"/>
        <v/>
      </c>
    </row>
    <row r="8513" spans="1:10" x14ac:dyDescent="0.25">
      <c r="A8513" t="s">
        <v>1102</v>
      </c>
      <c r="B8513" t="str">
        <f>ADDRESS(ROW(TIF_DistrictYear_RemedyImproperReceipt),COLUMN(TIF_DistrictYear_RemedyImproperReceipt),4)</f>
        <v>C9</v>
      </c>
      <c r="C8513" t="str">
        <f>ADDRESS(ROW(Returned!E$9),COLUMN(Returned!E$9),4)</f>
        <v>E9</v>
      </c>
      <c r="D8513" t="b" cm="1">
        <f t="array" aca="1" ref="D8513" ca="1">IF(INDIRECT("'"&amp;A8513&amp;"'!"&amp;B8513)="",FALSE,IF(INDIRECT("'"&amp;A8513&amp;"'!"&amp;B8513)&lt;0,TRUE,FALSE))</f>
        <v>0</v>
      </c>
      <c r="E8513" t="s">
        <v>434</v>
      </c>
      <c r="F8513" t="str">
        <f>INDEX(Lists!I:I,MATCH(Validation!E8513,Lists!G:G,0))</f>
        <v>Error</v>
      </c>
      <c r="G8513" t="str">
        <f>INDEX(Lists!H:H,MATCH(Validation!E8513,Lists!G:G,0))</f>
        <v>Amount may not be negative. Enter an amount greater than or equal to zero.</v>
      </c>
      <c r="H8513" s="16" t="str">
        <f t="shared" ca="1" si="957"/>
        <v/>
      </c>
      <c r="I8513" s="16" t="str">
        <f t="shared" ca="1" si="958"/>
        <v/>
      </c>
      <c r="J8513" s="17" t="str">
        <f t="shared" ca="1" si="959"/>
        <v/>
      </c>
    </row>
    <row r="8514" spans="1:10" x14ac:dyDescent="0.25">
      <c r="A8514" t="s">
        <v>1102</v>
      </c>
      <c r="B8514" t="str">
        <f>ADDRESS(ROW(TIF_DistrictYear_RemedyImproperReceipt),COLUMN(TIF_DistrictYear_RemedyImproperReceipt),4)</f>
        <v>C9</v>
      </c>
      <c r="C8514" t="str">
        <f>ADDRESS(ROW(Returned!E$9),COLUMN(Returned!E$9),4)</f>
        <v>E9</v>
      </c>
      <c r="D8514" t="b" cm="1">
        <f t="array" aca="1" ref="D8514" ca="1">IF(INDIRECT("'"&amp;A8514&amp;"'!"&amp;B8514)="",FALSE,IF(TRUNC(INDIRECT("'"&amp;A8514&amp;"'!"&amp;B8514))=INDIRECT("'"&amp;A8514&amp;"'!"&amp;B8514),FALSE,TRUE))</f>
        <v>0</v>
      </c>
      <c r="E8514" t="s">
        <v>436</v>
      </c>
      <c r="F8514" t="str">
        <f>INDEX(Lists!I:I,MATCH(Validation!E8514,Lists!G:G,0))</f>
        <v>Error</v>
      </c>
      <c r="G8514" t="str">
        <f>INDEX(Lists!H:H,MATCH(Validation!E8514,Lists!G:G,0))</f>
        <v>Amount must be rounded to the nearest dollar.</v>
      </c>
      <c r="H8514" s="16" t="str">
        <f t="shared" ca="1" si="957"/>
        <v/>
      </c>
      <c r="I8514" s="16" t="str">
        <f t="shared" ca="1" si="958"/>
        <v/>
      </c>
      <c r="J8514" s="17" t="str">
        <f t="shared" ca="1" si="959"/>
        <v/>
      </c>
    </row>
    <row r="8515" spans="1:10" x14ac:dyDescent="0.25">
      <c r="A8515" t="s">
        <v>1102</v>
      </c>
      <c r="B8515" t="str">
        <f>ADDRESS(ROW(TIF_DistrictYear_RemedyImproperExpend),COLUMN(TIF_DistrictYear_RemedyImproperExpend),4)</f>
        <v>C10</v>
      </c>
      <c r="C8515" t="str">
        <f>ADDRESS(ROW(Returned!E$10),COLUMN(Returned!E$10),4)</f>
        <v>E10</v>
      </c>
      <c r="D8515" t="b" cm="1">
        <f t="array" aca="1" ref="D8515" ca="1">IF(OR(INDIRECT("'"&amp;A8515&amp;"'!"&amp;B8515)="",ISBLANK(INDIRECT("'"&amp;A8515&amp;"'!"&amp;B8515))),TRUE,FALSE)</f>
        <v>1</v>
      </c>
      <c r="E8515" t="s">
        <v>1141</v>
      </c>
      <c r="F8515" t="str">
        <f>INDEX(Lists!I:I,MATCH(Validation!E8515,Lists!G:G,0))</f>
        <v>Error</v>
      </c>
      <c r="G8515" t="str">
        <f>INDEX(Lists!H:H,MATCH(Validation!E8515,Lists!G:G,0))</f>
        <v>Entry required in 2024 Amount column. Enter $0 if applicable.</v>
      </c>
      <c r="H8515" s="16" t="str">
        <f t="shared" ca="1" si="957"/>
        <v>Returned$C$10</v>
      </c>
      <c r="I8515" s="16" t="str">
        <f t="shared" ca="1" si="958"/>
        <v>Returned$E$10</v>
      </c>
      <c r="J8515" s="17" t="str">
        <f t="shared" ca="1" si="959"/>
        <v>Returned</v>
      </c>
    </row>
    <row r="8516" spans="1:10" x14ac:dyDescent="0.25">
      <c r="A8516" t="s">
        <v>1102</v>
      </c>
      <c r="B8516" t="str">
        <f>ADDRESS(ROW(TIF_DistrictYear_RemedyImproperExpend),COLUMN(TIF_DistrictYear_RemedyImproperExpend),4)</f>
        <v>C10</v>
      </c>
      <c r="C8516" t="str">
        <f>ADDRESS(ROW(Returned!E$10),COLUMN(Returned!E$10),4)</f>
        <v>E10</v>
      </c>
      <c r="D8516" t="b" cm="1">
        <f t="array" aca="1" ref="D8516" ca="1">IF(INDIRECT("'"&amp;A8516&amp;"'!"&amp;B8516)="",FALSE,IF(NOT(ISNUMBER(INDIRECT("'"&amp;A8516&amp;"'!"&amp;B8516))),TRUE,FALSE))</f>
        <v>0</v>
      </c>
      <c r="E8516" t="s">
        <v>435</v>
      </c>
      <c r="F8516" t="str">
        <f>INDEX(Lists!I:I,MATCH(Validation!E8516,Lists!G:G,0))</f>
        <v>Error</v>
      </c>
      <c r="G8516" t="str">
        <f>INDEX(Lists!H:H,MATCH(Validation!E8516,Lists!G:G,0))</f>
        <v>Enter an amount only. Do not enter text or spaces.</v>
      </c>
      <c r="H8516" s="16" t="str">
        <f t="shared" ca="1" si="957"/>
        <v/>
      </c>
      <c r="I8516" s="16" t="str">
        <f t="shared" ca="1" si="958"/>
        <v/>
      </c>
      <c r="J8516" s="17" t="str">
        <f t="shared" ca="1" si="959"/>
        <v/>
      </c>
    </row>
    <row r="8517" spans="1:10" x14ac:dyDescent="0.25">
      <c r="A8517" t="s">
        <v>1102</v>
      </c>
      <c r="B8517" t="str">
        <f>ADDRESS(ROW(TIF_DistrictYear_RemedyImproperExpend),COLUMN(TIF_DistrictYear_RemedyImproperExpend),4)</f>
        <v>C10</v>
      </c>
      <c r="C8517" t="str">
        <f>ADDRESS(ROW(Returned!E$10),COLUMN(Returned!E$10),4)</f>
        <v>E10</v>
      </c>
      <c r="D8517" t="b" cm="1">
        <f t="array" aca="1" ref="D8517" ca="1">IF(INDIRECT("'"&amp;A8517&amp;"'!"&amp;B8517)="",FALSE,IF(INDIRECT("'"&amp;A8517&amp;"'!"&amp;B8517)&lt;0,TRUE,FALSE))</f>
        <v>0</v>
      </c>
      <c r="E8517" t="s">
        <v>434</v>
      </c>
      <c r="F8517" t="str">
        <f>INDEX(Lists!I:I,MATCH(Validation!E8517,Lists!G:G,0))</f>
        <v>Error</v>
      </c>
      <c r="G8517" t="str">
        <f>INDEX(Lists!H:H,MATCH(Validation!E8517,Lists!G:G,0))</f>
        <v>Amount may not be negative. Enter an amount greater than or equal to zero.</v>
      </c>
      <c r="H8517" s="16" t="str">
        <f t="shared" ca="1" si="957"/>
        <v/>
      </c>
      <c r="I8517" s="16" t="str">
        <f t="shared" ca="1" si="958"/>
        <v/>
      </c>
      <c r="J8517" s="17" t="str">
        <f t="shared" ca="1" si="959"/>
        <v/>
      </c>
    </row>
    <row r="8518" spans="1:10" x14ac:dyDescent="0.25">
      <c r="A8518" t="s">
        <v>1102</v>
      </c>
      <c r="B8518" t="str">
        <f>ADDRESS(ROW(TIF_DistrictYear_RemedyImproperExpend),COLUMN(TIF_DistrictYear_RemedyImproperExpend),4)</f>
        <v>C10</v>
      </c>
      <c r="C8518" t="str">
        <f>ADDRESS(ROW(Returned!E$10),COLUMN(Returned!E$10),4)</f>
        <v>E10</v>
      </c>
      <c r="D8518" t="b" cm="1">
        <f t="array" aca="1" ref="D8518" ca="1">IF(INDIRECT("'"&amp;A8518&amp;"'!"&amp;B8518)="",FALSE,IF(TRUNC(INDIRECT("'"&amp;A8518&amp;"'!"&amp;B8518))=INDIRECT("'"&amp;A8518&amp;"'!"&amp;B8518),FALSE,TRUE))</f>
        <v>0</v>
      </c>
      <c r="E8518" t="s">
        <v>436</v>
      </c>
      <c r="F8518" t="str">
        <f>INDEX(Lists!I:I,MATCH(Validation!E8518,Lists!G:G,0))</f>
        <v>Error</v>
      </c>
      <c r="G8518" t="str">
        <f>INDEX(Lists!H:H,MATCH(Validation!E8518,Lists!G:G,0))</f>
        <v>Amount must be rounded to the nearest dollar.</v>
      </c>
      <c r="H8518" s="16" t="str">
        <f t="shared" ca="1" si="957"/>
        <v/>
      </c>
      <c r="I8518" s="16" t="str">
        <f t="shared" ca="1" si="958"/>
        <v/>
      </c>
      <c r="J8518" s="17" t="str">
        <f t="shared" ca="1" si="959"/>
        <v/>
      </c>
    </row>
    <row r="8519" spans="1:10" x14ac:dyDescent="0.25">
      <c r="A8519" t="s">
        <v>1102</v>
      </c>
      <c r="B8519" t="str">
        <f>ADDRESS(ROW(Returned!D$11),COLUMN(Returned!D$11),4)</f>
        <v>D11</v>
      </c>
      <c r="C8519" t="str">
        <f>ADDRESS(ROW(Returned!E$11),COLUMN(Returned!E$11),4)</f>
        <v>E11</v>
      </c>
      <c r="D8519" t="b">
        <f>IF(Returned!D11&gt;'Rev Exp Bal'!D15,TRUE,FALSE)</f>
        <v>0</v>
      </c>
      <c r="E8519" t="s">
        <v>1103</v>
      </c>
      <c r="F8519" t="str">
        <f>INDEX(Lists!I:I,MATCH(Validation!E8519,Lists!G:G,0))</f>
        <v>Error</v>
      </c>
      <c r="G8519" t="str">
        <f>INDEX(Lists!H:H,MATCH(Validation!E8519,Lists!G:G,0))</f>
        <v>Returned amt exceeds increment revenues. Enter revenues on next tab or correct entries.</v>
      </c>
      <c r="H8519" s="16" t="str">
        <f t="shared" ref="H8519" ca="1" si="960">IFERROR(IF(OR(NOT(D8519),F8519&lt;&gt;"Error"),"",A8519&amp;CELL("address",INDIRECT(B8519))),"")</f>
        <v/>
      </c>
      <c r="I8519" s="16" t="str">
        <f t="shared" ref="I8519" ca="1" si="961">IFERROR(IF(NOT(D8519),"",A8519&amp;CELL("address",INDIRECT(C8519))),"")</f>
        <v/>
      </c>
      <c r="J8519" s="17" t="str">
        <f t="shared" ref="J8519" si="962">IFERROR(IF(NOT(D8519),"",A8519),"")</f>
        <v/>
      </c>
    </row>
    <row r="8520" spans="1:10" x14ac:dyDescent="0.25">
      <c r="A8520" t="s">
        <v>1102</v>
      </c>
      <c r="B8520" t="str">
        <f>ADDRESS(ROW(TIF_DistrictYear_ReturnedToCountyPriorAdj),COLUMN(TIF_DistrictYear_ReturnedToCountyPriorAdj),4)</f>
        <v>B11</v>
      </c>
      <c r="C8520" t="str">
        <f>ADDRESS(ROW(Returned!E$11),COLUMN(Returned!E$11),4)</f>
        <v>E11</v>
      </c>
      <c r="D8520" t="b">
        <f>IF(OR(ISBLANK(TIF_DistrictYear_ExcessReturnedPriorAdj),ISBLANK(TIF_DistrictYear_SurplusReturnedPriorAdj),ISBLANK(TIF_DistrictYear_RemedyImproperReceiptPriorAdj),ISBLANK(TIF_DistrictYear_RemedyImproperExpendPriorAdj)),FALSE,IF(SUM(Returned!B7:B10)&lt;&gt;TIF_DistrictYear_ReturnedToCountyPriorAdj,TRUE,FALSE))</f>
        <v>0</v>
      </c>
      <c r="E8520" t="s">
        <v>1142</v>
      </c>
      <c r="F8520" t="str">
        <f>INDEX(Lists!I:I,MATCH(Validation!E8520,Lists!G:G,0))</f>
        <v>Error</v>
      </c>
      <c r="G8520" t="str">
        <f>INDEX(Lists!H:H,MATCH(Validation!E8520,Lists!G:G,0))</f>
        <v>Prior Year line entries do not equal total. Make corrections. Comment if total changed.</v>
      </c>
      <c r="H8520" s="16" t="str">
        <f t="shared" ref="H8520:H8522" ca="1" si="963">IFERROR(IF(OR(NOT(D8520),F8520&lt;&gt;"Error"),"",A8520&amp;CELL("address",INDIRECT(B8520))),"")</f>
        <v/>
      </c>
      <c r="I8520" s="16" t="str">
        <f t="shared" ref="I8520:I8522" ca="1" si="964">IFERROR(IF(NOT(D8520),"",A8520&amp;CELL("address",INDIRECT(C8520))),"")</f>
        <v/>
      </c>
      <c r="J8520" s="17" t="str">
        <f t="shared" ref="J8520:J8522" si="965">IFERROR(IF(NOT(D8520),"",A8520),"")</f>
        <v/>
      </c>
    </row>
    <row r="8521" spans="1:10" x14ac:dyDescent="0.25">
      <c r="A8521" t="s">
        <v>1102</v>
      </c>
      <c r="B8521" t="str">
        <f>ADDRESS(ROW(TIF_DistrictYear_UserCommentsReturned),COLUMN(TIF_DistrictYear_UserCommentsReturned),4)</f>
        <v>A13</v>
      </c>
      <c r="C8521" t="str">
        <f>ADDRESS(ROW(Returned!E$12),COLUMN(Returned!E$12),4)</f>
        <v>E12</v>
      </c>
      <c r="D8521" t="b" cm="1">
        <f t="array" aca="1" ref="D8521" ca="1">IF(ISBLANK(INDIRECT("'"&amp;A8521&amp;"'!"&amp;B8521)),FALSE,IF(LEN(TRIM(CLEAN(INDIRECT("'"&amp;A8521&amp;"'!"&amp;B8521))))&lt;15,TRUE,FALSE))</f>
        <v>0</v>
      </c>
      <c r="E8521" t="s">
        <v>635</v>
      </c>
      <c r="F8521" t="str">
        <f>INDEX(Lists!I:I,MATCH(Validation!E8521,Lists!G:G,0))</f>
        <v>Error</v>
      </c>
      <c r="G8521" t="str">
        <f>INDEX(Lists!H:H,MATCH(Validation!E8521,Lists!G:G,0))</f>
        <v>Insufficient information. Please provide a longer comment.</v>
      </c>
      <c r="H8521" s="25" t="str">
        <f t="shared" ca="1" si="963"/>
        <v/>
      </c>
      <c r="I8521" s="25" t="str">
        <f t="shared" ca="1" si="964"/>
        <v/>
      </c>
      <c r="J8521" s="26" t="str">
        <f t="shared" ca="1" si="965"/>
        <v/>
      </c>
    </row>
    <row r="8522" spans="1:10" x14ac:dyDescent="0.25">
      <c r="A8522" t="s">
        <v>1102</v>
      </c>
      <c r="B8522" t="str">
        <f>ADDRESS(ROW(TIF_DistrictYear_UserCommentsReturned),COLUMN(TIF_DistrictYear_UserCommentsReturned),4)</f>
        <v>A13</v>
      </c>
      <c r="C8522" t="str">
        <f>ADDRESS(ROW(Returned!E$12),COLUMN(Returned!E$12),4)</f>
        <v>E12</v>
      </c>
      <c r="D8522" t="b" cm="1">
        <f t="array" aca="1" ref="D8522" ca="1">IF(LEN(INDIRECT("'"&amp;A8522&amp;"'!"&amp;B8522))&gt;500,TRUE,FALSE)</f>
        <v>0</v>
      </c>
      <c r="E8522" t="s">
        <v>636</v>
      </c>
      <c r="F8522" t="str">
        <f>INDEX(Lists!I:I,MATCH(Validation!E8522,Lists!G:G,0))</f>
        <v>Error</v>
      </c>
      <c r="G8522" t="str">
        <f>INDEX(Lists!H:H,MATCH(Validation!E8522,Lists!G:G,0))</f>
        <v>Comments cannot exceed 500 characters. (Limit length. Send email to further explain.)</v>
      </c>
      <c r="H8522" s="25" t="str">
        <f t="shared" ca="1" si="963"/>
        <v/>
      </c>
      <c r="I8522" s="25" t="str">
        <f t="shared" ca="1" si="964"/>
        <v/>
      </c>
      <c r="J8522" s="26" t="str">
        <f t="shared" ca="1" si="965"/>
        <v/>
      </c>
    </row>
    <row r="8523" spans="1:10" x14ac:dyDescent="0.25">
      <c r="A8523" t="s">
        <v>1003</v>
      </c>
      <c r="B8523" t="str">
        <f>ADDRESS(ROW(TIF_DistrictYear_OtherSourcesUsesPriorAdj_Entry),COLUMN(TIF_DistrictYear_OtherSourcesUsesPriorAdj_Entry),4)</f>
        <v>B36</v>
      </c>
      <c r="C8523" t="str">
        <f>ADDRESS(ROW('Rev Exp Bal'!E$36),COLUMN('Rev Exp Bal'!E$36),4)</f>
        <v>E36</v>
      </c>
      <c r="D8523" t="b" cm="1">
        <f t="array" aca="1" ref="D8523" ca="1">IF(INDIRECT("'"&amp;A8523&amp;"'!"&amp;B8523)="",FALSE,IF(NOT(ISNUMBER(INDIRECT("'"&amp;A8523&amp;"'!"&amp;B8523))),TRUE,FALSE))</f>
        <v>0</v>
      </c>
      <c r="E8523" t="s">
        <v>435</v>
      </c>
      <c r="F8523" t="str">
        <f>INDEX(Lists!I:I,MATCH(Validation!E8523,Lists!G:G,0))</f>
        <v>Error</v>
      </c>
      <c r="G8523" t="str">
        <f>INDEX(Lists!H:H,MATCH(Validation!E8523,Lists!G:G,0))</f>
        <v>Enter an amount only. Do not enter text or spaces.</v>
      </c>
      <c r="H8523" s="16" t="str">
        <f ca="1">IFERROR(IF(OR(NOT(D8523),F8523&lt;&gt;"Error"),"",A8523&amp;CELL("address",INDIRECT(B8523))),"")</f>
        <v/>
      </c>
      <c r="I8523" s="16" t="str">
        <f ca="1">IFERROR(IF(NOT(D8523),"",A8523&amp;CELL("address",INDIRECT(C8523))),"")</f>
        <v/>
      </c>
      <c r="J8523" s="17" t="str">
        <f ca="1">IFERROR(IF(NOT(D8523),"",A8523),"")</f>
        <v/>
      </c>
    </row>
    <row r="8524" spans="1:10" x14ac:dyDescent="0.25">
      <c r="A8524" t="s">
        <v>1003</v>
      </c>
      <c r="B8524" t="str">
        <f>ADDRESS(ROW(TIF_DistrictYear_OtherSourcesUsesPriorAdj_Entry),COLUMN(TIF_DistrictYear_OtherSourcesUsesPriorAdj_Entry),4)</f>
        <v>B36</v>
      </c>
      <c r="C8524" t="str">
        <f>ADDRESS(ROW('Rev Exp Bal'!E$36),COLUMN('Rev Exp Bal'!E$36),4)</f>
        <v>E36</v>
      </c>
      <c r="D8524" t="b" cm="1">
        <f t="array" aca="1" ref="D8524" ca="1">IF(INDIRECT("'"&amp;A8524&amp;"'!"&amp;B8524)="",FALSE,IF(INDIRECT("'"&amp;A8524&amp;"'!"&amp;B8524)&lt;0,TRUE,FALSE))</f>
        <v>0</v>
      </c>
      <c r="E8524" t="s">
        <v>434</v>
      </c>
      <c r="F8524" t="str">
        <f>INDEX(Lists!I:I,MATCH(Validation!E8524,Lists!G:G,0))</f>
        <v>Error</v>
      </c>
      <c r="G8524" t="str">
        <f>INDEX(Lists!H:H,MATCH(Validation!E8524,Lists!G:G,0))</f>
        <v>Amount may not be negative. Enter an amount greater than or equal to zero.</v>
      </c>
      <c r="H8524" s="16" t="str">
        <f ca="1">IFERROR(IF(OR(NOT(D8524),F8524&lt;&gt;"Error"),"",A8524&amp;CELL("address",INDIRECT(B8524))),"")</f>
        <v/>
      </c>
      <c r="I8524" s="16" t="str">
        <f ca="1">IFERROR(IF(NOT(D8524),"",A8524&amp;CELL("address",INDIRECT(C8524))),"")</f>
        <v/>
      </c>
      <c r="J8524" s="17" t="str">
        <f ca="1">IFERROR(IF(NOT(D8524),"",A8524),"")</f>
        <v/>
      </c>
    </row>
    <row r="8525" spans="1:10" x14ac:dyDescent="0.25">
      <c r="A8525" t="s">
        <v>1003</v>
      </c>
      <c r="B8525" t="str">
        <f>ADDRESS(ROW(TIF_DistrictYear_OtherSourcesUsesPriorAdj_Entry),COLUMN(TIF_DistrictYear_OtherSourcesUsesPriorAdj_Entry),4)</f>
        <v>B36</v>
      </c>
      <c r="C8525" t="str">
        <f>ADDRESS(ROW('Rev Exp Bal'!E$36),COLUMN('Rev Exp Bal'!E$36),4)</f>
        <v>E36</v>
      </c>
      <c r="D8525" t="b" cm="1">
        <f t="array" aca="1" ref="D8525" ca="1">IF(INDIRECT("'"&amp;A8525&amp;"'!"&amp;B8525)="",FALSE,IF(TRUNC(INDIRECT("'"&amp;A8525&amp;"'!"&amp;B8525))=INDIRECT("'"&amp;A8525&amp;"'!"&amp;B8525),FALSE,TRUE))</f>
        <v>0</v>
      </c>
      <c r="E8525" t="s">
        <v>436</v>
      </c>
      <c r="F8525" t="str">
        <f>INDEX(Lists!I:I,MATCH(Validation!E8525,Lists!G:G,0))</f>
        <v>Error</v>
      </c>
      <c r="G8525" t="str">
        <f>INDEX(Lists!H:H,MATCH(Validation!E8525,Lists!G:G,0))</f>
        <v>Amount must be rounded to the nearest dollar.</v>
      </c>
      <c r="H8525" s="16" t="str">
        <f ca="1">IFERROR(IF(OR(NOT(D8525),F8525&lt;&gt;"Error"),"",A8525&amp;CELL("address",INDIRECT(B8525))),"")</f>
        <v/>
      </c>
      <c r="I8525" s="16" t="str">
        <f ca="1">IFERROR(IF(NOT(D8525),"",A8525&amp;CELL("address",INDIRECT(C8525))),"")</f>
        <v/>
      </c>
      <c r="J8525" s="17" t="str">
        <f ca="1">IFERROR(IF(NOT(D8525),"",A8525),"")</f>
        <v/>
      </c>
    </row>
    <row r="8526" spans="1:10" x14ac:dyDescent="0.25">
      <c r="A8526" t="s">
        <v>1003</v>
      </c>
      <c r="B8526" t="str">
        <f>ADDRESS(ROW(TIF_DistrictYear_OtherSourcesUses),COLUMN(TIF_DistrictYear_OtherSourcesUses),4)</f>
        <v>C36</v>
      </c>
      <c r="C8526" t="str">
        <f>ADDRESS(ROW('Rev Exp Bal'!E$36),COLUMN('Rev Exp Bal'!E$36),4)</f>
        <v>E36</v>
      </c>
      <c r="D8526" t="b" cm="1">
        <f t="array" aca="1" ref="D8526" ca="1">IF(OR(INDIRECT("'"&amp;A8526&amp;"'!"&amp;B8526)="",ISBLANK(INDIRECT("'"&amp;A8526&amp;"'!"&amp;B8526))),TRUE,FALSE)</f>
        <v>1</v>
      </c>
      <c r="E8526" t="s">
        <v>495</v>
      </c>
      <c r="F8526" t="str">
        <f>INDEX(Lists!I:I,MATCH(Validation!E8526,Lists!G:G,0))</f>
        <v>Error</v>
      </c>
      <c r="G8526" t="str">
        <f>INDEX(Lists!H:H,MATCH(Validation!E8526,Lists!G:G,0))</f>
        <v>Entry required.</v>
      </c>
      <c r="H8526" s="16" t="str">
        <f t="shared" ref="H8526" ca="1" si="966">IFERROR(IF(OR(NOT(D8526),F8526&lt;&gt;"Error"),"",A8526&amp;CELL("address",INDIRECT(B8526))),"")</f>
        <v>Rev Exp Bal$C$36</v>
      </c>
      <c r="I8526" s="16" t="str">
        <f t="shared" ref="I8526" ca="1" si="967">IFERROR(IF(NOT(D8526),"",A8526&amp;CELL("address",INDIRECT(C8526))),"")</f>
        <v>Rev Exp Bal$E$36</v>
      </c>
      <c r="J8526" s="17" t="str">
        <f t="shared" ref="J8526" ca="1" si="968">IFERROR(IF(NOT(D8526),"",A8526),"")</f>
        <v>Rev Exp Bal</v>
      </c>
    </row>
    <row r="8527" spans="1:10" x14ac:dyDescent="0.25">
      <c r="A8527" t="s">
        <v>1003</v>
      </c>
      <c r="B8527" t="str">
        <f>ADDRESS(ROW(TIF_DistrictYear_OtherSourcesUses),COLUMN(TIF_DistrictYear_OtherSourcesUses),4)</f>
        <v>C36</v>
      </c>
      <c r="C8527" t="str">
        <f>ADDRESS(ROW('Rev Exp Bal'!E$36),COLUMN('Rev Exp Bal'!E$36),4)</f>
        <v>E36</v>
      </c>
      <c r="D8527" t="b" cm="1">
        <f t="array" aca="1" ref="D8527" ca="1">IF(INDIRECT("'"&amp;A8527&amp;"'!"&amp;B8527)="",FALSE,IF(NOT(ISNUMBER(INDIRECT("'"&amp;A8527&amp;"'!"&amp;B8527))),TRUE,FALSE))</f>
        <v>0</v>
      </c>
      <c r="E8527" t="s">
        <v>435</v>
      </c>
      <c r="F8527" t="str">
        <f>INDEX(Lists!I:I,MATCH(Validation!E8527,Lists!G:G,0))</f>
        <v>Error</v>
      </c>
      <c r="G8527" t="str">
        <f>INDEX(Lists!H:H,MATCH(Validation!E8527,Lists!G:G,0))</f>
        <v>Enter an amount only. Do not enter text or spaces.</v>
      </c>
      <c r="H8527" s="16" t="str">
        <f ca="1">IFERROR(IF(OR(NOT(D8527),F8527&lt;&gt;"Error"),"",A8527&amp;CELL("address",INDIRECT(B8527))),"")</f>
        <v/>
      </c>
      <c r="I8527" s="16" t="str">
        <f ca="1">IFERROR(IF(NOT(D8527),"",A8527&amp;CELL("address",INDIRECT(C8527))),"")</f>
        <v/>
      </c>
      <c r="J8527" s="17" t="str">
        <f ca="1">IFERROR(IF(NOT(D8527),"",A8527),"")</f>
        <v/>
      </c>
    </row>
    <row r="8528" spans="1:10" x14ac:dyDescent="0.25">
      <c r="A8528" t="s">
        <v>1003</v>
      </c>
      <c r="B8528" t="str">
        <f>ADDRESS(ROW(TIF_DistrictYear_OtherSourcesUses),COLUMN(TIF_DistrictYear_OtherSourcesUses),4)</f>
        <v>C36</v>
      </c>
      <c r="C8528" t="str">
        <f>ADDRESS(ROW('Rev Exp Bal'!E$36),COLUMN('Rev Exp Bal'!E$36),4)</f>
        <v>E36</v>
      </c>
      <c r="D8528" t="b" cm="1">
        <f t="array" aca="1" ref="D8528" ca="1">IF(INDIRECT("'"&amp;A8528&amp;"'!"&amp;B8528)="",FALSE,IF(INDIRECT("'"&amp;A8528&amp;"'!"&amp;B8528)&lt;0,TRUE,FALSE))</f>
        <v>0</v>
      </c>
      <c r="E8528" t="s">
        <v>434</v>
      </c>
      <c r="F8528" t="str">
        <f>INDEX(Lists!I:I,MATCH(Validation!E8528,Lists!G:G,0))</f>
        <v>Error</v>
      </c>
      <c r="G8528" t="str">
        <f>INDEX(Lists!H:H,MATCH(Validation!E8528,Lists!G:G,0))</f>
        <v>Amount may not be negative. Enter an amount greater than or equal to zero.</v>
      </c>
      <c r="H8528" s="16" t="str">
        <f ca="1">IFERROR(IF(OR(NOT(D8528),F8528&lt;&gt;"Error"),"",A8528&amp;CELL("address",INDIRECT(B8528))),"")</f>
        <v/>
      </c>
      <c r="I8528" s="16" t="str">
        <f ca="1">IFERROR(IF(NOT(D8528),"",A8528&amp;CELL("address",INDIRECT(C8528))),"")</f>
        <v/>
      </c>
      <c r="J8528" s="17" t="str">
        <f ca="1">IFERROR(IF(NOT(D8528),"",A8528),"")</f>
        <v/>
      </c>
    </row>
    <row r="8529" spans="1:10" x14ac:dyDescent="0.25">
      <c r="A8529" t="s">
        <v>1003</v>
      </c>
      <c r="B8529" t="str">
        <f>ADDRESS(ROW(TIF_DistrictYear_OtherSourcesUses),COLUMN(TIF_DistrictYear_OtherSourcesUses),4)</f>
        <v>C36</v>
      </c>
      <c r="C8529" t="str">
        <f>ADDRESS(ROW('Rev Exp Bal'!E$36),COLUMN('Rev Exp Bal'!E$36),4)</f>
        <v>E36</v>
      </c>
      <c r="D8529" t="b" cm="1">
        <f t="array" aca="1" ref="D8529" ca="1">IF(INDIRECT("'"&amp;A8529&amp;"'!"&amp;B8529)="",FALSE,IF(TRUNC(INDIRECT("'"&amp;A8529&amp;"'!"&amp;B8529))=INDIRECT("'"&amp;A8529&amp;"'!"&amp;B8529),FALSE,TRUE))</f>
        <v>0</v>
      </c>
      <c r="E8529" t="s">
        <v>436</v>
      </c>
      <c r="F8529" t="str">
        <f>INDEX(Lists!I:I,MATCH(Validation!E8529,Lists!G:G,0))</f>
        <v>Error</v>
      </c>
      <c r="G8529" t="str">
        <f>INDEX(Lists!H:H,MATCH(Validation!E8529,Lists!G:G,0))</f>
        <v>Amount must be rounded to the nearest dollar.</v>
      </c>
      <c r="H8529" s="16" t="str">
        <f ca="1">IFERROR(IF(OR(NOT(D8529),F8529&lt;&gt;"Error"),"",A8529&amp;CELL("address",INDIRECT(B8529))),"")</f>
        <v/>
      </c>
      <c r="I8529" s="16" t="str">
        <f ca="1">IFERROR(IF(NOT(D8529),"",A8529&amp;CELL("address",INDIRECT(C8529))),"")</f>
        <v/>
      </c>
      <c r="J8529" s="17" t="str">
        <f ca="1">IFERROR(IF(NOT(D8529),"",A8529),"")</f>
        <v/>
      </c>
    </row>
    <row r="8530" spans="1:10" x14ac:dyDescent="0.25">
      <c r="A8530" t="s">
        <v>1003</v>
      </c>
      <c r="B8530" t="str">
        <f>ADDRESS(ROW('Rev Exp Bal'!D36),COLUMN('Rev Exp Bal'!D36),4)</f>
        <v>D36</v>
      </c>
      <c r="C8530" t="str">
        <f>ADDRESS(ROW('Rev Exp Bal'!E$36),COLUMN('Rev Exp Bal'!E$36),4)</f>
        <v>E36</v>
      </c>
      <c r="D8530" t="b" cm="1">
        <f t="array" aca="1" ref="D8530" ca="1">IF(INDIRECT("'"&amp;A8530&amp;"'!"&amp;B8530)&gt;0,TRUE,FALSE)</f>
        <v>0</v>
      </c>
      <c r="E8530" t="s">
        <v>1509</v>
      </c>
      <c r="F8530" t="str">
        <f>INDEX(Lists!I:I,MATCH(Validation!E8530,Lists!G:G,0))</f>
        <v>Alert</v>
      </c>
      <c r="G8530" t="str">
        <f>INDEX(Lists!H:H,MATCH(Validation!E8530,Lists!G:G,0))</f>
        <v>Please explain in comments box.</v>
      </c>
      <c r="H8530" s="16" t="str">
        <f t="shared" ref="H8530" ca="1" si="969">IFERROR(IF(OR(NOT(D8530),F8530&lt;&gt;"Error"),"",A8530&amp;CELL("address",INDIRECT(B8530))),"")</f>
        <v/>
      </c>
      <c r="I8530" s="16" t="str">
        <f t="shared" ref="I8530" ca="1" si="970">IFERROR(IF(NOT(D8530),"",A8530&amp;CELL("address",INDIRECT(C8530))),"")</f>
        <v/>
      </c>
      <c r="J8530" s="17" t="str">
        <f t="shared" ref="J8530" ca="1" si="971">IFERROR(IF(NOT(D8530),"",A8530),"")</f>
        <v/>
      </c>
    </row>
    <row r="8531" spans="1:10" x14ac:dyDescent="0.25">
      <c r="A8531" t="s">
        <v>1003</v>
      </c>
      <c r="B8531" t="str">
        <f>ADDRESS(ROW(TIF_DistrictYear_UserCommentsRevExpBal),COLUMN(TIF_DistrictYear_UserCommentsRevExpBal),4)</f>
        <v>A42</v>
      </c>
      <c r="C8531" t="str">
        <f>ADDRESS(ROW('Loan 1'!$E$41),COLUMN('Loan 1'!$E$41),4)</f>
        <v>E41</v>
      </c>
      <c r="D8531" t="b" cm="1">
        <f t="array" aca="1" ref="D8531" ca="1">IF(ISBLANK(INDIRECT("'"&amp;A8531&amp;"'!"&amp;B8531)),FALSE,IF(LEN(TRIM(CLEAN(INDIRECT("'"&amp;A8531&amp;"'!"&amp;B8531))))&lt;15,TRUE,FALSE))</f>
        <v>0</v>
      </c>
      <c r="E8531" t="s">
        <v>635</v>
      </c>
      <c r="F8531" t="str">
        <f>INDEX(Lists!I:I,MATCH(Validation!E8531,Lists!G:G,0))</f>
        <v>Error</v>
      </c>
      <c r="G8531" t="str">
        <f>INDEX(Lists!H:H,MATCH(Validation!E8531,Lists!G:G,0))</f>
        <v>Insufficient information. Please provide a longer comment.</v>
      </c>
      <c r="H8531" s="16" t="str">
        <f ca="1">IFERROR(IF(OR(NOT(D8531),F8531&lt;&gt;"Error"),"",A8531&amp;CELL("address",INDIRECT(B8531))),"")</f>
        <v/>
      </c>
      <c r="I8531" s="16" t="str">
        <f ca="1">IFERROR(IF(NOT(D8531),"",A8531&amp;CELL("address",INDIRECT(C8531))),"")</f>
        <v/>
      </c>
      <c r="J8531" s="17" t="str">
        <f ca="1">IFERROR(IF(NOT(D8531),"",A8531),"")</f>
        <v/>
      </c>
    </row>
    <row r="8532" spans="1:10" x14ac:dyDescent="0.25">
      <c r="A8532" t="s">
        <v>1003</v>
      </c>
      <c r="B8532" t="str">
        <f>ADDRESS(ROW(TIF_DistrictYear_UserCommentsRevExpBal),COLUMN(TIF_DistrictYear_UserCommentsRevExpBal),4)</f>
        <v>A42</v>
      </c>
      <c r="C8532" t="str">
        <f>ADDRESS(ROW('Loan 1'!$E$41),COLUMN('Loan 1'!$E$41),4)</f>
        <v>E41</v>
      </c>
      <c r="D8532" t="b" cm="1">
        <f t="array" aca="1" ref="D8532" ca="1">IF(LEN(INDIRECT("'"&amp;A8532&amp;"'!"&amp;B8532))&gt;500,TRUE,FALSE)</f>
        <v>0</v>
      </c>
      <c r="E8532" t="s">
        <v>636</v>
      </c>
      <c r="F8532" t="str">
        <f>INDEX(Lists!I:I,MATCH(Validation!E8532,Lists!G:G,0))</f>
        <v>Error</v>
      </c>
      <c r="G8532" t="str">
        <f>INDEX(Lists!H:H,MATCH(Validation!E8532,Lists!G:G,0))</f>
        <v>Comments cannot exceed 500 characters. (Limit length. Send email to further explain.)</v>
      </c>
      <c r="H8532" s="16" t="str">
        <f ca="1">IFERROR(IF(OR(NOT(D8532),F8532&lt;&gt;"Error"),"",A8532&amp;CELL("address",INDIRECT(B8532))),"")</f>
        <v/>
      </c>
      <c r="I8532" s="16" t="str">
        <f ca="1">IFERROR(IF(NOT(D8532),"",A8532&amp;CELL("address",INDIRECT(C8532))),"")</f>
        <v/>
      </c>
      <c r="J8532" s="17" t="str">
        <f ca="1">IFERROR(IF(NOT(D8532),"",A8532),"")</f>
        <v/>
      </c>
    </row>
    <row r="8533" spans="1:10" x14ac:dyDescent="0.25">
      <c r="A8533" t="s">
        <v>1163</v>
      </c>
      <c r="B8533" t="s">
        <v>1532</v>
      </c>
      <c r="C8533" t="str">
        <f>ADDRESS(ROW('Bal Sheet'!D$6),COLUMN('Bal Sheet'!D$6),4)</f>
        <v>D6</v>
      </c>
      <c r="D8533" t="b">
        <f>IF((COUNTIF('Bal Sheet'!B$7:B$8,"")+COUNTIF('Bal Sheet'!B$11:B$14,"")+COUNTIF('Bal Sheet'!B$19:B$20,"")+COUNTIF('Bal Sheet'!B$23,"")+COUNTIF('Bal Sheet'!C$7:C$8,"")+COUNTIF('Bal Sheet'!C$11:C$14,"")+COUNTIF('Bal Sheet'!C$19:C$20,"")+COUNTIF('Bal Sheet'!C$23,""))&gt;0,TRUE,FALSE)</f>
        <v>1</v>
      </c>
      <c r="E8533" t="s">
        <v>632</v>
      </c>
      <c r="F8533" t="str">
        <f>INDEX(Lists!I:I,MATCH(Validation!E8533,Lists!G:G,0))</f>
        <v>Error</v>
      </c>
      <c r="G8533" t="str">
        <f>INDEX(Lists!H:H,MATCH(Validation!E8533,Lists!G:G,0))</f>
        <v xml:space="preserve">Complete entry of all rows on this tab. (Enter zero when appropriate.) </v>
      </c>
      <c r="H8533" s="16" t="str">
        <f t="shared" ref="H8533" ca="1" si="972">IFERROR(IF(OR(NOT(D8533),F8533&lt;&gt;"Error"),"",A8533&amp;CELL("address",INDIRECT(B8533))),"")</f>
        <v>Bal Sheet$B$6</v>
      </c>
      <c r="I8533" s="16" t="str">
        <f t="shared" ref="I8533" ca="1" si="973">IFERROR(IF(NOT(D8533),"",A8533&amp;CELL("address",INDIRECT(C8533))),"")</f>
        <v>Bal Sheet$D$6</v>
      </c>
      <c r="J8533" s="17" t="str">
        <f t="shared" ref="J8533" si="974">IFERROR(IF(NOT(D8533),"",A8533),"")</f>
        <v>Bal Sheet</v>
      </c>
    </row>
    <row r="8534" spans="1:10" x14ac:dyDescent="0.25">
      <c r="A8534" t="s">
        <v>1163</v>
      </c>
      <c r="B8534" t="str">
        <f>ADDRESS(ROW(TIF_DistrictYear_AssetsCashPriorAdj_Entry),COLUMN(TIF_DistrictYear_AssetsCashPriorAdj_Entry),4)</f>
        <v>B7</v>
      </c>
      <c r="C8534" t="str">
        <f>ADDRESS(ROW('Bal Sheet'!D$7),COLUMN('Bal Sheet'!D$7),4)</f>
        <v>D7</v>
      </c>
      <c r="D8534" t="b" cm="1">
        <f t="array" aca="1" ref="D8534" ca="1">IF(INDIRECT("'"&amp;A8534&amp;"'!"&amp;B8534)="",FALSE,IF(NOT(ISNUMBER(INDIRECT("'"&amp;A8534&amp;"'!"&amp;B8534))),TRUE,FALSE))</f>
        <v>0</v>
      </c>
      <c r="E8534" t="s">
        <v>435</v>
      </c>
      <c r="F8534" t="str">
        <f>INDEX(Lists!I:I,MATCH(Validation!E8534,Lists!G:G,0))</f>
        <v>Error</v>
      </c>
      <c r="G8534" t="str">
        <f>INDEX(Lists!H:H,MATCH(Validation!E8534,Lists!G:G,0))</f>
        <v>Enter an amount only. Do not enter text or spaces.</v>
      </c>
      <c r="H8534" s="16" t="str">
        <f t="shared" ref="H8534" ca="1" si="975">IFERROR(IF(OR(NOT(D8534),F8534&lt;&gt;"Error"),"",A8534&amp;CELL("address",INDIRECT(B8534))),"")</f>
        <v/>
      </c>
      <c r="I8534" s="16" t="str">
        <f t="shared" ref="I8534" ca="1" si="976">IFERROR(IF(NOT(D8534),"",A8534&amp;CELL("address",INDIRECT(C8534))),"")</f>
        <v/>
      </c>
      <c r="J8534" s="17" t="str">
        <f t="shared" ref="J8534" ca="1" si="977">IFERROR(IF(NOT(D8534),"",A8534),"")</f>
        <v/>
      </c>
    </row>
    <row r="8535" spans="1:10" x14ac:dyDescent="0.25">
      <c r="A8535" t="s">
        <v>1163</v>
      </c>
      <c r="B8535" t="str">
        <f>ADDRESS(ROW(TIF_DistrictYear_AssetsCashPriorAdj_Entry),COLUMN(TIF_DistrictYear_AssetsCashPriorAdj_Entry),4)</f>
        <v>B7</v>
      </c>
      <c r="C8535" t="str">
        <f>ADDRESS(ROW('Bal Sheet'!D$7),COLUMN('Bal Sheet'!D$7),4)</f>
        <v>D7</v>
      </c>
      <c r="D8535" t="b" cm="1">
        <f t="array" aca="1" ref="D8535" ca="1">IF(INDIRECT("'"&amp;A8535&amp;"'!"&amp;B8535)="",FALSE,IF(INDIRECT("'"&amp;A8535&amp;"'!"&amp;B8535)&lt;0,TRUE,FALSE))</f>
        <v>0</v>
      </c>
      <c r="E8535" t="s">
        <v>434</v>
      </c>
      <c r="F8535" t="str">
        <f>INDEX(Lists!I:I,MATCH(Validation!E8535,Lists!G:G,0))</f>
        <v>Error</v>
      </c>
      <c r="G8535" t="str">
        <f>INDEX(Lists!H:H,MATCH(Validation!E8535,Lists!G:G,0))</f>
        <v>Amount may not be negative. Enter an amount greater than or equal to zero.</v>
      </c>
      <c r="H8535" s="16" t="str">
        <f t="shared" ref="H8535:H8589" ca="1" si="978">IFERROR(IF(OR(NOT(D8535),F8535&lt;&gt;"Error"),"",A8535&amp;CELL("address",INDIRECT(B8535))),"")</f>
        <v/>
      </c>
      <c r="I8535" s="16" t="str">
        <f t="shared" ref="I8535:I8589" ca="1" si="979">IFERROR(IF(NOT(D8535),"",A8535&amp;CELL("address",INDIRECT(C8535))),"")</f>
        <v/>
      </c>
      <c r="J8535" s="17" t="str">
        <f t="shared" ref="J8535:J8589" ca="1" si="980">IFERROR(IF(NOT(D8535),"",A8535),"")</f>
        <v/>
      </c>
    </row>
    <row r="8536" spans="1:10" x14ac:dyDescent="0.25">
      <c r="A8536" t="s">
        <v>1163</v>
      </c>
      <c r="B8536" t="str">
        <f>ADDRESS(ROW(TIF_DistrictYear_AssetsCashPriorAdj_Entry),COLUMN(TIF_DistrictYear_AssetsCashPriorAdj_Entry),4)</f>
        <v>B7</v>
      </c>
      <c r="C8536" t="str">
        <f>ADDRESS(ROW('Bal Sheet'!D$7),COLUMN('Bal Sheet'!D$7),4)</f>
        <v>D7</v>
      </c>
      <c r="D8536" t="b" cm="1">
        <f t="array" aca="1" ref="D8536" ca="1">IF(INDIRECT("'"&amp;A8536&amp;"'!"&amp;B8536)="",FALSE,IF(TRUNC(INDIRECT("'"&amp;A8536&amp;"'!"&amp;B8536))=INDIRECT("'"&amp;A8536&amp;"'!"&amp;B8536),FALSE,TRUE))</f>
        <v>0</v>
      </c>
      <c r="E8536" t="s">
        <v>436</v>
      </c>
      <c r="F8536" t="str">
        <f>INDEX(Lists!I:I,MATCH(Validation!E8536,Lists!G:G,0))</f>
        <v>Error</v>
      </c>
      <c r="G8536" t="str">
        <f>INDEX(Lists!H:H,MATCH(Validation!E8536,Lists!G:G,0))</f>
        <v>Amount must be rounded to the nearest dollar.</v>
      </c>
      <c r="H8536" s="16" t="str">
        <f t="shared" ca="1" si="978"/>
        <v/>
      </c>
      <c r="I8536" s="16" t="str">
        <f t="shared" ca="1" si="979"/>
        <v/>
      </c>
      <c r="J8536" s="17" t="str">
        <f t="shared" ca="1" si="980"/>
        <v/>
      </c>
    </row>
    <row r="8537" spans="1:10" x14ac:dyDescent="0.25">
      <c r="A8537" t="s">
        <v>1163</v>
      </c>
      <c r="B8537" t="str">
        <f>ADDRESS(ROW(TIF_DistrictYear_AssetsCashAmt),COLUMN(TIF_DistrictYear_AssetsCashAmt),4)</f>
        <v>C7</v>
      </c>
      <c r="C8537" t="str">
        <f>ADDRESS(ROW('Bal Sheet'!D$7),COLUMN('Bal Sheet'!D$7),4)</f>
        <v>D7</v>
      </c>
      <c r="D8537" t="b" cm="1">
        <f t="array" aca="1" ref="D8537" ca="1">IF(INDIRECT("'"&amp;A8537&amp;"'!"&amp;B8537)="",FALSE,IF(NOT(ISNUMBER(INDIRECT("'"&amp;A8537&amp;"'!"&amp;B8537))),TRUE,FALSE))</f>
        <v>0</v>
      </c>
      <c r="E8537" t="s">
        <v>435</v>
      </c>
      <c r="F8537" t="str">
        <f>INDEX(Lists!I:I,MATCH(Validation!E8537,Lists!G:G,0))</f>
        <v>Error</v>
      </c>
      <c r="G8537" t="str">
        <f>INDEX(Lists!H:H,MATCH(Validation!E8537,Lists!G:G,0))</f>
        <v>Enter an amount only. Do not enter text or spaces.</v>
      </c>
      <c r="H8537" s="16" t="str">
        <f t="shared" ca="1" si="978"/>
        <v/>
      </c>
      <c r="I8537" s="16" t="str">
        <f t="shared" ca="1" si="979"/>
        <v/>
      </c>
      <c r="J8537" s="17" t="str">
        <f t="shared" ca="1" si="980"/>
        <v/>
      </c>
    </row>
    <row r="8538" spans="1:10" x14ac:dyDescent="0.25">
      <c r="A8538" t="s">
        <v>1163</v>
      </c>
      <c r="B8538" t="str">
        <f>ADDRESS(ROW(TIF_DistrictYear_AssetsCashAmt),COLUMN(TIF_DistrictYear_AssetsCashAmt),4)</f>
        <v>C7</v>
      </c>
      <c r="C8538" t="str">
        <f>ADDRESS(ROW('Bal Sheet'!D$7),COLUMN('Bal Sheet'!D$7),4)</f>
        <v>D7</v>
      </c>
      <c r="D8538" t="b" cm="1">
        <f t="array" aca="1" ref="D8538" ca="1">IF(INDIRECT("'"&amp;A8538&amp;"'!"&amp;B8538)="",FALSE,IF(INDIRECT("'"&amp;A8538&amp;"'!"&amp;B8538)&lt;0,TRUE,FALSE))</f>
        <v>0</v>
      </c>
      <c r="E8538" t="s">
        <v>434</v>
      </c>
      <c r="F8538" t="str">
        <f>INDEX(Lists!I:I,MATCH(Validation!E8538,Lists!G:G,0))</f>
        <v>Error</v>
      </c>
      <c r="G8538" t="str">
        <f>INDEX(Lists!H:H,MATCH(Validation!E8538,Lists!G:G,0))</f>
        <v>Amount may not be negative. Enter an amount greater than or equal to zero.</v>
      </c>
      <c r="H8538" s="16" t="str">
        <f t="shared" ca="1" si="978"/>
        <v/>
      </c>
      <c r="I8538" s="16" t="str">
        <f t="shared" ca="1" si="979"/>
        <v/>
      </c>
      <c r="J8538" s="17" t="str">
        <f t="shared" ca="1" si="980"/>
        <v/>
      </c>
    </row>
    <row r="8539" spans="1:10" x14ac:dyDescent="0.25">
      <c r="A8539" t="s">
        <v>1163</v>
      </c>
      <c r="B8539" t="str">
        <f>ADDRESS(ROW(TIF_DistrictYear_AssetsCashAmt),COLUMN(TIF_DistrictYear_AssetsCashAmt),4)</f>
        <v>C7</v>
      </c>
      <c r="C8539" t="str">
        <f>ADDRESS(ROW('Bal Sheet'!D$7),COLUMN('Bal Sheet'!D$7),4)</f>
        <v>D7</v>
      </c>
      <c r="D8539" t="b" cm="1">
        <f t="array" aca="1" ref="D8539" ca="1">IF(INDIRECT("'"&amp;A8539&amp;"'!"&amp;B8539)="",FALSE,IF(TRUNC(INDIRECT("'"&amp;A8539&amp;"'!"&amp;B8539))=INDIRECT("'"&amp;A8539&amp;"'!"&amp;B8539),FALSE,TRUE))</f>
        <v>0</v>
      </c>
      <c r="E8539" t="s">
        <v>436</v>
      </c>
      <c r="F8539" t="str">
        <f>INDEX(Lists!I:I,MATCH(Validation!E8539,Lists!G:G,0))</f>
        <v>Error</v>
      </c>
      <c r="G8539" t="str">
        <f>INDEX(Lists!H:H,MATCH(Validation!E8539,Lists!G:G,0))</f>
        <v>Amount must be rounded to the nearest dollar.</v>
      </c>
      <c r="H8539" s="16" t="str">
        <f t="shared" ca="1" si="978"/>
        <v/>
      </c>
      <c r="I8539" s="16" t="str">
        <f t="shared" ca="1" si="979"/>
        <v/>
      </c>
      <c r="J8539" s="17" t="str">
        <f t="shared" ca="1" si="980"/>
        <v/>
      </c>
    </row>
    <row r="8540" spans="1:10" x14ac:dyDescent="0.25">
      <c r="A8540" t="s">
        <v>1163</v>
      </c>
      <c r="B8540" t="str">
        <f>ADDRESS(ROW(TIF_DistrictYear_AssetsInvestmentsPriorAdj_Entry),COLUMN(TIF_DistrictYear_AssetsInvestmentsPriorAdj_Entry),4)</f>
        <v>B8</v>
      </c>
      <c r="C8540" t="str">
        <f>ADDRESS(ROW('Bal Sheet'!D$8),COLUMN('Bal Sheet'!D$8),4)</f>
        <v>D8</v>
      </c>
      <c r="D8540" t="b" cm="1">
        <f t="array" aca="1" ref="D8540" ca="1">IF(INDIRECT("'"&amp;A8540&amp;"'!"&amp;B8540)="",FALSE,IF(NOT(ISNUMBER(INDIRECT("'"&amp;A8540&amp;"'!"&amp;B8540))),TRUE,FALSE))</f>
        <v>0</v>
      </c>
      <c r="E8540" t="s">
        <v>435</v>
      </c>
      <c r="F8540" t="str">
        <f>INDEX(Lists!I:I,MATCH(Validation!E8540,Lists!G:G,0))</f>
        <v>Error</v>
      </c>
      <c r="G8540" t="str">
        <f>INDEX(Lists!H:H,MATCH(Validation!E8540,Lists!G:G,0))</f>
        <v>Enter an amount only. Do not enter text or spaces.</v>
      </c>
      <c r="H8540" s="16" t="str">
        <f t="shared" ca="1" si="978"/>
        <v/>
      </c>
      <c r="I8540" s="16" t="str">
        <f t="shared" ca="1" si="979"/>
        <v/>
      </c>
      <c r="J8540" s="17" t="str">
        <f t="shared" ca="1" si="980"/>
        <v/>
      </c>
    </row>
    <row r="8541" spans="1:10" x14ac:dyDescent="0.25">
      <c r="A8541" t="s">
        <v>1163</v>
      </c>
      <c r="B8541" t="str">
        <f>ADDRESS(ROW(TIF_DistrictYear_AssetsInvestmentsPriorAdj_Entry),COLUMN(TIF_DistrictYear_AssetsInvestmentsPriorAdj_Entry),4)</f>
        <v>B8</v>
      </c>
      <c r="C8541" t="str">
        <f>ADDRESS(ROW('Bal Sheet'!D$8),COLUMN('Bal Sheet'!D$8),4)</f>
        <v>D8</v>
      </c>
      <c r="D8541" t="b" cm="1">
        <f t="array" aca="1" ref="D8541" ca="1">IF(INDIRECT("'"&amp;A8541&amp;"'!"&amp;B8541)="",FALSE,IF(INDIRECT("'"&amp;A8541&amp;"'!"&amp;B8541)&lt;0,TRUE,FALSE))</f>
        <v>0</v>
      </c>
      <c r="E8541" t="s">
        <v>434</v>
      </c>
      <c r="F8541" t="str">
        <f>INDEX(Lists!I:I,MATCH(Validation!E8541,Lists!G:G,0))</f>
        <v>Error</v>
      </c>
      <c r="G8541" t="str">
        <f>INDEX(Lists!H:H,MATCH(Validation!E8541,Lists!G:G,0))</f>
        <v>Amount may not be negative. Enter an amount greater than or equal to zero.</v>
      </c>
      <c r="H8541" s="16" t="str">
        <f t="shared" ca="1" si="978"/>
        <v/>
      </c>
      <c r="I8541" s="16" t="str">
        <f t="shared" ca="1" si="979"/>
        <v/>
      </c>
      <c r="J8541" s="17" t="str">
        <f t="shared" ca="1" si="980"/>
        <v/>
      </c>
    </row>
    <row r="8542" spans="1:10" x14ac:dyDescent="0.25">
      <c r="A8542" t="s">
        <v>1163</v>
      </c>
      <c r="B8542" t="str">
        <f>ADDRESS(ROW(TIF_DistrictYear_AssetsInvestmentsPriorAdj_Entry),COLUMN(TIF_DistrictYear_AssetsInvestmentsPriorAdj_Entry),4)</f>
        <v>B8</v>
      </c>
      <c r="C8542" t="str">
        <f>ADDRESS(ROW('Bal Sheet'!D$8),COLUMN('Bal Sheet'!D$8),4)</f>
        <v>D8</v>
      </c>
      <c r="D8542" t="b" cm="1">
        <f t="array" aca="1" ref="D8542" ca="1">IF(INDIRECT("'"&amp;A8542&amp;"'!"&amp;B8542)="",FALSE,IF(TRUNC(INDIRECT("'"&amp;A8542&amp;"'!"&amp;B8542))=INDIRECT("'"&amp;A8542&amp;"'!"&amp;B8542),FALSE,TRUE))</f>
        <v>0</v>
      </c>
      <c r="E8542" t="s">
        <v>436</v>
      </c>
      <c r="F8542" t="str">
        <f>INDEX(Lists!I:I,MATCH(Validation!E8542,Lists!G:G,0))</f>
        <v>Error</v>
      </c>
      <c r="G8542" t="str">
        <f>INDEX(Lists!H:H,MATCH(Validation!E8542,Lists!G:G,0))</f>
        <v>Amount must be rounded to the nearest dollar.</v>
      </c>
      <c r="H8542" s="16" t="str">
        <f t="shared" ca="1" si="978"/>
        <v/>
      </c>
      <c r="I8542" s="16" t="str">
        <f t="shared" ca="1" si="979"/>
        <v/>
      </c>
      <c r="J8542" s="17" t="str">
        <f t="shared" ca="1" si="980"/>
        <v/>
      </c>
    </row>
    <row r="8543" spans="1:10" x14ac:dyDescent="0.25">
      <c r="A8543" t="s">
        <v>1163</v>
      </c>
      <c r="B8543" t="str">
        <f>ADDRESS(ROW(TIF_DistrictYear_AssetsInvestmentsAmt),COLUMN(TIF_DistrictYear_AssetsInvestmentsAmt),4)</f>
        <v>C8</v>
      </c>
      <c r="C8543" t="str">
        <f>ADDRESS(ROW('Bal Sheet'!D$8),COLUMN('Bal Sheet'!D$8),4)</f>
        <v>D8</v>
      </c>
      <c r="D8543" t="b" cm="1">
        <f t="array" aca="1" ref="D8543" ca="1">IF(INDIRECT("'"&amp;A8543&amp;"'!"&amp;B8543)="",FALSE,IF(NOT(ISNUMBER(INDIRECT("'"&amp;A8543&amp;"'!"&amp;B8543))),TRUE,FALSE))</f>
        <v>0</v>
      </c>
      <c r="E8543" t="s">
        <v>435</v>
      </c>
      <c r="F8543" t="str">
        <f>INDEX(Lists!I:I,MATCH(Validation!E8543,Lists!G:G,0))</f>
        <v>Error</v>
      </c>
      <c r="G8543" t="str">
        <f>INDEX(Lists!H:H,MATCH(Validation!E8543,Lists!G:G,0))</f>
        <v>Enter an amount only. Do not enter text or spaces.</v>
      </c>
      <c r="H8543" s="16" t="str">
        <f t="shared" ca="1" si="978"/>
        <v/>
      </c>
      <c r="I8543" s="16" t="str">
        <f t="shared" ca="1" si="979"/>
        <v/>
      </c>
      <c r="J8543" s="17" t="str">
        <f t="shared" ca="1" si="980"/>
        <v/>
      </c>
    </row>
    <row r="8544" spans="1:10" x14ac:dyDescent="0.25">
      <c r="A8544" t="s">
        <v>1163</v>
      </c>
      <c r="B8544" t="str">
        <f>ADDRESS(ROW(TIF_DistrictYear_AssetsInvestmentsAmt),COLUMN(TIF_DistrictYear_AssetsInvestmentsAmt),4)</f>
        <v>C8</v>
      </c>
      <c r="C8544" t="str">
        <f>ADDRESS(ROW('Bal Sheet'!D$8),COLUMN('Bal Sheet'!D$8),4)</f>
        <v>D8</v>
      </c>
      <c r="D8544" t="b" cm="1">
        <f t="array" aca="1" ref="D8544" ca="1">IF(INDIRECT("'"&amp;A8544&amp;"'!"&amp;B8544)="",FALSE,IF(INDIRECT("'"&amp;A8544&amp;"'!"&amp;B8544)&lt;0,TRUE,FALSE))</f>
        <v>0</v>
      </c>
      <c r="E8544" t="s">
        <v>434</v>
      </c>
      <c r="F8544" t="str">
        <f>INDEX(Lists!I:I,MATCH(Validation!E8544,Lists!G:G,0))</f>
        <v>Error</v>
      </c>
      <c r="G8544" t="str">
        <f>INDEX(Lists!H:H,MATCH(Validation!E8544,Lists!G:G,0))</f>
        <v>Amount may not be negative. Enter an amount greater than or equal to zero.</v>
      </c>
      <c r="H8544" s="16" t="str">
        <f t="shared" ca="1" si="978"/>
        <v/>
      </c>
      <c r="I8544" s="16" t="str">
        <f t="shared" ca="1" si="979"/>
        <v/>
      </c>
      <c r="J8544" s="17" t="str">
        <f t="shared" ca="1" si="980"/>
        <v/>
      </c>
    </row>
    <row r="8545" spans="1:10" x14ac:dyDescent="0.25">
      <c r="A8545" t="s">
        <v>1163</v>
      </c>
      <c r="B8545" t="str">
        <f>ADDRESS(ROW(TIF_DistrictYear_AssetsInvestmentsAmt),COLUMN(TIF_DistrictYear_AssetsInvestmentsAmt),4)</f>
        <v>C8</v>
      </c>
      <c r="C8545" t="str">
        <f>ADDRESS(ROW('Bal Sheet'!D$8),COLUMN('Bal Sheet'!D$8),4)</f>
        <v>D8</v>
      </c>
      <c r="D8545" t="b" cm="1">
        <f t="array" aca="1" ref="D8545" ca="1">IF(INDIRECT("'"&amp;A8545&amp;"'!"&amp;B8545)="",FALSE,IF(TRUNC(INDIRECT("'"&amp;A8545&amp;"'!"&amp;B8545))=INDIRECT("'"&amp;A8545&amp;"'!"&amp;B8545),FALSE,TRUE))</f>
        <v>0</v>
      </c>
      <c r="E8545" t="s">
        <v>436</v>
      </c>
      <c r="F8545" t="str">
        <f>INDEX(Lists!I:I,MATCH(Validation!E8545,Lists!G:G,0))</f>
        <v>Error</v>
      </c>
      <c r="G8545" t="str">
        <f>INDEX(Lists!H:H,MATCH(Validation!E8545,Lists!G:G,0))</f>
        <v>Amount must be rounded to the nearest dollar.</v>
      </c>
      <c r="H8545" s="16" t="str">
        <f t="shared" ca="1" si="978"/>
        <v/>
      </c>
      <c r="I8545" s="16" t="str">
        <f t="shared" ca="1" si="979"/>
        <v/>
      </c>
      <c r="J8545" s="17" t="str">
        <f t="shared" ca="1" si="980"/>
        <v/>
      </c>
    </row>
    <row r="8546" spans="1:10" x14ac:dyDescent="0.25">
      <c r="A8546" t="s">
        <v>1163</v>
      </c>
      <c r="B8546" t="str">
        <f>ADDRESS(ROW(TIF_DistrictYear_AssetsInterestPriorAdj_Entry),COLUMN(TIF_DistrictYear_AssetsInterestPriorAdj_Entry),4)</f>
        <v>B11</v>
      </c>
      <c r="C8546" t="str">
        <f>ADDRESS(ROW('Bal Sheet'!D$11),COLUMN('Bal Sheet'!D$11),4)</f>
        <v>D11</v>
      </c>
      <c r="D8546" t="b" cm="1">
        <f t="array" aca="1" ref="D8546" ca="1">IF(INDIRECT("'"&amp;A8546&amp;"'!"&amp;B8546)="",FALSE,IF(NOT(ISNUMBER(INDIRECT("'"&amp;A8546&amp;"'!"&amp;B8546))),TRUE,FALSE))</f>
        <v>0</v>
      </c>
      <c r="E8546" t="s">
        <v>435</v>
      </c>
      <c r="F8546" t="str">
        <f>INDEX(Lists!I:I,MATCH(Validation!E8546,Lists!G:G,0))</f>
        <v>Error</v>
      </c>
      <c r="G8546" t="str">
        <f>INDEX(Lists!H:H,MATCH(Validation!E8546,Lists!G:G,0))</f>
        <v>Enter an amount only. Do not enter text or spaces.</v>
      </c>
      <c r="H8546" s="16" t="str">
        <f t="shared" ca="1" si="978"/>
        <v/>
      </c>
      <c r="I8546" s="16" t="str">
        <f t="shared" ca="1" si="979"/>
        <v/>
      </c>
      <c r="J8546" s="17" t="str">
        <f t="shared" ca="1" si="980"/>
        <v/>
      </c>
    </row>
    <row r="8547" spans="1:10" x14ac:dyDescent="0.25">
      <c r="A8547" t="s">
        <v>1163</v>
      </c>
      <c r="B8547" t="str">
        <f>ADDRESS(ROW(TIF_DistrictYear_AssetsInterestPriorAdj_Entry),COLUMN(TIF_DistrictYear_AssetsInterestPriorAdj_Entry),4)</f>
        <v>B11</v>
      </c>
      <c r="C8547" t="str">
        <f>ADDRESS(ROW('Bal Sheet'!D$11),COLUMN('Bal Sheet'!D$11),4)</f>
        <v>D11</v>
      </c>
      <c r="D8547" t="b" cm="1">
        <f t="array" aca="1" ref="D8547" ca="1">IF(INDIRECT("'"&amp;A8547&amp;"'!"&amp;B8547)="",FALSE,IF(INDIRECT("'"&amp;A8547&amp;"'!"&amp;B8547)&lt;0,TRUE,FALSE))</f>
        <v>0</v>
      </c>
      <c r="E8547" t="s">
        <v>434</v>
      </c>
      <c r="F8547" t="str">
        <f>INDEX(Lists!I:I,MATCH(Validation!E8547,Lists!G:G,0))</f>
        <v>Error</v>
      </c>
      <c r="G8547" t="str">
        <f>INDEX(Lists!H:H,MATCH(Validation!E8547,Lists!G:G,0))</f>
        <v>Amount may not be negative. Enter an amount greater than or equal to zero.</v>
      </c>
      <c r="H8547" s="16" t="str">
        <f t="shared" ca="1" si="978"/>
        <v/>
      </c>
      <c r="I8547" s="16" t="str">
        <f t="shared" ca="1" si="979"/>
        <v/>
      </c>
      <c r="J8547" s="17" t="str">
        <f t="shared" ca="1" si="980"/>
        <v/>
      </c>
    </row>
    <row r="8548" spans="1:10" x14ac:dyDescent="0.25">
      <c r="A8548" t="s">
        <v>1163</v>
      </c>
      <c r="B8548" t="str">
        <f>ADDRESS(ROW(TIF_DistrictYear_AssetsInterestPriorAdj_Entry),COLUMN(TIF_DistrictYear_AssetsInterestPriorAdj_Entry),4)</f>
        <v>B11</v>
      </c>
      <c r="C8548" t="str">
        <f>ADDRESS(ROW('Bal Sheet'!D$11),COLUMN('Bal Sheet'!D$11),4)</f>
        <v>D11</v>
      </c>
      <c r="D8548" t="b" cm="1">
        <f t="array" aca="1" ref="D8548" ca="1">IF(INDIRECT("'"&amp;A8548&amp;"'!"&amp;B8548)="",FALSE,IF(TRUNC(INDIRECT("'"&amp;A8548&amp;"'!"&amp;B8548))=INDIRECT("'"&amp;A8548&amp;"'!"&amp;B8548),FALSE,TRUE))</f>
        <v>0</v>
      </c>
      <c r="E8548" t="s">
        <v>436</v>
      </c>
      <c r="F8548" t="str">
        <f>INDEX(Lists!I:I,MATCH(Validation!E8548,Lists!G:G,0))</f>
        <v>Error</v>
      </c>
      <c r="G8548" t="str">
        <f>INDEX(Lists!H:H,MATCH(Validation!E8548,Lists!G:G,0))</f>
        <v>Amount must be rounded to the nearest dollar.</v>
      </c>
      <c r="H8548" s="16" t="str">
        <f t="shared" ca="1" si="978"/>
        <v/>
      </c>
      <c r="I8548" s="16" t="str">
        <f t="shared" ca="1" si="979"/>
        <v/>
      </c>
      <c r="J8548" s="17" t="str">
        <f t="shared" ca="1" si="980"/>
        <v/>
      </c>
    </row>
    <row r="8549" spans="1:10" x14ac:dyDescent="0.25">
      <c r="A8549" t="s">
        <v>1163</v>
      </c>
      <c r="B8549" t="str">
        <f>ADDRESS(ROW(TIF_DistrictYear_AssetsInterestAmt),COLUMN(TIF_DistrictYear_AssetsInterestAmt),4)</f>
        <v>C11</v>
      </c>
      <c r="C8549" t="str">
        <f>ADDRESS(ROW('Bal Sheet'!D$11),COLUMN('Bal Sheet'!D$11),4)</f>
        <v>D11</v>
      </c>
      <c r="D8549" t="b" cm="1">
        <f t="array" aca="1" ref="D8549" ca="1">IF(INDIRECT("'"&amp;A8549&amp;"'!"&amp;B8549)="",FALSE,IF(NOT(ISNUMBER(INDIRECT("'"&amp;A8549&amp;"'!"&amp;B8549))),TRUE,FALSE))</f>
        <v>0</v>
      </c>
      <c r="E8549" t="s">
        <v>435</v>
      </c>
      <c r="F8549" t="str">
        <f>INDEX(Lists!I:I,MATCH(Validation!E8549,Lists!G:G,0))</f>
        <v>Error</v>
      </c>
      <c r="G8549" t="str">
        <f>INDEX(Lists!H:H,MATCH(Validation!E8549,Lists!G:G,0))</f>
        <v>Enter an amount only. Do not enter text or spaces.</v>
      </c>
      <c r="H8549" s="16" t="str">
        <f t="shared" ca="1" si="978"/>
        <v/>
      </c>
      <c r="I8549" s="16" t="str">
        <f t="shared" ca="1" si="979"/>
        <v/>
      </c>
      <c r="J8549" s="17" t="str">
        <f t="shared" ca="1" si="980"/>
        <v/>
      </c>
    </row>
    <row r="8550" spans="1:10" x14ac:dyDescent="0.25">
      <c r="A8550" t="s">
        <v>1163</v>
      </c>
      <c r="B8550" t="str">
        <f>ADDRESS(ROW(TIF_DistrictYear_AssetsInterestAmt),COLUMN(TIF_DistrictYear_AssetsInterestAmt),4)</f>
        <v>C11</v>
      </c>
      <c r="C8550" t="str">
        <f>ADDRESS(ROW('Bal Sheet'!D$11),COLUMN('Bal Sheet'!D$11),4)</f>
        <v>D11</v>
      </c>
      <c r="D8550" t="b" cm="1">
        <f t="array" aca="1" ref="D8550" ca="1">IF(INDIRECT("'"&amp;A8550&amp;"'!"&amp;B8550)="",FALSE,IF(INDIRECT("'"&amp;A8550&amp;"'!"&amp;B8550)&lt;0,TRUE,FALSE))</f>
        <v>0</v>
      </c>
      <c r="E8550" t="s">
        <v>434</v>
      </c>
      <c r="F8550" t="str">
        <f>INDEX(Lists!I:I,MATCH(Validation!E8550,Lists!G:G,0))</f>
        <v>Error</v>
      </c>
      <c r="G8550" t="str">
        <f>INDEX(Lists!H:H,MATCH(Validation!E8550,Lists!G:G,0))</f>
        <v>Amount may not be negative. Enter an amount greater than or equal to zero.</v>
      </c>
      <c r="H8550" s="16" t="str">
        <f t="shared" ca="1" si="978"/>
        <v/>
      </c>
      <c r="I8550" s="16" t="str">
        <f t="shared" ca="1" si="979"/>
        <v/>
      </c>
      <c r="J8550" s="17" t="str">
        <f t="shared" ca="1" si="980"/>
        <v/>
      </c>
    </row>
    <row r="8551" spans="1:10" x14ac:dyDescent="0.25">
      <c r="A8551" t="s">
        <v>1163</v>
      </c>
      <c r="B8551" t="str">
        <f>ADDRESS(ROW(TIF_DistrictYear_AssetsInterestAmt),COLUMN(TIF_DistrictYear_AssetsInterestAmt),4)</f>
        <v>C11</v>
      </c>
      <c r="C8551" t="str">
        <f>ADDRESS(ROW('Bal Sheet'!D$11),COLUMN('Bal Sheet'!D$11),4)</f>
        <v>D11</v>
      </c>
      <c r="D8551" t="b" cm="1">
        <f t="array" aca="1" ref="D8551" ca="1">IF(INDIRECT("'"&amp;A8551&amp;"'!"&amp;B8551)="",FALSE,IF(TRUNC(INDIRECT("'"&amp;A8551&amp;"'!"&amp;B8551))=INDIRECT("'"&amp;A8551&amp;"'!"&amp;B8551),FALSE,TRUE))</f>
        <v>0</v>
      </c>
      <c r="E8551" t="s">
        <v>436</v>
      </c>
      <c r="F8551" t="str">
        <f>INDEX(Lists!I:I,MATCH(Validation!E8551,Lists!G:G,0))</f>
        <v>Error</v>
      </c>
      <c r="G8551" t="str">
        <f>INDEX(Lists!H:H,MATCH(Validation!E8551,Lists!G:G,0))</f>
        <v>Amount must be rounded to the nearest dollar.</v>
      </c>
      <c r="H8551" s="16" t="str">
        <f t="shared" ca="1" si="978"/>
        <v/>
      </c>
      <c r="I8551" s="16" t="str">
        <f t="shared" ca="1" si="979"/>
        <v/>
      </c>
      <c r="J8551" s="17" t="str">
        <f t="shared" ca="1" si="980"/>
        <v/>
      </c>
    </row>
    <row r="8552" spans="1:10" x14ac:dyDescent="0.25">
      <c r="A8552" t="s">
        <v>1163</v>
      </c>
      <c r="B8552" t="str">
        <f>ADDRESS(ROW(TIF_DistrictYear_AssetsTaxesPriorAdj_Entry),COLUMN(TIF_DistrictYear_AssetsTaxesPriorAdj_Entry),4)</f>
        <v>B12</v>
      </c>
      <c r="C8552" t="str">
        <f>ADDRESS(ROW('Bal Sheet'!D$12),COLUMN('Bal Sheet'!D$12),4)</f>
        <v>D12</v>
      </c>
      <c r="D8552" t="b" cm="1">
        <f t="array" aca="1" ref="D8552" ca="1">IF(INDIRECT("'"&amp;A8552&amp;"'!"&amp;B8552)="",FALSE,IF(NOT(ISNUMBER(INDIRECT("'"&amp;A8552&amp;"'!"&amp;B8552))),TRUE,FALSE))</f>
        <v>0</v>
      </c>
      <c r="E8552" t="s">
        <v>435</v>
      </c>
      <c r="F8552" t="str">
        <f>INDEX(Lists!I:I,MATCH(Validation!E8552,Lists!G:G,0))</f>
        <v>Error</v>
      </c>
      <c r="G8552" t="str">
        <f>INDEX(Lists!H:H,MATCH(Validation!E8552,Lists!G:G,0))</f>
        <v>Enter an amount only. Do not enter text or spaces.</v>
      </c>
      <c r="H8552" s="16" t="str">
        <f t="shared" ca="1" si="978"/>
        <v/>
      </c>
      <c r="I8552" s="16" t="str">
        <f t="shared" ca="1" si="979"/>
        <v/>
      </c>
      <c r="J8552" s="17" t="str">
        <f t="shared" ca="1" si="980"/>
        <v/>
      </c>
    </row>
    <row r="8553" spans="1:10" x14ac:dyDescent="0.25">
      <c r="A8553" t="s">
        <v>1163</v>
      </c>
      <c r="B8553" t="str">
        <f>ADDRESS(ROW(TIF_DistrictYear_AssetsTaxesPriorAdj_Entry),COLUMN(TIF_DistrictYear_AssetsTaxesPriorAdj_Entry),4)</f>
        <v>B12</v>
      </c>
      <c r="C8553" t="str">
        <f>ADDRESS(ROW('Bal Sheet'!D$12),COLUMN('Bal Sheet'!D$12),4)</f>
        <v>D12</v>
      </c>
      <c r="D8553" t="b" cm="1">
        <f t="array" aca="1" ref="D8553" ca="1">IF(INDIRECT("'"&amp;A8553&amp;"'!"&amp;B8553)="",FALSE,IF(INDIRECT("'"&amp;A8553&amp;"'!"&amp;B8553)&lt;0,TRUE,FALSE))</f>
        <v>0</v>
      </c>
      <c r="E8553" t="s">
        <v>434</v>
      </c>
      <c r="F8553" t="str">
        <f>INDEX(Lists!I:I,MATCH(Validation!E8553,Lists!G:G,0))</f>
        <v>Error</v>
      </c>
      <c r="G8553" t="str">
        <f>INDEX(Lists!H:H,MATCH(Validation!E8553,Lists!G:G,0))</f>
        <v>Amount may not be negative. Enter an amount greater than or equal to zero.</v>
      </c>
      <c r="H8553" s="16" t="str">
        <f t="shared" ca="1" si="978"/>
        <v/>
      </c>
      <c r="I8553" s="16" t="str">
        <f t="shared" ca="1" si="979"/>
        <v/>
      </c>
      <c r="J8553" s="17" t="str">
        <f t="shared" ca="1" si="980"/>
        <v/>
      </c>
    </row>
    <row r="8554" spans="1:10" x14ac:dyDescent="0.25">
      <c r="A8554" t="s">
        <v>1163</v>
      </c>
      <c r="B8554" t="str">
        <f>ADDRESS(ROW(TIF_DistrictYear_AssetsTaxesPriorAdj_Entry),COLUMN(TIF_DistrictYear_AssetsTaxesPriorAdj_Entry),4)</f>
        <v>B12</v>
      </c>
      <c r="C8554" t="str">
        <f>ADDRESS(ROW('Bal Sheet'!D$12),COLUMN('Bal Sheet'!D$12),4)</f>
        <v>D12</v>
      </c>
      <c r="D8554" t="b" cm="1">
        <f t="array" aca="1" ref="D8554" ca="1">IF(INDIRECT("'"&amp;A8554&amp;"'!"&amp;B8554)="",FALSE,IF(TRUNC(INDIRECT("'"&amp;A8554&amp;"'!"&amp;B8554))=INDIRECT("'"&amp;A8554&amp;"'!"&amp;B8554),FALSE,TRUE))</f>
        <v>0</v>
      </c>
      <c r="E8554" t="s">
        <v>436</v>
      </c>
      <c r="F8554" t="str">
        <f>INDEX(Lists!I:I,MATCH(Validation!E8554,Lists!G:G,0))</f>
        <v>Error</v>
      </c>
      <c r="G8554" t="str">
        <f>INDEX(Lists!H:H,MATCH(Validation!E8554,Lists!G:G,0))</f>
        <v>Amount must be rounded to the nearest dollar.</v>
      </c>
      <c r="H8554" s="16" t="str">
        <f t="shared" ca="1" si="978"/>
        <v/>
      </c>
      <c r="I8554" s="16" t="str">
        <f t="shared" ca="1" si="979"/>
        <v/>
      </c>
      <c r="J8554" s="17" t="str">
        <f t="shared" ca="1" si="980"/>
        <v/>
      </c>
    </row>
    <row r="8555" spans="1:10" x14ac:dyDescent="0.25">
      <c r="A8555" t="s">
        <v>1163</v>
      </c>
      <c r="B8555" t="str">
        <f>ADDRESS(ROW(TIF_DistrictYear_AssetsTaxesAmt),COLUMN(TIF_DistrictYear_AssetsTaxesAmt),4)</f>
        <v>C12</v>
      </c>
      <c r="C8555" t="str">
        <f>ADDRESS(ROW('Bal Sheet'!D$12),COLUMN('Bal Sheet'!D$12),4)</f>
        <v>D12</v>
      </c>
      <c r="D8555" t="b" cm="1">
        <f t="array" aca="1" ref="D8555" ca="1">IF(INDIRECT("'"&amp;A8555&amp;"'!"&amp;B8555)="",FALSE,IF(NOT(ISNUMBER(INDIRECT("'"&amp;A8555&amp;"'!"&amp;B8555))),TRUE,FALSE))</f>
        <v>0</v>
      </c>
      <c r="E8555" t="s">
        <v>435</v>
      </c>
      <c r="F8555" t="str">
        <f>INDEX(Lists!I:I,MATCH(Validation!E8555,Lists!G:G,0))</f>
        <v>Error</v>
      </c>
      <c r="G8555" t="str">
        <f>INDEX(Lists!H:H,MATCH(Validation!E8555,Lists!G:G,0))</f>
        <v>Enter an amount only. Do not enter text or spaces.</v>
      </c>
      <c r="H8555" s="16" t="str">
        <f t="shared" ca="1" si="978"/>
        <v/>
      </c>
      <c r="I8555" s="16" t="str">
        <f t="shared" ca="1" si="979"/>
        <v/>
      </c>
      <c r="J8555" s="17" t="str">
        <f t="shared" ca="1" si="980"/>
        <v/>
      </c>
    </row>
    <row r="8556" spans="1:10" x14ac:dyDescent="0.25">
      <c r="A8556" t="s">
        <v>1163</v>
      </c>
      <c r="B8556" t="str">
        <f>ADDRESS(ROW(TIF_DistrictYear_AssetsTaxesAmt),COLUMN(TIF_DistrictYear_AssetsTaxesAmt),4)</f>
        <v>C12</v>
      </c>
      <c r="C8556" t="str">
        <f>ADDRESS(ROW('Bal Sheet'!D$12),COLUMN('Bal Sheet'!D$12),4)</f>
        <v>D12</v>
      </c>
      <c r="D8556" t="b" cm="1">
        <f t="array" aca="1" ref="D8556" ca="1">IF(INDIRECT("'"&amp;A8556&amp;"'!"&amp;B8556)="",FALSE,IF(INDIRECT("'"&amp;A8556&amp;"'!"&amp;B8556)&lt;0,TRUE,FALSE))</f>
        <v>0</v>
      </c>
      <c r="E8556" t="s">
        <v>434</v>
      </c>
      <c r="F8556" t="str">
        <f>INDEX(Lists!I:I,MATCH(Validation!E8556,Lists!G:G,0))</f>
        <v>Error</v>
      </c>
      <c r="G8556" t="str">
        <f>INDEX(Lists!H:H,MATCH(Validation!E8556,Lists!G:G,0))</f>
        <v>Amount may not be negative. Enter an amount greater than or equal to zero.</v>
      </c>
      <c r="H8556" s="16" t="str">
        <f t="shared" ca="1" si="978"/>
        <v/>
      </c>
      <c r="I8556" s="16" t="str">
        <f t="shared" ca="1" si="979"/>
        <v/>
      </c>
      <c r="J8556" s="17" t="str">
        <f t="shared" ca="1" si="980"/>
        <v/>
      </c>
    </row>
    <row r="8557" spans="1:10" x14ac:dyDescent="0.25">
      <c r="A8557" t="s">
        <v>1163</v>
      </c>
      <c r="B8557" t="str">
        <f>ADDRESS(ROW(TIF_DistrictYear_AssetsTaxesAmt),COLUMN(TIF_DistrictYear_AssetsTaxesAmt),4)</f>
        <v>C12</v>
      </c>
      <c r="C8557" t="str">
        <f>ADDRESS(ROW('Bal Sheet'!D$12),COLUMN('Bal Sheet'!D$12),4)</f>
        <v>D12</v>
      </c>
      <c r="D8557" t="b" cm="1">
        <f t="array" aca="1" ref="D8557" ca="1">IF(INDIRECT("'"&amp;A8557&amp;"'!"&amp;B8557)="",FALSE,IF(TRUNC(INDIRECT("'"&amp;A8557&amp;"'!"&amp;B8557))=INDIRECT("'"&amp;A8557&amp;"'!"&amp;B8557),FALSE,TRUE))</f>
        <v>0</v>
      </c>
      <c r="E8557" t="s">
        <v>436</v>
      </c>
      <c r="F8557" t="str">
        <f>INDEX(Lists!I:I,MATCH(Validation!E8557,Lists!G:G,0))</f>
        <v>Error</v>
      </c>
      <c r="G8557" t="str">
        <f>INDEX(Lists!H:H,MATCH(Validation!E8557,Lists!G:G,0))</f>
        <v>Amount must be rounded to the nearest dollar.</v>
      </c>
      <c r="H8557" s="16" t="str">
        <f t="shared" ca="1" si="978"/>
        <v/>
      </c>
      <c r="I8557" s="16" t="str">
        <f t="shared" ca="1" si="979"/>
        <v/>
      </c>
      <c r="J8557" s="17" t="str">
        <f t="shared" ca="1" si="980"/>
        <v/>
      </c>
    </row>
    <row r="8558" spans="1:10" x14ac:dyDescent="0.25">
      <c r="A8558" t="s">
        <v>1163</v>
      </c>
      <c r="B8558" t="str">
        <f>ADDRESS(ROW(TIF_DistrictYear_AssetsOtherPriorAdj_Entry),COLUMN(TIF_DistrictYear_AssetsOtherPriorAdj_Entry),4)</f>
        <v>B13</v>
      </c>
      <c r="C8558" t="str">
        <f>ADDRESS(ROW('Bal Sheet'!D$13),COLUMN('Bal Sheet'!D$13),4)</f>
        <v>D13</v>
      </c>
      <c r="D8558" t="b" cm="1">
        <f t="array" aca="1" ref="D8558" ca="1">IF(INDIRECT("'"&amp;A8558&amp;"'!"&amp;B8558)="",FALSE,IF(NOT(ISNUMBER(INDIRECT("'"&amp;A8558&amp;"'!"&amp;B8558))),TRUE,FALSE))</f>
        <v>0</v>
      </c>
      <c r="E8558" t="s">
        <v>435</v>
      </c>
      <c r="F8558" t="str">
        <f>INDEX(Lists!I:I,MATCH(Validation!E8558,Lists!G:G,0))</f>
        <v>Error</v>
      </c>
      <c r="G8558" t="str">
        <f>INDEX(Lists!H:H,MATCH(Validation!E8558,Lists!G:G,0))</f>
        <v>Enter an amount only. Do not enter text or spaces.</v>
      </c>
      <c r="H8558" s="16" t="str">
        <f t="shared" ca="1" si="978"/>
        <v/>
      </c>
      <c r="I8558" s="16" t="str">
        <f t="shared" ca="1" si="979"/>
        <v/>
      </c>
      <c r="J8558" s="17" t="str">
        <f t="shared" ca="1" si="980"/>
        <v/>
      </c>
    </row>
    <row r="8559" spans="1:10" x14ac:dyDescent="0.25">
      <c r="A8559" t="s">
        <v>1163</v>
      </c>
      <c r="B8559" t="str">
        <f>ADDRESS(ROW(TIF_DistrictYear_AssetsOtherPriorAdj_Entry),COLUMN(TIF_DistrictYear_AssetsOtherPriorAdj_Entry),4)</f>
        <v>B13</v>
      </c>
      <c r="C8559" t="str">
        <f>ADDRESS(ROW('Bal Sheet'!D$13),COLUMN('Bal Sheet'!D$13),4)</f>
        <v>D13</v>
      </c>
      <c r="D8559" t="b" cm="1">
        <f t="array" aca="1" ref="D8559" ca="1">IF(INDIRECT("'"&amp;A8559&amp;"'!"&amp;B8559)="",FALSE,IF(INDIRECT("'"&amp;A8559&amp;"'!"&amp;B8559)&lt;0,TRUE,FALSE))</f>
        <v>0</v>
      </c>
      <c r="E8559" t="s">
        <v>434</v>
      </c>
      <c r="F8559" t="str">
        <f>INDEX(Lists!I:I,MATCH(Validation!E8559,Lists!G:G,0))</f>
        <v>Error</v>
      </c>
      <c r="G8559" t="str">
        <f>INDEX(Lists!H:H,MATCH(Validation!E8559,Lists!G:G,0))</f>
        <v>Amount may not be negative. Enter an amount greater than or equal to zero.</v>
      </c>
      <c r="H8559" s="16" t="str">
        <f t="shared" ca="1" si="978"/>
        <v/>
      </c>
      <c r="I8559" s="16" t="str">
        <f t="shared" ca="1" si="979"/>
        <v/>
      </c>
      <c r="J8559" s="17" t="str">
        <f t="shared" ca="1" si="980"/>
        <v/>
      </c>
    </row>
    <row r="8560" spans="1:10" x14ac:dyDescent="0.25">
      <c r="A8560" t="s">
        <v>1163</v>
      </c>
      <c r="B8560" t="str">
        <f>ADDRESS(ROW(TIF_DistrictYear_AssetsOtherPriorAdj_Entry),COLUMN(TIF_DistrictYear_AssetsOtherPriorAdj_Entry),4)</f>
        <v>B13</v>
      </c>
      <c r="C8560" t="str">
        <f>ADDRESS(ROW('Bal Sheet'!D$13),COLUMN('Bal Sheet'!D$13),4)</f>
        <v>D13</v>
      </c>
      <c r="D8560" t="b" cm="1">
        <f t="array" aca="1" ref="D8560" ca="1">IF(INDIRECT("'"&amp;A8560&amp;"'!"&amp;B8560)="",FALSE,IF(TRUNC(INDIRECT("'"&amp;A8560&amp;"'!"&amp;B8560))=INDIRECT("'"&amp;A8560&amp;"'!"&amp;B8560),FALSE,TRUE))</f>
        <v>0</v>
      </c>
      <c r="E8560" t="s">
        <v>436</v>
      </c>
      <c r="F8560" t="str">
        <f>INDEX(Lists!I:I,MATCH(Validation!E8560,Lists!G:G,0))</f>
        <v>Error</v>
      </c>
      <c r="G8560" t="str">
        <f>INDEX(Lists!H:H,MATCH(Validation!E8560,Lists!G:G,0))</f>
        <v>Amount must be rounded to the nearest dollar.</v>
      </c>
      <c r="H8560" s="16" t="str">
        <f t="shared" ca="1" si="978"/>
        <v/>
      </c>
      <c r="I8560" s="16" t="str">
        <f t="shared" ca="1" si="979"/>
        <v/>
      </c>
      <c r="J8560" s="17" t="str">
        <f t="shared" ca="1" si="980"/>
        <v/>
      </c>
    </row>
    <row r="8561" spans="1:10" x14ac:dyDescent="0.25">
      <c r="A8561" t="s">
        <v>1163</v>
      </c>
      <c r="B8561" t="str">
        <f>ADDRESS(ROW(TIF_DistrictYear_AssetsOtherAmt),COLUMN(TIF_DistrictYear_AssetsOtherAmt),4)</f>
        <v>C13</v>
      </c>
      <c r="C8561" t="str">
        <f>ADDRESS(ROW('Bal Sheet'!D$13),COLUMN('Bal Sheet'!D$13),4)</f>
        <v>D13</v>
      </c>
      <c r="D8561" t="b" cm="1">
        <f t="array" aca="1" ref="D8561" ca="1">IF(INDIRECT("'"&amp;A8561&amp;"'!"&amp;B8561)="",FALSE,IF(NOT(ISNUMBER(INDIRECT("'"&amp;A8561&amp;"'!"&amp;B8561))),TRUE,FALSE))</f>
        <v>0</v>
      </c>
      <c r="E8561" t="s">
        <v>435</v>
      </c>
      <c r="F8561" t="str">
        <f>INDEX(Lists!I:I,MATCH(Validation!E8561,Lists!G:G,0))</f>
        <v>Error</v>
      </c>
      <c r="G8561" t="str">
        <f>INDEX(Lists!H:H,MATCH(Validation!E8561,Lists!G:G,0))</f>
        <v>Enter an amount only. Do not enter text or spaces.</v>
      </c>
      <c r="H8561" s="16" t="str">
        <f t="shared" ca="1" si="978"/>
        <v/>
      </c>
      <c r="I8561" s="16" t="str">
        <f t="shared" ca="1" si="979"/>
        <v/>
      </c>
      <c r="J8561" s="17" t="str">
        <f t="shared" ca="1" si="980"/>
        <v/>
      </c>
    </row>
    <row r="8562" spans="1:10" x14ac:dyDescent="0.25">
      <c r="A8562" t="s">
        <v>1163</v>
      </c>
      <c r="B8562" t="str">
        <f>ADDRESS(ROW(TIF_DistrictYear_AssetsOtherAmt),COLUMN(TIF_DistrictYear_AssetsOtherAmt),4)</f>
        <v>C13</v>
      </c>
      <c r="C8562" t="str">
        <f>ADDRESS(ROW('Bal Sheet'!D$13),COLUMN('Bal Sheet'!D$13),4)</f>
        <v>D13</v>
      </c>
      <c r="D8562" t="b" cm="1">
        <f t="array" aca="1" ref="D8562" ca="1">IF(INDIRECT("'"&amp;A8562&amp;"'!"&amp;B8562)="",FALSE,IF(INDIRECT("'"&amp;A8562&amp;"'!"&amp;B8562)&lt;0,TRUE,FALSE))</f>
        <v>0</v>
      </c>
      <c r="E8562" t="s">
        <v>434</v>
      </c>
      <c r="F8562" t="str">
        <f>INDEX(Lists!I:I,MATCH(Validation!E8562,Lists!G:G,0))</f>
        <v>Error</v>
      </c>
      <c r="G8562" t="str">
        <f>INDEX(Lists!H:H,MATCH(Validation!E8562,Lists!G:G,0))</f>
        <v>Amount may not be negative. Enter an amount greater than or equal to zero.</v>
      </c>
      <c r="H8562" s="16" t="str">
        <f t="shared" ca="1" si="978"/>
        <v/>
      </c>
      <c r="I8562" s="16" t="str">
        <f t="shared" ca="1" si="979"/>
        <v/>
      </c>
      <c r="J8562" s="17" t="str">
        <f t="shared" ca="1" si="980"/>
        <v/>
      </c>
    </row>
    <row r="8563" spans="1:10" x14ac:dyDescent="0.25">
      <c r="A8563" t="s">
        <v>1163</v>
      </c>
      <c r="B8563" t="str">
        <f>ADDRESS(ROW(TIF_DistrictYear_AssetsOtherAmt),COLUMN(TIF_DistrictYear_AssetsOtherAmt),4)</f>
        <v>C13</v>
      </c>
      <c r="C8563" t="str">
        <f>ADDRESS(ROW('Bal Sheet'!D$13),COLUMN('Bal Sheet'!D$13),4)</f>
        <v>D13</v>
      </c>
      <c r="D8563" t="b" cm="1">
        <f t="array" aca="1" ref="D8563" ca="1">IF(INDIRECT("'"&amp;A8563&amp;"'!"&amp;B8563)="",FALSE,IF(TRUNC(INDIRECT("'"&amp;A8563&amp;"'!"&amp;B8563))=INDIRECT("'"&amp;A8563&amp;"'!"&amp;B8563),FALSE,TRUE))</f>
        <v>0</v>
      </c>
      <c r="E8563" t="s">
        <v>436</v>
      </c>
      <c r="F8563" t="str">
        <f>INDEX(Lists!I:I,MATCH(Validation!E8563,Lists!G:G,0))</f>
        <v>Error</v>
      </c>
      <c r="G8563" t="str">
        <f>INDEX(Lists!H:H,MATCH(Validation!E8563,Lists!G:G,0))</f>
        <v>Amount must be rounded to the nearest dollar.</v>
      </c>
      <c r="H8563" s="16" t="str">
        <f t="shared" ca="1" si="978"/>
        <v/>
      </c>
      <c r="I8563" s="16" t="str">
        <f t="shared" ca="1" si="979"/>
        <v/>
      </c>
      <c r="J8563" s="17" t="str">
        <f t="shared" ca="1" si="980"/>
        <v/>
      </c>
    </row>
    <row r="8564" spans="1:10" x14ac:dyDescent="0.25">
      <c r="A8564" t="s">
        <v>1163</v>
      </c>
      <c r="B8564" t="str">
        <f>ADDRESS(ROW(TIF_DistrictYear_AssetsPropertyPriorAdj_Entry),COLUMN(TIF_DistrictYear_AssetsPropertyPriorAdj_Entry),4)</f>
        <v>B14</v>
      </c>
      <c r="C8564" t="str">
        <f>ADDRESS(ROW('Bal Sheet'!D$14),COLUMN('Bal Sheet'!D$14),4)</f>
        <v>D14</v>
      </c>
      <c r="D8564" t="b" cm="1">
        <f t="array" aca="1" ref="D8564" ca="1">IF(INDIRECT("'"&amp;A8564&amp;"'!"&amp;B8564)="",FALSE,IF(NOT(ISNUMBER(INDIRECT("'"&amp;A8564&amp;"'!"&amp;B8564))),TRUE,FALSE))</f>
        <v>0</v>
      </c>
      <c r="E8564" t="s">
        <v>435</v>
      </c>
      <c r="F8564" t="str">
        <f>INDEX(Lists!I:I,MATCH(Validation!E8564,Lists!G:G,0))</f>
        <v>Error</v>
      </c>
      <c r="G8564" t="str">
        <f>INDEX(Lists!H:H,MATCH(Validation!E8564,Lists!G:G,0))</f>
        <v>Enter an amount only. Do not enter text or spaces.</v>
      </c>
      <c r="H8564" s="16" t="str">
        <f t="shared" ca="1" si="978"/>
        <v/>
      </c>
      <c r="I8564" s="16" t="str">
        <f t="shared" ca="1" si="979"/>
        <v/>
      </c>
      <c r="J8564" s="17" t="str">
        <f t="shared" ca="1" si="980"/>
        <v/>
      </c>
    </row>
    <row r="8565" spans="1:10" x14ac:dyDescent="0.25">
      <c r="A8565" t="s">
        <v>1163</v>
      </c>
      <c r="B8565" t="str">
        <f>ADDRESS(ROW(TIF_DistrictYear_AssetsPropertyPriorAdj_Entry),COLUMN(TIF_DistrictYear_AssetsPropertyPriorAdj_Entry),4)</f>
        <v>B14</v>
      </c>
      <c r="C8565" t="str">
        <f>ADDRESS(ROW('Bal Sheet'!D$14),COLUMN('Bal Sheet'!D$14),4)</f>
        <v>D14</v>
      </c>
      <c r="D8565" t="b" cm="1">
        <f t="array" aca="1" ref="D8565" ca="1">IF(INDIRECT("'"&amp;A8565&amp;"'!"&amp;B8565)="",FALSE,IF(INDIRECT("'"&amp;A8565&amp;"'!"&amp;B8565)&lt;0,TRUE,FALSE))</f>
        <v>0</v>
      </c>
      <c r="E8565" t="s">
        <v>434</v>
      </c>
      <c r="F8565" t="str">
        <f>INDEX(Lists!I:I,MATCH(Validation!E8565,Lists!G:G,0))</f>
        <v>Error</v>
      </c>
      <c r="G8565" t="str">
        <f>INDEX(Lists!H:H,MATCH(Validation!E8565,Lists!G:G,0))</f>
        <v>Amount may not be negative. Enter an amount greater than or equal to zero.</v>
      </c>
      <c r="H8565" s="16" t="str">
        <f t="shared" ca="1" si="978"/>
        <v/>
      </c>
      <c r="I8565" s="16" t="str">
        <f t="shared" ca="1" si="979"/>
        <v/>
      </c>
      <c r="J8565" s="17" t="str">
        <f t="shared" ca="1" si="980"/>
        <v/>
      </c>
    </row>
    <row r="8566" spans="1:10" x14ac:dyDescent="0.25">
      <c r="A8566" t="s">
        <v>1163</v>
      </c>
      <c r="B8566" t="str">
        <f>ADDRESS(ROW(TIF_DistrictYear_AssetsPropertyPriorAdj_Entry),COLUMN(TIF_DistrictYear_AssetsPropertyPriorAdj_Entry),4)</f>
        <v>B14</v>
      </c>
      <c r="C8566" t="str">
        <f>ADDRESS(ROW('Bal Sheet'!D$14),COLUMN('Bal Sheet'!D$14),4)</f>
        <v>D14</v>
      </c>
      <c r="D8566" t="b" cm="1">
        <f t="array" aca="1" ref="D8566" ca="1">IF(INDIRECT("'"&amp;A8566&amp;"'!"&amp;B8566)="",FALSE,IF(TRUNC(INDIRECT("'"&amp;A8566&amp;"'!"&amp;B8566))=INDIRECT("'"&amp;A8566&amp;"'!"&amp;B8566),FALSE,TRUE))</f>
        <v>0</v>
      </c>
      <c r="E8566" t="s">
        <v>436</v>
      </c>
      <c r="F8566" t="str">
        <f>INDEX(Lists!I:I,MATCH(Validation!E8566,Lists!G:G,0))</f>
        <v>Error</v>
      </c>
      <c r="G8566" t="str">
        <f>INDEX(Lists!H:H,MATCH(Validation!E8566,Lists!G:G,0))</f>
        <v>Amount must be rounded to the nearest dollar.</v>
      </c>
      <c r="H8566" s="16" t="str">
        <f t="shared" ca="1" si="978"/>
        <v/>
      </c>
      <c r="I8566" s="16" t="str">
        <f t="shared" ca="1" si="979"/>
        <v/>
      </c>
      <c r="J8566" s="17" t="str">
        <f t="shared" ca="1" si="980"/>
        <v/>
      </c>
    </row>
    <row r="8567" spans="1:10" x14ac:dyDescent="0.25">
      <c r="A8567" t="s">
        <v>1163</v>
      </c>
      <c r="B8567" t="str">
        <f>ADDRESS(ROW(TIF_DistrictYear_AssetsPropertyAmt),COLUMN(TIF_DistrictYear_AssetsPropertyAmt),4)</f>
        <v>C14</v>
      </c>
      <c r="C8567" t="str">
        <f>ADDRESS(ROW('Bal Sheet'!D$14),COLUMN('Bal Sheet'!D$14),4)</f>
        <v>D14</v>
      </c>
      <c r="D8567" t="b" cm="1">
        <f t="array" aca="1" ref="D8567" ca="1">IF(INDIRECT("'"&amp;A8567&amp;"'!"&amp;B8567)="",FALSE,IF(NOT(ISNUMBER(INDIRECT("'"&amp;A8567&amp;"'!"&amp;B8567))),TRUE,FALSE))</f>
        <v>0</v>
      </c>
      <c r="E8567" t="s">
        <v>435</v>
      </c>
      <c r="F8567" t="str">
        <f>INDEX(Lists!I:I,MATCH(Validation!E8567,Lists!G:G,0))</f>
        <v>Error</v>
      </c>
      <c r="G8567" t="str">
        <f>INDEX(Lists!H:H,MATCH(Validation!E8567,Lists!G:G,0))</f>
        <v>Enter an amount only. Do not enter text or spaces.</v>
      </c>
      <c r="H8567" s="16" t="str">
        <f t="shared" ca="1" si="978"/>
        <v/>
      </c>
      <c r="I8567" s="16" t="str">
        <f t="shared" ca="1" si="979"/>
        <v/>
      </c>
      <c r="J8567" s="17" t="str">
        <f t="shared" ca="1" si="980"/>
        <v/>
      </c>
    </row>
    <row r="8568" spans="1:10" x14ac:dyDescent="0.25">
      <c r="A8568" t="s">
        <v>1163</v>
      </c>
      <c r="B8568" t="str">
        <f>ADDRESS(ROW(TIF_DistrictYear_AssetsPropertyAmt),COLUMN(TIF_DistrictYear_AssetsPropertyAmt),4)</f>
        <v>C14</v>
      </c>
      <c r="C8568" t="str">
        <f>ADDRESS(ROW('Bal Sheet'!D$14),COLUMN('Bal Sheet'!D$14),4)</f>
        <v>D14</v>
      </c>
      <c r="D8568" t="b" cm="1">
        <f t="array" aca="1" ref="D8568" ca="1">IF(INDIRECT("'"&amp;A8568&amp;"'!"&amp;B8568)="",FALSE,IF(INDIRECT("'"&amp;A8568&amp;"'!"&amp;B8568)&lt;0,TRUE,FALSE))</f>
        <v>0</v>
      </c>
      <c r="E8568" t="s">
        <v>434</v>
      </c>
      <c r="F8568" t="str">
        <f>INDEX(Lists!I:I,MATCH(Validation!E8568,Lists!G:G,0))</f>
        <v>Error</v>
      </c>
      <c r="G8568" t="str">
        <f>INDEX(Lists!H:H,MATCH(Validation!E8568,Lists!G:G,0))</f>
        <v>Amount may not be negative. Enter an amount greater than or equal to zero.</v>
      </c>
      <c r="H8568" s="16" t="str">
        <f t="shared" ca="1" si="978"/>
        <v/>
      </c>
      <c r="I8568" s="16" t="str">
        <f t="shared" ca="1" si="979"/>
        <v/>
      </c>
      <c r="J8568" s="17" t="str">
        <f t="shared" ca="1" si="980"/>
        <v/>
      </c>
    </row>
    <row r="8569" spans="1:10" x14ac:dyDescent="0.25">
      <c r="A8569" t="s">
        <v>1163</v>
      </c>
      <c r="B8569" t="str">
        <f>ADDRESS(ROW(TIF_DistrictYear_AssetsPropertyAmt),COLUMN(TIF_DistrictYear_AssetsPropertyAmt),4)</f>
        <v>C14</v>
      </c>
      <c r="C8569" t="str">
        <f>ADDRESS(ROW('Bal Sheet'!D$14),COLUMN('Bal Sheet'!D$14),4)</f>
        <v>D14</v>
      </c>
      <c r="D8569" t="b" cm="1">
        <f t="array" aca="1" ref="D8569" ca="1">IF(INDIRECT("'"&amp;A8569&amp;"'!"&amp;B8569)="",FALSE,IF(TRUNC(INDIRECT("'"&amp;A8569&amp;"'!"&amp;B8569))=INDIRECT("'"&amp;A8569&amp;"'!"&amp;B8569),FALSE,TRUE))</f>
        <v>0</v>
      </c>
      <c r="E8569" t="s">
        <v>436</v>
      </c>
      <c r="F8569" t="str">
        <f>INDEX(Lists!I:I,MATCH(Validation!E8569,Lists!G:G,0))</f>
        <v>Error</v>
      </c>
      <c r="G8569" t="str">
        <f>INDEX(Lists!H:H,MATCH(Validation!E8569,Lists!G:G,0))</f>
        <v>Amount must be rounded to the nearest dollar.</v>
      </c>
      <c r="H8569" s="16" t="str">
        <f t="shared" ca="1" si="978"/>
        <v/>
      </c>
      <c r="I8569" s="16" t="str">
        <f t="shared" ca="1" si="979"/>
        <v/>
      </c>
      <c r="J8569" s="17" t="str">
        <f t="shared" ca="1" si="980"/>
        <v/>
      </c>
    </row>
    <row r="8570" spans="1:10" x14ac:dyDescent="0.25">
      <c r="A8570" t="s">
        <v>1163</v>
      </c>
      <c r="B8570" t="str">
        <f>ADDRESS(ROW(TIF_DistrictYear_LiabilitiesAccountsPayablePriorAdj_Entry),COLUMN(TIF_DistrictYear_LiabilitiesAccountsPayablePriorAdj_Entry),4)</f>
        <v>B19</v>
      </c>
      <c r="C8570" t="str">
        <f>ADDRESS(ROW('Bal Sheet'!D$19),COLUMN('Bal Sheet'!D$19),4)</f>
        <v>D19</v>
      </c>
      <c r="D8570" t="b" cm="1">
        <f t="array" aca="1" ref="D8570" ca="1">IF(INDIRECT("'"&amp;A8570&amp;"'!"&amp;B8570)="",FALSE,IF(NOT(ISNUMBER(INDIRECT("'"&amp;A8570&amp;"'!"&amp;B8570))),TRUE,FALSE))</f>
        <v>0</v>
      </c>
      <c r="E8570" t="s">
        <v>435</v>
      </c>
      <c r="F8570" t="str">
        <f>INDEX(Lists!I:I,MATCH(Validation!E8570,Lists!G:G,0))</f>
        <v>Error</v>
      </c>
      <c r="G8570" t="str">
        <f>INDEX(Lists!H:H,MATCH(Validation!E8570,Lists!G:G,0))</f>
        <v>Enter an amount only. Do not enter text or spaces.</v>
      </c>
      <c r="H8570" s="16" t="str">
        <f t="shared" ca="1" si="978"/>
        <v/>
      </c>
      <c r="I8570" s="16" t="str">
        <f t="shared" ca="1" si="979"/>
        <v/>
      </c>
      <c r="J8570" s="17" t="str">
        <f t="shared" ca="1" si="980"/>
        <v/>
      </c>
    </row>
    <row r="8571" spans="1:10" x14ac:dyDescent="0.25">
      <c r="A8571" t="s">
        <v>1163</v>
      </c>
      <c r="B8571" t="str">
        <f>ADDRESS(ROW(TIF_DistrictYear_LiabilitiesAccountsPayablePriorAdj_Entry),COLUMN(TIF_DistrictYear_LiabilitiesAccountsPayablePriorAdj_Entry),4)</f>
        <v>B19</v>
      </c>
      <c r="C8571" t="str">
        <f>ADDRESS(ROW('Bal Sheet'!D$19),COLUMN('Bal Sheet'!D$19),4)</f>
        <v>D19</v>
      </c>
      <c r="D8571" t="b" cm="1">
        <f t="array" aca="1" ref="D8571" ca="1">IF(INDIRECT("'"&amp;A8571&amp;"'!"&amp;B8571)="",FALSE,IF(INDIRECT("'"&amp;A8571&amp;"'!"&amp;B8571)&lt;0,TRUE,FALSE))</f>
        <v>0</v>
      </c>
      <c r="E8571" t="s">
        <v>434</v>
      </c>
      <c r="F8571" t="str">
        <f>INDEX(Lists!I:I,MATCH(Validation!E8571,Lists!G:G,0))</f>
        <v>Error</v>
      </c>
      <c r="G8571" t="str">
        <f>INDEX(Lists!H:H,MATCH(Validation!E8571,Lists!G:G,0))</f>
        <v>Amount may not be negative. Enter an amount greater than or equal to zero.</v>
      </c>
      <c r="H8571" s="16" t="str">
        <f t="shared" ca="1" si="978"/>
        <v/>
      </c>
      <c r="I8571" s="16" t="str">
        <f t="shared" ca="1" si="979"/>
        <v/>
      </c>
      <c r="J8571" s="17" t="str">
        <f t="shared" ca="1" si="980"/>
        <v/>
      </c>
    </row>
    <row r="8572" spans="1:10" x14ac:dyDescent="0.25">
      <c r="A8572" t="s">
        <v>1163</v>
      </c>
      <c r="B8572" t="str">
        <f>ADDRESS(ROW(TIF_DistrictYear_LiabilitiesAccountsPayablePriorAdj_Entry),COLUMN(TIF_DistrictYear_LiabilitiesAccountsPayablePriorAdj_Entry),4)</f>
        <v>B19</v>
      </c>
      <c r="C8572" t="str">
        <f>ADDRESS(ROW('Bal Sheet'!D$19),COLUMN('Bal Sheet'!D$19),4)</f>
        <v>D19</v>
      </c>
      <c r="D8572" t="b" cm="1">
        <f t="array" aca="1" ref="D8572" ca="1">IF(INDIRECT("'"&amp;A8572&amp;"'!"&amp;B8572)="",FALSE,IF(TRUNC(INDIRECT("'"&amp;A8572&amp;"'!"&amp;B8572))=INDIRECT("'"&amp;A8572&amp;"'!"&amp;B8572),FALSE,TRUE))</f>
        <v>0</v>
      </c>
      <c r="E8572" t="s">
        <v>436</v>
      </c>
      <c r="F8572" t="str">
        <f>INDEX(Lists!I:I,MATCH(Validation!E8572,Lists!G:G,0))</f>
        <v>Error</v>
      </c>
      <c r="G8572" t="str">
        <f>INDEX(Lists!H:H,MATCH(Validation!E8572,Lists!G:G,0))</f>
        <v>Amount must be rounded to the nearest dollar.</v>
      </c>
      <c r="H8572" s="16" t="str">
        <f t="shared" ca="1" si="978"/>
        <v/>
      </c>
      <c r="I8572" s="16" t="str">
        <f t="shared" ca="1" si="979"/>
        <v/>
      </c>
      <c r="J8572" s="17" t="str">
        <f t="shared" ca="1" si="980"/>
        <v/>
      </c>
    </row>
    <row r="8573" spans="1:10" x14ac:dyDescent="0.25">
      <c r="A8573" t="s">
        <v>1163</v>
      </c>
      <c r="B8573" t="str">
        <f>ADDRESS(ROW(TIF_DistrictYear_LiabilitiesAccountsPayableAmt),COLUMN(TIF_DistrictYear_LiabilitiesAccountsPayableAmt),4)</f>
        <v>C19</v>
      </c>
      <c r="C8573" t="str">
        <f>ADDRESS(ROW('Bal Sheet'!D$19),COLUMN('Bal Sheet'!D$19),4)</f>
        <v>D19</v>
      </c>
      <c r="D8573" t="b" cm="1">
        <f t="array" aca="1" ref="D8573" ca="1">IF(INDIRECT("'"&amp;A8573&amp;"'!"&amp;B8573)="",FALSE,IF(NOT(ISNUMBER(INDIRECT("'"&amp;A8573&amp;"'!"&amp;B8573))),TRUE,FALSE))</f>
        <v>0</v>
      </c>
      <c r="E8573" t="s">
        <v>435</v>
      </c>
      <c r="F8573" t="str">
        <f>INDEX(Lists!I:I,MATCH(Validation!E8573,Lists!G:G,0))</f>
        <v>Error</v>
      </c>
      <c r="G8573" t="str">
        <f>INDEX(Lists!H:H,MATCH(Validation!E8573,Lists!G:G,0))</f>
        <v>Enter an amount only. Do not enter text or spaces.</v>
      </c>
      <c r="H8573" s="16" t="str">
        <f t="shared" ca="1" si="978"/>
        <v/>
      </c>
      <c r="I8573" s="16" t="str">
        <f t="shared" ca="1" si="979"/>
        <v/>
      </c>
      <c r="J8573" s="17" t="str">
        <f t="shared" ca="1" si="980"/>
        <v/>
      </c>
    </row>
    <row r="8574" spans="1:10" x14ac:dyDescent="0.25">
      <c r="A8574" t="s">
        <v>1163</v>
      </c>
      <c r="B8574" t="str">
        <f>ADDRESS(ROW(TIF_DistrictYear_LiabilitiesAccountsPayableAmt),COLUMN(TIF_DistrictYear_LiabilitiesAccountsPayableAmt),4)</f>
        <v>C19</v>
      </c>
      <c r="C8574" t="str">
        <f>ADDRESS(ROW('Bal Sheet'!D$19),COLUMN('Bal Sheet'!D$19),4)</f>
        <v>D19</v>
      </c>
      <c r="D8574" t="b" cm="1">
        <f t="array" aca="1" ref="D8574" ca="1">IF(INDIRECT("'"&amp;A8574&amp;"'!"&amp;B8574)="",FALSE,IF(INDIRECT("'"&amp;A8574&amp;"'!"&amp;B8574)&lt;0,TRUE,FALSE))</f>
        <v>0</v>
      </c>
      <c r="E8574" t="s">
        <v>434</v>
      </c>
      <c r="F8574" t="str">
        <f>INDEX(Lists!I:I,MATCH(Validation!E8574,Lists!G:G,0))</f>
        <v>Error</v>
      </c>
      <c r="G8574" t="str">
        <f>INDEX(Lists!H:H,MATCH(Validation!E8574,Lists!G:G,0))</f>
        <v>Amount may not be negative. Enter an amount greater than or equal to zero.</v>
      </c>
      <c r="H8574" s="16" t="str">
        <f t="shared" ca="1" si="978"/>
        <v/>
      </c>
      <c r="I8574" s="16" t="str">
        <f t="shared" ca="1" si="979"/>
        <v/>
      </c>
      <c r="J8574" s="17" t="str">
        <f t="shared" ca="1" si="980"/>
        <v/>
      </c>
    </row>
    <row r="8575" spans="1:10" x14ac:dyDescent="0.25">
      <c r="A8575" t="s">
        <v>1163</v>
      </c>
      <c r="B8575" t="str">
        <f>ADDRESS(ROW(TIF_DistrictYear_LiabilitiesAccountsPayableAmt),COLUMN(TIF_DistrictYear_LiabilitiesAccountsPayableAmt),4)</f>
        <v>C19</v>
      </c>
      <c r="C8575" t="str">
        <f>ADDRESS(ROW('Bal Sheet'!D$19),COLUMN('Bal Sheet'!D$19),4)</f>
        <v>D19</v>
      </c>
      <c r="D8575" t="b" cm="1">
        <f t="array" aca="1" ref="D8575" ca="1">IF(INDIRECT("'"&amp;A8575&amp;"'!"&amp;B8575)="",FALSE,IF(TRUNC(INDIRECT("'"&amp;A8575&amp;"'!"&amp;B8575))=INDIRECT("'"&amp;A8575&amp;"'!"&amp;B8575),FALSE,TRUE))</f>
        <v>0</v>
      </c>
      <c r="E8575" t="s">
        <v>436</v>
      </c>
      <c r="F8575" t="str">
        <f>INDEX(Lists!I:I,MATCH(Validation!E8575,Lists!G:G,0))</f>
        <v>Error</v>
      </c>
      <c r="G8575" t="str">
        <f>INDEX(Lists!H:H,MATCH(Validation!E8575,Lists!G:G,0))</f>
        <v>Amount must be rounded to the nearest dollar.</v>
      </c>
      <c r="H8575" s="16" t="str">
        <f t="shared" ca="1" si="978"/>
        <v/>
      </c>
      <c r="I8575" s="16" t="str">
        <f t="shared" ca="1" si="979"/>
        <v/>
      </c>
      <c r="J8575" s="17" t="str">
        <f t="shared" ca="1" si="980"/>
        <v/>
      </c>
    </row>
    <row r="8576" spans="1:10" x14ac:dyDescent="0.25">
      <c r="A8576" t="s">
        <v>1163</v>
      </c>
      <c r="B8576" t="str">
        <f>ADDRESS(ROW(TIF_DistrictYear_LiabilitiesUnearnedRevenuePriorAdj_Entry),COLUMN(TIF_DistrictYear_LiabilitiesUnearnedRevenuePriorAdj_Entry),4)</f>
        <v>B20</v>
      </c>
      <c r="C8576" t="str">
        <f>ADDRESS(ROW('Bal Sheet'!D$20),COLUMN('Bal Sheet'!D$20),4)</f>
        <v>D20</v>
      </c>
      <c r="D8576" t="b" cm="1">
        <f t="array" aca="1" ref="D8576" ca="1">IF(INDIRECT("'"&amp;A8576&amp;"'!"&amp;B8576)="",FALSE,IF(NOT(ISNUMBER(INDIRECT("'"&amp;A8576&amp;"'!"&amp;B8576))),TRUE,FALSE))</f>
        <v>0</v>
      </c>
      <c r="E8576" t="s">
        <v>435</v>
      </c>
      <c r="F8576" t="str">
        <f>INDEX(Lists!I:I,MATCH(Validation!E8576,Lists!G:G,0))</f>
        <v>Error</v>
      </c>
      <c r="G8576" t="str">
        <f>INDEX(Lists!H:H,MATCH(Validation!E8576,Lists!G:G,0))</f>
        <v>Enter an amount only. Do not enter text or spaces.</v>
      </c>
      <c r="H8576" s="16" t="str">
        <f t="shared" ca="1" si="978"/>
        <v/>
      </c>
      <c r="I8576" s="16" t="str">
        <f t="shared" ca="1" si="979"/>
        <v/>
      </c>
      <c r="J8576" s="17" t="str">
        <f t="shared" ca="1" si="980"/>
        <v/>
      </c>
    </row>
    <row r="8577" spans="1:10" x14ac:dyDescent="0.25">
      <c r="A8577" t="s">
        <v>1163</v>
      </c>
      <c r="B8577" t="str">
        <f>ADDRESS(ROW(TIF_DistrictYear_LiabilitiesUnearnedRevenuePriorAdj_Entry),COLUMN(TIF_DistrictYear_LiabilitiesUnearnedRevenuePriorAdj_Entry),4)</f>
        <v>B20</v>
      </c>
      <c r="C8577" t="str">
        <f>ADDRESS(ROW('Bal Sheet'!D$20),COLUMN('Bal Sheet'!D$20),4)</f>
        <v>D20</v>
      </c>
      <c r="D8577" t="b" cm="1">
        <f t="array" aca="1" ref="D8577" ca="1">IF(INDIRECT("'"&amp;A8577&amp;"'!"&amp;B8577)="",FALSE,IF(INDIRECT("'"&amp;A8577&amp;"'!"&amp;B8577)&lt;0,TRUE,FALSE))</f>
        <v>0</v>
      </c>
      <c r="E8577" t="s">
        <v>434</v>
      </c>
      <c r="F8577" t="str">
        <f>INDEX(Lists!I:I,MATCH(Validation!E8577,Lists!G:G,0))</f>
        <v>Error</v>
      </c>
      <c r="G8577" t="str">
        <f>INDEX(Lists!H:H,MATCH(Validation!E8577,Lists!G:G,0))</f>
        <v>Amount may not be negative. Enter an amount greater than or equal to zero.</v>
      </c>
      <c r="H8577" s="16" t="str">
        <f t="shared" ca="1" si="978"/>
        <v/>
      </c>
      <c r="I8577" s="16" t="str">
        <f t="shared" ca="1" si="979"/>
        <v/>
      </c>
      <c r="J8577" s="17" t="str">
        <f t="shared" ca="1" si="980"/>
        <v/>
      </c>
    </row>
    <row r="8578" spans="1:10" x14ac:dyDescent="0.25">
      <c r="A8578" t="s">
        <v>1163</v>
      </c>
      <c r="B8578" t="str">
        <f>ADDRESS(ROW(TIF_DistrictYear_LiabilitiesUnearnedRevenuePriorAdj_Entry),COLUMN(TIF_DistrictYear_LiabilitiesUnearnedRevenuePriorAdj_Entry),4)</f>
        <v>B20</v>
      </c>
      <c r="C8578" t="str">
        <f>ADDRESS(ROW('Bal Sheet'!D$20),COLUMN('Bal Sheet'!D$20),4)</f>
        <v>D20</v>
      </c>
      <c r="D8578" t="b" cm="1">
        <f t="array" aca="1" ref="D8578" ca="1">IF(INDIRECT("'"&amp;A8578&amp;"'!"&amp;B8578)="",FALSE,IF(TRUNC(INDIRECT("'"&amp;A8578&amp;"'!"&amp;B8578))=INDIRECT("'"&amp;A8578&amp;"'!"&amp;B8578),FALSE,TRUE))</f>
        <v>0</v>
      </c>
      <c r="E8578" t="s">
        <v>436</v>
      </c>
      <c r="F8578" t="str">
        <f>INDEX(Lists!I:I,MATCH(Validation!E8578,Lists!G:G,0))</f>
        <v>Error</v>
      </c>
      <c r="G8578" t="str">
        <f>INDEX(Lists!H:H,MATCH(Validation!E8578,Lists!G:G,0))</f>
        <v>Amount must be rounded to the nearest dollar.</v>
      </c>
      <c r="H8578" s="16" t="str">
        <f t="shared" ca="1" si="978"/>
        <v/>
      </c>
      <c r="I8578" s="16" t="str">
        <f t="shared" ca="1" si="979"/>
        <v/>
      </c>
      <c r="J8578" s="17" t="str">
        <f t="shared" ca="1" si="980"/>
        <v/>
      </c>
    </row>
    <row r="8579" spans="1:10" x14ac:dyDescent="0.25">
      <c r="A8579" t="s">
        <v>1163</v>
      </c>
      <c r="B8579" t="str">
        <f>ADDRESS(ROW(TIF_DistrictYear_LiabilitiesUnearnedRevenueAmt),COLUMN(TIF_DistrictYear_LiabilitiesUnearnedRevenueAmt),4)</f>
        <v>C20</v>
      </c>
      <c r="C8579" t="str">
        <f>ADDRESS(ROW('Bal Sheet'!D$20),COLUMN('Bal Sheet'!D$20),4)</f>
        <v>D20</v>
      </c>
      <c r="D8579" t="b" cm="1">
        <f t="array" aca="1" ref="D8579" ca="1">IF(INDIRECT("'"&amp;A8579&amp;"'!"&amp;B8579)="",FALSE,IF(NOT(ISNUMBER(INDIRECT("'"&amp;A8579&amp;"'!"&amp;B8579))),TRUE,FALSE))</f>
        <v>0</v>
      </c>
      <c r="E8579" t="s">
        <v>435</v>
      </c>
      <c r="F8579" t="str">
        <f>INDEX(Lists!I:I,MATCH(Validation!E8579,Lists!G:G,0))</f>
        <v>Error</v>
      </c>
      <c r="G8579" t="str">
        <f>INDEX(Lists!H:H,MATCH(Validation!E8579,Lists!G:G,0))</f>
        <v>Enter an amount only. Do not enter text or spaces.</v>
      </c>
      <c r="H8579" s="16" t="str">
        <f t="shared" ca="1" si="978"/>
        <v/>
      </c>
      <c r="I8579" s="16" t="str">
        <f t="shared" ca="1" si="979"/>
        <v/>
      </c>
      <c r="J8579" s="17" t="str">
        <f t="shared" ca="1" si="980"/>
        <v/>
      </c>
    </row>
    <row r="8580" spans="1:10" x14ac:dyDescent="0.25">
      <c r="A8580" t="s">
        <v>1163</v>
      </c>
      <c r="B8580" t="str">
        <f>ADDRESS(ROW(TIF_DistrictYear_LiabilitiesUnearnedRevenueAmt),COLUMN(TIF_DistrictYear_LiabilitiesUnearnedRevenueAmt),4)</f>
        <v>C20</v>
      </c>
      <c r="C8580" t="str">
        <f>ADDRESS(ROW('Bal Sheet'!D$20),COLUMN('Bal Sheet'!D$20),4)</f>
        <v>D20</v>
      </c>
      <c r="D8580" t="b" cm="1">
        <f t="array" aca="1" ref="D8580" ca="1">IF(INDIRECT("'"&amp;A8580&amp;"'!"&amp;B8580)="",FALSE,IF(INDIRECT("'"&amp;A8580&amp;"'!"&amp;B8580)&lt;0,TRUE,FALSE))</f>
        <v>0</v>
      </c>
      <c r="E8580" t="s">
        <v>434</v>
      </c>
      <c r="F8580" t="str">
        <f>INDEX(Lists!I:I,MATCH(Validation!E8580,Lists!G:G,0))</f>
        <v>Error</v>
      </c>
      <c r="G8580" t="str">
        <f>INDEX(Lists!H:H,MATCH(Validation!E8580,Lists!G:G,0))</f>
        <v>Amount may not be negative. Enter an amount greater than or equal to zero.</v>
      </c>
      <c r="H8580" s="16" t="str">
        <f t="shared" ca="1" si="978"/>
        <v/>
      </c>
      <c r="I8580" s="16" t="str">
        <f t="shared" ca="1" si="979"/>
        <v/>
      </c>
      <c r="J8580" s="17" t="str">
        <f t="shared" ca="1" si="980"/>
        <v/>
      </c>
    </row>
    <row r="8581" spans="1:10" x14ac:dyDescent="0.25">
      <c r="A8581" t="s">
        <v>1163</v>
      </c>
      <c r="B8581" t="str">
        <f>ADDRESS(ROW(TIF_DistrictYear_LiabilitiesUnearnedRevenueAmt),COLUMN(TIF_DistrictYear_LiabilitiesUnearnedRevenueAmt),4)</f>
        <v>C20</v>
      </c>
      <c r="C8581" t="str">
        <f>ADDRESS(ROW('Bal Sheet'!D$20),COLUMN('Bal Sheet'!D$20),4)</f>
        <v>D20</v>
      </c>
      <c r="D8581" t="b" cm="1">
        <f t="array" aca="1" ref="D8581" ca="1">IF(INDIRECT("'"&amp;A8581&amp;"'!"&amp;B8581)="",FALSE,IF(TRUNC(INDIRECT("'"&amp;A8581&amp;"'!"&amp;B8581))=INDIRECT("'"&amp;A8581&amp;"'!"&amp;B8581),FALSE,TRUE))</f>
        <v>0</v>
      </c>
      <c r="E8581" t="s">
        <v>436</v>
      </c>
      <c r="F8581" t="str">
        <f>INDEX(Lists!I:I,MATCH(Validation!E8581,Lists!G:G,0))</f>
        <v>Error</v>
      </c>
      <c r="G8581" t="str">
        <f>INDEX(Lists!H:H,MATCH(Validation!E8581,Lists!G:G,0))</f>
        <v>Amount must be rounded to the nearest dollar.</v>
      </c>
      <c r="H8581" s="16" t="str">
        <f t="shared" ca="1" si="978"/>
        <v/>
      </c>
      <c r="I8581" s="16" t="str">
        <f t="shared" ca="1" si="979"/>
        <v/>
      </c>
      <c r="J8581" s="17" t="str">
        <f t="shared" ca="1" si="980"/>
        <v/>
      </c>
    </row>
    <row r="8582" spans="1:10" x14ac:dyDescent="0.25">
      <c r="A8582" t="s">
        <v>1163</v>
      </c>
      <c r="B8582" t="str">
        <f>ADDRESS(ROW(TIF_DistrictYear_DeferredInflowsPriorAdj_Entry),COLUMN(TIF_DistrictYear_DeferredInflowsPriorAdj_Entry),4)</f>
        <v>B23</v>
      </c>
      <c r="C8582" t="str">
        <f>ADDRESS(ROW('Bal Sheet'!D$23),COLUMN('Bal Sheet'!D$23),4)</f>
        <v>D23</v>
      </c>
      <c r="D8582" t="b" cm="1">
        <f t="array" aca="1" ref="D8582" ca="1">IF(INDIRECT("'"&amp;A8582&amp;"'!"&amp;B8582)="",FALSE,IF(NOT(ISNUMBER(INDIRECT("'"&amp;A8582&amp;"'!"&amp;B8582))),TRUE,FALSE))</f>
        <v>0</v>
      </c>
      <c r="E8582" t="s">
        <v>435</v>
      </c>
      <c r="F8582" t="str">
        <f>INDEX(Lists!I:I,MATCH(Validation!E8582,Lists!G:G,0))</f>
        <v>Error</v>
      </c>
      <c r="G8582" t="str">
        <f>INDEX(Lists!H:H,MATCH(Validation!E8582,Lists!G:G,0))</f>
        <v>Enter an amount only. Do not enter text or spaces.</v>
      </c>
      <c r="H8582" s="16" t="str">
        <f t="shared" ca="1" si="978"/>
        <v/>
      </c>
      <c r="I8582" s="16" t="str">
        <f t="shared" ca="1" si="979"/>
        <v/>
      </c>
      <c r="J8582" s="17" t="str">
        <f t="shared" ca="1" si="980"/>
        <v/>
      </c>
    </row>
    <row r="8583" spans="1:10" x14ac:dyDescent="0.25">
      <c r="A8583" t="s">
        <v>1163</v>
      </c>
      <c r="B8583" t="str">
        <f>ADDRESS(ROW(TIF_DistrictYear_DeferredInflowsPriorAdj_Entry),COLUMN(TIF_DistrictYear_DeferredInflowsPriorAdj_Entry),4)</f>
        <v>B23</v>
      </c>
      <c r="C8583" t="str">
        <f>ADDRESS(ROW('Bal Sheet'!D$23),COLUMN('Bal Sheet'!D$23),4)</f>
        <v>D23</v>
      </c>
      <c r="D8583" t="b" cm="1">
        <f t="array" aca="1" ref="D8583" ca="1">IF(INDIRECT("'"&amp;A8583&amp;"'!"&amp;B8583)="",FALSE,IF(INDIRECT("'"&amp;A8583&amp;"'!"&amp;B8583)&lt;0,TRUE,FALSE))</f>
        <v>0</v>
      </c>
      <c r="E8583" t="s">
        <v>434</v>
      </c>
      <c r="F8583" t="str">
        <f>INDEX(Lists!I:I,MATCH(Validation!E8583,Lists!G:G,0))</f>
        <v>Error</v>
      </c>
      <c r="G8583" t="str">
        <f>INDEX(Lists!H:H,MATCH(Validation!E8583,Lists!G:G,0))</f>
        <v>Amount may not be negative. Enter an amount greater than or equal to zero.</v>
      </c>
      <c r="H8583" s="16" t="str">
        <f t="shared" ca="1" si="978"/>
        <v/>
      </c>
      <c r="I8583" s="16" t="str">
        <f t="shared" ca="1" si="979"/>
        <v/>
      </c>
      <c r="J8583" s="17" t="str">
        <f t="shared" ca="1" si="980"/>
        <v/>
      </c>
    </row>
    <row r="8584" spans="1:10" x14ac:dyDescent="0.25">
      <c r="A8584" t="s">
        <v>1163</v>
      </c>
      <c r="B8584" t="str">
        <f>ADDRESS(ROW(TIF_DistrictYear_DeferredInflowsPriorAdj_Entry),COLUMN(TIF_DistrictYear_DeferredInflowsPriorAdj_Entry),4)</f>
        <v>B23</v>
      </c>
      <c r="C8584" t="str">
        <f>ADDRESS(ROW('Bal Sheet'!D$23),COLUMN('Bal Sheet'!D$23),4)</f>
        <v>D23</v>
      </c>
      <c r="D8584" t="b" cm="1">
        <f t="array" aca="1" ref="D8584" ca="1">IF(INDIRECT("'"&amp;A8584&amp;"'!"&amp;B8584)="",FALSE,IF(TRUNC(INDIRECT("'"&amp;A8584&amp;"'!"&amp;B8584))=INDIRECT("'"&amp;A8584&amp;"'!"&amp;B8584),FALSE,TRUE))</f>
        <v>0</v>
      </c>
      <c r="E8584" t="s">
        <v>436</v>
      </c>
      <c r="F8584" t="str">
        <f>INDEX(Lists!I:I,MATCH(Validation!E8584,Lists!G:G,0))</f>
        <v>Error</v>
      </c>
      <c r="G8584" t="str">
        <f>INDEX(Lists!H:H,MATCH(Validation!E8584,Lists!G:G,0))</f>
        <v>Amount must be rounded to the nearest dollar.</v>
      </c>
      <c r="H8584" s="16" t="str">
        <f t="shared" ca="1" si="978"/>
        <v/>
      </c>
      <c r="I8584" s="16" t="str">
        <f t="shared" ca="1" si="979"/>
        <v/>
      </c>
      <c r="J8584" s="17" t="str">
        <f t="shared" ca="1" si="980"/>
        <v/>
      </c>
    </row>
    <row r="8585" spans="1:10" x14ac:dyDescent="0.25">
      <c r="A8585" t="s">
        <v>1163</v>
      </c>
      <c r="B8585" t="str">
        <f>ADDRESS(ROW(TIF_DistrictYear_DeferredInflowsAmt),COLUMN(TIF_DistrictYear_DeferredInflowsAmt),4)</f>
        <v>C23</v>
      </c>
      <c r="C8585" t="str">
        <f>ADDRESS(ROW('Bal Sheet'!D$23),COLUMN('Bal Sheet'!D$23),4)</f>
        <v>D23</v>
      </c>
      <c r="D8585" t="b" cm="1">
        <f t="array" aca="1" ref="D8585" ca="1">IF(INDIRECT("'"&amp;A8585&amp;"'!"&amp;B8585)="",FALSE,IF(NOT(ISNUMBER(INDIRECT("'"&amp;A8585&amp;"'!"&amp;B8585))),TRUE,FALSE))</f>
        <v>0</v>
      </c>
      <c r="E8585" t="s">
        <v>435</v>
      </c>
      <c r="F8585" t="str">
        <f>INDEX(Lists!I:I,MATCH(Validation!E8585,Lists!G:G,0))</f>
        <v>Error</v>
      </c>
      <c r="G8585" t="str">
        <f>INDEX(Lists!H:H,MATCH(Validation!E8585,Lists!G:G,0))</f>
        <v>Enter an amount only. Do not enter text or spaces.</v>
      </c>
      <c r="H8585" s="16" t="str">
        <f t="shared" ca="1" si="978"/>
        <v/>
      </c>
      <c r="I8585" s="16" t="str">
        <f t="shared" ca="1" si="979"/>
        <v/>
      </c>
      <c r="J8585" s="17" t="str">
        <f t="shared" ca="1" si="980"/>
        <v/>
      </c>
    </row>
    <row r="8586" spans="1:10" x14ac:dyDescent="0.25">
      <c r="A8586" t="s">
        <v>1163</v>
      </c>
      <c r="B8586" t="str">
        <f>ADDRESS(ROW(TIF_DistrictYear_DeferredInflowsAmt),COLUMN(TIF_DistrictYear_DeferredInflowsAmt),4)</f>
        <v>C23</v>
      </c>
      <c r="C8586" t="str">
        <f>ADDRESS(ROW('Bal Sheet'!D$23),COLUMN('Bal Sheet'!D$23),4)</f>
        <v>D23</v>
      </c>
      <c r="D8586" t="b" cm="1">
        <f t="array" aca="1" ref="D8586" ca="1">IF(INDIRECT("'"&amp;A8586&amp;"'!"&amp;B8586)="",FALSE,IF(INDIRECT("'"&amp;A8586&amp;"'!"&amp;B8586)&lt;0,TRUE,FALSE))</f>
        <v>0</v>
      </c>
      <c r="E8586" t="s">
        <v>434</v>
      </c>
      <c r="F8586" t="str">
        <f>INDEX(Lists!I:I,MATCH(Validation!E8586,Lists!G:G,0))</f>
        <v>Error</v>
      </c>
      <c r="G8586" t="str">
        <f>INDEX(Lists!H:H,MATCH(Validation!E8586,Lists!G:G,0))</f>
        <v>Amount may not be negative. Enter an amount greater than or equal to zero.</v>
      </c>
      <c r="H8586" s="16" t="str">
        <f t="shared" ca="1" si="978"/>
        <v/>
      </c>
      <c r="I8586" s="16" t="str">
        <f t="shared" ca="1" si="979"/>
        <v/>
      </c>
      <c r="J8586" s="17" t="str">
        <f t="shared" ca="1" si="980"/>
        <v/>
      </c>
    </row>
    <row r="8587" spans="1:10" x14ac:dyDescent="0.25">
      <c r="A8587" t="s">
        <v>1163</v>
      </c>
      <c r="B8587" t="str">
        <f>ADDRESS(ROW(TIF_DistrictYear_DeferredInflowsAmt),COLUMN(TIF_DistrictYear_DeferredInflowsAmt),4)</f>
        <v>C23</v>
      </c>
      <c r="C8587" t="str">
        <f>ADDRESS(ROW('Bal Sheet'!D$23),COLUMN('Bal Sheet'!D$23),4)</f>
        <v>D23</v>
      </c>
      <c r="D8587" t="b" cm="1">
        <f t="array" aca="1" ref="D8587" ca="1">IF(INDIRECT("'"&amp;A8587&amp;"'!"&amp;B8587)="",FALSE,IF(TRUNC(INDIRECT("'"&amp;A8587&amp;"'!"&amp;B8587))=INDIRECT("'"&amp;A8587&amp;"'!"&amp;B8587),FALSE,TRUE))</f>
        <v>0</v>
      </c>
      <c r="E8587" t="s">
        <v>436</v>
      </c>
      <c r="F8587" t="str">
        <f>INDEX(Lists!I:I,MATCH(Validation!E8587,Lists!G:G,0))</f>
        <v>Error</v>
      </c>
      <c r="G8587" t="str">
        <f>INDEX(Lists!H:H,MATCH(Validation!E8587,Lists!G:G,0))</f>
        <v>Amount must be rounded to the nearest dollar.</v>
      </c>
      <c r="H8587" s="16" t="str">
        <f t="shared" ca="1" si="978"/>
        <v/>
      </c>
      <c r="I8587" s="16" t="str">
        <f t="shared" ca="1" si="979"/>
        <v/>
      </c>
      <c r="J8587" s="17" t="str">
        <f t="shared" ca="1" si="980"/>
        <v/>
      </c>
    </row>
    <row r="8588" spans="1:10" x14ac:dyDescent="0.25">
      <c r="A8588" t="s">
        <v>1163</v>
      </c>
      <c r="B8588" t="str">
        <f>ADDRESS(ROW('Bal Sheet'!B26),COLUMN('Bal Sheet'!B26),4)</f>
        <v>B26</v>
      </c>
      <c r="C8588" t="str">
        <f>ADDRESS(ROW('Bal Sheet'!D$26),COLUMN('Bal Sheet'!D$26),4)</f>
        <v>D26</v>
      </c>
      <c r="D8588" t="b">
        <f ca="1">IF('Bal Sheet'!B15='Bal Sheet'!B26,FALSE,TRUE)</f>
        <v>1</v>
      </c>
      <c r="E8588" t="s">
        <v>1533</v>
      </c>
      <c r="F8588" t="str">
        <f>INDEX(Lists!I:I,MATCH(Validation!E8588,Lists!G:G,0))</f>
        <v>Error</v>
      </c>
      <c r="G8588" t="str">
        <f>INDEX(Lists!H:H,MATCH(Validation!E8588,Lists!G:G,0))</f>
        <v>Total Assets must equal the Total Liab, Def. Infl., and Tax Incr. Balance for each year.</v>
      </c>
      <c r="H8588" s="16" t="str">
        <f t="shared" ca="1" si="978"/>
        <v>Bal Sheet$B$26</v>
      </c>
      <c r="I8588" s="16" t="str">
        <f t="shared" ca="1" si="979"/>
        <v>Bal Sheet$D$26</v>
      </c>
      <c r="J8588" s="17" t="str">
        <f t="shared" ca="1" si="980"/>
        <v>Bal Sheet</v>
      </c>
    </row>
    <row r="8589" spans="1:10" x14ac:dyDescent="0.25">
      <c r="A8589" t="s">
        <v>1163</v>
      </c>
      <c r="B8589" t="str">
        <f>ADDRESS(ROW('Bal Sheet'!C27),COLUMN('Bal Sheet'!C27),4)</f>
        <v>C27</v>
      </c>
      <c r="C8589" t="str">
        <f>ADDRESS(ROW('Bal Sheet'!D$26),COLUMN('Bal Sheet'!D$26),4)</f>
        <v>D26</v>
      </c>
      <c r="D8589" t="b">
        <f ca="1">IF('Bal Sheet'!C15='Bal Sheet'!C26,FALSE,TRUE)</f>
        <v>1</v>
      </c>
      <c r="E8589" t="s">
        <v>1533</v>
      </c>
      <c r="F8589" t="str">
        <f>INDEX(Lists!I:I,MATCH(Validation!E8589,Lists!G:G,0))</f>
        <v>Error</v>
      </c>
      <c r="G8589" t="str">
        <f>INDEX(Lists!H:H,MATCH(Validation!E8589,Lists!G:G,0))</f>
        <v>Total Assets must equal the Total Liab, Def. Infl., and Tax Incr. Balance for each year.</v>
      </c>
      <c r="H8589" s="16" t="str">
        <f t="shared" ca="1" si="978"/>
        <v>Bal Sheet$C$27</v>
      </c>
      <c r="I8589" s="16" t="str">
        <f t="shared" ca="1" si="979"/>
        <v>Bal Sheet$D$26</v>
      </c>
      <c r="J8589" s="17" t="str">
        <f t="shared" ca="1" si="980"/>
        <v>Bal Sheet</v>
      </c>
    </row>
    <row r="8590" spans="1:10" x14ac:dyDescent="0.25">
      <c r="A8590" t="s">
        <v>1163</v>
      </c>
      <c r="B8590" t="str">
        <f>ADDRESS(ROW(TIF_DistrictYear_UserCommentsBalSheet),COLUMN(TIF_DistrictYear_UserCommentsBalSheet),4)</f>
        <v>A28</v>
      </c>
      <c r="C8590" t="str">
        <f>ADDRESS(ROW('Bal Sheet'!D$27),COLUMN('Bal Sheet'!D$27),4)</f>
        <v>D27</v>
      </c>
      <c r="D8590" t="b" cm="1">
        <f t="array" aca="1" ref="D8590" ca="1">IF(ISBLANK(INDIRECT("'"&amp;A8590&amp;"'!"&amp;B8590)),FALSE,IF(LEN(TRIM(CLEAN(INDIRECT("'"&amp;A8590&amp;"'!"&amp;B8590))))&lt;15,TRUE,FALSE))</f>
        <v>0</v>
      </c>
      <c r="E8590" t="s">
        <v>635</v>
      </c>
      <c r="F8590" t="str">
        <f>INDEX(Lists!I:I,MATCH(Validation!E8590,Lists!G:G,0))</f>
        <v>Error</v>
      </c>
      <c r="G8590" t="str">
        <f>INDEX(Lists!H:H,MATCH(Validation!E8590,Lists!G:G,0))</f>
        <v>Insufficient information. Please provide a longer comment.</v>
      </c>
      <c r="H8590" s="16" t="str">
        <f ca="1">IFERROR(IF(OR(NOT(D8590),F8590&lt;&gt;"Error"),"",A8590&amp;CELL("address",INDIRECT(B8590))),"")</f>
        <v/>
      </c>
      <c r="I8590" s="16" t="str">
        <f ca="1">IFERROR(IF(NOT(D8590),"",A8590&amp;CELL("address",INDIRECT(C8590))),"")</f>
        <v/>
      </c>
      <c r="J8590" s="17" t="str">
        <f ca="1">IFERROR(IF(NOT(D8590),"",A8590),"")</f>
        <v/>
      </c>
    </row>
    <row r="8591" spans="1:10" x14ac:dyDescent="0.25">
      <c r="A8591" t="s">
        <v>1163</v>
      </c>
      <c r="B8591" t="str">
        <f>ADDRESS(ROW(TIF_DistrictYear_UserCommentsBalSheet),COLUMN(TIF_DistrictYear_UserCommentsBalSheet),4)</f>
        <v>A28</v>
      </c>
      <c r="C8591" t="str">
        <f>ADDRESS(ROW('Bal Sheet'!D$27),COLUMN('Bal Sheet'!D$27),4)</f>
        <v>D27</v>
      </c>
      <c r="D8591" t="b" cm="1">
        <f t="array" aca="1" ref="D8591" ca="1">IF(LEN(INDIRECT("'"&amp;A8591&amp;"'!"&amp;B8591))&gt;500,TRUE,FALSE)</f>
        <v>0</v>
      </c>
      <c r="E8591" t="s">
        <v>636</v>
      </c>
      <c r="F8591" t="str">
        <f>INDEX(Lists!I:I,MATCH(Validation!E8591,Lists!G:G,0))</f>
        <v>Error</v>
      </c>
      <c r="G8591" t="str">
        <f>INDEX(Lists!H:H,MATCH(Validation!E8591,Lists!G:G,0))</f>
        <v>Comments cannot exceed 500 characters. (Limit length. Send email to further explain.)</v>
      </c>
      <c r="H8591" s="16" t="str">
        <f ca="1">IFERROR(IF(OR(NOT(D8591),F8591&lt;&gt;"Error"),"",A8591&amp;CELL("address",INDIRECT(B8591))),"")</f>
        <v/>
      </c>
      <c r="I8591" s="16" t="str">
        <f ca="1">IFERROR(IF(NOT(D8591),"",A8591&amp;CELL("address",INDIRECT(C8591))),"")</f>
        <v/>
      </c>
      <c r="J8591" s="17" t="str">
        <f ca="1">IFERROR(IF(NOT(D8591),"",A8591),"")</f>
        <v/>
      </c>
    </row>
    <row r="8592" spans="1:10" x14ac:dyDescent="0.25">
      <c r="A8592" t="s">
        <v>1100</v>
      </c>
      <c r="B8592" t="str">
        <f>ADDRESS(ROW(TIF_DistrictYear_EICAuthorizedNonTIPaymentsAmt),COLUMN(TIF_DistrictYear_EICAuthorizedNonTIPaymentsAmt),4)</f>
        <v>B16</v>
      </c>
      <c r="C8592" t="str">
        <f>ADDRESS(ROW(EIC!C$16),COLUMN(EIC!C$16),4)</f>
        <v>C16</v>
      </c>
      <c r="D8592" t="b" cm="1">
        <f t="array" aca="1" ref="D8592" ca="1">IF(AND(EIC!$B$10="REQUIRED",OR(INDIRECT("'"&amp;A8592&amp;"'!"&amp;B8592)="",ISBLANK(INDIRECT("'"&amp;A8592&amp;"'!"&amp;B8592)))),TRUE,FALSE)</f>
        <v>0</v>
      </c>
      <c r="E8592" t="s">
        <v>495</v>
      </c>
      <c r="F8592" t="str">
        <f>INDEX(Lists!I:I,MATCH(Validation!E8592,Lists!G:G,0))</f>
        <v>Error</v>
      </c>
      <c r="G8592" t="str">
        <f>INDEX(Lists!H:H,MATCH(Validation!E8592,Lists!G:G,0))</f>
        <v>Entry required.</v>
      </c>
      <c r="H8592" s="16" t="str">
        <f t="shared" ref="H8592:H8595" ca="1" si="981">IFERROR(IF(OR(NOT(D8592),F8592&lt;&gt;"Error"),"",A8592&amp;CELL("address",INDIRECT(B8592))),"")</f>
        <v/>
      </c>
      <c r="I8592" s="16" t="str">
        <f t="shared" ref="I8592:I8595" ca="1" si="982">IFERROR(IF(NOT(D8592),"",A8592&amp;CELL("address",INDIRECT(C8592))),"")</f>
        <v/>
      </c>
      <c r="J8592" s="17" t="str">
        <f t="shared" ref="J8592:J8595" ca="1" si="983">IFERROR(IF(NOT(D8592),"",A8592),"")</f>
        <v/>
      </c>
    </row>
    <row r="8593" spans="1:10" x14ac:dyDescent="0.25">
      <c r="A8593" t="s">
        <v>1100</v>
      </c>
      <c r="B8593" t="str">
        <f>ADDRESS(ROW(TIF_DistrictYear_EICAuthorizedNonTIPaymentsAmt),COLUMN(TIF_DistrictYear_EICAuthorizedNonTIPaymentsAmt),4)</f>
        <v>B16</v>
      </c>
      <c r="C8593" t="str">
        <f>ADDRESS(ROW(EIC!C$16),COLUMN(EIC!C$16),4)</f>
        <v>C16</v>
      </c>
      <c r="D8593" t="b" cm="1">
        <f t="array" aca="1" ref="D8593" ca="1">IF(INDIRECT("'"&amp;A8593&amp;"'!"&amp;B8593)="",FALSE,IF(NOT(ISNUMBER(INDIRECT("'"&amp;A8593&amp;"'!"&amp;B8593))),TRUE,FALSE))</f>
        <v>0</v>
      </c>
      <c r="E8593" t="s">
        <v>435</v>
      </c>
      <c r="F8593" t="str">
        <f>INDEX(Lists!I:I,MATCH(Validation!E8593,Lists!G:G,0))</f>
        <v>Error</v>
      </c>
      <c r="G8593" t="str">
        <f>INDEX(Lists!H:H,MATCH(Validation!E8593,Lists!G:G,0))</f>
        <v>Enter an amount only. Do not enter text or spaces.</v>
      </c>
      <c r="H8593" s="16" t="str">
        <f t="shared" ca="1" si="981"/>
        <v/>
      </c>
      <c r="I8593" s="16" t="str">
        <f t="shared" ca="1" si="982"/>
        <v/>
      </c>
      <c r="J8593" s="17" t="str">
        <f t="shared" ca="1" si="983"/>
        <v/>
      </c>
    </row>
    <row r="8594" spans="1:10" x14ac:dyDescent="0.25">
      <c r="A8594" t="s">
        <v>1100</v>
      </c>
      <c r="B8594" t="str">
        <f>ADDRESS(ROW(TIF_DistrictYear_EICAuthorizedNonTIPaymentsAmt),COLUMN(TIF_DistrictYear_EICAuthorizedNonTIPaymentsAmt),4)</f>
        <v>B16</v>
      </c>
      <c r="C8594" t="str">
        <f>ADDRESS(ROW(EIC!C$16),COLUMN(EIC!C$16),4)</f>
        <v>C16</v>
      </c>
      <c r="D8594" t="b" cm="1">
        <f t="array" aca="1" ref="D8594" ca="1">IF(INDIRECT("'"&amp;A8594&amp;"'!"&amp;B8594)="",FALSE,IF(INDIRECT("'"&amp;A8594&amp;"'!"&amp;B8594)&lt;0,TRUE,FALSE))</f>
        <v>0</v>
      </c>
      <c r="E8594" t="s">
        <v>434</v>
      </c>
      <c r="F8594" t="str">
        <f>INDEX(Lists!I:I,MATCH(Validation!E8594,Lists!G:G,0))</f>
        <v>Error</v>
      </c>
      <c r="G8594" t="str">
        <f>INDEX(Lists!H:H,MATCH(Validation!E8594,Lists!G:G,0))</f>
        <v>Amount may not be negative. Enter an amount greater than or equal to zero.</v>
      </c>
      <c r="H8594" s="16" t="str">
        <f t="shared" ca="1" si="981"/>
        <v/>
      </c>
      <c r="I8594" s="16" t="str">
        <f t="shared" ca="1" si="982"/>
        <v/>
      </c>
      <c r="J8594" s="17" t="str">
        <f t="shared" ca="1" si="983"/>
        <v/>
      </c>
    </row>
    <row r="8595" spans="1:10" x14ac:dyDescent="0.25">
      <c r="A8595" t="s">
        <v>1100</v>
      </c>
      <c r="B8595" t="str">
        <f>ADDRESS(ROW(TIF_DistrictYear_EICAuthorizedNonTIPaymentsAmt),COLUMN(TIF_DistrictYear_EICAuthorizedNonTIPaymentsAmt),4)</f>
        <v>B16</v>
      </c>
      <c r="C8595" t="str">
        <f>ADDRESS(ROW(EIC!C$16),COLUMN(EIC!C$16),4)</f>
        <v>C16</v>
      </c>
      <c r="D8595" t="b" cm="1">
        <f t="array" aca="1" ref="D8595" ca="1">IF(INDIRECT("'"&amp;A8595&amp;"'!"&amp;B8595)="",FALSE,IF(TRUNC(INDIRECT("'"&amp;A8595&amp;"'!"&amp;B8595))=INDIRECT("'"&amp;A8595&amp;"'!"&amp;B8595),FALSE,TRUE))</f>
        <v>0</v>
      </c>
      <c r="E8595" t="s">
        <v>436</v>
      </c>
      <c r="F8595" t="str">
        <f>INDEX(Lists!I:I,MATCH(Validation!E8595,Lists!G:G,0))</f>
        <v>Error</v>
      </c>
      <c r="G8595" t="str">
        <f>INDEX(Lists!H:H,MATCH(Validation!E8595,Lists!G:G,0))</f>
        <v>Amount must be rounded to the nearest dollar.</v>
      </c>
      <c r="H8595" s="16" t="str">
        <f t="shared" ca="1" si="981"/>
        <v/>
      </c>
      <c r="I8595" s="16" t="str">
        <f t="shared" ca="1" si="982"/>
        <v/>
      </c>
      <c r="J8595" s="17" t="str">
        <f t="shared" ca="1" si="983"/>
        <v/>
      </c>
    </row>
    <row r="8596" spans="1:10" x14ac:dyDescent="0.25">
      <c r="A8596" t="s">
        <v>1100</v>
      </c>
      <c r="B8596" t="str">
        <f>ADDRESS(ROW(TIF_DistrictYear_EICPaymentsDueAmt),COLUMN(TIF_DistrictYear_EICPaymentsDueAmt),4)</f>
        <v>B17</v>
      </c>
      <c r="C8596" t="str">
        <f>ADDRESS(ROW(EIC!C$17),COLUMN(EIC!C$17),4)</f>
        <v>C17</v>
      </c>
      <c r="D8596" t="b" cm="1">
        <f t="array" aca="1" ref="D8596" ca="1">IF(AND(EIC!$B$10="REQUIRED",OR(INDIRECT("'"&amp;A8596&amp;"'!"&amp;B8596)="",ISBLANK(INDIRECT("'"&amp;A8596&amp;"'!"&amp;B8596)))),TRUE,FALSE)</f>
        <v>0</v>
      </c>
      <c r="E8596" t="s">
        <v>495</v>
      </c>
      <c r="F8596" t="str">
        <f>INDEX(Lists!I:I,MATCH(Validation!E8596,Lists!G:G,0))</f>
        <v>Error</v>
      </c>
      <c r="G8596" t="str">
        <f>INDEX(Lists!H:H,MATCH(Validation!E8596,Lists!G:G,0))</f>
        <v>Entry required.</v>
      </c>
      <c r="H8596" s="16" t="str">
        <f t="shared" ref="H8596:H8603" ca="1" si="984">IFERROR(IF(OR(NOT(D8596),F8596&lt;&gt;"Error"),"",A8596&amp;CELL("address",INDIRECT(B8596))),"")</f>
        <v/>
      </c>
      <c r="I8596" s="16" t="str">
        <f t="shared" ref="I8596:I8603" ca="1" si="985">IFERROR(IF(NOT(D8596),"",A8596&amp;CELL("address",INDIRECT(C8596))),"")</f>
        <v/>
      </c>
      <c r="J8596" s="17" t="str">
        <f t="shared" ref="J8596:J8603" ca="1" si="986">IFERROR(IF(NOT(D8596),"",A8596),"")</f>
        <v/>
      </c>
    </row>
    <row r="8597" spans="1:10" x14ac:dyDescent="0.25">
      <c r="A8597" t="s">
        <v>1100</v>
      </c>
      <c r="B8597" t="str">
        <f>ADDRESS(ROW(TIF_DistrictYear_EICPaymentsDueAmt),COLUMN(TIF_DistrictYear_EICPaymentsDueAmt),4)</f>
        <v>B17</v>
      </c>
      <c r="C8597" t="str">
        <f>ADDRESS(ROW(EIC!C$17),COLUMN(EIC!C$17),4)</f>
        <v>C17</v>
      </c>
      <c r="D8597" t="b" cm="1">
        <f t="array" aca="1" ref="D8597" ca="1">IF(INDIRECT("'"&amp;A8597&amp;"'!"&amp;B8597)="",FALSE,IF(NOT(ISNUMBER(INDIRECT("'"&amp;A8597&amp;"'!"&amp;B8597))),TRUE,FALSE))</f>
        <v>0</v>
      </c>
      <c r="E8597" t="s">
        <v>435</v>
      </c>
      <c r="F8597" t="str">
        <f>INDEX(Lists!I:I,MATCH(Validation!E8597,Lists!G:G,0))</f>
        <v>Error</v>
      </c>
      <c r="G8597" t="str">
        <f>INDEX(Lists!H:H,MATCH(Validation!E8597,Lists!G:G,0))</f>
        <v>Enter an amount only. Do not enter text or spaces.</v>
      </c>
      <c r="H8597" s="16" t="str">
        <f t="shared" ca="1" si="984"/>
        <v/>
      </c>
      <c r="I8597" s="16" t="str">
        <f t="shared" ca="1" si="985"/>
        <v/>
      </c>
      <c r="J8597" s="17" t="str">
        <f t="shared" ca="1" si="986"/>
        <v/>
      </c>
    </row>
    <row r="8598" spans="1:10" x14ac:dyDescent="0.25">
      <c r="A8598" t="s">
        <v>1100</v>
      </c>
      <c r="B8598" t="str">
        <f>ADDRESS(ROW(TIF_DistrictYear_EICPaymentsDueAmt),COLUMN(TIF_DistrictYear_EICPaymentsDueAmt),4)</f>
        <v>B17</v>
      </c>
      <c r="C8598" t="str">
        <f>ADDRESS(ROW(EIC!C$17),COLUMN(EIC!C$17),4)</f>
        <v>C17</v>
      </c>
      <c r="D8598" t="b" cm="1">
        <f t="array" aca="1" ref="D8598" ca="1">IF(INDIRECT("'"&amp;A8598&amp;"'!"&amp;B8598)="",FALSE,IF(INDIRECT("'"&amp;A8598&amp;"'!"&amp;B8598)&lt;0,TRUE,FALSE))</f>
        <v>0</v>
      </c>
      <c r="E8598" t="s">
        <v>434</v>
      </c>
      <c r="F8598" t="str">
        <f>INDEX(Lists!I:I,MATCH(Validation!E8598,Lists!G:G,0))</f>
        <v>Error</v>
      </c>
      <c r="G8598" t="str">
        <f>INDEX(Lists!H:H,MATCH(Validation!E8598,Lists!G:G,0))</f>
        <v>Amount may not be negative. Enter an amount greater than or equal to zero.</v>
      </c>
      <c r="H8598" s="16" t="str">
        <f t="shared" ca="1" si="984"/>
        <v/>
      </c>
      <c r="I8598" s="16" t="str">
        <f t="shared" ca="1" si="985"/>
        <v/>
      </c>
      <c r="J8598" s="17" t="str">
        <f t="shared" ca="1" si="986"/>
        <v/>
      </c>
    </row>
    <row r="8599" spans="1:10" x14ac:dyDescent="0.25">
      <c r="A8599" t="s">
        <v>1100</v>
      </c>
      <c r="B8599" t="str">
        <f>ADDRESS(ROW(TIF_DistrictYear_EICPaymentsDueAmt),COLUMN(TIF_DistrictYear_EICPaymentsDueAmt),4)</f>
        <v>B17</v>
      </c>
      <c r="C8599" t="str">
        <f>ADDRESS(ROW(EIC!C$17),COLUMN(EIC!C$17),4)</f>
        <v>C17</v>
      </c>
      <c r="D8599" t="b" cm="1">
        <f t="array" aca="1" ref="D8599" ca="1">IF(INDIRECT("'"&amp;A8599&amp;"'!"&amp;B8599)="",FALSE,IF(TRUNC(INDIRECT("'"&amp;A8599&amp;"'!"&amp;B8599))=INDIRECT("'"&amp;A8599&amp;"'!"&amp;B8599),FALSE,TRUE))</f>
        <v>0</v>
      </c>
      <c r="E8599" t="s">
        <v>436</v>
      </c>
      <c r="F8599" t="str">
        <f>INDEX(Lists!I:I,MATCH(Validation!E8599,Lists!G:G,0))</f>
        <v>Error</v>
      </c>
      <c r="G8599" t="str">
        <f>INDEX(Lists!H:H,MATCH(Validation!E8599,Lists!G:G,0))</f>
        <v>Amount must be rounded to the nearest dollar.</v>
      </c>
      <c r="H8599" s="16" t="str">
        <f t="shared" ca="1" si="984"/>
        <v/>
      </c>
      <c r="I8599" s="16" t="str">
        <f t="shared" ca="1" si="985"/>
        <v/>
      </c>
      <c r="J8599" s="17" t="str">
        <f t="shared" ca="1" si="986"/>
        <v/>
      </c>
    </row>
    <row r="8600" spans="1:10" x14ac:dyDescent="0.25">
      <c r="A8600" t="s">
        <v>1100</v>
      </c>
      <c r="B8600" t="str">
        <f>ADDRESS(ROW(TIF_DistrictYear_EICDeficitTransfersAmt),COLUMN(TIF_DistrictYear_EICDeficitTransfersAmt),4)</f>
        <v>B18</v>
      </c>
      <c r="C8600" t="str">
        <f>ADDRESS(ROW(EIC!C$18),COLUMN(EIC!C$18),4)</f>
        <v>C18</v>
      </c>
      <c r="D8600" t="b" cm="1">
        <f t="array" aca="1" ref="D8600" ca="1">IF(AND(EIC!$B$10="REQUIRED",OR(INDIRECT("'"&amp;A8600&amp;"'!"&amp;B8600)="",ISBLANK(INDIRECT("'"&amp;A8600&amp;"'!"&amp;B8600)))),TRUE,FALSE)</f>
        <v>0</v>
      </c>
      <c r="E8600" t="s">
        <v>495</v>
      </c>
      <c r="F8600" t="str">
        <f>INDEX(Lists!I:I,MATCH(Validation!E8600,Lists!G:G,0))</f>
        <v>Error</v>
      </c>
      <c r="G8600" t="str">
        <f>INDEX(Lists!H:H,MATCH(Validation!E8600,Lists!G:G,0))</f>
        <v>Entry required.</v>
      </c>
      <c r="H8600" s="16" t="str">
        <f t="shared" ca="1" si="984"/>
        <v/>
      </c>
      <c r="I8600" s="16" t="str">
        <f t="shared" ca="1" si="985"/>
        <v/>
      </c>
      <c r="J8600" s="17" t="str">
        <f t="shared" ca="1" si="986"/>
        <v/>
      </c>
    </row>
    <row r="8601" spans="1:10" x14ac:dyDescent="0.25">
      <c r="A8601" t="s">
        <v>1100</v>
      </c>
      <c r="B8601" t="str">
        <f>ADDRESS(ROW(TIF_DistrictYear_EICDeficitTransfersAmt),COLUMN(TIF_DistrictYear_EICDeficitTransfersAmt),4)</f>
        <v>B18</v>
      </c>
      <c r="C8601" t="str">
        <f>ADDRESS(ROW(EIC!C$18),COLUMN(EIC!C$18),4)</f>
        <v>C18</v>
      </c>
      <c r="D8601" t="b" cm="1">
        <f t="array" aca="1" ref="D8601" ca="1">IF(INDIRECT("'"&amp;A8601&amp;"'!"&amp;B8601)="",FALSE,IF(NOT(ISNUMBER(INDIRECT("'"&amp;A8601&amp;"'!"&amp;B8601))),TRUE,FALSE))</f>
        <v>0</v>
      </c>
      <c r="E8601" t="s">
        <v>435</v>
      </c>
      <c r="F8601" t="str">
        <f>INDEX(Lists!I:I,MATCH(Validation!E8601,Lists!G:G,0))</f>
        <v>Error</v>
      </c>
      <c r="G8601" t="str">
        <f>INDEX(Lists!H:H,MATCH(Validation!E8601,Lists!G:G,0))</f>
        <v>Enter an amount only. Do not enter text or spaces.</v>
      </c>
      <c r="H8601" s="16" t="str">
        <f t="shared" ca="1" si="984"/>
        <v/>
      </c>
      <c r="I8601" s="16" t="str">
        <f t="shared" ca="1" si="985"/>
        <v/>
      </c>
      <c r="J8601" s="17" t="str">
        <f t="shared" ca="1" si="986"/>
        <v/>
      </c>
    </row>
    <row r="8602" spans="1:10" x14ac:dyDescent="0.25">
      <c r="A8602" t="s">
        <v>1100</v>
      </c>
      <c r="B8602" t="str">
        <f>ADDRESS(ROW(TIF_DistrictYear_EICDeficitTransfersAmt),COLUMN(TIF_DistrictYear_EICDeficitTransfersAmt),4)</f>
        <v>B18</v>
      </c>
      <c r="C8602" t="str">
        <f>ADDRESS(ROW(EIC!C$18),COLUMN(EIC!C$18),4)</f>
        <v>C18</v>
      </c>
      <c r="D8602" t="b" cm="1">
        <f t="array" aca="1" ref="D8602" ca="1">IF(INDIRECT("'"&amp;A8602&amp;"'!"&amp;B8602)="",FALSE,IF(INDIRECT("'"&amp;A8602&amp;"'!"&amp;B8602)&lt;0,TRUE,FALSE))</f>
        <v>0</v>
      </c>
      <c r="E8602" t="s">
        <v>434</v>
      </c>
      <c r="F8602" t="str">
        <f>INDEX(Lists!I:I,MATCH(Validation!E8602,Lists!G:G,0))</f>
        <v>Error</v>
      </c>
      <c r="G8602" t="str">
        <f>INDEX(Lists!H:H,MATCH(Validation!E8602,Lists!G:G,0))</f>
        <v>Amount may not be negative. Enter an amount greater than or equal to zero.</v>
      </c>
      <c r="H8602" s="16" t="str">
        <f t="shared" ca="1" si="984"/>
        <v/>
      </c>
      <c r="I8602" s="16" t="str">
        <f t="shared" ca="1" si="985"/>
        <v/>
      </c>
      <c r="J8602" s="17" t="str">
        <f t="shared" ca="1" si="986"/>
        <v/>
      </c>
    </row>
    <row r="8603" spans="1:10" x14ac:dyDescent="0.25">
      <c r="A8603" t="s">
        <v>1100</v>
      </c>
      <c r="B8603" t="str">
        <f>ADDRESS(ROW(TIF_DistrictYear_EICDeficitTransfersAmt),COLUMN(TIF_DistrictYear_EICDeficitTransfersAmt),4)</f>
        <v>B18</v>
      </c>
      <c r="C8603" t="str">
        <f>ADDRESS(ROW(EIC!C$18),COLUMN(EIC!C$18),4)</f>
        <v>C18</v>
      </c>
      <c r="D8603" t="b" cm="1">
        <f t="array" aca="1" ref="D8603" ca="1">IF(INDIRECT("'"&amp;A8603&amp;"'!"&amp;B8603)="",FALSE,IF(TRUNC(INDIRECT("'"&amp;A8603&amp;"'!"&amp;B8603))=INDIRECT("'"&amp;A8603&amp;"'!"&amp;B8603),FALSE,TRUE))</f>
        <v>0</v>
      </c>
      <c r="E8603" t="s">
        <v>436</v>
      </c>
      <c r="F8603" t="str">
        <f>INDEX(Lists!I:I,MATCH(Validation!E8603,Lists!G:G,0))</f>
        <v>Error</v>
      </c>
      <c r="G8603" t="str">
        <f>INDEX(Lists!H:H,MATCH(Validation!E8603,Lists!G:G,0))</f>
        <v>Amount must be rounded to the nearest dollar.</v>
      </c>
      <c r="H8603" s="16" t="str">
        <f t="shared" ca="1" si="984"/>
        <v/>
      </c>
      <c r="I8603" s="16" t="str">
        <f t="shared" ca="1" si="985"/>
        <v/>
      </c>
      <c r="J8603" s="17" t="str">
        <f t="shared" ca="1" si="986"/>
        <v/>
      </c>
    </row>
    <row r="8604" spans="1:10" x14ac:dyDescent="0.25">
      <c r="A8604" t="s">
        <v>1100</v>
      </c>
      <c r="B8604" t="str">
        <f>ADDRESS(ROW(TIF_DistrictYear_EICBondPrepaymentAmt),COLUMN(TIF_DistrictYear_EICBondPrepaymentAmt),4)</f>
        <v>B23</v>
      </c>
      <c r="C8604" t="str">
        <f>ADDRESS(ROW(EIC!C$23),COLUMN(EIC!C$23),4)</f>
        <v>C23</v>
      </c>
      <c r="D8604" t="b" cm="1">
        <f t="array" aca="1" ref="D8604" ca="1">IF(AND(EIC!$B$10="REQUIRED",EIC!$B$22&gt;0,OR(INDIRECT("'"&amp;A8604&amp;"'!"&amp;B8604)="",ISBLANK(INDIRECT("'"&amp;A8604&amp;"'!"&amp;B8604)))),TRUE,FALSE)</f>
        <v>0</v>
      </c>
      <c r="E8604" t="s">
        <v>495</v>
      </c>
      <c r="F8604" t="str">
        <f>INDEX(Lists!I:I,MATCH(Validation!E8604,Lists!G:G,0))</f>
        <v>Error</v>
      </c>
      <c r="G8604" t="str">
        <f>INDEX(Lists!H:H,MATCH(Validation!E8604,Lists!G:G,0))</f>
        <v>Entry required.</v>
      </c>
      <c r="H8604" s="16" t="str">
        <f t="shared" ref="H8604:H8619" ca="1" si="987">IFERROR(IF(OR(NOT(D8604),F8604&lt;&gt;"Error"),"",A8604&amp;CELL("address",INDIRECT(B8604))),"")</f>
        <v/>
      </c>
      <c r="I8604" s="16" t="str">
        <f t="shared" ref="I8604:I8619" ca="1" si="988">IFERROR(IF(NOT(D8604),"",A8604&amp;CELL("address",INDIRECT(C8604))),"")</f>
        <v/>
      </c>
      <c r="J8604" s="17" t="str">
        <f t="shared" ref="J8604:J8619" ca="1" si="989">IFERROR(IF(NOT(D8604),"",A8604),"")</f>
        <v/>
      </c>
    </row>
    <row r="8605" spans="1:10" x14ac:dyDescent="0.25">
      <c r="A8605" t="s">
        <v>1100</v>
      </c>
      <c r="B8605" t="str">
        <f>ADDRESS(ROW(TIF_DistrictYear_EICBondPrepaymentAmt),COLUMN(TIF_DistrictYear_EICBondPrepaymentAmt),4)</f>
        <v>B23</v>
      </c>
      <c r="C8605" t="str">
        <f>ADDRESS(ROW(EIC!C$23),COLUMN(EIC!C$23),4)</f>
        <v>C23</v>
      </c>
      <c r="D8605" t="b" cm="1">
        <f t="array" aca="1" ref="D8605" ca="1">IF(INDIRECT("'"&amp;A8605&amp;"'!"&amp;B8605)="",FALSE,IF(NOT(ISNUMBER(INDIRECT("'"&amp;A8605&amp;"'!"&amp;B8605))),TRUE,FALSE))</f>
        <v>0</v>
      </c>
      <c r="E8605" t="s">
        <v>435</v>
      </c>
      <c r="F8605" t="str">
        <f>INDEX(Lists!I:I,MATCH(Validation!E8605,Lists!G:G,0))</f>
        <v>Error</v>
      </c>
      <c r="G8605" t="str">
        <f>INDEX(Lists!H:H,MATCH(Validation!E8605,Lists!G:G,0))</f>
        <v>Enter an amount only. Do not enter text or spaces.</v>
      </c>
      <c r="H8605" s="16" t="str">
        <f t="shared" ca="1" si="987"/>
        <v/>
      </c>
      <c r="I8605" s="16" t="str">
        <f t="shared" ca="1" si="988"/>
        <v/>
      </c>
      <c r="J8605" s="17" t="str">
        <f t="shared" ca="1" si="989"/>
        <v/>
      </c>
    </row>
    <row r="8606" spans="1:10" x14ac:dyDescent="0.25">
      <c r="A8606" t="s">
        <v>1100</v>
      </c>
      <c r="B8606" t="str">
        <f>ADDRESS(ROW(TIF_DistrictYear_EICBondPrepaymentAmt),COLUMN(TIF_DistrictYear_EICBondPrepaymentAmt),4)</f>
        <v>B23</v>
      </c>
      <c r="C8606" t="str">
        <f>ADDRESS(ROW(EIC!C$23),COLUMN(EIC!C$23),4)</f>
        <v>C23</v>
      </c>
      <c r="D8606" t="b" cm="1">
        <f t="array" aca="1" ref="D8606" ca="1">IF(INDIRECT("'"&amp;A8606&amp;"'!"&amp;B8606)="",FALSE,IF(INDIRECT("'"&amp;A8606&amp;"'!"&amp;B8606)&lt;0,TRUE,FALSE))</f>
        <v>0</v>
      </c>
      <c r="E8606" t="s">
        <v>434</v>
      </c>
      <c r="F8606" t="str">
        <f>INDEX(Lists!I:I,MATCH(Validation!E8606,Lists!G:G,0))</f>
        <v>Error</v>
      </c>
      <c r="G8606" t="str">
        <f>INDEX(Lists!H:H,MATCH(Validation!E8606,Lists!G:G,0))</f>
        <v>Amount may not be negative. Enter an amount greater than or equal to zero.</v>
      </c>
      <c r="H8606" s="16" t="str">
        <f t="shared" ca="1" si="987"/>
        <v/>
      </c>
      <c r="I8606" s="16" t="str">
        <f t="shared" ca="1" si="988"/>
        <v/>
      </c>
      <c r="J8606" s="17" t="str">
        <f t="shared" ca="1" si="989"/>
        <v/>
      </c>
    </row>
    <row r="8607" spans="1:10" x14ac:dyDescent="0.25">
      <c r="A8607" t="s">
        <v>1100</v>
      </c>
      <c r="B8607" t="str">
        <f>ADDRESS(ROW(TIF_DistrictYear_EICBondPrepaymentAmt),COLUMN(TIF_DistrictYear_EICBondPrepaymentAmt),4)</f>
        <v>B23</v>
      </c>
      <c r="C8607" t="str">
        <f>ADDRESS(ROW(EIC!C$23),COLUMN(EIC!C$23),4)</f>
        <v>C23</v>
      </c>
      <c r="D8607" t="b" cm="1">
        <f t="array" aca="1" ref="D8607" ca="1">IF(INDIRECT("'"&amp;A8607&amp;"'!"&amp;B8607)="",FALSE,IF(TRUNC(INDIRECT("'"&amp;A8607&amp;"'!"&amp;B8607))=INDIRECT("'"&amp;A8607&amp;"'!"&amp;B8607),FALSE,TRUE))</f>
        <v>0</v>
      </c>
      <c r="E8607" t="s">
        <v>436</v>
      </c>
      <c r="F8607" t="str">
        <f>INDEX(Lists!I:I,MATCH(Validation!E8607,Lists!G:G,0))</f>
        <v>Error</v>
      </c>
      <c r="G8607" t="str">
        <f>INDEX(Lists!H:H,MATCH(Validation!E8607,Lists!G:G,0))</f>
        <v>Amount must be rounded to the nearest dollar.</v>
      </c>
      <c r="H8607" s="16" t="str">
        <f t="shared" ca="1" si="987"/>
        <v/>
      </c>
      <c r="I8607" s="16" t="str">
        <f t="shared" ca="1" si="988"/>
        <v/>
      </c>
      <c r="J8607" s="17" t="str">
        <f t="shared" ca="1" si="989"/>
        <v/>
      </c>
    </row>
    <row r="8608" spans="1:10" x14ac:dyDescent="0.25">
      <c r="A8608" t="s">
        <v>1100</v>
      </c>
      <c r="B8608" t="str">
        <f>ADDRESS(ROW(TIF_DistrictYear_EICBondTiPledgeDischargeAmt),COLUMN(TIF_DistrictYear_EICBondTiPledgeDischargeAmt),4)</f>
        <v>B24</v>
      </c>
      <c r="C8608" t="str">
        <f>ADDRESS(ROW(EIC!C$24),COLUMN(EIC!C$24),4)</f>
        <v>C24</v>
      </c>
      <c r="D8608" t="b" cm="1">
        <f t="array" aca="1" ref="D8608" ca="1">IF(AND(EIC!$B$10="REQUIRED",EIC!$B$22&gt;0,OR(INDIRECT("'"&amp;A8608&amp;"'!"&amp;B8608)="",ISBLANK(INDIRECT("'"&amp;A8608&amp;"'!"&amp;B8608)))),TRUE,FALSE)</f>
        <v>0</v>
      </c>
      <c r="E8608" t="s">
        <v>495</v>
      </c>
      <c r="F8608" t="str">
        <f>INDEX(Lists!I:I,MATCH(Validation!E8608,Lists!G:G,0))</f>
        <v>Error</v>
      </c>
      <c r="G8608" t="str">
        <f>INDEX(Lists!H:H,MATCH(Validation!E8608,Lists!G:G,0))</f>
        <v>Entry required.</v>
      </c>
      <c r="H8608" s="16" t="str">
        <f t="shared" ca="1" si="987"/>
        <v/>
      </c>
      <c r="I8608" s="16" t="str">
        <f t="shared" ca="1" si="988"/>
        <v/>
      </c>
      <c r="J8608" s="17" t="str">
        <f t="shared" ca="1" si="989"/>
        <v/>
      </c>
    </row>
    <row r="8609" spans="1:10" x14ac:dyDescent="0.25">
      <c r="A8609" t="s">
        <v>1100</v>
      </c>
      <c r="B8609" t="str">
        <f>ADDRESS(ROW(TIF_DistrictYear_EICBondTiPledgeDischargeAmt),COLUMN(TIF_DistrictYear_EICBondTiPledgeDischargeAmt),4)</f>
        <v>B24</v>
      </c>
      <c r="C8609" t="str">
        <f>ADDRESS(ROW(EIC!C$24),COLUMN(EIC!C$24),4)</f>
        <v>C24</v>
      </c>
      <c r="D8609" t="b" cm="1">
        <f t="array" aca="1" ref="D8609" ca="1">IF(INDIRECT("'"&amp;A8609&amp;"'!"&amp;B8609)="",FALSE,IF(NOT(ISNUMBER(INDIRECT("'"&amp;A8609&amp;"'!"&amp;B8609))),TRUE,FALSE))</f>
        <v>0</v>
      </c>
      <c r="E8609" t="s">
        <v>435</v>
      </c>
      <c r="F8609" t="str">
        <f>INDEX(Lists!I:I,MATCH(Validation!E8609,Lists!G:G,0))</f>
        <v>Error</v>
      </c>
      <c r="G8609" t="str">
        <f>INDEX(Lists!H:H,MATCH(Validation!E8609,Lists!G:G,0))</f>
        <v>Enter an amount only. Do not enter text or spaces.</v>
      </c>
      <c r="H8609" s="16" t="str">
        <f t="shared" ca="1" si="987"/>
        <v/>
      </c>
      <c r="I8609" s="16" t="str">
        <f t="shared" ca="1" si="988"/>
        <v/>
      </c>
      <c r="J8609" s="17" t="str">
        <f t="shared" ca="1" si="989"/>
        <v/>
      </c>
    </row>
    <row r="8610" spans="1:10" x14ac:dyDescent="0.25">
      <c r="A8610" t="s">
        <v>1100</v>
      </c>
      <c r="B8610" t="str">
        <f>ADDRESS(ROW(TIF_DistrictYear_EICBondTiPledgeDischargeAmt),COLUMN(TIF_DistrictYear_EICBondTiPledgeDischargeAmt),4)</f>
        <v>B24</v>
      </c>
      <c r="C8610" t="str">
        <f>ADDRESS(ROW(EIC!C$24),COLUMN(EIC!C$24),4)</f>
        <v>C24</v>
      </c>
      <c r="D8610" t="b" cm="1">
        <f t="array" aca="1" ref="D8610" ca="1">IF(INDIRECT("'"&amp;A8610&amp;"'!"&amp;B8610)="",FALSE,IF(INDIRECT("'"&amp;A8610&amp;"'!"&amp;B8610)&lt;0,TRUE,FALSE))</f>
        <v>0</v>
      </c>
      <c r="E8610" t="s">
        <v>434</v>
      </c>
      <c r="F8610" t="str">
        <f>INDEX(Lists!I:I,MATCH(Validation!E8610,Lists!G:G,0))</f>
        <v>Error</v>
      </c>
      <c r="G8610" t="str">
        <f>INDEX(Lists!H:H,MATCH(Validation!E8610,Lists!G:G,0))</f>
        <v>Amount may not be negative. Enter an amount greater than or equal to zero.</v>
      </c>
      <c r="H8610" s="16" t="str">
        <f t="shared" ca="1" si="987"/>
        <v/>
      </c>
      <c r="I8610" s="16" t="str">
        <f t="shared" ca="1" si="988"/>
        <v/>
      </c>
      <c r="J8610" s="17" t="str">
        <f t="shared" ca="1" si="989"/>
        <v/>
      </c>
    </row>
    <row r="8611" spans="1:10" x14ac:dyDescent="0.25">
      <c r="A8611" t="s">
        <v>1100</v>
      </c>
      <c r="B8611" t="str">
        <f>ADDRESS(ROW(TIF_DistrictYear_EICBondTiPledgeDischargeAmt),COLUMN(TIF_DistrictYear_EICBondTiPledgeDischargeAmt),4)</f>
        <v>B24</v>
      </c>
      <c r="C8611" t="str">
        <f>ADDRESS(ROW(EIC!C$24),COLUMN(EIC!C$24),4)</f>
        <v>C24</v>
      </c>
      <c r="D8611" t="b" cm="1">
        <f t="array" aca="1" ref="D8611" ca="1">IF(INDIRECT("'"&amp;A8611&amp;"'!"&amp;B8611)="",FALSE,IF(TRUNC(INDIRECT("'"&amp;A8611&amp;"'!"&amp;B8611))=INDIRECT("'"&amp;A8611&amp;"'!"&amp;B8611),FALSE,TRUE))</f>
        <v>0</v>
      </c>
      <c r="E8611" t="s">
        <v>436</v>
      </c>
      <c r="F8611" t="str">
        <f>INDEX(Lists!I:I,MATCH(Validation!E8611,Lists!G:G,0))</f>
        <v>Error</v>
      </c>
      <c r="G8611" t="str">
        <f>INDEX(Lists!H:H,MATCH(Validation!E8611,Lists!G:G,0))</f>
        <v>Amount must be rounded to the nearest dollar.</v>
      </c>
      <c r="H8611" s="16" t="str">
        <f t="shared" ca="1" si="987"/>
        <v/>
      </c>
      <c r="I8611" s="16" t="str">
        <f t="shared" ca="1" si="988"/>
        <v/>
      </c>
      <c r="J8611" s="17" t="str">
        <f t="shared" ca="1" si="989"/>
        <v/>
      </c>
    </row>
    <row r="8612" spans="1:10" x14ac:dyDescent="0.25">
      <c r="A8612" t="s">
        <v>1100</v>
      </c>
      <c r="B8612" t="str">
        <f>ADDRESS(ROW(TIF_DistrictYear_EICBondEscrowPaymentAmt),COLUMN(TIF_DistrictYear_EICBondEscrowPaymentAmt),4)</f>
        <v>B25</v>
      </c>
      <c r="C8612" t="str">
        <f>ADDRESS(ROW(EIC!C$25),COLUMN(EIC!C$25),4)</f>
        <v>C25</v>
      </c>
      <c r="D8612" t="b" cm="1">
        <f t="array" aca="1" ref="D8612" ca="1">IF(AND(EIC!$B$10="REQUIRED",EIC!$B$22&gt;0,OR(INDIRECT("'"&amp;A8612&amp;"'!"&amp;B8612)="",ISBLANK(INDIRECT("'"&amp;A8612&amp;"'!"&amp;B8612)))),TRUE,FALSE)</f>
        <v>0</v>
      </c>
      <c r="E8612" t="s">
        <v>495</v>
      </c>
      <c r="F8612" t="str">
        <f>INDEX(Lists!I:I,MATCH(Validation!E8612,Lists!G:G,0))</f>
        <v>Error</v>
      </c>
      <c r="G8612" t="str">
        <f>INDEX(Lists!H:H,MATCH(Validation!E8612,Lists!G:G,0))</f>
        <v>Entry required.</v>
      </c>
      <c r="H8612" s="16" t="str">
        <f t="shared" ca="1" si="987"/>
        <v/>
      </c>
      <c r="I8612" s="16" t="str">
        <f t="shared" ca="1" si="988"/>
        <v/>
      </c>
      <c r="J8612" s="17" t="str">
        <f t="shared" ca="1" si="989"/>
        <v/>
      </c>
    </row>
    <row r="8613" spans="1:10" x14ac:dyDescent="0.25">
      <c r="A8613" t="s">
        <v>1100</v>
      </c>
      <c r="B8613" t="str">
        <f>ADDRESS(ROW(TIF_DistrictYear_EICBondEscrowPaymentAmt),COLUMN(TIF_DistrictYear_EICBondEscrowPaymentAmt),4)</f>
        <v>B25</v>
      </c>
      <c r="C8613" t="str">
        <f>ADDRESS(ROW(EIC!C$25),COLUMN(EIC!C$25),4)</f>
        <v>C25</v>
      </c>
      <c r="D8613" t="b" cm="1">
        <f t="array" aca="1" ref="D8613" ca="1">IF(INDIRECT("'"&amp;A8613&amp;"'!"&amp;B8613)="",FALSE,IF(NOT(ISNUMBER(INDIRECT("'"&amp;A8613&amp;"'!"&amp;B8613))),TRUE,FALSE))</f>
        <v>0</v>
      </c>
      <c r="E8613" t="s">
        <v>435</v>
      </c>
      <c r="F8613" t="str">
        <f>INDEX(Lists!I:I,MATCH(Validation!E8613,Lists!G:G,0))</f>
        <v>Error</v>
      </c>
      <c r="G8613" t="str">
        <f>INDEX(Lists!H:H,MATCH(Validation!E8613,Lists!G:G,0))</f>
        <v>Enter an amount only. Do not enter text or spaces.</v>
      </c>
      <c r="H8613" s="16" t="str">
        <f t="shared" ca="1" si="987"/>
        <v/>
      </c>
      <c r="I8613" s="16" t="str">
        <f t="shared" ca="1" si="988"/>
        <v/>
      </c>
      <c r="J8613" s="17" t="str">
        <f t="shared" ca="1" si="989"/>
        <v/>
      </c>
    </row>
    <row r="8614" spans="1:10" x14ac:dyDescent="0.25">
      <c r="A8614" t="s">
        <v>1100</v>
      </c>
      <c r="B8614" t="str">
        <f>ADDRESS(ROW(TIF_DistrictYear_EICBondEscrowPaymentAmt),COLUMN(TIF_DistrictYear_EICBondEscrowPaymentAmt),4)</f>
        <v>B25</v>
      </c>
      <c r="C8614" t="str">
        <f>ADDRESS(ROW(EIC!C$25),COLUMN(EIC!C$25),4)</f>
        <v>C25</v>
      </c>
      <c r="D8614" t="b" cm="1">
        <f t="array" aca="1" ref="D8614" ca="1">IF(INDIRECT("'"&amp;A8614&amp;"'!"&amp;B8614)="",FALSE,IF(INDIRECT("'"&amp;A8614&amp;"'!"&amp;B8614)&lt;0,TRUE,FALSE))</f>
        <v>0</v>
      </c>
      <c r="E8614" t="s">
        <v>434</v>
      </c>
      <c r="F8614" t="str">
        <f>INDEX(Lists!I:I,MATCH(Validation!E8614,Lists!G:G,0))</f>
        <v>Error</v>
      </c>
      <c r="G8614" t="str">
        <f>INDEX(Lists!H:H,MATCH(Validation!E8614,Lists!G:G,0))</f>
        <v>Amount may not be negative. Enter an amount greater than or equal to zero.</v>
      </c>
      <c r="H8614" s="16" t="str">
        <f t="shared" ca="1" si="987"/>
        <v/>
      </c>
      <c r="I8614" s="16" t="str">
        <f t="shared" ca="1" si="988"/>
        <v/>
      </c>
      <c r="J8614" s="17" t="str">
        <f t="shared" ca="1" si="989"/>
        <v/>
      </c>
    </row>
    <row r="8615" spans="1:10" x14ac:dyDescent="0.25">
      <c r="A8615" t="s">
        <v>1100</v>
      </c>
      <c r="B8615" t="str">
        <f>ADDRESS(ROW(TIF_DistrictYear_EICBondEscrowPaymentAmt),COLUMN(TIF_DistrictYear_EICBondEscrowPaymentAmt),4)</f>
        <v>B25</v>
      </c>
      <c r="C8615" t="str">
        <f>ADDRESS(ROW(EIC!C$25),COLUMN(EIC!C$25),4)</f>
        <v>C25</v>
      </c>
      <c r="D8615" t="b" cm="1">
        <f t="array" aca="1" ref="D8615" ca="1">IF(INDIRECT("'"&amp;A8615&amp;"'!"&amp;B8615)="",FALSE,IF(TRUNC(INDIRECT("'"&amp;A8615&amp;"'!"&amp;B8615))=INDIRECT("'"&amp;A8615&amp;"'!"&amp;B8615),FALSE,TRUE))</f>
        <v>0</v>
      </c>
      <c r="E8615" t="s">
        <v>436</v>
      </c>
      <c r="F8615" t="str">
        <f>INDEX(Lists!I:I,MATCH(Validation!E8615,Lists!G:G,0))</f>
        <v>Error</v>
      </c>
      <c r="G8615" t="str">
        <f>INDEX(Lists!H:H,MATCH(Validation!E8615,Lists!G:G,0))</f>
        <v>Amount must be rounded to the nearest dollar.</v>
      </c>
      <c r="H8615" s="16" t="str">
        <f t="shared" ca="1" si="987"/>
        <v/>
      </c>
      <c r="I8615" s="16" t="str">
        <f t="shared" ca="1" si="988"/>
        <v/>
      </c>
      <c r="J8615" s="17" t="str">
        <f t="shared" ca="1" si="989"/>
        <v/>
      </c>
    </row>
    <row r="8616" spans="1:10" x14ac:dyDescent="0.25">
      <c r="A8616" t="s">
        <v>1100</v>
      </c>
      <c r="B8616" t="str">
        <f>ADDRESS(ROW(TIF_DistrictYear_EICReturnAmt),COLUMN(TIF_DistrictYear_EICReturnAmt),4)</f>
        <v>B26</v>
      </c>
      <c r="C8616" t="str">
        <f>ADDRESS(ROW(EIC!C$26),COLUMN(EIC!C$26),4)</f>
        <v>C26</v>
      </c>
      <c r="D8616" t="b" cm="1">
        <f t="array" aca="1" ref="D8616" ca="1">IF(AND(EIC!$B$10="REQUIRED",EIC!$B$22&gt;0,OR(INDIRECT("'"&amp;A8616&amp;"'!"&amp;B8616)="",ISBLANK(INDIRECT("'"&amp;A8616&amp;"'!"&amp;B8616)))),TRUE,FALSE)</f>
        <v>0</v>
      </c>
      <c r="E8616" t="s">
        <v>495</v>
      </c>
      <c r="F8616" t="str">
        <f>INDEX(Lists!I:I,MATCH(Validation!E8616,Lists!G:G,0))</f>
        <v>Error</v>
      </c>
      <c r="G8616" t="str">
        <f>INDEX(Lists!H:H,MATCH(Validation!E8616,Lists!G:G,0))</f>
        <v>Entry required.</v>
      </c>
      <c r="H8616" s="16" t="str">
        <f t="shared" ca="1" si="987"/>
        <v/>
      </c>
      <c r="I8616" s="16" t="str">
        <f t="shared" ca="1" si="988"/>
        <v/>
      </c>
      <c r="J8616" s="17" t="str">
        <f t="shared" ca="1" si="989"/>
        <v/>
      </c>
    </row>
    <row r="8617" spans="1:10" x14ac:dyDescent="0.25">
      <c r="A8617" t="s">
        <v>1100</v>
      </c>
      <c r="B8617" t="str">
        <f>ADDRESS(ROW(TIF_DistrictYear_EICReturnAmt),COLUMN(TIF_DistrictYear_EICReturnAmt),4)</f>
        <v>B26</v>
      </c>
      <c r="C8617" t="str">
        <f>ADDRESS(ROW(EIC!C$26),COLUMN(EIC!C$26),4)</f>
        <v>C26</v>
      </c>
      <c r="D8617" t="b" cm="1">
        <f t="array" aca="1" ref="D8617" ca="1">IF(INDIRECT("'"&amp;A8617&amp;"'!"&amp;B8617)="",FALSE,IF(NOT(ISNUMBER(INDIRECT("'"&amp;A8617&amp;"'!"&amp;B8617))),TRUE,FALSE))</f>
        <v>0</v>
      </c>
      <c r="E8617" t="s">
        <v>435</v>
      </c>
      <c r="F8617" t="str">
        <f>INDEX(Lists!I:I,MATCH(Validation!E8617,Lists!G:G,0))</f>
        <v>Error</v>
      </c>
      <c r="G8617" t="str">
        <f>INDEX(Lists!H:H,MATCH(Validation!E8617,Lists!G:G,0))</f>
        <v>Enter an amount only. Do not enter text or spaces.</v>
      </c>
      <c r="H8617" s="16" t="str">
        <f t="shared" ca="1" si="987"/>
        <v/>
      </c>
      <c r="I8617" s="16" t="str">
        <f t="shared" ca="1" si="988"/>
        <v/>
      </c>
      <c r="J8617" s="17" t="str">
        <f t="shared" ca="1" si="989"/>
        <v/>
      </c>
    </row>
    <row r="8618" spans="1:10" x14ac:dyDescent="0.25">
      <c r="A8618" t="s">
        <v>1100</v>
      </c>
      <c r="B8618" t="str">
        <f>ADDRESS(ROW(TIF_DistrictYear_EICReturnAmt),COLUMN(TIF_DistrictYear_EICReturnAmt),4)</f>
        <v>B26</v>
      </c>
      <c r="C8618" t="str">
        <f>ADDRESS(ROW(EIC!C$26),COLUMN(EIC!C$26),4)</f>
        <v>C26</v>
      </c>
      <c r="D8618" t="b" cm="1">
        <f t="array" aca="1" ref="D8618" ca="1">IF(INDIRECT("'"&amp;A8618&amp;"'!"&amp;B8618)="",FALSE,IF(INDIRECT("'"&amp;A8618&amp;"'!"&amp;B8618)&lt;0,TRUE,FALSE))</f>
        <v>0</v>
      </c>
      <c r="E8618" t="s">
        <v>434</v>
      </c>
      <c r="F8618" t="str">
        <f>INDEX(Lists!I:I,MATCH(Validation!E8618,Lists!G:G,0))</f>
        <v>Error</v>
      </c>
      <c r="G8618" t="str">
        <f>INDEX(Lists!H:H,MATCH(Validation!E8618,Lists!G:G,0))</f>
        <v>Amount may not be negative. Enter an amount greater than or equal to zero.</v>
      </c>
      <c r="H8618" s="16" t="str">
        <f t="shared" ca="1" si="987"/>
        <v/>
      </c>
      <c r="I8618" s="16" t="str">
        <f t="shared" ca="1" si="988"/>
        <v/>
      </c>
      <c r="J8618" s="17" t="str">
        <f t="shared" ca="1" si="989"/>
        <v/>
      </c>
    </row>
    <row r="8619" spans="1:10" x14ac:dyDescent="0.25">
      <c r="A8619" t="s">
        <v>1100</v>
      </c>
      <c r="B8619" t="str">
        <f>ADDRESS(ROW(TIF_DistrictYear_EICReturnAmt),COLUMN(TIF_DistrictYear_EICReturnAmt),4)</f>
        <v>B26</v>
      </c>
      <c r="C8619" t="str">
        <f>ADDRESS(ROW(EIC!C$26),COLUMN(EIC!C$26),4)</f>
        <v>C26</v>
      </c>
      <c r="D8619" t="b" cm="1">
        <f t="array" aca="1" ref="D8619" ca="1">IF(INDIRECT("'"&amp;A8619&amp;"'!"&amp;B8619)="",FALSE,IF(TRUNC(INDIRECT("'"&amp;A8619&amp;"'!"&amp;B8619))=INDIRECT("'"&amp;A8619&amp;"'!"&amp;B8619),FALSE,TRUE))</f>
        <v>0</v>
      </c>
      <c r="E8619" t="s">
        <v>436</v>
      </c>
      <c r="F8619" t="str">
        <f>INDEX(Lists!I:I,MATCH(Validation!E8619,Lists!G:G,0))</f>
        <v>Error</v>
      </c>
      <c r="G8619" t="str">
        <f>INDEX(Lists!H:H,MATCH(Validation!E8619,Lists!G:G,0))</f>
        <v>Amount must be rounded to the nearest dollar.</v>
      </c>
      <c r="H8619" s="16" t="str">
        <f t="shared" ca="1" si="987"/>
        <v/>
      </c>
      <c r="I8619" s="16" t="str">
        <f t="shared" ca="1" si="988"/>
        <v/>
      </c>
      <c r="J8619" s="17" t="str">
        <f t="shared" ca="1" si="989"/>
        <v/>
      </c>
    </row>
    <row r="8620" spans="1:10" x14ac:dyDescent="0.25">
      <c r="A8620" t="s">
        <v>1100</v>
      </c>
      <c r="B8620" t="str">
        <f>ADDRESS(ROW(EIC!B27),COLUMN(EIC!B27),4)</f>
        <v>B27</v>
      </c>
      <c r="C8620" t="str">
        <f>ADDRESS(ROW(EIC!C$27),COLUMN(EIC!C$27),4)</f>
        <v>C27</v>
      </c>
      <c r="D8620" t="b">
        <f ca="1">IF(AND(EIC!B27&gt;0,D8604=FALSE,D8608=FALSE,D8612=FALSE,D8616=FALSE),TRUE,FALSE)</f>
        <v>0</v>
      </c>
      <c r="E8620" t="s">
        <v>1506</v>
      </c>
      <c r="F8620" t="str">
        <f>INDEX(Lists!I:I,MATCH(Validation!E8620,Lists!G:G,0))</f>
        <v>Alert</v>
      </c>
      <c r="G8620" t="str">
        <f>INDEX(Lists!H:H,MATCH(Validation!E8620,Lists!G:G,0))</f>
        <v>Remaining excess increment is a likely violation needing remedy. (See instructions)</v>
      </c>
      <c r="H8620" s="16" t="str">
        <f t="shared" ref="H8620" ca="1" si="990">IFERROR(IF(OR(NOT(D8620),F8620&lt;&gt;"Error"),"",A8620&amp;CELL("address",INDIRECT(B8620))),"")</f>
        <v/>
      </c>
      <c r="I8620" s="16" t="str">
        <f t="shared" ref="I8620" ca="1" si="991">IFERROR(IF(NOT(D8620),"",A8620&amp;CELL("address",INDIRECT(C8620))),"")</f>
        <v/>
      </c>
      <c r="J8620" s="17" t="str">
        <f t="shared" ref="J8620" ca="1" si="992">IFERROR(IF(NOT(D8620),"",A8620),"")</f>
        <v/>
      </c>
    </row>
    <row r="8621" spans="1:10" x14ac:dyDescent="0.25">
      <c r="A8621" t="s">
        <v>1100</v>
      </c>
      <c r="B8621" t="str">
        <f>ADDRESS(ROW(TIF_DistrictYear_UserCommentsEIC),COLUMN(TIF_DistrictYear_UserCommentsEIC),4)</f>
        <v>A29</v>
      </c>
      <c r="C8621" t="str">
        <f>ADDRESS(ROW(EIC!C$28),COLUMN(EIC!C$28),4)</f>
        <v>C28</v>
      </c>
      <c r="D8621" t="b" cm="1">
        <f t="array" aca="1" ref="D8621" ca="1">IF(ISBLANK(INDIRECT("'"&amp;A8621&amp;"'!"&amp;B8621)),FALSE,IF(LEN(TRIM(CLEAN(INDIRECT("'"&amp;A8621&amp;"'!"&amp;B8621))))&lt;15,TRUE,FALSE))</f>
        <v>0</v>
      </c>
      <c r="E8621" t="s">
        <v>635</v>
      </c>
      <c r="F8621" t="str">
        <f>INDEX(Lists!I:I,MATCH(Validation!E8621,Lists!G:G,0))</f>
        <v>Error</v>
      </c>
      <c r="G8621" t="str">
        <f>INDEX(Lists!H:H,MATCH(Validation!E8621,Lists!G:G,0))</f>
        <v>Insufficient information. Please provide a longer comment.</v>
      </c>
      <c r="H8621" s="16" t="str">
        <f ca="1">IFERROR(IF(OR(NOT(D8621),F8621&lt;&gt;"Error"),"",A8621&amp;CELL("address",INDIRECT(B8621))),"")</f>
        <v/>
      </c>
      <c r="I8621" s="16" t="str">
        <f ca="1">IFERROR(IF(NOT(D8621),"",A8621&amp;CELL("address",INDIRECT(C8621))),"")</f>
        <v/>
      </c>
      <c r="J8621" s="17" t="str">
        <f ca="1">IFERROR(IF(NOT(D8621),"",A8621),"")</f>
        <v/>
      </c>
    </row>
    <row r="8622" spans="1:10" x14ac:dyDescent="0.25">
      <c r="A8622" t="s">
        <v>1100</v>
      </c>
      <c r="B8622" t="str">
        <f>ADDRESS(ROW(TIF_DistrictYear_UserCommentsEIC),COLUMN(TIF_DistrictYear_UserCommentsEIC),4)</f>
        <v>A29</v>
      </c>
      <c r="C8622" t="str">
        <f>ADDRESS(ROW(EIC!C$28),COLUMN(EIC!C$28),4)</f>
        <v>C28</v>
      </c>
      <c r="D8622" t="b" cm="1">
        <f t="array" aca="1" ref="D8622" ca="1">IF(LEN(INDIRECT("'"&amp;A8622&amp;"'!"&amp;B8622))&gt;500,TRUE,FALSE)</f>
        <v>0</v>
      </c>
      <c r="E8622" t="s">
        <v>636</v>
      </c>
      <c r="F8622" t="str">
        <f>INDEX(Lists!I:I,MATCH(Validation!E8622,Lists!G:G,0))</f>
        <v>Error</v>
      </c>
      <c r="G8622" t="str">
        <f>INDEX(Lists!H:H,MATCH(Validation!E8622,Lists!G:G,0))</f>
        <v>Comments cannot exceed 500 characters. (Limit length. Send email to further explain.)</v>
      </c>
      <c r="H8622" s="16" t="str">
        <f ca="1">IFERROR(IF(OR(NOT(D8622),F8622&lt;&gt;"Error"),"",A8622&amp;CELL("address",INDIRECT(B8622))),"")</f>
        <v/>
      </c>
      <c r="I8622" s="16" t="str">
        <f ca="1">IFERROR(IF(NOT(D8622),"",A8622&amp;CELL("address",INDIRECT(C8622))),"")</f>
        <v/>
      </c>
      <c r="J8622" s="17" t="str">
        <f ca="1">IFERROR(IF(NOT(D8622),"",A8622),"")</f>
        <v/>
      </c>
    </row>
    <row r="8623" spans="1:10" x14ac:dyDescent="0.25">
      <c r="A8623" t="s">
        <v>1090</v>
      </c>
      <c r="B8623" t="str">
        <f>ADDRESS(ROW(TIF_DistrictYear_DisclosureNewspaper),COLUMN(TIF_DistrictYear_DisclosureNewspaper),4)</f>
        <v>B7</v>
      </c>
      <c r="C8623" t="str">
        <f>ADDRESS(ROW(ADS!C$7),COLUMN(ADS!C$7),4)</f>
        <v>C7</v>
      </c>
      <c r="D8623" t="b">
        <f>IF(LEN(TIF_DistrictYear_DisclosureNewspaper)&gt;100,TRUE,FALSE)</f>
        <v>0</v>
      </c>
      <c r="E8623" t="s">
        <v>585</v>
      </c>
      <c r="F8623" t="str">
        <f>INDEX(Lists!I:I,MATCH(Validation!E8623,Lists!G:G,0))</f>
        <v>Error</v>
      </c>
      <c r="G8623" t="str">
        <f>INDEX(Lists!H:H,MATCH(Validation!E8623,Lists!G:G,0))</f>
        <v>Entry cannot exceed 100 characters. Please re-enter.</v>
      </c>
      <c r="H8623" s="16" t="str">
        <f t="shared" ref="H8623:H8630" ca="1" si="993">IFERROR(IF(OR(NOT(D8623),F8623&lt;&gt;"Error"),"",A8623&amp;CELL("address",INDIRECT(B8623))),"")</f>
        <v/>
      </c>
      <c r="I8623" s="16" t="str">
        <f t="shared" ref="I8623:I8630" ca="1" si="994">IFERROR(IF(NOT(D8623),"",A8623&amp;CELL("address",INDIRECT(C8623))),"")</f>
        <v/>
      </c>
      <c r="J8623" s="17" t="str">
        <f t="shared" ref="J8623:J8630" si="995">IFERROR(IF(NOT(D8623),"",A8623),"")</f>
        <v/>
      </c>
    </row>
    <row r="8624" spans="1:10" x14ac:dyDescent="0.25">
      <c r="A8624" t="s">
        <v>1090</v>
      </c>
      <c r="B8624" t="str">
        <f>ADDRESS(ROW(TIF_DistrictYear_DisclosureNewspaper),COLUMN(TIF_DistrictYear_DisclosureNewspaper),4)</f>
        <v>B7</v>
      </c>
      <c r="C8624" t="str">
        <f>ADDRESS(ROW(ADS!C$7),COLUMN(ADS!C$7),4)</f>
        <v>C7</v>
      </c>
      <c r="D8624" t="b" cm="1">
        <f t="array" aca="1" ref="D8624" ca="1">IF(OR(INDIRECT("'"&amp;A8624&amp;"'!"&amp;B8624)="",ISBLANK(INDIRECT("'"&amp;A8624&amp;"'!"&amp;B8624))),TRUE,FALSE)</f>
        <v>1</v>
      </c>
      <c r="E8624" t="s">
        <v>495</v>
      </c>
      <c r="F8624" t="str">
        <f>INDEX(Lists!I:I,MATCH(Validation!E8624,Lists!G:G,0))</f>
        <v>Error</v>
      </c>
      <c r="G8624" t="str">
        <f>INDEX(Lists!H:H,MATCH(Validation!E8624,Lists!G:G,0))</f>
        <v>Entry required.</v>
      </c>
      <c r="H8624" s="16" t="str">
        <f t="shared" ca="1" si="993"/>
        <v>ADS$B$7</v>
      </c>
      <c r="I8624" s="16" t="str">
        <f t="shared" ca="1" si="994"/>
        <v>ADS$C$7</v>
      </c>
      <c r="J8624" s="17" t="str">
        <f t="shared" ca="1" si="995"/>
        <v>ADS</v>
      </c>
    </row>
    <row r="8625" spans="1:10" x14ac:dyDescent="0.25">
      <c r="A8625" t="s">
        <v>1090</v>
      </c>
      <c r="B8625" t="str">
        <f>ADDRESS(ROW(TIF_DistrictYear_DisclosurePublicationDate),COLUMN(TIF_DistrictYear_DisclosurePublicationDate),4)</f>
        <v>B8</v>
      </c>
      <c r="C8625" t="str">
        <f>ADDRESS(ROW(ADS!C$8),COLUMN(ADS!C$8),4)</f>
        <v>C8</v>
      </c>
      <c r="D8625" t="b" cm="1">
        <f t="array" aca="1" ref="D8625" ca="1">IF(OR(INDIRECT("'"&amp;A8625&amp;"'!"&amp;B8625)="",ISBLANK(INDIRECT("'"&amp;A8625&amp;"'!"&amp;B8625))),TRUE,FALSE)</f>
        <v>1</v>
      </c>
      <c r="E8625" t="s">
        <v>495</v>
      </c>
      <c r="F8625" t="str">
        <f>INDEX(Lists!I:I,MATCH(Validation!E8625,Lists!G:G,0))</f>
        <v>Error</v>
      </c>
      <c r="G8625" t="str">
        <f>INDEX(Lists!H:H,MATCH(Validation!E8625,Lists!G:G,0))</f>
        <v>Entry required.</v>
      </c>
      <c r="H8625" s="16" t="str">
        <f t="shared" ca="1" si="993"/>
        <v>ADS$B$8</v>
      </c>
      <c r="I8625" s="16" t="str">
        <f t="shared" ca="1" si="994"/>
        <v>ADS$C$8</v>
      </c>
      <c r="J8625" s="17" t="str">
        <f t="shared" ca="1" si="995"/>
        <v>ADS</v>
      </c>
    </row>
    <row r="8626" spans="1:10" x14ac:dyDescent="0.25">
      <c r="A8626" t="s">
        <v>1090</v>
      </c>
      <c r="B8626" t="str">
        <f>ADDRESS(ROW(TIF_DistrictYear_DisclosurePublicationDate),COLUMN(TIF_DistrictYear_DisclosurePublicationDate),4)</f>
        <v>B8</v>
      </c>
      <c r="C8626" t="str">
        <f>ADDRESS(ROW(ADS!C$8),COLUMN(ADS!C$8),4)</f>
        <v>C8</v>
      </c>
      <c r="D8626" t="b" cm="1">
        <f t="array" aca="1" ref="D8626" ca="1">ISERROR(DATE(INDIRECT("'"&amp;A8626&amp;"'!"&amp;B8626),,))</f>
        <v>1</v>
      </c>
      <c r="E8626" t="s">
        <v>498</v>
      </c>
      <c r="F8626" t="str">
        <f>INDEX(Lists!I:I,MATCH(Validation!E8626,Lists!G:G,0))</f>
        <v>Error</v>
      </c>
      <c r="G8626" t="str">
        <f>INDEX(Lists!H:H,MATCH(Validation!E8626,Lists!G:G,0))</f>
        <v>Enter a date only (MM/DD/YYYY). Do not enter text, spaces, or amounts.</v>
      </c>
      <c r="H8626" s="16" t="str">
        <f t="shared" ca="1" si="993"/>
        <v>ADS$B$8</v>
      </c>
      <c r="I8626" s="16" t="str">
        <f t="shared" ca="1" si="994"/>
        <v>ADS$C$8</v>
      </c>
      <c r="J8626" s="17" t="str">
        <f t="shared" ca="1" si="995"/>
        <v>ADS</v>
      </c>
    </row>
    <row r="8627" spans="1:10" x14ac:dyDescent="0.25">
      <c r="A8627" t="s">
        <v>1090</v>
      </c>
      <c r="B8627" t="str">
        <f>ADDRESS(ROW(TIF_DistrictYear_DisclosurePublicationDate),COLUMN(TIF_DistrictYear_DisclosurePublicationDate),4)</f>
        <v>B8</v>
      </c>
      <c r="C8627" t="str">
        <f>ADDRESS(ROW(ADS!C$8),COLUMN(ADS!C$8),4)</f>
        <v>C8</v>
      </c>
      <c r="D8627" t="b">
        <f>IF(YEAR(TIF_DistrictYear_DisclosurePublicationDate)&lt;&gt;Year_DestinationYearID+1,TRUE,FALSE)</f>
        <v>1</v>
      </c>
      <c r="E8627" t="s">
        <v>1093</v>
      </c>
      <c r="F8627" t="str">
        <f>INDEX(Lists!I:I,MATCH(Validation!E8627,Lists!G:G,0))</f>
        <v>Alert</v>
      </c>
      <c r="G8627" t="str">
        <f>INDEX(Lists!H:H,MATCH(Validation!E8627,Lists!G:G,0))</f>
        <v>Publication date must be during 2025. Correct entry or explain in comments box.</v>
      </c>
      <c r="H8627" s="16" t="str">
        <f t="shared" ca="1" si="993"/>
        <v/>
      </c>
      <c r="I8627" s="16" t="str">
        <f t="shared" ca="1" si="994"/>
        <v>ADS$C$8</v>
      </c>
      <c r="J8627" s="17" t="str">
        <f t="shared" si="995"/>
        <v>ADS</v>
      </c>
    </row>
    <row r="8628" spans="1:10" x14ac:dyDescent="0.25">
      <c r="A8628" t="s">
        <v>1090</v>
      </c>
      <c r="B8628" t="str">
        <f>ADDRESS(ROW(TIF_DistrictYear_ADSInfoStatement),COLUMN(TIF_DistrictYear_ADSInfoStatement),4)</f>
        <v>A21</v>
      </c>
      <c r="C8628" t="str">
        <f>ADDRESS(ROW(ADS!C$20),COLUMN(ADS!C$20),4)</f>
        <v>C20</v>
      </c>
      <c r="D8628" t="b">
        <f>IF(OR(TIF_DistrictYear_ADSInfoStatement="",ISBLANK(TIF_DistrictYear_ADSInfoStatement)),TRUE,FALSE)</f>
        <v>1</v>
      </c>
      <c r="E8628" t="s">
        <v>495</v>
      </c>
      <c r="F8628" t="str">
        <f>INDEX(Lists!I:I,MATCH(Validation!E8628,Lists!G:G,0))</f>
        <v>Error</v>
      </c>
      <c r="G8628" t="str">
        <f>INDEX(Lists!H:H,MATCH(Validation!E8628,Lists!G:G,0))</f>
        <v>Entry required.</v>
      </c>
      <c r="H8628" s="16" t="str">
        <f t="shared" ref="H8628" ca="1" si="996">IFERROR(IF(OR(NOT(D8628),F8628&lt;&gt;"Error"),"",A8628&amp;CELL("address",INDIRECT(B8628))),"")</f>
        <v>ADS$A$21</v>
      </c>
      <c r="I8628" s="16" t="str">
        <f t="shared" ref="I8628" ca="1" si="997">IFERROR(IF(NOT(D8628),"",A8628&amp;CELL("address",INDIRECT(C8628))),"")</f>
        <v>ADS$C$20</v>
      </c>
      <c r="J8628" s="17" t="str">
        <f t="shared" ref="J8628" si="998">IFERROR(IF(NOT(D8628),"",A8628),"")</f>
        <v>ADS</v>
      </c>
    </row>
    <row r="8629" spans="1:10" x14ac:dyDescent="0.25">
      <c r="A8629" t="s">
        <v>1090</v>
      </c>
      <c r="B8629" t="str">
        <f>ADDRESS(ROW(TIF_DistrictYear_ADSInfoStatement),COLUMN(TIF_DistrictYear_ADSInfoStatement),4)</f>
        <v>A21</v>
      </c>
      <c r="C8629" t="str">
        <f>ADDRESS(ROW(ADS!C$20),COLUMN(ADS!C$20),4)</f>
        <v>C20</v>
      </c>
      <c r="D8629" t="b">
        <f>IF(LEN(TIF_DistrictYear_ADSInfoStatement)&gt;1000,TRUE,FALSE)</f>
        <v>0</v>
      </c>
      <c r="E8629" t="s">
        <v>1094</v>
      </c>
      <c r="F8629" t="str">
        <f>INDEX(Lists!I:I,MATCH(Validation!E8629,Lists!G:G,0))</f>
        <v>Error</v>
      </c>
      <c r="G8629" t="str">
        <f>INDEX(Lists!H:H,MATCH(Validation!E8629,Lists!G:G,0))</f>
        <v>Entry cannot exceed 1000 characters. Please scan and email a copy of the disclosure.</v>
      </c>
      <c r="H8629" s="16" t="str">
        <f t="shared" ca="1" si="993"/>
        <v/>
      </c>
      <c r="I8629" s="16" t="str">
        <f t="shared" ca="1" si="994"/>
        <v/>
      </c>
      <c r="J8629" s="17" t="str">
        <f t="shared" si="995"/>
        <v/>
      </c>
    </row>
    <row r="8630" spans="1:10" x14ac:dyDescent="0.25">
      <c r="A8630" t="s">
        <v>1090</v>
      </c>
      <c r="B8630" t="str">
        <f>ADDRESS(ROW(TIF_DistrictYear_ADSInfoStatement),COLUMN(TIF_DistrictYear_ADSInfoStatement),4)</f>
        <v>A21</v>
      </c>
      <c r="C8630" t="str">
        <f>ADDRESS(ROW(ADS!C$20),COLUMN(ADS!C$20),4)</f>
        <v>C20</v>
      </c>
      <c r="D8630" t="b">
        <f>IF(LEN(TIF_DistrictYear_ADSInfoStatement)&lt;30,TRUE,FALSE)</f>
        <v>1</v>
      </c>
      <c r="E8630" t="s">
        <v>1096</v>
      </c>
      <c r="F8630" t="str">
        <f>INDEX(Lists!I:I,MATCH(Validation!E8630,Lists!G:G,0))</f>
        <v>Error</v>
      </c>
      <c r="G8630" t="str">
        <f>INDEX(Lists!H:H,MATCH(Validation!E8630,Lists!G:G,0))</f>
        <v>Statement length is insufficient. Correct entry or explain in comments box.</v>
      </c>
      <c r="H8630" s="16" t="str">
        <f t="shared" ca="1" si="993"/>
        <v>ADS$A$21</v>
      </c>
      <c r="I8630" s="16" t="str">
        <f t="shared" ca="1" si="994"/>
        <v>ADS$C$20</v>
      </c>
      <c r="J8630" s="17" t="str">
        <f t="shared" si="995"/>
        <v>ADS</v>
      </c>
    </row>
    <row r="8631" spans="1:10" x14ac:dyDescent="0.25">
      <c r="A8631" t="s">
        <v>1090</v>
      </c>
      <c r="B8631" t="str">
        <f>ADDRESS(ROW(TIF_DistrictYear_UserCommentsADS),COLUMN(TIF_DistrictYear_UserCommentsADS),4)</f>
        <v>A23</v>
      </c>
      <c r="C8631" t="str">
        <f>ADDRESS(ROW(ADS!C$22),COLUMN(ADS!C$22),4)</f>
        <v>C22</v>
      </c>
      <c r="D8631" t="b" cm="1">
        <f t="array" aca="1" ref="D8631" ca="1">IF(ISBLANK(INDIRECT("'"&amp;A8631&amp;"'!"&amp;B8631)),FALSE,IF(LEN(TRIM(CLEAN(INDIRECT("'"&amp;A8631&amp;"'!"&amp;B8631))))&lt;15,TRUE,FALSE))</f>
        <v>0</v>
      </c>
      <c r="E8631" t="s">
        <v>635</v>
      </c>
      <c r="F8631" t="str">
        <f>INDEX(Lists!I:I,MATCH(Validation!E8631,Lists!G:G,0))</f>
        <v>Error</v>
      </c>
      <c r="G8631" t="str">
        <f>INDEX(Lists!H:H,MATCH(Validation!E8631,Lists!G:G,0))</f>
        <v>Insufficient information. Please provide a longer comment.</v>
      </c>
      <c r="H8631" s="16" t="str">
        <f ca="1">IFERROR(IF(OR(NOT(D8631),F8631&lt;&gt;"Error"),"",A8631&amp;CELL("address",INDIRECT(B8631))),"")</f>
        <v/>
      </c>
      <c r="I8631" s="16" t="str">
        <f ca="1">IFERROR(IF(NOT(D8631),"",A8631&amp;CELL("address",INDIRECT(C8631))),"")</f>
        <v/>
      </c>
      <c r="J8631" s="17" t="str">
        <f ca="1">IFERROR(IF(NOT(D8631),"",A8631),"")</f>
        <v/>
      </c>
    </row>
    <row r="8632" spans="1:10" x14ac:dyDescent="0.25">
      <c r="A8632" t="s">
        <v>1090</v>
      </c>
      <c r="B8632" t="str">
        <f>ADDRESS(ROW(TIF_DistrictYear_UserCommentsADS),COLUMN(TIF_DistrictYear_UserCommentsADS),4)</f>
        <v>A23</v>
      </c>
      <c r="C8632" t="str">
        <f>ADDRESS(ROW(ADS!C$22),COLUMN(ADS!C$22),4)</f>
        <v>C22</v>
      </c>
      <c r="D8632" t="b" cm="1">
        <f t="array" aca="1" ref="D8632" ca="1">IF(LEN(INDIRECT("'"&amp;A8632&amp;"'!"&amp;B8632))&gt;500,TRUE,FALSE)</f>
        <v>0</v>
      </c>
      <c r="E8632" t="s">
        <v>636</v>
      </c>
      <c r="F8632" t="str">
        <f>INDEX(Lists!I:I,MATCH(Validation!E8632,Lists!G:G,0))</f>
        <v>Error</v>
      </c>
      <c r="G8632" t="str">
        <f>INDEX(Lists!H:H,MATCH(Validation!E8632,Lists!G:G,0))</f>
        <v>Comments cannot exceed 500 characters. (Limit length. Send email to further explain.)</v>
      </c>
      <c r="H8632" s="16" t="str">
        <f ca="1">IFERROR(IF(OR(NOT(D8632),F8632&lt;&gt;"Error"),"",A8632&amp;CELL("address",INDIRECT(B8632))),"")</f>
        <v/>
      </c>
      <c r="I8632" s="16" t="str">
        <f ca="1">IFERROR(IF(NOT(D8632),"",A8632&amp;CELL("address",INDIRECT(C8632))),"")</f>
        <v/>
      </c>
      <c r="J8632" s="17" t="str">
        <f ca="1">IFERROR(IF(NOT(D8632),"",A8632),"")</f>
        <v/>
      </c>
    </row>
    <row r="8633" spans="1:10" x14ac:dyDescent="0.25">
      <c r="A8633" t="s">
        <v>1535</v>
      </c>
      <c r="B8633" t="str">
        <f>ADDRESS(ROW(TIF_Transfer_TransferInd_Entry),COLUMN(TIF_Transfer_TransferInd_Entry),4)</f>
        <v>B6</v>
      </c>
      <c r="C8633" t="str">
        <f>ADDRESS(ROW(HSS!D$6),COLUMN(HSS!D$6),4)</f>
        <v>D6</v>
      </c>
      <c r="D8633" s="18" t="b">
        <f>IF(TIF_Plan_HssInd_Entry="Select One",TRUE,FALSE)</f>
        <v>1</v>
      </c>
      <c r="E8633" t="s">
        <v>73</v>
      </c>
      <c r="F8633" t="str">
        <f>INDEX(Lists!I:I,MATCH(Validation!E8633,Lists!G:G,0))</f>
        <v>Error</v>
      </c>
      <c r="G8633" t="str">
        <f>INDEX(Lists!H:H,MATCH(Validation!E8633,Lists!G:G,0))</f>
        <v>You must select Yes or No.</v>
      </c>
      <c r="H8633" s="16" t="str">
        <f t="shared" ref="H8633:H8640" ca="1" si="999">IFERROR(IF(OR(NOT(D8633),F8633&lt;&gt;"Error"),"",A8633&amp;CELL("address",INDIRECT(B8633))),"")</f>
        <v>HSS$B$6</v>
      </c>
      <c r="I8633" s="16" t="str">
        <f t="shared" ref="I8633:I8640" ca="1" si="1000">IFERROR(IF(NOT(D8633),"",A8633&amp;CELL("address",INDIRECT(C8633))),"")</f>
        <v>HSS$D$6</v>
      </c>
      <c r="J8633" s="17" t="str">
        <f t="shared" ref="J8633:J8640" si="1001">IFERROR(IF(NOT(D8633),"",A8633),"")</f>
        <v>HSS</v>
      </c>
    </row>
    <row r="8634" spans="1:10" x14ac:dyDescent="0.25">
      <c r="A8634" t="s">
        <v>1535</v>
      </c>
      <c r="B8634" t="str">
        <f>ADDRESS(ROW(TIF_Transfer_TransferInd_Entry),COLUMN(TIF_Transfer_TransferInd_Entry),4)</f>
        <v>B6</v>
      </c>
      <c r="C8634" t="str">
        <f>ADDRESS(ROW(HSS!D$6),COLUMN(HSS!D$6),4)</f>
        <v>D6</v>
      </c>
      <c r="D8634" s="18" t="b">
        <f>IF(AND(TIF_Plan_HssInd_Input=TRUE,TIF_Plan_HssInd_Entry="No"),TRUE,FALSE)</f>
        <v>0</v>
      </c>
      <c r="E8634" t="s">
        <v>491</v>
      </c>
      <c r="F8634" t="str">
        <f>INDEX(Lists!I:I,MATCH(Validation!E8634,Lists!G:G,0))</f>
        <v>Error</v>
      </c>
      <c r="G8634" t="str">
        <f>INDEX(Lists!H:H,MATCH(Validation!E8634,Lists!G:G,0))</f>
        <v>Yes was previously reported and must be selected. Contact TIF Division to change.</v>
      </c>
      <c r="H8634" s="16" t="str">
        <f t="shared" ca="1" si="999"/>
        <v/>
      </c>
      <c r="I8634" s="16" t="str">
        <f t="shared" ca="1" si="1000"/>
        <v/>
      </c>
      <c r="J8634" s="17" t="str">
        <f t="shared" si="1001"/>
        <v/>
      </c>
    </row>
    <row r="8635" spans="1:10" x14ac:dyDescent="0.25">
      <c r="A8635" t="s">
        <v>1535</v>
      </c>
      <c r="B8635" t="str">
        <f>ADDRESS(ROW(TIF_Transfer_TransferInd_Entry),COLUMN(TIF_Transfer_TransferInd_Entry),4)</f>
        <v>B6</v>
      </c>
      <c r="C8635" t="str">
        <f>ADDRESS(ROW(HSS!D$6),COLUMN(HSS!D$6),4)</f>
        <v>D6</v>
      </c>
      <c r="D8635" s="18" t="b">
        <f>IF(TIF_Plan_HssInd_Entry="No",TRUE,FALSE)</f>
        <v>0</v>
      </c>
      <c r="E8635" t="s">
        <v>577</v>
      </c>
      <c r="F8635" t="str">
        <f>INDEX(Lists!I:I,MATCH(Validation!E8635,Lists!G:G,0))</f>
        <v>Information</v>
      </c>
      <c r="G8635" t="str">
        <f>INDEX(Lists!H:H,MATCH(Validation!E8635,Lists!G:G,0))</f>
        <v>If No, skip the remainder of this tab and continue to the next tab.</v>
      </c>
      <c r="H8635" s="16" t="str">
        <f t="shared" ca="1" si="999"/>
        <v/>
      </c>
      <c r="I8635" s="16" t="str">
        <f t="shared" ca="1" si="1000"/>
        <v/>
      </c>
      <c r="J8635" s="17" t="str">
        <f t="shared" si="1001"/>
        <v/>
      </c>
    </row>
    <row r="8636" spans="1:10" x14ac:dyDescent="0.25">
      <c r="A8636" t="s">
        <v>1535</v>
      </c>
      <c r="B8636" t="str">
        <f>ADDRESS(ROW(TIF_HazardousSubstanceSubdistrict_ApprovalDate_Entry),COLUMN(TIF_HazardousSubstanceSubdistrict_ApprovalDate_Entry),4)</f>
        <v>B8</v>
      </c>
      <c r="C8636" t="str">
        <f>ADDRESS(ROW(HSS!D$8),COLUMN(HSS!D$8),4)</f>
        <v>D8</v>
      </c>
      <c r="D8636" s="18" t="b">
        <f>IF(AND(TIF_Plan_HssInd_Entry="Yes",TIF_HazardousSubstanceSubdistrict_ApprovalDate_Entry=""),TRUE,FALSE)</f>
        <v>0</v>
      </c>
      <c r="E8636" t="s">
        <v>495</v>
      </c>
      <c r="F8636" t="str">
        <f>INDEX(Lists!I:I,MATCH(Validation!E8636,Lists!G:G,0))</f>
        <v>Error</v>
      </c>
      <c r="G8636" t="str">
        <f>INDEX(Lists!H:H,MATCH(Validation!E8636,Lists!G:G,0))</f>
        <v>Entry required.</v>
      </c>
      <c r="H8636" s="16" t="str">
        <f t="shared" ref="H8636" ca="1" si="1002">IFERROR(IF(OR(NOT(D8636),F8636&lt;&gt;"Error"),"",A8636&amp;CELL("address",INDIRECT(B8636))),"")</f>
        <v/>
      </c>
      <c r="I8636" s="16" t="str">
        <f t="shared" ref="I8636" ca="1" si="1003">IFERROR(IF(NOT(D8636),"",A8636&amp;CELL("address",INDIRECT(C8636))),"")</f>
        <v/>
      </c>
      <c r="J8636" s="17" t="str">
        <f t="shared" ref="J8636" si="1004">IFERROR(IF(NOT(D8636),"",A8636),"")</f>
        <v/>
      </c>
    </row>
    <row r="8637" spans="1:10" x14ac:dyDescent="0.25">
      <c r="A8637" t="s">
        <v>1535</v>
      </c>
      <c r="B8637" t="str">
        <f>ADDRESS(ROW(TIF_HazardousSubstanceSubdistrict_ApprovalDate_Entry),COLUMN(TIF_HazardousSubstanceSubdistrict_ApprovalDate_Entry),4)</f>
        <v>B8</v>
      </c>
      <c r="C8637" t="str">
        <f>ADDRESS(ROW(HSS!D$8),COLUMN(HSS!D$8),4)</f>
        <v>D8</v>
      </c>
      <c r="D8637" t="b">
        <f>IF(AND(TIF_Plan_HssInd_Entry="Yes",TIF_HazardousSubstanceSubdistrict_ApprovalDate_Entry&lt;&gt;"",ISERROR(DATE(TIF_HazardousSubstanceSubdistrict_ApprovalDate_Entry,,))),TRUE,FALSE)</f>
        <v>0</v>
      </c>
      <c r="E8637" t="s">
        <v>498</v>
      </c>
      <c r="F8637" t="str">
        <f>INDEX(Lists!I:I,MATCH(Validation!E8637,Lists!G:G,0))</f>
        <v>Error</v>
      </c>
      <c r="G8637" t="str">
        <f>INDEX(Lists!H:H,MATCH(Validation!E8637,Lists!G:G,0))</f>
        <v>Enter a date only (MM/DD/YYYY). Do not enter text, spaces, or amounts.</v>
      </c>
      <c r="H8637" s="25" t="str">
        <f t="shared" ca="1" si="999"/>
        <v/>
      </c>
      <c r="I8637" s="25" t="str">
        <f t="shared" ca="1" si="1000"/>
        <v/>
      </c>
      <c r="J8637" s="26" t="str">
        <f t="shared" si="1001"/>
        <v/>
      </c>
    </row>
    <row r="8638" spans="1:10" x14ac:dyDescent="0.25">
      <c r="A8638" t="s">
        <v>1535</v>
      </c>
      <c r="B8638" t="str">
        <f>ADDRESS(ROW(TIF_HazardousSubstanceSubdistrict_ApprovalDate_Entry),COLUMN(TIF_HazardousSubstanceSubdistrict_ApprovalDate_Entry),4)</f>
        <v>B8</v>
      </c>
      <c r="C8638" t="str">
        <f>ADDRESS(ROW(HSS!D$8),COLUMN(HSS!D$8),4)</f>
        <v>D8</v>
      </c>
      <c r="D8638" t="b">
        <f ca="1">IF(AND(NOT(ISERROR(DATE(TIF_HazardousSubstanceSubdistrict_ApprovalDate_Entry,,))),TIF_HazardousSubstanceSubdistrict_ApprovalDate_Entry&gt;TODAY()),TRUE,FALSE)</f>
        <v>0</v>
      </c>
      <c r="E8638" t="s">
        <v>500</v>
      </c>
      <c r="F8638" t="str">
        <f>INDEX(Lists!I:I,MATCH(Validation!E8638,Lists!G:G,0))</f>
        <v>Error</v>
      </c>
      <c r="G8638" t="str">
        <f>INDEX(Lists!H:H,MATCH(Validation!E8638,Lists!G:G,0))</f>
        <v>Date cannot be a future date.</v>
      </c>
      <c r="H8638" s="25" t="str">
        <f t="shared" ca="1" si="999"/>
        <v/>
      </c>
      <c r="I8638" s="25" t="str">
        <f t="shared" ca="1" si="1000"/>
        <v/>
      </c>
      <c r="J8638" s="26" t="str">
        <f t="shared" ca="1" si="1001"/>
        <v/>
      </c>
    </row>
    <row r="8639" spans="1:10" x14ac:dyDescent="0.25">
      <c r="A8639" t="s">
        <v>1535</v>
      </c>
      <c r="B8639" t="str">
        <f>ADDRESS(ROW(TIF_HazardousSubstanceSubdistrict_ApprovalDate_Entry),COLUMN(TIF_HazardousSubstanceSubdistrict_ApprovalDate_Entry),4)</f>
        <v>B8</v>
      </c>
      <c r="C8639" t="str">
        <f>ADDRESS(ROW(HSS!D$8),COLUMN(HSS!D$8),4)</f>
        <v>D8</v>
      </c>
      <c r="D8639" t="b">
        <f>IF(TIF_HazardousSubstanceSubdistrict_ApprovalDate_Entry&lt;TIF_Plan_ApprovalDate,TRUE,FALSE)</f>
        <v>0</v>
      </c>
      <c r="E8639" t="s">
        <v>1552</v>
      </c>
      <c r="F8639" t="str">
        <f>INDEX(Lists!I:I,MATCH(Validation!E8639,Lists!G:G,0))</f>
        <v>Error</v>
      </c>
      <c r="G8639" t="str">
        <f>INDEX(Lists!H:H,MATCH(Validation!E8639,Lists!G:G,0))</f>
        <v>Date may not be before the TIF plan approval date for the TIF district.</v>
      </c>
      <c r="H8639" s="25" t="str">
        <f t="shared" ca="1" si="999"/>
        <v/>
      </c>
      <c r="I8639" s="25" t="str">
        <f t="shared" ca="1" si="1000"/>
        <v/>
      </c>
      <c r="J8639" s="26" t="str">
        <f t="shared" si="1001"/>
        <v/>
      </c>
    </row>
    <row r="8640" spans="1:10" x14ac:dyDescent="0.25">
      <c r="A8640" t="s">
        <v>1535</v>
      </c>
      <c r="B8640" t="str">
        <f>ADDRESS(ROW(TIF_HazardousSubstanceSubdistrict_CertificationRequestDate_Entry),COLUMN(TIF_HazardousSubstanceSubdistrict_CertificationRequestDate_Entry),4)</f>
        <v>B9</v>
      </c>
      <c r="C8640" t="str">
        <f>ADDRESS(ROW(HSS!D$9),COLUMN(HSS!D$9),4)</f>
        <v>D9</v>
      </c>
      <c r="D8640" s="18" t="b">
        <f>IF(AND(TIF_Plan_HssInd_Entry="Yes",TIF_HazardousSubstanceSubdistrict_CertificationRequestDate_Entry=""),TRUE,FALSE)</f>
        <v>0</v>
      </c>
      <c r="E8640" t="s">
        <v>1561</v>
      </c>
      <c r="F8640" t="str">
        <f>INDEX(Lists!I:I,MATCH(Validation!E8640,Lists!G:G,0))</f>
        <v>Alert</v>
      </c>
      <c r="G8640" t="str">
        <f>INDEX(Lists!H:H,MATCH(Validation!E8640,Lists!G:G,0))</f>
        <v>Entry required if certification has been requested.</v>
      </c>
      <c r="H8640" s="16" t="str">
        <f t="shared" ca="1" si="999"/>
        <v/>
      </c>
      <c r="I8640" s="16" t="str">
        <f t="shared" ca="1" si="1000"/>
        <v/>
      </c>
      <c r="J8640" s="17" t="str">
        <f t="shared" si="1001"/>
        <v/>
      </c>
    </row>
    <row r="8641" spans="1:10" x14ac:dyDescent="0.25">
      <c r="A8641" t="s">
        <v>1535</v>
      </c>
      <c r="B8641" t="str">
        <f>ADDRESS(ROW(TIF_HazardousSubstanceSubdistrict_CertificationRequestDate_Entry),COLUMN(TIF_HazardousSubstanceSubdistrict_CertificationRequestDate_Entry),4)</f>
        <v>B9</v>
      </c>
      <c r="C8641" t="str">
        <f>ADDRESS(ROW(HSS!D$9),COLUMN(HSS!D$9),4)</f>
        <v>D9</v>
      </c>
      <c r="D8641" t="b">
        <f>IF(AND(TIF_Plan_HssInd_Entry="Yes",TIF_HazardousSubstanceSubdistrict_CertificationRequestDate_Entry&lt;&gt;"",ISERROR(DATE(TIF_HazardousSubstanceSubdistrict_CertificationRequestDate_Entry,,))),TRUE,FALSE)</f>
        <v>0</v>
      </c>
      <c r="E8641" t="s">
        <v>498</v>
      </c>
      <c r="F8641" t="str">
        <f>INDEX(Lists!I:I,MATCH(Validation!E8641,Lists!G:G,0))</f>
        <v>Error</v>
      </c>
      <c r="G8641" t="str">
        <f>INDEX(Lists!H:H,MATCH(Validation!E8641,Lists!G:G,0))</f>
        <v>Enter a date only (MM/DD/YYYY). Do not enter text, spaces, or amounts.</v>
      </c>
      <c r="H8641" s="25" t="str">
        <f t="shared" ref="H8641:H8644" ca="1" si="1005">IFERROR(IF(OR(NOT(D8641),F8641&lt;&gt;"Error"),"",A8641&amp;CELL("address",INDIRECT(B8641))),"")</f>
        <v/>
      </c>
      <c r="I8641" s="25" t="str">
        <f t="shared" ref="I8641:I8644" ca="1" si="1006">IFERROR(IF(NOT(D8641),"",A8641&amp;CELL("address",INDIRECT(C8641))),"")</f>
        <v/>
      </c>
      <c r="J8641" s="26" t="str">
        <f t="shared" ref="J8641:J8644" si="1007">IFERROR(IF(NOT(D8641),"",A8641),"")</f>
        <v/>
      </c>
    </row>
    <row r="8642" spans="1:10" x14ac:dyDescent="0.25">
      <c r="A8642" t="s">
        <v>1535</v>
      </c>
      <c r="B8642" t="str">
        <f>ADDRESS(ROW(TIF_HazardousSubstanceSubdistrict_CertificationRequestDate_Entry),COLUMN(TIF_HazardousSubstanceSubdistrict_CertificationRequestDate_Entry),4)</f>
        <v>B9</v>
      </c>
      <c r="C8642" t="str">
        <f>ADDRESS(ROW(HSS!D$9),COLUMN(HSS!D$9),4)</f>
        <v>D9</v>
      </c>
      <c r="D8642" t="b">
        <f ca="1">IF(AND(NOT(ISERROR(DATE(TIF_HazardousSubstanceSubdistrict_CertificationRequestDate_Entry,,))),TIF_HazardousSubstanceSubdistrict_CertificationRequestDate_Entry&gt;TODAY()),TRUE,FALSE)</f>
        <v>0</v>
      </c>
      <c r="E8642" t="s">
        <v>500</v>
      </c>
      <c r="F8642" t="str">
        <f>INDEX(Lists!I:I,MATCH(Validation!E8642,Lists!G:G,0))</f>
        <v>Error</v>
      </c>
      <c r="G8642" t="str">
        <f>INDEX(Lists!H:H,MATCH(Validation!E8642,Lists!G:G,0))</f>
        <v>Date cannot be a future date.</v>
      </c>
      <c r="H8642" s="25" t="str">
        <f t="shared" ca="1" si="1005"/>
        <v/>
      </c>
      <c r="I8642" s="25" t="str">
        <f t="shared" ca="1" si="1006"/>
        <v/>
      </c>
      <c r="J8642" s="26" t="str">
        <f t="shared" ca="1" si="1007"/>
        <v/>
      </c>
    </row>
    <row r="8643" spans="1:10" x14ac:dyDescent="0.25">
      <c r="A8643" t="s">
        <v>1535</v>
      </c>
      <c r="B8643" t="str">
        <f>ADDRESS(ROW(TIF_HazardousSubstanceSubdistrict_CertificationRequestDate_Entry),COLUMN(TIF_HazardousSubstanceSubdistrict_CertificationRequestDate_Entry),4)</f>
        <v>B9</v>
      </c>
      <c r="C8643" t="str">
        <f>ADDRESS(ROW(HSS!D$9),COLUMN(HSS!D$9),4)</f>
        <v>D9</v>
      </c>
      <c r="D8643" t="b">
        <f>IF(OR(TIF_HazardousSubstanceSubdistrict_CertificationRequestDate_Entry="",ISBLANK(TIF_HazardousSubstanceSubdistrict_CertificationRequestDate_Entry)),FALSE,IF(TIF_HazardousSubstanceSubdistrict_CertificationRequestDate_Entry&lt;TIF_HazardousSubstanceSubdistrict_ApprovalDate_Entry,TRUE,FALSE))</f>
        <v>0</v>
      </c>
      <c r="E8643" t="s">
        <v>1553</v>
      </c>
      <c r="F8643" t="str">
        <f>INDEX(Lists!I:I,MATCH(Validation!E8643,Lists!G:G,0))</f>
        <v>Error</v>
      </c>
      <c r="G8643" t="str">
        <f>INDEX(Lists!H:H,MATCH(Validation!E8643,Lists!G:G,0))</f>
        <v>Date may not be before the subdistrict approval date.</v>
      </c>
      <c r="H8643" s="25" t="str">
        <f t="shared" ca="1" si="1005"/>
        <v/>
      </c>
      <c r="I8643" s="25" t="str">
        <f t="shared" ca="1" si="1006"/>
        <v/>
      </c>
      <c r="J8643" s="26" t="str">
        <f t="shared" si="1007"/>
        <v/>
      </c>
    </row>
    <row r="8644" spans="1:10" x14ac:dyDescent="0.25">
      <c r="A8644" t="s">
        <v>1535</v>
      </c>
      <c r="B8644" t="str">
        <f>ADDRESS(ROW(TIF_HazardousSubstanceSubdistrict_CertificationDate_Entry),COLUMN(TIF_HazardousSubstanceSubdistrict_CertificationDate_Entry),4)</f>
        <v>B10</v>
      </c>
      <c r="C8644" t="str">
        <f>ADDRESS(ROW(HSS!D$10),COLUMN(HSS!D$10),4)</f>
        <v>D10</v>
      </c>
      <c r="D8644" s="18" t="b">
        <f>IF(AND(TIF_Plan_HssInd_Entry="Yes",TIF_HazardousSubstanceSubdistrict_CertificationDate_Entry=""),TRUE,FALSE)</f>
        <v>0</v>
      </c>
      <c r="E8644" t="s">
        <v>1562</v>
      </c>
      <c r="F8644" t="str">
        <f>INDEX(Lists!I:I,MATCH(Validation!E8644,Lists!G:G,0))</f>
        <v>Alert</v>
      </c>
      <c r="G8644" t="str">
        <f>INDEX(Lists!H:H,MATCH(Validation!E8644,Lists!G:G,0))</f>
        <v>Entry required if subdistrict has been certified.</v>
      </c>
      <c r="H8644" s="16" t="str">
        <f t="shared" ca="1" si="1005"/>
        <v/>
      </c>
      <c r="I8644" s="16" t="str">
        <f t="shared" ca="1" si="1006"/>
        <v/>
      </c>
      <c r="J8644" s="17" t="str">
        <f t="shared" si="1007"/>
        <v/>
      </c>
    </row>
    <row r="8645" spans="1:10" x14ac:dyDescent="0.25">
      <c r="A8645" t="s">
        <v>1535</v>
      </c>
      <c r="B8645" t="str">
        <f>ADDRESS(ROW(TIF_HazardousSubstanceSubdistrict_CertificationDate_Entry),COLUMN(TIF_HazardousSubstanceSubdistrict_CertificationDate_Entry),4)</f>
        <v>B10</v>
      </c>
      <c r="C8645" t="str">
        <f>ADDRESS(ROW(HSS!D$10),COLUMN(HSS!D$10),4)</f>
        <v>D10</v>
      </c>
      <c r="D8645" t="b">
        <f>IF(AND(TIF_Plan_HssInd_Entry="Yes",TIF_HazardousSubstanceSubdistrict_CertificationDate_Entry&lt;&gt;"",ISERROR(DATE(TIF_HazardousSubstanceSubdistrict_CertificationDate_Entry,,))),TRUE,FALSE)</f>
        <v>0</v>
      </c>
      <c r="E8645" t="s">
        <v>498</v>
      </c>
      <c r="F8645" t="str">
        <f>INDEX(Lists!I:I,MATCH(Validation!E8645,Lists!G:G,0))</f>
        <v>Error</v>
      </c>
      <c r="G8645" t="str">
        <f>INDEX(Lists!H:H,MATCH(Validation!E8645,Lists!G:G,0))</f>
        <v>Enter a date only (MM/DD/YYYY). Do not enter text, spaces, or amounts.</v>
      </c>
      <c r="H8645" s="25" t="str">
        <f t="shared" ref="H8645:H8648" ca="1" si="1008">IFERROR(IF(OR(NOT(D8645),F8645&lt;&gt;"Error"),"",A8645&amp;CELL("address",INDIRECT(B8645))),"")</f>
        <v/>
      </c>
      <c r="I8645" s="25" t="str">
        <f t="shared" ref="I8645:I8648" ca="1" si="1009">IFERROR(IF(NOT(D8645),"",A8645&amp;CELL("address",INDIRECT(C8645))),"")</f>
        <v/>
      </c>
      <c r="J8645" s="26" t="str">
        <f t="shared" ref="J8645:J8648" si="1010">IFERROR(IF(NOT(D8645),"",A8645),"")</f>
        <v/>
      </c>
    </row>
    <row r="8646" spans="1:10" x14ac:dyDescent="0.25">
      <c r="A8646" t="s">
        <v>1535</v>
      </c>
      <c r="B8646" t="str">
        <f>ADDRESS(ROW(TIF_HazardousSubstanceSubdistrict_CertificationDate_Entry),COLUMN(TIF_HazardousSubstanceSubdistrict_CertificationDate_Entry),4)</f>
        <v>B10</v>
      </c>
      <c r="C8646" t="str">
        <f>ADDRESS(ROW(HSS!D$10),COLUMN(HSS!D$10),4)</f>
        <v>D10</v>
      </c>
      <c r="D8646" t="b">
        <f ca="1">IF(AND(NOT(ISERROR(DATE(TIF_HazardousSubstanceSubdistrict_CertificationDate_Entry,,))),TIF_HazardousSubstanceSubdistrict_CertificationDate_Entry&gt;TODAY()),TRUE,FALSE)</f>
        <v>0</v>
      </c>
      <c r="E8646" t="s">
        <v>500</v>
      </c>
      <c r="F8646" t="str">
        <f>INDEX(Lists!I:I,MATCH(Validation!E8646,Lists!G:G,0))</f>
        <v>Error</v>
      </c>
      <c r="G8646" t="str">
        <f>INDEX(Lists!H:H,MATCH(Validation!E8646,Lists!G:G,0))</f>
        <v>Date cannot be a future date.</v>
      </c>
      <c r="H8646" s="25" t="str">
        <f t="shared" ca="1" si="1008"/>
        <v/>
      </c>
      <c r="I8646" s="25" t="str">
        <f t="shared" ca="1" si="1009"/>
        <v/>
      </c>
      <c r="J8646" s="26" t="str">
        <f t="shared" ca="1" si="1010"/>
        <v/>
      </c>
    </row>
    <row r="8647" spans="1:10" x14ac:dyDescent="0.25">
      <c r="A8647" t="s">
        <v>1535</v>
      </c>
      <c r="B8647" t="str">
        <f>ADDRESS(ROW(TIF_HazardousSubstanceSubdistrict_CertificationDate_Entry),COLUMN(TIF_HazardousSubstanceSubdistrict_CertificationDate_Entry),4)</f>
        <v>B10</v>
      </c>
      <c r="C8647" t="str">
        <f>ADDRESS(ROW(HSS!D$10),COLUMN(HSS!D$10),4)</f>
        <v>D10</v>
      </c>
      <c r="D8647" t="b">
        <f>IF(OR(TIF_HazardousSubstanceSubdistrict_CertificationDate_Entry="",ISBLANK(TIF_HazardousSubstanceSubdistrict_CertificationDate_Entry)),FALSE,IF(TIF_HazardousSubstanceSubdistrict_CertificationDate_Entry&lt;TIF_HazardousSubstanceSubdistrict_CertificationRequestDate_Entry,TRUE,FALSE))</f>
        <v>0</v>
      </c>
      <c r="E8647" t="s">
        <v>1554</v>
      </c>
      <c r="F8647" t="str">
        <f>INDEX(Lists!I:I,MATCH(Validation!E8647,Lists!G:G,0))</f>
        <v>Error</v>
      </c>
      <c r="G8647" t="str">
        <f>INDEX(Lists!H:H,MATCH(Validation!E8647,Lists!G:G,0))</f>
        <v>Date may not be before subdistrict certification request date.</v>
      </c>
      <c r="H8647" s="25" t="str">
        <f t="shared" ca="1" si="1008"/>
        <v/>
      </c>
      <c r="I8647" s="25" t="str">
        <f t="shared" ca="1" si="1009"/>
        <v/>
      </c>
      <c r="J8647" s="26" t="str">
        <f t="shared" si="1010"/>
        <v/>
      </c>
    </row>
    <row r="8648" spans="1:10" x14ac:dyDescent="0.25">
      <c r="A8648" t="s">
        <v>1535</v>
      </c>
      <c r="B8648" t="str">
        <f>ADDRESS(ROW(TIF_HazardousSubstanceSubdistrict_PCAApprovalDate),COLUMN(TIF_HazardousSubstanceSubdistrict_PCAApprovalDate),4)</f>
        <v>B11</v>
      </c>
      <c r="C8648" t="str">
        <f>ADDRESS(ROW(HSS!D$11),COLUMN(HSS!D$11),4)</f>
        <v>D11</v>
      </c>
      <c r="D8648" s="18" t="b">
        <f>IF(AND(TIF_Plan_HssInd_Entry="Yes",TIF_HazardousSubstanceSubdistrict_PCAApprovalDate=""),TRUE,FALSE)</f>
        <v>0</v>
      </c>
      <c r="E8648" t="s">
        <v>495</v>
      </c>
      <c r="F8648" t="str">
        <f>INDEX(Lists!I:I,MATCH(Validation!E8648,Lists!G:G,0))</f>
        <v>Error</v>
      </c>
      <c r="G8648" t="str">
        <f>INDEX(Lists!H:H,MATCH(Validation!E8648,Lists!G:G,0))</f>
        <v>Entry required.</v>
      </c>
      <c r="H8648" s="16" t="str">
        <f t="shared" ca="1" si="1008"/>
        <v/>
      </c>
      <c r="I8648" s="16" t="str">
        <f t="shared" ca="1" si="1009"/>
        <v/>
      </c>
      <c r="J8648" s="17" t="str">
        <f t="shared" si="1010"/>
        <v/>
      </c>
    </row>
    <row r="8649" spans="1:10" x14ac:dyDescent="0.25">
      <c r="A8649" t="s">
        <v>1535</v>
      </c>
      <c r="B8649" t="str">
        <f>ADDRESS(ROW(TIF_HazardousSubstanceSubdistrict_PCAApprovalDate),COLUMN(TIF_HazardousSubstanceSubdistrict_PCAApprovalDate),4)</f>
        <v>B11</v>
      </c>
      <c r="C8649" t="str">
        <f>ADDRESS(ROW(HSS!D$11),COLUMN(HSS!D$11),4)</f>
        <v>D11</v>
      </c>
      <c r="D8649" t="b">
        <f>IF(AND(TIF_Plan_HssInd_Entry="Yes",TIF_HazardousSubstanceSubdistrict_PCAApprovalDate&lt;&gt;"",ISERROR(DATE(TIF_HazardousSubstanceSubdistrict_PCAApprovalDate,,))),TRUE,FALSE)</f>
        <v>0</v>
      </c>
      <c r="E8649" t="s">
        <v>498</v>
      </c>
      <c r="F8649" t="str">
        <f>INDEX(Lists!I:I,MATCH(Validation!E8649,Lists!G:G,0))</f>
        <v>Error</v>
      </c>
      <c r="G8649" t="str">
        <f>INDEX(Lists!H:H,MATCH(Validation!E8649,Lists!G:G,0))</f>
        <v>Enter a date only (MM/DD/YYYY). Do not enter text, spaces, or amounts.</v>
      </c>
      <c r="H8649" s="25" t="str">
        <f t="shared" ref="H8649:H8651" ca="1" si="1011">IFERROR(IF(OR(NOT(D8649),F8649&lt;&gt;"Error"),"",A8649&amp;CELL("address",INDIRECT(B8649))),"")</f>
        <v/>
      </c>
      <c r="I8649" s="25" t="str">
        <f t="shared" ref="I8649:I8651" ca="1" si="1012">IFERROR(IF(NOT(D8649),"",A8649&amp;CELL("address",INDIRECT(C8649))),"")</f>
        <v/>
      </c>
      <c r="J8649" s="26" t="str">
        <f t="shared" ref="J8649:J8651" si="1013">IFERROR(IF(NOT(D8649),"",A8649),"")</f>
        <v/>
      </c>
    </row>
    <row r="8650" spans="1:10" x14ac:dyDescent="0.25">
      <c r="A8650" t="s">
        <v>1535</v>
      </c>
      <c r="B8650" t="str">
        <f>ADDRESS(ROW(TIF_HazardousSubstanceSubdistrict_PCAApprovalDate),COLUMN(TIF_HazardousSubstanceSubdistrict_PCAApprovalDate),4)</f>
        <v>B11</v>
      </c>
      <c r="C8650" t="str">
        <f>ADDRESS(ROW(HSS!D$11),COLUMN(HSS!D$11),4)</f>
        <v>D11</v>
      </c>
      <c r="D8650" t="b">
        <f ca="1">IF(AND(NOT(ISERROR(DATE(TIF_HazardousSubstanceSubdistrict_PCAApprovalDate,,))),TIF_HazardousSubstanceSubdistrict_PCAApprovalDate&gt;TODAY()),TRUE,FALSE)</f>
        <v>0</v>
      </c>
      <c r="E8650" t="s">
        <v>500</v>
      </c>
      <c r="F8650" t="str">
        <f>INDEX(Lists!I:I,MATCH(Validation!E8650,Lists!G:G,0))</f>
        <v>Error</v>
      </c>
      <c r="G8650" t="str">
        <f>INDEX(Lists!H:H,MATCH(Validation!E8650,Lists!G:G,0))</f>
        <v>Date cannot be a future date.</v>
      </c>
      <c r="H8650" s="25" t="str">
        <f t="shared" ca="1" si="1011"/>
        <v/>
      </c>
      <c r="I8650" s="25" t="str">
        <f t="shared" ca="1" si="1012"/>
        <v/>
      </c>
      <c r="J8650" s="26" t="str">
        <f t="shared" ca="1" si="1013"/>
        <v/>
      </c>
    </row>
    <row r="8651" spans="1:10" x14ac:dyDescent="0.25">
      <c r="A8651" t="s">
        <v>1535</v>
      </c>
      <c r="B8651" t="str">
        <f>ADDRESS(ROW(TIF_HazardousSubstanceSubdistrict_FirstReceiptYear),COLUMN(TIF_HazardousSubstanceSubdistrict_FirstReceiptYear),4)</f>
        <v>B12</v>
      </c>
      <c r="C8651" t="str">
        <f>ADDRESS(ROW(HSS!D$12),COLUMN(HSS!D$12),4)</f>
        <v>D12</v>
      </c>
      <c r="D8651" s="18" t="b">
        <f>IF(AND(TIF_Plan_HssInd_Entry="Yes",TIF_HazardousSubstanceSubdistrict_FirstReceiptYear=""),TRUE,FALSE)</f>
        <v>0</v>
      </c>
      <c r="E8651" t="s">
        <v>495</v>
      </c>
      <c r="F8651" t="str">
        <f>INDEX(Lists!I:I,MATCH(Validation!E8651,Lists!G:G,0))</f>
        <v>Error</v>
      </c>
      <c r="G8651" t="str">
        <f>INDEX(Lists!H:H,MATCH(Validation!E8651,Lists!G:G,0))</f>
        <v>Entry required.</v>
      </c>
      <c r="H8651" s="16" t="str">
        <f t="shared" ca="1" si="1011"/>
        <v/>
      </c>
      <c r="I8651" s="16" t="str">
        <f t="shared" ca="1" si="1012"/>
        <v/>
      </c>
      <c r="J8651" s="17" t="str">
        <f t="shared" si="1013"/>
        <v/>
      </c>
    </row>
    <row r="8652" spans="1:10" x14ac:dyDescent="0.25">
      <c r="A8652" t="s">
        <v>1535</v>
      </c>
      <c r="B8652" t="str">
        <f>ADDRESS(ROW(TIF_HazardousSubstanceSubdistrict_FirstReceiptYear),COLUMN(TIF_HazardousSubstanceSubdistrict_FirstReceiptYear),4)</f>
        <v>B12</v>
      </c>
      <c r="C8652" t="str">
        <f>ADDRESS(ROW(HSS!D$12),COLUMN(HSS!D$12),4)</f>
        <v>D12</v>
      </c>
      <c r="D8652" t="b">
        <f>IFERROR(IF(AND(TIF_Plan_HssInd_Entry="Yes",TIF_HazardousSubstanceSubdistrict_FirstReceiptYear&lt;&gt;"",OR(TIF_HazardousSubstanceSubdistrict_FirstReceiptYear&lt;YEAR(TIF_HazardousSubstanceSubdistrict_ApprovalDate_Entry),TIF_HazardousSubstanceSubdistrict_FirstReceiptYear&gt;Year_DestinationYearID+1)),TRUE,FALSE),FALSE)</f>
        <v>0</v>
      </c>
      <c r="E8652" t="s">
        <v>1559</v>
      </c>
      <c r="F8652" t="str">
        <f>INDEX(Lists!I:I,MATCH(Validation!E8652,Lists!G:G,0))</f>
        <v>Error</v>
      </c>
      <c r="G8652" t="str">
        <f>INDEX(Lists!H:H,MATCH(Validation!E8652,Lists!G:G,0))</f>
        <v>Year must be after the year of approval and no later than the current year.</v>
      </c>
      <c r="H8652" s="16" t="str">
        <f t="shared" ref="H8652:H8728" ca="1" si="1014">IFERROR(IF(OR(NOT(D8652),F8652&lt;&gt;"Error"),"",A8652&amp;CELL("address",INDIRECT(B8652))),"")</f>
        <v/>
      </c>
      <c r="I8652" s="16" t="str">
        <f t="shared" ref="I8652:I8728" ca="1" si="1015">IFERROR(IF(NOT(D8652),"",A8652&amp;CELL("address",INDIRECT(C8652))),"")</f>
        <v/>
      </c>
      <c r="J8652" s="17" t="str">
        <f t="shared" ref="J8652:J8728" si="1016">IFERROR(IF(NOT(D8652),"",A8652),"")</f>
        <v/>
      </c>
    </row>
    <row r="8653" spans="1:10" x14ac:dyDescent="0.25">
      <c r="A8653" t="s">
        <v>1535</v>
      </c>
      <c r="B8653" t="str">
        <f>ADDRESS(ROW(TIF_HazardousSubstanceSubdistrict_EstimatedCosts),COLUMN(TIF_HazardousSubstanceSubdistrict_EstimatedCosts),4)</f>
        <v>B13</v>
      </c>
      <c r="C8653" t="str">
        <f>ADDRESS(ROW(HSS!D$13),COLUMN(HSS!D$13),4)</f>
        <v>D13</v>
      </c>
      <c r="D8653" s="18" t="b">
        <f>IF(AND(TIF_Plan_HssInd_Entry="Yes",TIF_HazardousSubstanceSubdistrict_EstimatedCosts=""),TRUE,FALSE)</f>
        <v>0</v>
      </c>
      <c r="E8653" t="s">
        <v>495</v>
      </c>
      <c r="F8653" t="str">
        <f>INDEX(Lists!I:I,MATCH(Validation!E8653,Lists!G:G,0))</f>
        <v>Error</v>
      </c>
      <c r="G8653" t="str">
        <f>INDEX(Lists!H:H,MATCH(Validation!E8653,Lists!G:G,0))</f>
        <v>Entry required.</v>
      </c>
      <c r="H8653" s="16" t="str">
        <f t="shared" ca="1" si="1014"/>
        <v/>
      </c>
      <c r="I8653" s="16" t="str">
        <f t="shared" ca="1" si="1015"/>
        <v/>
      </c>
      <c r="J8653" s="17" t="str">
        <f t="shared" si="1016"/>
        <v/>
      </c>
    </row>
    <row r="8654" spans="1:10" x14ac:dyDescent="0.25">
      <c r="A8654" t="s">
        <v>1535</v>
      </c>
      <c r="B8654" t="str">
        <f>ADDRESS(ROW(TIF_HazardousSubstanceSubdistrict_EstimatedCosts),COLUMN(TIF_HazardousSubstanceSubdistrict_EstimatedCosts),4)</f>
        <v>B13</v>
      </c>
      <c r="C8654" t="str">
        <f>ADDRESS(ROW(HSS!D$13),COLUMN(HSS!D$13),4)</f>
        <v>D13</v>
      </c>
      <c r="D8654" t="b" cm="1">
        <f t="array" aca="1" ref="D8654" ca="1">IF(INDIRECT("'"&amp;A8654&amp;"'!"&amp;B8654)="",FALSE,IF(NOT(ISNUMBER(INDIRECT("'"&amp;A8654&amp;"'!"&amp;B8654))),TRUE,FALSE))</f>
        <v>0</v>
      </c>
      <c r="E8654" t="s">
        <v>435</v>
      </c>
      <c r="F8654" t="str">
        <f>INDEX(Lists!I:I,MATCH(Validation!E8654,Lists!G:G,0))</f>
        <v>Error</v>
      </c>
      <c r="G8654" t="str">
        <f>INDEX(Lists!H:H,MATCH(Validation!E8654,Lists!G:G,0))</f>
        <v>Enter an amount only. Do not enter text or spaces.</v>
      </c>
      <c r="H8654" s="16" t="str">
        <f t="shared" ca="1" si="1014"/>
        <v/>
      </c>
      <c r="I8654" s="16" t="str">
        <f t="shared" ca="1" si="1015"/>
        <v/>
      </c>
      <c r="J8654" s="17" t="str">
        <f t="shared" ca="1" si="1016"/>
        <v/>
      </c>
    </row>
    <row r="8655" spans="1:10" x14ac:dyDescent="0.25">
      <c r="A8655" t="s">
        <v>1535</v>
      </c>
      <c r="B8655" t="str">
        <f>ADDRESS(ROW(TIF_HazardousSubstanceSubdistrict_EstimatedCosts),COLUMN(TIF_HazardousSubstanceSubdistrict_EstimatedCosts),4)</f>
        <v>B13</v>
      </c>
      <c r="C8655" t="str">
        <f>ADDRESS(ROW(HSS!D$13),COLUMN(HSS!D$13),4)</f>
        <v>D13</v>
      </c>
      <c r="D8655" t="b" cm="1">
        <f t="array" aca="1" ref="D8655" ca="1">IF(INDIRECT("'"&amp;A8655&amp;"'!"&amp;B8655)="",FALSE,IF(INDIRECT("'"&amp;A8655&amp;"'!"&amp;B8655)&lt;0,TRUE,FALSE))</f>
        <v>0</v>
      </c>
      <c r="E8655" t="s">
        <v>434</v>
      </c>
      <c r="F8655" t="str">
        <f>INDEX(Lists!I:I,MATCH(Validation!E8655,Lists!G:G,0))</f>
        <v>Error</v>
      </c>
      <c r="G8655" t="str">
        <f>INDEX(Lists!H:H,MATCH(Validation!E8655,Lists!G:G,0))</f>
        <v>Amount may not be negative. Enter an amount greater than or equal to zero.</v>
      </c>
      <c r="H8655" s="16" t="str">
        <f t="shared" ca="1" si="1014"/>
        <v/>
      </c>
      <c r="I8655" s="16" t="str">
        <f t="shared" ca="1" si="1015"/>
        <v/>
      </c>
      <c r="J8655" s="17" t="str">
        <f t="shared" ca="1" si="1016"/>
        <v/>
      </c>
    </row>
    <row r="8656" spans="1:10" x14ac:dyDescent="0.25">
      <c r="A8656" t="s">
        <v>1535</v>
      </c>
      <c r="B8656" t="str">
        <f>ADDRESS(ROW(TIF_HazardousSubstanceSubdistrict_EstimatedCosts),COLUMN(TIF_HazardousSubstanceSubdistrict_EstimatedCosts),4)</f>
        <v>B13</v>
      </c>
      <c r="C8656" t="str">
        <f>ADDRESS(ROW(HSS!D$13),COLUMN(HSS!D$13),4)</f>
        <v>D13</v>
      </c>
      <c r="D8656" t="b" cm="1">
        <f t="array" aca="1" ref="D8656" ca="1">IF(INDIRECT("'"&amp;A8656&amp;"'!"&amp;B8656)="",FALSE,IF(TRUNC(INDIRECT("'"&amp;A8656&amp;"'!"&amp;B8656))=INDIRECT("'"&amp;A8656&amp;"'!"&amp;B8656),FALSE,TRUE))</f>
        <v>0</v>
      </c>
      <c r="E8656" t="s">
        <v>436</v>
      </c>
      <c r="F8656" t="str">
        <f>INDEX(Lists!I:I,MATCH(Validation!E8656,Lists!G:G,0))</f>
        <v>Error</v>
      </c>
      <c r="G8656" t="str">
        <f>INDEX(Lists!H:H,MATCH(Validation!E8656,Lists!G:G,0))</f>
        <v>Amount must be rounded to the nearest dollar.</v>
      </c>
      <c r="H8656" s="16" t="str">
        <f t="shared" ca="1" si="1014"/>
        <v/>
      </c>
      <c r="I8656" s="16" t="str">
        <f t="shared" ca="1" si="1015"/>
        <v/>
      </c>
      <c r="J8656" s="17" t="str">
        <f t="shared" ca="1" si="1016"/>
        <v/>
      </c>
    </row>
    <row r="8657" spans="1:10" x14ac:dyDescent="0.25">
      <c r="A8657" t="s">
        <v>1535</v>
      </c>
      <c r="B8657" t="str">
        <f>ADDRESS(ROW(TIF_HazardousSubstanceSubdistrict_ActualDecertificationDate_Entry),COLUMN(TIF_HazardousSubstanceSubdistrict_ActualDecertificationDate_Entry),4)</f>
        <v>B14</v>
      </c>
      <c r="C8657" t="str">
        <f>ADDRESS(ROW(HSS!D$14),COLUMN(HSS!D$14),4)</f>
        <v>D14</v>
      </c>
      <c r="D8657" t="b">
        <f>IF(TIF_HazardousSubstanceSubdistrict_ActualDecertificationDate_Entry="Select One",TRUE,FALSE)</f>
        <v>0</v>
      </c>
      <c r="E8657" t="s">
        <v>73</v>
      </c>
      <c r="F8657" t="str">
        <f>INDEX(Lists!I:I,MATCH(Validation!E8657,Lists!G:G,0))</f>
        <v>Error</v>
      </c>
      <c r="G8657" t="str">
        <f>INDEX(Lists!H:H,MATCH(Validation!E8657,Lists!G:G,0))</f>
        <v>You must select Yes or No.</v>
      </c>
      <c r="H8657" s="16" t="str">
        <f t="shared" ca="1" si="1014"/>
        <v/>
      </c>
      <c r="I8657" s="16" t="str">
        <f t="shared" ca="1" si="1015"/>
        <v/>
      </c>
      <c r="J8657" s="17" t="str">
        <f t="shared" si="1016"/>
        <v/>
      </c>
    </row>
    <row r="8658" spans="1:10" x14ac:dyDescent="0.25">
      <c r="A8658" t="s">
        <v>1535</v>
      </c>
      <c r="B8658" t="str">
        <f>ADDRESS(ROW(TIF_HazardousSubstanceSubdistrict_ActualDecertificationDate),COLUMN(TIF_HazardousSubstanceSubdistrict_ActualDecertificationDate),4)</f>
        <v>B15</v>
      </c>
      <c r="C8658" t="str">
        <f>ADDRESS(ROW(HSS!D$15),COLUMN(HSS!D$15),4)</f>
        <v>D15</v>
      </c>
      <c r="D8658" t="b">
        <f>IF(AND(TIF_HazardousSubstanceSubdistrict_ActualDecertificationDate_Entry="Yes",ISBLANK(TIF_HazardousSubstanceSubdistrict_ActualDecertificationDate)),TRUE,FALSE)</f>
        <v>0</v>
      </c>
      <c r="E8658" t="s">
        <v>495</v>
      </c>
      <c r="F8658" t="str">
        <f>INDEX(Lists!I:I,MATCH(Validation!E8658,Lists!G:G,0))</f>
        <v>Error</v>
      </c>
      <c r="G8658" t="str">
        <f>INDEX(Lists!H:H,MATCH(Validation!E8658,Lists!G:G,0))</f>
        <v>Entry required.</v>
      </c>
      <c r="H8658" s="16" t="str">
        <f t="shared" ref="H8658" ca="1" si="1017">IFERROR(IF(OR(NOT(D8658),F8658&lt;&gt;"Error"),"",A8658&amp;CELL("address",INDIRECT(B8658))),"")</f>
        <v/>
      </c>
      <c r="I8658" s="16" t="str">
        <f t="shared" ref="I8658" ca="1" si="1018">IFERROR(IF(NOT(D8658),"",A8658&amp;CELL("address",INDIRECT(C8658))),"")</f>
        <v/>
      </c>
      <c r="J8658" s="17" t="str">
        <f t="shared" ref="J8658" si="1019">IFERROR(IF(NOT(D8658),"",A8658),"")</f>
        <v/>
      </c>
    </row>
    <row r="8659" spans="1:10" x14ac:dyDescent="0.25">
      <c r="A8659" t="s">
        <v>1535</v>
      </c>
      <c r="B8659" t="str">
        <f>ADDRESS(ROW(TIF_HazardousSubstanceSubdistrict_ActualDecertificationDate),COLUMN(TIF_HazardousSubstanceSubdistrict_ActualDecertificationDate),4)</f>
        <v>B15</v>
      </c>
      <c r="C8659" t="str">
        <f>ADDRESS(ROW(HSS!D$15),COLUMN(HSS!D$15),4)</f>
        <v>D15</v>
      </c>
      <c r="D8659" t="b">
        <f>TIF_HazardousSubstanceSubdistrict_ActualDecertificationDate_Entry="No"</f>
        <v>0</v>
      </c>
      <c r="E8659" t="s">
        <v>1568</v>
      </c>
      <c r="F8659" t="str">
        <f>INDEX(Lists!I:I,MATCH(Validation!E8659,Lists!G:G,0))</f>
        <v>Information</v>
      </c>
      <c r="G8659" t="str">
        <f>INDEX(Lists!H:H,MATCH(Validation!E8659,Lists!G:G,0))</f>
        <v>Skip this line. Prior line indicates subdistrict has not been decertified.</v>
      </c>
      <c r="H8659" s="16" t="str">
        <f t="shared" ca="1" si="1014"/>
        <v/>
      </c>
      <c r="I8659" s="16" t="str">
        <f t="shared" ca="1" si="1015"/>
        <v/>
      </c>
      <c r="J8659" s="17" t="str">
        <f t="shared" si="1016"/>
        <v/>
      </c>
    </row>
    <row r="8660" spans="1:10" x14ac:dyDescent="0.25">
      <c r="A8660" t="s">
        <v>1535</v>
      </c>
      <c r="B8660" t="str">
        <f>ADDRESS(ROW(TIF_HazardousSubstanceSubdistrict_ActualDecertificationDate),COLUMN(TIF_HazardousSubstanceSubdistrict_ActualDecertificationDate),4)</f>
        <v>B15</v>
      </c>
      <c r="C8660" t="str">
        <f>ADDRESS(ROW(HSS!D$15),COLUMN(HSS!D$15),4)</f>
        <v>D15</v>
      </c>
      <c r="D8660" t="b">
        <f>IF(AND(TIF_HazardousSubstanceSubdistrict_ActualDecertificationDate_Entry="Yes",ISERROR(DATE(TIF_HazardousSubstanceSubdistrict_ActualDecertificationDate,,))),TRUE,FALSE)</f>
        <v>0</v>
      </c>
      <c r="E8660" t="s">
        <v>498</v>
      </c>
      <c r="F8660" t="str">
        <f>INDEX(Lists!I:I,MATCH(Validation!E8660,Lists!G:G,0))</f>
        <v>Error</v>
      </c>
      <c r="G8660" t="str">
        <f>INDEX(Lists!H:H,MATCH(Validation!E8660,Lists!G:G,0))</f>
        <v>Enter a date only (MM/DD/YYYY). Do not enter text, spaces, or amounts.</v>
      </c>
      <c r="H8660" s="16" t="str">
        <f t="shared" ca="1" si="1014"/>
        <v/>
      </c>
      <c r="I8660" s="16" t="str">
        <f t="shared" ca="1" si="1015"/>
        <v/>
      </c>
      <c r="J8660" s="17" t="str">
        <f t="shared" si="1016"/>
        <v/>
      </c>
    </row>
    <row r="8661" spans="1:10" x14ac:dyDescent="0.25">
      <c r="A8661" t="s">
        <v>1535</v>
      </c>
      <c r="B8661" t="str">
        <f>ADDRESS(ROW(TIF_HazardousSubstanceSubdistrict_ActualDecertificationDate),COLUMN(TIF_HazardousSubstanceSubdistrict_ActualDecertificationDate),4)</f>
        <v>B15</v>
      </c>
      <c r="C8661" t="str">
        <f>ADDRESS(ROW(HSS!D$15),COLUMN(HSS!D$15),4)</f>
        <v>D15</v>
      </c>
      <c r="D8661" t="b">
        <f ca="1">IF(TIF_HazardousSubstanceSubdistrict_ActualDecertificationDate&gt;TODAY(),TRUE,FALSE)</f>
        <v>0</v>
      </c>
      <c r="E8661" t="s">
        <v>500</v>
      </c>
      <c r="F8661" t="str">
        <f>INDEX(Lists!I:I,MATCH(Validation!E8661,Lists!G:G,0))</f>
        <v>Error</v>
      </c>
      <c r="G8661" t="str">
        <f>INDEX(Lists!H:H,MATCH(Validation!E8661,Lists!G:G,0))</f>
        <v>Date cannot be a future date.</v>
      </c>
      <c r="H8661" s="16" t="str">
        <f t="shared" ca="1" si="1014"/>
        <v/>
      </c>
      <c r="I8661" s="16" t="str">
        <f t="shared" ca="1" si="1015"/>
        <v/>
      </c>
      <c r="J8661" s="17" t="str">
        <f t="shared" ca="1" si="1016"/>
        <v/>
      </c>
    </row>
    <row r="8662" spans="1:10" x14ac:dyDescent="0.25">
      <c r="A8662" t="s">
        <v>1535</v>
      </c>
      <c r="B8662" t="str">
        <f>ADDRESS(ROW(TIF_HazardousSubstanceSubdistrict_ActualDecertificationDate),COLUMN(TIF_HazardousSubstanceSubdistrict_ActualDecertificationDate),4)</f>
        <v>B15</v>
      </c>
      <c r="C8662" t="str">
        <f>ADDRESS(ROW(HSS!D$15),COLUMN(HSS!D$15),4)</f>
        <v>D15</v>
      </c>
      <c r="D8662" t="b">
        <f>IF(AND(TIF_HazardousSubstanceSubdistrict_ActualDecertificationDate_Entry="Yes",TIF_HazardousSubstanceSubdistrict_ActualDecertificationDate&lt;TIF_HazardousSubstanceSubdistrict_CertificationDate_Entry),TRUE,FALSE)</f>
        <v>0</v>
      </c>
      <c r="E8662" t="s">
        <v>1566</v>
      </c>
      <c r="F8662" t="str">
        <f>INDEX(Lists!I:I,MATCH(Validation!E8662,Lists!G:G,0))</f>
        <v>Error</v>
      </c>
      <c r="G8662" t="str">
        <f>INDEX(Lists!H:H,MATCH(Validation!E8662,Lists!G:G,0))</f>
        <v>Decertification date cannot be before the certification date.</v>
      </c>
      <c r="H8662" s="16" t="str">
        <f t="shared" ca="1" si="1014"/>
        <v/>
      </c>
      <c r="I8662" s="16" t="str">
        <f t="shared" ca="1" si="1015"/>
        <v/>
      </c>
      <c r="J8662" s="17" t="str">
        <f t="shared" si="1016"/>
        <v/>
      </c>
    </row>
    <row r="8663" spans="1:10" x14ac:dyDescent="0.25">
      <c r="A8663" t="s">
        <v>1535</v>
      </c>
      <c r="B8663" t="str">
        <f>ADDRESS(ROW(TIF_DistrictAnnual_HssIncrementPriorAdj_Entry),COLUMN(TIF_DistrictAnnual_HssIncrementPriorAdj_Entry),4)</f>
        <v>B17</v>
      </c>
      <c r="C8663" t="str">
        <f>ADDRESS(ROW(HSS!D$17),COLUMN(HSS!D$17),4)</f>
        <v>D17</v>
      </c>
      <c r="D8663" t="b" cm="1">
        <f t="array" aca="1" ref="D8663" ca="1">IF(AND(TIF_Plan_HssInd_Entry="Yes",OR(INDIRECT("'"&amp;A8663&amp;"'!"&amp;B8663)="",ISBLANK(INDIRECT("'"&amp;A8663&amp;"'!"&amp;B8663)))),TRUE,FALSE)</f>
        <v>0</v>
      </c>
      <c r="E8663" t="s">
        <v>1572</v>
      </c>
      <c r="F8663" t="str">
        <f>INDEX(Lists!I:I,MATCH(Validation!E8663,Lists!G:G,0))</f>
        <v>Error</v>
      </c>
      <c r="G8663" t="str">
        <f>INDEX(Lists!H:H,MATCH(Validation!E8663,Lists!G:G,0))</f>
        <v>Entry required. Enter $0 if applicable.</v>
      </c>
      <c r="H8663" s="16" t="str">
        <f t="shared" ref="H8663:H8678" ca="1" si="1020">IFERROR(IF(OR(NOT(D8663),F8663&lt;&gt;"Error"),"",A8663&amp;CELL("address",INDIRECT(B8663))),"")</f>
        <v/>
      </c>
      <c r="I8663" s="16" t="str">
        <f t="shared" ref="I8663:I8678" ca="1" si="1021">IFERROR(IF(NOT(D8663),"",A8663&amp;CELL("address",INDIRECT(C8663))),"")</f>
        <v/>
      </c>
      <c r="J8663" s="17" t="str">
        <f t="shared" ref="J8663:J8678" ca="1" si="1022">IFERROR(IF(NOT(D8663),"",A8663),"")</f>
        <v/>
      </c>
    </row>
    <row r="8664" spans="1:10" x14ac:dyDescent="0.25">
      <c r="A8664" t="s">
        <v>1535</v>
      </c>
      <c r="B8664" t="str">
        <f>ADDRESS(ROW(TIF_DistrictAnnual_HssIncrementPriorAdj_Entry),COLUMN(TIF_DistrictAnnual_HssIncrementPriorAdj_Entry),4)</f>
        <v>B17</v>
      </c>
      <c r="C8664" t="str">
        <f>ADDRESS(ROW(HSS!D$17),COLUMN(HSS!D$17),4)</f>
        <v>D17</v>
      </c>
      <c r="D8664" t="b" cm="1">
        <f t="array" aca="1" ref="D8664" ca="1">IF(INDIRECT("'"&amp;A8664&amp;"'!"&amp;B8664)="",FALSE,IF(NOT(ISNUMBER(INDIRECT("'"&amp;A8664&amp;"'!"&amp;B8664))),TRUE,FALSE))</f>
        <v>0</v>
      </c>
      <c r="E8664" t="s">
        <v>435</v>
      </c>
      <c r="F8664" t="str">
        <f>INDEX(Lists!I:I,MATCH(Validation!E8664,Lists!G:G,0))</f>
        <v>Error</v>
      </c>
      <c r="G8664" t="str">
        <f>INDEX(Lists!H:H,MATCH(Validation!E8664,Lists!G:G,0))</f>
        <v>Enter an amount only. Do not enter text or spaces.</v>
      </c>
      <c r="H8664" s="16" t="str">
        <f t="shared" ca="1" si="1020"/>
        <v/>
      </c>
      <c r="I8664" s="16" t="str">
        <f t="shared" ca="1" si="1021"/>
        <v/>
      </c>
      <c r="J8664" s="17" t="str">
        <f t="shared" ca="1" si="1022"/>
        <v/>
      </c>
    </row>
    <row r="8665" spans="1:10" x14ac:dyDescent="0.25">
      <c r="A8665" t="s">
        <v>1535</v>
      </c>
      <c r="B8665" t="str">
        <f>ADDRESS(ROW(TIF_DistrictAnnual_HssIncrementPriorAdj_Entry),COLUMN(TIF_DistrictAnnual_HssIncrementPriorAdj_Entry),4)</f>
        <v>B17</v>
      </c>
      <c r="C8665" t="str">
        <f>ADDRESS(ROW(HSS!D$17),COLUMN(HSS!D$17),4)</f>
        <v>D17</v>
      </c>
      <c r="D8665" t="b" cm="1">
        <f t="array" aca="1" ref="D8665" ca="1">IF(INDIRECT("'"&amp;A8665&amp;"'!"&amp;B8665)="",FALSE,IF(INDIRECT("'"&amp;A8665&amp;"'!"&amp;B8665)&lt;0,TRUE,FALSE))</f>
        <v>0</v>
      </c>
      <c r="E8665" t="s">
        <v>434</v>
      </c>
      <c r="F8665" t="str">
        <f>INDEX(Lists!I:I,MATCH(Validation!E8665,Lists!G:G,0))</f>
        <v>Error</v>
      </c>
      <c r="G8665" t="str">
        <f>INDEX(Lists!H:H,MATCH(Validation!E8665,Lists!G:G,0))</f>
        <v>Amount may not be negative. Enter an amount greater than or equal to zero.</v>
      </c>
      <c r="H8665" s="16" t="str">
        <f t="shared" ca="1" si="1020"/>
        <v/>
      </c>
      <c r="I8665" s="16" t="str">
        <f t="shared" ca="1" si="1021"/>
        <v/>
      </c>
      <c r="J8665" s="17" t="str">
        <f t="shared" ca="1" si="1022"/>
        <v/>
      </c>
    </row>
    <row r="8666" spans="1:10" x14ac:dyDescent="0.25">
      <c r="A8666" t="s">
        <v>1535</v>
      </c>
      <c r="B8666" t="str">
        <f>ADDRESS(ROW(TIF_DistrictAnnual_HssIncrementPriorAdj_Entry),COLUMN(TIF_DistrictAnnual_HssIncrementPriorAdj_Entry),4)</f>
        <v>B17</v>
      </c>
      <c r="C8666" t="str">
        <f>ADDRESS(ROW(HSS!D$17),COLUMN(HSS!D$17),4)</f>
        <v>D17</v>
      </c>
      <c r="D8666" t="b" cm="1">
        <f t="array" aca="1" ref="D8666" ca="1">IF(INDIRECT("'"&amp;A8666&amp;"'!"&amp;B8666)="",FALSE,IF(TRUNC(INDIRECT("'"&amp;A8666&amp;"'!"&amp;B8666))=INDIRECT("'"&amp;A8666&amp;"'!"&amp;B8666),FALSE,TRUE))</f>
        <v>0</v>
      </c>
      <c r="E8666" t="s">
        <v>436</v>
      </c>
      <c r="F8666" t="str">
        <f>INDEX(Lists!I:I,MATCH(Validation!E8666,Lists!G:G,0))</f>
        <v>Error</v>
      </c>
      <c r="G8666" t="str">
        <f>INDEX(Lists!H:H,MATCH(Validation!E8666,Lists!G:G,0))</f>
        <v>Amount must be rounded to the nearest dollar.</v>
      </c>
      <c r="H8666" s="16" t="str">
        <f t="shared" ca="1" si="1020"/>
        <v/>
      </c>
      <c r="I8666" s="16" t="str">
        <f t="shared" ca="1" si="1021"/>
        <v/>
      </c>
      <c r="J8666" s="17" t="str">
        <f t="shared" ca="1" si="1022"/>
        <v/>
      </c>
    </row>
    <row r="8667" spans="1:10" x14ac:dyDescent="0.25">
      <c r="A8667" t="s">
        <v>1535</v>
      </c>
      <c r="B8667" t="str">
        <f>ADDRESS(ROW(TIF_DistrictAnnual_HssIncrement),COLUMN(TIF_DistrictAnnual_HssIncrement),4)</f>
        <v>C17</v>
      </c>
      <c r="C8667" t="str">
        <f>ADDRESS(ROW(HSS!D$17),COLUMN(HSS!D$17),4)</f>
        <v>D17</v>
      </c>
      <c r="D8667" t="b" cm="1">
        <f t="array" aca="1" ref="D8667" ca="1">IF(AND(TIF_Plan_HssInd_Entry="Yes",OR(ISBLANK(INDIRECT("'"&amp;A8667&amp;"'!"&amp;B8667))="",ISBLANK(INDIRECT("'"&amp;A8667&amp;"'!"&amp;B8667)))),TRUE,FALSE)</f>
        <v>0</v>
      </c>
      <c r="E8667" t="s">
        <v>1572</v>
      </c>
      <c r="F8667" t="str">
        <f>INDEX(Lists!I:I,MATCH(Validation!E8667,Lists!G:G,0))</f>
        <v>Error</v>
      </c>
      <c r="G8667" t="str">
        <f>INDEX(Lists!H:H,MATCH(Validation!E8667,Lists!G:G,0))</f>
        <v>Entry required. Enter $0 if applicable.</v>
      </c>
      <c r="H8667" s="16" t="str">
        <f t="shared" ca="1" si="1020"/>
        <v/>
      </c>
      <c r="I8667" s="16" t="str">
        <f t="shared" ca="1" si="1021"/>
        <v/>
      </c>
      <c r="J8667" s="17" t="str">
        <f t="shared" ca="1" si="1022"/>
        <v/>
      </c>
    </row>
    <row r="8668" spans="1:10" x14ac:dyDescent="0.25">
      <c r="A8668" t="s">
        <v>1535</v>
      </c>
      <c r="B8668" t="str">
        <f>ADDRESS(ROW(TIF_DistrictAnnual_HssIncrement),COLUMN(TIF_DistrictAnnual_HssIncrement),4)</f>
        <v>C17</v>
      </c>
      <c r="C8668" t="str">
        <f>ADDRESS(ROW(HSS!D$17),COLUMN(HSS!D$17),4)</f>
        <v>D17</v>
      </c>
      <c r="D8668" t="b" cm="1">
        <f t="array" aca="1" ref="D8668" ca="1">IF(INDIRECT("'"&amp;A8668&amp;"'!"&amp;B8668)="",FALSE,IF(NOT(ISNUMBER(INDIRECT("'"&amp;A8668&amp;"'!"&amp;B8668))),TRUE,FALSE))</f>
        <v>0</v>
      </c>
      <c r="E8668" t="s">
        <v>435</v>
      </c>
      <c r="F8668" t="str">
        <f>INDEX(Lists!I:I,MATCH(Validation!E8668,Lists!G:G,0))</f>
        <v>Error</v>
      </c>
      <c r="G8668" t="str">
        <f>INDEX(Lists!H:H,MATCH(Validation!E8668,Lists!G:G,0))</f>
        <v>Enter an amount only. Do not enter text or spaces.</v>
      </c>
      <c r="H8668" s="16" t="str">
        <f t="shared" ca="1" si="1020"/>
        <v/>
      </c>
      <c r="I8668" s="16" t="str">
        <f t="shared" ca="1" si="1021"/>
        <v/>
      </c>
      <c r="J8668" s="17" t="str">
        <f t="shared" ca="1" si="1022"/>
        <v/>
      </c>
    </row>
    <row r="8669" spans="1:10" x14ac:dyDescent="0.25">
      <c r="A8669" t="s">
        <v>1535</v>
      </c>
      <c r="B8669" t="str">
        <f>ADDRESS(ROW(TIF_DistrictAnnual_HssIncrement),COLUMN(TIF_DistrictAnnual_HssIncrement),4)</f>
        <v>C17</v>
      </c>
      <c r="C8669" t="str">
        <f>ADDRESS(ROW(HSS!D$17),COLUMN(HSS!D$17),4)</f>
        <v>D17</v>
      </c>
      <c r="D8669" t="b" cm="1">
        <f t="array" aca="1" ref="D8669" ca="1">IF(INDIRECT("'"&amp;A8669&amp;"'!"&amp;B8669)="",FALSE,IF(INDIRECT("'"&amp;A8669&amp;"'!"&amp;B8669)&lt;0,TRUE,FALSE))</f>
        <v>0</v>
      </c>
      <c r="E8669" t="s">
        <v>434</v>
      </c>
      <c r="F8669" t="str">
        <f>INDEX(Lists!I:I,MATCH(Validation!E8669,Lists!G:G,0))</f>
        <v>Error</v>
      </c>
      <c r="G8669" t="str">
        <f>INDEX(Lists!H:H,MATCH(Validation!E8669,Lists!G:G,0))</f>
        <v>Amount may not be negative. Enter an amount greater than or equal to zero.</v>
      </c>
      <c r="H8669" s="16" t="str">
        <f t="shared" ca="1" si="1020"/>
        <v/>
      </c>
      <c r="I8669" s="16" t="str">
        <f t="shared" ca="1" si="1021"/>
        <v/>
      </c>
      <c r="J8669" s="17" t="str">
        <f t="shared" ca="1" si="1022"/>
        <v/>
      </c>
    </row>
    <row r="8670" spans="1:10" x14ac:dyDescent="0.25">
      <c r="A8670" t="s">
        <v>1535</v>
      </c>
      <c r="B8670" t="str">
        <f>ADDRESS(ROW(TIF_DistrictAnnual_HssIncrement),COLUMN(TIF_DistrictAnnual_HssIncrement),4)</f>
        <v>C17</v>
      </c>
      <c r="C8670" t="str">
        <f>ADDRESS(ROW(HSS!D$17),COLUMN(HSS!D$17),4)</f>
        <v>D17</v>
      </c>
      <c r="D8670" t="b" cm="1">
        <f t="array" aca="1" ref="D8670" ca="1">IF(INDIRECT("'"&amp;A8670&amp;"'!"&amp;B8670)="",FALSE,IF(TRUNC(INDIRECT("'"&amp;A8670&amp;"'!"&amp;B8670))=INDIRECT("'"&amp;A8670&amp;"'!"&amp;B8670),FALSE,TRUE))</f>
        <v>0</v>
      </c>
      <c r="E8670" t="s">
        <v>436</v>
      </c>
      <c r="F8670" t="str">
        <f>INDEX(Lists!I:I,MATCH(Validation!E8670,Lists!G:G,0))</f>
        <v>Error</v>
      </c>
      <c r="G8670" t="str">
        <f>INDEX(Lists!H:H,MATCH(Validation!E8670,Lists!G:G,0))</f>
        <v>Amount must be rounded to the nearest dollar.</v>
      </c>
      <c r="H8670" s="16" t="str">
        <f t="shared" ca="1" si="1020"/>
        <v/>
      </c>
      <c r="I8670" s="16" t="str">
        <f t="shared" ca="1" si="1021"/>
        <v/>
      </c>
      <c r="J8670" s="17" t="str">
        <f t="shared" ca="1" si="1022"/>
        <v/>
      </c>
    </row>
    <row r="8671" spans="1:10" x14ac:dyDescent="0.25">
      <c r="A8671" t="s">
        <v>1535</v>
      </c>
      <c r="B8671" t="str">
        <f>ADDRESS(ROW(TIF_DistrictAnnual_HssRemedialCostPriorAdj_Entry),COLUMN(TIF_DistrictAnnual_HssRemedialCostPriorAdj_Entry),4)</f>
        <v>B19</v>
      </c>
      <c r="C8671" t="str">
        <f>ADDRESS(ROW(HSS!D$19),COLUMN(HSS!D$19),4)</f>
        <v>D19</v>
      </c>
      <c r="D8671" t="b" cm="1">
        <f t="array" aca="1" ref="D8671" ca="1">IF(AND(TIF_Plan_HssInd_Entry="Yes",OR(INDIRECT("'"&amp;A8671&amp;"'!"&amp;B8671)="",ISBLANK(INDIRECT("'"&amp;A8671&amp;"'!"&amp;B8671)))),TRUE,FALSE)</f>
        <v>0</v>
      </c>
      <c r="E8671" t="s">
        <v>1572</v>
      </c>
      <c r="F8671" t="str">
        <f>INDEX(Lists!I:I,MATCH(Validation!E8671,Lists!G:G,0))</f>
        <v>Error</v>
      </c>
      <c r="G8671" t="str">
        <f>INDEX(Lists!H:H,MATCH(Validation!E8671,Lists!G:G,0))</f>
        <v>Entry required. Enter $0 if applicable.</v>
      </c>
      <c r="H8671" s="16" t="str">
        <f t="shared" ca="1" si="1020"/>
        <v/>
      </c>
      <c r="I8671" s="16" t="str">
        <f t="shared" ca="1" si="1021"/>
        <v/>
      </c>
      <c r="J8671" s="17" t="str">
        <f t="shared" ca="1" si="1022"/>
        <v/>
      </c>
    </row>
    <row r="8672" spans="1:10" x14ac:dyDescent="0.25">
      <c r="A8672" t="s">
        <v>1535</v>
      </c>
      <c r="B8672" t="str">
        <f>ADDRESS(ROW(TIF_DistrictAnnual_HssRemedialCostPriorAdj_Entry),COLUMN(TIF_DistrictAnnual_HssRemedialCostPriorAdj_Entry),4)</f>
        <v>B19</v>
      </c>
      <c r="C8672" t="str">
        <f>ADDRESS(ROW(HSS!D$19),COLUMN(HSS!D$19),4)</f>
        <v>D19</v>
      </c>
      <c r="D8672" t="b" cm="1">
        <f t="array" aca="1" ref="D8672" ca="1">IF(INDIRECT("'"&amp;A8672&amp;"'!"&amp;B8672)="",FALSE,IF(NOT(ISNUMBER(INDIRECT("'"&amp;A8672&amp;"'!"&amp;B8672))),TRUE,FALSE))</f>
        <v>0</v>
      </c>
      <c r="E8672" t="s">
        <v>435</v>
      </c>
      <c r="F8672" t="str">
        <f>INDEX(Lists!I:I,MATCH(Validation!E8672,Lists!G:G,0))</f>
        <v>Error</v>
      </c>
      <c r="G8672" t="str">
        <f>INDEX(Lists!H:H,MATCH(Validation!E8672,Lists!G:G,0))</f>
        <v>Enter an amount only. Do not enter text or spaces.</v>
      </c>
      <c r="H8672" s="16" t="str">
        <f t="shared" ca="1" si="1020"/>
        <v/>
      </c>
      <c r="I8672" s="16" t="str">
        <f t="shared" ca="1" si="1021"/>
        <v/>
      </c>
      <c r="J8672" s="17" t="str">
        <f t="shared" ca="1" si="1022"/>
        <v/>
      </c>
    </row>
    <row r="8673" spans="1:10" x14ac:dyDescent="0.25">
      <c r="A8673" t="s">
        <v>1535</v>
      </c>
      <c r="B8673" t="str">
        <f>ADDRESS(ROW(TIF_DistrictAnnual_HssRemedialCostPriorAdj_Entry),COLUMN(TIF_DistrictAnnual_HssRemedialCostPriorAdj_Entry),4)</f>
        <v>B19</v>
      </c>
      <c r="C8673" t="str">
        <f>ADDRESS(ROW(HSS!D$19),COLUMN(HSS!D$19),4)</f>
        <v>D19</v>
      </c>
      <c r="D8673" t="b" cm="1">
        <f t="array" aca="1" ref="D8673" ca="1">IF(INDIRECT("'"&amp;A8673&amp;"'!"&amp;B8673)="",FALSE,IF(INDIRECT("'"&amp;A8673&amp;"'!"&amp;B8673)&lt;0,TRUE,FALSE))</f>
        <v>0</v>
      </c>
      <c r="E8673" t="s">
        <v>434</v>
      </c>
      <c r="F8673" t="str">
        <f>INDEX(Lists!I:I,MATCH(Validation!E8673,Lists!G:G,0))</f>
        <v>Error</v>
      </c>
      <c r="G8673" t="str">
        <f>INDEX(Lists!H:H,MATCH(Validation!E8673,Lists!G:G,0))</f>
        <v>Amount may not be negative. Enter an amount greater than or equal to zero.</v>
      </c>
      <c r="H8673" s="16" t="str">
        <f t="shared" ca="1" si="1020"/>
        <v/>
      </c>
      <c r="I8673" s="16" t="str">
        <f t="shared" ca="1" si="1021"/>
        <v/>
      </c>
      <c r="J8673" s="17" t="str">
        <f t="shared" ca="1" si="1022"/>
        <v/>
      </c>
    </row>
    <row r="8674" spans="1:10" x14ac:dyDescent="0.25">
      <c r="A8674" t="s">
        <v>1535</v>
      </c>
      <c r="B8674" t="str">
        <f>ADDRESS(ROW(TIF_DistrictAnnual_HssRemedialCostPriorAdj_Entry),COLUMN(TIF_DistrictAnnual_HssRemedialCostPriorAdj_Entry),4)</f>
        <v>B19</v>
      </c>
      <c r="C8674" t="str">
        <f>ADDRESS(ROW(HSS!D$19),COLUMN(HSS!D$19),4)</f>
        <v>D19</v>
      </c>
      <c r="D8674" t="b" cm="1">
        <f t="array" aca="1" ref="D8674" ca="1">IF(INDIRECT("'"&amp;A8674&amp;"'!"&amp;B8674)="",FALSE,IF(TRUNC(INDIRECT("'"&amp;A8674&amp;"'!"&amp;B8674))=INDIRECT("'"&amp;A8674&amp;"'!"&amp;B8674),FALSE,TRUE))</f>
        <v>0</v>
      </c>
      <c r="E8674" t="s">
        <v>436</v>
      </c>
      <c r="F8674" t="str">
        <f>INDEX(Lists!I:I,MATCH(Validation!E8674,Lists!G:G,0))</f>
        <v>Error</v>
      </c>
      <c r="G8674" t="str">
        <f>INDEX(Lists!H:H,MATCH(Validation!E8674,Lists!G:G,0))</f>
        <v>Amount must be rounded to the nearest dollar.</v>
      </c>
      <c r="H8674" s="16" t="str">
        <f t="shared" ca="1" si="1020"/>
        <v/>
      </c>
      <c r="I8674" s="16" t="str">
        <f t="shared" ca="1" si="1021"/>
        <v/>
      </c>
      <c r="J8674" s="17" t="str">
        <f t="shared" ca="1" si="1022"/>
        <v/>
      </c>
    </row>
    <row r="8675" spans="1:10" x14ac:dyDescent="0.25">
      <c r="A8675" t="s">
        <v>1535</v>
      </c>
      <c r="B8675" t="str">
        <f>ADDRESS(ROW(TIF_DistrictAnnual_HssRemedialCost),COLUMN(TIF_DistrictAnnual_HssRemedialCost),4)</f>
        <v>C19</v>
      </c>
      <c r="C8675" t="str">
        <f>ADDRESS(ROW(HSS!D$19),COLUMN(HSS!D$19),4)</f>
        <v>D19</v>
      </c>
      <c r="D8675" t="b" cm="1">
        <f t="array" aca="1" ref="D8675" ca="1">IF(AND(TIF_Plan_HssInd_Entry="Yes",OR(INDIRECT("'"&amp;A8675&amp;"'!"&amp;B8675)="",ISBLANK(INDIRECT("'"&amp;A8675&amp;"'!"&amp;B8675)))),TRUE,FALSE)</f>
        <v>0</v>
      </c>
      <c r="E8675" t="s">
        <v>1572</v>
      </c>
      <c r="F8675" t="str">
        <f>INDEX(Lists!I:I,MATCH(Validation!E8675,Lists!G:G,0))</f>
        <v>Error</v>
      </c>
      <c r="G8675" t="str">
        <f>INDEX(Lists!H:H,MATCH(Validation!E8675,Lists!G:G,0))</f>
        <v>Entry required. Enter $0 if applicable.</v>
      </c>
      <c r="H8675" s="16" t="str">
        <f t="shared" ca="1" si="1020"/>
        <v/>
      </c>
      <c r="I8675" s="16" t="str">
        <f t="shared" ca="1" si="1021"/>
        <v/>
      </c>
      <c r="J8675" s="17" t="str">
        <f t="shared" ca="1" si="1022"/>
        <v/>
      </c>
    </row>
    <row r="8676" spans="1:10" x14ac:dyDescent="0.25">
      <c r="A8676" t="s">
        <v>1535</v>
      </c>
      <c r="B8676" t="str">
        <f>ADDRESS(ROW(TIF_DistrictAnnual_HssRemedialCost),COLUMN(TIF_DistrictAnnual_HssRemedialCost),4)</f>
        <v>C19</v>
      </c>
      <c r="C8676" t="str">
        <f>ADDRESS(ROW(HSS!D$19),COLUMN(HSS!D$19),4)</f>
        <v>D19</v>
      </c>
      <c r="D8676" t="b" cm="1">
        <f t="array" aca="1" ref="D8676" ca="1">IF(INDIRECT("'"&amp;A8676&amp;"'!"&amp;B8676)="",FALSE,IF(NOT(ISNUMBER(INDIRECT("'"&amp;A8676&amp;"'!"&amp;B8676))),TRUE,FALSE))</f>
        <v>0</v>
      </c>
      <c r="E8676" t="s">
        <v>435</v>
      </c>
      <c r="F8676" t="str">
        <f>INDEX(Lists!I:I,MATCH(Validation!E8676,Lists!G:G,0))</f>
        <v>Error</v>
      </c>
      <c r="G8676" t="str">
        <f>INDEX(Lists!H:H,MATCH(Validation!E8676,Lists!G:G,0))</f>
        <v>Enter an amount only. Do not enter text or spaces.</v>
      </c>
      <c r="H8676" s="16" t="str">
        <f t="shared" ca="1" si="1020"/>
        <v/>
      </c>
      <c r="I8676" s="16" t="str">
        <f t="shared" ca="1" si="1021"/>
        <v/>
      </c>
      <c r="J8676" s="17" t="str">
        <f t="shared" ca="1" si="1022"/>
        <v/>
      </c>
    </row>
    <row r="8677" spans="1:10" x14ac:dyDescent="0.25">
      <c r="A8677" t="s">
        <v>1535</v>
      </c>
      <c r="B8677" t="str">
        <f>ADDRESS(ROW(TIF_DistrictAnnual_HssRemedialCost),COLUMN(TIF_DistrictAnnual_HssRemedialCost),4)</f>
        <v>C19</v>
      </c>
      <c r="C8677" t="str">
        <f>ADDRESS(ROW(HSS!D$19),COLUMN(HSS!D$19),4)</f>
        <v>D19</v>
      </c>
      <c r="D8677" t="b" cm="1">
        <f t="array" aca="1" ref="D8677" ca="1">IF(INDIRECT("'"&amp;A8677&amp;"'!"&amp;B8677)="",FALSE,IF(INDIRECT("'"&amp;A8677&amp;"'!"&amp;B8677)&lt;0,TRUE,FALSE))</f>
        <v>0</v>
      </c>
      <c r="E8677" t="s">
        <v>434</v>
      </c>
      <c r="F8677" t="str">
        <f>INDEX(Lists!I:I,MATCH(Validation!E8677,Lists!G:G,0))</f>
        <v>Error</v>
      </c>
      <c r="G8677" t="str">
        <f>INDEX(Lists!H:H,MATCH(Validation!E8677,Lists!G:G,0))</f>
        <v>Amount may not be negative. Enter an amount greater than or equal to zero.</v>
      </c>
      <c r="H8677" s="16" t="str">
        <f t="shared" ca="1" si="1020"/>
        <v/>
      </c>
      <c r="I8677" s="16" t="str">
        <f t="shared" ca="1" si="1021"/>
        <v/>
      </c>
      <c r="J8677" s="17" t="str">
        <f t="shared" ca="1" si="1022"/>
        <v/>
      </c>
    </row>
    <row r="8678" spans="1:10" x14ac:dyDescent="0.25">
      <c r="A8678" t="s">
        <v>1535</v>
      </c>
      <c r="B8678" t="str">
        <f>ADDRESS(ROW(TIF_DistrictAnnual_HssRemedialCost),COLUMN(TIF_DistrictAnnual_HssRemedialCost),4)</f>
        <v>C19</v>
      </c>
      <c r="C8678" t="str">
        <f>ADDRESS(ROW(HSS!D$19),COLUMN(HSS!D$19),4)</f>
        <v>D19</v>
      </c>
      <c r="D8678" t="b" cm="1">
        <f t="array" aca="1" ref="D8678" ca="1">IF(INDIRECT("'"&amp;A8678&amp;"'!"&amp;B8678)="",FALSE,IF(TRUNC(INDIRECT("'"&amp;A8678&amp;"'!"&amp;B8678))=INDIRECT("'"&amp;A8678&amp;"'!"&amp;B8678),FALSE,TRUE))</f>
        <v>0</v>
      </c>
      <c r="E8678" t="s">
        <v>436</v>
      </c>
      <c r="F8678" t="str">
        <f>INDEX(Lists!I:I,MATCH(Validation!E8678,Lists!G:G,0))</f>
        <v>Error</v>
      </c>
      <c r="G8678" t="str">
        <f>INDEX(Lists!H:H,MATCH(Validation!E8678,Lists!G:G,0))</f>
        <v>Amount must be rounded to the nearest dollar.</v>
      </c>
      <c r="H8678" s="16" t="str">
        <f t="shared" ca="1" si="1020"/>
        <v/>
      </c>
      <c r="I8678" s="16" t="str">
        <f t="shared" ca="1" si="1021"/>
        <v/>
      </c>
      <c r="J8678" s="17" t="str">
        <f t="shared" ca="1" si="1022"/>
        <v/>
      </c>
    </row>
    <row r="8679" spans="1:10" x14ac:dyDescent="0.25">
      <c r="A8679" t="s">
        <v>1535</v>
      </c>
      <c r="B8679" t="str">
        <f>ADDRESS(ROW(TIF_DistrictAnnual_HssTestDemoSoilCostPriorAdj_Entry),COLUMN(TIF_DistrictAnnual_HssTestDemoSoilCostPriorAdj_Entry),4)</f>
        <v>B20</v>
      </c>
      <c r="C8679" t="str">
        <f>ADDRESS(ROW(HSS!D$20),COLUMN(HSS!D$20),4)</f>
        <v>D20</v>
      </c>
      <c r="D8679" t="b" cm="1">
        <f t="array" aca="1" ref="D8679" ca="1">IF(AND(TIF_Plan_HssInd_Entry="Yes",OR(INDIRECT("'"&amp;A8679&amp;"'!"&amp;B8679)="",ISBLANK(INDIRECT("'"&amp;A8679&amp;"'!"&amp;B8679)))),TRUE,FALSE)</f>
        <v>0</v>
      </c>
      <c r="E8679" t="s">
        <v>1572</v>
      </c>
      <c r="F8679" t="str">
        <f>INDEX(Lists!I:I,MATCH(Validation!E8679,Lists!G:G,0))</f>
        <v>Error</v>
      </c>
      <c r="G8679" t="str">
        <f>INDEX(Lists!H:H,MATCH(Validation!E8679,Lists!G:G,0))</f>
        <v>Entry required. Enter $0 if applicable.</v>
      </c>
      <c r="H8679" s="16" t="str">
        <f t="shared" ca="1" si="1014"/>
        <v/>
      </c>
      <c r="I8679" s="16" t="str">
        <f t="shared" ca="1" si="1015"/>
        <v/>
      </c>
      <c r="J8679" s="17" t="str">
        <f t="shared" ca="1" si="1016"/>
        <v/>
      </c>
    </row>
    <row r="8680" spans="1:10" x14ac:dyDescent="0.25">
      <c r="A8680" t="s">
        <v>1535</v>
      </c>
      <c r="B8680" t="str">
        <f>ADDRESS(ROW(TIF_DistrictAnnual_HssTestDemoSoilCostPriorAdj_Entry),COLUMN(TIF_DistrictAnnual_HssTestDemoSoilCostPriorAdj_Entry),4)</f>
        <v>B20</v>
      </c>
      <c r="C8680" t="str">
        <f>ADDRESS(ROW(HSS!D$20),COLUMN(HSS!D$20),4)</f>
        <v>D20</v>
      </c>
      <c r="D8680" t="b" cm="1">
        <f t="array" aca="1" ref="D8680" ca="1">IF(INDIRECT("'"&amp;A8680&amp;"'!"&amp;B8680)="",FALSE,IF(NOT(ISNUMBER(INDIRECT("'"&amp;A8680&amp;"'!"&amp;B8680))),TRUE,FALSE))</f>
        <v>0</v>
      </c>
      <c r="E8680" t="s">
        <v>435</v>
      </c>
      <c r="F8680" t="str">
        <f>INDEX(Lists!I:I,MATCH(Validation!E8680,Lists!G:G,0))</f>
        <v>Error</v>
      </c>
      <c r="G8680" t="str">
        <f>INDEX(Lists!H:H,MATCH(Validation!E8680,Lists!G:G,0))</f>
        <v>Enter an amount only. Do not enter text or spaces.</v>
      </c>
      <c r="H8680" s="16" t="str">
        <f t="shared" ca="1" si="1014"/>
        <v/>
      </c>
      <c r="I8680" s="16" t="str">
        <f t="shared" ca="1" si="1015"/>
        <v/>
      </c>
      <c r="J8680" s="17" t="str">
        <f t="shared" ca="1" si="1016"/>
        <v/>
      </c>
    </row>
    <row r="8681" spans="1:10" x14ac:dyDescent="0.25">
      <c r="A8681" t="s">
        <v>1535</v>
      </c>
      <c r="B8681" t="str">
        <f>ADDRESS(ROW(TIF_DistrictAnnual_HssTestDemoSoilCostPriorAdj_Entry),COLUMN(TIF_DistrictAnnual_HssTestDemoSoilCostPriorAdj_Entry),4)</f>
        <v>B20</v>
      </c>
      <c r="C8681" t="str">
        <f>ADDRESS(ROW(HSS!D$20),COLUMN(HSS!D$20),4)</f>
        <v>D20</v>
      </c>
      <c r="D8681" t="b" cm="1">
        <f t="array" aca="1" ref="D8681" ca="1">IF(INDIRECT("'"&amp;A8681&amp;"'!"&amp;B8681)="",FALSE,IF(INDIRECT("'"&amp;A8681&amp;"'!"&amp;B8681)&lt;0,TRUE,FALSE))</f>
        <v>0</v>
      </c>
      <c r="E8681" t="s">
        <v>434</v>
      </c>
      <c r="F8681" t="str">
        <f>INDEX(Lists!I:I,MATCH(Validation!E8681,Lists!G:G,0))</f>
        <v>Error</v>
      </c>
      <c r="G8681" t="str">
        <f>INDEX(Lists!H:H,MATCH(Validation!E8681,Lists!G:G,0))</f>
        <v>Amount may not be negative. Enter an amount greater than or equal to zero.</v>
      </c>
      <c r="H8681" s="16" t="str">
        <f t="shared" ca="1" si="1014"/>
        <v/>
      </c>
      <c r="I8681" s="16" t="str">
        <f t="shared" ca="1" si="1015"/>
        <v/>
      </c>
      <c r="J8681" s="17" t="str">
        <f t="shared" ca="1" si="1016"/>
        <v/>
      </c>
    </row>
    <row r="8682" spans="1:10" x14ac:dyDescent="0.25">
      <c r="A8682" t="s">
        <v>1535</v>
      </c>
      <c r="B8682" t="str">
        <f>ADDRESS(ROW(TIF_DistrictAnnual_HssTestDemoSoilCostPriorAdj_Entry),COLUMN(TIF_DistrictAnnual_HssTestDemoSoilCostPriorAdj_Entry),4)</f>
        <v>B20</v>
      </c>
      <c r="C8682" t="str">
        <f>ADDRESS(ROW(HSS!D$20),COLUMN(HSS!D$20),4)</f>
        <v>D20</v>
      </c>
      <c r="D8682" t="b" cm="1">
        <f t="array" aca="1" ref="D8682" ca="1">IF(INDIRECT("'"&amp;A8682&amp;"'!"&amp;B8682)="",FALSE,IF(TRUNC(INDIRECT("'"&amp;A8682&amp;"'!"&amp;B8682))=INDIRECT("'"&amp;A8682&amp;"'!"&amp;B8682),FALSE,TRUE))</f>
        <v>0</v>
      </c>
      <c r="E8682" t="s">
        <v>436</v>
      </c>
      <c r="F8682" t="str">
        <f>INDEX(Lists!I:I,MATCH(Validation!E8682,Lists!G:G,0))</f>
        <v>Error</v>
      </c>
      <c r="G8682" t="str">
        <f>INDEX(Lists!H:H,MATCH(Validation!E8682,Lists!G:G,0))</f>
        <v>Amount must be rounded to the nearest dollar.</v>
      </c>
      <c r="H8682" s="16" t="str">
        <f t="shared" ca="1" si="1014"/>
        <v/>
      </c>
      <c r="I8682" s="16" t="str">
        <f t="shared" ca="1" si="1015"/>
        <v/>
      </c>
      <c r="J8682" s="17" t="str">
        <f t="shared" ca="1" si="1016"/>
        <v/>
      </c>
    </row>
    <row r="8683" spans="1:10" x14ac:dyDescent="0.25">
      <c r="A8683" t="s">
        <v>1535</v>
      </c>
      <c r="B8683" t="str">
        <f>ADDRESS(ROW(TIF_DistrictAnnual_HssTestDemoSoilCost),COLUMN(TIF_DistrictAnnual_HssTestDemoSoilCost),4)</f>
        <v>C20</v>
      </c>
      <c r="C8683" t="str">
        <f>ADDRESS(ROW(HSS!D$20),COLUMN(HSS!D$20),4)</f>
        <v>D20</v>
      </c>
      <c r="D8683" t="b" cm="1">
        <f t="array" aca="1" ref="D8683" ca="1">IF(AND(TIF_Plan_HssInd_Entry="Yes",OR(INDIRECT("'"&amp;A8683&amp;"'!"&amp;B8683)="",ISBLANK(INDIRECT("'"&amp;A8683&amp;"'!"&amp;B8683)))),TRUE,FALSE)</f>
        <v>0</v>
      </c>
      <c r="E8683" t="s">
        <v>1572</v>
      </c>
      <c r="F8683" t="str">
        <f>INDEX(Lists!I:I,MATCH(Validation!E8683,Lists!G:G,0))</f>
        <v>Error</v>
      </c>
      <c r="G8683" t="str">
        <f>INDEX(Lists!H:H,MATCH(Validation!E8683,Lists!G:G,0))</f>
        <v>Entry required. Enter $0 if applicable.</v>
      </c>
      <c r="H8683" s="16" t="str">
        <f t="shared" ref="H8683:H8710" ca="1" si="1023">IFERROR(IF(OR(NOT(D8683),F8683&lt;&gt;"Error"),"",A8683&amp;CELL("address",INDIRECT(B8683))),"")</f>
        <v/>
      </c>
      <c r="I8683" s="16" t="str">
        <f t="shared" ref="I8683:I8710" ca="1" si="1024">IFERROR(IF(NOT(D8683),"",A8683&amp;CELL("address",INDIRECT(C8683))),"")</f>
        <v/>
      </c>
      <c r="J8683" s="17" t="str">
        <f t="shared" ref="J8683:J8710" ca="1" si="1025">IFERROR(IF(NOT(D8683),"",A8683),"")</f>
        <v/>
      </c>
    </row>
    <row r="8684" spans="1:10" x14ac:dyDescent="0.25">
      <c r="A8684" t="s">
        <v>1535</v>
      </c>
      <c r="B8684" t="str">
        <f>ADDRESS(ROW(TIF_DistrictAnnual_HssTestDemoSoilCost),COLUMN(TIF_DistrictAnnual_HssTestDemoSoilCost),4)</f>
        <v>C20</v>
      </c>
      <c r="C8684" t="str">
        <f>ADDRESS(ROW(HSS!D$20),COLUMN(HSS!D$20),4)</f>
        <v>D20</v>
      </c>
      <c r="D8684" t="b" cm="1">
        <f t="array" aca="1" ref="D8684" ca="1">IF(INDIRECT("'"&amp;A8684&amp;"'!"&amp;B8684)="",FALSE,IF(NOT(ISNUMBER(INDIRECT("'"&amp;A8684&amp;"'!"&amp;B8684))),TRUE,FALSE))</f>
        <v>0</v>
      </c>
      <c r="E8684" t="s">
        <v>435</v>
      </c>
      <c r="F8684" t="str">
        <f>INDEX(Lists!I:I,MATCH(Validation!E8684,Lists!G:G,0))</f>
        <v>Error</v>
      </c>
      <c r="G8684" t="str">
        <f>INDEX(Lists!H:H,MATCH(Validation!E8684,Lists!G:G,0))</f>
        <v>Enter an amount only. Do not enter text or spaces.</v>
      </c>
      <c r="H8684" s="16" t="str">
        <f t="shared" ca="1" si="1023"/>
        <v/>
      </c>
      <c r="I8684" s="16" t="str">
        <f t="shared" ca="1" si="1024"/>
        <v/>
      </c>
      <c r="J8684" s="17" t="str">
        <f t="shared" ca="1" si="1025"/>
        <v/>
      </c>
    </row>
    <row r="8685" spans="1:10" x14ac:dyDescent="0.25">
      <c r="A8685" t="s">
        <v>1535</v>
      </c>
      <c r="B8685" t="str">
        <f>ADDRESS(ROW(TIF_DistrictAnnual_HssTestDemoSoilCost),COLUMN(TIF_DistrictAnnual_HssTestDemoSoilCost),4)</f>
        <v>C20</v>
      </c>
      <c r="C8685" t="str">
        <f>ADDRESS(ROW(HSS!D$20),COLUMN(HSS!D$20),4)</f>
        <v>D20</v>
      </c>
      <c r="D8685" t="b" cm="1">
        <f t="array" aca="1" ref="D8685" ca="1">IF(INDIRECT("'"&amp;A8685&amp;"'!"&amp;B8685)="",FALSE,IF(INDIRECT("'"&amp;A8685&amp;"'!"&amp;B8685)&lt;0,TRUE,FALSE))</f>
        <v>0</v>
      </c>
      <c r="E8685" t="s">
        <v>434</v>
      </c>
      <c r="F8685" t="str">
        <f>INDEX(Lists!I:I,MATCH(Validation!E8685,Lists!G:G,0))</f>
        <v>Error</v>
      </c>
      <c r="G8685" t="str">
        <f>INDEX(Lists!H:H,MATCH(Validation!E8685,Lists!G:G,0))</f>
        <v>Amount may not be negative. Enter an amount greater than or equal to zero.</v>
      </c>
      <c r="H8685" s="16" t="str">
        <f t="shared" ca="1" si="1023"/>
        <v/>
      </c>
      <c r="I8685" s="16" t="str">
        <f t="shared" ca="1" si="1024"/>
        <v/>
      </c>
      <c r="J8685" s="17" t="str">
        <f t="shared" ca="1" si="1025"/>
        <v/>
      </c>
    </row>
    <row r="8686" spans="1:10" x14ac:dyDescent="0.25">
      <c r="A8686" t="s">
        <v>1535</v>
      </c>
      <c r="B8686" t="str">
        <f>ADDRESS(ROW(TIF_DistrictAnnual_HssTestDemoSoilCost),COLUMN(TIF_DistrictAnnual_HssTestDemoSoilCost),4)</f>
        <v>C20</v>
      </c>
      <c r="C8686" t="str">
        <f>ADDRESS(ROW(HSS!D$20),COLUMN(HSS!D$20),4)</f>
        <v>D20</v>
      </c>
      <c r="D8686" t="b" cm="1">
        <f t="array" aca="1" ref="D8686" ca="1">IF(INDIRECT("'"&amp;A8686&amp;"'!"&amp;B8686)="",FALSE,IF(TRUNC(INDIRECT("'"&amp;A8686&amp;"'!"&amp;B8686))=INDIRECT("'"&amp;A8686&amp;"'!"&amp;B8686),FALSE,TRUE))</f>
        <v>0</v>
      </c>
      <c r="E8686" t="s">
        <v>436</v>
      </c>
      <c r="F8686" t="str">
        <f>INDEX(Lists!I:I,MATCH(Validation!E8686,Lists!G:G,0))</f>
        <v>Error</v>
      </c>
      <c r="G8686" t="str">
        <f>INDEX(Lists!H:H,MATCH(Validation!E8686,Lists!G:G,0))</f>
        <v>Amount must be rounded to the nearest dollar.</v>
      </c>
      <c r="H8686" s="16" t="str">
        <f t="shared" ca="1" si="1023"/>
        <v/>
      </c>
      <c r="I8686" s="16" t="str">
        <f t="shared" ca="1" si="1024"/>
        <v/>
      </c>
      <c r="J8686" s="17" t="str">
        <f t="shared" ca="1" si="1025"/>
        <v/>
      </c>
    </row>
    <row r="8687" spans="1:10" x14ac:dyDescent="0.25">
      <c r="A8687" t="s">
        <v>1535</v>
      </c>
      <c r="B8687" t="str">
        <f>ADDRESS(ROW(TIF_DistrictAnnual_HssInsurGuarantyCostPriorAdj_Entry),COLUMN(TIF_DistrictAnnual_HssInsurGuarantyCostPriorAdj_Entry),4)</f>
        <v>B21</v>
      </c>
      <c r="C8687" t="str">
        <f>ADDRESS(ROW(HSS!D$21),COLUMN(HSS!D$21),4)</f>
        <v>D21</v>
      </c>
      <c r="D8687" t="b" cm="1">
        <f t="array" aca="1" ref="D8687" ca="1">IF(AND(TIF_Plan_HssInd_Entry="Yes",OR(INDIRECT("'"&amp;A8687&amp;"'!"&amp;B8687)="",ISBLANK(INDIRECT("'"&amp;A8687&amp;"'!"&amp;B8687)))),TRUE,FALSE)</f>
        <v>0</v>
      </c>
      <c r="E8687" t="s">
        <v>1572</v>
      </c>
      <c r="F8687" t="str">
        <f>INDEX(Lists!I:I,MATCH(Validation!E8687,Lists!G:G,0))</f>
        <v>Error</v>
      </c>
      <c r="G8687" t="str">
        <f>INDEX(Lists!H:H,MATCH(Validation!E8687,Lists!G:G,0))</f>
        <v>Entry required. Enter $0 if applicable.</v>
      </c>
      <c r="H8687" s="16" t="str">
        <f t="shared" ca="1" si="1023"/>
        <v/>
      </c>
      <c r="I8687" s="16" t="str">
        <f t="shared" ca="1" si="1024"/>
        <v/>
      </c>
      <c r="J8687" s="17" t="str">
        <f t="shared" ca="1" si="1025"/>
        <v/>
      </c>
    </row>
    <row r="8688" spans="1:10" x14ac:dyDescent="0.25">
      <c r="A8688" t="s">
        <v>1535</v>
      </c>
      <c r="B8688" t="str">
        <f>ADDRESS(ROW(TIF_DistrictAnnual_HssInsurGuarantyCostPriorAdj_Entry),COLUMN(TIF_DistrictAnnual_HssInsurGuarantyCostPriorAdj_Entry),4)</f>
        <v>B21</v>
      </c>
      <c r="C8688" t="str">
        <f>ADDRESS(ROW(HSS!D$21),COLUMN(HSS!D$21),4)</f>
        <v>D21</v>
      </c>
      <c r="D8688" t="b" cm="1">
        <f t="array" aca="1" ref="D8688" ca="1">IF(INDIRECT("'"&amp;A8688&amp;"'!"&amp;B8688)="",FALSE,IF(NOT(ISNUMBER(INDIRECT("'"&amp;A8688&amp;"'!"&amp;B8688))),TRUE,FALSE))</f>
        <v>0</v>
      </c>
      <c r="E8688" t="s">
        <v>435</v>
      </c>
      <c r="F8688" t="str">
        <f>INDEX(Lists!I:I,MATCH(Validation!E8688,Lists!G:G,0))</f>
        <v>Error</v>
      </c>
      <c r="G8688" t="str">
        <f>INDEX(Lists!H:H,MATCH(Validation!E8688,Lists!G:G,0))</f>
        <v>Enter an amount only. Do not enter text or spaces.</v>
      </c>
      <c r="H8688" s="16" t="str">
        <f t="shared" ca="1" si="1023"/>
        <v/>
      </c>
      <c r="I8688" s="16" t="str">
        <f t="shared" ca="1" si="1024"/>
        <v/>
      </c>
      <c r="J8688" s="17" t="str">
        <f t="shared" ca="1" si="1025"/>
        <v/>
      </c>
    </row>
    <row r="8689" spans="1:10" x14ac:dyDescent="0.25">
      <c r="A8689" t="s">
        <v>1535</v>
      </c>
      <c r="B8689" t="str">
        <f>ADDRESS(ROW(TIF_DistrictAnnual_HssInsurGuarantyCostPriorAdj_Entry),COLUMN(TIF_DistrictAnnual_HssInsurGuarantyCostPriorAdj_Entry),4)</f>
        <v>B21</v>
      </c>
      <c r="C8689" t="str">
        <f>ADDRESS(ROW(HSS!D$21),COLUMN(HSS!D$21),4)</f>
        <v>D21</v>
      </c>
      <c r="D8689" t="b" cm="1">
        <f t="array" aca="1" ref="D8689" ca="1">IF(INDIRECT("'"&amp;A8689&amp;"'!"&amp;B8689)="",FALSE,IF(INDIRECT("'"&amp;A8689&amp;"'!"&amp;B8689)&lt;0,TRUE,FALSE))</f>
        <v>0</v>
      </c>
      <c r="E8689" t="s">
        <v>434</v>
      </c>
      <c r="F8689" t="str">
        <f>INDEX(Lists!I:I,MATCH(Validation!E8689,Lists!G:G,0))</f>
        <v>Error</v>
      </c>
      <c r="G8689" t="str">
        <f>INDEX(Lists!H:H,MATCH(Validation!E8689,Lists!G:G,0))</f>
        <v>Amount may not be negative. Enter an amount greater than or equal to zero.</v>
      </c>
      <c r="H8689" s="16" t="str">
        <f t="shared" ca="1" si="1023"/>
        <v/>
      </c>
      <c r="I8689" s="16" t="str">
        <f t="shared" ca="1" si="1024"/>
        <v/>
      </c>
      <c r="J8689" s="17" t="str">
        <f t="shared" ca="1" si="1025"/>
        <v/>
      </c>
    </row>
    <row r="8690" spans="1:10" x14ac:dyDescent="0.25">
      <c r="A8690" t="s">
        <v>1535</v>
      </c>
      <c r="B8690" t="str">
        <f>ADDRESS(ROW(TIF_DistrictAnnual_HssInsurGuarantyCostPriorAdj_Entry),COLUMN(TIF_DistrictAnnual_HssInsurGuarantyCostPriorAdj_Entry),4)</f>
        <v>B21</v>
      </c>
      <c r="C8690" t="str">
        <f>ADDRESS(ROW(HSS!D$21),COLUMN(HSS!D$21),4)</f>
        <v>D21</v>
      </c>
      <c r="D8690" t="b" cm="1">
        <f t="array" aca="1" ref="D8690" ca="1">IF(INDIRECT("'"&amp;A8690&amp;"'!"&amp;B8690)="",FALSE,IF(TRUNC(INDIRECT("'"&amp;A8690&amp;"'!"&amp;B8690))=INDIRECT("'"&amp;A8690&amp;"'!"&amp;B8690),FALSE,TRUE))</f>
        <v>0</v>
      </c>
      <c r="E8690" t="s">
        <v>436</v>
      </c>
      <c r="F8690" t="str">
        <f>INDEX(Lists!I:I,MATCH(Validation!E8690,Lists!G:G,0))</f>
        <v>Error</v>
      </c>
      <c r="G8690" t="str">
        <f>INDEX(Lists!H:H,MATCH(Validation!E8690,Lists!G:G,0))</f>
        <v>Amount must be rounded to the nearest dollar.</v>
      </c>
      <c r="H8690" s="16" t="str">
        <f t="shared" ca="1" si="1023"/>
        <v/>
      </c>
      <c r="I8690" s="16" t="str">
        <f t="shared" ca="1" si="1024"/>
        <v/>
      </c>
      <c r="J8690" s="17" t="str">
        <f t="shared" ca="1" si="1025"/>
        <v/>
      </c>
    </row>
    <row r="8691" spans="1:10" x14ac:dyDescent="0.25">
      <c r="A8691" t="s">
        <v>1535</v>
      </c>
      <c r="B8691" t="str">
        <f>ADDRESS(ROW(TIF_DistrictAnnual_HssInsurGuarantyCost),COLUMN(TIF_DistrictAnnual_HssInsurGuarantyCost),4)</f>
        <v>C21</v>
      </c>
      <c r="C8691" t="str">
        <f>ADDRESS(ROW(HSS!D$21),COLUMN(HSS!D$21),4)</f>
        <v>D21</v>
      </c>
      <c r="D8691" t="b" cm="1">
        <f t="array" aca="1" ref="D8691" ca="1">IF(AND(TIF_Plan_HssInd_Entry="Yes",OR(INDIRECT("'"&amp;A8691&amp;"'!"&amp;B8691)="",ISBLANK(INDIRECT("'"&amp;A8691&amp;"'!"&amp;B8691)))),TRUE,FALSE)</f>
        <v>0</v>
      </c>
      <c r="E8691" t="s">
        <v>1572</v>
      </c>
      <c r="F8691" t="str">
        <f>INDEX(Lists!I:I,MATCH(Validation!E8691,Lists!G:G,0))</f>
        <v>Error</v>
      </c>
      <c r="G8691" t="str">
        <f>INDEX(Lists!H:H,MATCH(Validation!E8691,Lists!G:G,0))</f>
        <v>Entry required. Enter $0 if applicable.</v>
      </c>
      <c r="H8691" s="16" t="str">
        <f t="shared" ca="1" si="1023"/>
        <v/>
      </c>
      <c r="I8691" s="16" t="str">
        <f t="shared" ca="1" si="1024"/>
        <v/>
      </c>
      <c r="J8691" s="17" t="str">
        <f t="shared" ca="1" si="1025"/>
        <v/>
      </c>
    </row>
    <row r="8692" spans="1:10" x14ac:dyDescent="0.25">
      <c r="A8692" t="s">
        <v>1535</v>
      </c>
      <c r="B8692" t="str">
        <f>ADDRESS(ROW(TIF_DistrictAnnual_HssInsurGuarantyCost),COLUMN(TIF_DistrictAnnual_HssInsurGuarantyCost),4)</f>
        <v>C21</v>
      </c>
      <c r="C8692" t="str">
        <f>ADDRESS(ROW(HSS!D$21),COLUMN(HSS!D$21),4)</f>
        <v>D21</v>
      </c>
      <c r="D8692" t="b" cm="1">
        <f t="array" aca="1" ref="D8692" ca="1">IF(INDIRECT("'"&amp;A8692&amp;"'!"&amp;B8692)="",FALSE,IF(NOT(ISNUMBER(INDIRECT("'"&amp;A8692&amp;"'!"&amp;B8692))),TRUE,FALSE))</f>
        <v>0</v>
      </c>
      <c r="E8692" t="s">
        <v>435</v>
      </c>
      <c r="F8692" t="str">
        <f>INDEX(Lists!I:I,MATCH(Validation!E8692,Lists!G:G,0))</f>
        <v>Error</v>
      </c>
      <c r="G8692" t="str">
        <f>INDEX(Lists!H:H,MATCH(Validation!E8692,Lists!G:G,0))</f>
        <v>Enter an amount only. Do not enter text or spaces.</v>
      </c>
      <c r="H8692" s="16" t="str">
        <f t="shared" ca="1" si="1023"/>
        <v/>
      </c>
      <c r="I8692" s="16" t="str">
        <f t="shared" ca="1" si="1024"/>
        <v/>
      </c>
      <c r="J8692" s="17" t="str">
        <f t="shared" ca="1" si="1025"/>
        <v/>
      </c>
    </row>
    <row r="8693" spans="1:10" x14ac:dyDescent="0.25">
      <c r="A8693" t="s">
        <v>1535</v>
      </c>
      <c r="B8693" t="str">
        <f>ADDRESS(ROW(TIF_DistrictAnnual_HssInsurGuarantyCost),COLUMN(TIF_DistrictAnnual_HssInsurGuarantyCost),4)</f>
        <v>C21</v>
      </c>
      <c r="C8693" t="str">
        <f>ADDRESS(ROW(HSS!D$21),COLUMN(HSS!D$21),4)</f>
        <v>D21</v>
      </c>
      <c r="D8693" t="b" cm="1">
        <f t="array" aca="1" ref="D8693" ca="1">IF(INDIRECT("'"&amp;A8693&amp;"'!"&amp;B8693)="",FALSE,IF(INDIRECT("'"&amp;A8693&amp;"'!"&amp;B8693)&lt;0,TRUE,FALSE))</f>
        <v>0</v>
      </c>
      <c r="E8693" t="s">
        <v>434</v>
      </c>
      <c r="F8693" t="str">
        <f>INDEX(Lists!I:I,MATCH(Validation!E8693,Lists!G:G,0))</f>
        <v>Error</v>
      </c>
      <c r="G8693" t="str">
        <f>INDEX(Lists!H:H,MATCH(Validation!E8693,Lists!G:G,0))</f>
        <v>Amount may not be negative. Enter an amount greater than or equal to zero.</v>
      </c>
      <c r="H8693" s="16" t="str">
        <f t="shared" ca="1" si="1023"/>
        <v/>
      </c>
      <c r="I8693" s="16" t="str">
        <f t="shared" ca="1" si="1024"/>
        <v/>
      </c>
      <c r="J8693" s="17" t="str">
        <f t="shared" ca="1" si="1025"/>
        <v/>
      </c>
    </row>
    <row r="8694" spans="1:10" x14ac:dyDescent="0.25">
      <c r="A8694" t="s">
        <v>1535</v>
      </c>
      <c r="B8694" t="str">
        <f>ADDRESS(ROW(TIF_DistrictAnnual_HssInsurGuarantyCost),COLUMN(TIF_DistrictAnnual_HssInsurGuarantyCost),4)</f>
        <v>C21</v>
      </c>
      <c r="C8694" t="str">
        <f>ADDRESS(ROW(HSS!D$21),COLUMN(HSS!D$21),4)</f>
        <v>D21</v>
      </c>
      <c r="D8694" t="b" cm="1">
        <f t="array" aca="1" ref="D8694" ca="1">IF(INDIRECT("'"&amp;A8694&amp;"'!"&amp;B8694)="",FALSE,IF(TRUNC(INDIRECT("'"&amp;A8694&amp;"'!"&amp;B8694))=INDIRECT("'"&amp;A8694&amp;"'!"&amp;B8694),FALSE,TRUE))</f>
        <v>0</v>
      </c>
      <c r="E8694" t="s">
        <v>436</v>
      </c>
      <c r="F8694" t="str">
        <f>INDEX(Lists!I:I,MATCH(Validation!E8694,Lists!G:G,0))</f>
        <v>Error</v>
      </c>
      <c r="G8694" t="str">
        <f>INDEX(Lists!H:H,MATCH(Validation!E8694,Lists!G:G,0))</f>
        <v>Amount must be rounded to the nearest dollar.</v>
      </c>
      <c r="H8694" s="16" t="str">
        <f t="shared" ca="1" si="1023"/>
        <v/>
      </c>
      <c r="I8694" s="16" t="str">
        <f t="shared" ca="1" si="1024"/>
        <v/>
      </c>
      <c r="J8694" s="17" t="str">
        <f t="shared" ca="1" si="1025"/>
        <v/>
      </c>
    </row>
    <row r="8695" spans="1:10" x14ac:dyDescent="0.25">
      <c r="A8695" t="s">
        <v>1535</v>
      </c>
      <c r="B8695" t="str">
        <f>ADDRESS(ROW(TIF_DistrictAnnual_HssAdminCostPriorAdj_Entry),COLUMN(TIF_DistrictAnnual_HssAdminCostPriorAdj_Entry),4)</f>
        <v>B22</v>
      </c>
      <c r="C8695" t="str">
        <f>ADDRESS(ROW(HSS!D$22),COLUMN(HSS!D$22),4)</f>
        <v>D22</v>
      </c>
      <c r="D8695" t="b" cm="1">
        <f t="array" aca="1" ref="D8695" ca="1">IF(AND(TIF_Plan_HssInd_Entry="Yes",OR(INDIRECT("'"&amp;A8695&amp;"'!"&amp;B8695)="",ISBLANK(INDIRECT("'"&amp;A8695&amp;"'!"&amp;B8695)))),TRUE,FALSE)</f>
        <v>0</v>
      </c>
      <c r="E8695" t="s">
        <v>1572</v>
      </c>
      <c r="F8695" t="str">
        <f>INDEX(Lists!I:I,MATCH(Validation!E8695,Lists!G:G,0))</f>
        <v>Error</v>
      </c>
      <c r="G8695" t="str">
        <f>INDEX(Lists!H:H,MATCH(Validation!E8695,Lists!G:G,0))</f>
        <v>Entry required. Enter $0 if applicable.</v>
      </c>
      <c r="H8695" s="16" t="str">
        <f t="shared" ca="1" si="1023"/>
        <v/>
      </c>
      <c r="I8695" s="16" t="str">
        <f t="shared" ca="1" si="1024"/>
        <v/>
      </c>
      <c r="J8695" s="17" t="str">
        <f t="shared" ca="1" si="1025"/>
        <v/>
      </c>
    </row>
    <row r="8696" spans="1:10" x14ac:dyDescent="0.25">
      <c r="A8696" t="s">
        <v>1535</v>
      </c>
      <c r="B8696" t="str">
        <f>ADDRESS(ROW(TIF_DistrictAnnual_HssAdminCostPriorAdj_Entry),COLUMN(TIF_DistrictAnnual_HssAdminCostPriorAdj_Entry),4)</f>
        <v>B22</v>
      </c>
      <c r="C8696" t="str">
        <f>ADDRESS(ROW(HSS!D$22),COLUMN(HSS!D$22),4)</f>
        <v>D22</v>
      </c>
      <c r="D8696" t="b" cm="1">
        <f t="array" aca="1" ref="D8696" ca="1">IF(INDIRECT("'"&amp;A8696&amp;"'!"&amp;B8696)="",FALSE,IF(NOT(ISNUMBER(INDIRECT("'"&amp;A8696&amp;"'!"&amp;B8696))),TRUE,FALSE))</f>
        <v>0</v>
      </c>
      <c r="E8696" t="s">
        <v>435</v>
      </c>
      <c r="F8696" t="str">
        <f>INDEX(Lists!I:I,MATCH(Validation!E8696,Lists!G:G,0))</f>
        <v>Error</v>
      </c>
      <c r="G8696" t="str">
        <f>INDEX(Lists!H:H,MATCH(Validation!E8696,Lists!G:G,0))</f>
        <v>Enter an amount only. Do not enter text or spaces.</v>
      </c>
      <c r="H8696" s="16" t="str">
        <f t="shared" ca="1" si="1023"/>
        <v/>
      </c>
      <c r="I8696" s="16" t="str">
        <f t="shared" ca="1" si="1024"/>
        <v/>
      </c>
      <c r="J8696" s="17" t="str">
        <f t="shared" ca="1" si="1025"/>
        <v/>
      </c>
    </row>
    <row r="8697" spans="1:10" x14ac:dyDescent="0.25">
      <c r="A8697" t="s">
        <v>1535</v>
      </c>
      <c r="B8697" t="str">
        <f>ADDRESS(ROW(TIF_DistrictAnnual_HssAdminCostPriorAdj_Entry),COLUMN(TIF_DistrictAnnual_HssAdminCostPriorAdj_Entry),4)</f>
        <v>B22</v>
      </c>
      <c r="C8697" t="str">
        <f>ADDRESS(ROW(HSS!D$22),COLUMN(HSS!D$22),4)</f>
        <v>D22</v>
      </c>
      <c r="D8697" t="b" cm="1">
        <f t="array" aca="1" ref="D8697" ca="1">IF(INDIRECT("'"&amp;A8697&amp;"'!"&amp;B8697)="",FALSE,IF(INDIRECT("'"&amp;A8697&amp;"'!"&amp;B8697)&lt;0,TRUE,FALSE))</f>
        <v>0</v>
      </c>
      <c r="E8697" t="s">
        <v>434</v>
      </c>
      <c r="F8697" t="str">
        <f>INDEX(Lists!I:I,MATCH(Validation!E8697,Lists!G:G,0))</f>
        <v>Error</v>
      </c>
      <c r="G8697" t="str">
        <f>INDEX(Lists!H:H,MATCH(Validation!E8697,Lists!G:G,0))</f>
        <v>Amount may not be negative. Enter an amount greater than or equal to zero.</v>
      </c>
      <c r="H8697" s="16" t="str">
        <f t="shared" ca="1" si="1023"/>
        <v/>
      </c>
      <c r="I8697" s="16" t="str">
        <f t="shared" ca="1" si="1024"/>
        <v/>
      </c>
      <c r="J8697" s="17" t="str">
        <f t="shared" ca="1" si="1025"/>
        <v/>
      </c>
    </row>
    <row r="8698" spans="1:10" x14ac:dyDescent="0.25">
      <c r="A8698" t="s">
        <v>1535</v>
      </c>
      <c r="B8698" t="str">
        <f>ADDRESS(ROW(TIF_DistrictAnnual_HssAdminCostPriorAdj_Entry),COLUMN(TIF_DistrictAnnual_HssAdminCostPriorAdj_Entry),4)</f>
        <v>B22</v>
      </c>
      <c r="C8698" t="str">
        <f>ADDRESS(ROW(HSS!D$22),COLUMN(HSS!D$22),4)</f>
        <v>D22</v>
      </c>
      <c r="D8698" t="b" cm="1">
        <f t="array" aca="1" ref="D8698" ca="1">IF(INDIRECT("'"&amp;A8698&amp;"'!"&amp;B8698)="",FALSE,IF(TRUNC(INDIRECT("'"&amp;A8698&amp;"'!"&amp;B8698))=INDIRECT("'"&amp;A8698&amp;"'!"&amp;B8698),FALSE,TRUE))</f>
        <v>0</v>
      </c>
      <c r="E8698" t="s">
        <v>436</v>
      </c>
      <c r="F8698" t="str">
        <f>INDEX(Lists!I:I,MATCH(Validation!E8698,Lists!G:G,0))</f>
        <v>Error</v>
      </c>
      <c r="G8698" t="str">
        <f>INDEX(Lists!H:H,MATCH(Validation!E8698,Lists!G:G,0))</f>
        <v>Amount must be rounded to the nearest dollar.</v>
      </c>
      <c r="H8698" s="16" t="str">
        <f t="shared" ca="1" si="1023"/>
        <v/>
      </c>
      <c r="I8698" s="16" t="str">
        <f t="shared" ca="1" si="1024"/>
        <v/>
      </c>
      <c r="J8698" s="17" t="str">
        <f t="shared" ca="1" si="1025"/>
        <v/>
      </c>
    </row>
    <row r="8699" spans="1:10" x14ac:dyDescent="0.25">
      <c r="A8699" t="s">
        <v>1535</v>
      </c>
      <c r="B8699" t="str">
        <f>ADDRESS(ROW(TIF_DistrictAnnual_HssAdminCost),COLUMN(TIF_DistrictAnnual_HssAdminCost),4)</f>
        <v>C22</v>
      </c>
      <c r="C8699" t="str">
        <f>ADDRESS(ROW(HSS!D$22),COLUMN(HSS!D$22),4)</f>
        <v>D22</v>
      </c>
      <c r="D8699" t="b" cm="1">
        <f t="array" aca="1" ref="D8699" ca="1">IF(AND(TIF_Plan_HssInd_Entry="Yes",OR(INDIRECT("'"&amp;A8699&amp;"'!"&amp;B8699)="",ISBLANK(INDIRECT("'"&amp;A8699&amp;"'!"&amp;B8699)))),TRUE,FALSE)</f>
        <v>0</v>
      </c>
      <c r="E8699" t="s">
        <v>1572</v>
      </c>
      <c r="F8699" t="str">
        <f>INDEX(Lists!I:I,MATCH(Validation!E8699,Lists!G:G,0))</f>
        <v>Error</v>
      </c>
      <c r="G8699" t="str">
        <f>INDEX(Lists!H:H,MATCH(Validation!E8699,Lists!G:G,0))</f>
        <v>Entry required. Enter $0 if applicable.</v>
      </c>
      <c r="H8699" s="16" t="str">
        <f t="shared" ca="1" si="1023"/>
        <v/>
      </c>
      <c r="I8699" s="16" t="str">
        <f t="shared" ca="1" si="1024"/>
        <v/>
      </c>
      <c r="J8699" s="17" t="str">
        <f t="shared" ca="1" si="1025"/>
        <v/>
      </c>
    </row>
    <row r="8700" spans="1:10" x14ac:dyDescent="0.25">
      <c r="A8700" t="s">
        <v>1535</v>
      </c>
      <c r="B8700" t="str">
        <f>ADDRESS(ROW(TIF_DistrictAnnual_HssAdminCost),COLUMN(TIF_DistrictAnnual_HssAdminCost),4)</f>
        <v>C22</v>
      </c>
      <c r="C8700" t="str">
        <f>ADDRESS(ROW(HSS!D$22),COLUMN(HSS!D$22),4)</f>
        <v>D22</v>
      </c>
      <c r="D8700" t="b" cm="1">
        <f t="array" aca="1" ref="D8700" ca="1">IF(INDIRECT("'"&amp;A8700&amp;"'!"&amp;B8700)="",FALSE,IF(NOT(ISNUMBER(INDIRECT("'"&amp;A8700&amp;"'!"&amp;B8700))),TRUE,FALSE))</f>
        <v>0</v>
      </c>
      <c r="E8700" t="s">
        <v>435</v>
      </c>
      <c r="F8700" t="str">
        <f>INDEX(Lists!I:I,MATCH(Validation!E8700,Lists!G:G,0))</f>
        <v>Error</v>
      </c>
      <c r="G8700" t="str">
        <f>INDEX(Lists!H:H,MATCH(Validation!E8700,Lists!G:G,0))</f>
        <v>Enter an amount only. Do not enter text or spaces.</v>
      </c>
      <c r="H8700" s="16" t="str">
        <f t="shared" ca="1" si="1023"/>
        <v/>
      </c>
      <c r="I8700" s="16" t="str">
        <f t="shared" ca="1" si="1024"/>
        <v/>
      </c>
      <c r="J8700" s="17" t="str">
        <f t="shared" ca="1" si="1025"/>
        <v/>
      </c>
    </row>
    <row r="8701" spans="1:10" x14ac:dyDescent="0.25">
      <c r="A8701" t="s">
        <v>1535</v>
      </c>
      <c r="B8701" t="str">
        <f>ADDRESS(ROW(TIF_DistrictAnnual_HssAdminCost),COLUMN(TIF_DistrictAnnual_HssAdminCost),4)</f>
        <v>C22</v>
      </c>
      <c r="C8701" t="str">
        <f>ADDRESS(ROW(HSS!D$22),COLUMN(HSS!D$22),4)</f>
        <v>D22</v>
      </c>
      <c r="D8701" t="b" cm="1">
        <f t="array" aca="1" ref="D8701" ca="1">IF(INDIRECT("'"&amp;A8701&amp;"'!"&amp;B8701)="",FALSE,IF(INDIRECT("'"&amp;A8701&amp;"'!"&amp;B8701)&lt;0,TRUE,FALSE))</f>
        <v>0</v>
      </c>
      <c r="E8701" t="s">
        <v>434</v>
      </c>
      <c r="F8701" t="str">
        <f>INDEX(Lists!I:I,MATCH(Validation!E8701,Lists!G:G,0))</f>
        <v>Error</v>
      </c>
      <c r="G8701" t="str">
        <f>INDEX(Lists!H:H,MATCH(Validation!E8701,Lists!G:G,0))</f>
        <v>Amount may not be negative. Enter an amount greater than or equal to zero.</v>
      </c>
      <c r="H8701" s="16" t="str">
        <f t="shared" ca="1" si="1023"/>
        <v/>
      </c>
      <c r="I8701" s="16" t="str">
        <f t="shared" ca="1" si="1024"/>
        <v/>
      </c>
      <c r="J8701" s="17" t="str">
        <f t="shared" ca="1" si="1025"/>
        <v/>
      </c>
    </row>
    <row r="8702" spans="1:10" x14ac:dyDescent="0.25">
      <c r="A8702" t="s">
        <v>1535</v>
      </c>
      <c r="B8702" t="str">
        <f>ADDRESS(ROW(TIF_DistrictAnnual_HssAdminCost),COLUMN(TIF_DistrictAnnual_HssAdminCost),4)</f>
        <v>C22</v>
      </c>
      <c r="C8702" t="str">
        <f>ADDRESS(ROW(HSS!D$22),COLUMN(HSS!D$22),4)</f>
        <v>D22</v>
      </c>
      <c r="D8702" t="b" cm="1">
        <f t="array" aca="1" ref="D8702" ca="1">IF(INDIRECT("'"&amp;A8702&amp;"'!"&amp;B8702)="",FALSE,IF(TRUNC(INDIRECT("'"&amp;A8702&amp;"'!"&amp;B8702))=INDIRECT("'"&amp;A8702&amp;"'!"&amp;B8702),FALSE,TRUE))</f>
        <v>0</v>
      </c>
      <c r="E8702" t="s">
        <v>436</v>
      </c>
      <c r="F8702" t="str">
        <f>INDEX(Lists!I:I,MATCH(Validation!E8702,Lists!G:G,0))</f>
        <v>Error</v>
      </c>
      <c r="G8702" t="str">
        <f>INDEX(Lists!H:H,MATCH(Validation!E8702,Lists!G:G,0))</f>
        <v>Amount must be rounded to the nearest dollar.</v>
      </c>
      <c r="H8702" s="16" t="str">
        <f t="shared" ca="1" si="1023"/>
        <v/>
      </c>
      <c r="I8702" s="16" t="str">
        <f t="shared" ca="1" si="1024"/>
        <v/>
      </c>
      <c r="J8702" s="17" t="str">
        <f t="shared" ca="1" si="1025"/>
        <v/>
      </c>
    </row>
    <row r="8703" spans="1:10" x14ac:dyDescent="0.25">
      <c r="A8703" t="s">
        <v>1535</v>
      </c>
      <c r="B8703" t="str">
        <f>ADDRESS(ROW(TIF_DistrictAnnual_HssFinancingCostPriorAdj_Entry),COLUMN(TIF_DistrictAnnual_HssFinancingCostPriorAdj_Entry),4)</f>
        <v>B23</v>
      </c>
      <c r="C8703" t="str">
        <f>ADDRESS(ROW(HSS!D$23),COLUMN(HSS!D$23),4)</f>
        <v>D23</v>
      </c>
      <c r="D8703" t="b" cm="1">
        <f t="array" aca="1" ref="D8703" ca="1">IF(AND(TIF_Plan_HssInd_Entry="Yes",OR(INDIRECT("'"&amp;A8703&amp;"'!"&amp;B8703)="",ISBLANK(INDIRECT("'"&amp;A8703&amp;"'!"&amp;B8703)))),TRUE,FALSE)</f>
        <v>0</v>
      </c>
      <c r="E8703" t="s">
        <v>1572</v>
      </c>
      <c r="F8703" t="str">
        <f>INDEX(Lists!I:I,MATCH(Validation!E8703,Lists!G:G,0))</f>
        <v>Error</v>
      </c>
      <c r="G8703" t="str">
        <f>INDEX(Lists!H:H,MATCH(Validation!E8703,Lists!G:G,0))</f>
        <v>Entry required. Enter $0 if applicable.</v>
      </c>
      <c r="H8703" s="16" t="str">
        <f t="shared" ca="1" si="1023"/>
        <v/>
      </c>
      <c r="I8703" s="16" t="str">
        <f t="shared" ca="1" si="1024"/>
        <v/>
      </c>
      <c r="J8703" s="17" t="str">
        <f t="shared" ca="1" si="1025"/>
        <v/>
      </c>
    </row>
    <row r="8704" spans="1:10" x14ac:dyDescent="0.25">
      <c r="A8704" t="s">
        <v>1535</v>
      </c>
      <c r="B8704" t="str">
        <f>ADDRESS(ROW(TIF_DistrictAnnual_HssFinancingCostPriorAdj_Entry),COLUMN(TIF_DistrictAnnual_HssFinancingCostPriorAdj_Entry),4)</f>
        <v>B23</v>
      </c>
      <c r="C8704" t="str">
        <f>ADDRESS(ROW(HSS!D$23),COLUMN(HSS!D$23),4)</f>
        <v>D23</v>
      </c>
      <c r="D8704" t="b" cm="1">
        <f t="array" aca="1" ref="D8704" ca="1">IF(INDIRECT("'"&amp;A8704&amp;"'!"&amp;B8704)="",FALSE,IF(NOT(ISNUMBER(INDIRECT("'"&amp;A8704&amp;"'!"&amp;B8704))),TRUE,FALSE))</f>
        <v>0</v>
      </c>
      <c r="E8704" t="s">
        <v>435</v>
      </c>
      <c r="F8704" t="str">
        <f>INDEX(Lists!I:I,MATCH(Validation!E8704,Lists!G:G,0))</f>
        <v>Error</v>
      </c>
      <c r="G8704" t="str">
        <f>INDEX(Lists!H:H,MATCH(Validation!E8704,Lists!G:G,0))</f>
        <v>Enter an amount only. Do not enter text or spaces.</v>
      </c>
      <c r="H8704" s="16" t="str">
        <f t="shared" ca="1" si="1023"/>
        <v/>
      </c>
      <c r="I8704" s="16" t="str">
        <f t="shared" ca="1" si="1024"/>
        <v/>
      </c>
      <c r="J8704" s="17" t="str">
        <f t="shared" ca="1" si="1025"/>
        <v/>
      </c>
    </row>
    <row r="8705" spans="1:10" x14ac:dyDescent="0.25">
      <c r="A8705" t="s">
        <v>1535</v>
      </c>
      <c r="B8705" t="str">
        <f>ADDRESS(ROW(TIF_DistrictAnnual_HssFinancingCostPriorAdj_Entry),COLUMN(TIF_DistrictAnnual_HssFinancingCostPriorAdj_Entry),4)</f>
        <v>B23</v>
      </c>
      <c r="C8705" t="str">
        <f>ADDRESS(ROW(HSS!D$23),COLUMN(HSS!D$23),4)</f>
        <v>D23</v>
      </c>
      <c r="D8705" t="b" cm="1">
        <f t="array" aca="1" ref="D8705" ca="1">IF(INDIRECT("'"&amp;A8705&amp;"'!"&amp;B8705)="",FALSE,IF(INDIRECT("'"&amp;A8705&amp;"'!"&amp;B8705)&lt;0,TRUE,FALSE))</f>
        <v>0</v>
      </c>
      <c r="E8705" t="s">
        <v>434</v>
      </c>
      <c r="F8705" t="str">
        <f>INDEX(Lists!I:I,MATCH(Validation!E8705,Lists!G:G,0))</f>
        <v>Error</v>
      </c>
      <c r="G8705" t="str">
        <f>INDEX(Lists!H:H,MATCH(Validation!E8705,Lists!G:G,0))</f>
        <v>Amount may not be negative. Enter an amount greater than or equal to zero.</v>
      </c>
      <c r="H8705" s="16" t="str">
        <f t="shared" ca="1" si="1023"/>
        <v/>
      </c>
      <c r="I8705" s="16" t="str">
        <f t="shared" ca="1" si="1024"/>
        <v/>
      </c>
      <c r="J8705" s="17" t="str">
        <f t="shared" ca="1" si="1025"/>
        <v/>
      </c>
    </row>
    <row r="8706" spans="1:10" x14ac:dyDescent="0.25">
      <c r="A8706" t="s">
        <v>1535</v>
      </c>
      <c r="B8706" t="str">
        <f>ADDRESS(ROW(TIF_DistrictAnnual_HssFinancingCostPriorAdj_Entry),COLUMN(TIF_DistrictAnnual_HssFinancingCostPriorAdj_Entry),4)</f>
        <v>B23</v>
      </c>
      <c r="C8706" t="str">
        <f>ADDRESS(ROW(HSS!D$23),COLUMN(HSS!D$23),4)</f>
        <v>D23</v>
      </c>
      <c r="D8706" t="b" cm="1">
        <f t="array" aca="1" ref="D8706" ca="1">IF(INDIRECT("'"&amp;A8706&amp;"'!"&amp;B8706)="",FALSE,IF(TRUNC(INDIRECT("'"&amp;A8706&amp;"'!"&amp;B8706))=INDIRECT("'"&amp;A8706&amp;"'!"&amp;B8706),FALSE,TRUE))</f>
        <v>0</v>
      </c>
      <c r="E8706" t="s">
        <v>436</v>
      </c>
      <c r="F8706" t="str">
        <f>INDEX(Lists!I:I,MATCH(Validation!E8706,Lists!G:G,0))</f>
        <v>Error</v>
      </c>
      <c r="G8706" t="str">
        <f>INDEX(Lists!H:H,MATCH(Validation!E8706,Lists!G:G,0))</f>
        <v>Amount must be rounded to the nearest dollar.</v>
      </c>
      <c r="H8706" s="16" t="str">
        <f t="shared" ca="1" si="1023"/>
        <v/>
      </c>
      <c r="I8706" s="16" t="str">
        <f t="shared" ca="1" si="1024"/>
        <v/>
      </c>
      <c r="J8706" s="17" t="str">
        <f t="shared" ca="1" si="1025"/>
        <v/>
      </c>
    </row>
    <row r="8707" spans="1:10" x14ac:dyDescent="0.25">
      <c r="A8707" t="s">
        <v>1535</v>
      </c>
      <c r="B8707" t="str">
        <f>ADDRESS(ROW(TIF_DistrictAnnual_HssFinancingCost),COLUMN(TIF_DistrictAnnual_HssFinancingCost),4)</f>
        <v>C23</v>
      </c>
      <c r="C8707" t="str">
        <f>ADDRESS(ROW(HSS!D$23),COLUMN(HSS!D$23),4)</f>
        <v>D23</v>
      </c>
      <c r="D8707" t="b" cm="1">
        <f t="array" aca="1" ref="D8707" ca="1">IF(AND(TIF_Plan_HssInd_Entry="Yes",OR(INDIRECT("'"&amp;A8707&amp;"'!"&amp;B8707)="",ISBLANK(INDIRECT("'"&amp;A8707&amp;"'!"&amp;B8707)))),TRUE,FALSE)</f>
        <v>0</v>
      </c>
      <c r="E8707" t="s">
        <v>1572</v>
      </c>
      <c r="F8707" t="str">
        <f>INDEX(Lists!I:I,MATCH(Validation!E8707,Lists!G:G,0))</f>
        <v>Error</v>
      </c>
      <c r="G8707" t="str">
        <f>INDEX(Lists!H:H,MATCH(Validation!E8707,Lists!G:G,0))</f>
        <v>Entry required. Enter $0 if applicable.</v>
      </c>
      <c r="H8707" s="16" t="str">
        <f t="shared" ca="1" si="1023"/>
        <v/>
      </c>
      <c r="I8707" s="16" t="str">
        <f t="shared" ca="1" si="1024"/>
        <v/>
      </c>
      <c r="J8707" s="17" t="str">
        <f t="shared" ca="1" si="1025"/>
        <v/>
      </c>
    </row>
    <row r="8708" spans="1:10" x14ac:dyDescent="0.25">
      <c r="A8708" t="s">
        <v>1535</v>
      </c>
      <c r="B8708" t="str">
        <f>ADDRESS(ROW(TIF_DistrictAnnual_HssFinancingCost),COLUMN(TIF_DistrictAnnual_HssFinancingCost),4)</f>
        <v>C23</v>
      </c>
      <c r="C8708" t="str">
        <f>ADDRESS(ROW(HSS!D$23),COLUMN(HSS!D$23),4)</f>
        <v>D23</v>
      </c>
      <c r="D8708" t="b" cm="1">
        <f t="array" aca="1" ref="D8708" ca="1">IF(INDIRECT("'"&amp;A8708&amp;"'!"&amp;B8708)="",FALSE,IF(NOT(ISNUMBER(INDIRECT("'"&amp;A8708&amp;"'!"&amp;B8708))),TRUE,FALSE))</f>
        <v>0</v>
      </c>
      <c r="E8708" t="s">
        <v>435</v>
      </c>
      <c r="F8708" t="str">
        <f>INDEX(Lists!I:I,MATCH(Validation!E8708,Lists!G:G,0))</f>
        <v>Error</v>
      </c>
      <c r="G8708" t="str">
        <f>INDEX(Lists!H:H,MATCH(Validation!E8708,Lists!G:G,0))</f>
        <v>Enter an amount only. Do not enter text or spaces.</v>
      </c>
      <c r="H8708" s="16" t="str">
        <f t="shared" ca="1" si="1023"/>
        <v/>
      </c>
      <c r="I8708" s="16" t="str">
        <f t="shared" ca="1" si="1024"/>
        <v/>
      </c>
      <c r="J8708" s="17" t="str">
        <f t="shared" ca="1" si="1025"/>
        <v/>
      </c>
    </row>
    <row r="8709" spans="1:10" x14ac:dyDescent="0.25">
      <c r="A8709" t="s">
        <v>1535</v>
      </c>
      <c r="B8709" t="str">
        <f>ADDRESS(ROW(TIF_DistrictAnnual_HssFinancingCost),COLUMN(TIF_DistrictAnnual_HssFinancingCost),4)</f>
        <v>C23</v>
      </c>
      <c r="C8709" t="str">
        <f>ADDRESS(ROW(HSS!D$23),COLUMN(HSS!D$23),4)</f>
        <v>D23</v>
      </c>
      <c r="D8709" t="b" cm="1">
        <f t="array" aca="1" ref="D8709" ca="1">IF(INDIRECT("'"&amp;A8709&amp;"'!"&amp;B8709)="",FALSE,IF(INDIRECT("'"&amp;A8709&amp;"'!"&amp;B8709)&lt;0,TRUE,FALSE))</f>
        <v>0</v>
      </c>
      <c r="E8709" t="s">
        <v>434</v>
      </c>
      <c r="F8709" t="str">
        <f>INDEX(Lists!I:I,MATCH(Validation!E8709,Lists!G:G,0))</f>
        <v>Error</v>
      </c>
      <c r="G8709" t="str">
        <f>INDEX(Lists!H:H,MATCH(Validation!E8709,Lists!G:G,0))</f>
        <v>Amount may not be negative. Enter an amount greater than or equal to zero.</v>
      </c>
      <c r="H8709" s="16" t="str">
        <f t="shared" ca="1" si="1023"/>
        <v/>
      </c>
      <c r="I8709" s="16" t="str">
        <f t="shared" ca="1" si="1024"/>
        <v/>
      </c>
      <c r="J8709" s="17" t="str">
        <f t="shared" ca="1" si="1025"/>
        <v/>
      </c>
    </row>
    <row r="8710" spans="1:10" x14ac:dyDescent="0.25">
      <c r="A8710" t="s">
        <v>1535</v>
      </c>
      <c r="B8710" t="str">
        <f>ADDRESS(ROW(TIF_DistrictAnnual_HssFinancingCost),COLUMN(TIF_DistrictAnnual_HssFinancingCost),4)</f>
        <v>C23</v>
      </c>
      <c r="C8710" t="str">
        <f>ADDRESS(ROW(HSS!D$23),COLUMN(HSS!D$23),4)</f>
        <v>D23</v>
      </c>
      <c r="D8710" t="b" cm="1">
        <f t="array" aca="1" ref="D8710" ca="1">IF(INDIRECT("'"&amp;A8710&amp;"'!"&amp;B8710)="",FALSE,IF(TRUNC(INDIRECT("'"&amp;A8710&amp;"'!"&amp;B8710))=INDIRECT("'"&amp;A8710&amp;"'!"&amp;B8710),FALSE,TRUE))</f>
        <v>0</v>
      </c>
      <c r="E8710" t="s">
        <v>436</v>
      </c>
      <c r="F8710" t="str">
        <f>INDEX(Lists!I:I,MATCH(Validation!E8710,Lists!G:G,0))</f>
        <v>Error</v>
      </c>
      <c r="G8710" t="str">
        <f>INDEX(Lists!H:H,MATCH(Validation!E8710,Lists!G:G,0))</f>
        <v>Amount must be rounded to the nearest dollar.</v>
      </c>
      <c r="H8710" s="16" t="str">
        <f t="shared" ca="1" si="1023"/>
        <v/>
      </c>
      <c r="I8710" s="16" t="str">
        <f t="shared" ca="1" si="1024"/>
        <v/>
      </c>
      <c r="J8710" s="17" t="str">
        <f t="shared" ca="1" si="1025"/>
        <v/>
      </c>
    </row>
    <row r="8711" spans="1:10" x14ac:dyDescent="0.25">
      <c r="A8711" t="s">
        <v>1535</v>
      </c>
      <c r="C8711" t="str">
        <f>ADDRESS(ROW(HSS!D$24),COLUMN(HSS!D$24),4)</f>
        <v>D24</v>
      </c>
      <c r="D8711" s="46" t="b">
        <f>IF(OR(HSS!B24&gt;TIF_DistrictAnnual_HssIncrementPriorAdj_Entry,HSS!C24&gt;TIF_DistrictAnnual_HssIncrement),TRUE,FALSE)</f>
        <v>0</v>
      </c>
      <c r="E8711" t="s">
        <v>1575</v>
      </c>
      <c r="F8711" t="str">
        <f>INDEX(Lists!I:I,MATCH(Validation!E8711,Lists!G:G,0))</f>
        <v>Error</v>
      </c>
      <c r="G8711" t="str">
        <f>INDEX(Lists!H:H,MATCH(Validation!E8711,Lists!G:G,0))</f>
        <v>Sum of uses exceeds increment for prior and/or current year. Correct entries.</v>
      </c>
      <c r="H8711" s="16" t="str">
        <f ca="1">IFERROR(IF(OR(NOT(D8711),F8711&lt;&gt;"Error"),"",A8711&amp;CELL("address",INDIRECT(B8711))),"")</f>
        <v/>
      </c>
      <c r="I8711" s="16" t="str">
        <f ca="1">IFERROR(IF(NOT(D8711),"",A8711&amp;CELL("address",INDIRECT(C8711))),"")</f>
        <v/>
      </c>
      <c r="J8711" s="17" t="str">
        <f>IFERROR(IF(NOT(D8711),"",A8711),"")</f>
        <v/>
      </c>
    </row>
    <row r="8712" spans="1:10" x14ac:dyDescent="0.25">
      <c r="A8712" t="s">
        <v>1535</v>
      </c>
      <c r="C8712" t="str">
        <f>ADDRESS(ROW(HSS!D$24),COLUMN(HSS!D$24),4)</f>
        <v>D24</v>
      </c>
      <c r="D8712" s="46" t="b">
        <f>IF(AND(OR(TIF_DistrictAnnual_HssIncrementPriorAdj_Entry="",ISBLANK(TIF_DistrictAnnual_HssIncrementPriorAdj_Entry)),OR(TIF_DistrictAnnual_HssIncrement="",ISBLANK(TIF_DistrictAnnual_HssIncrement))),FALSE,IF(OR(HSS!B24&lt;TIF_DistrictAnnual_HssIncrementPriorAdj_Entry,HSS!C24&lt;TIF_DistrictAnnual_HssIncrement),TRUE,FALSE))</f>
        <v>0</v>
      </c>
      <c r="E8712" t="s">
        <v>1573</v>
      </c>
      <c r="F8712" t="str">
        <f>INDEX(Lists!I:I,MATCH(Validation!E8712,Lists!G:G,0))</f>
        <v>Alert</v>
      </c>
      <c r="G8712" t="str">
        <f>INDEX(Lists!H:H,MATCH(Validation!E8712,Lists!G:G,0))</f>
        <v>Sum of uses is less than increment for prior and/or current year. (See instructions)</v>
      </c>
      <c r="H8712" s="16" t="str">
        <f t="shared" ref="H8712:H8715" ca="1" si="1026">IFERROR(IF(OR(NOT(D8712),F8712&lt;&gt;"Error"),"",A8712&amp;CELL("address",INDIRECT(B8712))),"")</f>
        <v/>
      </c>
      <c r="I8712" s="16" t="str">
        <f t="shared" ref="I8712:I8715" ca="1" si="1027">IFERROR(IF(NOT(D8712),"",A8712&amp;CELL("address",INDIRECT(C8712))),"")</f>
        <v/>
      </c>
      <c r="J8712" s="17" t="str">
        <f t="shared" ref="J8712:J8715" si="1028">IFERROR(IF(NOT(D8712),"",A8712),"")</f>
        <v/>
      </c>
    </row>
    <row r="8713" spans="1:10" x14ac:dyDescent="0.25">
      <c r="A8713" t="s">
        <v>1535</v>
      </c>
      <c r="B8713" t="str">
        <f>ADDRESS(ROW(TIF_DistrictAnnual_HssRecoveredCostsInd_Entry),COLUMN(TIF_DistrictAnnual_HssRecoveredCostsInd_Entry),4)</f>
        <v>B26</v>
      </c>
      <c r="C8713" t="str">
        <f>ADDRESS(ROW(HSS!D$26),COLUMN(HSS!D$26),4)</f>
        <v>D26</v>
      </c>
      <c r="D8713" t="b">
        <f>IF(TIF_DistrictAnnual_HssRecoveredCostsInd_Entry="Select One",TRUE,FALSE)</f>
        <v>0</v>
      </c>
      <c r="E8713" t="s">
        <v>73</v>
      </c>
      <c r="F8713" t="str">
        <f>INDEX(Lists!I:I,MATCH(Validation!E8713,Lists!G:G,0))</f>
        <v>Error</v>
      </c>
      <c r="G8713" t="str">
        <f>INDEX(Lists!H:H,MATCH(Validation!E8713,Lists!G:G,0))</f>
        <v>You must select Yes or No.</v>
      </c>
      <c r="H8713" s="16" t="str">
        <f t="shared" ca="1" si="1026"/>
        <v/>
      </c>
      <c r="I8713" s="16" t="str">
        <f t="shared" ca="1" si="1027"/>
        <v/>
      </c>
      <c r="J8713" s="17" t="str">
        <f t="shared" si="1028"/>
        <v/>
      </c>
    </row>
    <row r="8714" spans="1:10" x14ac:dyDescent="0.25">
      <c r="A8714" t="s">
        <v>1535</v>
      </c>
      <c r="B8714" t="str">
        <f>ADDRESS(ROW(TIF_DistrictAnnual_HssRecoveredCostsInd_Entry),COLUMN(TIF_DistrictAnnual_HssRecoveredCostsInd_Entry),4)</f>
        <v>B26</v>
      </c>
      <c r="C8714" t="str">
        <f>ADDRESS(ROW(HSS!D$26),COLUMN(HSS!D$26),4)</f>
        <v>D26</v>
      </c>
      <c r="D8714" s="18" t="b">
        <f>IF(AND(TIF_DistrictAnnual_HssRecoveredCostsInd_Input=TRUE,TIF_DistrictAnnual_HssRecoveredCostsInd_Entry="No"),TRUE,FALSE)</f>
        <v>0</v>
      </c>
      <c r="E8714" t="s">
        <v>491</v>
      </c>
      <c r="F8714" t="str">
        <f>INDEX(Lists!I:I,MATCH(Validation!E8714,Lists!G:G,0))</f>
        <v>Error</v>
      </c>
      <c r="G8714" t="str">
        <f>INDEX(Lists!H:H,MATCH(Validation!E8714,Lists!G:G,0))</f>
        <v>Yes was previously reported and must be selected. Contact TIF Division to change.</v>
      </c>
      <c r="H8714" s="16" t="str">
        <f t="shared" ca="1" si="1026"/>
        <v/>
      </c>
      <c r="I8714" s="16" t="str">
        <f t="shared" ca="1" si="1027"/>
        <v/>
      </c>
      <c r="J8714" s="17" t="str">
        <f t="shared" si="1028"/>
        <v/>
      </c>
    </row>
    <row r="8715" spans="1:10" x14ac:dyDescent="0.25">
      <c r="A8715" t="s">
        <v>1535</v>
      </c>
      <c r="B8715" t="str">
        <f>ADDRESS(ROW(TIF_DistrictAnnual_HssRecoveredCostsInd_Entry),COLUMN(TIF_DistrictAnnual_HssRecoveredCostsInd_Entry),4)</f>
        <v>B26</v>
      </c>
      <c r="C8715" t="str">
        <f>ADDRESS(ROW(HSS!D$26),COLUMN(HSS!D$26),4)</f>
        <v>D26</v>
      </c>
      <c r="D8715" t="b">
        <f>IF(TIF_DistrictAnnual_HssRecoveredCostsInd_Input=TRUE,TRUE,FALSE)</f>
        <v>0</v>
      </c>
      <c r="E8715" t="s">
        <v>1585</v>
      </c>
      <c r="F8715" t="str">
        <f>INDEX(Lists!I:I,MATCH(Validation!E8715,Lists!G:G,0))</f>
        <v>Information</v>
      </c>
      <c r="G8715" t="str">
        <f>INDEX(Lists!H:H,MATCH(Validation!E8715,Lists!G:G,0))</f>
        <v>Recovered costs were previously reported. Update amounts if changes apply.</v>
      </c>
      <c r="H8715" s="16" t="str">
        <f t="shared" ca="1" si="1026"/>
        <v/>
      </c>
      <c r="I8715" s="16" t="str">
        <f t="shared" ca="1" si="1027"/>
        <v/>
      </c>
      <c r="J8715" s="17" t="str">
        <f t="shared" si="1028"/>
        <v/>
      </c>
    </row>
    <row r="8716" spans="1:10" x14ac:dyDescent="0.25">
      <c r="A8716" t="s">
        <v>1535</v>
      </c>
      <c r="B8716" t="str">
        <f>ADDRESS(ROW(TIF_DistrictAnnual_HssRecoveredCostsInd_Entry),COLUMN(TIF_DistrictAnnual_HssRecoveredCostsInd_Entry),4)</f>
        <v>B26</v>
      </c>
      <c r="C8716" t="str">
        <f>ADDRESS(ROW(HSS!D$26),COLUMN(HSS!D$26),4)</f>
        <v>D26</v>
      </c>
      <c r="D8716" t="b">
        <f>IF(TIF_DistrictAnnual_HssRecoveredCostsInd_Entry="No",TRUE,FALSE)</f>
        <v>0</v>
      </c>
      <c r="E8716" t="s">
        <v>577</v>
      </c>
      <c r="F8716" t="str">
        <f>INDEX(Lists!I:I,MATCH(Validation!E8716,Lists!G:G,0))</f>
        <v>Information</v>
      </c>
      <c r="G8716" t="str">
        <f>INDEX(Lists!H:H,MATCH(Validation!E8716,Lists!G:G,0))</f>
        <v>If No, skip the remainder of this tab and continue to the next tab.</v>
      </c>
      <c r="H8716" s="16" t="str">
        <f t="shared" ref="H8716" ca="1" si="1029">IFERROR(IF(OR(NOT(D8716),F8716&lt;&gt;"Error"),"",A8716&amp;CELL("address",INDIRECT(B8716))),"")</f>
        <v/>
      </c>
      <c r="I8716" s="16" t="str">
        <f t="shared" ref="I8716" ca="1" si="1030">IFERROR(IF(NOT(D8716),"",A8716&amp;CELL("address",INDIRECT(C8716))),"")</f>
        <v/>
      </c>
      <c r="J8716" s="17" t="str">
        <f t="shared" ref="J8716" si="1031">IFERROR(IF(NOT(D8716),"",A8716),"")</f>
        <v/>
      </c>
    </row>
    <row r="8717" spans="1:10" x14ac:dyDescent="0.25">
      <c r="A8717" t="s">
        <v>1535</v>
      </c>
      <c r="B8717" t="str">
        <f>ADDRESS(ROW(TIF_DistrictAnnual_HssRecoveredCosts_Entry),COLUMN(TIF_DistrictAnnual_HssRecoveredCosts_Entry),4)</f>
        <v>B27</v>
      </c>
      <c r="C8717" t="str">
        <f>ADDRESS(ROW(HSS!D$27),COLUMN(HSS!D$27),4)</f>
        <v>D27</v>
      </c>
      <c r="D8717" t="b" cm="1">
        <f t="array" aca="1" ref="D8717" ca="1">IF(AND(TIF_DistrictAnnual_HssRecoveredCostsInd_Entry="Yes",OR(INDIRECT("'"&amp;A8717&amp;"'!"&amp;B8717)="",ISBLANK(INDIRECT("'"&amp;A8717&amp;"'!"&amp;B8717)))),TRUE,FALSE)</f>
        <v>0</v>
      </c>
      <c r="E8717" t="s">
        <v>495</v>
      </c>
      <c r="F8717" t="str">
        <f>INDEX(Lists!I:I,MATCH(Validation!E8717,Lists!G:G,0))</f>
        <v>Error</v>
      </c>
      <c r="G8717" t="str">
        <f>INDEX(Lists!H:H,MATCH(Validation!E8717,Lists!G:G,0))</f>
        <v>Entry required.</v>
      </c>
      <c r="H8717" s="16" t="str">
        <f t="shared" ref="H8717:H8720" ca="1" si="1032">IFERROR(IF(OR(NOT(D8717),F8717&lt;&gt;"Error"),"",A8717&amp;CELL("address",INDIRECT(B8717))),"")</f>
        <v/>
      </c>
      <c r="I8717" s="16" t="str">
        <f t="shared" ref="I8717:I8720" ca="1" si="1033">IFERROR(IF(NOT(D8717),"",A8717&amp;CELL("address",INDIRECT(C8717))),"")</f>
        <v/>
      </c>
      <c r="J8717" s="17" t="str">
        <f t="shared" ref="J8717:J8720" ca="1" si="1034">IFERROR(IF(NOT(D8717),"",A8717),"")</f>
        <v/>
      </c>
    </row>
    <row r="8718" spans="1:10" x14ac:dyDescent="0.25">
      <c r="A8718" t="s">
        <v>1535</v>
      </c>
      <c r="B8718" t="str">
        <f>ADDRESS(ROW(TIF_DistrictAnnual_HssRecoveredCosts_Entry),COLUMN(TIF_DistrictAnnual_HssRecoveredCosts_Entry),4)</f>
        <v>B27</v>
      </c>
      <c r="C8718" t="str">
        <f>ADDRESS(ROW(HSS!D$27),COLUMN(HSS!D$27),4)</f>
        <v>D27</v>
      </c>
      <c r="D8718" t="b" cm="1">
        <f t="array" aca="1" ref="D8718" ca="1">IF(INDIRECT("'"&amp;A8718&amp;"'!"&amp;B8718)="",FALSE,IF(NOT(ISNUMBER(INDIRECT("'"&amp;A8718&amp;"'!"&amp;B8718))),TRUE,FALSE))</f>
        <v>0</v>
      </c>
      <c r="E8718" t="s">
        <v>435</v>
      </c>
      <c r="F8718" t="str">
        <f>INDEX(Lists!I:I,MATCH(Validation!E8718,Lists!G:G,0))</f>
        <v>Error</v>
      </c>
      <c r="G8718" t="str">
        <f>INDEX(Lists!H:H,MATCH(Validation!E8718,Lists!G:G,0))</f>
        <v>Enter an amount only. Do not enter text or spaces.</v>
      </c>
      <c r="H8718" s="16" t="str">
        <f t="shared" ca="1" si="1032"/>
        <v/>
      </c>
      <c r="I8718" s="16" t="str">
        <f t="shared" ca="1" si="1033"/>
        <v/>
      </c>
      <c r="J8718" s="17" t="str">
        <f t="shared" ca="1" si="1034"/>
        <v/>
      </c>
    </row>
    <row r="8719" spans="1:10" x14ac:dyDescent="0.25">
      <c r="A8719" t="s">
        <v>1535</v>
      </c>
      <c r="B8719" t="str">
        <f>ADDRESS(ROW(TIF_DistrictAnnual_HssRecoveredCosts_Entry),COLUMN(TIF_DistrictAnnual_HssRecoveredCosts_Entry),4)</f>
        <v>B27</v>
      </c>
      <c r="C8719" t="str">
        <f>ADDRESS(ROW(HSS!D$27),COLUMN(HSS!D$27),4)</f>
        <v>D27</v>
      </c>
      <c r="D8719" t="b" cm="1">
        <f t="array" aca="1" ref="D8719" ca="1">IF(INDIRECT("'"&amp;A8719&amp;"'!"&amp;B8719)="",FALSE,IF(INDIRECT("'"&amp;A8719&amp;"'!"&amp;B8719)&lt;0,TRUE,FALSE))</f>
        <v>0</v>
      </c>
      <c r="E8719" t="s">
        <v>434</v>
      </c>
      <c r="F8719" t="str">
        <f>INDEX(Lists!I:I,MATCH(Validation!E8719,Lists!G:G,0))</f>
        <v>Error</v>
      </c>
      <c r="G8719" t="str">
        <f>INDEX(Lists!H:H,MATCH(Validation!E8719,Lists!G:G,0))</f>
        <v>Amount may not be negative. Enter an amount greater than or equal to zero.</v>
      </c>
      <c r="H8719" s="16" t="str">
        <f t="shared" ca="1" si="1032"/>
        <v/>
      </c>
      <c r="I8719" s="16" t="str">
        <f t="shared" ca="1" si="1033"/>
        <v/>
      </c>
      <c r="J8719" s="17" t="str">
        <f t="shared" ca="1" si="1034"/>
        <v/>
      </c>
    </row>
    <row r="8720" spans="1:10" x14ac:dyDescent="0.25">
      <c r="A8720" t="s">
        <v>1535</v>
      </c>
      <c r="B8720" t="str">
        <f>ADDRESS(ROW(TIF_DistrictAnnual_HssRecoveredCosts_Entry),COLUMN(TIF_DistrictAnnual_HssRecoveredCosts_Entry),4)</f>
        <v>B27</v>
      </c>
      <c r="C8720" t="str">
        <f>ADDRESS(ROW(HSS!D$27),COLUMN(HSS!D$27),4)</f>
        <v>D27</v>
      </c>
      <c r="D8720" t="b" cm="1">
        <f t="array" aca="1" ref="D8720" ca="1">IF(INDIRECT("'"&amp;A8720&amp;"'!"&amp;B8720)="",FALSE,IF(TRUNC(INDIRECT("'"&amp;A8720&amp;"'!"&amp;B8720))=INDIRECT("'"&amp;A8720&amp;"'!"&amp;B8720),FALSE,TRUE))</f>
        <v>0</v>
      </c>
      <c r="E8720" t="s">
        <v>436</v>
      </c>
      <c r="F8720" t="str">
        <f>INDEX(Lists!I:I,MATCH(Validation!E8720,Lists!G:G,0))</f>
        <v>Error</v>
      </c>
      <c r="G8720" t="str">
        <f>INDEX(Lists!H:H,MATCH(Validation!E8720,Lists!G:G,0))</f>
        <v>Amount must be rounded to the nearest dollar.</v>
      </c>
      <c r="H8720" s="16" t="str">
        <f t="shared" ca="1" si="1032"/>
        <v/>
      </c>
      <c r="I8720" s="16" t="str">
        <f t="shared" ca="1" si="1033"/>
        <v/>
      </c>
      <c r="J8720" s="17" t="str">
        <f t="shared" ca="1" si="1034"/>
        <v/>
      </c>
    </row>
    <row r="8721" spans="1:10" x14ac:dyDescent="0.25">
      <c r="A8721" t="s">
        <v>1535</v>
      </c>
      <c r="B8721" t="str">
        <f>ADDRESS(ROW(TIF_DistrictAnnual_HssPCAReimbursement_Entry),COLUMN(TIF_DistrictAnnual_HssPCAReimbursement_Entry),4)</f>
        <v>B28</v>
      </c>
      <c r="C8721" t="str">
        <f>ADDRESS(ROW(HSS!D$28),COLUMN(HSS!D$28),4)</f>
        <v>D28</v>
      </c>
      <c r="D8721" t="b" cm="1">
        <f t="array" aca="1" ref="D8721" ca="1">IF(AND(TIF_DistrictAnnual_HssRecoveredCostsInd_Entry="Yes",OR(INDIRECT("'"&amp;A8721&amp;"'!"&amp;B8721)="",ISBLANK(INDIRECT("'"&amp;A8721&amp;"'!"&amp;B8721)))),TRUE,FALSE)</f>
        <v>0</v>
      </c>
      <c r="E8721" t="s">
        <v>1572</v>
      </c>
      <c r="F8721" t="str">
        <f>INDEX(Lists!I:I,MATCH(Validation!E8721,Lists!G:G,0))</f>
        <v>Error</v>
      </c>
      <c r="G8721" t="str">
        <f>INDEX(Lists!H:H,MATCH(Validation!E8721,Lists!G:G,0))</f>
        <v>Entry required. Enter $0 if applicable.</v>
      </c>
      <c r="H8721" s="16" t="str">
        <f t="shared" ref="H8721:H8724" ca="1" si="1035">IFERROR(IF(OR(NOT(D8721),F8721&lt;&gt;"Error"),"",A8721&amp;CELL("address",INDIRECT(B8721))),"")</f>
        <v/>
      </c>
      <c r="I8721" s="16" t="str">
        <f t="shared" ref="I8721:I8724" ca="1" si="1036">IFERROR(IF(NOT(D8721),"",A8721&amp;CELL("address",INDIRECT(C8721))),"")</f>
        <v/>
      </c>
      <c r="J8721" s="17" t="str">
        <f t="shared" ref="J8721:J8724" ca="1" si="1037">IFERROR(IF(NOT(D8721),"",A8721),"")</f>
        <v/>
      </c>
    </row>
    <row r="8722" spans="1:10" x14ac:dyDescent="0.25">
      <c r="A8722" t="s">
        <v>1535</v>
      </c>
      <c r="B8722" t="str">
        <f>ADDRESS(ROW(TIF_DistrictAnnual_HssPCAReimbursement_Entry),COLUMN(TIF_DistrictAnnual_HssPCAReimbursement_Entry),4)</f>
        <v>B28</v>
      </c>
      <c r="C8722" t="str">
        <f>ADDRESS(ROW(HSS!D$28),COLUMN(HSS!D$28),4)</f>
        <v>D28</v>
      </c>
      <c r="D8722" t="b" cm="1">
        <f t="array" aca="1" ref="D8722" ca="1">IF(INDIRECT("'"&amp;A8722&amp;"'!"&amp;B8722)="",FALSE,IF(NOT(ISNUMBER(INDIRECT("'"&amp;A8722&amp;"'!"&amp;B8722))),TRUE,FALSE))</f>
        <v>0</v>
      </c>
      <c r="E8722" t="s">
        <v>435</v>
      </c>
      <c r="F8722" t="str">
        <f>INDEX(Lists!I:I,MATCH(Validation!E8722,Lists!G:G,0))</f>
        <v>Error</v>
      </c>
      <c r="G8722" t="str">
        <f>INDEX(Lists!H:H,MATCH(Validation!E8722,Lists!G:G,0))</f>
        <v>Enter an amount only. Do not enter text or spaces.</v>
      </c>
      <c r="H8722" s="16" t="str">
        <f t="shared" ca="1" si="1035"/>
        <v/>
      </c>
      <c r="I8722" s="16" t="str">
        <f t="shared" ca="1" si="1036"/>
        <v/>
      </c>
      <c r="J8722" s="17" t="str">
        <f t="shared" ca="1" si="1037"/>
        <v/>
      </c>
    </row>
    <row r="8723" spans="1:10" x14ac:dyDescent="0.25">
      <c r="A8723" t="s">
        <v>1535</v>
      </c>
      <c r="B8723" t="str">
        <f>ADDRESS(ROW(TIF_DistrictAnnual_HssPCAReimbursement_Entry),COLUMN(TIF_DistrictAnnual_HssPCAReimbursement_Entry),4)</f>
        <v>B28</v>
      </c>
      <c r="C8723" t="str">
        <f>ADDRESS(ROW(HSS!D$28),COLUMN(HSS!D$28),4)</f>
        <v>D28</v>
      </c>
      <c r="D8723" t="b" cm="1">
        <f t="array" aca="1" ref="D8723" ca="1">IF(INDIRECT("'"&amp;A8723&amp;"'!"&amp;B8723)="",FALSE,IF(INDIRECT("'"&amp;A8723&amp;"'!"&amp;B8723)&lt;0,TRUE,FALSE))</f>
        <v>0</v>
      </c>
      <c r="E8723" t="s">
        <v>434</v>
      </c>
      <c r="F8723" t="str">
        <f>INDEX(Lists!I:I,MATCH(Validation!E8723,Lists!G:G,0))</f>
        <v>Error</v>
      </c>
      <c r="G8723" t="str">
        <f>INDEX(Lists!H:H,MATCH(Validation!E8723,Lists!G:G,0))</f>
        <v>Amount may not be negative. Enter an amount greater than or equal to zero.</v>
      </c>
      <c r="H8723" s="16" t="str">
        <f t="shared" ca="1" si="1035"/>
        <v/>
      </c>
      <c r="I8723" s="16" t="str">
        <f t="shared" ca="1" si="1036"/>
        <v/>
      </c>
      <c r="J8723" s="17" t="str">
        <f t="shared" ca="1" si="1037"/>
        <v/>
      </c>
    </row>
    <row r="8724" spans="1:10" x14ac:dyDescent="0.25">
      <c r="A8724" t="s">
        <v>1535</v>
      </c>
      <c r="B8724" t="str">
        <f>ADDRESS(ROW(TIF_DistrictAnnual_HssPCAReimbursement_Entry),COLUMN(TIF_DistrictAnnual_HssPCAReimbursement_Entry),4)</f>
        <v>B28</v>
      </c>
      <c r="C8724" t="str">
        <f>ADDRESS(ROW(HSS!D$28),COLUMN(HSS!D$28),4)</f>
        <v>D28</v>
      </c>
      <c r="D8724" t="b" cm="1">
        <f t="array" aca="1" ref="D8724" ca="1">IF(INDIRECT("'"&amp;A8724&amp;"'!"&amp;B8724)="",FALSE,IF(TRUNC(INDIRECT("'"&amp;A8724&amp;"'!"&amp;B8724))=INDIRECT("'"&amp;A8724&amp;"'!"&amp;B8724),FALSE,TRUE))</f>
        <v>0</v>
      </c>
      <c r="E8724" t="s">
        <v>436</v>
      </c>
      <c r="F8724" t="str">
        <f>INDEX(Lists!I:I,MATCH(Validation!E8724,Lists!G:G,0))</f>
        <v>Error</v>
      </c>
      <c r="G8724" t="str">
        <f>INDEX(Lists!H:H,MATCH(Validation!E8724,Lists!G:G,0))</f>
        <v>Amount must be rounded to the nearest dollar.</v>
      </c>
      <c r="H8724" s="16" t="str">
        <f t="shared" ca="1" si="1035"/>
        <v/>
      </c>
      <c r="I8724" s="16" t="str">
        <f t="shared" ca="1" si="1036"/>
        <v/>
      </c>
      <c r="J8724" s="17" t="str">
        <f t="shared" ca="1" si="1037"/>
        <v/>
      </c>
    </row>
    <row r="8725" spans="1:10" x14ac:dyDescent="0.25">
      <c r="A8725" t="s">
        <v>1535</v>
      </c>
      <c r="B8725" t="str">
        <f>ADDRESS(ROW(TIF_DistrictAnnual_HssAttyGenReimbursement_Entry),COLUMN(TIF_DistrictAnnual_HssAttyGenReimbursement_Entry),4)</f>
        <v>B29</v>
      </c>
      <c r="C8725" t="str">
        <f>ADDRESS(ROW(HSS!D$29),COLUMN(HSS!D$29),4)</f>
        <v>D29</v>
      </c>
      <c r="D8725" t="b" cm="1">
        <f t="array" aca="1" ref="D8725" ca="1">IF(AND(TIF_DistrictAnnual_HssRecoveredCostsInd_Entry="Yes",OR(INDIRECT("'"&amp;A8725&amp;"'!"&amp;B8725)="",ISBLANK(INDIRECT("'"&amp;A8725&amp;"'!"&amp;B8725)))),TRUE,FALSE)</f>
        <v>0</v>
      </c>
      <c r="E8725" t="s">
        <v>1572</v>
      </c>
      <c r="F8725" t="str">
        <f>INDEX(Lists!I:I,MATCH(Validation!E8725,Lists!G:G,0))</f>
        <v>Error</v>
      </c>
      <c r="G8725" t="str">
        <f>INDEX(Lists!H:H,MATCH(Validation!E8725,Lists!G:G,0))</f>
        <v>Entry required. Enter $0 if applicable.</v>
      </c>
      <c r="H8725" s="16" t="str">
        <f t="shared" ca="1" si="1014"/>
        <v/>
      </c>
      <c r="I8725" s="16" t="str">
        <f t="shared" ca="1" si="1015"/>
        <v/>
      </c>
      <c r="J8725" s="17" t="str">
        <f t="shared" ca="1" si="1016"/>
        <v/>
      </c>
    </row>
    <row r="8726" spans="1:10" x14ac:dyDescent="0.25">
      <c r="A8726" t="s">
        <v>1535</v>
      </c>
      <c r="B8726" t="str">
        <f>ADDRESS(ROW(TIF_DistrictAnnual_HssAttyGenReimbursement_Entry),COLUMN(TIF_DistrictAnnual_HssAttyGenReimbursement_Entry),4)</f>
        <v>B29</v>
      </c>
      <c r="C8726" t="str">
        <f>ADDRESS(ROW(HSS!D$29),COLUMN(HSS!D$29),4)</f>
        <v>D29</v>
      </c>
      <c r="D8726" t="b" cm="1">
        <f t="array" aca="1" ref="D8726" ca="1">IF(INDIRECT("'"&amp;A8726&amp;"'!"&amp;B8726)="",FALSE,IF(NOT(ISNUMBER(INDIRECT("'"&amp;A8726&amp;"'!"&amp;B8726))),TRUE,FALSE))</f>
        <v>0</v>
      </c>
      <c r="E8726" t="s">
        <v>435</v>
      </c>
      <c r="F8726" t="str">
        <f>INDEX(Lists!I:I,MATCH(Validation!E8726,Lists!G:G,0))</f>
        <v>Error</v>
      </c>
      <c r="G8726" t="str">
        <f>INDEX(Lists!H:H,MATCH(Validation!E8726,Lists!G:G,0))</f>
        <v>Enter an amount only. Do not enter text or spaces.</v>
      </c>
      <c r="H8726" s="16" t="str">
        <f t="shared" ca="1" si="1014"/>
        <v/>
      </c>
      <c r="I8726" s="16" t="str">
        <f t="shared" ca="1" si="1015"/>
        <v/>
      </c>
      <c r="J8726" s="17" t="str">
        <f t="shared" ca="1" si="1016"/>
        <v/>
      </c>
    </row>
    <row r="8727" spans="1:10" x14ac:dyDescent="0.25">
      <c r="A8727" t="s">
        <v>1535</v>
      </c>
      <c r="B8727" t="str">
        <f>ADDRESS(ROW(TIF_DistrictAnnual_HssAttyGenReimbursement_Entry),COLUMN(TIF_DistrictAnnual_HssAttyGenReimbursement_Entry),4)</f>
        <v>B29</v>
      </c>
      <c r="C8727" t="str">
        <f>ADDRESS(ROW(HSS!D$29),COLUMN(HSS!D$29),4)</f>
        <v>D29</v>
      </c>
      <c r="D8727" t="b" cm="1">
        <f t="array" aca="1" ref="D8727" ca="1">IF(INDIRECT("'"&amp;A8727&amp;"'!"&amp;B8727)="",FALSE,IF(INDIRECT("'"&amp;A8727&amp;"'!"&amp;B8727)&lt;0,TRUE,FALSE))</f>
        <v>0</v>
      </c>
      <c r="E8727" t="s">
        <v>434</v>
      </c>
      <c r="F8727" t="str">
        <f>INDEX(Lists!I:I,MATCH(Validation!E8727,Lists!G:G,0))</f>
        <v>Error</v>
      </c>
      <c r="G8727" t="str">
        <f>INDEX(Lists!H:H,MATCH(Validation!E8727,Lists!G:G,0))</f>
        <v>Amount may not be negative. Enter an amount greater than or equal to zero.</v>
      </c>
      <c r="H8727" s="16" t="str">
        <f t="shared" ca="1" si="1014"/>
        <v/>
      </c>
      <c r="I8727" s="16" t="str">
        <f t="shared" ca="1" si="1015"/>
        <v/>
      </c>
      <c r="J8727" s="17" t="str">
        <f t="shared" ca="1" si="1016"/>
        <v/>
      </c>
    </row>
    <row r="8728" spans="1:10" x14ac:dyDescent="0.25">
      <c r="A8728" t="s">
        <v>1535</v>
      </c>
      <c r="B8728" t="str">
        <f>ADDRESS(ROW(TIF_DistrictAnnual_HssAttyGenReimbursement_Entry),COLUMN(TIF_DistrictAnnual_HssAttyGenReimbursement_Entry),4)</f>
        <v>B29</v>
      </c>
      <c r="C8728" t="str">
        <f>ADDRESS(ROW(HSS!D$29),COLUMN(HSS!D$29),4)</f>
        <v>D29</v>
      </c>
      <c r="D8728" t="b" cm="1">
        <f t="array" aca="1" ref="D8728" ca="1">IF(INDIRECT("'"&amp;A8728&amp;"'!"&amp;B8728)="",FALSE,IF(TRUNC(INDIRECT("'"&amp;A8728&amp;"'!"&amp;B8728))=INDIRECT("'"&amp;A8728&amp;"'!"&amp;B8728),FALSE,TRUE))</f>
        <v>0</v>
      </c>
      <c r="E8728" t="s">
        <v>436</v>
      </c>
      <c r="F8728" t="str">
        <f>INDEX(Lists!I:I,MATCH(Validation!E8728,Lists!G:G,0))</f>
        <v>Error</v>
      </c>
      <c r="G8728" t="str">
        <f>INDEX(Lists!H:H,MATCH(Validation!E8728,Lists!G:G,0))</f>
        <v>Amount must be rounded to the nearest dollar.</v>
      </c>
      <c r="H8728" s="16" t="str">
        <f t="shared" ca="1" si="1014"/>
        <v/>
      </c>
      <c r="I8728" s="16" t="str">
        <f t="shared" ca="1" si="1015"/>
        <v/>
      </c>
      <c r="J8728" s="17" t="str">
        <f t="shared" ca="1" si="1016"/>
        <v/>
      </c>
    </row>
    <row r="8729" spans="1:10" x14ac:dyDescent="0.25">
      <c r="A8729" t="s">
        <v>1535</v>
      </c>
      <c r="B8729" t="str">
        <f>ADDRESS(ROW(TIF_DistrictAnnual_HssNetRecoveredCost_Entry),COLUMN(TIF_DistrictAnnual_HssNetRecoveredCost_Entry),4)</f>
        <v>B30</v>
      </c>
      <c r="C8729" t="str">
        <f>ADDRESS(ROW(HSS!D$30),COLUMN(HSS!D$30),4)</f>
        <v>D30</v>
      </c>
      <c r="D8729" t="b">
        <f>IF(TIF_DistrictAnnual_HssNetRecoveredCost_Entry&lt;0,TRUE,FALSE)</f>
        <v>0</v>
      </c>
      <c r="E8729" t="s">
        <v>1580</v>
      </c>
      <c r="F8729" t="str">
        <f>INDEX(Lists!I:I,MATCH(Validation!E8729,Lists!G:G,0))</f>
        <v>Error</v>
      </c>
      <c r="G8729" t="str">
        <f>INDEX(Lists!H:H,MATCH(Validation!E8729,Lists!G:G,0))</f>
        <v>Reimbursements exceed recovered costs. Correct entries.</v>
      </c>
      <c r="H8729" s="16" t="str">
        <f t="shared" ref="H8729:H8730" ca="1" si="1038">IFERROR(IF(OR(NOT(D8729),F8729&lt;&gt;"Error"),"",A8729&amp;CELL("address",INDIRECT(B8729))),"")</f>
        <v/>
      </c>
      <c r="I8729" s="16" t="str">
        <f t="shared" ref="I8729:I8730" ca="1" si="1039">IFERROR(IF(NOT(D8729),"",A8729&amp;CELL("address",INDIRECT(C8729))),"")</f>
        <v/>
      </c>
      <c r="J8729" s="17" t="str">
        <f t="shared" ref="J8729:J8730" si="1040">IFERROR(IF(NOT(D8729),"",A8729),"")</f>
        <v/>
      </c>
    </row>
    <row r="8730" spans="1:10" x14ac:dyDescent="0.25">
      <c r="A8730" t="s">
        <v>1535</v>
      </c>
      <c r="B8730" t="str">
        <f>ADDRESS(ROW(TIF_DistrictAnnnual_HssRecoveredCostReturnInd_Entry),COLUMN(TIF_DistrictAnnnual_HssRecoveredCostReturnInd_Entry),4)</f>
        <v>B31</v>
      </c>
      <c r="C8730" t="str">
        <f>ADDRESS(ROW(HSS!D$31),COLUMN(HSS!D$31),4)</f>
        <v>D31</v>
      </c>
      <c r="D8730" t="b">
        <f>IF(TIF_DistrictAnnnual_HssRecoveredCostReturnInd_Entry="Select One",TRUE,FALSE)</f>
        <v>1</v>
      </c>
      <c r="E8730" t="s">
        <v>73</v>
      </c>
      <c r="F8730" t="str">
        <f>INDEX(Lists!I:I,MATCH(Validation!E8730,Lists!G:G,0))</f>
        <v>Error</v>
      </c>
      <c r="G8730" t="str">
        <f>INDEX(Lists!H:H,MATCH(Validation!E8730,Lists!G:G,0))</f>
        <v>You must select Yes or No.</v>
      </c>
      <c r="H8730" s="16" t="str">
        <f t="shared" ca="1" si="1038"/>
        <v>HSS$B$31</v>
      </c>
      <c r="I8730" s="16" t="str">
        <f t="shared" ca="1" si="1039"/>
        <v>HSS$D$31</v>
      </c>
      <c r="J8730" s="17" t="str">
        <f t="shared" si="1040"/>
        <v>HSS</v>
      </c>
    </row>
    <row r="8731" spans="1:10" x14ac:dyDescent="0.25">
      <c r="A8731" t="s">
        <v>1535</v>
      </c>
      <c r="B8731" t="str">
        <f>ADDRESS(ROW(TIF_DistrictAnnnual_HssRecoveredCostReturnInd_Entry),COLUMN(TIF_DistrictAnnnual_HssRecoveredCostReturnInd_Entry),4)</f>
        <v>B31</v>
      </c>
      <c r="C8731" t="str">
        <f>ADDRESS(ROW(HSS!D$31),COLUMN(HSS!D$31),4)</f>
        <v>D31</v>
      </c>
      <c r="D8731" t="b">
        <f>IF(TIF_DistrictAnnnual_HssRecoveredCostReturnInd_Entry="No",TRUE,FALSE)</f>
        <v>0</v>
      </c>
      <c r="E8731" t="s">
        <v>1591</v>
      </c>
      <c r="F8731" t="str">
        <f>INDEX(Lists!I:I,MATCH(Validation!E8731,Lists!G:G,0))</f>
        <v>Alert</v>
      </c>
      <c r="G8731" t="str">
        <f>INDEX(Lists!H:H,MATCH(Validation!E8731,Lists!G:G,0))</f>
        <v>Return is required by law. Submit form but remedy. (See instructions)</v>
      </c>
      <c r="H8731" s="16" t="str">
        <f t="shared" ref="H8731" ca="1" si="1041">IFERROR(IF(OR(NOT(D8731),F8731&lt;&gt;"Error"),"",A8731&amp;CELL("address",INDIRECT(B8731))),"")</f>
        <v/>
      </c>
      <c r="I8731" s="16" t="str">
        <f t="shared" ref="I8731" ca="1" si="1042">IFERROR(IF(NOT(D8731),"",A8731&amp;CELL("address",INDIRECT(C8731))),"")</f>
        <v/>
      </c>
      <c r="J8731" s="17" t="str">
        <f t="shared" ref="J8731" si="1043">IFERROR(IF(NOT(D8731),"",A8731),"")</f>
        <v/>
      </c>
    </row>
    <row r="8732" spans="1:10" x14ac:dyDescent="0.25">
      <c r="A8732" t="s">
        <v>1535</v>
      </c>
      <c r="B8732" t="str">
        <f>ADDRESS(ROW(TIF_DistrictYear_UserCommentsHSS),COLUMN(TIF_DistrictYear_UserCommentsHSS),4)</f>
        <v>A33</v>
      </c>
      <c r="C8732" t="str">
        <f>ADDRESS(ROW(HSS!D$32),COLUMN(HSS!D$32),4)</f>
        <v>D32</v>
      </c>
      <c r="D8732" t="b" cm="1">
        <f t="array" aca="1" ref="D8732" ca="1">IF(ISBLANK(INDIRECT("'"&amp;A8732&amp;"'!"&amp;B8732)),FALSE,IF(LEN(TRIM(CLEAN(INDIRECT("'"&amp;A8732&amp;"'!"&amp;B8732))))&lt;15,TRUE,FALSE))</f>
        <v>0</v>
      </c>
      <c r="E8732" t="s">
        <v>635</v>
      </c>
      <c r="F8732" t="str">
        <f>INDEX(Lists!I:I,MATCH(Validation!E8732,Lists!G:G,0))</f>
        <v>Error</v>
      </c>
      <c r="G8732" t="str">
        <f>INDEX(Lists!H:H,MATCH(Validation!E8732,Lists!G:G,0))</f>
        <v>Insufficient information. Please provide a longer comment.</v>
      </c>
      <c r="H8732" s="16" t="str">
        <f ca="1">IFERROR(IF(OR(NOT(D8732),F8732&lt;&gt;"Error"),"",A8732&amp;CELL("address",INDIRECT(B8732))),"")</f>
        <v/>
      </c>
      <c r="I8732" s="16" t="str">
        <f ca="1">IFERROR(IF(NOT(D8732),"",A8732&amp;CELL("address",INDIRECT(C8732))),"")</f>
        <v/>
      </c>
      <c r="J8732" s="17" t="str">
        <f ca="1">IFERROR(IF(NOT(D8732),"",A8732),"")</f>
        <v/>
      </c>
    </row>
    <row r="8733" spans="1:10" x14ac:dyDescent="0.25">
      <c r="A8733" t="s">
        <v>1535</v>
      </c>
      <c r="B8733" t="str">
        <f>ADDRESS(ROW(TIF_DistrictYear_UserCommentsHSS),COLUMN(TIF_DistrictYear_UserCommentsHSS),4)</f>
        <v>A33</v>
      </c>
      <c r="C8733" t="str">
        <f>ADDRESS(ROW(HSS!D$32),COLUMN(HSS!D$32),4)</f>
        <v>D32</v>
      </c>
      <c r="D8733" t="b" cm="1">
        <f t="array" aca="1" ref="D8733" ca="1">IF(LEN(INDIRECT("'"&amp;A8733&amp;"'!"&amp;B8733))&gt;500,TRUE,FALSE)</f>
        <v>0</v>
      </c>
      <c r="E8733" t="s">
        <v>636</v>
      </c>
      <c r="F8733" t="str">
        <f>INDEX(Lists!I:I,MATCH(Validation!E8733,Lists!G:G,0))</f>
        <v>Error</v>
      </c>
      <c r="G8733" t="str">
        <f>INDEX(Lists!H:H,MATCH(Validation!E8733,Lists!G:G,0))</f>
        <v>Comments cannot exceed 500 characters. (Limit length. Send email to further explain.)</v>
      </c>
      <c r="H8733" s="16" t="str">
        <f ca="1">IFERROR(IF(OR(NOT(D8733),F8733&lt;&gt;"Error"),"",A8733&amp;CELL("address",INDIRECT(B8733))),"")</f>
        <v/>
      </c>
      <c r="I8733" s="16" t="str">
        <f ca="1">IFERROR(IF(NOT(D8733),"",A8733&amp;CELL("address",INDIRECT(C8733))),"")</f>
        <v/>
      </c>
      <c r="J8733" s="17" t="str">
        <f ca="1">IFERROR(IF(NOT(D8733),"",A8733),"")</f>
        <v/>
      </c>
    </row>
    <row r="8734" spans="1:10" x14ac:dyDescent="0.25">
      <c r="A8734" t="s">
        <v>111</v>
      </c>
      <c r="B8734" t="str">
        <f>ADDRESS(ROW(Parcels!B6),COLUMN(Parcels!B6),4)</f>
        <v>B6</v>
      </c>
      <c r="C8734" t="str">
        <f>ADDRESS(ROW(Parcels!D6),COLUMN(Parcels!D6),4)</f>
        <v>D6</v>
      </c>
      <c r="D8734" t="b">
        <f>Parcels!B6="Yes"</f>
        <v>1</v>
      </c>
      <c r="E8734" t="s">
        <v>112</v>
      </c>
      <c r="F8734" t="str">
        <f>INDEX(Lists!I:I,MATCH(Validation!E8734,Lists!G:G,0))</f>
        <v>Information</v>
      </c>
      <c r="G8734" t="str">
        <f>INDEX(Lists!H:H,MATCH(Validation!E8734,Lists!G:G,0))</f>
        <v>Parcel reporting is required below.</v>
      </c>
      <c r="H8734" s="16" t="str">
        <f t="shared" ref="H8734:H8735" ca="1" si="1044">IFERROR(IF(OR(NOT(D8734),F8734&lt;&gt;"Error"),"",A8734&amp;CELL("address",INDIRECT(B8734))),"")</f>
        <v/>
      </c>
      <c r="I8734" s="16" t="str">
        <f t="shared" ref="I8734:I8735" ca="1" si="1045">IFERROR(IF(NOT(D8734),"",A8734&amp;CELL("address",INDIRECT(C8734))),"")</f>
        <v>Parcels$D$6</v>
      </c>
      <c r="J8734" s="17" t="str">
        <f t="shared" ref="J8734:J8735" si="1046">IFERROR(IF(NOT(D8734),"",A8734),"")</f>
        <v>Parcels</v>
      </c>
    </row>
    <row r="8735" spans="1:10" x14ac:dyDescent="0.25">
      <c r="A8735" t="s">
        <v>111</v>
      </c>
      <c r="B8735" t="str">
        <f>ADDRESS(ROW(Parcels!B6),COLUMN(Parcels!B6),4)</f>
        <v>B6</v>
      </c>
      <c r="C8735" t="str">
        <f>ADDRESS(ROW(Parcels!D6),COLUMN(Parcels!D6),4)</f>
        <v>D6</v>
      </c>
      <c r="D8735" t="b">
        <f>Parcels!B6="No"</f>
        <v>0</v>
      </c>
      <c r="E8735" t="s">
        <v>115</v>
      </c>
      <c r="F8735" t="str">
        <f>INDEX(Lists!I:I,MATCH(Validation!E8735,Lists!G:G,0))</f>
        <v>Information</v>
      </c>
      <c r="G8735" t="str">
        <f>INDEX(Lists!H:H,MATCH(Validation!E8735,Lists!G:G,0))</f>
        <v>Parcel entries are not yet required. You may skip this tab.</v>
      </c>
      <c r="H8735" s="16" t="str">
        <f t="shared" ca="1" si="1044"/>
        <v/>
      </c>
      <c r="I8735" s="16" t="str">
        <f t="shared" ca="1" si="1045"/>
        <v/>
      </c>
      <c r="J8735" s="17" t="str">
        <f t="shared" si="1046"/>
        <v/>
      </c>
    </row>
    <row r="8736" spans="1:10" x14ac:dyDescent="0.25">
      <c r="A8736" t="s">
        <v>111</v>
      </c>
      <c r="B8736" t="str">
        <f>ADDRESS(ROW(Parcels!B8),COLUMN(Parcels!B8),4)</f>
        <v>B8</v>
      </c>
      <c r="C8736" t="str">
        <f>ADDRESS(ROW(Parcels!D8),COLUMN(Parcels!D8),4)</f>
        <v>D8</v>
      </c>
      <c r="D8736" t="b">
        <f>IF(AND(Parcels!$B$6="Yes",NOT(ISBLANK(Parcels!A8)),ISBLANK(Parcels!B8)),TRUE,FALSE)</f>
        <v>0</v>
      </c>
      <c r="E8736" t="s">
        <v>64</v>
      </c>
      <c r="F8736" t="str">
        <f>INDEX(Lists!I:I,MATCH(Validation!E8736,Lists!G:G,0))</f>
        <v>Error</v>
      </c>
      <c r="G8736" t="str">
        <f>INDEX(Lists!H:H,MATCH(Validation!E8736,Lists!G:G,0))</f>
        <v>You must make a selection from the dropdown list.</v>
      </c>
      <c r="H8736" s="25" t="str">
        <f t="shared" ref="H8736:H8799" ca="1" si="1047">IFERROR(IF(OR(NOT(D8736),F8736&lt;&gt;"Error"),"",A8736&amp;CELL("address",INDIRECT(B8736))),"")</f>
        <v/>
      </c>
      <c r="I8736" s="25" t="str">
        <f t="shared" ref="I8736:I8799" ca="1" si="1048">IFERROR(IF(NOT(D8736),"",A8736&amp;CELL("address",INDIRECT(C8736))),"")</f>
        <v/>
      </c>
      <c r="J8736" s="26" t="str">
        <f t="shared" ref="J8736:J8799" si="1049">IFERROR(IF(NOT(D8736),"",A8736),"")</f>
        <v/>
      </c>
    </row>
    <row r="8737" spans="1:10" x14ac:dyDescent="0.25">
      <c r="A8737" t="s">
        <v>111</v>
      </c>
      <c r="B8737" t="str">
        <f>ADDRESS(ROW(Parcels!B9),COLUMN(Parcels!B9),4)</f>
        <v>B9</v>
      </c>
      <c r="C8737" t="str">
        <f>ADDRESS(ROW(Parcels!D9),COLUMN(Parcels!D9),4)</f>
        <v>D9</v>
      </c>
      <c r="D8737" t="b">
        <f>IF(AND(Parcels!$B$6="Yes",NOT(ISBLANK(Parcels!A9)),ISBLANK(Parcels!B9)),TRUE,FALSE)</f>
        <v>0</v>
      </c>
      <c r="E8737" t="s">
        <v>64</v>
      </c>
      <c r="F8737" t="str">
        <f>INDEX(Lists!I:I,MATCH(Validation!E8737,Lists!G:G,0))</f>
        <v>Error</v>
      </c>
      <c r="G8737" t="str">
        <f>INDEX(Lists!H:H,MATCH(Validation!E8737,Lists!G:G,0))</f>
        <v>You must make a selection from the dropdown list.</v>
      </c>
      <c r="H8737" s="25" t="str">
        <f t="shared" ca="1" si="1047"/>
        <v/>
      </c>
      <c r="I8737" s="25" t="str">
        <f t="shared" ca="1" si="1048"/>
        <v/>
      </c>
      <c r="J8737" s="26" t="str">
        <f t="shared" si="1049"/>
        <v/>
      </c>
    </row>
    <row r="8738" spans="1:10" x14ac:dyDescent="0.25">
      <c r="A8738" t="s">
        <v>111</v>
      </c>
      <c r="B8738" t="str">
        <f>ADDRESS(ROW(Parcels!B10),COLUMN(Parcels!B10),4)</f>
        <v>B10</v>
      </c>
      <c r="C8738" t="str">
        <f>ADDRESS(ROW(Parcels!D10),COLUMN(Parcels!D10),4)</f>
        <v>D10</v>
      </c>
      <c r="D8738" t="b">
        <f>IF(AND(Parcels!$B$6="Yes",NOT(ISBLANK(Parcels!A10)),ISBLANK(Parcels!B10)),TRUE,FALSE)</f>
        <v>0</v>
      </c>
      <c r="E8738" t="s">
        <v>64</v>
      </c>
      <c r="F8738" t="str">
        <f>INDEX(Lists!I:I,MATCH(Validation!E8738,Lists!G:G,0))</f>
        <v>Error</v>
      </c>
      <c r="G8738" t="str">
        <f>INDEX(Lists!H:H,MATCH(Validation!E8738,Lists!G:G,0))</f>
        <v>You must make a selection from the dropdown list.</v>
      </c>
      <c r="H8738" s="25" t="str">
        <f t="shared" ca="1" si="1047"/>
        <v/>
      </c>
      <c r="I8738" s="25" t="str">
        <f t="shared" ca="1" si="1048"/>
        <v/>
      </c>
      <c r="J8738" s="26" t="str">
        <f t="shared" si="1049"/>
        <v/>
      </c>
    </row>
    <row r="8739" spans="1:10" x14ac:dyDescent="0.25">
      <c r="A8739" t="s">
        <v>111</v>
      </c>
      <c r="B8739" t="str">
        <f>ADDRESS(ROW(Parcels!B11),COLUMN(Parcels!B11),4)</f>
        <v>B11</v>
      </c>
      <c r="C8739" t="str">
        <f>ADDRESS(ROW(Parcels!D11),COLUMN(Parcels!D11),4)</f>
        <v>D11</v>
      </c>
      <c r="D8739" t="b">
        <f>IF(AND(Parcels!$B$6="Yes",NOT(ISBLANK(Parcels!A11)),ISBLANK(Parcels!B11)),TRUE,FALSE)</f>
        <v>0</v>
      </c>
      <c r="E8739" t="s">
        <v>64</v>
      </c>
      <c r="F8739" t="str">
        <f>INDEX(Lists!I:I,MATCH(Validation!E8739,Lists!G:G,0))</f>
        <v>Error</v>
      </c>
      <c r="G8739" t="str">
        <f>INDEX(Lists!H:H,MATCH(Validation!E8739,Lists!G:G,0))</f>
        <v>You must make a selection from the dropdown list.</v>
      </c>
      <c r="H8739" s="25" t="str">
        <f t="shared" ca="1" si="1047"/>
        <v/>
      </c>
      <c r="I8739" s="25" t="str">
        <f t="shared" ca="1" si="1048"/>
        <v/>
      </c>
      <c r="J8739" s="26" t="str">
        <f t="shared" si="1049"/>
        <v/>
      </c>
    </row>
    <row r="8740" spans="1:10" x14ac:dyDescent="0.25">
      <c r="A8740" t="s">
        <v>111</v>
      </c>
      <c r="B8740" t="str">
        <f>ADDRESS(ROW(Parcels!B12),COLUMN(Parcels!B12),4)</f>
        <v>B12</v>
      </c>
      <c r="C8740" t="str">
        <f>ADDRESS(ROW(Parcels!D12),COLUMN(Parcels!D12),4)</f>
        <v>D12</v>
      </c>
      <c r="D8740" t="b">
        <f>IF(AND(Parcels!$B$6="Yes",NOT(ISBLANK(Parcels!A12)),ISBLANK(Parcels!B12)),TRUE,FALSE)</f>
        <v>0</v>
      </c>
      <c r="E8740" t="s">
        <v>64</v>
      </c>
      <c r="F8740" t="str">
        <f>INDEX(Lists!I:I,MATCH(Validation!E8740,Lists!G:G,0))</f>
        <v>Error</v>
      </c>
      <c r="G8740" t="str">
        <f>INDEX(Lists!H:H,MATCH(Validation!E8740,Lists!G:G,0))</f>
        <v>You must make a selection from the dropdown list.</v>
      </c>
      <c r="H8740" s="25" t="str">
        <f t="shared" ca="1" si="1047"/>
        <v/>
      </c>
      <c r="I8740" s="25" t="str">
        <f t="shared" ca="1" si="1048"/>
        <v/>
      </c>
      <c r="J8740" s="26" t="str">
        <f t="shared" si="1049"/>
        <v/>
      </c>
    </row>
    <row r="8741" spans="1:10" x14ac:dyDescent="0.25">
      <c r="A8741" t="s">
        <v>111</v>
      </c>
      <c r="B8741" t="str">
        <f>ADDRESS(ROW(Parcels!B13),COLUMN(Parcels!B13),4)</f>
        <v>B13</v>
      </c>
      <c r="C8741" t="str">
        <f>ADDRESS(ROW(Parcels!D13),COLUMN(Parcels!D13),4)</f>
        <v>D13</v>
      </c>
      <c r="D8741" t="b">
        <f>IF(AND(Parcels!$B$6="Yes",NOT(ISBLANK(Parcels!A13)),ISBLANK(Parcels!B13)),TRUE,FALSE)</f>
        <v>0</v>
      </c>
      <c r="E8741" t="s">
        <v>64</v>
      </c>
      <c r="F8741" t="str">
        <f>INDEX(Lists!I:I,MATCH(Validation!E8741,Lists!G:G,0))</f>
        <v>Error</v>
      </c>
      <c r="G8741" t="str">
        <f>INDEX(Lists!H:H,MATCH(Validation!E8741,Lists!G:G,0))</f>
        <v>You must make a selection from the dropdown list.</v>
      </c>
      <c r="H8741" s="25" t="str">
        <f t="shared" ca="1" si="1047"/>
        <v/>
      </c>
      <c r="I8741" s="25" t="str">
        <f t="shared" ca="1" si="1048"/>
        <v/>
      </c>
      <c r="J8741" s="26" t="str">
        <f t="shared" si="1049"/>
        <v/>
      </c>
    </row>
    <row r="8742" spans="1:10" x14ac:dyDescent="0.25">
      <c r="A8742" t="s">
        <v>111</v>
      </c>
      <c r="B8742" t="str">
        <f>ADDRESS(ROW(Parcels!B14),COLUMN(Parcels!B14),4)</f>
        <v>B14</v>
      </c>
      <c r="C8742" t="str">
        <f>ADDRESS(ROW(Parcels!D14),COLUMN(Parcels!D14),4)</f>
        <v>D14</v>
      </c>
      <c r="D8742" t="b">
        <f>IF(AND(Parcels!$B$6="Yes",NOT(ISBLANK(Parcels!A14)),ISBLANK(Parcels!B14)),TRUE,FALSE)</f>
        <v>0</v>
      </c>
      <c r="E8742" t="s">
        <v>64</v>
      </c>
      <c r="F8742" t="str">
        <f>INDEX(Lists!I:I,MATCH(Validation!E8742,Lists!G:G,0))</f>
        <v>Error</v>
      </c>
      <c r="G8742" t="str">
        <f>INDEX(Lists!H:H,MATCH(Validation!E8742,Lists!G:G,0))</f>
        <v>You must make a selection from the dropdown list.</v>
      </c>
      <c r="H8742" s="25" t="str">
        <f t="shared" ca="1" si="1047"/>
        <v/>
      </c>
      <c r="I8742" s="25" t="str">
        <f t="shared" ca="1" si="1048"/>
        <v/>
      </c>
      <c r="J8742" s="26" t="str">
        <f t="shared" si="1049"/>
        <v/>
      </c>
    </row>
    <row r="8743" spans="1:10" x14ac:dyDescent="0.25">
      <c r="A8743" t="s">
        <v>111</v>
      </c>
      <c r="B8743" t="str">
        <f>ADDRESS(ROW(Parcels!B15),COLUMN(Parcels!B15),4)</f>
        <v>B15</v>
      </c>
      <c r="C8743" t="str">
        <f>ADDRESS(ROW(Parcels!D15),COLUMN(Parcels!D15),4)</f>
        <v>D15</v>
      </c>
      <c r="D8743" t="b">
        <f>IF(AND(Parcels!$B$6="Yes",NOT(ISBLANK(Parcels!A15)),ISBLANK(Parcels!B15)),TRUE,FALSE)</f>
        <v>0</v>
      </c>
      <c r="E8743" t="s">
        <v>64</v>
      </c>
      <c r="F8743" t="str">
        <f>INDEX(Lists!I:I,MATCH(Validation!E8743,Lists!G:G,0))</f>
        <v>Error</v>
      </c>
      <c r="G8743" t="str">
        <f>INDEX(Lists!H:H,MATCH(Validation!E8743,Lists!G:G,0))</f>
        <v>You must make a selection from the dropdown list.</v>
      </c>
      <c r="H8743" s="25" t="str">
        <f t="shared" ca="1" si="1047"/>
        <v/>
      </c>
      <c r="I8743" s="25" t="str">
        <f t="shared" ca="1" si="1048"/>
        <v/>
      </c>
      <c r="J8743" s="26" t="str">
        <f t="shared" si="1049"/>
        <v/>
      </c>
    </row>
    <row r="8744" spans="1:10" x14ac:dyDescent="0.25">
      <c r="A8744" t="s">
        <v>111</v>
      </c>
      <c r="B8744" t="str">
        <f>ADDRESS(ROW(Parcels!B16),COLUMN(Parcels!B16),4)</f>
        <v>B16</v>
      </c>
      <c r="C8744" t="str">
        <f>ADDRESS(ROW(Parcels!D16),COLUMN(Parcels!D16),4)</f>
        <v>D16</v>
      </c>
      <c r="D8744" t="b">
        <f>IF(AND(Parcels!$B$6="Yes",NOT(ISBLANK(Parcels!A16)),ISBLANK(Parcels!B16)),TRUE,FALSE)</f>
        <v>0</v>
      </c>
      <c r="E8744" t="s">
        <v>64</v>
      </c>
      <c r="F8744" t="str">
        <f>INDEX(Lists!I:I,MATCH(Validation!E8744,Lists!G:G,0))</f>
        <v>Error</v>
      </c>
      <c r="G8744" t="str">
        <f>INDEX(Lists!H:H,MATCH(Validation!E8744,Lists!G:G,0))</f>
        <v>You must make a selection from the dropdown list.</v>
      </c>
      <c r="H8744" s="25" t="str">
        <f t="shared" ca="1" si="1047"/>
        <v/>
      </c>
      <c r="I8744" s="25" t="str">
        <f t="shared" ca="1" si="1048"/>
        <v/>
      </c>
      <c r="J8744" s="26" t="str">
        <f t="shared" si="1049"/>
        <v/>
      </c>
    </row>
    <row r="8745" spans="1:10" x14ac:dyDescent="0.25">
      <c r="A8745" t="s">
        <v>111</v>
      </c>
      <c r="B8745" t="str">
        <f>ADDRESS(ROW(Parcels!B17),COLUMN(Parcels!B17),4)</f>
        <v>B17</v>
      </c>
      <c r="C8745" t="str">
        <f>ADDRESS(ROW(Parcels!D17),COLUMN(Parcels!D17),4)</f>
        <v>D17</v>
      </c>
      <c r="D8745" t="b">
        <f>IF(AND(Parcels!$B$6="Yes",NOT(ISBLANK(Parcels!A17)),ISBLANK(Parcels!B17)),TRUE,FALSE)</f>
        <v>0</v>
      </c>
      <c r="E8745" t="s">
        <v>64</v>
      </c>
      <c r="F8745" t="str">
        <f>INDEX(Lists!I:I,MATCH(Validation!E8745,Lists!G:G,0))</f>
        <v>Error</v>
      </c>
      <c r="G8745" t="str">
        <f>INDEX(Lists!H:H,MATCH(Validation!E8745,Lists!G:G,0))</f>
        <v>You must make a selection from the dropdown list.</v>
      </c>
      <c r="H8745" s="25" t="str">
        <f t="shared" ca="1" si="1047"/>
        <v/>
      </c>
      <c r="I8745" s="25" t="str">
        <f t="shared" ca="1" si="1048"/>
        <v/>
      </c>
      <c r="J8745" s="26" t="str">
        <f t="shared" si="1049"/>
        <v/>
      </c>
    </row>
    <row r="8746" spans="1:10" x14ac:dyDescent="0.25">
      <c r="A8746" t="s">
        <v>111</v>
      </c>
      <c r="B8746" t="str">
        <f>ADDRESS(ROW(Parcels!B18),COLUMN(Parcels!B18),4)</f>
        <v>B18</v>
      </c>
      <c r="C8746" t="str">
        <f>ADDRESS(ROW(Parcels!D18),COLUMN(Parcels!D18),4)</f>
        <v>D18</v>
      </c>
      <c r="D8746" t="b">
        <f>IF(AND(Parcels!$B$6="Yes",NOT(ISBLANK(Parcels!A18)),ISBLANK(Parcels!B18)),TRUE,FALSE)</f>
        <v>0</v>
      </c>
      <c r="E8746" t="s">
        <v>64</v>
      </c>
      <c r="F8746" t="str">
        <f>INDEX(Lists!I:I,MATCH(Validation!E8746,Lists!G:G,0))</f>
        <v>Error</v>
      </c>
      <c r="G8746" t="str">
        <f>INDEX(Lists!H:H,MATCH(Validation!E8746,Lists!G:G,0))</f>
        <v>You must make a selection from the dropdown list.</v>
      </c>
      <c r="H8746" s="25" t="str">
        <f t="shared" ca="1" si="1047"/>
        <v/>
      </c>
      <c r="I8746" s="25" t="str">
        <f t="shared" ca="1" si="1048"/>
        <v/>
      </c>
      <c r="J8746" s="26" t="str">
        <f t="shared" si="1049"/>
        <v/>
      </c>
    </row>
    <row r="8747" spans="1:10" x14ac:dyDescent="0.25">
      <c r="A8747" t="s">
        <v>111</v>
      </c>
      <c r="B8747" t="str">
        <f>ADDRESS(ROW(Parcels!B19),COLUMN(Parcels!B19),4)</f>
        <v>B19</v>
      </c>
      <c r="C8747" t="str">
        <f>ADDRESS(ROW(Parcels!D19),COLUMN(Parcels!D19),4)</f>
        <v>D19</v>
      </c>
      <c r="D8747" t="b">
        <f>IF(AND(Parcels!$B$6="Yes",NOT(ISBLANK(Parcels!A19)),ISBLANK(Parcels!B19)),TRUE,FALSE)</f>
        <v>0</v>
      </c>
      <c r="E8747" t="s">
        <v>64</v>
      </c>
      <c r="F8747" t="str">
        <f>INDEX(Lists!I:I,MATCH(Validation!E8747,Lists!G:G,0))</f>
        <v>Error</v>
      </c>
      <c r="G8747" t="str">
        <f>INDEX(Lists!H:H,MATCH(Validation!E8747,Lists!G:G,0))</f>
        <v>You must make a selection from the dropdown list.</v>
      </c>
      <c r="H8747" s="25" t="str">
        <f t="shared" ca="1" si="1047"/>
        <v/>
      </c>
      <c r="I8747" s="25" t="str">
        <f t="shared" ca="1" si="1048"/>
        <v/>
      </c>
      <c r="J8747" s="26" t="str">
        <f t="shared" si="1049"/>
        <v/>
      </c>
    </row>
    <row r="8748" spans="1:10" x14ac:dyDescent="0.25">
      <c r="A8748" t="s">
        <v>111</v>
      </c>
      <c r="B8748" t="str">
        <f>ADDRESS(ROW(Parcels!B20),COLUMN(Parcels!B20),4)</f>
        <v>B20</v>
      </c>
      <c r="C8748" t="str">
        <f>ADDRESS(ROW(Parcels!D20),COLUMN(Parcels!D20),4)</f>
        <v>D20</v>
      </c>
      <c r="D8748" t="b">
        <f>IF(AND(Parcels!$B$6="Yes",NOT(ISBLANK(Parcels!A20)),ISBLANK(Parcels!B20)),TRUE,FALSE)</f>
        <v>0</v>
      </c>
      <c r="E8748" t="s">
        <v>64</v>
      </c>
      <c r="F8748" t="str">
        <f>INDEX(Lists!I:I,MATCH(Validation!E8748,Lists!G:G,0))</f>
        <v>Error</v>
      </c>
      <c r="G8748" t="str">
        <f>INDEX(Lists!H:H,MATCH(Validation!E8748,Lists!G:G,0))</f>
        <v>You must make a selection from the dropdown list.</v>
      </c>
      <c r="H8748" s="25" t="str">
        <f t="shared" ca="1" si="1047"/>
        <v/>
      </c>
      <c r="I8748" s="25" t="str">
        <f t="shared" ca="1" si="1048"/>
        <v/>
      </c>
      <c r="J8748" s="26" t="str">
        <f t="shared" si="1049"/>
        <v/>
      </c>
    </row>
    <row r="8749" spans="1:10" x14ac:dyDescent="0.25">
      <c r="A8749" t="s">
        <v>111</v>
      </c>
      <c r="B8749" t="str">
        <f>ADDRESS(ROW(Parcels!B21),COLUMN(Parcels!B21),4)</f>
        <v>B21</v>
      </c>
      <c r="C8749" t="str">
        <f>ADDRESS(ROW(Parcels!D21),COLUMN(Parcels!D21),4)</f>
        <v>D21</v>
      </c>
      <c r="D8749" t="b">
        <f>IF(AND(Parcels!$B$6="Yes",NOT(ISBLANK(Parcels!A21)),ISBLANK(Parcels!B21)),TRUE,FALSE)</f>
        <v>0</v>
      </c>
      <c r="E8749" t="s">
        <v>64</v>
      </c>
      <c r="F8749" t="str">
        <f>INDEX(Lists!I:I,MATCH(Validation!E8749,Lists!G:G,0))</f>
        <v>Error</v>
      </c>
      <c r="G8749" t="str">
        <f>INDEX(Lists!H:H,MATCH(Validation!E8749,Lists!G:G,0))</f>
        <v>You must make a selection from the dropdown list.</v>
      </c>
      <c r="H8749" s="25" t="str">
        <f t="shared" ca="1" si="1047"/>
        <v/>
      </c>
      <c r="I8749" s="25" t="str">
        <f t="shared" ca="1" si="1048"/>
        <v/>
      </c>
      <c r="J8749" s="26" t="str">
        <f t="shared" si="1049"/>
        <v/>
      </c>
    </row>
    <row r="8750" spans="1:10" x14ac:dyDescent="0.25">
      <c r="A8750" t="s">
        <v>111</v>
      </c>
      <c r="B8750" t="str">
        <f>ADDRESS(ROW(Parcels!B22),COLUMN(Parcels!B22),4)</f>
        <v>B22</v>
      </c>
      <c r="C8750" t="str">
        <f>ADDRESS(ROW(Parcels!D22),COLUMN(Parcels!D22),4)</f>
        <v>D22</v>
      </c>
      <c r="D8750" t="b">
        <f>IF(AND(Parcels!$B$6="Yes",NOT(ISBLANK(Parcels!A22)),ISBLANK(Parcels!B22)),TRUE,FALSE)</f>
        <v>0</v>
      </c>
      <c r="E8750" t="s">
        <v>64</v>
      </c>
      <c r="F8750" t="str">
        <f>INDEX(Lists!I:I,MATCH(Validation!E8750,Lists!G:G,0))</f>
        <v>Error</v>
      </c>
      <c r="G8750" t="str">
        <f>INDEX(Lists!H:H,MATCH(Validation!E8750,Lists!G:G,0))</f>
        <v>You must make a selection from the dropdown list.</v>
      </c>
      <c r="H8750" s="25" t="str">
        <f t="shared" ca="1" si="1047"/>
        <v/>
      </c>
      <c r="I8750" s="25" t="str">
        <f t="shared" ca="1" si="1048"/>
        <v/>
      </c>
      <c r="J8750" s="26" t="str">
        <f t="shared" si="1049"/>
        <v/>
      </c>
    </row>
    <row r="8751" spans="1:10" x14ac:dyDescent="0.25">
      <c r="A8751" t="s">
        <v>111</v>
      </c>
      <c r="B8751" t="str">
        <f>ADDRESS(ROW(Parcels!B23),COLUMN(Parcels!B23),4)</f>
        <v>B23</v>
      </c>
      <c r="C8751" t="str">
        <f>ADDRESS(ROW(Parcels!D23),COLUMN(Parcels!D23),4)</f>
        <v>D23</v>
      </c>
      <c r="D8751" t="b">
        <f>IF(AND(Parcels!$B$6="Yes",NOT(ISBLANK(Parcels!A23)),ISBLANK(Parcels!B23)),TRUE,FALSE)</f>
        <v>0</v>
      </c>
      <c r="E8751" t="s">
        <v>64</v>
      </c>
      <c r="F8751" t="str">
        <f>INDEX(Lists!I:I,MATCH(Validation!E8751,Lists!G:G,0))</f>
        <v>Error</v>
      </c>
      <c r="G8751" t="str">
        <f>INDEX(Lists!H:H,MATCH(Validation!E8751,Lists!G:G,0))</f>
        <v>You must make a selection from the dropdown list.</v>
      </c>
      <c r="H8751" s="25" t="str">
        <f t="shared" ca="1" si="1047"/>
        <v/>
      </c>
      <c r="I8751" s="25" t="str">
        <f t="shared" ca="1" si="1048"/>
        <v/>
      </c>
      <c r="J8751" s="26" t="str">
        <f t="shared" si="1049"/>
        <v/>
      </c>
    </row>
    <row r="8752" spans="1:10" x14ac:dyDescent="0.25">
      <c r="A8752" t="s">
        <v>111</v>
      </c>
      <c r="B8752" t="str">
        <f>ADDRESS(ROW(Parcels!B24),COLUMN(Parcels!B24),4)</f>
        <v>B24</v>
      </c>
      <c r="C8752" t="str">
        <f>ADDRESS(ROW(Parcels!D24),COLUMN(Parcels!D24),4)</f>
        <v>D24</v>
      </c>
      <c r="D8752" t="b">
        <f>IF(AND(Parcels!$B$6="Yes",NOT(ISBLANK(Parcels!A24)),ISBLANK(Parcels!B24)),TRUE,FALSE)</f>
        <v>0</v>
      </c>
      <c r="E8752" t="s">
        <v>64</v>
      </c>
      <c r="F8752" t="str">
        <f>INDEX(Lists!I:I,MATCH(Validation!E8752,Lists!G:G,0))</f>
        <v>Error</v>
      </c>
      <c r="G8752" t="str">
        <f>INDEX(Lists!H:H,MATCH(Validation!E8752,Lists!G:G,0))</f>
        <v>You must make a selection from the dropdown list.</v>
      </c>
      <c r="H8752" s="25" t="str">
        <f t="shared" ca="1" si="1047"/>
        <v/>
      </c>
      <c r="I8752" s="25" t="str">
        <f t="shared" ca="1" si="1048"/>
        <v/>
      </c>
      <c r="J8752" s="26" t="str">
        <f t="shared" si="1049"/>
        <v/>
      </c>
    </row>
    <row r="8753" spans="1:10" x14ac:dyDescent="0.25">
      <c r="A8753" t="s">
        <v>111</v>
      </c>
      <c r="B8753" t="str">
        <f>ADDRESS(ROW(Parcels!B25),COLUMN(Parcels!B25),4)</f>
        <v>B25</v>
      </c>
      <c r="C8753" t="str">
        <f>ADDRESS(ROW(Parcels!D25),COLUMN(Parcels!D25),4)</f>
        <v>D25</v>
      </c>
      <c r="D8753" t="b">
        <f>IF(AND(Parcels!$B$6="Yes",NOT(ISBLANK(Parcels!A25)),ISBLANK(Parcels!B25)),TRUE,FALSE)</f>
        <v>0</v>
      </c>
      <c r="E8753" t="s">
        <v>64</v>
      </c>
      <c r="F8753" t="str">
        <f>INDEX(Lists!I:I,MATCH(Validation!E8753,Lists!G:G,0))</f>
        <v>Error</v>
      </c>
      <c r="G8753" t="str">
        <f>INDEX(Lists!H:H,MATCH(Validation!E8753,Lists!G:G,0))</f>
        <v>You must make a selection from the dropdown list.</v>
      </c>
      <c r="H8753" s="25" t="str">
        <f t="shared" ca="1" si="1047"/>
        <v/>
      </c>
      <c r="I8753" s="25" t="str">
        <f t="shared" ca="1" si="1048"/>
        <v/>
      </c>
      <c r="J8753" s="26" t="str">
        <f t="shared" si="1049"/>
        <v/>
      </c>
    </row>
    <row r="8754" spans="1:10" x14ac:dyDescent="0.25">
      <c r="A8754" t="s">
        <v>111</v>
      </c>
      <c r="B8754" t="str">
        <f>ADDRESS(ROW(Parcels!B26),COLUMN(Parcels!B26),4)</f>
        <v>B26</v>
      </c>
      <c r="C8754" t="str">
        <f>ADDRESS(ROW(Parcels!D26),COLUMN(Parcels!D26),4)</f>
        <v>D26</v>
      </c>
      <c r="D8754" t="b">
        <f>IF(AND(Parcels!$B$6="Yes",NOT(ISBLANK(Parcels!A26)),ISBLANK(Parcels!B26)),TRUE,FALSE)</f>
        <v>0</v>
      </c>
      <c r="E8754" t="s">
        <v>64</v>
      </c>
      <c r="F8754" t="str">
        <f>INDEX(Lists!I:I,MATCH(Validation!E8754,Lists!G:G,0))</f>
        <v>Error</v>
      </c>
      <c r="G8754" t="str">
        <f>INDEX(Lists!H:H,MATCH(Validation!E8754,Lists!G:G,0))</f>
        <v>You must make a selection from the dropdown list.</v>
      </c>
      <c r="H8754" s="25" t="str">
        <f t="shared" ca="1" si="1047"/>
        <v/>
      </c>
      <c r="I8754" s="25" t="str">
        <f t="shared" ca="1" si="1048"/>
        <v/>
      </c>
      <c r="J8754" s="26" t="str">
        <f t="shared" si="1049"/>
        <v/>
      </c>
    </row>
    <row r="8755" spans="1:10" x14ac:dyDescent="0.25">
      <c r="A8755" t="s">
        <v>111</v>
      </c>
      <c r="B8755" t="str">
        <f>ADDRESS(ROW(Parcels!B27),COLUMN(Parcels!B27),4)</f>
        <v>B27</v>
      </c>
      <c r="C8755" t="str">
        <f>ADDRESS(ROW(Parcels!D27),COLUMN(Parcels!D27),4)</f>
        <v>D27</v>
      </c>
      <c r="D8755" t="b">
        <f>IF(AND(Parcels!$B$6="Yes",NOT(ISBLANK(Parcels!A27)),ISBLANK(Parcels!B27)),TRUE,FALSE)</f>
        <v>0</v>
      </c>
      <c r="E8755" t="s">
        <v>64</v>
      </c>
      <c r="F8755" t="str">
        <f>INDEX(Lists!I:I,MATCH(Validation!E8755,Lists!G:G,0))</f>
        <v>Error</v>
      </c>
      <c r="G8755" t="str">
        <f>INDEX(Lists!H:H,MATCH(Validation!E8755,Lists!G:G,0))</f>
        <v>You must make a selection from the dropdown list.</v>
      </c>
      <c r="H8755" s="25" t="str">
        <f t="shared" ca="1" si="1047"/>
        <v/>
      </c>
      <c r="I8755" s="25" t="str">
        <f t="shared" ca="1" si="1048"/>
        <v/>
      </c>
      <c r="J8755" s="26" t="str">
        <f t="shared" si="1049"/>
        <v/>
      </c>
    </row>
    <row r="8756" spans="1:10" x14ac:dyDescent="0.25">
      <c r="A8756" t="s">
        <v>111</v>
      </c>
      <c r="B8756" t="str">
        <f>ADDRESS(ROW(Parcels!B28),COLUMN(Parcels!B28),4)</f>
        <v>B28</v>
      </c>
      <c r="C8756" t="str">
        <f>ADDRESS(ROW(Parcels!D28),COLUMN(Parcels!D28),4)</f>
        <v>D28</v>
      </c>
      <c r="D8756" t="b">
        <f>IF(AND(Parcels!$B$6="Yes",NOT(ISBLANK(Parcels!A28)),ISBLANK(Parcels!B28)),TRUE,FALSE)</f>
        <v>0</v>
      </c>
      <c r="E8756" t="s">
        <v>64</v>
      </c>
      <c r="F8756" t="str">
        <f>INDEX(Lists!I:I,MATCH(Validation!E8756,Lists!G:G,0))</f>
        <v>Error</v>
      </c>
      <c r="G8756" t="str">
        <f>INDEX(Lists!H:H,MATCH(Validation!E8756,Lists!G:G,0))</f>
        <v>You must make a selection from the dropdown list.</v>
      </c>
      <c r="H8756" s="25" t="str">
        <f t="shared" ca="1" si="1047"/>
        <v/>
      </c>
      <c r="I8756" s="25" t="str">
        <f t="shared" ca="1" si="1048"/>
        <v/>
      </c>
      <c r="J8756" s="26" t="str">
        <f t="shared" si="1049"/>
        <v/>
      </c>
    </row>
    <row r="8757" spans="1:10" x14ac:dyDescent="0.25">
      <c r="A8757" t="s">
        <v>111</v>
      </c>
      <c r="B8757" t="str">
        <f>ADDRESS(ROW(Parcels!B29),COLUMN(Parcels!B29),4)</f>
        <v>B29</v>
      </c>
      <c r="C8757" t="str">
        <f>ADDRESS(ROW(Parcels!D29),COLUMN(Parcels!D29),4)</f>
        <v>D29</v>
      </c>
      <c r="D8757" t="b">
        <f>IF(AND(Parcels!$B$6="Yes",NOT(ISBLANK(Parcels!A29)),ISBLANK(Parcels!B29)),TRUE,FALSE)</f>
        <v>0</v>
      </c>
      <c r="E8757" t="s">
        <v>64</v>
      </c>
      <c r="F8757" t="str">
        <f>INDEX(Lists!I:I,MATCH(Validation!E8757,Lists!G:G,0))</f>
        <v>Error</v>
      </c>
      <c r="G8757" t="str">
        <f>INDEX(Lists!H:H,MATCH(Validation!E8757,Lists!G:G,0))</f>
        <v>You must make a selection from the dropdown list.</v>
      </c>
      <c r="H8757" s="25" t="str">
        <f t="shared" ca="1" si="1047"/>
        <v/>
      </c>
      <c r="I8757" s="25" t="str">
        <f t="shared" ca="1" si="1048"/>
        <v/>
      </c>
      <c r="J8757" s="26" t="str">
        <f t="shared" si="1049"/>
        <v/>
      </c>
    </row>
    <row r="8758" spans="1:10" x14ac:dyDescent="0.25">
      <c r="A8758" t="s">
        <v>111</v>
      </c>
      <c r="B8758" t="str">
        <f>ADDRESS(ROW(Parcels!B30),COLUMN(Parcels!B30),4)</f>
        <v>B30</v>
      </c>
      <c r="C8758" t="str">
        <f>ADDRESS(ROW(Parcels!D30),COLUMN(Parcels!D30),4)</f>
        <v>D30</v>
      </c>
      <c r="D8758" t="b">
        <f>IF(AND(Parcels!$B$6="Yes",NOT(ISBLANK(Parcels!A30)),ISBLANK(Parcels!B30)),TRUE,FALSE)</f>
        <v>0</v>
      </c>
      <c r="E8758" t="s">
        <v>64</v>
      </c>
      <c r="F8758" t="str">
        <f>INDEX(Lists!I:I,MATCH(Validation!E8758,Lists!G:G,0))</f>
        <v>Error</v>
      </c>
      <c r="G8758" t="str">
        <f>INDEX(Lists!H:H,MATCH(Validation!E8758,Lists!G:G,0))</f>
        <v>You must make a selection from the dropdown list.</v>
      </c>
      <c r="H8758" s="25" t="str">
        <f t="shared" ca="1" si="1047"/>
        <v/>
      </c>
      <c r="I8758" s="25" t="str">
        <f t="shared" ca="1" si="1048"/>
        <v/>
      </c>
      <c r="J8758" s="26" t="str">
        <f t="shared" si="1049"/>
        <v/>
      </c>
    </row>
    <row r="8759" spans="1:10" x14ac:dyDescent="0.25">
      <c r="A8759" t="s">
        <v>111</v>
      </c>
      <c r="B8759" t="str">
        <f>ADDRESS(ROW(Parcels!B31),COLUMN(Parcels!B31),4)</f>
        <v>B31</v>
      </c>
      <c r="C8759" t="str">
        <f>ADDRESS(ROW(Parcels!D31),COLUMN(Parcels!D31),4)</f>
        <v>D31</v>
      </c>
      <c r="D8759" t="b">
        <f>IF(AND(Parcels!$B$6="Yes",NOT(ISBLANK(Parcels!A31)),ISBLANK(Parcels!B31)),TRUE,FALSE)</f>
        <v>0</v>
      </c>
      <c r="E8759" t="s">
        <v>64</v>
      </c>
      <c r="F8759" t="str">
        <f>INDEX(Lists!I:I,MATCH(Validation!E8759,Lists!G:G,0))</f>
        <v>Error</v>
      </c>
      <c r="G8759" t="str">
        <f>INDEX(Lists!H:H,MATCH(Validation!E8759,Lists!G:G,0))</f>
        <v>You must make a selection from the dropdown list.</v>
      </c>
      <c r="H8759" s="25" t="str">
        <f t="shared" ca="1" si="1047"/>
        <v/>
      </c>
      <c r="I8759" s="25" t="str">
        <f t="shared" ca="1" si="1048"/>
        <v/>
      </c>
      <c r="J8759" s="26" t="str">
        <f t="shared" si="1049"/>
        <v/>
      </c>
    </row>
    <row r="8760" spans="1:10" x14ac:dyDescent="0.25">
      <c r="A8760" t="s">
        <v>111</v>
      </c>
      <c r="B8760" t="str">
        <f>ADDRESS(ROW(Parcels!B32),COLUMN(Parcels!B32),4)</f>
        <v>B32</v>
      </c>
      <c r="C8760" t="str">
        <f>ADDRESS(ROW(Parcels!D32),COLUMN(Parcels!D32),4)</f>
        <v>D32</v>
      </c>
      <c r="D8760" t="b">
        <f>IF(AND(Parcels!$B$6="Yes",NOT(ISBLANK(Parcels!A32)),ISBLANK(Parcels!B32)),TRUE,FALSE)</f>
        <v>0</v>
      </c>
      <c r="E8760" t="s">
        <v>64</v>
      </c>
      <c r="F8760" t="str">
        <f>INDEX(Lists!I:I,MATCH(Validation!E8760,Lists!G:G,0))</f>
        <v>Error</v>
      </c>
      <c r="G8760" t="str">
        <f>INDEX(Lists!H:H,MATCH(Validation!E8760,Lists!G:G,0))</f>
        <v>You must make a selection from the dropdown list.</v>
      </c>
      <c r="H8760" s="25" t="str">
        <f t="shared" ca="1" si="1047"/>
        <v/>
      </c>
      <c r="I8760" s="25" t="str">
        <f t="shared" ca="1" si="1048"/>
        <v/>
      </c>
      <c r="J8760" s="26" t="str">
        <f t="shared" si="1049"/>
        <v/>
      </c>
    </row>
    <row r="8761" spans="1:10" x14ac:dyDescent="0.25">
      <c r="A8761" t="s">
        <v>111</v>
      </c>
      <c r="B8761" t="str">
        <f>ADDRESS(ROW(Parcels!B33),COLUMN(Parcels!B33),4)</f>
        <v>B33</v>
      </c>
      <c r="C8761" t="str">
        <f>ADDRESS(ROW(Parcels!D33),COLUMN(Parcels!D33),4)</f>
        <v>D33</v>
      </c>
      <c r="D8761" t="b">
        <f>IF(AND(Parcels!$B$6="Yes",NOT(ISBLANK(Parcels!A33)),ISBLANK(Parcels!B33)),TRUE,FALSE)</f>
        <v>0</v>
      </c>
      <c r="E8761" t="s">
        <v>64</v>
      </c>
      <c r="F8761" t="str">
        <f>INDEX(Lists!I:I,MATCH(Validation!E8761,Lists!G:G,0))</f>
        <v>Error</v>
      </c>
      <c r="G8761" t="str">
        <f>INDEX(Lists!H:H,MATCH(Validation!E8761,Lists!G:G,0))</f>
        <v>You must make a selection from the dropdown list.</v>
      </c>
      <c r="H8761" s="25" t="str">
        <f t="shared" ca="1" si="1047"/>
        <v/>
      </c>
      <c r="I8761" s="25" t="str">
        <f t="shared" ca="1" si="1048"/>
        <v/>
      </c>
      <c r="J8761" s="26" t="str">
        <f t="shared" si="1049"/>
        <v/>
      </c>
    </row>
    <row r="8762" spans="1:10" x14ac:dyDescent="0.25">
      <c r="A8762" t="s">
        <v>111</v>
      </c>
      <c r="B8762" t="str">
        <f>ADDRESS(ROW(Parcels!B34),COLUMN(Parcels!B34),4)</f>
        <v>B34</v>
      </c>
      <c r="C8762" t="str">
        <f>ADDRESS(ROW(Parcels!D34),COLUMN(Parcels!D34),4)</f>
        <v>D34</v>
      </c>
      <c r="D8762" t="b">
        <f>IF(AND(Parcels!$B$6="Yes",NOT(ISBLANK(Parcels!A34)),ISBLANK(Parcels!B34)),TRUE,FALSE)</f>
        <v>0</v>
      </c>
      <c r="E8762" t="s">
        <v>64</v>
      </c>
      <c r="F8762" t="str">
        <f>INDEX(Lists!I:I,MATCH(Validation!E8762,Lists!G:G,0))</f>
        <v>Error</v>
      </c>
      <c r="G8762" t="str">
        <f>INDEX(Lists!H:H,MATCH(Validation!E8762,Lists!G:G,0))</f>
        <v>You must make a selection from the dropdown list.</v>
      </c>
      <c r="H8762" s="25" t="str">
        <f t="shared" ca="1" si="1047"/>
        <v/>
      </c>
      <c r="I8762" s="25" t="str">
        <f t="shared" ca="1" si="1048"/>
        <v/>
      </c>
      <c r="J8762" s="26" t="str">
        <f t="shared" si="1049"/>
        <v/>
      </c>
    </row>
    <row r="8763" spans="1:10" x14ac:dyDescent="0.25">
      <c r="A8763" t="s">
        <v>111</v>
      </c>
      <c r="B8763" t="str">
        <f>ADDRESS(ROW(Parcels!B35),COLUMN(Parcels!B35),4)</f>
        <v>B35</v>
      </c>
      <c r="C8763" t="str">
        <f>ADDRESS(ROW(Parcels!D35),COLUMN(Parcels!D35),4)</f>
        <v>D35</v>
      </c>
      <c r="D8763" t="b">
        <f>IF(AND(Parcels!$B$6="Yes",NOT(ISBLANK(Parcels!A35)),ISBLANK(Parcels!B35)),TRUE,FALSE)</f>
        <v>0</v>
      </c>
      <c r="E8763" t="s">
        <v>64</v>
      </c>
      <c r="F8763" t="str">
        <f>INDEX(Lists!I:I,MATCH(Validation!E8763,Lists!G:G,0))</f>
        <v>Error</v>
      </c>
      <c r="G8763" t="str">
        <f>INDEX(Lists!H:H,MATCH(Validation!E8763,Lists!G:G,0))</f>
        <v>You must make a selection from the dropdown list.</v>
      </c>
      <c r="H8763" s="25" t="str">
        <f t="shared" ca="1" si="1047"/>
        <v/>
      </c>
      <c r="I8763" s="25" t="str">
        <f t="shared" ca="1" si="1048"/>
        <v/>
      </c>
      <c r="J8763" s="26" t="str">
        <f t="shared" si="1049"/>
        <v/>
      </c>
    </row>
    <row r="8764" spans="1:10" x14ac:dyDescent="0.25">
      <c r="A8764" t="s">
        <v>111</v>
      </c>
      <c r="B8764" t="str">
        <f>ADDRESS(ROW(Parcels!B36),COLUMN(Parcels!B36),4)</f>
        <v>B36</v>
      </c>
      <c r="C8764" t="str">
        <f>ADDRESS(ROW(Parcels!D36),COLUMN(Parcels!D36),4)</f>
        <v>D36</v>
      </c>
      <c r="D8764" t="b">
        <f>IF(AND(Parcels!$B$6="Yes",NOT(ISBLANK(Parcels!A36)),ISBLANK(Parcels!B36)),TRUE,FALSE)</f>
        <v>0</v>
      </c>
      <c r="E8764" t="s">
        <v>64</v>
      </c>
      <c r="F8764" t="str">
        <f>INDEX(Lists!I:I,MATCH(Validation!E8764,Lists!G:G,0))</f>
        <v>Error</v>
      </c>
      <c r="G8764" t="str">
        <f>INDEX(Lists!H:H,MATCH(Validation!E8764,Lists!G:G,0))</f>
        <v>You must make a selection from the dropdown list.</v>
      </c>
      <c r="H8764" s="25" t="str">
        <f t="shared" ca="1" si="1047"/>
        <v/>
      </c>
      <c r="I8764" s="25" t="str">
        <f t="shared" ca="1" si="1048"/>
        <v/>
      </c>
      <c r="J8764" s="26" t="str">
        <f t="shared" si="1049"/>
        <v/>
      </c>
    </row>
    <row r="8765" spans="1:10" x14ac:dyDescent="0.25">
      <c r="A8765" t="s">
        <v>111</v>
      </c>
      <c r="B8765" t="str">
        <f>ADDRESS(ROW(Parcels!B37),COLUMN(Parcels!B37),4)</f>
        <v>B37</v>
      </c>
      <c r="C8765" t="str">
        <f>ADDRESS(ROW(Parcels!D37),COLUMN(Parcels!D37),4)</f>
        <v>D37</v>
      </c>
      <c r="D8765" t="b">
        <f>IF(AND(Parcels!$B$6="Yes",NOT(ISBLANK(Parcels!A37)),ISBLANK(Parcels!B37)),TRUE,FALSE)</f>
        <v>0</v>
      </c>
      <c r="E8765" t="s">
        <v>64</v>
      </c>
      <c r="F8765" t="str">
        <f>INDEX(Lists!I:I,MATCH(Validation!E8765,Lists!G:G,0))</f>
        <v>Error</v>
      </c>
      <c r="G8765" t="str">
        <f>INDEX(Lists!H:H,MATCH(Validation!E8765,Lists!G:G,0))</f>
        <v>You must make a selection from the dropdown list.</v>
      </c>
      <c r="H8765" s="25" t="str">
        <f t="shared" ca="1" si="1047"/>
        <v/>
      </c>
      <c r="I8765" s="25" t="str">
        <f t="shared" ca="1" si="1048"/>
        <v/>
      </c>
      <c r="J8765" s="26" t="str">
        <f t="shared" si="1049"/>
        <v/>
      </c>
    </row>
    <row r="8766" spans="1:10" x14ac:dyDescent="0.25">
      <c r="A8766" t="s">
        <v>111</v>
      </c>
      <c r="B8766" t="str">
        <f>ADDRESS(ROW(Parcels!B38),COLUMN(Parcels!B38),4)</f>
        <v>B38</v>
      </c>
      <c r="C8766" t="str">
        <f>ADDRESS(ROW(Parcels!D38),COLUMN(Parcels!D38),4)</f>
        <v>D38</v>
      </c>
      <c r="D8766" t="b">
        <f>IF(AND(Parcels!$B$6="Yes",NOT(ISBLANK(Parcels!A38)),ISBLANK(Parcels!B38)),TRUE,FALSE)</f>
        <v>0</v>
      </c>
      <c r="E8766" t="s">
        <v>64</v>
      </c>
      <c r="F8766" t="str">
        <f>INDEX(Lists!I:I,MATCH(Validation!E8766,Lists!G:G,0))</f>
        <v>Error</v>
      </c>
      <c r="G8766" t="str">
        <f>INDEX(Lists!H:H,MATCH(Validation!E8766,Lists!G:G,0))</f>
        <v>You must make a selection from the dropdown list.</v>
      </c>
      <c r="H8766" s="25" t="str">
        <f t="shared" ca="1" si="1047"/>
        <v/>
      </c>
      <c r="I8766" s="25" t="str">
        <f t="shared" ca="1" si="1048"/>
        <v/>
      </c>
      <c r="J8766" s="26" t="str">
        <f t="shared" si="1049"/>
        <v/>
      </c>
    </row>
    <row r="8767" spans="1:10" x14ac:dyDescent="0.25">
      <c r="A8767" t="s">
        <v>111</v>
      </c>
      <c r="B8767" t="str">
        <f>ADDRESS(ROW(Parcels!B39),COLUMN(Parcels!B39),4)</f>
        <v>B39</v>
      </c>
      <c r="C8767" t="str">
        <f>ADDRESS(ROW(Parcels!D39),COLUMN(Parcels!D39),4)</f>
        <v>D39</v>
      </c>
      <c r="D8767" t="b">
        <f>IF(AND(Parcels!$B$6="Yes",NOT(ISBLANK(Parcels!A39)),ISBLANK(Parcels!B39)),TRUE,FALSE)</f>
        <v>0</v>
      </c>
      <c r="E8767" t="s">
        <v>64</v>
      </c>
      <c r="F8767" t="str">
        <f>INDEX(Lists!I:I,MATCH(Validation!E8767,Lists!G:G,0))</f>
        <v>Error</v>
      </c>
      <c r="G8767" t="str">
        <f>INDEX(Lists!H:H,MATCH(Validation!E8767,Lists!G:G,0))</f>
        <v>You must make a selection from the dropdown list.</v>
      </c>
      <c r="H8767" s="25" t="str">
        <f t="shared" ca="1" si="1047"/>
        <v/>
      </c>
      <c r="I8767" s="25" t="str">
        <f t="shared" ca="1" si="1048"/>
        <v/>
      </c>
      <c r="J8767" s="26" t="str">
        <f t="shared" si="1049"/>
        <v/>
      </c>
    </row>
    <row r="8768" spans="1:10" x14ac:dyDescent="0.25">
      <c r="A8768" t="s">
        <v>111</v>
      </c>
      <c r="B8768" t="str">
        <f>ADDRESS(ROW(Parcels!B40),COLUMN(Parcels!B40),4)</f>
        <v>B40</v>
      </c>
      <c r="C8768" t="str">
        <f>ADDRESS(ROW(Parcels!D40),COLUMN(Parcels!D40),4)</f>
        <v>D40</v>
      </c>
      <c r="D8768" t="b">
        <f>IF(AND(Parcels!$B$6="Yes",NOT(ISBLANK(Parcels!A40)),ISBLANK(Parcels!B40)),TRUE,FALSE)</f>
        <v>0</v>
      </c>
      <c r="E8768" t="s">
        <v>64</v>
      </c>
      <c r="F8768" t="str">
        <f>INDEX(Lists!I:I,MATCH(Validation!E8768,Lists!G:G,0))</f>
        <v>Error</v>
      </c>
      <c r="G8768" t="str">
        <f>INDEX(Lists!H:H,MATCH(Validation!E8768,Lists!G:G,0))</f>
        <v>You must make a selection from the dropdown list.</v>
      </c>
      <c r="H8768" s="25" t="str">
        <f t="shared" ca="1" si="1047"/>
        <v/>
      </c>
      <c r="I8768" s="25" t="str">
        <f t="shared" ca="1" si="1048"/>
        <v/>
      </c>
      <c r="J8768" s="26" t="str">
        <f t="shared" si="1049"/>
        <v/>
      </c>
    </row>
    <row r="8769" spans="1:10" x14ac:dyDescent="0.25">
      <c r="A8769" t="s">
        <v>111</v>
      </c>
      <c r="B8769" t="str">
        <f>ADDRESS(ROW(Parcels!B41),COLUMN(Parcels!B41),4)</f>
        <v>B41</v>
      </c>
      <c r="C8769" t="str">
        <f>ADDRESS(ROW(Parcels!D41),COLUMN(Parcels!D41),4)</f>
        <v>D41</v>
      </c>
      <c r="D8769" t="b">
        <f>IF(AND(Parcels!$B$6="Yes",NOT(ISBLANK(Parcels!A41)),ISBLANK(Parcels!B41)),TRUE,FALSE)</f>
        <v>0</v>
      </c>
      <c r="E8769" t="s">
        <v>64</v>
      </c>
      <c r="F8769" t="str">
        <f>INDEX(Lists!I:I,MATCH(Validation!E8769,Lists!G:G,0))</f>
        <v>Error</v>
      </c>
      <c r="G8769" t="str">
        <f>INDEX(Lists!H:H,MATCH(Validation!E8769,Lists!G:G,0))</f>
        <v>You must make a selection from the dropdown list.</v>
      </c>
      <c r="H8769" s="25" t="str">
        <f t="shared" ca="1" si="1047"/>
        <v/>
      </c>
      <c r="I8769" s="25" t="str">
        <f t="shared" ca="1" si="1048"/>
        <v/>
      </c>
      <c r="J8769" s="26" t="str">
        <f t="shared" si="1049"/>
        <v/>
      </c>
    </row>
    <row r="8770" spans="1:10" x14ac:dyDescent="0.25">
      <c r="A8770" t="s">
        <v>111</v>
      </c>
      <c r="B8770" t="str">
        <f>ADDRESS(ROW(Parcels!B42),COLUMN(Parcels!B42),4)</f>
        <v>B42</v>
      </c>
      <c r="C8770" t="str">
        <f>ADDRESS(ROW(Parcels!D42),COLUMN(Parcels!D42),4)</f>
        <v>D42</v>
      </c>
      <c r="D8770" t="b">
        <f>IF(AND(Parcels!$B$6="Yes",NOT(ISBLANK(Parcels!A42)),ISBLANK(Parcels!B42)),TRUE,FALSE)</f>
        <v>0</v>
      </c>
      <c r="E8770" t="s">
        <v>64</v>
      </c>
      <c r="F8770" t="str">
        <f>INDEX(Lists!I:I,MATCH(Validation!E8770,Lists!G:G,0))</f>
        <v>Error</v>
      </c>
      <c r="G8770" t="str">
        <f>INDEX(Lists!H:H,MATCH(Validation!E8770,Lists!G:G,0))</f>
        <v>You must make a selection from the dropdown list.</v>
      </c>
      <c r="H8770" s="25" t="str">
        <f t="shared" ca="1" si="1047"/>
        <v/>
      </c>
      <c r="I8770" s="25" t="str">
        <f t="shared" ca="1" si="1048"/>
        <v/>
      </c>
      <c r="J8770" s="26" t="str">
        <f t="shared" si="1049"/>
        <v/>
      </c>
    </row>
    <row r="8771" spans="1:10" x14ac:dyDescent="0.25">
      <c r="A8771" t="s">
        <v>111</v>
      </c>
      <c r="B8771" t="str">
        <f>ADDRESS(ROW(Parcels!B43),COLUMN(Parcels!B43),4)</f>
        <v>B43</v>
      </c>
      <c r="C8771" t="str">
        <f>ADDRESS(ROW(Parcels!D43),COLUMN(Parcels!D43),4)</f>
        <v>D43</v>
      </c>
      <c r="D8771" t="b">
        <f>IF(AND(Parcels!$B$6="Yes",NOT(ISBLANK(Parcels!A43)),ISBLANK(Parcels!B43)),TRUE,FALSE)</f>
        <v>0</v>
      </c>
      <c r="E8771" t="s">
        <v>64</v>
      </c>
      <c r="F8771" t="str">
        <f>INDEX(Lists!I:I,MATCH(Validation!E8771,Lists!G:G,0))</f>
        <v>Error</v>
      </c>
      <c r="G8771" t="str">
        <f>INDEX(Lists!H:H,MATCH(Validation!E8771,Lists!G:G,0))</f>
        <v>You must make a selection from the dropdown list.</v>
      </c>
      <c r="H8771" s="25" t="str">
        <f t="shared" ca="1" si="1047"/>
        <v/>
      </c>
      <c r="I8771" s="25" t="str">
        <f t="shared" ca="1" si="1048"/>
        <v/>
      </c>
      <c r="J8771" s="26" t="str">
        <f t="shared" si="1049"/>
        <v/>
      </c>
    </row>
    <row r="8772" spans="1:10" x14ac:dyDescent="0.25">
      <c r="A8772" t="s">
        <v>111</v>
      </c>
      <c r="B8772" t="str">
        <f>ADDRESS(ROW(Parcels!B44),COLUMN(Parcels!B44),4)</f>
        <v>B44</v>
      </c>
      <c r="C8772" t="str">
        <f>ADDRESS(ROW(Parcels!D44),COLUMN(Parcels!D44),4)</f>
        <v>D44</v>
      </c>
      <c r="D8772" t="b">
        <f>IF(AND(Parcels!$B$6="Yes",NOT(ISBLANK(Parcels!A44)),ISBLANK(Parcels!B44)),TRUE,FALSE)</f>
        <v>0</v>
      </c>
      <c r="E8772" t="s">
        <v>64</v>
      </c>
      <c r="F8772" t="str">
        <f>INDEX(Lists!I:I,MATCH(Validation!E8772,Lists!G:G,0))</f>
        <v>Error</v>
      </c>
      <c r="G8772" t="str">
        <f>INDEX(Lists!H:H,MATCH(Validation!E8772,Lists!G:G,0))</f>
        <v>You must make a selection from the dropdown list.</v>
      </c>
      <c r="H8772" s="25" t="str">
        <f t="shared" ca="1" si="1047"/>
        <v/>
      </c>
      <c r="I8772" s="25" t="str">
        <f t="shared" ca="1" si="1048"/>
        <v/>
      </c>
      <c r="J8772" s="26" t="str">
        <f t="shared" si="1049"/>
        <v/>
      </c>
    </row>
    <row r="8773" spans="1:10" x14ac:dyDescent="0.25">
      <c r="A8773" t="s">
        <v>111</v>
      </c>
      <c r="B8773" t="str">
        <f>ADDRESS(ROW(Parcels!B45),COLUMN(Parcels!B45),4)</f>
        <v>B45</v>
      </c>
      <c r="C8773" t="str">
        <f>ADDRESS(ROW(Parcels!D45),COLUMN(Parcels!D45),4)</f>
        <v>D45</v>
      </c>
      <c r="D8773" t="b">
        <f>IF(AND(Parcels!$B$6="Yes",NOT(ISBLANK(Parcels!A45)),ISBLANK(Parcels!B45)),TRUE,FALSE)</f>
        <v>0</v>
      </c>
      <c r="E8773" t="s">
        <v>64</v>
      </c>
      <c r="F8773" t="str">
        <f>INDEX(Lists!I:I,MATCH(Validation!E8773,Lists!G:G,0))</f>
        <v>Error</v>
      </c>
      <c r="G8773" t="str">
        <f>INDEX(Lists!H:H,MATCH(Validation!E8773,Lists!G:G,0))</f>
        <v>You must make a selection from the dropdown list.</v>
      </c>
      <c r="H8773" s="25" t="str">
        <f t="shared" ca="1" si="1047"/>
        <v/>
      </c>
      <c r="I8773" s="25" t="str">
        <f t="shared" ca="1" si="1048"/>
        <v/>
      </c>
      <c r="J8773" s="26" t="str">
        <f t="shared" si="1049"/>
        <v/>
      </c>
    </row>
    <row r="8774" spans="1:10" x14ac:dyDescent="0.25">
      <c r="A8774" t="s">
        <v>111</v>
      </c>
      <c r="B8774" t="str">
        <f>ADDRESS(ROW(Parcels!B46),COLUMN(Parcels!B46),4)</f>
        <v>B46</v>
      </c>
      <c r="C8774" t="str">
        <f>ADDRESS(ROW(Parcels!D46),COLUMN(Parcels!D46),4)</f>
        <v>D46</v>
      </c>
      <c r="D8774" t="b">
        <f>IF(AND(Parcels!$B$6="Yes",NOT(ISBLANK(Parcels!A46)),ISBLANK(Parcels!B46)),TRUE,FALSE)</f>
        <v>0</v>
      </c>
      <c r="E8774" t="s">
        <v>64</v>
      </c>
      <c r="F8774" t="str">
        <f>INDEX(Lists!I:I,MATCH(Validation!E8774,Lists!G:G,0))</f>
        <v>Error</v>
      </c>
      <c r="G8774" t="str">
        <f>INDEX(Lists!H:H,MATCH(Validation!E8774,Lists!G:G,0))</f>
        <v>You must make a selection from the dropdown list.</v>
      </c>
      <c r="H8774" s="25" t="str">
        <f t="shared" ca="1" si="1047"/>
        <v/>
      </c>
      <c r="I8774" s="25" t="str">
        <f t="shared" ca="1" si="1048"/>
        <v/>
      </c>
      <c r="J8774" s="26" t="str">
        <f t="shared" si="1049"/>
        <v/>
      </c>
    </row>
    <row r="8775" spans="1:10" x14ac:dyDescent="0.25">
      <c r="A8775" t="s">
        <v>111</v>
      </c>
      <c r="B8775" t="str">
        <f>ADDRESS(ROW(Parcels!B47),COLUMN(Parcels!B47),4)</f>
        <v>B47</v>
      </c>
      <c r="C8775" t="str">
        <f>ADDRESS(ROW(Parcels!D47),COLUMN(Parcels!D47),4)</f>
        <v>D47</v>
      </c>
      <c r="D8775" t="b">
        <f>IF(AND(Parcels!$B$6="Yes",NOT(ISBLANK(Parcels!A47)),ISBLANK(Parcels!B47)),TRUE,FALSE)</f>
        <v>0</v>
      </c>
      <c r="E8775" t="s">
        <v>64</v>
      </c>
      <c r="F8775" t="str">
        <f>INDEX(Lists!I:I,MATCH(Validation!E8775,Lists!G:G,0))</f>
        <v>Error</v>
      </c>
      <c r="G8775" t="str">
        <f>INDEX(Lists!H:H,MATCH(Validation!E8775,Lists!G:G,0))</f>
        <v>You must make a selection from the dropdown list.</v>
      </c>
      <c r="H8775" s="25" t="str">
        <f t="shared" ca="1" si="1047"/>
        <v/>
      </c>
      <c r="I8775" s="25" t="str">
        <f t="shared" ca="1" si="1048"/>
        <v/>
      </c>
      <c r="J8775" s="26" t="str">
        <f t="shared" si="1049"/>
        <v/>
      </c>
    </row>
    <row r="8776" spans="1:10" x14ac:dyDescent="0.25">
      <c r="A8776" t="s">
        <v>111</v>
      </c>
      <c r="B8776" t="str">
        <f>ADDRESS(ROW(Parcels!B48),COLUMN(Parcels!B48),4)</f>
        <v>B48</v>
      </c>
      <c r="C8776" t="str">
        <f>ADDRESS(ROW(Parcels!D48),COLUMN(Parcels!D48),4)</f>
        <v>D48</v>
      </c>
      <c r="D8776" t="b">
        <f>IF(AND(Parcels!$B$6="Yes",NOT(ISBLANK(Parcels!A48)),ISBLANK(Parcels!B48)),TRUE,FALSE)</f>
        <v>0</v>
      </c>
      <c r="E8776" t="s">
        <v>64</v>
      </c>
      <c r="F8776" t="str">
        <f>INDEX(Lists!I:I,MATCH(Validation!E8776,Lists!G:G,0))</f>
        <v>Error</v>
      </c>
      <c r="G8776" t="str">
        <f>INDEX(Lists!H:H,MATCH(Validation!E8776,Lists!G:G,0))</f>
        <v>You must make a selection from the dropdown list.</v>
      </c>
      <c r="H8776" s="25" t="str">
        <f t="shared" ca="1" si="1047"/>
        <v/>
      </c>
      <c r="I8776" s="25" t="str">
        <f t="shared" ca="1" si="1048"/>
        <v/>
      </c>
      <c r="J8776" s="26" t="str">
        <f t="shared" si="1049"/>
        <v/>
      </c>
    </row>
    <row r="8777" spans="1:10" x14ac:dyDescent="0.25">
      <c r="A8777" t="s">
        <v>111</v>
      </c>
      <c r="B8777" t="str">
        <f>ADDRESS(ROW(Parcels!B49),COLUMN(Parcels!B49),4)</f>
        <v>B49</v>
      </c>
      <c r="C8777" t="str">
        <f>ADDRESS(ROW(Parcels!D49),COLUMN(Parcels!D49),4)</f>
        <v>D49</v>
      </c>
      <c r="D8777" t="b">
        <f>IF(AND(Parcels!$B$6="Yes",NOT(ISBLANK(Parcels!A49)),ISBLANK(Parcels!B49)),TRUE,FALSE)</f>
        <v>0</v>
      </c>
      <c r="E8777" t="s">
        <v>64</v>
      </c>
      <c r="F8777" t="str">
        <f>INDEX(Lists!I:I,MATCH(Validation!E8777,Lists!G:G,0))</f>
        <v>Error</v>
      </c>
      <c r="G8777" t="str">
        <f>INDEX(Lists!H:H,MATCH(Validation!E8777,Lists!G:G,0))</f>
        <v>You must make a selection from the dropdown list.</v>
      </c>
      <c r="H8777" s="25" t="str">
        <f t="shared" ca="1" si="1047"/>
        <v/>
      </c>
      <c r="I8777" s="25" t="str">
        <f t="shared" ca="1" si="1048"/>
        <v/>
      </c>
      <c r="J8777" s="26" t="str">
        <f t="shared" si="1049"/>
        <v/>
      </c>
    </row>
    <row r="8778" spans="1:10" x14ac:dyDescent="0.25">
      <c r="A8778" t="s">
        <v>111</v>
      </c>
      <c r="B8778" t="str">
        <f>ADDRESS(ROW(Parcels!B50),COLUMN(Parcels!B50),4)</f>
        <v>B50</v>
      </c>
      <c r="C8778" t="str">
        <f>ADDRESS(ROW(Parcels!D50),COLUMN(Parcels!D50),4)</f>
        <v>D50</v>
      </c>
      <c r="D8778" t="b">
        <f>IF(AND(Parcels!$B$6="Yes",NOT(ISBLANK(Parcels!A50)),ISBLANK(Parcels!B50)),TRUE,FALSE)</f>
        <v>0</v>
      </c>
      <c r="E8778" t="s">
        <v>64</v>
      </c>
      <c r="F8778" t="str">
        <f>INDEX(Lists!I:I,MATCH(Validation!E8778,Lists!G:G,0))</f>
        <v>Error</v>
      </c>
      <c r="G8778" t="str">
        <f>INDEX(Lists!H:H,MATCH(Validation!E8778,Lists!G:G,0))</f>
        <v>You must make a selection from the dropdown list.</v>
      </c>
      <c r="H8778" s="25" t="str">
        <f t="shared" ca="1" si="1047"/>
        <v/>
      </c>
      <c r="I8778" s="25" t="str">
        <f t="shared" ca="1" si="1048"/>
        <v/>
      </c>
      <c r="J8778" s="26" t="str">
        <f t="shared" si="1049"/>
        <v/>
      </c>
    </row>
    <row r="8779" spans="1:10" x14ac:dyDescent="0.25">
      <c r="A8779" t="s">
        <v>111</v>
      </c>
      <c r="B8779" t="str">
        <f>ADDRESS(ROW(Parcels!B51),COLUMN(Parcels!B51),4)</f>
        <v>B51</v>
      </c>
      <c r="C8779" t="str">
        <f>ADDRESS(ROW(Parcels!D51),COLUMN(Parcels!D51),4)</f>
        <v>D51</v>
      </c>
      <c r="D8779" t="b">
        <f>IF(AND(Parcels!$B$6="Yes",NOT(ISBLANK(Parcels!A51)),ISBLANK(Parcels!B51)),TRUE,FALSE)</f>
        <v>0</v>
      </c>
      <c r="E8779" t="s">
        <v>64</v>
      </c>
      <c r="F8779" t="str">
        <f>INDEX(Lists!I:I,MATCH(Validation!E8779,Lists!G:G,0))</f>
        <v>Error</v>
      </c>
      <c r="G8779" t="str">
        <f>INDEX(Lists!H:H,MATCH(Validation!E8779,Lists!G:G,0))</f>
        <v>You must make a selection from the dropdown list.</v>
      </c>
      <c r="H8779" s="25" t="str">
        <f t="shared" ca="1" si="1047"/>
        <v/>
      </c>
      <c r="I8779" s="25" t="str">
        <f t="shared" ca="1" si="1048"/>
        <v/>
      </c>
      <c r="J8779" s="26" t="str">
        <f t="shared" si="1049"/>
        <v/>
      </c>
    </row>
    <row r="8780" spans="1:10" x14ac:dyDescent="0.25">
      <c r="A8780" t="s">
        <v>111</v>
      </c>
      <c r="B8780" t="str">
        <f>ADDRESS(ROW(Parcels!B52),COLUMN(Parcels!B52),4)</f>
        <v>B52</v>
      </c>
      <c r="C8780" t="str">
        <f>ADDRESS(ROW(Parcels!D52),COLUMN(Parcels!D52),4)</f>
        <v>D52</v>
      </c>
      <c r="D8780" t="b">
        <f>IF(AND(Parcels!$B$6="Yes",NOT(ISBLANK(Parcels!A52)),ISBLANK(Parcels!B52)),TRUE,FALSE)</f>
        <v>0</v>
      </c>
      <c r="E8780" t="s">
        <v>64</v>
      </c>
      <c r="F8780" t="str">
        <f>INDEX(Lists!I:I,MATCH(Validation!E8780,Lists!G:G,0))</f>
        <v>Error</v>
      </c>
      <c r="G8780" t="str">
        <f>INDEX(Lists!H:H,MATCH(Validation!E8780,Lists!G:G,0))</f>
        <v>You must make a selection from the dropdown list.</v>
      </c>
      <c r="H8780" s="25" t="str">
        <f t="shared" ca="1" si="1047"/>
        <v/>
      </c>
      <c r="I8780" s="25" t="str">
        <f t="shared" ca="1" si="1048"/>
        <v/>
      </c>
      <c r="J8780" s="26" t="str">
        <f t="shared" si="1049"/>
        <v/>
      </c>
    </row>
    <row r="8781" spans="1:10" x14ac:dyDescent="0.25">
      <c r="A8781" t="s">
        <v>111</v>
      </c>
      <c r="B8781" t="str">
        <f>ADDRESS(ROW(Parcels!B53),COLUMN(Parcels!B53),4)</f>
        <v>B53</v>
      </c>
      <c r="C8781" t="str">
        <f>ADDRESS(ROW(Parcels!D53),COLUMN(Parcels!D53),4)</f>
        <v>D53</v>
      </c>
      <c r="D8781" t="b">
        <f>IF(AND(Parcels!$B$6="Yes",NOT(ISBLANK(Parcels!A53)),ISBLANK(Parcels!B53)),TRUE,FALSE)</f>
        <v>0</v>
      </c>
      <c r="E8781" t="s">
        <v>64</v>
      </c>
      <c r="F8781" t="str">
        <f>INDEX(Lists!I:I,MATCH(Validation!E8781,Lists!G:G,0))</f>
        <v>Error</v>
      </c>
      <c r="G8781" t="str">
        <f>INDEX(Lists!H:H,MATCH(Validation!E8781,Lists!G:G,0))</f>
        <v>You must make a selection from the dropdown list.</v>
      </c>
      <c r="H8781" s="25" t="str">
        <f t="shared" ca="1" si="1047"/>
        <v/>
      </c>
      <c r="I8781" s="25" t="str">
        <f t="shared" ca="1" si="1048"/>
        <v/>
      </c>
      <c r="J8781" s="26" t="str">
        <f t="shared" si="1049"/>
        <v/>
      </c>
    </row>
    <row r="8782" spans="1:10" x14ac:dyDescent="0.25">
      <c r="A8782" t="s">
        <v>111</v>
      </c>
      <c r="B8782" t="str">
        <f>ADDRESS(ROW(Parcels!B54),COLUMN(Parcels!B54),4)</f>
        <v>B54</v>
      </c>
      <c r="C8782" t="str">
        <f>ADDRESS(ROW(Parcels!D54),COLUMN(Parcels!D54),4)</f>
        <v>D54</v>
      </c>
      <c r="D8782" t="b">
        <f>IF(AND(Parcels!$B$6="Yes",NOT(ISBLANK(Parcels!A54)),ISBLANK(Parcels!B54)),TRUE,FALSE)</f>
        <v>0</v>
      </c>
      <c r="E8782" t="s">
        <v>64</v>
      </c>
      <c r="F8782" t="str">
        <f>INDEX(Lists!I:I,MATCH(Validation!E8782,Lists!G:G,0))</f>
        <v>Error</v>
      </c>
      <c r="G8782" t="str">
        <f>INDEX(Lists!H:H,MATCH(Validation!E8782,Lists!G:G,0))</f>
        <v>You must make a selection from the dropdown list.</v>
      </c>
      <c r="H8782" s="25" t="str">
        <f t="shared" ca="1" si="1047"/>
        <v/>
      </c>
      <c r="I8782" s="25" t="str">
        <f t="shared" ca="1" si="1048"/>
        <v/>
      </c>
      <c r="J8782" s="26" t="str">
        <f t="shared" si="1049"/>
        <v/>
      </c>
    </row>
    <row r="8783" spans="1:10" x14ac:dyDescent="0.25">
      <c r="A8783" t="s">
        <v>111</v>
      </c>
      <c r="B8783" t="str">
        <f>ADDRESS(ROW(Parcels!B55),COLUMN(Parcels!B55),4)</f>
        <v>B55</v>
      </c>
      <c r="C8783" t="str">
        <f>ADDRESS(ROW(Parcels!D55),COLUMN(Parcels!D55),4)</f>
        <v>D55</v>
      </c>
      <c r="D8783" t="b">
        <f>IF(AND(Parcels!$B$6="Yes",NOT(ISBLANK(Parcels!A55)),ISBLANK(Parcels!B55)),TRUE,FALSE)</f>
        <v>0</v>
      </c>
      <c r="E8783" t="s">
        <v>64</v>
      </c>
      <c r="F8783" t="str">
        <f>INDEX(Lists!I:I,MATCH(Validation!E8783,Lists!G:G,0))</f>
        <v>Error</v>
      </c>
      <c r="G8783" t="str">
        <f>INDEX(Lists!H:H,MATCH(Validation!E8783,Lists!G:G,0))</f>
        <v>You must make a selection from the dropdown list.</v>
      </c>
      <c r="H8783" s="25" t="str">
        <f t="shared" ca="1" si="1047"/>
        <v/>
      </c>
      <c r="I8783" s="25" t="str">
        <f t="shared" ca="1" si="1048"/>
        <v/>
      </c>
      <c r="J8783" s="26" t="str">
        <f t="shared" si="1049"/>
        <v/>
      </c>
    </row>
    <row r="8784" spans="1:10" x14ac:dyDescent="0.25">
      <c r="A8784" t="s">
        <v>111</v>
      </c>
      <c r="B8784" t="str">
        <f>ADDRESS(ROW(Parcels!B56),COLUMN(Parcels!B56),4)</f>
        <v>B56</v>
      </c>
      <c r="C8784" t="str">
        <f>ADDRESS(ROW(Parcels!D56),COLUMN(Parcels!D56),4)</f>
        <v>D56</v>
      </c>
      <c r="D8784" t="b">
        <f>IF(AND(Parcels!$B$6="Yes",NOT(ISBLANK(Parcels!A56)),ISBLANK(Parcels!B56)),TRUE,FALSE)</f>
        <v>0</v>
      </c>
      <c r="E8784" t="s">
        <v>64</v>
      </c>
      <c r="F8784" t="str">
        <f>INDEX(Lists!I:I,MATCH(Validation!E8784,Lists!G:G,0))</f>
        <v>Error</v>
      </c>
      <c r="G8784" t="str">
        <f>INDEX(Lists!H:H,MATCH(Validation!E8784,Lists!G:G,0))</f>
        <v>You must make a selection from the dropdown list.</v>
      </c>
      <c r="H8784" s="25" t="str">
        <f t="shared" ca="1" si="1047"/>
        <v/>
      </c>
      <c r="I8784" s="25" t="str">
        <f t="shared" ca="1" si="1048"/>
        <v/>
      </c>
      <c r="J8784" s="26" t="str">
        <f t="shared" si="1049"/>
        <v/>
      </c>
    </row>
    <row r="8785" spans="1:10" x14ac:dyDescent="0.25">
      <c r="A8785" t="s">
        <v>111</v>
      </c>
      <c r="B8785" t="str">
        <f>ADDRESS(ROW(Parcels!B57),COLUMN(Parcels!B57),4)</f>
        <v>B57</v>
      </c>
      <c r="C8785" t="str">
        <f>ADDRESS(ROW(Parcels!D57),COLUMN(Parcels!D57),4)</f>
        <v>D57</v>
      </c>
      <c r="D8785" t="b">
        <f>IF(AND(Parcels!$B$6="Yes",NOT(ISBLANK(Parcels!A57)),ISBLANK(Parcels!B57)),TRUE,FALSE)</f>
        <v>0</v>
      </c>
      <c r="E8785" t="s">
        <v>64</v>
      </c>
      <c r="F8785" t="str">
        <f>INDEX(Lists!I:I,MATCH(Validation!E8785,Lists!G:G,0))</f>
        <v>Error</v>
      </c>
      <c r="G8785" t="str">
        <f>INDEX(Lists!H:H,MATCH(Validation!E8785,Lists!G:G,0))</f>
        <v>You must make a selection from the dropdown list.</v>
      </c>
      <c r="H8785" s="25" t="str">
        <f t="shared" ca="1" si="1047"/>
        <v/>
      </c>
      <c r="I8785" s="25" t="str">
        <f t="shared" ca="1" si="1048"/>
        <v/>
      </c>
      <c r="J8785" s="26" t="str">
        <f t="shared" si="1049"/>
        <v/>
      </c>
    </row>
    <row r="8786" spans="1:10" x14ac:dyDescent="0.25">
      <c r="A8786" t="s">
        <v>111</v>
      </c>
      <c r="B8786" t="str">
        <f>ADDRESS(ROW(Parcels!B58),COLUMN(Parcels!B58),4)</f>
        <v>B58</v>
      </c>
      <c r="C8786" t="str">
        <f>ADDRESS(ROW(Parcels!D58),COLUMN(Parcels!D58),4)</f>
        <v>D58</v>
      </c>
      <c r="D8786" t="b">
        <f>IF(AND(Parcels!$B$6="Yes",NOT(ISBLANK(Parcels!A58)),ISBLANK(Parcels!B58)),TRUE,FALSE)</f>
        <v>0</v>
      </c>
      <c r="E8786" t="s">
        <v>64</v>
      </c>
      <c r="F8786" t="str">
        <f>INDEX(Lists!I:I,MATCH(Validation!E8786,Lists!G:G,0))</f>
        <v>Error</v>
      </c>
      <c r="G8786" t="str">
        <f>INDEX(Lists!H:H,MATCH(Validation!E8786,Lists!G:G,0))</f>
        <v>You must make a selection from the dropdown list.</v>
      </c>
      <c r="H8786" s="25" t="str">
        <f t="shared" ca="1" si="1047"/>
        <v/>
      </c>
      <c r="I8786" s="25" t="str">
        <f t="shared" ca="1" si="1048"/>
        <v/>
      </c>
      <c r="J8786" s="26" t="str">
        <f t="shared" si="1049"/>
        <v/>
      </c>
    </row>
    <row r="8787" spans="1:10" x14ac:dyDescent="0.25">
      <c r="A8787" t="s">
        <v>111</v>
      </c>
      <c r="B8787" t="str">
        <f>ADDRESS(ROW(Parcels!B59),COLUMN(Parcels!B59),4)</f>
        <v>B59</v>
      </c>
      <c r="C8787" t="str">
        <f>ADDRESS(ROW(Parcels!D59),COLUMN(Parcels!D59),4)</f>
        <v>D59</v>
      </c>
      <c r="D8787" t="b">
        <f>IF(AND(Parcels!$B$6="Yes",NOT(ISBLANK(Parcels!A59)),ISBLANK(Parcels!B59)),TRUE,FALSE)</f>
        <v>0</v>
      </c>
      <c r="E8787" t="s">
        <v>64</v>
      </c>
      <c r="F8787" t="str">
        <f>INDEX(Lists!I:I,MATCH(Validation!E8787,Lists!G:G,0))</f>
        <v>Error</v>
      </c>
      <c r="G8787" t="str">
        <f>INDEX(Lists!H:H,MATCH(Validation!E8787,Lists!G:G,0))</f>
        <v>You must make a selection from the dropdown list.</v>
      </c>
      <c r="H8787" s="25" t="str">
        <f t="shared" ca="1" si="1047"/>
        <v/>
      </c>
      <c r="I8787" s="25" t="str">
        <f t="shared" ca="1" si="1048"/>
        <v/>
      </c>
      <c r="J8787" s="26" t="str">
        <f t="shared" si="1049"/>
        <v/>
      </c>
    </row>
    <row r="8788" spans="1:10" x14ac:dyDescent="0.25">
      <c r="A8788" t="s">
        <v>111</v>
      </c>
      <c r="B8788" t="str">
        <f>ADDRESS(ROW(Parcels!B60),COLUMN(Parcels!B60),4)</f>
        <v>B60</v>
      </c>
      <c r="C8788" t="str">
        <f>ADDRESS(ROW(Parcels!D60),COLUMN(Parcels!D60),4)</f>
        <v>D60</v>
      </c>
      <c r="D8788" t="b">
        <f>IF(AND(Parcels!$B$6="Yes",NOT(ISBLANK(Parcels!A60)),ISBLANK(Parcels!B60)),TRUE,FALSE)</f>
        <v>0</v>
      </c>
      <c r="E8788" t="s">
        <v>64</v>
      </c>
      <c r="F8788" t="str">
        <f>INDEX(Lists!I:I,MATCH(Validation!E8788,Lists!G:G,0))</f>
        <v>Error</v>
      </c>
      <c r="G8788" t="str">
        <f>INDEX(Lists!H:H,MATCH(Validation!E8788,Lists!G:G,0))</f>
        <v>You must make a selection from the dropdown list.</v>
      </c>
      <c r="H8788" s="25" t="str">
        <f t="shared" ca="1" si="1047"/>
        <v/>
      </c>
      <c r="I8788" s="25" t="str">
        <f t="shared" ca="1" si="1048"/>
        <v/>
      </c>
      <c r="J8788" s="26" t="str">
        <f t="shared" si="1049"/>
        <v/>
      </c>
    </row>
    <row r="8789" spans="1:10" x14ac:dyDescent="0.25">
      <c r="A8789" t="s">
        <v>111</v>
      </c>
      <c r="B8789" t="str">
        <f>ADDRESS(ROW(Parcels!B61),COLUMN(Parcels!B61),4)</f>
        <v>B61</v>
      </c>
      <c r="C8789" t="str">
        <f>ADDRESS(ROW(Parcels!D61),COLUMN(Parcels!D61),4)</f>
        <v>D61</v>
      </c>
      <c r="D8789" t="b">
        <f>IF(AND(Parcels!$B$6="Yes",NOT(ISBLANK(Parcels!A61)),ISBLANK(Parcels!B61)),TRUE,FALSE)</f>
        <v>0</v>
      </c>
      <c r="E8789" t="s">
        <v>64</v>
      </c>
      <c r="F8789" t="str">
        <f>INDEX(Lists!I:I,MATCH(Validation!E8789,Lists!G:G,0))</f>
        <v>Error</v>
      </c>
      <c r="G8789" t="str">
        <f>INDEX(Lists!H:H,MATCH(Validation!E8789,Lists!G:G,0))</f>
        <v>You must make a selection from the dropdown list.</v>
      </c>
      <c r="H8789" s="25" t="str">
        <f t="shared" ca="1" si="1047"/>
        <v/>
      </c>
      <c r="I8789" s="25" t="str">
        <f t="shared" ca="1" si="1048"/>
        <v/>
      </c>
      <c r="J8789" s="26" t="str">
        <f t="shared" si="1049"/>
        <v/>
      </c>
    </row>
    <row r="8790" spans="1:10" x14ac:dyDescent="0.25">
      <c r="A8790" t="s">
        <v>111</v>
      </c>
      <c r="B8790" t="str">
        <f>ADDRESS(ROW(Parcels!B62),COLUMN(Parcels!B62),4)</f>
        <v>B62</v>
      </c>
      <c r="C8790" t="str">
        <f>ADDRESS(ROW(Parcels!D62),COLUMN(Parcels!D62),4)</f>
        <v>D62</v>
      </c>
      <c r="D8790" t="b">
        <f>IF(AND(Parcels!$B$6="Yes",NOT(ISBLANK(Parcels!A62)),ISBLANK(Parcels!B62)),TRUE,FALSE)</f>
        <v>0</v>
      </c>
      <c r="E8790" t="s">
        <v>64</v>
      </c>
      <c r="F8790" t="str">
        <f>INDEX(Lists!I:I,MATCH(Validation!E8790,Lists!G:G,0))</f>
        <v>Error</v>
      </c>
      <c r="G8790" t="str">
        <f>INDEX(Lists!H:H,MATCH(Validation!E8790,Lists!G:G,0))</f>
        <v>You must make a selection from the dropdown list.</v>
      </c>
      <c r="H8790" s="25" t="str">
        <f t="shared" ca="1" si="1047"/>
        <v/>
      </c>
      <c r="I8790" s="25" t="str">
        <f t="shared" ca="1" si="1048"/>
        <v/>
      </c>
      <c r="J8790" s="26" t="str">
        <f t="shared" si="1049"/>
        <v/>
      </c>
    </row>
    <row r="8791" spans="1:10" x14ac:dyDescent="0.25">
      <c r="A8791" t="s">
        <v>111</v>
      </c>
      <c r="B8791" t="str">
        <f>ADDRESS(ROW(Parcels!B63),COLUMN(Parcels!B63),4)</f>
        <v>B63</v>
      </c>
      <c r="C8791" t="str">
        <f>ADDRESS(ROW(Parcels!D63),COLUMN(Parcels!D63),4)</f>
        <v>D63</v>
      </c>
      <c r="D8791" t="b">
        <f>IF(AND(Parcels!$B$6="Yes",NOT(ISBLANK(Parcels!A63)),ISBLANK(Parcels!B63)),TRUE,FALSE)</f>
        <v>0</v>
      </c>
      <c r="E8791" t="s">
        <v>64</v>
      </c>
      <c r="F8791" t="str">
        <f>INDEX(Lists!I:I,MATCH(Validation!E8791,Lists!G:G,0))</f>
        <v>Error</v>
      </c>
      <c r="G8791" t="str">
        <f>INDEX(Lists!H:H,MATCH(Validation!E8791,Lists!G:G,0))</f>
        <v>You must make a selection from the dropdown list.</v>
      </c>
      <c r="H8791" s="25" t="str">
        <f t="shared" ca="1" si="1047"/>
        <v/>
      </c>
      <c r="I8791" s="25" t="str">
        <f t="shared" ca="1" si="1048"/>
        <v/>
      </c>
      <c r="J8791" s="26" t="str">
        <f t="shared" si="1049"/>
        <v/>
      </c>
    </row>
    <row r="8792" spans="1:10" x14ac:dyDescent="0.25">
      <c r="A8792" t="s">
        <v>111</v>
      </c>
      <c r="B8792" t="str">
        <f>ADDRESS(ROW(Parcels!B64),COLUMN(Parcels!B64),4)</f>
        <v>B64</v>
      </c>
      <c r="C8792" t="str">
        <f>ADDRESS(ROW(Parcels!D64),COLUMN(Parcels!D64),4)</f>
        <v>D64</v>
      </c>
      <c r="D8792" t="b">
        <f>IF(AND(Parcels!$B$6="Yes",NOT(ISBLANK(Parcels!A64)),ISBLANK(Parcels!B64)),TRUE,FALSE)</f>
        <v>0</v>
      </c>
      <c r="E8792" t="s">
        <v>64</v>
      </c>
      <c r="F8792" t="str">
        <f>INDEX(Lists!I:I,MATCH(Validation!E8792,Lists!G:G,0))</f>
        <v>Error</v>
      </c>
      <c r="G8792" t="str">
        <f>INDEX(Lists!H:H,MATCH(Validation!E8792,Lists!G:G,0))</f>
        <v>You must make a selection from the dropdown list.</v>
      </c>
      <c r="H8792" s="25" t="str">
        <f t="shared" ca="1" si="1047"/>
        <v/>
      </c>
      <c r="I8792" s="25" t="str">
        <f t="shared" ca="1" si="1048"/>
        <v/>
      </c>
      <c r="J8792" s="26" t="str">
        <f t="shared" si="1049"/>
        <v/>
      </c>
    </row>
    <row r="8793" spans="1:10" x14ac:dyDescent="0.25">
      <c r="A8793" t="s">
        <v>111</v>
      </c>
      <c r="B8793" t="str">
        <f>ADDRESS(ROW(Parcels!B65),COLUMN(Parcels!B65),4)</f>
        <v>B65</v>
      </c>
      <c r="C8793" t="str">
        <f>ADDRESS(ROW(Parcels!D65),COLUMN(Parcels!D65),4)</f>
        <v>D65</v>
      </c>
      <c r="D8793" t="b">
        <f>IF(AND(Parcels!$B$6="Yes",NOT(ISBLANK(Parcels!A65)),ISBLANK(Parcels!B65)),TRUE,FALSE)</f>
        <v>0</v>
      </c>
      <c r="E8793" t="s">
        <v>64</v>
      </c>
      <c r="F8793" t="str">
        <f>INDEX(Lists!I:I,MATCH(Validation!E8793,Lists!G:G,0))</f>
        <v>Error</v>
      </c>
      <c r="G8793" t="str">
        <f>INDEX(Lists!H:H,MATCH(Validation!E8793,Lists!G:G,0))</f>
        <v>You must make a selection from the dropdown list.</v>
      </c>
      <c r="H8793" s="25" t="str">
        <f t="shared" ca="1" si="1047"/>
        <v/>
      </c>
      <c r="I8793" s="25" t="str">
        <f t="shared" ca="1" si="1048"/>
        <v/>
      </c>
      <c r="J8793" s="26" t="str">
        <f t="shared" si="1049"/>
        <v/>
      </c>
    </row>
    <row r="8794" spans="1:10" x14ac:dyDescent="0.25">
      <c r="A8794" t="s">
        <v>111</v>
      </c>
      <c r="B8794" t="str">
        <f>ADDRESS(ROW(Parcels!B66),COLUMN(Parcels!B66),4)</f>
        <v>B66</v>
      </c>
      <c r="C8794" t="str">
        <f>ADDRESS(ROW(Parcels!D66),COLUMN(Parcels!D66),4)</f>
        <v>D66</v>
      </c>
      <c r="D8794" t="b">
        <f>IF(AND(Parcels!$B$6="Yes",NOT(ISBLANK(Parcels!A66)),ISBLANK(Parcels!B66)),TRUE,FALSE)</f>
        <v>0</v>
      </c>
      <c r="E8794" t="s">
        <v>64</v>
      </c>
      <c r="F8794" t="str">
        <f>INDEX(Lists!I:I,MATCH(Validation!E8794,Lists!G:G,0))</f>
        <v>Error</v>
      </c>
      <c r="G8794" t="str">
        <f>INDEX(Lists!H:H,MATCH(Validation!E8794,Lists!G:G,0))</f>
        <v>You must make a selection from the dropdown list.</v>
      </c>
      <c r="H8794" s="25" t="str">
        <f t="shared" ca="1" si="1047"/>
        <v/>
      </c>
      <c r="I8794" s="25" t="str">
        <f t="shared" ca="1" si="1048"/>
        <v/>
      </c>
      <c r="J8794" s="26" t="str">
        <f t="shared" si="1049"/>
        <v/>
      </c>
    </row>
    <row r="8795" spans="1:10" x14ac:dyDescent="0.25">
      <c r="A8795" t="s">
        <v>111</v>
      </c>
      <c r="B8795" t="str">
        <f>ADDRESS(ROW(Parcels!B67),COLUMN(Parcels!B67),4)</f>
        <v>B67</v>
      </c>
      <c r="C8795" t="str">
        <f>ADDRESS(ROW(Parcels!D67),COLUMN(Parcels!D67),4)</f>
        <v>D67</v>
      </c>
      <c r="D8795" t="b">
        <f>IF(AND(Parcels!$B$6="Yes",NOT(ISBLANK(Parcels!A67)),ISBLANK(Parcels!B67)),TRUE,FALSE)</f>
        <v>0</v>
      </c>
      <c r="E8795" t="s">
        <v>64</v>
      </c>
      <c r="F8795" t="str">
        <f>INDEX(Lists!I:I,MATCH(Validation!E8795,Lists!G:G,0))</f>
        <v>Error</v>
      </c>
      <c r="G8795" t="str">
        <f>INDEX(Lists!H:H,MATCH(Validation!E8795,Lists!G:G,0))</f>
        <v>You must make a selection from the dropdown list.</v>
      </c>
      <c r="H8795" s="25" t="str">
        <f t="shared" ca="1" si="1047"/>
        <v/>
      </c>
      <c r="I8795" s="25" t="str">
        <f t="shared" ca="1" si="1048"/>
        <v/>
      </c>
      <c r="J8795" s="26" t="str">
        <f t="shared" si="1049"/>
        <v/>
      </c>
    </row>
    <row r="8796" spans="1:10" x14ac:dyDescent="0.25">
      <c r="A8796" t="s">
        <v>111</v>
      </c>
      <c r="B8796" t="str">
        <f>ADDRESS(ROW(Parcels!B68),COLUMN(Parcels!B68),4)</f>
        <v>B68</v>
      </c>
      <c r="C8796" t="str">
        <f>ADDRESS(ROW(Parcels!D68),COLUMN(Parcels!D68),4)</f>
        <v>D68</v>
      </c>
      <c r="D8796" t="b">
        <f>IF(AND(Parcels!$B$6="Yes",NOT(ISBLANK(Parcels!A68)),ISBLANK(Parcels!B68)),TRUE,FALSE)</f>
        <v>0</v>
      </c>
      <c r="E8796" t="s">
        <v>64</v>
      </c>
      <c r="F8796" t="str">
        <f>INDEX(Lists!I:I,MATCH(Validation!E8796,Lists!G:G,0))</f>
        <v>Error</v>
      </c>
      <c r="G8796" t="str">
        <f>INDEX(Lists!H:H,MATCH(Validation!E8796,Lists!G:G,0))</f>
        <v>You must make a selection from the dropdown list.</v>
      </c>
      <c r="H8796" s="25" t="str">
        <f t="shared" ca="1" si="1047"/>
        <v/>
      </c>
      <c r="I8796" s="25" t="str">
        <f t="shared" ca="1" si="1048"/>
        <v/>
      </c>
      <c r="J8796" s="26" t="str">
        <f t="shared" si="1049"/>
        <v/>
      </c>
    </row>
    <row r="8797" spans="1:10" x14ac:dyDescent="0.25">
      <c r="A8797" t="s">
        <v>111</v>
      </c>
      <c r="B8797" t="str">
        <f>ADDRESS(ROW(Parcels!B69),COLUMN(Parcels!B69),4)</f>
        <v>B69</v>
      </c>
      <c r="C8797" t="str">
        <f>ADDRESS(ROW(Parcels!D69),COLUMN(Parcels!D69),4)</f>
        <v>D69</v>
      </c>
      <c r="D8797" t="b">
        <f>IF(AND(Parcels!$B$6="Yes",NOT(ISBLANK(Parcels!A69)),ISBLANK(Parcels!B69)),TRUE,FALSE)</f>
        <v>0</v>
      </c>
      <c r="E8797" t="s">
        <v>64</v>
      </c>
      <c r="F8797" t="str">
        <f>INDEX(Lists!I:I,MATCH(Validation!E8797,Lists!G:G,0))</f>
        <v>Error</v>
      </c>
      <c r="G8797" t="str">
        <f>INDEX(Lists!H:H,MATCH(Validation!E8797,Lists!G:G,0))</f>
        <v>You must make a selection from the dropdown list.</v>
      </c>
      <c r="H8797" s="25" t="str">
        <f t="shared" ca="1" si="1047"/>
        <v/>
      </c>
      <c r="I8797" s="25" t="str">
        <f t="shared" ca="1" si="1048"/>
        <v/>
      </c>
      <c r="J8797" s="26" t="str">
        <f t="shared" si="1049"/>
        <v/>
      </c>
    </row>
    <row r="8798" spans="1:10" x14ac:dyDescent="0.25">
      <c r="A8798" t="s">
        <v>111</v>
      </c>
      <c r="B8798" t="str">
        <f>ADDRESS(ROW(Parcels!B70),COLUMN(Parcels!B70),4)</f>
        <v>B70</v>
      </c>
      <c r="C8798" t="str">
        <f>ADDRESS(ROW(Parcels!D70),COLUMN(Parcels!D70),4)</f>
        <v>D70</v>
      </c>
      <c r="D8798" t="b">
        <f>IF(AND(Parcels!$B$6="Yes",NOT(ISBLANK(Parcels!A70)),ISBLANK(Parcels!B70)),TRUE,FALSE)</f>
        <v>0</v>
      </c>
      <c r="E8798" t="s">
        <v>64</v>
      </c>
      <c r="F8798" t="str">
        <f>INDEX(Lists!I:I,MATCH(Validation!E8798,Lists!G:G,0))</f>
        <v>Error</v>
      </c>
      <c r="G8798" t="str">
        <f>INDEX(Lists!H:H,MATCH(Validation!E8798,Lists!G:G,0))</f>
        <v>You must make a selection from the dropdown list.</v>
      </c>
      <c r="H8798" s="25" t="str">
        <f t="shared" ca="1" si="1047"/>
        <v/>
      </c>
      <c r="I8798" s="25" t="str">
        <f t="shared" ca="1" si="1048"/>
        <v/>
      </c>
      <c r="J8798" s="26" t="str">
        <f t="shared" si="1049"/>
        <v/>
      </c>
    </row>
    <row r="8799" spans="1:10" x14ac:dyDescent="0.25">
      <c r="A8799" t="s">
        <v>111</v>
      </c>
      <c r="B8799" t="str">
        <f>ADDRESS(ROW(Parcels!B71),COLUMN(Parcels!B71),4)</f>
        <v>B71</v>
      </c>
      <c r="C8799" t="str">
        <f>ADDRESS(ROW(Parcels!D71),COLUMN(Parcels!D71),4)</f>
        <v>D71</v>
      </c>
      <c r="D8799" t="b">
        <f>IF(AND(Parcels!$B$6="Yes",NOT(ISBLANK(Parcels!A71)),ISBLANK(Parcels!B71)),TRUE,FALSE)</f>
        <v>0</v>
      </c>
      <c r="E8799" t="s">
        <v>64</v>
      </c>
      <c r="F8799" t="str">
        <f>INDEX(Lists!I:I,MATCH(Validation!E8799,Lists!G:G,0))</f>
        <v>Error</v>
      </c>
      <c r="G8799" t="str">
        <f>INDEX(Lists!H:H,MATCH(Validation!E8799,Lists!G:G,0))</f>
        <v>You must make a selection from the dropdown list.</v>
      </c>
      <c r="H8799" s="25" t="str">
        <f t="shared" ca="1" si="1047"/>
        <v/>
      </c>
      <c r="I8799" s="25" t="str">
        <f t="shared" ca="1" si="1048"/>
        <v/>
      </c>
      <c r="J8799" s="26" t="str">
        <f t="shared" si="1049"/>
        <v/>
      </c>
    </row>
    <row r="8800" spans="1:10" x14ac:dyDescent="0.25">
      <c r="A8800" t="s">
        <v>111</v>
      </c>
      <c r="B8800" t="str">
        <f>ADDRESS(ROW(Parcels!B72),COLUMN(Parcels!B72),4)</f>
        <v>B72</v>
      </c>
      <c r="C8800" t="str">
        <f>ADDRESS(ROW(Parcels!D72),COLUMN(Parcels!D72),4)</f>
        <v>D72</v>
      </c>
      <c r="D8800" t="b">
        <f>IF(AND(Parcels!$B$6="Yes",NOT(ISBLANK(Parcels!A72)),ISBLANK(Parcels!B72)),TRUE,FALSE)</f>
        <v>0</v>
      </c>
      <c r="E8800" t="s">
        <v>64</v>
      </c>
      <c r="F8800" t="str">
        <f>INDEX(Lists!I:I,MATCH(Validation!E8800,Lists!G:G,0))</f>
        <v>Error</v>
      </c>
      <c r="G8800" t="str">
        <f>INDEX(Lists!H:H,MATCH(Validation!E8800,Lists!G:G,0))</f>
        <v>You must make a selection from the dropdown list.</v>
      </c>
      <c r="H8800" s="25" t="str">
        <f t="shared" ref="H8800:H8863" ca="1" si="1050">IFERROR(IF(OR(NOT(D8800),F8800&lt;&gt;"Error"),"",A8800&amp;CELL("address",INDIRECT(B8800))),"")</f>
        <v/>
      </c>
      <c r="I8800" s="25" t="str">
        <f t="shared" ref="I8800:I8863" ca="1" si="1051">IFERROR(IF(NOT(D8800),"",A8800&amp;CELL("address",INDIRECT(C8800))),"")</f>
        <v/>
      </c>
      <c r="J8800" s="26" t="str">
        <f t="shared" ref="J8800:J8863" si="1052">IFERROR(IF(NOT(D8800),"",A8800),"")</f>
        <v/>
      </c>
    </row>
    <row r="8801" spans="1:10" x14ac:dyDescent="0.25">
      <c r="A8801" t="s">
        <v>111</v>
      </c>
      <c r="B8801" t="str">
        <f>ADDRESS(ROW(Parcels!B73),COLUMN(Parcels!B73),4)</f>
        <v>B73</v>
      </c>
      <c r="C8801" t="str">
        <f>ADDRESS(ROW(Parcels!D73),COLUMN(Parcels!D73),4)</f>
        <v>D73</v>
      </c>
      <c r="D8801" t="b">
        <f>IF(AND(Parcels!$B$6="Yes",NOT(ISBLANK(Parcels!A73)),ISBLANK(Parcels!B73)),TRUE,FALSE)</f>
        <v>0</v>
      </c>
      <c r="E8801" t="s">
        <v>64</v>
      </c>
      <c r="F8801" t="str">
        <f>INDEX(Lists!I:I,MATCH(Validation!E8801,Lists!G:G,0))</f>
        <v>Error</v>
      </c>
      <c r="G8801" t="str">
        <f>INDEX(Lists!H:H,MATCH(Validation!E8801,Lists!G:G,0))</f>
        <v>You must make a selection from the dropdown list.</v>
      </c>
      <c r="H8801" s="25" t="str">
        <f t="shared" ca="1" si="1050"/>
        <v/>
      </c>
      <c r="I8801" s="25" t="str">
        <f t="shared" ca="1" si="1051"/>
        <v/>
      </c>
      <c r="J8801" s="26" t="str">
        <f t="shared" si="1052"/>
        <v/>
      </c>
    </row>
    <row r="8802" spans="1:10" x14ac:dyDescent="0.25">
      <c r="A8802" t="s">
        <v>111</v>
      </c>
      <c r="B8802" t="str">
        <f>ADDRESS(ROW(Parcels!B74),COLUMN(Parcels!B74),4)</f>
        <v>B74</v>
      </c>
      <c r="C8802" t="str">
        <f>ADDRESS(ROW(Parcels!D74),COLUMN(Parcels!D74),4)</f>
        <v>D74</v>
      </c>
      <c r="D8802" t="b">
        <f>IF(AND(Parcels!$B$6="Yes",NOT(ISBLANK(Parcels!A74)),ISBLANK(Parcels!B74)),TRUE,FALSE)</f>
        <v>0</v>
      </c>
      <c r="E8802" t="s">
        <v>64</v>
      </c>
      <c r="F8802" t="str">
        <f>INDEX(Lists!I:I,MATCH(Validation!E8802,Lists!G:G,0))</f>
        <v>Error</v>
      </c>
      <c r="G8802" t="str">
        <f>INDEX(Lists!H:H,MATCH(Validation!E8802,Lists!G:G,0))</f>
        <v>You must make a selection from the dropdown list.</v>
      </c>
      <c r="H8802" s="25" t="str">
        <f t="shared" ca="1" si="1050"/>
        <v/>
      </c>
      <c r="I8802" s="25" t="str">
        <f t="shared" ca="1" si="1051"/>
        <v/>
      </c>
      <c r="J8802" s="26" t="str">
        <f t="shared" si="1052"/>
        <v/>
      </c>
    </row>
    <row r="8803" spans="1:10" x14ac:dyDescent="0.25">
      <c r="A8803" t="s">
        <v>111</v>
      </c>
      <c r="B8803" t="str">
        <f>ADDRESS(ROW(Parcels!B75),COLUMN(Parcels!B75),4)</f>
        <v>B75</v>
      </c>
      <c r="C8803" t="str">
        <f>ADDRESS(ROW(Parcels!D75),COLUMN(Parcels!D75),4)</f>
        <v>D75</v>
      </c>
      <c r="D8803" t="b">
        <f>IF(AND(Parcels!$B$6="Yes",NOT(ISBLANK(Parcels!A75)),ISBLANK(Parcels!B75)),TRUE,FALSE)</f>
        <v>0</v>
      </c>
      <c r="E8803" t="s">
        <v>64</v>
      </c>
      <c r="F8803" t="str">
        <f>INDEX(Lists!I:I,MATCH(Validation!E8803,Lists!G:G,0))</f>
        <v>Error</v>
      </c>
      <c r="G8803" t="str">
        <f>INDEX(Lists!H:H,MATCH(Validation!E8803,Lists!G:G,0))</f>
        <v>You must make a selection from the dropdown list.</v>
      </c>
      <c r="H8803" s="25" t="str">
        <f t="shared" ca="1" si="1050"/>
        <v/>
      </c>
      <c r="I8803" s="25" t="str">
        <f t="shared" ca="1" si="1051"/>
        <v/>
      </c>
      <c r="J8803" s="26" t="str">
        <f t="shared" si="1052"/>
        <v/>
      </c>
    </row>
    <row r="8804" spans="1:10" x14ac:dyDescent="0.25">
      <c r="A8804" t="s">
        <v>111</v>
      </c>
      <c r="B8804" t="str">
        <f>ADDRESS(ROW(Parcels!B76),COLUMN(Parcels!B76),4)</f>
        <v>B76</v>
      </c>
      <c r="C8804" t="str">
        <f>ADDRESS(ROW(Parcels!D76),COLUMN(Parcels!D76),4)</f>
        <v>D76</v>
      </c>
      <c r="D8804" t="b">
        <f>IF(AND(Parcels!$B$6="Yes",NOT(ISBLANK(Parcels!A76)),ISBLANK(Parcels!B76)),TRUE,FALSE)</f>
        <v>0</v>
      </c>
      <c r="E8804" t="s">
        <v>64</v>
      </c>
      <c r="F8804" t="str">
        <f>INDEX(Lists!I:I,MATCH(Validation!E8804,Lists!G:G,0))</f>
        <v>Error</v>
      </c>
      <c r="G8804" t="str">
        <f>INDEX(Lists!H:H,MATCH(Validation!E8804,Lists!G:G,0))</f>
        <v>You must make a selection from the dropdown list.</v>
      </c>
      <c r="H8804" s="25" t="str">
        <f t="shared" ca="1" si="1050"/>
        <v/>
      </c>
      <c r="I8804" s="25" t="str">
        <f t="shared" ca="1" si="1051"/>
        <v/>
      </c>
      <c r="J8804" s="26" t="str">
        <f t="shared" si="1052"/>
        <v/>
      </c>
    </row>
    <row r="8805" spans="1:10" x14ac:dyDescent="0.25">
      <c r="A8805" t="s">
        <v>111</v>
      </c>
      <c r="B8805" t="str">
        <f>ADDRESS(ROW(Parcels!B77),COLUMN(Parcels!B77),4)</f>
        <v>B77</v>
      </c>
      <c r="C8805" t="str">
        <f>ADDRESS(ROW(Parcels!D77),COLUMN(Parcels!D77),4)</f>
        <v>D77</v>
      </c>
      <c r="D8805" t="b">
        <f>IF(AND(Parcels!$B$6="Yes",NOT(ISBLANK(Parcels!A77)),ISBLANK(Parcels!B77)),TRUE,FALSE)</f>
        <v>0</v>
      </c>
      <c r="E8805" t="s">
        <v>64</v>
      </c>
      <c r="F8805" t="str">
        <f>INDEX(Lists!I:I,MATCH(Validation!E8805,Lists!G:G,0))</f>
        <v>Error</v>
      </c>
      <c r="G8805" t="str">
        <f>INDEX(Lists!H:H,MATCH(Validation!E8805,Lists!G:G,0))</f>
        <v>You must make a selection from the dropdown list.</v>
      </c>
      <c r="H8805" s="25" t="str">
        <f t="shared" ca="1" si="1050"/>
        <v/>
      </c>
      <c r="I8805" s="25" t="str">
        <f t="shared" ca="1" si="1051"/>
        <v/>
      </c>
      <c r="J8805" s="26" t="str">
        <f t="shared" si="1052"/>
        <v/>
      </c>
    </row>
    <row r="8806" spans="1:10" x14ac:dyDescent="0.25">
      <c r="A8806" t="s">
        <v>111</v>
      </c>
      <c r="B8806" t="str">
        <f>ADDRESS(ROW(Parcels!B78),COLUMN(Parcels!B78),4)</f>
        <v>B78</v>
      </c>
      <c r="C8806" t="str">
        <f>ADDRESS(ROW(Parcels!D78),COLUMN(Parcels!D78),4)</f>
        <v>D78</v>
      </c>
      <c r="D8806" t="b">
        <f>IF(AND(Parcels!$B$6="Yes",NOT(ISBLANK(Parcels!A78)),ISBLANK(Parcels!B78)),TRUE,FALSE)</f>
        <v>0</v>
      </c>
      <c r="E8806" t="s">
        <v>64</v>
      </c>
      <c r="F8806" t="str">
        <f>INDEX(Lists!I:I,MATCH(Validation!E8806,Lists!G:G,0))</f>
        <v>Error</v>
      </c>
      <c r="G8806" t="str">
        <f>INDEX(Lists!H:H,MATCH(Validation!E8806,Lists!G:G,0))</f>
        <v>You must make a selection from the dropdown list.</v>
      </c>
      <c r="H8806" s="25" t="str">
        <f t="shared" ca="1" si="1050"/>
        <v/>
      </c>
      <c r="I8806" s="25" t="str">
        <f t="shared" ca="1" si="1051"/>
        <v/>
      </c>
      <c r="J8806" s="26" t="str">
        <f t="shared" si="1052"/>
        <v/>
      </c>
    </row>
    <row r="8807" spans="1:10" x14ac:dyDescent="0.25">
      <c r="A8807" t="s">
        <v>111</v>
      </c>
      <c r="B8807" t="str">
        <f>ADDRESS(ROW(Parcels!B79),COLUMN(Parcels!B79),4)</f>
        <v>B79</v>
      </c>
      <c r="C8807" t="str">
        <f>ADDRESS(ROW(Parcels!D79),COLUMN(Parcels!D79),4)</f>
        <v>D79</v>
      </c>
      <c r="D8807" t="b">
        <f>IF(AND(Parcels!$B$6="Yes",NOT(ISBLANK(Parcels!A79)),ISBLANK(Parcels!B79)),TRUE,FALSE)</f>
        <v>0</v>
      </c>
      <c r="E8807" t="s">
        <v>64</v>
      </c>
      <c r="F8807" t="str">
        <f>INDEX(Lists!I:I,MATCH(Validation!E8807,Lists!G:G,0))</f>
        <v>Error</v>
      </c>
      <c r="G8807" t="str">
        <f>INDEX(Lists!H:H,MATCH(Validation!E8807,Lists!G:G,0))</f>
        <v>You must make a selection from the dropdown list.</v>
      </c>
      <c r="H8807" s="25" t="str">
        <f t="shared" ca="1" si="1050"/>
        <v/>
      </c>
      <c r="I8807" s="25" t="str">
        <f t="shared" ca="1" si="1051"/>
        <v/>
      </c>
      <c r="J8807" s="26" t="str">
        <f t="shared" si="1052"/>
        <v/>
      </c>
    </row>
    <row r="8808" spans="1:10" x14ac:dyDescent="0.25">
      <c r="A8808" t="s">
        <v>111</v>
      </c>
      <c r="B8808" t="str">
        <f>ADDRESS(ROW(Parcels!B80),COLUMN(Parcels!B80),4)</f>
        <v>B80</v>
      </c>
      <c r="C8808" t="str">
        <f>ADDRESS(ROW(Parcels!D80),COLUMN(Parcels!D80),4)</f>
        <v>D80</v>
      </c>
      <c r="D8808" t="b">
        <f>IF(AND(Parcels!$B$6="Yes",NOT(ISBLANK(Parcels!A80)),ISBLANK(Parcels!B80)),TRUE,FALSE)</f>
        <v>0</v>
      </c>
      <c r="E8808" t="s">
        <v>64</v>
      </c>
      <c r="F8808" t="str">
        <f>INDEX(Lists!I:I,MATCH(Validation!E8808,Lists!G:G,0))</f>
        <v>Error</v>
      </c>
      <c r="G8808" t="str">
        <f>INDEX(Lists!H:H,MATCH(Validation!E8808,Lists!G:G,0))</f>
        <v>You must make a selection from the dropdown list.</v>
      </c>
      <c r="H8808" s="25" t="str">
        <f t="shared" ca="1" si="1050"/>
        <v/>
      </c>
      <c r="I8808" s="25" t="str">
        <f t="shared" ca="1" si="1051"/>
        <v/>
      </c>
      <c r="J8808" s="26" t="str">
        <f t="shared" si="1052"/>
        <v/>
      </c>
    </row>
    <row r="8809" spans="1:10" x14ac:dyDescent="0.25">
      <c r="A8809" t="s">
        <v>111</v>
      </c>
      <c r="B8809" t="str">
        <f>ADDRESS(ROW(Parcels!B81),COLUMN(Parcels!B81),4)</f>
        <v>B81</v>
      </c>
      <c r="C8809" t="str">
        <f>ADDRESS(ROW(Parcels!D81),COLUMN(Parcels!D81),4)</f>
        <v>D81</v>
      </c>
      <c r="D8809" t="b">
        <f>IF(AND(Parcels!$B$6="Yes",NOT(ISBLANK(Parcels!A81)),ISBLANK(Parcels!B81)),TRUE,FALSE)</f>
        <v>0</v>
      </c>
      <c r="E8809" t="s">
        <v>64</v>
      </c>
      <c r="F8809" t="str">
        <f>INDEX(Lists!I:I,MATCH(Validation!E8809,Lists!G:G,0))</f>
        <v>Error</v>
      </c>
      <c r="G8809" t="str">
        <f>INDEX(Lists!H:H,MATCH(Validation!E8809,Lists!G:G,0))</f>
        <v>You must make a selection from the dropdown list.</v>
      </c>
      <c r="H8809" s="25" t="str">
        <f t="shared" ca="1" si="1050"/>
        <v/>
      </c>
      <c r="I8809" s="25" t="str">
        <f t="shared" ca="1" si="1051"/>
        <v/>
      </c>
      <c r="J8809" s="26" t="str">
        <f t="shared" si="1052"/>
        <v/>
      </c>
    </row>
    <row r="8810" spans="1:10" x14ac:dyDescent="0.25">
      <c r="A8810" t="s">
        <v>111</v>
      </c>
      <c r="B8810" t="str">
        <f>ADDRESS(ROW(Parcels!B82),COLUMN(Parcels!B82),4)</f>
        <v>B82</v>
      </c>
      <c r="C8810" t="str">
        <f>ADDRESS(ROW(Parcels!D82),COLUMN(Parcels!D82),4)</f>
        <v>D82</v>
      </c>
      <c r="D8810" t="b">
        <f>IF(AND(Parcels!$B$6="Yes",NOT(ISBLANK(Parcels!A82)),ISBLANK(Parcels!B82)),TRUE,FALSE)</f>
        <v>0</v>
      </c>
      <c r="E8810" t="s">
        <v>64</v>
      </c>
      <c r="F8810" t="str">
        <f>INDEX(Lists!I:I,MATCH(Validation!E8810,Lists!G:G,0))</f>
        <v>Error</v>
      </c>
      <c r="G8810" t="str">
        <f>INDEX(Lists!H:H,MATCH(Validation!E8810,Lists!G:G,0))</f>
        <v>You must make a selection from the dropdown list.</v>
      </c>
      <c r="H8810" s="25" t="str">
        <f t="shared" ca="1" si="1050"/>
        <v/>
      </c>
      <c r="I8810" s="25" t="str">
        <f t="shared" ca="1" si="1051"/>
        <v/>
      </c>
      <c r="J8810" s="26" t="str">
        <f t="shared" si="1052"/>
        <v/>
      </c>
    </row>
    <row r="8811" spans="1:10" x14ac:dyDescent="0.25">
      <c r="A8811" t="s">
        <v>111</v>
      </c>
      <c r="B8811" t="str">
        <f>ADDRESS(ROW(Parcels!B83),COLUMN(Parcels!B83),4)</f>
        <v>B83</v>
      </c>
      <c r="C8811" t="str">
        <f>ADDRESS(ROW(Parcels!D83),COLUMN(Parcels!D83),4)</f>
        <v>D83</v>
      </c>
      <c r="D8811" t="b">
        <f>IF(AND(Parcels!$B$6="Yes",NOT(ISBLANK(Parcels!A83)),ISBLANK(Parcels!B83)),TRUE,FALSE)</f>
        <v>0</v>
      </c>
      <c r="E8811" t="s">
        <v>64</v>
      </c>
      <c r="F8811" t="str">
        <f>INDEX(Lists!I:I,MATCH(Validation!E8811,Lists!G:G,0))</f>
        <v>Error</v>
      </c>
      <c r="G8811" t="str">
        <f>INDEX(Lists!H:H,MATCH(Validation!E8811,Lists!G:G,0))</f>
        <v>You must make a selection from the dropdown list.</v>
      </c>
      <c r="H8811" s="25" t="str">
        <f t="shared" ca="1" si="1050"/>
        <v/>
      </c>
      <c r="I8811" s="25" t="str">
        <f t="shared" ca="1" si="1051"/>
        <v/>
      </c>
      <c r="J8811" s="26" t="str">
        <f t="shared" si="1052"/>
        <v/>
      </c>
    </row>
    <row r="8812" spans="1:10" x14ac:dyDescent="0.25">
      <c r="A8812" t="s">
        <v>111</v>
      </c>
      <c r="B8812" t="str">
        <f>ADDRESS(ROW(Parcels!B84),COLUMN(Parcels!B84),4)</f>
        <v>B84</v>
      </c>
      <c r="C8812" t="str">
        <f>ADDRESS(ROW(Parcels!D84),COLUMN(Parcels!D84),4)</f>
        <v>D84</v>
      </c>
      <c r="D8812" t="b">
        <f>IF(AND(Parcels!$B$6="Yes",NOT(ISBLANK(Parcels!A84)),ISBLANK(Parcels!B84)),TRUE,FALSE)</f>
        <v>0</v>
      </c>
      <c r="E8812" t="s">
        <v>64</v>
      </c>
      <c r="F8812" t="str">
        <f>INDEX(Lists!I:I,MATCH(Validation!E8812,Lists!G:G,0))</f>
        <v>Error</v>
      </c>
      <c r="G8812" t="str">
        <f>INDEX(Lists!H:H,MATCH(Validation!E8812,Lists!G:G,0))</f>
        <v>You must make a selection from the dropdown list.</v>
      </c>
      <c r="H8812" s="25" t="str">
        <f t="shared" ca="1" si="1050"/>
        <v/>
      </c>
      <c r="I8812" s="25" t="str">
        <f t="shared" ca="1" si="1051"/>
        <v/>
      </c>
      <c r="J8812" s="26" t="str">
        <f t="shared" si="1052"/>
        <v/>
      </c>
    </row>
    <row r="8813" spans="1:10" x14ac:dyDescent="0.25">
      <c r="A8813" t="s">
        <v>111</v>
      </c>
      <c r="B8813" t="str">
        <f>ADDRESS(ROW(Parcels!B85),COLUMN(Parcels!B85),4)</f>
        <v>B85</v>
      </c>
      <c r="C8813" t="str">
        <f>ADDRESS(ROW(Parcels!D85),COLUMN(Parcels!D85),4)</f>
        <v>D85</v>
      </c>
      <c r="D8813" t="b">
        <f>IF(AND(Parcels!$B$6="Yes",NOT(ISBLANK(Parcels!A85)),ISBLANK(Parcels!B85)),TRUE,FALSE)</f>
        <v>0</v>
      </c>
      <c r="E8813" t="s">
        <v>64</v>
      </c>
      <c r="F8813" t="str">
        <f>INDEX(Lists!I:I,MATCH(Validation!E8813,Lists!G:G,0))</f>
        <v>Error</v>
      </c>
      <c r="G8813" t="str">
        <f>INDEX(Lists!H:H,MATCH(Validation!E8813,Lists!G:G,0))</f>
        <v>You must make a selection from the dropdown list.</v>
      </c>
      <c r="H8813" s="25" t="str">
        <f t="shared" ca="1" si="1050"/>
        <v/>
      </c>
      <c r="I8813" s="25" t="str">
        <f t="shared" ca="1" si="1051"/>
        <v/>
      </c>
      <c r="J8813" s="26" t="str">
        <f t="shared" si="1052"/>
        <v/>
      </c>
    </row>
    <row r="8814" spans="1:10" x14ac:dyDescent="0.25">
      <c r="A8814" t="s">
        <v>111</v>
      </c>
      <c r="B8814" t="str">
        <f>ADDRESS(ROW(Parcels!B86),COLUMN(Parcels!B86),4)</f>
        <v>B86</v>
      </c>
      <c r="C8814" t="str">
        <f>ADDRESS(ROW(Parcels!D86),COLUMN(Parcels!D86),4)</f>
        <v>D86</v>
      </c>
      <c r="D8814" t="b">
        <f>IF(AND(Parcels!$B$6="Yes",NOT(ISBLANK(Parcels!A86)),ISBLANK(Parcels!B86)),TRUE,FALSE)</f>
        <v>0</v>
      </c>
      <c r="E8814" t="s">
        <v>64</v>
      </c>
      <c r="F8814" t="str">
        <f>INDEX(Lists!I:I,MATCH(Validation!E8814,Lists!G:G,0))</f>
        <v>Error</v>
      </c>
      <c r="G8814" t="str">
        <f>INDEX(Lists!H:H,MATCH(Validation!E8814,Lists!G:G,0))</f>
        <v>You must make a selection from the dropdown list.</v>
      </c>
      <c r="H8814" s="25" t="str">
        <f t="shared" ca="1" si="1050"/>
        <v/>
      </c>
      <c r="I8814" s="25" t="str">
        <f t="shared" ca="1" si="1051"/>
        <v/>
      </c>
      <c r="J8814" s="26" t="str">
        <f t="shared" si="1052"/>
        <v/>
      </c>
    </row>
    <row r="8815" spans="1:10" x14ac:dyDescent="0.25">
      <c r="A8815" t="s">
        <v>111</v>
      </c>
      <c r="B8815" t="str">
        <f>ADDRESS(ROW(Parcels!B87),COLUMN(Parcels!B87),4)</f>
        <v>B87</v>
      </c>
      <c r="C8815" t="str">
        <f>ADDRESS(ROW(Parcels!D87),COLUMN(Parcels!D87),4)</f>
        <v>D87</v>
      </c>
      <c r="D8815" t="b">
        <f>IF(AND(Parcels!$B$6="Yes",NOT(ISBLANK(Parcels!A87)),ISBLANK(Parcels!B87)),TRUE,FALSE)</f>
        <v>0</v>
      </c>
      <c r="E8815" t="s">
        <v>64</v>
      </c>
      <c r="F8815" t="str">
        <f>INDEX(Lists!I:I,MATCH(Validation!E8815,Lists!G:G,0))</f>
        <v>Error</v>
      </c>
      <c r="G8815" t="str">
        <f>INDEX(Lists!H:H,MATCH(Validation!E8815,Lists!G:G,0))</f>
        <v>You must make a selection from the dropdown list.</v>
      </c>
      <c r="H8815" s="25" t="str">
        <f t="shared" ca="1" si="1050"/>
        <v/>
      </c>
      <c r="I8815" s="25" t="str">
        <f t="shared" ca="1" si="1051"/>
        <v/>
      </c>
      <c r="J8815" s="26" t="str">
        <f t="shared" si="1052"/>
        <v/>
      </c>
    </row>
    <row r="8816" spans="1:10" x14ac:dyDescent="0.25">
      <c r="A8816" t="s">
        <v>111</v>
      </c>
      <c r="B8816" t="str">
        <f>ADDRESS(ROW(Parcels!B88),COLUMN(Parcels!B88),4)</f>
        <v>B88</v>
      </c>
      <c r="C8816" t="str">
        <f>ADDRESS(ROW(Parcels!D88),COLUMN(Parcels!D88),4)</f>
        <v>D88</v>
      </c>
      <c r="D8816" t="b">
        <f>IF(AND(Parcels!$B$6="Yes",NOT(ISBLANK(Parcels!A88)),ISBLANK(Parcels!B88)),TRUE,FALSE)</f>
        <v>0</v>
      </c>
      <c r="E8816" t="s">
        <v>64</v>
      </c>
      <c r="F8816" t="str">
        <f>INDEX(Lists!I:I,MATCH(Validation!E8816,Lists!G:G,0))</f>
        <v>Error</v>
      </c>
      <c r="G8816" t="str">
        <f>INDEX(Lists!H:H,MATCH(Validation!E8816,Lists!G:G,0))</f>
        <v>You must make a selection from the dropdown list.</v>
      </c>
      <c r="H8816" s="25" t="str">
        <f t="shared" ca="1" si="1050"/>
        <v/>
      </c>
      <c r="I8816" s="25" t="str">
        <f t="shared" ca="1" si="1051"/>
        <v/>
      </c>
      <c r="J8816" s="26" t="str">
        <f t="shared" si="1052"/>
        <v/>
      </c>
    </row>
    <row r="8817" spans="1:10" x14ac:dyDescent="0.25">
      <c r="A8817" t="s">
        <v>111</v>
      </c>
      <c r="B8817" t="str">
        <f>ADDRESS(ROW(Parcels!B89),COLUMN(Parcels!B89),4)</f>
        <v>B89</v>
      </c>
      <c r="C8817" t="str">
        <f>ADDRESS(ROW(Parcels!D89),COLUMN(Parcels!D89),4)</f>
        <v>D89</v>
      </c>
      <c r="D8817" t="b">
        <f>IF(AND(Parcels!$B$6="Yes",NOT(ISBLANK(Parcels!A89)),ISBLANK(Parcels!B89)),TRUE,FALSE)</f>
        <v>0</v>
      </c>
      <c r="E8817" t="s">
        <v>64</v>
      </c>
      <c r="F8817" t="str">
        <f>INDEX(Lists!I:I,MATCH(Validation!E8817,Lists!G:G,0))</f>
        <v>Error</v>
      </c>
      <c r="G8817" t="str">
        <f>INDEX(Lists!H:H,MATCH(Validation!E8817,Lists!G:G,0))</f>
        <v>You must make a selection from the dropdown list.</v>
      </c>
      <c r="H8817" s="25" t="str">
        <f t="shared" ca="1" si="1050"/>
        <v/>
      </c>
      <c r="I8817" s="25" t="str">
        <f t="shared" ca="1" si="1051"/>
        <v/>
      </c>
      <c r="J8817" s="26" t="str">
        <f t="shared" si="1052"/>
        <v/>
      </c>
    </row>
    <row r="8818" spans="1:10" x14ac:dyDescent="0.25">
      <c r="A8818" t="s">
        <v>111</v>
      </c>
      <c r="B8818" t="str">
        <f>ADDRESS(ROW(Parcels!B90),COLUMN(Parcels!B90),4)</f>
        <v>B90</v>
      </c>
      <c r="C8818" t="str">
        <f>ADDRESS(ROW(Parcels!D90),COLUMN(Parcels!D90),4)</f>
        <v>D90</v>
      </c>
      <c r="D8818" t="b">
        <f>IF(AND(Parcels!$B$6="Yes",NOT(ISBLANK(Parcels!A90)),ISBLANK(Parcels!B90)),TRUE,FALSE)</f>
        <v>0</v>
      </c>
      <c r="E8818" t="s">
        <v>64</v>
      </c>
      <c r="F8818" t="str">
        <f>INDEX(Lists!I:I,MATCH(Validation!E8818,Lists!G:G,0))</f>
        <v>Error</v>
      </c>
      <c r="G8818" t="str">
        <f>INDEX(Lists!H:H,MATCH(Validation!E8818,Lists!G:G,0))</f>
        <v>You must make a selection from the dropdown list.</v>
      </c>
      <c r="H8818" s="25" t="str">
        <f t="shared" ca="1" si="1050"/>
        <v/>
      </c>
      <c r="I8818" s="25" t="str">
        <f t="shared" ca="1" si="1051"/>
        <v/>
      </c>
      <c r="J8818" s="26" t="str">
        <f t="shared" si="1052"/>
        <v/>
      </c>
    </row>
    <row r="8819" spans="1:10" x14ac:dyDescent="0.25">
      <c r="A8819" t="s">
        <v>111</v>
      </c>
      <c r="B8819" t="str">
        <f>ADDRESS(ROW(Parcels!B91),COLUMN(Parcels!B91),4)</f>
        <v>B91</v>
      </c>
      <c r="C8819" t="str">
        <f>ADDRESS(ROW(Parcels!D91),COLUMN(Parcels!D91),4)</f>
        <v>D91</v>
      </c>
      <c r="D8819" t="b">
        <f>IF(AND(Parcels!$B$6="Yes",NOT(ISBLANK(Parcels!A91)),ISBLANK(Parcels!B91)),TRUE,FALSE)</f>
        <v>0</v>
      </c>
      <c r="E8819" t="s">
        <v>64</v>
      </c>
      <c r="F8819" t="str">
        <f>INDEX(Lists!I:I,MATCH(Validation!E8819,Lists!G:G,0))</f>
        <v>Error</v>
      </c>
      <c r="G8819" t="str">
        <f>INDEX(Lists!H:H,MATCH(Validation!E8819,Lists!G:G,0))</f>
        <v>You must make a selection from the dropdown list.</v>
      </c>
      <c r="H8819" s="25" t="str">
        <f t="shared" ca="1" si="1050"/>
        <v/>
      </c>
      <c r="I8819" s="25" t="str">
        <f t="shared" ca="1" si="1051"/>
        <v/>
      </c>
      <c r="J8819" s="26" t="str">
        <f t="shared" si="1052"/>
        <v/>
      </c>
    </row>
    <row r="8820" spans="1:10" x14ac:dyDescent="0.25">
      <c r="A8820" t="s">
        <v>111</v>
      </c>
      <c r="B8820" t="str">
        <f>ADDRESS(ROW(Parcels!B92),COLUMN(Parcels!B92),4)</f>
        <v>B92</v>
      </c>
      <c r="C8820" t="str">
        <f>ADDRESS(ROW(Parcels!D92),COLUMN(Parcels!D92),4)</f>
        <v>D92</v>
      </c>
      <c r="D8820" t="b">
        <f>IF(AND(Parcels!$B$6="Yes",NOT(ISBLANK(Parcels!A92)),ISBLANK(Parcels!B92)),TRUE,FALSE)</f>
        <v>0</v>
      </c>
      <c r="E8820" t="s">
        <v>64</v>
      </c>
      <c r="F8820" t="str">
        <f>INDEX(Lists!I:I,MATCH(Validation!E8820,Lists!G:G,0))</f>
        <v>Error</v>
      </c>
      <c r="G8820" t="str">
        <f>INDEX(Lists!H:H,MATCH(Validation!E8820,Lists!G:G,0))</f>
        <v>You must make a selection from the dropdown list.</v>
      </c>
      <c r="H8820" s="25" t="str">
        <f t="shared" ca="1" si="1050"/>
        <v/>
      </c>
      <c r="I8820" s="25" t="str">
        <f t="shared" ca="1" si="1051"/>
        <v/>
      </c>
      <c r="J8820" s="26" t="str">
        <f t="shared" si="1052"/>
        <v/>
      </c>
    </row>
    <row r="8821" spans="1:10" x14ac:dyDescent="0.25">
      <c r="A8821" t="s">
        <v>111</v>
      </c>
      <c r="B8821" t="str">
        <f>ADDRESS(ROW(Parcels!B93),COLUMN(Parcels!B93),4)</f>
        <v>B93</v>
      </c>
      <c r="C8821" t="str">
        <f>ADDRESS(ROW(Parcels!D93),COLUMN(Parcels!D93),4)</f>
        <v>D93</v>
      </c>
      <c r="D8821" t="b">
        <f>IF(AND(Parcels!$B$6="Yes",NOT(ISBLANK(Parcels!A93)),ISBLANK(Parcels!B93)),TRUE,FALSE)</f>
        <v>0</v>
      </c>
      <c r="E8821" t="s">
        <v>64</v>
      </c>
      <c r="F8821" t="str">
        <f>INDEX(Lists!I:I,MATCH(Validation!E8821,Lists!G:G,0))</f>
        <v>Error</v>
      </c>
      <c r="G8821" t="str">
        <f>INDEX(Lists!H:H,MATCH(Validation!E8821,Lists!G:G,0))</f>
        <v>You must make a selection from the dropdown list.</v>
      </c>
      <c r="H8821" s="25" t="str">
        <f t="shared" ca="1" si="1050"/>
        <v/>
      </c>
      <c r="I8821" s="25" t="str">
        <f t="shared" ca="1" si="1051"/>
        <v/>
      </c>
      <c r="J8821" s="26" t="str">
        <f t="shared" si="1052"/>
        <v/>
      </c>
    </row>
    <row r="8822" spans="1:10" x14ac:dyDescent="0.25">
      <c r="A8822" t="s">
        <v>111</v>
      </c>
      <c r="B8822" t="str">
        <f>ADDRESS(ROW(Parcels!B94),COLUMN(Parcels!B94),4)</f>
        <v>B94</v>
      </c>
      <c r="C8822" t="str">
        <f>ADDRESS(ROW(Parcels!D94),COLUMN(Parcels!D94),4)</f>
        <v>D94</v>
      </c>
      <c r="D8822" t="b">
        <f>IF(AND(Parcels!$B$6="Yes",NOT(ISBLANK(Parcels!A94)),ISBLANK(Parcels!B94)),TRUE,FALSE)</f>
        <v>0</v>
      </c>
      <c r="E8822" t="s">
        <v>64</v>
      </c>
      <c r="F8822" t="str">
        <f>INDEX(Lists!I:I,MATCH(Validation!E8822,Lists!G:G,0))</f>
        <v>Error</v>
      </c>
      <c r="G8822" t="str">
        <f>INDEX(Lists!H:H,MATCH(Validation!E8822,Lists!G:G,0))</f>
        <v>You must make a selection from the dropdown list.</v>
      </c>
      <c r="H8822" s="25" t="str">
        <f t="shared" ca="1" si="1050"/>
        <v/>
      </c>
      <c r="I8822" s="25" t="str">
        <f t="shared" ca="1" si="1051"/>
        <v/>
      </c>
      <c r="J8822" s="26" t="str">
        <f t="shared" si="1052"/>
        <v/>
      </c>
    </row>
    <row r="8823" spans="1:10" x14ac:dyDescent="0.25">
      <c r="A8823" t="s">
        <v>111</v>
      </c>
      <c r="B8823" t="str">
        <f>ADDRESS(ROW(Parcels!B95),COLUMN(Parcels!B95),4)</f>
        <v>B95</v>
      </c>
      <c r="C8823" t="str">
        <f>ADDRESS(ROW(Parcels!D95),COLUMN(Parcels!D95),4)</f>
        <v>D95</v>
      </c>
      <c r="D8823" t="b">
        <f>IF(AND(Parcels!$B$6="Yes",NOT(ISBLANK(Parcels!A95)),ISBLANK(Parcels!B95)),TRUE,FALSE)</f>
        <v>0</v>
      </c>
      <c r="E8823" t="s">
        <v>64</v>
      </c>
      <c r="F8823" t="str">
        <f>INDEX(Lists!I:I,MATCH(Validation!E8823,Lists!G:G,0))</f>
        <v>Error</v>
      </c>
      <c r="G8823" t="str">
        <f>INDEX(Lists!H:H,MATCH(Validation!E8823,Lists!G:G,0))</f>
        <v>You must make a selection from the dropdown list.</v>
      </c>
      <c r="H8823" s="25" t="str">
        <f t="shared" ca="1" si="1050"/>
        <v/>
      </c>
      <c r="I8823" s="25" t="str">
        <f t="shared" ca="1" si="1051"/>
        <v/>
      </c>
      <c r="J8823" s="26" t="str">
        <f t="shared" si="1052"/>
        <v/>
      </c>
    </row>
    <row r="8824" spans="1:10" x14ac:dyDescent="0.25">
      <c r="A8824" t="s">
        <v>111</v>
      </c>
      <c r="B8824" t="str">
        <f>ADDRESS(ROW(Parcels!B96),COLUMN(Parcels!B96),4)</f>
        <v>B96</v>
      </c>
      <c r="C8824" t="str">
        <f>ADDRESS(ROW(Parcels!D96),COLUMN(Parcels!D96),4)</f>
        <v>D96</v>
      </c>
      <c r="D8824" t="b">
        <f>IF(AND(Parcels!$B$6="Yes",NOT(ISBLANK(Parcels!A96)),ISBLANK(Parcels!B96)),TRUE,FALSE)</f>
        <v>0</v>
      </c>
      <c r="E8824" t="s">
        <v>64</v>
      </c>
      <c r="F8824" t="str">
        <f>INDEX(Lists!I:I,MATCH(Validation!E8824,Lists!G:G,0))</f>
        <v>Error</v>
      </c>
      <c r="G8824" t="str">
        <f>INDEX(Lists!H:H,MATCH(Validation!E8824,Lists!G:G,0))</f>
        <v>You must make a selection from the dropdown list.</v>
      </c>
      <c r="H8824" s="25" t="str">
        <f t="shared" ca="1" si="1050"/>
        <v/>
      </c>
      <c r="I8824" s="25" t="str">
        <f t="shared" ca="1" si="1051"/>
        <v/>
      </c>
      <c r="J8824" s="26" t="str">
        <f t="shared" si="1052"/>
        <v/>
      </c>
    </row>
    <row r="8825" spans="1:10" x14ac:dyDescent="0.25">
      <c r="A8825" t="s">
        <v>111</v>
      </c>
      <c r="B8825" t="str">
        <f>ADDRESS(ROW(Parcels!B97),COLUMN(Parcels!B97),4)</f>
        <v>B97</v>
      </c>
      <c r="C8825" t="str">
        <f>ADDRESS(ROW(Parcels!D97),COLUMN(Parcels!D97),4)</f>
        <v>D97</v>
      </c>
      <c r="D8825" t="b">
        <f>IF(AND(Parcels!$B$6="Yes",NOT(ISBLANK(Parcels!A97)),ISBLANK(Parcels!B97)),TRUE,FALSE)</f>
        <v>0</v>
      </c>
      <c r="E8825" t="s">
        <v>64</v>
      </c>
      <c r="F8825" t="str">
        <f>INDEX(Lists!I:I,MATCH(Validation!E8825,Lists!G:G,0))</f>
        <v>Error</v>
      </c>
      <c r="G8825" t="str">
        <f>INDEX(Lists!H:H,MATCH(Validation!E8825,Lists!G:G,0))</f>
        <v>You must make a selection from the dropdown list.</v>
      </c>
      <c r="H8825" s="25" t="str">
        <f t="shared" ca="1" si="1050"/>
        <v/>
      </c>
      <c r="I8825" s="25" t="str">
        <f t="shared" ca="1" si="1051"/>
        <v/>
      </c>
      <c r="J8825" s="26" t="str">
        <f t="shared" si="1052"/>
        <v/>
      </c>
    </row>
    <row r="8826" spans="1:10" x14ac:dyDescent="0.25">
      <c r="A8826" t="s">
        <v>111</v>
      </c>
      <c r="B8826" t="str">
        <f>ADDRESS(ROW(Parcels!B98),COLUMN(Parcels!B98),4)</f>
        <v>B98</v>
      </c>
      <c r="C8826" t="str">
        <f>ADDRESS(ROW(Parcels!D98),COLUMN(Parcels!D98),4)</f>
        <v>D98</v>
      </c>
      <c r="D8826" t="b">
        <f>IF(AND(Parcels!$B$6="Yes",NOT(ISBLANK(Parcels!A98)),ISBLANK(Parcels!B98)),TRUE,FALSE)</f>
        <v>0</v>
      </c>
      <c r="E8826" t="s">
        <v>64</v>
      </c>
      <c r="F8826" t="str">
        <f>INDEX(Lists!I:I,MATCH(Validation!E8826,Lists!G:G,0))</f>
        <v>Error</v>
      </c>
      <c r="G8826" t="str">
        <f>INDEX(Lists!H:H,MATCH(Validation!E8826,Lists!G:G,0))</f>
        <v>You must make a selection from the dropdown list.</v>
      </c>
      <c r="H8826" s="25" t="str">
        <f t="shared" ca="1" si="1050"/>
        <v/>
      </c>
      <c r="I8826" s="25" t="str">
        <f t="shared" ca="1" si="1051"/>
        <v/>
      </c>
      <c r="J8826" s="26" t="str">
        <f t="shared" si="1052"/>
        <v/>
      </c>
    </row>
    <row r="8827" spans="1:10" x14ac:dyDescent="0.25">
      <c r="A8827" t="s">
        <v>111</v>
      </c>
      <c r="B8827" t="str">
        <f>ADDRESS(ROW(Parcels!B99),COLUMN(Parcels!B99),4)</f>
        <v>B99</v>
      </c>
      <c r="C8827" t="str">
        <f>ADDRESS(ROW(Parcels!D99),COLUMN(Parcels!D99),4)</f>
        <v>D99</v>
      </c>
      <c r="D8827" t="b">
        <f>IF(AND(Parcels!$B$6="Yes",NOT(ISBLANK(Parcels!A99)),ISBLANK(Parcels!B99)),TRUE,FALSE)</f>
        <v>0</v>
      </c>
      <c r="E8827" t="s">
        <v>64</v>
      </c>
      <c r="F8827" t="str">
        <f>INDEX(Lists!I:I,MATCH(Validation!E8827,Lists!G:G,0))</f>
        <v>Error</v>
      </c>
      <c r="G8827" t="str">
        <f>INDEX(Lists!H:H,MATCH(Validation!E8827,Lists!G:G,0))</f>
        <v>You must make a selection from the dropdown list.</v>
      </c>
      <c r="H8827" s="25" t="str">
        <f t="shared" ca="1" si="1050"/>
        <v/>
      </c>
      <c r="I8827" s="25" t="str">
        <f t="shared" ca="1" si="1051"/>
        <v/>
      </c>
      <c r="J8827" s="26" t="str">
        <f t="shared" si="1052"/>
        <v/>
      </c>
    </row>
    <row r="8828" spans="1:10" x14ac:dyDescent="0.25">
      <c r="A8828" t="s">
        <v>111</v>
      </c>
      <c r="B8828" t="str">
        <f>ADDRESS(ROW(Parcels!B100),COLUMN(Parcels!B100),4)</f>
        <v>B100</v>
      </c>
      <c r="C8828" t="str">
        <f>ADDRESS(ROW(Parcels!D100),COLUMN(Parcels!D100),4)</f>
        <v>D100</v>
      </c>
      <c r="D8828" t="b">
        <f>IF(AND(Parcels!$B$6="Yes",NOT(ISBLANK(Parcels!A100)),ISBLANK(Parcels!B100)),TRUE,FALSE)</f>
        <v>0</v>
      </c>
      <c r="E8828" t="s">
        <v>64</v>
      </c>
      <c r="F8828" t="str">
        <f>INDEX(Lists!I:I,MATCH(Validation!E8828,Lists!G:G,0))</f>
        <v>Error</v>
      </c>
      <c r="G8828" t="str">
        <f>INDEX(Lists!H:H,MATCH(Validation!E8828,Lists!G:G,0))</f>
        <v>You must make a selection from the dropdown list.</v>
      </c>
      <c r="H8828" s="25" t="str">
        <f t="shared" ca="1" si="1050"/>
        <v/>
      </c>
      <c r="I8828" s="25" t="str">
        <f t="shared" ca="1" si="1051"/>
        <v/>
      </c>
      <c r="J8828" s="26" t="str">
        <f t="shared" si="1052"/>
        <v/>
      </c>
    </row>
    <row r="8829" spans="1:10" x14ac:dyDescent="0.25">
      <c r="A8829" t="s">
        <v>111</v>
      </c>
      <c r="B8829" t="str">
        <f>ADDRESS(ROW(Parcels!B101),COLUMN(Parcels!B101),4)</f>
        <v>B101</v>
      </c>
      <c r="C8829" t="str">
        <f>ADDRESS(ROW(Parcels!D101),COLUMN(Parcels!D101),4)</f>
        <v>D101</v>
      </c>
      <c r="D8829" t="b">
        <f>IF(AND(Parcels!$B$6="Yes",NOT(ISBLANK(Parcels!A101)),ISBLANK(Parcels!B101)),TRUE,FALSE)</f>
        <v>0</v>
      </c>
      <c r="E8829" t="s">
        <v>64</v>
      </c>
      <c r="F8829" t="str">
        <f>INDEX(Lists!I:I,MATCH(Validation!E8829,Lists!G:G,0))</f>
        <v>Error</v>
      </c>
      <c r="G8829" t="str">
        <f>INDEX(Lists!H:H,MATCH(Validation!E8829,Lists!G:G,0))</f>
        <v>You must make a selection from the dropdown list.</v>
      </c>
      <c r="H8829" s="25" t="str">
        <f t="shared" ca="1" si="1050"/>
        <v/>
      </c>
      <c r="I8829" s="25" t="str">
        <f t="shared" ca="1" si="1051"/>
        <v/>
      </c>
      <c r="J8829" s="26" t="str">
        <f t="shared" si="1052"/>
        <v/>
      </c>
    </row>
    <row r="8830" spans="1:10" x14ac:dyDescent="0.25">
      <c r="A8830" t="s">
        <v>111</v>
      </c>
      <c r="B8830" t="str">
        <f>ADDRESS(ROW(Parcels!B102),COLUMN(Parcels!B102),4)</f>
        <v>B102</v>
      </c>
      <c r="C8830" t="str">
        <f>ADDRESS(ROW(Parcels!D102),COLUMN(Parcels!D102),4)</f>
        <v>D102</v>
      </c>
      <c r="D8830" t="b">
        <f>IF(AND(Parcels!$B$6="Yes",NOT(ISBLANK(Parcels!A102)),ISBLANK(Parcels!B102)),TRUE,FALSE)</f>
        <v>0</v>
      </c>
      <c r="E8830" t="s">
        <v>64</v>
      </c>
      <c r="F8830" t="str">
        <f>INDEX(Lists!I:I,MATCH(Validation!E8830,Lists!G:G,0))</f>
        <v>Error</v>
      </c>
      <c r="G8830" t="str">
        <f>INDEX(Lists!H:H,MATCH(Validation!E8830,Lists!G:G,0))</f>
        <v>You must make a selection from the dropdown list.</v>
      </c>
      <c r="H8830" s="25" t="str">
        <f t="shared" ca="1" si="1050"/>
        <v/>
      </c>
      <c r="I8830" s="25" t="str">
        <f t="shared" ca="1" si="1051"/>
        <v/>
      </c>
      <c r="J8830" s="26" t="str">
        <f t="shared" si="1052"/>
        <v/>
      </c>
    </row>
    <row r="8831" spans="1:10" x14ac:dyDescent="0.25">
      <c r="A8831" t="s">
        <v>111</v>
      </c>
      <c r="B8831" t="str">
        <f>ADDRESS(ROW(Parcels!B103),COLUMN(Parcels!B103),4)</f>
        <v>B103</v>
      </c>
      <c r="C8831" t="str">
        <f>ADDRESS(ROW(Parcels!D103),COLUMN(Parcels!D103),4)</f>
        <v>D103</v>
      </c>
      <c r="D8831" t="b">
        <f>IF(AND(Parcels!$B$6="Yes",NOT(ISBLANK(Parcels!A103)),ISBLANK(Parcels!B103)),TRUE,FALSE)</f>
        <v>0</v>
      </c>
      <c r="E8831" t="s">
        <v>64</v>
      </c>
      <c r="F8831" t="str">
        <f>INDEX(Lists!I:I,MATCH(Validation!E8831,Lists!G:G,0))</f>
        <v>Error</v>
      </c>
      <c r="G8831" t="str">
        <f>INDEX(Lists!H:H,MATCH(Validation!E8831,Lists!G:G,0))</f>
        <v>You must make a selection from the dropdown list.</v>
      </c>
      <c r="H8831" s="25" t="str">
        <f t="shared" ca="1" si="1050"/>
        <v/>
      </c>
      <c r="I8831" s="25" t="str">
        <f t="shared" ca="1" si="1051"/>
        <v/>
      </c>
      <c r="J8831" s="26" t="str">
        <f t="shared" si="1052"/>
        <v/>
      </c>
    </row>
    <row r="8832" spans="1:10" x14ac:dyDescent="0.25">
      <c r="A8832" t="s">
        <v>111</v>
      </c>
      <c r="B8832" t="str">
        <f>ADDRESS(ROW(Parcels!B104),COLUMN(Parcels!B104),4)</f>
        <v>B104</v>
      </c>
      <c r="C8832" t="str">
        <f>ADDRESS(ROW(Parcels!D104),COLUMN(Parcels!D104),4)</f>
        <v>D104</v>
      </c>
      <c r="D8832" t="b">
        <f>IF(AND(Parcels!$B$6="Yes",NOT(ISBLANK(Parcels!A104)),ISBLANK(Parcels!B104)),TRUE,FALSE)</f>
        <v>0</v>
      </c>
      <c r="E8832" t="s">
        <v>64</v>
      </c>
      <c r="F8832" t="str">
        <f>INDEX(Lists!I:I,MATCH(Validation!E8832,Lists!G:G,0))</f>
        <v>Error</v>
      </c>
      <c r="G8832" t="str">
        <f>INDEX(Lists!H:H,MATCH(Validation!E8832,Lists!G:G,0))</f>
        <v>You must make a selection from the dropdown list.</v>
      </c>
      <c r="H8832" s="25" t="str">
        <f t="shared" ca="1" si="1050"/>
        <v/>
      </c>
      <c r="I8832" s="25" t="str">
        <f t="shared" ca="1" si="1051"/>
        <v/>
      </c>
      <c r="J8832" s="26" t="str">
        <f t="shared" si="1052"/>
        <v/>
      </c>
    </row>
    <row r="8833" spans="1:10" x14ac:dyDescent="0.25">
      <c r="A8833" t="s">
        <v>111</v>
      </c>
      <c r="B8833" t="str">
        <f>ADDRESS(ROW(Parcels!B105),COLUMN(Parcels!B105),4)</f>
        <v>B105</v>
      </c>
      <c r="C8833" t="str">
        <f>ADDRESS(ROW(Parcels!D105),COLUMN(Parcels!D105),4)</f>
        <v>D105</v>
      </c>
      <c r="D8833" t="b">
        <f>IF(AND(Parcels!$B$6="Yes",NOT(ISBLANK(Parcels!A105)),ISBLANK(Parcels!B105)),TRUE,FALSE)</f>
        <v>0</v>
      </c>
      <c r="E8833" t="s">
        <v>64</v>
      </c>
      <c r="F8833" t="str">
        <f>INDEX(Lists!I:I,MATCH(Validation!E8833,Lists!G:G,0))</f>
        <v>Error</v>
      </c>
      <c r="G8833" t="str">
        <f>INDEX(Lists!H:H,MATCH(Validation!E8833,Lists!G:G,0))</f>
        <v>You must make a selection from the dropdown list.</v>
      </c>
      <c r="H8833" s="25" t="str">
        <f t="shared" ca="1" si="1050"/>
        <v/>
      </c>
      <c r="I8833" s="25" t="str">
        <f t="shared" ca="1" si="1051"/>
        <v/>
      </c>
      <c r="J8833" s="26" t="str">
        <f t="shared" si="1052"/>
        <v/>
      </c>
    </row>
    <row r="8834" spans="1:10" x14ac:dyDescent="0.25">
      <c r="A8834" t="s">
        <v>111</v>
      </c>
      <c r="B8834" t="str">
        <f>ADDRESS(ROW(Parcels!B106),COLUMN(Parcels!B106),4)</f>
        <v>B106</v>
      </c>
      <c r="C8834" t="str">
        <f>ADDRESS(ROW(Parcels!D106),COLUMN(Parcels!D106),4)</f>
        <v>D106</v>
      </c>
      <c r="D8834" t="b">
        <f>IF(AND(Parcels!$B$6="Yes",NOT(ISBLANK(Parcels!A106)),ISBLANK(Parcels!B106)),TRUE,FALSE)</f>
        <v>0</v>
      </c>
      <c r="E8834" t="s">
        <v>64</v>
      </c>
      <c r="F8834" t="str">
        <f>INDEX(Lists!I:I,MATCH(Validation!E8834,Lists!G:G,0))</f>
        <v>Error</v>
      </c>
      <c r="G8834" t="str">
        <f>INDEX(Lists!H:H,MATCH(Validation!E8834,Lists!G:G,0))</f>
        <v>You must make a selection from the dropdown list.</v>
      </c>
      <c r="H8834" s="25" t="str">
        <f t="shared" ca="1" si="1050"/>
        <v/>
      </c>
      <c r="I8834" s="25" t="str">
        <f t="shared" ca="1" si="1051"/>
        <v/>
      </c>
      <c r="J8834" s="26" t="str">
        <f t="shared" si="1052"/>
        <v/>
      </c>
    </row>
    <row r="8835" spans="1:10" x14ac:dyDescent="0.25">
      <c r="A8835" t="s">
        <v>111</v>
      </c>
      <c r="B8835" t="str">
        <f>ADDRESS(ROW(Parcels!B107),COLUMN(Parcels!B107),4)</f>
        <v>B107</v>
      </c>
      <c r="C8835" t="str">
        <f>ADDRESS(ROW(Parcels!D107),COLUMN(Parcels!D107),4)</f>
        <v>D107</v>
      </c>
      <c r="D8835" t="b">
        <f>IF(AND(Parcels!$B$6="Yes",NOT(ISBLANK(Parcels!A107)),ISBLANK(Parcels!B107)),TRUE,FALSE)</f>
        <v>0</v>
      </c>
      <c r="E8835" t="s">
        <v>64</v>
      </c>
      <c r="F8835" t="str">
        <f>INDEX(Lists!I:I,MATCH(Validation!E8835,Lists!G:G,0))</f>
        <v>Error</v>
      </c>
      <c r="G8835" t="str">
        <f>INDEX(Lists!H:H,MATCH(Validation!E8835,Lists!G:G,0))</f>
        <v>You must make a selection from the dropdown list.</v>
      </c>
      <c r="H8835" s="25" t="str">
        <f t="shared" ca="1" si="1050"/>
        <v/>
      </c>
      <c r="I8835" s="25" t="str">
        <f t="shared" ca="1" si="1051"/>
        <v/>
      </c>
      <c r="J8835" s="26" t="str">
        <f t="shared" si="1052"/>
        <v/>
      </c>
    </row>
    <row r="8836" spans="1:10" x14ac:dyDescent="0.25">
      <c r="A8836" t="s">
        <v>111</v>
      </c>
      <c r="B8836" t="str">
        <f>ADDRESS(ROW(Parcels!B108),COLUMN(Parcels!B108),4)</f>
        <v>B108</v>
      </c>
      <c r="C8836" t="str">
        <f>ADDRESS(ROW(Parcels!D108),COLUMN(Parcels!D108),4)</f>
        <v>D108</v>
      </c>
      <c r="D8836" t="b">
        <f>IF(AND(Parcels!$B$6="Yes",NOT(ISBLANK(Parcels!A108)),ISBLANK(Parcels!B108)),TRUE,FALSE)</f>
        <v>0</v>
      </c>
      <c r="E8836" t="s">
        <v>64</v>
      </c>
      <c r="F8836" t="str">
        <f>INDEX(Lists!I:I,MATCH(Validation!E8836,Lists!G:G,0))</f>
        <v>Error</v>
      </c>
      <c r="G8836" t="str">
        <f>INDEX(Lists!H:H,MATCH(Validation!E8836,Lists!G:G,0))</f>
        <v>You must make a selection from the dropdown list.</v>
      </c>
      <c r="H8836" s="25" t="str">
        <f t="shared" ca="1" si="1050"/>
        <v/>
      </c>
      <c r="I8836" s="25" t="str">
        <f t="shared" ca="1" si="1051"/>
        <v/>
      </c>
      <c r="J8836" s="26" t="str">
        <f t="shared" si="1052"/>
        <v/>
      </c>
    </row>
    <row r="8837" spans="1:10" x14ac:dyDescent="0.25">
      <c r="A8837" t="s">
        <v>111</v>
      </c>
      <c r="B8837" t="str">
        <f>ADDRESS(ROW(Parcels!B109),COLUMN(Parcels!B109),4)</f>
        <v>B109</v>
      </c>
      <c r="C8837" t="str">
        <f>ADDRESS(ROW(Parcels!D109),COLUMN(Parcels!D109),4)</f>
        <v>D109</v>
      </c>
      <c r="D8837" t="b">
        <f>IF(AND(Parcels!$B$6="Yes",NOT(ISBLANK(Parcels!A109)),ISBLANK(Parcels!B109)),TRUE,FALSE)</f>
        <v>0</v>
      </c>
      <c r="E8837" t="s">
        <v>64</v>
      </c>
      <c r="F8837" t="str">
        <f>INDEX(Lists!I:I,MATCH(Validation!E8837,Lists!G:G,0))</f>
        <v>Error</v>
      </c>
      <c r="G8837" t="str">
        <f>INDEX(Lists!H:H,MATCH(Validation!E8837,Lists!G:G,0))</f>
        <v>You must make a selection from the dropdown list.</v>
      </c>
      <c r="H8837" s="25" t="str">
        <f t="shared" ca="1" si="1050"/>
        <v/>
      </c>
      <c r="I8837" s="25" t="str">
        <f t="shared" ca="1" si="1051"/>
        <v/>
      </c>
      <c r="J8837" s="26" t="str">
        <f t="shared" si="1052"/>
        <v/>
      </c>
    </row>
    <row r="8838" spans="1:10" x14ac:dyDescent="0.25">
      <c r="A8838" t="s">
        <v>111</v>
      </c>
      <c r="B8838" t="str">
        <f>ADDRESS(ROW(Parcels!B110),COLUMN(Parcels!B110),4)</f>
        <v>B110</v>
      </c>
      <c r="C8838" t="str">
        <f>ADDRESS(ROW(Parcels!D110),COLUMN(Parcels!D110),4)</f>
        <v>D110</v>
      </c>
      <c r="D8838" t="b">
        <f>IF(AND(Parcels!$B$6="Yes",NOT(ISBLANK(Parcels!A110)),ISBLANK(Parcels!B110)),TRUE,FALSE)</f>
        <v>0</v>
      </c>
      <c r="E8838" t="s">
        <v>64</v>
      </c>
      <c r="F8838" t="str">
        <f>INDEX(Lists!I:I,MATCH(Validation!E8838,Lists!G:G,0))</f>
        <v>Error</v>
      </c>
      <c r="G8838" t="str">
        <f>INDEX(Lists!H:H,MATCH(Validation!E8838,Lists!G:G,0))</f>
        <v>You must make a selection from the dropdown list.</v>
      </c>
      <c r="H8838" s="25" t="str">
        <f t="shared" ca="1" si="1050"/>
        <v/>
      </c>
      <c r="I8838" s="25" t="str">
        <f t="shared" ca="1" si="1051"/>
        <v/>
      </c>
      <c r="J8838" s="26" t="str">
        <f t="shared" si="1052"/>
        <v/>
      </c>
    </row>
    <row r="8839" spans="1:10" x14ac:dyDescent="0.25">
      <c r="A8839" t="s">
        <v>111</v>
      </c>
      <c r="B8839" t="str">
        <f>ADDRESS(ROW(Parcels!B111),COLUMN(Parcels!B111),4)</f>
        <v>B111</v>
      </c>
      <c r="C8839" t="str">
        <f>ADDRESS(ROW(Parcels!D111),COLUMN(Parcels!D111),4)</f>
        <v>D111</v>
      </c>
      <c r="D8839" t="b">
        <f>IF(AND(Parcels!$B$6="Yes",NOT(ISBLANK(Parcels!A111)),ISBLANK(Parcels!B111)),TRUE,FALSE)</f>
        <v>0</v>
      </c>
      <c r="E8839" t="s">
        <v>64</v>
      </c>
      <c r="F8839" t="str">
        <f>INDEX(Lists!I:I,MATCH(Validation!E8839,Lists!G:G,0))</f>
        <v>Error</v>
      </c>
      <c r="G8839" t="str">
        <f>INDEX(Lists!H:H,MATCH(Validation!E8839,Lists!G:G,0))</f>
        <v>You must make a selection from the dropdown list.</v>
      </c>
      <c r="H8839" s="25" t="str">
        <f t="shared" ca="1" si="1050"/>
        <v/>
      </c>
      <c r="I8839" s="25" t="str">
        <f t="shared" ca="1" si="1051"/>
        <v/>
      </c>
      <c r="J8839" s="26" t="str">
        <f t="shared" si="1052"/>
        <v/>
      </c>
    </row>
    <row r="8840" spans="1:10" x14ac:dyDescent="0.25">
      <c r="A8840" t="s">
        <v>111</v>
      </c>
      <c r="B8840" t="str">
        <f>ADDRESS(ROW(Parcels!B112),COLUMN(Parcels!B112),4)</f>
        <v>B112</v>
      </c>
      <c r="C8840" t="str">
        <f>ADDRESS(ROW(Parcels!D112),COLUMN(Parcels!D112),4)</f>
        <v>D112</v>
      </c>
      <c r="D8840" t="b">
        <f>IF(AND(Parcels!$B$6="Yes",NOT(ISBLANK(Parcels!A112)),ISBLANK(Parcels!B112)),TRUE,FALSE)</f>
        <v>0</v>
      </c>
      <c r="E8840" t="s">
        <v>64</v>
      </c>
      <c r="F8840" t="str">
        <f>INDEX(Lists!I:I,MATCH(Validation!E8840,Lists!G:G,0))</f>
        <v>Error</v>
      </c>
      <c r="G8840" t="str">
        <f>INDEX(Lists!H:H,MATCH(Validation!E8840,Lists!G:G,0))</f>
        <v>You must make a selection from the dropdown list.</v>
      </c>
      <c r="H8840" s="25" t="str">
        <f t="shared" ca="1" si="1050"/>
        <v/>
      </c>
      <c r="I8840" s="25" t="str">
        <f t="shared" ca="1" si="1051"/>
        <v/>
      </c>
      <c r="J8840" s="26" t="str">
        <f t="shared" si="1052"/>
        <v/>
      </c>
    </row>
    <row r="8841" spans="1:10" x14ac:dyDescent="0.25">
      <c r="A8841" t="s">
        <v>111</v>
      </c>
      <c r="B8841" t="str">
        <f>ADDRESS(ROW(Parcels!B113),COLUMN(Parcels!B113),4)</f>
        <v>B113</v>
      </c>
      <c r="C8841" t="str">
        <f>ADDRESS(ROW(Parcels!D113),COLUMN(Parcels!D113),4)</f>
        <v>D113</v>
      </c>
      <c r="D8841" t="b">
        <f>IF(AND(Parcels!$B$6="Yes",NOT(ISBLANK(Parcels!A113)),ISBLANK(Parcels!B113)),TRUE,FALSE)</f>
        <v>0</v>
      </c>
      <c r="E8841" t="s">
        <v>64</v>
      </c>
      <c r="F8841" t="str">
        <f>INDEX(Lists!I:I,MATCH(Validation!E8841,Lists!G:G,0))</f>
        <v>Error</v>
      </c>
      <c r="G8841" t="str">
        <f>INDEX(Lists!H:H,MATCH(Validation!E8841,Lists!G:G,0))</f>
        <v>You must make a selection from the dropdown list.</v>
      </c>
      <c r="H8841" s="25" t="str">
        <f t="shared" ca="1" si="1050"/>
        <v/>
      </c>
      <c r="I8841" s="25" t="str">
        <f t="shared" ca="1" si="1051"/>
        <v/>
      </c>
      <c r="J8841" s="26" t="str">
        <f t="shared" si="1052"/>
        <v/>
      </c>
    </row>
    <row r="8842" spans="1:10" x14ac:dyDescent="0.25">
      <c r="A8842" t="s">
        <v>111</v>
      </c>
      <c r="B8842" t="str">
        <f>ADDRESS(ROW(Parcels!B114),COLUMN(Parcels!B114),4)</f>
        <v>B114</v>
      </c>
      <c r="C8842" t="str">
        <f>ADDRESS(ROW(Parcels!D114),COLUMN(Parcels!D114),4)</f>
        <v>D114</v>
      </c>
      <c r="D8842" t="b">
        <f>IF(AND(Parcels!$B$6="Yes",NOT(ISBLANK(Parcels!A114)),ISBLANK(Parcels!B114)),TRUE,FALSE)</f>
        <v>0</v>
      </c>
      <c r="E8842" t="s">
        <v>64</v>
      </c>
      <c r="F8842" t="str">
        <f>INDEX(Lists!I:I,MATCH(Validation!E8842,Lists!G:G,0))</f>
        <v>Error</v>
      </c>
      <c r="G8842" t="str">
        <f>INDEX(Lists!H:H,MATCH(Validation!E8842,Lists!G:G,0))</f>
        <v>You must make a selection from the dropdown list.</v>
      </c>
      <c r="H8842" s="25" t="str">
        <f t="shared" ca="1" si="1050"/>
        <v/>
      </c>
      <c r="I8842" s="25" t="str">
        <f t="shared" ca="1" si="1051"/>
        <v/>
      </c>
      <c r="J8842" s="26" t="str">
        <f t="shared" si="1052"/>
        <v/>
      </c>
    </row>
    <row r="8843" spans="1:10" x14ac:dyDescent="0.25">
      <c r="A8843" t="s">
        <v>111</v>
      </c>
      <c r="B8843" t="str">
        <f>ADDRESS(ROW(Parcels!B115),COLUMN(Parcels!B115),4)</f>
        <v>B115</v>
      </c>
      <c r="C8843" t="str">
        <f>ADDRESS(ROW(Parcels!D115),COLUMN(Parcels!D115),4)</f>
        <v>D115</v>
      </c>
      <c r="D8843" t="b">
        <f>IF(AND(Parcels!$B$6="Yes",NOT(ISBLANK(Parcels!A115)),ISBLANK(Parcels!B115)),TRUE,FALSE)</f>
        <v>0</v>
      </c>
      <c r="E8843" t="s">
        <v>64</v>
      </c>
      <c r="F8843" t="str">
        <f>INDEX(Lists!I:I,MATCH(Validation!E8843,Lists!G:G,0))</f>
        <v>Error</v>
      </c>
      <c r="G8843" t="str">
        <f>INDEX(Lists!H:H,MATCH(Validation!E8843,Lists!G:G,0))</f>
        <v>You must make a selection from the dropdown list.</v>
      </c>
      <c r="H8843" s="25" t="str">
        <f t="shared" ca="1" si="1050"/>
        <v/>
      </c>
      <c r="I8843" s="25" t="str">
        <f t="shared" ca="1" si="1051"/>
        <v/>
      </c>
      <c r="J8843" s="26" t="str">
        <f t="shared" si="1052"/>
        <v/>
      </c>
    </row>
    <row r="8844" spans="1:10" x14ac:dyDescent="0.25">
      <c r="A8844" t="s">
        <v>111</v>
      </c>
      <c r="B8844" t="str">
        <f>ADDRESS(ROW(Parcels!B116),COLUMN(Parcels!B116),4)</f>
        <v>B116</v>
      </c>
      <c r="C8844" t="str">
        <f>ADDRESS(ROW(Parcels!D116),COLUMN(Parcels!D116),4)</f>
        <v>D116</v>
      </c>
      <c r="D8844" t="b">
        <f>IF(AND(Parcels!$B$6="Yes",NOT(ISBLANK(Parcels!A116)),ISBLANK(Parcels!B116)),TRUE,FALSE)</f>
        <v>0</v>
      </c>
      <c r="E8844" t="s">
        <v>64</v>
      </c>
      <c r="F8844" t="str">
        <f>INDEX(Lists!I:I,MATCH(Validation!E8844,Lists!G:G,0))</f>
        <v>Error</v>
      </c>
      <c r="G8844" t="str">
        <f>INDEX(Lists!H:H,MATCH(Validation!E8844,Lists!G:G,0))</f>
        <v>You must make a selection from the dropdown list.</v>
      </c>
      <c r="H8844" s="25" t="str">
        <f t="shared" ca="1" si="1050"/>
        <v/>
      </c>
      <c r="I8844" s="25" t="str">
        <f t="shared" ca="1" si="1051"/>
        <v/>
      </c>
      <c r="J8844" s="26" t="str">
        <f t="shared" si="1052"/>
        <v/>
      </c>
    </row>
    <row r="8845" spans="1:10" x14ac:dyDescent="0.25">
      <c r="A8845" t="s">
        <v>111</v>
      </c>
      <c r="B8845" t="str">
        <f>ADDRESS(ROW(Parcels!B117),COLUMN(Parcels!B117),4)</f>
        <v>B117</v>
      </c>
      <c r="C8845" t="str">
        <f>ADDRESS(ROW(Parcels!D117),COLUMN(Parcels!D117),4)</f>
        <v>D117</v>
      </c>
      <c r="D8845" t="b">
        <f>IF(AND(Parcels!$B$6="Yes",NOT(ISBLANK(Parcels!A117)),ISBLANK(Parcels!B117)),TRUE,FALSE)</f>
        <v>0</v>
      </c>
      <c r="E8845" t="s">
        <v>64</v>
      </c>
      <c r="F8845" t="str">
        <f>INDEX(Lists!I:I,MATCH(Validation!E8845,Lists!G:G,0))</f>
        <v>Error</v>
      </c>
      <c r="G8845" t="str">
        <f>INDEX(Lists!H:H,MATCH(Validation!E8845,Lists!G:G,0))</f>
        <v>You must make a selection from the dropdown list.</v>
      </c>
      <c r="H8845" s="25" t="str">
        <f t="shared" ca="1" si="1050"/>
        <v/>
      </c>
      <c r="I8845" s="25" t="str">
        <f t="shared" ca="1" si="1051"/>
        <v/>
      </c>
      <c r="J8845" s="26" t="str">
        <f t="shared" si="1052"/>
        <v/>
      </c>
    </row>
    <row r="8846" spans="1:10" x14ac:dyDescent="0.25">
      <c r="A8846" t="s">
        <v>111</v>
      </c>
      <c r="B8846" t="str">
        <f>ADDRESS(ROW(Parcels!B118),COLUMN(Parcels!B118),4)</f>
        <v>B118</v>
      </c>
      <c r="C8846" t="str">
        <f>ADDRESS(ROW(Parcels!D118),COLUMN(Parcels!D118),4)</f>
        <v>D118</v>
      </c>
      <c r="D8846" t="b">
        <f>IF(AND(Parcels!$B$6="Yes",NOT(ISBLANK(Parcels!A118)),ISBLANK(Parcels!B118)),TRUE,FALSE)</f>
        <v>0</v>
      </c>
      <c r="E8846" t="s">
        <v>64</v>
      </c>
      <c r="F8846" t="str">
        <f>INDEX(Lists!I:I,MATCH(Validation!E8846,Lists!G:G,0))</f>
        <v>Error</v>
      </c>
      <c r="G8846" t="str">
        <f>INDEX(Lists!H:H,MATCH(Validation!E8846,Lists!G:G,0))</f>
        <v>You must make a selection from the dropdown list.</v>
      </c>
      <c r="H8846" s="25" t="str">
        <f t="shared" ca="1" si="1050"/>
        <v/>
      </c>
      <c r="I8846" s="25" t="str">
        <f t="shared" ca="1" si="1051"/>
        <v/>
      </c>
      <c r="J8846" s="26" t="str">
        <f t="shared" si="1052"/>
        <v/>
      </c>
    </row>
    <row r="8847" spans="1:10" x14ac:dyDescent="0.25">
      <c r="A8847" t="s">
        <v>111</v>
      </c>
      <c r="B8847" t="str">
        <f>ADDRESS(ROW(Parcels!B119),COLUMN(Parcels!B119),4)</f>
        <v>B119</v>
      </c>
      <c r="C8847" t="str">
        <f>ADDRESS(ROW(Parcels!D119),COLUMN(Parcels!D119),4)</f>
        <v>D119</v>
      </c>
      <c r="D8847" t="b">
        <f>IF(AND(Parcels!$B$6="Yes",NOT(ISBLANK(Parcels!A119)),ISBLANK(Parcels!B119)),TRUE,FALSE)</f>
        <v>0</v>
      </c>
      <c r="E8847" t="s">
        <v>64</v>
      </c>
      <c r="F8847" t="str">
        <f>INDEX(Lists!I:I,MATCH(Validation!E8847,Lists!G:G,0))</f>
        <v>Error</v>
      </c>
      <c r="G8847" t="str">
        <f>INDEX(Lists!H:H,MATCH(Validation!E8847,Lists!G:G,0))</f>
        <v>You must make a selection from the dropdown list.</v>
      </c>
      <c r="H8847" s="25" t="str">
        <f t="shared" ca="1" si="1050"/>
        <v/>
      </c>
      <c r="I8847" s="25" t="str">
        <f t="shared" ca="1" si="1051"/>
        <v/>
      </c>
      <c r="J8847" s="26" t="str">
        <f t="shared" si="1052"/>
        <v/>
      </c>
    </row>
    <row r="8848" spans="1:10" x14ac:dyDescent="0.25">
      <c r="A8848" t="s">
        <v>111</v>
      </c>
      <c r="B8848" t="str">
        <f>ADDRESS(ROW(Parcels!B120),COLUMN(Parcels!B120),4)</f>
        <v>B120</v>
      </c>
      <c r="C8848" t="str">
        <f>ADDRESS(ROW(Parcels!D120),COLUMN(Parcels!D120),4)</f>
        <v>D120</v>
      </c>
      <c r="D8848" t="b">
        <f>IF(AND(Parcels!$B$6="Yes",NOT(ISBLANK(Parcels!A120)),ISBLANK(Parcels!B120)),TRUE,FALSE)</f>
        <v>0</v>
      </c>
      <c r="E8848" t="s">
        <v>64</v>
      </c>
      <c r="F8848" t="str">
        <f>INDEX(Lists!I:I,MATCH(Validation!E8848,Lists!G:G,0))</f>
        <v>Error</v>
      </c>
      <c r="G8848" t="str">
        <f>INDEX(Lists!H:H,MATCH(Validation!E8848,Lists!G:G,0))</f>
        <v>You must make a selection from the dropdown list.</v>
      </c>
      <c r="H8848" s="25" t="str">
        <f t="shared" ca="1" si="1050"/>
        <v/>
      </c>
      <c r="I8848" s="25" t="str">
        <f t="shared" ca="1" si="1051"/>
        <v/>
      </c>
      <c r="J8848" s="26" t="str">
        <f t="shared" si="1052"/>
        <v/>
      </c>
    </row>
    <row r="8849" spans="1:10" x14ac:dyDescent="0.25">
      <c r="A8849" t="s">
        <v>111</v>
      </c>
      <c r="B8849" t="str">
        <f>ADDRESS(ROW(Parcels!B121),COLUMN(Parcels!B121),4)</f>
        <v>B121</v>
      </c>
      <c r="C8849" t="str">
        <f>ADDRESS(ROW(Parcels!D121),COLUMN(Parcels!D121),4)</f>
        <v>D121</v>
      </c>
      <c r="D8849" t="b">
        <f>IF(AND(Parcels!$B$6="Yes",NOT(ISBLANK(Parcels!A121)),ISBLANK(Parcels!B121)),TRUE,FALSE)</f>
        <v>0</v>
      </c>
      <c r="E8849" t="s">
        <v>64</v>
      </c>
      <c r="F8849" t="str">
        <f>INDEX(Lists!I:I,MATCH(Validation!E8849,Lists!G:G,0))</f>
        <v>Error</v>
      </c>
      <c r="G8849" t="str">
        <f>INDEX(Lists!H:H,MATCH(Validation!E8849,Lists!G:G,0))</f>
        <v>You must make a selection from the dropdown list.</v>
      </c>
      <c r="H8849" s="25" t="str">
        <f t="shared" ca="1" si="1050"/>
        <v/>
      </c>
      <c r="I8849" s="25" t="str">
        <f t="shared" ca="1" si="1051"/>
        <v/>
      </c>
      <c r="J8849" s="26" t="str">
        <f t="shared" si="1052"/>
        <v/>
      </c>
    </row>
    <row r="8850" spans="1:10" x14ac:dyDescent="0.25">
      <c r="A8850" t="s">
        <v>111</v>
      </c>
      <c r="B8850" t="str">
        <f>ADDRESS(ROW(Parcels!B122),COLUMN(Parcels!B122),4)</f>
        <v>B122</v>
      </c>
      <c r="C8850" t="str">
        <f>ADDRESS(ROW(Parcels!D122),COLUMN(Parcels!D122),4)</f>
        <v>D122</v>
      </c>
      <c r="D8850" t="b">
        <f>IF(AND(Parcels!$B$6="Yes",NOT(ISBLANK(Parcels!A122)),ISBLANK(Parcels!B122)),TRUE,FALSE)</f>
        <v>0</v>
      </c>
      <c r="E8850" t="s">
        <v>64</v>
      </c>
      <c r="F8850" t="str">
        <f>INDEX(Lists!I:I,MATCH(Validation!E8850,Lists!G:G,0))</f>
        <v>Error</v>
      </c>
      <c r="G8850" t="str">
        <f>INDEX(Lists!H:H,MATCH(Validation!E8850,Lists!G:G,0))</f>
        <v>You must make a selection from the dropdown list.</v>
      </c>
      <c r="H8850" s="25" t="str">
        <f t="shared" ca="1" si="1050"/>
        <v/>
      </c>
      <c r="I8850" s="25" t="str">
        <f t="shared" ca="1" si="1051"/>
        <v/>
      </c>
      <c r="J8850" s="26" t="str">
        <f t="shared" si="1052"/>
        <v/>
      </c>
    </row>
    <row r="8851" spans="1:10" x14ac:dyDescent="0.25">
      <c r="A8851" t="s">
        <v>111</v>
      </c>
      <c r="B8851" t="str">
        <f>ADDRESS(ROW(Parcels!B123),COLUMN(Parcels!B123),4)</f>
        <v>B123</v>
      </c>
      <c r="C8851" t="str">
        <f>ADDRESS(ROW(Parcels!D123),COLUMN(Parcels!D123),4)</f>
        <v>D123</v>
      </c>
      <c r="D8851" t="b">
        <f>IF(AND(Parcels!$B$6="Yes",NOT(ISBLANK(Parcels!A123)),ISBLANK(Parcels!B123)),TRUE,FALSE)</f>
        <v>0</v>
      </c>
      <c r="E8851" t="s">
        <v>64</v>
      </c>
      <c r="F8851" t="str">
        <f>INDEX(Lists!I:I,MATCH(Validation!E8851,Lists!G:G,0))</f>
        <v>Error</v>
      </c>
      <c r="G8851" t="str">
        <f>INDEX(Lists!H:H,MATCH(Validation!E8851,Lists!G:G,0))</f>
        <v>You must make a selection from the dropdown list.</v>
      </c>
      <c r="H8851" s="25" t="str">
        <f t="shared" ca="1" si="1050"/>
        <v/>
      </c>
      <c r="I8851" s="25" t="str">
        <f t="shared" ca="1" si="1051"/>
        <v/>
      </c>
      <c r="J8851" s="26" t="str">
        <f t="shared" si="1052"/>
        <v/>
      </c>
    </row>
    <row r="8852" spans="1:10" x14ac:dyDescent="0.25">
      <c r="A8852" t="s">
        <v>111</v>
      </c>
      <c r="B8852" t="str">
        <f>ADDRESS(ROW(Parcels!B124),COLUMN(Parcels!B124),4)</f>
        <v>B124</v>
      </c>
      <c r="C8852" t="str">
        <f>ADDRESS(ROW(Parcels!D124),COLUMN(Parcels!D124),4)</f>
        <v>D124</v>
      </c>
      <c r="D8852" t="b">
        <f>IF(AND(Parcels!$B$6="Yes",NOT(ISBLANK(Parcels!A124)),ISBLANK(Parcels!B124)),TRUE,FALSE)</f>
        <v>0</v>
      </c>
      <c r="E8852" t="s">
        <v>64</v>
      </c>
      <c r="F8852" t="str">
        <f>INDEX(Lists!I:I,MATCH(Validation!E8852,Lists!G:G,0))</f>
        <v>Error</v>
      </c>
      <c r="G8852" t="str">
        <f>INDEX(Lists!H:H,MATCH(Validation!E8852,Lists!G:G,0))</f>
        <v>You must make a selection from the dropdown list.</v>
      </c>
      <c r="H8852" s="25" t="str">
        <f t="shared" ca="1" si="1050"/>
        <v/>
      </c>
      <c r="I8852" s="25" t="str">
        <f t="shared" ca="1" si="1051"/>
        <v/>
      </c>
      <c r="J8852" s="26" t="str">
        <f t="shared" si="1052"/>
        <v/>
      </c>
    </row>
    <row r="8853" spans="1:10" x14ac:dyDescent="0.25">
      <c r="A8853" t="s">
        <v>111</v>
      </c>
      <c r="B8853" t="str">
        <f>ADDRESS(ROW(Parcels!B125),COLUMN(Parcels!B125),4)</f>
        <v>B125</v>
      </c>
      <c r="C8853" t="str">
        <f>ADDRESS(ROW(Parcels!D125),COLUMN(Parcels!D125),4)</f>
        <v>D125</v>
      </c>
      <c r="D8853" t="b">
        <f>IF(AND(Parcels!$B$6="Yes",NOT(ISBLANK(Parcels!A125)),ISBLANK(Parcels!B125)),TRUE,FALSE)</f>
        <v>0</v>
      </c>
      <c r="E8853" t="s">
        <v>64</v>
      </c>
      <c r="F8853" t="str">
        <f>INDEX(Lists!I:I,MATCH(Validation!E8853,Lists!G:G,0))</f>
        <v>Error</v>
      </c>
      <c r="G8853" t="str">
        <f>INDEX(Lists!H:H,MATCH(Validation!E8853,Lists!G:G,0))</f>
        <v>You must make a selection from the dropdown list.</v>
      </c>
      <c r="H8853" s="25" t="str">
        <f t="shared" ca="1" si="1050"/>
        <v/>
      </c>
      <c r="I8853" s="25" t="str">
        <f t="shared" ca="1" si="1051"/>
        <v/>
      </c>
      <c r="J8853" s="26" t="str">
        <f t="shared" si="1052"/>
        <v/>
      </c>
    </row>
    <row r="8854" spans="1:10" x14ac:dyDescent="0.25">
      <c r="A8854" t="s">
        <v>111</v>
      </c>
      <c r="B8854" t="str">
        <f>ADDRESS(ROW(Parcels!B126),COLUMN(Parcels!B126),4)</f>
        <v>B126</v>
      </c>
      <c r="C8854" t="str">
        <f>ADDRESS(ROW(Parcels!D126),COLUMN(Parcels!D126),4)</f>
        <v>D126</v>
      </c>
      <c r="D8854" t="b">
        <f>IF(AND(Parcels!$B$6="Yes",NOT(ISBLANK(Parcels!A126)),ISBLANK(Parcels!B126)),TRUE,FALSE)</f>
        <v>0</v>
      </c>
      <c r="E8854" t="s">
        <v>64</v>
      </c>
      <c r="F8854" t="str">
        <f>INDEX(Lists!I:I,MATCH(Validation!E8854,Lists!G:G,0))</f>
        <v>Error</v>
      </c>
      <c r="G8854" t="str">
        <f>INDEX(Lists!H:H,MATCH(Validation!E8854,Lists!G:G,0))</f>
        <v>You must make a selection from the dropdown list.</v>
      </c>
      <c r="H8854" s="25" t="str">
        <f t="shared" ca="1" si="1050"/>
        <v/>
      </c>
      <c r="I8854" s="25" t="str">
        <f t="shared" ca="1" si="1051"/>
        <v/>
      </c>
      <c r="J8854" s="26" t="str">
        <f t="shared" si="1052"/>
        <v/>
      </c>
    </row>
    <row r="8855" spans="1:10" x14ac:dyDescent="0.25">
      <c r="A8855" t="s">
        <v>111</v>
      </c>
      <c r="B8855" t="str">
        <f>ADDRESS(ROW(Parcels!B127),COLUMN(Parcels!B127),4)</f>
        <v>B127</v>
      </c>
      <c r="C8855" t="str">
        <f>ADDRESS(ROW(Parcels!D127),COLUMN(Parcels!D127),4)</f>
        <v>D127</v>
      </c>
      <c r="D8855" t="b">
        <f>IF(AND(Parcels!$B$6="Yes",NOT(ISBLANK(Parcels!A127)),ISBLANK(Parcels!B127)),TRUE,FALSE)</f>
        <v>0</v>
      </c>
      <c r="E8855" t="s">
        <v>64</v>
      </c>
      <c r="F8855" t="str">
        <f>INDEX(Lists!I:I,MATCH(Validation!E8855,Lists!G:G,0))</f>
        <v>Error</v>
      </c>
      <c r="G8855" t="str">
        <f>INDEX(Lists!H:H,MATCH(Validation!E8855,Lists!G:G,0))</f>
        <v>You must make a selection from the dropdown list.</v>
      </c>
      <c r="H8855" s="25" t="str">
        <f t="shared" ca="1" si="1050"/>
        <v/>
      </c>
      <c r="I8855" s="25" t="str">
        <f t="shared" ca="1" si="1051"/>
        <v/>
      </c>
      <c r="J8855" s="26" t="str">
        <f t="shared" si="1052"/>
        <v/>
      </c>
    </row>
    <row r="8856" spans="1:10" x14ac:dyDescent="0.25">
      <c r="A8856" t="s">
        <v>111</v>
      </c>
      <c r="B8856" t="str">
        <f>ADDRESS(ROW(Parcels!B128),COLUMN(Parcels!B128),4)</f>
        <v>B128</v>
      </c>
      <c r="C8856" t="str">
        <f>ADDRESS(ROW(Parcels!D128),COLUMN(Parcels!D128),4)</f>
        <v>D128</v>
      </c>
      <c r="D8856" t="b">
        <f>IF(AND(Parcels!$B$6="Yes",NOT(ISBLANK(Parcels!A128)),ISBLANK(Parcels!B128)),TRUE,FALSE)</f>
        <v>0</v>
      </c>
      <c r="E8856" t="s">
        <v>64</v>
      </c>
      <c r="F8856" t="str">
        <f>INDEX(Lists!I:I,MATCH(Validation!E8856,Lists!G:G,0))</f>
        <v>Error</v>
      </c>
      <c r="G8856" t="str">
        <f>INDEX(Lists!H:H,MATCH(Validation!E8856,Lists!G:G,0))</f>
        <v>You must make a selection from the dropdown list.</v>
      </c>
      <c r="H8856" s="25" t="str">
        <f t="shared" ca="1" si="1050"/>
        <v/>
      </c>
      <c r="I8856" s="25" t="str">
        <f t="shared" ca="1" si="1051"/>
        <v/>
      </c>
      <c r="J8856" s="26" t="str">
        <f t="shared" si="1052"/>
        <v/>
      </c>
    </row>
    <row r="8857" spans="1:10" x14ac:dyDescent="0.25">
      <c r="A8857" t="s">
        <v>111</v>
      </c>
      <c r="B8857" t="str">
        <f>ADDRESS(ROW(Parcels!B129),COLUMN(Parcels!B129),4)</f>
        <v>B129</v>
      </c>
      <c r="C8857" t="str">
        <f>ADDRESS(ROW(Parcels!D129),COLUMN(Parcels!D129),4)</f>
        <v>D129</v>
      </c>
      <c r="D8857" t="b">
        <f>IF(AND(Parcels!$B$6="Yes",NOT(ISBLANK(Parcels!A129)),ISBLANK(Parcels!B129)),TRUE,FALSE)</f>
        <v>0</v>
      </c>
      <c r="E8857" t="s">
        <v>64</v>
      </c>
      <c r="F8857" t="str">
        <f>INDEX(Lists!I:I,MATCH(Validation!E8857,Lists!G:G,0))</f>
        <v>Error</v>
      </c>
      <c r="G8857" t="str">
        <f>INDEX(Lists!H:H,MATCH(Validation!E8857,Lists!G:G,0))</f>
        <v>You must make a selection from the dropdown list.</v>
      </c>
      <c r="H8857" s="25" t="str">
        <f t="shared" ca="1" si="1050"/>
        <v/>
      </c>
      <c r="I8857" s="25" t="str">
        <f t="shared" ca="1" si="1051"/>
        <v/>
      </c>
      <c r="J8857" s="26" t="str">
        <f t="shared" si="1052"/>
        <v/>
      </c>
    </row>
    <row r="8858" spans="1:10" x14ac:dyDescent="0.25">
      <c r="A8858" t="s">
        <v>111</v>
      </c>
      <c r="B8858" t="str">
        <f>ADDRESS(ROW(Parcels!B130),COLUMN(Parcels!B130),4)</f>
        <v>B130</v>
      </c>
      <c r="C8858" t="str">
        <f>ADDRESS(ROW(Parcels!D130),COLUMN(Parcels!D130),4)</f>
        <v>D130</v>
      </c>
      <c r="D8858" t="b">
        <f>IF(AND(Parcels!$B$6="Yes",NOT(ISBLANK(Parcels!A130)),ISBLANK(Parcels!B130)),TRUE,FALSE)</f>
        <v>0</v>
      </c>
      <c r="E8858" t="s">
        <v>64</v>
      </c>
      <c r="F8858" t="str">
        <f>INDEX(Lists!I:I,MATCH(Validation!E8858,Lists!G:G,0))</f>
        <v>Error</v>
      </c>
      <c r="G8858" t="str">
        <f>INDEX(Lists!H:H,MATCH(Validation!E8858,Lists!G:G,0))</f>
        <v>You must make a selection from the dropdown list.</v>
      </c>
      <c r="H8858" s="25" t="str">
        <f t="shared" ca="1" si="1050"/>
        <v/>
      </c>
      <c r="I8858" s="25" t="str">
        <f t="shared" ca="1" si="1051"/>
        <v/>
      </c>
      <c r="J8858" s="26" t="str">
        <f t="shared" si="1052"/>
        <v/>
      </c>
    </row>
    <row r="8859" spans="1:10" x14ac:dyDescent="0.25">
      <c r="A8859" t="s">
        <v>111</v>
      </c>
      <c r="B8859" t="str">
        <f>ADDRESS(ROW(Parcels!B131),COLUMN(Parcels!B131),4)</f>
        <v>B131</v>
      </c>
      <c r="C8859" t="str">
        <f>ADDRESS(ROW(Parcels!D131),COLUMN(Parcels!D131),4)</f>
        <v>D131</v>
      </c>
      <c r="D8859" t="b">
        <f>IF(AND(Parcels!$B$6="Yes",NOT(ISBLANK(Parcels!A131)),ISBLANK(Parcels!B131)),TRUE,FALSE)</f>
        <v>0</v>
      </c>
      <c r="E8859" t="s">
        <v>64</v>
      </c>
      <c r="F8859" t="str">
        <f>INDEX(Lists!I:I,MATCH(Validation!E8859,Lists!G:G,0))</f>
        <v>Error</v>
      </c>
      <c r="G8859" t="str">
        <f>INDEX(Lists!H:H,MATCH(Validation!E8859,Lists!G:G,0))</f>
        <v>You must make a selection from the dropdown list.</v>
      </c>
      <c r="H8859" s="25" t="str">
        <f t="shared" ca="1" si="1050"/>
        <v/>
      </c>
      <c r="I8859" s="25" t="str">
        <f t="shared" ca="1" si="1051"/>
        <v/>
      </c>
      <c r="J8859" s="26" t="str">
        <f t="shared" si="1052"/>
        <v/>
      </c>
    </row>
    <row r="8860" spans="1:10" x14ac:dyDescent="0.25">
      <c r="A8860" t="s">
        <v>111</v>
      </c>
      <c r="B8860" t="str">
        <f>ADDRESS(ROW(Parcels!B132),COLUMN(Parcels!B132),4)</f>
        <v>B132</v>
      </c>
      <c r="C8860" t="str">
        <f>ADDRESS(ROW(Parcels!D132),COLUMN(Parcels!D132),4)</f>
        <v>D132</v>
      </c>
      <c r="D8860" t="b">
        <f>IF(AND(Parcels!$B$6="Yes",NOT(ISBLANK(Parcels!A132)),ISBLANK(Parcels!B132)),TRUE,FALSE)</f>
        <v>0</v>
      </c>
      <c r="E8860" t="s">
        <v>64</v>
      </c>
      <c r="F8860" t="str">
        <f>INDEX(Lists!I:I,MATCH(Validation!E8860,Lists!G:G,0))</f>
        <v>Error</v>
      </c>
      <c r="G8860" t="str">
        <f>INDEX(Lists!H:H,MATCH(Validation!E8860,Lists!G:G,0))</f>
        <v>You must make a selection from the dropdown list.</v>
      </c>
      <c r="H8860" s="25" t="str">
        <f t="shared" ca="1" si="1050"/>
        <v/>
      </c>
      <c r="I8860" s="25" t="str">
        <f t="shared" ca="1" si="1051"/>
        <v/>
      </c>
      <c r="J8860" s="26" t="str">
        <f t="shared" si="1052"/>
        <v/>
      </c>
    </row>
    <row r="8861" spans="1:10" x14ac:dyDescent="0.25">
      <c r="A8861" t="s">
        <v>111</v>
      </c>
      <c r="B8861" t="str">
        <f>ADDRESS(ROW(Parcels!B133),COLUMN(Parcels!B133),4)</f>
        <v>B133</v>
      </c>
      <c r="C8861" t="str">
        <f>ADDRESS(ROW(Parcels!D133),COLUMN(Parcels!D133),4)</f>
        <v>D133</v>
      </c>
      <c r="D8861" t="b">
        <f>IF(AND(Parcels!$B$6="Yes",NOT(ISBLANK(Parcels!A133)),ISBLANK(Parcels!B133)),TRUE,FALSE)</f>
        <v>0</v>
      </c>
      <c r="E8861" t="s">
        <v>64</v>
      </c>
      <c r="F8861" t="str">
        <f>INDEX(Lists!I:I,MATCH(Validation!E8861,Lists!G:G,0))</f>
        <v>Error</v>
      </c>
      <c r="G8861" t="str">
        <f>INDEX(Lists!H:H,MATCH(Validation!E8861,Lists!G:G,0))</f>
        <v>You must make a selection from the dropdown list.</v>
      </c>
      <c r="H8861" s="25" t="str">
        <f t="shared" ca="1" si="1050"/>
        <v/>
      </c>
      <c r="I8861" s="25" t="str">
        <f t="shared" ca="1" si="1051"/>
        <v/>
      </c>
      <c r="J8861" s="26" t="str">
        <f t="shared" si="1052"/>
        <v/>
      </c>
    </row>
    <row r="8862" spans="1:10" x14ac:dyDescent="0.25">
      <c r="A8862" t="s">
        <v>111</v>
      </c>
      <c r="B8862" t="str">
        <f>ADDRESS(ROW(Parcels!B134),COLUMN(Parcels!B134),4)</f>
        <v>B134</v>
      </c>
      <c r="C8862" t="str">
        <f>ADDRESS(ROW(Parcels!D134),COLUMN(Parcels!D134),4)</f>
        <v>D134</v>
      </c>
      <c r="D8862" t="b">
        <f>IF(AND(Parcels!$B$6="Yes",NOT(ISBLANK(Parcels!A134)),ISBLANK(Parcels!B134)),TRUE,FALSE)</f>
        <v>0</v>
      </c>
      <c r="E8862" t="s">
        <v>64</v>
      </c>
      <c r="F8862" t="str">
        <f>INDEX(Lists!I:I,MATCH(Validation!E8862,Lists!G:G,0))</f>
        <v>Error</v>
      </c>
      <c r="G8862" t="str">
        <f>INDEX(Lists!H:H,MATCH(Validation!E8862,Lists!G:G,0))</f>
        <v>You must make a selection from the dropdown list.</v>
      </c>
      <c r="H8862" s="25" t="str">
        <f t="shared" ca="1" si="1050"/>
        <v/>
      </c>
      <c r="I8862" s="25" t="str">
        <f t="shared" ca="1" si="1051"/>
        <v/>
      </c>
      <c r="J8862" s="26" t="str">
        <f t="shared" si="1052"/>
        <v/>
      </c>
    </row>
    <row r="8863" spans="1:10" x14ac:dyDescent="0.25">
      <c r="A8863" t="s">
        <v>111</v>
      </c>
      <c r="B8863" t="str">
        <f>ADDRESS(ROW(Parcels!B135),COLUMN(Parcels!B135),4)</f>
        <v>B135</v>
      </c>
      <c r="C8863" t="str">
        <f>ADDRESS(ROW(Parcels!D135),COLUMN(Parcels!D135),4)</f>
        <v>D135</v>
      </c>
      <c r="D8863" t="b">
        <f>IF(AND(Parcels!$B$6="Yes",NOT(ISBLANK(Parcels!A135)),ISBLANK(Parcels!B135)),TRUE,FALSE)</f>
        <v>0</v>
      </c>
      <c r="E8863" t="s">
        <v>64</v>
      </c>
      <c r="F8863" t="str">
        <f>INDEX(Lists!I:I,MATCH(Validation!E8863,Lists!G:G,0))</f>
        <v>Error</v>
      </c>
      <c r="G8863" t="str">
        <f>INDEX(Lists!H:H,MATCH(Validation!E8863,Lists!G:G,0))</f>
        <v>You must make a selection from the dropdown list.</v>
      </c>
      <c r="H8863" s="25" t="str">
        <f t="shared" ca="1" si="1050"/>
        <v/>
      </c>
      <c r="I8863" s="25" t="str">
        <f t="shared" ca="1" si="1051"/>
        <v/>
      </c>
      <c r="J8863" s="26" t="str">
        <f t="shared" si="1052"/>
        <v/>
      </c>
    </row>
    <row r="8864" spans="1:10" x14ac:dyDescent="0.25">
      <c r="A8864" t="s">
        <v>111</v>
      </c>
      <c r="B8864" t="str">
        <f>ADDRESS(ROW(Parcels!B136),COLUMN(Parcels!B136),4)</f>
        <v>B136</v>
      </c>
      <c r="C8864" t="str">
        <f>ADDRESS(ROW(Parcels!D136),COLUMN(Parcels!D136),4)</f>
        <v>D136</v>
      </c>
      <c r="D8864" t="b">
        <f>IF(AND(Parcels!$B$6="Yes",NOT(ISBLANK(Parcels!A136)),ISBLANK(Parcels!B136)),TRUE,FALSE)</f>
        <v>0</v>
      </c>
      <c r="E8864" t="s">
        <v>64</v>
      </c>
      <c r="F8864" t="str">
        <f>INDEX(Lists!I:I,MATCH(Validation!E8864,Lists!G:G,0))</f>
        <v>Error</v>
      </c>
      <c r="G8864" t="str">
        <f>INDEX(Lists!H:H,MATCH(Validation!E8864,Lists!G:G,0))</f>
        <v>You must make a selection from the dropdown list.</v>
      </c>
      <c r="H8864" s="25" t="str">
        <f t="shared" ref="H8864:H8927" ca="1" si="1053">IFERROR(IF(OR(NOT(D8864),F8864&lt;&gt;"Error"),"",A8864&amp;CELL("address",INDIRECT(B8864))),"")</f>
        <v/>
      </c>
      <c r="I8864" s="25" t="str">
        <f t="shared" ref="I8864:I8927" ca="1" si="1054">IFERROR(IF(NOT(D8864),"",A8864&amp;CELL("address",INDIRECT(C8864))),"")</f>
        <v/>
      </c>
      <c r="J8864" s="26" t="str">
        <f t="shared" ref="J8864:J8927" si="1055">IFERROR(IF(NOT(D8864),"",A8864),"")</f>
        <v/>
      </c>
    </row>
    <row r="8865" spans="1:10" x14ac:dyDescent="0.25">
      <c r="A8865" t="s">
        <v>111</v>
      </c>
      <c r="B8865" t="str">
        <f>ADDRESS(ROW(Parcels!B137),COLUMN(Parcels!B137),4)</f>
        <v>B137</v>
      </c>
      <c r="C8865" t="str">
        <f>ADDRESS(ROW(Parcels!D137),COLUMN(Parcels!D137),4)</f>
        <v>D137</v>
      </c>
      <c r="D8865" t="b">
        <f>IF(AND(Parcels!$B$6="Yes",NOT(ISBLANK(Parcels!A137)),ISBLANK(Parcels!B137)),TRUE,FALSE)</f>
        <v>0</v>
      </c>
      <c r="E8865" t="s">
        <v>64</v>
      </c>
      <c r="F8865" t="str">
        <f>INDEX(Lists!I:I,MATCH(Validation!E8865,Lists!G:G,0))</f>
        <v>Error</v>
      </c>
      <c r="G8865" t="str">
        <f>INDEX(Lists!H:H,MATCH(Validation!E8865,Lists!G:G,0))</f>
        <v>You must make a selection from the dropdown list.</v>
      </c>
      <c r="H8865" s="25" t="str">
        <f t="shared" ca="1" si="1053"/>
        <v/>
      </c>
      <c r="I8865" s="25" t="str">
        <f t="shared" ca="1" si="1054"/>
        <v/>
      </c>
      <c r="J8865" s="26" t="str">
        <f t="shared" si="1055"/>
        <v/>
      </c>
    </row>
    <row r="8866" spans="1:10" x14ac:dyDescent="0.25">
      <c r="A8866" t="s">
        <v>111</v>
      </c>
      <c r="B8866" t="str">
        <f>ADDRESS(ROW(Parcels!B138),COLUMN(Parcels!B138),4)</f>
        <v>B138</v>
      </c>
      <c r="C8866" t="str">
        <f>ADDRESS(ROW(Parcels!D138),COLUMN(Parcels!D138),4)</f>
        <v>D138</v>
      </c>
      <c r="D8866" t="b">
        <f>IF(AND(Parcels!$B$6="Yes",NOT(ISBLANK(Parcels!A138)),ISBLANK(Parcels!B138)),TRUE,FALSE)</f>
        <v>0</v>
      </c>
      <c r="E8866" t="s">
        <v>64</v>
      </c>
      <c r="F8866" t="str">
        <f>INDEX(Lists!I:I,MATCH(Validation!E8866,Lists!G:G,0))</f>
        <v>Error</v>
      </c>
      <c r="G8866" t="str">
        <f>INDEX(Lists!H:H,MATCH(Validation!E8866,Lists!G:G,0))</f>
        <v>You must make a selection from the dropdown list.</v>
      </c>
      <c r="H8866" s="25" t="str">
        <f t="shared" ca="1" si="1053"/>
        <v/>
      </c>
      <c r="I8866" s="25" t="str">
        <f t="shared" ca="1" si="1054"/>
        <v/>
      </c>
      <c r="J8866" s="26" t="str">
        <f t="shared" si="1055"/>
        <v/>
      </c>
    </row>
    <row r="8867" spans="1:10" x14ac:dyDescent="0.25">
      <c r="A8867" t="s">
        <v>111</v>
      </c>
      <c r="B8867" t="str">
        <f>ADDRESS(ROW(Parcels!B139),COLUMN(Parcels!B139),4)</f>
        <v>B139</v>
      </c>
      <c r="C8867" t="str">
        <f>ADDRESS(ROW(Parcels!D139),COLUMN(Parcels!D139),4)</f>
        <v>D139</v>
      </c>
      <c r="D8867" t="b">
        <f>IF(AND(Parcels!$B$6="Yes",NOT(ISBLANK(Parcels!A139)),ISBLANK(Parcels!B139)),TRUE,FALSE)</f>
        <v>0</v>
      </c>
      <c r="E8867" t="s">
        <v>64</v>
      </c>
      <c r="F8867" t="str">
        <f>INDEX(Lists!I:I,MATCH(Validation!E8867,Lists!G:G,0))</f>
        <v>Error</v>
      </c>
      <c r="G8867" t="str">
        <f>INDEX(Lists!H:H,MATCH(Validation!E8867,Lists!G:G,0))</f>
        <v>You must make a selection from the dropdown list.</v>
      </c>
      <c r="H8867" s="25" t="str">
        <f t="shared" ca="1" si="1053"/>
        <v/>
      </c>
      <c r="I8867" s="25" t="str">
        <f t="shared" ca="1" si="1054"/>
        <v/>
      </c>
      <c r="J8867" s="26" t="str">
        <f t="shared" si="1055"/>
        <v/>
      </c>
    </row>
    <row r="8868" spans="1:10" x14ac:dyDescent="0.25">
      <c r="A8868" t="s">
        <v>111</v>
      </c>
      <c r="B8868" t="str">
        <f>ADDRESS(ROW(Parcels!B140),COLUMN(Parcels!B140),4)</f>
        <v>B140</v>
      </c>
      <c r="C8868" t="str">
        <f>ADDRESS(ROW(Parcels!D140),COLUMN(Parcels!D140),4)</f>
        <v>D140</v>
      </c>
      <c r="D8868" t="b">
        <f>IF(AND(Parcels!$B$6="Yes",NOT(ISBLANK(Parcels!A140)),ISBLANK(Parcels!B140)),TRUE,FALSE)</f>
        <v>0</v>
      </c>
      <c r="E8868" t="s">
        <v>64</v>
      </c>
      <c r="F8868" t="str">
        <f>INDEX(Lists!I:I,MATCH(Validation!E8868,Lists!G:G,0))</f>
        <v>Error</v>
      </c>
      <c r="G8868" t="str">
        <f>INDEX(Lists!H:H,MATCH(Validation!E8868,Lists!G:G,0))</f>
        <v>You must make a selection from the dropdown list.</v>
      </c>
      <c r="H8868" s="25" t="str">
        <f t="shared" ca="1" si="1053"/>
        <v/>
      </c>
      <c r="I8868" s="25" t="str">
        <f t="shared" ca="1" si="1054"/>
        <v/>
      </c>
      <c r="J8868" s="26" t="str">
        <f t="shared" si="1055"/>
        <v/>
      </c>
    </row>
    <row r="8869" spans="1:10" x14ac:dyDescent="0.25">
      <c r="A8869" t="s">
        <v>111</v>
      </c>
      <c r="B8869" t="str">
        <f>ADDRESS(ROW(Parcels!B141),COLUMN(Parcels!B141),4)</f>
        <v>B141</v>
      </c>
      <c r="C8869" t="str">
        <f>ADDRESS(ROW(Parcels!D141),COLUMN(Parcels!D141),4)</f>
        <v>D141</v>
      </c>
      <c r="D8869" t="b">
        <f>IF(AND(Parcels!$B$6="Yes",NOT(ISBLANK(Parcels!A141)),ISBLANK(Parcels!B141)),TRUE,FALSE)</f>
        <v>0</v>
      </c>
      <c r="E8869" t="s">
        <v>64</v>
      </c>
      <c r="F8869" t="str">
        <f>INDEX(Lists!I:I,MATCH(Validation!E8869,Lists!G:G,0))</f>
        <v>Error</v>
      </c>
      <c r="G8869" t="str">
        <f>INDEX(Lists!H:H,MATCH(Validation!E8869,Lists!G:G,0))</f>
        <v>You must make a selection from the dropdown list.</v>
      </c>
      <c r="H8869" s="25" t="str">
        <f t="shared" ca="1" si="1053"/>
        <v/>
      </c>
      <c r="I8869" s="25" t="str">
        <f t="shared" ca="1" si="1054"/>
        <v/>
      </c>
      <c r="J8869" s="26" t="str">
        <f t="shared" si="1055"/>
        <v/>
      </c>
    </row>
    <row r="8870" spans="1:10" x14ac:dyDescent="0.25">
      <c r="A8870" t="s">
        <v>111</v>
      </c>
      <c r="B8870" t="str">
        <f>ADDRESS(ROW(Parcels!B142),COLUMN(Parcels!B142),4)</f>
        <v>B142</v>
      </c>
      <c r="C8870" t="str">
        <f>ADDRESS(ROW(Parcels!D142),COLUMN(Parcels!D142),4)</f>
        <v>D142</v>
      </c>
      <c r="D8870" t="b">
        <f>IF(AND(Parcels!$B$6="Yes",NOT(ISBLANK(Parcels!A142)),ISBLANK(Parcels!B142)),TRUE,FALSE)</f>
        <v>0</v>
      </c>
      <c r="E8870" t="s">
        <v>64</v>
      </c>
      <c r="F8870" t="str">
        <f>INDEX(Lists!I:I,MATCH(Validation!E8870,Lists!G:G,0))</f>
        <v>Error</v>
      </c>
      <c r="G8870" t="str">
        <f>INDEX(Lists!H:H,MATCH(Validation!E8870,Lists!G:G,0))</f>
        <v>You must make a selection from the dropdown list.</v>
      </c>
      <c r="H8870" s="25" t="str">
        <f t="shared" ca="1" si="1053"/>
        <v/>
      </c>
      <c r="I8870" s="25" t="str">
        <f t="shared" ca="1" si="1054"/>
        <v/>
      </c>
      <c r="J8870" s="26" t="str">
        <f t="shared" si="1055"/>
        <v/>
      </c>
    </row>
    <row r="8871" spans="1:10" x14ac:dyDescent="0.25">
      <c r="A8871" t="s">
        <v>111</v>
      </c>
      <c r="B8871" t="str">
        <f>ADDRESS(ROW(Parcels!B143),COLUMN(Parcels!B143),4)</f>
        <v>B143</v>
      </c>
      <c r="C8871" t="str">
        <f>ADDRESS(ROW(Parcels!D143),COLUMN(Parcels!D143),4)</f>
        <v>D143</v>
      </c>
      <c r="D8871" t="b">
        <f>IF(AND(Parcels!$B$6="Yes",NOT(ISBLANK(Parcels!A143)),ISBLANK(Parcels!B143)),TRUE,FALSE)</f>
        <v>0</v>
      </c>
      <c r="E8871" t="s">
        <v>64</v>
      </c>
      <c r="F8871" t="str">
        <f>INDEX(Lists!I:I,MATCH(Validation!E8871,Lists!G:G,0))</f>
        <v>Error</v>
      </c>
      <c r="G8871" t="str">
        <f>INDEX(Lists!H:H,MATCH(Validation!E8871,Lists!G:G,0))</f>
        <v>You must make a selection from the dropdown list.</v>
      </c>
      <c r="H8871" s="25" t="str">
        <f t="shared" ca="1" si="1053"/>
        <v/>
      </c>
      <c r="I8871" s="25" t="str">
        <f t="shared" ca="1" si="1054"/>
        <v/>
      </c>
      <c r="J8871" s="26" t="str">
        <f t="shared" si="1055"/>
        <v/>
      </c>
    </row>
    <row r="8872" spans="1:10" x14ac:dyDescent="0.25">
      <c r="A8872" t="s">
        <v>111</v>
      </c>
      <c r="B8872" t="str">
        <f>ADDRESS(ROW(Parcels!B144),COLUMN(Parcels!B144),4)</f>
        <v>B144</v>
      </c>
      <c r="C8872" t="str">
        <f>ADDRESS(ROW(Parcels!D144),COLUMN(Parcels!D144),4)</f>
        <v>D144</v>
      </c>
      <c r="D8872" t="b">
        <f>IF(AND(Parcels!$B$6="Yes",NOT(ISBLANK(Parcels!A144)),ISBLANK(Parcels!B144)),TRUE,FALSE)</f>
        <v>0</v>
      </c>
      <c r="E8872" t="s">
        <v>64</v>
      </c>
      <c r="F8872" t="str">
        <f>INDEX(Lists!I:I,MATCH(Validation!E8872,Lists!G:G,0))</f>
        <v>Error</v>
      </c>
      <c r="G8872" t="str">
        <f>INDEX(Lists!H:H,MATCH(Validation!E8872,Lists!G:G,0))</f>
        <v>You must make a selection from the dropdown list.</v>
      </c>
      <c r="H8872" s="25" t="str">
        <f t="shared" ca="1" si="1053"/>
        <v/>
      </c>
      <c r="I8872" s="25" t="str">
        <f t="shared" ca="1" si="1054"/>
        <v/>
      </c>
      <c r="J8872" s="26" t="str">
        <f t="shared" si="1055"/>
        <v/>
      </c>
    </row>
    <row r="8873" spans="1:10" x14ac:dyDescent="0.25">
      <c r="A8873" t="s">
        <v>111</v>
      </c>
      <c r="B8873" t="str">
        <f>ADDRESS(ROW(Parcels!B145),COLUMN(Parcels!B145),4)</f>
        <v>B145</v>
      </c>
      <c r="C8873" t="str">
        <f>ADDRESS(ROW(Parcels!D145),COLUMN(Parcels!D145),4)</f>
        <v>D145</v>
      </c>
      <c r="D8873" t="b">
        <f>IF(AND(Parcels!$B$6="Yes",NOT(ISBLANK(Parcels!A145)),ISBLANK(Parcels!B145)),TRUE,FALSE)</f>
        <v>0</v>
      </c>
      <c r="E8873" t="s">
        <v>64</v>
      </c>
      <c r="F8873" t="str">
        <f>INDEX(Lists!I:I,MATCH(Validation!E8873,Lists!G:G,0))</f>
        <v>Error</v>
      </c>
      <c r="G8873" t="str">
        <f>INDEX(Lists!H:H,MATCH(Validation!E8873,Lists!G:G,0))</f>
        <v>You must make a selection from the dropdown list.</v>
      </c>
      <c r="H8873" s="25" t="str">
        <f t="shared" ca="1" si="1053"/>
        <v/>
      </c>
      <c r="I8873" s="25" t="str">
        <f t="shared" ca="1" si="1054"/>
        <v/>
      </c>
      <c r="J8873" s="26" t="str">
        <f t="shared" si="1055"/>
        <v/>
      </c>
    </row>
    <row r="8874" spans="1:10" x14ac:dyDescent="0.25">
      <c r="A8874" t="s">
        <v>111</v>
      </c>
      <c r="B8874" t="str">
        <f>ADDRESS(ROW(Parcels!B146),COLUMN(Parcels!B146),4)</f>
        <v>B146</v>
      </c>
      <c r="C8874" t="str">
        <f>ADDRESS(ROW(Parcels!D146),COLUMN(Parcels!D146),4)</f>
        <v>D146</v>
      </c>
      <c r="D8874" t="b">
        <f>IF(AND(Parcels!$B$6="Yes",NOT(ISBLANK(Parcels!A146)),ISBLANK(Parcels!B146)),TRUE,FALSE)</f>
        <v>0</v>
      </c>
      <c r="E8874" t="s">
        <v>64</v>
      </c>
      <c r="F8874" t="str">
        <f>INDEX(Lists!I:I,MATCH(Validation!E8874,Lists!G:G,0))</f>
        <v>Error</v>
      </c>
      <c r="G8874" t="str">
        <f>INDEX(Lists!H:H,MATCH(Validation!E8874,Lists!G:G,0))</f>
        <v>You must make a selection from the dropdown list.</v>
      </c>
      <c r="H8874" s="25" t="str">
        <f t="shared" ca="1" si="1053"/>
        <v/>
      </c>
      <c r="I8874" s="25" t="str">
        <f t="shared" ca="1" si="1054"/>
        <v/>
      </c>
      <c r="J8874" s="26" t="str">
        <f t="shared" si="1055"/>
        <v/>
      </c>
    </row>
    <row r="8875" spans="1:10" x14ac:dyDescent="0.25">
      <c r="A8875" t="s">
        <v>111</v>
      </c>
      <c r="B8875" t="str">
        <f>ADDRESS(ROW(Parcels!B147),COLUMN(Parcels!B147),4)</f>
        <v>B147</v>
      </c>
      <c r="C8875" t="str">
        <f>ADDRESS(ROW(Parcels!D147),COLUMN(Parcels!D147),4)</f>
        <v>D147</v>
      </c>
      <c r="D8875" t="b">
        <f>IF(AND(Parcels!$B$6="Yes",NOT(ISBLANK(Parcels!A147)),ISBLANK(Parcels!B147)),TRUE,FALSE)</f>
        <v>0</v>
      </c>
      <c r="E8875" t="s">
        <v>64</v>
      </c>
      <c r="F8875" t="str">
        <f>INDEX(Lists!I:I,MATCH(Validation!E8875,Lists!G:G,0))</f>
        <v>Error</v>
      </c>
      <c r="G8875" t="str">
        <f>INDEX(Lists!H:H,MATCH(Validation!E8875,Lists!G:G,0))</f>
        <v>You must make a selection from the dropdown list.</v>
      </c>
      <c r="H8875" s="25" t="str">
        <f t="shared" ca="1" si="1053"/>
        <v/>
      </c>
      <c r="I8875" s="25" t="str">
        <f t="shared" ca="1" si="1054"/>
        <v/>
      </c>
      <c r="J8875" s="26" t="str">
        <f t="shared" si="1055"/>
        <v/>
      </c>
    </row>
    <row r="8876" spans="1:10" x14ac:dyDescent="0.25">
      <c r="A8876" t="s">
        <v>111</v>
      </c>
      <c r="B8876" t="str">
        <f>ADDRESS(ROW(Parcels!B148),COLUMN(Parcels!B148),4)</f>
        <v>B148</v>
      </c>
      <c r="C8876" t="str">
        <f>ADDRESS(ROW(Parcels!D148),COLUMN(Parcels!D148),4)</f>
        <v>D148</v>
      </c>
      <c r="D8876" t="b">
        <f>IF(AND(Parcels!$B$6="Yes",NOT(ISBLANK(Parcels!A148)),ISBLANK(Parcels!B148)),TRUE,FALSE)</f>
        <v>0</v>
      </c>
      <c r="E8876" t="s">
        <v>64</v>
      </c>
      <c r="F8876" t="str">
        <f>INDEX(Lists!I:I,MATCH(Validation!E8876,Lists!G:G,0))</f>
        <v>Error</v>
      </c>
      <c r="G8876" t="str">
        <f>INDEX(Lists!H:H,MATCH(Validation!E8876,Lists!G:G,0))</f>
        <v>You must make a selection from the dropdown list.</v>
      </c>
      <c r="H8876" s="25" t="str">
        <f t="shared" ca="1" si="1053"/>
        <v/>
      </c>
      <c r="I8876" s="25" t="str">
        <f t="shared" ca="1" si="1054"/>
        <v/>
      </c>
      <c r="J8876" s="26" t="str">
        <f t="shared" si="1055"/>
        <v/>
      </c>
    </row>
    <row r="8877" spans="1:10" x14ac:dyDescent="0.25">
      <c r="A8877" t="s">
        <v>111</v>
      </c>
      <c r="B8877" t="str">
        <f>ADDRESS(ROW(Parcels!B149),COLUMN(Parcels!B149),4)</f>
        <v>B149</v>
      </c>
      <c r="C8877" t="str">
        <f>ADDRESS(ROW(Parcels!D149),COLUMN(Parcels!D149),4)</f>
        <v>D149</v>
      </c>
      <c r="D8877" t="b">
        <f>IF(AND(Parcels!$B$6="Yes",NOT(ISBLANK(Parcels!A149)),ISBLANK(Parcels!B149)),TRUE,FALSE)</f>
        <v>0</v>
      </c>
      <c r="E8877" t="s">
        <v>64</v>
      </c>
      <c r="F8877" t="str">
        <f>INDEX(Lists!I:I,MATCH(Validation!E8877,Lists!G:G,0))</f>
        <v>Error</v>
      </c>
      <c r="G8877" t="str">
        <f>INDEX(Lists!H:H,MATCH(Validation!E8877,Lists!G:G,0))</f>
        <v>You must make a selection from the dropdown list.</v>
      </c>
      <c r="H8877" s="25" t="str">
        <f t="shared" ca="1" si="1053"/>
        <v/>
      </c>
      <c r="I8877" s="25" t="str">
        <f t="shared" ca="1" si="1054"/>
        <v/>
      </c>
      <c r="J8877" s="26" t="str">
        <f t="shared" si="1055"/>
        <v/>
      </c>
    </row>
    <row r="8878" spans="1:10" x14ac:dyDescent="0.25">
      <c r="A8878" t="s">
        <v>111</v>
      </c>
      <c r="B8878" t="str">
        <f>ADDRESS(ROW(Parcels!B150),COLUMN(Parcels!B150),4)</f>
        <v>B150</v>
      </c>
      <c r="C8878" t="str">
        <f>ADDRESS(ROW(Parcels!D150),COLUMN(Parcels!D150),4)</f>
        <v>D150</v>
      </c>
      <c r="D8878" t="b">
        <f>IF(AND(Parcels!$B$6="Yes",NOT(ISBLANK(Parcels!A150)),ISBLANK(Parcels!B150)),TRUE,FALSE)</f>
        <v>0</v>
      </c>
      <c r="E8878" t="s">
        <v>64</v>
      </c>
      <c r="F8878" t="str">
        <f>INDEX(Lists!I:I,MATCH(Validation!E8878,Lists!G:G,0))</f>
        <v>Error</v>
      </c>
      <c r="G8878" t="str">
        <f>INDEX(Lists!H:H,MATCH(Validation!E8878,Lists!G:G,0))</f>
        <v>You must make a selection from the dropdown list.</v>
      </c>
      <c r="H8878" s="25" t="str">
        <f t="shared" ca="1" si="1053"/>
        <v/>
      </c>
      <c r="I8878" s="25" t="str">
        <f t="shared" ca="1" si="1054"/>
        <v/>
      </c>
      <c r="J8878" s="26" t="str">
        <f t="shared" si="1055"/>
        <v/>
      </c>
    </row>
    <row r="8879" spans="1:10" x14ac:dyDescent="0.25">
      <c r="A8879" t="s">
        <v>111</v>
      </c>
      <c r="B8879" t="str">
        <f>ADDRESS(ROW(Parcels!B151),COLUMN(Parcels!B151),4)</f>
        <v>B151</v>
      </c>
      <c r="C8879" t="str">
        <f>ADDRESS(ROW(Parcels!D151),COLUMN(Parcels!D151),4)</f>
        <v>D151</v>
      </c>
      <c r="D8879" t="b">
        <f>IF(AND(Parcels!$B$6="Yes",NOT(ISBLANK(Parcels!A151)),ISBLANK(Parcels!B151)),TRUE,FALSE)</f>
        <v>0</v>
      </c>
      <c r="E8879" t="s">
        <v>64</v>
      </c>
      <c r="F8879" t="str">
        <f>INDEX(Lists!I:I,MATCH(Validation!E8879,Lists!G:G,0))</f>
        <v>Error</v>
      </c>
      <c r="G8879" t="str">
        <f>INDEX(Lists!H:H,MATCH(Validation!E8879,Lists!G:G,0))</f>
        <v>You must make a selection from the dropdown list.</v>
      </c>
      <c r="H8879" s="25" t="str">
        <f t="shared" ca="1" si="1053"/>
        <v/>
      </c>
      <c r="I8879" s="25" t="str">
        <f t="shared" ca="1" si="1054"/>
        <v/>
      </c>
      <c r="J8879" s="26" t="str">
        <f t="shared" si="1055"/>
        <v/>
      </c>
    </row>
    <row r="8880" spans="1:10" x14ac:dyDescent="0.25">
      <c r="A8880" t="s">
        <v>111</v>
      </c>
      <c r="B8880" t="str">
        <f>ADDRESS(ROW(Parcels!B152),COLUMN(Parcels!B152),4)</f>
        <v>B152</v>
      </c>
      <c r="C8880" t="str">
        <f>ADDRESS(ROW(Parcels!D152),COLUMN(Parcels!D152),4)</f>
        <v>D152</v>
      </c>
      <c r="D8880" t="b">
        <f>IF(AND(Parcels!$B$6="Yes",NOT(ISBLANK(Parcels!A152)),ISBLANK(Parcels!B152)),TRUE,FALSE)</f>
        <v>0</v>
      </c>
      <c r="E8880" t="s">
        <v>64</v>
      </c>
      <c r="F8880" t="str">
        <f>INDEX(Lists!I:I,MATCH(Validation!E8880,Lists!G:G,0))</f>
        <v>Error</v>
      </c>
      <c r="G8880" t="str">
        <f>INDEX(Lists!H:H,MATCH(Validation!E8880,Lists!G:G,0))</f>
        <v>You must make a selection from the dropdown list.</v>
      </c>
      <c r="H8880" s="25" t="str">
        <f t="shared" ca="1" si="1053"/>
        <v/>
      </c>
      <c r="I8880" s="25" t="str">
        <f t="shared" ca="1" si="1054"/>
        <v/>
      </c>
      <c r="J8880" s="26" t="str">
        <f t="shared" si="1055"/>
        <v/>
      </c>
    </row>
    <row r="8881" spans="1:10" x14ac:dyDescent="0.25">
      <c r="A8881" t="s">
        <v>111</v>
      </c>
      <c r="B8881" t="str">
        <f>ADDRESS(ROW(Parcels!B153),COLUMN(Parcels!B153),4)</f>
        <v>B153</v>
      </c>
      <c r="C8881" t="str">
        <f>ADDRESS(ROW(Parcels!D153),COLUMN(Parcels!D153),4)</f>
        <v>D153</v>
      </c>
      <c r="D8881" t="b">
        <f>IF(AND(Parcels!$B$6="Yes",NOT(ISBLANK(Parcels!A153)),ISBLANK(Parcels!B153)),TRUE,FALSE)</f>
        <v>0</v>
      </c>
      <c r="E8881" t="s">
        <v>64</v>
      </c>
      <c r="F8881" t="str">
        <f>INDEX(Lists!I:I,MATCH(Validation!E8881,Lists!G:G,0))</f>
        <v>Error</v>
      </c>
      <c r="G8881" t="str">
        <f>INDEX(Lists!H:H,MATCH(Validation!E8881,Lists!G:G,0))</f>
        <v>You must make a selection from the dropdown list.</v>
      </c>
      <c r="H8881" s="25" t="str">
        <f t="shared" ca="1" si="1053"/>
        <v/>
      </c>
      <c r="I8881" s="25" t="str">
        <f t="shared" ca="1" si="1054"/>
        <v/>
      </c>
      <c r="J8881" s="26" t="str">
        <f t="shared" si="1055"/>
        <v/>
      </c>
    </row>
    <row r="8882" spans="1:10" x14ac:dyDescent="0.25">
      <c r="A8882" t="s">
        <v>111</v>
      </c>
      <c r="B8882" t="str">
        <f>ADDRESS(ROW(Parcels!B154),COLUMN(Parcels!B154),4)</f>
        <v>B154</v>
      </c>
      <c r="C8882" t="str">
        <f>ADDRESS(ROW(Parcels!D154),COLUMN(Parcels!D154),4)</f>
        <v>D154</v>
      </c>
      <c r="D8882" t="b">
        <f>IF(AND(Parcels!$B$6="Yes",NOT(ISBLANK(Parcels!A154)),ISBLANK(Parcels!B154)),TRUE,FALSE)</f>
        <v>0</v>
      </c>
      <c r="E8882" t="s">
        <v>64</v>
      </c>
      <c r="F8882" t="str">
        <f>INDEX(Lists!I:I,MATCH(Validation!E8882,Lists!G:G,0))</f>
        <v>Error</v>
      </c>
      <c r="G8882" t="str">
        <f>INDEX(Lists!H:H,MATCH(Validation!E8882,Lists!G:G,0))</f>
        <v>You must make a selection from the dropdown list.</v>
      </c>
      <c r="H8882" s="25" t="str">
        <f t="shared" ca="1" si="1053"/>
        <v/>
      </c>
      <c r="I8882" s="25" t="str">
        <f t="shared" ca="1" si="1054"/>
        <v/>
      </c>
      <c r="J8882" s="26" t="str">
        <f t="shared" si="1055"/>
        <v/>
      </c>
    </row>
    <row r="8883" spans="1:10" x14ac:dyDescent="0.25">
      <c r="A8883" t="s">
        <v>111</v>
      </c>
      <c r="B8883" t="str">
        <f>ADDRESS(ROW(Parcels!B155),COLUMN(Parcels!B155),4)</f>
        <v>B155</v>
      </c>
      <c r="C8883" t="str">
        <f>ADDRESS(ROW(Parcels!D155),COLUMN(Parcels!D155),4)</f>
        <v>D155</v>
      </c>
      <c r="D8883" t="b">
        <f>IF(AND(Parcels!$B$6="Yes",NOT(ISBLANK(Parcels!A155)),ISBLANK(Parcels!B155)),TRUE,FALSE)</f>
        <v>0</v>
      </c>
      <c r="E8883" t="s">
        <v>64</v>
      </c>
      <c r="F8883" t="str">
        <f>INDEX(Lists!I:I,MATCH(Validation!E8883,Lists!G:G,0))</f>
        <v>Error</v>
      </c>
      <c r="G8883" t="str">
        <f>INDEX(Lists!H:H,MATCH(Validation!E8883,Lists!G:G,0))</f>
        <v>You must make a selection from the dropdown list.</v>
      </c>
      <c r="H8883" s="25" t="str">
        <f t="shared" ca="1" si="1053"/>
        <v/>
      </c>
      <c r="I8883" s="25" t="str">
        <f t="shared" ca="1" si="1054"/>
        <v/>
      </c>
      <c r="J8883" s="26" t="str">
        <f t="shared" si="1055"/>
        <v/>
      </c>
    </row>
    <row r="8884" spans="1:10" x14ac:dyDescent="0.25">
      <c r="A8884" t="s">
        <v>111</v>
      </c>
      <c r="B8884" t="str">
        <f>ADDRESS(ROW(Parcels!B156),COLUMN(Parcels!B156),4)</f>
        <v>B156</v>
      </c>
      <c r="C8884" t="str">
        <f>ADDRESS(ROW(Parcels!D156),COLUMN(Parcels!D156),4)</f>
        <v>D156</v>
      </c>
      <c r="D8884" t="b">
        <f>IF(AND(Parcels!$B$6="Yes",NOT(ISBLANK(Parcels!A156)),ISBLANK(Parcels!B156)),TRUE,FALSE)</f>
        <v>0</v>
      </c>
      <c r="E8884" t="s">
        <v>64</v>
      </c>
      <c r="F8884" t="str">
        <f>INDEX(Lists!I:I,MATCH(Validation!E8884,Lists!G:G,0))</f>
        <v>Error</v>
      </c>
      <c r="G8884" t="str">
        <f>INDEX(Lists!H:H,MATCH(Validation!E8884,Lists!G:G,0))</f>
        <v>You must make a selection from the dropdown list.</v>
      </c>
      <c r="H8884" s="25" t="str">
        <f t="shared" ca="1" si="1053"/>
        <v/>
      </c>
      <c r="I8884" s="25" t="str">
        <f t="shared" ca="1" si="1054"/>
        <v/>
      </c>
      <c r="J8884" s="26" t="str">
        <f t="shared" si="1055"/>
        <v/>
      </c>
    </row>
    <row r="8885" spans="1:10" x14ac:dyDescent="0.25">
      <c r="A8885" t="s">
        <v>111</v>
      </c>
      <c r="B8885" t="str">
        <f>ADDRESS(ROW(Parcels!B157),COLUMN(Parcels!B157),4)</f>
        <v>B157</v>
      </c>
      <c r="C8885" t="str">
        <f>ADDRESS(ROW(Parcels!D157),COLUMN(Parcels!D157),4)</f>
        <v>D157</v>
      </c>
      <c r="D8885" t="b">
        <f>IF(AND(Parcels!$B$6="Yes",NOT(ISBLANK(Parcels!A157)),ISBLANK(Parcels!B157)),TRUE,FALSE)</f>
        <v>0</v>
      </c>
      <c r="E8885" t="s">
        <v>64</v>
      </c>
      <c r="F8885" t="str">
        <f>INDEX(Lists!I:I,MATCH(Validation!E8885,Lists!G:G,0))</f>
        <v>Error</v>
      </c>
      <c r="G8885" t="str">
        <f>INDEX(Lists!H:H,MATCH(Validation!E8885,Lists!G:G,0))</f>
        <v>You must make a selection from the dropdown list.</v>
      </c>
      <c r="H8885" s="25" t="str">
        <f t="shared" ca="1" si="1053"/>
        <v/>
      </c>
      <c r="I8885" s="25" t="str">
        <f t="shared" ca="1" si="1054"/>
        <v/>
      </c>
      <c r="J8885" s="26" t="str">
        <f t="shared" si="1055"/>
        <v/>
      </c>
    </row>
    <row r="8886" spans="1:10" x14ac:dyDescent="0.25">
      <c r="A8886" t="s">
        <v>111</v>
      </c>
      <c r="B8886" t="str">
        <f>ADDRESS(ROW(Parcels!B158),COLUMN(Parcels!B158),4)</f>
        <v>B158</v>
      </c>
      <c r="C8886" t="str">
        <f>ADDRESS(ROW(Parcels!D158),COLUMN(Parcels!D158),4)</f>
        <v>D158</v>
      </c>
      <c r="D8886" t="b">
        <f>IF(AND(Parcels!$B$6="Yes",NOT(ISBLANK(Parcels!A158)),ISBLANK(Parcels!B158)),TRUE,FALSE)</f>
        <v>0</v>
      </c>
      <c r="E8886" t="s">
        <v>64</v>
      </c>
      <c r="F8886" t="str">
        <f>INDEX(Lists!I:I,MATCH(Validation!E8886,Lists!G:G,0))</f>
        <v>Error</v>
      </c>
      <c r="G8886" t="str">
        <f>INDEX(Lists!H:H,MATCH(Validation!E8886,Lists!G:G,0))</f>
        <v>You must make a selection from the dropdown list.</v>
      </c>
      <c r="H8886" s="25" t="str">
        <f t="shared" ca="1" si="1053"/>
        <v/>
      </c>
      <c r="I8886" s="25" t="str">
        <f t="shared" ca="1" si="1054"/>
        <v/>
      </c>
      <c r="J8886" s="26" t="str">
        <f t="shared" si="1055"/>
        <v/>
      </c>
    </row>
    <row r="8887" spans="1:10" x14ac:dyDescent="0.25">
      <c r="A8887" t="s">
        <v>111</v>
      </c>
      <c r="B8887" t="str">
        <f>ADDRESS(ROW(Parcels!B159),COLUMN(Parcels!B159),4)</f>
        <v>B159</v>
      </c>
      <c r="C8887" t="str">
        <f>ADDRESS(ROW(Parcels!D159),COLUMN(Parcels!D159),4)</f>
        <v>D159</v>
      </c>
      <c r="D8887" t="b">
        <f>IF(AND(Parcels!$B$6="Yes",NOT(ISBLANK(Parcels!A159)),ISBLANK(Parcels!B159)),TRUE,FALSE)</f>
        <v>0</v>
      </c>
      <c r="E8887" t="s">
        <v>64</v>
      </c>
      <c r="F8887" t="str">
        <f>INDEX(Lists!I:I,MATCH(Validation!E8887,Lists!G:G,0))</f>
        <v>Error</v>
      </c>
      <c r="G8887" t="str">
        <f>INDEX(Lists!H:H,MATCH(Validation!E8887,Lists!G:G,0))</f>
        <v>You must make a selection from the dropdown list.</v>
      </c>
      <c r="H8887" s="25" t="str">
        <f t="shared" ca="1" si="1053"/>
        <v/>
      </c>
      <c r="I8887" s="25" t="str">
        <f t="shared" ca="1" si="1054"/>
        <v/>
      </c>
      <c r="J8887" s="26" t="str">
        <f t="shared" si="1055"/>
        <v/>
      </c>
    </row>
    <row r="8888" spans="1:10" x14ac:dyDescent="0.25">
      <c r="A8888" t="s">
        <v>111</v>
      </c>
      <c r="B8888" t="str">
        <f>ADDRESS(ROW(Parcels!B160),COLUMN(Parcels!B160),4)</f>
        <v>B160</v>
      </c>
      <c r="C8888" t="str">
        <f>ADDRESS(ROW(Parcels!D160),COLUMN(Parcels!D160),4)</f>
        <v>D160</v>
      </c>
      <c r="D8888" t="b">
        <f>IF(AND(Parcels!$B$6="Yes",NOT(ISBLANK(Parcels!A160)),ISBLANK(Parcels!B160)),TRUE,FALSE)</f>
        <v>0</v>
      </c>
      <c r="E8888" t="s">
        <v>64</v>
      </c>
      <c r="F8888" t="str">
        <f>INDEX(Lists!I:I,MATCH(Validation!E8888,Lists!G:G,0))</f>
        <v>Error</v>
      </c>
      <c r="G8888" t="str">
        <f>INDEX(Lists!H:H,MATCH(Validation!E8888,Lists!G:G,0))</f>
        <v>You must make a selection from the dropdown list.</v>
      </c>
      <c r="H8888" s="25" t="str">
        <f t="shared" ca="1" si="1053"/>
        <v/>
      </c>
      <c r="I8888" s="25" t="str">
        <f t="shared" ca="1" si="1054"/>
        <v/>
      </c>
      <c r="J8888" s="26" t="str">
        <f t="shared" si="1055"/>
        <v/>
      </c>
    </row>
    <row r="8889" spans="1:10" x14ac:dyDescent="0.25">
      <c r="A8889" t="s">
        <v>111</v>
      </c>
      <c r="B8889" t="str">
        <f>ADDRESS(ROW(Parcels!B161),COLUMN(Parcels!B161),4)</f>
        <v>B161</v>
      </c>
      <c r="C8889" t="str">
        <f>ADDRESS(ROW(Parcels!D161),COLUMN(Parcels!D161),4)</f>
        <v>D161</v>
      </c>
      <c r="D8889" t="b">
        <f>IF(AND(Parcels!$B$6="Yes",NOT(ISBLANK(Parcels!A161)),ISBLANK(Parcels!B161)),TRUE,FALSE)</f>
        <v>0</v>
      </c>
      <c r="E8889" t="s">
        <v>64</v>
      </c>
      <c r="F8889" t="str">
        <f>INDEX(Lists!I:I,MATCH(Validation!E8889,Lists!G:G,0))</f>
        <v>Error</v>
      </c>
      <c r="G8889" t="str">
        <f>INDEX(Lists!H:H,MATCH(Validation!E8889,Lists!G:G,0))</f>
        <v>You must make a selection from the dropdown list.</v>
      </c>
      <c r="H8889" s="25" t="str">
        <f t="shared" ca="1" si="1053"/>
        <v/>
      </c>
      <c r="I8889" s="25" t="str">
        <f t="shared" ca="1" si="1054"/>
        <v/>
      </c>
      <c r="J8889" s="26" t="str">
        <f t="shared" si="1055"/>
        <v/>
      </c>
    </row>
    <row r="8890" spans="1:10" x14ac:dyDescent="0.25">
      <c r="A8890" t="s">
        <v>111</v>
      </c>
      <c r="B8890" t="str">
        <f>ADDRESS(ROW(Parcels!B162),COLUMN(Parcels!B162),4)</f>
        <v>B162</v>
      </c>
      <c r="C8890" t="str">
        <f>ADDRESS(ROW(Parcels!D162),COLUMN(Parcels!D162),4)</f>
        <v>D162</v>
      </c>
      <c r="D8890" t="b">
        <f>IF(AND(Parcels!$B$6="Yes",NOT(ISBLANK(Parcels!A162)),ISBLANK(Parcels!B162)),TRUE,FALSE)</f>
        <v>0</v>
      </c>
      <c r="E8890" t="s">
        <v>64</v>
      </c>
      <c r="F8890" t="str">
        <f>INDEX(Lists!I:I,MATCH(Validation!E8890,Lists!G:G,0))</f>
        <v>Error</v>
      </c>
      <c r="G8890" t="str">
        <f>INDEX(Lists!H:H,MATCH(Validation!E8890,Lists!G:G,0))</f>
        <v>You must make a selection from the dropdown list.</v>
      </c>
      <c r="H8890" s="25" t="str">
        <f t="shared" ca="1" si="1053"/>
        <v/>
      </c>
      <c r="I8890" s="25" t="str">
        <f t="shared" ca="1" si="1054"/>
        <v/>
      </c>
      <c r="J8890" s="26" t="str">
        <f t="shared" si="1055"/>
        <v/>
      </c>
    </row>
    <row r="8891" spans="1:10" x14ac:dyDescent="0.25">
      <c r="A8891" t="s">
        <v>111</v>
      </c>
      <c r="B8891" t="str">
        <f>ADDRESS(ROW(Parcels!B163),COLUMN(Parcels!B163),4)</f>
        <v>B163</v>
      </c>
      <c r="C8891" t="str">
        <f>ADDRESS(ROW(Parcels!D163),COLUMN(Parcels!D163),4)</f>
        <v>D163</v>
      </c>
      <c r="D8891" t="b">
        <f>IF(AND(Parcels!$B$6="Yes",NOT(ISBLANK(Parcels!A163)),ISBLANK(Parcels!B163)),TRUE,FALSE)</f>
        <v>0</v>
      </c>
      <c r="E8891" t="s">
        <v>64</v>
      </c>
      <c r="F8891" t="str">
        <f>INDEX(Lists!I:I,MATCH(Validation!E8891,Lists!G:G,0))</f>
        <v>Error</v>
      </c>
      <c r="G8891" t="str">
        <f>INDEX(Lists!H:H,MATCH(Validation!E8891,Lists!G:G,0))</f>
        <v>You must make a selection from the dropdown list.</v>
      </c>
      <c r="H8891" s="25" t="str">
        <f t="shared" ca="1" si="1053"/>
        <v/>
      </c>
      <c r="I8891" s="25" t="str">
        <f t="shared" ca="1" si="1054"/>
        <v/>
      </c>
      <c r="J8891" s="26" t="str">
        <f t="shared" si="1055"/>
        <v/>
      </c>
    </row>
    <row r="8892" spans="1:10" x14ac:dyDescent="0.25">
      <c r="A8892" t="s">
        <v>111</v>
      </c>
      <c r="B8892" t="str">
        <f>ADDRESS(ROW(Parcels!B164),COLUMN(Parcels!B164),4)</f>
        <v>B164</v>
      </c>
      <c r="C8892" t="str">
        <f>ADDRESS(ROW(Parcels!D164),COLUMN(Parcels!D164),4)</f>
        <v>D164</v>
      </c>
      <c r="D8892" t="b">
        <f>IF(AND(Parcels!$B$6="Yes",NOT(ISBLANK(Parcels!A164)),ISBLANK(Parcels!B164)),TRUE,FALSE)</f>
        <v>0</v>
      </c>
      <c r="E8892" t="s">
        <v>64</v>
      </c>
      <c r="F8892" t="str">
        <f>INDEX(Lists!I:I,MATCH(Validation!E8892,Lists!G:G,0))</f>
        <v>Error</v>
      </c>
      <c r="G8892" t="str">
        <f>INDEX(Lists!H:H,MATCH(Validation!E8892,Lists!G:G,0))</f>
        <v>You must make a selection from the dropdown list.</v>
      </c>
      <c r="H8892" s="25" t="str">
        <f t="shared" ca="1" si="1053"/>
        <v/>
      </c>
      <c r="I8892" s="25" t="str">
        <f t="shared" ca="1" si="1054"/>
        <v/>
      </c>
      <c r="J8892" s="26" t="str">
        <f t="shared" si="1055"/>
        <v/>
      </c>
    </row>
    <row r="8893" spans="1:10" x14ac:dyDescent="0.25">
      <c r="A8893" t="s">
        <v>111</v>
      </c>
      <c r="B8893" t="str">
        <f>ADDRESS(ROW(Parcels!B165),COLUMN(Parcels!B165),4)</f>
        <v>B165</v>
      </c>
      <c r="C8893" t="str">
        <f>ADDRESS(ROW(Parcels!D165),COLUMN(Parcels!D165),4)</f>
        <v>D165</v>
      </c>
      <c r="D8893" t="b">
        <f>IF(AND(Parcels!$B$6="Yes",NOT(ISBLANK(Parcels!A165)),ISBLANK(Parcels!B165)),TRUE,FALSE)</f>
        <v>0</v>
      </c>
      <c r="E8893" t="s">
        <v>64</v>
      </c>
      <c r="F8893" t="str">
        <f>INDEX(Lists!I:I,MATCH(Validation!E8893,Lists!G:G,0))</f>
        <v>Error</v>
      </c>
      <c r="G8893" t="str">
        <f>INDEX(Lists!H:H,MATCH(Validation!E8893,Lists!G:G,0))</f>
        <v>You must make a selection from the dropdown list.</v>
      </c>
      <c r="H8893" s="25" t="str">
        <f t="shared" ca="1" si="1053"/>
        <v/>
      </c>
      <c r="I8893" s="25" t="str">
        <f t="shared" ca="1" si="1054"/>
        <v/>
      </c>
      <c r="J8893" s="26" t="str">
        <f t="shared" si="1055"/>
        <v/>
      </c>
    </row>
    <row r="8894" spans="1:10" x14ac:dyDescent="0.25">
      <c r="A8894" t="s">
        <v>111</v>
      </c>
      <c r="B8894" t="str">
        <f>ADDRESS(ROW(Parcels!B166),COLUMN(Parcels!B166),4)</f>
        <v>B166</v>
      </c>
      <c r="C8894" t="str">
        <f>ADDRESS(ROW(Parcels!D166),COLUMN(Parcels!D166),4)</f>
        <v>D166</v>
      </c>
      <c r="D8894" t="b">
        <f>IF(AND(Parcels!$B$6="Yes",NOT(ISBLANK(Parcels!A166)),ISBLANK(Parcels!B166)),TRUE,FALSE)</f>
        <v>0</v>
      </c>
      <c r="E8894" t="s">
        <v>64</v>
      </c>
      <c r="F8894" t="str">
        <f>INDEX(Lists!I:I,MATCH(Validation!E8894,Lists!G:G,0))</f>
        <v>Error</v>
      </c>
      <c r="G8894" t="str">
        <f>INDEX(Lists!H:H,MATCH(Validation!E8894,Lists!G:G,0))</f>
        <v>You must make a selection from the dropdown list.</v>
      </c>
      <c r="H8894" s="25" t="str">
        <f t="shared" ca="1" si="1053"/>
        <v/>
      </c>
      <c r="I8894" s="25" t="str">
        <f t="shared" ca="1" si="1054"/>
        <v/>
      </c>
      <c r="J8894" s="26" t="str">
        <f t="shared" si="1055"/>
        <v/>
      </c>
    </row>
    <row r="8895" spans="1:10" x14ac:dyDescent="0.25">
      <c r="A8895" t="s">
        <v>111</v>
      </c>
      <c r="B8895" t="str">
        <f>ADDRESS(ROW(Parcels!B167),COLUMN(Parcels!B167),4)</f>
        <v>B167</v>
      </c>
      <c r="C8895" t="str">
        <f>ADDRESS(ROW(Parcels!D167),COLUMN(Parcels!D167),4)</f>
        <v>D167</v>
      </c>
      <c r="D8895" t="b">
        <f>IF(AND(Parcels!$B$6="Yes",NOT(ISBLANK(Parcels!A167)),ISBLANK(Parcels!B167)),TRUE,FALSE)</f>
        <v>0</v>
      </c>
      <c r="E8895" t="s">
        <v>64</v>
      </c>
      <c r="F8895" t="str">
        <f>INDEX(Lists!I:I,MATCH(Validation!E8895,Lists!G:G,0))</f>
        <v>Error</v>
      </c>
      <c r="G8895" t="str">
        <f>INDEX(Lists!H:H,MATCH(Validation!E8895,Lists!G:G,0))</f>
        <v>You must make a selection from the dropdown list.</v>
      </c>
      <c r="H8895" s="25" t="str">
        <f t="shared" ca="1" si="1053"/>
        <v/>
      </c>
      <c r="I8895" s="25" t="str">
        <f t="shared" ca="1" si="1054"/>
        <v/>
      </c>
      <c r="J8895" s="26" t="str">
        <f t="shared" si="1055"/>
        <v/>
      </c>
    </row>
    <row r="8896" spans="1:10" x14ac:dyDescent="0.25">
      <c r="A8896" t="s">
        <v>111</v>
      </c>
      <c r="B8896" t="str">
        <f>ADDRESS(ROW(Parcels!B168),COLUMN(Parcels!B168),4)</f>
        <v>B168</v>
      </c>
      <c r="C8896" t="str">
        <f>ADDRESS(ROW(Parcels!D168),COLUMN(Parcels!D168),4)</f>
        <v>D168</v>
      </c>
      <c r="D8896" t="b">
        <f>IF(AND(Parcels!$B$6="Yes",NOT(ISBLANK(Parcels!A168)),ISBLANK(Parcels!B168)),TRUE,FALSE)</f>
        <v>0</v>
      </c>
      <c r="E8896" t="s">
        <v>64</v>
      </c>
      <c r="F8896" t="str">
        <f>INDEX(Lists!I:I,MATCH(Validation!E8896,Lists!G:G,0))</f>
        <v>Error</v>
      </c>
      <c r="G8896" t="str">
        <f>INDEX(Lists!H:H,MATCH(Validation!E8896,Lists!G:G,0))</f>
        <v>You must make a selection from the dropdown list.</v>
      </c>
      <c r="H8896" s="25" t="str">
        <f t="shared" ca="1" si="1053"/>
        <v/>
      </c>
      <c r="I8896" s="25" t="str">
        <f t="shared" ca="1" si="1054"/>
        <v/>
      </c>
      <c r="J8896" s="26" t="str">
        <f t="shared" si="1055"/>
        <v/>
      </c>
    </row>
    <row r="8897" spans="1:10" x14ac:dyDescent="0.25">
      <c r="A8897" t="s">
        <v>111</v>
      </c>
      <c r="B8897" t="str">
        <f>ADDRESS(ROW(Parcels!B169),COLUMN(Parcels!B169),4)</f>
        <v>B169</v>
      </c>
      <c r="C8897" t="str">
        <f>ADDRESS(ROW(Parcels!D169),COLUMN(Parcels!D169),4)</f>
        <v>D169</v>
      </c>
      <c r="D8897" t="b">
        <f>IF(AND(Parcels!$B$6="Yes",NOT(ISBLANK(Parcels!A169)),ISBLANK(Parcels!B169)),TRUE,FALSE)</f>
        <v>0</v>
      </c>
      <c r="E8897" t="s">
        <v>64</v>
      </c>
      <c r="F8897" t="str">
        <f>INDEX(Lists!I:I,MATCH(Validation!E8897,Lists!G:G,0))</f>
        <v>Error</v>
      </c>
      <c r="G8897" t="str">
        <f>INDEX(Lists!H:H,MATCH(Validation!E8897,Lists!G:G,0))</f>
        <v>You must make a selection from the dropdown list.</v>
      </c>
      <c r="H8897" s="25" t="str">
        <f t="shared" ca="1" si="1053"/>
        <v/>
      </c>
      <c r="I8897" s="25" t="str">
        <f t="shared" ca="1" si="1054"/>
        <v/>
      </c>
      <c r="J8897" s="26" t="str">
        <f t="shared" si="1055"/>
        <v/>
      </c>
    </row>
    <row r="8898" spans="1:10" x14ac:dyDescent="0.25">
      <c r="A8898" t="s">
        <v>111</v>
      </c>
      <c r="B8898" t="str">
        <f>ADDRESS(ROW(Parcels!B170),COLUMN(Parcels!B170),4)</f>
        <v>B170</v>
      </c>
      <c r="C8898" t="str">
        <f>ADDRESS(ROW(Parcels!D170),COLUMN(Parcels!D170),4)</f>
        <v>D170</v>
      </c>
      <c r="D8898" t="b">
        <f>IF(AND(Parcels!$B$6="Yes",NOT(ISBLANK(Parcels!A170)),ISBLANK(Parcels!B170)),TRUE,FALSE)</f>
        <v>0</v>
      </c>
      <c r="E8898" t="s">
        <v>64</v>
      </c>
      <c r="F8898" t="str">
        <f>INDEX(Lists!I:I,MATCH(Validation!E8898,Lists!G:G,0))</f>
        <v>Error</v>
      </c>
      <c r="G8898" t="str">
        <f>INDEX(Lists!H:H,MATCH(Validation!E8898,Lists!G:G,0))</f>
        <v>You must make a selection from the dropdown list.</v>
      </c>
      <c r="H8898" s="25" t="str">
        <f t="shared" ca="1" si="1053"/>
        <v/>
      </c>
      <c r="I8898" s="25" t="str">
        <f t="shared" ca="1" si="1054"/>
        <v/>
      </c>
      <c r="J8898" s="26" t="str">
        <f t="shared" si="1055"/>
        <v/>
      </c>
    </row>
    <row r="8899" spans="1:10" x14ac:dyDescent="0.25">
      <c r="A8899" t="s">
        <v>111</v>
      </c>
      <c r="B8899" t="str">
        <f>ADDRESS(ROW(Parcels!B171),COLUMN(Parcels!B171),4)</f>
        <v>B171</v>
      </c>
      <c r="C8899" t="str">
        <f>ADDRESS(ROW(Parcels!D171),COLUMN(Parcels!D171),4)</f>
        <v>D171</v>
      </c>
      <c r="D8899" t="b">
        <f>IF(AND(Parcels!$B$6="Yes",NOT(ISBLANK(Parcels!A171)),ISBLANK(Parcels!B171)),TRUE,FALSE)</f>
        <v>0</v>
      </c>
      <c r="E8899" t="s">
        <v>64</v>
      </c>
      <c r="F8899" t="str">
        <f>INDEX(Lists!I:I,MATCH(Validation!E8899,Lists!G:G,0))</f>
        <v>Error</v>
      </c>
      <c r="G8899" t="str">
        <f>INDEX(Lists!H:H,MATCH(Validation!E8899,Lists!G:G,0))</f>
        <v>You must make a selection from the dropdown list.</v>
      </c>
      <c r="H8899" s="25" t="str">
        <f t="shared" ca="1" si="1053"/>
        <v/>
      </c>
      <c r="I8899" s="25" t="str">
        <f t="shared" ca="1" si="1054"/>
        <v/>
      </c>
      <c r="J8899" s="26" t="str">
        <f t="shared" si="1055"/>
        <v/>
      </c>
    </row>
    <row r="8900" spans="1:10" x14ac:dyDescent="0.25">
      <c r="A8900" t="s">
        <v>111</v>
      </c>
      <c r="B8900" t="str">
        <f>ADDRESS(ROW(Parcels!B172),COLUMN(Parcels!B172),4)</f>
        <v>B172</v>
      </c>
      <c r="C8900" t="str">
        <f>ADDRESS(ROW(Parcels!D172),COLUMN(Parcels!D172),4)</f>
        <v>D172</v>
      </c>
      <c r="D8900" t="b">
        <f>IF(AND(Parcels!$B$6="Yes",NOT(ISBLANK(Parcels!A172)),ISBLANK(Parcels!B172)),TRUE,FALSE)</f>
        <v>0</v>
      </c>
      <c r="E8900" t="s">
        <v>64</v>
      </c>
      <c r="F8900" t="str">
        <f>INDEX(Lists!I:I,MATCH(Validation!E8900,Lists!G:G,0))</f>
        <v>Error</v>
      </c>
      <c r="G8900" t="str">
        <f>INDEX(Lists!H:H,MATCH(Validation!E8900,Lists!G:G,0))</f>
        <v>You must make a selection from the dropdown list.</v>
      </c>
      <c r="H8900" s="25" t="str">
        <f t="shared" ca="1" si="1053"/>
        <v/>
      </c>
      <c r="I8900" s="25" t="str">
        <f t="shared" ca="1" si="1054"/>
        <v/>
      </c>
      <c r="J8900" s="26" t="str">
        <f t="shared" si="1055"/>
        <v/>
      </c>
    </row>
    <row r="8901" spans="1:10" x14ac:dyDescent="0.25">
      <c r="A8901" t="s">
        <v>111</v>
      </c>
      <c r="B8901" t="str">
        <f>ADDRESS(ROW(Parcels!B173),COLUMN(Parcels!B173),4)</f>
        <v>B173</v>
      </c>
      <c r="C8901" t="str">
        <f>ADDRESS(ROW(Parcels!D173),COLUMN(Parcels!D173),4)</f>
        <v>D173</v>
      </c>
      <c r="D8901" t="b">
        <f>IF(AND(Parcels!$B$6="Yes",NOT(ISBLANK(Parcels!A173)),ISBLANK(Parcels!B173)),TRUE,FALSE)</f>
        <v>0</v>
      </c>
      <c r="E8901" t="s">
        <v>64</v>
      </c>
      <c r="F8901" t="str">
        <f>INDEX(Lists!I:I,MATCH(Validation!E8901,Lists!G:G,0))</f>
        <v>Error</v>
      </c>
      <c r="G8901" t="str">
        <f>INDEX(Lists!H:H,MATCH(Validation!E8901,Lists!G:G,0))</f>
        <v>You must make a selection from the dropdown list.</v>
      </c>
      <c r="H8901" s="25" t="str">
        <f t="shared" ca="1" si="1053"/>
        <v/>
      </c>
      <c r="I8901" s="25" t="str">
        <f t="shared" ca="1" si="1054"/>
        <v/>
      </c>
      <c r="J8901" s="26" t="str">
        <f t="shared" si="1055"/>
        <v/>
      </c>
    </row>
    <row r="8902" spans="1:10" x14ac:dyDescent="0.25">
      <c r="A8902" t="s">
        <v>111</v>
      </c>
      <c r="B8902" t="str">
        <f>ADDRESS(ROW(Parcels!B174),COLUMN(Parcels!B174),4)</f>
        <v>B174</v>
      </c>
      <c r="C8902" t="str">
        <f>ADDRESS(ROW(Parcels!D174),COLUMN(Parcels!D174),4)</f>
        <v>D174</v>
      </c>
      <c r="D8902" t="b">
        <f>IF(AND(Parcels!$B$6="Yes",NOT(ISBLANK(Parcels!A174)),ISBLANK(Parcels!B174)),TRUE,FALSE)</f>
        <v>0</v>
      </c>
      <c r="E8902" t="s">
        <v>64</v>
      </c>
      <c r="F8902" t="str">
        <f>INDEX(Lists!I:I,MATCH(Validation!E8902,Lists!G:G,0))</f>
        <v>Error</v>
      </c>
      <c r="G8902" t="str">
        <f>INDEX(Lists!H:H,MATCH(Validation!E8902,Lists!G:G,0))</f>
        <v>You must make a selection from the dropdown list.</v>
      </c>
      <c r="H8902" s="25" t="str">
        <f t="shared" ca="1" si="1053"/>
        <v/>
      </c>
      <c r="I8902" s="25" t="str">
        <f t="shared" ca="1" si="1054"/>
        <v/>
      </c>
      <c r="J8902" s="26" t="str">
        <f t="shared" si="1055"/>
        <v/>
      </c>
    </row>
    <row r="8903" spans="1:10" x14ac:dyDescent="0.25">
      <c r="A8903" t="s">
        <v>111</v>
      </c>
      <c r="B8903" t="str">
        <f>ADDRESS(ROW(Parcels!B175),COLUMN(Parcels!B175),4)</f>
        <v>B175</v>
      </c>
      <c r="C8903" t="str">
        <f>ADDRESS(ROW(Parcels!D175),COLUMN(Parcels!D175),4)</f>
        <v>D175</v>
      </c>
      <c r="D8903" t="b">
        <f>IF(AND(Parcels!$B$6="Yes",NOT(ISBLANK(Parcels!A175)),ISBLANK(Parcels!B175)),TRUE,FALSE)</f>
        <v>0</v>
      </c>
      <c r="E8903" t="s">
        <v>64</v>
      </c>
      <c r="F8903" t="str">
        <f>INDEX(Lists!I:I,MATCH(Validation!E8903,Lists!G:G,0))</f>
        <v>Error</v>
      </c>
      <c r="G8903" t="str">
        <f>INDEX(Lists!H:H,MATCH(Validation!E8903,Lists!G:G,0))</f>
        <v>You must make a selection from the dropdown list.</v>
      </c>
      <c r="H8903" s="25" t="str">
        <f t="shared" ca="1" si="1053"/>
        <v/>
      </c>
      <c r="I8903" s="25" t="str">
        <f t="shared" ca="1" si="1054"/>
        <v/>
      </c>
      <c r="J8903" s="26" t="str">
        <f t="shared" si="1055"/>
        <v/>
      </c>
    </row>
    <row r="8904" spans="1:10" x14ac:dyDescent="0.25">
      <c r="A8904" t="s">
        <v>111</v>
      </c>
      <c r="B8904" t="str">
        <f>ADDRESS(ROW(Parcels!B176),COLUMN(Parcels!B176),4)</f>
        <v>B176</v>
      </c>
      <c r="C8904" t="str">
        <f>ADDRESS(ROW(Parcels!D176),COLUMN(Parcels!D176),4)</f>
        <v>D176</v>
      </c>
      <c r="D8904" t="b">
        <f>IF(AND(Parcels!$B$6="Yes",NOT(ISBLANK(Parcels!A176)),ISBLANK(Parcels!B176)),TRUE,FALSE)</f>
        <v>0</v>
      </c>
      <c r="E8904" t="s">
        <v>64</v>
      </c>
      <c r="F8904" t="str">
        <f>INDEX(Lists!I:I,MATCH(Validation!E8904,Lists!G:G,0))</f>
        <v>Error</v>
      </c>
      <c r="G8904" t="str">
        <f>INDEX(Lists!H:H,MATCH(Validation!E8904,Lists!G:G,0))</f>
        <v>You must make a selection from the dropdown list.</v>
      </c>
      <c r="H8904" s="25" t="str">
        <f t="shared" ca="1" si="1053"/>
        <v/>
      </c>
      <c r="I8904" s="25" t="str">
        <f t="shared" ca="1" si="1054"/>
        <v/>
      </c>
      <c r="J8904" s="26" t="str">
        <f t="shared" si="1055"/>
        <v/>
      </c>
    </row>
    <row r="8905" spans="1:10" x14ac:dyDescent="0.25">
      <c r="A8905" t="s">
        <v>111</v>
      </c>
      <c r="B8905" t="str">
        <f>ADDRESS(ROW(Parcels!B177),COLUMN(Parcels!B177),4)</f>
        <v>B177</v>
      </c>
      <c r="C8905" t="str">
        <f>ADDRESS(ROW(Parcels!D177),COLUMN(Parcels!D177),4)</f>
        <v>D177</v>
      </c>
      <c r="D8905" t="b">
        <f>IF(AND(Parcels!$B$6="Yes",NOT(ISBLANK(Parcels!A177)),ISBLANK(Parcels!B177)),TRUE,FALSE)</f>
        <v>0</v>
      </c>
      <c r="E8905" t="s">
        <v>64</v>
      </c>
      <c r="F8905" t="str">
        <f>INDEX(Lists!I:I,MATCH(Validation!E8905,Lists!G:G,0))</f>
        <v>Error</v>
      </c>
      <c r="G8905" t="str">
        <f>INDEX(Lists!H:H,MATCH(Validation!E8905,Lists!G:G,0))</f>
        <v>You must make a selection from the dropdown list.</v>
      </c>
      <c r="H8905" s="25" t="str">
        <f t="shared" ca="1" si="1053"/>
        <v/>
      </c>
      <c r="I8905" s="25" t="str">
        <f t="shared" ca="1" si="1054"/>
        <v/>
      </c>
      <c r="J8905" s="26" t="str">
        <f t="shared" si="1055"/>
        <v/>
      </c>
    </row>
    <row r="8906" spans="1:10" x14ac:dyDescent="0.25">
      <c r="A8906" t="s">
        <v>111</v>
      </c>
      <c r="B8906" t="str">
        <f>ADDRESS(ROW(Parcels!B178),COLUMN(Parcels!B178),4)</f>
        <v>B178</v>
      </c>
      <c r="C8906" t="str">
        <f>ADDRESS(ROW(Parcels!D178),COLUMN(Parcels!D178),4)</f>
        <v>D178</v>
      </c>
      <c r="D8906" t="b">
        <f>IF(AND(Parcels!$B$6="Yes",NOT(ISBLANK(Parcels!A178)),ISBLANK(Parcels!B178)),TRUE,FALSE)</f>
        <v>0</v>
      </c>
      <c r="E8906" t="s">
        <v>64</v>
      </c>
      <c r="F8906" t="str">
        <f>INDEX(Lists!I:I,MATCH(Validation!E8906,Lists!G:G,0))</f>
        <v>Error</v>
      </c>
      <c r="G8906" t="str">
        <f>INDEX(Lists!H:H,MATCH(Validation!E8906,Lists!G:G,0))</f>
        <v>You must make a selection from the dropdown list.</v>
      </c>
      <c r="H8906" s="25" t="str">
        <f t="shared" ca="1" si="1053"/>
        <v/>
      </c>
      <c r="I8906" s="25" t="str">
        <f t="shared" ca="1" si="1054"/>
        <v/>
      </c>
      <c r="J8906" s="26" t="str">
        <f t="shared" si="1055"/>
        <v/>
      </c>
    </row>
    <row r="8907" spans="1:10" x14ac:dyDescent="0.25">
      <c r="A8907" t="s">
        <v>111</v>
      </c>
      <c r="B8907" t="str">
        <f>ADDRESS(ROW(Parcels!B179),COLUMN(Parcels!B179),4)</f>
        <v>B179</v>
      </c>
      <c r="C8907" t="str">
        <f>ADDRESS(ROW(Parcels!D179),COLUMN(Parcels!D179),4)</f>
        <v>D179</v>
      </c>
      <c r="D8907" t="b">
        <f>IF(AND(Parcels!$B$6="Yes",NOT(ISBLANK(Parcels!A179)),ISBLANK(Parcels!B179)),TRUE,FALSE)</f>
        <v>0</v>
      </c>
      <c r="E8907" t="s">
        <v>64</v>
      </c>
      <c r="F8907" t="str">
        <f>INDEX(Lists!I:I,MATCH(Validation!E8907,Lists!G:G,0))</f>
        <v>Error</v>
      </c>
      <c r="G8907" t="str">
        <f>INDEX(Lists!H:H,MATCH(Validation!E8907,Lists!G:G,0))</f>
        <v>You must make a selection from the dropdown list.</v>
      </c>
      <c r="H8907" s="25" t="str">
        <f t="shared" ca="1" si="1053"/>
        <v/>
      </c>
      <c r="I8907" s="25" t="str">
        <f t="shared" ca="1" si="1054"/>
        <v/>
      </c>
      <c r="J8907" s="26" t="str">
        <f t="shared" si="1055"/>
        <v/>
      </c>
    </row>
    <row r="8908" spans="1:10" x14ac:dyDescent="0.25">
      <c r="A8908" t="s">
        <v>111</v>
      </c>
      <c r="B8908" t="str">
        <f>ADDRESS(ROW(Parcels!B180),COLUMN(Parcels!B180),4)</f>
        <v>B180</v>
      </c>
      <c r="C8908" t="str">
        <f>ADDRESS(ROW(Parcels!D180),COLUMN(Parcels!D180),4)</f>
        <v>D180</v>
      </c>
      <c r="D8908" t="b">
        <f>IF(AND(Parcels!$B$6="Yes",NOT(ISBLANK(Parcels!A180)),ISBLANK(Parcels!B180)),TRUE,FALSE)</f>
        <v>0</v>
      </c>
      <c r="E8908" t="s">
        <v>64</v>
      </c>
      <c r="F8908" t="str">
        <f>INDEX(Lists!I:I,MATCH(Validation!E8908,Lists!G:G,0))</f>
        <v>Error</v>
      </c>
      <c r="G8908" t="str">
        <f>INDEX(Lists!H:H,MATCH(Validation!E8908,Lists!G:G,0))</f>
        <v>You must make a selection from the dropdown list.</v>
      </c>
      <c r="H8908" s="25" t="str">
        <f t="shared" ca="1" si="1053"/>
        <v/>
      </c>
      <c r="I8908" s="25" t="str">
        <f t="shared" ca="1" si="1054"/>
        <v/>
      </c>
      <c r="J8908" s="26" t="str">
        <f t="shared" si="1055"/>
        <v/>
      </c>
    </row>
    <row r="8909" spans="1:10" x14ac:dyDescent="0.25">
      <c r="A8909" t="s">
        <v>111</v>
      </c>
      <c r="B8909" t="str">
        <f>ADDRESS(ROW(Parcels!B181),COLUMN(Parcels!B181),4)</f>
        <v>B181</v>
      </c>
      <c r="C8909" t="str">
        <f>ADDRESS(ROW(Parcels!D181),COLUMN(Parcels!D181),4)</f>
        <v>D181</v>
      </c>
      <c r="D8909" t="b">
        <f>IF(AND(Parcels!$B$6="Yes",NOT(ISBLANK(Parcels!A181)),ISBLANK(Parcels!B181)),TRUE,FALSE)</f>
        <v>0</v>
      </c>
      <c r="E8909" t="s">
        <v>64</v>
      </c>
      <c r="F8909" t="str">
        <f>INDEX(Lists!I:I,MATCH(Validation!E8909,Lists!G:G,0))</f>
        <v>Error</v>
      </c>
      <c r="G8909" t="str">
        <f>INDEX(Lists!H:H,MATCH(Validation!E8909,Lists!G:G,0))</f>
        <v>You must make a selection from the dropdown list.</v>
      </c>
      <c r="H8909" s="25" t="str">
        <f t="shared" ca="1" si="1053"/>
        <v/>
      </c>
      <c r="I8909" s="25" t="str">
        <f t="shared" ca="1" si="1054"/>
        <v/>
      </c>
      <c r="J8909" s="26" t="str">
        <f t="shared" si="1055"/>
        <v/>
      </c>
    </row>
    <row r="8910" spans="1:10" x14ac:dyDescent="0.25">
      <c r="A8910" t="s">
        <v>111</v>
      </c>
      <c r="B8910" t="str">
        <f>ADDRESS(ROW(Parcels!B182),COLUMN(Parcels!B182),4)</f>
        <v>B182</v>
      </c>
      <c r="C8910" t="str">
        <f>ADDRESS(ROW(Parcels!D182),COLUMN(Parcels!D182),4)</f>
        <v>D182</v>
      </c>
      <c r="D8910" t="b">
        <f>IF(AND(Parcels!$B$6="Yes",NOT(ISBLANK(Parcels!A182)),ISBLANK(Parcels!B182)),TRUE,FALSE)</f>
        <v>0</v>
      </c>
      <c r="E8910" t="s">
        <v>64</v>
      </c>
      <c r="F8910" t="str">
        <f>INDEX(Lists!I:I,MATCH(Validation!E8910,Lists!G:G,0))</f>
        <v>Error</v>
      </c>
      <c r="G8910" t="str">
        <f>INDEX(Lists!H:H,MATCH(Validation!E8910,Lists!G:G,0))</f>
        <v>You must make a selection from the dropdown list.</v>
      </c>
      <c r="H8910" s="25" t="str">
        <f t="shared" ca="1" si="1053"/>
        <v/>
      </c>
      <c r="I8910" s="25" t="str">
        <f t="shared" ca="1" si="1054"/>
        <v/>
      </c>
      <c r="J8910" s="26" t="str">
        <f t="shared" si="1055"/>
        <v/>
      </c>
    </row>
    <row r="8911" spans="1:10" x14ac:dyDescent="0.25">
      <c r="A8911" t="s">
        <v>111</v>
      </c>
      <c r="B8911" t="str">
        <f>ADDRESS(ROW(Parcels!B183),COLUMN(Parcels!B183),4)</f>
        <v>B183</v>
      </c>
      <c r="C8911" t="str">
        <f>ADDRESS(ROW(Parcels!D183),COLUMN(Parcels!D183),4)</f>
        <v>D183</v>
      </c>
      <c r="D8911" t="b">
        <f>IF(AND(Parcels!$B$6="Yes",NOT(ISBLANK(Parcels!A183)),ISBLANK(Parcels!B183)),TRUE,FALSE)</f>
        <v>0</v>
      </c>
      <c r="E8911" t="s">
        <v>64</v>
      </c>
      <c r="F8911" t="str">
        <f>INDEX(Lists!I:I,MATCH(Validation!E8911,Lists!G:G,0))</f>
        <v>Error</v>
      </c>
      <c r="G8911" t="str">
        <f>INDEX(Lists!H:H,MATCH(Validation!E8911,Lists!G:G,0))</f>
        <v>You must make a selection from the dropdown list.</v>
      </c>
      <c r="H8911" s="25" t="str">
        <f t="shared" ca="1" si="1053"/>
        <v/>
      </c>
      <c r="I8911" s="25" t="str">
        <f t="shared" ca="1" si="1054"/>
        <v/>
      </c>
      <c r="J8911" s="26" t="str">
        <f t="shared" si="1055"/>
        <v/>
      </c>
    </row>
    <row r="8912" spans="1:10" x14ac:dyDescent="0.25">
      <c r="A8912" t="s">
        <v>111</v>
      </c>
      <c r="B8912" t="str">
        <f>ADDRESS(ROW(Parcels!B184),COLUMN(Parcels!B184),4)</f>
        <v>B184</v>
      </c>
      <c r="C8912" t="str">
        <f>ADDRESS(ROW(Parcels!D184),COLUMN(Parcels!D184),4)</f>
        <v>D184</v>
      </c>
      <c r="D8912" t="b">
        <f>IF(AND(Parcels!$B$6="Yes",NOT(ISBLANK(Parcels!A184)),ISBLANK(Parcels!B184)),TRUE,FALSE)</f>
        <v>0</v>
      </c>
      <c r="E8912" t="s">
        <v>64</v>
      </c>
      <c r="F8912" t="str">
        <f>INDEX(Lists!I:I,MATCH(Validation!E8912,Lists!G:G,0))</f>
        <v>Error</v>
      </c>
      <c r="G8912" t="str">
        <f>INDEX(Lists!H:H,MATCH(Validation!E8912,Lists!G:G,0))</f>
        <v>You must make a selection from the dropdown list.</v>
      </c>
      <c r="H8912" s="25" t="str">
        <f t="shared" ca="1" si="1053"/>
        <v/>
      </c>
      <c r="I8912" s="25" t="str">
        <f t="shared" ca="1" si="1054"/>
        <v/>
      </c>
      <c r="J8912" s="26" t="str">
        <f t="shared" si="1055"/>
        <v/>
      </c>
    </row>
    <row r="8913" spans="1:10" x14ac:dyDescent="0.25">
      <c r="A8913" t="s">
        <v>111</v>
      </c>
      <c r="B8913" t="str">
        <f>ADDRESS(ROW(Parcels!B185),COLUMN(Parcels!B185),4)</f>
        <v>B185</v>
      </c>
      <c r="C8913" t="str">
        <f>ADDRESS(ROW(Parcels!D185),COLUMN(Parcels!D185),4)</f>
        <v>D185</v>
      </c>
      <c r="D8913" t="b">
        <f>IF(AND(Parcels!$B$6="Yes",NOT(ISBLANK(Parcels!A185)),ISBLANK(Parcels!B185)),TRUE,FALSE)</f>
        <v>0</v>
      </c>
      <c r="E8913" t="s">
        <v>64</v>
      </c>
      <c r="F8913" t="str">
        <f>INDEX(Lists!I:I,MATCH(Validation!E8913,Lists!G:G,0))</f>
        <v>Error</v>
      </c>
      <c r="G8913" t="str">
        <f>INDEX(Lists!H:H,MATCH(Validation!E8913,Lists!G:G,0))</f>
        <v>You must make a selection from the dropdown list.</v>
      </c>
      <c r="H8913" s="25" t="str">
        <f t="shared" ca="1" si="1053"/>
        <v/>
      </c>
      <c r="I8913" s="25" t="str">
        <f t="shared" ca="1" si="1054"/>
        <v/>
      </c>
      <c r="J8913" s="26" t="str">
        <f t="shared" si="1055"/>
        <v/>
      </c>
    </row>
    <row r="8914" spans="1:10" x14ac:dyDescent="0.25">
      <c r="A8914" t="s">
        <v>111</v>
      </c>
      <c r="B8914" t="str">
        <f>ADDRESS(ROW(Parcels!B186),COLUMN(Parcels!B186),4)</f>
        <v>B186</v>
      </c>
      <c r="C8914" t="str">
        <f>ADDRESS(ROW(Parcels!D186),COLUMN(Parcels!D186),4)</f>
        <v>D186</v>
      </c>
      <c r="D8914" t="b">
        <f>IF(AND(Parcels!$B$6="Yes",NOT(ISBLANK(Parcels!A186)),ISBLANK(Parcels!B186)),TRUE,FALSE)</f>
        <v>0</v>
      </c>
      <c r="E8914" t="s">
        <v>64</v>
      </c>
      <c r="F8914" t="str">
        <f>INDEX(Lists!I:I,MATCH(Validation!E8914,Lists!G:G,0))</f>
        <v>Error</v>
      </c>
      <c r="G8914" t="str">
        <f>INDEX(Lists!H:H,MATCH(Validation!E8914,Lists!G:G,0))</f>
        <v>You must make a selection from the dropdown list.</v>
      </c>
      <c r="H8914" s="25" t="str">
        <f t="shared" ca="1" si="1053"/>
        <v/>
      </c>
      <c r="I8914" s="25" t="str">
        <f t="shared" ca="1" si="1054"/>
        <v/>
      </c>
      <c r="J8914" s="26" t="str">
        <f t="shared" si="1055"/>
        <v/>
      </c>
    </row>
    <row r="8915" spans="1:10" x14ac:dyDescent="0.25">
      <c r="A8915" t="s">
        <v>111</v>
      </c>
      <c r="B8915" t="str">
        <f>ADDRESS(ROW(Parcels!B187),COLUMN(Parcels!B187),4)</f>
        <v>B187</v>
      </c>
      <c r="C8915" t="str">
        <f>ADDRESS(ROW(Parcels!D187),COLUMN(Parcels!D187),4)</f>
        <v>D187</v>
      </c>
      <c r="D8915" t="b">
        <f>IF(AND(Parcels!$B$6="Yes",NOT(ISBLANK(Parcels!A187)),ISBLANK(Parcels!B187)),TRUE,FALSE)</f>
        <v>0</v>
      </c>
      <c r="E8915" t="s">
        <v>64</v>
      </c>
      <c r="F8915" t="str">
        <f>INDEX(Lists!I:I,MATCH(Validation!E8915,Lists!G:G,0))</f>
        <v>Error</v>
      </c>
      <c r="G8915" t="str">
        <f>INDEX(Lists!H:H,MATCH(Validation!E8915,Lists!G:G,0))</f>
        <v>You must make a selection from the dropdown list.</v>
      </c>
      <c r="H8915" s="25" t="str">
        <f t="shared" ca="1" si="1053"/>
        <v/>
      </c>
      <c r="I8915" s="25" t="str">
        <f t="shared" ca="1" si="1054"/>
        <v/>
      </c>
      <c r="J8915" s="26" t="str">
        <f t="shared" si="1055"/>
        <v/>
      </c>
    </row>
    <row r="8916" spans="1:10" x14ac:dyDescent="0.25">
      <c r="A8916" t="s">
        <v>111</v>
      </c>
      <c r="B8916" t="str">
        <f>ADDRESS(ROW(Parcels!B188),COLUMN(Parcels!B188),4)</f>
        <v>B188</v>
      </c>
      <c r="C8916" t="str">
        <f>ADDRESS(ROW(Parcels!D188),COLUMN(Parcels!D188),4)</f>
        <v>D188</v>
      </c>
      <c r="D8916" t="b">
        <f>IF(AND(Parcels!$B$6="Yes",NOT(ISBLANK(Parcels!A188)),ISBLANK(Parcels!B188)),TRUE,FALSE)</f>
        <v>0</v>
      </c>
      <c r="E8916" t="s">
        <v>64</v>
      </c>
      <c r="F8916" t="str">
        <f>INDEX(Lists!I:I,MATCH(Validation!E8916,Lists!G:G,0))</f>
        <v>Error</v>
      </c>
      <c r="G8916" t="str">
        <f>INDEX(Lists!H:H,MATCH(Validation!E8916,Lists!G:G,0))</f>
        <v>You must make a selection from the dropdown list.</v>
      </c>
      <c r="H8916" s="25" t="str">
        <f t="shared" ca="1" si="1053"/>
        <v/>
      </c>
      <c r="I8916" s="25" t="str">
        <f t="shared" ca="1" si="1054"/>
        <v/>
      </c>
      <c r="J8916" s="26" t="str">
        <f t="shared" si="1055"/>
        <v/>
      </c>
    </row>
    <row r="8917" spans="1:10" x14ac:dyDescent="0.25">
      <c r="A8917" t="s">
        <v>111</v>
      </c>
      <c r="B8917" t="str">
        <f>ADDRESS(ROW(Parcels!B189),COLUMN(Parcels!B189),4)</f>
        <v>B189</v>
      </c>
      <c r="C8917" t="str">
        <f>ADDRESS(ROW(Parcels!D189),COLUMN(Parcels!D189),4)</f>
        <v>D189</v>
      </c>
      <c r="D8917" t="b">
        <f>IF(AND(Parcels!$B$6="Yes",NOT(ISBLANK(Parcels!A189)),ISBLANK(Parcels!B189)),TRUE,FALSE)</f>
        <v>0</v>
      </c>
      <c r="E8917" t="s">
        <v>64</v>
      </c>
      <c r="F8917" t="str">
        <f>INDEX(Lists!I:I,MATCH(Validation!E8917,Lists!G:G,0))</f>
        <v>Error</v>
      </c>
      <c r="G8917" t="str">
        <f>INDEX(Lists!H:H,MATCH(Validation!E8917,Lists!G:G,0))</f>
        <v>You must make a selection from the dropdown list.</v>
      </c>
      <c r="H8917" s="25" t="str">
        <f t="shared" ca="1" si="1053"/>
        <v/>
      </c>
      <c r="I8917" s="25" t="str">
        <f t="shared" ca="1" si="1054"/>
        <v/>
      </c>
      <c r="J8917" s="26" t="str">
        <f t="shared" si="1055"/>
        <v/>
      </c>
    </row>
    <row r="8918" spans="1:10" x14ac:dyDescent="0.25">
      <c r="A8918" t="s">
        <v>111</v>
      </c>
      <c r="B8918" t="str">
        <f>ADDRESS(ROW(Parcels!B190),COLUMN(Parcels!B190),4)</f>
        <v>B190</v>
      </c>
      <c r="C8918" t="str">
        <f>ADDRESS(ROW(Parcels!D190),COLUMN(Parcels!D190),4)</f>
        <v>D190</v>
      </c>
      <c r="D8918" t="b">
        <f>IF(AND(Parcels!$B$6="Yes",NOT(ISBLANK(Parcels!A190)),ISBLANK(Parcels!B190)),TRUE,FALSE)</f>
        <v>0</v>
      </c>
      <c r="E8918" t="s">
        <v>64</v>
      </c>
      <c r="F8918" t="str">
        <f>INDEX(Lists!I:I,MATCH(Validation!E8918,Lists!G:G,0))</f>
        <v>Error</v>
      </c>
      <c r="G8918" t="str">
        <f>INDEX(Lists!H:H,MATCH(Validation!E8918,Lists!G:G,0))</f>
        <v>You must make a selection from the dropdown list.</v>
      </c>
      <c r="H8918" s="25" t="str">
        <f t="shared" ca="1" si="1053"/>
        <v/>
      </c>
      <c r="I8918" s="25" t="str">
        <f t="shared" ca="1" si="1054"/>
        <v/>
      </c>
      <c r="J8918" s="26" t="str">
        <f t="shared" si="1055"/>
        <v/>
      </c>
    </row>
    <row r="8919" spans="1:10" x14ac:dyDescent="0.25">
      <c r="A8919" t="s">
        <v>111</v>
      </c>
      <c r="B8919" t="str">
        <f>ADDRESS(ROW(Parcels!B191),COLUMN(Parcels!B191),4)</f>
        <v>B191</v>
      </c>
      <c r="C8919" t="str">
        <f>ADDRESS(ROW(Parcels!D191),COLUMN(Parcels!D191),4)</f>
        <v>D191</v>
      </c>
      <c r="D8919" t="b">
        <f>IF(AND(Parcels!$B$6="Yes",NOT(ISBLANK(Parcels!A191)),ISBLANK(Parcels!B191)),TRUE,FALSE)</f>
        <v>0</v>
      </c>
      <c r="E8919" t="s">
        <v>64</v>
      </c>
      <c r="F8919" t="str">
        <f>INDEX(Lists!I:I,MATCH(Validation!E8919,Lists!G:G,0))</f>
        <v>Error</v>
      </c>
      <c r="G8919" t="str">
        <f>INDEX(Lists!H:H,MATCH(Validation!E8919,Lists!G:G,0))</f>
        <v>You must make a selection from the dropdown list.</v>
      </c>
      <c r="H8919" s="25" t="str">
        <f t="shared" ca="1" si="1053"/>
        <v/>
      </c>
      <c r="I8919" s="25" t="str">
        <f t="shared" ca="1" si="1054"/>
        <v/>
      </c>
      <c r="J8919" s="26" t="str">
        <f t="shared" si="1055"/>
        <v/>
      </c>
    </row>
    <row r="8920" spans="1:10" x14ac:dyDescent="0.25">
      <c r="A8920" t="s">
        <v>111</v>
      </c>
      <c r="B8920" t="str">
        <f>ADDRESS(ROW(Parcels!B192),COLUMN(Parcels!B192),4)</f>
        <v>B192</v>
      </c>
      <c r="C8920" t="str">
        <f>ADDRESS(ROW(Parcels!D192),COLUMN(Parcels!D192),4)</f>
        <v>D192</v>
      </c>
      <c r="D8920" t="b">
        <f>IF(AND(Parcels!$B$6="Yes",NOT(ISBLANK(Parcels!A192)),ISBLANK(Parcels!B192)),TRUE,FALSE)</f>
        <v>0</v>
      </c>
      <c r="E8920" t="s">
        <v>64</v>
      </c>
      <c r="F8920" t="str">
        <f>INDEX(Lists!I:I,MATCH(Validation!E8920,Lists!G:G,0))</f>
        <v>Error</v>
      </c>
      <c r="G8920" t="str">
        <f>INDEX(Lists!H:H,MATCH(Validation!E8920,Lists!G:G,0))</f>
        <v>You must make a selection from the dropdown list.</v>
      </c>
      <c r="H8920" s="25" t="str">
        <f t="shared" ca="1" si="1053"/>
        <v/>
      </c>
      <c r="I8920" s="25" t="str">
        <f t="shared" ca="1" si="1054"/>
        <v/>
      </c>
      <c r="J8920" s="26" t="str">
        <f t="shared" si="1055"/>
        <v/>
      </c>
    </row>
    <row r="8921" spans="1:10" x14ac:dyDescent="0.25">
      <c r="A8921" t="s">
        <v>111</v>
      </c>
      <c r="B8921" t="str">
        <f>ADDRESS(ROW(Parcels!B193),COLUMN(Parcels!B193),4)</f>
        <v>B193</v>
      </c>
      <c r="C8921" t="str">
        <f>ADDRESS(ROW(Parcels!D193),COLUMN(Parcels!D193),4)</f>
        <v>D193</v>
      </c>
      <c r="D8921" t="b">
        <f>IF(AND(Parcels!$B$6="Yes",NOT(ISBLANK(Parcels!A193)),ISBLANK(Parcels!B193)),TRUE,FALSE)</f>
        <v>0</v>
      </c>
      <c r="E8921" t="s">
        <v>64</v>
      </c>
      <c r="F8921" t="str">
        <f>INDEX(Lists!I:I,MATCH(Validation!E8921,Lists!G:G,0))</f>
        <v>Error</v>
      </c>
      <c r="G8921" t="str">
        <f>INDEX(Lists!H:H,MATCH(Validation!E8921,Lists!G:G,0))</f>
        <v>You must make a selection from the dropdown list.</v>
      </c>
      <c r="H8921" s="25" t="str">
        <f t="shared" ca="1" si="1053"/>
        <v/>
      </c>
      <c r="I8921" s="25" t="str">
        <f t="shared" ca="1" si="1054"/>
        <v/>
      </c>
      <c r="J8921" s="26" t="str">
        <f t="shared" si="1055"/>
        <v/>
      </c>
    </row>
    <row r="8922" spans="1:10" x14ac:dyDescent="0.25">
      <c r="A8922" t="s">
        <v>111</v>
      </c>
      <c r="B8922" t="str">
        <f>ADDRESS(ROW(Parcels!B194),COLUMN(Parcels!B194),4)</f>
        <v>B194</v>
      </c>
      <c r="C8922" t="str">
        <f>ADDRESS(ROW(Parcels!D194),COLUMN(Parcels!D194),4)</f>
        <v>D194</v>
      </c>
      <c r="D8922" t="b">
        <f>IF(AND(Parcels!$B$6="Yes",NOT(ISBLANK(Parcels!A194)),ISBLANK(Parcels!B194)),TRUE,FALSE)</f>
        <v>0</v>
      </c>
      <c r="E8922" t="s">
        <v>64</v>
      </c>
      <c r="F8922" t="str">
        <f>INDEX(Lists!I:I,MATCH(Validation!E8922,Lists!G:G,0))</f>
        <v>Error</v>
      </c>
      <c r="G8922" t="str">
        <f>INDEX(Lists!H:H,MATCH(Validation!E8922,Lists!G:G,0))</f>
        <v>You must make a selection from the dropdown list.</v>
      </c>
      <c r="H8922" s="25" t="str">
        <f t="shared" ca="1" si="1053"/>
        <v/>
      </c>
      <c r="I8922" s="25" t="str">
        <f t="shared" ca="1" si="1054"/>
        <v/>
      </c>
      <c r="J8922" s="26" t="str">
        <f t="shared" si="1055"/>
        <v/>
      </c>
    </row>
    <row r="8923" spans="1:10" x14ac:dyDescent="0.25">
      <c r="A8923" t="s">
        <v>111</v>
      </c>
      <c r="B8923" t="str">
        <f>ADDRESS(ROW(Parcels!B195),COLUMN(Parcels!B195),4)</f>
        <v>B195</v>
      </c>
      <c r="C8923" t="str">
        <f>ADDRESS(ROW(Parcels!D195),COLUMN(Parcels!D195),4)</f>
        <v>D195</v>
      </c>
      <c r="D8923" t="b">
        <f>IF(AND(Parcels!$B$6="Yes",NOT(ISBLANK(Parcels!A195)),ISBLANK(Parcels!B195)),TRUE,FALSE)</f>
        <v>0</v>
      </c>
      <c r="E8923" t="s">
        <v>64</v>
      </c>
      <c r="F8923" t="str">
        <f>INDEX(Lists!I:I,MATCH(Validation!E8923,Lists!G:G,0))</f>
        <v>Error</v>
      </c>
      <c r="G8923" t="str">
        <f>INDEX(Lists!H:H,MATCH(Validation!E8923,Lists!G:G,0))</f>
        <v>You must make a selection from the dropdown list.</v>
      </c>
      <c r="H8923" s="25" t="str">
        <f t="shared" ca="1" si="1053"/>
        <v/>
      </c>
      <c r="I8923" s="25" t="str">
        <f t="shared" ca="1" si="1054"/>
        <v/>
      </c>
      <c r="J8923" s="26" t="str">
        <f t="shared" si="1055"/>
        <v/>
      </c>
    </row>
    <row r="8924" spans="1:10" x14ac:dyDescent="0.25">
      <c r="A8924" t="s">
        <v>111</v>
      </c>
      <c r="B8924" t="str">
        <f>ADDRESS(ROW(Parcels!B196),COLUMN(Parcels!B196),4)</f>
        <v>B196</v>
      </c>
      <c r="C8924" t="str">
        <f>ADDRESS(ROW(Parcels!D196),COLUMN(Parcels!D196),4)</f>
        <v>D196</v>
      </c>
      <c r="D8924" t="b">
        <f>IF(AND(Parcels!$B$6="Yes",NOT(ISBLANK(Parcels!A196)),ISBLANK(Parcels!B196)),TRUE,FALSE)</f>
        <v>0</v>
      </c>
      <c r="E8924" t="s">
        <v>64</v>
      </c>
      <c r="F8924" t="str">
        <f>INDEX(Lists!I:I,MATCH(Validation!E8924,Lists!G:G,0))</f>
        <v>Error</v>
      </c>
      <c r="G8924" t="str">
        <f>INDEX(Lists!H:H,MATCH(Validation!E8924,Lists!G:G,0))</f>
        <v>You must make a selection from the dropdown list.</v>
      </c>
      <c r="H8924" s="25" t="str">
        <f t="shared" ca="1" si="1053"/>
        <v/>
      </c>
      <c r="I8924" s="25" t="str">
        <f t="shared" ca="1" si="1054"/>
        <v/>
      </c>
      <c r="J8924" s="26" t="str">
        <f t="shared" si="1055"/>
        <v/>
      </c>
    </row>
    <row r="8925" spans="1:10" x14ac:dyDescent="0.25">
      <c r="A8925" t="s">
        <v>111</v>
      </c>
      <c r="B8925" t="str">
        <f>ADDRESS(ROW(Parcels!B197),COLUMN(Parcels!B197),4)</f>
        <v>B197</v>
      </c>
      <c r="C8925" t="str">
        <f>ADDRESS(ROW(Parcels!D197),COLUMN(Parcels!D197),4)</f>
        <v>D197</v>
      </c>
      <c r="D8925" t="b">
        <f>IF(AND(Parcels!$B$6="Yes",NOT(ISBLANK(Parcels!A197)),ISBLANK(Parcels!B197)),TRUE,FALSE)</f>
        <v>0</v>
      </c>
      <c r="E8925" t="s">
        <v>64</v>
      </c>
      <c r="F8925" t="str">
        <f>INDEX(Lists!I:I,MATCH(Validation!E8925,Lists!G:G,0))</f>
        <v>Error</v>
      </c>
      <c r="G8925" t="str">
        <f>INDEX(Lists!H:H,MATCH(Validation!E8925,Lists!G:G,0))</f>
        <v>You must make a selection from the dropdown list.</v>
      </c>
      <c r="H8925" s="25" t="str">
        <f t="shared" ca="1" si="1053"/>
        <v/>
      </c>
      <c r="I8925" s="25" t="str">
        <f t="shared" ca="1" si="1054"/>
        <v/>
      </c>
      <c r="J8925" s="26" t="str">
        <f t="shared" si="1055"/>
        <v/>
      </c>
    </row>
    <row r="8926" spans="1:10" x14ac:dyDescent="0.25">
      <c r="A8926" t="s">
        <v>111</v>
      </c>
      <c r="B8926" t="str">
        <f>ADDRESS(ROW(Parcels!B198),COLUMN(Parcels!B198),4)</f>
        <v>B198</v>
      </c>
      <c r="C8926" t="str">
        <f>ADDRESS(ROW(Parcels!D198),COLUMN(Parcels!D198),4)</f>
        <v>D198</v>
      </c>
      <c r="D8926" t="b">
        <f>IF(AND(Parcels!$B$6="Yes",NOT(ISBLANK(Parcels!A198)),ISBLANK(Parcels!B198)),TRUE,FALSE)</f>
        <v>0</v>
      </c>
      <c r="E8926" t="s">
        <v>64</v>
      </c>
      <c r="F8926" t="str">
        <f>INDEX(Lists!I:I,MATCH(Validation!E8926,Lists!G:G,0))</f>
        <v>Error</v>
      </c>
      <c r="G8926" t="str">
        <f>INDEX(Lists!H:H,MATCH(Validation!E8926,Lists!G:G,0))</f>
        <v>You must make a selection from the dropdown list.</v>
      </c>
      <c r="H8926" s="25" t="str">
        <f t="shared" ca="1" si="1053"/>
        <v/>
      </c>
      <c r="I8926" s="25" t="str">
        <f t="shared" ca="1" si="1054"/>
        <v/>
      </c>
      <c r="J8926" s="26" t="str">
        <f t="shared" si="1055"/>
        <v/>
      </c>
    </row>
    <row r="8927" spans="1:10" x14ac:dyDescent="0.25">
      <c r="A8927" t="s">
        <v>111</v>
      </c>
      <c r="B8927" t="str">
        <f>ADDRESS(ROW(Parcels!B199),COLUMN(Parcels!B199),4)</f>
        <v>B199</v>
      </c>
      <c r="C8927" t="str">
        <f>ADDRESS(ROW(Parcels!D199),COLUMN(Parcels!D199),4)</f>
        <v>D199</v>
      </c>
      <c r="D8927" t="b">
        <f>IF(AND(Parcels!$B$6="Yes",NOT(ISBLANK(Parcels!A199)),ISBLANK(Parcels!B199)),TRUE,FALSE)</f>
        <v>0</v>
      </c>
      <c r="E8927" t="s">
        <v>64</v>
      </c>
      <c r="F8927" t="str">
        <f>INDEX(Lists!I:I,MATCH(Validation!E8927,Lists!G:G,0))</f>
        <v>Error</v>
      </c>
      <c r="G8927" t="str">
        <f>INDEX(Lists!H:H,MATCH(Validation!E8927,Lists!G:G,0))</f>
        <v>You must make a selection from the dropdown list.</v>
      </c>
      <c r="H8927" s="25" t="str">
        <f t="shared" ca="1" si="1053"/>
        <v/>
      </c>
      <c r="I8927" s="25" t="str">
        <f t="shared" ca="1" si="1054"/>
        <v/>
      </c>
      <c r="J8927" s="26" t="str">
        <f t="shared" si="1055"/>
        <v/>
      </c>
    </row>
    <row r="8928" spans="1:10" x14ac:dyDescent="0.25">
      <c r="A8928" t="s">
        <v>111</v>
      </c>
      <c r="B8928" t="str">
        <f>ADDRESS(ROW(Parcels!B200),COLUMN(Parcels!B200),4)</f>
        <v>B200</v>
      </c>
      <c r="C8928" t="str">
        <f>ADDRESS(ROW(Parcels!D200),COLUMN(Parcels!D200),4)</f>
        <v>D200</v>
      </c>
      <c r="D8928" t="b">
        <f>IF(AND(Parcels!$B$6="Yes",NOT(ISBLANK(Parcels!A200)),ISBLANK(Parcels!B200)),TRUE,FALSE)</f>
        <v>0</v>
      </c>
      <c r="E8928" t="s">
        <v>64</v>
      </c>
      <c r="F8928" t="str">
        <f>INDEX(Lists!I:I,MATCH(Validation!E8928,Lists!G:G,0))</f>
        <v>Error</v>
      </c>
      <c r="G8928" t="str">
        <f>INDEX(Lists!H:H,MATCH(Validation!E8928,Lists!G:G,0))</f>
        <v>You must make a selection from the dropdown list.</v>
      </c>
      <c r="H8928" s="25" t="str">
        <f t="shared" ref="H8928:H8991" ca="1" si="1056">IFERROR(IF(OR(NOT(D8928),F8928&lt;&gt;"Error"),"",A8928&amp;CELL("address",INDIRECT(B8928))),"")</f>
        <v/>
      </c>
      <c r="I8928" s="25" t="str">
        <f t="shared" ref="I8928:I8991" ca="1" si="1057">IFERROR(IF(NOT(D8928),"",A8928&amp;CELL("address",INDIRECT(C8928))),"")</f>
        <v/>
      </c>
      <c r="J8928" s="26" t="str">
        <f t="shared" ref="J8928:J8991" si="1058">IFERROR(IF(NOT(D8928),"",A8928),"")</f>
        <v/>
      </c>
    </row>
    <row r="8929" spans="1:10" x14ac:dyDescent="0.25">
      <c r="A8929" t="s">
        <v>111</v>
      </c>
      <c r="B8929" t="str">
        <f>ADDRESS(ROW(Parcels!B201),COLUMN(Parcels!B201),4)</f>
        <v>B201</v>
      </c>
      <c r="C8929" t="str">
        <f>ADDRESS(ROW(Parcels!D201),COLUMN(Parcels!D201),4)</f>
        <v>D201</v>
      </c>
      <c r="D8929" t="b">
        <f>IF(AND(Parcels!$B$6="Yes",NOT(ISBLANK(Parcels!A201)),ISBLANK(Parcels!B201)),TRUE,FALSE)</f>
        <v>0</v>
      </c>
      <c r="E8929" t="s">
        <v>64</v>
      </c>
      <c r="F8929" t="str">
        <f>INDEX(Lists!I:I,MATCH(Validation!E8929,Lists!G:G,0))</f>
        <v>Error</v>
      </c>
      <c r="G8929" t="str">
        <f>INDEX(Lists!H:H,MATCH(Validation!E8929,Lists!G:G,0))</f>
        <v>You must make a selection from the dropdown list.</v>
      </c>
      <c r="H8929" s="25" t="str">
        <f t="shared" ca="1" si="1056"/>
        <v/>
      </c>
      <c r="I8929" s="25" t="str">
        <f t="shared" ca="1" si="1057"/>
        <v/>
      </c>
      <c r="J8929" s="26" t="str">
        <f t="shared" si="1058"/>
        <v/>
      </c>
    </row>
    <row r="8930" spans="1:10" x14ac:dyDescent="0.25">
      <c r="A8930" t="s">
        <v>111</v>
      </c>
      <c r="B8930" t="str">
        <f>ADDRESS(ROW(Parcels!B202),COLUMN(Parcels!B202),4)</f>
        <v>B202</v>
      </c>
      <c r="C8930" t="str">
        <f>ADDRESS(ROW(Parcels!D202),COLUMN(Parcels!D202),4)</f>
        <v>D202</v>
      </c>
      <c r="D8930" t="b">
        <f>IF(AND(Parcels!$B$6="Yes",NOT(ISBLANK(Parcels!A202)),ISBLANK(Parcels!B202)),TRUE,FALSE)</f>
        <v>0</v>
      </c>
      <c r="E8930" t="s">
        <v>64</v>
      </c>
      <c r="F8930" t="str">
        <f>INDEX(Lists!I:I,MATCH(Validation!E8930,Lists!G:G,0))</f>
        <v>Error</v>
      </c>
      <c r="G8930" t="str">
        <f>INDEX(Lists!H:H,MATCH(Validation!E8930,Lists!G:G,0))</f>
        <v>You must make a selection from the dropdown list.</v>
      </c>
      <c r="H8930" s="25" t="str">
        <f t="shared" ca="1" si="1056"/>
        <v/>
      </c>
      <c r="I8930" s="25" t="str">
        <f t="shared" ca="1" si="1057"/>
        <v/>
      </c>
      <c r="J8930" s="26" t="str">
        <f t="shared" si="1058"/>
        <v/>
      </c>
    </row>
    <row r="8931" spans="1:10" x14ac:dyDescent="0.25">
      <c r="A8931" t="s">
        <v>111</v>
      </c>
      <c r="B8931" t="str">
        <f>ADDRESS(ROW(Parcels!B203),COLUMN(Parcels!B203),4)</f>
        <v>B203</v>
      </c>
      <c r="C8931" t="str">
        <f>ADDRESS(ROW(Parcels!D203),COLUMN(Parcels!D203),4)</f>
        <v>D203</v>
      </c>
      <c r="D8931" t="b">
        <f>IF(AND(Parcels!$B$6="Yes",NOT(ISBLANK(Parcels!A203)),ISBLANK(Parcels!B203)),TRUE,FALSE)</f>
        <v>0</v>
      </c>
      <c r="E8931" t="s">
        <v>64</v>
      </c>
      <c r="F8931" t="str">
        <f>INDEX(Lists!I:I,MATCH(Validation!E8931,Lists!G:G,0))</f>
        <v>Error</v>
      </c>
      <c r="G8931" t="str">
        <f>INDEX(Lists!H:H,MATCH(Validation!E8931,Lists!G:G,0))</f>
        <v>You must make a selection from the dropdown list.</v>
      </c>
      <c r="H8931" s="25" t="str">
        <f t="shared" ca="1" si="1056"/>
        <v/>
      </c>
      <c r="I8931" s="25" t="str">
        <f t="shared" ca="1" si="1057"/>
        <v/>
      </c>
      <c r="J8931" s="26" t="str">
        <f t="shared" si="1058"/>
        <v/>
      </c>
    </row>
    <row r="8932" spans="1:10" x14ac:dyDescent="0.25">
      <c r="A8932" t="s">
        <v>111</v>
      </c>
      <c r="B8932" t="str">
        <f>ADDRESS(ROW(Parcels!B204),COLUMN(Parcels!B204),4)</f>
        <v>B204</v>
      </c>
      <c r="C8932" t="str">
        <f>ADDRESS(ROW(Parcels!D204),COLUMN(Parcels!D204),4)</f>
        <v>D204</v>
      </c>
      <c r="D8932" t="b">
        <f>IF(AND(Parcels!$B$6="Yes",NOT(ISBLANK(Parcels!A204)),ISBLANK(Parcels!B204)),TRUE,FALSE)</f>
        <v>0</v>
      </c>
      <c r="E8932" t="s">
        <v>64</v>
      </c>
      <c r="F8932" t="str">
        <f>INDEX(Lists!I:I,MATCH(Validation!E8932,Lists!G:G,0))</f>
        <v>Error</v>
      </c>
      <c r="G8932" t="str">
        <f>INDEX(Lists!H:H,MATCH(Validation!E8932,Lists!G:G,0))</f>
        <v>You must make a selection from the dropdown list.</v>
      </c>
      <c r="H8932" s="25" t="str">
        <f t="shared" ca="1" si="1056"/>
        <v/>
      </c>
      <c r="I8932" s="25" t="str">
        <f t="shared" ca="1" si="1057"/>
        <v/>
      </c>
      <c r="J8932" s="26" t="str">
        <f t="shared" si="1058"/>
        <v/>
      </c>
    </row>
    <row r="8933" spans="1:10" x14ac:dyDescent="0.25">
      <c r="A8933" t="s">
        <v>111</v>
      </c>
      <c r="B8933" t="str">
        <f>ADDRESS(ROW(Parcels!B205),COLUMN(Parcels!B205),4)</f>
        <v>B205</v>
      </c>
      <c r="C8933" t="str">
        <f>ADDRESS(ROW(Parcels!D205),COLUMN(Parcels!D205),4)</f>
        <v>D205</v>
      </c>
      <c r="D8933" t="b">
        <f>IF(AND(Parcels!$B$6="Yes",NOT(ISBLANK(Parcels!A205)),ISBLANK(Parcels!B205)),TRUE,FALSE)</f>
        <v>0</v>
      </c>
      <c r="E8933" t="s">
        <v>64</v>
      </c>
      <c r="F8933" t="str">
        <f>INDEX(Lists!I:I,MATCH(Validation!E8933,Lists!G:G,0))</f>
        <v>Error</v>
      </c>
      <c r="G8933" t="str">
        <f>INDEX(Lists!H:H,MATCH(Validation!E8933,Lists!G:G,0))</f>
        <v>You must make a selection from the dropdown list.</v>
      </c>
      <c r="H8933" s="25" t="str">
        <f t="shared" ca="1" si="1056"/>
        <v/>
      </c>
      <c r="I8933" s="25" t="str">
        <f t="shared" ca="1" si="1057"/>
        <v/>
      </c>
      <c r="J8933" s="26" t="str">
        <f t="shared" si="1058"/>
        <v/>
      </c>
    </row>
    <row r="8934" spans="1:10" x14ac:dyDescent="0.25">
      <c r="A8934" t="s">
        <v>111</v>
      </c>
      <c r="B8934" t="str">
        <f>ADDRESS(ROW(Parcels!B206),COLUMN(Parcels!B206),4)</f>
        <v>B206</v>
      </c>
      <c r="C8934" t="str">
        <f>ADDRESS(ROW(Parcels!D206),COLUMN(Parcels!D206),4)</f>
        <v>D206</v>
      </c>
      <c r="D8934" t="b">
        <f>IF(AND(Parcels!$B$6="Yes",NOT(ISBLANK(Parcels!A206)),ISBLANK(Parcels!B206)),TRUE,FALSE)</f>
        <v>0</v>
      </c>
      <c r="E8934" t="s">
        <v>64</v>
      </c>
      <c r="F8934" t="str">
        <f>INDEX(Lists!I:I,MATCH(Validation!E8934,Lists!G:G,0))</f>
        <v>Error</v>
      </c>
      <c r="G8934" t="str">
        <f>INDEX(Lists!H:H,MATCH(Validation!E8934,Lists!G:G,0))</f>
        <v>You must make a selection from the dropdown list.</v>
      </c>
      <c r="H8934" s="25" t="str">
        <f t="shared" ca="1" si="1056"/>
        <v/>
      </c>
      <c r="I8934" s="25" t="str">
        <f t="shared" ca="1" si="1057"/>
        <v/>
      </c>
      <c r="J8934" s="26" t="str">
        <f t="shared" si="1058"/>
        <v/>
      </c>
    </row>
    <row r="8935" spans="1:10" x14ac:dyDescent="0.25">
      <c r="A8935" t="s">
        <v>111</v>
      </c>
      <c r="B8935" t="str">
        <f>ADDRESS(ROW(Parcels!B207),COLUMN(Parcels!B207),4)</f>
        <v>B207</v>
      </c>
      <c r="C8935" t="str">
        <f>ADDRESS(ROW(Parcels!D207),COLUMN(Parcels!D207),4)</f>
        <v>D207</v>
      </c>
      <c r="D8935" t="b">
        <f>IF(AND(Parcels!$B$6="Yes",NOT(ISBLANK(Parcels!A207)),ISBLANK(Parcels!B207)),TRUE,FALSE)</f>
        <v>0</v>
      </c>
      <c r="E8935" t="s">
        <v>64</v>
      </c>
      <c r="F8935" t="str">
        <f>INDEX(Lists!I:I,MATCH(Validation!E8935,Lists!G:G,0))</f>
        <v>Error</v>
      </c>
      <c r="G8935" t="str">
        <f>INDEX(Lists!H:H,MATCH(Validation!E8935,Lists!G:G,0))</f>
        <v>You must make a selection from the dropdown list.</v>
      </c>
      <c r="H8935" s="25" t="str">
        <f t="shared" ca="1" si="1056"/>
        <v/>
      </c>
      <c r="I8935" s="25" t="str">
        <f t="shared" ca="1" si="1057"/>
        <v/>
      </c>
      <c r="J8935" s="26" t="str">
        <f t="shared" si="1058"/>
        <v/>
      </c>
    </row>
    <row r="8936" spans="1:10" x14ac:dyDescent="0.25">
      <c r="A8936" t="s">
        <v>111</v>
      </c>
      <c r="B8936" t="str">
        <f>ADDRESS(ROW(Parcels!B208),COLUMN(Parcels!B208),4)</f>
        <v>B208</v>
      </c>
      <c r="C8936" t="str">
        <f>ADDRESS(ROW(Parcels!D208),COLUMN(Parcels!D208),4)</f>
        <v>D208</v>
      </c>
      <c r="D8936" t="b">
        <f>IF(AND(Parcels!$B$6="Yes",NOT(ISBLANK(Parcels!A208)),ISBLANK(Parcels!B208)),TRUE,FALSE)</f>
        <v>0</v>
      </c>
      <c r="E8936" t="s">
        <v>64</v>
      </c>
      <c r="F8936" t="str">
        <f>INDEX(Lists!I:I,MATCH(Validation!E8936,Lists!G:G,0))</f>
        <v>Error</v>
      </c>
      <c r="G8936" t="str">
        <f>INDEX(Lists!H:H,MATCH(Validation!E8936,Lists!G:G,0))</f>
        <v>You must make a selection from the dropdown list.</v>
      </c>
      <c r="H8936" s="25" t="str">
        <f t="shared" ca="1" si="1056"/>
        <v/>
      </c>
      <c r="I8936" s="25" t="str">
        <f t="shared" ca="1" si="1057"/>
        <v/>
      </c>
      <c r="J8936" s="26" t="str">
        <f t="shared" si="1058"/>
        <v/>
      </c>
    </row>
    <row r="8937" spans="1:10" x14ac:dyDescent="0.25">
      <c r="A8937" t="s">
        <v>111</v>
      </c>
      <c r="B8937" t="str">
        <f>ADDRESS(ROW(Parcels!B209),COLUMN(Parcels!B209),4)</f>
        <v>B209</v>
      </c>
      <c r="C8937" t="str">
        <f>ADDRESS(ROW(Parcels!D209),COLUMN(Parcels!D209),4)</f>
        <v>D209</v>
      </c>
      <c r="D8937" t="b">
        <f>IF(AND(Parcels!$B$6="Yes",NOT(ISBLANK(Parcels!A209)),ISBLANK(Parcels!B209)),TRUE,FALSE)</f>
        <v>0</v>
      </c>
      <c r="E8937" t="s">
        <v>64</v>
      </c>
      <c r="F8937" t="str">
        <f>INDEX(Lists!I:I,MATCH(Validation!E8937,Lists!G:G,0))</f>
        <v>Error</v>
      </c>
      <c r="G8937" t="str">
        <f>INDEX(Lists!H:H,MATCH(Validation!E8937,Lists!G:G,0))</f>
        <v>You must make a selection from the dropdown list.</v>
      </c>
      <c r="H8937" s="25" t="str">
        <f t="shared" ca="1" si="1056"/>
        <v/>
      </c>
      <c r="I8937" s="25" t="str">
        <f t="shared" ca="1" si="1057"/>
        <v/>
      </c>
      <c r="J8937" s="26" t="str">
        <f t="shared" si="1058"/>
        <v/>
      </c>
    </row>
    <row r="8938" spans="1:10" x14ac:dyDescent="0.25">
      <c r="A8938" t="s">
        <v>111</v>
      </c>
      <c r="B8938" t="str">
        <f>ADDRESS(ROW(Parcels!B210),COLUMN(Parcels!B210),4)</f>
        <v>B210</v>
      </c>
      <c r="C8938" t="str">
        <f>ADDRESS(ROW(Parcels!D210),COLUMN(Parcels!D210),4)</f>
        <v>D210</v>
      </c>
      <c r="D8938" t="b">
        <f>IF(AND(Parcels!$B$6="Yes",NOT(ISBLANK(Parcels!A210)),ISBLANK(Parcels!B210)),TRUE,FALSE)</f>
        <v>0</v>
      </c>
      <c r="E8938" t="s">
        <v>64</v>
      </c>
      <c r="F8938" t="str">
        <f>INDEX(Lists!I:I,MATCH(Validation!E8938,Lists!G:G,0))</f>
        <v>Error</v>
      </c>
      <c r="G8938" t="str">
        <f>INDEX(Lists!H:H,MATCH(Validation!E8938,Lists!G:G,0))</f>
        <v>You must make a selection from the dropdown list.</v>
      </c>
      <c r="H8938" s="25" t="str">
        <f t="shared" ca="1" si="1056"/>
        <v/>
      </c>
      <c r="I8938" s="25" t="str">
        <f t="shared" ca="1" si="1057"/>
        <v/>
      </c>
      <c r="J8938" s="26" t="str">
        <f t="shared" si="1058"/>
        <v/>
      </c>
    </row>
    <row r="8939" spans="1:10" x14ac:dyDescent="0.25">
      <c r="A8939" t="s">
        <v>111</v>
      </c>
      <c r="B8939" t="str">
        <f>ADDRESS(ROW(Parcels!B211),COLUMN(Parcels!B211),4)</f>
        <v>B211</v>
      </c>
      <c r="C8939" t="str">
        <f>ADDRESS(ROW(Parcels!D211),COLUMN(Parcels!D211),4)</f>
        <v>D211</v>
      </c>
      <c r="D8939" t="b">
        <f>IF(AND(Parcels!$B$6="Yes",NOT(ISBLANK(Parcels!A211)),ISBLANK(Parcels!B211)),TRUE,FALSE)</f>
        <v>0</v>
      </c>
      <c r="E8939" t="s">
        <v>64</v>
      </c>
      <c r="F8939" t="str">
        <f>INDEX(Lists!I:I,MATCH(Validation!E8939,Lists!G:G,0))</f>
        <v>Error</v>
      </c>
      <c r="G8939" t="str">
        <f>INDEX(Lists!H:H,MATCH(Validation!E8939,Lists!G:G,0))</f>
        <v>You must make a selection from the dropdown list.</v>
      </c>
      <c r="H8939" s="25" t="str">
        <f t="shared" ca="1" si="1056"/>
        <v/>
      </c>
      <c r="I8939" s="25" t="str">
        <f t="shared" ca="1" si="1057"/>
        <v/>
      </c>
      <c r="J8939" s="26" t="str">
        <f t="shared" si="1058"/>
        <v/>
      </c>
    </row>
    <row r="8940" spans="1:10" x14ac:dyDescent="0.25">
      <c r="A8940" t="s">
        <v>111</v>
      </c>
      <c r="B8940" t="str">
        <f>ADDRESS(ROW(Parcels!B212),COLUMN(Parcels!B212),4)</f>
        <v>B212</v>
      </c>
      <c r="C8940" t="str">
        <f>ADDRESS(ROW(Parcels!D212),COLUMN(Parcels!D212),4)</f>
        <v>D212</v>
      </c>
      <c r="D8940" t="b">
        <f>IF(AND(Parcels!$B$6="Yes",NOT(ISBLANK(Parcels!A212)),ISBLANK(Parcels!B212)),TRUE,FALSE)</f>
        <v>0</v>
      </c>
      <c r="E8940" t="s">
        <v>64</v>
      </c>
      <c r="F8940" t="str">
        <f>INDEX(Lists!I:I,MATCH(Validation!E8940,Lists!G:G,0))</f>
        <v>Error</v>
      </c>
      <c r="G8940" t="str">
        <f>INDEX(Lists!H:H,MATCH(Validation!E8940,Lists!G:G,0))</f>
        <v>You must make a selection from the dropdown list.</v>
      </c>
      <c r="H8940" s="25" t="str">
        <f t="shared" ca="1" si="1056"/>
        <v/>
      </c>
      <c r="I8940" s="25" t="str">
        <f t="shared" ca="1" si="1057"/>
        <v/>
      </c>
      <c r="J8940" s="26" t="str">
        <f t="shared" si="1058"/>
        <v/>
      </c>
    </row>
    <row r="8941" spans="1:10" x14ac:dyDescent="0.25">
      <c r="A8941" t="s">
        <v>111</v>
      </c>
      <c r="B8941" t="str">
        <f>ADDRESS(ROW(Parcels!B213),COLUMN(Parcels!B213),4)</f>
        <v>B213</v>
      </c>
      <c r="C8941" t="str">
        <f>ADDRESS(ROW(Parcels!D213),COLUMN(Parcels!D213),4)</f>
        <v>D213</v>
      </c>
      <c r="D8941" t="b">
        <f>IF(AND(Parcels!$B$6="Yes",NOT(ISBLANK(Parcels!A213)),ISBLANK(Parcels!B213)),TRUE,FALSE)</f>
        <v>0</v>
      </c>
      <c r="E8941" t="s">
        <v>64</v>
      </c>
      <c r="F8941" t="str">
        <f>INDEX(Lists!I:I,MATCH(Validation!E8941,Lists!G:G,0))</f>
        <v>Error</v>
      </c>
      <c r="G8941" t="str">
        <f>INDEX(Lists!H:H,MATCH(Validation!E8941,Lists!G:G,0))</f>
        <v>You must make a selection from the dropdown list.</v>
      </c>
      <c r="H8941" s="25" t="str">
        <f t="shared" ca="1" si="1056"/>
        <v/>
      </c>
      <c r="I8941" s="25" t="str">
        <f t="shared" ca="1" si="1057"/>
        <v/>
      </c>
      <c r="J8941" s="26" t="str">
        <f t="shared" si="1058"/>
        <v/>
      </c>
    </row>
    <row r="8942" spans="1:10" x14ac:dyDescent="0.25">
      <c r="A8942" t="s">
        <v>111</v>
      </c>
      <c r="B8942" t="str">
        <f>ADDRESS(ROW(Parcels!B214),COLUMN(Parcels!B214),4)</f>
        <v>B214</v>
      </c>
      <c r="C8942" t="str">
        <f>ADDRESS(ROW(Parcels!D214),COLUMN(Parcels!D214),4)</f>
        <v>D214</v>
      </c>
      <c r="D8942" t="b">
        <f>IF(AND(Parcels!$B$6="Yes",NOT(ISBLANK(Parcels!A214)),ISBLANK(Parcels!B214)),TRUE,FALSE)</f>
        <v>0</v>
      </c>
      <c r="E8942" t="s">
        <v>64</v>
      </c>
      <c r="F8942" t="str">
        <f>INDEX(Lists!I:I,MATCH(Validation!E8942,Lists!G:G,0))</f>
        <v>Error</v>
      </c>
      <c r="G8942" t="str">
        <f>INDEX(Lists!H:H,MATCH(Validation!E8942,Lists!G:G,0))</f>
        <v>You must make a selection from the dropdown list.</v>
      </c>
      <c r="H8942" s="25" t="str">
        <f t="shared" ca="1" si="1056"/>
        <v/>
      </c>
      <c r="I8942" s="25" t="str">
        <f t="shared" ca="1" si="1057"/>
        <v/>
      </c>
      <c r="J8942" s="26" t="str">
        <f t="shared" si="1058"/>
        <v/>
      </c>
    </row>
    <row r="8943" spans="1:10" x14ac:dyDescent="0.25">
      <c r="A8943" t="s">
        <v>111</v>
      </c>
      <c r="B8943" t="str">
        <f>ADDRESS(ROW(Parcels!B215),COLUMN(Parcels!B215),4)</f>
        <v>B215</v>
      </c>
      <c r="C8943" t="str">
        <f>ADDRESS(ROW(Parcels!D215),COLUMN(Parcels!D215),4)</f>
        <v>D215</v>
      </c>
      <c r="D8943" t="b">
        <f>IF(AND(Parcels!$B$6="Yes",NOT(ISBLANK(Parcels!A215)),ISBLANK(Parcels!B215)),TRUE,FALSE)</f>
        <v>0</v>
      </c>
      <c r="E8943" t="s">
        <v>64</v>
      </c>
      <c r="F8943" t="str">
        <f>INDEX(Lists!I:I,MATCH(Validation!E8943,Lists!G:G,0))</f>
        <v>Error</v>
      </c>
      <c r="G8943" t="str">
        <f>INDEX(Lists!H:H,MATCH(Validation!E8943,Lists!G:G,0))</f>
        <v>You must make a selection from the dropdown list.</v>
      </c>
      <c r="H8943" s="25" t="str">
        <f t="shared" ca="1" si="1056"/>
        <v/>
      </c>
      <c r="I8943" s="25" t="str">
        <f t="shared" ca="1" si="1057"/>
        <v/>
      </c>
      <c r="J8943" s="26" t="str">
        <f t="shared" si="1058"/>
        <v/>
      </c>
    </row>
    <row r="8944" spans="1:10" x14ac:dyDescent="0.25">
      <c r="A8944" t="s">
        <v>111</v>
      </c>
      <c r="B8944" t="str">
        <f>ADDRESS(ROW(Parcels!B216),COLUMN(Parcels!B216),4)</f>
        <v>B216</v>
      </c>
      <c r="C8944" t="str">
        <f>ADDRESS(ROW(Parcels!D216),COLUMN(Parcels!D216),4)</f>
        <v>D216</v>
      </c>
      <c r="D8944" t="b">
        <f>IF(AND(Parcels!$B$6="Yes",NOT(ISBLANK(Parcels!A216)),ISBLANK(Parcels!B216)),TRUE,FALSE)</f>
        <v>0</v>
      </c>
      <c r="E8944" t="s">
        <v>64</v>
      </c>
      <c r="F8944" t="str">
        <f>INDEX(Lists!I:I,MATCH(Validation!E8944,Lists!G:G,0))</f>
        <v>Error</v>
      </c>
      <c r="G8944" t="str">
        <f>INDEX(Lists!H:H,MATCH(Validation!E8944,Lists!G:G,0))</f>
        <v>You must make a selection from the dropdown list.</v>
      </c>
      <c r="H8944" s="25" t="str">
        <f t="shared" ca="1" si="1056"/>
        <v/>
      </c>
      <c r="I8944" s="25" t="str">
        <f t="shared" ca="1" si="1057"/>
        <v/>
      </c>
      <c r="J8944" s="26" t="str">
        <f t="shared" si="1058"/>
        <v/>
      </c>
    </row>
    <row r="8945" spans="1:10" x14ac:dyDescent="0.25">
      <c r="A8945" t="s">
        <v>111</v>
      </c>
      <c r="B8945" t="str">
        <f>ADDRESS(ROW(Parcels!B217),COLUMN(Parcels!B217),4)</f>
        <v>B217</v>
      </c>
      <c r="C8945" t="str">
        <f>ADDRESS(ROW(Parcels!D217),COLUMN(Parcels!D217),4)</f>
        <v>D217</v>
      </c>
      <c r="D8945" t="b">
        <f>IF(AND(Parcels!$B$6="Yes",NOT(ISBLANK(Parcels!A217)),ISBLANK(Parcels!B217)),TRUE,FALSE)</f>
        <v>0</v>
      </c>
      <c r="E8945" t="s">
        <v>64</v>
      </c>
      <c r="F8945" t="str">
        <f>INDEX(Lists!I:I,MATCH(Validation!E8945,Lists!G:G,0))</f>
        <v>Error</v>
      </c>
      <c r="G8945" t="str">
        <f>INDEX(Lists!H:H,MATCH(Validation!E8945,Lists!G:G,0))</f>
        <v>You must make a selection from the dropdown list.</v>
      </c>
      <c r="H8945" s="25" t="str">
        <f t="shared" ca="1" si="1056"/>
        <v/>
      </c>
      <c r="I8945" s="25" t="str">
        <f t="shared" ca="1" si="1057"/>
        <v/>
      </c>
      <c r="J8945" s="26" t="str">
        <f t="shared" si="1058"/>
        <v/>
      </c>
    </row>
    <row r="8946" spans="1:10" x14ac:dyDescent="0.25">
      <c r="A8946" t="s">
        <v>111</v>
      </c>
      <c r="B8946" t="str">
        <f>ADDRESS(ROW(Parcels!B218),COLUMN(Parcels!B218),4)</f>
        <v>B218</v>
      </c>
      <c r="C8946" t="str">
        <f>ADDRESS(ROW(Parcels!D218),COLUMN(Parcels!D218),4)</f>
        <v>D218</v>
      </c>
      <c r="D8946" t="b">
        <f>IF(AND(Parcels!$B$6="Yes",NOT(ISBLANK(Parcels!A218)),ISBLANK(Parcels!B218)),TRUE,FALSE)</f>
        <v>0</v>
      </c>
      <c r="E8946" t="s">
        <v>64</v>
      </c>
      <c r="F8946" t="str">
        <f>INDEX(Lists!I:I,MATCH(Validation!E8946,Lists!G:G,0))</f>
        <v>Error</v>
      </c>
      <c r="G8946" t="str">
        <f>INDEX(Lists!H:H,MATCH(Validation!E8946,Lists!G:G,0))</f>
        <v>You must make a selection from the dropdown list.</v>
      </c>
      <c r="H8946" s="25" t="str">
        <f t="shared" ca="1" si="1056"/>
        <v/>
      </c>
      <c r="I8946" s="25" t="str">
        <f t="shared" ca="1" si="1057"/>
        <v/>
      </c>
      <c r="J8946" s="26" t="str">
        <f t="shared" si="1058"/>
        <v/>
      </c>
    </row>
    <row r="8947" spans="1:10" x14ac:dyDescent="0.25">
      <c r="A8947" t="s">
        <v>111</v>
      </c>
      <c r="B8947" t="str">
        <f>ADDRESS(ROW(Parcels!B219),COLUMN(Parcels!B219),4)</f>
        <v>B219</v>
      </c>
      <c r="C8947" t="str">
        <f>ADDRESS(ROW(Parcels!D219),COLUMN(Parcels!D219),4)</f>
        <v>D219</v>
      </c>
      <c r="D8947" t="b">
        <f>IF(AND(Parcels!$B$6="Yes",NOT(ISBLANK(Parcels!A219)),ISBLANK(Parcels!B219)),TRUE,FALSE)</f>
        <v>0</v>
      </c>
      <c r="E8947" t="s">
        <v>64</v>
      </c>
      <c r="F8947" t="str">
        <f>INDEX(Lists!I:I,MATCH(Validation!E8947,Lists!G:G,0))</f>
        <v>Error</v>
      </c>
      <c r="G8947" t="str">
        <f>INDEX(Lists!H:H,MATCH(Validation!E8947,Lists!G:G,0))</f>
        <v>You must make a selection from the dropdown list.</v>
      </c>
      <c r="H8947" s="25" t="str">
        <f t="shared" ca="1" si="1056"/>
        <v/>
      </c>
      <c r="I8947" s="25" t="str">
        <f t="shared" ca="1" si="1057"/>
        <v/>
      </c>
      <c r="J8947" s="26" t="str">
        <f t="shared" si="1058"/>
        <v/>
      </c>
    </row>
    <row r="8948" spans="1:10" x14ac:dyDescent="0.25">
      <c r="A8948" t="s">
        <v>111</v>
      </c>
      <c r="B8948" t="str">
        <f>ADDRESS(ROW(Parcels!B220),COLUMN(Parcels!B220),4)</f>
        <v>B220</v>
      </c>
      <c r="C8948" t="str">
        <f>ADDRESS(ROW(Parcels!D220),COLUMN(Parcels!D220),4)</f>
        <v>D220</v>
      </c>
      <c r="D8948" t="b">
        <f>IF(AND(Parcels!$B$6="Yes",NOT(ISBLANK(Parcels!A220)),ISBLANK(Parcels!B220)),TRUE,FALSE)</f>
        <v>0</v>
      </c>
      <c r="E8948" t="s">
        <v>64</v>
      </c>
      <c r="F8948" t="str">
        <f>INDEX(Lists!I:I,MATCH(Validation!E8948,Lists!G:G,0))</f>
        <v>Error</v>
      </c>
      <c r="G8948" t="str">
        <f>INDEX(Lists!H:H,MATCH(Validation!E8948,Lists!G:G,0))</f>
        <v>You must make a selection from the dropdown list.</v>
      </c>
      <c r="H8948" s="25" t="str">
        <f t="shared" ca="1" si="1056"/>
        <v/>
      </c>
      <c r="I8948" s="25" t="str">
        <f t="shared" ca="1" si="1057"/>
        <v/>
      </c>
      <c r="J8948" s="26" t="str">
        <f t="shared" si="1058"/>
        <v/>
      </c>
    </row>
    <row r="8949" spans="1:10" x14ac:dyDescent="0.25">
      <c r="A8949" t="s">
        <v>111</v>
      </c>
      <c r="B8949" t="str">
        <f>ADDRESS(ROW(Parcels!B221),COLUMN(Parcels!B221),4)</f>
        <v>B221</v>
      </c>
      <c r="C8949" t="str">
        <f>ADDRESS(ROW(Parcels!D221),COLUMN(Parcels!D221),4)</f>
        <v>D221</v>
      </c>
      <c r="D8949" t="b">
        <f>IF(AND(Parcels!$B$6="Yes",NOT(ISBLANK(Parcels!A221)),ISBLANK(Parcels!B221)),TRUE,FALSE)</f>
        <v>0</v>
      </c>
      <c r="E8949" t="s">
        <v>64</v>
      </c>
      <c r="F8949" t="str">
        <f>INDEX(Lists!I:I,MATCH(Validation!E8949,Lists!G:G,0))</f>
        <v>Error</v>
      </c>
      <c r="G8949" t="str">
        <f>INDEX(Lists!H:H,MATCH(Validation!E8949,Lists!G:G,0))</f>
        <v>You must make a selection from the dropdown list.</v>
      </c>
      <c r="H8949" s="25" t="str">
        <f t="shared" ca="1" si="1056"/>
        <v/>
      </c>
      <c r="I8949" s="25" t="str">
        <f t="shared" ca="1" si="1057"/>
        <v/>
      </c>
      <c r="J8949" s="26" t="str">
        <f t="shared" si="1058"/>
        <v/>
      </c>
    </row>
    <row r="8950" spans="1:10" x14ac:dyDescent="0.25">
      <c r="A8950" t="s">
        <v>111</v>
      </c>
      <c r="B8950" t="str">
        <f>ADDRESS(ROW(Parcels!B222),COLUMN(Parcels!B222),4)</f>
        <v>B222</v>
      </c>
      <c r="C8950" t="str">
        <f>ADDRESS(ROW(Parcels!D222),COLUMN(Parcels!D222),4)</f>
        <v>D222</v>
      </c>
      <c r="D8950" t="b">
        <f>IF(AND(Parcels!$B$6="Yes",NOT(ISBLANK(Parcels!A222)),ISBLANK(Parcels!B222)),TRUE,FALSE)</f>
        <v>0</v>
      </c>
      <c r="E8950" t="s">
        <v>64</v>
      </c>
      <c r="F8950" t="str">
        <f>INDEX(Lists!I:I,MATCH(Validation!E8950,Lists!G:G,0))</f>
        <v>Error</v>
      </c>
      <c r="G8950" t="str">
        <f>INDEX(Lists!H:H,MATCH(Validation!E8950,Lists!G:G,0))</f>
        <v>You must make a selection from the dropdown list.</v>
      </c>
      <c r="H8950" s="25" t="str">
        <f t="shared" ca="1" si="1056"/>
        <v/>
      </c>
      <c r="I8950" s="25" t="str">
        <f t="shared" ca="1" si="1057"/>
        <v/>
      </c>
      <c r="J8950" s="26" t="str">
        <f t="shared" si="1058"/>
        <v/>
      </c>
    </row>
    <row r="8951" spans="1:10" x14ac:dyDescent="0.25">
      <c r="A8951" t="s">
        <v>111</v>
      </c>
      <c r="B8951" t="str">
        <f>ADDRESS(ROW(Parcels!B223),COLUMN(Parcels!B223),4)</f>
        <v>B223</v>
      </c>
      <c r="C8951" t="str">
        <f>ADDRESS(ROW(Parcels!D223),COLUMN(Parcels!D223),4)</f>
        <v>D223</v>
      </c>
      <c r="D8951" t="b">
        <f>IF(AND(Parcels!$B$6="Yes",NOT(ISBLANK(Parcels!A223)),ISBLANK(Parcels!B223)),TRUE,FALSE)</f>
        <v>0</v>
      </c>
      <c r="E8951" t="s">
        <v>64</v>
      </c>
      <c r="F8951" t="str">
        <f>INDEX(Lists!I:I,MATCH(Validation!E8951,Lists!G:G,0))</f>
        <v>Error</v>
      </c>
      <c r="G8951" t="str">
        <f>INDEX(Lists!H:H,MATCH(Validation!E8951,Lists!G:G,0))</f>
        <v>You must make a selection from the dropdown list.</v>
      </c>
      <c r="H8951" s="25" t="str">
        <f t="shared" ca="1" si="1056"/>
        <v/>
      </c>
      <c r="I8951" s="25" t="str">
        <f t="shared" ca="1" si="1057"/>
        <v/>
      </c>
      <c r="J8951" s="26" t="str">
        <f t="shared" si="1058"/>
        <v/>
      </c>
    </row>
    <row r="8952" spans="1:10" x14ac:dyDescent="0.25">
      <c r="A8952" t="s">
        <v>111</v>
      </c>
      <c r="B8952" t="str">
        <f>ADDRESS(ROW(Parcels!B224),COLUMN(Parcels!B224),4)</f>
        <v>B224</v>
      </c>
      <c r="C8952" t="str">
        <f>ADDRESS(ROW(Parcels!D224),COLUMN(Parcels!D224),4)</f>
        <v>D224</v>
      </c>
      <c r="D8952" t="b">
        <f>IF(AND(Parcels!$B$6="Yes",NOT(ISBLANK(Parcels!A224)),ISBLANK(Parcels!B224)),TRUE,FALSE)</f>
        <v>0</v>
      </c>
      <c r="E8952" t="s">
        <v>64</v>
      </c>
      <c r="F8952" t="str">
        <f>INDEX(Lists!I:I,MATCH(Validation!E8952,Lists!G:G,0))</f>
        <v>Error</v>
      </c>
      <c r="G8952" t="str">
        <f>INDEX(Lists!H:H,MATCH(Validation!E8952,Lists!G:G,0))</f>
        <v>You must make a selection from the dropdown list.</v>
      </c>
      <c r="H8952" s="25" t="str">
        <f t="shared" ca="1" si="1056"/>
        <v/>
      </c>
      <c r="I8952" s="25" t="str">
        <f t="shared" ca="1" si="1057"/>
        <v/>
      </c>
      <c r="J8952" s="26" t="str">
        <f t="shared" si="1058"/>
        <v/>
      </c>
    </row>
    <row r="8953" spans="1:10" x14ac:dyDescent="0.25">
      <c r="A8953" t="s">
        <v>111</v>
      </c>
      <c r="B8953" t="str">
        <f>ADDRESS(ROW(Parcels!B225),COLUMN(Parcels!B225),4)</f>
        <v>B225</v>
      </c>
      <c r="C8953" t="str">
        <f>ADDRESS(ROW(Parcels!D225),COLUMN(Parcels!D225),4)</f>
        <v>D225</v>
      </c>
      <c r="D8953" t="b">
        <f>IF(AND(Parcels!$B$6="Yes",NOT(ISBLANK(Parcels!A225)),ISBLANK(Parcels!B225)),TRUE,FALSE)</f>
        <v>0</v>
      </c>
      <c r="E8953" t="s">
        <v>64</v>
      </c>
      <c r="F8953" t="str">
        <f>INDEX(Lists!I:I,MATCH(Validation!E8953,Lists!G:G,0))</f>
        <v>Error</v>
      </c>
      <c r="G8953" t="str">
        <f>INDEX(Lists!H:H,MATCH(Validation!E8953,Lists!G:G,0))</f>
        <v>You must make a selection from the dropdown list.</v>
      </c>
      <c r="H8953" s="25" t="str">
        <f t="shared" ca="1" si="1056"/>
        <v/>
      </c>
      <c r="I8953" s="25" t="str">
        <f t="shared" ca="1" si="1057"/>
        <v/>
      </c>
      <c r="J8953" s="26" t="str">
        <f t="shared" si="1058"/>
        <v/>
      </c>
    </row>
    <row r="8954" spans="1:10" x14ac:dyDescent="0.25">
      <c r="A8954" t="s">
        <v>111</v>
      </c>
      <c r="B8954" t="str">
        <f>ADDRESS(ROW(Parcels!B226),COLUMN(Parcels!B226),4)</f>
        <v>B226</v>
      </c>
      <c r="C8954" t="str">
        <f>ADDRESS(ROW(Parcels!D226),COLUMN(Parcels!D226),4)</f>
        <v>D226</v>
      </c>
      <c r="D8954" t="b">
        <f>IF(AND(Parcels!$B$6="Yes",NOT(ISBLANK(Parcels!A226)),ISBLANK(Parcels!B226)),TRUE,FALSE)</f>
        <v>0</v>
      </c>
      <c r="E8954" t="s">
        <v>64</v>
      </c>
      <c r="F8954" t="str">
        <f>INDEX(Lists!I:I,MATCH(Validation!E8954,Lists!G:G,0))</f>
        <v>Error</v>
      </c>
      <c r="G8954" t="str">
        <f>INDEX(Lists!H:H,MATCH(Validation!E8954,Lists!G:G,0))</f>
        <v>You must make a selection from the dropdown list.</v>
      </c>
      <c r="H8954" s="25" t="str">
        <f t="shared" ca="1" si="1056"/>
        <v/>
      </c>
      <c r="I8954" s="25" t="str">
        <f t="shared" ca="1" si="1057"/>
        <v/>
      </c>
      <c r="J8954" s="26" t="str">
        <f t="shared" si="1058"/>
        <v/>
      </c>
    </row>
    <row r="8955" spans="1:10" x14ac:dyDescent="0.25">
      <c r="A8955" t="s">
        <v>111</v>
      </c>
      <c r="B8955" t="str">
        <f>ADDRESS(ROW(Parcels!B227),COLUMN(Parcels!B227),4)</f>
        <v>B227</v>
      </c>
      <c r="C8955" t="str">
        <f>ADDRESS(ROW(Parcels!D227),COLUMN(Parcels!D227),4)</f>
        <v>D227</v>
      </c>
      <c r="D8955" t="b">
        <f>IF(AND(Parcels!$B$6="Yes",NOT(ISBLANK(Parcels!A227)),ISBLANK(Parcels!B227)),TRUE,FALSE)</f>
        <v>0</v>
      </c>
      <c r="E8955" t="s">
        <v>64</v>
      </c>
      <c r="F8955" t="str">
        <f>INDEX(Lists!I:I,MATCH(Validation!E8955,Lists!G:G,0))</f>
        <v>Error</v>
      </c>
      <c r="G8955" t="str">
        <f>INDEX(Lists!H:H,MATCH(Validation!E8955,Lists!G:G,0))</f>
        <v>You must make a selection from the dropdown list.</v>
      </c>
      <c r="H8955" s="25" t="str">
        <f t="shared" ca="1" si="1056"/>
        <v/>
      </c>
      <c r="I8955" s="25" t="str">
        <f t="shared" ca="1" si="1057"/>
        <v/>
      </c>
      <c r="J8955" s="26" t="str">
        <f t="shared" si="1058"/>
        <v/>
      </c>
    </row>
    <row r="8956" spans="1:10" x14ac:dyDescent="0.25">
      <c r="A8956" t="s">
        <v>111</v>
      </c>
      <c r="B8956" t="str">
        <f>ADDRESS(ROW(Parcels!B228),COLUMN(Parcels!B228),4)</f>
        <v>B228</v>
      </c>
      <c r="C8956" t="str">
        <f>ADDRESS(ROW(Parcels!D228),COLUMN(Parcels!D228),4)</f>
        <v>D228</v>
      </c>
      <c r="D8956" t="b">
        <f>IF(AND(Parcels!$B$6="Yes",NOT(ISBLANK(Parcels!A228)),ISBLANK(Parcels!B228)),TRUE,FALSE)</f>
        <v>0</v>
      </c>
      <c r="E8956" t="s">
        <v>64</v>
      </c>
      <c r="F8956" t="str">
        <f>INDEX(Lists!I:I,MATCH(Validation!E8956,Lists!G:G,0))</f>
        <v>Error</v>
      </c>
      <c r="G8956" t="str">
        <f>INDEX(Lists!H:H,MATCH(Validation!E8956,Lists!G:G,0))</f>
        <v>You must make a selection from the dropdown list.</v>
      </c>
      <c r="H8956" s="25" t="str">
        <f t="shared" ca="1" si="1056"/>
        <v/>
      </c>
      <c r="I8956" s="25" t="str">
        <f t="shared" ca="1" si="1057"/>
        <v/>
      </c>
      <c r="J8956" s="26" t="str">
        <f t="shared" si="1058"/>
        <v/>
      </c>
    </row>
    <row r="8957" spans="1:10" x14ac:dyDescent="0.25">
      <c r="A8957" t="s">
        <v>111</v>
      </c>
      <c r="B8957" t="str">
        <f>ADDRESS(ROW(Parcels!B229),COLUMN(Parcels!B229),4)</f>
        <v>B229</v>
      </c>
      <c r="C8957" t="str">
        <f>ADDRESS(ROW(Parcels!D229),COLUMN(Parcels!D229),4)</f>
        <v>D229</v>
      </c>
      <c r="D8957" t="b">
        <f>IF(AND(Parcels!$B$6="Yes",NOT(ISBLANK(Parcels!A229)),ISBLANK(Parcels!B229)),TRUE,FALSE)</f>
        <v>0</v>
      </c>
      <c r="E8957" t="s">
        <v>64</v>
      </c>
      <c r="F8957" t="str">
        <f>INDEX(Lists!I:I,MATCH(Validation!E8957,Lists!G:G,0))</f>
        <v>Error</v>
      </c>
      <c r="G8957" t="str">
        <f>INDEX(Lists!H:H,MATCH(Validation!E8957,Lists!G:G,0))</f>
        <v>You must make a selection from the dropdown list.</v>
      </c>
      <c r="H8957" s="25" t="str">
        <f t="shared" ca="1" si="1056"/>
        <v/>
      </c>
      <c r="I8957" s="25" t="str">
        <f t="shared" ca="1" si="1057"/>
        <v/>
      </c>
      <c r="J8957" s="26" t="str">
        <f t="shared" si="1058"/>
        <v/>
      </c>
    </row>
    <row r="8958" spans="1:10" x14ac:dyDescent="0.25">
      <c r="A8958" t="s">
        <v>111</v>
      </c>
      <c r="B8958" t="str">
        <f>ADDRESS(ROW(Parcels!B230),COLUMN(Parcels!B230),4)</f>
        <v>B230</v>
      </c>
      <c r="C8958" t="str">
        <f>ADDRESS(ROW(Parcels!D230),COLUMN(Parcels!D230),4)</f>
        <v>D230</v>
      </c>
      <c r="D8958" t="b">
        <f>IF(AND(Parcels!$B$6="Yes",NOT(ISBLANK(Parcels!A230)),ISBLANK(Parcels!B230)),TRUE,FALSE)</f>
        <v>0</v>
      </c>
      <c r="E8958" t="s">
        <v>64</v>
      </c>
      <c r="F8958" t="str">
        <f>INDEX(Lists!I:I,MATCH(Validation!E8958,Lists!G:G,0))</f>
        <v>Error</v>
      </c>
      <c r="G8958" t="str">
        <f>INDEX(Lists!H:H,MATCH(Validation!E8958,Lists!G:G,0))</f>
        <v>You must make a selection from the dropdown list.</v>
      </c>
      <c r="H8958" s="25" t="str">
        <f t="shared" ca="1" si="1056"/>
        <v/>
      </c>
      <c r="I8958" s="25" t="str">
        <f t="shared" ca="1" si="1057"/>
        <v/>
      </c>
      <c r="J8958" s="26" t="str">
        <f t="shared" si="1058"/>
        <v/>
      </c>
    </row>
    <row r="8959" spans="1:10" x14ac:dyDescent="0.25">
      <c r="A8959" t="s">
        <v>111</v>
      </c>
      <c r="B8959" t="str">
        <f>ADDRESS(ROW(Parcels!B231),COLUMN(Parcels!B231),4)</f>
        <v>B231</v>
      </c>
      <c r="C8959" t="str">
        <f>ADDRESS(ROW(Parcels!D231),COLUMN(Parcels!D231),4)</f>
        <v>D231</v>
      </c>
      <c r="D8959" t="b">
        <f>IF(AND(Parcels!$B$6="Yes",NOT(ISBLANK(Parcels!A231)),ISBLANK(Parcels!B231)),TRUE,FALSE)</f>
        <v>0</v>
      </c>
      <c r="E8959" t="s">
        <v>64</v>
      </c>
      <c r="F8959" t="str">
        <f>INDEX(Lists!I:I,MATCH(Validation!E8959,Lists!G:G,0))</f>
        <v>Error</v>
      </c>
      <c r="G8959" t="str">
        <f>INDEX(Lists!H:H,MATCH(Validation!E8959,Lists!G:G,0))</f>
        <v>You must make a selection from the dropdown list.</v>
      </c>
      <c r="H8959" s="25" t="str">
        <f t="shared" ca="1" si="1056"/>
        <v/>
      </c>
      <c r="I8959" s="25" t="str">
        <f t="shared" ca="1" si="1057"/>
        <v/>
      </c>
      <c r="J8959" s="26" t="str">
        <f t="shared" si="1058"/>
        <v/>
      </c>
    </row>
    <row r="8960" spans="1:10" x14ac:dyDescent="0.25">
      <c r="A8960" t="s">
        <v>111</v>
      </c>
      <c r="B8960" t="str">
        <f>ADDRESS(ROW(Parcels!B232),COLUMN(Parcels!B232),4)</f>
        <v>B232</v>
      </c>
      <c r="C8960" t="str">
        <f>ADDRESS(ROW(Parcels!D232),COLUMN(Parcels!D232),4)</f>
        <v>D232</v>
      </c>
      <c r="D8960" t="b">
        <f>IF(AND(Parcels!$B$6="Yes",NOT(ISBLANK(Parcels!A232)),ISBLANK(Parcels!B232)),TRUE,FALSE)</f>
        <v>0</v>
      </c>
      <c r="E8960" t="s">
        <v>64</v>
      </c>
      <c r="F8960" t="str">
        <f>INDEX(Lists!I:I,MATCH(Validation!E8960,Lists!G:G,0))</f>
        <v>Error</v>
      </c>
      <c r="G8960" t="str">
        <f>INDEX(Lists!H:H,MATCH(Validation!E8960,Lists!G:G,0))</f>
        <v>You must make a selection from the dropdown list.</v>
      </c>
      <c r="H8960" s="25" t="str">
        <f t="shared" ca="1" si="1056"/>
        <v/>
      </c>
      <c r="I8960" s="25" t="str">
        <f t="shared" ca="1" si="1057"/>
        <v/>
      </c>
      <c r="J8960" s="26" t="str">
        <f t="shared" si="1058"/>
        <v/>
      </c>
    </row>
    <row r="8961" spans="1:10" x14ac:dyDescent="0.25">
      <c r="A8961" t="s">
        <v>111</v>
      </c>
      <c r="B8961" t="str">
        <f>ADDRESS(ROW(Parcels!B233),COLUMN(Parcels!B233),4)</f>
        <v>B233</v>
      </c>
      <c r="C8961" t="str">
        <f>ADDRESS(ROW(Parcels!D233),COLUMN(Parcels!D233),4)</f>
        <v>D233</v>
      </c>
      <c r="D8961" t="b">
        <f>IF(AND(Parcels!$B$6="Yes",NOT(ISBLANK(Parcels!A233)),ISBLANK(Parcels!B233)),TRUE,FALSE)</f>
        <v>0</v>
      </c>
      <c r="E8961" t="s">
        <v>64</v>
      </c>
      <c r="F8961" t="str">
        <f>INDEX(Lists!I:I,MATCH(Validation!E8961,Lists!G:G,0))</f>
        <v>Error</v>
      </c>
      <c r="G8961" t="str">
        <f>INDEX(Lists!H:H,MATCH(Validation!E8961,Lists!G:G,0))</f>
        <v>You must make a selection from the dropdown list.</v>
      </c>
      <c r="H8961" s="25" t="str">
        <f t="shared" ca="1" si="1056"/>
        <v/>
      </c>
      <c r="I8961" s="25" t="str">
        <f t="shared" ca="1" si="1057"/>
        <v/>
      </c>
      <c r="J8961" s="26" t="str">
        <f t="shared" si="1058"/>
        <v/>
      </c>
    </row>
    <row r="8962" spans="1:10" x14ac:dyDescent="0.25">
      <c r="A8962" t="s">
        <v>111</v>
      </c>
      <c r="B8962" t="str">
        <f>ADDRESS(ROW(Parcels!B234),COLUMN(Parcels!B234),4)</f>
        <v>B234</v>
      </c>
      <c r="C8962" t="str">
        <f>ADDRESS(ROW(Parcels!D234),COLUMN(Parcels!D234),4)</f>
        <v>D234</v>
      </c>
      <c r="D8962" t="b">
        <f>IF(AND(Parcels!$B$6="Yes",NOT(ISBLANK(Parcels!A234)),ISBLANK(Parcels!B234)),TRUE,FALSE)</f>
        <v>0</v>
      </c>
      <c r="E8962" t="s">
        <v>64</v>
      </c>
      <c r="F8962" t="str">
        <f>INDEX(Lists!I:I,MATCH(Validation!E8962,Lists!G:G,0))</f>
        <v>Error</v>
      </c>
      <c r="G8962" t="str">
        <f>INDEX(Lists!H:H,MATCH(Validation!E8962,Lists!G:G,0))</f>
        <v>You must make a selection from the dropdown list.</v>
      </c>
      <c r="H8962" s="25" t="str">
        <f t="shared" ca="1" si="1056"/>
        <v/>
      </c>
      <c r="I8962" s="25" t="str">
        <f t="shared" ca="1" si="1057"/>
        <v/>
      </c>
      <c r="J8962" s="26" t="str">
        <f t="shared" si="1058"/>
        <v/>
      </c>
    </row>
    <row r="8963" spans="1:10" x14ac:dyDescent="0.25">
      <c r="A8963" t="s">
        <v>111</v>
      </c>
      <c r="B8963" t="str">
        <f>ADDRESS(ROW(Parcels!B235),COLUMN(Parcels!B235),4)</f>
        <v>B235</v>
      </c>
      <c r="C8963" t="str">
        <f>ADDRESS(ROW(Parcels!D235),COLUMN(Parcels!D235),4)</f>
        <v>D235</v>
      </c>
      <c r="D8963" t="b">
        <f>IF(AND(Parcels!$B$6="Yes",NOT(ISBLANK(Parcels!A235)),ISBLANK(Parcels!B235)),TRUE,FALSE)</f>
        <v>0</v>
      </c>
      <c r="E8963" t="s">
        <v>64</v>
      </c>
      <c r="F8963" t="str">
        <f>INDEX(Lists!I:I,MATCH(Validation!E8963,Lists!G:G,0))</f>
        <v>Error</v>
      </c>
      <c r="G8963" t="str">
        <f>INDEX(Lists!H:H,MATCH(Validation!E8963,Lists!G:G,0))</f>
        <v>You must make a selection from the dropdown list.</v>
      </c>
      <c r="H8963" s="25" t="str">
        <f t="shared" ca="1" si="1056"/>
        <v/>
      </c>
      <c r="I8963" s="25" t="str">
        <f t="shared" ca="1" si="1057"/>
        <v/>
      </c>
      <c r="J8963" s="26" t="str">
        <f t="shared" si="1058"/>
        <v/>
      </c>
    </row>
    <row r="8964" spans="1:10" x14ac:dyDescent="0.25">
      <c r="A8964" t="s">
        <v>111</v>
      </c>
      <c r="B8964" t="str">
        <f>ADDRESS(ROW(Parcels!B236),COLUMN(Parcels!B236),4)</f>
        <v>B236</v>
      </c>
      <c r="C8964" t="str">
        <f>ADDRESS(ROW(Parcels!D236),COLUMN(Parcels!D236),4)</f>
        <v>D236</v>
      </c>
      <c r="D8964" t="b">
        <f>IF(AND(Parcels!$B$6="Yes",NOT(ISBLANK(Parcels!A236)),ISBLANK(Parcels!B236)),TRUE,FALSE)</f>
        <v>0</v>
      </c>
      <c r="E8964" t="s">
        <v>64</v>
      </c>
      <c r="F8964" t="str">
        <f>INDEX(Lists!I:I,MATCH(Validation!E8964,Lists!G:G,0))</f>
        <v>Error</v>
      </c>
      <c r="G8964" t="str">
        <f>INDEX(Lists!H:H,MATCH(Validation!E8964,Lists!G:G,0))</f>
        <v>You must make a selection from the dropdown list.</v>
      </c>
      <c r="H8964" s="25" t="str">
        <f t="shared" ca="1" si="1056"/>
        <v/>
      </c>
      <c r="I8964" s="25" t="str">
        <f t="shared" ca="1" si="1057"/>
        <v/>
      </c>
      <c r="J8964" s="26" t="str">
        <f t="shared" si="1058"/>
        <v/>
      </c>
    </row>
    <row r="8965" spans="1:10" x14ac:dyDescent="0.25">
      <c r="A8965" t="s">
        <v>111</v>
      </c>
      <c r="B8965" t="str">
        <f>ADDRESS(ROW(Parcels!B237),COLUMN(Parcels!B237),4)</f>
        <v>B237</v>
      </c>
      <c r="C8965" t="str">
        <f>ADDRESS(ROW(Parcels!D237),COLUMN(Parcels!D237),4)</f>
        <v>D237</v>
      </c>
      <c r="D8965" t="b">
        <f>IF(AND(Parcels!$B$6="Yes",NOT(ISBLANK(Parcels!A237)),ISBLANK(Parcels!B237)),TRUE,FALSE)</f>
        <v>0</v>
      </c>
      <c r="E8965" t="s">
        <v>64</v>
      </c>
      <c r="F8965" t="str">
        <f>INDEX(Lists!I:I,MATCH(Validation!E8965,Lists!G:G,0))</f>
        <v>Error</v>
      </c>
      <c r="G8965" t="str">
        <f>INDEX(Lists!H:H,MATCH(Validation!E8965,Lists!G:G,0))</f>
        <v>You must make a selection from the dropdown list.</v>
      </c>
      <c r="H8965" s="25" t="str">
        <f t="shared" ca="1" si="1056"/>
        <v/>
      </c>
      <c r="I8965" s="25" t="str">
        <f t="shared" ca="1" si="1057"/>
        <v/>
      </c>
      <c r="J8965" s="26" t="str">
        <f t="shared" si="1058"/>
        <v/>
      </c>
    </row>
    <row r="8966" spans="1:10" x14ac:dyDescent="0.25">
      <c r="A8966" t="s">
        <v>111</v>
      </c>
      <c r="B8966" t="str">
        <f>ADDRESS(ROW(Parcels!B238),COLUMN(Parcels!B238),4)</f>
        <v>B238</v>
      </c>
      <c r="C8966" t="str">
        <f>ADDRESS(ROW(Parcels!D238),COLUMN(Parcels!D238),4)</f>
        <v>D238</v>
      </c>
      <c r="D8966" t="b">
        <f>IF(AND(Parcels!$B$6="Yes",NOT(ISBLANK(Parcels!A238)),ISBLANK(Parcels!B238)),TRUE,FALSE)</f>
        <v>0</v>
      </c>
      <c r="E8966" t="s">
        <v>64</v>
      </c>
      <c r="F8966" t="str">
        <f>INDEX(Lists!I:I,MATCH(Validation!E8966,Lists!G:G,0))</f>
        <v>Error</v>
      </c>
      <c r="G8966" t="str">
        <f>INDEX(Lists!H:H,MATCH(Validation!E8966,Lists!G:G,0))</f>
        <v>You must make a selection from the dropdown list.</v>
      </c>
      <c r="H8966" s="25" t="str">
        <f t="shared" ca="1" si="1056"/>
        <v/>
      </c>
      <c r="I8966" s="25" t="str">
        <f t="shared" ca="1" si="1057"/>
        <v/>
      </c>
      <c r="J8966" s="26" t="str">
        <f t="shared" si="1058"/>
        <v/>
      </c>
    </row>
    <row r="8967" spans="1:10" x14ac:dyDescent="0.25">
      <c r="A8967" t="s">
        <v>111</v>
      </c>
      <c r="B8967" t="str">
        <f>ADDRESS(ROW(Parcels!B239),COLUMN(Parcels!B239),4)</f>
        <v>B239</v>
      </c>
      <c r="C8967" t="str">
        <f>ADDRESS(ROW(Parcels!D239),COLUMN(Parcels!D239),4)</f>
        <v>D239</v>
      </c>
      <c r="D8967" t="b">
        <f>IF(AND(Parcels!$B$6="Yes",NOT(ISBLANK(Parcels!A239)),ISBLANK(Parcels!B239)),TRUE,FALSE)</f>
        <v>0</v>
      </c>
      <c r="E8967" t="s">
        <v>64</v>
      </c>
      <c r="F8967" t="str">
        <f>INDEX(Lists!I:I,MATCH(Validation!E8967,Lists!G:G,0))</f>
        <v>Error</v>
      </c>
      <c r="G8967" t="str">
        <f>INDEX(Lists!H:H,MATCH(Validation!E8967,Lists!G:G,0))</f>
        <v>You must make a selection from the dropdown list.</v>
      </c>
      <c r="H8967" s="25" t="str">
        <f t="shared" ca="1" si="1056"/>
        <v/>
      </c>
      <c r="I8967" s="25" t="str">
        <f t="shared" ca="1" si="1057"/>
        <v/>
      </c>
      <c r="J8967" s="26" t="str">
        <f t="shared" si="1058"/>
        <v/>
      </c>
    </row>
    <row r="8968" spans="1:10" x14ac:dyDescent="0.25">
      <c r="A8968" t="s">
        <v>111</v>
      </c>
      <c r="B8968" t="str">
        <f>ADDRESS(ROW(Parcels!B240),COLUMN(Parcels!B240),4)</f>
        <v>B240</v>
      </c>
      <c r="C8968" t="str">
        <f>ADDRESS(ROW(Parcels!D240),COLUMN(Parcels!D240),4)</f>
        <v>D240</v>
      </c>
      <c r="D8968" t="b">
        <f>IF(AND(Parcels!$B$6="Yes",NOT(ISBLANK(Parcels!A240)),ISBLANK(Parcels!B240)),TRUE,FALSE)</f>
        <v>0</v>
      </c>
      <c r="E8968" t="s">
        <v>64</v>
      </c>
      <c r="F8968" t="str">
        <f>INDEX(Lists!I:I,MATCH(Validation!E8968,Lists!G:G,0))</f>
        <v>Error</v>
      </c>
      <c r="G8968" t="str">
        <f>INDEX(Lists!H:H,MATCH(Validation!E8968,Lists!G:G,0))</f>
        <v>You must make a selection from the dropdown list.</v>
      </c>
      <c r="H8968" s="25" t="str">
        <f t="shared" ca="1" si="1056"/>
        <v/>
      </c>
      <c r="I8968" s="25" t="str">
        <f t="shared" ca="1" si="1057"/>
        <v/>
      </c>
      <c r="J8968" s="26" t="str">
        <f t="shared" si="1058"/>
        <v/>
      </c>
    </row>
    <row r="8969" spans="1:10" x14ac:dyDescent="0.25">
      <c r="A8969" t="s">
        <v>111</v>
      </c>
      <c r="B8969" t="str">
        <f>ADDRESS(ROW(Parcels!B241),COLUMN(Parcels!B241),4)</f>
        <v>B241</v>
      </c>
      <c r="C8969" t="str">
        <f>ADDRESS(ROW(Parcels!D241),COLUMN(Parcels!D241),4)</f>
        <v>D241</v>
      </c>
      <c r="D8969" t="b">
        <f>IF(AND(Parcels!$B$6="Yes",NOT(ISBLANK(Parcels!A241)),ISBLANK(Parcels!B241)),TRUE,FALSE)</f>
        <v>0</v>
      </c>
      <c r="E8969" t="s">
        <v>64</v>
      </c>
      <c r="F8969" t="str">
        <f>INDEX(Lists!I:I,MATCH(Validation!E8969,Lists!G:G,0))</f>
        <v>Error</v>
      </c>
      <c r="G8969" t="str">
        <f>INDEX(Lists!H:H,MATCH(Validation!E8969,Lists!G:G,0))</f>
        <v>You must make a selection from the dropdown list.</v>
      </c>
      <c r="H8969" s="25" t="str">
        <f t="shared" ca="1" si="1056"/>
        <v/>
      </c>
      <c r="I8969" s="25" t="str">
        <f t="shared" ca="1" si="1057"/>
        <v/>
      </c>
      <c r="J8969" s="26" t="str">
        <f t="shared" si="1058"/>
        <v/>
      </c>
    </row>
    <row r="8970" spans="1:10" x14ac:dyDescent="0.25">
      <c r="A8970" t="s">
        <v>111</v>
      </c>
      <c r="B8970" t="str">
        <f>ADDRESS(ROW(Parcels!B242),COLUMN(Parcels!B242),4)</f>
        <v>B242</v>
      </c>
      <c r="C8970" t="str">
        <f>ADDRESS(ROW(Parcels!D242),COLUMN(Parcels!D242),4)</f>
        <v>D242</v>
      </c>
      <c r="D8970" t="b">
        <f>IF(AND(Parcels!$B$6="Yes",NOT(ISBLANK(Parcels!A242)),ISBLANK(Parcels!B242)),TRUE,FALSE)</f>
        <v>0</v>
      </c>
      <c r="E8970" t="s">
        <v>64</v>
      </c>
      <c r="F8970" t="str">
        <f>INDEX(Lists!I:I,MATCH(Validation!E8970,Lists!G:G,0))</f>
        <v>Error</v>
      </c>
      <c r="G8970" t="str">
        <f>INDEX(Lists!H:H,MATCH(Validation!E8970,Lists!G:G,0))</f>
        <v>You must make a selection from the dropdown list.</v>
      </c>
      <c r="H8970" s="25" t="str">
        <f t="shared" ca="1" si="1056"/>
        <v/>
      </c>
      <c r="I8970" s="25" t="str">
        <f t="shared" ca="1" si="1057"/>
        <v/>
      </c>
      <c r="J8970" s="26" t="str">
        <f t="shared" si="1058"/>
        <v/>
      </c>
    </row>
    <row r="8971" spans="1:10" x14ac:dyDescent="0.25">
      <c r="A8971" t="s">
        <v>111</v>
      </c>
      <c r="B8971" t="str">
        <f>ADDRESS(ROW(Parcels!B243),COLUMN(Parcels!B243),4)</f>
        <v>B243</v>
      </c>
      <c r="C8971" t="str">
        <f>ADDRESS(ROW(Parcels!D243),COLUMN(Parcels!D243),4)</f>
        <v>D243</v>
      </c>
      <c r="D8971" t="b">
        <f>IF(AND(Parcels!$B$6="Yes",NOT(ISBLANK(Parcels!A243)),ISBLANK(Parcels!B243)),TRUE,FALSE)</f>
        <v>0</v>
      </c>
      <c r="E8971" t="s">
        <v>64</v>
      </c>
      <c r="F8971" t="str">
        <f>INDEX(Lists!I:I,MATCH(Validation!E8971,Lists!G:G,0))</f>
        <v>Error</v>
      </c>
      <c r="G8971" t="str">
        <f>INDEX(Lists!H:H,MATCH(Validation!E8971,Lists!G:G,0))</f>
        <v>You must make a selection from the dropdown list.</v>
      </c>
      <c r="H8971" s="25" t="str">
        <f t="shared" ca="1" si="1056"/>
        <v/>
      </c>
      <c r="I8971" s="25" t="str">
        <f t="shared" ca="1" si="1057"/>
        <v/>
      </c>
      <c r="J8971" s="26" t="str">
        <f t="shared" si="1058"/>
        <v/>
      </c>
    </row>
    <row r="8972" spans="1:10" x14ac:dyDescent="0.25">
      <c r="A8972" t="s">
        <v>111</v>
      </c>
      <c r="B8972" t="str">
        <f>ADDRESS(ROW(Parcels!B244),COLUMN(Parcels!B244),4)</f>
        <v>B244</v>
      </c>
      <c r="C8972" t="str">
        <f>ADDRESS(ROW(Parcels!D244),COLUMN(Parcels!D244),4)</f>
        <v>D244</v>
      </c>
      <c r="D8972" t="b">
        <f>IF(AND(Parcels!$B$6="Yes",NOT(ISBLANK(Parcels!A244)),ISBLANK(Parcels!B244)),TRUE,FALSE)</f>
        <v>0</v>
      </c>
      <c r="E8972" t="s">
        <v>64</v>
      </c>
      <c r="F8972" t="str">
        <f>INDEX(Lists!I:I,MATCH(Validation!E8972,Lists!G:G,0))</f>
        <v>Error</v>
      </c>
      <c r="G8972" t="str">
        <f>INDEX(Lists!H:H,MATCH(Validation!E8972,Lists!G:G,0))</f>
        <v>You must make a selection from the dropdown list.</v>
      </c>
      <c r="H8972" s="25" t="str">
        <f t="shared" ca="1" si="1056"/>
        <v/>
      </c>
      <c r="I8972" s="25" t="str">
        <f t="shared" ca="1" si="1057"/>
        <v/>
      </c>
      <c r="J8972" s="26" t="str">
        <f t="shared" si="1058"/>
        <v/>
      </c>
    </row>
    <row r="8973" spans="1:10" x14ac:dyDescent="0.25">
      <c r="A8973" t="s">
        <v>111</v>
      </c>
      <c r="B8973" t="str">
        <f>ADDRESS(ROW(Parcels!B245),COLUMN(Parcels!B245),4)</f>
        <v>B245</v>
      </c>
      <c r="C8973" t="str">
        <f>ADDRESS(ROW(Parcels!D245),COLUMN(Parcels!D245),4)</f>
        <v>D245</v>
      </c>
      <c r="D8973" t="b">
        <f>IF(AND(Parcels!$B$6="Yes",NOT(ISBLANK(Parcels!A245)),ISBLANK(Parcels!B245)),TRUE,FALSE)</f>
        <v>0</v>
      </c>
      <c r="E8973" t="s">
        <v>64</v>
      </c>
      <c r="F8973" t="str">
        <f>INDEX(Lists!I:I,MATCH(Validation!E8973,Lists!G:G,0))</f>
        <v>Error</v>
      </c>
      <c r="G8973" t="str">
        <f>INDEX(Lists!H:H,MATCH(Validation!E8973,Lists!G:G,0))</f>
        <v>You must make a selection from the dropdown list.</v>
      </c>
      <c r="H8973" s="25" t="str">
        <f t="shared" ca="1" si="1056"/>
        <v/>
      </c>
      <c r="I8973" s="25" t="str">
        <f t="shared" ca="1" si="1057"/>
        <v/>
      </c>
      <c r="J8973" s="26" t="str">
        <f t="shared" si="1058"/>
        <v/>
      </c>
    </row>
    <row r="8974" spans="1:10" x14ac:dyDescent="0.25">
      <c r="A8974" t="s">
        <v>111</v>
      </c>
      <c r="B8974" t="str">
        <f>ADDRESS(ROW(Parcels!B246),COLUMN(Parcels!B246),4)</f>
        <v>B246</v>
      </c>
      <c r="C8974" t="str">
        <f>ADDRESS(ROW(Parcels!D246),COLUMN(Parcels!D246),4)</f>
        <v>D246</v>
      </c>
      <c r="D8974" t="b">
        <f>IF(AND(Parcels!$B$6="Yes",NOT(ISBLANK(Parcels!A246)),ISBLANK(Parcels!B246)),TRUE,FALSE)</f>
        <v>0</v>
      </c>
      <c r="E8974" t="s">
        <v>64</v>
      </c>
      <c r="F8974" t="str">
        <f>INDEX(Lists!I:I,MATCH(Validation!E8974,Lists!G:G,0))</f>
        <v>Error</v>
      </c>
      <c r="G8974" t="str">
        <f>INDEX(Lists!H:H,MATCH(Validation!E8974,Lists!G:G,0))</f>
        <v>You must make a selection from the dropdown list.</v>
      </c>
      <c r="H8974" s="25" t="str">
        <f t="shared" ca="1" si="1056"/>
        <v/>
      </c>
      <c r="I8974" s="25" t="str">
        <f t="shared" ca="1" si="1057"/>
        <v/>
      </c>
      <c r="J8974" s="26" t="str">
        <f t="shared" si="1058"/>
        <v/>
      </c>
    </row>
    <row r="8975" spans="1:10" x14ac:dyDescent="0.25">
      <c r="A8975" t="s">
        <v>111</v>
      </c>
      <c r="B8975" t="str">
        <f>ADDRESS(ROW(Parcels!B247),COLUMN(Parcels!B247),4)</f>
        <v>B247</v>
      </c>
      <c r="C8975" t="str">
        <f>ADDRESS(ROW(Parcels!D247),COLUMN(Parcels!D247),4)</f>
        <v>D247</v>
      </c>
      <c r="D8975" t="b">
        <f>IF(AND(Parcels!$B$6="Yes",NOT(ISBLANK(Parcels!A247)),ISBLANK(Parcels!B247)),TRUE,FALSE)</f>
        <v>0</v>
      </c>
      <c r="E8975" t="s">
        <v>64</v>
      </c>
      <c r="F8975" t="str">
        <f>INDEX(Lists!I:I,MATCH(Validation!E8975,Lists!G:G,0))</f>
        <v>Error</v>
      </c>
      <c r="G8975" t="str">
        <f>INDEX(Lists!H:H,MATCH(Validation!E8975,Lists!G:G,0))</f>
        <v>You must make a selection from the dropdown list.</v>
      </c>
      <c r="H8975" s="25" t="str">
        <f t="shared" ca="1" si="1056"/>
        <v/>
      </c>
      <c r="I8975" s="25" t="str">
        <f t="shared" ca="1" si="1057"/>
        <v/>
      </c>
      <c r="J8975" s="26" t="str">
        <f t="shared" si="1058"/>
        <v/>
      </c>
    </row>
    <row r="8976" spans="1:10" x14ac:dyDescent="0.25">
      <c r="A8976" t="s">
        <v>111</v>
      </c>
      <c r="B8976" t="str">
        <f>ADDRESS(ROW(Parcels!B248),COLUMN(Parcels!B248),4)</f>
        <v>B248</v>
      </c>
      <c r="C8976" t="str">
        <f>ADDRESS(ROW(Parcels!D248),COLUMN(Parcels!D248),4)</f>
        <v>D248</v>
      </c>
      <c r="D8976" t="b">
        <f>IF(AND(Parcels!$B$6="Yes",NOT(ISBLANK(Parcels!A248)),ISBLANK(Parcels!B248)),TRUE,FALSE)</f>
        <v>0</v>
      </c>
      <c r="E8976" t="s">
        <v>64</v>
      </c>
      <c r="F8976" t="str">
        <f>INDEX(Lists!I:I,MATCH(Validation!E8976,Lists!G:G,0))</f>
        <v>Error</v>
      </c>
      <c r="G8976" t="str">
        <f>INDEX(Lists!H:H,MATCH(Validation!E8976,Lists!G:G,0))</f>
        <v>You must make a selection from the dropdown list.</v>
      </c>
      <c r="H8976" s="25" t="str">
        <f t="shared" ca="1" si="1056"/>
        <v/>
      </c>
      <c r="I8976" s="25" t="str">
        <f t="shared" ca="1" si="1057"/>
        <v/>
      </c>
      <c r="J8976" s="26" t="str">
        <f t="shared" si="1058"/>
        <v/>
      </c>
    </row>
    <row r="8977" spans="1:10" x14ac:dyDescent="0.25">
      <c r="A8977" t="s">
        <v>111</v>
      </c>
      <c r="B8977" t="str">
        <f>ADDRESS(ROW(Parcels!B249),COLUMN(Parcels!B249),4)</f>
        <v>B249</v>
      </c>
      <c r="C8977" t="str">
        <f>ADDRESS(ROW(Parcels!D249),COLUMN(Parcels!D249),4)</f>
        <v>D249</v>
      </c>
      <c r="D8977" t="b">
        <f>IF(AND(Parcels!$B$6="Yes",NOT(ISBLANK(Parcels!A249)),ISBLANK(Parcels!B249)),TRUE,FALSE)</f>
        <v>0</v>
      </c>
      <c r="E8977" t="s">
        <v>64</v>
      </c>
      <c r="F8977" t="str">
        <f>INDEX(Lists!I:I,MATCH(Validation!E8977,Lists!G:G,0))</f>
        <v>Error</v>
      </c>
      <c r="G8977" t="str">
        <f>INDEX(Lists!H:H,MATCH(Validation!E8977,Lists!G:G,0))</f>
        <v>You must make a selection from the dropdown list.</v>
      </c>
      <c r="H8977" s="25" t="str">
        <f t="shared" ca="1" si="1056"/>
        <v/>
      </c>
      <c r="I8977" s="25" t="str">
        <f t="shared" ca="1" si="1057"/>
        <v/>
      </c>
      <c r="J8977" s="26" t="str">
        <f t="shared" si="1058"/>
        <v/>
      </c>
    </row>
    <row r="8978" spans="1:10" x14ac:dyDescent="0.25">
      <c r="A8978" t="s">
        <v>111</v>
      </c>
      <c r="B8978" t="str">
        <f>ADDRESS(ROW(Parcels!B250),COLUMN(Parcels!B250),4)</f>
        <v>B250</v>
      </c>
      <c r="C8978" t="str">
        <f>ADDRESS(ROW(Parcels!D250),COLUMN(Parcels!D250),4)</f>
        <v>D250</v>
      </c>
      <c r="D8978" t="b">
        <f>IF(AND(Parcels!$B$6="Yes",NOT(ISBLANK(Parcels!A250)),ISBLANK(Parcels!B250)),TRUE,FALSE)</f>
        <v>0</v>
      </c>
      <c r="E8978" t="s">
        <v>64</v>
      </c>
      <c r="F8978" t="str">
        <f>INDEX(Lists!I:I,MATCH(Validation!E8978,Lists!G:G,0))</f>
        <v>Error</v>
      </c>
      <c r="G8978" t="str">
        <f>INDEX(Lists!H:H,MATCH(Validation!E8978,Lists!G:G,0))</f>
        <v>You must make a selection from the dropdown list.</v>
      </c>
      <c r="H8978" s="25" t="str">
        <f t="shared" ca="1" si="1056"/>
        <v/>
      </c>
      <c r="I8978" s="25" t="str">
        <f t="shared" ca="1" si="1057"/>
        <v/>
      </c>
      <c r="J8978" s="26" t="str">
        <f t="shared" si="1058"/>
        <v/>
      </c>
    </row>
    <row r="8979" spans="1:10" x14ac:dyDescent="0.25">
      <c r="A8979" t="s">
        <v>111</v>
      </c>
      <c r="B8979" t="str">
        <f>ADDRESS(ROW(Parcels!B251),COLUMN(Parcels!B251),4)</f>
        <v>B251</v>
      </c>
      <c r="C8979" t="str">
        <f>ADDRESS(ROW(Parcels!D251),COLUMN(Parcels!D251),4)</f>
        <v>D251</v>
      </c>
      <c r="D8979" t="b">
        <f>IF(AND(Parcels!$B$6="Yes",NOT(ISBLANK(Parcels!A251)),ISBLANK(Parcels!B251)),TRUE,FALSE)</f>
        <v>0</v>
      </c>
      <c r="E8979" t="s">
        <v>64</v>
      </c>
      <c r="F8979" t="str">
        <f>INDEX(Lists!I:I,MATCH(Validation!E8979,Lists!G:G,0))</f>
        <v>Error</v>
      </c>
      <c r="G8979" t="str">
        <f>INDEX(Lists!H:H,MATCH(Validation!E8979,Lists!G:G,0))</f>
        <v>You must make a selection from the dropdown list.</v>
      </c>
      <c r="H8979" s="25" t="str">
        <f t="shared" ca="1" si="1056"/>
        <v/>
      </c>
      <c r="I8979" s="25" t="str">
        <f t="shared" ca="1" si="1057"/>
        <v/>
      </c>
      <c r="J8979" s="26" t="str">
        <f t="shared" si="1058"/>
        <v/>
      </c>
    </row>
    <row r="8980" spans="1:10" x14ac:dyDescent="0.25">
      <c r="A8980" t="s">
        <v>111</v>
      </c>
      <c r="B8980" t="str">
        <f>ADDRESS(ROW(Parcels!B252),COLUMN(Parcels!B252),4)</f>
        <v>B252</v>
      </c>
      <c r="C8980" t="str">
        <f>ADDRESS(ROW(Parcels!D252),COLUMN(Parcels!D252),4)</f>
        <v>D252</v>
      </c>
      <c r="D8980" t="b">
        <f>IF(AND(Parcels!$B$6="Yes",NOT(ISBLANK(Parcels!A252)),ISBLANK(Parcels!B252)),TRUE,FALSE)</f>
        <v>0</v>
      </c>
      <c r="E8980" t="s">
        <v>64</v>
      </c>
      <c r="F8980" t="str">
        <f>INDEX(Lists!I:I,MATCH(Validation!E8980,Lists!G:G,0))</f>
        <v>Error</v>
      </c>
      <c r="G8980" t="str">
        <f>INDEX(Lists!H:H,MATCH(Validation!E8980,Lists!G:G,0))</f>
        <v>You must make a selection from the dropdown list.</v>
      </c>
      <c r="H8980" s="25" t="str">
        <f t="shared" ca="1" si="1056"/>
        <v/>
      </c>
      <c r="I8980" s="25" t="str">
        <f t="shared" ca="1" si="1057"/>
        <v/>
      </c>
      <c r="J8980" s="26" t="str">
        <f t="shared" si="1058"/>
        <v/>
      </c>
    </row>
    <row r="8981" spans="1:10" x14ac:dyDescent="0.25">
      <c r="A8981" t="s">
        <v>111</v>
      </c>
      <c r="B8981" t="str">
        <f>ADDRESS(ROW(Parcels!B253),COLUMN(Parcels!B253),4)</f>
        <v>B253</v>
      </c>
      <c r="C8981" t="str">
        <f>ADDRESS(ROW(Parcels!D253),COLUMN(Parcels!D253),4)</f>
        <v>D253</v>
      </c>
      <c r="D8981" t="b">
        <f>IF(AND(Parcels!$B$6="Yes",NOT(ISBLANK(Parcels!A253)),ISBLANK(Parcels!B253)),TRUE,FALSE)</f>
        <v>0</v>
      </c>
      <c r="E8981" t="s">
        <v>64</v>
      </c>
      <c r="F8981" t="str">
        <f>INDEX(Lists!I:I,MATCH(Validation!E8981,Lists!G:G,0))</f>
        <v>Error</v>
      </c>
      <c r="G8981" t="str">
        <f>INDEX(Lists!H:H,MATCH(Validation!E8981,Lists!G:G,0))</f>
        <v>You must make a selection from the dropdown list.</v>
      </c>
      <c r="H8981" s="25" t="str">
        <f t="shared" ca="1" si="1056"/>
        <v/>
      </c>
      <c r="I8981" s="25" t="str">
        <f t="shared" ca="1" si="1057"/>
        <v/>
      </c>
      <c r="J8981" s="26" t="str">
        <f t="shared" si="1058"/>
        <v/>
      </c>
    </row>
    <row r="8982" spans="1:10" x14ac:dyDescent="0.25">
      <c r="A8982" t="s">
        <v>111</v>
      </c>
      <c r="B8982" t="str">
        <f>ADDRESS(ROW(Parcels!B254),COLUMN(Parcels!B254),4)</f>
        <v>B254</v>
      </c>
      <c r="C8982" t="str">
        <f>ADDRESS(ROW(Parcels!D254),COLUMN(Parcels!D254),4)</f>
        <v>D254</v>
      </c>
      <c r="D8982" t="b">
        <f>IF(AND(Parcels!$B$6="Yes",NOT(ISBLANK(Parcels!A254)),ISBLANK(Parcels!B254)),TRUE,FALSE)</f>
        <v>0</v>
      </c>
      <c r="E8982" t="s">
        <v>64</v>
      </c>
      <c r="F8982" t="str">
        <f>INDEX(Lists!I:I,MATCH(Validation!E8982,Lists!G:G,0))</f>
        <v>Error</v>
      </c>
      <c r="G8982" t="str">
        <f>INDEX(Lists!H:H,MATCH(Validation!E8982,Lists!G:G,0))</f>
        <v>You must make a selection from the dropdown list.</v>
      </c>
      <c r="H8982" s="25" t="str">
        <f t="shared" ca="1" si="1056"/>
        <v/>
      </c>
      <c r="I8982" s="25" t="str">
        <f t="shared" ca="1" si="1057"/>
        <v/>
      </c>
      <c r="J8982" s="26" t="str">
        <f t="shared" si="1058"/>
        <v/>
      </c>
    </row>
    <row r="8983" spans="1:10" x14ac:dyDescent="0.25">
      <c r="A8983" t="s">
        <v>111</v>
      </c>
      <c r="B8983" t="str">
        <f>ADDRESS(ROW(Parcels!B255),COLUMN(Parcels!B255),4)</f>
        <v>B255</v>
      </c>
      <c r="C8983" t="str">
        <f>ADDRESS(ROW(Parcels!D255),COLUMN(Parcels!D255),4)</f>
        <v>D255</v>
      </c>
      <c r="D8983" t="b">
        <f>IF(AND(Parcels!$B$6="Yes",NOT(ISBLANK(Parcels!A255)),ISBLANK(Parcels!B255)),TRUE,FALSE)</f>
        <v>0</v>
      </c>
      <c r="E8983" t="s">
        <v>64</v>
      </c>
      <c r="F8983" t="str">
        <f>INDEX(Lists!I:I,MATCH(Validation!E8983,Lists!G:G,0))</f>
        <v>Error</v>
      </c>
      <c r="G8983" t="str">
        <f>INDEX(Lists!H:H,MATCH(Validation!E8983,Lists!G:G,0))</f>
        <v>You must make a selection from the dropdown list.</v>
      </c>
      <c r="H8983" s="25" t="str">
        <f t="shared" ca="1" si="1056"/>
        <v/>
      </c>
      <c r="I8983" s="25" t="str">
        <f t="shared" ca="1" si="1057"/>
        <v/>
      </c>
      <c r="J8983" s="26" t="str">
        <f t="shared" si="1058"/>
        <v/>
      </c>
    </row>
    <row r="8984" spans="1:10" x14ac:dyDescent="0.25">
      <c r="A8984" t="s">
        <v>111</v>
      </c>
      <c r="B8984" t="str">
        <f>ADDRESS(ROW(Parcels!B256),COLUMN(Parcels!B256),4)</f>
        <v>B256</v>
      </c>
      <c r="C8984" t="str">
        <f>ADDRESS(ROW(Parcels!D256),COLUMN(Parcels!D256),4)</f>
        <v>D256</v>
      </c>
      <c r="D8984" t="b">
        <f>IF(AND(Parcels!$B$6="Yes",NOT(ISBLANK(Parcels!A256)),ISBLANK(Parcels!B256)),TRUE,FALSE)</f>
        <v>0</v>
      </c>
      <c r="E8984" t="s">
        <v>64</v>
      </c>
      <c r="F8984" t="str">
        <f>INDEX(Lists!I:I,MATCH(Validation!E8984,Lists!G:G,0))</f>
        <v>Error</v>
      </c>
      <c r="G8984" t="str">
        <f>INDEX(Lists!H:H,MATCH(Validation!E8984,Lists!G:G,0))</f>
        <v>You must make a selection from the dropdown list.</v>
      </c>
      <c r="H8984" s="25" t="str">
        <f t="shared" ca="1" si="1056"/>
        <v/>
      </c>
      <c r="I8984" s="25" t="str">
        <f t="shared" ca="1" si="1057"/>
        <v/>
      </c>
      <c r="J8984" s="26" t="str">
        <f t="shared" si="1058"/>
        <v/>
      </c>
    </row>
    <row r="8985" spans="1:10" x14ac:dyDescent="0.25">
      <c r="A8985" t="s">
        <v>111</v>
      </c>
      <c r="B8985" t="str">
        <f>ADDRESS(ROW(Parcels!B257),COLUMN(Parcels!B257),4)</f>
        <v>B257</v>
      </c>
      <c r="C8985" t="str">
        <f>ADDRESS(ROW(Parcels!D257),COLUMN(Parcels!D257),4)</f>
        <v>D257</v>
      </c>
      <c r="D8985" t="b">
        <f>IF(AND(Parcels!$B$6="Yes",NOT(ISBLANK(Parcels!A257)),ISBLANK(Parcels!B257)),TRUE,FALSE)</f>
        <v>0</v>
      </c>
      <c r="E8985" t="s">
        <v>64</v>
      </c>
      <c r="F8985" t="str">
        <f>INDEX(Lists!I:I,MATCH(Validation!E8985,Lists!G:G,0))</f>
        <v>Error</v>
      </c>
      <c r="G8985" t="str">
        <f>INDEX(Lists!H:H,MATCH(Validation!E8985,Lists!G:G,0))</f>
        <v>You must make a selection from the dropdown list.</v>
      </c>
      <c r="H8985" s="25" t="str">
        <f t="shared" ca="1" si="1056"/>
        <v/>
      </c>
      <c r="I8985" s="25" t="str">
        <f t="shared" ca="1" si="1057"/>
        <v/>
      </c>
      <c r="J8985" s="26" t="str">
        <f t="shared" si="1058"/>
        <v/>
      </c>
    </row>
    <row r="8986" spans="1:10" x14ac:dyDescent="0.25">
      <c r="A8986" t="s">
        <v>111</v>
      </c>
      <c r="B8986" t="str">
        <f>ADDRESS(ROW(Parcels!B258),COLUMN(Parcels!B258),4)</f>
        <v>B258</v>
      </c>
      <c r="C8986" t="str">
        <f>ADDRESS(ROW(Parcels!D258),COLUMN(Parcels!D258),4)</f>
        <v>D258</v>
      </c>
      <c r="D8986" t="b">
        <f>IF(AND(Parcels!$B$6="Yes",NOT(ISBLANK(Parcels!A258)),ISBLANK(Parcels!B258)),TRUE,FALSE)</f>
        <v>0</v>
      </c>
      <c r="E8986" t="s">
        <v>64</v>
      </c>
      <c r="F8986" t="str">
        <f>INDEX(Lists!I:I,MATCH(Validation!E8986,Lists!G:G,0))</f>
        <v>Error</v>
      </c>
      <c r="G8986" t="str">
        <f>INDEX(Lists!H:H,MATCH(Validation!E8986,Lists!G:G,0))</f>
        <v>You must make a selection from the dropdown list.</v>
      </c>
      <c r="H8986" s="25" t="str">
        <f t="shared" ca="1" si="1056"/>
        <v/>
      </c>
      <c r="I8986" s="25" t="str">
        <f t="shared" ca="1" si="1057"/>
        <v/>
      </c>
      <c r="J8986" s="26" t="str">
        <f t="shared" si="1058"/>
        <v/>
      </c>
    </row>
    <row r="8987" spans="1:10" x14ac:dyDescent="0.25">
      <c r="A8987" t="s">
        <v>111</v>
      </c>
      <c r="B8987" t="str">
        <f>ADDRESS(ROW(Parcels!B259),COLUMN(Parcels!B259),4)</f>
        <v>B259</v>
      </c>
      <c r="C8987" t="str">
        <f>ADDRESS(ROW(Parcels!D259),COLUMN(Parcels!D259),4)</f>
        <v>D259</v>
      </c>
      <c r="D8987" t="b">
        <f>IF(AND(Parcels!$B$6="Yes",NOT(ISBLANK(Parcels!A259)),ISBLANK(Parcels!B259)),TRUE,FALSE)</f>
        <v>0</v>
      </c>
      <c r="E8987" t="s">
        <v>64</v>
      </c>
      <c r="F8987" t="str">
        <f>INDEX(Lists!I:I,MATCH(Validation!E8987,Lists!G:G,0))</f>
        <v>Error</v>
      </c>
      <c r="G8987" t="str">
        <f>INDEX(Lists!H:H,MATCH(Validation!E8987,Lists!G:G,0))</f>
        <v>You must make a selection from the dropdown list.</v>
      </c>
      <c r="H8987" s="25" t="str">
        <f t="shared" ca="1" si="1056"/>
        <v/>
      </c>
      <c r="I8987" s="25" t="str">
        <f t="shared" ca="1" si="1057"/>
        <v/>
      </c>
      <c r="J8987" s="26" t="str">
        <f t="shared" si="1058"/>
        <v/>
      </c>
    </row>
    <row r="8988" spans="1:10" x14ac:dyDescent="0.25">
      <c r="A8988" t="s">
        <v>111</v>
      </c>
      <c r="B8988" t="str">
        <f>ADDRESS(ROW(Parcels!B260),COLUMN(Parcels!B260),4)</f>
        <v>B260</v>
      </c>
      <c r="C8988" t="str">
        <f>ADDRESS(ROW(Parcels!D260),COLUMN(Parcels!D260),4)</f>
        <v>D260</v>
      </c>
      <c r="D8988" t="b">
        <f>IF(AND(Parcels!$B$6="Yes",NOT(ISBLANK(Parcels!A260)),ISBLANK(Parcels!B260)),TRUE,FALSE)</f>
        <v>0</v>
      </c>
      <c r="E8988" t="s">
        <v>64</v>
      </c>
      <c r="F8988" t="str">
        <f>INDEX(Lists!I:I,MATCH(Validation!E8988,Lists!G:G,0))</f>
        <v>Error</v>
      </c>
      <c r="G8988" t="str">
        <f>INDEX(Lists!H:H,MATCH(Validation!E8988,Lists!G:G,0))</f>
        <v>You must make a selection from the dropdown list.</v>
      </c>
      <c r="H8988" s="25" t="str">
        <f t="shared" ca="1" si="1056"/>
        <v/>
      </c>
      <c r="I8988" s="25" t="str">
        <f t="shared" ca="1" si="1057"/>
        <v/>
      </c>
      <c r="J8988" s="26" t="str">
        <f t="shared" si="1058"/>
        <v/>
      </c>
    </row>
    <row r="8989" spans="1:10" x14ac:dyDescent="0.25">
      <c r="A8989" t="s">
        <v>111</v>
      </c>
      <c r="B8989" t="str">
        <f>ADDRESS(ROW(Parcels!B261),COLUMN(Parcels!B261),4)</f>
        <v>B261</v>
      </c>
      <c r="C8989" t="str">
        <f>ADDRESS(ROW(Parcels!D261),COLUMN(Parcels!D261),4)</f>
        <v>D261</v>
      </c>
      <c r="D8989" t="b">
        <f>IF(AND(Parcels!$B$6="Yes",NOT(ISBLANK(Parcels!A261)),ISBLANK(Parcels!B261)),TRUE,FALSE)</f>
        <v>0</v>
      </c>
      <c r="E8989" t="s">
        <v>64</v>
      </c>
      <c r="F8989" t="str">
        <f>INDEX(Lists!I:I,MATCH(Validation!E8989,Lists!G:G,0))</f>
        <v>Error</v>
      </c>
      <c r="G8989" t="str">
        <f>INDEX(Lists!H:H,MATCH(Validation!E8989,Lists!G:G,0))</f>
        <v>You must make a selection from the dropdown list.</v>
      </c>
      <c r="H8989" s="25" t="str">
        <f t="shared" ca="1" si="1056"/>
        <v/>
      </c>
      <c r="I8989" s="25" t="str">
        <f t="shared" ca="1" si="1057"/>
        <v/>
      </c>
      <c r="J8989" s="26" t="str">
        <f t="shared" si="1058"/>
        <v/>
      </c>
    </row>
    <row r="8990" spans="1:10" x14ac:dyDescent="0.25">
      <c r="A8990" t="s">
        <v>111</v>
      </c>
      <c r="B8990" t="str">
        <f>ADDRESS(ROW(Parcels!B262),COLUMN(Parcels!B262),4)</f>
        <v>B262</v>
      </c>
      <c r="C8990" t="str">
        <f>ADDRESS(ROW(Parcels!D262),COLUMN(Parcels!D262),4)</f>
        <v>D262</v>
      </c>
      <c r="D8990" t="b">
        <f>IF(AND(Parcels!$B$6="Yes",NOT(ISBLANK(Parcels!A262)),ISBLANK(Parcels!B262)),TRUE,FALSE)</f>
        <v>0</v>
      </c>
      <c r="E8990" t="s">
        <v>64</v>
      </c>
      <c r="F8990" t="str">
        <f>INDEX(Lists!I:I,MATCH(Validation!E8990,Lists!G:G,0))</f>
        <v>Error</v>
      </c>
      <c r="G8990" t="str">
        <f>INDEX(Lists!H:H,MATCH(Validation!E8990,Lists!G:G,0))</f>
        <v>You must make a selection from the dropdown list.</v>
      </c>
      <c r="H8990" s="25" t="str">
        <f t="shared" ca="1" si="1056"/>
        <v/>
      </c>
      <c r="I8990" s="25" t="str">
        <f t="shared" ca="1" si="1057"/>
        <v/>
      </c>
      <c r="J8990" s="26" t="str">
        <f t="shared" si="1058"/>
        <v/>
      </c>
    </row>
    <row r="8991" spans="1:10" x14ac:dyDescent="0.25">
      <c r="A8991" t="s">
        <v>111</v>
      </c>
      <c r="B8991" t="str">
        <f>ADDRESS(ROW(Parcels!B263),COLUMN(Parcels!B263),4)</f>
        <v>B263</v>
      </c>
      <c r="C8991" t="str">
        <f>ADDRESS(ROW(Parcels!D263),COLUMN(Parcels!D263),4)</f>
        <v>D263</v>
      </c>
      <c r="D8991" t="b">
        <f>IF(AND(Parcels!$B$6="Yes",NOT(ISBLANK(Parcels!A263)),ISBLANK(Parcels!B263)),TRUE,FALSE)</f>
        <v>0</v>
      </c>
      <c r="E8991" t="s">
        <v>64</v>
      </c>
      <c r="F8991" t="str">
        <f>INDEX(Lists!I:I,MATCH(Validation!E8991,Lists!G:G,0))</f>
        <v>Error</v>
      </c>
      <c r="G8991" t="str">
        <f>INDEX(Lists!H:H,MATCH(Validation!E8991,Lists!G:G,0))</f>
        <v>You must make a selection from the dropdown list.</v>
      </c>
      <c r="H8991" s="25" t="str">
        <f t="shared" ca="1" si="1056"/>
        <v/>
      </c>
      <c r="I8991" s="25" t="str">
        <f t="shared" ca="1" si="1057"/>
        <v/>
      </c>
      <c r="J8991" s="26" t="str">
        <f t="shared" si="1058"/>
        <v/>
      </c>
    </row>
    <row r="8992" spans="1:10" x14ac:dyDescent="0.25">
      <c r="A8992" t="s">
        <v>111</v>
      </c>
      <c r="B8992" t="str">
        <f>ADDRESS(ROW(Parcels!B264),COLUMN(Parcels!B264),4)</f>
        <v>B264</v>
      </c>
      <c r="C8992" t="str">
        <f>ADDRESS(ROW(Parcels!D264),COLUMN(Parcels!D264),4)</f>
        <v>D264</v>
      </c>
      <c r="D8992" t="b">
        <f>IF(AND(Parcels!$B$6="Yes",NOT(ISBLANK(Parcels!A264)),ISBLANK(Parcels!B264)),TRUE,FALSE)</f>
        <v>0</v>
      </c>
      <c r="E8992" t="s">
        <v>64</v>
      </c>
      <c r="F8992" t="str">
        <f>INDEX(Lists!I:I,MATCH(Validation!E8992,Lists!G:G,0))</f>
        <v>Error</v>
      </c>
      <c r="G8992" t="str">
        <f>INDEX(Lists!H:H,MATCH(Validation!E8992,Lists!G:G,0))</f>
        <v>You must make a selection from the dropdown list.</v>
      </c>
      <c r="H8992" s="25" t="str">
        <f t="shared" ref="H8992:H9055" ca="1" si="1059">IFERROR(IF(OR(NOT(D8992),F8992&lt;&gt;"Error"),"",A8992&amp;CELL("address",INDIRECT(B8992))),"")</f>
        <v/>
      </c>
      <c r="I8992" s="25" t="str">
        <f t="shared" ref="I8992:I9055" ca="1" si="1060">IFERROR(IF(NOT(D8992),"",A8992&amp;CELL("address",INDIRECT(C8992))),"")</f>
        <v/>
      </c>
      <c r="J8992" s="26" t="str">
        <f t="shared" ref="J8992:J9055" si="1061">IFERROR(IF(NOT(D8992),"",A8992),"")</f>
        <v/>
      </c>
    </row>
    <row r="8993" spans="1:10" x14ac:dyDescent="0.25">
      <c r="A8993" t="s">
        <v>111</v>
      </c>
      <c r="B8993" t="str">
        <f>ADDRESS(ROW(Parcels!B265),COLUMN(Parcels!B265),4)</f>
        <v>B265</v>
      </c>
      <c r="C8993" t="str">
        <f>ADDRESS(ROW(Parcels!D265),COLUMN(Parcels!D265),4)</f>
        <v>D265</v>
      </c>
      <c r="D8993" t="b">
        <f>IF(AND(Parcels!$B$6="Yes",NOT(ISBLANK(Parcels!A265)),ISBLANK(Parcels!B265)),TRUE,FALSE)</f>
        <v>0</v>
      </c>
      <c r="E8993" t="s">
        <v>64</v>
      </c>
      <c r="F8993" t="str">
        <f>INDEX(Lists!I:I,MATCH(Validation!E8993,Lists!G:G,0))</f>
        <v>Error</v>
      </c>
      <c r="G8993" t="str">
        <f>INDEX(Lists!H:H,MATCH(Validation!E8993,Lists!G:G,0))</f>
        <v>You must make a selection from the dropdown list.</v>
      </c>
      <c r="H8993" s="25" t="str">
        <f t="shared" ca="1" si="1059"/>
        <v/>
      </c>
      <c r="I8993" s="25" t="str">
        <f t="shared" ca="1" si="1060"/>
        <v/>
      </c>
      <c r="J8993" s="26" t="str">
        <f t="shared" si="1061"/>
        <v/>
      </c>
    </row>
    <row r="8994" spans="1:10" x14ac:dyDescent="0.25">
      <c r="A8994" t="s">
        <v>111</v>
      </c>
      <c r="B8994" t="str">
        <f>ADDRESS(ROW(Parcels!B266),COLUMN(Parcels!B266),4)</f>
        <v>B266</v>
      </c>
      <c r="C8994" t="str">
        <f>ADDRESS(ROW(Parcels!D266),COLUMN(Parcels!D266),4)</f>
        <v>D266</v>
      </c>
      <c r="D8994" t="b">
        <f>IF(AND(Parcels!$B$6="Yes",NOT(ISBLANK(Parcels!A266)),ISBLANK(Parcels!B266)),TRUE,FALSE)</f>
        <v>0</v>
      </c>
      <c r="E8994" t="s">
        <v>64</v>
      </c>
      <c r="F8994" t="str">
        <f>INDEX(Lists!I:I,MATCH(Validation!E8994,Lists!G:G,0))</f>
        <v>Error</v>
      </c>
      <c r="G8994" t="str">
        <f>INDEX(Lists!H:H,MATCH(Validation!E8994,Lists!G:G,0))</f>
        <v>You must make a selection from the dropdown list.</v>
      </c>
      <c r="H8994" s="25" t="str">
        <f t="shared" ca="1" si="1059"/>
        <v/>
      </c>
      <c r="I8994" s="25" t="str">
        <f t="shared" ca="1" si="1060"/>
        <v/>
      </c>
      <c r="J8994" s="26" t="str">
        <f t="shared" si="1061"/>
        <v/>
      </c>
    </row>
    <row r="8995" spans="1:10" x14ac:dyDescent="0.25">
      <c r="A8995" t="s">
        <v>111</v>
      </c>
      <c r="B8995" t="str">
        <f>ADDRESS(ROW(Parcels!B267),COLUMN(Parcels!B267),4)</f>
        <v>B267</v>
      </c>
      <c r="C8995" t="str">
        <f>ADDRESS(ROW(Parcels!D267),COLUMN(Parcels!D267),4)</f>
        <v>D267</v>
      </c>
      <c r="D8995" t="b">
        <f>IF(AND(Parcels!$B$6="Yes",NOT(ISBLANK(Parcels!A267)),ISBLANK(Parcels!B267)),TRUE,FALSE)</f>
        <v>0</v>
      </c>
      <c r="E8995" t="s">
        <v>64</v>
      </c>
      <c r="F8995" t="str">
        <f>INDEX(Lists!I:I,MATCH(Validation!E8995,Lists!G:G,0))</f>
        <v>Error</v>
      </c>
      <c r="G8995" t="str">
        <f>INDEX(Lists!H:H,MATCH(Validation!E8995,Lists!G:G,0))</f>
        <v>You must make a selection from the dropdown list.</v>
      </c>
      <c r="H8995" s="25" t="str">
        <f t="shared" ca="1" si="1059"/>
        <v/>
      </c>
      <c r="I8995" s="25" t="str">
        <f t="shared" ca="1" si="1060"/>
        <v/>
      </c>
      <c r="J8995" s="26" t="str">
        <f t="shared" si="1061"/>
        <v/>
      </c>
    </row>
    <row r="8996" spans="1:10" x14ac:dyDescent="0.25">
      <c r="A8996" t="s">
        <v>111</v>
      </c>
      <c r="B8996" t="str">
        <f>ADDRESS(ROW(Parcels!B268),COLUMN(Parcels!B268),4)</f>
        <v>B268</v>
      </c>
      <c r="C8996" t="str">
        <f>ADDRESS(ROW(Parcels!D268),COLUMN(Parcels!D268),4)</f>
        <v>D268</v>
      </c>
      <c r="D8996" t="b">
        <f>IF(AND(Parcels!$B$6="Yes",NOT(ISBLANK(Parcels!A268)),ISBLANK(Parcels!B268)),TRUE,FALSE)</f>
        <v>0</v>
      </c>
      <c r="E8996" t="s">
        <v>64</v>
      </c>
      <c r="F8996" t="str">
        <f>INDEX(Lists!I:I,MATCH(Validation!E8996,Lists!G:G,0))</f>
        <v>Error</v>
      </c>
      <c r="G8996" t="str">
        <f>INDEX(Lists!H:H,MATCH(Validation!E8996,Lists!G:G,0))</f>
        <v>You must make a selection from the dropdown list.</v>
      </c>
      <c r="H8996" s="25" t="str">
        <f t="shared" ca="1" si="1059"/>
        <v/>
      </c>
      <c r="I8996" s="25" t="str">
        <f t="shared" ca="1" si="1060"/>
        <v/>
      </c>
      <c r="J8996" s="26" t="str">
        <f t="shared" si="1061"/>
        <v/>
      </c>
    </row>
    <row r="8997" spans="1:10" x14ac:dyDescent="0.25">
      <c r="A8997" t="s">
        <v>111</v>
      </c>
      <c r="B8997" t="str">
        <f>ADDRESS(ROW(Parcels!B269),COLUMN(Parcels!B269),4)</f>
        <v>B269</v>
      </c>
      <c r="C8997" t="str">
        <f>ADDRESS(ROW(Parcels!D269),COLUMN(Parcels!D269),4)</f>
        <v>D269</v>
      </c>
      <c r="D8997" t="b">
        <f>IF(AND(Parcels!$B$6="Yes",NOT(ISBLANK(Parcels!A269)),ISBLANK(Parcels!B269)),TRUE,FALSE)</f>
        <v>0</v>
      </c>
      <c r="E8997" t="s">
        <v>64</v>
      </c>
      <c r="F8997" t="str">
        <f>INDEX(Lists!I:I,MATCH(Validation!E8997,Lists!G:G,0))</f>
        <v>Error</v>
      </c>
      <c r="G8997" t="str">
        <f>INDEX(Lists!H:H,MATCH(Validation!E8997,Lists!G:G,0))</f>
        <v>You must make a selection from the dropdown list.</v>
      </c>
      <c r="H8997" s="25" t="str">
        <f t="shared" ca="1" si="1059"/>
        <v/>
      </c>
      <c r="I8997" s="25" t="str">
        <f t="shared" ca="1" si="1060"/>
        <v/>
      </c>
      <c r="J8997" s="26" t="str">
        <f t="shared" si="1061"/>
        <v/>
      </c>
    </row>
    <row r="8998" spans="1:10" x14ac:dyDescent="0.25">
      <c r="A8998" t="s">
        <v>111</v>
      </c>
      <c r="B8998" t="str">
        <f>ADDRESS(ROW(Parcels!B270),COLUMN(Parcels!B270),4)</f>
        <v>B270</v>
      </c>
      <c r="C8998" t="str">
        <f>ADDRESS(ROW(Parcels!D270),COLUMN(Parcels!D270),4)</f>
        <v>D270</v>
      </c>
      <c r="D8998" t="b">
        <f>IF(AND(Parcels!$B$6="Yes",NOT(ISBLANK(Parcels!A270)),ISBLANK(Parcels!B270)),TRUE,FALSE)</f>
        <v>0</v>
      </c>
      <c r="E8998" t="s">
        <v>64</v>
      </c>
      <c r="F8998" t="str">
        <f>INDEX(Lists!I:I,MATCH(Validation!E8998,Lists!G:G,0))</f>
        <v>Error</v>
      </c>
      <c r="G8998" t="str">
        <f>INDEX(Lists!H:H,MATCH(Validation!E8998,Lists!G:G,0))</f>
        <v>You must make a selection from the dropdown list.</v>
      </c>
      <c r="H8998" s="25" t="str">
        <f t="shared" ca="1" si="1059"/>
        <v/>
      </c>
      <c r="I8998" s="25" t="str">
        <f t="shared" ca="1" si="1060"/>
        <v/>
      </c>
      <c r="J8998" s="26" t="str">
        <f t="shared" si="1061"/>
        <v/>
      </c>
    </row>
    <row r="8999" spans="1:10" x14ac:dyDescent="0.25">
      <c r="A8999" t="s">
        <v>111</v>
      </c>
      <c r="B8999" t="str">
        <f>ADDRESS(ROW(Parcels!B271),COLUMN(Parcels!B271),4)</f>
        <v>B271</v>
      </c>
      <c r="C8999" t="str">
        <f>ADDRESS(ROW(Parcels!D271),COLUMN(Parcels!D271),4)</f>
        <v>D271</v>
      </c>
      <c r="D8999" t="b">
        <f>IF(AND(Parcels!$B$6="Yes",NOT(ISBLANK(Parcels!A271)),ISBLANK(Parcels!B271)),TRUE,FALSE)</f>
        <v>0</v>
      </c>
      <c r="E8999" t="s">
        <v>64</v>
      </c>
      <c r="F8999" t="str">
        <f>INDEX(Lists!I:I,MATCH(Validation!E8999,Lists!G:G,0))</f>
        <v>Error</v>
      </c>
      <c r="G8999" t="str">
        <f>INDEX(Lists!H:H,MATCH(Validation!E8999,Lists!G:G,0))</f>
        <v>You must make a selection from the dropdown list.</v>
      </c>
      <c r="H8999" s="25" t="str">
        <f t="shared" ca="1" si="1059"/>
        <v/>
      </c>
      <c r="I8999" s="25" t="str">
        <f t="shared" ca="1" si="1060"/>
        <v/>
      </c>
      <c r="J8999" s="26" t="str">
        <f t="shared" si="1061"/>
        <v/>
      </c>
    </row>
    <row r="9000" spans="1:10" x14ac:dyDescent="0.25">
      <c r="A9000" t="s">
        <v>111</v>
      </c>
      <c r="B9000" t="str">
        <f>ADDRESS(ROW(Parcels!B272),COLUMN(Parcels!B272),4)</f>
        <v>B272</v>
      </c>
      <c r="C9000" t="str">
        <f>ADDRESS(ROW(Parcels!D272),COLUMN(Parcels!D272),4)</f>
        <v>D272</v>
      </c>
      <c r="D9000" t="b">
        <f>IF(AND(Parcels!$B$6="Yes",NOT(ISBLANK(Parcels!A272)),ISBLANK(Parcels!B272)),TRUE,FALSE)</f>
        <v>0</v>
      </c>
      <c r="E9000" t="s">
        <v>64</v>
      </c>
      <c r="F9000" t="str">
        <f>INDEX(Lists!I:I,MATCH(Validation!E9000,Lists!G:G,0))</f>
        <v>Error</v>
      </c>
      <c r="G9000" t="str">
        <f>INDEX(Lists!H:H,MATCH(Validation!E9000,Lists!G:G,0))</f>
        <v>You must make a selection from the dropdown list.</v>
      </c>
      <c r="H9000" s="25" t="str">
        <f t="shared" ca="1" si="1059"/>
        <v/>
      </c>
      <c r="I9000" s="25" t="str">
        <f t="shared" ca="1" si="1060"/>
        <v/>
      </c>
      <c r="J9000" s="26" t="str">
        <f t="shared" si="1061"/>
        <v/>
      </c>
    </row>
    <row r="9001" spans="1:10" x14ac:dyDescent="0.25">
      <c r="A9001" t="s">
        <v>111</v>
      </c>
      <c r="B9001" t="str">
        <f>ADDRESS(ROW(Parcels!B273),COLUMN(Parcels!B273),4)</f>
        <v>B273</v>
      </c>
      <c r="C9001" t="str">
        <f>ADDRESS(ROW(Parcels!D273),COLUMN(Parcels!D273),4)</f>
        <v>D273</v>
      </c>
      <c r="D9001" t="b">
        <f>IF(AND(Parcels!$B$6="Yes",NOT(ISBLANK(Parcels!A273)),ISBLANK(Parcels!B273)),TRUE,FALSE)</f>
        <v>0</v>
      </c>
      <c r="E9001" t="s">
        <v>64</v>
      </c>
      <c r="F9001" t="str">
        <f>INDEX(Lists!I:I,MATCH(Validation!E9001,Lists!G:G,0))</f>
        <v>Error</v>
      </c>
      <c r="G9001" t="str">
        <f>INDEX(Lists!H:H,MATCH(Validation!E9001,Lists!G:G,0))</f>
        <v>You must make a selection from the dropdown list.</v>
      </c>
      <c r="H9001" s="25" t="str">
        <f t="shared" ca="1" si="1059"/>
        <v/>
      </c>
      <c r="I9001" s="25" t="str">
        <f t="shared" ca="1" si="1060"/>
        <v/>
      </c>
      <c r="J9001" s="26" t="str">
        <f t="shared" si="1061"/>
        <v/>
      </c>
    </row>
    <row r="9002" spans="1:10" x14ac:dyDescent="0.25">
      <c r="A9002" t="s">
        <v>111</v>
      </c>
      <c r="B9002" t="str">
        <f>ADDRESS(ROW(Parcels!B274),COLUMN(Parcels!B274),4)</f>
        <v>B274</v>
      </c>
      <c r="C9002" t="str">
        <f>ADDRESS(ROW(Parcels!D274),COLUMN(Parcels!D274),4)</f>
        <v>D274</v>
      </c>
      <c r="D9002" t="b">
        <f>IF(AND(Parcels!$B$6="Yes",NOT(ISBLANK(Parcels!A274)),ISBLANK(Parcels!B274)),TRUE,FALSE)</f>
        <v>0</v>
      </c>
      <c r="E9002" t="s">
        <v>64</v>
      </c>
      <c r="F9002" t="str">
        <f>INDEX(Lists!I:I,MATCH(Validation!E9002,Lists!G:G,0))</f>
        <v>Error</v>
      </c>
      <c r="G9002" t="str">
        <f>INDEX(Lists!H:H,MATCH(Validation!E9002,Lists!G:G,0))</f>
        <v>You must make a selection from the dropdown list.</v>
      </c>
      <c r="H9002" s="25" t="str">
        <f t="shared" ca="1" si="1059"/>
        <v/>
      </c>
      <c r="I9002" s="25" t="str">
        <f t="shared" ca="1" si="1060"/>
        <v/>
      </c>
      <c r="J9002" s="26" t="str">
        <f t="shared" si="1061"/>
        <v/>
      </c>
    </row>
    <row r="9003" spans="1:10" x14ac:dyDescent="0.25">
      <c r="A9003" t="s">
        <v>111</v>
      </c>
      <c r="B9003" t="str">
        <f>ADDRESS(ROW(Parcels!B275),COLUMN(Parcels!B275),4)</f>
        <v>B275</v>
      </c>
      <c r="C9003" t="str">
        <f>ADDRESS(ROW(Parcels!D275),COLUMN(Parcels!D275),4)</f>
        <v>D275</v>
      </c>
      <c r="D9003" t="b">
        <f>IF(AND(Parcels!$B$6="Yes",NOT(ISBLANK(Parcels!A275)),ISBLANK(Parcels!B275)),TRUE,FALSE)</f>
        <v>0</v>
      </c>
      <c r="E9003" t="s">
        <v>64</v>
      </c>
      <c r="F9003" t="str">
        <f>INDEX(Lists!I:I,MATCH(Validation!E9003,Lists!G:G,0))</f>
        <v>Error</v>
      </c>
      <c r="G9003" t="str">
        <f>INDEX(Lists!H:H,MATCH(Validation!E9003,Lists!G:G,0))</f>
        <v>You must make a selection from the dropdown list.</v>
      </c>
      <c r="H9003" s="25" t="str">
        <f t="shared" ca="1" si="1059"/>
        <v/>
      </c>
      <c r="I9003" s="25" t="str">
        <f t="shared" ca="1" si="1060"/>
        <v/>
      </c>
      <c r="J9003" s="26" t="str">
        <f t="shared" si="1061"/>
        <v/>
      </c>
    </row>
    <row r="9004" spans="1:10" x14ac:dyDescent="0.25">
      <c r="A9004" t="s">
        <v>111</v>
      </c>
      <c r="B9004" t="str">
        <f>ADDRESS(ROW(Parcels!B276),COLUMN(Parcels!B276),4)</f>
        <v>B276</v>
      </c>
      <c r="C9004" t="str">
        <f>ADDRESS(ROW(Parcels!D276),COLUMN(Parcels!D276),4)</f>
        <v>D276</v>
      </c>
      <c r="D9004" t="b">
        <f>IF(AND(Parcels!$B$6="Yes",NOT(ISBLANK(Parcels!A276)),ISBLANK(Parcels!B276)),TRUE,FALSE)</f>
        <v>0</v>
      </c>
      <c r="E9004" t="s">
        <v>64</v>
      </c>
      <c r="F9004" t="str">
        <f>INDEX(Lists!I:I,MATCH(Validation!E9004,Lists!G:G,0))</f>
        <v>Error</v>
      </c>
      <c r="G9004" t="str">
        <f>INDEX(Lists!H:H,MATCH(Validation!E9004,Lists!G:G,0))</f>
        <v>You must make a selection from the dropdown list.</v>
      </c>
      <c r="H9004" s="25" t="str">
        <f t="shared" ca="1" si="1059"/>
        <v/>
      </c>
      <c r="I9004" s="25" t="str">
        <f t="shared" ca="1" si="1060"/>
        <v/>
      </c>
      <c r="J9004" s="26" t="str">
        <f t="shared" si="1061"/>
        <v/>
      </c>
    </row>
    <row r="9005" spans="1:10" x14ac:dyDescent="0.25">
      <c r="A9005" t="s">
        <v>111</v>
      </c>
      <c r="B9005" t="str">
        <f>ADDRESS(ROW(Parcels!B277),COLUMN(Parcels!B277),4)</f>
        <v>B277</v>
      </c>
      <c r="C9005" t="str">
        <f>ADDRESS(ROW(Parcels!D277),COLUMN(Parcels!D277),4)</f>
        <v>D277</v>
      </c>
      <c r="D9005" t="b">
        <f>IF(AND(Parcels!$B$6="Yes",NOT(ISBLANK(Parcels!A277)),ISBLANK(Parcels!B277)),TRUE,FALSE)</f>
        <v>0</v>
      </c>
      <c r="E9005" t="s">
        <v>64</v>
      </c>
      <c r="F9005" t="str">
        <f>INDEX(Lists!I:I,MATCH(Validation!E9005,Lists!G:G,0))</f>
        <v>Error</v>
      </c>
      <c r="G9005" t="str">
        <f>INDEX(Lists!H:H,MATCH(Validation!E9005,Lists!G:G,0))</f>
        <v>You must make a selection from the dropdown list.</v>
      </c>
      <c r="H9005" s="25" t="str">
        <f t="shared" ca="1" si="1059"/>
        <v/>
      </c>
      <c r="I9005" s="25" t="str">
        <f t="shared" ca="1" si="1060"/>
        <v/>
      </c>
      <c r="J9005" s="26" t="str">
        <f t="shared" si="1061"/>
        <v/>
      </c>
    </row>
    <row r="9006" spans="1:10" x14ac:dyDescent="0.25">
      <c r="A9006" t="s">
        <v>111</v>
      </c>
      <c r="B9006" t="str">
        <f>ADDRESS(ROW(Parcels!B278),COLUMN(Parcels!B278),4)</f>
        <v>B278</v>
      </c>
      <c r="C9006" t="str">
        <f>ADDRESS(ROW(Parcels!D278),COLUMN(Parcels!D278),4)</f>
        <v>D278</v>
      </c>
      <c r="D9006" t="b">
        <f>IF(AND(Parcels!$B$6="Yes",NOT(ISBLANK(Parcels!A278)),ISBLANK(Parcels!B278)),TRUE,FALSE)</f>
        <v>0</v>
      </c>
      <c r="E9006" t="s">
        <v>64</v>
      </c>
      <c r="F9006" t="str">
        <f>INDEX(Lists!I:I,MATCH(Validation!E9006,Lists!G:G,0))</f>
        <v>Error</v>
      </c>
      <c r="G9006" t="str">
        <f>INDEX(Lists!H:H,MATCH(Validation!E9006,Lists!G:G,0))</f>
        <v>You must make a selection from the dropdown list.</v>
      </c>
      <c r="H9006" s="25" t="str">
        <f t="shared" ca="1" si="1059"/>
        <v/>
      </c>
      <c r="I9006" s="25" t="str">
        <f t="shared" ca="1" si="1060"/>
        <v/>
      </c>
      <c r="J9006" s="26" t="str">
        <f t="shared" si="1061"/>
        <v/>
      </c>
    </row>
    <row r="9007" spans="1:10" x14ac:dyDescent="0.25">
      <c r="A9007" t="s">
        <v>111</v>
      </c>
      <c r="B9007" t="str">
        <f>ADDRESS(ROW(Parcels!B279),COLUMN(Parcels!B279),4)</f>
        <v>B279</v>
      </c>
      <c r="C9007" t="str">
        <f>ADDRESS(ROW(Parcels!D279),COLUMN(Parcels!D279),4)</f>
        <v>D279</v>
      </c>
      <c r="D9007" t="b">
        <f>IF(AND(Parcels!$B$6="Yes",NOT(ISBLANK(Parcels!A279)),ISBLANK(Parcels!B279)),TRUE,FALSE)</f>
        <v>0</v>
      </c>
      <c r="E9007" t="s">
        <v>64</v>
      </c>
      <c r="F9007" t="str">
        <f>INDEX(Lists!I:I,MATCH(Validation!E9007,Lists!G:G,0))</f>
        <v>Error</v>
      </c>
      <c r="G9007" t="str">
        <f>INDEX(Lists!H:H,MATCH(Validation!E9007,Lists!G:G,0))</f>
        <v>You must make a selection from the dropdown list.</v>
      </c>
      <c r="H9007" s="25" t="str">
        <f t="shared" ca="1" si="1059"/>
        <v/>
      </c>
      <c r="I9007" s="25" t="str">
        <f t="shared" ca="1" si="1060"/>
        <v/>
      </c>
      <c r="J9007" s="26" t="str">
        <f t="shared" si="1061"/>
        <v/>
      </c>
    </row>
    <row r="9008" spans="1:10" x14ac:dyDescent="0.25">
      <c r="A9008" t="s">
        <v>111</v>
      </c>
      <c r="B9008" t="str">
        <f>ADDRESS(ROW(Parcels!B280),COLUMN(Parcels!B280),4)</f>
        <v>B280</v>
      </c>
      <c r="C9008" t="str">
        <f>ADDRESS(ROW(Parcels!D280),COLUMN(Parcels!D280),4)</f>
        <v>D280</v>
      </c>
      <c r="D9008" t="b">
        <f>IF(AND(Parcels!$B$6="Yes",NOT(ISBLANK(Parcels!A280)),ISBLANK(Parcels!B280)),TRUE,FALSE)</f>
        <v>0</v>
      </c>
      <c r="E9008" t="s">
        <v>64</v>
      </c>
      <c r="F9008" t="str">
        <f>INDEX(Lists!I:I,MATCH(Validation!E9008,Lists!G:G,0))</f>
        <v>Error</v>
      </c>
      <c r="G9008" t="str">
        <f>INDEX(Lists!H:H,MATCH(Validation!E9008,Lists!G:G,0))</f>
        <v>You must make a selection from the dropdown list.</v>
      </c>
      <c r="H9008" s="25" t="str">
        <f t="shared" ca="1" si="1059"/>
        <v/>
      </c>
      <c r="I9008" s="25" t="str">
        <f t="shared" ca="1" si="1060"/>
        <v/>
      </c>
      <c r="J9008" s="26" t="str">
        <f t="shared" si="1061"/>
        <v/>
      </c>
    </row>
    <row r="9009" spans="1:10" x14ac:dyDescent="0.25">
      <c r="A9009" t="s">
        <v>111</v>
      </c>
      <c r="B9009" t="str">
        <f>ADDRESS(ROW(Parcels!B281),COLUMN(Parcels!B281),4)</f>
        <v>B281</v>
      </c>
      <c r="C9009" t="str">
        <f>ADDRESS(ROW(Parcels!D281),COLUMN(Parcels!D281),4)</f>
        <v>D281</v>
      </c>
      <c r="D9009" t="b">
        <f>IF(AND(Parcels!$B$6="Yes",NOT(ISBLANK(Parcels!A281)),ISBLANK(Parcels!B281)),TRUE,FALSE)</f>
        <v>0</v>
      </c>
      <c r="E9009" t="s">
        <v>64</v>
      </c>
      <c r="F9009" t="str">
        <f>INDEX(Lists!I:I,MATCH(Validation!E9009,Lists!G:G,0))</f>
        <v>Error</v>
      </c>
      <c r="G9009" t="str">
        <f>INDEX(Lists!H:H,MATCH(Validation!E9009,Lists!G:G,0))</f>
        <v>You must make a selection from the dropdown list.</v>
      </c>
      <c r="H9009" s="25" t="str">
        <f t="shared" ca="1" si="1059"/>
        <v/>
      </c>
      <c r="I9009" s="25" t="str">
        <f t="shared" ca="1" si="1060"/>
        <v/>
      </c>
      <c r="J9009" s="26" t="str">
        <f t="shared" si="1061"/>
        <v/>
      </c>
    </row>
    <row r="9010" spans="1:10" x14ac:dyDescent="0.25">
      <c r="A9010" t="s">
        <v>111</v>
      </c>
      <c r="B9010" t="str">
        <f>ADDRESS(ROW(Parcels!B282),COLUMN(Parcels!B282),4)</f>
        <v>B282</v>
      </c>
      <c r="C9010" t="str">
        <f>ADDRESS(ROW(Parcels!D282),COLUMN(Parcels!D282),4)</f>
        <v>D282</v>
      </c>
      <c r="D9010" t="b">
        <f>IF(AND(Parcels!$B$6="Yes",NOT(ISBLANK(Parcels!A282)),ISBLANK(Parcels!B282)),TRUE,FALSE)</f>
        <v>0</v>
      </c>
      <c r="E9010" t="s">
        <v>64</v>
      </c>
      <c r="F9010" t="str">
        <f>INDEX(Lists!I:I,MATCH(Validation!E9010,Lists!G:G,0))</f>
        <v>Error</v>
      </c>
      <c r="G9010" t="str">
        <f>INDEX(Lists!H:H,MATCH(Validation!E9010,Lists!G:G,0))</f>
        <v>You must make a selection from the dropdown list.</v>
      </c>
      <c r="H9010" s="25" t="str">
        <f t="shared" ca="1" si="1059"/>
        <v/>
      </c>
      <c r="I9010" s="25" t="str">
        <f t="shared" ca="1" si="1060"/>
        <v/>
      </c>
      <c r="J9010" s="26" t="str">
        <f t="shared" si="1061"/>
        <v/>
      </c>
    </row>
    <row r="9011" spans="1:10" x14ac:dyDescent="0.25">
      <c r="A9011" t="s">
        <v>111</v>
      </c>
      <c r="B9011" t="str">
        <f>ADDRESS(ROW(Parcels!B283),COLUMN(Parcels!B283),4)</f>
        <v>B283</v>
      </c>
      <c r="C9011" t="str">
        <f>ADDRESS(ROW(Parcels!D283),COLUMN(Parcels!D283),4)</f>
        <v>D283</v>
      </c>
      <c r="D9011" t="b">
        <f>IF(AND(Parcels!$B$6="Yes",NOT(ISBLANK(Parcels!A283)),ISBLANK(Parcels!B283)),TRUE,FALSE)</f>
        <v>0</v>
      </c>
      <c r="E9011" t="s">
        <v>64</v>
      </c>
      <c r="F9011" t="str">
        <f>INDEX(Lists!I:I,MATCH(Validation!E9011,Lists!G:G,0))</f>
        <v>Error</v>
      </c>
      <c r="G9011" t="str">
        <f>INDEX(Lists!H:H,MATCH(Validation!E9011,Lists!G:G,0))</f>
        <v>You must make a selection from the dropdown list.</v>
      </c>
      <c r="H9011" s="25" t="str">
        <f t="shared" ca="1" si="1059"/>
        <v/>
      </c>
      <c r="I9011" s="25" t="str">
        <f t="shared" ca="1" si="1060"/>
        <v/>
      </c>
      <c r="J9011" s="26" t="str">
        <f t="shared" si="1061"/>
        <v/>
      </c>
    </row>
    <row r="9012" spans="1:10" x14ac:dyDescent="0.25">
      <c r="A9012" t="s">
        <v>111</v>
      </c>
      <c r="B9012" t="str">
        <f>ADDRESS(ROW(Parcels!B284),COLUMN(Parcels!B284),4)</f>
        <v>B284</v>
      </c>
      <c r="C9012" t="str">
        <f>ADDRESS(ROW(Parcels!D284),COLUMN(Parcels!D284),4)</f>
        <v>D284</v>
      </c>
      <c r="D9012" t="b">
        <f>IF(AND(Parcels!$B$6="Yes",NOT(ISBLANK(Parcels!A284)),ISBLANK(Parcels!B284)),TRUE,FALSE)</f>
        <v>0</v>
      </c>
      <c r="E9012" t="s">
        <v>64</v>
      </c>
      <c r="F9012" t="str">
        <f>INDEX(Lists!I:I,MATCH(Validation!E9012,Lists!G:G,0))</f>
        <v>Error</v>
      </c>
      <c r="G9012" t="str">
        <f>INDEX(Lists!H:H,MATCH(Validation!E9012,Lists!G:G,0))</f>
        <v>You must make a selection from the dropdown list.</v>
      </c>
      <c r="H9012" s="25" t="str">
        <f t="shared" ca="1" si="1059"/>
        <v/>
      </c>
      <c r="I9012" s="25" t="str">
        <f t="shared" ca="1" si="1060"/>
        <v/>
      </c>
      <c r="J9012" s="26" t="str">
        <f t="shared" si="1061"/>
        <v/>
      </c>
    </row>
    <row r="9013" spans="1:10" x14ac:dyDescent="0.25">
      <c r="A9013" t="s">
        <v>111</v>
      </c>
      <c r="B9013" t="str">
        <f>ADDRESS(ROW(Parcels!B285),COLUMN(Parcels!B285),4)</f>
        <v>B285</v>
      </c>
      <c r="C9013" t="str">
        <f>ADDRESS(ROW(Parcels!D285),COLUMN(Parcels!D285),4)</f>
        <v>D285</v>
      </c>
      <c r="D9013" t="b">
        <f>IF(AND(Parcels!$B$6="Yes",NOT(ISBLANK(Parcels!A285)),ISBLANK(Parcels!B285)),TRUE,FALSE)</f>
        <v>0</v>
      </c>
      <c r="E9013" t="s">
        <v>64</v>
      </c>
      <c r="F9013" t="str">
        <f>INDEX(Lists!I:I,MATCH(Validation!E9013,Lists!G:G,0))</f>
        <v>Error</v>
      </c>
      <c r="G9013" t="str">
        <f>INDEX(Lists!H:H,MATCH(Validation!E9013,Lists!G:G,0))</f>
        <v>You must make a selection from the dropdown list.</v>
      </c>
      <c r="H9013" s="25" t="str">
        <f t="shared" ca="1" si="1059"/>
        <v/>
      </c>
      <c r="I9013" s="25" t="str">
        <f t="shared" ca="1" si="1060"/>
        <v/>
      </c>
      <c r="J9013" s="26" t="str">
        <f t="shared" si="1061"/>
        <v/>
      </c>
    </row>
    <row r="9014" spans="1:10" x14ac:dyDescent="0.25">
      <c r="A9014" t="s">
        <v>111</v>
      </c>
      <c r="B9014" t="str">
        <f>ADDRESS(ROW(Parcels!B286),COLUMN(Parcels!B286),4)</f>
        <v>B286</v>
      </c>
      <c r="C9014" t="str">
        <f>ADDRESS(ROW(Parcels!D286),COLUMN(Parcels!D286),4)</f>
        <v>D286</v>
      </c>
      <c r="D9014" t="b">
        <f>IF(AND(Parcels!$B$6="Yes",NOT(ISBLANK(Parcels!A286)),ISBLANK(Parcels!B286)),TRUE,FALSE)</f>
        <v>0</v>
      </c>
      <c r="E9014" t="s">
        <v>64</v>
      </c>
      <c r="F9014" t="str">
        <f>INDEX(Lists!I:I,MATCH(Validation!E9014,Lists!G:G,0))</f>
        <v>Error</v>
      </c>
      <c r="G9014" t="str">
        <f>INDEX(Lists!H:H,MATCH(Validation!E9014,Lists!G:G,0))</f>
        <v>You must make a selection from the dropdown list.</v>
      </c>
      <c r="H9014" s="25" t="str">
        <f t="shared" ca="1" si="1059"/>
        <v/>
      </c>
      <c r="I9014" s="25" t="str">
        <f t="shared" ca="1" si="1060"/>
        <v/>
      </c>
      <c r="J9014" s="26" t="str">
        <f t="shared" si="1061"/>
        <v/>
      </c>
    </row>
    <row r="9015" spans="1:10" x14ac:dyDescent="0.25">
      <c r="A9015" t="s">
        <v>111</v>
      </c>
      <c r="B9015" t="str">
        <f>ADDRESS(ROW(Parcels!B287),COLUMN(Parcels!B287),4)</f>
        <v>B287</v>
      </c>
      <c r="C9015" t="str">
        <f>ADDRESS(ROW(Parcels!D287),COLUMN(Parcels!D287),4)</f>
        <v>D287</v>
      </c>
      <c r="D9015" t="b">
        <f>IF(AND(Parcels!$B$6="Yes",NOT(ISBLANK(Parcels!A287)),ISBLANK(Parcels!B287)),TRUE,FALSE)</f>
        <v>0</v>
      </c>
      <c r="E9015" t="s">
        <v>64</v>
      </c>
      <c r="F9015" t="str">
        <f>INDEX(Lists!I:I,MATCH(Validation!E9015,Lists!G:G,0))</f>
        <v>Error</v>
      </c>
      <c r="G9015" t="str">
        <f>INDEX(Lists!H:H,MATCH(Validation!E9015,Lists!G:G,0))</f>
        <v>You must make a selection from the dropdown list.</v>
      </c>
      <c r="H9015" s="25" t="str">
        <f t="shared" ca="1" si="1059"/>
        <v/>
      </c>
      <c r="I9015" s="25" t="str">
        <f t="shared" ca="1" si="1060"/>
        <v/>
      </c>
      <c r="J9015" s="26" t="str">
        <f t="shared" si="1061"/>
        <v/>
      </c>
    </row>
    <row r="9016" spans="1:10" x14ac:dyDescent="0.25">
      <c r="A9016" t="s">
        <v>111</v>
      </c>
      <c r="B9016" t="str">
        <f>ADDRESS(ROW(Parcels!B288),COLUMN(Parcels!B288),4)</f>
        <v>B288</v>
      </c>
      <c r="C9016" t="str">
        <f>ADDRESS(ROW(Parcels!D288),COLUMN(Parcels!D288),4)</f>
        <v>D288</v>
      </c>
      <c r="D9016" t="b">
        <f>IF(AND(Parcels!$B$6="Yes",NOT(ISBLANK(Parcels!A288)),ISBLANK(Parcels!B288)),TRUE,FALSE)</f>
        <v>0</v>
      </c>
      <c r="E9016" t="s">
        <v>64</v>
      </c>
      <c r="F9016" t="str">
        <f>INDEX(Lists!I:I,MATCH(Validation!E9016,Lists!G:G,0))</f>
        <v>Error</v>
      </c>
      <c r="G9016" t="str">
        <f>INDEX(Lists!H:H,MATCH(Validation!E9016,Lists!G:G,0))</f>
        <v>You must make a selection from the dropdown list.</v>
      </c>
      <c r="H9016" s="25" t="str">
        <f t="shared" ca="1" si="1059"/>
        <v/>
      </c>
      <c r="I9016" s="25" t="str">
        <f t="shared" ca="1" si="1060"/>
        <v/>
      </c>
      <c r="J9016" s="26" t="str">
        <f t="shared" si="1061"/>
        <v/>
      </c>
    </row>
    <row r="9017" spans="1:10" x14ac:dyDescent="0.25">
      <c r="A9017" t="s">
        <v>111</v>
      </c>
      <c r="B9017" t="str">
        <f>ADDRESS(ROW(Parcels!B289),COLUMN(Parcels!B289),4)</f>
        <v>B289</v>
      </c>
      <c r="C9017" t="str">
        <f>ADDRESS(ROW(Parcels!D289),COLUMN(Parcels!D289),4)</f>
        <v>D289</v>
      </c>
      <c r="D9017" t="b">
        <f>IF(AND(Parcels!$B$6="Yes",NOT(ISBLANK(Parcels!A289)),ISBLANK(Parcels!B289)),TRUE,FALSE)</f>
        <v>0</v>
      </c>
      <c r="E9017" t="s">
        <v>64</v>
      </c>
      <c r="F9017" t="str">
        <f>INDEX(Lists!I:I,MATCH(Validation!E9017,Lists!G:G,0))</f>
        <v>Error</v>
      </c>
      <c r="G9017" t="str">
        <f>INDEX(Lists!H:H,MATCH(Validation!E9017,Lists!G:G,0))</f>
        <v>You must make a selection from the dropdown list.</v>
      </c>
      <c r="H9017" s="25" t="str">
        <f t="shared" ca="1" si="1059"/>
        <v/>
      </c>
      <c r="I9017" s="25" t="str">
        <f t="shared" ca="1" si="1060"/>
        <v/>
      </c>
      <c r="J9017" s="26" t="str">
        <f t="shared" si="1061"/>
        <v/>
      </c>
    </row>
    <row r="9018" spans="1:10" x14ac:dyDescent="0.25">
      <c r="A9018" t="s">
        <v>111</v>
      </c>
      <c r="B9018" t="str">
        <f>ADDRESS(ROW(Parcels!B290),COLUMN(Parcels!B290),4)</f>
        <v>B290</v>
      </c>
      <c r="C9018" t="str">
        <f>ADDRESS(ROW(Parcels!D290),COLUMN(Parcels!D290),4)</f>
        <v>D290</v>
      </c>
      <c r="D9018" t="b">
        <f>IF(AND(Parcels!$B$6="Yes",NOT(ISBLANK(Parcels!A290)),ISBLANK(Parcels!B290)),TRUE,FALSE)</f>
        <v>0</v>
      </c>
      <c r="E9018" t="s">
        <v>64</v>
      </c>
      <c r="F9018" t="str">
        <f>INDEX(Lists!I:I,MATCH(Validation!E9018,Lists!G:G,0))</f>
        <v>Error</v>
      </c>
      <c r="G9018" t="str">
        <f>INDEX(Lists!H:H,MATCH(Validation!E9018,Lists!G:G,0))</f>
        <v>You must make a selection from the dropdown list.</v>
      </c>
      <c r="H9018" s="25" t="str">
        <f t="shared" ca="1" si="1059"/>
        <v/>
      </c>
      <c r="I9018" s="25" t="str">
        <f t="shared" ca="1" si="1060"/>
        <v/>
      </c>
      <c r="J9018" s="26" t="str">
        <f t="shared" si="1061"/>
        <v/>
      </c>
    </row>
    <row r="9019" spans="1:10" x14ac:dyDescent="0.25">
      <c r="A9019" t="s">
        <v>111</v>
      </c>
      <c r="B9019" t="str">
        <f>ADDRESS(ROW(Parcels!B291),COLUMN(Parcels!B291),4)</f>
        <v>B291</v>
      </c>
      <c r="C9019" t="str">
        <f>ADDRESS(ROW(Parcels!D291),COLUMN(Parcels!D291),4)</f>
        <v>D291</v>
      </c>
      <c r="D9019" t="b">
        <f>IF(AND(Parcels!$B$6="Yes",NOT(ISBLANK(Parcels!A291)),ISBLANK(Parcels!B291)),TRUE,FALSE)</f>
        <v>0</v>
      </c>
      <c r="E9019" t="s">
        <v>64</v>
      </c>
      <c r="F9019" t="str">
        <f>INDEX(Lists!I:I,MATCH(Validation!E9019,Lists!G:G,0))</f>
        <v>Error</v>
      </c>
      <c r="G9019" t="str">
        <f>INDEX(Lists!H:H,MATCH(Validation!E9019,Lists!G:G,0))</f>
        <v>You must make a selection from the dropdown list.</v>
      </c>
      <c r="H9019" s="25" t="str">
        <f t="shared" ca="1" si="1059"/>
        <v/>
      </c>
      <c r="I9019" s="25" t="str">
        <f t="shared" ca="1" si="1060"/>
        <v/>
      </c>
      <c r="J9019" s="26" t="str">
        <f t="shared" si="1061"/>
        <v/>
      </c>
    </row>
    <row r="9020" spans="1:10" x14ac:dyDescent="0.25">
      <c r="A9020" t="s">
        <v>111</v>
      </c>
      <c r="B9020" t="str">
        <f>ADDRESS(ROW(Parcels!B292),COLUMN(Parcels!B292),4)</f>
        <v>B292</v>
      </c>
      <c r="C9020" t="str">
        <f>ADDRESS(ROW(Parcels!D292),COLUMN(Parcels!D292),4)</f>
        <v>D292</v>
      </c>
      <c r="D9020" t="b">
        <f>IF(AND(Parcels!$B$6="Yes",NOT(ISBLANK(Parcels!A292)),ISBLANK(Parcels!B292)),TRUE,FALSE)</f>
        <v>0</v>
      </c>
      <c r="E9020" t="s">
        <v>64</v>
      </c>
      <c r="F9020" t="str">
        <f>INDEX(Lists!I:I,MATCH(Validation!E9020,Lists!G:G,0))</f>
        <v>Error</v>
      </c>
      <c r="G9020" t="str">
        <f>INDEX(Lists!H:H,MATCH(Validation!E9020,Lists!G:G,0))</f>
        <v>You must make a selection from the dropdown list.</v>
      </c>
      <c r="H9020" s="25" t="str">
        <f t="shared" ca="1" si="1059"/>
        <v/>
      </c>
      <c r="I9020" s="25" t="str">
        <f t="shared" ca="1" si="1060"/>
        <v/>
      </c>
      <c r="J9020" s="26" t="str">
        <f t="shared" si="1061"/>
        <v/>
      </c>
    </row>
    <row r="9021" spans="1:10" x14ac:dyDescent="0.25">
      <c r="A9021" t="s">
        <v>111</v>
      </c>
      <c r="B9021" t="str">
        <f>ADDRESS(ROW(Parcels!B293),COLUMN(Parcels!B293),4)</f>
        <v>B293</v>
      </c>
      <c r="C9021" t="str">
        <f>ADDRESS(ROW(Parcels!D293),COLUMN(Parcels!D293),4)</f>
        <v>D293</v>
      </c>
      <c r="D9021" t="b">
        <f>IF(AND(Parcels!$B$6="Yes",NOT(ISBLANK(Parcels!A293)),ISBLANK(Parcels!B293)),TRUE,FALSE)</f>
        <v>0</v>
      </c>
      <c r="E9021" t="s">
        <v>64</v>
      </c>
      <c r="F9021" t="str">
        <f>INDEX(Lists!I:I,MATCH(Validation!E9021,Lists!G:G,0))</f>
        <v>Error</v>
      </c>
      <c r="G9021" t="str">
        <f>INDEX(Lists!H:H,MATCH(Validation!E9021,Lists!G:G,0))</f>
        <v>You must make a selection from the dropdown list.</v>
      </c>
      <c r="H9021" s="25" t="str">
        <f t="shared" ca="1" si="1059"/>
        <v/>
      </c>
      <c r="I9021" s="25" t="str">
        <f t="shared" ca="1" si="1060"/>
        <v/>
      </c>
      <c r="J9021" s="26" t="str">
        <f t="shared" si="1061"/>
        <v/>
      </c>
    </row>
    <row r="9022" spans="1:10" x14ac:dyDescent="0.25">
      <c r="A9022" t="s">
        <v>111</v>
      </c>
      <c r="B9022" t="str">
        <f>ADDRESS(ROW(Parcels!B294),COLUMN(Parcels!B294),4)</f>
        <v>B294</v>
      </c>
      <c r="C9022" t="str">
        <f>ADDRESS(ROW(Parcels!D294),COLUMN(Parcels!D294),4)</f>
        <v>D294</v>
      </c>
      <c r="D9022" t="b">
        <f>IF(AND(Parcels!$B$6="Yes",NOT(ISBLANK(Parcels!A294)),ISBLANK(Parcels!B294)),TRUE,FALSE)</f>
        <v>0</v>
      </c>
      <c r="E9022" t="s">
        <v>64</v>
      </c>
      <c r="F9022" t="str">
        <f>INDEX(Lists!I:I,MATCH(Validation!E9022,Lists!G:G,0))</f>
        <v>Error</v>
      </c>
      <c r="G9022" t="str">
        <f>INDEX(Lists!H:H,MATCH(Validation!E9022,Lists!G:G,0))</f>
        <v>You must make a selection from the dropdown list.</v>
      </c>
      <c r="H9022" s="25" t="str">
        <f t="shared" ca="1" si="1059"/>
        <v/>
      </c>
      <c r="I9022" s="25" t="str">
        <f t="shared" ca="1" si="1060"/>
        <v/>
      </c>
      <c r="J9022" s="26" t="str">
        <f t="shared" si="1061"/>
        <v/>
      </c>
    </row>
    <row r="9023" spans="1:10" x14ac:dyDescent="0.25">
      <c r="A9023" t="s">
        <v>111</v>
      </c>
      <c r="B9023" t="str">
        <f>ADDRESS(ROW(Parcels!B295),COLUMN(Parcels!B295),4)</f>
        <v>B295</v>
      </c>
      <c r="C9023" t="str">
        <f>ADDRESS(ROW(Parcels!D295),COLUMN(Parcels!D295),4)</f>
        <v>D295</v>
      </c>
      <c r="D9023" t="b">
        <f>IF(AND(Parcels!$B$6="Yes",NOT(ISBLANK(Parcels!A295)),ISBLANK(Parcels!B295)),TRUE,FALSE)</f>
        <v>0</v>
      </c>
      <c r="E9023" t="s">
        <v>64</v>
      </c>
      <c r="F9023" t="str">
        <f>INDEX(Lists!I:I,MATCH(Validation!E9023,Lists!G:G,0))</f>
        <v>Error</v>
      </c>
      <c r="G9023" t="str">
        <f>INDEX(Lists!H:H,MATCH(Validation!E9023,Lists!G:G,0))</f>
        <v>You must make a selection from the dropdown list.</v>
      </c>
      <c r="H9023" s="25" t="str">
        <f t="shared" ca="1" si="1059"/>
        <v/>
      </c>
      <c r="I9023" s="25" t="str">
        <f t="shared" ca="1" si="1060"/>
        <v/>
      </c>
      <c r="J9023" s="26" t="str">
        <f t="shared" si="1061"/>
        <v/>
      </c>
    </row>
    <row r="9024" spans="1:10" x14ac:dyDescent="0.25">
      <c r="A9024" t="s">
        <v>111</v>
      </c>
      <c r="B9024" t="str">
        <f>ADDRESS(ROW(Parcels!B296),COLUMN(Parcels!B296),4)</f>
        <v>B296</v>
      </c>
      <c r="C9024" t="str">
        <f>ADDRESS(ROW(Parcels!D296),COLUMN(Parcels!D296),4)</f>
        <v>D296</v>
      </c>
      <c r="D9024" t="b">
        <f>IF(AND(Parcels!$B$6="Yes",NOT(ISBLANK(Parcels!A296)),ISBLANK(Parcels!B296)),TRUE,FALSE)</f>
        <v>0</v>
      </c>
      <c r="E9024" t="s">
        <v>64</v>
      </c>
      <c r="F9024" t="str">
        <f>INDEX(Lists!I:I,MATCH(Validation!E9024,Lists!G:G,0))</f>
        <v>Error</v>
      </c>
      <c r="G9024" t="str">
        <f>INDEX(Lists!H:H,MATCH(Validation!E9024,Lists!G:G,0))</f>
        <v>You must make a selection from the dropdown list.</v>
      </c>
      <c r="H9024" s="25" t="str">
        <f t="shared" ca="1" si="1059"/>
        <v/>
      </c>
      <c r="I9024" s="25" t="str">
        <f t="shared" ca="1" si="1060"/>
        <v/>
      </c>
      <c r="J9024" s="26" t="str">
        <f t="shared" si="1061"/>
        <v/>
      </c>
    </row>
    <row r="9025" spans="1:10" x14ac:dyDescent="0.25">
      <c r="A9025" t="s">
        <v>111</v>
      </c>
      <c r="B9025" t="str">
        <f>ADDRESS(ROW(Parcels!B297),COLUMN(Parcels!B297),4)</f>
        <v>B297</v>
      </c>
      <c r="C9025" t="str">
        <f>ADDRESS(ROW(Parcels!D297),COLUMN(Parcels!D297),4)</f>
        <v>D297</v>
      </c>
      <c r="D9025" t="b">
        <f>IF(AND(Parcels!$B$6="Yes",NOT(ISBLANK(Parcels!A297)),ISBLANK(Parcels!B297)),TRUE,FALSE)</f>
        <v>0</v>
      </c>
      <c r="E9025" t="s">
        <v>64</v>
      </c>
      <c r="F9025" t="str">
        <f>INDEX(Lists!I:I,MATCH(Validation!E9025,Lists!G:G,0))</f>
        <v>Error</v>
      </c>
      <c r="G9025" t="str">
        <f>INDEX(Lists!H:H,MATCH(Validation!E9025,Lists!G:G,0))</f>
        <v>You must make a selection from the dropdown list.</v>
      </c>
      <c r="H9025" s="25" t="str">
        <f t="shared" ca="1" si="1059"/>
        <v/>
      </c>
      <c r="I9025" s="25" t="str">
        <f t="shared" ca="1" si="1060"/>
        <v/>
      </c>
      <c r="J9025" s="26" t="str">
        <f t="shared" si="1061"/>
        <v/>
      </c>
    </row>
    <row r="9026" spans="1:10" x14ac:dyDescent="0.25">
      <c r="A9026" t="s">
        <v>111</v>
      </c>
      <c r="B9026" t="str">
        <f>ADDRESS(ROW(Parcels!B298),COLUMN(Parcels!B298),4)</f>
        <v>B298</v>
      </c>
      <c r="C9026" t="str">
        <f>ADDRESS(ROW(Parcels!D298),COLUMN(Parcels!D298),4)</f>
        <v>D298</v>
      </c>
      <c r="D9026" t="b">
        <f>IF(AND(Parcels!$B$6="Yes",NOT(ISBLANK(Parcels!A298)),ISBLANK(Parcels!B298)),TRUE,FALSE)</f>
        <v>0</v>
      </c>
      <c r="E9026" t="s">
        <v>64</v>
      </c>
      <c r="F9026" t="str">
        <f>INDEX(Lists!I:I,MATCH(Validation!E9026,Lists!G:G,0))</f>
        <v>Error</v>
      </c>
      <c r="G9026" t="str">
        <f>INDEX(Lists!H:H,MATCH(Validation!E9026,Lists!G:G,0))</f>
        <v>You must make a selection from the dropdown list.</v>
      </c>
      <c r="H9026" s="25" t="str">
        <f t="shared" ca="1" si="1059"/>
        <v/>
      </c>
      <c r="I9026" s="25" t="str">
        <f t="shared" ca="1" si="1060"/>
        <v/>
      </c>
      <c r="J9026" s="26" t="str">
        <f t="shared" si="1061"/>
        <v/>
      </c>
    </row>
    <row r="9027" spans="1:10" x14ac:dyDescent="0.25">
      <c r="A9027" t="s">
        <v>111</v>
      </c>
      <c r="B9027" t="str">
        <f>ADDRESS(ROW(Parcels!B299),COLUMN(Parcels!B299),4)</f>
        <v>B299</v>
      </c>
      <c r="C9027" t="str">
        <f>ADDRESS(ROW(Parcels!D299),COLUMN(Parcels!D299),4)</f>
        <v>D299</v>
      </c>
      <c r="D9027" t="b">
        <f>IF(AND(Parcels!$B$6="Yes",NOT(ISBLANK(Parcels!A299)),ISBLANK(Parcels!B299)),TRUE,FALSE)</f>
        <v>0</v>
      </c>
      <c r="E9027" t="s">
        <v>64</v>
      </c>
      <c r="F9027" t="str">
        <f>INDEX(Lists!I:I,MATCH(Validation!E9027,Lists!G:G,0))</f>
        <v>Error</v>
      </c>
      <c r="G9027" t="str">
        <f>INDEX(Lists!H:H,MATCH(Validation!E9027,Lists!G:G,0))</f>
        <v>You must make a selection from the dropdown list.</v>
      </c>
      <c r="H9027" s="25" t="str">
        <f t="shared" ca="1" si="1059"/>
        <v/>
      </c>
      <c r="I9027" s="25" t="str">
        <f t="shared" ca="1" si="1060"/>
        <v/>
      </c>
      <c r="J9027" s="26" t="str">
        <f t="shared" si="1061"/>
        <v/>
      </c>
    </row>
    <row r="9028" spans="1:10" x14ac:dyDescent="0.25">
      <c r="A9028" t="s">
        <v>111</v>
      </c>
      <c r="B9028" t="str">
        <f>ADDRESS(ROW(Parcels!B300),COLUMN(Parcels!B300),4)</f>
        <v>B300</v>
      </c>
      <c r="C9028" t="str">
        <f>ADDRESS(ROW(Parcels!D300),COLUMN(Parcels!D300),4)</f>
        <v>D300</v>
      </c>
      <c r="D9028" t="b">
        <f>IF(AND(Parcels!$B$6="Yes",NOT(ISBLANK(Parcels!A300)),ISBLANK(Parcels!B300)),TRUE,FALSE)</f>
        <v>0</v>
      </c>
      <c r="E9028" t="s">
        <v>64</v>
      </c>
      <c r="F9028" t="str">
        <f>INDEX(Lists!I:I,MATCH(Validation!E9028,Lists!G:G,0))</f>
        <v>Error</v>
      </c>
      <c r="G9028" t="str">
        <f>INDEX(Lists!H:H,MATCH(Validation!E9028,Lists!G:G,0))</f>
        <v>You must make a selection from the dropdown list.</v>
      </c>
      <c r="H9028" s="25" t="str">
        <f t="shared" ca="1" si="1059"/>
        <v/>
      </c>
      <c r="I9028" s="25" t="str">
        <f t="shared" ca="1" si="1060"/>
        <v/>
      </c>
      <c r="J9028" s="26" t="str">
        <f t="shared" si="1061"/>
        <v/>
      </c>
    </row>
    <row r="9029" spans="1:10" x14ac:dyDescent="0.25">
      <c r="A9029" t="s">
        <v>111</v>
      </c>
      <c r="B9029" t="str">
        <f>ADDRESS(ROW(Parcels!B301),COLUMN(Parcels!B301),4)</f>
        <v>B301</v>
      </c>
      <c r="C9029" t="str">
        <f>ADDRESS(ROW(Parcels!D301),COLUMN(Parcels!D301),4)</f>
        <v>D301</v>
      </c>
      <c r="D9029" t="b">
        <f>IF(AND(Parcels!$B$6="Yes",NOT(ISBLANK(Parcels!A301)),ISBLANK(Parcels!B301)),TRUE,FALSE)</f>
        <v>0</v>
      </c>
      <c r="E9029" t="s">
        <v>64</v>
      </c>
      <c r="F9029" t="str">
        <f>INDEX(Lists!I:I,MATCH(Validation!E9029,Lists!G:G,0))</f>
        <v>Error</v>
      </c>
      <c r="G9029" t="str">
        <f>INDEX(Lists!H:H,MATCH(Validation!E9029,Lists!G:G,0))</f>
        <v>You must make a selection from the dropdown list.</v>
      </c>
      <c r="H9029" s="25" t="str">
        <f t="shared" ca="1" si="1059"/>
        <v/>
      </c>
      <c r="I9029" s="25" t="str">
        <f t="shared" ca="1" si="1060"/>
        <v/>
      </c>
      <c r="J9029" s="26" t="str">
        <f t="shared" si="1061"/>
        <v/>
      </c>
    </row>
    <row r="9030" spans="1:10" x14ac:dyDescent="0.25">
      <c r="A9030" t="s">
        <v>111</v>
      </c>
      <c r="B9030" t="str">
        <f>ADDRESS(ROW(Parcels!B302),COLUMN(Parcels!B302),4)</f>
        <v>B302</v>
      </c>
      <c r="C9030" t="str">
        <f>ADDRESS(ROW(Parcels!D302),COLUMN(Parcels!D302),4)</f>
        <v>D302</v>
      </c>
      <c r="D9030" t="b">
        <f>IF(AND(Parcels!$B$6="Yes",NOT(ISBLANK(Parcels!A302)),ISBLANK(Parcels!B302)),TRUE,FALSE)</f>
        <v>0</v>
      </c>
      <c r="E9030" t="s">
        <v>64</v>
      </c>
      <c r="F9030" t="str">
        <f>INDEX(Lists!I:I,MATCH(Validation!E9030,Lists!G:G,0))</f>
        <v>Error</v>
      </c>
      <c r="G9030" t="str">
        <f>INDEX(Lists!H:H,MATCH(Validation!E9030,Lists!G:G,0))</f>
        <v>You must make a selection from the dropdown list.</v>
      </c>
      <c r="H9030" s="25" t="str">
        <f t="shared" ca="1" si="1059"/>
        <v/>
      </c>
      <c r="I9030" s="25" t="str">
        <f t="shared" ca="1" si="1060"/>
        <v/>
      </c>
      <c r="J9030" s="26" t="str">
        <f t="shared" si="1061"/>
        <v/>
      </c>
    </row>
    <row r="9031" spans="1:10" x14ac:dyDescent="0.25">
      <c r="A9031" t="s">
        <v>111</v>
      </c>
      <c r="B9031" t="str">
        <f>ADDRESS(ROW(Parcels!B303),COLUMN(Parcels!B303),4)</f>
        <v>B303</v>
      </c>
      <c r="C9031" t="str">
        <f>ADDRESS(ROW(Parcels!D303),COLUMN(Parcels!D303),4)</f>
        <v>D303</v>
      </c>
      <c r="D9031" t="b">
        <f>IF(AND(Parcels!$B$6="Yes",NOT(ISBLANK(Parcels!A303)),ISBLANK(Parcels!B303)),TRUE,FALSE)</f>
        <v>0</v>
      </c>
      <c r="E9031" t="s">
        <v>64</v>
      </c>
      <c r="F9031" t="str">
        <f>INDEX(Lists!I:I,MATCH(Validation!E9031,Lists!G:G,0))</f>
        <v>Error</v>
      </c>
      <c r="G9031" t="str">
        <f>INDEX(Lists!H:H,MATCH(Validation!E9031,Lists!G:G,0))</f>
        <v>You must make a selection from the dropdown list.</v>
      </c>
      <c r="H9031" s="25" t="str">
        <f t="shared" ca="1" si="1059"/>
        <v/>
      </c>
      <c r="I9031" s="25" t="str">
        <f t="shared" ca="1" si="1060"/>
        <v/>
      </c>
      <c r="J9031" s="26" t="str">
        <f t="shared" si="1061"/>
        <v/>
      </c>
    </row>
    <row r="9032" spans="1:10" x14ac:dyDescent="0.25">
      <c r="A9032" t="s">
        <v>111</v>
      </c>
      <c r="B9032" t="str">
        <f>ADDRESS(ROW(Parcels!B304),COLUMN(Parcels!B304),4)</f>
        <v>B304</v>
      </c>
      <c r="C9032" t="str">
        <f>ADDRESS(ROW(Parcels!D304),COLUMN(Parcels!D304),4)</f>
        <v>D304</v>
      </c>
      <c r="D9032" t="b">
        <f>IF(AND(Parcels!$B$6="Yes",NOT(ISBLANK(Parcels!A304)),ISBLANK(Parcels!B304)),TRUE,FALSE)</f>
        <v>0</v>
      </c>
      <c r="E9032" t="s">
        <v>64</v>
      </c>
      <c r="F9032" t="str">
        <f>INDEX(Lists!I:I,MATCH(Validation!E9032,Lists!G:G,0))</f>
        <v>Error</v>
      </c>
      <c r="G9032" t="str">
        <f>INDEX(Lists!H:H,MATCH(Validation!E9032,Lists!G:G,0))</f>
        <v>You must make a selection from the dropdown list.</v>
      </c>
      <c r="H9032" s="25" t="str">
        <f t="shared" ca="1" si="1059"/>
        <v/>
      </c>
      <c r="I9032" s="25" t="str">
        <f t="shared" ca="1" si="1060"/>
        <v/>
      </c>
      <c r="J9032" s="26" t="str">
        <f t="shared" si="1061"/>
        <v/>
      </c>
    </row>
    <row r="9033" spans="1:10" x14ac:dyDescent="0.25">
      <c r="A9033" t="s">
        <v>111</v>
      </c>
      <c r="B9033" t="str">
        <f>ADDRESS(ROW(Parcels!B305),COLUMN(Parcels!B305),4)</f>
        <v>B305</v>
      </c>
      <c r="C9033" t="str">
        <f>ADDRESS(ROW(Parcels!D305),COLUMN(Parcels!D305),4)</f>
        <v>D305</v>
      </c>
      <c r="D9033" t="b">
        <f>IF(AND(Parcels!$B$6="Yes",NOT(ISBLANK(Parcels!A305)),ISBLANK(Parcels!B305)),TRUE,FALSE)</f>
        <v>0</v>
      </c>
      <c r="E9033" t="s">
        <v>64</v>
      </c>
      <c r="F9033" t="str">
        <f>INDEX(Lists!I:I,MATCH(Validation!E9033,Lists!G:G,0))</f>
        <v>Error</v>
      </c>
      <c r="G9033" t="str">
        <f>INDEX(Lists!H:H,MATCH(Validation!E9033,Lists!G:G,0))</f>
        <v>You must make a selection from the dropdown list.</v>
      </c>
      <c r="H9033" s="25" t="str">
        <f t="shared" ca="1" si="1059"/>
        <v/>
      </c>
      <c r="I9033" s="25" t="str">
        <f t="shared" ca="1" si="1060"/>
        <v/>
      </c>
      <c r="J9033" s="26" t="str">
        <f t="shared" si="1061"/>
        <v/>
      </c>
    </row>
    <row r="9034" spans="1:10" x14ac:dyDescent="0.25">
      <c r="A9034" t="s">
        <v>111</v>
      </c>
      <c r="B9034" t="str">
        <f>ADDRESS(ROW(Parcels!B306),COLUMN(Parcels!B306),4)</f>
        <v>B306</v>
      </c>
      <c r="C9034" t="str">
        <f>ADDRESS(ROW(Parcels!D306),COLUMN(Parcels!D306),4)</f>
        <v>D306</v>
      </c>
      <c r="D9034" t="b">
        <f>IF(AND(Parcels!$B$6="Yes",NOT(ISBLANK(Parcels!A306)),ISBLANK(Parcels!B306)),TRUE,FALSE)</f>
        <v>0</v>
      </c>
      <c r="E9034" t="s">
        <v>64</v>
      </c>
      <c r="F9034" t="str">
        <f>INDEX(Lists!I:I,MATCH(Validation!E9034,Lists!G:G,0))</f>
        <v>Error</v>
      </c>
      <c r="G9034" t="str">
        <f>INDEX(Lists!H:H,MATCH(Validation!E9034,Lists!G:G,0))</f>
        <v>You must make a selection from the dropdown list.</v>
      </c>
      <c r="H9034" s="25" t="str">
        <f t="shared" ca="1" si="1059"/>
        <v/>
      </c>
      <c r="I9034" s="25" t="str">
        <f t="shared" ca="1" si="1060"/>
        <v/>
      </c>
      <c r="J9034" s="26" t="str">
        <f t="shared" si="1061"/>
        <v/>
      </c>
    </row>
    <row r="9035" spans="1:10" x14ac:dyDescent="0.25">
      <c r="A9035" t="s">
        <v>111</v>
      </c>
      <c r="B9035" t="str">
        <f>ADDRESS(ROW(Parcels!B307),COLUMN(Parcels!B307),4)</f>
        <v>B307</v>
      </c>
      <c r="C9035" t="str">
        <f>ADDRESS(ROW(Parcels!D307),COLUMN(Parcels!D307),4)</f>
        <v>D307</v>
      </c>
      <c r="D9035" t="b">
        <f>IF(AND(Parcels!$B$6="Yes",NOT(ISBLANK(Parcels!A307)),ISBLANK(Parcels!B307)),TRUE,FALSE)</f>
        <v>0</v>
      </c>
      <c r="E9035" t="s">
        <v>64</v>
      </c>
      <c r="F9035" t="str">
        <f>INDEX(Lists!I:I,MATCH(Validation!E9035,Lists!G:G,0))</f>
        <v>Error</v>
      </c>
      <c r="G9035" t="str">
        <f>INDEX(Lists!H:H,MATCH(Validation!E9035,Lists!G:G,0))</f>
        <v>You must make a selection from the dropdown list.</v>
      </c>
      <c r="H9035" s="25" t="str">
        <f t="shared" ca="1" si="1059"/>
        <v/>
      </c>
      <c r="I9035" s="25" t="str">
        <f t="shared" ca="1" si="1060"/>
        <v/>
      </c>
      <c r="J9035" s="26" t="str">
        <f t="shared" si="1061"/>
        <v/>
      </c>
    </row>
    <row r="9036" spans="1:10" x14ac:dyDescent="0.25">
      <c r="A9036" t="s">
        <v>111</v>
      </c>
      <c r="B9036" t="str">
        <f>ADDRESS(ROW(Parcels!B308),COLUMN(Parcels!B308),4)</f>
        <v>B308</v>
      </c>
      <c r="C9036" t="str">
        <f>ADDRESS(ROW(Parcels!D308),COLUMN(Parcels!D308),4)</f>
        <v>D308</v>
      </c>
      <c r="D9036" t="b">
        <f>IF(AND(Parcels!$B$6="Yes",NOT(ISBLANK(Parcels!A308)),ISBLANK(Parcels!B308)),TRUE,FALSE)</f>
        <v>0</v>
      </c>
      <c r="E9036" t="s">
        <v>64</v>
      </c>
      <c r="F9036" t="str">
        <f>INDEX(Lists!I:I,MATCH(Validation!E9036,Lists!G:G,0))</f>
        <v>Error</v>
      </c>
      <c r="G9036" t="str">
        <f>INDEX(Lists!H:H,MATCH(Validation!E9036,Lists!G:G,0))</f>
        <v>You must make a selection from the dropdown list.</v>
      </c>
      <c r="H9036" s="25" t="str">
        <f t="shared" ca="1" si="1059"/>
        <v/>
      </c>
      <c r="I9036" s="25" t="str">
        <f t="shared" ca="1" si="1060"/>
        <v/>
      </c>
      <c r="J9036" s="26" t="str">
        <f t="shared" si="1061"/>
        <v/>
      </c>
    </row>
    <row r="9037" spans="1:10" x14ac:dyDescent="0.25">
      <c r="A9037" t="s">
        <v>111</v>
      </c>
      <c r="B9037" t="str">
        <f>ADDRESS(ROW(Parcels!B309),COLUMN(Parcels!B309),4)</f>
        <v>B309</v>
      </c>
      <c r="C9037" t="str">
        <f>ADDRESS(ROW(Parcels!D309),COLUMN(Parcels!D309),4)</f>
        <v>D309</v>
      </c>
      <c r="D9037" t="b">
        <f>IF(AND(Parcels!$B$6="Yes",NOT(ISBLANK(Parcels!A309)),ISBLANK(Parcels!B309)),TRUE,FALSE)</f>
        <v>0</v>
      </c>
      <c r="E9037" t="s">
        <v>64</v>
      </c>
      <c r="F9037" t="str">
        <f>INDEX(Lists!I:I,MATCH(Validation!E9037,Lists!G:G,0))</f>
        <v>Error</v>
      </c>
      <c r="G9037" t="str">
        <f>INDEX(Lists!H:H,MATCH(Validation!E9037,Lists!G:G,0))</f>
        <v>You must make a selection from the dropdown list.</v>
      </c>
      <c r="H9037" s="25" t="str">
        <f t="shared" ca="1" si="1059"/>
        <v/>
      </c>
      <c r="I9037" s="25" t="str">
        <f t="shared" ca="1" si="1060"/>
        <v/>
      </c>
      <c r="J9037" s="26" t="str">
        <f t="shared" si="1061"/>
        <v/>
      </c>
    </row>
    <row r="9038" spans="1:10" x14ac:dyDescent="0.25">
      <c r="A9038" t="s">
        <v>111</v>
      </c>
      <c r="B9038" t="str">
        <f>ADDRESS(ROW(Parcels!B310),COLUMN(Parcels!B310),4)</f>
        <v>B310</v>
      </c>
      <c r="C9038" t="str">
        <f>ADDRESS(ROW(Parcels!D310),COLUMN(Parcels!D310),4)</f>
        <v>D310</v>
      </c>
      <c r="D9038" t="b">
        <f>IF(AND(Parcels!$B$6="Yes",NOT(ISBLANK(Parcels!A310)),ISBLANK(Parcels!B310)),TRUE,FALSE)</f>
        <v>0</v>
      </c>
      <c r="E9038" t="s">
        <v>64</v>
      </c>
      <c r="F9038" t="str">
        <f>INDEX(Lists!I:I,MATCH(Validation!E9038,Lists!G:G,0))</f>
        <v>Error</v>
      </c>
      <c r="G9038" t="str">
        <f>INDEX(Lists!H:H,MATCH(Validation!E9038,Lists!G:G,0))</f>
        <v>You must make a selection from the dropdown list.</v>
      </c>
      <c r="H9038" s="25" t="str">
        <f t="shared" ca="1" si="1059"/>
        <v/>
      </c>
      <c r="I9038" s="25" t="str">
        <f t="shared" ca="1" si="1060"/>
        <v/>
      </c>
      <c r="J9038" s="26" t="str">
        <f t="shared" si="1061"/>
        <v/>
      </c>
    </row>
    <row r="9039" spans="1:10" x14ac:dyDescent="0.25">
      <c r="A9039" t="s">
        <v>111</v>
      </c>
      <c r="B9039" t="str">
        <f>ADDRESS(ROW(Parcels!B311),COLUMN(Parcels!B311),4)</f>
        <v>B311</v>
      </c>
      <c r="C9039" t="str">
        <f>ADDRESS(ROW(Parcels!D311),COLUMN(Parcels!D311),4)</f>
        <v>D311</v>
      </c>
      <c r="D9039" t="b">
        <f>IF(AND(Parcels!$B$6="Yes",NOT(ISBLANK(Parcels!A311)),ISBLANK(Parcels!B311)),TRUE,FALSE)</f>
        <v>0</v>
      </c>
      <c r="E9039" t="s">
        <v>64</v>
      </c>
      <c r="F9039" t="str">
        <f>INDEX(Lists!I:I,MATCH(Validation!E9039,Lists!G:G,0))</f>
        <v>Error</v>
      </c>
      <c r="G9039" t="str">
        <f>INDEX(Lists!H:H,MATCH(Validation!E9039,Lists!G:G,0))</f>
        <v>You must make a selection from the dropdown list.</v>
      </c>
      <c r="H9039" s="25" t="str">
        <f t="shared" ca="1" si="1059"/>
        <v/>
      </c>
      <c r="I9039" s="25" t="str">
        <f t="shared" ca="1" si="1060"/>
        <v/>
      </c>
      <c r="J9039" s="26" t="str">
        <f t="shared" si="1061"/>
        <v/>
      </c>
    </row>
    <row r="9040" spans="1:10" x14ac:dyDescent="0.25">
      <c r="A9040" t="s">
        <v>111</v>
      </c>
      <c r="B9040" t="str">
        <f>ADDRESS(ROW(Parcels!B312),COLUMN(Parcels!B312),4)</f>
        <v>B312</v>
      </c>
      <c r="C9040" t="str">
        <f>ADDRESS(ROW(Parcels!D312),COLUMN(Parcels!D312),4)</f>
        <v>D312</v>
      </c>
      <c r="D9040" t="b">
        <f>IF(AND(Parcels!$B$6="Yes",NOT(ISBLANK(Parcels!A312)),ISBLANK(Parcels!B312)),TRUE,FALSE)</f>
        <v>0</v>
      </c>
      <c r="E9040" t="s">
        <v>64</v>
      </c>
      <c r="F9040" t="str">
        <f>INDEX(Lists!I:I,MATCH(Validation!E9040,Lists!G:G,0))</f>
        <v>Error</v>
      </c>
      <c r="G9040" t="str">
        <f>INDEX(Lists!H:H,MATCH(Validation!E9040,Lists!G:G,0))</f>
        <v>You must make a selection from the dropdown list.</v>
      </c>
      <c r="H9040" s="25" t="str">
        <f t="shared" ca="1" si="1059"/>
        <v/>
      </c>
      <c r="I9040" s="25" t="str">
        <f t="shared" ca="1" si="1060"/>
        <v/>
      </c>
      <c r="J9040" s="26" t="str">
        <f t="shared" si="1061"/>
        <v/>
      </c>
    </row>
    <row r="9041" spans="1:10" x14ac:dyDescent="0.25">
      <c r="A9041" t="s">
        <v>111</v>
      </c>
      <c r="B9041" t="str">
        <f>ADDRESS(ROW(Parcels!B313),COLUMN(Parcels!B313),4)</f>
        <v>B313</v>
      </c>
      <c r="C9041" t="str">
        <f>ADDRESS(ROW(Parcels!D313),COLUMN(Parcels!D313),4)</f>
        <v>D313</v>
      </c>
      <c r="D9041" t="b">
        <f>IF(AND(Parcels!$B$6="Yes",NOT(ISBLANK(Parcels!A313)),ISBLANK(Parcels!B313)),TRUE,FALSE)</f>
        <v>0</v>
      </c>
      <c r="E9041" t="s">
        <v>64</v>
      </c>
      <c r="F9041" t="str">
        <f>INDEX(Lists!I:I,MATCH(Validation!E9041,Lists!G:G,0))</f>
        <v>Error</v>
      </c>
      <c r="G9041" t="str">
        <f>INDEX(Lists!H:H,MATCH(Validation!E9041,Lists!G:G,0))</f>
        <v>You must make a selection from the dropdown list.</v>
      </c>
      <c r="H9041" s="25" t="str">
        <f t="shared" ca="1" si="1059"/>
        <v/>
      </c>
      <c r="I9041" s="25" t="str">
        <f t="shared" ca="1" si="1060"/>
        <v/>
      </c>
      <c r="J9041" s="26" t="str">
        <f t="shared" si="1061"/>
        <v/>
      </c>
    </row>
    <row r="9042" spans="1:10" x14ac:dyDescent="0.25">
      <c r="A9042" t="s">
        <v>111</v>
      </c>
      <c r="B9042" t="str">
        <f>ADDRESS(ROW(Parcels!B314),COLUMN(Parcels!B314),4)</f>
        <v>B314</v>
      </c>
      <c r="C9042" t="str">
        <f>ADDRESS(ROW(Parcels!D314),COLUMN(Parcels!D314),4)</f>
        <v>D314</v>
      </c>
      <c r="D9042" t="b">
        <f>IF(AND(Parcels!$B$6="Yes",NOT(ISBLANK(Parcels!A314)),ISBLANK(Parcels!B314)),TRUE,FALSE)</f>
        <v>0</v>
      </c>
      <c r="E9042" t="s">
        <v>64</v>
      </c>
      <c r="F9042" t="str">
        <f>INDEX(Lists!I:I,MATCH(Validation!E9042,Lists!G:G,0))</f>
        <v>Error</v>
      </c>
      <c r="G9042" t="str">
        <f>INDEX(Lists!H:H,MATCH(Validation!E9042,Lists!G:G,0))</f>
        <v>You must make a selection from the dropdown list.</v>
      </c>
      <c r="H9042" s="25" t="str">
        <f t="shared" ca="1" si="1059"/>
        <v/>
      </c>
      <c r="I9042" s="25" t="str">
        <f t="shared" ca="1" si="1060"/>
        <v/>
      </c>
      <c r="J9042" s="26" t="str">
        <f t="shared" si="1061"/>
        <v/>
      </c>
    </row>
    <row r="9043" spans="1:10" x14ac:dyDescent="0.25">
      <c r="A9043" t="s">
        <v>111</v>
      </c>
      <c r="B9043" t="str">
        <f>ADDRESS(ROW(Parcels!B315),COLUMN(Parcels!B315),4)</f>
        <v>B315</v>
      </c>
      <c r="C9043" t="str">
        <f>ADDRESS(ROW(Parcels!D315),COLUMN(Parcels!D315),4)</f>
        <v>D315</v>
      </c>
      <c r="D9043" t="b">
        <f>IF(AND(Parcels!$B$6="Yes",NOT(ISBLANK(Parcels!A315)),ISBLANK(Parcels!B315)),TRUE,FALSE)</f>
        <v>0</v>
      </c>
      <c r="E9043" t="s">
        <v>64</v>
      </c>
      <c r="F9043" t="str">
        <f>INDEX(Lists!I:I,MATCH(Validation!E9043,Lists!G:G,0))</f>
        <v>Error</v>
      </c>
      <c r="G9043" t="str">
        <f>INDEX(Lists!H:H,MATCH(Validation!E9043,Lists!G:G,0))</f>
        <v>You must make a selection from the dropdown list.</v>
      </c>
      <c r="H9043" s="25" t="str">
        <f t="shared" ca="1" si="1059"/>
        <v/>
      </c>
      <c r="I9043" s="25" t="str">
        <f t="shared" ca="1" si="1060"/>
        <v/>
      </c>
      <c r="J9043" s="26" t="str">
        <f t="shared" si="1061"/>
        <v/>
      </c>
    </row>
    <row r="9044" spans="1:10" x14ac:dyDescent="0.25">
      <c r="A9044" t="s">
        <v>111</v>
      </c>
      <c r="B9044" t="str">
        <f>ADDRESS(ROW(Parcels!B316),COLUMN(Parcels!B316),4)</f>
        <v>B316</v>
      </c>
      <c r="C9044" t="str">
        <f>ADDRESS(ROW(Parcels!D316),COLUMN(Parcels!D316),4)</f>
        <v>D316</v>
      </c>
      <c r="D9044" t="b">
        <f>IF(AND(Parcels!$B$6="Yes",NOT(ISBLANK(Parcels!A316)),ISBLANK(Parcels!B316)),TRUE,FALSE)</f>
        <v>0</v>
      </c>
      <c r="E9044" t="s">
        <v>64</v>
      </c>
      <c r="F9044" t="str">
        <f>INDEX(Lists!I:I,MATCH(Validation!E9044,Lists!G:G,0))</f>
        <v>Error</v>
      </c>
      <c r="G9044" t="str">
        <f>INDEX(Lists!H:H,MATCH(Validation!E9044,Lists!G:G,0))</f>
        <v>You must make a selection from the dropdown list.</v>
      </c>
      <c r="H9044" s="25" t="str">
        <f t="shared" ca="1" si="1059"/>
        <v/>
      </c>
      <c r="I9044" s="25" t="str">
        <f t="shared" ca="1" si="1060"/>
        <v/>
      </c>
      <c r="J9044" s="26" t="str">
        <f t="shared" si="1061"/>
        <v/>
      </c>
    </row>
    <row r="9045" spans="1:10" x14ac:dyDescent="0.25">
      <c r="A9045" t="s">
        <v>111</v>
      </c>
      <c r="B9045" t="str">
        <f>ADDRESS(ROW(Parcels!B317),COLUMN(Parcels!B317),4)</f>
        <v>B317</v>
      </c>
      <c r="C9045" t="str">
        <f>ADDRESS(ROW(Parcels!D317),COLUMN(Parcels!D317),4)</f>
        <v>D317</v>
      </c>
      <c r="D9045" t="b">
        <f>IF(AND(Parcels!$B$6="Yes",NOT(ISBLANK(Parcels!A317)),ISBLANK(Parcels!B317)),TRUE,FALSE)</f>
        <v>0</v>
      </c>
      <c r="E9045" t="s">
        <v>64</v>
      </c>
      <c r="F9045" t="str">
        <f>INDEX(Lists!I:I,MATCH(Validation!E9045,Lists!G:G,0))</f>
        <v>Error</v>
      </c>
      <c r="G9045" t="str">
        <f>INDEX(Lists!H:H,MATCH(Validation!E9045,Lists!G:G,0))</f>
        <v>You must make a selection from the dropdown list.</v>
      </c>
      <c r="H9045" s="25" t="str">
        <f t="shared" ca="1" si="1059"/>
        <v/>
      </c>
      <c r="I9045" s="25" t="str">
        <f t="shared" ca="1" si="1060"/>
        <v/>
      </c>
      <c r="J9045" s="26" t="str">
        <f t="shared" si="1061"/>
        <v/>
      </c>
    </row>
    <row r="9046" spans="1:10" x14ac:dyDescent="0.25">
      <c r="A9046" t="s">
        <v>111</v>
      </c>
      <c r="B9046" t="str">
        <f>ADDRESS(ROW(Parcels!B318),COLUMN(Parcels!B318),4)</f>
        <v>B318</v>
      </c>
      <c r="C9046" t="str">
        <f>ADDRESS(ROW(Parcels!D318),COLUMN(Parcels!D318),4)</f>
        <v>D318</v>
      </c>
      <c r="D9046" t="b">
        <f>IF(AND(Parcels!$B$6="Yes",NOT(ISBLANK(Parcels!A318)),ISBLANK(Parcels!B318)),TRUE,FALSE)</f>
        <v>0</v>
      </c>
      <c r="E9046" t="s">
        <v>64</v>
      </c>
      <c r="F9046" t="str">
        <f>INDEX(Lists!I:I,MATCH(Validation!E9046,Lists!G:G,0))</f>
        <v>Error</v>
      </c>
      <c r="G9046" t="str">
        <f>INDEX(Lists!H:H,MATCH(Validation!E9046,Lists!G:G,0))</f>
        <v>You must make a selection from the dropdown list.</v>
      </c>
      <c r="H9046" s="25" t="str">
        <f t="shared" ca="1" si="1059"/>
        <v/>
      </c>
      <c r="I9046" s="25" t="str">
        <f t="shared" ca="1" si="1060"/>
        <v/>
      </c>
      <c r="J9046" s="26" t="str">
        <f t="shared" si="1061"/>
        <v/>
      </c>
    </row>
    <row r="9047" spans="1:10" x14ac:dyDescent="0.25">
      <c r="A9047" t="s">
        <v>111</v>
      </c>
      <c r="B9047" t="str">
        <f>ADDRESS(ROW(Parcels!B319),COLUMN(Parcels!B319),4)</f>
        <v>B319</v>
      </c>
      <c r="C9047" t="str">
        <f>ADDRESS(ROW(Parcels!D319),COLUMN(Parcels!D319),4)</f>
        <v>D319</v>
      </c>
      <c r="D9047" t="b">
        <f>IF(AND(Parcels!$B$6="Yes",NOT(ISBLANK(Parcels!A319)),ISBLANK(Parcels!B319)),TRUE,FALSE)</f>
        <v>0</v>
      </c>
      <c r="E9047" t="s">
        <v>64</v>
      </c>
      <c r="F9047" t="str">
        <f>INDEX(Lists!I:I,MATCH(Validation!E9047,Lists!G:G,0))</f>
        <v>Error</v>
      </c>
      <c r="G9047" t="str">
        <f>INDEX(Lists!H:H,MATCH(Validation!E9047,Lists!G:G,0))</f>
        <v>You must make a selection from the dropdown list.</v>
      </c>
      <c r="H9047" s="25" t="str">
        <f t="shared" ca="1" si="1059"/>
        <v/>
      </c>
      <c r="I9047" s="25" t="str">
        <f t="shared" ca="1" si="1060"/>
        <v/>
      </c>
      <c r="J9047" s="26" t="str">
        <f t="shared" si="1061"/>
        <v/>
      </c>
    </row>
    <row r="9048" spans="1:10" x14ac:dyDescent="0.25">
      <c r="A9048" t="s">
        <v>111</v>
      </c>
      <c r="B9048" t="str">
        <f>ADDRESS(ROW(Parcels!B320),COLUMN(Parcels!B320),4)</f>
        <v>B320</v>
      </c>
      <c r="C9048" t="str">
        <f>ADDRESS(ROW(Parcels!D320),COLUMN(Parcels!D320),4)</f>
        <v>D320</v>
      </c>
      <c r="D9048" t="b">
        <f>IF(AND(Parcels!$B$6="Yes",NOT(ISBLANK(Parcels!A320)),ISBLANK(Parcels!B320)),TRUE,FALSE)</f>
        <v>0</v>
      </c>
      <c r="E9048" t="s">
        <v>64</v>
      </c>
      <c r="F9048" t="str">
        <f>INDEX(Lists!I:I,MATCH(Validation!E9048,Lists!G:G,0))</f>
        <v>Error</v>
      </c>
      <c r="G9048" t="str">
        <f>INDEX(Lists!H:H,MATCH(Validation!E9048,Lists!G:G,0))</f>
        <v>You must make a selection from the dropdown list.</v>
      </c>
      <c r="H9048" s="25" t="str">
        <f t="shared" ca="1" si="1059"/>
        <v/>
      </c>
      <c r="I9048" s="25" t="str">
        <f t="shared" ca="1" si="1060"/>
        <v/>
      </c>
      <c r="J9048" s="26" t="str">
        <f t="shared" si="1061"/>
        <v/>
      </c>
    </row>
    <row r="9049" spans="1:10" x14ac:dyDescent="0.25">
      <c r="A9049" t="s">
        <v>111</v>
      </c>
      <c r="B9049" t="str">
        <f>ADDRESS(ROW(Parcels!B321),COLUMN(Parcels!B321),4)</f>
        <v>B321</v>
      </c>
      <c r="C9049" t="str">
        <f>ADDRESS(ROW(Parcels!D321),COLUMN(Parcels!D321),4)</f>
        <v>D321</v>
      </c>
      <c r="D9049" t="b">
        <f>IF(AND(Parcels!$B$6="Yes",NOT(ISBLANK(Parcels!A321)),ISBLANK(Parcels!B321)),TRUE,FALSE)</f>
        <v>0</v>
      </c>
      <c r="E9049" t="s">
        <v>64</v>
      </c>
      <c r="F9049" t="str">
        <f>INDEX(Lists!I:I,MATCH(Validation!E9049,Lists!G:G,0))</f>
        <v>Error</v>
      </c>
      <c r="G9049" t="str">
        <f>INDEX(Lists!H:H,MATCH(Validation!E9049,Lists!G:G,0))</f>
        <v>You must make a selection from the dropdown list.</v>
      </c>
      <c r="H9049" s="25" t="str">
        <f t="shared" ca="1" si="1059"/>
        <v/>
      </c>
      <c r="I9049" s="25" t="str">
        <f t="shared" ca="1" si="1060"/>
        <v/>
      </c>
      <c r="J9049" s="26" t="str">
        <f t="shared" si="1061"/>
        <v/>
      </c>
    </row>
    <row r="9050" spans="1:10" x14ac:dyDescent="0.25">
      <c r="A9050" t="s">
        <v>111</v>
      </c>
      <c r="B9050" t="str">
        <f>ADDRESS(ROW(Parcels!B322),COLUMN(Parcels!B322),4)</f>
        <v>B322</v>
      </c>
      <c r="C9050" t="str">
        <f>ADDRESS(ROW(Parcels!D322),COLUMN(Parcels!D322),4)</f>
        <v>D322</v>
      </c>
      <c r="D9050" t="b">
        <f>IF(AND(Parcels!$B$6="Yes",NOT(ISBLANK(Parcels!A322)),ISBLANK(Parcels!B322)),TRUE,FALSE)</f>
        <v>0</v>
      </c>
      <c r="E9050" t="s">
        <v>64</v>
      </c>
      <c r="F9050" t="str">
        <f>INDEX(Lists!I:I,MATCH(Validation!E9050,Lists!G:G,0))</f>
        <v>Error</v>
      </c>
      <c r="G9050" t="str">
        <f>INDEX(Lists!H:H,MATCH(Validation!E9050,Lists!G:G,0))</f>
        <v>You must make a selection from the dropdown list.</v>
      </c>
      <c r="H9050" s="25" t="str">
        <f t="shared" ca="1" si="1059"/>
        <v/>
      </c>
      <c r="I9050" s="25" t="str">
        <f t="shared" ca="1" si="1060"/>
        <v/>
      </c>
      <c r="J9050" s="26" t="str">
        <f t="shared" si="1061"/>
        <v/>
      </c>
    </row>
    <row r="9051" spans="1:10" x14ac:dyDescent="0.25">
      <c r="A9051" t="s">
        <v>111</v>
      </c>
      <c r="B9051" t="str">
        <f>ADDRESS(ROW(Parcels!B323),COLUMN(Parcels!B323),4)</f>
        <v>B323</v>
      </c>
      <c r="C9051" t="str">
        <f>ADDRESS(ROW(Parcels!D323),COLUMN(Parcels!D323),4)</f>
        <v>D323</v>
      </c>
      <c r="D9051" t="b">
        <f>IF(AND(Parcels!$B$6="Yes",NOT(ISBLANK(Parcels!A323)),ISBLANK(Parcels!B323)),TRUE,FALSE)</f>
        <v>0</v>
      </c>
      <c r="E9051" t="s">
        <v>64</v>
      </c>
      <c r="F9051" t="str">
        <f>INDEX(Lists!I:I,MATCH(Validation!E9051,Lists!G:G,0))</f>
        <v>Error</v>
      </c>
      <c r="G9051" t="str">
        <f>INDEX(Lists!H:H,MATCH(Validation!E9051,Lists!G:G,0))</f>
        <v>You must make a selection from the dropdown list.</v>
      </c>
      <c r="H9051" s="25" t="str">
        <f t="shared" ca="1" si="1059"/>
        <v/>
      </c>
      <c r="I9051" s="25" t="str">
        <f t="shared" ca="1" si="1060"/>
        <v/>
      </c>
      <c r="J9051" s="26" t="str">
        <f t="shared" si="1061"/>
        <v/>
      </c>
    </row>
    <row r="9052" spans="1:10" x14ac:dyDescent="0.25">
      <c r="A9052" t="s">
        <v>111</v>
      </c>
      <c r="B9052" t="str">
        <f>ADDRESS(ROW(Parcels!B324),COLUMN(Parcels!B324),4)</f>
        <v>B324</v>
      </c>
      <c r="C9052" t="str">
        <f>ADDRESS(ROW(Parcels!D324),COLUMN(Parcels!D324),4)</f>
        <v>D324</v>
      </c>
      <c r="D9052" t="b">
        <f>IF(AND(Parcels!$B$6="Yes",NOT(ISBLANK(Parcels!A324)),ISBLANK(Parcels!B324)),TRUE,FALSE)</f>
        <v>0</v>
      </c>
      <c r="E9052" t="s">
        <v>64</v>
      </c>
      <c r="F9052" t="str">
        <f>INDEX(Lists!I:I,MATCH(Validation!E9052,Lists!G:G,0))</f>
        <v>Error</v>
      </c>
      <c r="G9052" t="str">
        <f>INDEX(Lists!H:H,MATCH(Validation!E9052,Lists!G:G,0))</f>
        <v>You must make a selection from the dropdown list.</v>
      </c>
      <c r="H9052" s="25" t="str">
        <f t="shared" ca="1" si="1059"/>
        <v/>
      </c>
      <c r="I9052" s="25" t="str">
        <f t="shared" ca="1" si="1060"/>
        <v/>
      </c>
      <c r="J9052" s="26" t="str">
        <f t="shared" si="1061"/>
        <v/>
      </c>
    </row>
    <row r="9053" spans="1:10" x14ac:dyDescent="0.25">
      <c r="A9053" t="s">
        <v>111</v>
      </c>
      <c r="B9053" t="str">
        <f>ADDRESS(ROW(Parcels!B325),COLUMN(Parcels!B325),4)</f>
        <v>B325</v>
      </c>
      <c r="C9053" t="str">
        <f>ADDRESS(ROW(Parcels!D325),COLUMN(Parcels!D325),4)</f>
        <v>D325</v>
      </c>
      <c r="D9053" t="b">
        <f>IF(AND(Parcels!$B$6="Yes",NOT(ISBLANK(Parcels!A325)),ISBLANK(Parcels!B325)),TRUE,FALSE)</f>
        <v>0</v>
      </c>
      <c r="E9053" t="s">
        <v>64</v>
      </c>
      <c r="F9053" t="str">
        <f>INDEX(Lists!I:I,MATCH(Validation!E9053,Lists!G:G,0))</f>
        <v>Error</v>
      </c>
      <c r="G9053" t="str">
        <f>INDEX(Lists!H:H,MATCH(Validation!E9053,Lists!G:G,0))</f>
        <v>You must make a selection from the dropdown list.</v>
      </c>
      <c r="H9053" s="25" t="str">
        <f t="shared" ca="1" si="1059"/>
        <v/>
      </c>
      <c r="I9053" s="25" t="str">
        <f t="shared" ca="1" si="1060"/>
        <v/>
      </c>
      <c r="J9053" s="26" t="str">
        <f t="shared" si="1061"/>
        <v/>
      </c>
    </row>
    <row r="9054" spans="1:10" x14ac:dyDescent="0.25">
      <c r="A9054" t="s">
        <v>111</v>
      </c>
      <c r="B9054" t="str">
        <f>ADDRESS(ROW(Parcels!B326),COLUMN(Parcels!B326),4)</f>
        <v>B326</v>
      </c>
      <c r="C9054" t="str">
        <f>ADDRESS(ROW(Parcels!D326),COLUMN(Parcels!D326),4)</f>
        <v>D326</v>
      </c>
      <c r="D9054" t="b">
        <f>IF(AND(Parcels!$B$6="Yes",NOT(ISBLANK(Parcels!A326)),ISBLANK(Parcels!B326)),TRUE,FALSE)</f>
        <v>0</v>
      </c>
      <c r="E9054" t="s">
        <v>64</v>
      </c>
      <c r="F9054" t="str">
        <f>INDEX(Lists!I:I,MATCH(Validation!E9054,Lists!G:G,0))</f>
        <v>Error</v>
      </c>
      <c r="G9054" t="str">
        <f>INDEX(Lists!H:H,MATCH(Validation!E9054,Lists!G:G,0))</f>
        <v>You must make a selection from the dropdown list.</v>
      </c>
      <c r="H9054" s="25" t="str">
        <f t="shared" ca="1" si="1059"/>
        <v/>
      </c>
      <c r="I9054" s="25" t="str">
        <f t="shared" ca="1" si="1060"/>
        <v/>
      </c>
      <c r="J9054" s="26" t="str">
        <f t="shared" si="1061"/>
        <v/>
      </c>
    </row>
    <row r="9055" spans="1:10" x14ac:dyDescent="0.25">
      <c r="A9055" t="s">
        <v>111</v>
      </c>
      <c r="B9055" t="str">
        <f>ADDRESS(ROW(Parcels!B327),COLUMN(Parcels!B327),4)</f>
        <v>B327</v>
      </c>
      <c r="C9055" t="str">
        <f>ADDRESS(ROW(Parcels!D327),COLUMN(Parcels!D327),4)</f>
        <v>D327</v>
      </c>
      <c r="D9055" t="b">
        <f>IF(AND(Parcels!$B$6="Yes",NOT(ISBLANK(Parcels!A327)),ISBLANK(Parcels!B327)),TRUE,FALSE)</f>
        <v>0</v>
      </c>
      <c r="E9055" t="s">
        <v>64</v>
      </c>
      <c r="F9055" t="str">
        <f>INDEX(Lists!I:I,MATCH(Validation!E9055,Lists!G:G,0))</f>
        <v>Error</v>
      </c>
      <c r="G9055" t="str">
        <f>INDEX(Lists!H:H,MATCH(Validation!E9055,Lists!G:G,0))</f>
        <v>You must make a selection from the dropdown list.</v>
      </c>
      <c r="H9055" s="25" t="str">
        <f t="shared" ca="1" si="1059"/>
        <v/>
      </c>
      <c r="I9055" s="25" t="str">
        <f t="shared" ca="1" si="1060"/>
        <v/>
      </c>
      <c r="J9055" s="26" t="str">
        <f t="shared" si="1061"/>
        <v/>
      </c>
    </row>
    <row r="9056" spans="1:10" x14ac:dyDescent="0.25">
      <c r="A9056" t="s">
        <v>111</v>
      </c>
      <c r="B9056" t="str">
        <f>ADDRESS(ROW(Parcels!B328),COLUMN(Parcels!B328),4)</f>
        <v>B328</v>
      </c>
      <c r="C9056" t="str">
        <f>ADDRESS(ROW(Parcels!D328),COLUMN(Parcels!D328),4)</f>
        <v>D328</v>
      </c>
      <c r="D9056" t="b">
        <f>IF(AND(Parcels!$B$6="Yes",NOT(ISBLANK(Parcels!A328)),ISBLANK(Parcels!B328)),TRUE,FALSE)</f>
        <v>0</v>
      </c>
      <c r="E9056" t="s">
        <v>64</v>
      </c>
      <c r="F9056" t="str">
        <f>INDEX(Lists!I:I,MATCH(Validation!E9056,Lists!G:G,0))</f>
        <v>Error</v>
      </c>
      <c r="G9056" t="str">
        <f>INDEX(Lists!H:H,MATCH(Validation!E9056,Lists!G:G,0))</f>
        <v>You must make a selection from the dropdown list.</v>
      </c>
      <c r="H9056" s="25" t="str">
        <f t="shared" ref="H9056:H9119" ca="1" si="1062">IFERROR(IF(OR(NOT(D9056),F9056&lt;&gt;"Error"),"",A9056&amp;CELL("address",INDIRECT(B9056))),"")</f>
        <v/>
      </c>
      <c r="I9056" s="25" t="str">
        <f t="shared" ref="I9056:I9119" ca="1" si="1063">IFERROR(IF(NOT(D9056),"",A9056&amp;CELL("address",INDIRECT(C9056))),"")</f>
        <v/>
      </c>
      <c r="J9056" s="26" t="str">
        <f t="shared" ref="J9056:J9119" si="1064">IFERROR(IF(NOT(D9056),"",A9056),"")</f>
        <v/>
      </c>
    </row>
    <row r="9057" spans="1:10" x14ac:dyDescent="0.25">
      <c r="A9057" t="s">
        <v>111</v>
      </c>
      <c r="B9057" t="str">
        <f>ADDRESS(ROW(Parcels!B329),COLUMN(Parcels!B329),4)</f>
        <v>B329</v>
      </c>
      <c r="C9057" t="str">
        <f>ADDRESS(ROW(Parcels!D329),COLUMN(Parcels!D329),4)</f>
        <v>D329</v>
      </c>
      <c r="D9057" t="b">
        <f>IF(AND(Parcels!$B$6="Yes",NOT(ISBLANK(Parcels!A329)),ISBLANK(Parcels!B329)),TRUE,FALSE)</f>
        <v>0</v>
      </c>
      <c r="E9057" t="s">
        <v>64</v>
      </c>
      <c r="F9057" t="str">
        <f>INDEX(Lists!I:I,MATCH(Validation!E9057,Lists!G:G,0))</f>
        <v>Error</v>
      </c>
      <c r="G9057" t="str">
        <f>INDEX(Lists!H:H,MATCH(Validation!E9057,Lists!G:G,0))</f>
        <v>You must make a selection from the dropdown list.</v>
      </c>
      <c r="H9057" s="25" t="str">
        <f t="shared" ca="1" si="1062"/>
        <v/>
      </c>
      <c r="I9057" s="25" t="str">
        <f t="shared" ca="1" si="1063"/>
        <v/>
      </c>
      <c r="J9057" s="26" t="str">
        <f t="shared" si="1064"/>
        <v/>
      </c>
    </row>
    <row r="9058" spans="1:10" x14ac:dyDescent="0.25">
      <c r="A9058" t="s">
        <v>111</v>
      </c>
      <c r="B9058" t="str">
        <f>ADDRESS(ROW(Parcels!B330),COLUMN(Parcels!B330),4)</f>
        <v>B330</v>
      </c>
      <c r="C9058" t="str">
        <f>ADDRESS(ROW(Parcels!D330),COLUMN(Parcels!D330),4)</f>
        <v>D330</v>
      </c>
      <c r="D9058" t="b">
        <f>IF(AND(Parcels!$B$6="Yes",NOT(ISBLANK(Parcels!A330)),ISBLANK(Parcels!B330)),TRUE,FALSE)</f>
        <v>0</v>
      </c>
      <c r="E9058" t="s">
        <v>64</v>
      </c>
      <c r="F9058" t="str">
        <f>INDEX(Lists!I:I,MATCH(Validation!E9058,Lists!G:G,0))</f>
        <v>Error</v>
      </c>
      <c r="G9058" t="str">
        <f>INDEX(Lists!H:H,MATCH(Validation!E9058,Lists!G:G,0))</f>
        <v>You must make a selection from the dropdown list.</v>
      </c>
      <c r="H9058" s="25" t="str">
        <f t="shared" ca="1" si="1062"/>
        <v/>
      </c>
      <c r="I9058" s="25" t="str">
        <f t="shared" ca="1" si="1063"/>
        <v/>
      </c>
      <c r="J9058" s="26" t="str">
        <f t="shared" si="1064"/>
        <v/>
      </c>
    </row>
    <row r="9059" spans="1:10" x14ac:dyDescent="0.25">
      <c r="A9059" t="s">
        <v>111</v>
      </c>
      <c r="B9059" t="str">
        <f>ADDRESS(ROW(Parcels!B331),COLUMN(Parcels!B331),4)</f>
        <v>B331</v>
      </c>
      <c r="C9059" t="str">
        <f>ADDRESS(ROW(Parcels!D331),COLUMN(Parcels!D331),4)</f>
        <v>D331</v>
      </c>
      <c r="D9059" t="b">
        <f>IF(AND(Parcels!$B$6="Yes",NOT(ISBLANK(Parcels!A331)),ISBLANK(Parcels!B331)),TRUE,FALSE)</f>
        <v>0</v>
      </c>
      <c r="E9059" t="s">
        <v>64</v>
      </c>
      <c r="F9059" t="str">
        <f>INDEX(Lists!I:I,MATCH(Validation!E9059,Lists!G:G,0))</f>
        <v>Error</v>
      </c>
      <c r="G9059" t="str">
        <f>INDEX(Lists!H:H,MATCH(Validation!E9059,Lists!G:G,0))</f>
        <v>You must make a selection from the dropdown list.</v>
      </c>
      <c r="H9059" s="25" t="str">
        <f t="shared" ca="1" si="1062"/>
        <v/>
      </c>
      <c r="I9059" s="25" t="str">
        <f t="shared" ca="1" si="1063"/>
        <v/>
      </c>
      <c r="J9059" s="26" t="str">
        <f t="shared" si="1064"/>
        <v/>
      </c>
    </row>
    <row r="9060" spans="1:10" x14ac:dyDescent="0.25">
      <c r="A9060" t="s">
        <v>111</v>
      </c>
      <c r="B9060" t="str">
        <f>ADDRESS(ROW(Parcels!B332),COLUMN(Parcels!B332),4)</f>
        <v>B332</v>
      </c>
      <c r="C9060" t="str">
        <f>ADDRESS(ROW(Parcels!D332),COLUMN(Parcels!D332),4)</f>
        <v>D332</v>
      </c>
      <c r="D9060" t="b">
        <f>IF(AND(Parcels!$B$6="Yes",NOT(ISBLANK(Parcels!A332)),ISBLANK(Parcels!B332)),TRUE,FALSE)</f>
        <v>0</v>
      </c>
      <c r="E9060" t="s">
        <v>64</v>
      </c>
      <c r="F9060" t="str">
        <f>INDEX(Lists!I:I,MATCH(Validation!E9060,Lists!G:G,0))</f>
        <v>Error</v>
      </c>
      <c r="G9060" t="str">
        <f>INDEX(Lists!H:H,MATCH(Validation!E9060,Lists!G:G,0))</f>
        <v>You must make a selection from the dropdown list.</v>
      </c>
      <c r="H9060" s="25" t="str">
        <f t="shared" ca="1" si="1062"/>
        <v/>
      </c>
      <c r="I9060" s="25" t="str">
        <f t="shared" ca="1" si="1063"/>
        <v/>
      </c>
      <c r="J9060" s="26" t="str">
        <f t="shared" si="1064"/>
        <v/>
      </c>
    </row>
    <row r="9061" spans="1:10" x14ac:dyDescent="0.25">
      <c r="A9061" t="s">
        <v>111</v>
      </c>
      <c r="B9061" t="str">
        <f>ADDRESS(ROW(Parcels!B333),COLUMN(Parcels!B333),4)</f>
        <v>B333</v>
      </c>
      <c r="C9061" t="str">
        <f>ADDRESS(ROW(Parcels!D333),COLUMN(Parcels!D333),4)</f>
        <v>D333</v>
      </c>
      <c r="D9061" t="b">
        <f>IF(AND(Parcels!$B$6="Yes",NOT(ISBLANK(Parcels!A333)),ISBLANK(Parcels!B333)),TRUE,FALSE)</f>
        <v>0</v>
      </c>
      <c r="E9061" t="s">
        <v>64</v>
      </c>
      <c r="F9061" t="str">
        <f>INDEX(Lists!I:I,MATCH(Validation!E9061,Lists!G:G,0))</f>
        <v>Error</v>
      </c>
      <c r="G9061" t="str">
        <f>INDEX(Lists!H:H,MATCH(Validation!E9061,Lists!G:G,0))</f>
        <v>You must make a selection from the dropdown list.</v>
      </c>
      <c r="H9061" s="25" t="str">
        <f t="shared" ca="1" si="1062"/>
        <v/>
      </c>
      <c r="I9061" s="25" t="str">
        <f t="shared" ca="1" si="1063"/>
        <v/>
      </c>
      <c r="J9061" s="26" t="str">
        <f t="shared" si="1064"/>
        <v/>
      </c>
    </row>
    <row r="9062" spans="1:10" x14ac:dyDescent="0.25">
      <c r="A9062" t="s">
        <v>111</v>
      </c>
      <c r="B9062" t="str">
        <f>ADDRESS(ROW(Parcels!B334),COLUMN(Parcels!B334),4)</f>
        <v>B334</v>
      </c>
      <c r="C9062" t="str">
        <f>ADDRESS(ROW(Parcels!D334),COLUMN(Parcels!D334),4)</f>
        <v>D334</v>
      </c>
      <c r="D9062" t="b">
        <f>IF(AND(Parcels!$B$6="Yes",NOT(ISBLANK(Parcels!A334)),ISBLANK(Parcels!B334)),TRUE,FALSE)</f>
        <v>0</v>
      </c>
      <c r="E9062" t="s">
        <v>64</v>
      </c>
      <c r="F9062" t="str">
        <f>INDEX(Lists!I:I,MATCH(Validation!E9062,Lists!G:G,0))</f>
        <v>Error</v>
      </c>
      <c r="G9062" t="str">
        <f>INDEX(Lists!H:H,MATCH(Validation!E9062,Lists!G:G,0))</f>
        <v>You must make a selection from the dropdown list.</v>
      </c>
      <c r="H9062" s="25" t="str">
        <f t="shared" ca="1" si="1062"/>
        <v/>
      </c>
      <c r="I9062" s="25" t="str">
        <f t="shared" ca="1" si="1063"/>
        <v/>
      </c>
      <c r="J9062" s="26" t="str">
        <f t="shared" si="1064"/>
        <v/>
      </c>
    </row>
    <row r="9063" spans="1:10" x14ac:dyDescent="0.25">
      <c r="A9063" t="s">
        <v>111</v>
      </c>
      <c r="B9063" t="str">
        <f>ADDRESS(ROW(Parcels!B335),COLUMN(Parcels!B335),4)</f>
        <v>B335</v>
      </c>
      <c r="C9063" t="str">
        <f>ADDRESS(ROW(Parcels!D335),COLUMN(Parcels!D335),4)</f>
        <v>D335</v>
      </c>
      <c r="D9063" t="b">
        <f>IF(AND(Parcels!$B$6="Yes",NOT(ISBLANK(Parcels!A335)),ISBLANK(Parcels!B335)),TRUE,FALSE)</f>
        <v>0</v>
      </c>
      <c r="E9063" t="s">
        <v>64</v>
      </c>
      <c r="F9063" t="str">
        <f>INDEX(Lists!I:I,MATCH(Validation!E9063,Lists!G:G,0))</f>
        <v>Error</v>
      </c>
      <c r="G9063" t="str">
        <f>INDEX(Lists!H:H,MATCH(Validation!E9063,Lists!G:G,0))</f>
        <v>You must make a selection from the dropdown list.</v>
      </c>
      <c r="H9063" s="25" t="str">
        <f t="shared" ca="1" si="1062"/>
        <v/>
      </c>
      <c r="I9063" s="25" t="str">
        <f t="shared" ca="1" si="1063"/>
        <v/>
      </c>
      <c r="J9063" s="26" t="str">
        <f t="shared" si="1064"/>
        <v/>
      </c>
    </row>
    <row r="9064" spans="1:10" x14ac:dyDescent="0.25">
      <c r="A9064" t="s">
        <v>111</v>
      </c>
      <c r="B9064" t="str">
        <f>ADDRESS(ROW(Parcels!B336),COLUMN(Parcels!B336),4)</f>
        <v>B336</v>
      </c>
      <c r="C9064" t="str">
        <f>ADDRESS(ROW(Parcels!D336),COLUMN(Parcels!D336),4)</f>
        <v>D336</v>
      </c>
      <c r="D9064" t="b">
        <f>IF(AND(Parcels!$B$6="Yes",NOT(ISBLANK(Parcels!A336)),ISBLANK(Parcels!B336)),TRUE,FALSE)</f>
        <v>0</v>
      </c>
      <c r="E9064" t="s">
        <v>64</v>
      </c>
      <c r="F9064" t="str">
        <f>INDEX(Lists!I:I,MATCH(Validation!E9064,Lists!G:G,0))</f>
        <v>Error</v>
      </c>
      <c r="G9064" t="str">
        <f>INDEX(Lists!H:H,MATCH(Validation!E9064,Lists!G:G,0))</f>
        <v>You must make a selection from the dropdown list.</v>
      </c>
      <c r="H9064" s="25" t="str">
        <f t="shared" ca="1" si="1062"/>
        <v/>
      </c>
      <c r="I9064" s="25" t="str">
        <f t="shared" ca="1" si="1063"/>
        <v/>
      </c>
      <c r="J9064" s="26" t="str">
        <f t="shared" si="1064"/>
        <v/>
      </c>
    </row>
    <row r="9065" spans="1:10" x14ac:dyDescent="0.25">
      <c r="A9065" t="s">
        <v>111</v>
      </c>
      <c r="B9065" t="str">
        <f>ADDRESS(ROW(Parcels!B337),COLUMN(Parcels!B337),4)</f>
        <v>B337</v>
      </c>
      <c r="C9065" t="str">
        <f>ADDRESS(ROW(Parcels!D337),COLUMN(Parcels!D337),4)</f>
        <v>D337</v>
      </c>
      <c r="D9065" t="b">
        <f>IF(AND(Parcels!$B$6="Yes",NOT(ISBLANK(Parcels!A337)),ISBLANK(Parcels!B337)),TRUE,FALSE)</f>
        <v>0</v>
      </c>
      <c r="E9065" t="s">
        <v>64</v>
      </c>
      <c r="F9065" t="str">
        <f>INDEX(Lists!I:I,MATCH(Validation!E9065,Lists!G:G,0))</f>
        <v>Error</v>
      </c>
      <c r="G9065" t="str">
        <f>INDEX(Lists!H:H,MATCH(Validation!E9065,Lists!G:G,0))</f>
        <v>You must make a selection from the dropdown list.</v>
      </c>
      <c r="H9065" s="25" t="str">
        <f t="shared" ca="1" si="1062"/>
        <v/>
      </c>
      <c r="I9065" s="25" t="str">
        <f t="shared" ca="1" si="1063"/>
        <v/>
      </c>
      <c r="J9065" s="26" t="str">
        <f t="shared" si="1064"/>
        <v/>
      </c>
    </row>
    <row r="9066" spans="1:10" x14ac:dyDescent="0.25">
      <c r="A9066" t="s">
        <v>111</v>
      </c>
      <c r="B9066" t="str">
        <f>ADDRESS(ROW(Parcels!B338),COLUMN(Parcels!B338),4)</f>
        <v>B338</v>
      </c>
      <c r="C9066" t="str">
        <f>ADDRESS(ROW(Parcels!D338),COLUMN(Parcels!D338),4)</f>
        <v>D338</v>
      </c>
      <c r="D9066" t="b">
        <f>IF(AND(Parcels!$B$6="Yes",NOT(ISBLANK(Parcels!A338)),ISBLANK(Parcels!B338)),TRUE,FALSE)</f>
        <v>0</v>
      </c>
      <c r="E9066" t="s">
        <v>64</v>
      </c>
      <c r="F9066" t="str">
        <f>INDEX(Lists!I:I,MATCH(Validation!E9066,Lists!G:G,0))</f>
        <v>Error</v>
      </c>
      <c r="G9066" t="str">
        <f>INDEX(Lists!H:H,MATCH(Validation!E9066,Lists!G:G,0))</f>
        <v>You must make a selection from the dropdown list.</v>
      </c>
      <c r="H9066" s="25" t="str">
        <f t="shared" ca="1" si="1062"/>
        <v/>
      </c>
      <c r="I9066" s="25" t="str">
        <f t="shared" ca="1" si="1063"/>
        <v/>
      </c>
      <c r="J9066" s="26" t="str">
        <f t="shared" si="1064"/>
        <v/>
      </c>
    </row>
    <row r="9067" spans="1:10" x14ac:dyDescent="0.25">
      <c r="A9067" t="s">
        <v>111</v>
      </c>
      <c r="B9067" t="str">
        <f>ADDRESS(ROW(Parcels!B339),COLUMN(Parcels!B339),4)</f>
        <v>B339</v>
      </c>
      <c r="C9067" t="str">
        <f>ADDRESS(ROW(Parcels!D339),COLUMN(Parcels!D339),4)</f>
        <v>D339</v>
      </c>
      <c r="D9067" t="b">
        <f>IF(AND(Parcels!$B$6="Yes",NOT(ISBLANK(Parcels!A339)),ISBLANK(Parcels!B339)),TRUE,FALSE)</f>
        <v>0</v>
      </c>
      <c r="E9067" t="s">
        <v>64</v>
      </c>
      <c r="F9067" t="str">
        <f>INDEX(Lists!I:I,MATCH(Validation!E9067,Lists!G:G,0))</f>
        <v>Error</v>
      </c>
      <c r="G9067" t="str">
        <f>INDEX(Lists!H:H,MATCH(Validation!E9067,Lists!G:G,0))</f>
        <v>You must make a selection from the dropdown list.</v>
      </c>
      <c r="H9067" s="25" t="str">
        <f t="shared" ca="1" si="1062"/>
        <v/>
      </c>
      <c r="I9067" s="25" t="str">
        <f t="shared" ca="1" si="1063"/>
        <v/>
      </c>
      <c r="J9067" s="26" t="str">
        <f t="shared" si="1064"/>
        <v/>
      </c>
    </row>
    <row r="9068" spans="1:10" x14ac:dyDescent="0.25">
      <c r="A9068" t="s">
        <v>111</v>
      </c>
      <c r="B9068" t="str">
        <f>ADDRESS(ROW(Parcels!B340),COLUMN(Parcels!B340),4)</f>
        <v>B340</v>
      </c>
      <c r="C9068" t="str">
        <f>ADDRESS(ROW(Parcels!D340),COLUMN(Parcels!D340),4)</f>
        <v>D340</v>
      </c>
      <c r="D9068" t="b">
        <f>IF(AND(Parcels!$B$6="Yes",NOT(ISBLANK(Parcels!A340)),ISBLANK(Parcels!B340)),TRUE,FALSE)</f>
        <v>0</v>
      </c>
      <c r="E9068" t="s">
        <v>64</v>
      </c>
      <c r="F9068" t="str">
        <f>INDEX(Lists!I:I,MATCH(Validation!E9068,Lists!G:G,0))</f>
        <v>Error</v>
      </c>
      <c r="G9068" t="str">
        <f>INDEX(Lists!H:H,MATCH(Validation!E9068,Lists!G:G,0))</f>
        <v>You must make a selection from the dropdown list.</v>
      </c>
      <c r="H9068" s="25" t="str">
        <f t="shared" ca="1" si="1062"/>
        <v/>
      </c>
      <c r="I9068" s="25" t="str">
        <f t="shared" ca="1" si="1063"/>
        <v/>
      </c>
      <c r="J9068" s="26" t="str">
        <f t="shared" si="1064"/>
        <v/>
      </c>
    </row>
    <row r="9069" spans="1:10" x14ac:dyDescent="0.25">
      <c r="A9069" t="s">
        <v>111</v>
      </c>
      <c r="B9069" t="str">
        <f>ADDRESS(ROW(Parcels!B341),COLUMN(Parcels!B341),4)</f>
        <v>B341</v>
      </c>
      <c r="C9069" t="str">
        <f>ADDRESS(ROW(Parcels!D341),COLUMN(Parcels!D341),4)</f>
        <v>D341</v>
      </c>
      <c r="D9069" t="b">
        <f>IF(AND(Parcels!$B$6="Yes",NOT(ISBLANK(Parcels!A341)),ISBLANK(Parcels!B341)),TRUE,FALSE)</f>
        <v>0</v>
      </c>
      <c r="E9069" t="s">
        <v>64</v>
      </c>
      <c r="F9069" t="str">
        <f>INDEX(Lists!I:I,MATCH(Validation!E9069,Lists!G:G,0))</f>
        <v>Error</v>
      </c>
      <c r="G9069" t="str">
        <f>INDEX(Lists!H:H,MATCH(Validation!E9069,Lists!G:G,0))</f>
        <v>You must make a selection from the dropdown list.</v>
      </c>
      <c r="H9069" s="25" t="str">
        <f t="shared" ca="1" si="1062"/>
        <v/>
      </c>
      <c r="I9069" s="25" t="str">
        <f t="shared" ca="1" si="1063"/>
        <v/>
      </c>
      <c r="J9069" s="26" t="str">
        <f t="shared" si="1064"/>
        <v/>
      </c>
    </row>
    <row r="9070" spans="1:10" x14ac:dyDescent="0.25">
      <c r="A9070" t="s">
        <v>111</v>
      </c>
      <c r="B9070" t="str">
        <f>ADDRESS(ROW(Parcels!B342),COLUMN(Parcels!B342),4)</f>
        <v>B342</v>
      </c>
      <c r="C9070" t="str">
        <f>ADDRESS(ROW(Parcels!D342),COLUMN(Parcels!D342),4)</f>
        <v>D342</v>
      </c>
      <c r="D9070" t="b">
        <f>IF(AND(Parcels!$B$6="Yes",NOT(ISBLANK(Parcels!A342)),ISBLANK(Parcels!B342)),TRUE,FALSE)</f>
        <v>0</v>
      </c>
      <c r="E9070" t="s">
        <v>64</v>
      </c>
      <c r="F9070" t="str">
        <f>INDEX(Lists!I:I,MATCH(Validation!E9070,Lists!G:G,0))</f>
        <v>Error</v>
      </c>
      <c r="G9070" t="str">
        <f>INDEX(Lists!H:H,MATCH(Validation!E9070,Lists!G:G,0))</f>
        <v>You must make a selection from the dropdown list.</v>
      </c>
      <c r="H9070" s="25" t="str">
        <f t="shared" ca="1" si="1062"/>
        <v/>
      </c>
      <c r="I9070" s="25" t="str">
        <f t="shared" ca="1" si="1063"/>
        <v/>
      </c>
      <c r="J9070" s="26" t="str">
        <f t="shared" si="1064"/>
        <v/>
      </c>
    </row>
    <row r="9071" spans="1:10" x14ac:dyDescent="0.25">
      <c r="A9071" t="s">
        <v>111</v>
      </c>
      <c r="B9071" t="str">
        <f>ADDRESS(ROW(Parcels!B343),COLUMN(Parcels!B343),4)</f>
        <v>B343</v>
      </c>
      <c r="C9071" t="str">
        <f>ADDRESS(ROW(Parcels!D343),COLUMN(Parcels!D343),4)</f>
        <v>D343</v>
      </c>
      <c r="D9071" t="b">
        <f>IF(AND(Parcels!$B$6="Yes",NOT(ISBLANK(Parcels!A343)),ISBLANK(Parcels!B343)),TRUE,FALSE)</f>
        <v>0</v>
      </c>
      <c r="E9071" t="s">
        <v>64</v>
      </c>
      <c r="F9071" t="str">
        <f>INDEX(Lists!I:I,MATCH(Validation!E9071,Lists!G:G,0))</f>
        <v>Error</v>
      </c>
      <c r="G9071" t="str">
        <f>INDEX(Lists!H:H,MATCH(Validation!E9071,Lists!G:G,0))</f>
        <v>You must make a selection from the dropdown list.</v>
      </c>
      <c r="H9071" s="25" t="str">
        <f t="shared" ca="1" si="1062"/>
        <v/>
      </c>
      <c r="I9071" s="25" t="str">
        <f t="shared" ca="1" si="1063"/>
        <v/>
      </c>
      <c r="J9071" s="26" t="str">
        <f t="shared" si="1064"/>
        <v/>
      </c>
    </row>
    <row r="9072" spans="1:10" x14ac:dyDescent="0.25">
      <c r="A9072" t="s">
        <v>111</v>
      </c>
      <c r="B9072" t="str">
        <f>ADDRESS(ROW(Parcels!B344),COLUMN(Parcels!B344),4)</f>
        <v>B344</v>
      </c>
      <c r="C9072" t="str">
        <f>ADDRESS(ROW(Parcels!D344),COLUMN(Parcels!D344),4)</f>
        <v>D344</v>
      </c>
      <c r="D9072" t="b">
        <f>IF(AND(Parcels!$B$6="Yes",NOT(ISBLANK(Parcels!A344)),ISBLANK(Parcels!B344)),TRUE,FALSE)</f>
        <v>0</v>
      </c>
      <c r="E9072" t="s">
        <v>64</v>
      </c>
      <c r="F9072" t="str">
        <f>INDEX(Lists!I:I,MATCH(Validation!E9072,Lists!G:G,0))</f>
        <v>Error</v>
      </c>
      <c r="G9072" t="str">
        <f>INDEX(Lists!H:H,MATCH(Validation!E9072,Lists!G:G,0))</f>
        <v>You must make a selection from the dropdown list.</v>
      </c>
      <c r="H9072" s="25" t="str">
        <f t="shared" ca="1" si="1062"/>
        <v/>
      </c>
      <c r="I9072" s="25" t="str">
        <f t="shared" ca="1" si="1063"/>
        <v/>
      </c>
      <c r="J9072" s="26" t="str">
        <f t="shared" si="1064"/>
        <v/>
      </c>
    </row>
    <row r="9073" spans="1:10" x14ac:dyDescent="0.25">
      <c r="A9073" t="s">
        <v>111</v>
      </c>
      <c r="B9073" t="str">
        <f>ADDRESS(ROW(Parcels!B345),COLUMN(Parcels!B345),4)</f>
        <v>B345</v>
      </c>
      <c r="C9073" t="str">
        <f>ADDRESS(ROW(Parcels!D345),COLUMN(Parcels!D345),4)</f>
        <v>D345</v>
      </c>
      <c r="D9073" t="b">
        <f>IF(AND(Parcels!$B$6="Yes",NOT(ISBLANK(Parcels!A345)),ISBLANK(Parcels!B345)),TRUE,FALSE)</f>
        <v>0</v>
      </c>
      <c r="E9073" t="s">
        <v>64</v>
      </c>
      <c r="F9073" t="str">
        <f>INDEX(Lists!I:I,MATCH(Validation!E9073,Lists!G:G,0))</f>
        <v>Error</v>
      </c>
      <c r="G9073" t="str">
        <f>INDEX(Lists!H:H,MATCH(Validation!E9073,Lists!G:G,0))</f>
        <v>You must make a selection from the dropdown list.</v>
      </c>
      <c r="H9073" s="25" t="str">
        <f t="shared" ca="1" si="1062"/>
        <v/>
      </c>
      <c r="I9073" s="25" t="str">
        <f t="shared" ca="1" si="1063"/>
        <v/>
      </c>
      <c r="J9073" s="26" t="str">
        <f t="shared" si="1064"/>
        <v/>
      </c>
    </row>
    <row r="9074" spans="1:10" x14ac:dyDescent="0.25">
      <c r="A9074" t="s">
        <v>111</v>
      </c>
      <c r="B9074" t="str">
        <f>ADDRESS(ROW(Parcels!B346),COLUMN(Parcels!B346),4)</f>
        <v>B346</v>
      </c>
      <c r="C9074" t="str">
        <f>ADDRESS(ROW(Parcels!D346),COLUMN(Parcels!D346),4)</f>
        <v>D346</v>
      </c>
      <c r="D9074" t="b">
        <f>IF(AND(Parcels!$B$6="Yes",NOT(ISBLANK(Parcels!A346)),ISBLANK(Parcels!B346)),TRUE,FALSE)</f>
        <v>0</v>
      </c>
      <c r="E9074" t="s">
        <v>64</v>
      </c>
      <c r="F9074" t="str">
        <f>INDEX(Lists!I:I,MATCH(Validation!E9074,Lists!G:G,0))</f>
        <v>Error</v>
      </c>
      <c r="G9074" t="str">
        <f>INDEX(Lists!H:H,MATCH(Validation!E9074,Lists!G:G,0))</f>
        <v>You must make a selection from the dropdown list.</v>
      </c>
      <c r="H9074" s="25" t="str">
        <f t="shared" ca="1" si="1062"/>
        <v/>
      </c>
      <c r="I9074" s="25" t="str">
        <f t="shared" ca="1" si="1063"/>
        <v/>
      </c>
      <c r="J9074" s="26" t="str">
        <f t="shared" si="1064"/>
        <v/>
      </c>
    </row>
    <row r="9075" spans="1:10" x14ac:dyDescent="0.25">
      <c r="A9075" t="s">
        <v>111</v>
      </c>
      <c r="B9075" t="str">
        <f>ADDRESS(ROW(Parcels!B347),COLUMN(Parcels!B347),4)</f>
        <v>B347</v>
      </c>
      <c r="C9075" t="str">
        <f>ADDRESS(ROW(Parcels!D347),COLUMN(Parcels!D347),4)</f>
        <v>D347</v>
      </c>
      <c r="D9075" t="b">
        <f>IF(AND(Parcels!$B$6="Yes",NOT(ISBLANK(Parcels!A347)),ISBLANK(Parcels!B347)),TRUE,FALSE)</f>
        <v>0</v>
      </c>
      <c r="E9075" t="s">
        <v>64</v>
      </c>
      <c r="F9075" t="str">
        <f>INDEX(Lists!I:I,MATCH(Validation!E9075,Lists!G:G,0))</f>
        <v>Error</v>
      </c>
      <c r="G9075" t="str">
        <f>INDEX(Lists!H:H,MATCH(Validation!E9075,Lists!G:G,0))</f>
        <v>You must make a selection from the dropdown list.</v>
      </c>
      <c r="H9075" s="25" t="str">
        <f t="shared" ca="1" si="1062"/>
        <v/>
      </c>
      <c r="I9075" s="25" t="str">
        <f t="shared" ca="1" si="1063"/>
        <v/>
      </c>
      <c r="J9075" s="26" t="str">
        <f t="shared" si="1064"/>
        <v/>
      </c>
    </row>
    <row r="9076" spans="1:10" x14ac:dyDescent="0.25">
      <c r="A9076" t="s">
        <v>111</v>
      </c>
      <c r="B9076" t="str">
        <f>ADDRESS(ROW(Parcels!B348),COLUMN(Parcels!B348),4)</f>
        <v>B348</v>
      </c>
      <c r="C9076" t="str">
        <f>ADDRESS(ROW(Parcels!D348),COLUMN(Parcels!D348),4)</f>
        <v>D348</v>
      </c>
      <c r="D9076" t="b">
        <f>IF(AND(Parcels!$B$6="Yes",NOT(ISBLANK(Parcels!A348)),ISBLANK(Parcels!B348)),TRUE,FALSE)</f>
        <v>0</v>
      </c>
      <c r="E9076" t="s">
        <v>64</v>
      </c>
      <c r="F9076" t="str">
        <f>INDEX(Lists!I:I,MATCH(Validation!E9076,Lists!G:G,0))</f>
        <v>Error</v>
      </c>
      <c r="G9076" t="str">
        <f>INDEX(Lists!H:H,MATCH(Validation!E9076,Lists!G:G,0))</f>
        <v>You must make a selection from the dropdown list.</v>
      </c>
      <c r="H9076" s="25" t="str">
        <f t="shared" ca="1" si="1062"/>
        <v/>
      </c>
      <c r="I9076" s="25" t="str">
        <f t="shared" ca="1" si="1063"/>
        <v/>
      </c>
      <c r="J9076" s="26" t="str">
        <f t="shared" si="1064"/>
        <v/>
      </c>
    </row>
    <row r="9077" spans="1:10" x14ac:dyDescent="0.25">
      <c r="A9077" t="s">
        <v>111</v>
      </c>
      <c r="B9077" t="str">
        <f>ADDRESS(ROW(Parcels!B349),COLUMN(Parcels!B349),4)</f>
        <v>B349</v>
      </c>
      <c r="C9077" t="str">
        <f>ADDRESS(ROW(Parcels!D349),COLUMN(Parcels!D349),4)</f>
        <v>D349</v>
      </c>
      <c r="D9077" t="b">
        <f>IF(AND(Parcels!$B$6="Yes",NOT(ISBLANK(Parcels!A349)),ISBLANK(Parcels!B349)),TRUE,FALSE)</f>
        <v>0</v>
      </c>
      <c r="E9077" t="s">
        <v>64</v>
      </c>
      <c r="F9077" t="str">
        <f>INDEX(Lists!I:I,MATCH(Validation!E9077,Lists!G:G,0))</f>
        <v>Error</v>
      </c>
      <c r="G9077" t="str">
        <f>INDEX(Lists!H:H,MATCH(Validation!E9077,Lists!G:G,0))</f>
        <v>You must make a selection from the dropdown list.</v>
      </c>
      <c r="H9077" s="25" t="str">
        <f t="shared" ca="1" si="1062"/>
        <v/>
      </c>
      <c r="I9077" s="25" t="str">
        <f t="shared" ca="1" si="1063"/>
        <v/>
      </c>
      <c r="J9077" s="26" t="str">
        <f t="shared" si="1064"/>
        <v/>
      </c>
    </row>
    <row r="9078" spans="1:10" x14ac:dyDescent="0.25">
      <c r="A9078" t="s">
        <v>111</v>
      </c>
      <c r="B9078" t="str">
        <f>ADDRESS(ROW(Parcels!B350),COLUMN(Parcels!B350),4)</f>
        <v>B350</v>
      </c>
      <c r="C9078" t="str">
        <f>ADDRESS(ROW(Parcels!D350),COLUMN(Parcels!D350),4)</f>
        <v>D350</v>
      </c>
      <c r="D9078" t="b">
        <f>IF(AND(Parcels!$B$6="Yes",NOT(ISBLANK(Parcels!A350)),ISBLANK(Parcels!B350)),TRUE,FALSE)</f>
        <v>0</v>
      </c>
      <c r="E9078" t="s">
        <v>64</v>
      </c>
      <c r="F9078" t="str">
        <f>INDEX(Lists!I:I,MATCH(Validation!E9078,Lists!G:G,0))</f>
        <v>Error</v>
      </c>
      <c r="G9078" t="str">
        <f>INDEX(Lists!H:H,MATCH(Validation!E9078,Lists!G:G,0))</f>
        <v>You must make a selection from the dropdown list.</v>
      </c>
      <c r="H9078" s="25" t="str">
        <f t="shared" ca="1" si="1062"/>
        <v/>
      </c>
      <c r="I9078" s="25" t="str">
        <f t="shared" ca="1" si="1063"/>
        <v/>
      </c>
      <c r="J9078" s="26" t="str">
        <f t="shared" si="1064"/>
        <v/>
      </c>
    </row>
    <row r="9079" spans="1:10" x14ac:dyDescent="0.25">
      <c r="A9079" t="s">
        <v>111</v>
      </c>
      <c r="B9079" t="str">
        <f>ADDRESS(ROW(Parcels!B351),COLUMN(Parcels!B351),4)</f>
        <v>B351</v>
      </c>
      <c r="C9079" t="str">
        <f>ADDRESS(ROW(Parcels!D351),COLUMN(Parcels!D351),4)</f>
        <v>D351</v>
      </c>
      <c r="D9079" t="b">
        <f>IF(AND(Parcels!$B$6="Yes",NOT(ISBLANK(Parcels!A351)),ISBLANK(Parcels!B351)),TRUE,FALSE)</f>
        <v>0</v>
      </c>
      <c r="E9079" t="s">
        <v>64</v>
      </c>
      <c r="F9079" t="str">
        <f>INDEX(Lists!I:I,MATCH(Validation!E9079,Lists!G:G,0))</f>
        <v>Error</v>
      </c>
      <c r="G9079" t="str">
        <f>INDEX(Lists!H:H,MATCH(Validation!E9079,Lists!G:G,0))</f>
        <v>You must make a selection from the dropdown list.</v>
      </c>
      <c r="H9079" s="25" t="str">
        <f t="shared" ca="1" si="1062"/>
        <v/>
      </c>
      <c r="I9079" s="25" t="str">
        <f t="shared" ca="1" si="1063"/>
        <v/>
      </c>
      <c r="J9079" s="26" t="str">
        <f t="shared" si="1064"/>
        <v/>
      </c>
    </row>
    <row r="9080" spans="1:10" x14ac:dyDescent="0.25">
      <c r="A9080" t="s">
        <v>111</v>
      </c>
      <c r="B9080" t="str">
        <f>ADDRESS(ROW(Parcels!B352),COLUMN(Parcels!B352),4)</f>
        <v>B352</v>
      </c>
      <c r="C9080" t="str">
        <f>ADDRESS(ROW(Parcels!D352),COLUMN(Parcels!D352),4)</f>
        <v>D352</v>
      </c>
      <c r="D9080" t="b">
        <f>IF(AND(Parcels!$B$6="Yes",NOT(ISBLANK(Parcels!A352)),ISBLANK(Parcels!B352)),TRUE,FALSE)</f>
        <v>0</v>
      </c>
      <c r="E9080" t="s">
        <v>64</v>
      </c>
      <c r="F9080" t="str">
        <f>INDEX(Lists!I:I,MATCH(Validation!E9080,Lists!G:G,0))</f>
        <v>Error</v>
      </c>
      <c r="G9080" t="str">
        <f>INDEX(Lists!H:H,MATCH(Validation!E9080,Lists!G:G,0))</f>
        <v>You must make a selection from the dropdown list.</v>
      </c>
      <c r="H9080" s="25" t="str">
        <f t="shared" ca="1" si="1062"/>
        <v/>
      </c>
      <c r="I9080" s="25" t="str">
        <f t="shared" ca="1" si="1063"/>
        <v/>
      </c>
      <c r="J9080" s="26" t="str">
        <f t="shared" si="1064"/>
        <v/>
      </c>
    </row>
    <row r="9081" spans="1:10" x14ac:dyDescent="0.25">
      <c r="A9081" t="s">
        <v>111</v>
      </c>
      <c r="B9081" t="str">
        <f>ADDRESS(ROW(Parcels!B353),COLUMN(Parcels!B353),4)</f>
        <v>B353</v>
      </c>
      <c r="C9081" t="str">
        <f>ADDRESS(ROW(Parcels!D353),COLUMN(Parcels!D353),4)</f>
        <v>D353</v>
      </c>
      <c r="D9081" t="b">
        <f>IF(AND(Parcels!$B$6="Yes",NOT(ISBLANK(Parcels!A353)),ISBLANK(Parcels!B353)),TRUE,FALSE)</f>
        <v>0</v>
      </c>
      <c r="E9081" t="s">
        <v>64</v>
      </c>
      <c r="F9081" t="str">
        <f>INDEX(Lists!I:I,MATCH(Validation!E9081,Lists!G:G,0))</f>
        <v>Error</v>
      </c>
      <c r="G9081" t="str">
        <f>INDEX(Lists!H:H,MATCH(Validation!E9081,Lists!G:G,0))</f>
        <v>You must make a selection from the dropdown list.</v>
      </c>
      <c r="H9081" s="25" t="str">
        <f t="shared" ca="1" si="1062"/>
        <v/>
      </c>
      <c r="I9081" s="25" t="str">
        <f t="shared" ca="1" si="1063"/>
        <v/>
      </c>
      <c r="J9081" s="26" t="str">
        <f t="shared" si="1064"/>
        <v/>
      </c>
    </row>
    <row r="9082" spans="1:10" x14ac:dyDescent="0.25">
      <c r="A9082" t="s">
        <v>111</v>
      </c>
      <c r="B9082" t="str">
        <f>ADDRESS(ROW(Parcels!B354),COLUMN(Parcels!B354),4)</f>
        <v>B354</v>
      </c>
      <c r="C9082" t="str">
        <f>ADDRESS(ROW(Parcels!D354),COLUMN(Parcels!D354),4)</f>
        <v>D354</v>
      </c>
      <c r="D9082" t="b">
        <f>IF(AND(Parcels!$B$6="Yes",NOT(ISBLANK(Parcels!A354)),ISBLANK(Parcels!B354)),TRUE,FALSE)</f>
        <v>0</v>
      </c>
      <c r="E9082" t="s">
        <v>64</v>
      </c>
      <c r="F9082" t="str">
        <f>INDEX(Lists!I:I,MATCH(Validation!E9082,Lists!G:G,0))</f>
        <v>Error</v>
      </c>
      <c r="G9082" t="str">
        <f>INDEX(Lists!H:H,MATCH(Validation!E9082,Lists!G:G,0))</f>
        <v>You must make a selection from the dropdown list.</v>
      </c>
      <c r="H9082" s="25" t="str">
        <f t="shared" ca="1" si="1062"/>
        <v/>
      </c>
      <c r="I9082" s="25" t="str">
        <f t="shared" ca="1" si="1063"/>
        <v/>
      </c>
      <c r="J9082" s="26" t="str">
        <f t="shared" si="1064"/>
        <v/>
      </c>
    </row>
    <row r="9083" spans="1:10" x14ac:dyDescent="0.25">
      <c r="A9083" t="s">
        <v>111</v>
      </c>
      <c r="B9083" t="str">
        <f>ADDRESS(ROW(Parcels!B355),COLUMN(Parcels!B355),4)</f>
        <v>B355</v>
      </c>
      <c r="C9083" t="str">
        <f>ADDRESS(ROW(Parcels!D355),COLUMN(Parcels!D355),4)</f>
        <v>D355</v>
      </c>
      <c r="D9083" t="b">
        <f>IF(AND(Parcels!$B$6="Yes",NOT(ISBLANK(Parcels!A355)),ISBLANK(Parcels!B355)),TRUE,FALSE)</f>
        <v>0</v>
      </c>
      <c r="E9083" t="s">
        <v>64</v>
      </c>
      <c r="F9083" t="str">
        <f>INDEX(Lists!I:I,MATCH(Validation!E9083,Lists!G:G,0))</f>
        <v>Error</v>
      </c>
      <c r="G9083" t="str">
        <f>INDEX(Lists!H:H,MATCH(Validation!E9083,Lists!G:G,0))</f>
        <v>You must make a selection from the dropdown list.</v>
      </c>
      <c r="H9083" s="25" t="str">
        <f t="shared" ca="1" si="1062"/>
        <v/>
      </c>
      <c r="I9083" s="25" t="str">
        <f t="shared" ca="1" si="1063"/>
        <v/>
      </c>
      <c r="J9083" s="26" t="str">
        <f t="shared" si="1064"/>
        <v/>
      </c>
    </row>
    <row r="9084" spans="1:10" x14ac:dyDescent="0.25">
      <c r="A9084" t="s">
        <v>111</v>
      </c>
      <c r="B9084" t="str">
        <f>ADDRESS(ROW(Parcels!B356),COLUMN(Parcels!B356),4)</f>
        <v>B356</v>
      </c>
      <c r="C9084" t="str">
        <f>ADDRESS(ROW(Parcels!D356),COLUMN(Parcels!D356),4)</f>
        <v>D356</v>
      </c>
      <c r="D9084" t="b">
        <f>IF(AND(Parcels!$B$6="Yes",NOT(ISBLANK(Parcels!A356)),ISBLANK(Parcels!B356)),TRUE,FALSE)</f>
        <v>0</v>
      </c>
      <c r="E9084" t="s">
        <v>64</v>
      </c>
      <c r="F9084" t="str">
        <f>INDEX(Lists!I:I,MATCH(Validation!E9084,Lists!G:G,0))</f>
        <v>Error</v>
      </c>
      <c r="G9084" t="str">
        <f>INDEX(Lists!H:H,MATCH(Validation!E9084,Lists!G:G,0))</f>
        <v>You must make a selection from the dropdown list.</v>
      </c>
      <c r="H9084" s="25" t="str">
        <f t="shared" ca="1" si="1062"/>
        <v/>
      </c>
      <c r="I9084" s="25" t="str">
        <f t="shared" ca="1" si="1063"/>
        <v/>
      </c>
      <c r="J9084" s="26" t="str">
        <f t="shared" si="1064"/>
        <v/>
      </c>
    </row>
    <row r="9085" spans="1:10" x14ac:dyDescent="0.25">
      <c r="A9085" t="s">
        <v>111</v>
      </c>
      <c r="B9085" t="str">
        <f>ADDRESS(ROW(Parcels!B357),COLUMN(Parcels!B357),4)</f>
        <v>B357</v>
      </c>
      <c r="C9085" t="str">
        <f>ADDRESS(ROW(Parcels!D357),COLUMN(Parcels!D357),4)</f>
        <v>D357</v>
      </c>
      <c r="D9085" t="b">
        <f>IF(AND(Parcels!$B$6="Yes",NOT(ISBLANK(Parcels!A357)),ISBLANK(Parcels!B357)),TRUE,FALSE)</f>
        <v>0</v>
      </c>
      <c r="E9085" t="s">
        <v>64</v>
      </c>
      <c r="F9085" t="str">
        <f>INDEX(Lists!I:I,MATCH(Validation!E9085,Lists!G:G,0))</f>
        <v>Error</v>
      </c>
      <c r="G9085" t="str">
        <f>INDEX(Lists!H:H,MATCH(Validation!E9085,Lists!G:G,0))</f>
        <v>You must make a selection from the dropdown list.</v>
      </c>
      <c r="H9085" s="25" t="str">
        <f t="shared" ca="1" si="1062"/>
        <v/>
      </c>
      <c r="I9085" s="25" t="str">
        <f t="shared" ca="1" si="1063"/>
        <v/>
      </c>
      <c r="J9085" s="26" t="str">
        <f t="shared" si="1064"/>
        <v/>
      </c>
    </row>
    <row r="9086" spans="1:10" x14ac:dyDescent="0.25">
      <c r="A9086" t="s">
        <v>111</v>
      </c>
      <c r="B9086" t="str">
        <f>ADDRESS(ROW(Parcels!B358),COLUMN(Parcels!B358),4)</f>
        <v>B358</v>
      </c>
      <c r="C9086" t="str">
        <f>ADDRESS(ROW(Parcels!D358),COLUMN(Parcels!D358),4)</f>
        <v>D358</v>
      </c>
      <c r="D9086" t="b">
        <f>IF(AND(Parcels!$B$6="Yes",NOT(ISBLANK(Parcels!A358)),ISBLANK(Parcels!B358)),TRUE,FALSE)</f>
        <v>0</v>
      </c>
      <c r="E9086" t="s">
        <v>64</v>
      </c>
      <c r="F9086" t="str">
        <f>INDEX(Lists!I:I,MATCH(Validation!E9086,Lists!G:G,0))</f>
        <v>Error</v>
      </c>
      <c r="G9086" t="str">
        <f>INDEX(Lists!H:H,MATCH(Validation!E9086,Lists!G:G,0))</f>
        <v>You must make a selection from the dropdown list.</v>
      </c>
      <c r="H9086" s="25" t="str">
        <f t="shared" ca="1" si="1062"/>
        <v/>
      </c>
      <c r="I9086" s="25" t="str">
        <f t="shared" ca="1" si="1063"/>
        <v/>
      </c>
      <c r="J9086" s="26" t="str">
        <f t="shared" si="1064"/>
        <v/>
      </c>
    </row>
    <row r="9087" spans="1:10" x14ac:dyDescent="0.25">
      <c r="A9087" t="s">
        <v>111</v>
      </c>
      <c r="B9087" t="str">
        <f>ADDRESS(ROW(Parcels!B359),COLUMN(Parcels!B359),4)</f>
        <v>B359</v>
      </c>
      <c r="C9087" t="str">
        <f>ADDRESS(ROW(Parcels!D359),COLUMN(Parcels!D359),4)</f>
        <v>D359</v>
      </c>
      <c r="D9087" t="b">
        <f>IF(AND(Parcels!$B$6="Yes",NOT(ISBLANK(Parcels!A359)),ISBLANK(Parcels!B359)),TRUE,FALSE)</f>
        <v>0</v>
      </c>
      <c r="E9087" t="s">
        <v>64</v>
      </c>
      <c r="F9087" t="str">
        <f>INDEX(Lists!I:I,MATCH(Validation!E9087,Lists!G:G,0))</f>
        <v>Error</v>
      </c>
      <c r="G9087" t="str">
        <f>INDEX(Lists!H:H,MATCH(Validation!E9087,Lists!G:G,0))</f>
        <v>You must make a selection from the dropdown list.</v>
      </c>
      <c r="H9087" s="25" t="str">
        <f t="shared" ca="1" si="1062"/>
        <v/>
      </c>
      <c r="I9087" s="25" t="str">
        <f t="shared" ca="1" si="1063"/>
        <v/>
      </c>
      <c r="J9087" s="26" t="str">
        <f t="shared" si="1064"/>
        <v/>
      </c>
    </row>
    <row r="9088" spans="1:10" x14ac:dyDescent="0.25">
      <c r="A9088" t="s">
        <v>111</v>
      </c>
      <c r="B9088" t="str">
        <f>ADDRESS(ROW(Parcels!B360),COLUMN(Parcels!B360),4)</f>
        <v>B360</v>
      </c>
      <c r="C9088" t="str">
        <f>ADDRESS(ROW(Parcels!D360),COLUMN(Parcels!D360),4)</f>
        <v>D360</v>
      </c>
      <c r="D9088" t="b">
        <f>IF(AND(Parcels!$B$6="Yes",NOT(ISBLANK(Parcels!A360)),ISBLANK(Parcels!B360)),TRUE,FALSE)</f>
        <v>0</v>
      </c>
      <c r="E9088" t="s">
        <v>64</v>
      </c>
      <c r="F9088" t="str">
        <f>INDEX(Lists!I:I,MATCH(Validation!E9088,Lists!G:G,0))</f>
        <v>Error</v>
      </c>
      <c r="G9088" t="str">
        <f>INDEX(Lists!H:H,MATCH(Validation!E9088,Lists!G:G,0))</f>
        <v>You must make a selection from the dropdown list.</v>
      </c>
      <c r="H9088" s="25" t="str">
        <f t="shared" ca="1" si="1062"/>
        <v/>
      </c>
      <c r="I9088" s="25" t="str">
        <f t="shared" ca="1" si="1063"/>
        <v/>
      </c>
      <c r="J9088" s="26" t="str">
        <f t="shared" si="1064"/>
        <v/>
      </c>
    </row>
    <row r="9089" spans="1:10" x14ac:dyDescent="0.25">
      <c r="A9089" t="s">
        <v>111</v>
      </c>
      <c r="B9089" t="str">
        <f>ADDRESS(ROW(Parcels!B361),COLUMN(Parcels!B361),4)</f>
        <v>B361</v>
      </c>
      <c r="C9089" t="str">
        <f>ADDRESS(ROW(Parcels!D361),COLUMN(Parcels!D361),4)</f>
        <v>D361</v>
      </c>
      <c r="D9089" t="b">
        <f>IF(AND(Parcels!$B$6="Yes",NOT(ISBLANK(Parcels!A361)),ISBLANK(Parcels!B361)),TRUE,FALSE)</f>
        <v>0</v>
      </c>
      <c r="E9089" t="s">
        <v>64</v>
      </c>
      <c r="F9089" t="str">
        <f>INDEX(Lists!I:I,MATCH(Validation!E9089,Lists!G:G,0))</f>
        <v>Error</v>
      </c>
      <c r="G9089" t="str">
        <f>INDEX(Lists!H:H,MATCH(Validation!E9089,Lists!G:G,0))</f>
        <v>You must make a selection from the dropdown list.</v>
      </c>
      <c r="H9089" s="25" t="str">
        <f t="shared" ca="1" si="1062"/>
        <v/>
      </c>
      <c r="I9089" s="25" t="str">
        <f t="shared" ca="1" si="1063"/>
        <v/>
      </c>
      <c r="J9089" s="26" t="str">
        <f t="shared" si="1064"/>
        <v/>
      </c>
    </row>
    <row r="9090" spans="1:10" x14ac:dyDescent="0.25">
      <c r="A9090" t="s">
        <v>111</v>
      </c>
      <c r="B9090" t="str">
        <f>ADDRESS(ROW(Parcels!B362),COLUMN(Parcels!B362),4)</f>
        <v>B362</v>
      </c>
      <c r="C9090" t="str">
        <f>ADDRESS(ROW(Parcels!D362),COLUMN(Parcels!D362),4)</f>
        <v>D362</v>
      </c>
      <c r="D9090" t="b">
        <f>IF(AND(Parcels!$B$6="Yes",NOT(ISBLANK(Parcels!A362)),ISBLANK(Parcels!B362)),TRUE,FALSE)</f>
        <v>0</v>
      </c>
      <c r="E9090" t="s">
        <v>64</v>
      </c>
      <c r="F9090" t="str">
        <f>INDEX(Lists!I:I,MATCH(Validation!E9090,Lists!G:G,0))</f>
        <v>Error</v>
      </c>
      <c r="G9090" t="str">
        <f>INDEX(Lists!H:H,MATCH(Validation!E9090,Lists!G:G,0))</f>
        <v>You must make a selection from the dropdown list.</v>
      </c>
      <c r="H9090" s="25" t="str">
        <f t="shared" ca="1" si="1062"/>
        <v/>
      </c>
      <c r="I9090" s="25" t="str">
        <f t="shared" ca="1" si="1063"/>
        <v/>
      </c>
      <c r="J9090" s="26" t="str">
        <f t="shared" si="1064"/>
        <v/>
      </c>
    </row>
    <row r="9091" spans="1:10" x14ac:dyDescent="0.25">
      <c r="A9091" t="s">
        <v>111</v>
      </c>
      <c r="B9091" t="str">
        <f>ADDRESS(ROW(Parcels!B363),COLUMN(Parcels!B363),4)</f>
        <v>B363</v>
      </c>
      <c r="C9091" t="str">
        <f>ADDRESS(ROW(Parcels!D363),COLUMN(Parcels!D363),4)</f>
        <v>D363</v>
      </c>
      <c r="D9091" t="b">
        <f>IF(AND(Parcels!$B$6="Yes",NOT(ISBLANK(Parcels!A363)),ISBLANK(Parcels!B363)),TRUE,FALSE)</f>
        <v>0</v>
      </c>
      <c r="E9091" t="s">
        <v>64</v>
      </c>
      <c r="F9091" t="str">
        <f>INDEX(Lists!I:I,MATCH(Validation!E9091,Lists!G:G,0))</f>
        <v>Error</v>
      </c>
      <c r="G9091" t="str">
        <f>INDEX(Lists!H:H,MATCH(Validation!E9091,Lists!G:G,0))</f>
        <v>You must make a selection from the dropdown list.</v>
      </c>
      <c r="H9091" s="25" t="str">
        <f t="shared" ca="1" si="1062"/>
        <v/>
      </c>
      <c r="I9091" s="25" t="str">
        <f t="shared" ca="1" si="1063"/>
        <v/>
      </c>
      <c r="J9091" s="26" t="str">
        <f t="shared" si="1064"/>
        <v/>
      </c>
    </row>
    <row r="9092" spans="1:10" x14ac:dyDescent="0.25">
      <c r="A9092" t="s">
        <v>111</v>
      </c>
      <c r="B9092" t="str">
        <f>ADDRESS(ROW(Parcels!B364),COLUMN(Parcels!B364),4)</f>
        <v>B364</v>
      </c>
      <c r="C9092" t="str">
        <f>ADDRESS(ROW(Parcels!D364),COLUMN(Parcels!D364),4)</f>
        <v>D364</v>
      </c>
      <c r="D9092" t="b">
        <f>IF(AND(Parcels!$B$6="Yes",NOT(ISBLANK(Parcels!A364)),ISBLANK(Parcels!B364)),TRUE,FALSE)</f>
        <v>0</v>
      </c>
      <c r="E9092" t="s">
        <v>64</v>
      </c>
      <c r="F9092" t="str">
        <f>INDEX(Lists!I:I,MATCH(Validation!E9092,Lists!G:G,0))</f>
        <v>Error</v>
      </c>
      <c r="G9092" t="str">
        <f>INDEX(Lists!H:H,MATCH(Validation!E9092,Lists!G:G,0))</f>
        <v>You must make a selection from the dropdown list.</v>
      </c>
      <c r="H9092" s="25" t="str">
        <f t="shared" ca="1" si="1062"/>
        <v/>
      </c>
      <c r="I9092" s="25" t="str">
        <f t="shared" ca="1" si="1063"/>
        <v/>
      </c>
      <c r="J9092" s="26" t="str">
        <f t="shared" si="1064"/>
        <v/>
      </c>
    </row>
    <row r="9093" spans="1:10" x14ac:dyDescent="0.25">
      <c r="A9093" t="s">
        <v>111</v>
      </c>
      <c r="B9093" t="str">
        <f>ADDRESS(ROW(Parcels!B365),COLUMN(Parcels!B365),4)</f>
        <v>B365</v>
      </c>
      <c r="C9093" t="str">
        <f>ADDRESS(ROW(Parcels!D365),COLUMN(Parcels!D365),4)</f>
        <v>D365</v>
      </c>
      <c r="D9093" t="b">
        <f>IF(AND(Parcels!$B$6="Yes",NOT(ISBLANK(Parcels!A365)),ISBLANK(Parcels!B365)),TRUE,FALSE)</f>
        <v>0</v>
      </c>
      <c r="E9093" t="s">
        <v>64</v>
      </c>
      <c r="F9093" t="str">
        <f>INDEX(Lists!I:I,MATCH(Validation!E9093,Lists!G:G,0))</f>
        <v>Error</v>
      </c>
      <c r="G9093" t="str">
        <f>INDEX(Lists!H:H,MATCH(Validation!E9093,Lists!G:G,0))</f>
        <v>You must make a selection from the dropdown list.</v>
      </c>
      <c r="H9093" s="25" t="str">
        <f t="shared" ca="1" si="1062"/>
        <v/>
      </c>
      <c r="I9093" s="25" t="str">
        <f t="shared" ca="1" si="1063"/>
        <v/>
      </c>
      <c r="J9093" s="26" t="str">
        <f t="shared" si="1064"/>
        <v/>
      </c>
    </row>
    <row r="9094" spans="1:10" x14ac:dyDescent="0.25">
      <c r="A9094" t="s">
        <v>111</v>
      </c>
      <c r="B9094" t="str">
        <f>ADDRESS(ROW(Parcels!B366),COLUMN(Parcels!B366),4)</f>
        <v>B366</v>
      </c>
      <c r="C9094" t="str">
        <f>ADDRESS(ROW(Parcels!D366),COLUMN(Parcels!D366),4)</f>
        <v>D366</v>
      </c>
      <c r="D9094" t="b">
        <f>IF(AND(Parcels!$B$6="Yes",NOT(ISBLANK(Parcels!A366)),ISBLANK(Parcels!B366)),TRUE,FALSE)</f>
        <v>0</v>
      </c>
      <c r="E9094" t="s">
        <v>64</v>
      </c>
      <c r="F9094" t="str">
        <f>INDEX(Lists!I:I,MATCH(Validation!E9094,Lists!G:G,0))</f>
        <v>Error</v>
      </c>
      <c r="G9094" t="str">
        <f>INDEX(Lists!H:H,MATCH(Validation!E9094,Lists!G:G,0))</f>
        <v>You must make a selection from the dropdown list.</v>
      </c>
      <c r="H9094" s="25" t="str">
        <f t="shared" ca="1" si="1062"/>
        <v/>
      </c>
      <c r="I9094" s="25" t="str">
        <f t="shared" ca="1" si="1063"/>
        <v/>
      </c>
      <c r="J9094" s="26" t="str">
        <f t="shared" si="1064"/>
        <v/>
      </c>
    </row>
    <row r="9095" spans="1:10" x14ac:dyDescent="0.25">
      <c r="A9095" t="s">
        <v>111</v>
      </c>
      <c r="B9095" t="str">
        <f>ADDRESS(ROW(Parcels!B367),COLUMN(Parcels!B367),4)</f>
        <v>B367</v>
      </c>
      <c r="C9095" t="str">
        <f>ADDRESS(ROW(Parcels!D367),COLUMN(Parcels!D367),4)</f>
        <v>D367</v>
      </c>
      <c r="D9095" t="b">
        <f>IF(AND(Parcels!$B$6="Yes",NOT(ISBLANK(Parcels!A367)),ISBLANK(Parcels!B367)),TRUE,FALSE)</f>
        <v>0</v>
      </c>
      <c r="E9095" t="s">
        <v>64</v>
      </c>
      <c r="F9095" t="str">
        <f>INDEX(Lists!I:I,MATCH(Validation!E9095,Lists!G:G,0))</f>
        <v>Error</v>
      </c>
      <c r="G9095" t="str">
        <f>INDEX(Lists!H:H,MATCH(Validation!E9095,Lists!G:G,0))</f>
        <v>You must make a selection from the dropdown list.</v>
      </c>
      <c r="H9095" s="25" t="str">
        <f t="shared" ca="1" si="1062"/>
        <v/>
      </c>
      <c r="I9095" s="25" t="str">
        <f t="shared" ca="1" si="1063"/>
        <v/>
      </c>
      <c r="J9095" s="26" t="str">
        <f t="shared" si="1064"/>
        <v/>
      </c>
    </row>
    <row r="9096" spans="1:10" x14ac:dyDescent="0.25">
      <c r="A9096" t="s">
        <v>111</v>
      </c>
      <c r="B9096" t="str">
        <f>ADDRESS(ROW(Parcels!B368),COLUMN(Parcels!B368),4)</f>
        <v>B368</v>
      </c>
      <c r="C9096" t="str">
        <f>ADDRESS(ROW(Parcels!D368),COLUMN(Parcels!D368),4)</f>
        <v>D368</v>
      </c>
      <c r="D9096" t="b">
        <f>IF(AND(Parcels!$B$6="Yes",NOT(ISBLANK(Parcels!A368)),ISBLANK(Parcels!B368)),TRUE,FALSE)</f>
        <v>0</v>
      </c>
      <c r="E9096" t="s">
        <v>64</v>
      </c>
      <c r="F9096" t="str">
        <f>INDEX(Lists!I:I,MATCH(Validation!E9096,Lists!G:G,0))</f>
        <v>Error</v>
      </c>
      <c r="G9096" t="str">
        <f>INDEX(Lists!H:H,MATCH(Validation!E9096,Lists!G:G,0))</f>
        <v>You must make a selection from the dropdown list.</v>
      </c>
      <c r="H9096" s="25" t="str">
        <f t="shared" ca="1" si="1062"/>
        <v/>
      </c>
      <c r="I9096" s="25" t="str">
        <f t="shared" ca="1" si="1063"/>
        <v/>
      </c>
      <c r="J9096" s="26" t="str">
        <f t="shared" si="1064"/>
        <v/>
      </c>
    </row>
    <row r="9097" spans="1:10" x14ac:dyDescent="0.25">
      <c r="A9097" t="s">
        <v>111</v>
      </c>
      <c r="B9097" t="str">
        <f>ADDRESS(ROW(Parcels!B369),COLUMN(Parcels!B369),4)</f>
        <v>B369</v>
      </c>
      <c r="C9097" t="str">
        <f>ADDRESS(ROW(Parcels!D369),COLUMN(Parcels!D369),4)</f>
        <v>D369</v>
      </c>
      <c r="D9097" t="b">
        <f>IF(AND(Parcels!$B$6="Yes",NOT(ISBLANK(Parcels!A369)),ISBLANK(Parcels!B369)),TRUE,FALSE)</f>
        <v>0</v>
      </c>
      <c r="E9097" t="s">
        <v>64</v>
      </c>
      <c r="F9097" t="str">
        <f>INDEX(Lists!I:I,MATCH(Validation!E9097,Lists!G:G,0))</f>
        <v>Error</v>
      </c>
      <c r="G9097" t="str">
        <f>INDEX(Lists!H:H,MATCH(Validation!E9097,Lists!G:G,0))</f>
        <v>You must make a selection from the dropdown list.</v>
      </c>
      <c r="H9097" s="25" t="str">
        <f t="shared" ca="1" si="1062"/>
        <v/>
      </c>
      <c r="I9097" s="25" t="str">
        <f t="shared" ca="1" si="1063"/>
        <v/>
      </c>
      <c r="J9097" s="26" t="str">
        <f t="shared" si="1064"/>
        <v/>
      </c>
    </row>
    <row r="9098" spans="1:10" x14ac:dyDescent="0.25">
      <c r="A9098" t="s">
        <v>111</v>
      </c>
      <c r="B9098" t="str">
        <f>ADDRESS(ROW(Parcels!B370),COLUMN(Parcels!B370),4)</f>
        <v>B370</v>
      </c>
      <c r="C9098" t="str">
        <f>ADDRESS(ROW(Parcels!D370),COLUMN(Parcels!D370),4)</f>
        <v>D370</v>
      </c>
      <c r="D9098" t="b">
        <f>IF(AND(Parcels!$B$6="Yes",NOT(ISBLANK(Parcels!A370)),ISBLANK(Parcels!B370)),TRUE,FALSE)</f>
        <v>0</v>
      </c>
      <c r="E9098" t="s">
        <v>64</v>
      </c>
      <c r="F9098" t="str">
        <f>INDEX(Lists!I:I,MATCH(Validation!E9098,Lists!G:G,0))</f>
        <v>Error</v>
      </c>
      <c r="G9098" t="str">
        <f>INDEX(Lists!H:H,MATCH(Validation!E9098,Lists!G:G,0))</f>
        <v>You must make a selection from the dropdown list.</v>
      </c>
      <c r="H9098" s="25" t="str">
        <f t="shared" ca="1" si="1062"/>
        <v/>
      </c>
      <c r="I9098" s="25" t="str">
        <f t="shared" ca="1" si="1063"/>
        <v/>
      </c>
      <c r="J9098" s="26" t="str">
        <f t="shared" si="1064"/>
        <v/>
      </c>
    </row>
    <row r="9099" spans="1:10" x14ac:dyDescent="0.25">
      <c r="A9099" t="s">
        <v>111</v>
      </c>
      <c r="B9099" t="str">
        <f>ADDRESS(ROW(Parcels!B371),COLUMN(Parcels!B371),4)</f>
        <v>B371</v>
      </c>
      <c r="C9099" t="str">
        <f>ADDRESS(ROW(Parcels!D371),COLUMN(Parcels!D371),4)</f>
        <v>D371</v>
      </c>
      <c r="D9099" t="b">
        <f>IF(AND(Parcels!$B$6="Yes",NOT(ISBLANK(Parcels!A371)),ISBLANK(Parcels!B371)),TRUE,FALSE)</f>
        <v>0</v>
      </c>
      <c r="E9099" t="s">
        <v>64</v>
      </c>
      <c r="F9099" t="str">
        <f>INDEX(Lists!I:I,MATCH(Validation!E9099,Lists!G:G,0))</f>
        <v>Error</v>
      </c>
      <c r="G9099" t="str">
        <f>INDEX(Lists!H:H,MATCH(Validation!E9099,Lists!G:G,0))</f>
        <v>You must make a selection from the dropdown list.</v>
      </c>
      <c r="H9099" s="25" t="str">
        <f t="shared" ca="1" si="1062"/>
        <v/>
      </c>
      <c r="I9099" s="25" t="str">
        <f t="shared" ca="1" si="1063"/>
        <v/>
      </c>
      <c r="J9099" s="26" t="str">
        <f t="shared" si="1064"/>
        <v/>
      </c>
    </row>
    <row r="9100" spans="1:10" x14ac:dyDescent="0.25">
      <c r="A9100" t="s">
        <v>111</v>
      </c>
      <c r="B9100" t="str">
        <f>ADDRESS(ROW(Parcels!B372),COLUMN(Parcels!B372),4)</f>
        <v>B372</v>
      </c>
      <c r="C9100" t="str">
        <f>ADDRESS(ROW(Parcels!D372),COLUMN(Parcels!D372),4)</f>
        <v>D372</v>
      </c>
      <c r="D9100" t="b">
        <f>IF(AND(Parcels!$B$6="Yes",NOT(ISBLANK(Parcels!A372)),ISBLANK(Parcels!B372)),TRUE,FALSE)</f>
        <v>0</v>
      </c>
      <c r="E9100" t="s">
        <v>64</v>
      </c>
      <c r="F9100" t="str">
        <f>INDEX(Lists!I:I,MATCH(Validation!E9100,Lists!G:G,0))</f>
        <v>Error</v>
      </c>
      <c r="G9100" t="str">
        <f>INDEX(Lists!H:H,MATCH(Validation!E9100,Lists!G:G,0))</f>
        <v>You must make a selection from the dropdown list.</v>
      </c>
      <c r="H9100" s="25" t="str">
        <f t="shared" ca="1" si="1062"/>
        <v/>
      </c>
      <c r="I9100" s="25" t="str">
        <f t="shared" ca="1" si="1063"/>
        <v/>
      </c>
      <c r="J9100" s="26" t="str">
        <f t="shared" si="1064"/>
        <v/>
      </c>
    </row>
    <row r="9101" spans="1:10" x14ac:dyDescent="0.25">
      <c r="A9101" t="s">
        <v>111</v>
      </c>
      <c r="B9101" t="str">
        <f>ADDRESS(ROW(Parcels!B373),COLUMN(Parcels!B373),4)</f>
        <v>B373</v>
      </c>
      <c r="C9101" t="str">
        <f>ADDRESS(ROW(Parcels!D373),COLUMN(Parcels!D373),4)</f>
        <v>D373</v>
      </c>
      <c r="D9101" t="b">
        <f>IF(AND(Parcels!$B$6="Yes",NOT(ISBLANK(Parcels!A373)),ISBLANK(Parcels!B373)),TRUE,FALSE)</f>
        <v>0</v>
      </c>
      <c r="E9101" t="s">
        <v>64</v>
      </c>
      <c r="F9101" t="str">
        <f>INDEX(Lists!I:I,MATCH(Validation!E9101,Lists!G:G,0))</f>
        <v>Error</v>
      </c>
      <c r="G9101" t="str">
        <f>INDEX(Lists!H:H,MATCH(Validation!E9101,Lists!G:G,0))</f>
        <v>You must make a selection from the dropdown list.</v>
      </c>
      <c r="H9101" s="25" t="str">
        <f t="shared" ca="1" si="1062"/>
        <v/>
      </c>
      <c r="I9101" s="25" t="str">
        <f t="shared" ca="1" si="1063"/>
        <v/>
      </c>
      <c r="J9101" s="26" t="str">
        <f t="shared" si="1064"/>
        <v/>
      </c>
    </row>
    <row r="9102" spans="1:10" x14ac:dyDescent="0.25">
      <c r="A9102" t="s">
        <v>111</v>
      </c>
      <c r="B9102" t="str">
        <f>ADDRESS(ROW(Parcels!B374),COLUMN(Parcels!B374),4)</f>
        <v>B374</v>
      </c>
      <c r="C9102" t="str">
        <f>ADDRESS(ROW(Parcels!D374),COLUMN(Parcels!D374),4)</f>
        <v>D374</v>
      </c>
      <c r="D9102" t="b">
        <f>IF(AND(Parcels!$B$6="Yes",NOT(ISBLANK(Parcels!A374)),ISBLANK(Parcels!B374)),TRUE,FALSE)</f>
        <v>0</v>
      </c>
      <c r="E9102" t="s">
        <v>64</v>
      </c>
      <c r="F9102" t="str">
        <f>INDEX(Lists!I:I,MATCH(Validation!E9102,Lists!G:G,0))</f>
        <v>Error</v>
      </c>
      <c r="G9102" t="str">
        <f>INDEX(Lists!H:H,MATCH(Validation!E9102,Lists!G:G,0))</f>
        <v>You must make a selection from the dropdown list.</v>
      </c>
      <c r="H9102" s="25" t="str">
        <f t="shared" ca="1" si="1062"/>
        <v/>
      </c>
      <c r="I9102" s="25" t="str">
        <f t="shared" ca="1" si="1063"/>
        <v/>
      </c>
      <c r="J9102" s="26" t="str">
        <f t="shared" si="1064"/>
        <v/>
      </c>
    </row>
    <row r="9103" spans="1:10" x14ac:dyDescent="0.25">
      <c r="A9103" t="s">
        <v>111</v>
      </c>
      <c r="B9103" t="str">
        <f>ADDRESS(ROW(Parcels!B375),COLUMN(Parcels!B375),4)</f>
        <v>B375</v>
      </c>
      <c r="C9103" t="str">
        <f>ADDRESS(ROW(Parcels!D375),COLUMN(Parcels!D375),4)</f>
        <v>D375</v>
      </c>
      <c r="D9103" t="b">
        <f>IF(AND(Parcels!$B$6="Yes",NOT(ISBLANK(Parcels!A375)),ISBLANK(Parcels!B375)),TRUE,FALSE)</f>
        <v>0</v>
      </c>
      <c r="E9103" t="s">
        <v>64</v>
      </c>
      <c r="F9103" t="str">
        <f>INDEX(Lists!I:I,MATCH(Validation!E9103,Lists!G:G,0))</f>
        <v>Error</v>
      </c>
      <c r="G9103" t="str">
        <f>INDEX(Lists!H:H,MATCH(Validation!E9103,Lists!G:G,0))</f>
        <v>You must make a selection from the dropdown list.</v>
      </c>
      <c r="H9103" s="25" t="str">
        <f t="shared" ca="1" si="1062"/>
        <v/>
      </c>
      <c r="I9103" s="25" t="str">
        <f t="shared" ca="1" si="1063"/>
        <v/>
      </c>
      <c r="J9103" s="26" t="str">
        <f t="shared" si="1064"/>
        <v/>
      </c>
    </row>
    <row r="9104" spans="1:10" x14ac:dyDescent="0.25">
      <c r="A9104" t="s">
        <v>111</v>
      </c>
      <c r="B9104" t="str">
        <f>ADDRESS(ROW(Parcels!B376),COLUMN(Parcels!B376),4)</f>
        <v>B376</v>
      </c>
      <c r="C9104" t="str">
        <f>ADDRESS(ROW(Parcels!D376),COLUMN(Parcels!D376),4)</f>
        <v>D376</v>
      </c>
      <c r="D9104" t="b">
        <f>IF(AND(Parcels!$B$6="Yes",NOT(ISBLANK(Parcels!A376)),ISBLANK(Parcels!B376)),TRUE,FALSE)</f>
        <v>0</v>
      </c>
      <c r="E9104" t="s">
        <v>64</v>
      </c>
      <c r="F9104" t="str">
        <f>INDEX(Lists!I:I,MATCH(Validation!E9104,Lists!G:G,0))</f>
        <v>Error</v>
      </c>
      <c r="G9104" t="str">
        <f>INDEX(Lists!H:H,MATCH(Validation!E9104,Lists!G:G,0))</f>
        <v>You must make a selection from the dropdown list.</v>
      </c>
      <c r="H9104" s="25" t="str">
        <f t="shared" ca="1" si="1062"/>
        <v/>
      </c>
      <c r="I9104" s="25" t="str">
        <f t="shared" ca="1" si="1063"/>
        <v/>
      </c>
      <c r="J9104" s="26" t="str">
        <f t="shared" si="1064"/>
        <v/>
      </c>
    </row>
    <row r="9105" spans="1:10" x14ac:dyDescent="0.25">
      <c r="A9105" t="s">
        <v>111</v>
      </c>
      <c r="B9105" t="str">
        <f>ADDRESS(ROW(Parcels!B377),COLUMN(Parcels!B377),4)</f>
        <v>B377</v>
      </c>
      <c r="C9105" t="str">
        <f>ADDRESS(ROW(Parcels!D377),COLUMN(Parcels!D377),4)</f>
        <v>D377</v>
      </c>
      <c r="D9105" t="b">
        <f>IF(AND(Parcels!$B$6="Yes",NOT(ISBLANK(Parcels!A377)),ISBLANK(Parcels!B377)),TRUE,FALSE)</f>
        <v>0</v>
      </c>
      <c r="E9105" t="s">
        <v>64</v>
      </c>
      <c r="F9105" t="str">
        <f>INDEX(Lists!I:I,MATCH(Validation!E9105,Lists!G:G,0))</f>
        <v>Error</v>
      </c>
      <c r="G9105" t="str">
        <f>INDEX(Lists!H:H,MATCH(Validation!E9105,Lists!G:G,0))</f>
        <v>You must make a selection from the dropdown list.</v>
      </c>
      <c r="H9105" s="25" t="str">
        <f t="shared" ca="1" si="1062"/>
        <v/>
      </c>
      <c r="I9105" s="25" t="str">
        <f t="shared" ca="1" si="1063"/>
        <v/>
      </c>
      <c r="J9105" s="26" t="str">
        <f t="shared" si="1064"/>
        <v/>
      </c>
    </row>
    <row r="9106" spans="1:10" x14ac:dyDescent="0.25">
      <c r="A9106" t="s">
        <v>111</v>
      </c>
      <c r="B9106" t="str">
        <f>ADDRESS(ROW(Parcels!B378),COLUMN(Parcels!B378),4)</f>
        <v>B378</v>
      </c>
      <c r="C9106" t="str">
        <f>ADDRESS(ROW(Parcels!D378),COLUMN(Parcels!D378),4)</f>
        <v>D378</v>
      </c>
      <c r="D9106" t="b">
        <f>IF(AND(Parcels!$B$6="Yes",NOT(ISBLANK(Parcels!A378)),ISBLANK(Parcels!B378)),TRUE,FALSE)</f>
        <v>0</v>
      </c>
      <c r="E9106" t="s">
        <v>64</v>
      </c>
      <c r="F9106" t="str">
        <f>INDEX(Lists!I:I,MATCH(Validation!E9106,Lists!G:G,0))</f>
        <v>Error</v>
      </c>
      <c r="G9106" t="str">
        <f>INDEX(Lists!H:H,MATCH(Validation!E9106,Lists!G:G,0))</f>
        <v>You must make a selection from the dropdown list.</v>
      </c>
      <c r="H9106" s="25" t="str">
        <f t="shared" ca="1" si="1062"/>
        <v/>
      </c>
      <c r="I9106" s="25" t="str">
        <f t="shared" ca="1" si="1063"/>
        <v/>
      </c>
      <c r="J9106" s="26" t="str">
        <f t="shared" si="1064"/>
        <v/>
      </c>
    </row>
    <row r="9107" spans="1:10" x14ac:dyDescent="0.25">
      <c r="A9107" t="s">
        <v>111</v>
      </c>
      <c r="B9107" t="str">
        <f>ADDRESS(ROW(Parcels!B379),COLUMN(Parcels!B379),4)</f>
        <v>B379</v>
      </c>
      <c r="C9107" t="str">
        <f>ADDRESS(ROW(Parcels!D379),COLUMN(Parcels!D379),4)</f>
        <v>D379</v>
      </c>
      <c r="D9107" t="b">
        <f>IF(AND(Parcels!$B$6="Yes",NOT(ISBLANK(Parcels!A379)),ISBLANK(Parcels!B379)),TRUE,FALSE)</f>
        <v>0</v>
      </c>
      <c r="E9107" t="s">
        <v>64</v>
      </c>
      <c r="F9107" t="str">
        <f>INDEX(Lists!I:I,MATCH(Validation!E9107,Lists!G:G,0))</f>
        <v>Error</v>
      </c>
      <c r="G9107" t="str">
        <f>INDEX(Lists!H:H,MATCH(Validation!E9107,Lists!G:G,0))</f>
        <v>You must make a selection from the dropdown list.</v>
      </c>
      <c r="H9107" s="25" t="str">
        <f t="shared" ca="1" si="1062"/>
        <v/>
      </c>
      <c r="I9107" s="25" t="str">
        <f t="shared" ca="1" si="1063"/>
        <v/>
      </c>
      <c r="J9107" s="26" t="str">
        <f t="shared" si="1064"/>
        <v/>
      </c>
    </row>
    <row r="9108" spans="1:10" x14ac:dyDescent="0.25">
      <c r="A9108" t="s">
        <v>111</v>
      </c>
      <c r="B9108" t="str">
        <f>ADDRESS(ROW(Parcels!B380),COLUMN(Parcels!B380),4)</f>
        <v>B380</v>
      </c>
      <c r="C9108" t="str">
        <f>ADDRESS(ROW(Parcels!D380),COLUMN(Parcels!D380),4)</f>
        <v>D380</v>
      </c>
      <c r="D9108" t="b">
        <f>IF(AND(Parcels!$B$6="Yes",NOT(ISBLANK(Parcels!A380)),ISBLANK(Parcels!B380)),TRUE,FALSE)</f>
        <v>0</v>
      </c>
      <c r="E9108" t="s">
        <v>64</v>
      </c>
      <c r="F9108" t="str">
        <f>INDEX(Lists!I:I,MATCH(Validation!E9108,Lists!G:G,0))</f>
        <v>Error</v>
      </c>
      <c r="G9108" t="str">
        <f>INDEX(Lists!H:H,MATCH(Validation!E9108,Lists!G:G,0))</f>
        <v>You must make a selection from the dropdown list.</v>
      </c>
      <c r="H9108" s="25" t="str">
        <f t="shared" ca="1" si="1062"/>
        <v/>
      </c>
      <c r="I9108" s="25" t="str">
        <f t="shared" ca="1" si="1063"/>
        <v/>
      </c>
      <c r="J9108" s="26" t="str">
        <f t="shared" si="1064"/>
        <v/>
      </c>
    </row>
    <row r="9109" spans="1:10" x14ac:dyDescent="0.25">
      <c r="A9109" t="s">
        <v>111</v>
      </c>
      <c r="B9109" t="str">
        <f>ADDRESS(ROW(Parcels!B381),COLUMN(Parcels!B381),4)</f>
        <v>B381</v>
      </c>
      <c r="C9109" t="str">
        <f>ADDRESS(ROW(Parcels!D381),COLUMN(Parcels!D381),4)</f>
        <v>D381</v>
      </c>
      <c r="D9109" t="b">
        <f>IF(AND(Parcels!$B$6="Yes",NOT(ISBLANK(Parcels!A381)),ISBLANK(Parcels!B381)),TRUE,FALSE)</f>
        <v>0</v>
      </c>
      <c r="E9109" t="s">
        <v>64</v>
      </c>
      <c r="F9109" t="str">
        <f>INDEX(Lists!I:I,MATCH(Validation!E9109,Lists!G:G,0))</f>
        <v>Error</v>
      </c>
      <c r="G9109" t="str">
        <f>INDEX(Lists!H:H,MATCH(Validation!E9109,Lists!G:G,0))</f>
        <v>You must make a selection from the dropdown list.</v>
      </c>
      <c r="H9109" s="25" t="str">
        <f t="shared" ca="1" si="1062"/>
        <v/>
      </c>
      <c r="I9109" s="25" t="str">
        <f t="shared" ca="1" si="1063"/>
        <v/>
      </c>
      <c r="J9109" s="26" t="str">
        <f t="shared" si="1064"/>
        <v/>
      </c>
    </row>
    <row r="9110" spans="1:10" x14ac:dyDescent="0.25">
      <c r="A9110" t="s">
        <v>111</v>
      </c>
      <c r="B9110" t="str">
        <f>ADDRESS(ROW(Parcels!B382),COLUMN(Parcels!B382),4)</f>
        <v>B382</v>
      </c>
      <c r="C9110" t="str">
        <f>ADDRESS(ROW(Parcels!D382),COLUMN(Parcels!D382),4)</f>
        <v>D382</v>
      </c>
      <c r="D9110" t="b">
        <f>IF(AND(Parcels!$B$6="Yes",NOT(ISBLANK(Parcels!A382)),ISBLANK(Parcels!B382)),TRUE,FALSE)</f>
        <v>0</v>
      </c>
      <c r="E9110" t="s">
        <v>64</v>
      </c>
      <c r="F9110" t="str">
        <f>INDEX(Lists!I:I,MATCH(Validation!E9110,Lists!G:G,0))</f>
        <v>Error</v>
      </c>
      <c r="G9110" t="str">
        <f>INDEX(Lists!H:H,MATCH(Validation!E9110,Lists!G:G,0))</f>
        <v>You must make a selection from the dropdown list.</v>
      </c>
      <c r="H9110" s="25" t="str">
        <f t="shared" ca="1" si="1062"/>
        <v/>
      </c>
      <c r="I9110" s="25" t="str">
        <f t="shared" ca="1" si="1063"/>
        <v/>
      </c>
      <c r="J9110" s="26" t="str">
        <f t="shared" si="1064"/>
        <v/>
      </c>
    </row>
    <row r="9111" spans="1:10" x14ac:dyDescent="0.25">
      <c r="A9111" t="s">
        <v>111</v>
      </c>
      <c r="B9111" t="str">
        <f>ADDRESS(ROW(Parcels!B383),COLUMN(Parcels!B383),4)</f>
        <v>B383</v>
      </c>
      <c r="C9111" t="str">
        <f>ADDRESS(ROW(Parcels!D383),COLUMN(Parcels!D383),4)</f>
        <v>D383</v>
      </c>
      <c r="D9111" t="b">
        <f>IF(AND(Parcels!$B$6="Yes",NOT(ISBLANK(Parcels!A383)),ISBLANK(Parcels!B383)),TRUE,FALSE)</f>
        <v>0</v>
      </c>
      <c r="E9111" t="s">
        <v>64</v>
      </c>
      <c r="F9111" t="str">
        <f>INDEX(Lists!I:I,MATCH(Validation!E9111,Lists!G:G,0))</f>
        <v>Error</v>
      </c>
      <c r="G9111" t="str">
        <f>INDEX(Lists!H:H,MATCH(Validation!E9111,Lists!G:G,0))</f>
        <v>You must make a selection from the dropdown list.</v>
      </c>
      <c r="H9111" s="25" t="str">
        <f t="shared" ca="1" si="1062"/>
        <v/>
      </c>
      <c r="I9111" s="25" t="str">
        <f t="shared" ca="1" si="1063"/>
        <v/>
      </c>
      <c r="J9111" s="26" t="str">
        <f t="shared" si="1064"/>
        <v/>
      </c>
    </row>
    <row r="9112" spans="1:10" x14ac:dyDescent="0.25">
      <c r="A9112" t="s">
        <v>111</v>
      </c>
      <c r="B9112" t="str">
        <f>ADDRESS(ROW(Parcels!B384),COLUMN(Parcels!B384),4)</f>
        <v>B384</v>
      </c>
      <c r="C9112" t="str">
        <f>ADDRESS(ROW(Parcels!D384),COLUMN(Parcels!D384),4)</f>
        <v>D384</v>
      </c>
      <c r="D9112" t="b">
        <f>IF(AND(Parcels!$B$6="Yes",NOT(ISBLANK(Parcels!A384)),ISBLANK(Parcels!B384)),TRUE,FALSE)</f>
        <v>0</v>
      </c>
      <c r="E9112" t="s">
        <v>64</v>
      </c>
      <c r="F9112" t="str">
        <f>INDEX(Lists!I:I,MATCH(Validation!E9112,Lists!G:G,0))</f>
        <v>Error</v>
      </c>
      <c r="G9112" t="str">
        <f>INDEX(Lists!H:H,MATCH(Validation!E9112,Lists!G:G,0))</f>
        <v>You must make a selection from the dropdown list.</v>
      </c>
      <c r="H9112" s="25" t="str">
        <f t="shared" ca="1" si="1062"/>
        <v/>
      </c>
      <c r="I9112" s="25" t="str">
        <f t="shared" ca="1" si="1063"/>
        <v/>
      </c>
      <c r="J9112" s="26" t="str">
        <f t="shared" si="1064"/>
        <v/>
      </c>
    </row>
    <row r="9113" spans="1:10" x14ac:dyDescent="0.25">
      <c r="A9113" t="s">
        <v>111</v>
      </c>
      <c r="B9113" t="str">
        <f>ADDRESS(ROW(Parcels!B385),COLUMN(Parcels!B385),4)</f>
        <v>B385</v>
      </c>
      <c r="C9113" t="str">
        <f>ADDRESS(ROW(Parcels!D385),COLUMN(Parcels!D385),4)</f>
        <v>D385</v>
      </c>
      <c r="D9113" t="b">
        <f>IF(AND(Parcels!$B$6="Yes",NOT(ISBLANK(Parcels!A385)),ISBLANK(Parcels!B385)),TRUE,FALSE)</f>
        <v>0</v>
      </c>
      <c r="E9113" t="s">
        <v>64</v>
      </c>
      <c r="F9113" t="str">
        <f>INDEX(Lists!I:I,MATCH(Validation!E9113,Lists!G:G,0))</f>
        <v>Error</v>
      </c>
      <c r="G9113" t="str">
        <f>INDEX(Lists!H:H,MATCH(Validation!E9113,Lists!G:G,0))</f>
        <v>You must make a selection from the dropdown list.</v>
      </c>
      <c r="H9113" s="25" t="str">
        <f t="shared" ca="1" si="1062"/>
        <v/>
      </c>
      <c r="I9113" s="25" t="str">
        <f t="shared" ca="1" si="1063"/>
        <v/>
      </c>
      <c r="J9113" s="26" t="str">
        <f t="shared" si="1064"/>
        <v/>
      </c>
    </row>
    <row r="9114" spans="1:10" x14ac:dyDescent="0.25">
      <c r="A9114" t="s">
        <v>111</v>
      </c>
      <c r="B9114" t="str">
        <f>ADDRESS(ROW(Parcels!B386),COLUMN(Parcels!B386),4)</f>
        <v>B386</v>
      </c>
      <c r="C9114" t="str">
        <f>ADDRESS(ROW(Parcels!D386),COLUMN(Parcels!D386),4)</f>
        <v>D386</v>
      </c>
      <c r="D9114" t="b">
        <f>IF(AND(Parcels!$B$6="Yes",NOT(ISBLANK(Parcels!A386)),ISBLANK(Parcels!B386)),TRUE,FALSE)</f>
        <v>0</v>
      </c>
      <c r="E9114" t="s">
        <v>64</v>
      </c>
      <c r="F9114" t="str">
        <f>INDEX(Lists!I:I,MATCH(Validation!E9114,Lists!G:G,0))</f>
        <v>Error</v>
      </c>
      <c r="G9114" t="str">
        <f>INDEX(Lists!H:H,MATCH(Validation!E9114,Lists!G:G,0))</f>
        <v>You must make a selection from the dropdown list.</v>
      </c>
      <c r="H9114" s="25" t="str">
        <f t="shared" ca="1" si="1062"/>
        <v/>
      </c>
      <c r="I9114" s="25" t="str">
        <f t="shared" ca="1" si="1063"/>
        <v/>
      </c>
      <c r="J9114" s="26" t="str">
        <f t="shared" si="1064"/>
        <v/>
      </c>
    </row>
    <row r="9115" spans="1:10" x14ac:dyDescent="0.25">
      <c r="A9115" t="s">
        <v>111</v>
      </c>
      <c r="B9115" t="str">
        <f>ADDRESS(ROW(Parcels!B387),COLUMN(Parcels!B387),4)</f>
        <v>B387</v>
      </c>
      <c r="C9115" t="str">
        <f>ADDRESS(ROW(Parcels!D387),COLUMN(Parcels!D387),4)</f>
        <v>D387</v>
      </c>
      <c r="D9115" t="b">
        <f>IF(AND(Parcels!$B$6="Yes",NOT(ISBLANK(Parcels!A387)),ISBLANK(Parcels!B387)),TRUE,FALSE)</f>
        <v>0</v>
      </c>
      <c r="E9115" t="s">
        <v>64</v>
      </c>
      <c r="F9115" t="str">
        <f>INDEX(Lists!I:I,MATCH(Validation!E9115,Lists!G:G,0))</f>
        <v>Error</v>
      </c>
      <c r="G9115" t="str">
        <f>INDEX(Lists!H:H,MATCH(Validation!E9115,Lists!G:G,0))</f>
        <v>You must make a selection from the dropdown list.</v>
      </c>
      <c r="H9115" s="25" t="str">
        <f t="shared" ca="1" si="1062"/>
        <v/>
      </c>
      <c r="I9115" s="25" t="str">
        <f t="shared" ca="1" si="1063"/>
        <v/>
      </c>
      <c r="J9115" s="26" t="str">
        <f t="shared" si="1064"/>
        <v/>
      </c>
    </row>
    <row r="9116" spans="1:10" x14ac:dyDescent="0.25">
      <c r="A9116" t="s">
        <v>111</v>
      </c>
      <c r="B9116" t="str">
        <f>ADDRESS(ROW(Parcels!B388),COLUMN(Parcels!B388),4)</f>
        <v>B388</v>
      </c>
      <c r="C9116" t="str">
        <f>ADDRESS(ROW(Parcels!D388),COLUMN(Parcels!D388),4)</f>
        <v>D388</v>
      </c>
      <c r="D9116" t="b">
        <f>IF(AND(Parcels!$B$6="Yes",NOT(ISBLANK(Parcels!A388)),ISBLANK(Parcels!B388)),TRUE,FALSE)</f>
        <v>0</v>
      </c>
      <c r="E9116" t="s">
        <v>64</v>
      </c>
      <c r="F9116" t="str">
        <f>INDEX(Lists!I:I,MATCH(Validation!E9116,Lists!G:G,0))</f>
        <v>Error</v>
      </c>
      <c r="G9116" t="str">
        <f>INDEX(Lists!H:H,MATCH(Validation!E9116,Lists!G:G,0))</f>
        <v>You must make a selection from the dropdown list.</v>
      </c>
      <c r="H9116" s="25" t="str">
        <f t="shared" ca="1" si="1062"/>
        <v/>
      </c>
      <c r="I9116" s="25" t="str">
        <f t="shared" ca="1" si="1063"/>
        <v/>
      </c>
      <c r="J9116" s="26" t="str">
        <f t="shared" si="1064"/>
        <v/>
      </c>
    </row>
    <row r="9117" spans="1:10" x14ac:dyDescent="0.25">
      <c r="A9117" t="s">
        <v>111</v>
      </c>
      <c r="B9117" t="str">
        <f>ADDRESS(ROW(Parcels!B389),COLUMN(Parcels!B389),4)</f>
        <v>B389</v>
      </c>
      <c r="C9117" t="str">
        <f>ADDRESS(ROW(Parcels!D389),COLUMN(Parcels!D389),4)</f>
        <v>D389</v>
      </c>
      <c r="D9117" t="b">
        <f>IF(AND(Parcels!$B$6="Yes",NOT(ISBLANK(Parcels!A389)),ISBLANK(Parcels!B389)),TRUE,FALSE)</f>
        <v>0</v>
      </c>
      <c r="E9117" t="s">
        <v>64</v>
      </c>
      <c r="F9117" t="str">
        <f>INDEX(Lists!I:I,MATCH(Validation!E9117,Lists!G:G,0))</f>
        <v>Error</v>
      </c>
      <c r="G9117" t="str">
        <f>INDEX(Lists!H:H,MATCH(Validation!E9117,Lists!G:G,0))</f>
        <v>You must make a selection from the dropdown list.</v>
      </c>
      <c r="H9117" s="25" t="str">
        <f t="shared" ca="1" si="1062"/>
        <v/>
      </c>
      <c r="I9117" s="25" t="str">
        <f t="shared" ca="1" si="1063"/>
        <v/>
      </c>
      <c r="J9117" s="26" t="str">
        <f t="shared" si="1064"/>
        <v/>
      </c>
    </row>
    <row r="9118" spans="1:10" x14ac:dyDescent="0.25">
      <c r="A9118" t="s">
        <v>111</v>
      </c>
      <c r="B9118" t="str">
        <f>ADDRESS(ROW(Parcels!B390),COLUMN(Parcels!B390),4)</f>
        <v>B390</v>
      </c>
      <c r="C9118" t="str">
        <f>ADDRESS(ROW(Parcels!D390),COLUMN(Parcels!D390),4)</f>
        <v>D390</v>
      </c>
      <c r="D9118" t="b">
        <f>IF(AND(Parcels!$B$6="Yes",NOT(ISBLANK(Parcels!A390)),ISBLANK(Parcels!B390)),TRUE,FALSE)</f>
        <v>0</v>
      </c>
      <c r="E9118" t="s">
        <v>64</v>
      </c>
      <c r="F9118" t="str">
        <f>INDEX(Lists!I:I,MATCH(Validation!E9118,Lists!G:G,0))</f>
        <v>Error</v>
      </c>
      <c r="G9118" t="str">
        <f>INDEX(Lists!H:H,MATCH(Validation!E9118,Lists!G:G,0))</f>
        <v>You must make a selection from the dropdown list.</v>
      </c>
      <c r="H9118" s="25" t="str">
        <f t="shared" ca="1" si="1062"/>
        <v/>
      </c>
      <c r="I9118" s="25" t="str">
        <f t="shared" ca="1" si="1063"/>
        <v/>
      </c>
      <c r="J9118" s="26" t="str">
        <f t="shared" si="1064"/>
        <v/>
      </c>
    </row>
    <row r="9119" spans="1:10" x14ac:dyDescent="0.25">
      <c r="A9119" t="s">
        <v>111</v>
      </c>
      <c r="B9119" t="str">
        <f>ADDRESS(ROW(Parcels!B391),COLUMN(Parcels!B391),4)</f>
        <v>B391</v>
      </c>
      <c r="C9119" t="str">
        <f>ADDRESS(ROW(Parcels!D391),COLUMN(Parcels!D391),4)</f>
        <v>D391</v>
      </c>
      <c r="D9119" t="b">
        <f>IF(AND(Parcels!$B$6="Yes",NOT(ISBLANK(Parcels!A391)),ISBLANK(Parcels!B391)),TRUE,FALSE)</f>
        <v>0</v>
      </c>
      <c r="E9119" t="s">
        <v>64</v>
      </c>
      <c r="F9119" t="str">
        <f>INDEX(Lists!I:I,MATCH(Validation!E9119,Lists!G:G,0))</f>
        <v>Error</v>
      </c>
      <c r="G9119" t="str">
        <f>INDEX(Lists!H:H,MATCH(Validation!E9119,Lists!G:G,0))</f>
        <v>You must make a selection from the dropdown list.</v>
      </c>
      <c r="H9119" s="25" t="str">
        <f t="shared" ca="1" si="1062"/>
        <v/>
      </c>
      <c r="I9119" s="25" t="str">
        <f t="shared" ca="1" si="1063"/>
        <v/>
      </c>
      <c r="J9119" s="26" t="str">
        <f t="shared" si="1064"/>
        <v/>
      </c>
    </row>
    <row r="9120" spans="1:10" x14ac:dyDescent="0.25">
      <c r="A9120" t="s">
        <v>111</v>
      </c>
      <c r="B9120" t="str">
        <f>ADDRESS(ROW(Parcels!B392),COLUMN(Parcels!B392),4)</f>
        <v>B392</v>
      </c>
      <c r="C9120" t="str">
        <f>ADDRESS(ROW(Parcels!D392),COLUMN(Parcels!D392),4)</f>
        <v>D392</v>
      </c>
      <c r="D9120" t="b">
        <f>IF(AND(Parcels!$B$6="Yes",NOT(ISBLANK(Parcels!A392)),ISBLANK(Parcels!B392)),TRUE,FALSE)</f>
        <v>0</v>
      </c>
      <c r="E9120" t="s">
        <v>64</v>
      </c>
      <c r="F9120" t="str">
        <f>INDEX(Lists!I:I,MATCH(Validation!E9120,Lists!G:G,0))</f>
        <v>Error</v>
      </c>
      <c r="G9120" t="str">
        <f>INDEX(Lists!H:H,MATCH(Validation!E9120,Lists!G:G,0))</f>
        <v>You must make a selection from the dropdown list.</v>
      </c>
      <c r="H9120" s="25" t="str">
        <f t="shared" ref="H9120:H9183" ca="1" si="1065">IFERROR(IF(OR(NOT(D9120),F9120&lt;&gt;"Error"),"",A9120&amp;CELL("address",INDIRECT(B9120))),"")</f>
        <v/>
      </c>
      <c r="I9120" s="25" t="str">
        <f t="shared" ref="I9120:I9183" ca="1" si="1066">IFERROR(IF(NOT(D9120),"",A9120&amp;CELL("address",INDIRECT(C9120))),"")</f>
        <v/>
      </c>
      <c r="J9120" s="26" t="str">
        <f t="shared" ref="J9120:J9183" si="1067">IFERROR(IF(NOT(D9120),"",A9120),"")</f>
        <v/>
      </c>
    </row>
    <row r="9121" spans="1:10" x14ac:dyDescent="0.25">
      <c r="A9121" t="s">
        <v>111</v>
      </c>
      <c r="B9121" t="str">
        <f>ADDRESS(ROW(Parcels!B393),COLUMN(Parcels!B393),4)</f>
        <v>B393</v>
      </c>
      <c r="C9121" t="str">
        <f>ADDRESS(ROW(Parcels!D393),COLUMN(Parcels!D393),4)</f>
        <v>D393</v>
      </c>
      <c r="D9121" t="b">
        <f>IF(AND(Parcels!$B$6="Yes",NOT(ISBLANK(Parcels!A393)),ISBLANK(Parcels!B393)),TRUE,FALSE)</f>
        <v>0</v>
      </c>
      <c r="E9121" t="s">
        <v>64</v>
      </c>
      <c r="F9121" t="str">
        <f>INDEX(Lists!I:I,MATCH(Validation!E9121,Lists!G:G,0))</f>
        <v>Error</v>
      </c>
      <c r="G9121" t="str">
        <f>INDEX(Lists!H:H,MATCH(Validation!E9121,Lists!G:G,0))</f>
        <v>You must make a selection from the dropdown list.</v>
      </c>
      <c r="H9121" s="25" t="str">
        <f t="shared" ca="1" si="1065"/>
        <v/>
      </c>
      <c r="I9121" s="25" t="str">
        <f t="shared" ca="1" si="1066"/>
        <v/>
      </c>
      <c r="J9121" s="26" t="str">
        <f t="shared" si="1067"/>
        <v/>
      </c>
    </row>
    <row r="9122" spans="1:10" x14ac:dyDescent="0.25">
      <c r="A9122" t="s">
        <v>111</v>
      </c>
      <c r="B9122" t="str">
        <f>ADDRESS(ROW(Parcels!B394),COLUMN(Parcels!B394),4)</f>
        <v>B394</v>
      </c>
      <c r="C9122" t="str">
        <f>ADDRESS(ROW(Parcels!D394),COLUMN(Parcels!D394),4)</f>
        <v>D394</v>
      </c>
      <c r="D9122" t="b">
        <f>IF(AND(Parcels!$B$6="Yes",NOT(ISBLANK(Parcels!A394)),ISBLANK(Parcels!B394)),TRUE,FALSE)</f>
        <v>0</v>
      </c>
      <c r="E9122" t="s">
        <v>64</v>
      </c>
      <c r="F9122" t="str">
        <f>INDEX(Lists!I:I,MATCH(Validation!E9122,Lists!G:G,0))</f>
        <v>Error</v>
      </c>
      <c r="G9122" t="str">
        <f>INDEX(Lists!H:H,MATCH(Validation!E9122,Lists!G:G,0))</f>
        <v>You must make a selection from the dropdown list.</v>
      </c>
      <c r="H9122" s="25" t="str">
        <f t="shared" ca="1" si="1065"/>
        <v/>
      </c>
      <c r="I9122" s="25" t="str">
        <f t="shared" ca="1" si="1066"/>
        <v/>
      </c>
      <c r="J9122" s="26" t="str">
        <f t="shared" si="1067"/>
        <v/>
      </c>
    </row>
    <row r="9123" spans="1:10" x14ac:dyDescent="0.25">
      <c r="A9123" t="s">
        <v>111</v>
      </c>
      <c r="B9123" t="str">
        <f>ADDRESS(ROW(Parcels!B395),COLUMN(Parcels!B395),4)</f>
        <v>B395</v>
      </c>
      <c r="C9123" t="str">
        <f>ADDRESS(ROW(Parcels!D395),COLUMN(Parcels!D395),4)</f>
        <v>D395</v>
      </c>
      <c r="D9123" t="b">
        <f>IF(AND(Parcels!$B$6="Yes",NOT(ISBLANK(Parcels!A395)),ISBLANK(Parcels!B395)),TRUE,FALSE)</f>
        <v>0</v>
      </c>
      <c r="E9123" t="s">
        <v>64</v>
      </c>
      <c r="F9123" t="str">
        <f>INDEX(Lists!I:I,MATCH(Validation!E9123,Lists!G:G,0))</f>
        <v>Error</v>
      </c>
      <c r="G9123" t="str">
        <f>INDEX(Lists!H:H,MATCH(Validation!E9123,Lists!G:G,0))</f>
        <v>You must make a selection from the dropdown list.</v>
      </c>
      <c r="H9123" s="25" t="str">
        <f t="shared" ca="1" si="1065"/>
        <v/>
      </c>
      <c r="I9123" s="25" t="str">
        <f t="shared" ca="1" si="1066"/>
        <v/>
      </c>
      <c r="J9123" s="26" t="str">
        <f t="shared" si="1067"/>
        <v/>
      </c>
    </row>
    <row r="9124" spans="1:10" x14ac:dyDescent="0.25">
      <c r="A9124" t="s">
        <v>111</v>
      </c>
      <c r="B9124" t="str">
        <f>ADDRESS(ROW(Parcels!B396),COLUMN(Parcels!B396),4)</f>
        <v>B396</v>
      </c>
      <c r="C9124" t="str">
        <f>ADDRESS(ROW(Parcels!D396),COLUMN(Parcels!D396),4)</f>
        <v>D396</v>
      </c>
      <c r="D9124" t="b">
        <f>IF(AND(Parcels!$B$6="Yes",NOT(ISBLANK(Parcels!A396)),ISBLANK(Parcels!B396)),TRUE,FALSE)</f>
        <v>0</v>
      </c>
      <c r="E9124" t="s">
        <v>64</v>
      </c>
      <c r="F9124" t="str">
        <f>INDEX(Lists!I:I,MATCH(Validation!E9124,Lists!G:G,0))</f>
        <v>Error</v>
      </c>
      <c r="G9124" t="str">
        <f>INDEX(Lists!H:H,MATCH(Validation!E9124,Lists!G:G,0))</f>
        <v>You must make a selection from the dropdown list.</v>
      </c>
      <c r="H9124" s="25" t="str">
        <f t="shared" ca="1" si="1065"/>
        <v/>
      </c>
      <c r="I9124" s="25" t="str">
        <f t="shared" ca="1" si="1066"/>
        <v/>
      </c>
      <c r="J9124" s="26" t="str">
        <f t="shared" si="1067"/>
        <v/>
      </c>
    </row>
    <row r="9125" spans="1:10" x14ac:dyDescent="0.25">
      <c r="A9125" t="s">
        <v>111</v>
      </c>
      <c r="B9125" t="str">
        <f>ADDRESS(ROW(Parcels!B397),COLUMN(Parcels!B397),4)</f>
        <v>B397</v>
      </c>
      <c r="C9125" t="str">
        <f>ADDRESS(ROW(Parcels!D397),COLUMN(Parcels!D397),4)</f>
        <v>D397</v>
      </c>
      <c r="D9125" t="b">
        <f>IF(AND(Parcels!$B$6="Yes",NOT(ISBLANK(Parcels!A397)),ISBLANK(Parcels!B397)),TRUE,FALSE)</f>
        <v>0</v>
      </c>
      <c r="E9125" t="s">
        <v>64</v>
      </c>
      <c r="F9125" t="str">
        <f>INDEX(Lists!I:I,MATCH(Validation!E9125,Lists!G:G,0))</f>
        <v>Error</v>
      </c>
      <c r="G9125" t="str">
        <f>INDEX(Lists!H:H,MATCH(Validation!E9125,Lists!G:G,0))</f>
        <v>You must make a selection from the dropdown list.</v>
      </c>
      <c r="H9125" s="25" t="str">
        <f t="shared" ca="1" si="1065"/>
        <v/>
      </c>
      <c r="I9125" s="25" t="str">
        <f t="shared" ca="1" si="1066"/>
        <v/>
      </c>
      <c r="J9125" s="26" t="str">
        <f t="shared" si="1067"/>
        <v/>
      </c>
    </row>
    <row r="9126" spans="1:10" x14ac:dyDescent="0.25">
      <c r="A9126" t="s">
        <v>111</v>
      </c>
      <c r="B9126" t="str">
        <f>ADDRESS(ROW(Parcels!B398),COLUMN(Parcels!B398),4)</f>
        <v>B398</v>
      </c>
      <c r="C9126" t="str">
        <f>ADDRESS(ROW(Parcels!D398),COLUMN(Parcels!D398),4)</f>
        <v>D398</v>
      </c>
      <c r="D9126" t="b">
        <f>IF(AND(Parcels!$B$6="Yes",NOT(ISBLANK(Parcels!A398)),ISBLANK(Parcels!B398)),TRUE,FALSE)</f>
        <v>0</v>
      </c>
      <c r="E9126" t="s">
        <v>64</v>
      </c>
      <c r="F9126" t="str">
        <f>INDEX(Lists!I:I,MATCH(Validation!E9126,Lists!G:G,0))</f>
        <v>Error</v>
      </c>
      <c r="G9126" t="str">
        <f>INDEX(Lists!H:H,MATCH(Validation!E9126,Lists!G:G,0))</f>
        <v>You must make a selection from the dropdown list.</v>
      </c>
      <c r="H9126" s="25" t="str">
        <f t="shared" ca="1" si="1065"/>
        <v/>
      </c>
      <c r="I9126" s="25" t="str">
        <f t="shared" ca="1" si="1066"/>
        <v/>
      </c>
      <c r="J9126" s="26" t="str">
        <f t="shared" si="1067"/>
        <v/>
      </c>
    </row>
    <row r="9127" spans="1:10" x14ac:dyDescent="0.25">
      <c r="A9127" t="s">
        <v>111</v>
      </c>
      <c r="B9127" t="str">
        <f>ADDRESS(ROW(Parcels!B399),COLUMN(Parcels!B399),4)</f>
        <v>B399</v>
      </c>
      <c r="C9127" t="str">
        <f>ADDRESS(ROW(Parcels!D399),COLUMN(Parcels!D399),4)</f>
        <v>D399</v>
      </c>
      <c r="D9127" t="b">
        <f>IF(AND(Parcels!$B$6="Yes",NOT(ISBLANK(Parcels!A399)),ISBLANK(Parcels!B399)),TRUE,FALSE)</f>
        <v>0</v>
      </c>
      <c r="E9127" t="s">
        <v>64</v>
      </c>
      <c r="F9127" t="str">
        <f>INDEX(Lists!I:I,MATCH(Validation!E9127,Lists!G:G,0))</f>
        <v>Error</v>
      </c>
      <c r="G9127" t="str">
        <f>INDEX(Lists!H:H,MATCH(Validation!E9127,Lists!G:G,0))</f>
        <v>You must make a selection from the dropdown list.</v>
      </c>
      <c r="H9127" s="25" t="str">
        <f t="shared" ca="1" si="1065"/>
        <v/>
      </c>
      <c r="I9127" s="25" t="str">
        <f t="shared" ca="1" si="1066"/>
        <v/>
      </c>
      <c r="J9127" s="26" t="str">
        <f t="shared" si="1067"/>
        <v/>
      </c>
    </row>
    <row r="9128" spans="1:10" x14ac:dyDescent="0.25">
      <c r="A9128" t="s">
        <v>111</v>
      </c>
      <c r="B9128" t="str">
        <f>ADDRESS(ROW(Parcels!B400),COLUMN(Parcels!B400),4)</f>
        <v>B400</v>
      </c>
      <c r="C9128" t="str">
        <f>ADDRESS(ROW(Parcels!D400),COLUMN(Parcels!D400),4)</f>
        <v>D400</v>
      </c>
      <c r="D9128" t="b">
        <f>IF(AND(Parcels!$B$6="Yes",NOT(ISBLANK(Parcels!A400)),ISBLANK(Parcels!B400)),TRUE,FALSE)</f>
        <v>0</v>
      </c>
      <c r="E9128" t="s">
        <v>64</v>
      </c>
      <c r="F9128" t="str">
        <f>INDEX(Lists!I:I,MATCH(Validation!E9128,Lists!G:G,0))</f>
        <v>Error</v>
      </c>
      <c r="G9128" t="str">
        <f>INDEX(Lists!H:H,MATCH(Validation!E9128,Lists!G:G,0))</f>
        <v>You must make a selection from the dropdown list.</v>
      </c>
      <c r="H9128" s="25" t="str">
        <f t="shared" ca="1" si="1065"/>
        <v/>
      </c>
      <c r="I9128" s="25" t="str">
        <f t="shared" ca="1" si="1066"/>
        <v/>
      </c>
      <c r="J9128" s="26" t="str">
        <f t="shared" si="1067"/>
        <v/>
      </c>
    </row>
    <row r="9129" spans="1:10" x14ac:dyDescent="0.25">
      <c r="A9129" t="s">
        <v>111</v>
      </c>
      <c r="B9129" t="str">
        <f>ADDRESS(ROW(Parcels!B401),COLUMN(Parcels!B401),4)</f>
        <v>B401</v>
      </c>
      <c r="C9129" t="str">
        <f>ADDRESS(ROW(Parcels!D401),COLUMN(Parcels!D401),4)</f>
        <v>D401</v>
      </c>
      <c r="D9129" t="b">
        <f>IF(AND(Parcels!$B$6="Yes",NOT(ISBLANK(Parcels!A401)),ISBLANK(Parcels!B401)),TRUE,FALSE)</f>
        <v>0</v>
      </c>
      <c r="E9129" t="s">
        <v>64</v>
      </c>
      <c r="F9129" t="str">
        <f>INDEX(Lists!I:I,MATCH(Validation!E9129,Lists!G:G,0))</f>
        <v>Error</v>
      </c>
      <c r="G9129" t="str">
        <f>INDEX(Lists!H:H,MATCH(Validation!E9129,Lists!G:G,0))</f>
        <v>You must make a selection from the dropdown list.</v>
      </c>
      <c r="H9129" s="25" t="str">
        <f t="shared" ca="1" si="1065"/>
        <v/>
      </c>
      <c r="I9129" s="25" t="str">
        <f t="shared" ca="1" si="1066"/>
        <v/>
      </c>
      <c r="J9129" s="26" t="str">
        <f t="shared" si="1067"/>
        <v/>
      </c>
    </row>
    <row r="9130" spans="1:10" x14ac:dyDescent="0.25">
      <c r="A9130" t="s">
        <v>111</v>
      </c>
      <c r="B9130" t="str">
        <f>ADDRESS(ROW(Parcels!B402),COLUMN(Parcels!B402),4)</f>
        <v>B402</v>
      </c>
      <c r="C9130" t="str">
        <f>ADDRESS(ROW(Parcels!D402),COLUMN(Parcels!D402),4)</f>
        <v>D402</v>
      </c>
      <c r="D9130" t="b">
        <f>IF(AND(Parcels!$B$6="Yes",NOT(ISBLANK(Parcels!A402)),ISBLANK(Parcels!B402)),TRUE,FALSE)</f>
        <v>0</v>
      </c>
      <c r="E9130" t="s">
        <v>64</v>
      </c>
      <c r="F9130" t="str">
        <f>INDEX(Lists!I:I,MATCH(Validation!E9130,Lists!G:G,0))</f>
        <v>Error</v>
      </c>
      <c r="G9130" t="str">
        <f>INDEX(Lists!H:H,MATCH(Validation!E9130,Lists!G:G,0))</f>
        <v>You must make a selection from the dropdown list.</v>
      </c>
      <c r="H9130" s="25" t="str">
        <f t="shared" ca="1" si="1065"/>
        <v/>
      </c>
      <c r="I9130" s="25" t="str">
        <f t="shared" ca="1" si="1066"/>
        <v/>
      </c>
      <c r="J9130" s="26" t="str">
        <f t="shared" si="1067"/>
        <v/>
      </c>
    </row>
    <row r="9131" spans="1:10" x14ac:dyDescent="0.25">
      <c r="A9131" t="s">
        <v>111</v>
      </c>
      <c r="B9131" t="str">
        <f>ADDRESS(ROW(Parcels!B403),COLUMN(Parcels!B403),4)</f>
        <v>B403</v>
      </c>
      <c r="C9131" t="str">
        <f>ADDRESS(ROW(Parcels!D403),COLUMN(Parcels!D403),4)</f>
        <v>D403</v>
      </c>
      <c r="D9131" t="b">
        <f>IF(AND(Parcels!$B$6="Yes",NOT(ISBLANK(Parcels!A403)),ISBLANK(Parcels!B403)),TRUE,FALSE)</f>
        <v>0</v>
      </c>
      <c r="E9131" t="s">
        <v>64</v>
      </c>
      <c r="F9131" t="str">
        <f>INDEX(Lists!I:I,MATCH(Validation!E9131,Lists!G:G,0))</f>
        <v>Error</v>
      </c>
      <c r="G9131" t="str">
        <f>INDEX(Lists!H:H,MATCH(Validation!E9131,Lists!G:G,0))</f>
        <v>You must make a selection from the dropdown list.</v>
      </c>
      <c r="H9131" s="25" t="str">
        <f t="shared" ca="1" si="1065"/>
        <v/>
      </c>
      <c r="I9131" s="25" t="str">
        <f t="shared" ca="1" si="1066"/>
        <v/>
      </c>
      <c r="J9131" s="26" t="str">
        <f t="shared" si="1067"/>
        <v/>
      </c>
    </row>
    <row r="9132" spans="1:10" x14ac:dyDescent="0.25">
      <c r="A9132" t="s">
        <v>111</v>
      </c>
      <c r="B9132" t="str">
        <f>ADDRESS(ROW(Parcels!B404),COLUMN(Parcels!B404),4)</f>
        <v>B404</v>
      </c>
      <c r="C9132" t="str">
        <f>ADDRESS(ROW(Parcels!D404),COLUMN(Parcels!D404),4)</f>
        <v>D404</v>
      </c>
      <c r="D9132" t="b">
        <f>IF(AND(Parcels!$B$6="Yes",NOT(ISBLANK(Parcels!A404)),ISBLANK(Parcels!B404)),TRUE,FALSE)</f>
        <v>0</v>
      </c>
      <c r="E9132" t="s">
        <v>64</v>
      </c>
      <c r="F9132" t="str">
        <f>INDEX(Lists!I:I,MATCH(Validation!E9132,Lists!G:G,0))</f>
        <v>Error</v>
      </c>
      <c r="G9132" t="str">
        <f>INDEX(Lists!H:H,MATCH(Validation!E9132,Lists!G:G,0))</f>
        <v>You must make a selection from the dropdown list.</v>
      </c>
      <c r="H9132" s="25" t="str">
        <f t="shared" ca="1" si="1065"/>
        <v/>
      </c>
      <c r="I9132" s="25" t="str">
        <f t="shared" ca="1" si="1066"/>
        <v/>
      </c>
      <c r="J9132" s="26" t="str">
        <f t="shared" si="1067"/>
        <v/>
      </c>
    </row>
    <row r="9133" spans="1:10" x14ac:dyDescent="0.25">
      <c r="A9133" t="s">
        <v>111</v>
      </c>
      <c r="B9133" t="str">
        <f>ADDRESS(ROW(Parcels!B405),COLUMN(Parcels!B405),4)</f>
        <v>B405</v>
      </c>
      <c r="C9133" t="str">
        <f>ADDRESS(ROW(Parcels!D405),COLUMN(Parcels!D405),4)</f>
        <v>D405</v>
      </c>
      <c r="D9133" t="b">
        <f>IF(AND(Parcels!$B$6="Yes",NOT(ISBLANK(Parcels!A405)),ISBLANK(Parcels!B405)),TRUE,FALSE)</f>
        <v>0</v>
      </c>
      <c r="E9133" t="s">
        <v>64</v>
      </c>
      <c r="F9133" t="str">
        <f>INDEX(Lists!I:I,MATCH(Validation!E9133,Lists!G:G,0))</f>
        <v>Error</v>
      </c>
      <c r="G9133" t="str">
        <f>INDEX(Lists!H:H,MATCH(Validation!E9133,Lists!G:G,0))</f>
        <v>You must make a selection from the dropdown list.</v>
      </c>
      <c r="H9133" s="25" t="str">
        <f t="shared" ca="1" si="1065"/>
        <v/>
      </c>
      <c r="I9133" s="25" t="str">
        <f t="shared" ca="1" si="1066"/>
        <v/>
      </c>
      <c r="J9133" s="26" t="str">
        <f t="shared" si="1067"/>
        <v/>
      </c>
    </row>
    <row r="9134" spans="1:10" x14ac:dyDescent="0.25">
      <c r="A9134" t="s">
        <v>111</v>
      </c>
      <c r="B9134" t="str">
        <f>ADDRESS(ROW(Parcels!B406),COLUMN(Parcels!B406),4)</f>
        <v>B406</v>
      </c>
      <c r="C9134" t="str">
        <f>ADDRESS(ROW(Parcels!D406),COLUMN(Parcels!D406),4)</f>
        <v>D406</v>
      </c>
      <c r="D9134" t="b">
        <f>IF(AND(Parcels!$B$6="Yes",NOT(ISBLANK(Parcels!A406)),ISBLANK(Parcels!B406)),TRUE,FALSE)</f>
        <v>0</v>
      </c>
      <c r="E9134" t="s">
        <v>64</v>
      </c>
      <c r="F9134" t="str">
        <f>INDEX(Lists!I:I,MATCH(Validation!E9134,Lists!G:G,0))</f>
        <v>Error</v>
      </c>
      <c r="G9134" t="str">
        <f>INDEX(Lists!H:H,MATCH(Validation!E9134,Lists!G:G,0))</f>
        <v>You must make a selection from the dropdown list.</v>
      </c>
      <c r="H9134" s="25" t="str">
        <f t="shared" ca="1" si="1065"/>
        <v/>
      </c>
      <c r="I9134" s="25" t="str">
        <f t="shared" ca="1" si="1066"/>
        <v/>
      </c>
      <c r="J9134" s="26" t="str">
        <f t="shared" si="1067"/>
        <v/>
      </c>
    </row>
    <row r="9135" spans="1:10" x14ac:dyDescent="0.25">
      <c r="A9135" t="s">
        <v>111</v>
      </c>
      <c r="B9135" t="str">
        <f>ADDRESS(ROW(Parcels!B407),COLUMN(Parcels!B407),4)</f>
        <v>B407</v>
      </c>
      <c r="C9135" t="str">
        <f>ADDRESS(ROW(Parcels!D407),COLUMN(Parcels!D407),4)</f>
        <v>D407</v>
      </c>
      <c r="D9135" t="b">
        <f>IF(AND(Parcels!$B$6="Yes",NOT(ISBLANK(Parcels!A407)),ISBLANK(Parcels!B407)),TRUE,FALSE)</f>
        <v>0</v>
      </c>
      <c r="E9135" t="s">
        <v>64</v>
      </c>
      <c r="F9135" t="str">
        <f>INDEX(Lists!I:I,MATCH(Validation!E9135,Lists!G:G,0))</f>
        <v>Error</v>
      </c>
      <c r="G9135" t="str">
        <f>INDEX(Lists!H:H,MATCH(Validation!E9135,Lists!G:G,0))</f>
        <v>You must make a selection from the dropdown list.</v>
      </c>
      <c r="H9135" s="25" t="str">
        <f t="shared" ca="1" si="1065"/>
        <v/>
      </c>
      <c r="I9135" s="25" t="str">
        <f t="shared" ca="1" si="1066"/>
        <v/>
      </c>
      <c r="J9135" s="26" t="str">
        <f t="shared" si="1067"/>
        <v/>
      </c>
    </row>
    <row r="9136" spans="1:10" x14ac:dyDescent="0.25">
      <c r="A9136" t="s">
        <v>111</v>
      </c>
      <c r="B9136" t="str">
        <f>ADDRESS(ROW(Parcels!B408),COLUMN(Parcels!B408),4)</f>
        <v>B408</v>
      </c>
      <c r="C9136" t="str">
        <f>ADDRESS(ROW(Parcels!D408),COLUMN(Parcels!D408),4)</f>
        <v>D408</v>
      </c>
      <c r="D9136" t="b">
        <f>IF(AND(Parcels!$B$6="Yes",NOT(ISBLANK(Parcels!A408)),ISBLANK(Parcels!B408)),TRUE,FALSE)</f>
        <v>0</v>
      </c>
      <c r="E9136" t="s">
        <v>64</v>
      </c>
      <c r="F9136" t="str">
        <f>INDEX(Lists!I:I,MATCH(Validation!E9136,Lists!G:G,0))</f>
        <v>Error</v>
      </c>
      <c r="G9136" t="str">
        <f>INDEX(Lists!H:H,MATCH(Validation!E9136,Lists!G:G,0))</f>
        <v>You must make a selection from the dropdown list.</v>
      </c>
      <c r="H9136" s="25" t="str">
        <f t="shared" ca="1" si="1065"/>
        <v/>
      </c>
      <c r="I9136" s="25" t="str">
        <f t="shared" ca="1" si="1066"/>
        <v/>
      </c>
      <c r="J9136" s="26" t="str">
        <f t="shared" si="1067"/>
        <v/>
      </c>
    </row>
    <row r="9137" spans="1:10" x14ac:dyDescent="0.25">
      <c r="A9137" t="s">
        <v>111</v>
      </c>
      <c r="B9137" t="str">
        <f>ADDRESS(ROW(Parcels!B409),COLUMN(Parcels!B409),4)</f>
        <v>B409</v>
      </c>
      <c r="C9137" t="str">
        <f>ADDRESS(ROW(Parcels!D409),COLUMN(Parcels!D409),4)</f>
        <v>D409</v>
      </c>
      <c r="D9137" t="b">
        <f>IF(AND(Parcels!$B$6="Yes",NOT(ISBLANK(Parcels!A409)),ISBLANK(Parcels!B409)),TRUE,FALSE)</f>
        <v>0</v>
      </c>
      <c r="E9137" t="s">
        <v>64</v>
      </c>
      <c r="F9137" t="str">
        <f>INDEX(Lists!I:I,MATCH(Validation!E9137,Lists!G:G,0))</f>
        <v>Error</v>
      </c>
      <c r="G9137" t="str">
        <f>INDEX(Lists!H:H,MATCH(Validation!E9137,Lists!G:G,0))</f>
        <v>You must make a selection from the dropdown list.</v>
      </c>
      <c r="H9137" s="25" t="str">
        <f t="shared" ca="1" si="1065"/>
        <v/>
      </c>
      <c r="I9137" s="25" t="str">
        <f t="shared" ca="1" si="1066"/>
        <v/>
      </c>
      <c r="J9137" s="26" t="str">
        <f t="shared" si="1067"/>
        <v/>
      </c>
    </row>
    <row r="9138" spans="1:10" x14ac:dyDescent="0.25">
      <c r="A9138" t="s">
        <v>111</v>
      </c>
      <c r="B9138" t="str">
        <f>ADDRESS(ROW(Parcels!B410),COLUMN(Parcels!B410),4)</f>
        <v>B410</v>
      </c>
      <c r="C9138" t="str">
        <f>ADDRESS(ROW(Parcels!D410),COLUMN(Parcels!D410),4)</f>
        <v>D410</v>
      </c>
      <c r="D9138" t="b">
        <f>IF(AND(Parcels!$B$6="Yes",NOT(ISBLANK(Parcels!A410)),ISBLANK(Parcels!B410)),TRUE,FALSE)</f>
        <v>0</v>
      </c>
      <c r="E9138" t="s">
        <v>64</v>
      </c>
      <c r="F9138" t="str">
        <f>INDEX(Lists!I:I,MATCH(Validation!E9138,Lists!G:G,0))</f>
        <v>Error</v>
      </c>
      <c r="G9138" t="str">
        <f>INDEX(Lists!H:H,MATCH(Validation!E9138,Lists!G:G,0))</f>
        <v>You must make a selection from the dropdown list.</v>
      </c>
      <c r="H9138" s="25" t="str">
        <f t="shared" ca="1" si="1065"/>
        <v/>
      </c>
      <c r="I9138" s="25" t="str">
        <f t="shared" ca="1" si="1066"/>
        <v/>
      </c>
      <c r="J9138" s="26" t="str">
        <f t="shared" si="1067"/>
        <v/>
      </c>
    </row>
    <row r="9139" spans="1:10" x14ac:dyDescent="0.25">
      <c r="A9139" t="s">
        <v>111</v>
      </c>
      <c r="B9139" t="str">
        <f>ADDRESS(ROW(Parcels!B411),COLUMN(Parcels!B411),4)</f>
        <v>B411</v>
      </c>
      <c r="C9139" t="str">
        <f>ADDRESS(ROW(Parcels!D411),COLUMN(Parcels!D411),4)</f>
        <v>D411</v>
      </c>
      <c r="D9139" t="b">
        <f>IF(AND(Parcels!$B$6="Yes",NOT(ISBLANK(Parcels!A411)),ISBLANK(Parcels!B411)),TRUE,FALSE)</f>
        <v>0</v>
      </c>
      <c r="E9139" t="s">
        <v>64</v>
      </c>
      <c r="F9139" t="str">
        <f>INDEX(Lists!I:I,MATCH(Validation!E9139,Lists!G:G,0))</f>
        <v>Error</v>
      </c>
      <c r="G9139" t="str">
        <f>INDEX(Lists!H:H,MATCH(Validation!E9139,Lists!G:G,0))</f>
        <v>You must make a selection from the dropdown list.</v>
      </c>
      <c r="H9139" s="25" t="str">
        <f t="shared" ca="1" si="1065"/>
        <v/>
      </c>
      <c r="I9139" s="25" t="str">
        <f t="shared" ca="1" si="1066"/>
        <v/>
      </c>
      <c r="J9139" s="26" t="str">
        <f t="shared" si="1067"/>
        <v/>
      </c>
    </row>
    <row r="9140" spans="1:10" x14ac:dyDescent="0.25">
      <c r="A9140" t="s">
        <v>111</v>
      </c>
      <c r="B9140" t="str">
        <f>ADDRESS(ROW(Parcels!B412),COLUMN(Parcels!B412),4)</f>
        <v>B412</v>
      </c>
      <c r="C9140" t="str">
        <f>ADDRESS(ROW(Parcels!D412),COLUMN(Parcels!D412),4)</f>
        <v>D412</v>
      </c>
      <c r="D9140" t="b">
        <f>IF(AND(Parcels!$B$6="Yes",NOT(ISBLANK(Parcels!A412)),ISBLANK(Parcels!B412)),TRUE,FALSE)</f>
        <v>0</v>
      </c>
      <c r="E9140" t="s">
        <v>64</v>
      </c>
      <c r="F9140" t="str">
        <f>INDEX(Lists!I:I,MATCH(Validation!E9140,Lists!G:G,0))</f>
        <v>Error</v>
      </c>
      <c r="G9140" t="str">
        <f>INDEX(Lists!H:H,MATCH(Validation!E9140,Lists!G:G,0))</f>
        <v>You must make a selection from the dropdown list.</v>
      </c>
      <c r="H9140" s="25" t="str">
        <f t="shared" ca="1" si="1065"/>
        <v/>
      </c>
      <c r="I9140" s="25" t="str">
        <f t="shared" ca="1" si="1066"/>
        <v/>
      </c>
      <c r="J9140" s="26" t="str">
        <f t="shared" si="1067"/>
        <v/>
      </c>
    </row>
    <row r="9141" spans="1:10" x14ac:dyDescent="0.25">
      <c r="A9141" t="s">
        <v>111</v>
      </c>
      <c r="B9141" t="str">
        <f>ADDRESS(ROW(Parcels!B413),COLUMN(Parcels!B413),4)</f>
        <v>B413</v>
      </c>
      <c r="C9141" t="str">
        <f>ADDRESS(ROW(Parcels!D413),COLUMN(Parcels!D413),4)</f>
        <v>D413</v>
      </c>
      <c r="D9141" t="b">
        <f>IF(AND(Parcels!$B$6="Yes",NOT(ISBLANK(Parcels!A413)),ISBLANK(Parcels!B413)),TRUE,FALSE)</f>
        <v>0</v>
      </c>
      <c r="E9141" t="s">
        <v>64</v>
      </c>
      <c r="F9141" t="str">
        <f>INDEX(Lists!I:I,MATCH(Validation!E9141,Lists!G:G,0))</f>
        <v>Error</v>
      </c>
      <c r="G9141" t="str">
        <f>INDEX(Lists!H:H,MATCH(Validation!E9141,Lists!G:G,0))</f>
        <v>You must make a selection from the dropdown list.</v>
      </c>
      <c r="H9141" s="25" t="str">
        <f t="shared" ca="1" si="1065"/>
        <v/>
      </c>
      <c r="I9141" s="25" t="str">
        <f t="shared" ca="1" si="1066"/>
        <v/>
      </c>
      <c r="J9141" s="26" t="str">
        <f t="shared" si="1067"/>
        <v/>
      </c>
    </row>
    <row r="9142" spans="1:10" x14ac:dyDescent="0.25">
      <c r="A9142" t="s">
        <v>111</v>
      </c>
      <c r="B9142" t="str">
        <f>ADDRESS(ROW(Parcels!B414),COLUMN(Parcels!B414),4)</f>
        <v>B414</v>
      </c>
      <c r="C9142" t="str">
        <f>ADDRESS(ROW(Parcels!D414),COLUMN(Parcels!D414),4)</f>
        <v>D414</v>
      </c>
      <c r="D9142" t="b">
        <f>IF(AND(Parcels!$B$6="Yes",NOT(ISBLANK(Parcels!A414)),ISBLANK(Parcels!B414)),TRUE,FALSE)</f>
        <v>0</v>
      </c>
      <c r="E9142" t="s">
        <v>64</v>
      </c>
      <c r="F9142" t="str">
        <f>INDEX(Lists!I:I,MATCH(Validation!E9142,Lists!G:G,0))</f>
        <v>Error</v>
      </c>
      <c r="G9142" t="str">
        <f>INDEX(Lists!H:H,MATCH(Validation!E9142,Lists!G:G,0))</f>
        <v>You must make a selection from the dropdown list.</v>
      </c>
      <c r="H9142" s="25" t="str">
        <f t="shared" ca="1" si="1065"/>
        <v/>
      </c>
      <c r="I9142" s="25" t="str">
        <f t="shared" ca="1" si="1066"/>
        <v/>
      </c>
      <c r="J9142" s="26" t="str">
        <f t="shared" si="1067"/>
        <v/>
      </c>
    </row>
    <row r="9143" spans="1:10" x14ac:dyDescent="0.25">
      <c r="A9143" t="s">
        <v>111</v>
      </c>
      <c r="B9143" t="str">
        <f>ADDRESS(ROW(Parcels!B415),COLUMN(Parcels!B415),4)</f>
        <v>B415</v>
      </c>
      <c r="C9143" t="str">
        <f>ADDRESS(ROW(Parcels!D415),COLUMN(Parcels!D415),4)</f>
        <v>D415</v>
      </c>
      <c r="D9143" t="b">
        <f>IF(AND(Parcels!$B$6="Yes",NOT(ISBLANK(Parcels!A415)),ISBLANK(Parcels!B415)),TRUE,FALSE)</f>
        <v>0</v>
      </c>
      <c r="E9143" t="s">
        <v>64</v>
      </c>
      <c r="F9143" t="str">
        <f>INDEX(Lists!I:I,MATCH(Validation!E9143,Lists!G:G,0))</f>
        <v>Error</v>
      </c>
      <c r="G9143" t="str">
        <f>INDEX(Lists!H:H,MATCH(Validation!E9143,Lists!G:G,0))</f>
        <v>You must make a selection from the dropdown list.</v>
      </c>
      <c r="H9143" s="25" t="str">
        <f t="shared" ca="1" si="1065"/>
        <v/>
      </c>
      <c r="I9143" s="25" t="str">
        <f t="shared" ca="1" si="1066"/>
        <v/>
      </c>
      <c r="J9143" s="26" t="str">
        <f t="shared" si="1067"/>
        <v/>
      </c>
    </row>
    <row r="9144" spans="1:10" x14ac:dyDescent="0.25">
      <c r="A9144" t="s">
        <v>111</v>
      </c>
      <c r="B9144" t="str">
        <f>ADDRESS(ROW(Parcels!B416),COLUMN(Parcels!B416),4)</f>
        <v>B416</v>
      </c>
      <c r="C9144" t="str">
        <f>ADDRESS(ROW(Parcels!D416),COLUMN(Parcels!D416),4)</f>
        <v>D416</v>
      </c>
      <c r="D9144" t="b">
        <f>IF(AND(Parcels!$B$6="Yes",NOT(ISBLANK(Parcels!A416)),ISBLANK(Parcels!B416)),TRUE,FALSE)</f>
        <v>0</v>
      </c>
      <c r="E9144" t="s">
        <v>64</v>
      </c>
      <c r="F9144" t="str">
        <f>INDEX(Lists!I:I,MATCH(Validation!E9144,Lists!G:G,0))</f>
        <v>Error</v>
      </c>
      <c r="G9144" t="str">
        <f>INDEX(Lists!H:H,MATCH(Validation!E9144,Lists!G:G,0))</f>
        <v>You must make a selection from the dropdown list.</v>
      </c>
      <c r="H9144" s="25" t="str">
        <f t="shared" ca="1" si="1065"/>
        <v/>
      </c>
      <c r="I9144" s="25" t="str">
        <f t="shared" ca="1" si="1066"/>
        <v/>
      </c>
      <c r="J9144" s="26" t="str">
        <f t="shared" si="1067"/>
        <v/>
      </c>
    </row>
    <row r="9145" spans="1:10" x14ac:dyDescent="0.25">
      <c r="A9145" t="s">
        <v>111</v>
      </c>
      <c r="B9145" t="str">
        <f>ADDRESS(ROW(Parcels!B417),COLUMN(Parcels!B417),4)</f>
        <v>B417</v>
      </c>
      <c r="C9145" t="str">
        <f>ADDRESS(ROW(Parcels!D417),COLUMN(Parcels!D417),4)</f>
        <v>D417</v>
      </c>
      <c r="D9145" t="b">
        <f>IF(AND(Parcels!$B$6="Yes",NOT(ISBLANK(Parcels!A417)),ISBLANK(Parcels!B417)),TRUE,FALSE)</f>
        <v>0</v>
      </c>
      <c r="E9145" t="s">
        <v>64</v>
      </c>
      <c r="F9145" t="str">
        <f>INDEX(Lists!I:I,MATCH(Validation!E9145,Lists!G:G,0))</f>
        <v>Error</v>
      </c>
      <c r="G9145" t="str">
        <f>INDEX(Lists!H:H,MATCH(Validation!E9145,Lists!G:G,0))</f>
        <v>You must make a selection from the dropdown list.</v>
      </c>
      <c r="H9145" s="25" t="str">
        <f t="shared" ca="1" si="1065"/>
        <v/>
      </c>
      <c r="I9145" s="25" t="str">
        <f t="shared" ca="1" si="1066"/>
        <v/>
      </c>
      <c r="J9145" s="26" t="str">
        <f t="shared" si="1067"/>
        <v/>
      </c>
    </row>
    <row r="9146" spans="1:10" x14ac:dyDescent="0.25">
      <c r="A9146" t="s">
        <v>111</v>
      </c>
      <c r="B9146" t="str">
        <f>ADDRESS(ROW(Parcels!B418),COLUMN(Parcels!B418),4)</f>
        <v>B418</v>
      </c>
      <c r="C9146" t="str">
        <f>ADDRESS(ROW(Parcels!D418),COLUMN(Parcels!D418),4)</f>
        <v>D418</v>
      </c>
      <c r="D9146" t="b">
        <f>IF(AND(Parcels!$B$6="Yes",NOT(ISBLANK(Parcels!A418)),ISBLANK(Parcels!B418)),TRUE,FALSE)</f>
        <v>0</v>
      </c>
      <c r="E9146" t="s">
        <v>64</v>
      </c>
      <c r="F9146" t="str">
        <f>INDEX(Lists!I:I,MATCH(Validation!E9146,Lists!G:G,0))</f>
        <v>Error</v>
      </c>
      <c r="G9146" t="str">
        <f>INDEX(Lists!H:H,MATCH(Validation!E9146,Lists!G:G,0))</f>
        <v>You must make a selection from the dropdown list.</v>
      </c>
      <c r="H9146" s="25" t="str">
        <f t="shared" ca="1" si="1065"/>
        <v/>
      </c>
      <c r="I9146" s="25" t="str">
        <f t="shared" ca="1" si="1066"/>
        <v/>
      </c>
      <c r="J9146" s="26" t="str">
        <f t="shared" si="1067"/>
        <v/>
      </c>
    </row>
    <row r="9147" spans="1:10" x14ac:dyDescent="0.25">
      <c r="A9147" t="s">
        <v>111</v>
      </c>
      <c r="B9147" t="str">
        <f>ADDRESS(ROW(Parcels!B419),COLUMN(Parcels!B419),4)</f>
        <v>B419</v>
      </c>
      <c r="C9147" t="str">
        <f>ADDRESS(ROW(Parcels!D419),COLUMN(Parcels!D419),4)</f>
        <v>D419</v>
      </c>
      <c r="D9147" t="b">
        <f>IF(AND(Parcels!$B$6="Yes",NOT(ISBLANK(Parcels!A419)),ISBLANK(Parcels!B419)),TRUE,FALSE)</f>
        <v>0</v>
      </c>
      <c r="E9147" t="s">
        <v>64</v>
      </c>
      <c r="F9147" t="str">
        <f>INDEX(Lists!I:I,MATCH(Validation!E9147,Lists!G:G,0))</f>
        <v>Error</v>
      </c>
      <c r="G9147" t="str">
        <f>INDEX(Lists!H:H,MATCH(Validation!E9147,Lists!G:G,0))</f>
        <v>You must make a selection from the dropdown list.</v>
      </c>
      <c r="H9147" s="25" t="str">
        <f t="shared" ca="1" si="1065"/>
        <v/>
      </c>
      <c r="I9147" s="25" t="str">
        <f t="shared" ca="1" si="1066"/>
        <v/>
      </c>
      <c r="J9147" s="26" t="str">
        <f t="shared" si="1067"/>
        <v/>
      </c>
    </row>
    <row r="9148" spans="1:10" x14ac:dyDescent="0.25">
      <c r="A9148" t="s">
        <v>111</v>
      </c>
      <c r="B9148" t="str">
        <f>ADDRESS(ROW(Parcels!B420),COLUMN(Parcels!B420),4)</f>
        <v>B420</v>
      </c>
      <c r="C9148" t="str">
        <f>ADDRESS(ROW(Parcels!D420),COLUMN(Parcels!D420),4)</f>
        <v>D420</v>
      </c>
      <c r="D9148" t="b">
        <f>IF(AND(Parcels!$B$6="Yes",NOT(ISBLANK(Parcels!A420)),ISBLANK(Parcels!B420)),TRUE,FALSE)</f>
        <v>0</v>
      </c>
      <c r="E9148" t="s">
        <v>64</v>
      </c>
      <c r="F9148" t="str">
        <f>INDEX(Lists!I:I,MATCH(Validation!E9148,Lists!G:G,0))</f>
        <v>Error</v>
      </c>
      <c r="G9148" t="str">
        <f>INDEX(Lists!H:H,MATCH(Validation!E9148,Lists!G:G,0))</f>
        <v>You must make a selection from the dropdown list.</v>
      </c>
      <c r="H9148" s="25" t="str">
        <f t="shared" ca="1" si="1065"/>
        <v/>
      </c>
      <c r="I9148" s="25" t="str">
        <f t="shared" ca="1" si="1066"/>
        <v/>
      </c>
      <c r="J9148" s="26" t="str">
        <f t="shared" si="1067"/>
        <v/>
      </c>
    </row>
    <row r="9149" spans="1:10" x14ac:dyDescent="0.25">
      <c r="A9149" t="s">
        <v>111</v>
      </c>
      <c r="B9149" t="str">
        <f>ADDRESS(ROW(Parcels!B421),COLUMN(Parcels!B421),4)</f>
        <v>B421</v>
      </c>
      <c r="C9149" t="str">
        <f>ADDRESS(ROW(Parcels!D421),COLUMN(Parcels!D421),4)</f>
        <v>D421</v>
      </c>
      <c r="D9149" t="b">
        <f>IF(AND(Parcels!$B$6="Yes",NOT(ISBLANK(Parcels!A421)),ISBLANK(Parcels!B421)),TRUE,FALSE)</f>
        <v>0</v>
      </c>
      <c r="E9149" t="s">
        <v>64</v>
      </c>
      <c r="F9149" t="str">
        <f>INDEX(Lists!I:I,MATCH(Validation!E9149,Lists!G:G,0))</f>
        <v>Error</v>
      </c>
      <c r="G9149" t="str">
        <f>INDEX(Lists!H:H,MATCH(Validation!E9149,Lists!G:G,0))</f>
        <v>You must make a selection from the dropdown list.</v>
      </c>
      <c r="H9149" s="25" t="str">
        <f t="shared" ca="1" si="1065"/>
        <v/>
      </c>
      <c r="I9149" s="25" t="str">
        <f t="shared" ca="1" si="1066"/>
        <v/>
      </c>
      <c r="J9149" s="26" t="str">
        <f t="shared" si="1067"/>
        <v/>
      </c>
    </row>
    <row r="9150" spans="1:10" x14ac:dyDescent="0.25">
      <c r="A9150" t="s">
        <v>111</v>
      </c>
      <c r="B9150" t="str">
        <f>ADDRESS(ROW(Parcels!B422),COLUMN(Parcels!B422),4)</f>
        <v>B422</v>
      </c>
      <c r="C9150" t="str">
        <f>ADDRESS(ROW(Parcels!D422),COLUMN(Parcels!D422),4)</f>
        <v>D422</v>
      </c>
      <c r="D9150" t="b">
        <f>IF(AND(Parcels!$B$6="Yes",NOT(ISBLANK(Parcels!A422)),ISBLANK(Parcels!B422)),TRUE,FALSE)</f>
        <v>0</v>
      </c>
      <c r="E9150" t="s">
        <v>64</v>
      </c>
      <c r="F9150" t="str">
        <f>INDEX(Lists!I:I,MATCH(Validation!E9150,Lists!G:G,0))</f>
        <v>Error</v>
      </c>
      <c r="G9150" t="str">
        <f>INDEX(Lists!H:H,MATCH(Validation!E9150,Lists!G:G,0))</f>
        <v>You must make a selection from the dropdown list.</v>
      </c>
      <c r="H9150" s="25" t="str">
        <f t="shared" ca="1" si="1065"/>
        <v/>
      </c>
      <c r="I9150" s="25" t="str">
        <f t="shared" ca="1" si="1066"/>
        <v/>
      </c>
      <c r="J9150" s="26" t="str">
        <f t="shared" si="1067"/>
        <v/>
      </c>
    </row>
    <row r="9151" spans="1:10" x14ac:dyDescent="0.25">
      <c r="A9151" t="s">
        <v>111</v>
      </c>
      <c r="B9151" t="str">
        <f>ADDRESS(ROW(Parcels!B423),COLUMN(Parcels!B423),4)</f>
        <v>B423</v>
      </c>
      <c r="C9151" t="str">
        <f>ADDRESS(ROW(Parcels!D423),COLUMN(Parcels!D423),4)</f>
        <v>D423</v>
      </c>
      <c r="D9151" t="b">
        <f>IF(AND(Parcels!$B$6="Yes",NOT(ISBLANK(Parcels!A423)),ISBLANK(Parcels!B423)),TRUE,FALSE)</f>
        <v>0</v>
      </c>
      <c r="E9151" t="s">
        <v>64</v>
      </c>
      <c r="F9151" t="str">
        <f>INDEX(Lists!I:I,MATCH(Validation!E9151,Lists!G:G,0))</f>
        <v>Error</v>
      </c>
      <c r="G9151" t="str">
        <f>INDEX(Lists!H:H,MATCH(Validation!E9151,Lists!G:G,0))</f>
        <v>You must make a selection from the dropdown list.</v>
      </c>
      <c r="H9151" s="25" t="str">
        <f t="shared" ca="1" si="1065"/>
        <v/>
      </c>
      <c r="I9151" s="25" t="str">
        <f t="shared" ca="1" si="1066"/>
        <v/>
      </c>
      <c r="J9151" s="26" t="str">
        <f t="shared" si="1067"/>
        <v/>
      </c>
    </row>
    <row r="9152" spans="1:10" x14ac:dyDescent="0.25">
      <c r="A9152" t="s">
        <v>111</v>
      </c>
      <c r="B9152" t="str">
        <f>ADDRESS(ROW(Parcels!B424),COLUMN(Parcels!B424),4)</f>
        <v>B424</v>
      </c>
      <c r="C9152" t="str">
        <f>ADDRESS(ROW(Parcels!D424),COLUMN(Parcels!D424),4)</f>
        <v>D424</v>
      </c>
      <c r="D9152" t="b">
        <f>IF(AND(Parcels!$B$6="Yes",NOT(ISBLANK(Parcels!A424)),ISBLANK(Parcels!B424)),TRUE,FALSE)</f>
        <v>0</v>
      </c>
      <c r="E9152" t="s">
        <v>64</v>
      </c>
      <c r="F9152" t="str">
        <f>INDEX(Lists!I:I,MATCH(Validation!E9152,Lists!G:G,0))</f>
        <v>Error</v>
      </c>
      <c r="G9152" t="str">
        <f>INDEX(Lists!H:H,MATCH(Validation!E9152,Lists!G:G,0))</f>
        <v>You must make a selection from the dropdown list.</v>
      </c>
      <c r="H9152" s="25" t="str">
        <f t="shared" ca="1" si="1065"/>
        <v/>
      </c>
      <c r="I9152" s="25" t="str">
        <f t="shared" ca="1" si="1066"/>
        <v/>
      </c>
      <c r="J9152" s="26" t="str">
        <f t="shared" si="1067"/>
        <v/>
      </c>
    </row>
    <row r="9153" spans="1:10" x14ac:dyDescent="0.25">
      <c r="A9153" t="s">
        <v>111</v>
      </c>
      <c r="B9153" t="str">
        <f>ADDRESS(ROW(Parcels!B425),COLUMN(Parcels!B425),4)</f>
        <v>B425</v>
      </c>
      <c r="C9153" t="str">
        <f>ADDRESS(ROW(Parcels!D425),COLUMN(Parcels!D425),4)</f>
        <v>D425</v>
      </c>
      <c r="D9153" t="b">
        <f>IF(AND(Parcels!$B$6="Yes",NOT(ISBLANK(Parcels!A425)),ISBLANK(Parcels!B425)),TRUE,FALSE)</f>
        <v>0</v>
      </c>
      <c r="E9153" t="s">
        <v>64</v>
      </c>
      <c r="F9153" t="str">
        <f>INDEX(Lists!I:I,MATCH(Validation!E9153,Lists!G:G,0))</f>
        <v>Error</v>
      </c>
      <c r="G9153" t="str">
        <f>INDEX(Lists!H:H,MATCH(Validation!E9153,Lists!G:G,0))</f>
        <v>You must make a selection from the dropdown list.</v>
      </c>
      <c r="H9153" s="25" t="str">
        <f t="shared" ca="1" si="1065"/>
        <v/>
      </c>
      <c r="I9153" s="25" t="str">
        <f t="shared" ca="1" si="1066"/>
        <v/>
      </c>
      <c r="J9153" s="26" t="str">
        <f t="shared" si="1067"/>
        <v/>
      </c>
    </row>
    <row r="9154" spans="1:10" x14ac:dyDescent="0.25">
      <c r="A9154" t="s">
        <v>111</v>
      </c>
      <c r="B9154" t="str">
        <f>ADDRESS(ROW(Parcels!B426),COLUMN(Parcels!B426),4)</f>
        <v>B426</v>
      </c>
      <c r="C9154" t="str">
        <f>ADDRESS(ROW(Parcels!D426),COLUMN(Parcels!D426),4)</f>
        <v>D426</v>
      </c>
      <c r="D9154" t="b">
        <f>IF(AND(Parcels!$B$6="Yes",NOT(ISBLANK(Parcels!A426)),ISBLANK(Parcels!B426)),TRUE,FALSE)</f>
        <v>0</v>
      </c>
      <c r="E9154" t="s">
        <v>64</v>
      </c>
      <c r="F9154" t="str">
        <f>INDEX(Lists!I:I,MATCH(Validation!E9154,Lists!G:G,0))</f>
        <v>Error</v>
      </c>
      <c r="G9154" t="str">
        <f>INDEX(Lists!H:H,MATCH(Validation!E9154,Lists!G:G,0))</f>
        <v>You must make a selection from the dropdown list.</v>
      </c>
      <c r="H9154" s="25" t="str">
        <f t="shared" ca="1" si="1065"/>
        <v/>
      </c>
      <c r="I9154" s="25" t="str">
        <f t="shared" ca="1" si="1066"/>
        <v/>
      </c>
      <c r="J9154" s="26" t="str">
        <f t="shared" si="1067"/>
        <v/>
      </c>
    </row>
    <row r="9155" spans="1:10" x14ac:dyDescent="0.25">
      <c r="A9155" t="s">
        <v>111</v>
      </c>
      <c r="B9155" t="str">
        <f>ADDRESS(ROW(Parcels!B427),COLUMN(Parcels!B427),4)</f>
        <v>B427</v>
      </c>
      <c r="C9155" t="str">
        <f>ADDRESS(ROW(Parcels!D427),COLUMN(Parcels!D427),4)</f>
        <v>D427</v>
      </c>
      <c r="D9155" t="b">
        <f>IF(AND(Parcels!$B$6="Yes",NOT(ISBLANK(Parcels!A427)),ISBLANK(Parcels!B427)),TRUE,FALSE)</f>
        <v>0</v>
      </c>
      <c r="E9155" t="s">
        <v>64</v>
      </c>
      <c r="F9155" t="str">
        <f>INDEX(Lists!I:I,MATCH(Validation!E9155,Lists!G:G,0))</f>
        <v>Error</v>
      </c>
      <c r="G9155" t="str">
        <f>INDEX(Lists!H:H,MATCH(Validation!E9155,Lists!G:G,0))</f>
        <v>You must make a selection from the dropdown list.</v>
      </c>
      <c r="H9155" s="25" t="str">
        <f t="shared" ca="1" si="1065"/>
        <v/>
      </c>
      <c r="I9155" s="25" t="str">
        <f t="shared" ca="1" si="1066"/>
        <v/>
      </c>
      <c r="J9155" s="26" t="str">
        <f t="shared" si="1067"/>
        <v/>
      </c>
    </row>
    <row r="9156" spans="1:10" x14ac:dyDescent="0.25">
      <c r="A9156" t="s">
        <v>111</v>
      </c>
      <c r="B9156" t="str">
        <f>ADDRESS(ROW(Parcels!B428),COLUMN(Parcels!B428),4)</f>
        <v>B428</v>
      </c>
      <c r="C9156" t="str">
        <f>ADDRESS(ROW(Parcels!D428),COLUMN(Parcels!D428),4)</f>
        <v>D428</v>
      </c>
      <c r="D9156" t="b">
        <f>IF(AND(Parcels!$B$6="Yes",NOT(ISBLANK(Parcels!A428)),ISBLANK(Parcels!B428)),TRUE,FALSE)</f>
        <v>0</v>
      </c>
      <c r="E9156" t="s">
        <v>64</v>
      </c>
      <c r="F9156" t="str">
        <f>INDEX(Lists!I:I,MATCH(Validation!E9156,Lists!G:G,0))</f>
        <v>Error</v>
      </c>
      <c r="G9156" t="str">
        <f>INDEX(Lists!H:H,MATCH(Validation!E9156,Lists!G:G,0))</f>
        <v>You must make a selection from the dropdown list.</v>
      </c>
      <c r="H9156" s="25" t="str">
        <f t="shared" ca="1" si="1065"/>
        <v/>
      </c>
      <c r="I9156" s="25" t="str">
        <f t="shared" ca="1" si="1066"/>
        <v/>
      </c>
      <c r="J9156" s="26" t="str">
        <f t="shared" si="1067"/>
        <v/>
      </c>
    </row>
    <row r="9157" spans="1:10" x14ac:dyDescent="0.25">
      <c r="A9157" t="s">
        <v>111</v>
      </c>
      <c r="B9157" t="str">
        <f>ADDRESS(ROW(Parcels!B429),COLUMN(Parcels!B429),4)</f>
        <v>B429</v>
      </c>
      <c r="C9157" t="str">
        <f>ADDRESS(ROW(Parcels!D429),COLUMN(Parcels!D429),4)</f>
        <v>D429</v>
      </c>
      <c r="D9157" t="b">
        <f>IF(AND(Parcels!$B$6="Yes",NOT(ISBLANK(Parcels!A429)),ISBLANK(Parcels!B429)),TRUE,FALSE)</f>
        <v>0</v>
      </c>
      <c r="E9157" t="s">
        <v>64</v>
      </c>
      <c r="F9157" t="str">
        <f>INDEX(Lists!I:I,MATCH(Validation!E9157,Lists!G:G,0))</f>
        <v>Error</v>
      </c>
      <c r="G9157" t="str">
        <f>INDEX(Lists!H:H,MATCH(Validation!E9157,Lists!G:G,0))</f>
        <v>You must make a selection from the dropdown list.</v>
      </c>
      <c r="H9157" s="25" t="str">
        <f t="shared" ca="1" si="1065"/>
        <v/>
      </c>
      <c r="I9157" s="25" t="str">
        <f t="shared" ca="1" si="1066"/>
        <v/>
      </c>
      <c r="J9157" s="26" t="str">
        <f t="shared" si="1067"/>
        <v/>
      </c>
    </row>
    <row r="9158" spans="1:10" x14ac:dyDescent="0.25">
      <c r="A9158" t="s">
        <v>111</v>
      </c>
      <c r="B9158" t="str">
        <f>ADDRESS(ROW(Parcels!B430),COLUMN(Parcels!B430),4)</f>
        <v>B430</v>
      </c>
      <c r="C9158" t="str">
        <f>ADDRESS(ROW(Parcels!D430),COLUMN(Parcels!D430),4)</f>
        <v>D430</v>
      </c>
      <c r="D9158" t="b">
        <f>IF(AND(Parcels!$B$6="Yes",NOT(ISBLANK(Parcels!A430)),ISBLANK(Parcels!B430)),TRUE,FALSE)</f>
        <v>0</v>
      </c>
      <c r="E9158" t="s">
        <v>64</v>
      </c>
      <c r="F9158" t="str">
        <f>INDEX(Lists!I:I,MATCH(Validation!E9158,Lists!G:G,0))</f>
        <v>Error</v>
      </c>
      <c r="G9158" t="str">
        <f>INDEX(Lists!H:H,MATCH(Validation!E9158,Lists!G:G,0))</f>
        <v>You must make a selection from the dropdown list.</v>
      </c>
      <c r="H9158" s="25" t="str">
        <f t="shared" ca="1" si="1065"/>
        <v/>
      </c>
      <c r="I9158" s="25" t="str">
        <f t="shared" ca="1" si="1066"/>
        <v/>
      </c>
      <c r="J9158" s="26" t="str">
        <f t="shared" si="1067"/>
        <v/>
      </c>
    </row>
    <row r="9159" spans="1:10" x14ac:dyDescent="0.25">
      <c r="A9159" t="s">
        <v>111</v>
      </c>
      <c r="B9159" t="str">
        <f>ADDRESS(ROW(Parcels!B431),COLUMN(Parcels!B431),4)</f>
        <v>B431</v>
      </c>
      <c r="C9159" t="str">
        <f>ADDRESS(ROW(Parcels!D431),COLUMN(Parcels!D431),4)</f>
        <v>D431</v>
      </c>
      <c r="D9159" t="b">
        <f>IF(AND(Parcels!$B$6="Yes",NOT(ISBLANK(Parcels!A431)),ISBLANK(Parcels!B431)),TRUE,FALSE)</f>
        <v>0</v>
      </c>
      <c r="E9159" t="s">
        <v>64</v>
      </c>
      <c r="F9159" t="str">
        <f>INDEX(Lists!I:I,MATCH(Validation!E9159,Lists!G:G,0))</f>
        <v>Error</v>
      </c>
      <c r="G9159" t="str">
        <f>INDEX(Lists!H:H,MATCH(Validation!E9159,Lists!G:G,0))</f>
        <v>You must make a selection from the dropdown list.</v>
      </c>
      <c r="H9159" s="25" t="str">
        <f t="shared" ca="1" si="1065"/>
        <v/>
      </c>
      <c r="I9159" s="25" t="str">
        <f t="shared" ca="1" si="1066"/>
        <v/>
      </c>
      <c r="J9159" s="26" t="str">
        <f t="shared" si="1067"/>
        <v/>
      </c>
    </row>
    <row r="9160" spans="1:10" x14ac:dyDescent="0.25">
      <c r="A9160" t="s">
        <v>111</v>
      </c>
      <c r="B9160" t="str">
        <f>ADDRESS(ROW(Parcels!B432),COLUMN(Parcels!B432),4)</f>
        <v>B432</v>
      </c>
      <c r="C9160" t="str">
        <f>ADDRESS(ROW(Parcels!D432),COLUMN(Parcels!D432),4)</f>
        <v>D432</v>
      </c>
      <c r="D9160" t="b">
        <f>IF(AND(Parcels!$B$6="Yes",NOT(ISBLANK(Parcels!A432)),ISBLANK(Parcels!B432)),TRUE,FALSE)</f>
        <v>0</v>
      </c>
      <c r="E9160" t="s">
        <v>64</v>
      </c>
      <c r="F9160" t="str">
        <f>INDEX(Lists!I:I,MATCH(Validation!E9160,Lists!G:G,0))</f>
        <v>Error</v>
      </c>
      <c r="G9160" t="str">
        <f>INDEX(Lists!H:H,MATCH(Validation!E9160,Lists!G:G,0))</f>
        <v>You must make a selection from the dropdown list.</v>
      </c>
      <c r="H9160" s="25" t="str">
        <f t="shared" ca="1" si="1065"/>
        <v/>
      </c>
      <c r="I9160" s="25" t="str">
        <f t="shared" ca="1" si="1066"/>
        <v/>
      </c>
      <c r="J9160" s="26" t="str">
        <f t="shared" si="1067"/>
        <v/>
      </c>
    </row>
    <row r="9161" spans="1:10" x14ac:dyDescent="0.25">
      <c r="A9161" t="s">
        <v>111</v>
      </c>
      <c r="B9161" t="str">
        <f>ADDRESS(ROW(Parcels!B433),COLUMN(Parcels!B433),4)</f>
        <v>B433</v>
      </c>
      <c r="C9161" t="str">
        <f>ADDRESS(ROW(Parcels!D433),COLUMN(Parcels!D433),4)</f>
        <v>D433</v>
      </c>
      <c r="D9161" t="b">
        <f>IF(AND(Parcels!$B$6="Yes",NOT(ISBLANK(Parcels!A433)),ISBLANK(Parcels!B433)),TRUE,FALSE)</f>
        <v>0</v>
      </c>
      <c r="E9161" t="s">
        <v>64</v>
      </c>
      <c r="F9161" t="str">
        <f>INDEX(Lists!I:I,MATCH(Validation!E9161,Lists!G:G,0))</f>
        <v>Error</v>
      </c>
      <c r="G9161" t="str">
        <f>INDEX(Lists!H:H,MATCH(Validation!E9161,Lists!G:G,0))</f>
        <v>You must make a selection from the dropdown list.</v>
      </c>
      <c r="H9161" s="25" t="str">
        <f t="shared" ca="1" si="1065"/>
        <v/>
      </c>
      <c r="I9161" s="25" t="str">
        <f t="shared" ca="1" si="1066"/>
        <v/>
      </c>
      <c r="J9161" s="26" t="str">
        <f t="shared" si="1067"/>
        <v/>
      </c>
    </row>
    <row r="9162" spans="1:10" x14ac:dyDescent="0.25">
      <c r="A9162" t="s">
        <v>111</v>
      </c>
      <c r="B9162" t="str">
        <f>ADDRESS(ROW(Parcels!B434),COLUMN(Parcels!B434),4)</f>
        <v>B434</v>
      </c>
      <c r="C9162" t="str">
        <f>ADDRESS(ROW(Parcels!D434),COLUMN(Parcels!D434),4)</f>
        <v>D434</v>
      </c>
      <c r="D9162" t="b">
        <f>IF(AND(Parcels!$B$6="Yes",NOT(ISBLANK(Parcels!A434)),ISBLANK(Parcels!B434)),TRUE,FALSE)</f>
        <v>0</v>
      </c>
      <c r="E9162" t="s">
        <v>64</v>
      </c>
      <c r="F9162" t="str">
        <f>INDEX(Lists!I:I,MATCH(Validation!E9162,Lists!G:G,0))</f>
        <v>Error</v>
      </c>
      <c r="G9162" t="str">
        <f>INDEX(Lists!H:H,MATCH(Validation!E9162,Lists!G:G,0))</f>
        <v>You must make a selection from the dropdown list.</v>
      </c>
      <c r="H9162" s="25" t="str">
        <f t="shared" ca="1" si="1065"/>
        <v/>
      </c>
      <c r="I9162" s="25" t="str">
        <f t="shared" ca="1" si="1066"/>
        <v/>
      </c>
      <c r="J9162" s="26" t="str">
        <f t="shared" si="1067"/>
        <v/>
      </c>
    </row>
    <row r="9163" spans="1:10" x14ac:dyDescent="0.25">
      <c r="A9163" t="s">
        <v>111</v>
      </c>
      <c r="B9163" t="str">
        <f>ADDRESS(ROW(Parcels!B435),COLUMN(Parcels!B435),4)</f>
        <v>B435</v>
      </c>
      <c r="C9163" t="str">
        <f>ADDRESS(ROW(Parcels!D435),COLUMN(Parcels!D435),4)</f>
        <v>D435</v>
      </c>
      <c r="D9163" t="b">
        <f>IF(AND(Parcels!$B$6="Yes",NOT(ISBLANK(Parcels!A435)),ISBLANK(Parcels!B435)),TRUE,FALSE)</f>
        <v>0</v>
      </c>
      <c r="E9163" t="s">
        <v>64</v>
      </c>
      <c r="F9163" t="str">
        <f>INDEX(Lists!I:I,MATCH(Validation!E9163,Lists!G:G,0))</f>
        <v>Error</v>
      </c>
      <c r="G9163" t="str">
        <f>INDEX(Lists!H:H,MATCH(Validation!E9163,Lists!G:G,0))</f>
        <v>You must make a selection from the dropdown list.</v>
      </c>
      <c r="H9163" s="25" t="str">
        <f t="shared" ca="1" si="1065"/>
        <v/>
      </c>
      <c r="I9163" s="25" t="str">
        <f t="shared" ca="1" si="1066"/>
        <v/>
      </c>
      <c r="J9163" s="26" t="str">
        <f t="shared" si="1067"/>
        <v/>
      </c>
    </row>
    <row r="9164" spans="1:10" x14ac:dyDescent="0.25">
      <c r="A9164" t="s">
        <v>111</v>
      </c>
      <c r="B9164" t="str">
        <f>ADDRESS(ROW(Parcels!B436),COLUMN(Parcels!B436),4)</f>
        <v>B436</v>
      </c>
      <c r="C9164" t="str">
        <f>ADDRESS(ROW(Parcels!D436),COLUMN(Parcels!D436),4)</f>
        <v>D436</v>
      </c>
      <c r="D9164" t="b">
        <f>IF(AND(Parcels!$B$6="Yes",NOT(ISBLANK(Parcels!A436)),ISBLANK(Parcels!B436)),TRUE,FALSE)</f>
        <v>0</v>
      </c>
      <c r="E9164" t="s">
        <v>64</v>
      </c>
      <c r="F9164" t="str">
        <f>INDEX(Lists!I:I,MATCH(Validation!E9164,Lists!G:G,0))</f>
        <v>Error</v>
      </c>
      <c r="G9164" t="str">
        <f>INDEX(Lists!H:H,MATCH(Validation!E9164,Lists!G:G,0))</f>
        <v>You must make a selection from the dropdown list.</v>
      </c>
      <c r="H9164" s="25" t="str">
        <f t="shared" ca="1" si="1065"/>
        <v/>
      </c>
      <c r="I9164" s="25" t="str">
        <f t="shared" ca="1" si="1066"/>
        <v/>
      </c>
      <c r="J9164" s="26" t="str">
        <f t="shared" si="1067"/>
        <v/>
      </c>
    </row>
    <row r="9165" spans="1:10" x14ac:dyDescent="0.25">
      <c r="A9165" t="s">
        <v>111</v>
      </c>
      <c r="B9165" t="str">
        <f>ADDRESS(ROW(Parcels!B437),COLUMN(Parcels!B437),4)</f>
        <v>B437</v>
      </c>
      <c r="C9165" t="str">
        <f>ADDRESS(ROW(Parcels!D437),COLUMN(Parcels!D437),4)</f>
        <v>D437</v>
      </c>
      <c r="D9165" t="b">
        <f>IF(AND(Parcels!$B$6="Yes",NOT(ISBLANK(Parcels!A437)),ISBLANK(Parcels!B437)),TRUE,FALSE)</f>
        <v>0</v>
      </c>
      <c r="E9165" t="s">
        <v>64</v>
      </c>
      <c r="F9165" t="str">
        <f>INDEX(Lists!I:I,MATCH(Validation!E9165,Lists!G:G,0))</f>
        <v>Error</v>
      </c>
      <c r="G9165" t="str">
        <f>INDEX(Lists!H:H,MATCH(Validation!E9165,Lists!G:G,0))</f>
        <v>You must make a selection from the dropdown list.</v>
      </c>
      <c r="H9165" s="25" t="str">
        <f t="shared" ca="1" si="1065"/>
        <v/>
      </c>
      <c r="I9165" s="25" t="str">
        <f t="shared" ca="1" si="1066"/>
        <v/>
      </c>
      <c r="J9165" s="26" t="str">
        <f t="shared" si="1067"/>
        <v/>
      </c>
    </row>
    <row r="9166" spans="1:10" x14ac:dyDescent="0.25">
      <c r="A9166" t="s">
        <v>111</v>
      </c>
      <c r="B9166" t="str">
        <f>ADDRESS(ROW(Parcels!B438),COLUMN(Parcels!B438),4)</f>
        <v>B438</v>
      </c>
      <c r="C9166" t="str">
        <f>ADDRESS(ROW(Parcels!D438),COLUMN(Parcels!D438),4)</f>
        <v>D438</v>
      </c>
      <c r="D9166" t="b">
        <f>IF(AND(Parcels!$B$6="Yes",NOT(ISBLANK(Parcels!A438)),ISBLANK(Parcels!B438)),TRUE,FALSE)</f>
        <v>0</v>
      </c>
      <c r="E9166" t="s">
        <v>64</v>
      </c>
      <c r="F9166" t="str">
        <f>INDEX(Lists!I:I,MATCH(Validation!E9166,Lists!G:G,0))</f>
        <v>Error</v>
      </c>
      <c r="G9166" t="str">
        <f>INDEX(Lists!H:H,MATCH(Validation!E9166,Lists!G:G,0))</f>
        <v>You must make a selection from the dropdown list.</v>
      </c>
      <c r="H9166" s="25" t="str">
        <f t="shared" ca="1" si="1065"/>
        <v/>
      </c>
      <c r="I9166" s="25" t="str">
        <f t="shared" ca="1" si="1066"/>
        <v/>
      </c>
      <c r="J9166" s="26" t="str">
        <f t="shared" si="1067"/>
        <v/>
      </c>
    </row>
    <row r="9167" spans="1:10" x14ac:dyDescent="0.25">
      <c r="A9167" t="s">
        <v>111</v>
      </c>
      <c r="B9167" t="str">
        <f>ADDRESS(ROW(Parcels!B439),COLUMN(Parcels!B439),4)</f>
        <v>B439</v>
      </c>
      <c r="C9167" t="str">
        <f>ADDRESS(ROW(Parcels!D439),COLUMN(Parcels!D439),4)</f>
        <v>D439</v>
      </c>
      <c r="D9167" t="b">
        <f>IF(AND(Parcels!$B$6="Yes",NOT(ISBLANK(Parcels!A439)),ISBLANK(Parcels!B439)),TRUE,FALSE)</f>
        <v>0</v>
      </c>
      <c r="E9167" t="s">
        <v>64</v>
      </c>
      <c r="F9167" t="str">
        <f>INDEX(Lists!I:I,MATCH(Validation!E9167,Lists!G:G,0))</f>
        <v>Error</v>
      </c>
      <c r="G9167" t="str">
        <f>INDEX(Lists!H:H,MATCH(Validation!E9167,Lists!G:G,0))</f>
        <v>You must make a selection from the dropdown list.</v>
      </c>
      <c r="H9167" s="25" t="str">
        <f t="shared" ca="1" si="1065"/>
        <v/>
      </c>
      <c r="I9167" s="25" t="str">
        <f t="shared" ca="1" si="1066"/>
        <v/>
      </c>
      <c r="J9167" s="26" t="str">
        <f t="shared" si="1067"/>
        <v/>
      </c>
    </row>
    <row r="9168" spans="1:10" x14ac:dyDescent="0.25">
      <c r="A9168" t="s">
        <v>111</v>
      </c>
      <c r="B9168" t="str">
        <f>ADDRESS(ROW(Parcels!B440),COLUMN(Parcels!B440),4)</f>
        <v>B440</v>
      </c>
      <c r="C9168" t="str">
        <f>ADDRESS(ROW(Parcels!D440),COLUMN(Parcels!D440),4)</f>
        <v>D440</v>
      </c>
      <c r="D9168" t="b">
        <f>IF(AND(Parcels!$B$6="Yes",NOT(ISBLANK(Parcels!A440)),ISBLANK(Parcels!B440)),TRUE,FALSE)</f>
        <v>0</v>
      </c>
      <c r="E9168" t="s">
        <v>64</v>
      </c>
      <c r="F9168" t="str">
        <f>INDEX(Lists!I:I,MATCH(Validation!E9168,Lists!G:G,0))</f>
        <v>Error</v>
      </c>
      <c r="G9168" t="str">
        <f>INDEX(Lists!H:H,MATCH(Validation!E9168,Lists!G:G,0))</f>
        <v>You must make a selection from the dropdown list.</v>
      </c>
      <c r="H9168" s="25" t="str">
        <f t="shared" ca="1" si="1065"/>
        <v/>
      </c>
      <c r="I9168" s="25" t="str">
        <f t="shared" ca="1" si="1066"/>
        <v/>
      </c>
      <c r="J9168" s="26" t="str">
        <f t="shared" si="1067"/>
        <v/>
      </c>
    </row>
    <row r="9169" spans="1:10" x14ac:dyDescent="0.25">
      <c r="A9169" t="s">
        <v>111</v>
      </c>
      <c r="B9169" t="str">
        <f>ADDRESS(ROW(Parcels!B441),COLUMN(Parcels!B441),4)</f>
        <v>B441</v>
      </c>
      <c r="C9169" t="str">
        <f>ADDRESS(ROW(Parcels!D441),COLUMN(Parcels!D441),4)</f>
        <v>D441</v>
      </c>
      <c r="D9169" t="b">
        <f>IF(AND(Parcels!$B$6="Yes",NOT(ISBLANK(Parcels!A441)),ISBLANK(Parcels!B441)),TRUE,FALSE)</f>
        <v>0</v>
      </c>
      <c r="E9169" t="s">
        <v>64</v>
      </c>
      <c r="F9169" t="str">
        <f>INDEX(Lists!I:I,MATCH(Validation!E9169,Lists!G:G,0))</f>
        <v>Error</v>
      </c>
      <c r="G9169" t="str">
        <f>INDEX(Lists!H:H,MATCH(Validation!E9169,Lists!G:G,0))</f>
        <v>You must make a selection from the dropdown list.</v>
      </c>
      <c r="H9169" s="25" t="str">
        <f t="shared" ca="1" si="1065"/>
        <v/>
      </c>
      <c r="I9169" s="25" t="str">
        <f t="shared" ca="1" si="1066"/>
        <v/>
      </c>
      <c r="J9169" s="26" t="str">
        <f t="shared" si="1067"/>
        <v/>
      </c>
    </row>
    <row r="9170" spans="1:10" x14ac:dyDescent="0.25">
      <c r="A9170" t="s">
        <v>111</v>
      </c>
      <c r="B9170" t="str">
        <f>ADDRESS(ROW(Parcels!B442),COLUMN(Parcels!B442),4)</f>
        <v>B442</v>
      </c>
      <c r="C9170" t="str">
        <f>ADDRESS(ROW(Parcels!D442),COLUMN(Parcels!D442),4)</f>
        <v>D442</v>
      </c>
      <c r="D9170" t="b">
        <f>IF(AND(Parcels!$B$6="Yes",NOT(ISBLANK(Parcels!A442)),ISBLANK(Parcels!B442)),TRUE,FALSE)</f>
        <v>0</v>
      </c>
      <c r="E9170" t="s">
        <v>64</v>
      </c>
      <c r="F9170" t="str">
        <f>INDEX(Lists!I:I,MATCH(Validation!E9170,Lists!G:G,0))</f>
        <v>Error</v>
      </c>
      <c r="G9170" t="str">
        <f>INDEX(Lists!H:H,MATCH(Validation!E9170,Lists!G:G,0))</f>
        <v>You must make a selection from the dropdown list.</v>
      </c>
      <c r="H9170" s="25" t="str">
        <f t="shared" ca="1" si="1065"/>
        <v/>
      </c>
      <c r="I9170" s="25" t="str">
        <f t="shared" ca="1" si="1066"/>
        <v/>
      </c>
      <c r="J9170" s="26" t="str">
        <f t="shared" si="1067"/>
        <v/>
      </c>
    </row>
    <row r="9171" spans="1:10" x14ac:dyDescent="0.25">
      <c r="A9171" t="s">
        <v>111</v>
      </c>
      <c r="B9171" t="str">
        <f>ADDRESS(ROW(Parcels!B443),COLUMN(Parcels!B443),4)</f>
        <v>B443</v>
      </c>
      <c r="C9171" t="str">
        <f>ADDRESS(ROW(Parcels!D443),COLUMN(Parcels!D443),4)</f>
        <v>D443</v>
      </c>
      <c r="D9171" t="b">
        <f>IF(AND(Parcels!$B$6="Yes",NOT(ISBLANK(Parcels!A443)),ISBLANK(Parcels!B443)),TRUE,FALSE)</f>
        <v>0</v>
      </c>
      <c r="E9171" t="s">
        <v>64</v>
      </c>
      <c r="F9171" t="str">
        <f>INDEX(Lists!I:I,MATCH(Validation!E9171,Lists!G:G,0))</f>
        <v>Error</v>
      </c>
      <c r="G9171" t="str">
        <f>INDEX(Lists!H:H,MATCH(Validation!E9171,Lists!G:G,0))</f>
        <v>You must make a selection from the dropdown list.</v>
      </c>
      <c r="H9171" s="25" t="str">
        <f t="shared" ca="1" si="1065"/>
        <v/>
      </c>
      <c r="I9171" s="25" t="str">
        <f t="shared" ca="1" si="1066"/>
        <v/>
      </c>
      <c r="J9171" s="26" t="str">
        <f t="shared" si="1067"/>
        <v/>
      </c>
    </row>
    <row r="9172" spans="1:10" x14ac:dyDescent="0.25">
      <c r="A9172" t="s">
        <v>111</v>
      </c>
      <c r="B9172" t="str">
        <f>ADDRESS(ROW(Parcels!B444),COLUMN(Parcels!B444),4)</f>
        <v>B444</v>
      </c>
      <c r="C9172" t="str">
        <f>ADDRESS(ROW(Parcels!D444),COLUMN(Parcels!D444),4)</f>
        <v>D444</v>
      </c>
      <c r="D9172" t="b">
        <f>IF(AND(Parcels!$B$6="Yes",NOT(ISBLANK(Parcels!A444)),ISBLANK(Parcels!B444)),TRUE,FALSE)</f>
        <v>0</v>
      </c>
      <c r="E9172" t="s">
        <v>64</v>
      </c>
      <c r="F9172" t="str">
        <f>INDEX(Lists!I:I,MATCH(Validation!E9172,Lists!G:G,0))</f>
        <v>Error</v>
      </c>
      <c r="G9172" t="str">
        <f>INDEX(Lists!H:H,MATCH(Validation!E9172,Lists!G:G,0))</f>
        <v>You must make a selection from the dropdown list.</v>
      </c>
      <c r="H9172" s="25" t="str">
        <f t="shared" ca="1" si="1065"/>
        <v/>
      </c>
      <c r="I9172" s="25" t="str">
        <f t="shared" ca="1" si="1066"/>
        <v/>
      </c>
      <c r="J9172" s="26" t="str">
        <f t="shared" si="1067"/>
        <v/>
      </c>
    </row>
    <row r="9173" spans="1:10" x14ac:dyDescent="0.25">
      <c r="A9173" t="s">
        <v>111</v>
      </c>
      <c r="B9173" t="str">
        <f>ADDRESS(ROW(Parcels!B445),COLUMN(Parcels!B445),4)</f>
        <v>B445</v>
      </c>
      <c r="C9173" t="str">
        <f>ADDRESS(ROW(Parcels!D445),COLUMN(Parcels!D445),4)</f>
        <v>D445</v>
      </c>
      <c r="D9173" t="b">
        <f>IF(AND(Parcels!$B$6="Yes",NOT(ISBLANK(Parcels!A445)),ISBLANK(Parcels!B445)),TRUE,FALSE)</f>
        <v>0</v>
      </c>
      <c r="E9173" t="s">
        <v>64</v>
      </c>
      <c r="F9173" t="str">
        <f>INDEX(Lists!I:I,MATCH(Validation!E9173,Lists!G:G,0))</f>
        <v>Error</v>
      </c>
      <c r="G9173" t="str">
        <f>INDEX(Lists!H:H,MATCH(Validation!E9173,Lists!G:G,0))</f>
        <v>You must make a selection from the dropdown list.</v>
      </c>
      <c r="H9173" s="25" t="str">
        <f t="shared" ca="1" si="1065"/>
        <v/>
      </c>
      <c r="I9173" s="25" t="str">
        <f t="shared" ca="1" si="1066"/>
        <v/>
      </c>
      <c r="J9173" s="26" t="str">
        <f t="shared" si="1067"/>
        <v/>
      </c>
    </row>
    <row r="9174" spans="1:10" x14ac:dyDescent="0.25">
      <c r="A9174" t="s">
        <v>111</v>
      </c>
      <c r="B9174" t="str">
        <f>ADDRESS(ROW(Parcels!B446),COLUMN(Parcels!B446),4)</f>
        <v>B446</v>
      </c>
      <c r="C9174" t="str">
        <f>ADDRESS(ROW(Parcels!D446),COLUMN(Parcels!D446),4)</f>
        <v>D446</v>
      </c>
      <c r="D9174" t="b">
        <f>IF(AND(Parcels!$B$6="Yes",NOT(ISBLANK(Parcels!A446)),ISBLANK(Parcels!B446)),TRUE,FALSE)</f>
        <v>0</v>
      </c>
      <c r="E9174" t="s">
        <v>64</v>
      </c>
      <c r="F9174" t="str">
        <f>INDEX(Lists!I:I,MATCH(Validation!E9174,Lists!G:G,0))</f>
        <v>Error</v>
      </c>
      <c r="G9174" t="str">
        <f>INDEX(Lists!H:H,MATCH(Validation!E9174,Lists!G:G,0))</f>
        <v>You must make a selection from the dropdown list.</v>
      </c>
      <c r="H9174" s="25" t="str">
        <f t="shared" ca="1" si="1065"/>
        <v/>
      </c>
      <c r="I9174" s="25" t="str">
        <f t="shared" ca="1" si="1066"/>
        <v/>
      </c>
      <c r="J9174" s="26" t="str">
        <f t="shared" si="1067"/>
        <v/>
      </c>
    </row>
    <row r="9175" spans="1:10" x14ac:dyDescent="0.25">
      <c r="A9175" t="s">
        <v>111</v>
      </c>
      <c r="B9175" t="str">
        <f>ADDRESS(ROW(Parcels!B447),COLUMN(Parcels!B447),4)</f>
        <v>B447</v>
      </c>
      <c r="C9175" t="str">
        <f>ADDRESS(ROW(Parcels!D447),COLUMN(Parcels!D447),4)</f>
        <v>D447</v>
      </c>
      <c r="D9175" t="b">
        <f>IF(AND(Parcels!$B$6="Yes",NOT(ISBLANK(Parcels!A447)),ISBLANK(Parcels!B447)),TRUE,FALSE)</f>
        <v>0</v>
      </c>
      <c r="E9175" t="s">
        <v>64</v>
      </c>
      <c r="F9175" t="str">
        <f>INDEX(Lists!I:I,MATCH(Validation!E9175,Lists!G:G,0))</f>
        <v>Error</v>
      </c>
      <c r="G9175" t="str">
        <f>INDEX(Lists!H:H,MATCH(Validation!E9175,Lists!G:G,0))</f>
        <v>You must make a selection from the dropdown list.</v>
      </c>
      <c r="H9175" s="25" t="str">
        <f t="shared" ca="1" si="1065"/>
        <v/>
      </c>
      <c r="I9175" s="25" t="str">
        <f t="shared" ca="1" si="1066"/>
        <v/>
      </c>
      <c r="J9175" s="26" t="str">
        <f t="shared" si="1067"/>
        <v/>
      </c>
    </row>
    <row r="9176" spans="1:10" x14ac:dyDescent="0.25">
      <c r="A9176" t="s">
        <v>111</v>
      </c>
      <c r="B9176" t="str">
        <f>ADDRESS(ROW(Parcels!B448),COLUMN(Parcels!B448),4)</f>
        <v>B448</v>
      </c>
      <c r="C9176" t="str">
        <f>ADDRESS(ROW(Parcels!D448),COLUMN(Parcels!D448),4)</f>
        <v>D448</v>
      </c>
      <c r="D9176" t="b">
        <f>IF(AND(Parcels!$B$6="Yes",NOT(ISBLANK(Parcels!A448)),ISBLANK(Parcels!B448)),TRUE,FALSE)</f>
        <v>0</v>
      </c>
      <c r="E9176" t="s">
        <v>64</v>
      </c>
      <c r="F9176" t="str">
        <f>INDEX(Lists!I:I,MATCH(Validation!E9176,Lists!G:G,0))</f>
        <v>Error</v>
      </c>
      <c r="G9176" t="str">
        <f>INDEX(Lists!H:H,MATCH(Validation!E9176,Lists!G:G,0))</f>
        <v>You must make a selection from the dropdown list.</v>
      </c>
      <c r="H9176" s="25" t="str">
        <f t="shared" ca="1" si="1065"/>
        <v/>
      </c>
      <c r="I9176" s="25" t="str">
        <f t="shared" ca="1" si="1066"/>
        <v/>
      </c>
      <c r="J9176" s="26" t="str">
        <f t="shared" si="1067"/>
        <v/>
      </c>
    </row>
    <row r="9177" spans="1:10" x14ac:dyDescent="0.25">
      <c r="A9177" t="s">
        <v>111</v>
      </c>
      <c r="B9177" t="str">
        <f>ADDRESS(ROW(Parcels!B449),COLUMN(Parcels!B449),4)</f>
        <v>B449</v>
      </c>
      <c r="C9177" t="str">
        <f>ADDRESS(ROW(Parcels!D449),COLUMN(Parcels!D449),4)</f>
        <v>D449</v>
      </c>
      <c r="D9177" t="b">
        <f>IF(AND(Parcels!$B$6="Yes",NOT(ISBLANK(Parcels!A449)),ISBLANK(Parcels!B449)),TRUE,FALSE)</f>
        <v>0</v>
      </c>
      <c r="E9177" t="s">
        <v>64</v>
      </c>
      <c r="F9177" t="str">
        <f>INDEX(Lists!I:I,MATCH(Validation!E9177,Lists!G:G,0))</f>
        <v>Error</v>
      </c>
      <c r="G9177" t="str">
        <f>INDEX(Lists!H:H,MATCH(Validation!E9177,Lists!G:G,0))</f>
        <v>You must make a selection from the dropdown list.</v>
      </c>
      <c r="H9177" s="25" t="str">
        <f t="shared" ca="1" si="1065"/>
        <v/>
      </c>
      <c r="I9177" s="25" t="str">
        <f t="shared" ca="1" si="1066"/>
        <v/>
      </c>
      <c r="J9177" s="26" t="str">
        <f t="shared" si="1067"/>
        <v/>
      </c>
    </row>
    <row r="9178" spans="1:10" x14ac:dyDescent="0.25">
      <c r="A9178" t="s">
        <v>111</v>
      </c>
      <c r="B9178" t="str">
        <f>ADDRESS(ROW(Parcels!B450),COLUMN(Parcels!B450),4)</f>
        <v>B450</v>
      </c>
      <c r="C9178" t="str">
        <f>ADDRESS(ROW(Parcels!D450),COLUMN(Parcels!D450),4)</f>
        <v>D450</v>
      </c>
      <c r="D9178" t="b">
        <f>IF(AND(Parcels!$B$6="Yes",NOT(ISBLANK(Parcels!A450)),ISBLANK(Parcels!B450)),TRUE,FALSE)</f>
        <v>0</v>
      </c>
      <c r="E9178" t="s">
        <v>64</v>
      </c>
      <c r="F9178" t="str">
        <f>INDEX(Lists!I:I,MATCH(Validation!E9178,Lists!G:G,0))</f>
        <v>Error</v>
      </c>
      <c r="G9178" t="str">
        <f>INDEX(Lists!H:H,MATCH(Validation!E9178,Lists!G:G,0))</f>
        <v>You must make a selection from the dropdown list.</v>
      </c>
      <c r="H9178" s="25" t="str">
        <f t="shared" ca="1" si="1065"/>
        <v/>
      </c>
      <c r="I9178" s="25" t="str">
        <f t="shared" ca="1" si="1066"/>
        <v/>
      </c>
      <c r="J9178" s="26" t="str">
        <f t="shared" si="1067"/>
        <v/>
      </c>
    </row>
    <row r="9179" spans="1:10" x14ac:dyDescent="0.25">
      <c r="A9179" t="s">
        <v>111</v>
      </c>
      <c r="B9179" t="str">
        <f>ADDRESS(ROW(Parcels!B451),COLUMN(Parcels!B451),4)</f>
        <v>B451</v>
      </c>
      <c r="C9179" t="str">
        <f>ADDRESS(ROW(Parcels!D451),COLUMN(Parcels!D451),4)</f>
        <v>D451</v>
      </c>
      <c r="D9179" t="b">
        <f>IF(AND(Parcels!$B$6="Yes",NOT(ISBLANK(Parcels!A451)),ISBLANK(Parcels!B451)),TRUE,FALSE)</f>
        <v>0</v>
      </c>
      <c r="E9179" t="s">
        <v>64</v>
      </c>
      <c r="F9179" t="str">
        <f>INDEX(Lists!I:I,MATCH(Validation!E9179,Lists!G:G,0))</f>
        <v>Error</v>
      </c>
      <c r="G9179" t="str">
        <f>INDEX(Lists!H:H,MATCH(Validation!E9179,Lists!G:G,0))</f>
        <v>You must make a selection from the dropdown list.</v>
      </c>
      <c r="H9179" s="25" t="str">
        <f t="shared" ca="1" si="1065"/>
        <v/>
      </c>
      <c r="I9179" s="25" t="str">
        <f t="shared" ca="1" si="1066"/>
        <v/>
      </c>
      <c r="J9179" s="26" t="str">
        <f t="shared" si="1067"/>
        <v/>
      </c>
    </row>
    <row r="9180" spans="1:10" x14ac:dyDescent="0.25">
      <c r="A9180" t="s">
        <v>111</v>
      </c>
      <c r="B9180" t="str">
        <f>ADDRESS(ROW(Parcels!B452),COLUMN(Parcels!B452),4)</f>
        <v>B452</v>
      </c>
      <c r="C9180" t="str">
        <f>ADDRESS(ROW(Parcels!D452),COLUMN(Parcels!D452),4)</f>
        <v>D452</v>
      </c>
      <c r="D9180" t="b">
        <f>IF(AND(Parcels!$B$6="Yes",NOT(ISBLANK(Parcels!A452)),ISBLANK(Parcels!B452)),TRUE,FALSE)</f>
        <v>0</v>
      </c>
      <c r="E9180" t="s">
        <v>64</v>
      </c>
      <c r="F9180" t="str">
        <f>INDEX(Lists!I:I,MATCH(Validation!E9180,Lists!G:G,0))</f>
        <v>Error</v>
      </c>
      <c r="G9180" t="str">
        <f>INDEX(Lists!H:H,MATCH(Validation!E9180,Lists!G:G,0))</f>
        <v>You must make a selection from the dropdown list.</v>
      </c>
      <c r="H9180" s="25" t="str">
        <f t="shared" ca="1" si="1065"/>
        <v/>
      </c>
      <c r="I9180" s="25" t="str">
        <f t="shared" ca="1" si="1066"/>
        <v/>
      </c>
      <c r="J9180" s="26" t="str">
        <f t="shared" si="1067"/>
        <v/>
      </c>
    </row>
    <row r="9181" spans="1:10" x14ac:dyDescent="0.25">
      <c r="A9181" t="s">
        <v>111</v>
      </c>
      <c r="B9181" t="str">
        <f>ADDRESS(ROW(Parcels!B453),COLUMN(Parcels!B453),4)</f>
        <v>B453</v>
      </c>
      <c r="C9181" t="str">
        <f>ADDRESS(ROW(Parcels!D453),COLUMN(Parcels!D453),4)</f>
        <v>D453</v>
      </c>
      <c r="D9181" t="b">
        <f>IF(AND(Parcels!$B$6="Yes",NOT(ISBLANK(Parcels!A453)),ISBLANK(Parcels!B453)),TRUE,FALSE)</f>
        <v>0</v>
      </c>
      <c r="E9181" t="s">
        <v>64</v>
      </c>
      <c r="F9181" t="str">
        <f>INDEX(Lists!I:I,MATCH(Validation!E9181,Lists!G:G,0))</f>
        <v>Error</v>
      </c>
      <c r="G9181" t="str">
        <f>INDEX(Lists!H:H,MATCH(Validation!E9181,Lists!G:G,0))</f>
        <v>You must make a selection from the dropdown list.</v>
      </c>
      <c r="H9181" s="25" t="str">
        <f t="shared" ca="1" si="1065"/>
        <v/>
      </c>
      <c r="I9181" s="25" t="str">
        <f t="shared" ca="1" si="1066"/>
        <v/>
      </c>
      <c r="J9181" s="26" t="str">
        <f t="shared" si="1067"/>
        <v/>
      </c>
    </row>
    <row r="9182" spans="1:10" x14ac:dyDescent="0.25">
      <c r="A9182" t="s">
        <v>111</v>
      </c>
      <c r="B9182" t="str">
        <f>ADDRESS(ROW(Parcels!B454),COLUMN(Parcels!B454),4)</f>
        <v>B454</v>
      </c>
      <c r="C9182" t="str">
        <f>ADDRESS(ROW(Parcels!D454),COLUMN(Parcels!D454),4)</f>
        <v>D454</v>
      </c>
      <c r="D9182" t="b">
        <f>IF(AND(Parcels!$B$6="Yes",NOT(ISBLANK(Parcels!A454)),ISBLANK(Parcels!B454)),TRUE,FALSE)</f>
        <v>0</v>
      </c>
      <c r="E9182" t="s">
        <v>64</v>
      </c>
      <c r="F9182" t="str">
        <f>INDEX(Lists!I:I,MATCH(Validation!E9182,Lists!G:G,0))</f>
        <v>Error</v>
      </c>
      <c r="G9182" t="str">
        <f>INDEX(Lists!H:H,MATCH(Validation!E9182,Lists!G:G,0))</f>
        <v>You must make a selection from the dropdown list.</v>
      </c>
      <c r="H9182" s="25" t="str">
        <f t="shared" ca="1" si="1065"/>
        <v/>
      </c>
      <c r="I9182" s="25" t="str">
        <f t="shared" ca="1" si="1066"/>
        <v/>
      </c>
      <c r="J9182" s="26" t="str">
        <f t="shared" si="1067"/>
        <v/>
      </c>
    </row>
    <row r="9183" spans="1:10" x14ac:dyDescent="0.25">
      <c r="A9183" t="s">
        <v>111</v>
      </c>
      <c r="B9183" t="str">
        <f>ADDRESS(ROW(Parcels!B455),COLUMN(Parcels!B455),4)</f>
        <v>B455</v>
      </c>
      <c r="C9183" t="str">
        <f>ADDRESS(ROW(Parcels!D455),COLUMN(Parcels!D455),4)</f>
        <v>D455</v>
      </c>
      <c r="D9183" t="b">
        <f>IF(AND(Parcels!$B$6="Yes",NOT(ISBLANK(Parcels!A455)),ISBLANK(Parcels!B455)),TRUE,FALSE)</f>
        <v>0</v>
      </c>
      <c r="E9183" t="s">
        <v>64</v>
      </c>
      <c r="F9183" t="str">
        <f>INDEX(Lists!I:I,MATCH(Validation!E9183,Lists!G:G,0))</f>
        <v>Error</v>
      </c>
      <c r="G9183" t="str">
        <f>INDEX(Lists!H:H,MATCH(Validation!E9183,Lists!G:G,0))</f>
        <v>You must make a selection from the dropdown list.</v>
      </c>
      <c r="H9183" s="25" t="str">
        <f t="shared" ca="1" si="1065"/>
        <v/>
      </c>
      <c r="I9183" s="25" t="str">
        <f t="shared" ca="1" si="1066"/>
        <v/>
      </c>
      <c r="J9183" s="26" t="str">
        <f t="shared" si="1067"/>
        <v/>
      </c>
    </row>
    <row r="9184" spans="1:10" x14ac:dyDescent="0.25">
      <c r="A9184" t="s">
        <v>111</v>
      </c>
      <c r="B9184" t="str">
        <f>ADDRESS(ROW(Parcels!B456),COLUMN(Parcels!B456),4)</f>
        <v>B456</v>
      </c>
      <c r="C9184" t="str">
        <f>ADDRESS(ROW(Parcels!D456),COLUMN(Parcels!D456),4)</f>
        <v>D456</v>
      </c>
      <c r="D9184" t="b">
        <f>IF(AND(Parcels!$B$6="Yes",NOT(ISBLANK(Parcels!A456)),ISBLANK(Parcels!B456)),TRUE,FALSE)</f>
        <v>0</v>
      </c>
      <c r="E9184" t="s">
        <v>64</v>
      </c>
      <c r="F9184" t="str">
        <f>INDEX(Lists!I:I,MATCH(Validation!E9184,Lists!G:G,0))</f>
        <v>Error</v>
      </c>
      <c r="G9184" t="str">
        <f>INDEX(Lists!H:H,MATCH(Validation!E9184,Lists!G:G,0))</f>
        <v>You must make a selection from the dropdown list.</v>
      </c>
      <c r="H9184" s="25" t="str">
        <f t="shared" ref="H9184:H9247" ca="1" si="1068">IFERROR(IF(OR(NOT(D9184),F9184&lt;&gt;"Error"),"",A9184&amp;CELL("address",INDIRECT(B9184))),"")</f>
        <v/>
      </c>
      <c r="I9184" s="25" t="str">
        <f t="shared" ref="I9184:I9247" ca="1" si="1069">IFERROR(IF(NOT(D9184),"",A9184&amp;CELL("address",INDIRECT(C9184))),"")</f>
        <v/>
      </c>
      <c r="J9184" s="26" t="str">
        <f t="shared" ref="J9184:J9247" si="1070">IFERROR(IF(NOT(D9184),"",A9184),"")</f>
        <v/>
      </c>
    </row>
    <row r="9185" spans="1:10" x14ac:dyDescent="0.25">
      <c r="A9185" t="s">
        <v>111</v>
      </c>
      <c r="B9185" t="str">
        <f>ADDRESS(ROW(Parcels!B457),COLUMN(Parcels!B457),4)</f>
        <v>B457</v>
      </c>
      <c r="C9185" t="str">
        <f>ADDRESS(ROW(Parcels!D457),COLUMN(Parcels!D457),4)</f>
        <v>D457</v>
      </c>
      <c r="D9185" t="b">
        <f>IF(AND(Parcels!$B$6="Yes",NOT(ISBLANK(Parcels!A457)),ISBLANK(Parcels!B457)),TRUE,FALSE)</f>
        <v>0</v>
      </c>
      <c r="E9185" t="s">
        <v>64</v>
      </c>
      <c r="F9185" t="str">
        <f>INDEX(Lists!I:I,MATCH(Validation!E9185,Lists!G:G,0))</f>
        <v>Error</v>
      </c>
      <c r="G9185" t="str">
        <f>INDEX(Lists!H:H,MATCH(Validation!E9185,Lists!G:G,0))</f>
        <v>You must make a selection from the dropdown list.</v>
      </c>
      <c r="H9185" s="25" t="str">
        <f t="shared" ca="1" si="1068"/>
        <v/>
      </c>
      <c r="I9185" s="25" t="str">
        <f t="shared" ca="1" si="1069"/>
        <v/>
      </c>
      <c r="J9185" s="26" t="str">
        <f t="shared" si="1070"/>
        <v/>
      </c>
    </row>
    <row r="9186" spans="1:10" x14ac:dyDescent="0.25">
      <c r="A9186" t="s">
        <v>111</v>
      </c>
      <c r="B9186" t="str">
        <f>ADDRESS(ROW(Parcels!B458),COLUMN(Parcels!B458),4)</f>
        <v>B458</v>
      </c>
      <c r="C9186" t="str">
        <f>ADDRESS(ROW(Parcels!D458),COLUMN(Parcels!D458),4)</f>
        <v>D458</v>
      </c>
      <c r="D9186" t="b">
        <f>IF(AND(Parcels!$B$6="Yes",NOT(ISBLANK(Parcels!A458)),ISBLANK(Parcels!B458)),TRUE,FALSE)</f>
        <v>0</v>
      </c>
      <c r="E9186" t="s">
        <v>64</v>
      </c>
      <c r="F9186" t="str">
        <f>INDEX(Lists!I:I,MATCH(Validation!E9186,Lists!G:G,0))</f>
        <v>Error</v>
      </c>
      <c r="G9186" t="str">
        <f>INDEX(Lists!H:H,MATCH(Validation!E9186,Lists!G:G,0))</f>
        <v>You must make a selection from the dropdown list.</v>
      </c>
      <c r="H9186" s="25" t="str">
        <f t="shared" ca="1" si="1068"/>
        <v/>
      </c>
      <c r="I9186" s="25" t="str">
        <f t="shared" ca="1" si="1069"/>
        <v/>
      </c>
      <c r="J9186" s="26" t="str">
        <f t="shared" si="1070"/>
        <v/>
      </c>
    </row>
    <row r="9187" spans="1:10" x14ac:dyDescent="0.25">
      <c r="A9187" t="s">
        <v>111</v>
      </c>
      <c r="B9187" t="str">
        <f>ADDRESS(ROW(Parcels!B459),COLUMN(Parcels!B459),4)</f>
        <v>B459</v>
      </c>
      <c r="C9187" t="str">
        <f>ADDRESS(ROW(Parcels!D459),COLUMN(Parcels!D459),4)</f>
        <v>D459</v>
      </c>
      <c r="D9187" t="b">
        <f>IF(AND(Parcels!$B$6="Yes",NOT(ISBLANK(Parcels!A459)),ISBLANK(Parcels!B459)),TRUE,FALSE)</f>
        <v>0</v>
      </c>
      <c r="E9187" t="s">
        <v>64</v>
      </c>
      <c r="F9187" t="str">
        <f>INDEX(Lists!I:I,MATCH(Validation!E9187,Lists!G:G,0))</f>
        <v>Error</v>
      </c>
      <c r="G9187" t="str">
        <f>INDEX(Lists!H:H,MATCH(Validation!E9187,Lists!G:G,0))</f>
        <v>You must make a selection from the dropdown list.</v>
      </c>
      <c r="H9187" s="25" t="str">
        <f t="shared" ca="1" si="1068"/>
        <v/>
      </c>
      <c r="I9187" s="25" t="str">
        <f t="shared" ca="1" si="1069"/>
        <v/>
      </c>
      <c r="J9187" s="26" t="str">
        <f t="shared" si="1070"/>
        <v/>
      </c>
    </row>
    <row r="9188" spans="1:10" x14ac:dyDescent="0.25">
      <c r="A9188" t="s">
        <v>111</v>
      </c>
      <c r="B9188" t="str">
        <f>ADDRESS(ROW(Parcels!B460),COLUMN(Parcels!B460),4)</f>
        <v>B460</v>
      </c>
      <c r="C9188" t="str">
        <f>ADDRESS(ROW(Parcels!D460),COLUMN(Parcels!D460),4)</f>
        <v>D460</v>
      </c>
      <c r="D9188" t="b">
        <f>IF(AND(Parcels!$B$6="Yes",NOT(ISBLANK(Parcels!A460)),ISBLANK(Parcels!B460)),TRUE,FALSE)</f>
        <v>0</v>
      </c>
      <c r="E9188" t="s">
        <v>64</v>
      </c>
      <c r="F9188" t="str">
        <f>INDEX(Lists!I:I,MATCH(Validation!E9188,Lists!G:G,0))</f>
        <v>Error</v>
      </c>
      <c r="G9188" t="str">
        <f>INDEX(Lists!H:H,MATCH(Validation!E9188,Lists!G:G,0))</f>
        <v>You must make a selection from the dropdown list.</v>
      </c>
      <c r="H9188" s="25" t="str">
        <f t="shared" ca="1" si="1068"/>
        <v/>
      </c>
      <c r="I9188" s="25" t="str">
        <f t="shared" ca="1" si="1069"/>
        <v/>
      </c>
      <c r="J9188" s="26" t="str">
        <f t="shared" si="1070"/>
        <v/>
      </c>
    </row>
    <row r="9189" spans="1:10" x14ac:dyDescent="0.25">
      <c r="A9189" t="s">
        <v>111</v>
      </c>
      <c r="B9189" t="str">
        <f>ADDRESS(ROW(Parcels!B461),COLUMN(Parcels!B461),4)</f>
        <v>B461</v>
      </c>
      <c r="C9189" t="str">
        <f>ADDRESS(ROW(Parcels!D461),COLUMN(Parcels!D461),4)</f>
        <v>D461</v>
      </c>
      <c r="D9189" t="b">
        <f>IF(AND(Parcels!$B$6="Yes",NOT(ISBLANK(Parcels!A461)),ISBLANK(Parcels!B461)),TRUE,FALSE)</f>
        <v>0</v>
      </c>
      <c r="E9189" t="s">
        <v>64</v>
      </c>
      <c r="F9189" t="str">
        <f>INDEX(Lists!I:I,MATCH(Validation!E9189,Lists!G:G,0))</f>
        <v>Error</v>
      </c>
      <c r="G9189" t="str">
        <f>INDEX(Lists!H:H,MATCH(Validation!E9189,Lists!G:G,0))</f>
        <v>You must make a selection from the dropdown list.</v>
      </c>
      <c r="H9189" s="25" t="str">
        <f t="shared" ca="1" si="1068"/>
        <v/>
      </c>
      <c r="I9189" s="25" t="str">
        <f t="shared" ca="1" si="1069"/>
        <v/>
      </c>
      <c r="J9189" s="26" t="str">
        <f t="shared" si="1070"/>
        <v/>
      </c>
    </row>
    <row r="9190" spans="1:10" x14ac:dyDescent="0.25">
      <c r="A9190" t="s">
        <v>111</v>
      </c>
      <c r="B9190" t="str">
        <f>ADDRESS(ROW(Parcels!B462),COLUMN(Parcels!B462),4)</f>
        <v>B462</v>
      </c>
      <c r="C9190" t="str">
        <f>ADDRESS(ROW(Parcels!D462),COLUMN(Parcels!D462),4)</f>
        <v>D462</v>
      </c>
      <c r="D9190" t="b">
        <f>IF(AND(Parcels!$B$6="Yes",NOT(ISBLANK(Parcels!A462)),ISBLANK(Parcels!B462)),TRUE,FALSE)</f>
        <v>0</v>
      </c>
      <c r="E9190" t="s">
        <v>64</v>
      </c>
      <c r="F9190" t="str">
        <f>INDEX(Lists!I:I,MATCH(Validation!E9190,Lists!G:G,0))</f>
        <v>Error</v>
      </c>
      <c r="G9190" t="str">
        <f>INDEX(Lists!H:H,MATCH(Validation!E9190,Lists!G:G,0))</f>
        <v>You must make a selection from the dropdown list.</v>
      </c>
      <c r="H9190" s="25" t="str">
        <f t="shared" ca="1" si="1068"/>
        <v/>
      </c>
      <c r="I9190" s="25" t="str">
        <f t="shared" ca="1" si="1069"/>
        <v/>
      </c>
      <c r="J9190" s="26" t="str">
        <f t="shared" si="1070"/>
        <v/>
      </c>
    </row>
    <row r="9191" spans="1:10" x14ac:dyDescent="0.25">
      <c r="A9191" t="s">
        <v>111</v>
      </c>
      <c r="B9191" t="str">
        <f>ADDRESS(ROW(Parcels!B463),COLUMN(Parcels!B463),4)</f>
        <v>B463</v>
      </c>
      <c r="C9191" t="str">
        <f>ADDRESS(ROW(Parcels!D463),COLUMN(Parcels!D463),4)</f>
        <v>D463</v>
      </c>
      <c r="D9191" t="b">
        <f>IF(AND(Parcels!$B$6="Yes",NOT(ISBLANK(Parcels!A463)),ISBLANK(Parcels!B463)),TRUE,FALSE)</f>
        <v>0</v>
      </c>
      <c r="E9191" t="s">
        <v>64</v>
      </c>
      <c r="F9191" t="str">
        <f>INDEX(Lists!I:I,MATCH(Validation!E9191,Lists!G:G,0))</f>
        <v>Error</v>
      </c>
      <c r="G9191" t="str">
        <f>INDEX(Lists!H:H,MATCH(Validation!E9191,Lists!G:G,0))</f>
        <v>You must make a selection from the dropdown list.</v>
      </c>
      <c r="H9191" s="25" t="str">
        <f t="shared" ca="1" si="1068"/>
        <v/>
      </c>
      <c r="I9191" s="25" t="str">
        <f t="shared" ca="1" si="1069"/>
        <v/>
      </c>
      <c r="J9191" s="26" t="str">
        <f t="shared" si="1070"/>
        <v/>
      </c>
    </row>
    <row r="9192" spans="1:10" x14ac:dyDescent="0.25">
      <c r="A9192" t="s">
        <v>111</v>
      </c>
      <c r="B9192" t="str">
        <f>ADDRESS(ROW(Parcels!B464),COLUMN(Parcels!B464),4)</f>
        <v>B464</v>
      </c>
      <c r="C9192" t="str">
        <f>ADDRESS(ROW(Parcels!D464),COLUMN(Parcels!D464),4)</f>
        <v>D464</v>
      </c>
      <c r="D9192" t="b">
        <f>IF(AND(Parcels!$B$6="Yes",NOT(ISBLANK(Parcels!A464)),ISBLANK(Parcels!B464)),TRUE,FALSE)</f>
        <v>0</v>
      </c>
      <c r="E9192" t="s">
        <v>64</v>
      </c>
      <c r="F9192" t="str">
        <f>INDEX(Lists!I:I,MATCH(Validation!E9192,Lists!G:G,0))</f>
        <v>Error</v>
      </c>
      <c r="G9192" t="str">
        <f>INDEX(Lists!H:H,MATCH(Validation!E9192,Lists!G:G,0))</f>
        <v>You must make a selection from the dropdown list.</v>
      </c>
      <c r="H9192" s="25" t="str">
        <f t="shared" ca="1" si="1068"/>
        <v/>
      </c>
      <c r="I9192" s="25" t="str">
        <f t="shared" ca="1" si="1069"/>
        <v/>
      </c>
      <c r="J9192" s="26" t="str">
        <f t="shared" si="1070"/>
        <v/>
      </c>
    </row>
    <row r="9193" spans="1:10" x14ac:dyDescent="0.25">
      <c r="A9193" t="s">
        <v>111</v>
      </c>
      <c r="B9193" t="str">
        <f>ADDRESS(ROW(Parcels!B465),COLUMN(Parcels!B465),4)</f>
        <v>B465</v>
      </c>
      <c r="C9193" t="str">
        <f>ADDRESS(ROW(Parcels!D465),COLUMN(Parcels!D465),4)</f>
        <v>D465</v>
      </c>
      <c r="D9193" t="b">
        <f>IF(AND(Parcels!$B$6="Yes",NOT(ISBLANK(Parcels!A465)),ISBLANK(Parcels!B465)),TRUE,FALSE)</f>
        <v>0</v>
      </c>
      <c r="E9193" t="s">
        <v>64</v>
      </c>
      <c r="F9193" t="str">
        <f>INDEX(Lists!I:I,MATCH(Validation!E9193,Lists!G:G,0))</f>
        <v>Error</v>
      </c>
      <c r="G9193" t="str">
        <f>INDEX(Lists!H:H,MATCH(Validation!E9193,Lists!G:G,0))</f>
        <v>You must make a selection from the dropdown list.</v>
      </c>
      <c r="H9193" s="25" t="str">
        <f t="shared" ca="1" si="1068"/>
        <v/>
      </c>
      <c r="I9193" s="25" t="str">
        <f t="shared" ca="1" si="1069"/>
        <v/>
      </c>
      <c r="J9193" s="26" t="str">
        <f t="shared" si="1070"/>
        <v/>
      </c>
    </row>
    <row r="9194" spans="1:10" x14ac:dyDescent="0.25">
      <c r="A9194" t="s">
        <v>111</v>
      </c>
      <c r="B9194" t="str">
        <f>ADDRESS(ROW(Parcels!B466),COLUMN(Parcels!B466),4)</f>
        <v>B466</v>
      </c>
      <c r="C9194" t="str">
        <f>ADDRESS(ROW(Parcels!D466),COLUMN(Parcels!D466),4)</f>
        <v>D466</v>
      </c>
      <c r="D9194" t="b">
        <f>IF(AND(Parcels!$B$6="Yes",NOT(ISBLANK(Parcels!A466)),ISBLANK(Parcels!B466)),TRUE,FALSE)</f>
        <v>0</v>
      </c>
      <c r="E9194" t="s">
        <v>64</v>
      </c>
      <c r="F9194" t="str">
        <f>INDEX(Lists!I:I,MATCH(Validation!E9194,Lists!G:G,0))</f>
        <v>Error</v>
      </c>
      <c r="G9194" t="str">
        <f>INDEX(Lists!H:H,MATCH(Validation!E9194,Lists!G:G,0))</f>
        <v>You must make a selection from the dropdown list.</v>
      </c>
      <c r="H9194" s="25" t="str">
        <f t="shared" ca="1" si="1068"/>
        <v/>
      </c>
      <c r="I9194" s="25" t="str">
        <f t="shared" ca="1" si="1069"/>
        <v/>
      </c>
      <c r="J9194" s="26" t="str">
        <f t="shared" si="1070"/>
        <v/>
      </c>
    </row>
    <row r="9195" spans="1:10" x14ac:dyDescent="0.25">
      <c r="A9195" t="s">
        <v>111</v>
      </c>
      <c r="B9195" t="str">
        <f>ADDRESS(ROW(Parcels!B467),COLUMN(Parcels!B467),4)</f>
        <v>B467</v>
      </c>
      <c r="C9195" t="str">
        <f>ADDRESS(ROW(Parcels!D467),COLUMN(Parcels!D467),4)</f>
        <v>D467</v>
      </c>
      <c r="D9195" t="b">
        <f>IF(AND(Parcels!$B$6="Yes",NOT(ISBLANK(Parcels!A467)),ISBLANK(Parcels!B467)),TRUE,FALSE)</f>
        <v>0</v>
      </c>
      <c r="E9195" t="s">
        <v>64</v>
      </c>
      <c r="F9195" t="str">
        <f>INDEX(Lists!I:I,MATCH(Validation!E9195,Lists!G:G,0))</f>
        <v>Error</v>
      </c>
      <c r="G9195" t="str">
        <f>INDEX(Lists!H:H,MATCH(Validation!E9195,Lists!G:G,0))</f>
        <v>You must make a selection from the dropdown list.</v>
      </c>
      <c r="H9195" s="25" t="str">
        <f t="shared" ca="1" si="1068"/>
        <v/>
      </c>
      <c r="I9195" s="25" t="str">
        <f t="shared" ca="1" si="1069"/>
        <v/>
      </c>
      <c r="J9195" s="26" t="str">
        <f t="shared" si="1070"/>
        <v/>
      </c>
    </row>
    <row r="9196" spans="1:10" x14ac:dyDescent="0.25">
      <c r="A9196" t="s">
        <v>111</v>
      </c>
      <c r="B9196" t="str">
        <f>ADDRESS(ROW(Parcels!B468),COLUMN(Parcels!B468),4)</f>
        <v>B468</v>
      </c>
      <c r="C9196" t="str">
        <f>ADDRESS(ROW(Parcels!D468),COLUMN(Parcels!D468),4)</f>
        <v>D468</v>
      </c>
      <c r="D9196" t="b">
        <f>IF(AND(Parcels!$B$6="Yes",NOT(ISBLANK(Parcels!A468)),ISBLANK(Parcels!B468)),TRUE,FALSE)</f>
        <v>0</v>
      </c>
      <c r="E9196" t="s">
        <v>64</v>
      </c>
      <c r="F9196" t="str">
        <f>INDEX(Lists!I:I,MATCH(Validation!E9196,Lists!G:G,0))</f>
        <v>Error</v>
      </c>
      <c r="G9196" t="str">
        <f>INDEX(Lists!H:H,MATCH(Validation!E9196,Lists!G:G,0))</f>
        <v>You must make a selection from the dropdown list.</v>
      </c>
      <c r="H9196" s="25" t="str">
        <f t="shared" ca="1" si="1068"/>
        <v/>
      </c>
      <c r="I9196" s="25" t="str">
        <f t="shared" ca="1" si="1069"/>
        <v/>
      </c>
      <c r="J9196" s="26" t="str">
        <f t="shared" si="1070"/>
        <v/>
      </c>
    </row>
    <row r="9197" spans="1:10" x14ac:dyDescent="0.25">
      <c r="A9197" t="s">
        <v>111</v>
      </c>
      <c r="B9197" t="str">
        <f>ADDRESS(ROW(Parcels!B469),COLUMN(Parcels!B469),4)</f>
        <v>B469</v>
      </c>
      <c r="C9197" t="str">
        <f>ADDRESS(ROW(Parcels!D469),COLUMN(Parcels!D469),4)</f>
        <v>D469</v>
      </c>
      <c r="D9197" t="b">
        <f>IF(AND(Parcels!$B$6="Yes",NOT(ISBLANK(Parcels!A469)),ISBLANK(Parcels!B469)),TRUE,FALSE)</f>
        <v>0</v>
      </c>
      <c r="E9197" t="s">
        <v>64</v>
      </c>
      <c r="F9197" t="str">
        <f>INDEX(Lists!I:I,MATCH(Validation!E9197,Lists!G:G,0))</f>
        <v>Error</v>
      </c>
      <c r="G9197" t="str">
        <f>INDEX(Lists!H:H,MATCH(Validation!E9197,Lists!G:G,0))</f>
        <v>You must make a selection from the dropdown list.</v>
      </c>
      <c r="H9197" s="25" t="str">
        <f t="shared" ca="1" si="1068"/>
        <v/>
      </c>
      <c r="I9197" s="25" t="str">
        <f t="shared" ca="1" si="1069"/>
        <v/>
      </c>
      <c r="J9197" s="26" t="str">
        <f t="shared" si="1070"/>
        <v/>
      </c>
    </row>
    <row r="9198" spans="1:10" x14ac:dyDescent="0.25">
      <c r="A9198" t="s">
        <v>111</v>
      </c>
      <c r="B9198" t="str">
        <f>ADDRESS(ROW(Parcels!B470),COLUMN(Parcels!B470),4)</f>
        <v>B470</v>
      </c>
      <c r="C9198" t="str">
        <f>ADDRESS(ROW(Parcels!D470),COLUMN(Parcels!D470),4)</f>
        <v>D470</v>
      </c>
      <c r="D9198" t="b">
        <f>IF(AND(Parcels!$B$6="Yes",NOT(ISBLANK(Parcels!A470)),ISBLANK(Parcels!B470)),TRUE,FALSE)</f>
        <v>0</v>
      </c>
      <c r="E9198" t="s">
        <v>64</v>
      </c>
      <c r="F9198" t="str">
        <f>INDEX(Lists!I:I,MATCH(Validation!E9198,Lists!G:G,0))</f>
        <v>Error</v>
      </c>
      <c r="G9198" t="str">
        <f>INDEX(Lists!H:H,MATCH(Validation!E9198,Lists!G:G,0))</f>
        <v>You must make a selection from the dropdown list.</v>
      </c>
      <c r="H9198" s="25" t="str">
        <f t="shared" ca="1" si="1068"/>
        <v/>
      </c>
      <c r="I9198" s="25" t="str">
        <f t="shared" ca="1" si="1069"/>
        <v/>
      </c>
      <c r="J9198" s="26" t="str">
        <f t="shared" si="1070"/>
        <v/>
      </c>
    </row>
    <row r="9199" spans="1:10" x14ac:dyDescent="0.25">
      <c r="A9199" t="s">
        <v>111</v>
      </c>
      <c r="B9199" t="str">
        <f>ADDRESS(ROW(Parcels!B471),COLUMN(Parcels!B471),4)</f>
        <v>B471</v>
      </c>
      <c r="C9199" t="str">
        <f>ADDRESS(ROW(Parcels!D471),COLUMN(Parcels!D471),4)</f>
        <v>D471</v>
      </c>
      <c r="D9199" t="b">
        <f>IF(AND(Parcels!$B$6="Yes",NOT(ISBLANK(Parcels!A471)),ISBLANK(Parcels!B471)),TRUE,FALSE)</f>
        <v>0</v>
      </c>
      <c r="E9199" t="s">
        <v>64</v>
      </c>
      <c r="F9199" t="str">
        <f>INDEX(Lists!I:I,MATCH(Validation!E9199,Lists!G:G,0))</f>
        <v>Error</v>
      </c>
      <c r="G9199" t="str">
        <f>INDEX(Lists!H:H,MATCH(Validation!E9199,Lists!G:G,0))</f>
        <v>You must make a selection from the dropdown list.</v>
      </c>
      <c r="H9199" s="25" t="str">
        <f t="shared" ca="1" si="1068"/>
        <v/>
      </c>
      <c r="I9199" s="25" t="str">
        <f t="shared" ca="1" si="1069"/>
        <v/>
      </c>
      <c r="J9199" s="26" t="str">
        <f t="shared" si="1070"/>
        <v/>
      </c>
    </row>
    <row r="9200" spans="1:10" x14ac:dyDescent="0.25">
      <c r="A9200" t="s">
        <v>111</v>
      </c>
      <c r="B9200" t="str">
        <f>ADDRESS(ROW(Parcels!B472),COLUMN(Parcels!B472),4)</f>
        <v>B472</v>
      </c>
      <c r="C9200" t="str">
        <f>ADDRESS(ROW(Parcels!D472),COLUMN(Parcels!D472),4)</f>
        <v>D472</v>
      </c>
      <c r="D9200" t="b">
        <f>IF(AND(Parcels!$B$6="Yes",NOT(ISBLANK(Parcels!A472)),ISBLANK(Parcels!B472)),TRUE,FALSE)</f>
        <v>0</v>
      </c>
      <c r="E9200" t="s">
        <v>64</v>
      </c>
      <c r="F9200" t="str">
        <f>INDEX(Lists!I:I,MATCH(Validation!E9200,Lists!G:G,0))</f>
        <v>Error</v>
      </c>
      <c r="G9200" t="str">
        <f>INDEX(Lists!H:H,MATCH(Validation!E9200,Lists!G:G,0))</f>
        <v>You must make a selection from the dropdown list.</v>
      </c>
      <c r="H9200" s="25" t="str">
        <f t="shared" ca="1" si="1068"/>
        <v/>
      </c>
      <c r="I9200" s="25" t="str">
        <f t="shared" ca="1" si="1069"/>
        <v/>
      </c>
      <c r="J9200" s="26" t="str">
        <f t="shared" si="1070"/>
        <v/>
      </c>
    </row>
    <row r="9201" spans="1:10" x14ac:dyDescent="0.25">
      <c r="A9201" t="s">
        <v>111</v>
      </c>
      <c r="B9201" t="str">
        <f>ADDRESS(ROW(Parcels!B473),COLUMN(Parcels!B473),4)</f>
        <v>B473</v>
      </c>
      <c r="C9201" t="str">
        <f>ADDRESS(ROW(Parcels!D473),COLUMN(Parcels!D473),4)</f>
        <v>D473</v>
      </c>
      <c r="D9201" t="b">
        <f>IF(AND(Parcels!$B$6="Yes",NOT(ISBLANK(Parcels!A473)),ISBLANK(Parcels!B473)),TRUE,FALSE)</f>
        <v>0</v>
      </c>
      <c r="E9201" t="s">
        <v>64</v>
      </c>
      <c r="F9201" t="str">
        <f>INDEX(Lists!I:I,MATCH(Validation!E9201,Lists!G:G,0))</f>
        <v>Error</v>
      </c>
      <c r="G9201" t="str">
        <f>INDEX(Lists!H:H,MATCH(Validation!E9201,Lists!G:G,0))</f>
        <v>You must make a selection from the dropdown list.</v>
      </c>
      <c r="H9201" s="25" t="str">
        <f t="shared" ca="1" si="1068"/>
        <v/>
      </c>
      <c r="I9201" s="25" t="str">
        <f t="shared" ca="1" si="1069"/>
        <v/>
      </c>
      <c r="J9201" s="26" t="str">
        <f t="shared" si="1070"/>
        <v/>
      </c>
    </row>
    <row r="9202" spans="1:10" x14ac:dyDescent="0.25">
      <c r="A9202" t="s">
        <v>111</v>
      </c>
      <c r="B9202" t="str">
        <f>ADDRESS(ROW(Parcels!B474),COLUMN(Parcels!B474),4)</f>
        <v>B474</v>
      </c>
      <c r="C9202" t="str">
        <f>ADDRESS(ROW(Parcels!D474),COLUMN(Parcels!D474),4)</f>
        <v>D474</v>
      </c>
      <c r="D9202" t="b">
        <f>IF(AND(Parcels!$B$6="Yes",NOT(ISBLANK(Parcels!A474)),ISBLANK(Parcels!B474)),TRUE,FALSE)</f>
        <v>0</v>
      </c>
      <c r="E9202" t="s">
        <v>64</v>
      </c>
      <c r="F9202" t="str">
        <f>INDEX(Lists!I:I,MATCH(Validation!E9202,Lists!G:G,0))</f>
        <v>Error</v>
      </c>
      <c r="G9202" t="str">
        <f>INDEX(Lists!H:H,MATCH(Validation!E9202,Lists!G:G,0))</f>
        <v>You must make a selection from the dropdown list.</v>
      </c>
      <c r="H9202" s="25" t="str">
        <f t="shared" ca="1" si="1068"/>
        <v/>
      </c>
      <c r="I9202" s="25" t="str">
        <f t="shared" ca="1" si="1069"/>
        <v/>
      </c>
      <c r="J9202" s="26" t="str">
        <f t="shared" si="1070"/>
        <v/>
      </c>
    </row>
    <row r="9203" spans="1:10" x14ac:dyDescent="0.25">
      <c r="A9203" t="s">
        <v>111</v>
      </c>
      <c r="B9203" t="str">
        <f>ADDRESS(ROW(Parcels!B475),COLUMN(Parcels!B475),4)</f>
        <v>B475</v>
      </c>
      <c r="C9203" t="str">
        <f>ADDRESS(ROW(Parcels!D475),COLUMN(Parcels!D475),4)</f>
        <v>D475</v>
      </c>
      <c r="D9203" t="b">
        <f>IF(AND(Parcels!$B$6="Yes",NOT(ISBLANK(Parcels!A475)),ISBLANK(Parcels!B475)),TRUE,FALSE)</f>
        <v>0</v>
      </c>
      <c r="E9203" t="s">
        <v>64</v>
      </c>
      <c r="F9203" t="str">
        <f>INDEX(Lists!I:I,MATCH(Validation!E9203,Lists!G:G,0))</f>
        <v>Error</v>
      </c>
      <c r="G9203" t="str">
        <f>INDEX(Lists!H:H,MATCH(Validation!E9203,Lists!G:G,0))</f>
        <v>You must make a selection from the dropdown list.</v>
      </c>
      <c r="H9203" s="25" t="str">
        <f t="shared" ca="1" si="1068"/>
        <v/>
      </c>
      <c r="I9203" s="25" t="str">
        <f t="shared" ca="1" si="1069"/>
        <v/>
      </c>
      <c r="J9203" s="26" t="str">
        <f t="shared" si="1070"/>
        <v/>
      </c>
    </row>
    <row r="9204" spans="1:10" x14ac:dyDescent="0.25">
      <c r="A9204" t="s">
        <v>111</v>
      </c>
      <c r="B9204" t="str">
        <f>ADDRESS(ROW(Parcels!B476),COLUMN(Parcels!B476),4)</f>
        <v>B476</v>
      </c>
      <c r="C9204" t="str">
        <f>ADDRESS(ROW(Parcels!D476),COLUMN(Parcels!D476),4)</f>
        <v>D476</v>
      </c>
      <c r="D9204" t="b">
        <f>IF(AND(Parcels!$B$6="Yes",NOT(ISBLANK(Parcels!A476)),ISBLANK(Parcels!B476)),TRUE,FALSE)</f>
        <v>0</v>
      </c>
      <c r="E9204" t="s">
        <v>64</v>
      </c>
      <c r="F9204" t="str">
        <f>INDEX(Lists!I:I,MATCH(Validation!E9204,Lists!G:G,0))</f>
        <v>Error</v>
      </c>
      <c r="G9204" t="str">
        <f>INDEX(Lists!H:H,MATCH(Validation!E9204,Lists!G:G,0))</f>
        <v>You must make a selection from the dropdown list.</v>
      </c>
      <c r="H9204" s="25" t="str">
        <f t="shared" ca="1" si="1068"/>
        <v/>
      </c>
      <c r="I9204" s="25" t="str">
        <f t="shared" ca="1" si="1069"/>
        <v/>
      </c>
      <c r="J9204" s="26" t="str">
        <f t="shared" si="1070"/>
        <v/>
      </c>
    </row>
    <row r="9205" spans="1:10" x14ac:dyDescent="0.25">
      <c r="A9205" t="s">
        <v>111</v>
      </c>
      <c r="B9205" t="str">
        <f>ADDRESS(ROW(Parcels!B477),COLUMN(Parcels!B477),4)</f>
        <v>B477</v>
      </c>
      <c r="C9205" t="str">
        <f>ADDRESS(ROW(Parcels!D477),COLUMN(Parcels!D477),4)</f>
        <v>D477</v>
      </c>
      <c r="D9205" t="b">
        <f>IF(AND(Parcels!$B$6="Yes",NOT(ISBLANK(Parcels!A477)),ISBLANK(Parcels!B477)),TRUE,FALSE)</f>
        <v>0</v>
      </c>
      <c r="E9205" t="s">
        <v>64</v>
      </c>
      <c r="F9205" t="str">
        <f>INDEX(Lists!I:I,MATCH(Validation!E9205,Lists!G:G,0))</f>
        <v>Error</v>
      </c>
      <c r="G9205" t="str">
        <f>INDEX(Lists!H:H,MATCH(Validation!E9205,Lists!G:G,0))</f>
        <v>You must make a selection from the dropdown list.</v>
      </c>
      <c r="H9205" s="25" t="str">
        <f t="shared" ca="1" si="1068"/>
        <v/>
      </c>
      <c r="I9205" s="25" t="str">
        <f t="shared" ca="1" si="1069"/>
        <v/>
      </c>
      <c r="J9205" s="26" t="str">
        <f t="shared" si="1070"/>
        <v/>
      </c>
    </row>
    <row r="9206" spans="1:10" x14ac:dyDescent="0.25">
      <c r="A9206" t="s">
        <v>111</v>
      </c>
      <c r="B9206" t="str">
        <f>ADDRESS(ROW(Parcels!B478),COLUMN(Parcels!B478),4)</f>
        <v>B478</v>
      </c>
      <c r="C9206" t="str">
        <f>ADDRESS(ROW(Parcels!D478),COLUMN(Parcels!D478),4)</f>
        <v>D478</v>
      </c>
      <c r="D9206" t="b">
        <f>IF(AND(Parcels!$B$6="Yes",NOT(ISBLANK(Parcels!A478)),ISBLANK(Parcels!B478)),TRUE,FALSE)</f>
        <v>0</v>
      </c>
      <c r="E9206" t="s">
        <v>64</v>
      </c>
      <c r="F9206" t="str">
        <f>INDEX(Lists!I:I,MATCH(Validation!E9206,Lists!G:G,0))</f>
        <v>Error</v>
      </c>
      <c r="G9206" t="str">
        <f>INDEX(Lists!H:H,MATCH(Validation!E9206,Lists!G:G,0))</f>
        <v>You must make a selection from the dropdown list.</v>
      </c>
      <c r="H9206" s="25" t="str">
        <f t="shared" ca="1" si="1068"/>
        <v/>
      </c>
      <c r="I9206" s="25" t="str">
        <f t="shared" ca="1" si="1069"/>
        <v/>
      </c>
      <c r="J9206" s="26" t="str">
        <f t="shared" si="1070"/>
        <v/>
      </c>
    </row>
    <row r="9207" spans="1:10" x14ac:dyDescent="0.25">
      <c r="A9207" t="s">
        <v>111</v>
      </c>
      <c r="B9207" t="str">
        <f>ADDRESS(ROW(Parcels!B479),COLUMN(Parcels!B479),4)</f>
        <v>B479</v>
      </c>
      <c r="C9207" t="str">
        <f>ADDRESS(ROW(Parcels!D479),COLUMN(Parcels!D479),4)</f>
        <v>D479</v>
      </c>
      <c r="D9207" t="b">
        <f>IF(AND(Parcels!$B$6="Yes",NOT(ISBLANK(Parcels!A479)),ISBLANK(Parcels!B479)),TRUE,FALSE)</f>
        <v>0</v>
      </c>
      <c r="E9207" t="s">
        <v>64</v>
      </c>
      <c r="F9207" t="str">
        <f>INDEX(Lists!I:I,MATCH(Validation!E9207,Lists!G:G,0))</f>
        <v>Error</v>
      </c>
      <c r="G9207" t="str">
        <f>INDEX(Lists!H:H,MATCH(Validation!E9207,Lists!G:G,0))</f>
        <v>You must make a selection from the dropdown list.</v>
      </c>
      <c r="H9207" s="25" t="str">
        <f t="shared" ca="1" si="1068"/>
        <v/>
      </c>
      <c r="I9207" s="25" t="str">
        <f t="shared" ca="1" si="1069"/>
        <v/>
      </c>
      <c r="J9207" s="26" t="str">
        <f t="shared" si="1070"/>
        <v/>
      </c>
    </row>
    <row r="9208" spans="1:10" x14ac:dyDescent="0.25">
      <c r="A9208" t="s">
        <v>111</v>
      </c>
      <c r="B9208" t="str">
        <f>ADDRESS(ROW(Parcels!B480),COLUMN(Parcels!B480),4)</f>
        <v>B480</v>
      </c>
      <c r="C9208" t="str">
        <f>ADDRESS(ROW(Parcels!D480),COLUMN(Parcels!D480),4)</f>
        <v>D480</v>
      </c>
      <c r="D9208" t="b">
        <f>IF(AND(Parcels!$B$6="Yes",NOT(ISBLANK(Parcels!A480)),ISBLANK(Parcels!B480)),TRUE,FALSE)</f>
        <v>0</v>
      </c>
      <c r="E9208" t="s">
        <v>64</v>
      </c>
      <c r="F9208" t="str">
        <f>INDEX(Lists!I:I,MATCH(Validation!E9208,Lists!G:G,0))</f>
        <v>Error</v>
      </c>
      <c r="G9208" t="str">
        <f>INDEX(Lists!H:H,MATCH(Validation!E9208,Lists!G:G,0))</f>
        <v>You must make a selection from the dropdown list.</v>
      </c>
      <c r="H9208" s="25" t="str">
        <f t="shared" ca="1" si="1068"/>
        <v/>
      </c>
      <c r="I9208" s="25" t="str">
        <f t="shared" ca="1" si="1069"/>
        <v/>
      </c>
      <c r="J9208" s="26" t="str">
        <f t="shared" si="1070"/>
        <v/>
      </c>
    </row>
    <row r="9209" spans="1:10" x14ac:dyDescent="0.25">
      <c r="A9209" t="s">
        <v>111</v>
      </c>
      <c r="B9209" t="str">
        <f>ADDRESS(ROW(Parcels!B481),COLUMN(Parcels!B481),4)</f>
        <v>B481</v>
      </c>
      <c r="C9209" t="str">
        <f>ADDRESS(ROW(Parcels!D481),COLUMN(Parcels!D481),4)</f>
        <v>D481</v>
      </c>
      <c r="D9209" t="b">
        <f>IF(AND(Parcels!$B$6="Yes",NOT(ISBLANK(Parcels!A481)),ISBLANK(Parcels!B481)),TRUE,FALSE)</f>
        <v>0</v>
      </c>
      <c r="E9209" t="s">
        <v>64</v>
      </c>
      <c r="F9209" t="str">
        <f>INDEX(Lists!I:I,MATCH(Validation!E9209,Lists!G:G,0))</f>
        <v>Error</v>
      </c>
      <c r="G9209" t="str">
        <f>INDEX(Lists!H:H,MATCH(Validation!E9209,Lists!G:G,0))</f>
        <v>You must make a selection from the dropdown list.</v>
      </c>
      <c r="H9209" s="25" t="str">
        <f t="shared" ca="1" si="1068"/>
        <v/>
      </c>
      <c r="I9209" s="25" t="str">
        <f t="shared" ca="1" si="1069"/>
        <v/>
      </c>
      <c r="J9209" s="26" t="str">
        <f t="shared" si="1070"/>
        <v/>
      </c>
    </row>
    <row r="9210" spans="1:10" x14ac:dyDescent="0.25">
      <c r="A9210" t="s">
        <v>111</v>
      </c>
      <c r="B9210" t="str">
        <f>ADDRESS(ROW(Parcels!B482),COLUMN(Parcels!B482),4)</f>
        <v>B482</v>
      </c>
      <c r="C9210" t="str">
        <f>ADDRESS(ROW(Parcels!D482),COLUMN(Parcels!D482),4)</f>
        <v>D482</v>
      </c>
      <c r="D9210" t="b">
        <f>IF(AND(Parcels!$B$6="Yes",NOT(ISBLANK(Parcels!A482)),ISBLANK(Parcels!B482)),TRUE,FALSE)</f>
        <v>0</v>
      </c>
      <c r="E9210" t="s">
        <v>64</v>
      </c>
      <c r="F9210" t="str">
        <f>INDEX(Lists!I:I,MATCH(Validation!E9210,Lists!G:G,0))</f>
        <v>Error</v>
      </c>
      <c r="G9210" t="str">
        <f>INDEX(Lists!H:H,MATCH(Validation!E9210,Lists!G:G,0))</f>
        <v>You must make a selection from the dropdown list.</v>
      </c>
      <c r="H9210" s="25" t="str">
        <f t="shared" ca="1" si="1068"/>
        <v/>
      </c>
      <c r="I9210" s="25" t="str">
        <f t="shared" ca="1" si="1069"/>
        <v/>
      </c>
      <c r="J9210" s="26" t="str">
        <f t="shared" si="1070"/>
        <v/>
      </c>
    </row>
    <row r="9211" spans="1:10" x14ac:dyDescent="0.25">
      <c r="A9211" t="s">
        <v>111</v>
      </c>
      <c r="B9211" t="str">
        <f>ADDRESS(ROW(Parcels!B483),COLUMN(Parcels!B483),4)</f>
        <v>B483</v>
      </c>
      <c r="C9211" t="str">
        <f>ADDRESS(ROW(Parcels!D483),COLUMN(Parcels!D483),4)</f>
        <v>D483</v>
      </c>
      <c r="D9211" t="b">
        <f>IF(AND(Parcels!$B$6="Yes",NOT(ISBLANK(Parcels!A483)),ISBLANK(Parcels!B483)),TRUE,FALSE)</f>
        <v>0</v>
      </c>
      <c r="E9211" t="s">
        <v>64</v>
      </c>
      <c r="F9211" t="str">
        <f>INDEX(Lists!I:I,MATCH(Validation!E9211,Lists!G:G,0))</f>
        <v>Error</v>
      </c>
      <c r="G9211" t="str">
        <f>INDEX(Lists!H:H,MATCH(Validation!E9211,Lists!G:G,0))</f>
        <v>You must make a selection from the dropdown list.</v>
      </c>
      <c r="H9211" s="25" t="str">
        <f t="shared" ca="1" si="1068"/>
        <v/>
      </c>
      <c r="I9211" s="25" t="str">
        <f t="shared" ca="1" si="1069"/>
        <v/>
      </c>
      <c r="J9211" s="26" t="str">
        <f t="shared" si="1070"/>
        <v/>
      </c>
    </row>
    <row r="9212" spans="1:10" x14ac:dyDescent="0.25">
      <c r="A9212" t="s">
        <v>111</v>
      </c>
      <c r="B9212" t="str">
        <f>ADDRESS(ROW(Parcels!B484),COLUMN(Parcels!B484),4)</f>
        <v>B484</v>
      </c>
      <c r="C9212" t="str">
        <f>ADDRESS(ROW(Parcels!D484),COLUMN(Parcels!D484),4)</f>
        <v>D484</v>
      </c>
      <c r="D9212" t="b">
        <f>IF(AND(Parcels!$B$6="Yes",NOT(ISBLANK(Parcels!A484)),ISBLANK(Parcels!B484)),TRUE,FALSE)</f>
        <v>0</v>
      </c>
      <c r="E9212" t="s">
        <v>64</v>
      </c>
      <c r="F9212" t="str">
        <f>INDEX(Lists!I:I,MATCH(Validation!E9212,Lists!G:G,0))</f>
        <v>Error</v>
      </c>
      <c r="G9212" t="str">
        <f>INDEX(Lists!H:H,MATCH(Validation!E9212,Lists!G:G,0))</f>
        <v>You must make a selection from the dropdown list.</v>
      </c>
      <c r="H9212" s="25" t="str">
        <f t="shared" ca="1" si="1068"/>
        <v/>
      </c>
      <c r="I9212" s="25" t="str">
        <f t="shared" ca="1" si="1069"/>
        <v/>
      </c>
      <c r="J9212" s="26" t="str">
        <f t="shared" si="1070"/>
        <v/>
      </c>
    </row>
    <row r="9213" spans="1:10" x14ac:dyDescent="0.25">
      <c r="A9213" t="s">
        <v>111</v>
      </c>
      <c r="B9213" t="str">
        <f>ADDRESS(ROW(Parcels!B485),COLUMN(Parcels!B485),4)</f>
        <v>B485</v>
      </c>
      <c r="C9213" t="str">
        <f>ADDRESS(ROW(Parcels!D485),COLUMN(Parcels!D485),4)</f>
        <v>D485</v>
      </c>
      <c r="D9213" t="b">
        <f>IF(AND(Parcels!$B$6="Yes",NOT(ISBLANK(Parcels!A485)),ISBLANK(Parcels!B485)),TRUE,FALSE)</f>
        <v>0</v>
      </c>
      <c r="E9213" t="s">
        <v>64</v>
      </c>
      <c r="F9213" t="str">
        <f>INDEX(Lists!I:I,MATCH(Validation!E9213,Lists!G:G,0))</f>
        <v>Error</v>
      </c>
      <c r="G9213" t="str">
        <f>INDEX(Lists!H:H,MATCH(Validation!E9213,Lists!G:G,0))</f>
        <v>You must make a selection from the dropdown list.</v>
      </c>
      <c r="H9213" s="25" t="str">
        <f t="shared" ca="1" si="1068"/>
        <v/>
      </c>
      <c r="I9213" s="25" t="str">
        <f t="shared" ca="1" si="1069"/>
        <v/>
      </c>
      <c r="J9213" s="26" t="str">
        <f t="shared" si="1070"/>
        <v/>
      </c>
    </row>
    <row r="9214" spans="1:10" x14ac:dyDescent="0.25">
      <c r="A9214" t="s">
        <v>111</v>
      </c>
      <c r="B9214" t="str">
        <f>ADDRESS(ROW(Parcels!B486),COLUMN(Parcels!B486),4)</f>
        <v>B486</v>
      </c>
      <c r="C9214" t="str">
        <f>ADDRESS(ROW(Parcels!D486),COLUMN(Parcels!D486),4)</f>
        <v>D486</v>
      </c>
      <c r="D9214" t="b">
        <f>IF(AND(Parcels!$B$6="Yes",NOT(ISBLANK(Parcels!A486)),ISBLANK(Parcels!B486)),TRUE,FALSE)</f>
        <v>0</v>
      </c>
      <c r="E9214" t="s">
        <v>64</v>
      </c>
      <c r="F9214" t="str">
        <f>INDEX(Lists!I:I,MATCH(Validation!E9214,Lists!G:G,0))</f>
        <v>Error</v>
      </c>
      <c r="G9214" t="str">
        <f>INDEX(Lists!H:H,MATCH(Validation!E9214,Lists!G:G,0))</f>
        <v>You must make a selection from the dropdown list.</v>
      </c>
      <c r="H9214" s="25" t="str">
        <f t="shared" ca="1" si="1068"/>
        <v/>
      </c>
      <c r="I9214" s="25" t="str">
        <f t="shared" ca="1" si="1069"/>
        <v/>
      </c>
      <c r="J9214" s="26" t="str">
        <f t="shared" si="1070"/>
        <v/>
      </c>
    </row>
    <row r="9215" spans="1:10" x14ac:dyDescent="0.25">
      <c r="A9215" t="s">
        <v>111</v>
      </c>
      <c r="B9215" t="str">
        <f>ADDRESS(ROW(Parcels!B487),COLUMN(Parcels!B487),4)</f>
        <v>B487</v>
      </c>
      <c r="C9215" t="str">
        <f>ADDRESS(ROW(Parcels!D487),COLUMN(Parcels!D487),4)</f>
        <v>D487</v>
      </c>
      <c r="D9215" t="b">
        <f>IF(AND(Parcels!$B$6="Yes",NOT(ISBLANK(Parcels!A487)),ISBLANK(Parcels!B487)),TRUE,FALSE)</f>
        <v>0</v>
      </c>
      <c r="E9215" t="s">
        <v>64</v>
      </c>
      <c r="F9215" t="str">
        <f>INDEX(Lists!I:I,MATCH(Validation!E9215,Lists!G:G,0))</f>
        <v>Error</v>
      </c>
      <c r="G9215" t="str">
        <f>INDEX(Lists!H:H,MATCH(Validation!E9215,Lists!G:G,0))</f>
        <v>You must make a selection from the dropdown list.</v>
      </c>
      <c r="H9215" s="25" t="str">
        <f t="shared" ca="1" si="1068"/>
        <v/>
      </c>
      <c r="I9215" s="25" t="str">
        <f t="shared" ca="1" si="1069"/>
        <v/>
      </c>
      <c r="J9215" s="26" t="str">
        <f t="shared" si="1070"/>
        <v/>
      </c>
    </row>
    <row r="9216" spans="1:10" x14ac:dyDescent="0.25">
      <c r="A9216" t="s">
        <v>111</v>
      </c>
      <c r="B9216" t="str">
        <f>ADDRESS(ROW(Parcels!B488),COLUMN(Parcels!B488),4)</f>
        <v>B488</v>
      </c>
      <c r="C9216" t="str">
        <f>ADDRESS(ROW(Parcels!D488),COLUMN(Parcels!D488),4)</f>
        <v>D488</v>
      </c>
      <c r="D9216" t="b">
        <f>IF(AND(Parcels!$B$6="Yes",NOT(ISBLANK(Parcels!A488)),ISBLANK(Parcels!B488)),TRUE,FALSE)</f>
        <v>0</v>
      </c>
      <c r="E9216" t="s">
        <v>64</v>
      </c>
      <c r="F9216" t="str">
        <f>INDEX(Lists!I:I,MATCH(Validation!E9216,Lists!G:G,0))</f>
        <v>Error</v>
      </c>
      <c r="G9216" t="str">
        <f>INDEX(Lists!H:H,MATCH(Validation!E9216,Lists!G:G,0))</f>
        <v>You must make a selection from the dropdown list.</v>
      </c>
      <c r="H9216" s="25" t="str">
        <f t="shared" ca="1" si="1068"/>
        <v/>
      </c>
      <c r="I9216" s="25" t="str">
        <f t="shared" ca="1" si="1069"/>
        <v/>
      </c>
      <c r="J9216" s="26" t="str">
        <f t="shared" si="1070"/>
        <v/>
      </c>
    </row>
    <row r="9217" spans="1:10" x14ac:dyDescent="0.25">
      <c r="A9217" t="s">
        <v>111</v>
      </c>
      <c r="B9217" t="str">
        <f>ADDRESS(ROW(Parcels!B489),COLUMN(Parcels!B489),4)</f>
        <v>B489</v>
      </c>
      <c r="C9217" t="str">
        <f>ADDRESS(ROW(Parcels!D489),COLUMN(Parcels!D489),4)</f>
        <v>D489</v>
      </c>
      <c r="D9217" t="b">
        <f>IF(AND(Parcels!$B$6="Yes",NOT(ISBLANK(Parcels!A489)),ISBLANK(Parcels!B489)),TRUE,FALSE)</f>
        <v>0</v>
      </c>
      <c r="E9217" t="s">
        <v>64</v>
      </c>
      <c r="F9217" t="str">
        <f>INDEX(Lists!I:I,MATCH(Validation!E9217,Lists!G:G,0))</f>
        <v>Error</v>
      </c>
      <c r="G9217" t="str">
        <f>INDEX(Lists!H:H,MATCH(Validation!E9217,Lists!G:G,0))</f>
        <v>You must make a selection from the dropdown list.</v>
      </c>
      <c r="H9217" s="25" t="str">
        <f t="shared" ca="1" si="1068"/>
        <v/>
      </c>
      <c r="I9217" s="25" t="str">
        <f t="shared" ca="1" si="1069"/>
        <v/>
      </c>
      <c r="J9217" s="26" t="str">
        <f t="shared" si="1070"/>
        <v/>
      </c>
    </row>
    <row r="9218" spans="1:10" x14ac:dyDescent="0.25">
      <c r="A9218" t="s">
        <v>111</v>
      </c>
      <c r="B9218" t="str">
        <f>ADDRESS(ROW(Parcels!B490),COLUMN(Parcels!B490),4)</f>
        <v>B490</v>
      </c>
      <c r="C9218" t="str">
        <f>ADDRESS(ROW(Parcels!D490),COLUMN(Parcels!D490),4)</f>
        <v>D490</v>
      </c>
      <c r="D9218" t="b">
        <f>IF(AND(Parcels!$B$6="Yes",NOT(ISBLANK(Parcels!A490)),ISBLANK(Parcels!B490)),TRUE,FALSE)</f>
        <v>0</v>
      </c>
      <c r="E9218" t="s">
        <v>64</v>
      </c>
      <c r="F9218" t="str">
        <f>INDEX(Lists!I:I,MATCH(Validation!E9218,Lists!G:G,0))</f>
        <v>Error</v>
      </c>
      <c r="G9218" t="str">
        <f>INDEX(Lists!H:H,MATCH(Validation!E9218,Lists!G:G,0))</f>
        <v>You must make a selection from the dropdown list.</v>
      </c>
      <c r="H9218" s="25" t="str">
        <f t="shared" ca="1" si="1068"/>
        <v/>
      </c>
      <c r="I9218" s="25" t="str">
        <f t="shared" ca="1" si="1069"/>
        <v/>
      </c>
      <c r="J9218" s="26" t="str">
        <f t="shared" si="1070"/>
        <v/>
      </c>
    </row>
    <row r="9219" spans="1:10" x14ac:dyDescent="0.25">
      <c r="A9219" t="s">
        <v>111</v>
      </c>
      <c r="B9219" t="str">
        <f>ADDRESS(ROW(Parcels!B491),COLUMN(Parcels!B491),4)</f>
        <v>B491</v>
      </c>
      <c r="C9219" t="str">
        <f>ADDRESS(ROW(Parcels!D491),COLUMN(Parcels!D491),4)</f>
        <v>D491</v>
      </c>
      <c r="D9219" t="b">
        <f>IF(AND(Parcels!$B$6="Yes",NOT(ISBLANK(Parcels!A491)),ISBLANK(Parcels!B491)),TRUE,FALSE)</f>
        <v>0</v>
      </c>
      <c r="E9219" t="s">
        <v>64</v>
      </c>
      <c r="F9219" t="str">
        <f>INDEX(Lists!I:I,MATCH(Validation!E9219,Lists!G:G,0))</f>
        <v>Error</v>
      </c>
      <c r="G9219" t="str">
        <f>INDEX(Lists!H:H,MATCH(Validation!E9219,Lists!G:G,0))</f>
        <v>You must make a selection from the dropdown list.</v>
      </c>
      <c r="H9219" s="25" t="str">
        <f t="shared" ca="1" si="1068"/>
        <v/>
      </c>
      <c r="I9219" s="25" t="str">
        <f t="shared" ca="1" si="1069"/>
        <v/>
      </c>
      <c r="J9219" s="26" t="str">
        <f t="shared" si="1070"/>
        <v/>
      </c>
    </row>
    <row r="9220" spans="1:10" x14ac:dyDescent="0.25">
      <c r="A9220" t="s">
        <v>111</v>
      </c>
      <c r="B9220" t="str">
        <f>ADDRESS(ROW(Parcels!B492),COLUMN(Parcels!B492),4)</f>
        <v>B492</v>
      </c>
      <c r="C9220" t="str">
        <f>ADDRESS(ROW(Parcels!D492),COLUMN(Parcels!D492),4)</f>
        <v>D492</v>
      </c>
      <c r="D9220" t="b">
        <f>IF(AND(Parcels!$B$6="Yes",NOT(ISBLANK(Parcels!A492)),ISBLANK(Parcels!B492)),TRUE,FALSE)</f>
        <v>0</v>
      </c>
      <c r="E9220" t="s">
        <v>64</v>
      </c>
      <c r="F9220" t="str">
        <f>INDEX(Lists!I:I,MATCH(Validation!E9220,Lists!G:G,0))</f>
        <v>Error</v>
      </c>
      <c r="G9220" t="str">
        <f>INDEX(Lists!H:H,MATCH(Validation!E9220,Lists!G:G,0))</f>
        <v>You must make a selection from the dropdown list.</v>
      </c>
      <c r="H9220" s="25" t="str">
        <f t="shared" ca="1" si="1068"/>
        <v/>
      </c>
      <c r="I9220" s="25" t="str">
        <f t="shared" ca="1" si="1069"/>
        <v/>
      </c>
      <c r="J9220" s="26" t="str">
        <f t="shared" si="1070"/>
        <v/>
      </c>
    </row>
    <row r="9221" spans="1:10" x14ac:dyDescent="0.25">
      <c r="A9221" t="s">
        <v>111</v>
      </c>
      <c r="B9221" t="str">
        <f>ADDRESS(ROW(Parcels!B493),COLUMN(Parcels!B493),4)</f>
        <v>B493</v>
      </c>
      <c r="C9221" t="str">
        <f>ADDRESS(ROW(Parcels!D493),COLUMN(Parcels!D493),4)</f>
        <v>D493</v>
      </c>
      <c r="D9221" t="b">
        <f>IF(AND(Parcels!$B$6="Yes",NOT(ISBLANK(Parcels!A493)),ISBLANK(Parcels!B493)),TRUE,FALSE)</f>
        <v>0</v>
      </c>
      <c r="E9221" t="s">
        <v>64</v>
      </c>
      <c r="F9221" t="str">
        <f>INDEX(Lists!I:I,MATCH(Validation!E9221,Lists!G:G,0))</f>
        <v>Error</v>
      </c>
      <c r="G9221" t="str">
        <f>INDEX(Lists!H:H,MATCH(Validation!E9221,Lists!G:G,0))</f>
        <v>You must make a selection from the dropdown list.</v>
      </c>
      <c r="H9221" s="25" t="str">
        <f t="shared" ca="1" si="1068"/>
        <v/>
      </c>
      <c r="I9221" s="25" t="str">
        <f t="shared" ca="1" si="1069"/>
        <v/>
      </c>
      <c r="J9221" s="26" t="str">
        <f t="shared" si="1070"/>
        <v/>
      </c>
    </row>
    <row r="9222" spans="1:10" x14ac:dyDescent="0.25">
      <c r="A9222" t="s">
        <v>111</v>
      </c>
      <c r="B9222" t="str">
        <f>ADDRESS(ROW(Parcels!B494),COLUMN(Parcels!B494),4)</f>
        <v>B494</v>
      </c>
      <c r="C9222" t="str">
        <f>ADDRESS(ROW(Parcels!D494),COLUMN(Parcels!D494),4)</f>
        <v>D494</v>
      </c>
      <c r="D9222" t="b">
        <f>IF(AND(Parcels!$B$6="Yes",NOT(ISBLANK(Parcels!A494)),ISBLANK(Parcels!B494)),TRUE,FALSE)</f>
        <v>0</v>
      </c>
      <c r="E9222" t="s">
        <v>64</v>
      </c>
      <c r="F9222" t="str">
        <f>INDEX(Lists!I:I,MATCH(Validation!E9222,Lists!G:G,0))</f>
        <v>Error</v>
      </c>
      <c r="G9222" t="str">
        <f>INDEX(Lists!H:H,MATCH(Validation!E9222,Lists!G:G,0))</f>
        <v>You must make a selection from the dropdown list.</v>
      </c>
      <c r="H9222" s="25" t="str">
        <f t="shared" ca="1" si="1068"/>
        <v/>
      </c>
      <c r="I9222" s="25" t="str">
        <f t="shared" ca="1" si="1069"/>
        <v/>
      </c>
      <c r="J9222" s="26" t="str">
        <f t="shared" si="1070"/>
        <v/>
      </c>
    </row>
    <row r="9223" spans="1:10" x14ac:dyDescent="0.25">
      <c r="A9223" t="s">
        <v>111</v>
      </c>
      <c r="B9223" t="str">
        <f>ADDRESS(ROW(Parcels!B495),COLUMN(Parcels!B495),4)</f>
        <v>B495</v>
      </c>
      <c r="C9223" t="str">
        <f>ADDRESS(ROW(Parcels!D495),COLUMN(Parcels!D495),4)</f>
        <v>D495</v>
      </c>
      <c r="D9223" t="b">
        <f>IF(AND(Parcels!$B$6="Yes",NOT(ISBLANK(Parcels!A495)),ISBLANK(Parcels!B495)),TRUE,FALSE)</f>
        <v>0</v>
      </c>
      <c r="E9223" t="s">
        <v>64</v>
      </c>
      <c r="F9223" t="str">
        <f>INDEX(Lists!I:I,MATCH(Validation!E9223,Lists!G:G,0))</f>
        <v>Error</v>
      </c>
      <c r="G9223" t="str">
        <f>INDEX(Lists!H:H,MATCH(Validation!E9223,Lists!G:G,0))</f>
        <v>You must make a selection from the dropdown list.</v>
      </c>
      <c r="H9223" s="25" t="str">
        <f t="shared" ca="1" si="1068"/>
        <v/>
      </c>
      <c r="I9223" s="25" t="str">
        <f t="shared" ca="1" si="1069"/>
        <v/>
      </c>
      <c r="J9223" s="26" t="str">
        <f t="shared" si="1070"/>
        <v/>
      </c>
    </row>
    <row r="9224" spans="1:10" x14ac:dyDescent="0.25">
      <c r="A9224" t="s">
        <v>111</v>
      </c>
      <c r="B9224" t="str">
        <f>ADDRESS(ROW(Parcels!B496),COLUMN(Parcels!B496),4)</f>
        <v>B496</v>
      </c>
      <c r="C9224" t="str">
        <f>ADDRESS(ROW(Parcels!D496),COLUMN(Parcels!D496),4)</f>
        <v>D496</v>
      </c>
      <c r="D9224" t="b">
        <f>IF(AND(Parcels!$B$6="Yes",NOT(ISBLANK(Parcels!A496)),ISBLANK(Parcels!B496)),TRUE,FALSE)</f>
        <v>0</v>
      </c>
      <c r="E9224" t="s">
        <v>64</v>
      </c>
      <c r="F9224" t="str">
        <f>INDEX(Lists!I:I,MATCH(Validation!E9224,Lists!G:G,0))</f>
        <v>Error</v>
      </c>
      <c r="G9224" t="str">
        <f>INDEX(Lists!H:H,MATCH(Validation!E9224,Lists!G:G,0))</f>
        <v>You must make a selection from the dropdown list.</v>
      </c>
      <c r="H9224" s="25" t="str">
        <f t="shared" ca="1" si="1068"/>
        <v/>
      </c>
      <c r="I9224" s="25" t="str">
        <f t="shared" ca="1" si="1069"/>
        <v/>
      </c>
      <c r="J9224" s="26" t="str">
        <f t="shared" si="1070"/>
        <v/>
      </c>
    </row>
    <row r="9225" spans="1:10" x14ac:dyDescent="0.25">
      <c r="A9225" t="s">
        <v>111</v>
      </c>
      <c r="B9225" t="str">
        <f>ADDRESS(ROW(Parcels!B497),COLUMN(Parcels!B497),4)</f>
        <v>B497</v>
      </c>
      <c r="C9225" t="str">
        <f>ADDRESS(ROW(Parcels!D497),COLUMN(Parcels!D497),4)</f>
        <v>D497</v>
      </c>
      <c r="D9225" t="b">
        <f>IF(AND(Parcels!$B$6="Yes",NOT(ISBLANK(Parcels!A497)),ISBLANK(Parcels!B497)),TRUE,FALSE)</f>
        <v>0</v>
      </c>
      <c r="E9225" t="s">
        <v>64</v>
      </c>
      <c r="F9225" t="str">
        <f>INDEX(Lists!I:I,MATCH(Validation!E9225,Lists!G:G,0))</f>
        <v>Error</v>
      </c>
      <c r="G9225" t="str">
        <f>INDEX(Lists!H:H,MATCH(Validation!E9225,Lists!G:G,0))</f>
        <v>You must make a selection from the dropdown list.</v>
      </c>
      <c r="H9225" s="25" t="str">
        <f t="shared" ca="1" si="1068"/>
        <v/>
      </c>
      <c r="I9225" s="25" t="str">
        <f t="shared" ca="1" si="1069"/>
        <v/>
      </c>
      <c r="J9225" s="26" t="str">
        <f t="shared" si="1070"/>
        <v/>
      </c>
    </row>
    <row r="9226" spans="1:10" x14ac:dyDescent="0.25">
      <c r="A9226" t="s">
        <v>111</v>
      </c>
      <c r="B9226" t="str">
        <f>ADDRESS(ROW(Parcels!B498),COLUMN(Parcels!B498),4)</f>
        <v>B498</v>
      </c>
      <c r="C9226" t="str">
        <f>ADDRESS(ROW(Parcels!D498),COLUMN(Parcels!D498),4)</f>
        <v>D498</v>
      </c>
      <c r="D9226" t="b">
        <f>IF(AND(Parcels!$B$6="Yes",NOT(ISBLANK(Parcels!A498)),ISBLANK(Parcels!B498)),TRUE,FALSE)</f>
        <v>0</v>
      </c>
      <c r="E9226" t="s">
        <v>64</v>
      </c>
      <c r="F9226" t="str">
        <f>INDEX(Lists!I:I,MATCH(Validation!E9226,Lists!G:G,0))</f>
        <v>Error</v>
      </c>
      <c r="G9226" t="str">
        <f>INDEX(Lists!H:H,MATCH(Validation!E9226,Lists!G:G,0))</f>
        <v>You must make a selection from the dropdown list.</v>
      </c>
      <c r="H9226" s="25" t="str">
        <f t="shared" ca="1" si="1068"/>
        <v/>
      </c>
      <c r="I9226" s="25" t="str">
        <f t="shared" ca="1" si="1069"/>
        <v/>
      </c>
      <c r="J9226" s="26" t="str">
        <f t="shared" si="1070"/>
        <v/>
      </c>
    </row>
    <row r="9227" spans="1:10" x14ac:dyDescent="0.25">
      <c r="A9227" t="s">
        <v>111</v>
      </c>
      <c r="B9227" t="str">
        <f>ADDRESS(ROW(Parcels!B499),COLUMN(Parcels!B499),4)</f>
        <v>B499</v>
      </c>
      <c r="C9227" t="str">
        <f>ADDRESS(ROW(Parcels!D499),COLUMN(Parcels!D499),4)</f>
        <v>D499</v>
      </c>
      <c r="D9227" t="b">
        <f>IF(AND(Parcels!$B$6="Yes",NOT(ISBLANK(Parcels!A499)),ISBLANK(Parcels!B499)),TRUE,FALSE)</f>
        <v>0</v>
      </c>
      <c r="E9227" t="s">
        <v>64</v>
      </c>
      <c r="F9227" t="str">
        <f>INDEX(Lists!I:I,MATCH(Validation!E9227,Lists!G:G,0))</f>
        <v>Error</v>
      </c>
      <c r="G9227" t="str">
        <f>INDEX(Lists!H:H,MATCH(Validation!E9227,Lists!G:G,0))</f>
        <v>You must make a selection from the dropdown list.</v>
      </c>
      <c r="H9227" s="25" t="str">
        <f t="shared" ca="1" si="1068"/>
        <v/>
      </c>
      <c r="I9227" s="25" t="str">
        <f t="shared" ca="1" si="1069"/>
        <v/>
      </c>
      <c r="J9227" s="26" t="str">
        <f t="shared" si="1070"/>
        <v/>
      </c>
    </row>
    <row r="9228" spans="1:10" x14ac:dyDescent="0.25">
      <c r="A9228" t="s">
        <v>111</v>
      </c>
      <c r="B9228" t="str">
        <f>ADDRESS(ROW(Parcels!B500),COLUMN(Parcels!B500),4)</f>
        <v>B500</v>
      </c>
      <c r="C9228" t="str">
        <f>ADDRESS(ROW(Parcels!D500),COLUMN(Parcels!D500),4)</f>
        <v>D500</v>
      </c>
      <c r="D9228" t="b">
        <f>IF(AND(Parcels!$B$6="Yes",NOT(ISBLANK(Parcels!A500)),ISBLANK(Parcels!B500)),TRUE,FALSE)</f>
        <v>0</v>
      </c>
      <c r="E9228" t="s">
        <v>64</v>
      </c>
      <c r="F9228" t="str">
        <f>INDEX(Lists!I:I,MATCH(Validation!E9228,Lists!G:G,0))</f>
        <v>Error</v>
      </c>
      <c r="G9228" t="str">
        <f>INDEX(Lists!H:H,MATCH(Validation!E9228,Lists!G:G,0))</f>
        <v>You must make a selection from the dropdown list.</v>
      </c>
      <c r="H9228" s="25" t="str">
        <f t="shared" ca="1" si="1068"/>
        <v/>
      </c>
      <c r="I9228" s="25" t="str">
        <f t="shared" ca="1" si="1069"/>
        <v/>
      </c>
      <c r="J9228" s="26" t="str">
        <f t="shared" si="1070"/>
        <v/>
      </c>
    </row>
    <row r="9229" spans="1:10" x14ac:dyDescent="0.25">
      <c r="A9229" t="s">
        <v>111</v>
      </c>
      <c r="B9229" t="str">
        <f>ADDRESS(ROW(Parcels!B501),COLUMN(Parcels!B501),4)</f>
        <v>B501</v>
      </c>
      <c r="C9229" t="str">
        <f>ADDRESS(ROW(Parcels!D501),COLUMN(Parcels!D501),4)</f>
        <v>D501</v>
      </c>
      <c r="D9229" t="b">
        <f>IF(AND(Parcels!$B$6="Yes",NOT(ISBLANK(Parcels!A501)),ISBLANK(Parcels!B501)),TRUE,FALSE)</f>
        <v>0</v>
      </c>
      <c r="E9229" t="s">
        <v>64</v>
      </c>
      <c r="F9229" t="str">
        <f>INDEX(Lists!I:I,MATCH(Validation!E9229,Lists!G:G,0))</f>
        <v>Error</v>
      </c>
      <c r="G9229" t="str">
        <f>INDEX(Lists!H:H,MATCH(Validation!E9229,Lists!G:G,0))</f>
        <v>You must make a selection from the dropdown list.</v>
      </c>
      <c r="H9229" s="25" t="str">
        <f t="shared" ca="1" si="1068"/>
        <v/>
      </c>
      <c r="I9229" s="25" t="str">
        <f t="shared" ca="1" si="1069"/>
        <v/>
      </c>
      <c r="J9229" s="26" t="str">
        <f t="shared" si="1070"/>
        <v/>
      </c>
    </row>
    <row r="9230" spans="1:10" x14ac:dyDescent="0.25">
      <c r="A9230" t="s">
        <v>111</v>
      </c>
      <c r="B9230" t="str">
        <f>ADDRESS(ROW(Parcels!B502),COLUMN(Parcels!B502),4)</f>
        <v>B502</v>
      </c>
      <c r="C9230" t="str">
        <f>ADDRESS(ROW(Parcels!D502),COLUMN(Parcels!D502),4)</f>
        <v>D502</v>
      </c>
      <c r="D9230" t="b">
        <f>IF(AND(Parcels!$B$6="Yes",NOT(ISBLANK(Parcels!A502)),ISBLANK(Parcels!B502)),TRUE,FALSE)</f>
        <v>0</v>
      </c>
      <c r="E9230" t="s">
        <v>64</v>
      </c>
      <c r="F9230" t="str">
        <f>INDEX(Lists!I:I,MATCH(Validation!E9230,Lists!G:G,0))</f>
        <v>Error</v>
      </c>
      <c r="G9230" t="str">
        <f>INDEX(Lists!H:H,MATCH(Validation!E9230,Lists!G:G,0))</f>
        <v>You must make a selection from the dropdown list.</v>
      </c>
      <c r="H9230" s="25" t="str">
        <f t="shared" ca="1" si="1068"/>
        <v/>
      </c>
      <c r="I9230" s="25" t="str">
        <f t="shared" ca="1" si="1069"/>
        <v/>
      </c>
      <c r="J9230" s="26" t="str">
        <f t="shared" si="1070"/>
        <v/>
      </c>
    </row>
    <row r="9231" spans="1:10" x14ac:dyDescent="0.25">
      <c r="A9231" t="s">
        <v>111</v>
      </c>
      <c r="B9231" t="str">
        <f>ADDRESS(ROW(Parcels!B503),COLUMN(Parcels!B503),4)</f>
        <v>B503</v>
      </c>
      <c r="C9231" t="str">
        <f>ADDRESS(ROW(Parcels!D503),COLUMN(Parcels!D503),4)</f>
        <v>D503</v>
      </c>
      <c r="D9231" t="b">
        <f>IF(AND(Parcels!$B$6="Yes",NOT(ISBLANK(Parcels!A503)),ISBLANK(Parcels!B503)),TRUE,FALSE)</f>
        <v>0</v>
      </c>
      <c r="E9231" t="s">
        <v>64</v>
      </c>
      <c r="F9231" t="str">
        <f>INDEX(Lists!I:I,MATCH(Validation!E9231,Lists!G:G,0))</f>
        <v>Error</v>
      </c>
      <c r="G9231" t="str">
        <f>INDEX(Lists!H:H,MATCH(Validation!E9231,Lists!G:G,0))</f>
        <v>You must make a selection from the dropdown list.</v>
      </c>
      <c r="H9231" s="25" t="str">
        <f t="shared" ca="1" si="1068"/>
        <v/>
      </c>
      <c r="I9231" s="25" t="str">
        <f t="shared" ca="1" si="1069"/>
        <v/>
      </c>
      <c r="J9231" s="26" t="str">
        <f t="shared" si="1070"/>
        <v/>
      </c>
    </row>
    <row r="9232" spans="1:10" x14ac:dyDescent="0.25">
      <c r="A9232" t="s">
        <v>111</v>
      </c>
      <c r="B9232" t="str">
        <f>ADDRESS(ROW(Parcels!B504),COLUMN(Parcels!B504),4)</f>
        <v>B504</v>
      </c>
      <c r="C9232" t="str">
        <f>ADDRESS(ROW(Parcels!D504),COLUMN(Parcels!D504),4)</f>
        <v>D504</v>
      </c>
      <c r="D9232" t="b">
        <f>IF(AND(Parcels!$B$6="Yes",NOT(ISBLANK(Parcels!A504)),ISBLANK(Parcels!B504)),TRUE,FALSE)</f>
        <v>0</v>
      </c>
      <c r="E9232" t="s">
        <v>64</v>
      </c>
      <c r="F9232" t="str">
        <f>INDEX(Lists!I:I,MATCH(Validation!E9232,Lists!G:G,0))</f>
        <v>Error</v>
      </c>
      <c r="G9232" t="str">
        <f>INDEX(Lists!H:H,MATCH(Validation!E9232,Lists!G:G,0))</f>
        <v>You must make a selection from the dropdown list.</v>
      </c>
      <c r="H9232" s="25" t="str">
        <f t="shared" ca="1" si="1068"/>
        <v/>
      </c>
      <c r="I9232" s="25" t="str">
        <f t="shared" ca="1" si="1069"/>
        <v/>
      </c>
      <c r="J9232" s="26" t="str">
        <f t="shared" si="1070"/>
        <v/>
      </c>
    </row>
    <row r="9233" spans="1:10" x14ac:dyDescent="0.25">
      <c r="A9233" t="s">
        <v>111</v>
      </c>
      <c r="B9233" t="str">
        <f>ADDRESS(ROW(Parcels!B505),COLUMN(Parcels!B505),4)</f>
        <v>B505</v>
      </c>
      <c r="C9233" t="str">
        <f>ADDRESS(ROW(Parcels!D505),COLUMN(Parcels!D505),4)</f>
        <v>D505</v>
      </c>
      <c r="D9233" t="b">
        <f>IF(AND(Parcels!$B$6="Yes",NOT(ISBLANK(Parcels!A505)),ISBLANK(Parcels!B505)),TRUE,FALSE)</f>
        <v>0</v>
      </c>
      <c r="E9233" t="s">
        <v>64</v>
      </c>
      <c r="F9233" t="str">
        <f>INDEX(Lists!I:I,MATCH(Validation!E9233,Lists!G:G,0))</f>
        <v>Error</v>
      </c>
      <c r="G9233" t="str">
        <f>INDEX(Lists!H:H,MATCH(Validation!E9233,Lists!G:G,0))</f>
        <v>You must make a selection from the dropdown list.</v>
      </c>
      <c r="H9233" s="25" t="str">
        <f t="shared" ca="1" si="1068"/>
        <v/>
      </c>
      <c r="I9233" s="25" t="str">
        <f t="shared" ca="1" si="1069"/>
        <v/>
      </c>
      <c r="J9233" s="26" t="str">
        <f t="shared" si="1070"/>
        <v/>
      </c>
    </row>
    <row r="9234" spans="1:10" x14ac:dyDescent="0.25">
      <c r="A9234" t="s">
        <v>111</v>
      </c>
      <c r="B9234" t="str">
        <f>ADDRESS(ROW(Parcels!B506),COLUMN(Parcels!B506),4)</f>
        <v>B506</v>
      </c>
      <c r="C9234" t="str">
        <f>ADDRESS(ROW(Parcels!D506),COLUMN(Parcels!D506),4)</f>
        <v>D506</v>
      </c>
      <c r="D9234" t="b">
        <f>IF(AND(Parcels!$B$6="Yes",NOT(ISBLANK(Parcels!A506)),ISBLANK(Parcels!B506)),TRUE,FALSE)</f>
        <v>0</v>
      </c>
      <c r="E9234" t="s">
        <v>64</v>
      </c>
      <c r="F9234" t="str">
        <f>INDEX(Lists!I:I,MATCH(Validation!E9234,Lists!G:G,0))</f>
        <v>Error</v>
      </c>
      <c r="G9234" t="str">
        <f>INDEX(Lists!H:H,MATCH(Validation!E9234,Lists!G:G,0))</f>
        <v>You must make a selection from the dropdown list.</v>
      </c>
      <c r="H9234" s="25" t="str">
        <f t="shared" ca="1" si="1068"/>
        <v/>
      </c>
      <c r="I9234" s="25" t="str">
        <f t="shared" ca="1" si="1069"/>
        <v/>
      </c>
      <c r="J9234" s="26" t="str">
        <f t="shared" si="1070"/>
        <v/>
      </c>
    </row>
    <row r="9235" spans="1:10" x14ac:dyDescent="0.25">
      <c r="A9235" t="s">
        <v>111</v>
      </c>
      <c r="B9235" t="str">
        <f>ADDRESS(ROW(Parcels!B507),COLUMN(Parcels!B507),4)</f>
        <v>B507</v>
      </c>
      <c r="C9235" t="str">
        <f>ADDRESS(ROW(Parcels!D507),COLUMN(Parcels!D507),4)</f>
        <v>D507</v>
      </c>
      <c r="D9235" t="b">
        <f>IF(AND(Parcels!$B$6="Yes",NOT(ISBLANK(Parcels!A507)),ISBLANK(Parcels!B507)),TRUE,FALSE)</f>
        <v>0</v>
      </c>
      <c r="E9235" t="s">
        <v>64</v>
      </c>
      <c r="F9235" t="str">
        <f>INDEX(Lists!I:I,MATCH(Validation!E9235,Lists!G:G,0))</f>
        <v>Error</v>
      </c>
      <c r="G9235" t="str">
        <f>INDEX(Lists!H:H,MATCH(Validation!E9235,Lists!G:G,0))</f>
        <v>You must make a selection from the dropdown list.</v>
      </c>
      <c r="H9235" s="25" t="str">
        <f t="shared" ca="1" si="1068"/>
        <v/>
      </c>
      <c r="I9235" s="25" t="str">
        <f t="shared" ca="1" si="1069"/>
        <v/>
      </c>
      <c r="J9235" s="26" t="str">
        <f t="shared" si="1070"/>
        <v/>
      </c>
    </row>
    <row r="9236" spans="1:10" x14ac:dyDescent="0.25">
      <c r="A9236" t="s">
        <v>111</v>
      </c>
      <c r="B9236" t="str">
        <f>ADDRESS(ROW(Parcels!B508),COLUMN(Parcels!B508),4)</f>
        <v>B508</v>
      </c>
      <c r="C9236" t="str">
        <f>ADDRESS(ROW(Parcels!D508),COLUMN(Parcels!D508),4)</f>
        <v>D508</v>
      </c>
      <c r="D9236" t="b">
        <f>IF(AND(Parcels!$B$6="Yes",NOT(ISBLANK(Parcels!A508)),ISBLANK(Parcels!B508)),TRUE,FALSE)</f>
        <v>0</v>
      </c>
      <c r="E9236" t="s">
        <v>64</v>
      </c>
      <c r="F9236" t="str">
        <f>INDEX(Lists!I:I,MATCH(Validation!E9236,Lists!G:G,0))</f>
        <v>Error</v>
      </c>
      <c r="G9236" t="str">
        <f>INDEX(Lists!H:H,MATCH(Validation!E9236,Lists!G:G,0))</f>
        <v>You must make a selection from the dropdown list.</v>
      </c>
      <c r="H9236" s="25" t="str">
        <f t="shared" ca="1" si="1068"/>
        <v/>
      </c>
      <c r="I9236" s="25" t="str">
        <f t="shared" ca="1" si="1069"/>
        <v/>
      </c>
      <c r="J9236" s="26" t="str">
        <f t="shared" si="1070"/>
        <v/>
      </c>
    </row>
    <row r="9237" spans="1:10" x14ac:dyDescent="0.25">
      <c r="A9237" t="s">
        <v>111</v>
      </c>
      <c r="B9237" t="str">
        <f>ADDRESS(ROW(Parcels!B509),COLUMN(Parcels!B509),4)</f>
        <v>B509</v>
      </c>
      <c r="C9237" t="str">
        <f>ADDRESS(ROW(Parcels!D509),COLUMN(Parcels!D509),4)</f>
        <v>D509</v>
      </c>
      <c r="D9237" t="b">
        <f>IF(AND(Parcels!$B$6="Yes",NOT(ISBLANK(Parcels!A509)),ISBLANK(Parcels!B509)),TRUE,FALSE)</f>
        <v>0</v>
      </c>
      <c r="E9237" t="s">
        <v>64</v>
      </c>
      <c r="F9237" t="str">
        <f>INDEX(Lists!I:I,MATCH(Validation!E9237,Lists!G:G,0))</f>
        <v>Error</v>
      </c>
      <c r="G9237" t="str">
        <f>INDEX(Lists!H:H,MATCH(Validation!E9237,Lists!G:G,0))</f>
        <v>You must make a selection from the dropdown list.</v>
      </c>
      <c r="H9237" s="25" t="str">
        <f t="shared" ca="1" si="1068"/>
        <v/>
      </c>
      <c r="I9237" s="25" t="str">
        <f t="shared" ca="1" si="1069"/>
        <v/>
      </c>
      <c r="J9237" s="26" t="str">
        <f t="shared" si="1070"/>
        <v/>
      </c>
    </row>
    <row r="9238" spans="1:10" x14ac:dyDescent="0.25">
      <c r="A9238" t="s">
        <v>111</v>
      </c>
      <c r="B9238" t="str">
        <f>ADDRESS(ROW(Parcels!B510),COLUMN(Parcels!B510),4)</f>
        <v>B510</v>
      </c>
      <c r="C9238" t="str">
        <f>ADDRESS(ROW(Parcels!D510),COLUMN(Parcels!D510),4)</f>
        <v>D510</v>
      </c>
      <c r="D9238" t="b">
        <f>IF(AND(Parcels!$B$6="Yes",NOT(ISBLANK(Parcels!A510)),ISBLANK(Parcels!B510)),TRUE,FALSE)</f>
        <v>0</v>
      </c>
      <c r="E9238" t="s">
        <v>64</v>
      </c>
      <c r="F9238" t="str">
        <f>INDEX(Lists!I:I,MATCH(Validation!E9238,Lists!G:G,0))</f>
        <v>Error</v>
      </c>
      <c r="G9238" t="str">
        <f>INDEX(Lists!H:H,MATCH(Validation!E9238,Lists!G:G,0))</f>
        <v>You must make a selection from the dropdown list.</v>
      </c>
      <c r="H9238" s="25" t="str">
        <f t="shared" ca="1" si="1068"/>
        <v/>
      </c>
      <c r="I9238" s="25" t="str">
        <f t="shared" ca="1" si="1069"/>
        <v/>
      </c>
      <c r="J9238" s="26" t="str">
        <f t="shared" si="1070"/>
        <v/>
      </c>
    </row>
    <row r="9239" spans="1:10" x14ac:dyDescent="0.25">
      <c r="A9239" t="s">
        <v>111</v>
      </c>
      <c r="B9239" t="str">
        <f>ADDRESS(ROW(Parcels!B511),COLUMN(Parcels!B511),4)</f>
        <v>B511</v>
      </c>
      <c r="C9239" t="str">
        <f>ADDRESS(ROW(Parcels!D511),COLUMN(Parcels!D511),4)</f>
        <v>D511</v>
      </c>
      <c r="D9239" t="b">
        <f>IF(AND(Parcels!$B$6="Yes",NOT(ISBLANK(Parcels!A511)),ISBLANK(Parcels!B511)),TRUE,FALSE)</f>
        <v>0</v>
      </c>
      <c r="E9239" t="s">
        <v>64</v>
      </c>
      <c r="F9239" t="str">
        <f>INDEX(Lists!I:I,MATCH(Validation!E9239,Lists!G:G,0))</f>
        <v>Error</v>
      </c>
      <c r="G9239" t="str">
        <f>INDEX(Lists!H:H,MATCH(Validation!E9239,Lists!G:G,0))</f>
        <v>You must make a selection from the dropdown list.</v>
      </c>
      <c r="H9239" s="25" t="str">
        <f t="shared" ca="1" si="1068"/>
        <v/>
      </c>
      <c r="I9239" s="25" t="str">
        <f t="shared" ca="1" si="1069"/>
        <v/>
      </c>
      <c r="J9239" s="26" t="str">
        <f t="shared" si="1070"/>
        <v/>
      </c>
    </row>
    <row r="9240" spans="1:10" x14ac:dyDescent="0.25">
      <c r="A9240" t="s">
        <v>111</v>
      </c>
      <c r="B9240" t="str">
        <f>ADDRESS(ROW(Parcels!B512),COLUMN(Parcels!B512),4)</f>
        <v>B512</v>
      </c>
      <c r="C9240" t="str">
        <f>ADDRESS(ROW(Parcels!D512),COLUMN(Parcels!D512),4)</f>
        <v>D512</v>
      </c>
      <c r="D9240" t="b">
        <f>IF(AND(Parcels!$B$6="Yes",NOT(ISBLANK(Parcels!A512)),ISBLANK(Parcels!B512)),TRUE,FALSE)</f>
        <v>0</v>
      </c>
      <c r="E9240" t="s">
        <v>64</v>
      </c>
      <c r="F9240" t="str">
        <f>INDEX(Lists!I:I,MATCH(Validation!E9240,Lists!G:G,0))</f>
        <v>Error</v>
      </c>
      <c r="G9240" t="str">
        <f>INDEX(Lists!H:H,MATCH(Validation!E9240,Lists!G:G,0))</f>
        <v>You must make a selection from the dropdown list.</v>
      </c>
      <c r="H9240" s="25" t="str">
        <f t="shared" ca="1" si="1068"/>
        <v/>
      </c>
      <c r="I9240" s="25" t="str">
        <f t="shared" ca="1" si="1069"/>
        <v/>
      </c>
      <c r="J9240" s="26" t="str">
        <f t="shared" si="1070"/>
        <v/>
      </c>
    </row>
    <row r="9241" spans="1:10" x14ac:dyDescent="0.25">
      <c r="A9241" t="s">
        <v>111</v>
      </c>
      <c r="B9241" t="str">
        <f>ADDRESS(ROW(Parcels!B513),COLUMN(Parcels!B513),4)</f>
        <v>B513</v>
      </c>
      <c r="C9241" t="str">
        <f>ADDRESS(ROW(Parcels!D513),COLUMN(Parcels!D513),4)</f>
        <v>D513</v>
      </c>
      <c r="D9241" t="b">
        <f>IF(AND(Parcels!$B$6="Yes",NOT(ISBLANK(Parcels!A513)),ISBLANK(Parcels!B513)),TRUE,FALSE)</f>
        <v>0</v>
      </c>
      <c r="E9241" t="s">
        <v>64</v>
      </c>
      <c r="F9241" t="str">
        <f>INDEX(Lists!I:I,MATCH(Validation!E9241,Lists!G:G,0))</f>
        <v>Error</v>
      </c>
      <c r="G9241" t="str">
        <f>INDEX(Lists!H:H,MATCH(Validation!E9241,Lists!G:G,0))</f>
        <v>You must make a selection from the dropdown list.</v>
      </c>
      <c r="H9241" s="25" t="str">
        <f t="shared" ca="1" si="1068"/>
        <v/>
      </c>
      <c r="I9241" s="25" t="str">
        <f t="shared" ca="1" si="1069"/>
        <v/>
      </c>
      <c r="J9241" s="26" t="str">
        <f t="shared" si="1070"/>
        <v/>
      </c>
    </row>
    <row r="9242" spans="1:10" x14ac:dyDescent="0.25">
      <c r="A9242" t="s">
        <v>111</v>
      </c>
      <c r="B9242" t="str">
        <f>ADDRESS(ROW(Parcels!B514),COLUMN(Parcels!B514),4)</f>
        <v>B514</v>
      </c>
      <c r="C9242" t="str">
        <f>ADDRESS(ROW(Parcels!D514),COLUMN(Parcels!D514),4)</f>
        <v>D514</v>
      </c>
      <c r="D9242" t="b">
        <f>IF(AND(Parcels!$B$6="Yes",NOT(ISBLANK(Parcels!A514)),ISBLANK(Parcels!B514)),TRUE,FALSE)</f>
        <v>0</v>
      </c>
      <c r="E9242" t="s">
        <v>64</v>
      </c>
      <c r="F9242" t="str">
        <f>INDEX(Lists!I:I,MATCH(Validation!E9242,Lists!G:G,0))</f>
        <v>Error</v>
      </c>
      <c r="G9242" t="str">
        <f>INDEX(Lists!H:H,MATCH(Validation!E9242,Lists!G:G,0))</f>
        <v>You must make a selection from the dropdown list.</v>
      </c>
      <c r="H9242" s="25" t="str">
        <f t="shared" ca="1" si="1068"/>
        <v/>
      </c>
      <c r="I9242" s="25" t="str">
        <f t="shared" ca="1" si="1069"/>
        <v/>
      </c>
      <c r="J9242" s="26" t="str">
        <f t="shared" si="1070"/>
        <v/>
      </c>
    </row>
    <row r="9243" spans="1:10" x14ac:dyDescent="0.25">
      <c r="A9243" t="s">
        <v>111</v>
      </c>
      <c r="B9243" t="str">
        <f>ADDRESS(ROW(Parcels!B515),COLUMN(Parcels!B515),4)</f>
        <v>B515</v>
      </c>
      <c r="C9243" t="str">
        <f>ADDRESS(ROW(Parcels!D515),COLUMN(Parcels!D515),4)</f>
        <v>D515</v>
      </c>
      <c r="D9243" t="b">
        <f>IF(AND(Parcels!$B$6="Yes",NOT(ISBLANK(Parcels!A515)),ISBLANK(Parcels!B515)),TRUE,FALSE)</f>
        <v>0</v>
      </c>
      <c r="E9243" t="s">
        <v>64</v>
      </c>
      <c r="F9243" t="str">
        <f>INDEX(Lists!I:I,MATCH(Validation!E9243,Lists!G:G,0))</f>
        <v>Error</v>
      </c>
      <c r="G9243" t="str">
        <f>INDEX(Lists!H:H,MATCH(Validation!E9243,Lists!G:G,0))</f>
        <v>You must make a selection from the dropdown list.</v>
      </c>
      <c r="H9243" s="25" t="str">
        <f t="shared" ca="1" si="1068"/>
        <v/>
      </c>
      <c r="I9243" s="25" t="str">
        <f t="shared" ca="1" si="1069"/>
        <v/>
      </c>
      <c r="J9243" s="26" t="str">
        <f t="shared" si="1070"/>
        <v/>
      </c>
    </row>
    <row r="9244" spans="1:10" x14ac:dyDescent="0.25">
      <c r="A9244" t="s">
        <v>111</v>
      </c>
      <c r="B9244" t="str">
        <f>ADDRESS(ROW(Parcels!B516),COLUMN(Parcels!B516),4)</f>
        <v>B516</v>
      </c>
      <c r="C9244" t="str">
        <f>ADDRESS(ROW(Parcels!D516),COLUMN(Parcels!D516),4)</f>
        <v>D516</v>
      </c>
      <c r="D9244" t="b">
        <f>IF(AND(Parcels!$B$6="Yes",NOT(ISBLANK(Parcels!A516)),ISBLANK(Parcels!B516)),TRUE,FALSE)</f>
        <v>0</v>
      </c>
      <c r="E9244" t="s">
        <v>64</v>
      </c>
      <c r="F9244" t="str">
        <f>INDEX(Lists!I:I,MATCH(Validation!E9244,Lists!G:G,0))</f>
        <v>Error</v>
      </c>
      <c r="G9244" t="str">
        <f>INDEX(Lists!H:H,MATCH(Validation!E9244,Lists!G:G,0))</f>
        <v>You must make a selection from the dropdown list.</v>
      </c>
      <c r="H9244" s="25" t="str">
        <f t="shared" ca="1" si="1068"/>
        <v/>
      </c>
      <c r="I9244" s="25" t="str">
        <f t="shared" ca="1" si="1069"/>
        <v/>
      </c>
      <c r="J9244" s="26" t="str">
        <f t="shared" si="1070"/>
        <v/>
      </c>
    </row>
    <row r="9245" spans="1:10" x14ac:dyDescent="0.25">
      <c r="A9245" t="s">
        <v>111</v>
      </c>
      <c r="B9245" t="str">
        <f>ADDRESS(ROW(Parcels!B517),COLUMN(Parcels!B517),4)</f>
        <v>B517</v>
      </c>
      <c r="C9245" t="str">
        <f>ADDRESS(ROW(Parcels!D517),COLUMN(Parcels!D517),4)</f>
        <v>D517</v>
      </c>
      <c r="D9245" t="b">
        <f>IF(AND(Parcels!$B$6="Yes",NOT(ISBLANK(Parcels!A517)),ISBLANK(Parcels!B517)),TRUE,FALSE)</f>
        <v>0</v>
      </c>
      <c r="E9245" t="s">
        <v>64</v>
      </c>
      <c r="F9245" t="str">
        <f>INDEX(Lists!I:I,MATCH(Validation!E9245,Lists!G:G,0))</f>
        <v>Error</v>
      </c>
      <c r="G9245" t="str">
        <f>INDEX(Lists!H:H,MATCH(Validation!E9245,Lists!G:G,0))</f>
        <v>You must make a selection from the dropdown list.</v>
      </c>
      <c r="H9245" s="25" t="str">
        <f t="shared" ca="1" si="1068"/>
        <v/>
      </c>
      <c r="I9245" s="25" t="str">
        <f t="shared" ca="1" si="1069"/>
        <v/>
      </c>
      <c r="J9245" s="26" t="str">
        <f t="shared" si="1070"/>
        <v/>
      </c>
    </row>
    <row r="9246" spans="1:10" x14ac:dyDescent="0.25">
      <c r="A9246" t="s">
        <v>111</v>
      </c>
      <c r="B9246" t="str">
        <f>ADDRESS(ROW(Parcels!B518),COLUMN(Parcels!B518),4)</f>
        <v>B518</v>
      </c>
      <c r="C9246" t="str">
        <f>ADDRESS(ROW(Parcels!D518),COLUMN(Parcels!D518),4)</f>
        <v>D518</v>
      </c>
      <c r="D9246" t="b">
        <f>IF(AND(Parcels!$B$6="Yes",NOT(ISBLANK(Parcels!A518)),ISBLANK(Parcels!B518)),TRUE,FALSE)</f>
        <v>0</v>
      </c>
      <c r="E9246" t="s">
        <v>64</v>
      </c>
      <c r="F9246" t="str">
        <f>INDEX(Lists!I:I,MATCH(Validation!E9246,Lists!G:G,0))</f>
        <v>Error</v>
      </c>
      <c r="G9246" t="str">
        <f>INDEX(Lists!H:H,MATCH(Validation!E9246,Lists!G:G,0))</f>
        <v>You must make a selection from the dropdown list.</v>
      </c>
      <c r="H9246" s="25" t="str">
        <f t="shared" ca="1" si="1068"/>
        <v/>
      </c>
      <c r="I9246" s="25" t="str">
        <f t="shared" ca="1" si="1069"/>
        <v/>
      </c>
      <c r="J9246" s="26" t="str">
        <f t="shared" si="1070"/>
        <v/>
      </c>
    </row>
    <row r="9247" spans="1:10" x14ac:dyDescent="0.25">
      <c r="A9247" t="s">
        <v>111</v>
      </c>
      <c r="B9247" t="str">
        <f>ADDRESS(ROW(Parcels!B519),COLUMN(Parcels!B519),4)</f>
        <v>B519</v>
      </c>
      <c r="C9247" t="str">
        <f>ADDRESS(ROW(Parcels!D519),COLUMN(Parcels!D519),4)</f>
        <v>D519</v>
      </c>
      <c r="D9247" t="b">
        <f>IF(AND(Parcels!$B$6="Yes",NOT(ISBLANK(Parcels!A519)),ISBLANK(Parcels!B519)),TRUE,FALSE)</f>
        <v>0</v>
      </c>
      <c r="E9247" t="s">
        <v>64</v>
      </c>
      <c r="F9247" t="str">
        <f>INDEX(Lists!I:I,MATCH(Validation!E9247,Lists!G:G,0))</f>
        <v>Error</v>
      </c>
      <c r="G9247" t="str">
        <f>INDEX(Lists!H:H,MATCH(Validation!E9247,Lists!G:G,0))</f>
        <v>You must make a selection from the dropdown list.</v>
      </c>
      <c r="H9247" s="25" t="str">
        <f t="shared" ca="1" si="1068"/>
        <v/>
      </c>
      <c r="I9247" s="25" t="str">
        <f t="shared" ca="1" si="1069"/>
        <v/>
      </c>
      <c r="J9247" s="26" t="str">
        <f t="shared" si="1070"/>
        <v/>
      </c>
    </row>
    <row r="9248" spans="1:10" x14ac:dyDescent="0.25">
      <c r="A9248" t="s">
        <v>111</v>
      </c>
      <c r="B9248" t="str">
        <f>ADDRESS(ROW(Parcels!B520),COLUMN(Parcels!B520),4)</f>
        <v>B520</v>
      </c>
      <c r="C9248" t="str">
        <f>ADDRESS(ROW(Parcels!D520),COLUMN(Parcels!D520),4)</f>
        <v>D520</v>
      </c>
      <c r="D9248" t="b">
        <f>IF(AND(Parcels!$B$6="Yes",NOT(ISBLANK(Parcels!A520)),ISBLANK(Parcels!B520)),TRUE,FALSE)</f>
        <v>0</v>
      </c>
      <c r="E9248" t="s">
        <v>64</v>
      </c>
      <c r="F9248" t="str">
        <f>INDEX(Lists!I:I,MATCH(Validation!E9248,Lists!G:G,0))</f>
        <v>Error</v>
      </c>
      <c r="G9248" t="str">
        <f>INDEX(Lists!H:H,MATCH(Validation!E9248,Lists!G:G,0))</f>
        <v>You must make a selection from the dropdown list.</v>
      </c>
      <c r="H9248" s="25" t="str">
        <f t="shared" ref="H9248:H9311" ca="1" si="1071">IFERROR(IF(OR(NOT(D9248),F9248&lt;&gt;"Error"),"",A9248&amp;CELL("address",INDIRECT(B9248))),"")</f>
        <v/>
      </c>
      <c r="I9248" s="25" t="str">
        <f t="shared" ref="I9248:I9311" ca="1" si="1072">IFERROR(IF(NOT(D9248),"",A9248&amp;CELL("address",INDIRECT(C9248))),"")</f>
        <v/>
      </c>
      <c r="J9248" s="26" t="str">
        <f t="shared" ref="J9248:J9311" si="1073">IFERROR(IF(NOT(D9248),"",A9248),"")</f>
        <v/>
      </c>
    </row>
    <row r="9249" spans="1:10" x14ac:dyDescent="0.25">
      <c r="A9249" t="s">
        <v>111</v>
      </c>
      <c r="B9249" t="str">
        <f>ADDRESS(ROW(Parcels!B521),COLUMN(Parcels!B521),4)</f>
        <v>B521</v>
      </c>
      <c r="C9249" t="str">
        <f>ADDRESS(ROW(Parcels!D521),COLUMN(Parcels!D521),4)</f>
        <v>D521</v>
      </c>
      <c r="D9249" t="b">
        <f>IF(AND(Parcels!$B$6="Yes",NOT(ISBLANK(Parcels!A521)),ISBLANK(Parcels!B521)),TRUE,FALSE)</f>
        <v>0</v>
      </c>
      <c r="E9249" t="s">
        <v>64</v>
      </c>
      <c r="F9249" t="str">
        <f>INDEX(Lists!I:I,MATCH(Validation!E9249,Lists!G:G,0))</f>
        <v>Error</v>
      </c>
      <c r="G9249" t="str">
        <f>INDEX(Lists!H:H,MATCH(Validation!E9249,Lists!G:G,0))</f>
        <v>You must make a selection from the dropdown list.</v>
      </c>
      <c r="H9249" s="25" t="str">
        <f t="shared" ca="1" si="1071"/>
        <v/>
      </c>
      <c r="I9249" s="25" t="str">
        <f t="shared" ca="1" si="1072"/>
        <v/>
      </c>
      <c r="J9249" s="26" t="str">
        <f t="shared" si="1073"/>
        <v/>
      </c>
    </row>
    <row r="9250" spans="1:10" x14ac:dyDescent="0.25">
      <c r="A9250" t="s">
        <v>111</v>
      </c>
      <c r="B9250" t="str">
        <f>ADDRESS(ROW(Parcels!B522),COLUMN(Parcels!B522),4)</f>
        <v>B522</v>
      </c>
      <c r="C9250" t="str">
        <f>ADDRESS(ROW(Parcels!D522),COLUMN(Parcels!D522),4)</f>
        <v>D522</v>
      </c>
      <c r="D9250" t="b">
        <f>IF(AND(Parcels!$B$6="Yes",NOT(ISBLANK(Parcels!A522)),ISBLANK(Parcels!B522)),TRUE,FALSE)</f>
        <v>0</v>
      </c>
      <c r="E9250" t="s">
        <v>64</v>
      </c>
      <c r="F9250" t="str">
        <f>INDEX(Lists!I:I,MATCH(Validation!E9250,Lists!G:G,0))</f>
        <v>Error</v>
      </c>
      <c r="G9250" t="str">
        <f>INDEX(Lists!H:H,MATCH(Validation!E9250,Lists!G:G,0))</f>
        <v>You must make a selection from the dropdown list.</v>
      </c>
      <c r="H9250" s="25" t="str">
        <f t="shared" ca="1" si="1071"/>
        <v/>
      </c>
      <c r="I9250" s="25" t="str">
        <f t="shared" ca="1" si="1072"/>
        <v/>
      </c>
      <c r="J9250" s="26" t="str">
        <f t="shared" si="1073"/>
        <v/>
      </c>
    </row>
    <row r="9251" spans="1:10" x14ac:dyDescent="0.25">
      <c r="A9251" t="s">
        <v>111</v>
      </c>
      <c r="B9251" t="str">
        <f>ADDRESS(ROW(Parcels!B523),COLUMN(Parcels!B523),4)</f>
        <v>B523</v>
      </c>
      <c r="C9251" t="str">
        <f>ADDRESS(ROW(Parcels!D523),COLUMN(Parcels!D523),4)</f>
        <v>D523</v>
      </c>
      <c r="D9251" t="b">
        <f>IF(AND(Parcels!$B$6="Yes",NOT(ISBLANK(Parcels!A523)),ISBLANK(Parcels!B523)),TRUE,FALSE)</f>
        <v>0</v>
      </c>
      <c r="E9251" t="s">
        <v>64</v>
      </c>
      <c r="F9251" t="str">
        <f>INDEX(Lists!I:I,MATCH(Validation!E9251,Lists!G:G,0))</f>
        <v>Error</v>
      </c>
      <c r="G9251" t="str">
        <f>INDEX(Lists!H:H,MATCH(Validation!E9251,Lists!G:G,0))</f>
        <v>You must make a selection from the dropdown list.</v>
      </c>
      <c r="H9251" s="25" t="str">
        <f t="shared" ca="1" si="1071"/>
        <v/>
      </c>
      <c r="I9251" s="25" t="str">
        <f t="shared" ca="1" si="1072"/>
        <v/>
      </c>
      <c r="J9251" s="26" t="str">
        <f t="shared" si="1073"/>
        <v/>
      </c>
    </row>
    <row r="9252" spans="1:10" x14ac:dyDescent="0.25">
      <c r="A9252" t="s">
        <v>111</v>
      </c>
      <c r="B9252" t="str">
        <f>ADDRESS(ROW(Parcels!B524),COLUMN(Parcels!B524),4)</f>
        <v>B524</v>
      </c>
      <c r="C9252" t="str">
        <f>ADDRESS(ROW(Parcels!D524),COLUMN(Parcels!D524),4)</f>
        <v>D524</v>
      </c>
      <c r="D9252" t="b">
        <f>IF(AND(Parcels!$B$6="Yes",NOT(ISBLANK(Parcels!A524)),ISBLANK(Parcels!B524)),TRUE,FALSE)</f>
        <v>0</v>
      </c>
      <c r="E9252" t="s">
        <v>64</v>
      </c>
      <c r="F9252" t="str">
        <f>INDEX(Lists!I:I,MATCH(Validation!E9252,Lists!G:G,0))</f>
        <v>Error</v>
      </c>
      <c r="G9252" t="str">
        <f>INDEX(Lists!H:H,MATCH(Validation!E9252,Lists!G:G,0))</f>
        <v>You must make a selection from the dropdown list.</v>
      </c>
      <c r="H9252" s="25" t="str">
        <f t="shared" ca="1" si="1071"/>
        <v/>
      </c>
      <c r="I9252" s="25" t="str">
        <f t="shared" ca="1" si="1072"/>
        <v/>
      </c>
      <c r="J9252" s="26" t="str">
        <f t="shared" si="1073"/>
        <v/>
      </c>
    </row>
    <row r="9253" spans="1:10" x14ac:dyDescent="0.25">
      <c r="A9253" t="s">
        <v>111</v>
      </c>
      <c r="B9253" t="str">
        <f>ADDRESS(ROW(Parcels!B525),COLUMN(Parcels!B525),4)</f>
        <v>B525</v>
      </c>
      <c r="C9253" t="str">
        <f>ADDRESS(ROW(Parcels!D525),COLUMN(Parcels!D525),4)</f>
        <v>D525</v>
      </c>
      <c r="D9253" t="b">
        <f>IF(AND(Parcels!$B$6="Yes",NOT(ISBLANK(Parcels!A525)),ISBLANK(Parcels!B525)),TRUE,FALSE)</f>
        <v>0</v>
      </c>
      <c r="E9253" t="s">
        <v>64</v>
      </c>
      <c r="F9253" t="str">
        <f>INDEX(Lists!I:I,MATCH(Validation!E9253,Lists!G:G,0))</f>
        <v>Error</v>
      </c>
      <c r="G9253" t="str">
        <f>INDEX(Lists!H:H,MATCH(Validation!E9253,Lists!G:G,0))</f>
        <v>You must make a selection from the dropdown list.</v>
      </c>
      <c r="H9253" s="25" t="str">
        <f t="shared" ca="1" si="1071"/>
        <v/>
      </c>
      <c r="I9253" s="25" t="str">
        <f t="shared" ca="1" si="1072"/>
        <v/>
      </c>
      <c r="J9253" s="26" t="str">
        <f t="shared" si="1073"/>
        <v/>
      </c>
    </row>
    <row r="9254" spans="1:10" x14ac:dyDescent="0.25">
      <c r="A9254" t="s">
        <v>111</v>
      </c>
      <c r="B9254" t="str">
        <f>ADDRESS(ROW(Parcels!B526),COLUMN(Parcels!B526),4)</f>
        <v>B526</v>
      </c>
      <c r="C9254" t="str">
        <f>ADDRESS(ROW(Parcels!D526),COLUMN(Parcels!D526),4)</f>
        <v>D526</v>
      </c>
      <c r="D9254" t="b">
        <f>IF(AND(Parcels!$B$6="Yes",NOT(ISBLANK(Parcels!A526)),ISBLANK(Parcels!B526)),TRUE,FALSE)</f>
        <v>0</v>
      </c>
      <c r="E9254" t="s">
        <v>64</v>
      </c>
      <c r="F9254" t="str">
        <f>INDEX(Lists!I:I,MATCH(Validation!E9254,Lists!G:G,0))</f>
        <v>Error</v>
      </c>
      <c r="G9254" t="str">
        <f>INDEX(Lists!H:H,MATCH(Validation!E9254,Lists!G:G,0))</f>
        <v>You must make a selection from the dropdown list.</v>
      </c>
      <c r="H9254" s="25" t="str">
        <f t="shared" ca="1" si="1071"/>
        <v/>
      </c>
      <c r="I9254" s="25" t="str">
        <f t="shared" ca="1" si="1072"/>
        <v/>
      </c>
      <c r="J9254" s="26" t="str">
        <f t="shared" si="1073"/>
        <v/>
      </c>
    </row>
    <row r="9255" spans="1:10" x14ac:dyDescent="0.25">
      <c r="A9255" t="s">
        <v>111</v>
      </c>
      <c r="B9255" t="str">
        <f>ADDRESS(ROW(Parcels!B527),COLUMN(Parcels!B527),4)</f>
        <v>B527</v>
      </c>
      <c r="C9255" t="str">
        <f>ADDRESS(ROW(Parcels!D527),COLUMN(Parcels!D527),4)</f>
        <v>D527</v>
      </c>
      <c r="D9255" t="b">
        <f>IF(AND(Parcels!$B$6="Yes",NOT(ISBLANK(Parcels!A527)),ISBLANK(Parcels!B527)),TRUE,FALSE)</f>
        <v>0</v>
      </c>
      <c r="E9255" t="s">
        <v>64</v>
      </c>
      <c r="F9255" t="str">
        <f>INDEX(Lists!I:I,MATCH(Validation!E9255,Lists!G:G,0))</f>
        <v>Error</v>
      </c>
      <c r="G9255" t="str">
        <f>INDEX(Lists!H:H,MATCH(Validation!E9255,Lists!G:G,0))</f>
        <v>You must make a selection from the dropdown list.</v>
      </c>
      <c r="H9255" s="25" t="str">
        <f t="shared" ca="1" si="1071"/>
        <v/>
      </c>
      <c r="I9255" s="25" t="str">
        <f t="shared" ca="1" si="1072"/>
        <v/>
      </c>
      <c r="J9255" s="26" t="str">
        <f t="shared" si="1073"/>
        <v/>
      </c>
    </row>
    <row r="9256" spans="1:10" x14ac:dyDescent="0.25">
      <c r="A9256" t="s">
        <v>111</v>
      </c>
      <c r="B9256" t="str">
        <f>ADDRESS(ROW(Parcels!B528),COLUMN(Parcels!B528),4)</f>
        <v>B528</v>
      </c>
      <c r="C9256" t="str">
        <f>ADDRESS(ROW(Parcels!D528),COLUMN(Parcels!D528),4)</f>
        <v>D528</v>
      </c>
      <c r="D9256" t="b">
        <f>IF(AND(Parcels!$B$6="Yes",NOT(ISBLANK(Parcels!A528)),ISBLANK(Parcels!B528)),TRUE,FALSE)</f>
        <v>0</v>
      </c>
      <c r="E9256" t="s">
        <v>64</v>
      </c>
      <c r="F9256" t="str">
        <f>INDEX(Lists!I:I,MATCH(Validation!E9256,Lists!G:G,0))</f>
        <v>Error</v>
      </c>
      <c r="G9256" t="str">
        <f>INDEX(Lists!H:H,MATCH(Validation!E9256,Lists!G:G,0))</f>
        <v>You must make a selection from the dropdown list.</v>
      </c>
      <c r="H9256" s="25" t="str">
        <f t="shared" ca="1" si="1071"/>
        <v/>
      </c>
      <c r="I9256" s="25" t="str">
        <f t="shared" ca="1" si="1072"/>
        <v/>
      </c>
      <c r="J9256" s="26" t="str">
        <f t="shared" si="1073"/>
        <v/>
      </c>
    </row>
    <row r="9257" spans="1:10" x14ac:dyDescent="0.25">
      <c r="A9257" t="s">
        <v>111</v>
      </c>
      <c r="B9257" t="str">
        <f>ADDRESS(ROW(Parcels!B529),COLUMN(Parcels!B529),4)</f>
        <v>B529</v>
      </c>
      <c r="C9257" t="str">
        <f>ADDRESS(ROW(Parcels!D529),COLUMN(Parcels!D529),4)</f>
        <v>D529</v>
      </c>
      <c r="D9257" t="b">
        <f>IF(AND(Parcels!$B$6="Yes",NOT(ISBLANK(Parcels!A529)),ISBLANK(Parcels!B529)),TRUE,FALSE)</f>
        <v>0</v>
      </c>
      <c r="E9257" t="s">
        <v>64</v>
      </c>
      <c r="F9257" t="str">
        <f>INDEX(Lists!I:I,MATCH(Validation!E9257,Lists!G:G,0))</f>
        <v>Error</v>
      </c>
      <c r="G9257" t="str">
        <f>INDEX(Lists!H:H,MATCH(Validation!E9257,Lists!G:G,0))</f>
        <v>You must make a selection from the dropdown list.</v>
      </c>
      <c r="H9257" s="25" t="str">
        <f t="shared" ca="1" si="1071"/>
        <v/>
      </c>
      <c r="I9257" s="25" t="str">
        <f t="shared" ca="1" si="1072"/>
        <v/>
      </c>
      <c r="J9257" s="26" t="str">
        <f t="shared" si="1073"/>
        <v/>
      </c>
    </row>
    <row r="9258" spans="1:10" x14ac:dyDescent="0.25">
      <c r="A9258" t="s">
        <v>111</v>
      </c>
      <c r="B9258" t="str">
        <f>ADDRESS(ROW(Parcels!B530),COLUMN(Parcels!B530),4)</f>
        <v>B530</v>
      </c>
      <c r="C9258" t="str">
        <f>ADDRESS(ROW(Parcels!D530),COLUMN(Parcels!D530),4)</f>
        <v>D530</v>
      </c>
      <c r="D9258" t="b">
        <f>IF(AND(Parcels!$B$6="Yes",NOT(ISBLANK(Parcels!A530)),ISBLANK(Parcels!B530)),TRUE,FALSE)</f>
        <v>0</v>
      </c>
      <c r="E9258" t="s">
        <v>64</v>
      </c>
      <c r="F9258" t="str">
        <f>INDEX(Lists!I:I,MATCH(Validation!E9258,Lists!G:G,0))</f>
        <v>Error</v>
      </c>
      <c r="G9258" t="str">
        <f>INDEX(Lists!H:H,MATCH(Validation!E9258,Lists!G:G,0))</f>
        <v>You must make a selection from the dropdown list.</v>
      </c>
      <c r="H9258" s="25" t="str">
        <f t="shared" ca="1" si="1071"/>
        <v/>
      </c>
      <c r="I9258" s="25" t="str">
        <f t="shared" ca="1" si="1072"/>
        <v/>
      </c>
      <c r="J9258" s="26" t="str">
        <f t="shared" si="1073"/>
        <v/>
      </c>
    </row>
    <row r="9259" spans="1:10" x14ac:dyDescent="0.25">
      <c r="A9259" t="s">
        <v>111</v>
      </c>
      <c r="B9259" t="str">
        <f>ADDRESS(ROW(Parcels!B531),COLUMN(Parcels!B531),4)</f>
        <v>B531</v>
      </c>
      <c r="C9259" t="str">
        <f>ADDRESS(ROW(Parcels!D531),COLUMN(Parcels!D531),4)</f>
        <v>D531</v>
      </c>
      <c r="D9259" t="b">
        <f>IF(AND(Parcels!$B$6="Yes",NOT(ISBLANK(Parcels!A531)),ISBLANK(Parcels!B531)),TRUE,FALSE)</f>
        <v>0</v>
      </c>
      <c r="E9259" t="s">
        <v>64</v>
      </c>
      <c r="F9259" t="str">
        <f>INDEX(Lists!I:I,MATCH(Validation!E9259,Lists!G:G,0))</f>
        <v>Error</v>
      </c>
      <c r="G9259" t="str">
        <f>INDEX(Lists!H:H,MATCH(Validation!E9259,Lists!G:G,0))</f>
        <v>You must make a selection from the dropdown list.</v>
      </c>
      <c r="H9259" s="25" t="str">
        <f t="shared" ca="1" si="1071"/>
        <v/>
      </c>
      <c r="I9259" s="25" t="str">
        <f t="shared" ca="1" si="1072"/>
        <v/>
      </c>
      <c r="J9259" s="26" t="str">
        <f t="shared" si="1073"/>
        <v/>
      </c>
    </row>
    <row r="9260" spans="1:10" x14ac:dyDescent="0.25">
      <c r="A9260" t="s">
        <v>111</v>
      </c>
      <c r="B9260" t="str">
        <f>ADDRESS(ROW(Parcels!B532),COLUMN(Parcels!B532),4)</f>
        <v>B532</v>
      </c>
      <c r="C9260" t="str">
        <f>ADDRESS(ROW(Parcels!D532),COLUMN(Parcels!D532),4)</f>
        <v>D532</v>
      </c>
      <c r="D9260" t="b">
        <f>IF(AND(Parcels!$B$6="Yes",NOT(ISBLANK(Parcels!A532)),ISBLANK(Parcels!B532)),TRUE,FALSE)</f>
        <v>0</v>
      </c>
      <c r="E9260" t="s">
        <v>64</v>
      </c>
      <c r="F9260" t="str">
        <f>INDEX(Lists!I:I,MATCH(Validation!E9260,Lists!G:G,0))</f>
        <v>Error</v>
      </c>
      <c r="G9260" t="str">
        <f>INDEX(Lists!H:H,MATCH(Validation!E9260,Lists!G:G,0))</f>
        <v>You must make a selection from the dropdown list.</v>
      </c>
      <c r="H9260" s="25" t="str">
        <f t="shared" ca="1" si="1071"/>
        <v/>
      </c>
      <c r="I9260" s="25" t="str">
        <f t="shared" ca="1" si="1072"/>
        <v/>
      </c>
      <c r="J9260" s="26" t="str">
        <f t="shared" si="1073"/>
        <v/>
      </c>
    </row>
    <row r="9261" spans="1:10" x14ac:dyDescent="0.25">
      <c r="A9261" t="s">
        <v>111</v>
      </c>
      <c r="B9261" t="str">
        <f>ADDRESS(ROW(Parcels!B533),COLUMN(Parcels!B533),4)</f>
        <v>B533</v>
      </c>
      <c r="C9261" t="str">
        <f>ADDRESS(ROW(Parcels!D533),COLUMN(Parcels!D533),4)</f>
        <v>D533</v>
      </c>
      <c r="D9261" t="b">
        <f>IF(AND(Parcels!$B$6="Yes",NOT(ISBLANK(Parcels!A533)),ISBLANK(Parcels!B533)),TRUE,FALSE)</f>
        <v>0</v>
      </c>
      <c r="E9261" t="s">
        <v>64</v>
      </c>
      <c r="F9261" t="str">
        <f>INDEX(Lists!I:I,MATCH(Validation!E9261,Lists!G:G,0))</f>
        <v>Error</v>
      </c>
      <c r="G9261" t="str">
        <f>INDEX(Lists!H:H,MATCH(Validation!E9261,Lists!G:G,0))</f>
        <v>You must make a selection from the dropdown list.</v>
      </c>
      <c r="H9261" s="25" t="str">
        <f t="shared" ca="1" si="1071"/>
        <v/>
      </c>
      <c r="I9261" s="25" t="str">
        <f t="shared" ca="1" si="1072"/>
        <v/>
      </c>
      <c r="J9261" s="26" t="str">
        <f t="shared" si="1073"/>
        <v/>
      </c>
    </row>
    <row r="9262" spans="1:10" x14ac:dyDescent="0.25">
      <c r="A9262" t="s">
        <v>111</v>
      </c>
      <c r="B9262" t="str">
        <f>ADDRESS(ROW(Parcels!B534),COLUMN(Parcels!B534),4)</f>
        <v>B534</v>
      </c>
      <c r="C9262" t="str">
        <f>ADDRESS(ROW(Parcels!D534),COLUMN(Parcels!D534),4)</f>
        <v>D534</v>
      </c>
      <c r="D9262" t="b">
        <f>IF(AND(Parcels!$B$6="Yes",NOT(ISBLANK(Parcels!A534)),ISBLANK(Parcels!B534)),TRUE,FALSE)</f>
        <v>0</v>
      </c>
      <c r="E9262" t="s">
        <v>64</v>
      </c>
      <c r="F9262" t="str">
        <f>INDEX(Lists!I:I,MATCH(Validation!E9262,Lists!G:G,0))</f>
        <v>Error</v>
      </c>
      <c r="G9262" t="str">
        <f>INDEX(Lists!H:H,MATCH(Validation!E9262,Lists!G:G,0))</f>
        <v>You must make a selection from the dropdown list.</v>
      </c>
      <c r="H9262" s="25" t="str">
        <f t="shared" ca="1" si="1071"/>
        <v/>
      </c>
      <c r="I9262" s="25" t="str">
        <f t="shared" ca="1" si="1072"/>
        <v/>
      </c>
      <c r="J9262" s="26" t="str">
        <f t="shared" si="1073"/>
        <v/>
      </c>
    </row>
    <row r="9263" spans="1:10" x14ac:dyDescent="0.25">
      <c r="A9263" t="s">
        <v>111</v>
      </c>
      <c r="B9263" t="str">
        <f>ADDRESS(ROW(Parcels!B535),COLUMN(Parcels!B535),4)</f>
        <v>B535</v>
      </c>
      <c r="C9263" t="str">
        <f>ADDRESS(ROW(Parcels!D535),COLUMN(Parcels!D535),4)</f>
        <v>D535</v>
      </c>
      <c r="D9263" t="b">
        <f>IF(AND(Parcels!$B$6="Yes",NOT(ISBLANK(Parcels!A535)),ISBLANK(Parcels!B535)),TRUE,FALSE)</f>
        <v>0</v>
      </c>
      <c r="E9263" t="s">
        <v>64</v>
      </c>
      <c r="F9263" t="str">
        <f>INDEX(Lists!I:I,MATCH(Validation!E9263,Lists!G:G,0))</f>
        <v>Error</v>
      </c>
      <c r="G9263" t="str">
        <f>INDEX(Lists!H:H,MATCH(Validation!E9263,Lists!G:G,0))</f>
        <v>You must make a selection from the dropdown list.</v>
      </c>
      <c r="H9263" s="25" t="str">
        <f t="shared" ca="1" si="1071"/>
        <v/>
      </c>
      <c r="I9263" s="25" t="str">
        <f t="shared" ca="1" si="1072"/>
        <v/>
      </c>
      <c r="J9263" s="26" t="str">
        <f t="shared" si="1073"/>
        <v/>
      </c>
    </row>
    <row r="9264" spans="1:10" x14ac:dyDescent="0.25">
      <c r="A9264" t="s">
        <v>111</v>
      </c>
      <c r="B9264" t="str">
        <f>ADDRESS(ROW(Parcels!B536),COLUMN(Parcels!B536),4)</f>
        <v>B536</v>
      </c>
      <c r="C9264" t="str">
        <f>ADDRESS(ROW(Parcels!D536),COLUMN(Parcels!D536),4)</f>
        <v>D536</v>
      </c>
      <c r="D9264" t="b">
        <f>IF(AND(Parcels!$B$6="Yes",NOT(ISBLANK(Parcels!A536)),ISBLANK(Parcels!B536)),TRUE,FALSE)</f>
        <v>0</v>
      </c>
      <c r="E9264" t="s">
        <v>64</v>
      </c>
      <c r="F9264" t="str">
        <f>INDEX(Lists!I:I,MATCH(Validation!E9264,Lists!G:G,0))</f>
        <v>Error</v>
      </c>
      <c r="G9264" t="str">
        <f>INDEX(Lists!H:H,MATCH(Validation!E9264,Lists!G:G,0))</f>
        <v>You must make a selection from the dropdown list.</v>
      </c>
      <c r="H9264" s="25" t="str">
        <f t="shared" ca="1" si="1071"/>
        <v/>
      </c>
      <c r="I9264" s="25" t="str">
        <f t="shared" ca="1" si="1072"/>
        <v/>
      </c>
      <c r="J9264" s="26" t="str">
        <f t="shared" si="1073"/>
        <v/>
      </c>
    </row>
    <row r="9265" spans="1:10" x14ac:dyDescent="0.25">
      <c r="A9265" t="s">
        <v>111</v>
      </c>
      <c r="B9265" t="str">
        <f>ADDRESS(ROW(Parcels!B537),COLUMN(Parcels!B537),4)</f>
        <v>B537</v>
      </c>
      <c r="C9265" t="str">
        <f>ADDRESS(ROW(Parcels!D537),COLUMN(Parcels!D537),4)</f>
        <v>D537</v>
      </c>
      <c r="D9265" t="b">
        <f>IF(AND(Parcels!$B$6="Yes",NOT(ISBLANK(Parcels!A537)),ISBLANK(Parcels!B537)),TRUE,FALSE)</f>
        <v>0</v>
      </c>
      <c r="E9265" t="s">
        <v>64</v>
      </c>
      <c r="F9265" t="str">
        <f>INDEX(Lists!I:I,MATCH(Validation!E9265,Lists!G:G,0))</f>
        <v>Error</v>
      </c>
      <c r="G9265" t="str">
        <f>INDEX(Lists!H:H,MATCH(Validation!E9265,Lists!G:G,0))</f>
        <v>You must make a selection from the dropdown list.</v>
      </c>
      <c r="H9265" s="25" t="str">
        <f t="shared" ca="1" si="1071"/>
        <v/>
      </c>
      <c r="I9265" s="25" t="str">
        <f t="shared" ca="1" si="1072"/>
        <v/>
      </c>
      <c r="J9265" s="26" t="str">
        <f t="shared" si="1073"/>
        <v/>
      </c>
    </row>
    <row r="9266" spans="1:10" x14ac:dyDescent="0.25">
      <c r="A9266" t="s">
        <v>111</v>
      </c>
      <c r="B9266" t="str">
        <f>ADDRESS(ROW(Parcels!B538),COLUMN(Parcels!B538),4)</f>
        <v>B538</v>
      </c>
      <c r="C9266" t="str">
        <f>ADDRESS(ROW(Parcels!D538),COLUMN(Parcels!D538),4)</f>
        <v>D538</v>
      </c>
      <c r="D9266" t="b">
        <f>IF(AND(Parcels!$B$6="Yes",NOT(ISBLANK(Parcels!A538)),ISBLANK(Parcels!B538)),TRUE,FALSE)</f>
        <v>0</v>
      </c>
      <c r="E9266" t="s">
        <v>64</v>
      </c>
      <c r="F9266" t="str">
        <f>INDEX(Lists!I:I,MATCH(Validation!E9266,Lists!G:G,0))</f>
        <v>Error</v>
      </c>
      <c r="G9266" t="str">
        <f>INDEX(Lists!H:H,MATCH(Validation!E9266,Lists!G:G,0))</f>
        <v>You must make a selection from the dropdown list.</v>
      </c>
      <c r="H9266" s="25" t="str">
        <f t="shared" ca="1" si="1071"/>
        <v/>
      </c>
      <c r="I9266" s="25" t="str">
        <f t="shared" ca="1" si="1072"/>
        <v/>
      </c>
      <c r="J9266" s="26" t="str">
        <f t="shared" si="1073"/>
        <v/>
      </c>
    </row>
    <row r="9267" spans="1:10" x14ac:dyDescent="0.25">
      <c r="A9267" t="s">
        <v>111</v>
      </c>
      <c r="B9267" t="str">
        <f>ADDRESS(ROW(Parcels!B539),COLUMN(Parcels!B539),4)</f>
        <v>B539</v>
      </c>
      <c r="C9267" t="str">
        <f>ADDRESS(ROW(Parcels!D539),COLUMN(Parcels!D539),4)</f>
        <v>D539</v>
      </c>
      <c r="D9267" t="b">
        <f>IF(AND(Parcels!$B$6="Yes",NOT(ISBLANK(Parcels!A539)),ISBLANK(Parcels!B539)),TRUE,FALSE)</f>
        <v>0</v>
      </c>
      <c r="E9267" t="s">
        <v>64</v>
      </c>
      <c r="F9267" t="str">
        <f>INDEX(Lists!I:I,MATCH(Validation!E9267,Lists!G:G,0))</f>
        <v>Error</v>
      </c>
      <c r="G9267" t="str">
        <f>INDEX(Lists!H:H,MATCH(Validation!E9267,Lists!G:G,0))</f>
        <v>You must make a selection from the dropdown list.</v>
      </c>
      <c r="H9267" s="25" t="str">
        <f t="shared" ca="1" si="1071"/>
        <v/>
      </c>
      <c r="I9267" s="25" t="str">
        <f t="shared" ca="1" si="1072"/>
        <v/>
      </c>
      <c r="J9267" s="26" t="str">
        <f t="shared" si="1073"/>
        <v/>
      </c>
    </row>
    <row r="9268" spans="1:10" x14ac:dyDescent="0.25">
      <c r="A9268" t="s">
        <v>111</v>
      </c>
      <c r="B9268" t="str">
        <f>ADDRESS(ROW(Parcels!B540),COLUMN(Parcels!B540),4)</f>
        <v>B540</v>
      </c>
      <c r="C9268" t="str">
        <f>ADDRESS(ROW(Parcels!D540),COLUMN(Parcels!D540),4)</f>
        <v>D540</v>
      </c>
      <c r="D9268" t="b">
        <f>IF(AND(Parcels!$B$6="Yes",NOT(ISBLANK(Parcels!A540)),ISBLANK(Parcels!B540)),TRUE,FALSE)</f>
        <v>0</v>
      </c>
      <c r="E9268" t="s">
        <v>64</v>
      </c>
      <c r="F9268" t="str">
        <f>INDEX(Lists!I:I,MATCH(Validation!E9268,Lists!G:G,0))</f>
        <v>Error</v>
      </c>
      <c r="G9268" t="str">
        <f>INDEX(Lists!H:H,MATCH(Validation!E9268,Lists!G:G,0))</f>
        <v>You must make a selection from the dropdown list.</v>
      </c>
      <c r="H9268" s="25" t="str">
        <f t="shared" ca="1" si="1071"/>
        <v/>
      </c>
      <c r="I9268" s="25" t="str">
        <f t="shared" ca="1" si="1072"/>
        <v/>
      </c>
      <c r="J9268" s="26" t="str">
        <f t="shared" si="1073"/>
        <v/>
      </c>
    </row>
    <row r="9269" spans="1:10" x14ac:dyDescent="0.25">
      <c r="A9269" t="s">
        <v>111</v>
      </c>
      <c r="B9269" t="str">
        <f>ADDRESS(ROW(Parcels!B541),COLUMN(Parcels!B541),4)</f>
        <v>B541</v>
      </c>
      <c r="C9269" t="str">
        <f>ADDRESS(ROW(Parcels!D541),COLUMN(Parcels!D541),4)</f>
        <v>D541</v>
      </c>
      <c r="D9269" t="b">
        <f>IF(AND(Parcels!$B$6="Yes",NOT(ISBLANK(Parcels!A541)),ISBLANK(Parcels!B541)),TRUE,FALSE)</f>
        <v>0</v>
      </c>
      <c r="E9269" t="s">
        <v>64</v>
      </c>
      <c r="F9269" t="str">
        <f>INDEX(Lists!I:I,MATCH(Validation!E9269,Lists!G:G,0))</f>
        <v>Error</v>
      </c>
      <c r="G9269" t="str">
        <f>INDEX(Lists!H:H,MATCH(Validation!E9269,Lists!G:G,0))</f>
        <v>You must make a selection from the dropdown list.</v>
      </c>
      <c r="H9269" s="25" t="str">
        <f t="shared" ca="1" si="1071"/>
        <v/>
      </c>
      <c r="I9269" s="25" t="str">
        <f t="shared" ca="1" si="1072"/>
        <v/>
      </c>
      <c r="J9269" s="26" t="str">
        <f t="shared" si="1073"/>
        <v/>
      </c>
    </row>
    <row r="9270" spans="1:10" x14ac:dyDescent="0.25">
      <c r="A9270" t="s">
        <v>111</v>
      </c>
      <c r="B9270" t="str">
        <f>ADDRESS(ROW(Parcels!B542),COLUMN(Parcels!B542),4)</f>
        <v>B542</v>
      </c>
      <c r="C9270" t="str">
        <f>ADDRESS(ROW(Parcels!D542),COLUMN(Parcels!D542),4)</f>
        <v>D542</v>
      </c>
      <c r="D9270" t="b">
        <f>IF(AND(Parcels!$B$6="Yes",NOT(ISBLANK(Parcels!A542)),ISBLANK(Parcels!B542)),TRUE,FALSE)</f>
        <v>0</v>
      </c>
      <c r="E9270" t="s">
        <v>64</v>
      </c>
      <c r="F9270" t="str">
        <f>INDEX(Lists!I:I,MATCH(Validation!E9270,Lists!G:G,0))</f>
        <v>Error</v>
      </c>
      <c r="G9270" t="str">
        <f>INDEX(Lists!H:H,MATCH(Validation!E9270,Lists!G:G,0))</f>
        <v>You must make a selection from the dropdown list.</v>
      </c>
      <c r="H9270" s="25" t="str">
        <f t="shared" ca="1" si="1071"/>
        <v/>
      </c>
      <c r="I9270" s="25" t="str">
        <f t="shared" ca="1" si="1072"/>
        <v/>
      </c>
      <c r="J9270" s="26" t="str">
        <f t="shared" si="1073"/>
        <v/>
      </c>
    </row>
    <row r="9271" spans="1:10" x14ac:dyDescent="0.25">
      <c r="A9271" t="s">
        <v>111</v>
      </c>
      <c r="B9271" t="str">
        <f>ADDRESS(ROW(Parcels!B543),COLUMN(Parcels!B543),4)</f>
        <v>B543</v>
      </c>
      <c r="C9271" t="str">
        <f>ADDRESS(ROW(Parcels!D543),COLUMN(Parcels!D543),4)</f>
        <v>D543</v>
      </c>
      <c r="D9271" t="b">
        <f>IF(AND(Parcels!$B$6="Yes",NOT(ISBLANK(Parcels!A543)),ISBLANK(Parcels!B543)),TRUE,FALSE)</f>
        <v>0</v>
      </c>
      <c r="E9271" t="s">
        <v>64</v>
      </c>
      <c r="F9271" t="str">
        <f>INDEX(Lists!I:I,MATCH(Validation!E9271,Lists!G:G,0))</f>
        <v>Error</v>
      </c>
      <c r="G9271" t="str">
        <f>INDEX(Lists!H:H,MATCH(Validation!E9271,Lists!G:G,0))</f>
        <v>You must make a selection from the dropdown list.</v>
      </c>
      <c r="H9271" s="25" t="str">
        <f t="shared" ca="1" si="1071"/>
        <v/>
      </c>
      <c r="I9271" s="25" t="str">
        <f t="shared" ca="1" si="1072"/>
        <v/>
      </c>
      <c r="J9271" s="26" t="str">
        <f t="shared" si="1073"/>
        <v/>
      </c>
    </row>
    <row r="9272" spans="1:10" x14ac:dyDescent="0.25">
      <c r="A9272" t="s">
        <v>111</v>
      </c>
      <c r="B9272" t="str">
        <f>ADDRESS(ROW(Parcels!B544),COLUMN(Parcels!B544),4)</f>
        <v>B544</v>
      </c>
      <c r="C9272" t="str">
        <f>ADDRESS(ROW(Parcels!D544),COLUMN(Parcels!D544),4)</f>
        <v>D544</v>
      </c>
      <c r="D9272" t="b">
        <f>IF(AND(Parcels!$B$6="Yes",NOT(ISBLANK(Parcels!A544)),ISBLANK(Parcels!B544)),TRUE,FALSE)</f>
        <v>0</v>
      </c>
      <c r="E9272" t="s">
        <v>64</v>
      </c>
      <c r="F9272" t="str">
        <f>INDEX(Lists!I:I,MATCH(Validation!E9272,Lists!G:G,0))</f>
        <v>Error</v>
      </c>
      <c r="G9272" t="str">
        <f>INDEX(Lists!H:H,MATCH(Validation!E9272,Lists!G:G,0))</f>
        <v>You must make a selection from the dropdown list.</v>
      </c>
      <c r="H9272" s="25" t="str">
        <f t="shared" ca="1" si="1071"/>
        <v/>
      </c>
      <c r="I9272" s="25" t="str">
        <f t="shared" ca="1" si="1072"/>
        <v/>
      </c>
      <c r="J9272" s="26" t="str">
        <f t="shared" si="1073"/>
        <v/>
      </c>
    </row>
    <row r="9273" spans="1:10" x14ac:dyDescent="0.25">
      <c r="A9273" t="s">
        <v>111</v>
      </c>
      <c r="B9273" t="str">
        <f>ADDRESS(ROW(Parcels!B545),COLUMN(Parcels!B545),4)</f>
        <v>B545</v>
      </c>
      <c r="C9273" t="str">
        <f>ADDRESS(ROW(Parcels!D545),COLUMN(Parcels!D545),4)</f>
        <v>D545</v>
      </c>
      <c r="D9273" t="b">
        <f>IF(AND(Parcels!$B$6="Yes",NOT(ISBLANK(Parcels!A545)),ISBLANK(Parcels!B545)),TRUE,FALSE)</f>
        <v>0</v>
      </c>
      <c r="E9273" t="s">
        <v>64</v>
      </c>
      <c r="F9273" t="str">
        <f>INDEX(Lists!I:I,MATCH(Validation!E9273,Lists!G:G,0))</f>
        <v>Error</v>
      </c>
      <c r="G9273" t="str">
        <f>INDEX(Lists!H:H,MATCH(Validation!E9273,Lists!G:G,0))</f>
        <v>You must make a selection from the dropdown list.</v>
      </c>
      <c r="H9273" s="25" t="str">
        <f t="shared" ca="1" si="1071"/>
        <v/>
      </c>
      <c r="I9273" s="25" t="str">
        <f t="shared" ca="1" si="1072"/>
        <v/>
      </c>
      <c r="J9273" s="26" t="str">
        <f t="shared" si="1073"/>
        <v/>
      </c>
    </row>
    <row r="9274" spans="1:10" x14ac:dyDescent="0.25">
      <c r="A9274" t="s">
        <v>111</v>
      </c>
      <c r="B9274" t="str">
        <f>ADDRESS(ROW(Parcels!B546),COLUMN(Parcels!B546),4)</f>
        <v>B546</v>
      </c>
      <c r="C9274" t="str">
        <f>ADDRESS(ROW(Parcels!D546),COLUMN(Parcels!D546),4)</f>
        <v>D546</v>
      </c>
      <c r="D9274" t="b">
        <f>IF(AND(Parcels!$B$6="Yes",NOT(ISBLANK(Parcels!A546)),ISBLANK(Parcels!B546)),TRUE,FALSE)</f>
        <v>0</v>
      </c>
      <c r="E9274" t="s">
        <v>64</v>
      </c>
      <c r="F9274" t="str">
        <f>INDEX(Lists!I:I,MATCH(Validation!E9274,Lists!G:G,0))</f>
        <v>Error</v>
      </c>
      <c r="G9274" t="str">
        <f>INDEX(Lists!H:H,MATCH(Validation!E9274,Lists!G:G,0))</f>
        <v>You must make a selection from the dropdown list.</v>
      </c>
      <c r="H9274" s="25" t="str">
        <f t="shared" ca="1" si="1071"/>
        <v/>
      </c>
      <c r="I9274" s="25" t="str">
        <f t="shared" ca="1" si="1072"/>
        <v/>
      </c>
      <c r="J9274" s="26" t="str">
        <f t="shared" si="1073"/>
        <v/>
      </c>
    </row>
    <row r="9275" spans="1:10" x14ac:dyDescent="0.25">
      <c r="A9275" t="s">
        <v>111</v>
      </c>
      <c r="B9275" t="str">
        <f>ADDRESS(ROW(Parcels!B547),COLUMN(Parcels!B547),4)</f>
        <v>B547</v>
      </c>
      <c r="C9275" t="str">
        <f>ADDRESS(ROW(Parcels!D547),COLUMN(Parcels!D547),4)</f>
        <v>D547</v>
      </c>
      <c r="D9275" t="b">
        <f>IF(AND(Parcels!$B$6="Yes",NOT(ISBLANK(Parcels!A547)),ISBLANK(Parcels!B547)),TRUE,FALSE)</f>
        <v>0</v>
      </c>
      <c r="E9275" t="s">
        <v>64</v>
      </c>
      <c r="F9275" t="str">
        <f>INDEX(Lists!I:I,MATCH(Validation!E9275,Lists!G:G,0))</f>
        <v>Error</v>
      </c>
      <c r="G9275" t="str">
        <f>INDEX(Lists!H:H,MATCH(Validation!E9275,Lists!G:G,0))</f>
        <v>You must make a selection from the dropdown list.</v>
      </c>
      <c r="H9275" s="25" t="str">
        <f t="shared" ca="1" si="1071"/>
        <v/>
      </c>
      <c r="I9275" s="25" t="str">
        <f t="shared" ca="1" si="1072"/>
        <v/>
      </c>
      <c r="J9275" s="26" t="str">
        <f t="shared" si="1073"/>
        <v/>
      </c>
    </row>
    <row r="9276" spans="1:10" x14ac:dyDescent="0.25">
      <c r="A9276" t="s">
        <v>111</v>
      </c>
      <c r="B9276" t="str">
        <f>ADDRESS(ROW(Parcels!B548),COLUMN(Parcels!B548),4)</f>
        <v>B548</v>
      </c>
      <c r="C9276" t="str">
        <f>ADDRESS(ROW(Parcels!D548),COLUMN(Parcels!D548),4)</f>
        <v>D548</v>
      </c>
      <c r="D9276" t="b">
        <f>IF(AND(Parcels!$B$6="Yes",NOT(ISBLANK(Parcels!A548)),ISBLANK(Parcels!B548)),TRUE,FALSE)</f>
        <v>0</v>
      </c>
      <c r="E9276" t="s">
        <v>64</v>
      </c>
      <c r="F9276" t="str">
        <f>INDEX(Lists!I:I,MATCH(Validation!E9276,Lists!G:G,0))</f>
        <v>Error</v>
      </c>
      <c r="G9276" t="str">
        <f>INDEX(Lists!H:H,MATCH(Validation!E9276,Lists!G:G,0))</f>
        <v>You must make a selection from the dropdown list.</v>
      </c>
      <c r="H9276" s="25" t="str">
        <f t="shared" ca="1" si="1071"/>
        <v/>
      </c>
      <c r="I9276" s="25" t="str">
        <f t="shared" ca="1" si="1072"/>
        <v/>
      </c>
      <c r="J9276" s="26" t="str">
        <f t="shared" si="1073"/>
        <v/>
      </c>
    </row>
    <row r="9277" spans="1:10" x14ac:dyDescent="0.25">
      <c r="A9277" t="s">
        <v>111</v>
      </c>
      <c r="B9277" t="str">
        <f>ADDRESS(ROW(Parcels!B549),COLUMN(Parcels!B549),4)</f>
        <v>B549</v>
      </c>
      <c r="C9277" t="str">
        <f>ADDRESS(ROW(Parcels!D549),COLUMN(Parcels!D549),4)</f>
        <v>D549</v>
      </c>
      <c r="D9277" t="b">
        <f>IF(AND(Parcels!$B$6="Yes",NOT(ISBLANK(Parcels!A549)),ISBLANK(Parcels!B549)),TRUE,FALSE)</f>
        <v>0</v>
      </c>
      <c r="E9277" t="s">
        <v>64</v>
      </c>
      <c r="F9277" t="str">
        <f>INDEX(Lists!I:I,MATCH(Validation!E9277,Lists!G:G,0))</f>
        <v>Error</v>
      </c>
      <c r="G9277" t="str">
        <f>INDEX(Lists!H:H,MATCH(Validation!E9277,Lists!G:G,0))</f>
        <v>You must make a selection from the dropdown list.</v>
      </c>
      <c r="H9277" s="25" t="str">
        <f t="shared" ca="1" si="1071"/>
        <v/>
      </c>
      <c r="I9277" s="25" t="str">
        <f t="shared" ca="1" si="1072"/>
        <v/>
      </c>
      <c r="J9277" s="26" t="str">
        <f t="shared" si="1073"/>
        <v/>
      </c>
    </row>
    <row r="9278" spans="1:10" x14ac:dyDescent="0.25">
      <c r="A9278" t="s">
        <v>111</v>
      </c>
      <c r="B9278" t="str">
        <f>ADDRESS(ROW(Parcels!B550),COLUMN(Parcels!B550),4)</f>
        <v>B550</v>
      </c>
      <c r="C9278" t="str">
        <f>ADDRESS(ROW(Parcels!D550),COLUMN(Parcels!D550),4)</f>
        <v>D550</v>
      </c>
      <c r="D9278" t="b">
        <f>IF(AND(Parcels!$B$6="Yes",NOT(ISBLANK(Parcels!A550)),ISBLANK(Parcels!B550)),TRUE,FALSE)</f>
        <v>0</v>
      </c>
      <c r="E9278" t="s">
        <v>64</v>
      </c>
      <c r="F9278" t="str">
        <f>INDEX(Lists!I:I,MATCH(Validation!E9278,Lists!G:G,0))</f>
        <v>Error</v>
      </c>
      <c r="G9278" t="str">
        <f>INDEX(Lists!H:H,MATCH(Validation!E9278,Lists!G:G,0))</f>
        <v>You must make a selection from the dropdown list.</v>
      </c>
      <c r="H9278" s="25" t="str">
        <f t="shared" ca="1" si="1071"/>
        <v/>
      </c>
      <c r="I9278" s="25" t="str">
        <f t="shared" ca="1" si="1072"/>
        <v/>
      </c>
      <c r="J9278" s="26" t="str">
        <f t="shared" si="1073"/>
        <v/>
      </c>
    </row>
    <row r="9279" spans="1:10" x14ac:dyDescent="0.25">
      <c r="A9279" t="s">
        <v>111</v>
      </c>
      <c r="B9279" t="str">
        <f>ADDRESS(ROW(Parcels!B551),COLUMN(Parcels!B551),4)</f>
        <v>B551</v>
      </c>
      <c r="C9279" t="str">
        <f>ADDRESS(ROW(Parcels!D551),COLUMN(Parcels!D551),4)</f>
        <v>D551</v>
      </c>
      <c r="D9279" t="b">
        <f>IF(AND(Parcels!$B$6="Yes",NOT(ISBLANK(Parcels!A551)),ISBLANK(Parcels!B551)),TRUE,FALSE)</f>
        <v>0</v>
      </c>
      <c r="E9279" t="s">
        <v>64</v>
      </c>
      <c r="F9279" t="str">
        <f>INDEX(Lists!I:I,MATCH(Validation!E9279,Lists!G:G,0))</f>
        <v>Error</v>
      </c>
      <c r="G9279" t="str">
        <f>INDEX(Lists!H:H,MATCH(Validation!E9279,Lists!G:G,0))</f>
        <v>You must make a selection from the dropdown list.</v>
      </c>
      <c r="H9279" s="25" t="str">
        <f t="shared" ca="1" si="1071"/>
        <v/>
      </c>
      <c r="I9279" s="25" t="str">
        <f t="shared" ca="1" si="1072"/>
        <v/>
      </c>
      <c r="J9279" s="26" t="str">
        <f t="shared" si="1073"/>
        <v/>
      </c>
    </row>
    <row r="9280" spans="1:10" x14ac:dyDescent="0.25">
      <c r="A9280" t="s">
        <v>111</v>
      </c>
      <c r="B9280" t="str">
        <f>ADDRESS(ROW(Parcels!B552),COLUMN(Parcels!B552),4)</f>
        <v>B552</v>
      </c>
      <c r="C9280" t="str">
        <f>ADDRESS(ROW(Parcels!D552),COLUMN(Parcels!D552),4)</f>
        <v>D552</v>
      </c>
      <c r="D9280" t="b">
        <f>IF(AND(Parcels!$B$6="Yes",NOT(ISBLANK(Parcels!A552)),ISBLANK(Parcels!B552)),TRUE,FALSE)</f>
        <v>0</v>
      </c>
      <c r="E9280" t="s">
        <v>64</v>
      </c>
      <c r="F9280" t="str">
        <f>INDEX(Lists!I:I,MATCH(Validation!E9280,Lists!G:G,0))</f>
        <v>Error</v>
      </c>
      <c r="G9280" t="str">
        <f>INDEX(Lists!H:H,MATCH(Validation!E9280,Lists!G:G,0))</f>
        <v>You must make a selection from the dropdown list.</v>
      </c>
      <c r="H9280" s="25" t="str">
        <f t="shared" ca="1" si="1071"/>
        <v/>
      </c>
      <c r="I9280" s="25" t="str">
        <f t="shared" ca="1" si="1072"/>
        <v/>
      </c>
      <c r="J9280" s="26" t="str">
        <f t="shared" si="1073"/>
        <v/>
      </c>
    </row>
    <row r="9281" spans="1:10" x14ac:dyDescent="0.25">
      <c r="A9281" t="s">
        <v>111</v>
      </c>
      <c r="B9281" t="str">
        <f>ADDRESS(ROW(Parcels!B553),COLUMN(Parcels!B553),4)</f>
        <v>B553</v>
      </c>
      <c r="C9281" t="str">
        <f>ADDRESS(ROW(Parcels!D553),COLUMN(Parcels!D553),4)</f>
        <v>D553</v>
      </c>
      <c r="D9281" t="b">
        <f>IF(AND(Parcels!$B$6="Yes",NOT(ISBLANK(Parcels!A553)),ISBLANK(Parcels!B553)),TRUE,FALSE)</f>
        <v>0</v>
      </c>
      <c r="E9281" t="s">
        <v>64</v>
      </c>
      <c r="F9281" t="str">
        <f>INDEX(Lists!I:I,MATCH(Validation!E9281,Lists!G:G,0))</f>
        <v>Error</v>
      </c>
      <c r="G9281" t="str">
        <f>INDEX(Lists!H:H,MATCH(Validation!E9281,Lists!G:G,0))</f>
        <v>You must make a selection from the dropdown list.</v>
      </c>
      <c r="H9281" s="25" t="str">
        <f t="shared" ca="1" si="1071"/>
        <v/>
      </c>
      <c r="I9281" s="25" t="str">
        <f t="shared" ca="1" si="1072"/>
        <v/>
      </c>
      <c r="J9281" s="26" t="str">
        <f t="shared" si="1073"/>
        <v/>
      </c>
    </row>
    <row r="9282" spans="1:10" x14ac:dyDescent="0.25">
      <c r="A9282" t="s">
        <v>111</v>
      </c>
      <c r="B9282" t="str">
        <f>ADDRESS(ROW(Parcels!B554),COLUMN(Parcels!B554),4)</f>
        <v>B554</v>
      </c>
      <c r="C9282" t="str">
        <f>ADDRESS(ROW(Parcels!D554),COLUMN(Parcels!D554),4)</f>
        <v>D554</v>
      </c>
      <c r="D9282" t="b">
        <f>IF(AND(Parcels!$B$6="Yes",NOT(ISBLANK(Parcels!A554)),ISBLANK(Parcels!B554)),TRUE,FALSE)</f>
        <v>0</v>
      </c>
      <c r="E9282" t="s">
        <v>64</v>
      </c>
      <c r="F9282" t="str">
        <f>INDEX(Lists!I:I,MATCH(Validation!E9282,Lists!G:G,0))</f>
        <v>Error</v>
      </c>
      <c r="G9282" t="str">
        <f>INDEX(Lists!H:H,MATCH(Validation!E9282,Lists!G:G,0))</f>
        <v>You must make a selection from the dropdown list.</v>
      </c>
      <c r="H9282" s="25" t="str">
        <f t="shared" ca="1" si="1071"/>
        <v/>
      </c>
      <c r="I9282" s="25" t="str">
        <f t="shared" ca="1" si="1072"/>
        <v/>
      </c>
      <c r="J9282" s="26" t="str">
        <f t="shared" si="1073"/>
        <v/>
      </c>
    </row>
    <row r="9283" spans="1:10" x14ac:dyDescent="0.25">
      <c r="A9283" t="s">
        <v>111</v>
      </c>
      <c r="B9283" t="str">
        <f>ADDRESS(ROW(Parcels!B555),COLUMN(Parcels!B555),4)</f>
        <v>B555</v>
      </c>
      <c r="C9283" t="str">
        <f>ADDRESS(ROW(Parcels!D555),COLUMN(Parcels!D555),4)</f>
        <v>D555</v>
      </c>
      <c r="D9283" t="b">
        <f>IF(AND(Parcels!$B$6="Yes",NOT(ISBLANK(Parcels!A555)),ISBLANK(Parcels!B555)),TRUE,FALSE)</f>
        <v>0</v>
      </c>
      <c r="E9283" t="s">
        <v>64</v>
      </c>
      <c r="F9283" t="str">
        <f>INDEX(Lists!I:I,MATCH(Validation!E9283,Lists!G:G,0))</f>
        <v>Error</v>
      </c>
      <c r="G9283" t="str">
        <f>INDEX(Lists!H:H,MATCH(Validation!E9283,Lists!G:G,0))</f>
        <v>You must make a selection from the dropdown list.</v>
      </c>
      <c r="H9283" s="25" t="str">
        <f t="shared" ca="1" si="1071"/>
        <v/>
      </c>
      <c r="I9283" s="25" t="str">
        <f t="shared" ca="1" si="1072"/>
        <v/>
      </c>
      <c r="J9283" s="26" t="str">
        <f t="shared" si="1073"/>
        <v/>
      </c>
    </row>
    <row r="9284" spans="1:10" x14ac:dyDescent="0.25">
      <c r="A9284" t="s">
        <v>111</v>
      </c>
      <c r="B9284" t="str">
        <f>ADDRESS(ROW(Parcels!B556),COLUMN(Parcels!B556),4)</f>
        <v>B556</v>
      </c>
      <c r="C9284" t="str">
        <f>ADDRESS(ROW(Parcels!D556),COLUMN(Parcels!D556),4)</f>
        <v>D556</v>
      </c>
      <c r="D9284" t="b">
        <f>IF(AND(Parcels!$B$6="Yes",NOT(ISBLANK(Parcels!A556)),ISBLANK(Parcels!B556)),TRUE,FALSE)</f>
        <v>0</v>
      </c>
      <c r="E9284" t="s">
        <v>64</v>
      </c>
      <c r="F9284" t="str">
        <f>INDEX(Lists!I:I,MATCH(Validation!E9284,Lists!G:G,0))</f>
        <v>Error</v>
      </c>
      <c r="G9284" t="str">
        <f>INDEX(Lists!H:H,MATCH(Validation!E9284,Lists!G:G,0))</f>
        <v>You must make a selection from the dropdown list.</v>
      </c>
      <c r="H9284" s="25" t="str">
        <f t="shared" ca="1" si="1071"/>
        <v/>
      </c>
      <c r="I9284" s="25" t="str">
        <f t="shared" ca="1" si="1072"/>
        <v/>
      </c>
      <c r="J9284" s="26" t="str">
        <f t="shared" si="1073"/>
        <v/>
      </c>
    </row>
    <row r="9285" spans="1:10" x14ac:dyDescent="0.25">
      <c r="A9285" t="s">
        <v>111</v>
      </c>
      <c r="B9285" t="str">
        <f>ADDRESS(ROW(Parcels!B557),COLUMN(Parcels!B557),4)</f>
        <v>B557</v>
      </c>
      <c r="C9285" t="str">
        <f>ADDRESS(ROW(Parcels!D557),COLUMN(Parcels!D557),4)</f>
        <v>D557</v>
      </c>
      <c r="D9285" t="b">
        <f>IF(AND(Parcels!$B$6="Yes",NOT(ISBLANK(Parcels!A557)),ISBLANK(Parcels!B557)),TRUE,FALSE)</f>
        <v>0</v>
      </c>
      <c r="E9285" t="s">
        <v>64</v>
      </c>
      <c r="F9285" t="str">
        <f>INDEX(Lists!I:I,MATCH(Validation!E9285,Lists!G:G,0))</f>
        <v>Error</v>
      </c>
      <c r="G9285" t="str">
        <f>INDEX(Lists!H:H,MATCH(Validation!E9285,Lists!G:G,0))</f>
        <v>You must make a selection from the dropdown list.</v>
      </c>
      <c r="H9285" s="25" t="str">
        <f t="shared" ca="1" si="1071"/>
        <v/>
      </c>
      <c r="I9285" s="25" t="str">
        <f t="shared" ca="1" si="1072"/>
        <v/>
      </c>
      <c r="J9285" s="26" t="str">
        <f t="shared" si="1073"/>
        <v/>
      </c>
    </row>
    <row r="9286" spans="1:10" x14ac:dyDescent="0.25">
      <c r="A9286" t="s">
        <v>111</v>
      </c>
      <c r="B9286" t="str">
        <f>ADDRESS(ROW(Parcels!B558),COLUMN(Parcels!B558),4)</f>
        <v>B558</v>
      </c>
      <c r="C9286" t="str">
        <f>ADDRESS(ROW(Parcels!D558),COLUMN(Parcels!D558),4)</f>
        <v>D558</v>
      </c>
      <c r="D9286" t="b">
        <f>IF(AND(Parcels!$B$6="Yes",NOT(ISBLANK(Parcels!A558)),ISBLANK(Parcels!B558)),TRUE,FALSE)</f>
        <v>0</v>
      </c>
      <c r="E9286" t="s">
        <v>64</v>
      </c>
      <c r="F9286" t="str">
        <f>INDEX(Lists!I:I,MATCH(Validation!E9286,Lists!G:G,0))</f>
        <v>Error</v>
      </c>
      <c r="G9286" t="str">
        <f>INDEX(Lists!H:H,MATCH(Validation!E9286,Lists!G:G,0))</f>
        <v>You must make a selection from the dropdown list.</v>
      </c>
      <c r="H9286" s="25" t="str">
        <f t="shared" ca="1" si="1071"/>
        <v/>
      </c>
      <c r="I9286" s="25" t="str">
        <f t="shared" ca="1" si="1072"/>
        <v/>
      </c>
      <c r="J9286" s="26" t="str">
        <f t="shared" si="1073"/>
        <v/>
      </c>
    </row>
    <row r="9287" spans="1:10" x14ac:dyDescent="0.25">
      <c r="A9287" t="s">
        <v>111</v>
      </c>
      <c r="B9287" t="str">
        <f>ADDRESS(ROW(Parcels!B559),COLUMN(Parcels!B559),4)</f>
        <v>B559</v>
      </c>
      <c r="C9287" t="str">
        <f>ADDRESS(ROW(Parcels!D559),COLUMN(Parcels!D559),4)</f>
        <v>D559</v>
      </c>
      <c r="D9287" t="b">
        <f>IF(AND(Parcels!$B$6="Yes",NOT(ISBLANK(Parcels!A559)),ISBLANK(Parcels!B559)),TRUE,FALSE)</f>
        <v>0</v>
      </c>
      <c r="E9287" t="s">
        <v>64</v>
      </c>
      <c r="F9287" t="str">
        <f>INDEX(Lists!I:I,MATCH(Validation!E9287,Lists!G:G,0))</f>
        <v>Error</v>
      </c>
      <c r="G9287" t="str">
        <f>INDEX(Lists!H:H,MATCH(Validation!E9287,Lists!G:G,0))</f>
        <v>You must make a selection from the dropdown list.</v>
      </c>
      <c r="H9287" s="25" t="str">
        <f t="shared" ca="1" si="1071"/>
        <v/>
      </c>
      <c r="I9287" s="25" t="str">
        <f t="shared" ca="1" si="1072"/>
        <v/>
      </c>
      <c r="J9287" s="26" t="str">
        <f t="shared" si="1073"/>
        <v/>
      </c>
    </row>
    <row r="9288" spans="1:10" x14ac:dyDescent="0.25">
      <c r="A9288" t="s">
        <v>111</v>
      </c>
      <c r="B9288" t="str">
        <f>ADDRESS(ROW(Parcels!B560),COLUMN(Parcels!B560),4)</f>
        <v>B560</v>
      </c>
      <c r="C9288" t="str">
        <f>ADDRESS(ROW(Parcels!D560),COLUMN(Parcels!D560),4)</f>
        <v>D560</v>
      </c>
      <c r="D9288" t="b">
        <f>IF(AND(Parcels!$B$6="Yes",NOT(ISBLANK(Parcels!A560)),ISBLANK(Parcels!B560)),TRUE,FALSE)</f>
        <v>0</v>
      </c>
      <c r="E9288" t="s">
        <v>64</v>
      </c>
      <c r="F9288" t="str">
        <f>INDEX(Lists!I:I,MATCH(Validation!E9288,Lists!G:G,0))</f>
        <v>Error</v>
      </c>
      <c r="G9288" t="str">
        <f>INDEX(Lists!H:H,MATCH(Validation!E9288,Lists!G:G,0))</f>
        <v>You must make a selection from the dropdown list.</v>
      </c>
      <c r="H9288" s="25" t="str">
        <f t="shared" ca="1" si="1071"/>
        <v/>
      </c>
      <c r="I9288" s="25" t="str">
        <f t="shared" ca="1" si="1072"/>
        <v/>
      </c>
      <c r="J9288" s="26" t="str">
        <f t="shared" si="1073"/>
        <v/>
      </c>
    </row>
    <row r="9289" spans="1:10" x14ac:dyDescent="0.25">
      <c r="A9289" t="s">
        <v>111</v>
      </c>
      <c r="B9289" t="str">
        <f>ADDRESS(ROW(Parcels!B561),COLUMN(Parcels!B561),4)</f>
        <v>B561</v>
      </c>
      <c r="C9289" t="str">
        <f>ADDRESS(ROW(Parcels!D561),COLUMN(Parcels!D561),4)</f>
        <v>D561</v>
      </c>
      <c r="D9289" t="b">
        <f>IF(AND(Parcels!$B$6="Yes",NOT(ISBLANK(Parcels!A561)),ISBLANK(Parcels!B561)),TRUE,FALSE)</f>
        <v>0</v>
      </c>
      <c r="E9289" t="s">
        <v>64</v>
      </c>
      <c r="F9289" t="str">
        <f>INDEX(Lists!I:I,MATCH(Validation!E9289,Lists!G:G,0))</f>
        <v>Error</v>
      </c>
      <c r="G9289" t="str">
        <f>INDEX(Lists!H:H,MATCH(Validation!E9289,Lists!G:G,0))</f>
        <v>You must make a selection from the dropdown list.</v>
      </c>
      <c r="H9289" s="25" t="str">
        <f t="shared" ca="1" si="1071"/>
        <v/>
      </c>
      <c r="I9289" s="25" t="str">
        <f t="shared" ca="1" si="1072"/>
        <v/>
      </c>
      <c r="J9289" s="26" t="str">
        <f t="shared" si="1073"/>
        <v/>
      </c>
    </row>
    <row r="9290" spans="1:10" x14ac:dyDescent="0.25">
      <c r="A9290" t="s">
        <v>111</v>
      </c>
      <c r="B9290" t="str">
        <f>ADDRESS(ROW(Parcels!B562),COLUMN(Parcels!B562),4)</f>
        <v>B562</v>
      </c>
      <c r="C9290" t="str">
        <f>ADDRESS(ROW(Parcels!D562),COLUMN(Parcels!D562),4)</f>
        <v>D562</v>
      </c>
      <c r="D9290" t="b">
        <f>IF(AND(Parcels!$B$6="Yes",NOT(ISBLANK(Parcels!A562)),ISBLANK(Parcels!B562)),TRUE,FALSE)</f>
        <v>0</v>
      </c>
      <c r="E9290" t="s">
        <v>64</v>
      </c>
      <c r="F9290" t="str">
        <f>INDEX(Lists!I:I,MATCH(Validation!E9290,Lists!G:G,0))</f>
        <v>Error</v>
      </c>
      <c r="G9290" t="str">
        <f>INDEX(Lists!H:H,MATCH(Validation!E9290,Lists!G:G,0))</f>
        <v>You must make a selection from the dropdown list.</v>
      </c>
      <c r="H9290" s="25" t="str">
        <f t="shared" ca="1" si="1071"/>
        <v/>
      </c>
      <c r="I9290" s="25" t="str">
        <f t="shared" ca="1" si="1072"/>
        <v/>
      </c>
      <c r="J9290" s="26" t="str">
        <f t="shared" si="1073"/>
        <v/>
      </c>
    </row>
    <row r="9291" spans="1:10" x14ac:dyDescent="0.25">
      <c r="A9291" t="s">
        <v>111</v>
      </c>
      <c r="B9291" t="str">
        <f>ADDRESS(ROW(Parcels!B563),COLUMN(Parcels!B563),4)</f>
        <v>B563</v>
      </c>
      <c r="C9291" t="str">
        <f>ADDRESS(ROW(Parcels!D563),COLUMN(Parcels!D563),4)</f>
        <v>D563</v>
      </c>
      <c r="D9291" t="b">
        <f>IF(AND(Parcels!$B$6="Yes",NOT(ISBLANK(Parcels!A563)),ISBLANK(Parcels!B563)),TRUE,FALSE)</f>
        <v>0</v>
      </c>
      <c r="E9291" t="s">
        <v>64</v>
      </c>
      <c r="F9291" t="str">
        <f>INDEX(Lists!I:I,MATCH(Validation!E9291,Lists!G:G,0))</f>
        <v>Error</v>
      </c>
      <c r="G9291" t="str">
        <f>INDEX(Lists!H:H,MATCH(Validation!E9291,Lists!G:G,0))</f>
        <v>You must make a selection from the dropdown list.</v>
      </c>
      <c r="H9291" s="25" t="str">
        <f t="shared" ca="1" si="1071"/>
        <v/>
      </c>
      <c r="I9291" s="25" t="str">
        <f t="shared" ca="1" si="1072"/>
        <v/>
      </c>
      <c r="J9291" s="26" t="str">
        <f t="shared" si="1073"/>
        <v/>
      </c>
    </row>
    <row r="9292" spans="1:10" x14ac:dyDescent="0.25">
      <c r="A9292" t="s">
        <v>111</v>
      </c>
      <c r="B9292" t="str">
        <f>ADDRESS(ROW(Parcels!B564),COLUMN(Parcels!B564),4)</f>
        <v>B564</v>
      </c>
      <c r="C9292" t="str">
        <f>ADDRESS(ROW(Parcels!D564),COLUMN(Parcels!D564),4)</f>
        <v>D564</v>
      </c>
      <c r="D9292" t="b">
        <f>IF(AND(Parcels!$B$6="Yes",NOT(ISBLANK(Parcels!A564)),ISBLANK(Parcels!B564)),TRUE,FALSE)</f>
        <v>0</v>
      </c>
      <c r="E9292" t="s">
        <v>64</v>
      </c>
      <c r="F9292" t="str">
        <f>INDEX(Lists!I:I,MATCH(Validation!E9292,Lists!G:G,0))</f>
        <v>Error</v>
      </c>
      <c r="G9292" t="str">
        <f>INDEX(Lists!H:H,MATCH(Validation!E9292,Lists!G:G,0))</f>
        <v>You must make a selection from the dropdown list.</v>
      </c>
      <c r="H9292" s="25" t="str">
        <f t="shared" ca="1" si="1071"/>
        <v/>
      </c>
      <c r="I9292" s="25" t="str">
        <f t="shared" ca="1" si="1072"/>
        <v/>
      </c>
      <c r="J9292" s="26" t="str">
        <f t="shared" si="1073"/>
        <v/>
      </c>
    </row>
    <row r="9293" spans="1:10" x14ac:dyDescent="0.25">
      <c r="A9293" t="s">
        <v>111</v>
      </c>
      <c r="B9293" t="str">
        <f>ADDRESS(ROW(Parcels!B565),COLUMN(Parcels!B565),4)</f>
        <v>B565</v>
      </c>
      <c r="C9293" t="str">
        <f>ADDRESS(ROW(Parcels!D565),COLUMN(Parcels!D565),4)</f>
        <v>D565</v>
      </c>
      <c r="D9293" t="b">
        <f>IF(AND(Parcels!$B$6="Yes",NOT(ISBLANK(Parcels!A565)),ISBLANK(Parcels!B565)),TRUE,FALSE)</f>
        <v>0</v>
      </c>
      <c r="E9293" t="s">
        <v>64</v>
      </c>
      <c r="F9293" t="str">
        <f>INDEX(Lists!I:I,MATCH(Validation!E9293,Lists!G:G,0))</f>
        <v>Error</v>
      </c>
      <c r="G9293" t="str">
        <f>INDEX(Lists!H:H,MATCH(Validation!E9293,Lists!G:G,0))</f>
        <v>You must make a selection from the dropdown list.</v>
      </c>
      <c r="H9293" s="25" t="str">
        <f t="shared" ca="1" si="1071"/>
        <v/>
      </c>
      <c r="I9293" s="25" t="str">
        <f t="shared" ca="1" si="1072"/>
        <v/>
      </c>
      <c r="J9293" s="26" t="str">
        <f t="shared" si="1073"/>
        <v/>
      </c>
    </row>
    <row r="9294" spans="1:10" x14ac:dyDescent="0.25">
      <c r="A9294" t="s">
        <v>111</v>
      </c>
      <c r="B9294" t="str">
        <f>ADDRESS(ROW(Parcels!B566),COLUMN(Parcels!B566),4)</f>
        <v>B566</v>
      </c>
      <c r="C9294" t="str">
        <f>ADDRESS(ROW(Parcels!D566),COLUMN(Parcels!D566),4)</f>
        <v>D566</v>
      </c>
      <c r="D9294" t="b">
        <f>IF(AND(Parcels!$B$6="Yes",NOT(ISBLANK(Parcels!A566)),ISBLANK(Parcels!B566)),TRUE,FALSE)</f>
        <v>0</v>
      </c>
      <c r="E9294" t="s">
        <v>64</v>
      </c>
      <c r="F9294" t="str">
        <f>INDEX(Lists!I:I,MATCH(Validation!E9294,Lists!G:G,0))</f>
        <v>Error</v>
      </c>
      <c r="G9294" t="str">
        <f>INDEX(Lists!H:H,MATCH(Validation!E9294,Lists!G:G,0))</f>
        <v>You must make a selection from the dropdown list.</v>
      </c>
      <c r="H9294" s="25" t="str">
        <f t="shared" ca="1" si="1071"/>
        <v/>
      </c>
      <c r="I9294" s="25" t="str">
        <f t="shared" ca="1" si="1072"/>
        <v/>
      </c>
      <c r="J9294" s="26" t="str">
        <f t="shared" si="1073"/>
        <v/>
      </c>
    </row>
    <row r="9295" spans="1:10" x14ac:dyDescent="0.25">
      <c r="A9295" t="s">
        <v>111</v>
      </c>
      <c r="B9295" t="str">
        <f>ADDRESS(ROW(Parcels!B567),COLUMN(Parcels!B567),4)</f>
        <v>B567</v>
      </c>
      <c r="C9295" t="str">
        <f>ADDRESS(ROW(Parcels!D567),COLUMN(Parcels!D567),4)</f>
        <v>D567</v>
      </c>
      <c r="D9295" t="b">
        <f>IF(AND(Parcels!$B$6="Yes",NOT(ISBLANK(Parcels!A567)),ISBLANK(Parcels!B567)),TRUE,FALSE)</f>
        <v>0</v>
      </c>
      <c r="E9295" t="s">
        <v>64</v>
      </c>
      <c r="F9295" t="str">
        <f>INDEX(Lists!I:I,MATCH(Validation!E9295,Lists!G:G,0))</f>
        <v>Error</v>
      </c>
      <c r="G9295" t="str">
        <f>INDEX(Lists!H:H,MATCH(Validation!E9295,Lists!G:G,0))</f>
        <v>You must make a selection from the dropdown list.</v>
      </c>
      <c r="H9295" s="25" t="str">
        <f t="shared" ca="1" si="1071"/>
        <v/>
      </c>
      <c r="I9295" s="25" t="str">
        <f t="shared" ca="1" si="1072"/>
        <v/>
      </c>
      <c r="J9295" s="26" t="str">
        <f t="shared" si="1073"/>
        <v/>
      </c>
    </row>
    <row r="9296" spans="1:10" x14ac:dyDescent="0.25">
      <c r="A9296" t="s">
        <v>111</v>
      </c>
      <c r="B9296" t="str">
        <f>ADDRESS(ROW(Parcels!B568),COLUMN(Parcels!B568),4)</f>
        <v>B568</v>
      </c>
      <c r="C9296" t="str">
        <f>ADDRESS(ROW(Parcels!D568),COLUMN(Parcels!D568),4)</f>
        <v>D568</v>
      </c>
      <c r="D9296" t="b">
        <f>IF(AND(Parcels!$B$6="Yes",NOT(ISBLANK(Parcels!A568)),ISBLANK(Parcels!B568)),TRUE,FALSE)</f>
        <v>0</v>
      </c>
      <c r="E9296" t="s">
        <v>64</v>
      </c>
      <c r="F9296" t="str">
        <f>INDEX(Lists!I:I,MATCH(Validation!E9296,Lists!G:G,0))</f>
        <v>Error</v>
      </c>
      <c r="G9296" t="str">
        <f>INDEX(Lists!H:H,MATCH(Validation!E9296,Lists!G:G,0))</f>
        <v>You must make a selection from the dropdown list.</v>
      </c>
      <c r="H9296" s="25" t="str">
        <f t="shared" ca="1" si="1071"/>
        <v/>
      </c>
      <c r="I9296" s="25" t="str">
        <f t="shared" ca="1" si="1072"/>
        <v/>
      </c>
      <c r="J9296" s="26" t="str">
        <f t="shared" si="1073"/>
        <v/>
      </c>
    </row>
    <row r="9297" spans="1:10" x14ac:dyDescent="0.25">
      <c r="A9297" t="s">
        <v>111</v>
      </c>
      <c r="B9297" t="str">
        <f>ADDRESS(ROW(Parcels!B569),COLUMN(Parcels!B569),4)</f>
        <v>B569</v>
      </c>
      <c r="C9297" t="str">
        <f>ADDRESS(ROW(Parcels!D569),COLUMN(Parcels!D569),4)</f>
        <v>D569</v>
      </c>
      <c r="D9297" t="b">
        <f>IF(AND(Parcels!$B$6="Yes",NOT(ISBLANK(Parcels!A569)),ISBLANK(Parcels!B569)),TRUE,FALSE)</f>
        <v>0</v>
      </c>
      <c r="E9297" t="s">
        <v>64</v>
      </c>
      <c r="F9297" t="str">
        <f>INDEX(Lists!I:I,MATCH(Validation!E9297,Lists!G:G,0))</f>
        <v>Error</v>
      </c>
      <c r="G9297" t="str">
        <f>INDEX(Lists!H:H,MATCH(Validation!E9297,Lists!G:G,0))</f>
        <v>You must make a selection from the dropdown list.</v>
      </c>
      <c r="H9297" s="25" t="str">
        <f t="shared" ca="1" si="1071"/>
        <v/>
      </c>
      <c r="I9297" s="25" t="str">
        <f t="shared" ca="1" si="1072"/>
        <v/>
      </c>
      <c r="J9297" s="26" t="str">
        <f t="shared" si="1073"/>
        <v/>
      </c>
    </row>
    <row r="9298" spans="1:10" x14ac:dyDescent="0.25">
      <c r="A9298" t="s">
        <v>111</v>
      </c>
      <c r="B9298" t="str">
        <f>ADDRESS(ROW(Parcels!B570),COLUMN(Parcels!B570),4)</f>
        <v>B570</v>
      </c>
      <c r="C9298" t="str">
        <f>ADDRESS(ROW(Parcels!D570),COLUMN(Parcels!D570),4)</f>
        <v>D570</v>
      </c>
      <c r="D9298" t="b">
        <f>IF(AND(Parcels!$B$6="Yes",NOT(ISBLANK(Parcels!A570)),ISBLANK(Parcels!B570)),TRUE,FALSE)</f>
        <v>0</v>
      </c>
      <c r="E9298" t="s">
        <v>64</v>
      </c>
      <c r="F9298" t="str">
        <f>INDEX(Lists!I:I,MATCH(Validation!E9298,Lists!G:G,0))</f>
        <v>Error</v>
      </c>
      <c r="G9298" t="str">
        <f>INDEX(Lists!H:H,MATCH(Validation!E9298,Lists!G:G,0))</f>
        <v>You must make a selection from the dropdown list.</v>
      </c>
      <c r="H9298" s="25" t="str">
        <f t="shared" ca="1" si="1071"/>
        <v/>
      </c>
      <c r="I9298" s="25" t="str">
        <f t="shared" ca="1" si="1072"/>
        <v/>
      </c>
      <c r="J9298" s="26" t="str">
        <f t="shared" si="1073"/>
        <v/>
      </c>
    </row>
    <row r="9299" spans="1:10" x14ac:dyDescent="0.25">
      <c r="A9299" t="s">
        <v>111</v>
      </c>
      <c r="B9299" t="str">
        <f>ADDRESS(ROW(Parcels!B571),COLUMN(Parcels!B571),4)</f>
        <v>B571</v>
      </c>
      <c r="C9299" t="str">
        <f>ADDRESS(ROW(Parcels!D571),COLUMN(Parcels!D571),4)</f>
        <v>D571</v>
      </c>
      <c r="D9299" t="b">
        <f>IF(AND(Parcels!$B$6="Yes",NOT(ISBLANK(Parcels!A571)),ISBLANK(Parcels!B571)),TRUE,FALSE)</f>
        <v>0</v>
      </c>
      <c r="E9299" t="s">
        <v>64</v>
      </c>
      <c r="F9299" t="str">
        <f>INDEX(Lists!I:I,MATCH(Validation!E9299,Lists!G:G,0))</f>
        <v>Error</v>
      </c>
      <c r="G9299" t="str">
        <f>INDEX(Lists!H:H,MATCH(Validation!E9299,Lists!G:G,0))</f>
        <v>You must make a selection from the dropdown list.</v>
      </c>
      <c r="H9299" s="25" t="str">
        <f t="shared" ca="1" si="1071"/>
        <v/>
      </c>
      <c r="I9299" s="25" t="str">
        <f t="shared" ca="1" si="1072"/>
        <v/>
      </c>
      <c r="J9299" s="26" t="str">
        <f t="shared" si="1073"/>
        <v/>
      </c>
    </row>
    <row r="9300" spans="1:10" x14ac:dyDescent="0.25">
      <c r="A9300" t="s">
        <v>111</v>
      </c>
      <c r="B9300" t="str">
        <f>ADDRESS(ROW(Parcels!B572),COLUMN(Parcels!B572),4)</f>
        <v>B572</v>
      </c>
      <c r="C9300" t="str">
        <f>ADDRESS(ROW(Parcels!D572),COLUMN(Parcels!D572),4)</f>
        <v>D572</v>
      </c>
      <c r="D9300" t="b">
        <f>IF(AND(Parcels!$B$6="Yes",NOT(ISBLANK(Parcels!A572)),ISBLANK(Parcels!B572)),TRUE,FALSE)</f>
        <v>0</v>
      </c>
      <c r="E9300" t="s">
        <v>64</v>
      </c>
      <c r="F9300" t="str">
        <f>INDEX(Lists!I:I,MATCH(Validation!E9300,Lists!G:G,0))</f>
        <v>Error</v>
      </c>
      <c r="G9300" t="str">
        <f>INDEX(Lists!H:H,MATCH(Validation!E9300,Lists!G:G,0))</f>
        <v>You must make a selection from the dropdown list.</v>
      </c>
      <c r="H9300" s="25" t="str">
        <f t="shared" ca="1" si="1071"/>
        <v/>
      </c>
      <c r="I9300" s="25" t="str">
        <f t="shared" ca="1" si="1072"/>
        <v/>
      </c>
      <c r="J9300" s="26" t="str">
        <f t="shared" si="1073"/>
        <v/>
      </c>
    </row>
    <row r="9301" spans="1:10" x14ac:dyDescent="0.25">
      <c r="A9301" t="s">
        <v>111</v>
      </c>
      <c r="B9301" t="str">
        <f>ADDRESS(ROW(Parcels!B573),COLUMN(Parcels!B573),4)</f>
        <v>B573</v>
      </c>
      <c r="C9301" t="str">
        <f>ADDRESS(ROW(Parcels!D573),COLUMN(Parcels!D573),4)</f>
        <v>D573</v>
      </c>
      <c r="D9301" t="b">
        <f>IF(AND(Parcels!$B$6="Yes",NOT(ISBLANK(Parcels!A573)),ISBLANK(Parcels!B573)),TRUE,FALSE)</f>
        <v>0</v>
      </c>
      <c r="E9301" t="s">
        <v>64</v>
      </c>
      <c r="F9301" t="str">
        <f>INDEX(Lists!I:I,MATCH(Validation!E9301,Lists!G:G,0))</f>
        <v>Error</v>
      </c>
      <c r="G9301" t="str">
        <f>INDEX(Lists!H:H,MATCH(Validation!E9301,Lists!G:G,0))</f>
        <v>You must make a selection from the dropdown list.</v>
      </c>
      <c r="H9301" s="25" t="str">
        <f t="shared" ca="1" si="1071"/>
        <v/>
      </c>
      <c r="I9301" s="25" t="str">
        <f t="shared" ca="1" si="1072"/>
        <v/>
      </c>
      <c r="J9301" s="26" t="str">
        <f t="shared" si="1073"/>
        <v/>
      </c>
    </row>
    <row r="9302" spans="1:10" x14ac:dyDescent="0.25">
      <c r="A9302" t="s">
        <v>111</v>
      </c>
      <c r="B9302" t="str">
        <f>ADDRESS(ROW(Parcels!B574),COLUMN(Parcels!B574),4)</f>
        <v>B574</v>
      </c>
      <c r="C9302" t="str">
        <f>ADDRESS(ROW(Parcels!D574),COLUMN(Parcels!D574),4)</f>
        <v>D574</v>
      </c>
      <c r="D9302" t="b">
        <f>IF(AND(Parcels!$B$6="Yes",NOT(ISBLANK(Parcels!A574)),ISBLANK(Parcels!B574)),TRUE,FALSE)</f>
        <v>0</v>
      </c>
      <c r="E9302" t="s">
        <v>64</v>
      </c>
      <c r="F9302" t="str">
        <f>INDEX(Lists!I:I,MATCH(Validation!E9302,Lists!G:G,0))</f>
        <v>Error</v>
      </c>
      <c r="G9302" t="str">
        <f>INDEX(Lists!H:H,MATCH(Validation!E9302,Lists!G:G,0))</f>
        <v>You must make a selection from the dropdown list.</v>
      </c>
      <c r="H9302" s="25" t="str">
        <f t="shared" ca="1" si="1071"/>
        <v/>
      </c>
      <c r="I9302" s="25" t="str">
        <f t="shared" ca="1" si="1072"/>
        <v/>
      </c>
      <c r="J9302" s="26" t="str">
        <f t="shared" si="1073"/>
        <v/>
      </c>
    </row>
    <row r="9303" spans="1:10" x14ac:dyDescent="0.25">
      <c r="A9303" t="s">
        <v>111</v>
      </c>
      <c r="B9303" t="str">
        <f>ADDRESS(ROW(Parcels!B575),COLUMN(Parcels!B575),4)</f>
        <v>B575</v>
      </c>
      <c r="C9303" t="str">
        <f>ADDRESS(ROW(Parcels!D575),COLUMN(Parcels!D575),4)</f>
        <v>D575</v>
      </c>
      <c r="D9303" t="b">
        <f>IF(AND(Parcels!$B$6="Yes",NOT(ISBLANK(Parcels!A575)),ISBLANK(Parcels!B575)),TRUE,FALSE)</f>
        <v>0</v>
      </c>
      <c r="E9303" t="s">
        <v>64</v>
      </c>
      <c r="F9303" t="str">
        <f>INDEX(Lists!I:I,MATCH(Validation!E9303,Lists!G:G,0))</f>
        <v>Error</v>
      </c>
      <c r="G9303" t="str">
        <f>INDEX(Lists!H:H,MATCH(Validation!E9303,Lists!G:G,0))</f>
        <v>You must make a selection from the dropdown list.</v>
      </c>
      <c r="H9303" s="25" t="str">
        <f t="shared" ca="1" si="1071"/>
        <v/>
      </c>
      <c r="I9303" s="25" t="str">
        <f t="shared" ca="1" si="1072"/>
        <v/>
      </c>
      <c r="J9303" s="26" t="str">
        <f t="shared" si="1073"/>
        <v/>
      </c>
    </row>
    <row r="9304" spans="1:10" x14ac:dyDescent="0.25">
      <c r="A9304" t="s">
        <v>111</v>
      </c>
      <c r="B9304" t="str">
        <f>ADDRESS(ROW(Parcels!B576),COLUMN(Parcels!B576),4)</f>
        <v>B576</v>
      </c>
      <c r="C9304" t="str">
        <f>ADDRESS(ROW(Parcels!D576),COLUMN(Parcels!D576),4)</f>
        <v>D576</v>
      </c>
      <c r="D9304" t="b">
        <f>IF(AND(Parcels!$B$6="Yes",NOT(ISBLANK(Parcels!A576)),ISBLANK(Parcels!B576)),TRUE,FALSE)</f>
        <v>0</v>
      </c>
      <c r="E9304" t="s">
        <v>64</v>
      </c>
      <c r="F9304" t="str">
        <f>INDEX(Lists!I:I,MATCH(Validation!E9304,Lists!G:G,0))</f>
        <v>Error</v>
      </c>
      <c r="G9304" t="str">
        <f>INDEX(Lists!H:H,MATCH(Validation!E9304,Lists!G:G,0))</f>
        <v>You must make a selection from the dropdown list.</v>
      </c>
      <c r="H9304" s="25" t="str">
        <f t="shared" ca="1" si="1071"/>
        <v/>
      </c>
      <c r="I9304" s="25" t="str">
        <f t="shared" ca="1" si="1072"/>
        <v/>
      </c>
      <c r="J9304" s="26" t="str">
        <f t="shared" si="1073"/>
        <v/>
      </c>
    </row>
    <row r="9305" spans="1:10" x14ac:dyDescent="0.25">
      <c r="A9305" t="s">
        <v>111</v>
      </c>
      <c r="B9305" t="str">
        <f>ADDRESS(ROW(Parcels!B577),COLUMN(Parcels!B577),4)</f>
        <v>B577</v>
      </c>
      <c r="C9305" t="str">
        <f>ADDRESS(ROW(Parcels!D577),COLUMN(Parcels!D577),4)</f>
        <v>D577</v>
      </c>
      <c r="D9305" t="b">
        <f>IF(AND(Parcels!$B$6="Yes",NOT(ISBLANK(Parcels!A577)),ISBLANK(Parcels!B577)),TRUE,FALSE)</f>
        <v>0</v>
      </c>
      <c r="E9305" t="s">
        <v>64</v>
      </c>
      <c r="F9305" t="str">
        <f>INDEX(Lists!I:I,MATCH(Validation!E9305,Lists!G:G,0))</f>
        <v>Error</v>
      </c>
      <c r="G9305" t="str">
        <f>INDEX(Lists!H:H,MATCH(Validation!E9305,Lists!G:G,0))</f>
        <v>You must make a selection from the dropdown list.</v>
      </c>
      <c r="H9305" s="25" t="str">
        <f t="shared" ca="1" si="1071"/>
        <v/>
      </c>
      <c r="I9305" s="25" t="str">
        <f t="shared" ca="1" si="1072"/>
        <v/>
      </c>
      <c r="J9305" s="26" t="str">
        <f t="shared" si="1073"/>
        <v/>
      </c>
    </row>
    <row r="9306" spans="1:10" x14ac:dyDescent="0.25">
      <c r="A9306" t="s">
        <v>111</v>
      </c>
      <c r="B9306" t="str">
        <f>ADDRESS(ROW(Parcels!B578),COLUMN(Parcels!B578),4)</f>
        <v>B578</v>
      </c>
      <c r="C9306" t="str">
        <f>ADDRESS(ROW(Parcels!D578),COLUMN(Parcels!D578),4)</f>
        <v>D578</v>
      </c>
      <c r="D9306" t="b">
        <f>IF(AND(Parcels!$B$6="Yes",NOT(ISBLANK(Parcels!A578)),ISBLANK(Parcels!B578)),TRUE,FALSE)</f>
        <v>0</v>
      </c>
      <c r="E9306" t="s">
        <v>64</v>
      </c>
      <c r="F9306" t="str">
        <f>INDEX(Lists!I:I,MATCH(Validation!E9306,Lists!G:G,0))</f>
        <v>Error</v>
      </c>
      <c r="G9306" t="str">
        <f>INDEX(Lists!H:H,MATCH(Validation!E9306,Lists!G:G,0))</f>
        <v>You must make a selection from the dropdown list.</v>
      </c>
      <c r="H9306" s="25" t="str">
        <f t="shared" ca="1" si="1071"/>
        <v/>
      </c>
      <c r="I9306" s="25" t="str">
        <f t="shared" ca="1" si="1072"/>
        <v/>
      </c>
      <c r="J9306" s="26" t="str">
        <f t="shared" si="1073"/>
        <v/>
      </c>
    </row>
    <row r="9307" spans="1:10" x14ac:dyDescent="0.25">
      <c r="A9307" t="s">
        <v>111</v>
      </c>
      <c r="B9307" t="str">
        <f>ADDRESS(ROW(Parcels!B579),COLUMN(Parcels!B579),4)</f>
        <v>B579</v>
      </c>
      <c r="C9307" t="str">
        <f>ADDRESS(ROW(Parcels!D579),COLUMN(Parcels!D579),4)</f>
        <v>D579</v>
      </c>
      <c r="D9307" t="b">
        <f>IF(AND(Parcels!$B$6="Yes",NOT(ISBLANK(Parcels!A579)),ISBLANK(Parcels!B579)),TRUE,FALSE)</f>
        <v>0</v>
      </c>
      <c r="E9307" t="s">
        <v>64</v>
      </c>
      <c r="F9307" t="str">
        <f>INDEX(Lists!I:I,MATCH(Validation!E9307,Lists!G:G,0))</f>
        <v>Error</v>
      </c>
      <c r="G9307" t="str">
        <f>INDEX(Lists!H:H,MATCH(Validation!E9307,Lists!G:G,0))</f>
        <v>You must make a selection from the dropdown list.</v>
      </c>
      <c r="H9307" s="25" t="str">
        <f t="shared" ca="1" si="1071"/>
        <v/>
      </c>
      <c r="I9307" s="25" t="str">
        <f t="shared" ca="1" si="1072"/>
        <v/>
      </c>
      <c r="J9307" s="26" t="str">
        <f t="shared" si="1073"/>
        <v/>
      </c>
    </row>
    <row r="9308" spans="1:10" x14ac:dyDescent="0.25">
      <c r="A9308" t="s">
        <v>111</v>
      </c>
      <c r="B9308" t="str">
        <f>ADDRESS(ROW(Parcels!B580),COLUMN(Parcels!B580),4)</f>
        <v>B580</v>
      </c>
      <c r="C9308" t="str">
        <f>ADDRESS(ROW(Parcels!D580),COLUMN(Parcels!D580),4)</f>
        <v>D580</v>
      </c>
      <c r="D9308" t="b">
        <f>IF(AND(Parcels!$B$6="Yes",NOT(ISBLANK(Parcels!A580)),ISBLANK(Parcels!B580)),TRUE,FALSE)</f>
        <v>0</v>
      </c>
      <c r="E9308" t="s">
        <v>64</v>
      </c>
      <c r="F9308" t="str">
        <f>INDEX(Lists!I:I,MATCH(Validation!E9308,Lists!G:G,0))</f>
        <v>Error</v>
      </c>
      <c r="G9308" t="str">
        <f>INDEX(Lists!H:H,MATCH(Validation!E9308,Lists!G:G,0))</f>
        <v>You must make a selection from the dropdown list.</v>
      </c>
      <c r="H9308" s="25" t="str">
        <f t="shared" ca="1" si="1071"/>
        <v/>
      </c>
      <c r="I9308" s="25" t="str">
        <f t="shared" ca="1" si="1072"/>
        <v/>
      </c>
      <c r="J9308" s="26" t="str">
        <f t="shared" si="1073"/>
        <v/>
      </c>
    </row>
    <row r="9309" spans="1:10" x14ac:dyDescent="0.25">
      <c r="A9309" t="s">
        <v>111</v>
      </c>
      <c r="B9309" t="str">
        <f>ADDRESS(ROW(Parcels!B581),COLUMN(Parcels!B581),4)</f>
        <v>B581</v>
      </c>
      <c r="C9309" t="str">
        <f>ADDRESS(ROW(Parcels!D581),COLUMN(Parcels!D581),4)</f>
        <v>D581</v>
      </c>
      <c r="D9309" t="b">
        <f>IF(AND(Parcels!$B$6="Yes",NOT(ISBLANK(Parcels!A581)),ISBLANK(Parcels!B581)),TRUE,FALSE)</f>
        <v>0</v>
      </c>
      <c r="E9309" t="s">
        <v>64</v>
      </c>
      <c r="F9309" t="str">
        <f>INDEX(Lists!I:I,MATCH(Validation!E9309,Lists!G:G,0))</f>
        <v>Error</v>
      </c>
      <c r="G9309" t="str">
        <f>INDEX(Lists!H:H,MATCH(Validation!E9309,Lists!G:G,0))</f>
        <v>You must make a selection from the dropdown list.</v>
      </c>
      <c r="H9309" s="25" t="str">
        <f t="shared" ca="1" si="1071"/>
        <v/>
      </c>
      <c r="I9309" s="25" t="str">
        <f t="shared" ca="1" si="1072"/>
        <v/>
      </c>
      <c r="J9309" s="26" t="str">
        <f t="shared" si="1073"/>
        <v/>
      </c>
    </row>
    <row r="9310" spans="1:10" x14ac:dyDescent="0.25">
      <c r="A9310" t="s">
        <v>111</v>
      </c>
      <c r="B9310" t="str">
        <f>ADDRESS(ROW(Parcels!B582),COLUMN(Parcels!B582),4)</f>
        <v>B582</v>
      </c>
      <c r="C9310" t="str">
        <f>ADDRESS(ROW(Parcels!D582),COLUMN(Parcels!D582),4)</f>
        <v>D582</v>
      </c>
      <c r="D9310" t="b">
        <f>IF(AND(Parcels!$B$6="Yes",NOT(ISBLANK(Parcels!A582)),ISBLANK(Parcels!B582)),TRUE,FALSE)</f>
        <v>0</v>
      </c>
      <c r="E9310" t="s">
        <v>64</v>
      </c>
      <c r="F9310" t="str">
        <f>INDEX(Lists!I:I,MATCH(Validation!E9310,Lists!G:G,0))</f>
        <v>Error</v>
      </c>
      <c r="G9310" t="str">
        <f>INDEX(Lists!H:H,MATCH(Validation!E9310,Lists!G:G,0))</f>
        <v>You must make a selection from the dropdown list.</v>
      </c>
      <c r="H9310" s="25" t="str">
        <f t="shared" ca="1" si="1071"/>
        <v/>
      </c>
      <c r="I9310" s="25" t="str">
        <f t="shared" ca="1" si="1072"/>
        <v/>
      </c>
      <c r="J9310" s="26" t="str">
        <f t="shared" si="1073"/>
        <v/>
      </c>
    </row>
    <row r="9311" spans="1:10" x14ac:dyDescent="0.25">
      <c r="A9311" t="s">
        <v>111</v>
      </c>
      <c r="B9311" t="str">
        <f>ADDRESS(ROW(Parcels!B583),COLUMN(Parcels!B583),4)</f>
        <v>B583</v>
      </c>
      <c r="C9311" t="str">
        <f>ADDRESS(ROW(Parcels!D583),COLUMN(Parcels!D583),4)</f>
        <v>D583</v>
      </c>
      <c r="D9311" t="b">
        <f>IF(AND(Parcels!$B$6="Yes",NOT(ISBLANK(Parcels!A583)),ISBLANK(Parcels!B583)),TRUE,FALSE)</f>
        <v>0</v>
      </c>
      <c r="E9311" t="s">
        <v>64</v>
      </c>
      <c r="F9311" t="str">
        <f>INDEX(Lists!I:I,MATCH(Validation!E9311,Lists!G:G,0))</f>
        <v>Error</v>
      </c>
      <c r="G9311" t="str">
        <f>INDEX(Lists!H:H,MATCH(Validation!E9311,Lists!G:G,0))</f>
        <v>You must make a selection from the dropdown list.</v>
      </c>
      <c r="H9311" s="25" t="str">
        <f t="shared" ca="1" si="1071"/>
        <v/>
      </c>
      <c r="I9311" s="25" t="str">
        <f t="shared" ca="1" si="1072"/>
        <v/>
      </c>
      <c r="J9311" s="26" t="str">
        <f t="shared" si="1073"/>
        <v/>
      </c>
    </row>
    <row r="9312" spans="1:10" x14ac:dyDescent="0.25">
      <c r="A9312" t="s">
        <v>111</v>
      </c>
      <c r="B9312" t="str">
        <f>ADDRESS(ROW(Parcels!B584),COLUMN(Parcels!B584),4)</f>
        <v>B584</v>
      </c>
      <c r="C9312" t="str">
        <f>ADDRESS(ROW(Parcels!D584),COLUMN(Parcels!D584),4)</f>
        <v>D584</v>
      </c>
      <c r="D9312" t="b">
        <f>IF(AND(Parcels!$B$6="Yes",NOT(ISBLANK(Parcels!A584)),ISBLANK(Parcels!B584)),TRUE,FALSE)</f>
        <v>0</v>
      </c>
      <c r="E9312" t="s">
        <v>64</v>
      </c>
      <c r="F9312" t="str">
        <f>INDEX(Lists!I:I,MATCH(Validation!E9312,Lists!G:G,0))</f>
        <v>Error</v>
      </c>
      <c r="G9312" t="str">
        <f>INDEX(Lists!H:H,MATCH(Validation!E9312,Lists!G:G,0))</f>
        <v>You must make a selection from the dropdown list.</v>
      </c>
      <c r="H9312" s="25" t="str">
        <f t="shared" ref="H9312:H9375" ca="1" si="1074">IFERROR(IF(OR(NOT(D9312),F9312&lt;&gt;"Error"),"",A9312&amp;CELL("address",INDIRECT(B9312))),"")</f>
        <v/>
      </c>
      <c r="I9312" s="25" t="str">
        <f t="shared" ref="I9312:I9375" ca="1" si="1075">IFERROR(IF(NOT(D9312),"",A9312&amp;CELL("address",INDIRECT(C9312))),"")</f>
        <v/>
      </c>
      <c r="J9312" s="26" t="str">
        <f t="shared" ref="J9312:J9375" si="1076">IFERROR(IF(NOT(D9312),"",A9312),"")</f>
        <v/>
      </c>
    </row>
    <row r="9313" spans="1:10" x14ac:dyDescent="0.25">
      <c r="A9313" t="s">
        <v>111</v>
      </c>
      <c r="B9313" t="str">
        <f>ADDRESS(ROW(Parcels!B585),COLUMN(Parcels!B585),4)</f>
        <v>B585</v>
      </c>
      <c r="C9313" t="str">
        <f>ADDRESS(ROW(Parcels!D585),COLUMN(Parcels!D585),4)</f>
        <v>D585</v>
      </c>
      <c r="D9313" t="b">
        <f>IF(AND(Parcels!$B$6="Yes",NOT(ISBLANK(Parcels!A585)),ISBLANK(Parcels!B585)),TRUE,FALSE)</f>
        <v>0</v>
      </c>
      <c r="E9313" t="s">
        <v>64</v>
      </c>
      <c r="F9313" t="str">
        <f>INDEX(Lists!I:I,MATCH(Validation!E9313,Lists!G:G,0))</f>
        <v>Error</v>
      </c>
      <c r="G9313" t="str">
        <f>INDEX(Lists!H:H,MATCH(Validation!E9313,Lists!G:G,0))</f>
        <v>You must make a selection from the dropdown list.</v>
      </c>
      <c r="H9313" s="25" t="str">
        <f t="shared" ca="1" si="1074"/>
        <v/>
      </c>
      <c r="I9313" s="25" t="str">
        <f t="shared" ca="1" si="1075"/>
        <v/>
      </c>
      <c r="J9313" s="26" t="str">
        <f t="shared" si="1076"/>
        <v/>
      </c>
    </row>
    <row r="9314" spans="1:10" x14ac:dyDescent="0.25">
      <c r="A9314" t="s">
        <v>111</v>
      </c>
      <c r="B9314" t="str">
        <f>ADDRESS(ROW(Parcels!B586),COLUMN(Parcels!B586),4)</f>
        <v>B586</v>
      </c>
      <c r="C9314" t="str">
        <f>ADDRESS(ROW(Parcels!D586),COLUMN(Parcels!D586),4)</f>
        <v>D586</v>
      </c>
      <c r="D9314" t="b">
        <f>IF(AND(Parcels!$B$6="Yes",NOT(ISBLANK(Parcels!A586)),ISBLANK(Parcels!B586)),TRUE,FALSE)</f>
        <v>0</v>
      </c>
      <c r="E9314" t="s">
        <v>64</v>
      </c>
      <c r="F9314" t="str">
        <f>INDEX(Lists!I:I,MATCH(Validation!E9314,Lists!G:G,0))</f>
        <v>Error</v>
      </c>
      <c r="G9314" t="str">
        <f>INDEX(Lists!H:H,MATCH(Validation!E9314,Lists!G:G,0))</f>
        <v>You must make a selection from the dropdown list.</v>
      </c>
      <c r="H9314" s="25" t="str">
        <f t="shared" ca="1" si="1074"/>
        <v/>
      </c>
      <c r="I9314" s="25" t="str">
        <f t="shared" ca="1" si="1075"/>
        <v/>
      </c>
      <c r="J9314" s="26" t="str">
        <f t="shared" si="1076"/>
        <v/>
      </c>
    </row>
    <row r="9315" spans="1:10" x14ac:dyDescent="0.25">
      <c r="A9315" t="s">
        <v>111</v>
      </c>
      <c r="B9315" t="str">
        <f>ADDRESS(ROW(Parcels!B587),COLUMN(Parcels!B587),4)</f>
        <v>B587</v>
      </c>
      <c r="C9315" t="str">
        <f>ADDRESS(ROW(Parcels!D587),COLUMN(Parcels!D587),4)</f>
        <v>D587</v>
      </c>
      <c r="D9315" t="b">
        <f>IF(AND(Parcels!$B$6="Yes",NOT(ISBLANK(Parcels!A587)),ISBLANK(Parcels!B587)),TRUE,FALSE)</f>
        <v>0</v>
      </c>
      <c r="E9315" t="s">
        <v>64</v>
      </c>
      <c r="F9315" t="str">
        <f>INDEX(Lists!I:I,MATCH(Validation!E9315,Lists!G:G,0))</f>
        <v>Error</v>
      </c>
      <c r="G9315" t="str">
        <f>INDEX(Lists!H:H,MATCH(Validation!E9315,Lists!G:G,0))</f>
        <v>You must make a selection from the dropdown list.</v>
      </c>
      <c r="H9315" s="25" t="str">
        <f t="shared" ca="1" si="1074"/>
        <v/>
      </c>
      <c r="I9315" s="25" t="str">
        <f t="shared" ca="1" si="1075"/>
        <v/>
      </c>
      <c r="J9315" s="26" t="str">
        <f t="shared" si="1076"/>
        <v/>
      </c>
    </row>
    <row r="9316" spans="1:10" x14ac:dyDescent="0.25">
      <c r="A9316" t="s">
        <v>111</v>
      </c>
      <c r="B9316" t="str">
        <f>ADDRESS(ROW(Parcels!B588),COLUMN(Parcels!B588),4)</f>
        <v>B588</v>
      </c>
      <c r="C9316" t="str">
        <f>ADDRESS(ROW(Parcels!D588),COLUMN(Parcels!D588),4)</f>
        <v>D588</v>
      </c>
      <c r="D9316" t="b">
        <f>IF(AND(Parcels!$B$6="Yes",NOT(ISBLANK(Parcels!A588)),ISBLANK(Parcels!B588)),TRUE,FALSE)</f>
        <v>0</v>
      </c>
      <c r="E9316" t="s">
        <v>64</v>
      </c>
      <c r="F9316" t="str">
        <f>INDEX(Lists!I:I,MATCH(Validation!E9316,Lists!G:G,0))</f>
        <v>Error</v>
      </c>
      <c r="G9316" t="str">
        <f>INDEX(Lists!H:H,MATCH(Validation!E9316,Lists!G:G,0))</f>
        <v>You must make a selection from the dropdown list.</v>
      </c>
      <c r="H9316" s="25" t="str">
        <f t="shared" ca="1" si="1074"/>
        <v/>
      </c>
      <c r="I9316" s="25" t="str">
        <f t="shared" ca="1" si="1075"/>
        <v/>
      </c>
      <c r="J9316" s="26" t="str">
        <f t="shared" si="1076"/>
        <v/>
      </c>
    </row>
    <row r="9317" spans="1:10" x14ac:dyDescent="0.25">
      <c r="A9317" t="s">
        <v>111</v>
      </c>
      <c r="B9317" t="str">
        <f>ADDRESS(ROW(Parcels!B589),COLUMN(Parcels!B589),4)</f>
        <v>B589</v>
      </c>
      <c r="C9317" t="str">
        <f>ADDRESS(ROW(Parcels!D589),COLUMN(Parcels!D589),4)</f>
        <v>D589</v>
      </c>
      <c r="D9317" t="b">
        <f>IF(AND(Parcels!$B$6="Yes",NOT(ISBLANK(Parcels!A589)),ISBLANK(Parcels!B589)),TRUE,FALSE)</f>
        <v>0</v>
      </c>
      <c r="E9317" t="s">
        <v>64</v>
      </c>
      <c r="F9317" t="str">
        <f>INDEX(Lists!I:I,MATCH(Validation!E9317,Lists!G:G,0))</f>
        <v>Error</v>
      </c>
      <c r="G9317" t="str">
        <f>INDEX(Lists!H:H,MATCH(Validation!E9317,Lists!G:G,0))</f>
        <v>You must make a selection from the dropdown list.</v>
      </c>
      <c r="H9317" s="25" t="str">
        <f t="shared" ca="1" si="1074"/>
        <v/>
      </c>
      <c r="I9317" s="25" t="str">
        <f t="shared" ca="1" si="1075"/>
        <v/>
      </c>
      <c r="J9317" s="26" t="str">
        <f t="shared" si="1076"/>
        <v/>
      </c>
    </row>
    <row r="9318" spans="1:10" x14ac:dyDescent="0.25">
      <c r="A9318" t="s">
        <v>111</v>
      </c>
      <c r="B9318" t="str">
        <f>ADDRESS(ROW(Parcels!B590),COLUMN(Parcels!B590),4)</f>
        <v>B590</v>
      </c>
      <c r="C9318" t="str">
        <f>ADDRESS(ROW(Parcels!D590),COLUMN(Parcels!D590),4)</f>
        <v>D590</v>
      </c>
      <c r="D9318" t="b">
        <f>IF(AND(Parcels!$B$6="Yes",NOT(ISBLANK(Parcels!A590)),ISBLANK(Parcels!B590)),TRUE,FALSE)</f>
        <v>0</v>
      </c>
      <c r="E9318" t="s">
        <v>64</v>
      </c>
      <c r="F9318" t="str">
        <f>INDEX(Lists!I:I,MATCH(Validation!E9318,Lists!G:G,0))</f>
        <v>Error</v>
      </c>
      <c r="G9318" t="str">
        <f>INDEX(Lists!H:H,MATCH(Validation!E9318,Lists!G:G,0))</f>
        <v>You must make a selection from the dropdown list.</v>
      </c>
      <c r="H9318" s="25" t="str">
        <f t="shared" ca="1" si="1074"/>
        <v/>
      </c>
      <c r="I9318" s="25" t="str">
        <f t="shared" ca="1" si="1075"/>
        <v/>
      </c>
      <c r="J9318" s="26" t="str">
        <f t="shared" si="1076"/>
        <v/>
      </c>
    </row>
    <row r="9319" spans="1:10" x14ac:dyDescent="0.25">
      <c r="A9319" t="s">
        <v>111</v>
      </c>
      <c r="B9319" t="str">
        <f>ADDRESS(ROW(Parcels!B591),COLUMN(Parcels!B591),4)</f>
        <v>B591</v>
      </c>
      <c r="C9319" t="str">
        <f>ADDRESS(ROW(Parcels!D591),COLUMN(Parcels!D591),4)</f>
        <v>D591</v>
      </c>
      <c r="D9319" t="b">
        <f>IF(AND(Parcels!$B$6="Yes",NOT(ISBLANK(Parcels!A591)),ISBLANK(Parcels!B591)),TRUE,FALSE)</f>
        <v>0</v>
      </c>
      <c r="E9319" t="s">
        <v>64</v>
      </c>
      <c r="F9319" t="str">
        <f>INDEX(Lists!I:I,MATCH(Validation!E9319,Lists!G:G,0))</f>
        <v>Error</v>
      </c>
      <c r="G9319" t="str">
        <f>INDEX(Lists!H:H,MATCH(Validation!E9319,Lists!G:G,0))</f>
        <v>You must make a selection from the dropdown list.</v>
      </c>
      <c r="H9319" s="25" t="str">
        <f t="shared" ca="1" si="1074"/>
        <v/>
      </c>
      <c r="I9319" s="25" t="str">
        <f t="shared" ca="1" si="1075"/>
        <v/>
      </c>
      <c r="J9319" s="26" t="str">
        <f t="shared" si="1076"/>
        <v/>
      </c>
    </row>
    <row r="9320" spans="1:10" x14ac:dyDescent="0.25">
      <c r="A9320" t="s">
        <v>111</v>
      </c>
      <c r="B9320" t="str">
        <f>ADDRESS(ROW(Parcels!B592),COLUMN(Parcels!B592),4)</f>
        <v>B592</v>
      </c>
      <c r="C9320" t="str">
        <f>ADDRESS(ROW(Parcels!D592),COLUMN(Parcels!D592),4)</f>
        <v>D592</v>
      </c>
      <c r="D9320" t="b">
        <f>IF(AND(Parcels!$B$6="Yes",NOT(ISBLANK(Parcels!A592)),ISBLANK(Parcels!B592)),TRUE,FALSE)</f>
        <v>0</v>
      </c>
      <c r="E9320" t="s">
        <v>64</v>
      </c>
      <c r="F9320" t="str">
        <f>INDEX(Lists!I:I,MATCH(Validation!E9320,Lists!G:G,0))</f>
        <v>Error</v>
      </c>
      <c r="G9320" t="str">
        <f>INDEX(Lists!H:H,MATCH(Validation!E9320,Lists!G:G,0))</f>
        <v>You must make a selection from the dropdown list.</v>
      </c>
      <c r="H9320" s="25" t="str">
        <f t="shared" ca="1" si="1074"/>
        <v/>
      </c>
      <c r="I9320" s="25" t="str">
        <f t="shared" ca="1" si="1075"/>
        <v/>
      </c>
      <c r="J9320" s="26" t="str">
        <f t="shared" si="1076"/>
        <v/>
      </c>
    </row>
    <row r="9321" spans="1:10" x14ac:dyDescent="0.25">
      <c r="A9321" t="s">
        <v>111</v>
      </c>
      <c r="B9321" t="str">
        <f>ADDRESS(ROW(Parcels!B593),COLUMN(Parcels!B593),4)</f>
        <v>B593</v>
      </c>
      <c r="C9321" t="str">
        <f>ADDRESS(ROW(Parcels!D593),COLUMN(Parcels!D593),4)</f>
        <v>D593</v>
      </c>
      <c r="D9321" t="b">
        <f>IF(AND(Parcels!$B$6="Yes",NOT(ISBLANK(Parcels!A593)),ISBLANK(Parcels!B593)),TRUE,FALSE)</f>
        <v>0</v>
      </c>
      <c r="E9321" t="s">
        <v>64</v>
      </c>
      <c r="F9321" t="str">
        <f>INDEX(Lists!I:I,MATCH(Validation!E9321,Lists!G:G,0))</f>
        <v>Error</v>
      </c>
      <c r="G9321" t="str">
        <f>INDEX(Lists!H:H,MATCH(Validation!E9321,Lists!G:G,0))</f>
        <v>You must make a selection from the dropdown list.</v>
      </c>
      <c r="H9321" s="25" t="str">
        <f t="shared" ca="1" si="1074"/>
        <v/>
      </c>
      <c r="I9321" s="25" t="str">
        <f t="shared" ca="1" si="1075"/>
        <v/>
      </c>
      <c r="J9321" s="26" t="str">
        <f t="shared" si="1076"/>
        <v/>
      </c>
    </row>
    <row r="9322" spans="1:10" x14ac:dyDescent="0.25">
      <c r="A9322" t="s">
        <v>111</v>
      </c>
      <c r="B9322" t="str">
        <f>ADDRESS(ROW(Parcels!B594),COLUMN(Parcels!B594),4)</f>
        <v>B594</v>
      </c>
      <c r="C9322" t="str">
        <f>ADDRESS(ROW(Parcels!D594),COLUMN(Parcels!D594),4)</f>
        <v>D594</v>
      </c>
      <c r="D9322" t="b">
        <f>IF(AND(Parcels!$B$6="Yes",NOT(ISBLANK(Parcels!A594)),ISBLANK(Parcels!B594)),TRUE,FALSE)</f>
        <v>0</v>
      </c>
      <c r="E9322" t="s">
        <v>64</v>
      </c>
      <c r="F9322" t="str">
        <f>INDEX(Lists!I:I,MATCH(Validation!E9322,Lists!G:G,0))</f>
        <v>Error</v>
      </c>
      <c r="G9322" t="str">
        <f>INDEX(Lists!H:H,MATCH(Validation!E9322,Lists!G:G,0))</f>
        <v>You must make a selection from the dropdown list.</v>
      </c>
      <c r="H9322" s="25" t="str">
        <f t="shared" ca="1" si="1074"/>
        <v/>
      </c>
      <c r="I9322" s="25" t="str">
        <f t="shared" ca="1" si="1075"/>
        <v/>
      </c>
      <c r="J9322" s="26" t="str">
        <f t="shared" si="1076"/>
        <v/>
      </c>
    </row>
    <row r="9323" spans="1:10" x14ac:dyDescent="0.25">
      <c r="A9323" t="s">
        <v>111</v>
      </c>
      <c r="B9323" t="str">
        <f>ADDRESS(ROW(Parcels!B595),COLUMN(Parcels!B595),4)</f>
        <v>B595</v>
      </c>
      <c r="C9323" t="str">
        <f>ADDRESS(ROW(Parcels!D595),COLUMN(Parcels!D595),4)</f>
        <v>D595</v>
      </c>
      <c r="D9323" t="b">
        <f>IF(AND(Parcels!$B$6="Yes",NOT(ISBLANK(Parcels!A595)),ISBLANK(Parcels!B595)),TRUE,FALSE)</f>
        <v>0</v>
      </c>
      <c r="E9323" t="s">
        <v>64</v>
      </c>
      <c r="F9323" t="str">
        <f>INDEX(Lists!I:I,MATCH(Validation!E9323,Lists!G:G,0))</f>
        <v>Error</v>
      </c>
      <c r="G9323" t="str">
        <f>INDEX(Lists!H:H,MATCH(Validation!E9323,Lists!G:G,0))</f>
        <v>You must make a selection from the dropdown list.</v>
      </c>
      <c r="H9323" s="25" t="str">
        <f t="shared" ca="1" si="1074"/>
        <v/>
      </c>
      <c r="I9323" s="25" t="str">
        <f t="shared" ca="1" si="1075"/>
        <v/>
      </c>
      <c r="J9323" s="26" t="str">
        <f t="shared" si="1076"/>
        <v/>
      </c>
    </row>
    <row r="9324" spans="1:10" x14ac:dyDescent="0.25">
      <c r="A9324" t="s">
        <v>111</v>
      </c>
      <c r="B9324" t="str">
        <f>ADDRESS(ROW(Parcels!B596),COLUMN(Parcels!B596),4)</f>
        <v>B596</v>
      </c>
      <c r="C9324" t="str">
        <f>ADDRESS(ROW(Parcels!D596),COLUMN(Parcels!D596),4)</f>
        <v>D596</v>
      </c>
      <c r="D9324" t="b">
        <f>IF(AND(Parcels!$B$6="Yes",NOT(ISBLANK(Parcels!A596)),ISBLANK(Parcels!B596)),TRUE,FALSE)</f>
        <v>0</v>
      </c>
      <c r="E9324" t="s">
        <v>64</v>
      </c>
      <c r="F9324" t="str">
        <f>INDEX(Lists!I:I,MATCH(Validation!E9324,Lists!G:G,0))</f>
        <v>Error</v>
      </c>
      <c r="G9324" t="str">
        <f>INDEX(Lists!H:H,MATCH(Validation!E9324,Lists!G:G,0))</f>
        <v>You must make a selection from the dropdown list.</v>
      </c>
      <c r="H9324" s="25" t="str">
        <f t="shared" ca="1" si="1074"/>
        <v/>
      </c>
      <c r="I9324" s="25" t="str">
        <f t="shared" ca="1" si="1075"/>
        <v/>
      </c>
      <c r="J9324" s="26" t="str">
        <f t="shared" si="1076"/>
        <v/>
      </c>
    </row>
    <row r="9325" spans="1:10" x14ac:dyDescent="0.25">
      <c r="A9325" t="s">
        <v>111</v>
      </c>
      <c r="B9325" t="str">
        <f>ADDRESS(ROW(Parcels!B597),COLUMN(Parcels!B597),4)</f>
        <v>B597</v>
      </c>
      <c r="C9325" t="str">
        <f>ADDRESS(ROW(Parcels!D597),COLUMN(Parcels!D597),4)</f>
        <v>D597</v>
      </c>
      <c r="D9325" t="b">
        <f>IF(AND(Parcels!$B$6="Yes",NOT(ISBLANK(Parcels!A597)),ISBLANK(Parcels!B597)),TRUE,FALSE)</f>
        <v>0</v>
      </c>
      <c r="E9325" t="s">
        <v>64</v>
      </c>
      <c r="F9325" t="str">
        <f>INDEX(Lists!I:I,MATCH(Validation!E9325,Lists!G:G,0))</f>
        <v>Error</v>
      </c>
      <c r="G9325" t="str">
        <f>INDEX(Lists!H:H,MATCH(Validation!E9325,Lists!G:G,0))</f>
        <v>You must make a selection from the dropdown list.</v>
      </c>
      <c r="H9325" s="25" t="str">
        <f t="shared" ca="1" si="1074"/>
        <v/>
      </c>
      <c r="I9325" s="25" t="str">
        <f t="shared" ca="1" si="1075"/>
        <v/>
      </c>
      <c r="J9325" s="26" t="str">
        <f t="shared" si="1076"/>
        <v/>
      </c>
    </row>
    <row r="9326" spans="1:10" x14ac:dyDescent="0.25">
      <c r="A9326" t="s">
        <v>111</v>
      </c>
      <c r="B9326" t="str">
        <f>ADDRESS(ROW(Parcels!B598),COLUMN(Parcels!B598),4)</f>
        <v>B598</v>
      </c>
      <c r="C9326" t="str">
        <f>ADDRESS(ROW(Parcels!D598),COLUMN(Parcels!D598),4)</f>
        <v>D598</v>
      </c>
      <c r="D9326" t="b">
        <f>IF(AND(Parcels!$B$6="Yes",NOT(ISBLANK(Parcels!A598)),ISBLANK(Parcels!B598)),TRUE,FALSE)</f>
        <v>0</v>
      </c>
      <c r="E9326" t="s">
        <v>64</v>
      </c>
      <c r="F9326" t="str">
        <f>INDEX(Lists!I:I,MATCH(Validation!E9326,Lists!G:G,0))</f>
        <v>Error</v>
      </c>
      <c r="G9326" t="str">
        <f>INDEX(Lists!H:H,MATCH(Validation!E9326,Lists!G:G,0))</f>
        <v>You must make a selection from the dropdown list.</v>
      </c>
      <c r="H9326" s="25" t="str">
        <f t="shared" ca="1" si="1074"/>
        <v/>
      </c>
      <c r="I9326" s="25" t="str">
        <f t="shared" ca="1" si="1075"/>
        <v/>
      </c>
      <c r="J9326" s="26" t="str">
        <f t="shared" si="1076"/>
        <v/>
      </c>
    </row>
    <row r="9327" spans="1:10" x14ac:dyDescent="0.25">
      <c r="A9327" t="s">
        <v>111</v>
      </c>
      <c r="B9327" t="str">
        <f>ADDRESS(ROW(Parcels!B599),COLUMN(Parcels!B599),4)</f>
        <v>B599</v>
      </c>
      <c r="C9327" t="str">
        <f>ADDRESS(ROW(Parcels!D599),COLUMN(Parcels!D599),4)</f>
        <v>D599</v>
      </c>
      <c r="D9327" t="b">
        <f>IF(AND(Parcels!$B$6="Yes",NOT(ISBLANK(Parcels!A599)),ISBLANK(Parcels!B599)),TRUE,FALSE)</f>
        <v>0</v>
      </c>
      <c r="E9327" t="s">
        <v>64</v>
      </c>
      <c r="F9327" t="str">
        <f>INDEX(Lists!I:I,MATCH(Validation!E9327,Lists!G:G,0))</f>
        <v>Error</v>
      </c>
      <c r="G9327" t="str">
        <f>INDEX(Lists!H:H,MATCH(Validation!E9327,Lists!G:G,0))</f>
        <v>You must make a selection from the dropdown list.</v>
      </c>
      <c r="H9327" s="25" t="str">
        <f t="shared" ca="1" si="1074"/>
        <v/>
      </c>
      <c r="I9327" s="25" t="str">
        <f t="shared" ca="1" si="1075"/>
        <v/>
      </c>
      <c r="J9327" s="26" t="str">
        <f t="shared" si="1076"/>
        <v/>
      </c>
    </row>
    <row r="9328" spans="1:10" x14ac:dyDescent="0.25">
      <c r="A9328" t="s">
        <v>111</v>
      </c>
      <c r="B9328" t="str">
        <f>ADDRESS(ROW(Parcels!B600),COLUMN(Parcels!B600),4)</f>
        <v>B600</v>
      </c>
      <c r="C9328" t="str">
        <f>ADDRESS(ROW(Parcels!D600),COLUMN(Parcels!D600),4)</f>
        <v>D600</v>
      </c>
      <c r="D9328" t="b">
        <f>IF(AND(Parcels!$B$6="Yes",NOT(ISBLANK(Parcels!A600)),ISBLANK(Parcels!B600)),TRUE,FALSE)</f>
        <v>0</v>
      </c>
      <c r="E9328" t="s">
        <v>64</v>
      </c>
      <c r="F9328" t="str">
        <f>INDEX(Lists!I:I,MATCH(Validation!E9328,Lists!G:G,0))</f>
        <v>Error</v>
      </c>
      <c r="G9328" t="str">
        <f>INDEX(Lists!H:H,MATCH(Validation!E9328,Lists!G:G,0))</f>
        <v>You must make a selection from the dropdown list.</v>
      </c>
      <c r="H9328" s="25" t="str">
        <f t="shared" ca="1" si="1074"/>
        <v/>
      </c>
      <c r="I9328" s="25" t="str">
        <f t="shared" ca="1" si="1075"/>
        <v/>
      </c>
      <c r="J9328" s="26" t="str">
        <f t="shared" si="1076"/>
        <v/>
      </c>
    </row>
    <row r="9329" spans="1:10" x14ac:dyDescent="0.25">
      <c r="A9329" t="s">
        <v>111</v>
      </c>
      <c r="B9329" t="str">
        <f>ADDRESS(ROW(Parcels!B601),COLUMN(Parcels!B601),4)</f>
        <v>B601</v>
      </c>
      <c r="C9329" t="str">
        <f>ADDRESS(ROW(Parcels!D601),COLUMN(Parcels!D601),4)</f>
        <v>D601</v>
      </c>
      <c r="D9329" t="b">
        <f>IF(AND(Parcels!$B$6="Yes",NOT(ISBLANK(Parcels!A601)),ISBLANK(Parcels!B601)),TRUE,FALSE)</f>
        <v>0</v>
      </c>
      <c r="E9329" t="s">
        <v>64</v>
      </c>
      <c r="F9329" t="str">
        <f>INDEX(Lists!I:I,MATCH(Validation!E9329,Lists!G:G,0))</f>
        <v>Error</v>
      </c>
      <c r="G9329" t="str">
        <f>INDEX(Lists!H:H,MATCH(Validation!E9329,Lists!G:G,0))</f>
        <v>You must make a selection from the dropdown list.</v>
      </c>
      <c r="H9329" s="25" t="str">
        <f t="shared" ca="1" si="1074"/>
        <v/>
      </c>
      <c r="I9329" s="25" t="str">
        <f t="shared" ca="1" si="1075"/>
        <v/>
      </c>
      <c r="J9329" s="26" t="str">
        <f t="shared" si="1076"/>
        <v/>
      </c>
    </row>
    <row r="9330" spans="1:10" x14ac:dyDescent="0.25">
      <c r="A9330" t="s">
        <v>111</v>
      </c>
      <c r="B9330" t="str">
        <f>ADDRESS(ROW(Parcels!B602),COLUMN(Parcels!B602),4)</f>
        <v>B602</v>
      </c>
      <c r="C9330" t="str">
        <f>ADDRESS(ROW(Parcels!D602),COLUMN(Parcels!D602),4)</f>
        <v>D602</v>
      </c>
      <c r="D9330" t="b">
        <f>IF(AND(Parcels!$B$6="Yes",NOT(ISBLANK(Parcels!A602)),ISBLANK(Parcels!B602)),TRUE,FALSE)</f>
        <v>0</v>
      </c>
      <c r="E9330" t="s">
        <v>64</v>
      </c>
      <c r="F9330" t="str">
        <f>INDEX(Lists!I:I,MATCH(Validation!E9330,Lists!G:G,0))</f>
        <v>Error</v>
      </c>
      <c r="G9330" t="str">
        <f>INDEX(Lists!H:H,MATCH(Validation!E9330,Lists!G:G,0))</f>
        <v>You must make a selection from the dropdown list.</v>
      </c>
      <c r="H9330" s="25" t="str">
        <f t="shared" ca="1" si="1074"/>
        <v/>
      </c>
      <c r="I9330" s="25" t="str">
        <f t="shared" ca="1" si="1075"/>
        <v/>
      </c>
      <c r="J9330" s="26" t="str">
        <f t="shared" si="1076"/>
        <v/>
      </c>
    </row>
    <row r="9331" spans="1:10" x14ac:dyDescent="0.25">
      <c r="A9331" t="s">
        <v>111</v>
      </c>
      <c r="B9331" t="str">
        <f>ADDRESS(ROW(Parcels!B603),COLUMN(Parcels!B603),4)</f>
        <v>B603</v>
      </c>
      <c r="C9331" t="str">
        <f>ADDRESS(ROW(Parcels!D603),COLUMN(Parcels!D603),4)</f>
        <v>D603</v>
      </c>
      <c r="D9331" t="b">
        <f>IF(AND(Parcels!$B$6="Yes",NOT(ISBLANK(Parcels!A603)),ISBLANK(Parcels!B603)),TRUE,FALSE)</f>
        <v>0</v>
      </c>
      <c r="E9331" t="s">
        <v>64</v>
      </c>
      <c r="F9331" t="str">
        <f>INDEX(Lists!I:I,MATCH(Validation!E9331,Lists!G:G,0))</f>
        <v>Error</v>
      </c>
      <c r="G9331" t="str">
        <f>INDEX(Lists!H:H,MATCH(Validation!E9331,Lists!G:G,0))</f>
        <v>You must make a selection from the dropdown list.</v>
      </c>
      <c r="H9331" s="25" t="str">
        <f t="shared" ca="1" si="1074"/>
        <v/>
      </c>
      <c r="I9331" s="25" t="str">
        <f t="shared" ca="1" si="1075"/>
        <v/>
      </c>
      <c r="J9331" s="26" t="str">
        <f t="shared" si="1076"/>
        <v/>
      </c>
    </row>
    <row r="9332" spans="1:10" x14ac:dyDescent="0.25">
      <c r="A9332" t="s">
        <v>111</v>
      </c>
      <c r="B9332" t="str">
        <f>ADDRESS(ROW(Parcels!B604),COLUMN(Parcels!B604),4)</f>
        <v>B604</v>
      </c>
      <c r="C9332" t="str">
        <f>ADDRESS(ROW(Parcels!D604),COLUMN(Parcels!D604),4)</f>
        <v>D604</v>
      </c>
      <c r="D9332" t="b">
        <f>IF(AND(Parcels!$B$6="Yes",NOT(ISBLANK(Parcels!A604)),ISBLANK(Parcels!B604)),TRUE,FALSE)</f>
        <v>0</v>
      </c>
      <c r="E9332" t="s">
        <v>64</v>
      </c>
      <c r="F9332" t="str">
        <f>INDEX(Lists!I:I,MATCH(Validation!E9332,Lists!G:G,0))</f>
        <v>Error</v>
      </c>
      <c r="G9332" t="str">
        <f>INDEX(Lists!H:H,MATCH(Validation!E9332,Lists!G:G,0))</f>
        <v>You must make a selection from the dropdown list.</v>
      </c>
      <c r="H9332" s="25" t="str">
        <f t="shared" ca="1" si="1074"/>
        <v/>
      </c>
      <c r="I9332" s="25" t="str">
        <f t="shared" ca="1" si="1075"/>
        <v/>
      </c>
      <c r="J9332" s="26" t="str">
        <f t="shared" si="1076"/>
        <v/>
      </c>
    </row>
    <row r="9333" spans="1:10" x14ac:dyDescent="0.25">
      <c r="A9333" t="s">
        <v>111</v>
      </c>
      <c r="B9333" t="str">
        <f>ADDRESS(ROW(Parcels!B605),COLUMN(Parcels!B605),4)</f>
        <v>B605</v>
      </c>
      <c r="C9333" t="str">
        <f>ADDRESS(ROW(Parcels!D605),COLUMN(Parcels!D605),4)</f>
        <v>D605</v>
      </c>
      <c r="D9333" t="b">
        <f>IF(AND(Parcels!$B$6="Yes",NOT(ISBLANK(Parcels!A605)),ISBLANK(Parcels!B605)),TRUE,FALSE)</f>
        <v>0</v>
      </c>
      <c r="E9333" t="s">
        <v>64</v>
      </c>
      <c r="F9333" t="str">
        <f>INDEX(Lists!I:I,MATCH(Validation!E9333,Lists!G:G,0))</f>
        <v>Error</v>
      </c>
      <c r="G9333" t="str">
        <f>INDEX(Lists!H:H,MATCH(Validation!E9333,Lists!G:G,0))</f>
        <v>You must make a selection from the dropdown list.</v>
      </c>
      <c r="H9333" s="25" t="str">
        <f t="shared" ca="1" si="1074"/>
        <v/>
      </c>
      <c r="I9333" s="25" t="str">
        <f t="shared" ca="1" si="1075"/>
        <v/>
      </c>
      <c r="J9333" s="26" t="str">
        <f t="shared" si="1076"/>
        <v/>
      </c>
    </row>
    <row r="9334" spans="1:10" x14ac:dyDescent="0.25">
      <c r="A9334" t="s">
        <v>111</v>
      </c>
      <c r="B9334" t="str">
        <f>ADDRESS(ROW(Parcels!B606),COLUMN(Parcels!B606),4)</f>
        <v>B606</v>
      </c>
      <c r="C9334" t="str">
        <f>ADDRESS(ROW(Parcels!D606),COLUMN(Parcels!D606),4)</f>
        <v>D606</v>
      </c>
      <c r="D9334" t="b">
        <f>IF(AND(Parcels!$B$6="Yes",NOT(ISBLANK(Parcels!A606)),ISBLANK(Parcels!B606)),TRUE,FALSE)</f>
        <v>0</v>
      </c>
      <c r="E9334" t="s">
        <v>64</v>
      </c>
      <c r="F9334" t="str">
        <f>INDEX(Lists!I:I,MATCH(Validation!E9334,Lists!G:G,0))</f>
        <v>Error</v>
      </c>
      <c r="G9334" t="str">
        <f>INDEX(Lists!H:H,MATCH(Validation!E9334,Lists!G:G,0))</f>
        <v>You must make a selection from the dropdown list.</v>
      </c>
      <c r="H9334" s="25" t="str">
        <f t="shared" ca="1" si="1074"/>
        <v/>
      </c>
      <c r="I9334" s="25" t="str">
        <f t="shared" ca="1" si="1075"/>
        <v/>
      </c>
      <c r="J9334" s="26" t="str">
        <f t="shared" si="1076"/>
        <v/>
      </c>
    </row>
    <row r="9335" spans="1:10" x14ac:dyDescent="0.25">
      <c r="A9335" t="s">
        <v>111</v>
      </c>
      <c r="B9335" t="str">
        <f>ADDRESS(ROW(Parcels!B607),COLUMN(Parcels!B607),4)</f>
        <v>B607</v>
      </c>
      <c r="C9335" t="str">
        <f>ADDRESS(ROW(Parcels!D607),COLUMN(Parcels!D607),4)</f>
        <v>D607</v>
      </c>
      <c r="D9335" t="b">
        <f>IF(AND(Parcels!$B$6="Yes",NOT(ISBLANK(Parcels!A607)),ISBLANK(Parcels!B607)),TRUE,FALSE)</f>
        <v>0</v>
      </c>
      <c r="E9335" t="s">
        <v>64</v>
      </c>
      <c r="F9335" t="str">
        <f>INDEX(Lists!I:I,MATCH(Validation!E9335,Lists!G:G,0))</f>
        <v>Error</v>
      </c>
      <c r="G9335" t="str">
        <f>INDEX(Lists!H:H,MATCH(Validation!E9335,Lists!G:G,0))</f>
        <v>You must make a selection from the dropdown list.</v>
      </c>
      <c r="H9335" s="25" t="str">
        <f t="shared" ca="1" si="1074"/>
        <v/>
      </c>
      <c r="I9335" s="25" t="str">
        <f t="shared" ca="1" si="1075"/>
        <v/>
      </c>
      <c r="J9335" s="26" t="str">
        <f t="shared" si="1076"/>
        <v/>
      </c>
    </row>
    <row r="9336" spans="1:10" x14ac:dyDescent="0.25">
      <c r="A9336" t="s">
        <v>111</v>
      </c>
      <c r="B9336" t="str">
        <f>ADDRESS(ROW(Parcels!B608),COLUMN(Parcels!B608),4)</f>
        <v>B608</v>
      </c>
      <c r="C9336" t="str">
        <f>ADDRESS(ROW(Parcels!D608),COLUMN(Parcels!D608),4)</f>
        <v>D608</v>
      </c>
      <c r="D9336" t="b">
        <f>IF(AND(Parcels!$B$6="Yes",NOT(ISBLANK(Parcels!A608)),ISBLANK(Parcels!B608)),TRUE,FALSE)</f>
        <v>0</v>
      </c>
      <c r="E9336" t="s">
        <v>64</v>
      </c>
      <c r="F9336" t="str">
        <f>INDEX(Lists!I:I,MATCH(Validation!E9336,Lists!G:G,0))</f>
        <v>Error</v>
      </c>
      <c r="G9336" t="str">
        <f>INDEX(Lists!H:H,MATCH(Validation!E9336,Lists!G:G,0))</f>
        <v>You must make a selection from the dropdown list.</v>
      </c>
      <c r="H9336" s="25" t="str">
        <f t="shared" ca="1" si="1074"/>
        <v/>
      </c>
      <c r="I9336" s="25" t="str">
        <f t="shared" ca="1" si="1075"/>
        <v/>
      </c>
      <c r="J9336" s="26" t="str">
        <f t="shared" si="1076"/>
        <v/>
      </c>
    </row>
    <row r="9337" spans="1:10" x14ac:dyDescent="0.25">
      <c r="A9337" t="s">
        <v>111</v>
      </c>
      <c r="B9337" t="str">
        <f>ADDRESS(ROW(Parcels!B609),COLUMN(Parcels!B609),4)</f>
        <v>B609</v>
      </c>
      <c r="C9337" t="str">
        <f>ADDRESS(ROW(Parcels!D609),COLUMN(Parcels!D609),4)</f>
        <v>D609</v>
      </c>
      <c r="D9337" t="b">
        <f>IF(AND(Parcels!$B$6="Yes",NOT(ISBLANK(Parcels!A609)),ISBLANK(Parcels!B609)),TRUE,FALSE)</f>
        <v>0</v>
      </c>
      <c r="E9337" t="s">
        <v>64</v>
      </c>
      <c r="F9337" t="str">
        <f>INDEX(Lists!I:I,MATCH(Validation!E9337,Lists!G:G,0))</f>
        <v>Error</v>
      </c>
      <c r="G9337" t="str">
        <f>INDEX(Lists!H:H,MATCH(Validation!E9337,Lists!G:G,0))</f>
        <v>You must make a selection from the dropdown list.</v>
      </c>
      <c r="H9337" s="25" t="str">
        <f t="shared" ca="1" si="1074"/>
        <v/>
      </c>
      <c r="I9337" s="25" t="str">
        <f t="shared" ca="1" si="1075"/>
        <v/>
      </c>
      <c r="J9337" s="26" t="str">
        <f t="shared" si="1076"/>
        <v/>
      </c>
    </row>
    <row r="9338" spans="1:10" x14ac:dyDescent="0.25">
      <c r="A9338" t="s">
        <v>111</v>
      </c>
      <c r="B9338" t="str">
        <f>ADDRESS(ROW(Parcels!B610),COLUMN(Parcels!B610),4)</f>
        <v>B610</v>
      </c>
      <c r="C9338" t="str">
        <f>ADDRESS(ROW(Parcels!D610),COLUMN(Parcels!D610),4)</f>
        <v>D610</v>
      </c>
      <c r="D9338" t="b">
        <f>IF(AND(Parcels!$B$6="Yes",NOT(ISBLANK(Parcels!A610)),ISBLANK(Parcels!B610)),TRUE,FALSE)</f>
        <v>0</v>
      </c>
      <c r="E9338" t="s">
        <v>64</v>
      </c>
      <c r="F9338" t="str">
        <f>INDEX(Lists!I:I,MATCH(Validation!E9338,Lists!G:G,0))</f>
        <v>Error</v>
      </c>
      <c r="G9338" t="str">
        <f>INDEX(Lists!H:H,MATCH(Validation!E9338,Lists!G:G,0))</f>
        <v>You must make a selection from the dropdown list.</v>
      </c>
      <c r="H9338" s="25" t="str">
        <f t="shared" ca="1" si="1074"/>
        <v/>
      </c>
      <c r="I9338" s="25" t="str">
        <f t="shared" ca="1" si="1075"/>
        <v/>
      </c>
      <c r="J9338" s="26" t="str">
        <f t="shared" si="1076"/>
        <v/>
      </c>
    </row>
    <row r="9339" spans="1:10" x14ac:dyDescent="0.25">
      <c r="A9339" t="s">
        <v>111</v>
      </c>
      <c r="B9339" t="str">
        <f>ADDRESS(ROW(Parcels!B611),COLUMN(Parcels!B611),4)</f>
        <v>B611</v>
      </c>
      <c r="C9339" t="str">
        <f>ADDRESS(ROW(Parcels!D611),COLUMN(Parcels!D611),4)</f>
        <v>D611</v>
      </c>
      <c r="D9339" t="b">
        <f>IF(AND(Parcels!$B$6="Yes",NOT(ISBLANK(Parcels!A611)),ISBLANK(Parcels!B611)),TRUE,FALSE)</f>
        <v>0</v>
      </c>
      <c r="E9339" t="s">
        <v>64</v>
      </c>
      <c r="F9339" t="str">
        <f>INDEX(Lists!I:I,MATCH(Validation!E9339,Lists!G:G,0))</f>
        <v>Error</v>
      </c>
      <c r="G9339" t="str">
        <f>INDEX(Lists!H:H,MATCH(Validation!E9339,Lists!G:G,0))</f>
        <v>You must make a selection from the dropdown list.</v>
      </c>
      <c r="H9339" s="25" t="str">
        <f t="shared" ca="1" si="1074"/>
        <v/>
      </c>
      <c r="I9339" s="25" t="str">
        <f t="shared" ca="1" si="1075"/>
        <v/>
      </c>
      <c r="J9339" s="26" t="str">
        <f t="shared" si="1076"/>
        <v/>
      </c>
    </row>
    <row r="9340" spans="1:10" x14ac:dyDescent="0.25">
      <c r="A9340" t="s">
        <v>111</v>
      </c>
      <c r="B9340" t="str">
        <f>ADDRESS(ROW(Parcels!B612),COLUMN(Parcels!B612),4)</f>
        <v>B612</v>
      </c>
      <c r="C9340" t="str">
        <f>ADDRESS(ROW(Parcels!D612),COLUMN(Parcels!D612),4)</f>
        <v>D612</v>
      </c>
      <c r="D9340" t="b">
        <f>IF(AND(Parcels!$B$6="Yes",NOT(ISBLANK(Parcels!A612)),ISBLANK(Parcels!B612)),TRUE,FALSE)</f>
        <v>0</v>
      </c>
      <c r="E9340" t="s">
        <v>64</v>
      </c>
      <c r="F9340" t="str">
        <f>INDEX(Lists!I:I,MATCH(Validation!E9340,Lists!G:G,0))</f>
        <v>Error</v>
      </c>
      <c r="G9340" t="str">
        <f>INDEX(Lists!H:H,MATCH(Validation!E9340,Lists!G:G,0))</f>
        <v>You must make a selection from the dropdown list.</v>
      </c>
      <c r="H9340" s="25" t="str">
        <f t="shared" ca="1" si="1074"/>
        <v/>
      </c>
      <c r="I9340" s="25" t="str">
        <f t="shared" ca="1" si="1075"/>
        <v/>
      </c>
      <c r="J9340" s="26" t="str">
        <f t="shared" si="1076"/>
        <v/>
      </c>
    </row>
    <row r="9341" spans="1:10" x14ac:dyDescent="0.25">
      <c r="A9341" t="s">
        <v>111</v>
      </c>
      <c r="B9341" t="str">
        <f>ADDRESS(ROW(Parcels!B613),COLUMN(Parcels!B613),4)</f>
        <v>B613</v>
      </c>
      <c r="C9341" t="str">
        <f>ADDRESS(ROW(Parcels!D613),COLUMN(Parcels!D613),4)</f>
        <v>D613</v>
      </c>
      <c r="D9341" t="b">
        <f>IF(AND(Parcels!$B$6="Yes",NOT(ISBLANK(Parcels!A613)),ISBLANK(Parcels!B613)),TRUE,FALSE)</f>
        <v>0</v>
      </c>
      <c r="E9341" t="s">
        <v>64</v>
      </c>
      <c r="F9341" t="str">
        <f>INDEX(Lists!I:I,MATCH(Validation!E9341,Lists!G:G,0))</f>
        <v>Error</v>
      </c>
      <c r="G9341" t="str">
        <f>INDEX(Lists!H:H,MATCH(Validation!E9341,Lists!G:G,0))</f>
        <v>You must make a selection from the dropdown list.</v>
      </c>
      <c r="H9341" s="25" t="str">
        <f t="shared" ca="1" si="1074"/>
        <v/>
      </c>
      <c r="I9341" s="25" t="str">
        <f t="shared" ca="1" si="1075"/>
        <v/>
      </c>
      <c r="J9341" s="26" t="str">
        <f t="shared" si="1076"/>
        <v/>
      </c>
    </row>
    <row r="9342" spans="1:10" x14ac:dyDescent="0.25">
      <c r="A9342" t="s">
        <v>111</v>
      </c>
      <c r="B9342" t="str">
        <f>ADDRESS(ROW(Parcels!B614),COLUMN(Parcels!B614),4)</f>
        <v>B614</v>
      </c>
      <c r="C9342" t="str">
        <f>ADDRESS(ROW(Parcels!D614),COLUMN(Parcels!D614),4)</f>
        <v>D614</v>
      </c>
      <c r="D9342" t="b">
        <f>IF(AND(Parcels!$B$6="Yes",NOT(ISBLANK(Parcels!A614)),ISBLANK(Parcels!B614)),TRUE,FALSE)</f>
        <v>0</v>
      </c>
      <c r="E9342" t="s">
        <v>64</v>
      </c>
      <c r="F9342" t="str">
        <f>INDEX(Lists!I:I,MATCH(Validation!E9342,Lists!G:G,0))</f>
        <v>Error</v>
      </c>
      <c r="G9342" t="str">
        <f>INDEX(Lists!H:H,MATCH(Validation!E9342,Lists!G:G,0))</f>
        <v>You must make a selection from the dropdown list.</v>
      </c>
      <c r="H9342" s="25" t="str">
        <f t="shared" ca="1" si="1074"/>
        <v/>
      </c>
      <c r="I9342" s="25" t="str">
        <f t="shared" ca="1" si="1075"/>
        <v/>
      </c>
      <c r="J9342" s="26" t="str">
        <f t="shared" si="1076"/>
        <v/>
      </c>
    </row>
    <row r="9343" spans="1:10" x14ac:dyDescent="0.25">
      <c r="A9343" t="s">
        <v>111</v>
      </c>
      <c r="B9343" t="str">
        <f>ADDRESS(ROW(Parcels!B615),COLUMN(Parcels!B615),4)</f>
        <v>B615</v>
      </c>
      <c r="C9343" t="str">
        <f>ADDRESS(ROW(Parcels!D615),COLUMN(Parcels!D615),4)</f>
        <v>D615</v>
      </c>
      <c r="D9343" t="b">
        <f>IF(AND(Parcels!$B$6="Yes",NOT(ISBLANK(Parcels!A615)),ISBLANK(Parcels!B615)),TRUE,FALSE)</f>
        <v>0</v>
      </c>
      <c r="E9343" t="s">
        <v>64</v>
      </c>
      <c r="F9343" t="str">
        <f>INDEX(Lists!I:I,MATCH(Validation!E9343,Lists!G:G,0))</f>
        <v>Error</v>
      </c>
      <c r="G9343" t="str">
        <f>INDEX(Lists!H:H,MATCH(Validation!E9343,Lists!G:G,0))</f>
        <v>You must make a selection from the dropdown list.</v>
      </c>
      <c r="H9343" s="25" t="str">
        <f t="shared" ca="1" si="1074"/>
        <v/>
      </c>
      <c r="I9343" s="25" t="str">
        <f t="shared" ca="1" si="1075"/>
        <v/>
      </c>
      <c r="J9343" s="26" t="str">
        <f t="shared" si="1076"/>
        <v/>
      </c>
    </row>
    <row r="9344" spans="1:10" x14ac:dyDescent="0.25">
      <c r="A9344" t="s">
        <v>111</v>
      </c>
      <c r="B9344" t="str">
        <f>ADDRESS(ROW(Parcels!B616),COLUMN(Parcels!B616),4)</f>
        <v>B616</v>
      </c>
      <c r="C9344" t="str">
        <f>ADDRESS(ROW(Parcels!D616),COLUMN(Parcels!D616),4)</f>
        <v>D616</v>
      </c>
      <c r="D9344" t="b">
        <f>IF(AND(Parcels!$B$6="Yes",NOT(ISBLANK(Parcels!A616)),ISBLANK(Parcels!B616)),TRUE,FALSE)</f>
        <v>0</v>
      </c>
      <c r="E9344" t="s">
        <v>64</v>
      </c>
      <c r="F9344" t="str">
        <f>INDEX(Lists!I:I,MATCH(Validation!E9344,Lists!G:G,0))</f>
        <v>Error</v>
      </c>
      <c r="G9344" t="str">
        <f>INDEX(Lists!H:H,MATCH(Validation!E9344,Lists!G:G,0))</f>
        <v>You must make a selection from the dropdown list.</v>
      </c>
      <c r="H9344" s="25" t="str">
        <f t="shared" ca="1" si="1074"/>
        <v/>
      </c>
      <c r="I9344" s="25" t="str">
        <f t="shared" ca="1" si="1075"/>
        <v/>
      </c>
      <c r="J9344" s="26" t="str">
        <f t="shared" si="1076"/>
        <v/>
      </c>
    </row>
    <row r="9345" spans="1:10" x14ac:dyDescent="0.25">
      <c r="A9345" t="s">
        <v>111</v>
      </c>
      <c r="B9345" t="str">
        <f>ADDRESS(ROW(Parcels!B617),COLUMN(Parcels!B617),4)</f>
        <v>B617</v>
      </c>
      <c r="C9345" t="str">
        <f>ADDRESS(ROW(Parcels!D617),COLUMN(Parcels!D617),4)</f>
        <v>D617</v>
      </c>
      <c r="D9345" t="b">
        <f>IF(AND(Parcels!$B$6="Yes",NOT(ISBLANK(Parcels!A617)),ISBLANK(Parcels!B617)),TRUE,FALSE)</f>
        <v>0</v>
      </c>
      <c r="E9345" t="s">
        <v>64</v>
      </c>
      <c r="F9345" t="str">
        <f>INDEX(Lists!I:I,MATCH(Validation!E9345,Lists!G:G,0))</f>
        <v>Error</v>
      </c>
      <c r="G9345" t="str">
        <f>INDEX(Lists!H:H,MATCH(Validation!E9345,Lists!G:G,0))</f>
        <v>You must make a selection from the dropdown list.</v>
      </c>
      <c r="H9345" s="25" t="str">
        <f t="shared" ca="1" si="1074"/>
        <v/>
      </c>
      <c r="I9345" s="25" t="str">
        <f t="shared" ca="1" si="1075"/>
        <v/>
      </c>
      <c r="J9345" s="26" t="str">
        <f t="shared" si="1076"/>
        <v/>
      </c>
    </row>
    <row r="9346" spans="1:10" x14ac:dyDescent="0.25">
      <c r="A9346" t="s">
        <v>111</v>
      </c>
      <c r="B9346" t="str">
        <f>ADDRESS(ROW(Parcels!B618),COLUMN(Parcels!B618),4)</f>
        <v>B618</v>
      </c>
      <c r="C9346" t="str">
        <f>ADDRESS(ROW(Parcels!D618),COLUMN(Parcels!D618),4)</f>
        <v>D618</v>
      </c>
      <c r="D9346" t="b">
        <f>IF(AND(Parcels!$B$6="Yes",NOT(ISBLANK(Parcels!A618)),ISBLANK(Parcels!B618)),TRUE,FALSE)</f>
        <v>0</v>
      </c>
      <c r="E9346" t="s">
        <v>64</v>
      </c>
      <c r="F9346" t="str">
        <f>INDEX(Lists!I:I,MATCH(Validation!E9346,Lists!G:G,0))</f>
        <v>Error</v>
      </c>
      <c r="G9346" t="str">
        <f>INDEX(Lists!H:H,MATCH(Validation!E9346,Lists!G:G,0))</f>
        <v>You must make a selection from the dropdown list.</v>
      </c>
      <c r="H9346" s="25" t="str">
        <f t="shared" ca="1" si="1074"/>
        <v/>
      </c>
      <c r="I9346" s="25" t="str">
        <f t="shared" ca="1" si="1075"/>
        <v/>
      </c>
      <c r="J9346" s="26" t="str">
        <f t="shared" si="1076"/>
        <v/>
      </c>
    </row>
    <row r="9347" spans="1:10" x14ac:dyDescent="0.25">
      <c r="A9347" t="s">
        <v>111</v>
      </c>
      <c r="B9347" t="str">
        <f>ADDRESS(ROW(Parcels!B619),COLUMN(Parcels!B619),4)</f>
        <v>B619</v>
      </c>
      <c r="C9347" t="str">
        <f>ADDRESS(ROW(Parcels!D619),COLUMN(Parcels!D619),4)</f>
        <v>D619</v>
      </c>
      <c r="D9347" t="b">
        <f>IF(AND(Parcels!$B$6="Yes",NOT(ISBLANK(Parcels!A619)),ISBLANK(Parcels!B619)),TRUE,FALSE)</f>
        <v>0</v>
      </c>
      <c r="E9347" t="s">
        <v>64</v>
      </c>
      <c r="F9347" t="str">
        <f>INDEX(Lists!I:I,MATCH(Validation!E9347,Lists!G:G,0))</f>
        <v>Error</v>
      </c>
      <c r="G9347" t="str">
        <f>INDEX(Lists!H:H,MATCH(Validation!E9347,Lists!G:G,0))</f>
        <v>You must make a selection from the dropdown list.</v>
      </c>
      <c r="H9347" s="25" t="str">
        <f t="shared" ca="1" si="1074"/>
        <v/>
      </c>
      <c r="I9347" s="25" t="str">
        <f t="shared" ca="1" si="1075"/>
        <v/>
      </c>
      <c r="J9347" s="26" t="str">
        <f t="shared" si="1076"/>
        <v/>
      </c>
    </row>
    <row r="9348" spans="1:10" x14ac:dyDescent="0.25">
      <c r="A9348" t="s">
        <v>111</v>
      </c>
      <c r="B9348" t="str">
        <f>ADDRESS(ROW(Parcels!B620),COLUMN(Parcels!B620),4)</f>
        <v>B620</v>
      </c>
      <c r="C9348" t="str">
        <f>ADDRESS(ROW(Parcels!D620),COLUMN(Parcels!D620),4)</f>
        <v>D620</v>
      </c>
      <c r="D9348" t="b">
        <f>IF(AND(Parcels!$B$6="Yes",NOT(ISBLANK(Parcels!A620)),ISBLANK(Parcels!B620)),TRUE,FALSE)</f>
        <v>0</v>
      </c>
      <c r="E9348" t="s">
        <v>64</v>
      </c>
      <c r="F9348" t="str">
        <f>INDEX(Lists!I:I,MATCH(Validation!E9348,Lists!G:G,0))</f>
        <v>Error</v>
      </c>
      <c r="G9348" t="str">
        <f>INDEX(Lists!H:H,MATCH(Validation!E9348,Lists!G:G,0))</f>
        <v>You must make a selection from the dropdown list.</v>
      </c>
      <c r="H9348" s="25" t="str">
        <f t="shared" ca="1" si="1074"/>
        <v/>
      </c>
      <c r="I9348" s="25" t="str">
        <f t="shared" ca="1" si="1075"/>
        <v/>
      </c>
      <c r="J9348" s="26" t="str">
        <f t="shared" si="1076"/>
        <v/>
      </c>
    </row>
    <row r="9349" spans="1:10" x14ac:dyDescent="0.25">
      <c r="A9349" t="s">
        <v>111</v>
      </c>
      <c r="B9349" t="str">
        <f>ADDRESS(ROW(Parcels!B621),COLUMN(Parcels!B621),4)</f>
        <v>B621</v>
      </c>
      <c r="C9349" t="str">
        <f>ADDRESS(ROW(Parcels!D621),COLUMN(Parcels!D621),4)</f>
        <v>D621</v>
      </c>
      <c r="D9349" t="b">
        <f>IF(AND(Parcels!$B$6="Yes",NOT(ISBLANK(Parcels!A621)),ISBLANK(Parcels!B621)),TRUE,FALSE)</f>
        <v>0</v>
      </c>
      <c r="E9349" t="s">
        <v>64</v>
      </c>
      <c r="F9349" t="str">
        <f>INDEX(Lists!I:I,MATCH(Validation!E9349,Lists!G:G,0))</f>
        <v>Error</v>
      </c>
      <c r="G9349" t="str">
        <f>INDEX(Lists!H:H,MATCH(Validation!E9349,Lists!G:G,0))</f>
        <v>You must make a selection from the dropdown list.</v>
      </c>
      <c r="H9349" s="25" t="str">
        <f t="shared" ca="1" si="1074"/>
        <v/>
      </c>
      <c r="I9349" s="25" t="str">
        <f t="shared" ca="1" si="1075"/>
        <v/>
      </c>
      <c r="J9349" s="26" t="str">
        <f t="shared" si="1076"/>
        <v/>
      </c>
    </row>
    <row r="9350" spans="1:10" x14ac:dyDescent="0.25">
      <c r="A9350" t="s">
        <v>111</v>
      </c>
      <c r="B9350" t="str">
        <f>ADDRESS(ROW(Parcels!B622),COLUMN(Parcels!B622),4)</f>
        <v>B622</v>
      </c>
      <c r="C9350" t="str">
        <f>ADDRESS(ROW(Parcels!D622),COLUMN(Parcels!D622),4)</f>
        <v>D622</v>
      </c>
      <c r="D9350" t="b">
        <f>IF(AND(Parcels!$B$6="Yes",NOT(ISBLANK(Parcels!A622)),ISBLANK(Parcels!B622)),TRUE,FALSE)</f>
        <v>0</v>
      </c>
      <c r="E9350" t="s">
        <v>64</v>
      </c>
      <c r="F9350" t="str">
        <f>INDEX(Lists!I:I,MATCH(Validation!E9350,Lists!G:G,0))</f>
        <v>Error</v>
      </c>
      <c r="G9350" t="str">
        <f>INDEX(Lists!H:H,MATCH(Validation!E9350,Lists!G:G,0))</f>
        <v>You must make a selection from the dropdown list.</v>
      </c>
      <c r="H9350" s="25" t="str">
        <f t="shared" ca="1" si="1074"/>
        <v/>
      </c>
      <c r="I9350" s="25" t="str">
        <f t="shared" ca="1" si="1075"/>
        <v/>
      </c>
      <c r="J9350" s="26" t="str">
        <f t="shared" si="1076"/>
        <v/>
      </c>
    </row>
    <row r="9351" spans="1:10" x14ac:dyDescent="0.25">
      <c r="A9351" t="s">
        <v>111</v>
      </c>
      <c r="B9351" t="str">
        <f>ADDRESS(ROW(Parcels!B623),COLUMN(Parcels!B623),4)</f>
        <v>B623</v>
      </c>
      <c r="C9351" t="str">
        <f>ADDRESS(ROW(Parcels!D623),COLUMN(Parcels!D623),4)</f>
        <v>D623</v>
      </c>
      <c r="D9351" t="b">
        <f>IF(AND(Parcels!$B$6="Yes",NOT(ISBLANK(Parcels!A623)),ISBLANK(Parcels!B623)),TRUE,FALSE)</f>
        <v>0</v>
      </c>
      <c r="E9351" t="s">
        <v>64</v>
      </c>
      <c r="F9351" t="str">
        <f>INDEX(Lists!I:I,MATCH(Validation!E9351,Lists!G:G,0))</f>
        <v>Error</v>
      </c>
      <c r="G9351" t="str">
        <f>INDEX(Lists!H:H,MATCH(Validation!E9351,Lists!G:G,0))</f>
        <v>You must make a selection from the dropdown list.</v>
      </c>
      <c r="H9351" s="25" t="str">
        <f t="shared" ca="1" si="1074"/>
        <v/>
      </c>
      <c r="I9351" s="25" t="str">
        <f t="shared" ca="1" si="1075"/>
        <v/>
      </c>
      <c r="J9351" s="26" t="str">
        <f t="shared" si="1076"/>
        <v/>
      </c>
    </row>
    <row r="9352" spans="1:10" x14ac:dyDescent="0.25">
      <c r="A9352" t="s">
        <v>111</v>
      </c>
      <c r="B9352" t="str">
        <f>ADDRESS(ROW(Parcels!B624),COLUMN(Parcels!B624),4)</f>
        <v>B624</v>
      </c>
      <c r="C9352" t="str">
        <f>ADDRESS(ROW(Parcels!D624),COLUMN(Parcels!D624),4)</f>
        <v>D624</v>
      </c>
      <c r="D9352" t="b">
        <f>IF(AND(Parcels!$B$6="Yes",NOT(ISBLANK(Parcels!A624)),ISBLANK(Parcels!B624)),TRUE,FALSE)</f>
        <v>0</v>
      </c>
      <c r="E9352" t="s">
        <v>64</v>
      </c>
      <c r="F9352" t="str">
        <f>INDEX(Lists!I:I,MATCH(Validation!E9352,Lists!G:G,0))</f>
        <v>Error</v>
      </c>
      <c r="G9352" t="str">
        <f>INDEX(Lists!H:H,MATCH(Validation!E9352,Lists!G:G,0))</f>
        <v>You must make a selection from the dropdown list.</v>
      </c>
      <c r="H9352" s="25" t="str">
        <f t="shared" ca="1" si="1074"/>
        <v/>
      </c>
      <c r="I9352" s="25" t="str">
        <f t="shared" ca="1" si="1075"/>
        <v/>
      </c>
      <c r="J9352" s="26" t="str">
        <f t="shared" si="1076"/>
        <v/>
      </c>
    </row>
    <row r="9353" spans="1:10" x14ac:dyDescent="0.25">
      <c r="A9353" t="s">
        <v>111</v>
      </c>
      <c r="B9353" t="str">
        <f>ADDRESS(ROW(Parcels!B625),COLUMN(Parcels!B625),4)</f>
        <v>B625</v>
      </c>
      <c r="C9353" t="str">
        <f>ADDRESS(ROW(Parcels!D625),COLUMN(Parcels!D625),4)</f>
        <v>D625</v>
      </c>
      <c r="D9353" t="b">
        <f>IF(AND(Parcels!$B$6="Yes",NOT(ISBLANK(Parcels!A625)),ISBLANK(Parcels!B625)),TRUE,FALSE)</f>
        <v>0</v>
      </c>
      <c r="E9353" t="s">
        <v>64</v>
      </c>
      <c r="F9353" t="str">
        <f>INDEX(Lists!I:I,MATCH(Validation!E9353,Lists!G:G,0))</f>
        <v>Error</v>
      </c>
      <c r="G9353" t="str">
        <f>INDEX(Lists!H:H,MATCH(Validation!E9353,Lists!G:G,0))</f>
        <v>You must make a selection from the dropdown list.</v>
      </c>
      <c r="H9353" s="25" t="str">
        <f t="shared" ca="1" si="1074"/>
        <v/>
      </c>
      <c r="I9353" s="25" t="str">
        <f t="shared" ca="1" si="1075"/>
        <v/>
      </c>
      <c r="J9353" s="26" t="str">
        <f t="shared" si="1076"/>
        <v/>
      </c>
    </row>
    <row r="9354" spans="1:10" x14ac:dyDescent="0.25">
      <c r="A9354" t="s">
        <v>111</v>
      </c>
      <c r="B9354" t="str">
        <f>ADDRESS(ROW(Parcels!B626),COLUMN(Parcels!B626),4)</f>
        <v>B626</v>
      </c>
      <c r="C9354" t="str">
        <f>ADDRESS(ROW(Parcels!D626),COLUMN(Parcels!D626),4)</f>
        <v>D626</v>
      </c>
      <c r="D9354" t="b">
        <f>IF(AND(Parcels!$B$6="Yes",NOT(ISBLANK(Parcels!A626)),ISBLANK(Parcels!B626)),TRUE,FALSE)</f>
        <v>0</v>
      </c>
      <c r="E9354" t="s">
        <v>64</v>
      </c>
      <c r="F9354" t="str">
        <f>INDEX(Lists!I:I,MATCH(Validation!E9354,Lists!G:G,0))</f>
        <v>Error</v>
      </c>
      <c r="G9354" t="str">
        <f>INDEX(Lists!H:H,MATCH(Validation!E9354,Lists!G:G,0))</f>
        <v>You must make a selection from the dropdown list.</v>
      </c>
      <c r="H9354" s="25" t="str">
        <f t="shared" ca="1" si="1074"/>
        <v/>
      </c>
      <c r="I9354" s="25" t="str">
        <f t="shared" ca="1" si="1075"/>
        <v/>
      </c>
      <c r="J9354" s="26" t="str">
        <f t="shared" si="1076"/>
        <v/>
      </c>
    </row>
    <row r="9355" spans="1:10" x14ac:dyDescent="0.25">
      <c r="A9355" t="s">
        <v>111</v>
      </c>
      <c r="B9355" t="str">
        <f>ADDRESS(ROW(Parcels!B627),COLUMN(Parcels!B627),4)</f>
        <v>B627</v>
      </c>
      <c r="C9355" t="str">
        <f>ADDRESS(ROW(Parcels!D627),COLUMN(Parcels!D627),4)</f>
        <v>D627</v>
      </c>
      <c r="D9355" t="b">
        <f>IF(AND(Parcels!$B$6="Yes",NOT(ISBLANK(Parcels!A627)),ISBLANK(Parcels!B627)),TRUE,FALSE)</f>
        <v>0</v>
      </c>
      <c r="E9355" t="s">
        <v>64</v>
      </c>
      <c r="F9355" t="str">
        <f>INDEX(Lists!I:I,MATCH(Validation!E9355,Lists!G:G,0))</f>
        <v>Error</v>
      </c>
      <c r="G9355" t="str">
        <f>INDEX(Lists!H:H,MATCH(Validation!E9355,Lists!G:G,0))</f>
        <v>You must make a selection from the dropdown list.</v>
      </c>
      <c r="H9355" s="25" t="str">
        <f t="shared" ca="1" si="1074"/>
        <v/>
      </c>
      <c r="I9355" s="25" t="str">
        <f t="shared" ca="1" si="1075"/>
        <v/>
      </c>
      <c r="J9355" s="26" t="str">
        <f t="shared" si="1076"/>
        <v/>
      </c>
    </row>
    <row r="9356" spans="1:10" x14ac:dyDescent="0.25">
      <c r="A9356" t="s">
        <v>111</v>
      </c>
      <c r="B9356" t="str">
        <f>ADDRESS(ROW(Parcels!B628),COLUMN(Parcels!B628),4)</f>
        <v>B628</v>
      </c>
      <c r="C9356" t="str">
        <f>ADDRESS(ROW(Parcels!D628),COLUMN(Parcels!D628),4)</f>
        <v>D628</v>
      </c>
      <c r="D9356" t="b">
        <f>IF(AND(Parcels!$B$6="Yes",NOT(ISBLANK(Parcels!A628)),ISBLANK(Parcels!B628)),TRUE,FALSE)</f>
        <v>0</v>
      </c>
      <c r="E9356" t="s">
        <v>64</v>
      </c>
      <c r="F9356" t="str">
        <f>INDEX(Lists!I:I,MATCH(Validation!E9356,Lists!G:G,0))</f>
        <v>Error</v>
      </c>
      <c r="G9356" t="str">
        <f>INDEX(Lists!H:H,MATCH(Validation!E9356,Lists!G:G,0))</f>
        <v>You must make a selection from the dropdown list.</v>
      </c>
      <c r="H9356" s="25" t="str">
        <f t="shared" ca="1" si="1074"/>
        <v/>
      </c>
      <c r="I9356" s="25" t="str">
        <f t="shared" ca="1" si="1075"/>
        <v/>
      </c>
      <c r="J9356" s="26" t="str">
        <f t="shared" si="1076"/>
        <v/>
      </c>
    </row>
    <row r="9357" spans="1:10" x14ac:dyDescent="0.25">
      <c r="A9357" t="s">
        <v>111</v>
      </c>
      <c r="B9357" t="str">
        <f>ADDRESS(ROW(Parcels!B629),COLUMN(Parcels!B629),4)</f>
        <v>B629</v>
      </c>
      <c r="C9357" t="str">
        <f>ADDRESS(ROW(Parcels!D629),COLUMN(Parcels!D629),4)</f>
        <v>D629</v>
      </c>
      <c r="D9357" t="b">
        <f>IF(AND(Parcels!$B$6="Yes",NOT(ISBLANK(Parcels!A629)),ISBLANK(Parcels!B629)),TRUE,FALSE)</f>
        <v>0</v>
      </c>
      <c r="E9357" t="s">
        <v>64</v>
      </c>
      <c r="F9357" t="str">
        <f>INDEX(Lists!I:I,MATCH(Validation!E9357,Lists!G:G,0))</f>
        <v>Error</v>
      </c>
      <c r="G9357" t="str">
        <f>INDEX(Lists!H:H,MATCH(Validation!E9357,Lists!G:G,0))</f>
        <v>You must make a selection from the dropdown list.</v>
      </c>
      <c r="H9357" s="25" t="str">
        <f t="shared" ca="1" si="1074"/>
        <v/>
      </c>
      <c r="I9357" s="25" t="str">
        <f t="shared" ca="1" si="1075"/>
        <v/>
      </c>
      <c r="J9357" s="26" t="str">
        <f t="shared" si="1076"/>
        <v/>
      </c>
    </row>
    <row r="9358" spans="1:10" x14ac:dyDescent="0.25">
      <c r="A9358" t="s">
        <v>111</v>
      </c>
      <c r="B9358" t="str">
        <f>ADDRESS(ROW(Parcels!B630),COLUMN(Parcels!B630),4)</f>
        <v>B630</v>
      </c>
      <c r="C9358" t="str">
        <f>ADDRESS(ROW(Parcels!D630),COLUMN(Parcels!D630),4)</f>
        <v>D630</v>
      </c>
      <c r="D9358" t="b">
        <f>IF(AND(Parcels!$B$6="Yes",NOT(ISBLANK(Parcels!A630)),ISBLANK(Parcels!B630)),TRUE,FALSE)</f>
        <v>0</v>
      </c>
      <c r="E9358" t="s">
        <v>64</v>
      </c>
      <c r="F9358" t="str">
        <f>INDEX(Lists!I:I,MATCH(Validation!E9358,Lists!G:G,0))</f>
        <v>Error</v>
      </c>
      <c r="G9358" t="str">
        <f>INDEX(Lists!H:H,MATCH(Validation!E9358,Lists!G:G,0))</f>
        <v>You must make a selection from the dropdown list.</v>
      </c>
      <c r="H9358" s="25" t="str">
        <f t="shared" ca="1" si="1074"/>
        <v/>
      </c>
      <c r="I9358" s="25" t="str">
        <f t="shared" ca="1" si="1075"/>
        <v/>
      </c>
      <c r="J9358" s="26" t="str">
        <f t="shared" si="1076"/>
        <v/>
      </c>
    </row>
    <row r="9359" spans="1:10" x14ac:dyDescent="0.25">
      <c r="A9359" t="s">
        <v>111</v>
      </c>
      <c r="B9359" t="str">
        <f>ADDRESS(ROW(Parcels!B631),COLUMN(Parcels!B631),4)</f>
        <v>B631</v>
      </c>
      <c r="C9359" t="str">
        <f>ADDRESS(ROW(Parcels!D631),COLUMN(Parcels!D631),4)</f>
        <v>D631</v>
      </c>
      <c r="D9359" t="b">
        <f>IF(AND(Parcels!$B$6="Yes",NOT(ISBLANK(Parcels!A631)),ISBLANK(Parcels!B631)),TRUE,FALSE)</f>
        <v>0</v>
      </c>
      <c r="E9359" t="s">
        <v>64</v>
      </c>
      <c r="F9359" t="str">
        <f>INDEX(Lists!I:I,MATCH(Validation!E9359,Lists!G:G,0))</f>
        <v>Error</v>
      </c>
      <c r="G9359" t="str">
        <f>INDEX(Lists!H:H,MATCH(Validation!E9359,Lists!G:G,0))</f>
        <v>You must make a selection from the dropdown list.</v>
      </c>
      <c r="H9359" s="25" t="str">
        <f t="shared" ca="1" si="1074"/>
        <v/>
      </c>
      <c r="I9359" s="25" t="str">
        <f t="shared" ca="1" si="1075"/>
        <v/>
      </c>
      <c r="J9359" s="26" t="str">
        <f t="shared" si="1076"/>
        <v/>
      </c>
    </row>
    <row r="9360" spans="1:10" x14ac:dyDescent="0.25">
      <c r="A9360" t="s">
        <v>111</v>
      </c>
      <c r="B9360" t="str">
        <f>ADDRESS(ROW(Parcels!B632),COLUMN(Parcels!B632),4)</f>
        <v>B632</v>
      </c>
      <c r="C9360" t="str">
        <f>ADDRESS(ROW(Parcels!D632),COLUMN(Parcels!D632),4)</f>
        <v>D632</v>
      </c>
      <c r="D9360" t="b">
        <f>IF(AND(Parcels!$B$6="Yes",NOT(ISBLANK(Parcels!A632)),ISBLANK(Parcels!B632)),TRUE,FALSE)</f>
        <v>0</v>
      </c>
      <c r="E9360" t="s">
        <v>64</v>
      </c>
      <c r="F9360" t="str">
        <f>INDEX(Lists!I:I,MATCH(Validation!E9360,Lists!G:G,0))</f>
        <v>Error</v>
      </c>
      <c r="G9360" t="str">
        <f>INDEX(Lists!H:H,MATCH(Validation!E9360,Lists!G:G,0))</f>
        <v>You must make a selection from the dropdown list.</v>
      </c>
      <c r="H9360" s="25" t="str">
        <f t="shared" ca="1" si="1074"/>
        <v/>
      </c>
      <c r="I9360" s="25" t="str">
        <f t="shared" ca="1" si="1075"/>
        <v/>
      </c>
      <c r="J9360" s="26" t="str">
        <f t="shared" si="1076"/>
        <v/>
      </c>
    </row>
    <row r="9361" spans="1:10" x14ac:dyDescent="0.25">
      <c r="A9361" t="s">
        <v>111</v>
      </c>
      <c r="B9361" t="str">
        <f>ADDRESS(ROW(Parcels!B633),COLUMN(Parcels!B633),4)</f>
        <v>B633</v>
      </c>
      <c r="C9361" t="str">
        <f>ADDRESS(ROW(Parcels!D633),COLUMN(Parcels!D633),4)</f>
        <v>D633</v>
      </c>
      <c r="D9361" t="b">
        <f>IF(AND(Parcels!$B$6="Yes",NOT(ISBLANK(Parcels!A633)),ISBLANK(Parcels!B633)),TRUE,FALSE)</f>
        <v>0</v>
      </c>
      <c r="E9361" t="s">
        <v>64</v>
      </c>
      <c r="F9361" t="str">
        <f>INDEX(Lists!I:I,MATCH(Validation!E9361,Lists!G:G,0))</f>
        <v>Error</v>
      </c>
      <c r="G9361" t="str">
        <f>INDEX(Lists!H:H,MATCH(Validation!E9361,Lists!G:G,0))</f>
        <v>You must make a selection from the dropdown list.</v>
      </c>
      <c r="H9361" s="25" t="str">
        <f t="shared" ca="1" si="1074"/>
        <v/>
      </c>
      <c r="I9361" s="25" t="str">
        <f t="shared" ca="1" si="1075"/>
        <v/>
      </c>
      <c r="J9361" s="26" t="str">
        <f t="shared" si="1076"/>
        <v/>
      </c>
    </row>
    <row r="9362" spans="1:10" x14ac:dyDescent="0.25">
      <c r="A9362" t="s">
        <v>111</v>
      </c>
      <c r="B9362" t="str">
        <f>ADDRESS(ROW(Parcels!B634),COLUMN(Parcels!B634),4)</f>
        <v>B634</v>
      </c>
      <c r="C9362" t="str">
        <f>ADDRESS(ROW(Parcels!D634),COLUMN(Parcels!D634),4)</f>
        <v>D634</v>
      </c>
      <c r="D9362" t="b">
        <f>IF(AND(Parcels!$B$6="Yes",NOT(ISBLANK(Parcels!A634)),ISBLANK(Parcels!B634)),TRUE,FALSE)</f>
        <v>0</v>
      </c>
      <c r="E9362" t="s">
        <v>64</v>
      </c>
      <c r="F9362" t="str">
        <f>INDEX(Lists!I:I,MATCH(Validation!E9362,Lists!G:G,0))</f>
        <v>Error</v>
      </c>
      <c r="G9362" t="str">
        <f>INDEX(Lists!H:H,MATCH(Validation!E9362,Lists!G:G,0))</f>
        <v>You must make a selection from the dropdown list.</v>
      </c>
      <c r="H9362" s="25" t="str">
        <f t="shared" ca="1" si="1074"/>
        <v/>
      </c>
      <c r="I9362" s="25" t="str">
        <f t="shared" ca="1" si="1075"/>
        <v/>
      </c>
      <c r="J9362" s="26" t="str">
        <f t="shared" si="1076"/>
        <v/>
      </c>
    </row>
    <row r="9363" spans="1:10" x14ac:dyDescent="0.25">
      <c r="A9363" t="s">
        <v>111</v>
      </c>
      <c r="B9363" t="str">
        <f>ADDRESS(ROW(Parcels!B635),COLUMN(Parcels!B635),4)</f>
        <v>B635</v>
      </c>
      <c r="C9363" t="str">
        <f>ADDRESS(ROW(Parcels!D635),COLUMN(Parcels!D635),4)</f>
        <v>D635</v>
      </c>
      <c r="D9363" t="b">
        <f>IF(AND(Parcels!$B$6="Yes",NOT(ISBLANK(Parcels!A635)),ISBLANK(Parcels!B635)),TRUE,FALSE)</f>
        <v>0</v>
      </c>
      <c r="E9363" t="s">
        <v>64</v>
      </c>
      <c r="F9363" t="str">
        <f>INDEX(Lists!I:I,MATCH(Validation!E9363,Lists!G:G,0))</f>
        <v>Error</v>
      </c>
      <c r="G9363" t="str">
        <f>INDEX(Lists!H:H,MATCH(Validation!E9363,Lists!G:G,0))</f>
        <v>You must make a selection from the dropdown list.</v>
      </c>
      <c r="H9363" s="25" t="str">
        <f t="shared" ca="1" si="1074"/>
        <v/>
      </c>
      <c r="I9363" s="25" t="str">
        <f t="shared" ca="1" si="1075"/>
        <v/>
      </c>
      <c r="J9363" s="26" t="str">
        <f t="shared" si="1076"/>
        <v/>
      </c>
    </row>
    <row r="9364" spans="1:10" x14ac:dyDescent="0.25">
      <c r="A9364" t="s">
        <v>111</v>
      </c>
      <c r="B9364" t="str">
        <f>ADDRESS(ROW(Parcels!B636),COLUMN(Parcels!B636),4)</f>
        <v>B636</v>
      </c>
      <c r="C9364" t="str">
        <f>ADDRESS(ROW(Parcels!D636),COLUMN(Parcels!D636),4)</f>
        <v>D636</v>
      </c>
      <c r="D9364" t="b">
        <f>IF(AND(Parcels!$B$6="Yes",NOT(ISBLANK(Parcels!A636)),ISBLANK(Parcels!B636)),TRUE,FALSE)</f>
        <v>0</v>
      </c>
      <c r="E9364" t="s">
        <v>64</v>
      </c>
      <c r="F9364" t="str">
        <f>INDEX(Lists!I:I,MATCH(Validation!E9364,Lists!G:G,0))</f>
        <v>Error</v>
      </c>
      <c r="G9364" t="str">
        <f>INDEX(Lists!H:H,MATCH(Validation!E9364,Lists!G:G,0))</f>
        <v>You must make a selection from the dropdown list.</v>
      </c>
      <c r="H9364" s="25" t="str">
        <f t="shared" ca="1" si="1074"/>
        <v/>
      </c>
      <c r="I9364" s="25" t="str">
        <f t="shared" ca="1" si="1075"/>
        <v/>
      </c>
      <c r="J9364" s="26" t="str">
        <f t="shared" si="1076"/>
        <v/>
      </c>
    </row>
    <row r="9365" spans="1:10" x14ac:dyDescent="0.25">
      <c r="A9365" t="s">
        <v>111</v>
      </c>
      <c r="B9365" t="str">
        <f>ADDRESS(ROW(Parcels!B637),COLUMN(Parcels!B637),4)</f>
        <v>B637</v>
      </c>
      <c r="C9365" t="str">
        <f>ADDRESS(ROW(Parcels!D637),COLUMN(Parcels!D637),4)</f>
        <v>D637</v>
      </c>
      <c r="D9365" t="b">
        <f>IF(AND(Parcels!$B$6="Yes",NOT(ISBLANK(Parcels!A637)),ISBLANK(Parcels!B637)),TRUE,FALSE)</f>
        <v>0</v>
      </c>
      <c r="E9365" t="s">
        <v>64</v>
      </c>
      <c r="F9365" t="str">
        <f>INDEX(Lists!I:I,MATCH(Validation!E9365,Lists!G:G,0))</f>
        <v>Error</v>
      </c>
      <c r="G9365" t="str">
        <f>INDEX(Lists!H:H,MATCH(Validation!E9365,Lists!G:G,0))</f>
        <v>You must make a selection from the dropdown list.</v>
      </c>
      <c r="H9365" s="25" t="str">
        <f t="shared" ca="1" si="1074"/>
        <v/>
      </c>
      <c r="I9365" s="25" t="str">
        <f t="shared" ca="1" si="1075"/>
        <v/>
      </c>
      <c r="J9365" s="26" t="str">
        <f t="shared" si="1076"/>
        <v/>
      </c>
    </row>
    <row r="9366" spans="1:10" x14ac:dyDescent="0.25">
      <c r="A9366" t="s">
        <v>111</v>
      </c>
      <c r="B9366" t="str">
        <f>ADDRESS(ROW(Parcels!B638),COLUMN(Parcels!B638),4)</f>
        <v>B638</v>
      </c>
      <c r="C9366" t="str">
        <f>ADDRESS(ROW(Parcels!D638),COLUMN(Parcels!D638),4)</f>
        <v>D638</v>
      </c>
      <c r="D9366" t="b">
        <f>IF(AND(Parcels!$B$6="Yes",NOT(ISBLANK(Parcels!A638)),ISBLANK(Parcels!B638)),TRUE,FALSE)</f>
        <v>0</v>
      </c>
      <c r="E9366" t="s">
        <v>64</v>
      </c>
      <c r="F9366" t="str">
        <f>INDEX(Lists!I:I,MATCH(Validation!E9366,Lists!G:G,0))</f>
        <v>Error</v>
      </c>
      <c r="G9366" t="str">
        <f>INDEX(Lists!H:H,MATCH(Validation!E9366,Lists!G:G,0))</f>
        <v>You must make a selection from the dropdown list.</v>
      </c>
      <c r="H9366" s="25" t="str">
        <f t="shared" ca="1" si="1074"/>
        <v/>
      </c>
      <c r="I9366" s="25" t="str">
        <f t="shared" ca="1" si="1075"/>
        <v/>
      </c>
      <c r="J9366" s="26" t="str">
        <f t="shared" si="1076"/>
        <v/>
      </c>
    </row>
    <row r="9367" spans="1:10" x14ac:dyDescent="0.25">
      <c r="A9367" t="s">
        <v>111</v>
      </c>
      <c r="B9367" t="str">
        <f>ADDRESS(ROW(Parcels!B639),COLUMN(Parcels!B639),4)</f>
        <v>B639</v>
      </c>
      <c r="C9367" t="str">
        <f>ADDRESS(ROW(Parcels!D639),COLUMN(Parcels!D639),4)</f>
        <v>D639</v>
      </c>
      <c r="D9367" t="b">
        <f>IF(AND(Parcels!$B$6="Yes",NOT(ISBLANK(Parcels!A639)),ISBLANK(Parcels!B639)),TRUE,FALSE)</f>
        <v>0</v>
      </c>
      <c r="E9367" t="s">
        <v>64</v>
      </c>
      <c r="F9367" t="str">
        <f>INDEX(Lists!I:I,MATCH(Validation!E9367,Lists!G:G,0))</f>
        <v>Error</v>
      </c>
      <c r="G9367" t="str">
        <f>INDEX(Lists!H:H,MATCH(Validation!E9367,Lists!G:G,0))</f>
        <v>You must make a selection from the dropdown list.</v>
      </c>
      <c r="H9367" s="25" t="str">
        <f t="shared" ca="1" si="1074"/>
        <v/>
      </c>
      <c r="I9367" s="25" t="str">
        <f t="shared" ca="1" si="1075"/>
        <v/>
      </c>
      <c r="J9367" s="26" t="str">
        <f t="shared" si="1076"/>
        <v/>
      </c>
    </row>
    <row r="9368" spans="1:10" x14ac:dyDescent="0.25">
      <c r="A9368" t="s">
        <v>111</v>
      </c>
      <c r="B9368" t="str">
        <f>ADDRESS(ROW(Parcels!B640),COLUMN(Parcels!B640),4)</f>
        <v>B640</v>
      </c>
      <c r="C9368" t="str">
        <f>ADDRESS(ROW(Parcels!D640),COLUMN(Parcels!D640),4)</f>
        <v>D640</v>
      </c>
      <c r="D9368" t="b">
        <f>IF(AND(Parcels!$B$6="Yes",NOT(ISBLANK(Parcels!A640)),ISBLANK(Parcels!B640)),TRUE,FALSE)</f>
        <v>0</v>
      </c>
      <c r="E9368" t="s">
        <v>64</v>
      </c>
      <c r="F9368" t="str">
        <f>INDEX(Lists!I:I,MATCH(Validation!E9368,Lists!G:G,0))</f>
        <v>Error</v>
      </c>
      <c r="G9368" t="str">
        <f>INDEX(Lists!H:H,MATCH(Validation!E9368,Lists!G:G,0))</f>
        <v>You must make a selection from the dropdown list.</v>
      </c>
      <c r="H9368" s="25" t="str">
        <f t="shared" ca="1" si="1074"/>
        <v/>
      </c>
      <c r="I9368" s="25" t="str">
        <f t="shared" ca="1" si="1075"/>
        <v/>
      </c>
      <c r="J9368" s="26" t="str">
        <f t="shared" si="1076"/>
        <v/>
      </c>
    </row>
    <row r="9369" spans="1:10" x14ac:dyDescent="0.25">
      <c r="A9369" t="s">
        <v>111</v>
      </c>
      <c r="B9369" t="str">
        <f>ADDRESS(ROW(Parcels!B641),COLUMN(Parcels!B641),4)</f>
        <v>B641</v>
      </c>
      <c r="C9369" t="str">
        <f>ADDRESS(ROW(Parcels!D641),COLUMN(Parcels!D641),4)</f>
        <v>D641</v>
      </c>
      <c r="D9369" t="b">
        <f>IF(AND(Parcels!$B$6="Yes",NOT(ISBLANK(Parcels!A641)),ISBLANK(Parcels!B641)),TRUE,FALSE)</f>
        <v>0</v>
      </c>
      <c r="E9369" t="s">
        <v>64</v>
      </c>
      <c r="F9369" t="str">
        <f>INDEX(Lists!I:I,MATCH(Validation!E9369,Lists!G:G,0))</f>
        <v>Error</v>
      </c>
      <c r="G9369" t="str">
        <f>INDEX(Lists!H:H,MATCH(Validation!E9369,Lists!G:G,0))</f>
        <v>You must make a selection from the dropdown list.</v>
      </c>
      <c r="H9369" s="25" t="str">
        <f t="shared" ca="1" si="1074"/>
        <v/>
      </c>
      <c r="I9369" s="25" t="str">
        <f t="shared" ca="1" si="1075"/>
        <v/>
      </c>
      <c r="J9369" s="26" t="str">
        <f t="shared" si="1076"/>
        <v/>
      </c>
    </row>
    <row r="9370" spans="1:10" x14ac:dyDescent="0.25">
      <c r="A9370" t="s">
        <v>111</v>
      </c>
      <c r="B9370" t="str">
        <f>ADDRESS(ROW(Parcels!B642),COLUMN(Parcels!B642),4)</f>
        <v>B642</v>
      </c>
      <c r="C9370" t="str">
        <f>ADDRESS(ROW(Parcels!D642),COLUMN(Parcels!D642),4)</f>
        <v>D642</v>
      </c>
      <c r="D9370" t="b">
        <f>IF(AND(Parcels!$B$6="Yes",NOT(ISBLANK(Parcels!A642)),ISBLANK(Parcels!B642)),TRUE,FALSE)</f>
        <v>0</v>
      </c>
      <c r="E9370" t="s">
        <v>64</v>
      </c>
      <c r="F9370" t="str">
        <f>INDEX(Lists!I:I,MATCH(Validation!E9370,Lists!G:G,0))</f>
        <v>Error</v>
      </c>
      <c r="G9370" t="str">
        <f>INDEX(Lists!H:H,MATCH(Validation!E9370,Lists!G:G,0))</f>
        <v>You must make a selection from the dropdown list.</v>
      </c>
      <c r="H9370" s="25" t="str">
        <f t="shared" ca="1" si="1074"/>
        <v/>
      </c>
      <c r="I9370" s="25" t="str">
        <f t="shared" ca="1" si="1075"/>
        <v/>
      </c>
      <c r="J9370" s="26" t="str">
        <f t="shared" si="1076"/>
        <v/>
      </c>
    </row>
    <row r="9371" spans="1:10" x14ac:dyDescent="0.25">
      <c r="A9371" t="s">
        <v>111</v>
      </c>
      <c r="B9371" t="str">
        <f>ADDRESS(ROW(Parcels!B643),COLUMN(Parcels!B643),4)</f>
        <v>B643</v>
      </c>
      <c r="C9371" t="str">
        <f>ADDRESS(ROW(Parcels!D643),COLUMN(Parcels!D643),4)</f>
        <v>D643</v>
      </c>
      <c r="D9371" t="b">
        <f>IF(AND(Parcels!$B$6="Yes",NOT(ISBLANK(Parcels!A643)),ISBLANK(Parcels!B643)),TRUE,FALSE)</f>
        <v>0</v>
      </c>
      <c r="E9371" t="s">
        <v>64</v>
      </c>
      <c r="F9371" t="str">
        <f>INDEX(Lists!I:I,MATCH(Validation!E9371,Lists!G:G,0))</f>
        <v>Error</v>
      </c>
      <c r="G9371" t="str">
        <f>INDEX(Lists!H:H,MATCH(Validation!E9371,Lists!G:G,0))</f>
        <v>You must make a selection from the dropdown list.</v>
      </c>
      <c r="H9371" s="25" t="str">
        <f t="shared" ca="1" si="1074"/>
        <v/>
      </c>
      <c r="I9371" s="25" t="str">
        <f t="shared" ca="1" si="1075"/>
        <v/>
      </c>
      <c r="J9371" s="26" t="str">
        <f t="shared" si="1076"/>
        <v/>
      </c>
    </row>
    <row r="9372" spans="1:10" x14ac:dyDescent="0.25">
      <c r="A9372" t="s">
        <v>111</v>
      </c>
      <c r="B9372" t="str">
        <f>ADDRESS(ROW(Parcels!B644),COLUMN(Parcels!B644),4)</f>
        <v>B644</v>
      </c>
      <c r="C9372" t="str">
        <f>ADDRESS(ROW(Parcels!D644),COLUMN(Parcels!D644),4)</f>
        <v>D644</v>
      </c>
      <c r="D9372" t="b">
        <f>IF(AND(Parcels!$B$6="Yes",NOT(ISBLANK(Parcels!A644)),ISBLANK(Parcels!B644)),TRUE,FALSE)</f>
        <v>0</v>
      </c>
      <c r="E9372" t="s">
        <v>64</v>
      </c>
      <c r="F9372" t="str">
        <f>INDEX(Lists!I:I,MATCH(Validation!E9372,Lists!G:G,0))</f>
        <v>Error</v>
      </c>
      <c r="G9372" t="str">
        <f>INDEX(Lists!H:H,MATCH(Validation!E9372,Lists!G:G,0))</f>
        <v>You must make a selection from the dropdown list.</v>
      </c>
      <c r="H9372" s="25" t="str">
        <f t="shared" ca="1" si="1074"/>
        <v/>
      </c>
      <c r="I9372" s="25" t="str">
        <f t="shared" ca="1" si="1075"/>
        <v/>
      </c>
      <c r="J9372" s="26" t="str">
        <f t="shared" si="1076"/>
        <v/>
      </c>
    </row>
    <row r="9373" spans="1:10" x14ac:dyDescent="0.25">
      <c r="A9373" t="s">
        <v>111</v>
      </c>
      <c r="B9373" t="str">
        <f>ADDRESS(ROW(Parcels!B645),COLUMN(Parcels!B645),4)</f>
        <v>B645</v>
      </c>
      <c r="C9373" t="str">
        <f>ADDRESS(ROW(Parcels!D645),COLUMN(Parcels!D645),4)</f>
        <v>D645</v>
      </c>
      <c r="D9373" t="b">
        <f>IF(AND(Parcels!$B$6="Yes",NOT(ISBLANK(Parcels!A645)),ISBLANK(Parcels!B645)),TRUE,FALSE)</f>
        <v>0</v>
      </c>
      <c r="E9373" t="s">
        <v>64</v>
      </c>
      <c r="F9373" t="str">
        <f>INDEX(Lists!I:I,MATCH(Validation!E9373,Lists!G:G,0))</f>
        <v>Error</v>
      </c>
      <c r="G9373" t="str">
        <f>INDEX(Lists!H:H,MATCH(Validation!E9373,Lists!G:G,0))</f>
        <v>You must make a selection from the dropdown list.</v>
      </c>
      <c r="H9373" s="25" t="str">
        <f t="shared" ca="1" si="1074"/>
        <v/>
      </c>
      <c r="I9373" s="25" t="str">
        <f t="shared" ca="1" si="1075"/>
        <v/>
      </c>
      <c r="J9373" s="26" t="str">
        <f t="shared" si="1076"/>
        <v/>
      </c>
    </row>
    <row r="9374" spans="1:10" x14ac:dyDescent="0.25">
      <c r="A9374" t="s">
        <v>111</v>
      </c>
      <c r="B9374" t="str">
        <f>ADDRESS(ROW(Parcels!B646),COLUMN(Parcels!B646),4)</f>
        <v>B646</v>
      </c>
      <c r="C9374" t="str">
        <f>ADDRESS(ROW(Parcels!D646),COLUMN(Parcels!D646),4)</f>
        <v>D646</v>
      </c>
      <c r="D9374" t="b">
        <f>IF(AND(Parcels!$B$6="Yes",NOT(ISBLANK(Parcels!A646)),ISBLANK(Parcels!B646)),TRUE,FALSE)</f>
        <v>0</v>
      </c>
      <c r="E9374" t="s">
        <v>64</v>
      </c>
      <c r="F9374" t="str">
        <f>INDEX(Lists!I:I,MATCH(Validation!E9374,Lists!G:G,0))</f>
        <v>Error</v>
      </c>
      <c r="G9374" t="str">
        <f>INDEX(Lists!H:H,MATCH(Validation!E9374,Lists!G:G,0))</f>
        <v>You must make a selection from the dropdown list.</v>
      </c>
      <c r="H9374" s="25" t="str">
        <f t="shared" ca="1" si="1074"/>
        <v/>
      </c>
      <c r="I9374" s="25" t="str">
        <f t="shared" ca="1" si="1075"/>
        <v/>
      </c>
      <c r="J9374" s="26" t="str">
        <f t="shared" si="1076"/>
        <v/>
      </c>
    </row>
    <row r="9375" spans="1:10" x14ac:dyDescent="0.25">
      <c r="A9375" t="s">
        <v>111</v>
      </c>
      <c r="B9375" t="str">
        <f>ADDRESS(ROW(Parcels!B647),COLUMN(Parcels!B647),4)</f>
        <v>B647</v>
      </c>
      <c r="C9375" t="str">
        <f>ADDRESS(ROW(Parcels!D647),COLUMN(Parcels!D647),4)</f>
        <v>D647</v>
      </c>
      <c r="D9375" t="b">
        <f>IF(AND(Parcels!$B$6="Yes",NOT(ISBLANK(Parcels!A647)),ISBLANK(Parcels!B647)),TRUE,FALSE)</f>
        <v>0</v>
      </c>
      <c r="E9375" t="s">
        <v>64</v>
      </c>
      <c r="F9375" t="str">
        <f>INDEX(Lists!I:I,MATCH(Validation!E9375,Lists!G:G,0))</f>
        <v>Error</v>
      </c>
      <c r="G9375" t="str">
        <f>INDEX(Lists!H:H,MATCH(Validation!E9375,Lists!G:G,0))</f>
        <v>You must make a selection from the dropdown list.</v>
      </c>
      <c r="H9375" s="25" t="str">
        <f t="shared" ca="1" si="1074"/>
        <v/>
      </c>
      <c r="I9375" s="25" t="str">
        <f t="shared" ca="1" si="1075"/>
        <v/>
      </c>
      <c r="J9375" s="26" t="str">
        <f t="shared" si="1076"/>
        <v/>
      </c>
    </row>
    <row r="9376" spans="1:10" x14ac:dyDescent="0.25">
      <c r="A9376" t="s">
        <v>111</v>
      </c>
      <c r="B9376" t="str">
        <f>ADDRESS(ROW(Parcels!B648),COLUMN(Parcels!B648),4)</f>
        <v>B648</v>
      </c>
      <c r="C9376" t="str">
        <f>ADDRESS(ROW(Parcels!D648),COLUMN(Parcels!D648),4)</f>
        <v>D648</v>
      </c>
      <c r="D9376" t="b">
        <f>IF(AND(Parcels!$B$6="Yes",NOT(ISBLANK(Parcels!A648)),ISBLANK(Parcels!B648)),TRUE,FALSE)</f>
        <v>0</v>
      </c>
      <c r="E9376" t="s">
        <v>64</v>
      </c>
      <c r="F9376" t="str">
        <f>INDEX(Lists!I:I,MATCH(Validation!E9376,Lists!G:G,0))</f>
        <v>Error</v>
      </c>
      <c r="G9376" t="str">
        <f>INDEX(Lists!H:H,MATCH(Validation!E9376,Lists!G:G,0))</f>
        <v>You must make a selection from the dropdown list.</v>
      </c>
      <c r="H9376" s="25" t="str">
        <f t="shared" ref="H9376:H9439" ca="1" si="1077">IFERROR(IF(OR(NOT(D9376),F9376&lt;&gt;"Error"),"",A9376&amp;CELL("address",INDIRECT(B9376))),"")</f>
        <v/>
      </c>
      <c r="I9376" s="25" t="str">
        <f t="shared" ref="I9376:I9439" ca="1" si="1078">IFERROR(IF(NOT(D9376),"",A9376&amp;CELL("address",INDIRECT(C9376))),"")</f>
        <v/>
      </c>
      <c r="J9376" s="26" t="str">
        <f t="shared" ref="J9376:J9439" si="1079">IFERROR(IF(NOT(D9376),"",A9376),"")</f>
        <v/>
      </c>
    </row>
    <row r="9377" spans="1:10" x14ac:dyDescent="0.25">
      <c r="A9377" t="s">
        <v>111</v>
      </c>
      <c r="B9377" t="str">
        <f>ADDRESS(ROW(Parcels!B649),COLUMN(Parcels!B649),4)</f>
        <v>B649</v>
      </c>
      <c r="C9377" t="str">
        <f>ADDRESS(ROW(Parcels!D649),COLUMN(Parcels!D649),4)</f>
        <v>D649</v>
      </c>
      <c r="D9377" t="b">
        <f>IF(AND(Parcels!$B$6="Yes",NOT(ISBLANK(Parcels!A649)),ISBLANK(Parcels!B649)),TRUE,FALSE)</f>
        <v>0</v>
      </c>
      <c r="E9377" t="s">
        <v>64</v>
      </c>
      <c r="F9377" t="str">
        <f>INDEX(Lists!I:I,MATCH(Validation!E9377,Lists!G:G,0))</f>
        <v>Error</v>
      </c>
      <c r="G9377" t="str">
        <f>INDEX(Lists!H:H,MATCH(Validation!E9377,Lists!G:G,0))</f>
        <v>You must make a selection from the dropdown list.</v>
      </c>
      <c r="H9377" s="25" t="str">
        <f t="shared" ca="1" si="1077"/>
        <v/>
      </c>
      <c r="I9377" s="25" t="str">
        <f t="shared" ca="1" si="1078"/>
        <v/>
      </c>
      <c r="J9377" s="26" t="str">
        <f t="shared" si="1079"/>
        <v/>
      </c>
    </row>
    <row r="9378" spans="1:10" x14ac:dyDescent="0.25">
      <c r="A9378" t="s">
        <v>111</v>
      </c>
      <c r="B9378" t="str">
        <f>ADDRESS(ROW(Parcels!B650),COLUMN(Parcels!B650),4)</f>
        <v>B650</v>
      </c>
      <c r="C9378" t="str">
        <f>ADDRESS(ROW(Parcels!D650),COLUMN(Parcels!D650),4)</f>
        <v>D650</v>
      </c>
      <c r="D9378" t="b">
        <f>IF(AND(Parcels!$B$6="Yes",NOT(ISBLANK(Parcels!A650)),ISBLANK(Parcels!B650)),TRUE,FALSE)</f>
        <v>0</v>
      </c>
      <c r="E9378" t="s">
        <v>64</v>
      </c>
      <c r="F9378" t="str">
        <f>INDEX(Lists!I:I,MATCH(Validation!E9378,Lists!G:G,0))</f>
        <v>Error</v>
      </c>
      <c r="G9378" t="str">
        <f>INDEX(Lists!H:H,MATCH(Validation!E9378,Lists!G:G,0))</f>
        <v>You must make a selection from the dropdown list.</v>
      </c>
      <c r="H9378" s="25" t="str">
        <f t="shared" ca="1" si="1077"/>
        <v/>
      </c>
      <c r="I9378" s="25" t="str">
        <f t="shared" ca="1" si="1078"/>
        <v/>
      </c>
      <c r="J9378" s="26" t="str">
        <f t="shared" si="1079"/>
        <v/>
      </c>
    </row>
    <row r="9379" spans="1:10" x14ac:dyDescent="0.25">
      <c r="A9379" t="s">
        <v>111</v>
      </c>
      <c r="B9379" t="str">
        <f>ADDRESS(ROW(Parcels!B651),COLUMN(Parcels!B651),4)</f>
        <v>B651</v>
      </c>
      <c r="C9379" t="str">
        <f>ADDRESS(ROW(Parcels!D651),COLUMN(Parcels!D651),4)</f>
        <v>D651</v>
      </c>
      <c r="D9379" t="b">
        <f>IF(AND(Parcels!$B$6="Yes",NOT(ISBLANK(Parcels!A651)),ISBLANK(Parcels!B651)),TRUE,FALSE)</f>
        <v>0</v>
      </c>
      <c r="E9379" t="s">
        <v>64</v>
      </c>
      <c r="F9379" t="str">
        <f>INDEX(Lists!I:I,MATCH(Validation!E9379,Lists!G:G,0))</f>
        <v>Error</v>
      </c>
      <c r="G9379" t="str">
        <f>INDEX(Lists!H:H,MATCH(Validation!E9379,Lists!G:G,0))</f>
        <v>You must make a selection from the dropdown list.</v>
      </c>
      <c r="H9379" s="25" t="str">
        <f t="shared" ca="1" si="1077"/>
        <v/>
      </c>
      <c r="I9379" s="25" t="str">
        <f t="shared" ca="1" si="1078"/>
        <v/>
      </c>
      <c r="J9379" s="26" t="str">
        <f t="shared" si="1079"/>
        <v/>
      </c>
    </row>
    <row r="9380" spans="1:10" x14ac:dyDescent="0.25">
      <c r="A9380" t="s">
        <v>111</v>
      </c>
      <c r="B9380" t="str">
        <f>ADDRESS(ROW(Parcels!B652),COLUMN(Parcels!B652),4)</f>
        <v>B652</v>
      </c>
      <c r="C9380" t="str">
        <f>ADDRESS(ROW(Parcels!D652),COLUMN(Parcels!D652),4)</f>
        <v>D652</v>
      </c>
      <c r="D9380" t="b">
        <f>IF(AND(Parcels!$B$6="Yes",NOT(ISBLANK(Parcels!A652)),ISBLANK(Parcels!B652)),TRUE,FALSE)</f>
        <v>0</v>
      </c>
      <c r="E9380" t="s">
        <v>64</v>
      </c>
      <c r="F9380" t="str">
        <f>INDEX(Lists!I:I,MATCH(Validation!E9380,Lists!G:G,0))</f>
        <v>Error</v>
      </c>
      <c r="G9380" t="str">
        <f>INDEX(Lists!H:H,MATCH(Validation!E9380,Lists!G:G,0))</f>
        <v>You must make a selection from the dropdown list.</v>
      </c>
      <c r="H9380" s="25" t="str">
        <f t="shared" ca="1" si="1077"/>
        <v/>
      </c>
      <c r="I9380" s="25" t="str">
        <f t="shared" ca="1" si="1078"/>
        <v/>
      </c>
      <c r="J9380" s="26" t="str">
        <f t="shared" si="1079"/>
        <v/>
      </c>
    </row>
    <row r="9381" spans="1:10" x14ac:dyDescent="0.25">
      <c r="A9381" t="s">
        <v>111</v>
      </c>
      <c r="B9381" t="str">
        <f>ADDRESS(ROW(Parcels!B653),COLUMN(Parcels!B653),4)</f>
        <v>B653</v>
      </c>
      <c r="C9381" t="str">
        <f>ADDRESS(ROW(Parcels!D653),COLUMN(Parcels!D653),4)</f>
        <v>D653</v>
      </c>
      <c r="D9381" t="b">
        <f>IF(AND(Parcels!$B$6="Yes",NOT(ISBLANK(Parcels!A653)),ISBLANK(Parcels!B653)),TRUE,FALSE)</f>
        <v>0</v>
      </c>
      <c r="E9381" t="s">
        <v>64</v>
      </c>
      <c r="F9381" t="str">
        <f>INDEX(Lists!I:I,MATCH(Validation!E9381,Lists!G:G,0))</f>
        <v>Error</v>
      </c>
      <c r="G9381" t="str">
        <f>INDEX(Lists!H:H,MATCH(Validation!E9381,Lists!G:G,0))</f>
        <v>You must make a selection from the dropdown list.</v>
      </c>
      <c r="H9381" s="25" t="str">
        <f t="shared" ca="1" si="1077"/>
        <v/>
      </c>
      <c r="I9381" s="25" t="str">
        <f t="shared" ca="1" si="1078"/>
        <v/>
      </c>
      <c r="J9381" s="26" t="str">
        <f t="shared" si="1079"/>
        <v/>
      </c>
    </row>
    <row r="9382" spans="1:10" x14ac:dyDescent="0.25">
      <c r="A9382" t="s">
        <v>111</v>
      </c>
      <c r="B9382" t="str">
        <f>ADDRESS(ROW(Parcels!B654),COLUMN(Parcels!B654),4)</f>
        <v>B654</v>
      </c>
      <c r="C9382" t="str">
        <f>ADDRESS(ROW(Parcels!D654),COLUMN(Parcels!D654),4)</f>
        <v>D654</v>
      </c>
      <c r="D9382" t="b">
        <f>IF(AND(Parcels!$B$6="Yes",NOT(ISBLANK(Parcels!A654)),ISBLANK(Parcels!B654)),TRUE,FALSE)</f>
        <v>0</v>
      </c>
      <c r="E9382" t="s">
        <v>64</v>
      </c>
      <c r="F9382" t="str">
        <f>INDEX(Lists!I:I,MATCH(Validation!E9382,Lists!G:G,0))</f>
        <v>Error</v>
      </c>
      <c r="G9382" t="str">
        <f>INDEX(Lists!H:H,MATCH(Validation!E9382,Lists!G:G,0))</f>
        <v>You must make a selection from the dropdown list.</v>
      </c>
      <c r="H9382" s="25" t="str">
        <f t="shared" ca="1" si="1077"/>
        <v/>
      </c>
      <c r="I9382" s="25" t="str">
        <f t="shared" ca="1" si="1078"/>
        <v/>
      </c>
      <c r="J9382" s="26" t="str">
        <f t="shared" si="1079"/>
        <v/>
      </c>
    </row>
    <row r="9383" spans="1:10" x14ac:dyDescent="0.25">
      <c r="A9383" t="s">
        <v>111</v>
      </c>
      <c r="B9383" t="str">
        <f>ADDRESS(ROW(Parcels!B655),COLUMN(Parcels!B655),4)</f>
        <v>B655</v>
      </c>
      <c r="C9383" t="str">
        <f>ADDRESS(ROW(Parcels!D655),COLUMN(Parcels!D655),4)</f>
        <v>D655</v>
      </c>
      <c r="D9383" t="b">
        <f>IF(AND(Parcels!$B$6="Yes",NOT(ISBLANK(Parcels!A655)),ISBLANK(Parcels!B655)),TRUE,FALSE)</f>
        <v>0</v>
      </c>
      <c r="E9383" t="s">
        <v>64</v>
      </c>
      <c r="F9383" t="str">
        <f>INDEX(Lists!I:I,MATCH(Validation!E9383,Lists!G:G,0))</f>
        <v>Error</v>
      </c>
      <c r="G9383" t="str">
        <f>INDEX(Lists!H:H,MATCH(Validation!E9383,Lists!G:G,0))</f>
        <v>You must make a selection from the dropdown list.</v>
      </c>
      <c r="H9383" s="25" t="str">
        <f t="shared" ca="1" si="1077"/>
        <v/>
      </c>
      <c r="I9383" s="25" t="str">
        <f t="shared" ca="1" si="1078"/>
        <v/>
      </c>
      <c r="J9383" s="26" t="str">
        <f t="shared" si="1079"/>
        <v/>
      </c>
    </row>
    <row r="9384" spans="1:10" x14ac:dyDescent="0.25">
      <c r="A9384" t="s">
        <v>111</v>
      </c>
      <c r="B9384" t="str">
        <f>ADDRESS(ROW(Parcels!B656),COLUMN(Parcels!B656),4)</f>
        <v>B656</v>
      </c>
      <c r="C9384" t="str">
        <f>ADDRESS(ROW(Parcels!D656),COLUMN(Parcels!D656),4)</f>
        <v>D656</v>
      </c>
      <c r="D9384" t="b">
        <f>IF(AND(Parcels!$B$6="Yes",NOT(ISBLANK(Parcels!A656)),ISBLANK(Parcels!B656)),TRUE,FALSE)</f>
        <v>0</v>
      </c>
      <c r="E9384" t="s">
        <v>64</v>
      </c>
      <c r="F9384" t="str">
        <f>INDEX(Lists!I:I,MATCH(Validation!E9384,Lists!G:G,0))</f>
        <v>Error</v>
      </c>
      <c r="G9384" t="str">
        <f>INDEX(Lists!H:H,MATCH(Validation!E9384,Lists!G:G,0))</f>
        <v>You must make a selection from the dropdown list.</v>
      </c>
      <c r="H9384" s="25" t="str">
        <f t="shared" ca="1" si="1077"/>
        <v/>
      </c>
      <c r="I9384" s="25" t="str">
        <f t="shared" ca="1" si="1078"/>
        <v/>
      </c>
      <c r="J9384" s="26" t="str">
        <f t="shared" si="1079"/>
        <v/>
      </c>
    </row>
    <row r="9385" spans="1:10" x14ac:dyDescent="0.25">
      <c r="A9385" t="s">
        <v>111</v>
      </c>
      <c r="B9385" t="str">
        <f>ADDRESS(ROW(Parcels!B657),COLUMN(Parcels!B657),4)</f>
        <v>B657</v>
      </c>
      <c r="C9385" t="str">
        <f>ADDRESS(ROW(Parcels!D657),COLUMN(Parcels!D657),4)</f>
        <v>D657</v>
      </c>
      <c r="D9385" t="b">
        <f>IF(AND(Parcels!$B$6="Yes",NOT(ISBLANK(Parcels!A657)),ISBLANK(Parcels!B657)),TRUE,FALSE)</f>
        <v>0</v>
      </c>
      <c r="E9385" t="s">
        <v>64</v>
      </c>
      <c r="F9385" t="str">
        <f>INDEX(Lists!I:I,MATCH(Validation!E9385,Lists!G:G,0))</f>
        <v>Error</v>
      </c>
      <c r="G9385" t="str">
        <f>INDEX(Lists!H:H,MATCH(Validation!E9385,Lists!G:G,0))</f>
        <v>You must make a selection from the dropdown list.</v>
      </c>
      <c r="H9385" s="25" t="str">
        <f t="shared" ca="1" si="1077"/>
        <v/>
      </c>
      <c r="I9385" s="25" t="str">
        <f t="shared" ca="1" si="1078"/>
        <v/>
      </c>
      <c r="J9385" s="26" t="str">
        <f t="shared" si="1079"/>
        <v/>
      </c>
    </row>
    <row r="9386" spans="1:10" x14ac:dyDescent="0.25">
      <c r="A9386" t="s">
        <v>111</v>
      </c>
      <c r="B9386" t="str">
        <f>ADDRESS(ROW(Parcels!B658),COLUMN(Parcels!B658),4)</f>
        <v>B658</v>
      </c>
      <c r="C9386" t="str">
        <f>ADDRESS(ROW(Parcels!D658),COLUMN(Parcels!D658),4)</f>
        <v>D658</v>
      </c>
      <c r="D9386" t="b">
        <f>IF(AND(Parcels!$B$6="Yes",NOT(ISBLANK(Parcels!A658)),ISBLANK(Parcels!B658)),TRUE,FALSE)</f>
        <v>0</v>
      </c>
      <c r="E9386" t="s">
        <v>64</v>
      </c>
      <c r="F9386" t="str">
        <f>INDEX(Lists!I:I,MATCH(Validation!E9386,Lists!G:G,0))</f>
        <v>Error</v>
      </c>
      <c r="G9386" t="str">
        <f>INDEX(Lists!H:H,MATCH(Validation!E9386,Lists!G:G,0))</f>
        <v>You must make a selection from the dropdown list.</v>
      </c>
      <c r="H9386" s="25" t="str">
        <f t="shared" ca="1" si="1077"/>
        <v/>
      </c>
      <c r="I9386" s="25" t="str">
        <f t="shared" ca="1" si="1078"/>
        <v/>
      </c>
      <c r="J9386" s="26" t="str">
        <f t="shared" si="1079"/>
        <v/>
      </c>
    </row>
    <row r="9387" spans="1:10" x14ac:dyDescent="0.25">
      <c r="A9387" t="s">
        <v>111</v>
      </c>
      <c r="B9387" t="str">
        <f>ADDRESS(ROW(Parcels!B659),COLUMN(Parcels!B659),4)</f>
        <v>B659</v>
      </c>
      <c r="C9387" t="str">
        <f>ADDRESS(ROW(Parcels!D659),COLUMN(Parcels!D659),4)</f>
        <v>D659</v>
      </c>
      <c r="D9387" t="b">
        <f>IF(AND(Parcels!$B$6="Yes",NOT(ISBLANK(Parcels!A659)),ISBLANK(Parcels!B659)),TRUE,FALSE)</f>
        <v>0</v>
      </c>
      <c r="E9387" t="s">
        <v>64</v>
      </c>
      <c r="F9387" t="str">
        <f>INDEX(Lists!I:I,MATCH(Validation!E9387,Lists!G:G,0))</f>
        <v>Error</v>
      </c>
      <c r="G9387" t="str">
        <f>INDEX(Lists!H:H,MATCH(Validation!E9387,Lists!G:G,0))</f>
        <v>You must make a selection from the dropdown list.</v>
      </c>
      <c r="H9387" s="25" t="str">
        <f t="shared" ca="1" si="1077"/>
        <v/>
      </c>
      <c r="I9387" s="25" t="str">
        <f t="shared" ca="1" si="1078"/>
        <v/>
      </c>
      <c r="J9387" s="26" t="str">
        <f t="shared" si="1079"/>
        <v/>
      </c>
    </row>
    <row r="9388" spans="1:10" x14ac:dyDescent="0.25">
      <c r="A9388" t="s">
        <v>111</v>
      </c>
      <c r="B9388" t="str">
        <f>ADDRESS(ROW(Parcels!B660),COLUMN(Parcels!B660),4)</f>
        <v>B660</v>
      </c>
      <c r="C9388" t="str">
        <f>ADDRESS(ROW(Parcels!D660),COLUMN(Parcels!D660),4)</f>
        <v>D660</v>
      </c>
      <c r="D9388" t="b">
        <f>IF(AND(Parcels!$B$6="Yes",NOT(ISBLANK(Parcels!A660)),ISBLANK(Parcels!B660)),TRUE,FALSE)</f>
        <v>0</v>
      </c>
      <c r="E9388" t="s">
        <v>64</v>
      </c>
      <c r="F9388" t="str">
        <f>INDEX(Lists!I:I,MATCH(Validation!E9388,Lists!G:G,0))</f>
        <v>Error</v>
      </c>
      <c r="G9388" t="str">
        <f>INDEX(Lists!H:H,MATCH(Validation!E9388,Lists!G:G,0))</f>
        <v>You must make a selection from the dropdown list.</v>
      </c>
      <c r="H9388" s="25" t="str">
        <f t="shared" ca="1" si="1077"/>
        <v/>
      </c>
      <c r="I9388" s="25" t="str">
        <f t="shared" ca="1" si="1078"/>
        <v/>
      </c>
      <c r="J9388" s="26" t="str">
        <f t="shared" si="1079"/>
        <v/>
      </c>
    </row>
    <row r="9389" spans="1:10" x14ac:dyDescent="0.25">
      <c r="A9389" t="s">
        <v>111</v>
      </c>
      <c r="B9389" t="str">
        <f>ADDRESS(ROW(Parcels!B661),COLUMN(Parcels!B661),4)</f>
        <v>B661</v>
      </c>
      <c r="C9389" t="str">
        <f>ADDRESS(ROW(Parcels!D661),COLUMN(Parcels!D661),4)</f>
        <v>D661</v>
      </c>
      <c r="D9389" t="b">
        <f>IF(AND(Parcels!$B$6="Yes",NOT(ISBLANK(Parcels!A661)),ISBLANK(Parcels!B661)),TRUE,FALSE)</f>
        <v>0</v>
      </c>
      <c r="E9389" t="s">
        <v>64</v>
      </c>
      <c r="F9389" t="str">
        <f>INDEX(Lists!I:I,MATCH(Validation!E9389,Lists!G:G,0))</f>
        <v>Error</v>
      </c>
      <c r="G9389" t="str">
        <f>INDEX(Lists!H:H,MATCH(Validation!E9389,Lists!G:G,0))</f>
        <v>You must make a selection from the dropdown list.</v>
      </c>
      <c r="H9389" s="25" t="str">
        <f t="shared" ca="1" si="1077"/>
        <v/>
      </c>
      <c r="I9389" s="25" t="str">
        <f t="shared" ca="1" si="1078"/>
        <v/>
      </c>
      <c r="J9389" s="26" t="str">
        <f t="shared" si="1079"/>
        <v/>
      </c>
    </row>
    <row r="9390" spans="1:10" x14ac:dyDescent="0.25">
      <c r="A9390" t="s">
        <v>111</v>
      </c>
      <c r="B9390" t="str">
        <f>ADDRESS(ROW(Parcels!B662),COLUMN(Parcels!B662),4)</f>
        <v>B662</v>
      </c>
      <c r="C9390" t="str">
        <f>ADDRESS(ROW(Parcels!D662),COLUMN(Parcels!D662),4)</f>
        <v>D662</v>
      </c>
      <c r="D9390" t="b">
        <f>IF(AND(Parcels!$B$6="Yes",NOT(ISBLANK(Parcels!A662)),ISBLANK(Parcels!B662)),TRUE,FALSE)</f>
        <v>0</v>
      </c>
      <c r="E9390" t="s">
        <v>64</v>
      </c>
      <c r="F9390" t="str">
        <f>INDEX(Lists!I:I,MATCH(Validation!E9390,Lists!G:G,0))</f>
        <v>Error</v>
      </c>
      <c r="G9390" t="str">
        <f>INDEX(Lists!H:H,MATCH(Validation!E9390,Lists!G:G,0))</f>
        <v>You must make a selection from the dropdown list.</v>
      </c>
      <c r="H9390" s="25" t="str">
        <f t="shared" ca="1" si="1077"/>
        <v/>
      </c>
      <c r="I9390" s="25" t="str">
        <f t="shared" ca="1" si="1078"/>
        <v/>
      </c>
      <c r="J9390" s="26" t="str">
        <f t="shared" si="1079"/>
        <v/>
      </c>
    </row>
    <row r="9391" spans="1:10" x14ac:dyDescent="0.25">
      <c r="A9391" t="s">
        <v>111</v>
      </c>
      <c r="B9391" t="str">
        <f>ADDRESS(ROW(Parcels!B663),COLUMN(Parcels!B663),4)</f>
        <v>B663</v>
      </c>
      <c r="C9391" t="str">
        <f>ADDRESS(ROW(Parcels!D663),COLUMN(Parcels!D663),4)</f>
        <v>D663</v>
      </c>
      <c r="D9391" t="b">
        <f>IF(AND(Parcels!$B$6="Yes",NOT(ISBLANK(Parcels!A663)),ISBLANK(Parcels!B663)),TRUE,FALSE)</f>
        <v>0</v>
      </c>
      <c r="E9391" t="s">
        <v>64</v>
      </c>
      <c r="F9391" t="str">
        <f>INDEX(Lists!I:I,MATCH(Validation!E9391,Lists!G:G,0))</f>
        <v>Error</v>
      </c>
      <c r="G9391" t="str">
        <f>INDEX(Lists!H:H,MATCH(Validation!E9391,Lists!G:G,0))</f>
        <v>You must make a selection from the dropdown list.</v>
      </c>
      <c r="H9391" s="25" t="str">
        <f t="shared" ca="1" si="1077"/>
        <v/>
      </c>
      <c r="I9391" s="25" t="str">
        <f t="shared" ca="1" si="1078"/>
        <v/>
      </c>
      <c r="J9391" s="26" t="str">
        <f t="shared" si="1079"/>
        <v/>
      </c>
    </row>
    <row r="9392" spans="1:10" x14ac:dyDescent="0.25">
      <c r="A9392" t="s">
        <v>111</v>
      </c>
      <c r="B9392" t="str">
        <f>ADDRESS(ROW(Parcels!B664),COLUMN(Parcels!B664),4)</f>
        <v>B664</v>
      </c>
      <c r="C9392" t="str">
        <f>ADDRESS(ROW(Parcels!D664),COLUMN(Parcels!D664),4)</f>
        <v>D664</v>
      </c>
      <c r="D9392" t="b">
        <f>IF(AND(Parcels!$B$6="Yes",NOT(ISBLANK(Parcels!A664)),ISBLANK(Parcels!B664)),TRUE,FALSE)</f>
        <v>0</v>
      </c>
      <c r="E9392" t="s">
        <v>64</v>
      </c>
      <c r="F9392" t="str">
        <f>INDEX(Lists!I:I,MATCH(Validation!E9392,Lists!G:G,0))</f>
        <v>Error</v>
      </c>
      <c r="G9392" t="str">
        <f>INDEX(Lists!H:H,MATCH(Validation!E9392,Lists!G:G,0))</f>
        <v>You must make a selection from the dropdown list.</v>
      </c>
      <c r="H9392" s="25" t="str">
        <f t="shared" ca="1" si="1077"/>
        <v/>
      </c>
      <c r="I9392" s="25" t="str">
        <f t="shared" ca="1" si="1078"/>
        <v/>
      </c>
      <c r="J9392" s="26" t="str">
        <f t="shared" si="1079"/>
        <v/>
      </c>
    </row>
    <row r="9393" spans="1:10" x14ac:dyDescent="0.25">
      <c r="A9393" t="s">
        <v>111</v>
      </c>
      <c r="B9393" t="str">
        <f>ADDRESS(ROW(Parcels!B665),COLUMN(Parcels!B665),4)</f>
        <v>B665</v>
      </c>
      <c r="C9393" t="str">
        <f>ADDRESS(ROW(Parcels!D665),COLUMN(Parcels!D665),4)</f>
        <v>D665</v>
      </c>
      <c r="D9393" t="b">
        <f>IF(AND(Parcels!$B$6="Yes",NOT(ISBLANK(Parcels!A665)),ISBLANK(Parcels!B665)),TRUE,FALSE)</f>
        <v>0</v>
      </c>
      <c r="E9393" t="s">
        <v>64</v>
      </c>
      <c r="F9393" t="str">
        <f>INDEX(Lists!I:I,MATCH(Validation!E9393,Lists!G:G,0))</f>
        <v>Error</v>
      </c>
      <c r="G9393" t="str">
        <f>INDEX(Lists!H:H,MATCH(Validation!E9393,Lists!G:G,0))</f>
        <v>You must make a selection from the dropdown list.</v>
      </c>
      <c r="H9393" s="25" t="str">
        <f t="shared" ca="1" si="1077"/>
        <v/>
      </c>
      <c r="I9393" s="25" t="str">
        <f t="shared" ca="1" si="1078"/>
        <v/>
      </c>
      <c r="J9393" s="26" t="str">
        <f t="shared" si="1079"/>
        <v/>
      </c>
    </row>
    <row r="9394" spans="1:10" x14ac:dyDescent="0.25">
      <c r="A9394" t="s">
        <v>111</v>
      </c>
      <c r="B9394" t="str">
        <f>ADDRESS(ROW(Parcels!B666),COLUMN(Parcels!B666),4)</f>
        <v>B666</v>
      </c>
      <c r="C9394" t="str">
        <f>ADDRESS(ROW(Parcels!D666),COLUMN(Parcels!D666),4)</f>
        <v>D666</v>
      </c>
      <c r="D9394" t="b">
        <f>IF(AND(Parcels!$B$6="Yes",NOT(ISBLANK(Parcels!A666)),ISBLANK(Parcels!B666)),TRUE,FALSE)</f>
        <v>0</v>
      </c>
      <c r="E9394" t="s">
        <v>64</v>
      </c>
      <c r="F9394" t="str">
        <f>INDEX(Lists!I:I,MATCH(Validation!E9394,Lists!G:G,0))</f>
        <v>Error</v>
      </c>
      <c r="G9394" t="str">
        <f>INDEX(Lists!H:H,MATCH(Validation!E9394,Lists!G:G,0))</f>
        <v>You must make a selection from the dropdown list.</v>
      </c>
      <c r="H9394" s="25" t="str">
        <f t="shared" ca="1" si="1077"/>
        <v/>
      </c>
      <c r="I9394" s="25" t="str">
        <f t="shared" ca="1" si="1078"/>
        <v/>
      </c>
      <c r="J9394" s="26" t="str">
        <f t="shared" si="1079"/>
        <v/>
      </c>
    </row>
    <row r="9395" spans="1:10" x14ac:dyDescent="0.25">
      <c r="A9395" t="s">
        <v>111</v>
      </c>
      <c r="B9395" t="str">
        <f>ADDRESS(ROW(Parcels!B667),COLUMN(Parcels!B667),4)</f>
        <v>B667</v>
      </c>
      <c r="C9395" t="str">
        <f>ADDRESS(ROW(Parcels!D667),COLUMN(Parcels!D667),4)</f>
        <v>D667</v>
      </c>
      <c r="D9395" t="b">
        <f>IF(AND(Parcels!$B$6="Yes",NOT(ISBLANK(Parcels!A667)),ISBLANK(Parcels!B667)),TRUE,FALSE)</f>
        <v>0</v>
      </c>
      <c r="E9395" t="s">
        <v>64</v>
      </c>
      <c r="F9395" t="str">
        <f>INDEX(Lists!I:I,MATCH(Validation!E9395,Lists!G:G,0))</f>
        <v>Error</v>
      </c>
      <c r="G9395" t="str">
        <f>INDEX(Lists!H:H,MATCH(Validation!E9395,Lists!G:G,0))</f>
        <v>You must make a selection from the dropdown list.</v>
      </c>
      <c r="H9395" s="25" t="str">
        <f t="shared" ca="1" si="1077"/>
        <v/>
      </c>
      <c r="I9395" s="25" t="str">
        <f t="shared" ca="1" si="1078"/>
        <v/>
      </c>
      <c r="J9395" s="26" t="str">
        <f t="shared" si="1079"/>
        <v/>
      </c>
    </row>
    <row r="9396" spans="1:10" x14ac:dyDescent="0.25">
      <c r="A9396" t="s">
        <v>111</v>
      </c>
      <c r="B9396" t="str">
        <f>ADDRESS(ROW(Parcels!B668),COLUMN(Parcels!B668),4)</f>
        <v>B668</v>
      </c>
      <c r="C9396" t="str">
        <f>ADDRESS(ROW(Parcels!D668),COLUMN(Parcels!D668),4)</f>
        <v>D668</v>
      </c>
      <c r="D9396" t="b">
        <f>IF(AND(Parcels!$B$6="Yes",NOT(ISBLANK(Parcels!A668)),ISBLANK(Parcels!B668)),TRUE,FALSE)</f>
        <v>0</v>
      </c>
      <c r="E9396" t="s">
        <v>64</v>
      </c>
      <c r="F9396" t="str">
        <f>INDEX(Lists!I:I,MATCH(Validation!E9396,Lists!G:G,0))</f>
        <v>Error</v>
      </c>
      <c r="G9396" t="str">
        <f>INDEX(Lists!H:H,MATCH(Validation!E9396,Lists!G:G,0))</f>
        <v>You must make a selection from the dropdown list.</v>
      </c>
      <c r="H9396" s="25" t="str">
        <f t="shared" ca="1" si="1077"/>
        <v/>
      </c>
      <c r="I9396" s="25" t="str">
        <f t="shared" ca="1" si="1078"/>
        <v/>
      </c>
      <c r="J9396" s="26" t="str">
        <f t="shared" si="1079"/>
        <v/>
      </c>
    </row>
    <row r="9397" spans="1:10" x14ac:dyDescent="0.25">
      <c r="A9397" t="s">
        <v>111</v>
      </c>
      <c r="B9397" t="str">
        <f>ADDRESS(ROW(Parcels!B669),COLUMN(Parcels!B669),4)</f>
        <v>B669</v>
      </c>
      <c r="C9397" t="str">
        <f>ADDRESS(ROW(Parcels!D669),COLUMN(Parcels!D669),4)</f>
        <v>D669</v>
      </c>
      <c r="D9397" t="b">
        <f>IF(AND(Parcels!$B$6="Yes",NOT(ISBLANK(Parcels!A669)),ISBLANK(Parcels!B669)),TRUE,FALSE)</f>
        <v>0</v>
      </c>
      <c r="E9397" t="s">
        <v>64</v>
      </c>
      <c r="F9397" t="str">
        <f>INDEX(Lists!I:I,MATCH(Validation!E9397,Lists!G:G,0))</f>
        <v>Error</v>
      </c>
      <c r="G9397" t="str">
        <f>INDEX(Lists!H:H,MATCH(Validation!E9397,Lists!G:G,0))</f>
        <v>You must make a selection from the dropdown list.</v>
      </c>
      <c r="H9397" s="25" t="str">
        <f t="shared" ca="1" si="1077"/>
        <v/>
      </c>
      <c r="I9397" s="25" t="str">
        <f t="shared" ca="1" si="1078"/>
        <v/>
      </c>
      <c r="J9397" s="26" t="str">
        <f t="shared" si="1079"/>
        <v/>
      </c>
    </row>
    <row r="9398" spans="1:10" x14ac:dyDescent="0.25">
      <c r="A9398" t="s">
        <v>111</v>
      </c>
      <c r="B9398" t="str">
        <f>ADDRESS(ROW(Parcels!B670),COLUMN(Parcels!B670),4)</f>
        <v>B670</v>
      </c>
      <c r="C9398" t="str">
        <f>ADDRESS(ROW(Parcels!D670),COLUMN(Parcels!D670),4)</f>
        <v>D670</v>
      </c>
      <c r="D9398" t="b">
        <f>IF(AND(Parcels!$B$6="Yes",NOT(ISBLANK(Parcels!A670)),ISBLANK(Parcels!B670)),TRUE,FALSE)</f>
        <v>0</v>
      </c>
      <c r="E9398" t="s">
        <v>64</v>
      </c>
      <c r="F9398" t="str">
        <f>INDEX(Lists!I:I,MATCH(Validation!E9398,Lists!G:G,0))</f>
        <v>Error</v>
      </c>
      <c r="G9398" t="str">
        <f>INDEX(Lists!H:H,MATCH(Validation!E9398,Lists!G:G,0))</f>
        <v>You must make a selection from the dropdown list.</v>
      </c>
      <c r="H9398" s="25" t="str">
        <f t="shared" ca="1" si="1077"/>
        <v/>
      </c>
      <c r="I9398" s="25" t="str">
        <f t="shared" ca="1" si="1078"/>
        <v/>
      </c>
      <c r="J9398" s="26" t="str">
        <f t="shared" si="1079"/>
        <v/>
      </c>
    </row>
    <row r="9399" spans="1:10" x14ac:dyDescent="0.25">
      <c r="A9399" t="s">
        <v>111</v>
      </c>
      <c r="B9399" t="str">
        <f>ADDRESS(ROW(Parcels!B671),COLUMN(Parcels!B671),4)</f>
        <v>B671</v>
      </c>
      <c r="C9399" t="str">
        <f>ADDRESS(ROW(Parcels!D671),COLUMN(Parcels!D671),4)</f>
        <v>D671</v>
      </c>
      <c r="D9399" t="b">
        <f>IF(AND(Parcels!$B$6="Yes",NOT(ISBLANK(Parcels!A671)),ISBLANK(Parcels!B671)),TRUE,FALSE)</f>
        <v>0</v>
      </c>
      <c r="E9399" t="s">
        <v>64</v>
      </c>
      <c r="F9399" t="str">
        <f>INDEX(Lists!I:I,MATCH(Validation!E9399,Lists!G:G,0))</f>
        <v>Error</v>
      </c>
      <c r="G9399" t="str">
        <f>INDEX(Lists!H:H,MATCH(Validation!E9399,Lists!G:G,0))</f>
        <v>You must make a selection from the dropdown list.</v>
      </c>
      <c r="H9399" s="25" t="str">
        <f t="shared" ca="1" si="1077"/>
        <v/>
      </c>
      <c r="I9399" s="25" t="str">
        <f t="shared" ca="1" si="1078"/>
        <v/>
      </c>
      <c r="J9399" s="26" t="str">
        <f t="shared" si="1079"/>
        <v/>
      </c>
    </row>
    <row r="9400" spans="1:10" x14ac:dyDescent="0.25">
      <c r="A9400" t="s">
        <v>111</v>
      </c>
      <c r="B9400" t="str">
        <f>ADDRESS(ROW(Parcels!B672),COLUMN(Parcels!B672),4)</f>
        <v>B672</v>
      </c>
      <c r="C9400" t="str">
        <f>ADDRESS(ROW(Parcels!D672),COLUMN(Parcels!D672),4)</f>
        <v>D672</v>
      </c>
      <c r="D9400" t="b">
        <f>IF(AND(Parcels!$B$6="Yes",NOT(ISBLANK(Parcels!A672)),ISBLANK(Parcels!B672)),TRUE,FALSE)</f>
        <v>0</v>
      </c>
      <c r="E9400" t="s">
        <v>64</v>
      </c>
      <c r="F9400" t="str">
        <f>INDEX(Lists!I:I,MATCH(Validation!E9400,Lists!G:G,0))</f>
        <v>Error</v>
      </c>
      <c r="G9400" t="str">
        <f>INDEX(Lists!H:H,MATCH(Validation!E9400,Lists!G:G,0))</f>
        <v>You must make a selection from the dropdown list.</v>
      </c>
      <c r="H9400" s="25" t="str">
        <f t="shared" ca="1" si="1077"/>
        <v/>
      </c>
      <c r="I9400" s="25" t="str">
        <f t="shared" ca="1" si="1078"/>
        <v/>
      </c>
      <c r="J9400" s="26" t="str">
        <f t="shared" si="1079"/>
        <v/>
      </c>
    </row>
    <row r="9401" spans="1:10" x14ac:dyDescent="0.25">
      <c r="A9401" t="s">
        <v>111</v>
      </c>
      <c r="B9401" t="str">
        <f>ADDRESS(ROW(Parcels!B673),COLUMN(Parcels!B673),4)</f>
        <v>B673</v>
      </c>
      <c r="C9401" t="str">
        <f>ADDRESS(ROW(Parcels!D673),COLUMN(Parcels!D673),4)</f>
        <v>D673</v>
      </c>
      <c r="D9401" t="b">
        <f>IF(AND(Parcels!$B$6="Yes",NOT(ISBLANK(Parcels!A673)),ISBLANK(Parcels!B673)),TRUE,FALSE)</f>
        <v>0</v>
      </c>
      <c r="E9401" t="s">
        <v>64</v>
      </c>
      <c r="F9401" t="str">
        <f>INDEX(Lists!I:I,MATCH(Validation!E9401,Lists!G:G,0))</f>
        <v>Error</v>
      </c>
      <c r="G9401" t="str">
        <f>INDEX(Lists!H:H,MATCH(Validation!E9401,Lists!G:G,0))</f>
        <v>You must make a selection from the dropdown list.</v>
      </c>
      <c r="H9401" s="25" t="str">
        <f t="shared" ca="1" si="1077"/>
        <v/>
      </c>
      <c r="I9401" s="25" t="str">
        <f t="shared" ca="1" si="1078"/>
        <v/>
      </c>
      <c r="J9401" s="26" t="str">
        <f t="shared" si="1079"/>
        <v/>
      </c>
    </row>
    <row r="9402" spans="1:10" x14ac:dyDescent="0.25">
      <c r="A9402" t="s">
        <v>111</v>
      </c>
      <c r="B9402" t="str">
        <f>ADDRESS(ROW(Parcels!B674),COLUMN(Parcels!B674),4)</f>
        <v>B674</v>
      </c>
      <c r="C9402" t="str">
        <f>ADDRESS(ROW(Parcels!D674),COLUMN(Parcels!D674),4)</f>
        <v>D674</v>
      </c>
      <c r="D9402" t="b">
        <f>IF(AND(Parcels!$B$6="Yes",NOT(ISBLANK(Parcels!A674)),ISBLANK(Parcels!B674)),TRUE,FALSE)</f>
        <v>0</v>
      </c>
      <c r="E9402" t="s">
        <v>64</v>
      </c>
      <c r="F9402" t="str">
        <f>INDEX(Lists!I:I,MATCH(Validation!E9402,Lists!G:G,0))</f>
        <v>Error</v>
      </c>
      <c r="G9402" t="str">
        <f>INDEX(Lists!H:H,MATCH(Validation!E9402,Lists!G:G,0))</f>
        <v>You must make a selection from the dropdown list.</v>
      </c>
      <c r="H9402" s="25" t="str">
        <f t="shared" ca="1" si="1077"/>
        <v/>
      </c>
      <c r="I9402" s="25" t="str">
        <f t="shared" ca="1" si="1078"/>
        <v/>
      </c>
      <c r="J9402" s="26" t="str">
        <f t="shared" si="1079"/>
        <v/>
      </c>
    </row>
    <row r="9403" spans="1:10" x14ac:dyDescent="0.25">
      <c r="A9403" t="s">
        <v>111</v>
      </c>
      <c r="B9403" t="str">
        <f>ADDRESS(ROW(Parcels!B675),COLUMN(Parcels!B675),4)</f>
        <v>B675</v>
      </c>
      <c r="C9403" t="str">
        <f>ADDRESS(ROW(Parcels!D675),COLUMN(Parcels!D675),4)</f>
        <v>D675</v>
      </c>
      <c r="D9403" t="b">
        <f>IF(AND(Parcels!$B$6="Yes",NOT(ISBLANK(Parcels!A675)),ISBLANK(Parcels!B675)),TRUE,FALSE)</f>
        <v>0</v>
      </c>
      <c r="E9403" t="s">
        <v>64</v>
      </c>
      <c r="F9403" t="str">
        <f>INDEX(Lists!I:I,MATCH(Validation!E9403,Lists!G:G,0))</f>
        <v>Error</v>
      </c>
      <c r="G9403" t="str">
        <f>INDEX(Lists!H:H,MATCH(Validation!E9403,Lists!G:G,0))</f>
        <v>You must make a selection from the dropdown list.</v>
      </c>
      <c r="H9403" s="25" t="str">
        <f t="shared" ca="1" si="1077"/>
        <v/>
      </c>
      <c r="I9403" s="25" t="str">
        <f t="shared" ca="1" si="1078"/>
        <v/>
      </c>
      <c r="J9403" s="26" t="str">
        <f t="shared" si="1079"/>
        <v/>
      </c>
    </row>
    <row r="9404" spans="1:10" x14ac:dyDescent="0.25">
      <c r="A9404" t="s">
        <v>111</v>
      </c>
      <c r="B9404" t="str">
        <f>ADDRESS(ROW(Parcels!B676),COLUMN(Parcels!B676),4)</f>
        <v>B676</v>
      </c>
      <c r="C9404" t="str">
        <f>ADDRESS(ROW(Parcels!D676),COLUMN(Parcels!D676),4)</f>
        <v>D676</v>
      </c>
      <c r="D9404" t="b">
        <f>IF(AND(Parcels!$B$6="Yes",NOT(ISBLANK(Parcels!A676)),ISBLANK(Parcels!B676)),TRUE,FALSE)</f>
        <v>0</v>
      </c>
      <c r="E9404" t="s">
        <v>64</v>
      </c>
      <c r="F9404" t="str">
        <f>INDEX(Lists!I:I,MATCH(Validation!E9404,Lists!G:G,0))</f>
        <v>Error</v>
      </c>
      <c r="G9404" t="str">
        <f>INDEX(Lists!H:H,MATCH(Validation!E9404,Lists!G:G,0))</f>
        <v>You must make a selection from the dropdown list.</v>
      </c>
      <c r="H9404" s="25" t="str">
        <f t="shared" ca="1" si="1077"/>
        <v/>
      </c>
      <c r="I9404" s="25" t="str">
        <f t="shared" ca="1" si="1078"/>
        <v/>
      </c>
      <c r="J9404" s="26" t="str">
        <f t="shared" si="1079"/>
        <v/>
      </c>
    </row>
    <row r="9405" spans="1:10" x14ac:dyDescent="0.25">
      <c r="A9405" t="s">
        <v>111</v>
      </c>
      <c r="B9405" t="str">
        <f>ADDRESS(ROW(Parcels!B677),COLUMN(Parcels!B677),4)</f>
        <v>B677</v>
      </c>
      <c r="C9405" t="str">
        <f>ADDRESS(ROW(Parcels!D677),COLUMN(Parcels!D677),4)</f>
        <v>D677</v>
      </c>
      <c r="D9405" t="b">
        <f>IF(AND(Parcels!$B$6="Yes",NOT(ISBLANK(Parcels!A677)),ISBLANK(Parcels!B677)),TRUE,FALSE)</f>
        <v>0</v>
      </c>
      <c r="E9405" t="s">
        <v>64</v>
      </c>
      <c r="F9405" t="str">
        <f>INDEX(Lists!I:I,MATCH(Validation!E9405,Lists!G:G,0))</f>
        <v>Error</v>
      </c>
      <c r="G9405" t="str">
        <f>INDEX(Lists!H:H,MATCH(Validation!E9405,Lists!G:G,0))</f>
        <v>You must make a selection from the dropdown list.</v>
      </c>
      <c r="H9405" s="25" t="str">
        <f t="shared" ca="1" si="1077"/>
        <v/>
      </c>
      <c r="I9405" s="25" t="str">
        <f t="shared" ca="1" si="1078"/>
        <v/>
      </c>
      <c r="J9405" s="26" t="str">
        <f t="shared" si="1079"/>
        <v/>
      </c>
    </row>
    <row r="9406" spans="1:10" x14ac:dyDescent="0.25">
      <c r="A9406" t="s">
        <v>111</v>
      </c>
      <c r="B9406" t="str">
        <f>ADDRESS(ROW(Parcels!B678),COLUMN(Parcels!B678),4)</f>
        <v>B678</v>
      </c>
      <c r="C9406" t="str">
        <f>ADDRESS(ROW(Parcels!D678),COLUMN(Parcels!D678),4)</f>
        <v>D678</v>
      </c>
      <c r="D9406" t="b">
        <f>IF(AND(Parcels!$B$6="Yes",NOT(ISBLANK(Parcels!A678)),ISBLANK(Parcels!B678)),TRUE,FALSE)</f>
        <v>0</v>
      </c>
      <c r="E9406" t="s">
        <v>64</v>
      </c>
      <c r="F9406" t="str">
        <f>INDEX(Lists!I:I,MATCH(Validation!E9406,Lists!G:G,0))</f>
        <v>Error</v>
      </c>
      <c r="G9406" t="str">
        <f>INDEX(Lists!H:H,MATCH(Validation!E9406,Lists!G:G,0))</f>
        <v>You must make a selection from the dropdown list.</v>
      </c>
      <c r="H9406" s="25" t="str">
        <f t="shared" ca="1" si="1077"/>
        <v/>
      </c>
      <c r="I9406" s="25" t="str">
        <f t="shared" ca="1" si="1078"/>
        <v/>
      </c>
      <c r="J9406" s="26" t="str">
        <f t="shared" si="1079"/>
        <v/>
      </c>
    </row>
    <row r="9407" spans="1:10" x14ac:dyDescent="0.25">
      <c r="A9407" t="s">
        <v>111</v>
      </c>
      <c r="B9407" t="str">
        <f>ADDRESS(ROW(Parcels!B679),COLUMN(Parcels!B679),4)</f>
        <v>B679</v>
      </c>
      <c r="C9407" t="str">
        <f>ADDRESS(ROW(Parcels!D679),COLUMN(Parcels!D679),4)</f>
        <v>D679</v>
      </c>
      <c r="D9407" t="b">
        <f>IF(AND(Parcels!$B$6="Yes",NOT(ISBLANK(Parcels!A679)),ISBLANK(Parcels!B679)),TRUE,FALSE)</f>
        <v>0</v>
      </c>
      <c r="E9407" t="s">
        <v>64</v>
      </c>
      <c r="F9407" t="str">
        <f>INDEX(Lists!I:I,MATCH(Validation!E9407,Lists!G:G,0))</f>
        <v>Error</v>
      </c>
      <c r="G9407" t="str">
        <f>INDEX(Lists!H:H,MATCH(Validation!E9407,Lists!G:G,0))</f>
        <v>You must make a selection from the dropdown list.</v>
      </c>
      <c r="H9407" s="25" t="str">
        <f t="shared" ca="1" si="1077"/>
        <v/>
      </c>
      <c r="I9407" s="25" t="str">
        <f t="shared" ca="1" si="1078"/>
        <v/>
      </c>
      <c r="J9407" s="26" t="str">
        <f t="shared" si="1079"/>
        <v/>
      </c>
    </row>
    <row r="9408" spans="1:10" x14ac:dyDescent="0.25">
      <c r="A9408" t="s">
        <v>111</v>
      </c>
      <c r="B9408" t="str">
        <f>ADDRESS(ROW(Parcels!B680),COLUMN(Parcels!B680),4)</f>
        <v>B680</v>
      </c>
      <c r="C9408" t="str">
        <f>ADDRESS(ROW(Parcels!D680),COLUMN(Parcels!D680),4)</f>
        <v>D680</v>
      </c>
      <c r="D9408" t="b">
        <f>IF(AND(Parcels!$B$6="Yes",NOT(ISBLANK(Parcels!A680)),ISBLANK(Parcels!B680)),TRUE,FALSE)</f>
        <v>0</v>
      </c>
      <c r="E9408" t="s">
        <v>64</v>
      </c>
      <c r="F9408" t="str">
        <f>INDEX(Lists!I:I,MATCH(Validation!E9408,Lists!G:G,0))</f>
        <v>Error</v>
      </c>
      <c r="G9408" t="str">
        <f>INDEX(Lists!H:H,MATCH(Validation!E9408,Lists!G:G,0))</f>
        <v>You must make a selection from the dropdown list.</v>
      </c>
      <c r="H9408" s="25" t="str">
        <f t="shared" ca="1" si="1077"/>
        <v/>
      </c>
      <c r="I9408" s="25" t="str">
        <f t="shared" ca="1" si="1078"/>
        <v/>
      </c>
      <c r="J9408" s="26" t="str">
        <f t="shared" si="1079"/>
        <v/>
      </c>
    </row>
    <row r="9409" spans="1:10" x14ac:dyDescent="0.25">
      <c r="A9409" t="s">
        <v>111</v>
      </c>
      <c r="B9409" t="str">
        <f>ADDRESS(ROW(Parcels!B681),COLUMN(Parcels!B681),4)</f>
        <v>B681</v>
      </c>
      <c r="C9409" t="str">
        <f>ADDRESS(ROW(Parcels!D681),COLUMN(Parcels!D681),4)</f>
        <v>D681</v>
      </c>
      <c r="D9409" t="b">
        <f>IF(AND(Parcels!$B$6="Yes",NOT(ISBLANK(Parcels!A681)),ISBLANK(Parcels!B681)),TRUE,FALSE)</f>
        <v>0</v>
      </c>
      <c r="E9409" t="s">
        <v>64</v>
      </c>
      <c r="F9409" t="str">
        <f>INDEX(Lists!I:I,MATCH(Validation!E9409,Lists!G:G,0))</f>
        <v>Error</v>
      </c>
      <c r="G9409" t="str">
        <f>INDEX(Lists!H:H,MATCH(Validation!E9409,Lists!G:G,0))</f>
        <v>You must make a selection from the dropdown list.</v>
      </c>
      <c r="H9409" s="25" t="str">
        <f t="shared" ca="1" si="1077"/>
        <v/>
      </c>
      <c r="I9409" s="25" t="str">
        <f t="shared" ca="1" si="1078"/>
        <v/>
      </c>
      <c r="J9409" s="26" t="str">
        <f t="shared" si="1079"/>
        <v/>
      </c>
    </row>
    <row r="9410" spans="1:10" x14ac:dyDescent="0.25">
      <c r="A9410" t="s">
        <v>111</v>
      </c>
      <c r="B9410" t="str">
        <f>ADDRESS(ROW(Parcels!B682),COLUMN(Parcels!B682),4)</f>
        <v>B682</v>
      </c>
      <c r="C9410" t="str">
        <f>ADDRESS(ROW(Parcels!D682),COLUMN(Parcels!D682),4)</f>
        <v>D682</v>
      </c>
      <c r="D9410" t="b">
        <f>IF(AND(Parcels!$B$6="Yes",NOT(ISBLANK(Parcels!A682)),ISBLANK(Parcels!B682)),TRUE,FALSE)</f>
        <v>0</v>
      </c>
      <c r="E9410" t="s">
        <v>64</v>
      </c>
      <c r="F9410" t="str">
        <f>INDEX(Lists!I:I,MATCH(Validation!E9410,Lists!G:G,0))</f>
        <v>Error</v>
      </c>
      <c r="G9410" t="str">
        <f>INDEX(Lists!H:H,MATCH(Validation!E9410,Lists!G:G,0))</f>
        <v>You must make a selection from the dropdown list.</v>
      </c>
      <c r="H9410" s="25" t="str">
        <f t="shared" ca="1" si="1077"/>
        <v/>
      </c>
      <c r="I9410" s="25" t="str">
        <f t="shared" ca="1" si="1078"/>
        <v/>
      </c>
      <c r="J9410" s="26" t="str">
        <f t="shared" si="1079"/>
        <v/>
      </c>
    </row>
    <row r="9411" spans="1:10" x14ac:dyDescent="0.25">
      <c r="A9411" t="s">
        <v>111</v>
      </c>
      <c r="B9411" t="str">
        <f>ADDRESS(ROW(Parcels!B683),COLUMN(Parcels!B683),4)</f>
        <v>B683</v>
      </c>
      <c r="C9411" t="str">
        <f>ADDRESS(ROW(Parcels!D683),COLUMN(Parcels!D683),4)</f>
        <v>D683</v>
      </c>
      <c r="D9411" t="b">
        <f>IF(AND(Parcels!$B$6="Yes",NOT(ISBLANK(Parcels!A683)),ISBLANK(Parcels!B683)),TRUE,FALSE)</f>
        <v>0</v>
      </c>
      <c r="E9411" t="s">
        <v>64</v>
      </c>
      <c r="F9411" t="str">
        <f>INDEX(Lists!I:I,MATCH(Validation!E9411,Lists!G:G,0))</f>
        <v>Error</v>
      </c>
      <c r="G9411" t="str">
        <f>INDEX(Lists!H:H,MATCH(Validation!E9411,Lists!G:G,0))</f>
        <v>You must make a selection from the dropdown list.</v>
      </c>
      <c r="H9411" s="25" t="str">
        <f t="shared" ca="1" si="1077"/>
        <v/>
      </c>
      <c r="I9411" s="25" t="str">
        <f t="shared" ca="1" si="1078"/>
        <v/>
      </c>
      <c r="J9411" s="26" t="str">
        <f t="shared" si="1079"/>
        <v/>
      </c>
    </row>
    <row r="9412" spans="1:10" x14ac:dyDescent="0.25">
      <c r="A9412" t="s">
        <v>111</v>
      </c>
      <c r="B9412" t="str">
        <f>ADDRESS(ROW(Parcels!B684),COLUMN(Parcels!B684),4)</f>
        <v>B684</v>
      </c>
      <c r="C9412" t="str">
        <f>ADDRESS(ROW(Parcels!D684),COLUMN(Parcels!D684),4)</f>
        <v>D684</v>
      </c>
      <c r="D9412" t="b">
        <f>IF(AND(Parcels!$B$6="Yes",NOT(ISBLANK(Parcels!A684)),ISBLANK(Parcels!B684)),TRUE,FALSE)</f>
        <v>0</v>
      </c>
      <c r="E9412" t="s">
        <v>64</v>
      </c>
      <c r="F9412" t="str">
        <f>INDEX(Lists!I:I,MATCH(Validation!E9412,Lists!G:G,0))</f>
        <v>Error</v>
      </c>
      <c r="G9412" t="str">
        <f>INDEX(Lists!H:H,MATCH(Validation!E9412,Lists!G:G,0))</f>
        <v>You must make a selection from the dropdown list.</v>
      </c>
      <c r="H9412" s="25" t="str">
        <f t="shared" ca="1" si="1077"/>
        <v/>
      </c>
      <c r="I9412" s="25" t="str">
        <f t="shared" ca="1" si="1078"/>
        <v/>
      </c>
      <c r="J9412" s="26" t="str">
        <f t="shared" si="1079"/>
        <v/>
      </c>
    </row>
    <row r="9413" spans="1:10" x14ac:dyDescent="0.25">
      <c r="A9413" t="s">
        <v>111</v>
      </c>
      <c r="B9413" t="str">
        <f>ADDRESS(ROW(Parcels!B685),COLUMN(Parcels!B685),4)</f>
        <v>B685</v>
      </c>
      <c r="C9413" t="str">
        <f>ADDRESS(ROW(Parcels!D685),COLUMN(Parcels!D685),4)</f>
        <v>D685</v>
      </c>
      <c r="D9413" t="b">
        <f>IF(AND(Parcels!$B$6="Yes",NOT(ISBLANK(Parcels!A685)),ISBLANK(Parcels!B685)),TRUE,FALSE)</f>
        <v>0</v>
      </c>
      <c r="E9413" t="s">
        <v>64</v>
      </c>
      <c r="F9413" t="str">
        <f>INDEX(Lists!I:I,MATCH(Validation!E9413,Lists!G:G,0))</f>
        <v>Error</v>
      </c>
      <c r="G9413" t="str">
        <f>INDEX(Lists!H:H,MATCH(Validation!E9413,Lists!G:G,0))</f>
        <v>You must make a selection from the dropdown list.</v>
      </c>
      <c r="H9413" s="25" t="str">
        <f t="shared" ca="1" si="1077"/>
        <v/>
      </c>
      <c r="I9413" s="25" t="str">
        <f t="shared" ca="1" si="1078"/>
        <v/>
      </c>
      <c r="J9413" s="26" t="str">
        <f t="shared" si="1079"/>
        <v/>
      </c>
    </row>
    <row r="9414" spans="1:10" x14ac:dyDescent="0.25">
      <c r="A9414" t="s">
        <v>111</v>
      </c>
      <c r="B9414" t="str">
        <f>ADDRESS(ROW(Parcels!B686),COLUMN(Parcels!B686),4)</f>
        <v>B686</v>
      </c>
      <c r="C9414" t="str">
        <f>ADDRESS(ROW(Parcels!D686),COLUMN(Parcels!D686),4)</f>
        <v>D686</v>
      </c>
      <c r="D9414" t="b">
        <f>IF(AND(Parcels!$B$6="Yes",NOT(ISBLANK(Parcels!A686)),ISBLANK(Parcels!B686)),TRUE,FALSE)</f>
        <v>0</v>
      </c>
      <c r="E9414" t="s">
        <v>64</v>
      </c>
      <c r="F9414" t="str">
        <f>INDEX(Lists!I:I,MATCH(Validation!E9414,Lists!G:G,0))</f>
        <v>Error</v>
      </c>
      <c r="G9414" t="str">
        <f>INDEX(Lists!H:H,MATCH(Validation!E9414,Lists!G:G,0))</f>
        <v>You must make a selection from the dropdown list.</v>
      </c>
      <c r="H9414" s="25" t="str">
        <f t="shared" ca="1" si="1077"/>
        <v/>
      </c>
      <c r="I9414" s="25" t="str">
        <f t="shared" ca="1" si="1078"/>
        <v/>
      </c>
      <c r="J9414" s="26" t="str">
        <f t="shared" si="1079"/>
        <v/>
      </c>
    </row>
    <row r="9415" spans="1:10" x14ac:dyDescent="0.25">
      <c r="A9415" t="s">
        <v>111</v>
      </c>
      <c r="B9415" t="str">
        <f>ADDRESS(ROW(Parcels!B687),COLUMN(Parcels!B687),4)</f>
        <v>B687</v>
      </c>
      <c r="C9415" t="str">
        <f>ADDRESS(ROW(Parcels!D687),COLUMN(Parcels!D687),4)</f>
        <v>D687</v>
      </c>
      <c r="D9415" t="b">
        <f>IF(AND(Parcels!$B$6="Yes",NOT(ISBLANK(Parcels!A687)),ISBLANK(Parcels!B687)),TRUE,FALSE)</f>
        <v>0</v>
      </c>
      <c r="E9415" t="s">
        <v>64</v>
      </c>
      <c r="F9415" t="str">
        <f>INDEX(Lists!I:I,MATCH(Validation!E9415,Lists!G:G,0))</f>
        <v>Error</v>
      </c>
      <c r="G9415" t="str">
        <f>INDEX(Lists!H:H,MATCH(Validation!E9415,Lists!G:G,0))</f>
        <v>You must make a selection from the dropdown list.</v>
      </c>
      <c r="H9415" s="25" t="str">
        <f t="shared" ca="1" si="1077"/>
        <v/>
      </c>
      <c r="I9415" s="25" t="str">
        <f t="shared" ca="1" si="1078"/>
        <v/>
      </c>
      <c r="J9415" s="26" t="str">
        <f t="shared" si="1079"/>
        <v/>
      </c>
    </row>
    <row r="9416" spans="1:10" x14ac:dyDescent="0.25">
      <c r="A9416" t="s">
        <v>111</v>
      </c>
      <c r="B9416" t="str">
        <f>ADDRESS(ROW(Parcels!B688),COLUMN(Parcels!B688),4)</f>
        <v>B688</v>
      </c>
      <c r="C9416" t="str">
        <f>ADDRESS(ROW(Parcels!D688),COLUMN(Parcels!D688),4)</f>
        <v>D688</v>
      </c>
      <c r="D9416" t="b">
        <f>IF(AND(Parcels!$B$6="Yes",NOT(ISBLANK(Parcels!A688)),ISBLANK(Parcels!B688)),TRUE,FALSE)</f>
        <v>0</v>
      </c>
      <c r="E9416" t="s">
        <v>64</v>
      </c>
      <c r="F9416" t="str">
        <f>INDEX(Lists!I:I,MATCH(Validation!E9416,Lists!G:G,0))</f>
        <v>Error</v>
      </c>
      <c r="G9416" t="str">
        <f>INDEX(Lists!H:H,MATCH(Validation!E9416,Lists!G:G,0))</f>
        <v>You must make a selection from the dropdown list.</v>
      </c>
      <c r="H9416" s="25" t="str">
        <f t="shared" ca="1" si="1077"/>
        <v/>
      </c>
      <c r="I9416" s="25" t="str">
        <f t="shared" ca="1" si="1078"/>
        <v/>
      </c>
      <c r="J9416" s="26" t="str">
        <f t="shared" si="1079"/>
        <v/>
      </c>
    </row>
    <row r="9417" spans="1:10" x14ac:dyDescent="0.25">
      <c r="A9417" t="s">
        <v>111</v>
      </c>
      <c r="B9417" t="str">
        <f>ADDRESS(ROW(Parcels!B689),COLUMN(Parcels!B689),4)</f>
        <v>B689</v>
      </c>
      <c r="C9417" t="str">
        <f>ADDRESS(ROW(Parcels!D689),COLUMN(Parcels!D689),4)</f>
        <v>D689</v>
      </c>
      <c r="D9417" t="b">
        <f>IF(AND(Parcels!$B$6="Yes",NOT(ISBLANK(Parcels!A689)),ISBLANK(Parcels!B689)),TRUE,FALSE)</f>
        <v>0</v>
      </c>
      <c r="E9417" t="s">
        <v>64</v>
      </c>
      <c r="F9417" t="str">
        <f>INDEX(Lists!I:I,MATCH(Validation!E9417,Lists!G:G,0))</f>
        <v>Error</v>
      </c>
      <c r="G9417" t="str">
        <f>INDEX(Lists!H:H,MATCH(Validation!E9417,Lists!G:G,0))</f>
        <v>You must make a selection from the dropdown list.</v>
      </c>
      <c r="H9417" s="25" t="str">
        <f t="shared" ca="1" si="1077"/>
        <v/>
      </c>
      <c r="I9417" s="25" t="str">
        <f t="shared" ca="1" si="1078"/>
        <v/>
      </c>
      <c r="J9417" s="26" t="str">
        <f t="shared" si="1079"/>
        <v/>
      </c>
    </row>
    <row r="9418" spans="1:10" x14ac:dyDescent="0.25">
      <c r="A9418" t="s">
        <v>111</v>
      </c>
      <c r="B9418" t="str">
        <f>ADDRESS(ROW(Parcels!B690),COLUMN(Parcels!B690),4)</f>
        <v>B690</v>
      </c>
      <c r="C9418" t="str">
        <f>ADDRESS(ROW(Parcels!D690),COLUMN(Parcels!D690),4)</f>
        <v>D690</v>
      </c>
      <c r="D9418" t="b">
        <f>IF(AND(Parcels!$B$6="Yes",NOT(ISBLANK(Parcels!A690)),ISBLANK(Parcels!B690)),TRUE,FALSE)</f>
        <v>0</v>
      </c>
      <c r="E9418" t="s">
        <v>64</v>
      </c>
      <c r="F9418" t="str">
        <f>INDEX(Lists!I:I,MATCH(Validation!E9418,Lists!G:G,0))</f>
        <v>Error</v>
      </c>
      <c r="G9418" t="str">
        <f>INDEX(Lists!H:H,MATCH(Validation!E9418,Lists!G:G,0))</f>
        <v>You must make a selection from the dropdown list.</v>
      </c>
      <c r="H9418" s="25" t="str">
        <f t="shared" ca="1" si="1077"/>
        <v/>
      </c>
      <c r="I9418" s="25" t="str">
        <f t="shared" ca="1" si="1078"/>
        <v/>
      </c>
      <c r="J9418" s="26" t="str">
        <f t="shared" si="1079"/>
        <v/>
      </c>
    </row>
    <row r="9419" spans="1:10" x14ac:dyDescent="0.25">
      <c r="A9419" t="s">
        <v>111</v>
      </c>
      <c r="B9419" t="str">
        <f>ADDRESS(ROW(Parcels!B691),COLUMN(Parcels!B691),4)</f>
        <v>B691</v>
      </c>
      <c r="C9419" t="str">
        <f>ADDRESS(ROW(Parcels!D691),COLUMN(Parcels!D691),4)</f>
        <v>D691</v>
      </c>
      <c r="D9419" t="b">
        <f>IF(AND(Parcels!$B$6="Yes",NOT(ISBLANK(Parcels!A691)),ISBLANK(Parcels!B691)),TRUE,FALSE)</f>
        <v>0</v>
      </c>
      <c r="E9419" t="s">
        <v>64</v>
      </c>
      <c r="F9419" t="str">
        <f>INDEX(Lists!I:I,MATCH(Validation!E9419,Lists!G:G,0))</f>
        <v>Error</v>
      </c>
      <c r="G9419" t="str">
        <f>INDEX(Lists!H:H,MATCH(Validation!E9419,Lists!G:G,0))</f>
        <v>You must make a selection from the dropdown list.</v>
      </c>
      <c r="H9419" s="25" t="str">
        <f t="shared" ca="1" si="1077"/>
        <v/>
      </c>
      <c r="I9419" s="25" t="str">
        <f t="shared" ca="1" si="1078"/>
        <v/>
      </c>
      <c r="J9419" s="26" t="str">
        <f t="shared" si="1079"/>
        <v/>
      </c>
    </row>
    <row r="9420" spans="1:10" x14ac:dyDescent="0.25">
      <c r="A9420" t="s">
        <v>111</v>
      </c>
      <c r="B9420" t="str">
        <f>ADDRESS(ROW(Parcels!B692),COLUMN(Parcels!B692),4)</f>
        <v>B692</v>
      </c>
      <c r="C9420" t="str">
        <f>ADDRESS(ROW(Parcels!D692),COLUMN(Parcels!D692),4)</f>
        <v>D692</v>
      </c>
      <c r="D9420" t="b">
        <f>IF(AND(Parcels!$B$6="Yes",NOT(ISBLANK(Parcels!A692)),ISBLANK(Parcels!B692)),TRUE,FALSE)</f>
        <v>0</v>
      </c>
      <c r="E9420" t="s">
        <v>64</v>
      </c>
      <c r="F9420" t="str">
        <f>INDEX(Lists!I:I,MATCH(Validation!E9420,Lists!G:G,0))</f>
        <v>Error</v>
      </c>
      <c r="G9420" t="str">
        <f>INDEX(Lists!H:H,MATCH(Validation!E9420,Lists!G:G,0))</f>
        <v>You must make a selection from the dropdown list.</v>
      </c>
      <c r="H9420" s="25" t="str">
        <f t="shared" ca="1" si="1077"/>
        <v/>
      </c>
      <c r="I9420" s="25" t="str">
        <f t="shared" ca="1" si="1078"/>
        <v/>
      </c>
      <c r="J9420" s="26" t="str">
        <f t="shared" si="1079"/>
        <v/>
      </c>
    </row>
    <row r="9421" spans="1:10" x14ac:dyDescent="0.25">
      <c r="A9421" t="s">
        <v>111</v>
      </c>
      <c r="B9421" t="str">
        <f>ADDRESS(ROW(Parcels!B693),COLUMN(Parcels!B693),4)</f>
        <v>B693</v>
      </c>
      <c r="C9421" t="str">
        <f>ADDRESS(ROW(Parcels!D693),COLUMN(Parcels!D693),4)</f>
        <v>D693</v>
      </c>
      <c r="D9421" t="b">
        <f>IF(AND(Parcels!$B$6="Yes",NOT(ISBLANK(Parcels!A693)),ISBLANK(Parcels!B693)),TRUE,FALSE)</f>
        <v>0</v>
      </c>
      <c r="E9421" t="s">
        <v>64</v>
      </c>
      <c r="F9421" t="str">
        <f>INDEX(Lists!I:I,MATCH(Validation!E9421,Lists!G:G,0))</f>
        <v>Error</v>
      </c>
      <c r="G9421" t="str">
        <f>INDEX(Lists!H:H,MATCH(Validation!E9421,Lists!G:G,0))</f>
        <v>You must make a selection from the dropdown list.</v>
      </c>
      <c r="H9421" s="25" t="str">
        <f t="shared" ca="1" si="1077"/>
        <v/>
      </c>
      <c r="I9421" s="25" t="str">
        <f t="shared" ca="1" si="1078"/>
        <v/>
      </c>
      <c r="J9421" s="26" t="str">
        <f t="shared" si="1079"/>
        <v/>
      </c>
    </row>
    <row r="9422" spans="1:10" x14ac:dyDescent="0.25">
      <c r="A9422" t="s">
        <v>111</v>
      </c>
      <c r="B9422" t="str">
        <f>ADDRESS(ROW(Parcels!B694),COLUMN(Parcels!B694),4)</f>
        <v>B694</v>
      </c>
      <c r="C9422" t="str">
        <f>ADDRESS(ROW(Parcels!D694),COLUMN(Parcels!D694),4)</f>
        <v>D694</v>
      </c>
      <c r="D9422" t="b">
        <f>IF(AND(Parcels!$B$6="Yes",NOT(ISBLANK(Parcels!A694)),ISBLANK(Parcels!B694)),TRUE,FALSE)</f>
        <v>0</v>
      </c>
      <c r="E9422" t="s">
        <v>64</v>
      </c>
      <c r="F9422" t="str">
        <f>INDEX(Lists!I:I,MATCH(Validation!E9422,Lists!G:G,0))</f>
        <v>Error</v>
      </c>
      <c r="G9422" t="str">
        <f>INDEX(Lists!H:H,MATCH(Validation!E9422,Lists!G:G,0))</f>
        <v>You must make a selection from the dropdown list.</v>
      </c>
      <c r="H9422" s="25" t="str">
        <f t="shared" ca="1" si="1077"/>
        <v/>
      </c>
      <c r="I9422" s="25" t="str">
        <f t="shared" ca="1" si="1078"/>
        <v/>
      </c>
      <c r="J9422" s="26" t="str">
        <f t="shared" si="1079"/>
        <v/>
      </c>
    </row>
    <row r="9423" spans="1:10" x14ac:dyDescent="0.25">
      <c r="A9423" t="s">
        <v>111</v>
      </c>
      <c r="B9423" t="str">
        <f>ADDRESS(ROW(Parcels!B695),COLUMN(Parcels!B695),4)</f>
        <v>B695</v>
      </c>
      <c r="C9423" t="str">
        <f>ADDRESS(ROW(Parcels!D695),COLUMN(Parcels!D695),4)</f>
        <v>D695</v>
      </c>
      <c r="D9423" t="b">
        <f>IF(AND(Parcels!$B$6="Yes",NOT(ISBLANK(Parcels!A695)),ISBLANK(Parcels!B695)),TRUE,FALSE)</f>
        <v>0</v>
      </c>
      <c r="E9423" t="s">
        <v>64</v>
      </c>
      <c r="F9423" t="str">
        <f>INDEX(Lists!I:I,MATCH(Validation!E9423,Lists!G:G,0))</f>
        <v>Error</v>
      </c>
      <c r="G9423" t="str">
        <f>INDEX(Lists!H:H,MATCH(Validation!E9423,Lists!G:G,0))</f>
        <v>You must make a selection from the dropdown list.</v>
      </c>
      <c r="H9423" s="25" t="str">
        <f t="shared" ca="1" si="1077"/>
        <v/>
      </c>
      <c r="I9423" s="25" t="str">
        <f t="shared" ca="1" si="1078"/>
        <v/>
      </c>
      <c r="J9423" s="26" t="str">
        <f t="shared" si="1079"/>
        <v/>
      </c>
    </row>
    <row r="9424" spans="1:10" x14ac:dyDescent="0.25">
      <c r="A9424" t="s">
        <v>111</v>
      </c>
      <c r="B9424" t="str">
        <f>ADDRESS(ROW(Parcels!B696),COLUMN(Parcels!B696),4)</f>
        <v>B696</v>
      </c>
      <c r="C9424" t="str">
        <f>ADDRESS(ROW(Parcels!D696),COLUMN(Parcels!D696),4)</f>
        <v>D696</v>
      </c>
      <c r="D9424" t="b">
        <f>IF(AND(Parcels!$B$6="Yes",NOT(ISBLANK(Parcels!A696)),ISBLANK(Parcels!B696)),TRUE,FALSE)</f>
        <v>0</v>
      </c>
      <c r="E9424" t="s">
        <v>64</v>
      </c>
      <c r="F9424" t="str">
        <f>INDEX(Lists!I:I,MATCH(Validation!E9424,Lists!G:G,0))</f>
        <v>Error</v>
      </c>
      <c r="G9424" t="str">
        <f>INDEX(Lists!H:H,MATCH(Validation!E9424,Lists!G:G,0))</f>
        <v>You must make a selection from the dropdown list.</v>
      </c>
      <c r="H9424" s="25" t="str">
        <f t="shared" ca="1" si="1077"/>
        <v/>
      </c>
      <c r="I9424" s="25" t="str">
        <f t="shared" ca="1" si="1078"/>
        <v/>
      </c>
      <c r="J9424" s="26" t="str">
        <f t="shared" si="1079"/>
        <v/>
      </c>
    </row>
    <row r="9425" spans="1:10" x14ac:dyDescent="0.25">
      <c r="A9425" t="s">
        <v>111</v>
      </c>
      <c r="B9425" t="str">
        <f>ADDRESS(ROW(Parcels!B697),COLUMN(Parcels!B697),4)</f>
        <v>B697</v>
      </c>
      <c r="C9425" t="str">
        <f>ADDRESS(ROW(Parcels!D697),COLUMN(Parcels!D697),4)</f>
        <v>D697</v>
      </c>
      <c r="D9425" t="b">
        <f>IF(AND(Parcels!$B$6="Yes",NOT(ISBLANK(Parcels!A697)),ISBLANK(Parcels!B697)),TRUE,FALSE)</f>
        <v>0</v>
      </c>
      <c r="E9425" t="s">
        <v>64</v>
      </c>
      <c r="F9425" t="str">
        <f>INDEX(Lists!I:I,MATCH(Validation!E9425,Lists!G:G,0))</f>
        <v>Error</v>
      </c>
      <c r="G9425" t="str">
        <f>INDEX(Lists!H:H,MATCH(Validation!E9425,Lists!G:G,0))</f>
        <v>You must make a selection from the dropdown list.</v>
      </c>
      <c r="H9425" s="25" t="str">
        <f t="shared" ca="1" si="1077"/>
        <v/>
      </c>
      <c r="I9425" s="25" t="str">
        <f t="shared" ca="1" si="1078"/>
        <v/>
      </c>
      <c r="J9425" s="26" t="str">
        <f t="shared" si="1079"/>
        <v/>
      </c>
    </row>
    <row r="9426" spans="1:10" x14ac:dyDescent="0.25">
      <c r="A9426" t="s">
        <v>111</v>
      </c>
      <c r="B9426" t="str">
        <f>ADDRESS(ROW(Parcels!B698),COLUMN(Parcels!B698),4)</f>
        <v>B698</v>
      </c>
      <c r="C9426" t="str">
        <f>ADDRESS(ROW(Parcels!D698),COLUMN(Parcels!D698),4)</f>
        <v>D698</v>
      </c>
      <c r="D9426" t="b">
        <f>IF(AND(Parcels!$B$6="Yes",NOT(ISBLANK(Parcels!A698)),ISBLANK(Parcels!B698)),TRUE,FALSE)</f>
        <v>0</v>
      </c>
      <c r="E9426" t="s">
        <v>64</v>
      </c>
      <c r="F9426" t="str">
        <f>INDEX(Lists!I:I,MATCH(Validation!E9426,Lists!G:G,0))</f>
        <v>Error</v>
      </c>
      <c r="G9426" t="str">
        <f>INDEX(Lists!H:H,MATCH(Validation!E9426,Lists!G:G,0))</f>
        <v>You must make a selection from the dropdown list.</v>
      </c>
      <c r="H9426" s="25" t="str">
        <f t="shared" ca="1" si="1077"/>
        <v/>
      </c>
      <c r="I9426" s="25" t="str">
        <f t="shared" ca="1" si="1078"/>
        <v/>
      </c>
      <c r="J9426" s="26" t="str">
        <f t="shared" si="1079"/>
        <v/>
      </c>
    </row>
    <row r="9427" spans="1:10" x14ac:dyDescent="0.25">
      <c r="A9427" t="s">
        <v>111</v>
      </c>
      <c r="B9427" t="str">
        <f>ADDRESS(ROW(Parcels!B699),COLUMN(Parcels!B699),4)</f>
        <v>B699</v>
      </c>
      <c r="C9427" t="str">
        <f>ADDRESS(ROW(Parcels!D699),COLUMN(Parcels!D699),4)</f>
        <v>D699</v>
      </c>
      <c r="D9427" t="b">
        <f>IF(AND(Parcels!$B$6="Yes",NOT(ISBLANK(Parcels!A699)),ISBLANK(Parcels!B699)),TRUE,FALSE)</f>
        <v>0</v>
      </c>
      <c r="E9427" t="s">
        <v>64</v>
      </c>
      <c r="F9427" t="str">
        <f>INDEX(Lists!I:I,MATCH(Validation!E9427,Lists!G:G,0))</f>
        <v>Error</v>
      </c>
      <c r="G9427" t="str">
        <f>INDEX(Lists!H:H,MATCH(Validation!E9427,Lists!G:G,0))</f>
        <v>You must make a selection from the dropdown list.</v>
      </c>
      <c r="H9427" s="25" t="str">
        <f t="shared" ca="1" si="1077"/>
        <v/>
      </c>
      <c r="I9427" s="25" t="str">
        <f t="shared" ca="1" si="1078"/>
        <v/>
      </c>
      <c r="J9427" s="26" t="str">
        <f t="shared" si="1079"/>
        <v/>
      </c>
    </row>
    <row r="9428" spans="1:10" x14ac:dyDescent="0.25">
      <c r="A9428" t="s">
        <v>111</v>
      </c>
      <c r="B9428" t="str">
        <f>ADDRESS(ROW(Parcels!B700),COLUMN(Parcels!B700),4)</f>
        <v>B700</v>
      </c>
      <c r="C9428" t="str">
        <f>ADDRESS(ROW(Parcels!D700),COLUMN(Parcels!D700),4)</f>
        <v>D700</v>
      </c>
      <c r="D9428" t="b">
        <f>IF(AND(Parcels!$B$6="Yes",NOT(ISBLANK(Parcels!A700)),ISBLANK(Parcels!B700)),TRUE,FALSE)</f>
        <v>0</v>
      </c>
      <c r="E9428" t="s">
        <v>64</v>
      </c>
      <c r="F9428" t="str">
        <f>INDEX(Lists!I:I,MATCH(Validation!E9428,Lists!G:G,0))</f>
        <v>Error</v>
      </c>
      <c r="G9428" t="str">
        <f>INDEX(Lists!H:H,MATCH(Validation!E9428,Lists!G:G,0))</f>
        <v>You must make a selection from the dropdown list.</v>
      </c>
      <c r="H9428" s="25" t="str">
        <f t="shared" ca="1" si="1077"/>
        <v/>
      </c>
      <c r="I9428" s="25" t="str">
        <f t="shared" ca="1" si="1078"/>
        <v/>
      </c>
      <c r="J9428" s="26" t="str">
        <f t="shared" si="1079"/>
        <v/>
      </c>
    </row>
    <row r="9429" spans="1:10" x14ac:dyDescent="0.25">
      <c r="A9429" t="s">
        <v>111</v>
      </c>
      <c r="B9429" t="str">
        <f>ADDRESS(ROW(Parcels!B701),COLUMN(Parcels!B701),4)</f>
        <v>B701</v>
      </c>
      <c r="C9429" t="str">
        <f>ADDRESS(ROW(Parcels!D701),COLUMN(Parcels!D701),4)</f>
        <v>D701</v>
      </c>
      <c r="D9429" t="b">
        <f>IF(AND(Parcels!$B$6="Yes",NOT(ISBLANK(Parcels!A701)),ISBLANK(Parcels!B701)),TRUE,FALSE)</f>
        <v>0</v>
      </c>
      <c r="E9429" t="s">
        <v>64</v>
      </c>
      <c r="F9429" t="str">
        <f>INDEX(Lists!I:I,MATCH(Validation!E9429,Lists!G:G,0))</f>
        <v>Error</v>
      </c>
      <c r="G9429" t="str">
        <f>INDEX(Lists!H:H,MATCH(Validation!E9429,Lists!G:G,0))</f>
        <v>You must make a selection from the dropdown list.</v>
      </c>
      <c r="H9429" s="25" t="str">
        <f t="shared" ca="1" si="1077"/>
        <v/>
      </c>
      <c r="I9429" s="25" t="str">
        <f t="shared" ca="1" si="1078"/>
        <v/>
      </c>
      <c r="J9429" s="26" t="str">
        <f t="shared" si="1079"/>
        <v/>
      </c>
    </row>
    <row r="9430" spans="1:10" x14ac:dyDescent="0.25">
      <c r="A9430" t="s">
        <v>111</v>
      </c>
      <c r="B9430" t="str">
        <f>ADDRESS(ROW(Parcels!B702),COLUMN(Parcels!B702),4)</f>
        <v>B702</v>
      </c>
      <c r="C9430" t="str">
        <f>ADDRESS(ROW(Parcels!D702),COLUMN(Parcels!D702),4)</f>
        <v>D702</v>
      </c>
      <c r="D9430" t="b">
        <f>IF(AND(Parcels!$B$6="Yes",NOT(ISBLANK(Parcels!A702)),ISBLANK(Parcels!B702)),TRUE,FALSE)</f>
        <v>0</v>
      </c>
      <c r="E9430" t="s">
        <v>64</v>
      </c>
      <c r="F9430" t="str">
        <f>INDEX(Lists!I:I,MATCH(Validation!E9430,Lists!G:G,0))</f>
        <v>Error</v>
      </c>
      <c r="G9430" t="str">
        <f>INDEX(Lists!H:H,MATCH(Validation!E9430,Lists!G:G,0))</f>
        <v>You must make a selection from the dropdown list.</v>
      </c>
      <c r="H9430" s="25" t="str">
        <f t="shared" ca="1" si="1077"/>
        <v/>
      </c>
      <c r="I9430" s="25" t="str">
        <f t="shared" ca="1" si="1078"/>
        <v/>
      </c>
      <c r="J9430" s="26" t="str">
        <f t="shared" si="1079"/>
        <v/>
      </c>
    </row>
    <row r="9431" spans="1:10" x14ac:dyDescent="0.25">
      <c r="A9431" t="s">
        <v>111</v>
      </c>
      <c r="B9431" t="str">
        <f>ADDRESS(ROW(Parcels!B703),COLUMN(Parcels!B703),4)</f>
        <v>B703</v>
      </c>
      <c r="C9431" t="str">
        <f>ADDRESS(ROW(Parcels!D703),COLUMN(Parcels!D703),4)</f>
        <v>D703</v>
      </c>
      <c r="D9431" t="b">
        <f>IF(AND(Parcels!$B$6="Yes",NOT(ISBLANK(Parcels!A703)),ISBLANK(Parcels!B703)),TRUE,FALSE)</f>
        <v>0</v>
      </c>
      <c r="E9431" t="s">
        <v>64</v>
      </c>
      <c r="F9431" t="str">
        <f>INDEX(Lists!I:I,MATCH(Validation!E9431,Lists!G:G,0))</f>
        <v>Error</v>
      </c>
      <c r="G9431" t="str">
        <f>INDEX(Lists!H:H,MATCH(Validation!E9431,Lists!G:G,0))</f>
        <v>You must make a selection from the dropdown list.</v>
      </c>
      <c r="H9431" s="25" t="str">
        <f t="shared" ca="1" si="1077"/>
        <v/>
      </c>
      <c r="I9431" s="25" t="str">
        <f t="shared" ca="1" si="1078"/>
        <v/>
      </c>
      <c r="J9431" s="26" t="str">
        <f t="shared" si="1079"/>
        <v/>
      </c>
    </row>
    <row r="9432" spans="1:10" x14ac:dyDescent="0.25">
      <c r="A9432" t="s">
        <v>111</v>
      </c>
      <c r="B9432" t="str">
        <f>ADDRESS(ROW(Parcels!B704),COLUMN(Parcels!B704),4)</f>
        <v>B704</v>
      </c>
      <c r="C9432" t="str">
        <f>ADDRESS(ROW(Parcels!D704),COLUMN(Parcels!D704),4)</f>
        <v>D704</v>
      </c>
      <c r="D9432" t="b">
        <f>IF(AND(Parcels!$B$6="Yes",NOT(ISBLANK(Parcels!A704)),ISBLANK(Parcels!B704)),TRUE,FALSE)</f>
        <v>0</v>
      </c>
      <c r="E9432" t="s">
        <v>64</v>
      </c>
      <c r="F9432" t="str">
        <f>INDEX(Lists!I:I,MATCH(Validation!E9432,Lists!G:G,0))</f>
        <v>Error</v>
      </c>
      <c r="G9432" t="str">
        <f>INDEX(Lists!H:H,MATCH(Validation!E9432,Lists!G:G,0))</f>
        <v>You must make a selection from the dropdown list.</v>
      </c>
      <c r="H9432" s="25" t="str">
        <f t="shared" ca="1" si="1077"/>
        <v/>
      </c>
      <c r="I9432" s="25" t="str">
        <f t="shared" ca="1" si="1078"/>
        <v/>
      </c>
      <c r="J9432" s="26" t="str">
        <f t="shared" si="1079"/>
        <v/>
      </c>
    </row>
    <row r="9433" spans="1:10" x14ac:dyDescent="0.25">
      <c r="A9433" t="s">
        <v>111</v>
      </c>
      <c r="B9433" t="str">
        <f>ADDRESS(ROW(Parcels!B705),COLUMN(Parcels!B705),4)</f>
        <v>B705</v>
      </c>
      <c r="C9433" t="str">
        <f>ADDRESS(ROW(Parcels!D705),COLUMN(Parcels!D705),4)</f>
        <v>D705</v>
      </c>
      <c r="D9433" t="b">
        <f>IF(AND(Parcels!$B$6="Yes",NOT(ISBLANK(Parcels!A705)),ISBLANK(Parcels!B705)),TRUE,FALSE)</f>
        <v>0</v>
      </c>
      <c r="E9433" t="s">
        <v>64</v>
      </c>
      <c r="F9433" t="str">
        <f>INDEX(Lists!I:I,MATCH(Validation!E9433,Lists!G:G,0))</f>
        <v>Error</v>
      </c>
      <c r="G9433" t="str">
        <f>INDEX(Lists!H:H,MATCH(Validation!E9433,Lists!G:G,0))</f>
        <v>You must make a selection from the dropdown list.</v>
      </c>
      <c r="H9433" s="25" t="str">
        <f t="shared" ca="1" si="1077"/>
        <v/>
      </c>
      <c r="I9433" s="25" t="str">
        <f t="shared" ca="1" si="1078"/>
        <v/>
      </c>
      <c r="J9433" s="26" t="str">
        <f t="shared" si="1079"/>
        <v/>
      </c>
    </row>
    <row r="9434" spans="1:10" x14ac:dyDescent="0.25">
      <c r="A9434" t="s">
        <v>111</v>
      </c>
      <c r="B9434" t="str">
        <f>ADDRESS(ROW(Parcels!B706),COLUMN(Parcels!B706),4)</f>
        <v>B706</v>
      </c>
      <c r="C9434" t="str">
        <f>ADDRESS(ROW(Parcels!D706),COLUMN(Parcels!D706),4)</f>
        <v>D706</v>
      </c>
      <c r="D9434" t="b">
        <f>IF(AND(Parcels!$B$6="Yes",NOT(ISBLANK(Parcels!A706)),ISBLANK(Parcels!B706)),TRUE,FALSE)</f>
        <v>0</v>
      </c>
      <c r="E9434" t="s">
        <v>64</v>
      </c>
      <c r="F9434" t="str">
        <f>INDEX(Lists!I:I,MATCH(Validation!E9434,Lists!G:G,0))</f>
        <v>Error</v>
      </c>
      <c r="G9434" t="str">
        <f>INDEX(Lists!H:H,MATCH(Validation!E9434,Lists!G:G,0))</f>
        <v>You must make a selection from the dropdown list.</v>
      </c>
      <c r="H9434" s="25" t="str">
        <f t="shared" ca="1" si="1077"/>
        <v/>
      </c>
      <c r="I9434" s="25" t="str">
        <f t="shared" ca="1" si="1078"/>
        <v/>
      </c>
      <c r="J9434" s="26" t="str">
        <f t="shared" si="1079"/>
        <v/>
      </c>
    </row>
    <row r="9435" spans="1:10" x14ac:dyDescent="0.25">
      <c r="A9435" t="s">
        <v>111</v>
      </c>
      <c r="B9435" t="str">
        <f>ADDRESS(ROW(Parcels!B707),COLUMN(Parcels!B707),4)</f>
        <v>B707</v>
      </c>
      <c r="C9435" t="str">
        <f>ADDRESS(ROW(Parcels!D707),COLUMN(Parcels!D707),4)</f>
        <v>D707</v>
      </c>
      <c r="D9435" t="b">
        <f>IF(AND(Parcels!$B$6="Yes",NOT(ISBLANK(Parcels!A707)),ISBLANK(Parcels!B707)),TRUE,FALSE)</f>
        <v>0</v>
      </c>
      <c r="E9435" t="s">
        <v>64</v>
      </c>
      <c r="F9435" t="str">
        <f>INDEX(Lists!I:I,MATCH(Validation!E9435,Lists!G:G,0))</f>
        <v>Error</v>
      </c>
      <c r="G9435" t="str">
        <f>INDEX(Lists!H:H,MATCH(Validation!E9435,Lists!G:G,0))</f>
        <v>You must make a selection from the dropdown list.</v>
      </c>
      <c r="H9435" s="25" t="str">
        <f t="shared" ca="1" si="1077"/>
        <v/>
      </c>
      <c r="I9435" s="25" t="str">
        <f t="shared" ca="1" si="1078"/>
        <v/>
      </c>
      <c r="J9435" s="26" t="str">
        <f t="shared" si="1079"/>
        <v/>
      </c>
    </row>
    <row r="9436" spans="1:10" x14ac:dyDescent="0.25">
      <c r="A9436" t="s">
        <v>111</v>
      </c>
      <c r="B9436" t="str">
        <f>ADDRESS(ROW(Parcels!B708),COLUMN(Parcels!B708),4)</f>
        <v>B708</v>
      </c>
      <c r="C9436" t="str">
        <f>ADDRESS(ROW(Parcels!D708),COLUMN(Parcels!D708),4)</f>
        <v>D708</v>
      </c>
      <c r="D9436" t="b">
        <f>IF(AND(Parcels!$B$6="Yes",NOT(ISBLANK(Parcels!A708)),ISBLANK(Parcels!B708)),TRUE,FALSE)</f>
        <v>0</v>
      </c>
      <c r="E9436" t="s">
        <v>64</v>
      </c>
      <c r="F9436" t="str">
        <f>INDEX(Lists!I:I,MATCH(Validation!E9436,Lists!G:G,0))</f>
        <v>Error</v>
      </c>
      <c r="G9436" t="str">
        <f>INDEX(Lists!H:H,MATCH(Validation!E9436,Lists!G:G,0))</f>
        <v>You must make a selection from the dropdown list.</v>
      </c>
      <c r="H9436" s="25" t="str">
        <f t="shared" ca="1" si="1077"/>
        <v/>
      </c>
      <c r="I9436" s="25" t="str">
        <f t="shared" ca="1" si="1078"/>
        <v/>
      </c>
      <c r="J9436" s="26" t="str">
        <f t="shared" si="1079"/>
        <v/>
      </c>
    </row>
    <row r="9437" spans="1:10" x14ac:dyDescent="0.25">
      <c r="A9437" t="s">
        <v>111</v>
      </c>
      <c r="B9437" t="str">
        <f>ADDRESS(ROW(Parcels!B709),COLUMN(Parcels!B709),4)</f>
        <v>B709</v>
      </c>
      <c r="C9437" t="str">
        <f>ADDRESS(ROW(Parcels!D709),COLUMN(Parcels!D709),4)</f>
        <v>D709</v>
      </c>
      <c r="D9437" t="b">
        <f>IF(AND(Parcels!$B$6="Yes",NOT(ISBLANK(Parcels!A709)),ISBLANK(Parcels!B709)),TRUE,FALSE)</f>
        <v>0</v>
      </c>
      <c r="E9437" t="s">
        <v>64</v>
      </c>
      <c r="F9437" t="str">
        <f>INDEX(Lists!I:I,MATCH(Validation!E9437,Lists!G:G,0))</f>
        <v>Error</v>
      </c>
      <c r="G9437" t="str">
        <f>INDEX(Lists!H:H,MATCH(Validation!E9437,Lists!G:G,0))</f>
        <v>You must make a selection from the dropdown list.</v>
      </c>
      <c r="H9437" s="25" t="str">
        <f t="shared" ca="1" si="1077"/>
        <v/>
      </c>
      <c r="I9437" s="25" t="str">
        <f t="shared" ca="1" si="1078"/>
        <v/>
      </c>
      <c r="J9437" s="26" t="str">
        <f t="shared" si="1079"/>
        <v/>
      </c>
    </row>
    <row r="9438" spans="1:10" x14ac:dyDescent="0.25">
      <c r="A9438" t="s">
        <v>111</v>
      </c>
      <c r="B9438" t="str">
        <f>ADDRESS(ROW(Parcels!B710),COLUMN(Parcels!B710),4)</f>
        <v>B710</v>
      </c>
      <c r="C9438" t="str">
        <f>ADDRESS(ROW(Parcels!D710),COLUMN(Parcels!D710),4)</f>
        <v>D710</v>
      </c>
      <c r="D9438" t="b">
        <f>IF(AND(Parcels!$B$6="Yes",NOT(ISBLANK(Parcels!A710)),ISBLANK(Parcels!B710)),TRUE,FALSE)</f>
        <v>0</v>
      </c>
      <c r="E9438" t="s">
        <v>64</v>
      </c>
      <c r="F9438" t="str">
        <f>INDEX(Lists!I:I,MATCH(Validation!E9438,Lists!G:G,0))</f>
        <v>Error</v>
      </c>
      <c r="G9438" t="str">
        <f>INDEX(Lists!H:H,MATCH(Validation!E9438,Lists!G:G,0))</f>
        <v>You must make a selection from the dropdown list.</v>
      </c>
      <c r="H9438" s="25" t="str">
        <f t="shared" ca="1" si="1077"/>
        <v/>
      </c>
      <c r="I9438" s="25" t="str">
        <f t="shared" ca="1" si="1078"/>
        <v/>
      </c>
      <c r="J9438" s="26" t="str">
        <f t="shared" si="1079"/>
        <v/>
      </c>
    </row>
    <row r="9439" spans="1:10" x14ac:dyDescent="0.25">
      <c r="A9439" t="s">
        <v>111</v>
      </c>
      <c r="B9439" t="str">
        <f>ADDRESS(ROW(Parcels!B711),COLUMN(Parcels!B711),4)</f>
        <v>B711</v>
      </c>
      <c r="C9439" t="str">
        <f>ADDRESS(ROW(Parcels!D711),COLUMN(Parcels!D711),4)</f>
        <v>D711</v>
      </c>
      <c r="D9439" t="b">
        <f>IF(AND(Parcels!$B$6="Yes",NOT(ISBLANK(Parcels!A711)),ISBLANK(Parcels!B711)),TRUE,FALSE)</f>
        <v>0</v>
      </c>
      <c r="E9439" t="s">
        <v>64</v>
      </c>
      <c r="F9439" t="str">
        <f>INDEX(Lists!I:I,MATCH(Validation!E9439,Lists!G:G,0))</f>
        <v>Error</v>
      </c>
      <c r="G9439" t="str">
        <f>INDEX(Lists!H:H,MATCH(Validation!E9439,Lists!G:G,0))</f>
        <v>You must make a selection from the dropdown list.</v>
      </c>
      <c r="H9439" s="25" t="str">
        <f t="shared" ca="1" si="1077"/>
        <v/>
      </c>
      <c r="I9439" s="25" t="str">
        <f t="shared" ca="1" si="1078"/>
        <v/>
      </c>
      <c r="J9439" s="26" t="str">
        <f t="shared" si="1079"/>
        <v/>
      </c>
    </row>
    <row r="9440" spans="1:10" x14ac:dyDescent="0.25">
      <c r="A9440" t="s">
        <v>111</v>
      </c>
      <c r="B9440" t="str">
        <f>ADDRESS(ROW(Parcels!B712),COLUMN(Parcels!B712),4)</f>
        <v>B712</v>
      </c>
      <c r="C9440" t="str">
        <f>ADDRESS(ROW(Parcels!D712),COLUMN(Parcels!D712),4)</f>
        <v>D712</v>
      </c>
      <c r="D9440" t="b">
        <f>IF(AND(Parcels!$B$6="Yes",NOT(ISBLANK(Parcels!A712)),ISBLANK(Parcels!B712)),TRUE,FALSE)</f>
        <v>0</v>
      </c>
      <c r="E9440" t="s">
        <v>64</v>
      </c>
      <c r="F9440" t="str">
        <f>INDEX(Lists!I:I,MATCH(Validation!E9440,Lists!G:G,0))</f>
        <v>Error</v>
      </c>
      <c r="G9440" t="str">
        <f>INDEX(Lists!H:H,MATCH(Validation!E9440,Lists!G:G,0))</f>
        <v>You must make a selection from the dropdown list.</v>
      </c>
      <c r="H9440" s="25" t="str">
        <f t="shared" ref="H9440:H9503" ca="1" si="1080">IFERROR(IF(OR(NOT(D9440),F9440&lt;&gt;"Error"),"",A9440&amp;CELL("address",INDIRECT(B9440))),"")</f>
        <v/>
      </c>
      <c r="I9440" s="25" t="str">
        <f t="shared" ref="I9440:I9503" ca="1" si="1081">IFERROR(IF(NOT(D9440),"",A9440&amp;CELL("address",INDIRECT(C9440))),"")</f>
        <v/>
      </c>
      <c r="J9440" s="26" t="str">
        <f t="shared" ref="J9440:J9503" si="1082">IFERROR(IF(NOT(D9440),"",A9440),"")</f>
        <v/>
      </c>
    </row>
    <row r="9441" spans="1:10" x14ac:dyDescent="0.25">
      <c r="A9441" t="s">
        <v>111</v>
      </c>
      <c r="B9441" t="str">
        <f>ADDRESS(ROW(Parcels!B713),COLUMN(Parcels!B713),4)</f>
        <v>B713</v>
      </c>
      <c r="C9441" t="str">
        <f>ADDRESS(ROW(Parcels!D713),COLUMN(Parcels!D713),4)</f>
        <v>D713</v>
      </c>
      <c r="D9441" t="b">
        <f>IF(AND(Parcels!$B$6="Yes",NOT(ISBLANK(Parcels!A713)),ISBLANK(Parcels!B713)),TRUE,FALSE)</f>
        <v>0</v>
      </c>
      <c r="E9441" t="s">
        <v>64</v>
      </c>
      <c r="F9441" t="str">
        <f>INDEX(Lists!I:I,MATCH(Validation!E9441,Lists!G:G,0))</f>
        <v>Error</v>
      </c>
      <c r="G9441" t="str">
        <f>INDEX(Lists!H:H,MATCH(Validation!E9441,Lists!G:G,0))</f>
        <v>You must make a selection from the dropdown list.</v>
      </c>
      <c r="H9441" s="25" t="str">
        <f t="shared" ca="1" si="1080"/>
        <v/>
      </c>
      <c r="I9441" s="25" t="str">
        <f t="shared" ca="1" si="1081"/>
        <v/>
      </c>
      <c r="J9441" s="26" t="str">
        <f t="shared" si="1082"/>
        <v/>
      </c>
    </row>
    <row r="9442" spans="1:10" x14ac:dyDescent="0.25">
      <c r="A9442" t="s">
        <v>111</v>
      </c>
      <c r="B9442" t="str">
        <f>ADDRESS(ROW(Parcels!B714),COLUMN(Parcels!B714),4)</f>
        <v>B714</v>
      </c>
      <c r="C9442" t="str">
        <f>ADDRESS(ROW(Parcels!D714),COLUMN(Parcels!D714),4)</f>
        <v>D714</v>
      </c>
      <c r="D9442" t="b">
        <f>IF(AND(Parcels!$B$6="Yes",NOT(ISBLANK(Parcels!A714)),ISBLANK(Parcels!B714)),TRUE,FALSE)</f>
        <v>0</v>
      </c>
      <c r="E9442" t="s">
        <v>64</v>
      </c>
      <c r="F9442" t="str">
        <f>INDEX(Lists!I:I,MATCH(Validation!E9442,Lists!G:G,0))</f>
        <v>Error</v>
      </c>
      <c r="G9442" t="str">
        <f>INDEX(Lists!H:H,MATCH(Validation!E9442,Lists!G:G,0))</f>
        <v>You must make a selection from the dropdown list.</v>
      </c>
      <c r="H9442" s="25" t="str">
        <f t="shared" ca="1" si="1080"/>
        <v/>
      </c>
      <c r="I9442" s="25" t="str">
        <f t="shared" ca="1" si="1081"/>
        <v/>
      </c>
      <c r="J9442" s="26" t="str">
        <f t="shared" si="1082"/>
        <v/>
      </c>
    </row>
    <row r="9443" spans="1:10" x14ac:dyDescent="0.25">
      <c r="A9443" t="s">
        <v>111</v>
      </c>
      <c r="B9443" t="str">
        <f>ADDRESS(ROW(Parcels!B715),COLUMN(Parcels!B715),4)</f>
        <v>B715</v>
      </c>
      <c r="C9443" t="str">
        <f>ADDRESS(ROW(Parcels!D715),COLUMN(Parcels!D715),4)</f>
        <v>D715</v>
      </c>
      <c r="D9443" t="b">
        <f>IF(AND(Parcels!$B$6="Yes",NOT(ISBLANK(Parcels!A715)),ISBLANK(Parcels!B715)),TRUE,FALSE)</f>
        <v>0</v>
      </c>
      <c r="E9443" t="s">
        <v>64</v>
      </c>
      <c r="F9443" t="str">
        <f>INDEX(Lists!I:I,MATCH(Validation!E9443,Lists!G:G,0))</f>
        <v>Error</v>
      </c>
      <c r="G9443" t="str">
        <f>INDEX(Lists!H:H,MATCH(Validation!E9443,Lists!G:G,0))</f>
        <v>You must make a selection from the dropdown list.</v>
      </c>
      <c r="H9443" s="25" t="str">
        <f t="shared" ca="1" si="1080"/>
        <v/>
      </c>
      <c r="I9443" s="25" t="str">
        <f t="shared" ca="1" si="1081"/>
        <v/>
      </c>
      <c r="J9443" s="26" t="str">
        <f t="shared" si="1082"/>
        <v/>
      </c>
    </row>
    <row r="9444" spans="1:10" x14ac:dyDescent="0.25">
      <c r="A9444" t="s">
        <v>111</v>
      </c>
      <c r="B9444" t="str">
        <f>ADDRESS(ROW(Parcels!B716),COLUMN(Parcels!B716),4)</f>
        <v>B716</v>
      </c>
      <c r="C9444" t="str">
        <f>ADDRESS(ROW(Parcels!D716),COLUMN(Parcels!D716),4)</f>
        <v>D716</v>
      </c>
      <c r="D9444" t="b">
        <f>IF(AND(Parcels!$B$6="Yes",NOT(ISBLANK(Parcels!A716)),ISBLANK(Parcels!B716)),TRUE,FALSE)</f>
        <v>0</v>
      </c>
      <c r="E9444" t="s">
        <v>64</v>
      </c>
      <c r="F9444" t="str">
        <f>INDEX(Lists!I:I,MATCH(Validation!E9444,Lists!G:G,0))</f>
        <v>Error</v>
      </c>
      <c r="G9444" t="str">
        <f>INDEX(Lists!H:H,MATCH(Validation!E9444,Lists!G:G,0))</f>
        <v>You must make a selection from the dropdown list.</v>
      </c>
      <c r="H9444" s="25" t="str">
        <f t="shared" ca="1" si="1080"/>
        <v/>
      </c>
      <c r="I9444" s="25" t="str">
        <f t="shared" ca="1" si="1081"/>
        <v/>
      </c>
      <c r="J9444" s="26" t="str">
        <f t="shared" si="1082"/>
        <v/>
      </c>
    </row>
    <row r="9445" spans="1:10" x14ac:dyDescent="0.25">
      <c r="A9445" t="s">
        <v>111</v>
      </c>
      <c r="B9445" t="str">
        <f>ADDRESS(ROW(Parcels!B717),COLUMN(Parcels!B717),4)</f>
        <v>B717</v>
      </c>
      <c r="C9445" t="str">
        <f>ADDRESS(ROW(Parcels!D717),COLUMN(Parcels!D717),4)</f>
        <v>D717</v>
      </c>
      <c r="D9445" t="b">
        <f>IF(AND(Parcels!$B$6="Yes",NOT(ISBLANK(Parcels!A717)),ISBLANK(Parcels!B717)),TRUE,FALSE)</f>
        <v>0</v>
      </c>
      <c r="E9445" t="s">
        <v>64</v>
      </c>
      <c r="F9445" t="str">
        <f>INDEX(Lists!I:I,MATCH(Validation!E9445,Lists!G:G,0))</f>
        <v>Error</v>
      </c>
      <c r="G9445" t="str">
        <f>INDEX(Lists!H:H,MATCH(Validation!E9445,Lists!G:G,0))</f>
        <v>You must make a selection from the dropdown list.</v>
      </c>
      <c r="H9445" s="25" t="str">
        <f t="shared" ca="1" si="1080"/>
        <v/>
      </c>
      <c r="I9445" s="25" t="str">
        <f t="shared" ca="1" si="1081"/>
        <v/>
      </c>
      <c r="J9445" s="26" t="str">
        <f t="shared" si="1082"/>
        <v/>
      </c>
    </row>
    <row r="9446" spans="1:10" x14ac:dyDescent="0.25">
      <c r="A9446" t="s">
        <v>111</v>
      </c>
      <c r="B9446" t="str">
        <f>ADDRESS(ROW(Parcels!B718),COLUMN(Parcels!B718),4)</f>
        <v>B718</v>
      </c>
      <c r="C9446" t="str">
        <f>ADDRESS(ROW(Parcels!D718),COLUMN(Parcels!D718),4)</f>
        <v>D718</v>
      </c>
      <c r="D9446" t="b">
        <f>IF(AND(Parcels!$B$6="Yes",NOT(ISBLANK(Parcels!A718)),ISBLANK(Parcels!B718)),TRUE,FALSE)</f>
        <v>0</v>
      </c>
      <c r="E9446" t="s">
        <v>64</v>
      </c>
      <c r="F9446" t="str">
        <f>INDEX(Lists!I:I,MATCH(Validation!E9446,Lists!G:G,0))</f>
        <v>Error</v>
      </c>
      <c r="G9446" t="str">
        <f>INDEX(Lists!H:H,MATCH(Validation!E9446,Lists!G:G,0))</f>
        <v>You must make a selection from the dropdown list.</v>
      </c>
      <c r="H9446" s="25" t="str">
        <f t="shared" ca="1" si="1080"/>
        <v/>
      </c>
      <c r="I9446" s="25" t="str">
        <f t="shared" ca="1" si="1081"/>
        <v/>
      </c>
      <c r="J9446" s="26" t="str">
        <f t="shared" si="1082"/>
        <v/>
      </c>
    </row>
    <row r="9447" spans="1:10" x14ac:dyDescent="0.25">
      <c r="A9447" t="s">
        <v>111</v>
      </c>
      <c r="B9447" t="str">
        <f>ADDRESS(ROW(Parcels!B719),COLUMN(Parcels!B719),4)</f>
        <v>B719</v>
      </c>
      <c r="C9447" t="str">
        <f>ADDRESS(ROW(Parcels!D719),COLUMN(Parcels!D719),4)</f>
        <v>D719</v>
      </c>
      <c r="D9447" t="b">
        <f>IF(AND(Parcels!$B$6="Yes",NOT(ISBLANK(Parcels!A719)),ISBLANK(Parcels!B719)),TRUE,FALSE)</f>
        <v>0</v>
      </c>
      <c r="E9447" t="s">
        <v>64</v>
      </c>
      <c r="F9447" t="str">
        <f>INDEX(Lists!I:I,MATCH(Validation!E9447,Lists!G:G,0))</f>
        <v>Error</v>
      </c>
      <c r="G9447" t="str">
        <f>INDEX(Lists!H:H,MATCH(Validation!E9447,Lists!G:G,0))</f>
        <v>You must make a selection from the dropdown list.</v>
      </c>
      <c r="H9447" s="25" t="str">
        <f t="shared" ca="1" si="1080"/>
        <v/>
      </c>
      <c r="I9447" s="25" t="str">
        <f t="shared" ca="1" si="1081"/>
        <v/>
      </c>
      <c r="J9447" s="26" t="str">
        <f t="shared" si="1082"/>
        <v/>
      </c>
    </row>
    <row r="9448" spans="1:10" x14ac:dyDescent="0.25">
      <c r="A9448" t="s">
        <v>111</v>
      </c>
      <c r="B9448" t="str">
        <f>ADDRESS(ROW(Parcels!B720),COLUMN(Parcels!B720),4)</f>
        <v>B720</v>
      </c>
      <c r="C9448" t="str">
        <f>ADDRESS(ROW(Parcels!D720),COLUMN(Parcels!D720),4)</f>
        <v>D720</v>
      </c>
      <c r="D9448" t="b">
        <f>IF(AND(Parcels!$B$6="Yes",NOT(ISBLANK(Parcels!A720)),ISBLANK(Parcels!B720)),TRUE,FALSE)</f>
        <v>0</v>
      </c>
      <c r="E9448" t="s">
        <v>64</v>
      </c>
      <c r="F9448" t="str">
        <f>INDEX(Lists!I:I,MATCH(Validation!E9448,Lists!G:G,0))</f>
        <v>Error</v>
      </c>
      <c r="G9448" t="str">
        <f>INDEX(Lists!H:H,MATCH(Validation!E9448,Lists!G:G,0))</f>
        <v>You must make a selection from the dropdown list.</v>
      </c>
      <c r="H9448" s="25" t="str">
        <f t="shared" ca="1" si="1080"/>
        <v/>
      </c>
      <c r="I9448" s="25" t="str">
        <f t="shared" ca="1" si="1081"/>
        <v/>
      </c>
      <c r="J9448" s="26" t="str">
        <f t="shared" si="1082"/>
        <v/>
      </c>
    </row>
    <row r="9449" spans="1:10" x14ac:dyDescent="0.25">
      <c r="A9449" t="s">
        <v>111</v>
      </c>
      <c r="B9449" t="str">
        <f>ADDRESS(ROW(Parcels!B721),COLUMN(Parcels!B721),4)</f>
        <v>B721</v>
      </c>
      <c r="C9449" t="str">
        <f>ADDRESS(ROW(Parcels!D721),COLUMN(Parcels!D721),4)</f>
        <v>D721</v>
      </c>
      <c r="D9449" t="b">
        <f>IF(AND(Parcels!$B$6="Yes",NOT(ISBLANK(Parcels!A721)),ISBLANK(Parcels!B721)),TRUE,FALSE)</f>
        <v>0</v>
      </c>
      <c r="E9449" t="s">
        <v>64</v>
      </c>
      <c r="F9449" t="str">
        <f>INDEX(Lists!I:I,MATCH(Validation!E9449,Lists!G:G,0))</f>
        <v>Error</v>
      </c>
      <c r="G9449" t="str">
        <f>INDEX(Lists!H:H,MATCH(Validation!E9449,Lists!G:G,0))</f>
        <v>You must make a selection from the dropdown list.</v>
      </c>
      <c r="H9449" s="25" t="str">
        <f t="shared" ca="1" si="1080"/>
        <v/>
      </c>
      <c r="I9449" s="25" t="str">
        <f t="shared" ca="1" si="1081"/>
        <v/>
      </c>
      <c r="J9449" s="26" t="str">
        <f t="shared" si="1082"/>
        <v/>
      </c>
    </row>
    <row r="9450" spans="1:10" x14ac:dyDescent="0.25">
      <c r="A9450" t="s">
        <v>111</v>
      </c>
      <c r="B9450" t="str">
        <f>ADDRESS(ROW(Parcels!B722),COLUMN(Parcels!B722),4)</f>
        <v>B722</v>
      </c>
      <c r="C9450" t="str">
        <f>ADDRESS(ROW(Parcels!D722),COLUMN(Parcels!D722),4)</f>
        <v>D722</v>
      </c>
      <c r="D9450" t="b">
        <f>IF(AND(Parcels!$B$6="Yes",NOT(ISBLANK(Parcels!A722)),ISBLANK(Parcels!B722)),TRUE,FALSE)</f>
        <v>0</v>
      </c>
      <c r="E9450" t="s">
        <v>64</v>
      </c>
      <c r="F9450" t="str">
        <f>INDEX(Lists!I:I,MATCH(Validation!E9450,Lists!G:G,0))</f>
        <v>Error</v>
      </c>
      <c r="G9450" t="str">
        <f>INDEX(Lists!H:H,MATCH(Validation!E9450,Lists!G:G,0))</f>
        <v>You must make a selection from the dropdown list.</v>
      </c>
      <c r="H9450" s="25" t="str">
        <f t="shared" ca="1" si="1080"/>
        <v/>
      </c>
      <c r="I9450" s="25" t="str">
        <f t="shared" ca="1" si="1081"/>
        <v/>
      </c>
      <c r="J9450" s="26" t="str">
        <f t="shared" si="1082"/>
        <v/>
      </c>
    </row>
    <row r="9451" spans="1:10" x14ac:dyDescent="0.25">
      <c r="A9451" t="s">
        <v>111</v>
      </c>
      <c r="B9451" t="str">
        <f>ADDRESS(ROW(Parcels!B723),COLUMN(Parcels!B723),4)</f>
        <v>B723</v>
      </c>
      <c r="C9451" t="str">
        <f>ADDRESS(ROW(Parcels!D723),COLUMN(Parcels!D723),4)</f>
        <v>D723</v>
      </c>
      <c r="D9451" t="b">
        <f>IF(AND(Parcels!$B$6="Yes",NOT(ISBLANK(Parcels!A723)),ISBLANK(Parcels!B723)),TRUE,FALSE)</f>
        <v>0</v>
      </c>
      <c r="E9451" t="s">
        <v>64</v>
      </c>
      <c r="F9451" t="str">
        <f>INDEX(Lists!I:I,MATCH(Validation!E9451,Lists!G:G,0))</f>
        <v>Error</v>
      </c>
      <c r="G9451" t="str">
        <f>INDEX(Lists!H:H,MATCH(Validation!E9451,Lists!G:G,0))</f>
        <v>You must make a selection from the dropdown list.</v>
      </c>
      <c r="H9451" s="25" t="str">
        <f t="shared" ca="1" si="1080"/>
        <v/>
      </c>
      <c r="I9451" s="25" t="str">
        <f t="shared" ca="1" si="1081"/>
        <v/>
      </c>
      <c r="J9451" s="26" t="str">
        <f t="shared" si="1082"/>
        <v/>
      </c>
    </row>
    <row r="9452" spans="1:10" x14ac:dyDescent="0.25">
      <c r="A9452" t="s">
        <v>111</v>
      </c>
      <c r="B9452" t="str">
        <f>ADDRESS(ROW(Parcels!B724),COLUMN(Parcels!B724),4)</f>
        <v>B724</v>
      </c>
      <c r="C9452" t="str">
        <f>ADDRESS(ROW(Parcels!D724),COLUMN(Parcels!D724),4)</f>
        <v>D724</v>
      </c>
      <c r="D9452" t="b">
        <f>IF(AND(Parcels!$B$6="Yes",NOT(ISBLANK(Parcels!A724)),ISBLANK(Parcels!B724)),TRUE,FALSE)</f>
        <v>0</v>
      </c>
      <c r="E9452" t="s">
        <v>64</v>
      </c>
      <c r="F9452" t="str">
        <f>INDEX(Lists!I:I,MATCH(Validation!E9452,Lists!G:G,0))</f>
        <v>Error</v>
      </c>
      <c r="G9452" t="str">
        <f>INDEX(Lists!H:H,MATCH(Validation!E9452,Lists!G:G,0))</f>
        <v>You must make a selection from the dropdown list.</v>
      </c>
      <c r="H9452" s="25" t="str">
        <f t="shared" ca="1" si="1080"/>
        <v/>
      </c>
      <c r="I9452" s="25" t="str">
        <f t="shared" ca="1" si="1081"/>
        <v/>
      </c>
      <c r="J9452" s="26" t="str">
        <f t="shared" si="1082"/>
        <v/>
      </c>
    </row>
    <row r="9453" spans="1:10" x14ac:dyDescent="0.25">
      <c r="A9453" t="s">
        <v>111</v>
      </c>
      <c r="B9453" t="str">
        <f>ADDRESS(ROW(Parcels!B725),COLUMN(Parcels!B725),4)</f>
        <v>B725</v>
      </c>
      <c r="C9453" t="str">
        <f>ADDRESS(ROW(Parcels!D725),COLUMN(Parcels!D725),4)</f>
        <v>D725</v>
      </c>
      <c r="D9453" t="b">
        <f>IF(AND(Parcels!$B$6="Yes",NOT(ISBLANK(Parcels!A725)),ISBLANK(Parcels!B725)),TRUE,FALSE)</f>
        <v>0</v>
      </c>
      <c r="E9453" t="s">
        <v>64</v>
      </c>
      <c r="F9453" t="str">
        <f>INDEX(Lists!I:I,MATCH(Validation!E9453,Lists!G:G,0))</f>
        <v>Error</v>
      </c>
      <c r="G9453" t="str">
        <f>INDEX(Lists!H:H,MATCH(Validation!E9453,Lists!G:G,0))</f>
        <v>You must make a selection from the dropdown list.</v>
      </c>
      <c r="H9453" s="25" t="str">
        <f t="shared" ca="1" si="1080"/>
        <v/>
      </c>
      <c r="I9453" s="25" t="str">
        <f t="shared" ca="1" si="1081"/>
        <v/>
      </c>
      <c r="J9453" s="26" t="str">
        <f t="shared" si="1082"/>
        <v/>
      </c>
    </row>
    <row r="9454" spans="1:10" x14ac:dyDescent="0.25">
      <c r="A9454" t="s">
        <v>111</v>
      </c>
      <c r="B9454" t="str">
        <f>ADDRESS(ROW(Parcels!B726),COLUMN(Parcels!B726),4)</f>
        <v>B726</v>
      </c>
      <c r="C9454" t="str">
        <f>ADDRESS(ROW(Parcels!D726),COLUMN(Parcels!D726),4)</f>
        <v>D726</v>
      </c>
      <c r="D9454" t="b">
        <f>IF(AND(Parcels!$B$6="Yes",NOT(ISBLANK(Parcels!A726)),ISBLANK(Parcels!B726)),TRUE,FALSE)</f>
        <v>0</v>
      </c>
      <c r="E9454" t="s">
        <v>64</v>
      </c>
      <c r="F9454" t="str">
        <f>INDEX(Lists!I:I,MATCH(Validation!E9454,Lists!G:G,0))</f>
        <v>Error</v>
      </c>
      <c r="G9454" t="str">
        <f>INDEX(Lists!H:H,MATCH(Validation!E9454,Lists!G:G,0))</f>
        <v>You must make a selection from the dropdown list.</v>
      </c>
      <c r="H9454" s="25" t="str">
        <f t="shared" ca="1" si="1080"/>
        <v/>
      </c>
      <c r="I9454" s="25" t="str">
        <f t="shared" ca="1" si="1081"/>
        <v/>
      </c>
      <c r="J9454" s="26" t="str">
        <f t="shared" si="1082"/>
        <v/>
      </c>
    </row>
    <row r="9455" spans="1:10" x14ac:dyDescent="0.25">
      <c r="A9455" t="s">
        <v>111</v>
      </c>
      <c r="B9455" t="str">
        <f>ADDRESS(ROW(Parcels!B727),COLUMN(Parcels!B727),4)</f>
        <v>B727</v>
      </c>
      <c r="C9455" t="str">
        <f>ADDRESS(ROW(Parcels!D727),COLUMN(Parcels!D727),4)</f>
        <v>D727</v>
      </c>
      <c r="D9455" t="b">
        <f>IF(AND(Parcels!$B$6="Yes",NOT(ISBLANK(Parcels!A727)),ISBLANK(Parcels!B727)),TRUE,FALSE)</f>
        <v>0</v>
      </c>
      <c r="E9455" t="s">
        <v>64</v>
      </c>
      <c r="F9455" t="str">
        <f>INDEX(Lists!I:I,MATCH(Validation!E9455,Lists!G:G,0))</f>
        <v>Error</v>
      </c>
      <c r="G9455" t="str">
        <f>INDEX(Lists!H:H,MATCH(Validation!E9455,Lists!G:G,0))</f>
        <v>You must make a selection from the dropdown list.</v>
      </c>
      <c r="H9455" s="25" t="str">
        <f t="shared" ca="1" si="1080"/>
        <v/>
      </c>
      <c r="I9455" s="25" t="str">
        <f t="shared" ca="1" si="1081"/>
        <v/>
      </c>
      <c r="J9455" s="26" t="str">
        <f t="shared" si="1082"/>
        <v/>
      </c>
    </row>
    <row r="9456" spans="1:10" x14ac:dyDescent="0.25">
      <c r="A9456" t="s">
        <v>111</v>
      </c>
      <c r="B9456" t="str">
        <f>ADDRESS(ROW(Parcels!B728),COLUMN(Parcels!B728),4)</f>
        <v>B728</v>
      </c>
      <c r="C9456" t="str">
        <f>ADDRESS(ROW(Parcels!D728),COLUMN(Parcels!D728),4)</f>
        <v>D728</v>
      </c>
      <c r="D9456" t="b">
        <f>IF(AND(Parcels!$B$6="Yes",NOT(ISBLANK(Parcels!A728)),ISBLANK(Parcels!B728)),TRUE,FALSE)</f>
        <v>0</v>
      </c>
      <c r="E9456" t="s">
        <v>64</v>
      </c>
      <c r="F9456" t="str">
        <f>INDEX(Lists!I:I,MATCH(Validation!E9456,Lists!G:G,0))</f>
        <v>Error</v>
      </c>
      <c r="G9456" t="str">
        <f>INDEX(Lists!H:H,MATCH(Validation!E9456,Lists!G:G,0))</f>
        <v>You must make a selection from the dropdown list.</v>
      </c>
      <c r="H9456" s="25" t="str">
        <f t="shared" ca="1" si="1080"/>
        <v/>
      </c>
      <c r="I9456" s="25" t="str">
        <f t="shared" ca="1" si="1081"/>
        <v/>
      </c>
      <c r="J9456" s="26" t="str">
        <f t="shared" si="1082"/>
        <v/>
      </c>
    </row>
    <row r="9457" spans="1:10" x14ac:dyDescent="0.25">
      <c r="A9457" t="s">
        <v>111</v>
      </c>
      <c r="B9457" t="str">
        <f>ADDRESS(ROW(Parcels!B729),COLUMN(Parcels!B729),4)</f>
        <v>B729</v>
      </c>
      <c r="C9457" t="str">
        <f>ADDRESS(ROW(Parcels!D729),COLUMN(Parcels!D729),4)</f>
        <v>D729</v>
      </c>
      <c r="D9457" t="b">
        <f>IF(AND(Parcels!$B$6="Yes",NOT(ISBLANK(Parcels!A729)),ISBLANK(Parcels!B729)),TRUE,FALSE)</f>
        <v>0</v>
      </c>
      <c r="E9457" t="s">
        <v>64</v>
      </c>
      <c r="F9457" t="str">
        <f>INDEX(Lists!I:I,MATCH(Validation!E9457,Lists!G:G,0))</f>
        <v>Error</v>
      </c>
      <c r="G9457" t="str">
        <f>INDEX(Lists!H:H,MATCH(Validation!E9457,Lists!G:G,0))</f>
        <v>You must make a selection from the dropdown list.</v>
      </c>
      <c r="H9457" s="25" t="str">
        <f t="shared" ca="1" si="1080"/>
        <v/>
      </c>
      <c r="I9457" s="25" t="str">
        <f t="shared" ca="1" si="1081"/>
        <v/>
      </c>
      <c r="J9457" s="26" t="str">
        <f t="shared" si="1082"/>
        <v/>
      </c>
    </row>
    <row r="9458" spans="1:10" x14ac:dyDescent="0.25">
      <c r="A9458" t="s">
        <v>111</v>
      </c>
      <c r="B9458" t="str">
        <f>ADDRESS(ROW(Parcels!B730),COLUMN(Parcels!B730),4)</f>
        <v>B730</v>
      </c>
      <c r="C9458" t="str">
        <f>ADDRESS(ROW(Parcels!D730),COLUMN(Parcels!D730),4)</f>
        <v>D730</v>
      </c>
      <c r="D9458" t="b">
        <f>IF(AND(Parcels!$B$6="Yes",NOT(ISBLANK(Parcels!A730)),ISBLANK(Parcels!B730)),TRUE,FALSE)</f>
        <v>0</v>
      </c>
      <c r="E9458" t="s">
        <v>64</v>
      </c>
      <c r="F9458" t="str">
        <f>INDEX(Lists!I:I,MATCH(Validation!E9458,Lists!G:G,0))</f>
        <v>Error</v>
      </c>
      <c r="G9458" t="str">
        <f>INDEX(Lists!H:H,MATCH(Validation!E9458,Lists!G:G,0))</f>
        <v>You must make a selection from the dropdown list.</v>
      </c>
      <c r="H9458" s="25" t="str">
        <f t="shared" ca="1" si="1080"/>
        <v/>
      </c>
      <c r="I9458" s="25" t="str">
        <f t="shared" ca="1" si="1081"/>
        <v/>
      </c>
      <c r="J9458" s="26" t="str">
        <f t="shared" si="1082"/>
        <v/>
      </c>
    </row>
    <row r="9459" spans="1:10" x14ac:dyDescent="0.25">
      <c r="A9459" t="s">
        <v>111</v>
      </c>
      <c r="B9459" t="str">
        <f>ADDRESS(ROW(Parcels!B731),COLUMN(Parcels!B731),4)</f>
        <v>B731</v>
      </c>
      <c r="C9459" t="str">
        <f>ADDRESS(ROW(Parcels!D731),COLUMN(Parcels!D731),4)</f>
        <v>D731</v>
      </c>
      <c r="D9459" t="b">
        <f>IF(AND(Parcels!$B$6="Yes",NOT(ISBLANK(Parcels!A731)),ISBLANK(Parcels!B731)),TRUE,FALSE)</f>
        <v>0</v>
      </c>
      <c r="E9459" t="s">
        <v>64</v>
      </c>
      <c r="F9459" t="str">
        <f>INDEX(Lists!I:I,MATCH(Validation!E9459,Lists!G:G,0))</f>
        <v>Error</v>
      </c>
      <c r="G9459" t="str">
        <f>INDEX(Lists!H:H,MATCH(Validation!E9459,Lists!G:G,0))</f>
        <v>You must make a selection from the dropdown list.</v>
      </c>
      <c r="H9459" s="25" t="str">
        <f t="shared" ca="1" si="1080"/>
        <v/>
      </c>
      <c r="I9459" s="25" t="str">
        <f t="shared" ca="1" si="1081"/>
        <v/>
      </c>
      <c r="J9459" s="26" t="str">
        <f t="shared" si="1082"/>
        <v/>
      </c>
    </row>
    <row r="9460" spans="1:10" x14ac:dyDescent="0.25">
      <c r="A9460" t="s">
        <v>111</v>
      </c>
      <c r="B9460" t="str">
        <f>ADDRESS(ROW(Parcels!B732),COLUMN(Parcels!B732),4)</f>
        <v>B732</v>
      </c>
      <c r="C9460" t="str">
        <f>ADDRESS(ROW(Parcels!D732),COLUMN(Parcels!D732),4)</f>
        <v>D732</v>
      </c>
      <c r="D9460" t="b">
        <f>IF(AND(Parcels!$B$6="Yes",NOT(ISBLANK(Parcels!A732)),ISBLANK(Parcels!B732)),TRUE,FALSE)</f>
        <v>0</v>
      </c>
      <c r="E9460" t="s">
        <v>64</v>
      </c>
      <c r="F9460" t="str">
        <f>INDEX(Lists!I:I,MATCH(Validation!E9460,Lists!G:G,0))</f>
        <v>Error</v>
      </c>
      <c r="G9460" t="str">
        <f>INDEX(Lists!H:H,MATCH(Validation!E9460,Lists!G:G,0))</f>
        <v>You must make a selection from the dropdown list.</v>
      </c>
      <c r="H9460" s="25" t="str">
        <f t="shared" ca="1" si="1080"/>
        <v/>
      </c>
      <c r="I9460" s="25" t="str">
        <f t="shared" ca="1" si="1081"/>
        <v/>
      </c>
      <c r="J9460" s="26" t="str">
        <f t="shared" si="1082"/>
        <v/>
      </c>
    </row>
    <row r="9461" spans="1:10" x14ac:dyDescent="0.25">
      <c r="A9461" t="s">
        <v>111</v>
      </c>
      <c r="B9461" t="str">
        <f>ADDRESS(ROW(Parcels!B733),COLUMN(Parcels!B733),4)</f>
        <v>B733</v>
      </c>
      <c r="C9461" t="str">
        <f>ADDRESS(ROW(Parcels!D733),COLUMN(Parcels!D733),4)</f>
        <v>D733</v>
      </c>
      <c r="D9461" t="b">
        <f>IF(AND(Parcels!$B$6="Yes",NOT(ISBLANK(Parcels!A733)),ISBLANK(Parcels!B733)),TRUE,FALSE)</f>
        <v>0</v>
      </c>
      <c r="E9461" t="s">
        <v>64</v>
      </c>
      <c r="F9461" t="str">
        <f>INDEX(Lists!I:I,MATCH(Validation!E9461,Lists!G:G,0))</f>
        <v>Error</v>
      </c>
      <c r="G9461" t="str">
        <f>INDEX(Lists!H:H,MATCH(Validation!E9461,Lists!G:G,0))</f>
        <v>You must make a selection from the dropdown list.</v>
      </c>
      <c r="H9461" s="25" t="str">
        <f t="shared" ca="1" si="1080"/>
        <v/>
      </c>
      <c r="I9461" s="25" t="str">
        <f t="shared" ca="1" si="1081"/>
        <v/>
      </c>
      <c r="J9461" s="26" t="str">
        <f t="shared" si="1082"/>
        <v/>
      </c>
    </row>
    <row r="9462" spans="1:10" x14ac:dyDescent="0.25">
      <c r="A9462" t="s">
        <v>111</v>
      </c>
      <c r="B9462" t="str">
        <f>ADDRESS(ROW(Parcels!B734),COLUMN(Parcels!B734),4)</f>
        <v>B734</v>
      </c>
      <c r="C9462" t="str">
        <f>ADDRESS(ROW(Parcels!D734),COLUMN(Parcels!D734),4)</f>
        <v>D734</v>
      </c>
      <c r="D9462" t="b">
        <f>IF(AND(Parcels!$B$6="Yes",NOT(ISBLANK(Parcels!A734)),ISBLANK(Parcels!B734)),TRUE,FALSE)</f>
        <v>0</v>
      </c>
      <c r="E9462" t="s">
        <v>64</v>
      </c>
      <c r="F9462" t="str">
        <f>INDEX(Lists!I:I,MATCH(Validation!E9462,Lists!G:G,0))</f>
        <v>Error</v>
      </c>
      <c r="G9462" t="str">
        <f>INDEX(Lists!H:H,MATCH(Validation!E9462,Lists!G:G,0))</f>
        <v>You must make a selection from the dropdown list.</v>
      </c>
      <c r="H9462" s="25" t="str">
        <f t="shared" ca="1" si="1080"/>
        <v/>
      </c>
      <c r="I9462" s="25" t="str">
        <f t="shared" ca="1" si="1081"/>
        <v/>
      </c>
      <c r="J9462" s="26" t="str">
        <f t="shared" si="1082"/>
        <v/>
      </c>
    </row>
    <row r="9463" spans="1:10" x14ac:dyDescent="0.25">
      <c r="A9463" t="s">
        <v>111</v>
      </c>
      <c r="B9463" t="str">
        <f>ADDRESS(ROW(Parcels!B735),COLUMN(Parcels!B735),4)</f>
        <v>B735</v>
      </c>
      <c r="C9463" t="str">
        <f>ADDRESS(ROW(Parcels!D735),COLUMN(Parcels!D735),4)</f>
        <v>D735</v>
      </c>
      <c r="D9463" t="b">
        <f>IF(AND(Parcels!$B$6="Yes",NOT(ISBLANK(Parcels!A735)),ISBLANK(Parcels!B735)),TRUE,FALSE)</f>
        <v>0</v>
      </c>
      <c r="E9463" t="s">
        <v>64</v>
      </c>
      <c r="F9463" t="str">
        <f>INDEX(Lists!I:I,MATCH(Validation!E9463,Lists!G:G,0))</f>
        <v>Error</v>
      </c>
      <c r="G9463" t="str">
        <f>INDEX(Lists!H:H,MATCH(Validation!E9463,Lists!G:G,0))</f>
        <v>You must make a selection from the dropdown list.</v>
      </c>
      <c r="H9463" s="25" t="str">
        <f t="shared" ca="1" si="1080"/>
        <v/>
      </c>
      <c r="I9463" s="25" t="str">
        <f t="shared" ca="1" si="1081"/>
        <v/>
      </c>
      <c r="J9463" s="26" t="str">
        <f t="shared" si="1082"/>
        <v/>
      </c>
    </row>
    <row r="9464" spans="1:10" x14ac:dyDescent="0.25">
      <c r="A9464" t="s">
        <v>111</v>
      </c>
      <c r="B9464" t="str">
        <f>ADDRESS(ROW(Parcels!B736),COLUMN(Parcels!B736),4)</f>
        <v>B736</v>
      </c>
      <c r="C9464" t="str">
        <f>ADDRESS(ROW(Parcels!D736),COLUMN(Parcels!D736),4)</f>
        <v>D736</v>
      </c>
      <c r="D9464" t="b">
        <f>IF(AND(Parcels!$B$6="Yes",NOT(ISBLANK(Parcels!A736)),ISBLANK(Parcels!B736)),TRUE,FALSE)</f>
        <v>0</v>
      </c>
      <c r="E9464" t="s">
        <v>64</v>
      </c>
      <c r="F9464" t="str">
        <f>INDEX(Lists!I:I,MATCH(Validation!E9464,Lists!G:G,0))</f>
        <v>Error</v>
      </c>
      <c r="G9464" t="str">
        <f>INDEX(Lists!H:H,MATCH(Validation!E9464,Lists!G:G,0))</f>
        <v>You must make a selection from the dropdown list.</v>
      </c>
      <c r="H9464" s="25" t="str">
        <f t="shared" ca="1" si="1080"/>
        <v/>
      </c>
      <c r="I9464" s="25" t="str">
        <f t="shared" ca="1" si="1081"/>
        <v/>
      </c>
      <c r="J9464" s="26" t="str">
        <f t="shared" si="1082"/>
        <v/>
      </c>
    </row>
    <row r="9465" spans="1:10" x14ac:dyDescent="0.25">
      <c r="A9465" t="s">
        <v>111</v>
      </c>
      <c r="B9465" t="str">
        <f>ADDRESS(ROW(Parcels!B737),COLUMN(Parcels!B737),4)</f>
        <v>B737</v>
      </c>
      <c r="C9465" t="str">
        <f>ADDRESS(ROW(Parcels!D737),COLUMN(Parcels!D737),4)</f>
        <v>D737</v>
      </c>
      <c r="D9465" t="b">
        <f>IF(AND(Parcels!$B$6="Yes",NOT(ISBLANK(Parcels!A737)),ISBLANK(Parcels!B737)),TRUE,FALSE)</f>
        <v>0</v>
      </c>
      <c r="E9465" t="s">
        <v>64</v>
      </c>
      <c r="F9465" t="str">
        <f>INDEX(Lists!I:I,MATCH(Validation!E9465,Lists!G:G,0))</f>
        <v>Error</v>
      </c>
      <c r="G9465" t="str">
        <f>INDEX(Lists!H:H,MATCH(Validation!E9465,Lists!G:G,0))</f>
        <v>You must make a selection from the dropdown list.</v>
      </c>
      <c r="H9465" s="25" t="str">
        <f t="shared" ca="1" si="1080"/>
        <v/>
      </c>
      <c r="I9465" s="25" t="str">
        <f t="shared" ca="1" si="1081"/>
        <v/>
      </c>
      <c r="J9465" s="26" t="str">
        <f t="shared" si="1082"/>
        <v/>
      </c>
    </row>
    <row r="9466" spans="1:10" x14ac:dyDescent="0.25">
      <c r="A9466" t="s">
        <v>111</v>
      </c>
      <c r="B9466" t="str">
        <f>ADDRESS(ROW(Parcels!B738),COLUMN(Parcels!B738),4)</f>
        <v>B738</v>
      </c>
      <c r="C9466" t="str">
        <f>ADDRESS(ROW(Parcels!D738),COLUMN(Parcels!D738),4)</f>
        <v>D738</v>
      </c>
      <c r="D9466" t="b">
        <f>IF(AND(Parcels!$B$6="Yes",NOT(ISBLANK(Parcels!A738)),ISBLANK(Parcels!B738)),TRUE,FALSE)</f>
        <v>0</v>
      </c>
      <c r="E9466" t="s">
        <v>64</v>
      </c>
      <c r="F9466" t="str">
        <f>INDEX(Lists!I:I,MATCH(Validation!E9466,Lists!G:G,0))</f>
        <v>Error</v>
      </c>
      <c r="G9466" t="str">
        <f>INDEX(Lists!H:H,MATCH(Validation!E9466,Lists!G:G,0))</f>
        <v>You must make a selection from the dropdown list.</v>
      </c>
      <c r="H9466" s="25" t="str">
        <f t="shared" ca="1" si="1080"/>
        <v/>
      </c>
      <c r="I9466" s="25" t="str">
        <f t="shared" ca="1" si="1081"/>
        <v/>
      </c>
      <c r="J9466" s="26" t="str">
        <f t="shared" si="1082"/>
        <v/>
      </c>
    </row>
    <row r="9467" spans="1:10" x14ac:dyDescent="0.25">
      <c r="A9467" t="s">
        <v>111</v>
      </c>
      <c r="B9467" t="str">
        <f>ADDRESS(ROW(Parcels!B739),COLUMN(Parcels!B739),4)</f>
        <v>B739</v>
      </c>
      <c r="C9467" t="str">
        <f>ADDRESS(ROW(Parcels!D739),COLUMN(Parcels!D739),4)</f>
        <v>D739</v>
      </c>
      <c r="D9467" t="b">
        <f>IF(AND(Parcels!$B$6="Yes",NOT(ISBLANK(Parcels!A739)),ISBLANK(Parcels!B739)),TRUE,FALSE)</f>
        <v>0</v>
      </c>
      <c r="E9467" t="s">
        <v>64</v>
      </c>
      <c r="F9467" t="str">
        <f>INDEX(Lists!I:I,MATCH(Validation!E9467,Lists!G:G,0))</f>
        <v>Error</v>
      </c>
      <c r="G9467" t="str">
        <f>INDEX(Lists!H:H,MATCH(Validation!E9467,Lists!G:G,0))</f>
        <v>You must make a selection from the dropdown list.</v>
      </c>
      <c r="H9467" s="25" t="str">
        <f t="shared" ca="1" si="1080"/>
        <v/>
      </c>
      <c r="I9467" s="25" t="str">
        <f t="shared" ca="1" si="1081"/>
        <v/>
      </c>
      <c r="J9467" s="26" t="str">
        <f t="shared" si="1082"/>
        <v/>
      </c>
    </row>
    <row r="9468" spans="1:10" x14ac:dyDescent="0.25">
      <c r="A9468" t="s">
        <v>111</v>
      </c>
      <c r="B9468" t="str">
        <f>ADDRESS(ROW(Parcels!B740),COLUMN(Parcels!B740),4)</f>
        <v>B740</v>
      </c>
      <c r="C9468" t="str">
        <f>ADDRESS(ROW(Parcels!D740),COLUMN(Parcels!D740),4)</f>
        <v>D740</v>
      </c>
      <c r="D9468" t="b">
        <f>IF(AND(Parcels!$B$6="Yes",NOT(ISBLANK(Parcels!A740)),ISBLANK(Parcels!B740)),TRUE,FALSE)</f>
        <v>0</v>
      </c>
      <c r="E9468" t="s">
        <v>64</v>
      </c>
      <c r="F9468" t="str">
        <f>INDEX(Lists!I:I,MATCH(Validation!E9468,Lists!G:G,0))</f>
        <v>Error</v>
      </c>
      <c r="G9468" t="str">
        <f>INDEX(Lists!H:H,MATCH(Validation!E9468,Lists!G:G,0))</f>
        <v>You must make a selection from the dropdown list.</v>
      </c>
      <c r="H9468" s="25" t="str">
        <f t="shared" ca="1" si="1080"/>
        <v/>
      </c>
      <c r="I9468" s="25" t="str">
        <f t="shared" ca="1" si="1081"/>
        <v/>
      </c>
      <c r="J9468" s="26" t="str">
        <f t="shared" si="1082"/>
        <v/>
      </c>
    </row>
    <row r="9469" spans="1:10" x14ac:dyDescent="0.25">
      <c r="A9469" t="s">
        <v>111</v>
      </c>
      <c r="B9469" t="str">
        <f>ADDRESS(ROW(Parcels!B741),COLUMN(Parcels!B741),4)</f>
        <v>B741</v>
      </c>
      <c r="C9469" t="str">
        <f>ADDRESS(ROW(Parcels!D741),COLUMN(Parcels!D741),4)</f>
        <v>D741</v>
      </c>
      <c r="D9469" t="b">
        <f>IF(AND(Parcels!$B$6="Yes",NOT(ISBLANK(Parcels!A741)),ISBLANK(Parcels!B741)),TRUE,FALSE)</f>
        <v>0</v>
      </c>
      <c r="E9469" t="s">
        <v>64</v>
      </c>
      <c r="F9469" t="str">
        <f>INDEX(Lists!I:I,MATCH(Validation!E9469,Lists!G:G,0))</f>
        <v>Error</v>
      </c>
      <c r="G9469" t="str">
        <f>INDEX(Lists!H:H,MATCH(Validation!E9469,Lists!G:G,0))</f>
        <v>You must make a selection from the dropdown list.</v>
      </c>
      <c r="H9469" s="25" t="str">
        <f t="shared" ca="1" si="1080"/>
        <v/>
      </c>
      <c r="I9469" s="25" t="str">
        <f t="shared" ca="1" si="1081"/>
        <v/>
      </c>
      <c r="J9469" s="26" t="str">
        <f t="shared" si="1082"/>
        <v/>
      </c>
    </row>
    <row r="9470" spans="1:10" x14ac:dyDescent="0.25">
      <c r="A9470" t="s">
        <v>111</v>
      </c>
      <c r="B9470" t="str">
        <f>ADDRESS(ROW(Parcels!B742),COLUMN(Parcels!B742),4)</f>
        <v>B742</v>
      </c>
      <c r="C9470" t="str">
        <f>ADDRESS(ROW(Parcels!D742),COLUMN(Parcels!D742),4)</f>
        <v>D742</v>
      </c>
      <c r="D9470" t="b">
        <f>IF(AND(Parcels!$B$6="Yes",NOT(ISBLANK(Parcels!A742)),ISBLANK(Parcels!B742)),TRUE,FALSE)</f>
        <v>0</v>
      </c>
      <c r="E9470" t="s">
        <v>64</v>
      </c>
      <c r="F9470" t="str">
        <f>INDEX(Lists!I:I,MATCH(Validation!E9470,Lists!G:G,0))</f>
        <v>Error</v>
      </c>
      <c r="G9470" t="str">
        <f>INDEX(Lists!H:H,MATCH(Validation!E9470,Lists!G:G,0))</f>
        <v>You must make a selection from the dropdown list.</v>
      </c>
      <c r="H9470" s="25" t="str">
        <f t="shared" ca="1" si="1080"/>
        <v/>
      </c>
      <c r="I9470" s="25" t="str">
        <f t="shared" ca="1" si="1081"/>
        <v/>
      </c>
      <c r="J9470" s="26" t="str">
        <f t="shared" si="1082"/>
        <v/>
      </c>
    </row>
    <row r="9471" spans="1:10" x14ac:dyDescent="0.25">
      <c r="A9471" t="s">
        <v>111</v>
      </c>
      <c r="B9471" t="str">
        <f>ADDRESS(ROW(Parcels!B743),COLUMN(Parcels!B743),4)</f>
        <v>B743</v>
      </c>
      <c r="C9471" t="str">
        <f>ADDRESS(ROW(Parcels!D743),COLUMN(Parcels!D743),4)</f>
        <v>D743</v>
      </c>
      <c r="D9471" t="b">
        <f>IF(AND(Parcels!$B$6="Yes",NOT(ISBLANK(Parcels!A743)),ISBLANK(Parcels!B743)),TRUE,FALSE)</f>
        <v>0</v>
      </c>
      <c r="E9471" t="s">
        <v>64</v>
      </c>
      <c r="F9471" t="str">
        <f>INDEX(Lists!I:I,MATCH(Validation!E9471,Lists!G:G,0))</f>
        <v>Error</v>
      </c>
      <c r="G9471" t="str">
        <f>INDEX(Lists!H:H,MATCH(Validation!E9471,Lists!G:G,0))</f>
        <v>You must make a selection from the dropdown list.</v>
      </c>
      <c r="H9471" s="25" t="str">
        <f t="shared" ca="1" si="1080"/>
        <v/>
      </c>
      <c r="I9471" s="25" t="str">
        <f t="shared" ca="1" si="1081"/>
        <v/>
      </c>
      <c r="J9471" s="26" t="str">
        <f t="shared" si="1082"/>
        <v/>
      </c>
    </row>
    <row r="9472" spans="1:10" x14ac:dyDescent="0.25">
      <c r="A9472" t="s">
        <v>111</v>
      </c>
      <c r="B9472" t="str">
        <f>ADDRESS(ROW(Parcels!B744),COLUMN(Parcels!B744),4)</f>
        <v>B744</v>
      </c>
      <c r="C9472" t="str">
        <f>ADDRESS(ROW(Parcels!D744),COLUMN(Parcels!D744),4)</f>
        <v>D744</v>
      </c>
      <c r="D9472" t="b">
        <f>IF(AND(Parcels!$B$6="Yes",NOT(ISBLANK(Parcels!A744)),ISBLANK(Parcels!B744)),TRUE,FALSE)</f>
        <v>0</v>
      </c>
      <c r="E9472" t="s">
        <v>64</v>
      </c>
      <c r="F9472" t="str">
        <f>INDEX(Lists!I:I,MATCH(Validation!E9472,Lists!G:G,0))</f>
        <v>Error</v>
      </c>
      <c r="G9472" t="str">
        <f>INDEX(Lists!H:H,MATCH(Validation!E9472,Lists!G:G,0))</f>
        <v>You must make a selection from the dropdown list.</v>
      </c>
      <c r="H9472" s="25" t="str">
        <f t="shared" ca="1" si="1080"/>
        <v/>
      </c>
      <c r="I9472" s="25" t="str">
        <f t="shared" ca="1" si="1081"/>
        <v/>
      </c>
      <c r="J9472" s="26" t="str">
        <f t="shared" si="1082"/>
        <v/>
      </c>
    </row>
    <row r="9473" spans="1:10" x14ac:dyDescent="0.25">
      <c r="A9473" t="s">
        <v>111</v>
      </c>
      <c r="B9473" t="str">
        <f>ADDRESS(ROW(Parcels!B745),COLUMN(Parcels!B745),4)</f>
        <v>B745</v>
      </c>
      <c r="C9473" t="str">
        <f>ADDRESS(ROW(Parcels!D745),COLUMN(Parcels!D745),4)</f>
        <v>D745</v>
      </c>
      <c r="D9473" t="b">
        <f>IF(AND(Parcels!$B$6="Yes",NOT(ISBLANK(Parcels!A745)),ISBLANK(Parcels!B745)),TRUE,FALSE)</f>
        <v>0</v>
      </c>
      <c r="E9473" t="s">
        <v>64</v>
      </c>
      <c r="F9473" t="str">
        <f>INDEX(Lists!I:I,MATCH(Validation!E9473,Lists!G:G,0))</f>
        <v>Error</v>
      </c>
      <c r="G9473" t="str">
        <f>INDEX(Lists!H:H,MATCH(Validation!E9473,Lists!G:G,0))</f>
        <v>You must make a selection from the dropdown list.</v>
      </c>
      <c r="H9473" s="25" t="str">
        <f t="shared" ca="1" si="1080"/>
        <v/>
      </c>
      <c r="I9473" s="25" t="str">
        <f t="shared" ca="1" si="1081"/>
        <v/>
      </c>
      <c r="J9473" s="26" t="str">
        <f t="shared" si="1082"/>
        <v/>
      </c>
    </row>
    <row r="9474" spans="1:10" x14ac:dyDescent="0.25">
      <c r="A9474" t="s">
        <v>111</v>
      </c>
      <c r="B9474" t="str">
        <f>ADDRESS(ROW(Parcels!B746),COLUMN(Parcels!B746),4)</f>
        <v>B746</v>
      </c>
      <c r="C9474" t="str">
        <f>ADDRESS(ROW(Parcels!D746),COLUMN(Parcels!D746),4)</f>
        <v>D746</v>
      </c>
      <c r="D9474" t="b">
        <f>IF(AND(Parcels!$B$6="Yes",NOT(ISBLANK(Parcels!A746)),ISBLANK(Parcels!B746)),TRUE,FALSE)</f>
        <v>0</v>
      </c>
      <c r="E9474" t="s">
        <v>64</v>
      </c>
      <c r="F9474" t="str">
        <f>INDEX(Lists!I:I,MATCH(Validation!E9474,Lists!G:G,0))</f>
        <v>Error</v>
      </c>
      <c r="G9474" t="str">
        <f>INDEX(Lists!H:H,MATCH(Validation!E9474,Lists!G:G,0))</f>
        <v>You must make a selection from the dropdown list.</v>
      </c>
      <c r="H9474" s="25" t="str">
        <f t="shared" ca="1" si="1080"/>
        <v/>
      </c>
      <c r="I9474" s="25" t="str">
        <f t="shared" ca="1" si="1081"/>
        <v/>
      </c>
      <c r="J9474" s="26" t="str">
        <f t="shared" si="1082"/>
        <v/>
      </c>
    </row>
    <row r="9475" spans="1:10" x14ac:dyDescent="0.25">
      <c r="A9475" t="s">
        <v>111</v>
      </c>
      <c r="B9475" t="str">
        <f>ADDRESS(ROW(Parcels!B747),COLUMN(Parcels!B747),4)</f>
        <v>B747</v>
      </c>
      <c r="C9475" t="str">
        <f>ADDRESS(ROW(Parcels!D747),COLUMN(Parcels!D747),4)</f>
        <v>D747</v>
      </c>
      <c r="D9475" t="b">
        <f>IF(AND(Parcels!$B$6="Yes",NOT(ISBLANK(Parcels!A747)),ISBLANK(Parcels!B747)),TRUE,FALSE)</f>
        <v>0</v>
      </c>
      <c r="E9475" t="s">
        <v>64</v>
      </c>
      <c r="F9475" t="str">
        <f>INDEX(Lists!I:I,MATCH(Validation!E9475,Lists!G:G,0))</f>
        <v>Error</v>
      </c>
      <c r="G9475" t="str">
        <f>INDEX(Lists!H:H,MATCH(Validation!E9475,Lists!G:G,0))</f>
        <v>You must make a selection from the dropdown list.</v>
      </c>
      <c r="H9475" s="25" t="str">
        <f t="shared" ca="1" si="1080"/>
        <v/>
      </c>
      <c r="I9475" s="25" t="str">
        <f t="shared" ca="1" si="1081"/>
        <v/>
      </c>
      <c r="J9475" s="26" t="str">
        <f t="shared" si="1082"/>
        <v/>
      </c>
    </row>
    <row r="9476" spans="1:10" x14ac:dyDescent="0.25">
      <c r="A9476" t="s">
        <v>111</v>
      </c>
      <c r="B9476" t="str">
        <f>ADDRESS(ROW(Parcels!B748),COLUMN(Parcels!B748),4)</f>
        <v>B748</v>
      </c>
      <c r="C9476" t="str">
        <f>ADDRESS(ROW(Parcels!D748),COLUMN(Parcels!D748),4)</f>
        <v>D748</v>
      </c>
      <c r="D9476" t="b">
        <f>IF(AND(Parcels!$B$6="Yes",NOT(ISBLANK(Parcels!A748)),ISBLANK(Parcels!B748)),TRUE,FALSE)</f>
        <v>0</v>
      </c>
      <c r="E9476" t="s">
        <v>64</v>
      </c>
      <c r="F9476" t="str">
        <f>INDEX(Lists!I:I,MATCH(Validation!E9476,Lists!G:G,0))</f>
        <v>Error</v>
      </c>
      <c r="G9476" t="str">
        <f>INDEX(Lists!H:H,MATCH(Validation!E9476,Lists!G:G,0))</f>
        <v>You must make a selection from the dropdown list.</v>
      </c>
      <c r="H9476" s="25" t="str">
        <f t="shared" ca="1" si="1080"/>
        <v/>
      </c>
      <c r="I9476" s="25" t="str">
        <f t="shared" ca="1" si="1081"/>
        <v/>
      </c>
      <c r="J9476" s="26" t="str">
        <f t="shared" si="1082"/>
        <v/>
      </c>
    </row>
    <row r="9477" spans="1:10" x14ac:dyDescent="0.25">
      <c r="A9477" t="s">
        <v>111</v>
      </c>
      <c r="B9477" t="str">
        <f>ADDRESS(ROW(Parcels!B749),COLUMN(Parcels!B749),4)</f>
        <v>B749</v>
      </c>
      <c r="C9477" t="str">
        <f>ADDRESS(ROW(Parcels!D749),COLUMN(Parcels!D749),4)</f>
        <v>D749</v>
      </c>
      <c r="D9477" t="b">
        <f>IF(AND(Parcels!$B$6="Yes",NOT(ISBLANK(Parcels!A749)),ISBLANK(Parcels!B749)),TRUE,FALSE)</f>
        <v>0</v>
      </c>
      <c r="E9477" t="s">
        <v>64</v>
      </c>
      <c r="F9477" t="str">
        <f>INDEX(Lists!I:I,MATCH(Validation!E9477,Lists!G:G,0))</f>
        <v>Error</v>
      </c>
      <c r="G9477" t="str">
        <f>INDEX(Lists!H:H,MATCH(Validation!E9477,Lists!G:G,0))</f>
        <v>You must make a selection from the dropdown list.</v>
      </c>
      <c r="H9477" s="25" t="str">
        <f t="shared" ca="1" si="1080"/>
        <v/>
      </c>
      <c r="I9477" s="25" t="str">
        <f t="shared" ca="1" si="1081"/>
        <v/>
      </c>
      <c r="J9477" s="26" t="str">
        <f t="shared" si="1082"/>
        <v/>
      </c>
    </row>
    <row r="9478" spans="1:10" x14ac:dyDescent="0.25">
      <c r="A9478" t="s">
        <v>111</v>
      </c>
      <c r="B9478" t="str">
        <f>ADDRESS(ROW(Parcels!B750),COLUMN(Parcels!B750),4)</f>
        <v>B750</v>
      </c>
      <c r="C9478" t="str">
        <f>ADDRESS(ROW(Parcels!D750),COLUMN(Parcels!D750),4)</f>
        <v>D750</v>
      </c>
      <c r="D9478" t="b">
        <f>IF(AND(Parcels!$B$6="Yes",NOT(ISBLANK(Parcels!A750)),ISBLANK(Parcels!B750)),TRUE,FALSE)</f>
        <v>0</v>
      </c>
      <c r="E9478" t="s">
        <v>64</v>
      </c>
      <c r="F9478" t="str">
        <f>INDEX(Lists!I:I,MATCH(Validation!E9478,Lists!G:G,0))</f>
        <v>Error</v>
      </c>
      <c r="G9478" t="str">
        <f>INDEX(Lists!H:H,MATCH(Validation!E9478,Lists!G:G,0))</f>
        <v>You must make a selection from the dropdown list.</v>
      </c>
      <c r="H9478" s="25" t="str">
        <f t="shared" ca="1" si="1080"/>
        <v/>
      </c>
      <c r="I9478" s="25" t="str">
        <f t="shared" ca="1" si="1081"/>
        <v/>
      </c>
      <c r="J9478" s="26" t="str">
        <f t="shared" si="1082"/>
        <v/>
      </c>
    </row>
    <row r="9479" spans="1:10" x14ac:dyDescent="0.25">
      <c r="A9479" t="s">
        <v>111</v>
      </c>
      <c r="B9479" t="str">
        <f>ADDRESS(ROW(Parcels!B751),COLUMN(Parcels!B751),4)</f>
        <v>B751</v>
      </c>
      <c r="C9479" t="str">
        <f>ADDRESS(ROW(Parcels!D751),COLUMN(Parcels!D751),4)</f>
        <v>D751</v>
      </c>
      <c r="D9479" t="b">
        <f>IF(AND(Parcels!$B$6="Yes",NOT(ISBLANK(Parcels!A751)),ISBLANK(Parcels!B751)),TRUE,FALSE)</f>
        <v>0</v>
      </c>
      <c r="E9479" t="s">
        <v>64</v>
      </c>
      <c r="F9479" t="str">
        <f>INDEX(Lists!I:I,MATCH(Validation!E9479,Lists!G:G,0))</f>
        <v>Error</v>
      </c>
      <c r="G9479" t="str">
        <f>INDEX(Lists!H:H,MATCH(Validation!E9479,Lists!G:G,0))</f>
        <v>You must make a selection from the dropdown list.</v>
      </c>
      <c r="H9479" s="25" t="str">
        <f t="shared" ca="1" si="1080"/>
        <v/>
      </c>
      <c r="I9479" s="25" t="str">
        <f t="shared" ca="1" si="1081"/>
        <v/>
      </c>
      <c r="J9479" s="26" t="str">
        <f t="shared" si="1082"/>
        <v/>
      </c>
    </row>
    <row r="9480" spans="1:10" x14ac:dyDescent="0.25">
      <c r="A9480" t="s">
        <v>111</v>
      </c>
      <c r="B9480" t="str">
        <f>ADDRESS(ROW(Parcels!B752),COLUMN(Parcels!B752),4)</f>
        <v>B752</v>
      </c>
      <c r="C9480" t="str">
        <f>ADDRESS(ROW(Parcels!D752),COLUMN(Parcels!D752),4)</f>
        <v>D752</v>
      </c>
      <c r="D9480" t="b">
        <f>IF(AND(Parcels!$B$6="Yes",NOT(ISBLANK(Parcels!A752)),ISBLANK(Parcels!B752)),TRUE,FALSE)</f>
        <v>0</v>
      </c>
      <c r="E9480" t="s">
        <v>64</v>
      </c>
      <c r="F9480" t="str">
        <f>INDEX(Lists!I:I,MATCH(Validation!E9480,Lists!G:G,0))</f>
        <v>Error</v>
      </c>
      <c r="G9480" t="str">
        <f>INDEX(Lists!H:H,MATCH(Validation!E9480,Lists!G:G,0))</f>
        <v>You must make a selection from the dropdown list.</v>
      </c>
      <c r="H9480" s="25" t="str">
        <f t="shared" ca="1" si="1080"/>
        <v/>
      </c>
      <c r="I9480" s="25" t="str">
        <f t="shared" ca="1" si="1081"/>
        <v/>
      </c>
      <c r="J9480" s="26" t="str">
        <f t="shared" si="1082"/>
        <v/>
      </c>
    </row>
    <row r="9481" spans="1:10" x14ac:dyDescent="0.25">
      <c r="A9481" t="s">
        <v>111</v>
      </c>
      <c r="B9481" t="str">
        <f>ADDRESS(ROW(Parcels!B753),COLUMN(Parcels!B753),4)</f>
        <v>B753</v>
      </c>
      <c r="C9481" t="str">
        <f>ADDRESS(ROW(Parcels!D753),COLUMN(Parcels!D753),4)</f>
        <v>D753</v>
      </c>
      <c r="D9481" t="b">
        <f>IF(AND(Parcels!$B$6="Yes",NOT(ISBLANK(Parcels!A753)),ISBLANK(Parcels!B753)),TRUE,FALSE)</f>
        <v>0</v>
      </c>
      <c r="E9481" t="s">
        <v>64</v>
      </c>
      <c r="F9481" t="str">
        <f>INDEX(Lists!I:I,MATCH(Validation!E9481,Lists!G:G,0))</f>
        <v>Error</v>
      </c>
      <c r="G9481" t="str">
        <f>INDEX(Lists!H:H,MATCH(Validation!E9481,Lists!G:G,0))</f>
        <v>You must make a selection from the dropdown list.</v>
      </c>
      <c r="H9481" s="25" t="str">
        <f t="shared" ca="1" si="1080"/>
        <v/>
      </c>
      <c r="I9481" s="25" t="str">
        <f t="shared" ca="1" si="1081"/>
        <v/>
      </c>
      <c r="J9481" s="26" t="str">
        <f t="shared" si="1082"/>
        <v/>
      </c>
    </row>
    <row r="9482" spans="1:10" x14ac:dyDescent="0.25">
      <c r="A9482" t="s">
        <v>111</v>
      </c>
      <c r="B9482" t="str">
        <f>ADDRESS(ROW(Parcels!B754),COLUMN(Parcels!B754),4)</f>
        <v>B754</v>
      </c>
      <c r="C9482" t="str">
        <f>ADDRESS(ROW(Parcels!D754),COLUMN(Parcels!D754),4)</f>
        <v>D754</v>
      </c>
      <c r="D9482" t="b">
        <f>IF(AND(Parcels!$B$6="Yes",NOT(ISBLANK(Parcels!A754)),ISBLANK(Parcels!B754)),TRUE,FALSE)</f>
        <v>0</v>
      </c>
      <c r="E9482" t="s">
        <v>64</v>
      </c>
      <c r="F9482" t="str">
        <f>INDEX(Lists!I:I,MATCH(Validation!E9482,Lists!G:G,0))</f>
        <v>Error</v>
      </c>
      <c r="G9482" t="str">
        <f>INDEX(Lists!H:H,MATCH(Validation!E9482,Lists!G:G,0))</f>
        <v>You must make a selection from the dropdown list.</v>
      </c>
      <c r="H9482" s="25" t="str">
        <f t="shared" ca="1" si="1080"/>
        <v/>
      </c>
      <c r="I9482" s="25" t="str">
        <f t="shared" ca="1" si="1081"/>
        <v/>
      </c>
      <c r="J9482" s="26" t="str">
        <f t="shared" si="1082"/>
        <v/>
      </c>
    </row>
    <row r="9483" spans="1:10" x14ac:dyDescent="0.25">
      <c r="A9483" t="s">
        <v>111</v>
      </c>
      <c r="B9483" t="str">
        <f>ADDRESS(ROW(Parcels!B755),COLUMN(Parcels!B755),4)</f>
        <v>B755</v>
      </c>
      <c r="C9483" t="str">
        <f>ADDRESS(ROW(Parcels!D755),COLUMN(Parcels!D755),4)</f>
        <v>D755</v>
      </c>
      <c r="D9483" t="b">
        <f>IF(AND(Parcels!$B$6="Yes",NOT(ISBLANK(Parcels!A755)),ISBLANK(Parcels!B755)),TRUE,FALSE)</f>
        <v>0</v>
      </c>
      <c r="E9483" t="s">
        <v>64</v>
      </c>
      <c r="F9483" t="str">
        <f>INDEX(Lists!I:I,MATCH(Validation!E9483,Lists!G:G,0))</f>
        <v>Error</v>
      </c>
      <c r="G9483" t="str">
        <f>INDEX(Lists!H:H,MATCH(Validation!E9483,Lists!G:G,0))</f>
        <v>You must make a selection from the dropdown list.</v>
      </c>
      <c r="H9483" s="25" t="str">
        <f t="shared" ca="1" si="1080"/>
        <v/>
      </c>
      <c r="I9483" s="25" t="str">
        <f t="shared" ca="1" si="1081"/>
        <v/>
      </c>
      <c r="J9483" s="26" t="str">
        <f t="shared" si="1082"/>
        <v/>
      </c>
    </row>
    <row r="9484" spans="1:10" x14ac:dyDescent="0.25">
      <c r="A9484" t="s">
        <v>111</v>
      </c>
      <c r="B9484" t="str">
        <f>ADDRESS(ROW(Parcels!B756),COLUMN(Parcels!B756),4)</f>
        <v>B756</v>
      </c>
      <c r="C9484" t="str">
        <f>ADDRESS(ROW(Parcels!D756),COLUMN(Parcels!D756),4)</f>
        <v>D756</v>
      </c>
      <c r="D9484" t="b">
        <f>IF(AND(Parcels!$B$6="Yes",NOT(ISBLANK(Parcels!A756)),ISBLANK(Parcels!B756)),TRUE,FALSE)</f>
        <v>0</v>
      </c>
      <c r="E9484" t="s">
        <v>64</v>
      </c>
      <c r="F9484" t="str">
        <f>INDEX(Lists!I:I,MATCH(Validation!E9484,Lists!G:G,0))</f>
        <v>Error</v>
      </c>
      <c r="G9484" t="str">
        <f>INDEX(Lists!H:H,MATCH(Validation!E9484,Lists!G:G,0))</f>
        <v>You must make a selection from the dropdown list.</v>
      </c>
      <c r="H9484" s="25" t="str">
        <f t="shared" ca="1" si="1080"/>
        <v/>
      </c>
      <c r="I9484" s="25" t="str">
        <f t="shared" ca="1" si="1081"/>
        <v/>
      </c>
      <c r="J9484" s="26" t="str">
        <f t="shared" si="1082"/>
        <v/>
      </c>
    </row>
    <row r="9485" spans="1:10" x14ac:dyDescent="0.25">
      <c r="A9485" t="s">
        <v>111</v>
      </c>
      <c r="B9485" t="str">
        <f>ADDRESS(ROW(Parcels!B757),COLUMN(Parcels!B757),4)</f>
        <v>B757</v>
      </c>
      <c r="C9485" t="str">
        <f>ADDRESS(ROW(Parcels!D757),COLUMN(Parcels!D757),4)</f>
        <v>D757</v>
      </c>
      <c r="D9485" t="b">
        <f>IF(AND(Parcels!$B$6="Yes",NOT(ISBLANK(Parcels!A757)),ISBLANK(Parcels!B757)),TRUE,FALSE)</f>
        <v>0</v>
      </c>
      <c r="E9485" t="s">
        <v>64</v>
      </c>
      <c r="F9485" t="str">
        <f>INDEX(Lists!I:I,MATCH(Validation!E9485,Lists!G:G,0))</f>
        <v>Error</v>
      </c>
      <c r="G9485" t="str">
        <f>INDEX(Lists!H:H,MATCH(Validation!E9485,Lists!G:G,0))</f>
        <v>You must make a selection from the dropdown list.</v>
      </c>
      <c r="H9485" s="25" t="str">
        <f t="shared" ca="1" si="1080"/>
        <v/>
      </c>
      <c r="I9485" s="25" t="str">
        <f t="shared" ca="1" si="1081"/>
        <v/>
      </c>
      <c r="J9485" s="26" t="str">
        <f t="shared" si="1082"/>
        <v/>
      </c>
    </row>
    <row r="9486" spans="1:10" x14ac:dyDescent="0.25">
      <c r="A9486" t="s">
        <v>111</v>
      </c>
      <c r="B9486" t="str">
        <f>ADDRESS(ROW(Parcels!B758),COLUMN(Parcels!B758),4)</f>
        <v>B758</v>
      </c>
      <c r="C9486" t="str">
        <f>ADDRESS(ROW(Parcels!D758),COLUMN(Parcels!D758),4)</f>
        <v>D758</v>
      </c>
      <c r="D9486" t="b">
        <f>IF(AND(Parcels!$B$6="Yes",NOT(ISBLANK(Parcels!A758)),ISBLANK(Parcels!B758)),TRUE,FALSE)</f>
        <v>0</v>
      </c>
      <c r="E9486" t="s">
        <v>64</v>
      </c>
      <c r="F9486" t="str">
        <f>INDEX(Lists!I:I,MATCH(Validation!E9486,Lists!G:G,0))</f>
        <v>Error</v>
      </c>
      <c r="G9486" t="str">
        <f>INDEX(Lists!H:H,MATCH(Validation!E9486,Lists!G:G,0))</f>
        <v>You must make a selection from the dropdown list.</v>
      </c>
      <c r="H9486" s="25" t="str">
        <f t="shared" ca="1" si="1080"/>
        <v/>
      </c>
      <c r="I9486" s="25" t="str">
        <f t="shared" ca="1" si="1081"/>
        <v/>
      </c>
      <c r="J9486" s="26" t="str">
        <f t="shared" si="1082"/>
        <v/>
      </c>
    </row>
    <row r="9487" spans="1:10" x14ac:dyDescent="0.25">
      <c r="A9487" t="s">
        <v>111</v>
      </c>
      <c r="B9487" t="str">
        <f>ADDRESS(ROW(Parcels!B759),COLUMN(Parcels!B759),4)</f>
        <v>B759</v>
      </c>
      <c r="C9487" t="str">
        <f>ADDRESS(ROW(Parcels!D759),COLUMN(Parcels!D759),4)</f>
        <v>D759</v>
      </c>
      <c r="D9487" t="b">
        <f>IF(AND(Parcels!$B$6="Yes",NOT(ISBLANK(Parcels!A759)),ISBLANK(Parcels!B759)),TRUE,FALSE)</f>
        <v>0</v>
      </c>
      <c r="E9487" t="s">
        <v>64</v>
      </c>
      <c r="F9487" t="str">
        <f>INDEX(Lists!I:I,MATCH(Validation!E9487,Lists!G:G,0))</f>
        <v>Error</v>
      </c>
      <c r="G9487" t="str">
        <f>INDEX(Lists!H:H,MATCH(Validation!E9487,Lists!G:G,0))</f>
        <v>You must make a selection from the dropdown list.</v>
      </c>
      <c r="H9487" s="25" t="str">
        <f t="shared" ca="1" si="1080"/>
        <v/>
      </c>
      <c r="I9487" s="25" t="str">
        <f t="shared" ca="1" si="1081"/>
        <v/>
      </c>
      <c r="J9487" s="26" t="str">
        <f t="shared" si="1082"/>
        <v/>
      </c>
    </row>
    <row r="9488" spans="1:10" x14ac:dyDescent="0.25">
      <c r="A9488" t="s">
        <v>111</v>
      </c>
      <c r="B9488" t="str">
        <f>ADDRESS(ROW(Parcels!B760),COLUMN(Parcels!B760),4)</f>
        <v>B760</v>
      </c>
      <c r="C9488" t="str">
        <f>ADDRESS(ROW(Parcels!D760),COLUMN(Parcels!D760),4)</f>
        <v>D760</v>
      </c>
      <c r="D9488" t="b">
        <f>IF(AND(Parcels!$B$6="Yes",NOT(ISBLANK(Parcels!A760)),ISBLANK(Parcels!B760)),TRUE,FALSE)</f>
        <v>0</v>
      </c>
      <c r="E9488" t="s">
        <v>64</v>
      </c>
      <c r="F9488" t="str">
        <f>INDEX(Lists!I:I,MATCH(Validation!E9488,Lists!G:G,0))</f>
        <v>Error</v>
      </c>
      <c r="G9488" t="str">
        <f>INDEX(Lists!H:H,MATCH(Validation!E9488,Lists!G:G,0))</f>
        <v>You must make a selection from the dropdown list.</v>
      </c>
      <c r="H9488" s="25" t="str">
        <f t="shared" ca="1" si="1080"/>
        <v/>
      </c>
      <c r="I9488" s="25" t="str">
        <f t="shared" ca="1" si="1081"/>
        <v/>
      </c>
      <c r="J9488" s="26" t="str">
        <f t="shared" si="1082"/>
        <v/>
      </c>
    </row>
    <row r="9489" spans="1:10" x14ac:dyDescent="0.25">
      <c r="A9489" t="s">
        <v>111</v>
      </c>
      <c r="B9489" t="str">
        <f>ADDRESS(ROW(Parcels!B761),COLUMN(Parcels!B761),4)</f>
        <v>B761</v>
      </c>
      <c r="C9489" t="str">
        <f>ADDRESS(ROW(Parcels!D761),COLUMN(Parcels!D761),4)</f>
        <v>D761</v>
      </c>
      <c r="D9489" t="b">
        <f>IF(AND(Parcels!$B$6="Yes",NOT(ISBLANK(Parcels!A761)),ISBLANK(Parcels!B761)),TRUE,FALSE)</f>
        <v>0</v>
      </c>
      <c r="E9489" t="s">
        <v>64</v>
      </c>
      <c r="F9489" t="str">
        <f>INDEX(Lists!I:I,MATCH(Validation!E9489,Lists!G:G,0))</f>
        <v>Error</v>
      </c>
      <c r="G9489" t="str">
        <f>INDEX(Lists!H:H,MATCH(Validation!E9489,Lists!G:G,0))</f>
        <v>You must make a selection from the dropdown list.</v>
      </c>
      <c r="H9489" s="25" t="str">
        <f t="shared" ca="1" si="1080"/>
        <v/>
      </c>
      <c r="I9489" s="25" t="str">
        <f t="shared" ca="1" si="1081"/>
        <v/>
      </c>
      <c r="J9489" s="26" t="str">
        <f t="shared" si="1082"/>
        <v/>
      </c>
    </row>
    <row r="9490" spans="1:10" x14ac:dyDescent="0.25">
      <c r="A9490" t="s">
        <v>111</v>
      </c>
      <c r="B9490" t="str">
        <f>ADDRESS(ROW(Parcels!B762),COLUMN(Parcels!B762),4)</f>
        <v>B762</v>
      </c>
      <c r="C9490" t="str">
        <f>ADDRESS(ROW(Parcels!D762),COLUMN(Parcels!D762),4)</f>
        <v>D762</v>
      </c>
      <c r="D9490" t="b">
        <f>IF(AND(Parcels!$B$6="Yes",NOT(ISBLANK(Parcels!A762)),ISBLANK(Parcels!B762)),TRUE,FALSE)</f>
        <v>0</v>
      </c>
      <c r="E9490" t="s">
        <v>64</v>
      </c>
      <c r="F9490" t="str">
        <f>INDEX(Lists!I:I,MATCH(Validation!E9490,Lists!G:G,0))</f>
        <v>Error</v>
      </c>
      <c r="G9490" t="str">
        <f>INDEX(Lists!H:H,MATCH(Validation!E9490,Lists!G:G,0))</f>
        <v>You must make a selection from the dropdown list.</v>
      </c>
      <c r="H9490" s="25" t="str">
        <f t="shared" ca="1" si="1080"/>
        <v/>
      </c>
      <c r="I9490" s="25" t="str">
        <f t="shared" ca="1" si="1081"/>
        <v/>
      </c>
      <c r="J9490" s="26" t="str">
        <f t="shared" si="1082"/>
        <v/>
      </c>
    </row>
    <row r="9491" spans="1:10" x14ac:dyDescent="0.25">
      <c r="A9491" t="s">
        <v>111</v>
      </c>
      <c r="B9491" t="str">
        <f>ADDRESS(ROW(Parcels!B763),COLUMN(Parcels!B763),4)</f>
        <v>B763</v>
      </c>
      <c r="C9491" t="str">
        <f>ADDRESS(ROW(Parcels!D763),COLUMN(Parcels!D763),4)</f>
        <v>D763</v>
      </c>
      <c r="D9491" t="b">
        <f>IF(AND(Parcels!$B$6="Yes",NOT(ISBLANK(Parcels!A763)),ISBLANK(Parcels!B763)),TRUE,FALSE)</f>
        <v>0</v>
      </c>
      <c r="E9491" t="s">
        <v>64</v>
      </c>
      <c r="F9491" t="str">
        <f>INDEX(Lists!I:I,MATCH(Validation!E9491,Lists!G:G,0))</f>
        <v>Error</v>
      </c>
      <c r="G9491" t="str">
        <f>INDEX(Lists!H:H,MATCH(Validation!E9491,Lists!G:G,0))</f>
        <v>You must make a selection from the dropdown list.</v>
      </c>
      <c r="H9491" s="25" t="str">
        <f t="shared" ca="1" si="1080"/>
        <v/>
      </c>
      <c r="I9491" s="25" t="str">
        <f t="shared" ca="1" si="1081"/>
        <v/>
      </c>
      <c r="J9491" s="26" t="str">
        <f t="shared" si="1082"/>
        <v/>
      </c>
    </row>
    <row r="9492" spans="1:10" x14ac:dyDescent="0.25">
      <c r="A9492" t="s">
        <v>111</v>
      </c>
      <c r="B9492" t="str">
        <f>ADDRESS(ROW(Parcels!B764),COLUMN(Parcels!B764),4)</f>
        <v>B764</v>
      </c>
      <c r="C9492" t="str">
        <f>ADDRESS(ROW(Parcels!D764),COLUMN(Parcels!D764),4)</f>
        <v>D764</v>
      </c>
      <c r="D9492" t="b">
        <f>IF(AND(Parcels!$B$6="Yes",NOT(ISBLANK(Parcels!A764)),ISBLANK(Parcels!B764)),TRUE,FALSE)</f>
        <v>0</v>
      </c>
      <c r="E9492" t="s">
        <v>64</v>
      </c>
      <c r="F9492" t="str">
        <f>INDEX(Lists!I:I,MATCH(Validation!E9492,Lists!G:G,0))</f>
        <v>Error</v>
      </c>
      <c r="G9492" t="str">
        <f>INDEX(Lists!H:H,MATCH(Validation!E9492,Lists!G:G,0))</f>
        <v>You must make a selection from the dropdown list.</v>
      </c>
      <c r="H9492" s="25" t="str">
        <f t="shared" ca="1" si="1080"/>
        <v/>
      </c>
      <c r="I9492" s="25" t="str">
        <f t="shared" ca="1" si="1081"/>
        <v/>
      </c>
      <c r="J9492" s="26" t="str">
        <f t="shared" si="1082"/>
        <v/>
      </c>
    </row>
    <row r="9493" spans="1:10" x14ac:dyDescent="0.25">
      <c r="A9493" t="s">
        <v>111</v>
      </c>
      <c r="B9493" t="str">
        <f>ADDRESS(ROW(Parcels!B765),COLUMN(Parcels!B765),4)</f>
        <v>B765</v>
      </c>
      <c r="C9493" t="str">
        <f>ADDRESS(ROW(Parcels!D765),COLUMN(Parcels!D765),4)</f>
        <v>D765</v>
      </c>
      <c r="D9493" t="b">
        <f>IF(AND(Parcels!$B$6="Yes",NOT(ISBLANK(Parcels!A765)),ISBLANK(Parcels!B765)),TRUE,FALSE)</f>
        <v>0</v>
      </c>
      <c r="E9493" t="s">
        <v>64</v>
      </c>
      <c r="F9493" t="str">
        <f>INDEX(Lists!I:I,MATCH(Validation!E9493,Lists!G:G,0))</f>
        <v>Error</v>
      </c>
      <c r="G9493" t="str">
        <f>INDEX(Lists!H:H,MATCH(Validation!E9493,Lists!G:G,0))</f>
        <v>You must make a selection from the dropdown list.</v>
      </c>
      <c r="H9493" s="25" t="str">
        <f t="shared" ca="1" si="1080"/>
        <v/>
      </c>
      <c r="I9493" s="25" t="str">
        <f t="shared" ca="1" si="1081"/>
        <v/>
      </c>
      <c r="J9493" s="26" t="str">
        <f t="shared" si="1082"/>
        <v/>
      </c>
    </row>
    <row r="9494" spans="1:10" x14ac:dyDescent="0.25">
      <c r="A9494" t="s">
        <v>111</v>
      </c>
      <c r="B9494" t="str">
        <f>ADDRESS(ROW(Parcels!B766),COLUMN(Parcels!B766),4)</f>
        <v>B766</v>
      </c>
      <c r="C9494" t="str">
        <f>ADDRESS(ROW(Parcels!D766),COLUMN(Parcels!D766),4)</f>
        <v>D766</v>
      </c>
      <c r="D9494" t="b">
        <f>IF(AND(Parcels!$B$6="Yes",NOT(ISBLANK(Parcels!A766)),ISBLANK(Parcels!B766)),TRUE,FALSE)</f>
        <v>0</v>
      </c>
      <c r="E9494" t="s">
        <v>64</v>
      </c>
      <c r="F9494" t="str">
        <f>INDEX(Lists!I:I,MATCH(Validation!E9494,Lists!G:G,0))</f>
        <v>Error</v>
      </c>
      <c r="G9494" t="str">
        <f>INDEX(Lists!H:H,MATCH(Validation!E9494,Lists!G:G,0))</f>
        <v>You must make a selection from the dropdown list.</v>
      </c>
      <c r="H9494" s="25" t="str">
        <f t="shared" ca="1" si="1080"/>
        <v/>
      </c>
      <c r="I9494" s="25" t="str">
        <f t="shared" ca="1" si="1081"/>
        <v/>
      </c>
      <c r="J9494" s="26" t="str">
        <f t="shared" si="1082"/>
        <v/>
      </c>
    </row>
    <row r="9495" spans="1:10" x14ac:dyDescent="0.25">
      <c r="A9495" t="s">
        <v>111</v>
      </c>
      <c r="B9495" t="str">
        <f>ADDRESS(ROW(Parcels!B767),COLUMN(Parcels!B767),4)</f>
        <v>B767</v>
      </c>
      <c r="C9495" t="str">
        <f>ADDRESS(ROW(Parcels!D767),COLUMN(Parcels!D767),4)</f>
        <v>D767</v>
      </c>
      <c r="D9495" t="b">
        <f>IF(AND(Parcels!$B$6="Yes",NOT(ISBLANK(Parcels!A767)),ISBLANK(Parcels!B767)),TRUE,FALSE)</f>
        <v>0</v>
      </c>
      <c r="E9495" t="s">
        <v>64</v>
      </c>
      <c r="F9495" t="str">
        <f>INDEX(Lists!I:I,MATCH(Validation!E9495,Lists!G:G,0))</f>
        <v>Error</v>
      </c>
      <c r="G9495" t="str">
        <f>INDEX(Lists!H:H,MATCH(Validation!E9495,Lists!G:G,0))</f>
        <v>You must make a selection from the dropdown list.</v>
      </c>
      <c r="H9495" s="25" t="str">
        <f t="shared" ca="1" si="1080"/>
        <v/>
      </c>
      <c r="I9495" s="25" t="str">
        <f t="shared" ca="1" si="1081"/>
        <v/>
      </c>
      <c r="J9495" s="26" t="str">
        <f t="shared" si="1082"/>
        <v/>
      </c>
    </row>
    <row r="9496" spans="1:10" x14ac:dyDescent="0.25">
      <c r="A9496" t="s">
        <v>111</v>
      </c>
      <c r="B9496" t="str">
        <f>ADDRESS(ROW(Parcels!B768),COLUMN(Parcels!B768),4)</f>
        <v>B768</v>
      </c>
      <c r="C9496" t="str">
        <f>ADDRESS(ROW(Parcels!D768),COLUMN(Parcels!D768),4)</f>
        <v>D768</v>
      </c>
      <c r="D9496" t="b">
        <f>IF(AND(Parcels!$B$6="Yes",NOT(ISBLANK(Parcels!A768)),ISBLANK(Parcels!B768)),TRUE,FALSE)</f>
        <v>0</v>
      </c>
      <c r="E9496" t="s">
        <v>64</v>
      </c>
      <c r="F9496" t="str">
        <f>INDEX(Lists!I:I,MATCH(Validation!E9496,Lists!G:G,0))</f>
        <v>Error</v>
      </c>
      <c r="G9496" t="str">
        <f>INDEX(Lists!H:H,MATCH(Validation!E9496,Lists!G:G,0))</f>
        <v>You must make a selection from the dropdown list.</v>
      </c>
      <c r="H9496" s="25" t="str">
        <f t="shared" ca="1" si="1080"/>
        <v/>
      </c>
      <c r="I9496" s="25" t="str">
        <f t="shared" ca="1" si="1081"/>
        <v/>
      </c>
      <c r="J9496" s="26" t="str">
        <f t="shared" si="1082"/>
        <v/>
      </c>
    </row>
    <row r="9497" spans="1:10" x14ac:dyDescent="0.25">
      <c r="A9497" t="s">
        <v>111</v>
      </c>
      <c r="B9497" t="str">
        <f>ADDRESS(ROW(Parcels!B769),COLUMN(Parcels!B769),4)</f>
        <v>B769</v>
      </c>
      <c r="C9497" t="str">
        <f>ADDRESS(ROW(Parcels!D769),COLUMN(Parcels!D769),4)</f>
        <v>D769</v>
      </c>
      <c r="D9497" t="b">
        <f>IF(AND(Parcels!$B$6="Yes",NOT(ISBLANK(Parcels!A769)),ISBLANK(Parcels!B769)),TRUE,FALSE)</f>
        <v>0</v>
      </c>
      <c r="E9497" t="s">
        <v>64</v>
      </c>
      <c r="F9497" t="str">
        <f>INDEX(Lists!I:I,MATCH(Validation!E9497,Lists!G:G,0))</f>
        <v>Error</v>
      </c>
      <c r="G9497" t="str">
        <f>INDEX(Lists!H:H,MATCH(Validation!E9497,Lists!G:G,0))</f>
        <v>You must make a selection from the dropdown list.</v>
      </c>
      <c r="H9497" s="25" t="str">
        <f t="shared" ca="1" si="1080"/>
        <v/>
      </c>
      <c r="I9497" s="25" t="str">
        <f t="shared" ca="1" si="1081"/>
        <v/>
      </c>
      <c r="J9497" s="26" t="str">
        <f t="shared" si="1082"/>
        <v/>
      </c>
    </row>
    <row r="9498" spans="1:10" x14ac:dyDescent="0.25">
      <c r="A9498" t="s">
        <v>111</v>
      </c>
      <c r="B9498" t="str">
        <f>ADDRESS(ROW(Parcels!B770),COLUMN(Parcels!B770),4)</f>
        <v>B770</v>
      </c>
      <c r="C9498" t="str">
        <f>ADDRESS(ROW(Parcels!D770),COLUMN(Parcels!D770),4)</f>
        <v>D770</v>
      </c>
      <c r="D9498" t="b">
        <f>IF(AND(Parcels!$B$6="Yes",NOT(ISBLANK(Parcels!A770)),ISBLANK(Parcels!B770)),TRUE,FALSE)</f>
        <v>0</v>
      </c>
      <c r="E9498" t="s">
        <v>64</v>
      </c>
      <c r="F9498" t="str">
        <f>INDEX(Lists!I:I,MATCH(Validation!E9498,Lists!G:G,0))</f>
        <v>Error</v>
      </c>
      <c r="G9498" t="str">
        <f>INDEX(Lists!H:H,MATCH(Validation!E9498,Lists!G:G,0))</f>
        <v>You must make a selection from the dropdown list.</v>
      </c>
      <c r="H9498" s="25" t="str">
        <f t="shared" ca="1" si="1080"/>
        <v/>
      </c>
      <c r="I9498" s="25" t="str">
        <f t="shared" ca="1" si="1081"/>
        <v/>
      </c>
      <c r="J9498" s="26" t="str">
        <f t="shared" si="1082"/>
        <v/>
      </c>
    </row>
    <row r="9499" spans="1:10" x14ac:dyDescent="0.25">
      <c r="A9499" t="s">
        <v>111</v>
      </c>
      <c r="B9499" t="str">
        <f>ADDRESS(ROW(Parcels!B771),COLUMN(Parcels!B771),4)</f>
        <v>B771</v>
      </c>
      <c r="C9499" t="str">
        <f>ADDRESS(ROW(Parcels!D771),COLUMN(Parcels!D771),4)</f>
        <v>D771</v>
      </c>
      <c r="D9499" t="b">
        <f>IF(AND(Parcels!$B$6="Yes",NOT(ISBLANK(Parcels!A771)),ISBLANK(Parcels!B771)),TRUE,FALSE)</f>
        <v>0</v>
      </c>
      <c r="E9499" t="s">
        <v>64</v>
      </c>
      <c r="F9499" t="str">
        <f>INDEX(Lists!I:I,MATCH(Validation!E9499,Lists!G:G,0))</f>
        <v>Error</v>
      </c>
      <c r="G9499" t="str">
        <f>INDEX(Lists!H:H,MATCH(Validation!E9499,Lists!G:G,0))</f>
        <v>You must make a selection from the dropdown list.</v>
      </c>
      <c r="H9499" s="25" t="str">
        <f t="shared" ca="1" si="1080"/>
        <v/>
      </c>
      <c r="I9499" s="25" t="str">
        <f t="shared" ca="1" si="1081"/>
        <v/>
      </c>
      <c r="J9499" s="26" t="str">
        <f t="shared" si="1082"/>
        <v/>
      </c>
    </row>
    <row r="9500" spans="1:10" x14ac:dyDescent="0.25">
      <c r="A9500" t="s">
        <v>111</v>
      </c>
      <c r="B9500" t="str">
        <f>ADDRESS(ROW(Parcels!B772),COLUMN(Parcels!B772),4)</f>
        <v>B772</v>
      </c>
      <c r="C9500" t="str">
        <f>ADDRESS(ROW(Parcels!D772),COLUMN(Parcels!D772),4)</f>
        <v>D772</v>
      </c>
      <c r="D9500" t="b">
        <f>IF(AND(Parcels!$B$6="Yes",NOT(ISBLANK(Parcels!A772)),ISBLANK(Parcels!B772)),TRUE,FALSE)</f>
        <v>0</v>
      </c>
      <c r="E9500" t="s">
        <v>64</v>
      </c>
      <c r="F9500" t="str">
        <f>INDEX(Lists!I:I,MATCH(Validation!E9500,Lists!G:G,0))</f>
        <v>Error</v>
      </c>
      <c r="G9500" t="str">
        <f>INDEX(Lists!H:H,MATCH(Validation!E9500,Lists!G:G,0))</f>
        <v>You must make a selection from the dropdown list.</v>
      </c>
      <c r="H9500" s="25" t="str">
        <f t="shared" ca="1" si="1080"/>
        <v/>
      </c>
      <c r="I9500" s="25" t="str">
        <f t="shared" ca="1" si="1081"/>
        <v/>
      </c>
      <c r="J9500" s="26" t="str">
        <f t="shared" si="1082"/>
        <v/>
      </c>
    </row>
    <row r="9501" spans="1:10" x14ac:dyDescent="0.25">
      <c r="A9501" t="s">
        <v>111</v>
      </c>
      <c r="B9501" t="str">
        <f>ADDRESS(ROW(Parcels!B773),COLUMN(Parcels!B773),4)</f>
        <v>B773</v>
      </c>
      <c r="C9501" t="str">
        <f>ADDRESS(ROW(Parcels!D773),COLUMN(Parcels!D773),4)</f>
        <v>D773</v>
      </c>
      <c r="D9501" t="b">
        <f>IF(AND(Parcels!$B$6="Yes",NOT(ISBLANK(Parcels!A773)),ISBLANK(Parcels!B773)),TRUE,FALSE)</f>
        <v>0</v>
      </c>
      <c r="E9501" t="s">
        <v>64</v>
      </c>
      <c r="F9501" t="str">
        <f>INDEX(Lists!I:I,MATCH(Validation!E9501,Lists!G:G,0))</f>
        <v>Error</v>
      </c>
      <c r="G9501" t="str">
        <f>INDEX(Lists!H:H,MATCH(Validation!E9501,Lists!G:G,0))</f>
        <v>You must make a selection from the dropdown list.</v>
      </c>
      <c r="H9501" s="25" t="str">
        <f t="shared" ca="1" si="1080"/>
        <v/>
      </c>
      <c r="I9501" s="25" t="str">
        <f t="shared" ca="1" si="1081"/>
        <v/>
      </c>
      <c r="J9501" s="26" t="str">
        <f t="shared" si="1082"/>
        <v/>
      </c>
    </row>
    <row r="9502" spans="1:10" x14ac:dyDescent="0.25">
      <c r="A9502" t="s">
        <v>111</v>
      </c>
      <c r="B9502" t="str">
        <f>ADDRESS(ROW(Parcels!B774),COLUMN(Parcels!B774),4)</f>
        <v>B774</v>
      </c>
      <c r="C9502" t="str">
        <f>ADDRESS(ROW(Parcels!D774),COLUMN(Parcels!D774),4)</f>
        <v>D774</v>
      </c>
      <c r="D9502" t="b">
        <f>IF(AND(Parcels!$B$6="Yes",NOT(ISBLANK(Parcels!A774)),ISBLANK(Parcels!B774)),TRUE,FALSE)</f>
        <v>0</v>
      </c>
      <c r="E9502" t="s">
        <v>64</v>
      </c>
      <c r="F9502" t="str">
        <f>INDEX(Lists!I:I,MATCH(Validation!E9502,Lists!G:G,0))</f>
        <v>Error</v>
      </c>
      <c r="G9502" t="str">
        <f>INDEX(Lists!H:H,MATCH(Validation!E9502,Lists!G:G,0))</f>
        <v>You must make a selection from the dropdown list.</v>
      </c>
      <c r="H9502" s="25" t="str">
        <f t="shared" ca="1" si="1080"/>
        <v/>
      </c>
      <c r="I9502" s="25" t="str">
        <f t="shared" ca="1" si="1081"/>
        <v/>
      </c>
      <c r="J9502" s="26" t="str">
        <f t="shared" si="1082"/>
        <v/>
      </c>
    </row>
    <row r="9503" spans="1:10" x14ac:dyDescent="0.25">
      <c r="A9503" t="s">
        <v>111</v>
      </c>
      <c r="B9503" t="str">
        <f>ADDRESS(ROW(Parcels!B775),COLUMN(Parcels!B775),4)</f>
        <v>B775</v>
      </c>
      <c r="C9503" t="str">
        <f>ADDRESS(ROW(Parcels!D775),COLUMN(Parcels!D775),4)</f>
        <v>D775</v>
      </c>
      <c r="D9503" t="b">
        <f>IF(AND(Parcels!$B$6="Yes",NOT(ISBLANK(Parcels!A775)),ISBLANK(Parcels!B775)),TRUE,FALSE)</f>
        <v>0</v>
      </c>
      <c r="E9503" t="s">
        <v>64</v>
      </c>
      <c r="F9503" t="str">
        <f>INDEX(Lists!I:I,MATCH(Validation!E9503,Lists!G:G,0))</f>
        <v>Error</v>
      </c>
      <c r="G9503" t="str">
        <f>INDEX(Lists!H:H,MATCH(Validation!E9503,Lists!G:G,0))</f>
        <v>You must make a selection from the dropdown list.</v>
      </c>
      <c r="H9503" s="25" t="str">
        <f t="shared" ca="1" si="1080"/>
        <v/>
      </c>
      <c r="I9503" s="25" t="str">
        <f t="shared" ca="1" si="1081"/>
        <v/>
      </c>
      <c r="J9503" s="26" t="str">
        <f t="shared" si="1082"/>
        <v/>
      </c>
    </row>
    <row r="9504" spans="1:10" x14ac:dyDescent="0.25">
      <c r="A9504" t="s">
        <v>111</v>
      </c>
      <c r="B9504" t="str">
        <f>ADDRESS(ROW(Parcels!B776),COLUMN(Parcels!B776),4)</f>
        <v>B776</v>
      </c>
      <c r="C9504" t="str">
        <f>ADDRESS(ROW(Parcels!D776),COLUMN(Parcels!D776),4)</f>
        <v>D776</v>
      </c>
      <c r="D9504" t="b">
        <f>IF(AND(Parcels!$B$6="Yes",NOT(ISBLANK(Parcels!A776)),ISBLANK(Parcels!B776)),TRUE,FALSE)</f>
        <v>0</v>
      </c>
      <c r="E9504" t="s">
        <v>64</v>
      </c>
      <c r="F9504" t="str">
        <f>INDEX(Lists!I:I,MATCH(Validation!E9504,Lists!G:G,0))</f>
        <v>Error</v>
      </c>
      <c r="G9504" t="str">
        <f>INDEX(Lists!H:H,MATCH(Validation!E9504,Lists!G:G,0))</f>
        <v>You must make a selection from the dropdown list.</v>
      </c>
      <c r="H9504" s="25" t="str">
        <f t="shared" ref="H9504:H9567" ca="1" si="1083">IFERROR(IF(OR(NOT(D9504),F9504&lt;&gt;"Error"),"",A9504&amp;CELL("address",INDIRECT(B9504))),"")</f>
        <v/>
      </c>
      <c r="I9504" s="25" t="str">
        <f t="shared" ref="I9504:I9567" ca="1" si="1084">IFERROR(IF(NOT(D9504),"",A9504&amp;CELL("address",INDIRECT(C9504))),"")</f>
        <v/>
      </c>
      <c r="J9504" s="26" t="str">
        <f t="shared" ref="J9504:J9567" si="1085">IFERROR(IF(NOT(D9504),"",A9504),"")</f>
        <v/>
      </c>
    </row>
    <row r="9505" spans="1:10" x14ac:dyDescent="0.25">
      <c r="A9505" t="s">
        <v>111</v>
      </c>
      <c r="B9505" t="str">
        <f>ADDRESS(ROW(Parcels!B777),COLUMN(Parcels!B777),4)</f>
        <v>B777</v>
      </c>
      <c r="C9505" t="str">
        <f>ADDRESS(ROW(Parcels!D777),COLUMN(Parcels!D777),4)</f>
        <v>D777</v>
      </c>
      <c r="D9505" t="b">
        <f>IF(AND(Parcels!$B$6="Yes",NOT(ISBLANK(Parcels!A777)),ISBLANK(Parcels!B777)),TRUE,FALSE)</f>
        <v>0</v>
      </c>
      <c r="E9505" t="s">
        <v>64</v>
      </c>
      <c r="F9505" t="str">
        <f>INDEX(Lists!I:I,MATCH(Validation!E9505,Lists!G:G,0))</f>
        <v>Error</v>
      </c>
      <c r="G9505" t="str">
        <f>INDEX(Lists!H:H,MATCH(Validation!E9505,Lists!G:G,0))</f>
        <v>You must make a selection from the dropdown list.</v>
      </c>
      <c r="H9505" s="25" t="str">
        <f t="shared" ca="1" si="1083"/>
        <v/>
      </c>
      <c r="I9505" s="25" t="str">
        <f t="shared" ca="1" si="1084"/>
        <v/>
      </c>
      <c r="J9505" s="26" t="str">
        <f t="shared" si="1085"/>
        <v/>
      </c>
    </row>
    <row r="9506" spans="1:10" x14ac:dyDescent="0.25">
      <c r="A9506" t="s">
        <v>111</v>
      </c>
      <c r="B9506" t="str">
        <f>ADDRESS(ROW(Parcels!B778),COLUMN(Parcels!B778),4)</f>
        <v>B778</v>
      </c>
      <c r="C9506" t="str">
        <f>ADDRESS(ROW(Parcels!D778),COLUMN(Parcels!D778),4)</f>
        <v>D778</v>
      </c>
      <c r="D9506" t="b">
        <f>IF(AND(Parcels!$B$6="Yes",NOT(ISBLANK(Parcels!A778)),ISBLANK(Parcels!B778)),TRUE,FALSE)</f>
        <v>0</v>
      </c>
      <c r="E9506" t="s">
        <v>64</v>
      </c>
      <c r="F9506" t="str">
        <f>INDEX(Lists!I:I,MATCH(Validation!E9506,Lists!G:G,0))</f>
        <v>Error</v>
      </c>
      <c r="G9506" t="str">
        <f>INDEX(Lists!H:H,MATCH(Validation!E9506,Lists!G:G,0))</f>
        <v>You must make a selection from the dropdown list.</v>
      </c>
      <c r="H9506" s="25" t="str">
        <f t="shared" ca="1" si="1083"/>
        <v/>
      </c>
      <c r="I9506" s="25" t="str">
        <f t="shared" ca="1" si="1084"/>
        <v/>
      </c>
      <c r="J9506" s="26" t="str">
        <f t="shared" si="1085"/>
        <v/>
      </c>
    </row>
    <row r="9507" spans="1:10" x14ac:dyDescent="0.25">
      <c r="A9507" t="s">
        <v>111</v>
      </c>
      <c r="B9507" t="str">
        <f>ADDRESS(ROW(Parcels!B779),COLUMN(Parcels!B779),4)</f>
        <v>B779</v>
      </c>
      <c r="C9507" t="str">
        <f>ADDRESS(ROW(Parcels!D779),COLUMN(Parcels!D779),4)</f>
        <v>D779</v>
      </c>
      <c r="D9507" t="b">
        <f>IF(AND(Parcels!$B$6="Yes",NOT(ISBLANK(Parcels!A779)),ISBLANK(Parcels!B779)),TRUE,FALSE)</f>
        <v>0</v>
      </c>
      <c r="E9507" t="s">
        <v>64</v>
      </c>
      <c r="F9507" t="str">
        <f>INDEX(Lists!I:I,MATCH(Validation!E9507,Lists!G:G,0))</f>
        <v>Error</v>
      </c>
      <c r="G9507" t="str">
        <f>INDEX(Lists!H:H,MATCH(Validation!E9507,Lists!G:G,0))</f>
        <v>You must make a selection from the dropdown list.</v>
      </c>
      <c r="H9507" s="25" t="str">
        <f t="shared" ca="1" si="1083"/>
        <v/>
      </c>
      <c r="I9507" s="25" t="str">
        <f t="shared" ca="1" si="1084"/>
        <v/>
      </c>
      <c r="J9507" s="26" t="str">
        <f t="shared" si="1085"/>
        <v/>
      </c>
    </row>
    <row r="9508" spans="1:10" x14ac:dyDescent="0.25">
      <c r="A9508" t="s">
        <v>111</v>
      </c>
      <c r="B9508" t="str">
        <f>ADDRESS(ROW(Parcels!B780),COLUMN(Parcels!B780),4)</f>
        <v>B780</v>
      </c>
      <c r="C9508" t="str">
        <f>ADDRESS(ROW(Parcels!D780),COLUMN(Parcels!D780),4)</f>
        <v>D780</v>
      </c>
      <c r="D9508" t="b">
        <f>IF(AND(Parcels!$B$6="Yes",NOT(ISBLANK(Parcels!A780)),ISBLANK(Parcels!B780)),TRUE,FALSE)</f>
        <v>0</v>
      </c>
      <c r="E9508" t="s">
        <v>64</v>
      </c>
      <c r="F9508" t="str">
        <f>INDEX(Lists!I:I,MATCH(Validation!E9508,Lists!G:G,0))</f>
        <v>Error</v>
      </c>
      <c r="G9508" t="str">
        <f>INDEX(Lists!H:H,MATCH(Validation!E9508,Lists!G:G,0))</f>
        <v>You must make a selection from the dropdown list.</v>
      </c>
      <c r="H9508" s="25" t="str">
        <f t="shared" ca="1" si="1083"/>
        <v/>
      </c>
      <c r="I9508" s="25" t="str">
        <f t="shared" ca="1" si="1084"/>
        <v/>
      </c>
      <c r="J9508" s="26" t="str">
        <f t="shared" si="1085"/>
        <v/>
      </c>
    </row>
    <row r="9509" spans="1:10" x14ac:dyDescent="0.25">
      <c r="A9509" t="s">
        <v>111</v>
      </c>
      <c r="B9509" t="str">
        <f>ADDRESS(ROW(Parcels!B781),COLUMN(Parcels!B781),4)</f>
        <v>B781</v>
      </c>
      <c r="C9509" t="str">
        <f>ADDRESS(ROW(Parcels!D781),COLUMN(Parcels!D781),4)</f>
        <v>D781</v>
      </c>
      <c r="D9509" t="b">
        <f>IF(AND(Parcels!$B$6="Yes",NOT(ISBLANK(Parcels!A781)),ISBLANK(Parcels!B781)),TRUE,FALSE)</f>
        <v>0</v>
      </c>
      <c r="E9509" t="s">
        <v>64</v>
      </c>
      <c r="F9509" t="str">
        <f>INDEX(Lists!I:I,MATCH(Validation!E9509,Lists!G:G,0))</f>
        <v>Error</v>
      </c>
      <c r="G9509" t="str">
        <f>INDEX(Lists!H:H,MATCH(Validation!E9509,Lists!G:G,0))</f>
        <v>You must make a selection from the dropdown list.</v>
      </c>
      <c r="H9509" s="25" t="str">
        <f t="shared" ca="1" si="1083"/>
        <v/>
      </c>
      <c r="I9509" s="25" t="str">
        <f t="shared" ca="1" si="1084"/>
        <v/>
      </c>
      <c r="J9509" s="26" t="str">
        <f t="shared" si="1085"/>
        <v/>
      </c>
    </row>
    <row r="9510" spans="1:10" x14ac:dyDescent="0.25">
      <c r="A9510" t="s">
        <v>111</v>
      </c>
      <c r="B9510" t="str">
        <f>ADDRESS(ROW(Parcels!B782),COLUMN(Parcels!B782),4)</f>
        <v>B782</v>
      </c>
      <c r="C9510" t="str">
        <f>ADDRESS(ROW(Parcels!D782),COLUMN(Parcels!D782),4)</f>
        <v>D782</v>
      </c>
      <c r="D9510" t="b">
        <f>IF(AND(Parcels!$B$6="Yes",NOT(ISBLANK(Parcels!A782)),ISBLANK(Parcels!B782)),TRUE,FALSE)</f>
        <v>0</v>
      </c>
      <c r="E9510" t="s">
        <v>64</v>
      </c>
      <c r="F9510" t="str">
        <f>INDEX(Lists!I:I,MATCH(Validation!E9510,Lists!G:G,0))</f>
        <v>Error</v>
      </c>
      <c r="G9510" t="str">
        <f>INDEX(Lists!H:H,MATCH(Validation!E9510,Lists!G:G,0))</f>
        <v>You must make a selection from the dropdown list.</v>
      </c>
      <c r="H9510" s="25" t="str">
        <f t="shared" ca="1" si="1083"/>
        <v/>
      </c>
      <c r="I9510" s="25" t="str">
        <f t="shared" ca="1" si="1084"/>
        <v/>
      </c>
      <c r="J9510" s="26" t="str">
        <f t="shared" si="1085"/>
        <v/>
      </c>
    </row>
    <row r="9511" spans="1:10" x14ac:dyDescent="0.25">
      <c r="A9511" t="s">
        <v>111</v>
      </c>
      <c r="B9511" t="str">
        <f>ADDRESS(ROW(Parcels!B783),COLUMN(Parcels!B783),4)</f>
        <v>B783</v>
      </c>
      <c r="C9511" t="str">
        <f>ADDRESS(ROW(Parcels!D783),COLUMN(Parcels!D783),4)</f>
        <v>D783</v>
      </c>
      <c r="D9511" t="b">
        <f>IF(AND(Parcels!$B$6="Yes",NOT(ISBLANK(Parcels!A783)),ISBLANK(Parcels!B783)),TRUE,FALSE)</f>
        <v>0</v>
      </c>
      <c r="E9511" t="s">
        <v>64</v>
      </c>
      <c r="F9511" t="str">
        <f>INDEX(Lists!I:I,MATCH(Validation!E9511,Lists!G:G,0))</f>
        <v>Error</v>
      </c>
      <c r="G9511" t="str">
        <f>INDEX(Lists!H:H,MATCH(Validation!E9511,Lists!G:G,0))</f>
        <v>You must make a selection from the dropdown list.</v>
      </c>
      <c r="H9511" s="25" t="str">
        <f t="shared" ca="1" si="1083"/>
        <v/>
      </c>
      <c r="I9511" s="25" t="str">
        <f t="shared" ca="1" si="1084"/>
        <v/>
      </c>
      <c r="J9511" s="26" t="str">
        <f t="shared" si="1085"/>
        <v/>
      </c>
    </row>
    <row r="9512" spans="1:10" x14ac:dyDescent="0.25">
      <c r="A9512" t="s">
        <v>111</v>
      </c>
      <c r="B9512" t="str">
        <f>ADDRESS(ROW(Parcels!B784),COLUMN(Parcels!B784),4)</f>
        <v>B784</v>
      </c>
      <c r="C9512" t="str">
        <f>ADDRESS(ROW(Parcels!D784),COLUMN(Parcels!D784),4)</f>
        <v>D784</v>
      </c>
      <c r="D9512" t="b">
        <f>IF(AND(Parcels!$B$6="Yes",NOT(ISBLANK(Parcels!A784)),ISBLANK(Parcels!B784)),TRUE,FALSE)</f>
        <v>0</v>
      </c>
      <c r="E9512" t="s">
        <v>64</v>
      </c>
      <c r="F9512" t="str">
        <f>INDEX(Lists!I:I,MATCH(Validation!E9512,Lists!G:G,0))</f>
        <v>Error</v>
      </c>
      <c r="G9512" t="str">
        <f>INDEX(Lists!H:H,MATCH(Validation!E9512,Lists!G:G,0))</f>
        <v>You must make a selection from the dropdown list.</v>
      </c>
      <c r="H9512" s="25" t="str">
        <f t="shared" ca="1" si="1083"/>
        <v/>
      </c>
      <c r="I9512" s="25" t="str">
        <f t="shared" ca="1" si="1084"/>
        <v/>
      </c>
      <c r="J9512" s="26" t="str">
        <f t="shared" si="1085"/>
        <v/>
      </c>
    </row>
    <row r="9513" spans="1:10" x14ac:dyDescent="0.25">
      <c r="A9513" t="s">
        <v>111</v>
      </c>
      <c r="B9513" t="str">
        <f>ADDRESS(ROW(Parcels!B785),COLUMN(Parcels!B785),4)</f>
        <v>B785</v>
      </c>
      <c r="C9513" t="str">
        <f>ADDRESS(ROW(Parcels!D785),COLUMN(Parcels!D785),4)</f>
        <v>D785</v>
      </c>
      <c r="D9513" t="b">
        <f>IF(AND(Parcels!$B$6="Yes",NOT(ISBLANK(Parcels!A785)),ISBLANK(Parcels!B785)),TRUE,FALSE)</f>
        <v>0</v>
      </c>
      <c r="E9513" t="s">
        <v>64</v>
      </c>
      <c r="F9513" t="str">
        <f>INDEX(Lists!I:I,MATCH(Validation!E9513,Lists!G:G,0))</f>
        <v>Error</v>
      </c>
      <c r="G9513" t="str">
        <f>INDEX(Lists!H:H,MATCH(Validation!E9513,Lists!G:G,0))</f>
        <v>You must make a selection from the dropdown list.</v>
      </c>
      <c r="H9513" s="25" t="str">
        <f t="shared" ca="1" si="1083"/>
        <v/>
      </c>
      <c r="I9513" s="25" t="str">
        <f t="shared" ca="1" si="1084"/>
        <v/>
      </c>
      <c r="J9513" s="26" t="str">
        <f t="shared" si="1085"/>
        <v/>
      </c>
    </row>
    <row r="9514" spans="1:10" x14ac:dyDescent="0.25">
      <c r="A9514" t="s">
        <v>111</v>
      </c>
      <c r="B9514" t="str">
        <f>ADDRESS(ROW(Parcels!B786),COLUMN(Parcels!B786),4)</f>
        <v>B786</v>
      </c>
      <c r="C9514" t="str">
        <f>ADDRESS(ROW(Parcels!D786),COLUMN(Parcels!D786),4)</f>
        <v>D786</v>
      </c>
      <c r="D9514" t="b">
        <f>IF(AND(Parcels!$B$6="Yes",NOT(ISBLANK(Parcels!A786)),ISBLANK(Parcels!B786)),TRUE,FALSE)</f>
        <v>0</v>
      </c>
      <c r="E9514" t="s">
        <v>64</v>
      </c>
      <c r="F9514" t="str">
        <f>INDEX(Lists!I:I,MATCH(Validation!E9514,Lists!G:G,0))</f>
        <v>Error</v>
      </c>
      <c r="G9514" t="str">
        <f>INDEX(Lists!H:H,MATCH(Validation!E9514,Lists!G:G,0))</f>
        <v>You must make a selection from the dropdown list.</v>
      </c>
      <c r="H9514" s="25" t="str">
        <f t="shared" ca="1" si="1083"/>
        <v/>
      </c>
      <c r="I9514" s="25" t="str">
        <f t="shared" ca="1" si="1084"/>
        <v/>
      </c>
      <c r="J9514" s="26" t="str">
        <f t="shared" si="1085"/>
        <v/>
      </c>
    </row>
    <row r="9515" spans="1:10" x14ac:dyDescent="0.25">
      <c r="A9515" t="s">
        <v>111</v>
      </c>
      <c r="B9515" t="str">
        <f>ADDRESS(ROW(Parcels!B787),COLUMN(Parcels!B787),4)</f>
        <v>B787</v>
      </c>
      <c r="C9515" t="str">
        <f>ADDRESS(ROW(Parcels!D787),COLUMN(Parcels!D787),4)</f>
        <v>D787</v>
      </c>
      <c r="D9515" t="b">
        <f>IF(AND(Parcels!$B$6="Yes",NOT(ISBLANK(Parcels!A787)),ISBLANK(Parcels!B787)),TRUE,FALSE)</f>
        <v>0</v>
      </c>
      <c r="E9515" t="s">
        <v>64</v>
      </c>
      <c r="F9515" t="str">
        <f>INDEX(Lists!I:I,MATCH(Validation!E9515,Lists!G:G,0))</f>
        <v>Error</v>
      </c>
      <c r="G9515" t="str">
        <f>INDEX(Lists!H:H,MATCH(Validation!E9515,Lists!G:G,0))</f>
        <v>You must make a selection from the dropdown list.</v>
      </c>
      <c r="H9515" s="25" t="str">
        <f t="shared" ca="1" si="1083"/>
        <v/>
      </c>
      <c r="I9515" s="25" t="str">
        <f t="shared" ca="1" si="1084"/>
        <v/>
      </c>
      <c r="J9515" s="26" t="str">
        <f t="shared" si="1085"/>
        <v/>
      </c>
    </row>
    <row r="9516" spans="1:10" x14ac:dyDescent="0.25">
      <c r="A9516" t="s">
        <v>111</v>
      </c>
      <c r="B9516" t="str">
        <f>ADDRESS(ROW(Parcels!B788),COLUMN(Parcels!B788),4)</f>
        <v>B788</v>
      </c>
      <c r="C9516" t="str">
        <f>ADDRESS(ROW(Parcels!D788),COLUMN(Parcels!D788),4)</f>
        <v>D788</v>
      </c>
      <c r="D9516" t="b">
        <f>IF(AND(Parcels!$B$6="Yes",NOT(ISBLANK(Parcels!A788)),ISBLANK(Parcels!B788)),TRUE,FALSE)</f>
        <v>0</v>
      </c>
      <c r="E9516" t="s">
        <v>64</v>
      </c>
      <c r="F9516" t="str">
        <f>INDEX(Lists!I:I,MATCH(Validation!E9516,Lists!G:G,0))</f>
        <v>Error</v>
      </c>
      <c r="G9516" t="str">
        <f>INDEX(Lists!H:H,MATCH(Validation!E9516,Lists!G:G,0))</f>
        <v>You must make a selection from the dropdown list.</v>
      </c>
      <c r="H9516" s="25" t="str">
        <f t="shared" ca="1" si="1083"/>
        <v/>
      </c>
      <c r="I9516" s="25" t="str">
        <f t="shared" ca="1" si="1084"/>
        <v/>
      </c>
      <c r="J9516" s="26" t="str">
        <f t="shared" si="1085"/>
        <v/>
      </c>
    </row>
    <row r="9517" spans="1:10" x14ac:dyDescent="0.25">
      <c r="A9517" t="s">
        <v>111</v>
      </c>
      <c r="B9517" t="str">
        <f>ADDRESS(ROW(Parcels!B789),COLUMN(Parcels!B789),4)</f>
        <v>B789</v>
      </c>
      <c r="C9517" t="str">
        <f>ADDRESS(ROW(Parcels!D789),COLUMN(Parcels!D789),4)</f>
        <v>D789</v>
      </c>
      <c r="D9517" t="b">
        <f>IF(AND(Parcels!$B$6="Yes",NOT(ISBLANK(Parcels!A789)),ISBLANK(Parcels!B789)),TRUE,FALSE)</f>
        <v>0</v>
      </c>
      <c r="E9517" t="s">
        <v>64</v>
      </c>
      <c r="F9517" t="str">
        <f>INDEX(Lists!I:I,MATCH(Validation!E9517,Lists!G:G,0))</f>
        <v>Error</v>
      </c>
      <c r="G9517" t="str">
        <f>INDEX(Lists!H:H,MATCH(Validation!E9517,Lists!G:G,0))</f>
        <v>You must make a selection from the dropdown list.</v>
      </c>
      <c r="H9517" s="25" t="str">
        <f t="shared" ca="1" si="1083"/>
        <v/>
      </c>
      <c r="I9517" s="25" t="str">
        <f t="shared" ca="1" si="1084"/>
        <v/>
      </c>
      <c r="J9517" s="26" t="str">
        <f t="shared" si="1085"/>
        <v/>
      </c>
    </row>
    <row r="9518" spans="1:10" x14ac:dyDescent="0.25">
      <c r="A9518" t="s">
        <v>111</v>
      </c>
      <c r="B9518" t="str">
        <f>ADDRESS(ROW(Parcels!B790),COLUMN(Parcels!B790),4)</f>
        <v>B790</v>
      </c>
      <c r="C9518" t="str">
        <f>ADDRESS(ROW(Parcels!D790),COLUMN(Parcels!D790),4)</f>
        <v>D790</v>
      </c>
      <c r="D9518" t="b">
        <f>IF(AND(Parcels!$B$6="Yes",NOT(ISBLANK(Parcels!A790)),ISBLANK(Parcels!B790)),TRUE,FALSE)</f>
        <v>0</v>
      </c>
      <c r="E9518" t="s">
        <v>64</v>
      </c>
      <c r="F9518" t="str">
        <f>INDEX(Lists!I:I,MATCH(Validation!E9518,Lists!G:G,0))</f>
        <v>Error</v>
      </c>
      <c r="G9518" t="str">
        <f>INDEX(Lists!H:H,MATCH(Validation!E9518,Lists!G:G,0))</f>
        <v>You must make a selection from the dropdown list.</v>
      </c>
      <c r="H9518" s="25" t="str">
        <f t="shared" ca="1" si="1083"/>
        <v/>
      </c>
      <c r="I9518" s="25" t="str">
        <f t="shared" ca="1" si="1084"/>
        <v/>
      </c>
      <c r="J9518" s="26" t="str">
        <f t="shared" si="1085"/>
        <v/>
      </c>
    </row>
    <row r="9519" spans="1:10" x14ac:dyDescent="0.25">
      <c r="A9519" t="s">
        <v>111</v>
      </c>
      <c r="B9519" t="str">
        <f>ADDRESS(ROW(Parcels!B791),COLUMN(Parcels!B791),4)</f>
        <v>B791</v>
      </c>
      <c r="C9519" t="str">
        <f>ADDRESS(ROW(Parcels!D791),COLUMN(Parcels!D791),4)</f>
        <v>D791</v>
      </c>
      <c r="D9519" t="b">
        <f>IF(AND(Parcels!$B$6="Yes",NOT(ISBLANK(Parcels!A791)),ISBLANK(Parcels!B791)),TRUE,FALSE)</f>
        <v>0</v>
      </c>
      <c r="E9519" t="s">
        <v>64</v>
      </c>
      <c r="F9519" t="str">
        <f>INDEX(Lists!I:I,MATCH(Validation!E9519,Lists!G:G,0))</f>
        <v>Error</v>
      </c>
      <c r="G9519" t="str">
        <f>INDEX(Lists!H:H,MATCH(Validation!E9519,Lists!G:G,0))</f>
        <v>You must make a selection from the dropdown list.</v>
      </c>
      <c r="H9519" s="25" t="str">
        <f t="shared" ca="1" si="1083"/>
        <v/>
      </c>
      <c r="I9519" s="25" t="str">
        <f t="shared" ca="1" si="1084"/>
        <v/>
      </c>
      <c r="J9519" s="26" t="str">
        <f t="shared" si="1085"/>
        <v/>
      </c>
    </row>
    <row r="9520" spans="1:10" x14ac:dyDescent="0.25">
      <c r="A9520" t="s">
        <v>111</v>
      </c>
      <c r="B9520" t="str">
        <f>ADDRESS(ROW(Parcels!B792),COLUMN(Parcels!B792),4)</f>
        <v>B792</v>
      </c>
      <c r="C9520" t="str">
        <f>ADDRESS(ROW(Parcels!D792),COLUMN(Parcels!D792),4)</f>
        <v>D792</v>
      </c>
      <c r="D9520" t="b">
        <f>IF(AND(Parcels!$B$6="Yes",NOT(ISBLANK(Parcels!A792)),ISBLANK(Parcels!B792)),TRUE,FALSE)</f>
        <v>0</v>
      </c>
      <c r="E9520" t="s">
        <v>64</v>
      </c>
      <c r="F9520" t="str">
        <f>INDEX(Lists!I:I,MATCH(Validation!E9520,Lists!G:G,0))</f>
        <v>Error</v>
      </c>
      <c r="G9520" t="str">
        <f>INDEX(Lists!H:H,MATCH(Validation!E9520,Lists!G:G,0))</f>
        <v>You must make a selection from the dropdown list.</v>
      </c>
      <c r="H9520" s="25" t="str">
        <f t="shared" ca="1" si="1083"/>
        <v/>
      </c>
      <c r="I9520" s="25" t="str">
        <f t="shared" ca="1" si="1084"/>
        <v/>
      </c>
      <c r="J9520" s="26" t="str">
        <f t="shared" si="1085"/>
        <v/>
      </c>
    </row>
    <row r="9521" spans="1:10" x14ac:dyDescent="0.25">
      <c r="A9521" t="s">
        <v>111</v>
      </c>
      <c r="B9521" t="str">
        <f>ADDRESS(ROW(Parcels!B793),COLUMN(Parcels!B793),4)</f>
        <v>B793</v>
      </c>
      <c r="C9521" t="str">
        <f>ADDRESS(ROW(Parcels!D793),COLUMN(Parcels!D793),4)</f>
        <v>D793</v>
      </c>
      <c r="D9521" t="b">
        <f>IF(AND(Parcels!$B$6="Yes",NOT(ISBLANK(Parcels!A793)),ISBLANK(Parcels!B793)),TRUE,FALSE)</f>
        <v>0</v>
      </c>
      <c r="E9521" t="s">
        <v>64</v>
      </c>
      <c r="F9521" t="str">
        <f>INDEX(Lists!I:I,MATCH(Validation!E9521,Lists!G:G,0))</f>
        <v>Error</v>
      </c>
      <c r="G9521" t="str">
        <f>INDEX(Lists!H:H,MATCH(Validation!E9521,Lists!G:G,0))</f>
        <v>You must make a selection from the dropdown list.</v>
      </c>
      <c r="H9521" s="25" t="str">
        <f t="shared" ca="1" si="1083"/>
        <v/>
      </c>
      <c r="I9521" s="25" t="str">
        <f t="shared" ca="1" si="1084"/>
        <v/>
      </c>
      <c r="J9521" s="26" t="str">
        <f t="shared" si="1085"/>
        <v/>
      </c>
    </row>
    <row r="9522" spans="1:10" x14ac:dyDescent="0.25">
      <c r="A9522" t="s">
        <v>111</v>
      </c>
      <c r="B9522" t="str">
        <f>ADDRESS(ROW(Parcels!B794),COLUMN(Parcels!B794),4)</f>
        <v>B794</v>
      </c>
      <c r="C9522" t="str">
        <f>ADDRESS(ROW(Parcels!D794),COLUMN(Parcels!D794),4)</f>
        <v>D794</v>
      </c>
      <c r="D9522" t="b">
        <f>IF(AND(Parcels!$B$6="Yes",NOT(ISBLANK(Parcels!A794)),ISBLANK(Parcels!B794)),TRUE,FALSE)</f>
        <v>0</v>
      </c>
      <c r="E9522" t="s">
        <v>64</v>
      </c>
      <c r="F9522" t="str">
        <f>INDEX(Lists!I:I,MATCH(Validation!E9522,Lists!G:G,0))</f>
        <v>Error</v>
      </c>
      <c r="G9522" t="str">
        <f>INDEX(Lists!H:H,MATCH(Validation!E9522,Lists!G:G,0))</f>
        <v>You must make a selection from the dropdown list.</v>
      </c>
      <c r="H9522" s="25" t="str">
        <f t="shared" ca="1" si="1083"/>
        <v/>
      </c>
      <c r="I9522" s="25" t="str">
        <f t="shared" ca="1" si="1084"/>
        <v/>
      </c>
      <c r="J9522" s="26" t="str">
        <f t="shared" si="1085"/>
        <v/>
      </c>
    </row>
    <row r="9523" spans="1:10" x14ac:dyDescent="0.25">
      <c r="A9523" t="s">
        <v>111</v>
      </c>
      <c r="B9523" t="str">
        <f>ADDRESS(ROW(Parcels!B795),COLUMN(Parcels!B795),4)</f>
        <v>B795</v>
      </c>
      <c r="C9523" t="str">
        <f>ADDRESS(ROW(Parcels!D795),COLUMN(Parcels!D795),4)</f>
        <v>D795</v>
      </c>
      <c r="D9523" t="b">
        <f>IF(AND(Parcels!$B$6="Yes",NOT(ISBLANK(Parcels!A795)),ISBLANK(Parcels!B795)),TRUE,FALSE)</f>
        <v>0</v>
      </c>
      <c r="E9523" t="s">
        <v>64</v>
      </c>
      <c r="F9523" t="str">
        <f>INDEX(Lists!I:I,MATCH(Validation!E9523,Lists!G:G,0))</f>
        <v>Error</v>
      </c>
      <c r="G9523" t="str">
        <f>INDEX(Lists!H:H,MATCH(Validation!E9523,Lists!G:G,0))</f>
        <v>You must make a selection from the dropdown list.</v>
      </c>
      <c r="H9523" s="25" t="str">
        <f t="shared" ca="1" si="1083"/>
        <v/>
      </c>
      <c r="I9523" s="25" t="str">
        <f t="shared" ca="1" si="1084"/>
        <v/>
      </c>
      <c r="J9523" s="26" t="str">
        <f t="shared" si="1085"/>
        <v/>
      </c>
    </row>
    <row r="9524" spans="1:10" x14ac:dyDescent="0.25">
      <c r="A9524" t="s">
        <v>111</v>
      </c>
      <c r="B9524" t="str">
        <f>ADDRESS(ROW(Parcels!B796),COLUMN(Parcels!B796),4)</f>
        <v>B796</v>
      </c>
      <c r="C9524" t="str">
        <f>ADDRESS(ROW(Parcels!D796),COLUMN(Parcels!D796),4)</f>
        <v>D796</v>
      </c>
      <c r="D9524" t="b">
        <f>IF(AND(Parcels!$B$6="Yes",NOT(ISBLANK(Parcels!A796)),ISBLANK(Parcels!B796)),TRUE,FALSE)</f>
        <v>0</v>
      </c>
      <c r="E9524" t="s">
        <v>64</v>
      </c>
      <c r="F9524" t="str">
        <f>INDEX(Lists!I:I,MATCH(Validation!E9524,Lists!G:G,0))</f>
        <v>Error</v>
      </c>
      <c r="G9524" t="str">
        <f>INDEX(Lists!H:H,MATCH(Validation!E9524,Lists!G:G,0))</f>
        <v>You must make a selection from the dropdown list.</v>
      </c>
      <c r="H9524" s="25" t="str">
        <f t="shared" ca="1" si="1083"/>
        <v/>
      </c>
      <c r="I9524" s="25" t="str">
        <f t="shared" ca="1" si="1084"/>
        <v/>
      </c>
      <c r="J9524" s="26" t="str">
        <f t="shared" si="1085"/>
        <v/>
      </c>
    </row>
    <row r="9525" spans="1:10" x14ac:dyDescent="0.25">
      <c r="A9525" t="s">
        <v>111</v>
      </c>
      <c r="B9525" t="str">
        <f>ADDRESS(ROW(Parcels!B797),COLUMN(Parcels!B797),4)</f>
        <v>B797</v>
      </c>
      <c r="C9525" t="str">
        <f>ADDRESS(ROW(Parcels!D797),COLUMN(Parcels!D797),4)</f>
        <v>D797</v>
      </c>
      <c r="D9525" t="b">
        <f>IF(AND(Parcels!$B$6="Yes",NOT(ISBLANK(Parcels!A797)),ISBLANK(Parcels!B797)),TRUE,FALSE)</f>
        <v>0</v>
      </c>
      <c r="E9525" t="s">
        <v>64</v>
      </c>
      <c r="F9525" t="str">
        <f>INDEX(Lists!I:I,MATCH(Validation!E9525,Lists!G:G,0))</f>
        <v>Error</v>
      </c>
      <c r="G9525" t="str">
        <f>INDEX(Lists!H:H,MATCH(Validation!E9525,Lists!G:G,0))</f>
        <v>You must make a selection from the dropdown list.</v>
      </c>
      <c r="H9525" s="25" t="str">
        <f t="shared" ca="1" si="1083"/>
        <v/>
      </c>
      <c r="I9525" s="25" t="str">
        <f t="shared" ca="1" si="1084"/>
        <v/>
      </c>
      <c r="J9525" s="26" t="str">
        <f t="shared" si="1085"/>
        <v/>
      </c>
    </row>
    <row r="9526" spans="1:10" x14ac:dyDescent="0.25">
      <c r="A9526" t="s">
        <v>111</v>
      </c>
      <c r="B9526" t="str">
        <f>ADDRESS(ROW(Parcels!B798),COLUMN(Parcels!B798),4)</f>
        <v>B798</v>
      </c>
      <c r="C9526" t="str">
        <f>ADDRESS(ROW(Parcels!D798),COLUMN(Parcels!D798),4)</f>
        <v>D798</v>
      </c>
      <c r="D9526" t="b">
        <f>IF(AND(Parcels!$B$6="Yes",NOT(ISBLANK(Parcels!A798)),ISBLANK(Parcels!B798)),TRUE,FALSE)</f>
        <v>0</v>
      </c>
      <c r="E9526" t="s">
        <v>64</v>
      </c>
      <c r="F9526" t="str">
        <f>INDEX(Lists!I:I,MATCH(Validation!E9526,Lists!G:G,0))</f>
        <v>Error</v>
      </c>
      <c r="G9526" t="str">
        <f>INDEX(Lists!H:H,MATCH(Validation!E9526,Lists!G:G,0))</f>
        <v>You must make a selection from the dropdown list.</v>
      </c>
      <c r="H9526" s="25" t="str">
        <f t="shared" ca="1" si="1083"/>
        <v/>
      </c>
      <c r="I9526" s="25" t="str">
        <f t="shared" ca="1" si="1084"/>
        <v/>
      </c>
      <c r="J9526" s="26" t="str">
        <f t="shared" si="1085"/>
        <v/>
      </c>
    </row>
    <row r="9527" spans="1:10" x14ac:dyDescent="0.25">
      <c r="A9527" t="s">
        <v>111</v>
      </c>
      <c r="B9527" t="str">
        <f>ADDRESS(ROW(Parcels!B799),COLUMN(Parcels!B799),4)</f>
        <v>B799</v>
      </c>
      <c r="C9527" t="str">
        <f>ADDRESS(ROW(Parcels!D799),COLUMN(Parcels!D799),4)</f>
        <v>D799</v>
      </c>
      <c r="D9527" t="b">
        <f>IF(AND(Parcels!$B$6="Yes",NOT(ISBLANK(Parcels!A799)),ISBLANK(Parcels!B799)),TRUE,FALSE)</f>
        <v>0</v>
      </c>
      <c r="E9527" t="s">
        <v>64</v>
      </c>
      <c r="F9527" t="str">
        <f>INDEX(Lists!I:I,MATCH(Validation!E9527,Lists!G:G,0))</f>
        <v>Error</v>
      </c>
      <c r="G9527" t="str">
        <f>INDEX(Lists!H:H,MATCH(Validation!E9527,Lists!G:G,0))</f>
        <v>You must make a selection from the dropdown list.</v>
      </c>
      <c r="H9527" s="25" t="str">
        <f t="shared" ca="1" si="1083"/>
        <v/>
      </c>
      <c r="I9527" s="25" t="str">
        <f t="shared" ca="1" si="1084"/>
        <v/>
      </c>
      <c r="J9527" s="26" t="str">
        <f t="shared" si="1085"/>
        <v/>
      </c>
    </row>
    <row r="9528" spans="1:10" x14ac:dyDescent="0.25">
      <c r="A9528" t="s">
        <v>111</v>
      </c>
      <c r="B9528" t="str">
        <f>ADDRESS(ROW(Parcels!B800),COLUMN(Parcels!B800),4)</f>
        <v>B800</v>
      </c>
      <c r="C9528" t="str">
        <f>ADDRESS(ROW(Parcels!D800),COLUMN(Parcels!D800),4)</f>
        <v>D800</v>
      </c>
      <c r="D9528" t="b">
        <f>IF(AND(Parcels!$B$6="Yes",NOT(ISBLANK(Parcels!A800)),ISBLANK(Parcels!B800)),TRUE,FALSE)</f>
        <v>0</v>
      </c>
      <c r="E9528" t="s">
        <v>64</v>
      </c>
      <c r="F9528" t="str">
        <f>INDEX(Lists!I:I,MATCH(Validation!E9528,Lists!G:G,0))</f>
        <v>Error</v>
      </c>
      <c r="G9528" t="str">
        <f>INDEX(Lists!H:H,MATCH(Validation!E9528,Lists!G:G,0))</f>
        <v>You must make a selection from the dropdown list.</v>
      </c>
      <c r="H9528" s="25" t="str">
        <f t="shared" ca="1" si="1083"/>
        <v/>
      </c>
      <c r="I9528" s="25" t="str">
        <f t="shared" ca="1" si="1084"/>
        <v/>
      </c>
      <c r="J9528" s="26" t="str">
        <f t="shared" si="1085"/>
        <v/>
      </c>
    </row>
    <row r="9529" spans="1:10" x14ac:dyDescent="0.25">
      <c r="A9529" t="s">
        <v>111</v>
      </c>
      <c r="B9529" t="str">
        <f>ADDRESS(ROW(Parcels!B801),COLUMN(Parcels!B801),4)</f>
        <v>B801</v>
      </c>
      <c r="C9529" t="str">
        <f>ADDRESS(ROW(Parcels!D801),COLUMN(Parcels!D801),4)</f>
        <v>D801</v>
      </c>
      <c r="D9529" t="b">
        <f>IF(AND(Parcels!$B$6="Yes",NOT(ISBLANK(Parcels!A801)),ISBLANK(Parcels!B801)),TRUE,FALSE)</f>
        <v>0</v>
      </c>
      <c r="E9529" t="s">
        <v>64</v>
      </c>
      <c r="F9529" t="str">
        <f>INDEX(Lists!I:I,MATCH(Validation!E9529,Lists!G:G,0))</f>
        <v>Error</v>
      </c>
      <c r="G9529" t="str">
        <f>INDEX(Lists!H:H,MATCH(Validation!E9529,Lists!G:G,0))</f>
        <v>You must make a selection from the dropdown list.</v>
      </c>
      <c r="H9529" s="25" t="str">
        <f t="shared" ca="1" si="1083"/>
        <v/>
      </c>
      <c r="I9529" s="25" t="str">
        <f t="shared" ca="1" si="1084"/>
        <v/>
      </c>
      <c r="J9529" s="26" t="str">
        <f t="shared" si="1085"/>
        <v/>
      </c>
    </row>
    <row r="9530" spans="1:10" x14ac:dyDescent="0.25">
      <c r="A9530" t="s">
        <v>111</v>
      </c>
      <c r="B9530" t="str">
        <f>ADDRESS(ROW(Parcels!B802),COLUMN(Parcels!B802),4)</f>
        <v>B802</v>
      </c>
      <c r="C9530" t="str">
        <f>ADDRESS(ROW(Parcels!D802),COLUMN(Parcels!D802),4)</f>
        <v>D802</v>
      </c>
      <c r="D9530" t="b">
        <f>IF(AND(Parcels!$B$6="Yes",NOT(ISBLANK(Parcels!A802)),ISBLANK(Parcels!B802)),TRUE,FALSE)</f>
        <v>0</v>
      </c>
      <c r="E9530" t="s">
        <v>64</v>
      </c>
      <c r="F9530" t="str">
        <f>INDEX(Lists!I:I,MATCH(Validation!E9530,Lists!G:G,0))</f>
        <v>Error</v>
      </c>
      <c r="G9530" t="str">
        <f>INDEX(Lists!H:H,MATCH(Validation!E9530,Lists!G:G,0))</f>
        <v>You must make a selection from the dropdown list.</v>
      </c>
      <c r="H9530" s="25" t="str">
        <f t="shared" ca="1" si="1083"/>
        <v/>
      </c>
      <c r="I9530" s="25" t="str">
        <f t="shared" ca="1" si="1084"/>
        <v/>
      </c>
      <c r="J9530" s="26" t="str">
        <f t="shared" si="1085"/>
        <v/>
      </c>
    </row>
    <row r="9531" spans="1:10" x14ac:dyDescent="0.25">
      <c r="A9531" t="s">
        <v>111</v>
      </c>
      <c r="B9531" t="str">
        <f>ADDRESS(ROW(Parcels!B803),COLUMN(Parcels!B803),4)</f>
        <v>B803</v>
      </c>
      <c r="C9531" t="str">
        <f>ADDRESS(ROW(Parcels!D803),COLUMN(Parcels!D803),4)</f>
        <v>D803</v>
      </c>
      <c r="D9531" t="b">
        <f>IF(AND(Parcels!$B$6="Yes",NOT(ISBLANK(Parcels!A803)),ISBLANK(Parcels!B803)),TRUE,FALSE)</f>
        <v>0</v>
      </c>
      <c r="E9531" t="s">
        <v>64</v>
      </c>
      <c r="F9531" t="str">
        <f>INDEX(Lists!I:I,MATCH(Validation!E9531,Lists!G:G,0))</f>
        <v>Error</v>
      </c>
      <c r="G9531" t="str">
        <f>INDEX(Lists!H:H,MATCH(Validation!E9531,Lists!G:G,0))</f>
        <v>You must make a selection from the dropdown list.</v>
      </c>
      <c r="H9531" s="25" t="str">
        <f t="shared" ca="1" si="1083"/>
        <v/>
      </c>
      <c r="I9531" s="25" t="str">
        <f t="shared" ca="1" si="1084"/>
        <v/>
      </c>
      <c r="J9531" s="26" t="str">
        <f t="shared" si="1085"/>
        <v/>
      </c>
    </row>
    <row r="9532" spans="1:10" x14ac:dyDescent="0.25">
      <c r="A9532" t="s">
        <v>111</v>
      </c>
      <c r="B9532" t="str">
        <f>ADDRESS(ROW(Parcels!B804),COLUMN(Parcels!B804),4)</f>
        <v>B804</v>
      </c>
      <c r="C9532" t="str">
        <f>ADDRESS(ROW(Parcels!D804),COLUMN(Parcels!D804),4)</f>
        <v>D804</v>
      </c>
      <c r="D9532" t="b">
        <f>IF(AND(Parcels!$B$6="Yes",NOT(ISBLANK(Parcels!A804)),ISBLANK(Parcels!B804)),TRUE,FALSE)</f>
        <v>0</v>
      </c>
      <c r="E9532" t="s">
        <v>64</v>
      </c>
      <c r="F9532" t="str">
        <f>INDEX(Lists!I:I,MATCH(Validation!E9532,Lists!G:G,0))</f>
        <v>Error</v>
      </c>
      <c r="G9532" t="str">
        <f>INDEX(Lists!H:H,MATCH(Validation!E9532,Lists!G:G,0))</f>
        <v>You must make a selection from the dropdown list.</v>
      </c>
      <c r="H9532" s="25" t="str">
        <f t="shared" ca="1" si="1083"/>
        <v/>
      </c>
      <c r="I9532" s="25" t="str">
        <f t="shared" ca="1" si="1084"/>
        <v/>
      </c>
      <c r="J9532" s="26" t="str">
        <f t="shared" si="1085"/>
        <v/>
      </c>
    </row>
    <row r="9533" spans="1:10" x14ac:dyDescent="0.25">
      <c r="A9533" t="s">
        <v>111</v>
      </c>
      <c r="B9533" t="str">
        <f>ADDRESS(ROW(Parcels!B805),COLUMN(Parcels!B805),4)</f>
        <v>B805</v>
      </c>
      <c r="C9533" t="str">
        <f>ADDRESS(ROW(Parcels!D805),COLUMN(Parcels!D805),4)</f>
        <v>D805</v>
      </c>
      <c r="D9533" t="b">
        <f>IF(AND(Parcels!$B$6="Yes",NOT(ISBLANK(Parcels!A805)),ISBLANK(Parcels!B805)),TRUE,FALSE)</f>
        <v>0</v>
      </c>
      <c r="E9533" t="s">
        <v>64</v>
      </c>
      <c r="F9533" t="str">
        <f>INDEX(Lists!I:I,MATCH(Validation!E9533,Lists!G:G,0))</f>
        <v>Error</v>
      </c>
      <c r="G9533" t="str">
        <f>INDEX(Lists!H:H,MATCH(Validation!E9533,Lists!G:G,0))</f>
        <v>You must make a selection from the dropdown list.</v>
      </c>
      <c r="H9533" s="25" t="str">
        <f t="shared" ca="1" si="1083"/>
        <v/>
      </c>
      <c r="I9533" s="25" t="str">
        <f t="shared" ca="1" si="1084"/>
        <v/>
      </c>
      <c r="J9533" s="26" t="str">
        <f t="shared" si="1085"/>
        <v/>
      </c>
    </row>
    <row r="9534" spans="1:10" x14ac:dyDescent="0.25">
      <c r="A9534" t="s">
        <v>111</v>
      </c>
      <c r="B9534" t="str">
        <f>ADDRESS(ROW(Parcels!B806),COLUMN(Parcels!B806),4)</f>
        <v>B806</v>
      </c>
      <c r="C9534" t="str">
        <f>ADDRESS(ROW(Parcels!D806),COLUMN(Parcels!D806),4)</f>
        <v>D806</v>
      </c>
      <c r="D9534" t="b">
        <f>IF(AND(Parcels!$B$6="Yes",NOT(ISBLANK(Parcels!A806)),ISBLANK(Parcels!B806)),TRUE,FALSE)</f>
        <v>0</v>
      </c>
      <c r="E9534" t="s">
        <v>64</v>
      </c>
      <c r="F9534" t="str">
        <f>INDEX(Lists!I:I,MATCH(Validation!E9534,Lists!G:G,0))</f>
        <v>Error</v>
      </c>
      <c r="G9534" t="str">
        <f>INDEX(Lists!H:H,MATCH(Validation!E9534,Lists!G:G,0))</f>
        <v>You must make a selection from the dropdown list.</v>
      </c>
      <c r="H9534" s="25" t="str">
        <f t="shared" ca="1" si="1083"/>
        <v/>
      </c>
      <c r="I9534" s="25" t="str">
        <f t="shared" ca="1" si="1084"/>
        <v/>
      </c>
      <c r="J9534" s="26" t="str">
        <f t="shared" si="1085"/>
        <v/>
      </c>
    </row>
    <row r="9535" spans="1:10" x14ac:dyDescent="0.25">
      <c r="A9535" t="s">
        <v>111</v>
      </c>
      <c r="B9535" t="str">
        <f>ADDRESS(ROW(Parcels!B807),COLUMN(Parcels!B807),4)</f>
        <v>B807</v>
      </c>
      <c r="C9535" t="str">
        <f>ADDRESS(ROW(Parcels!D807),COLUMN(Parcels!D807),4)</f>
        <v>D807</v>
      </c>
      <c r="D9535" t="b">
        <f>IF(AND(Parcels!$B$6="Yes",NOT(ISBLANK(Parcels!A807)),ISBLANK(Parcels!B807)),TRUE,FALSE)</f>
        <v>0</v>
      </c>
      <c r="E9535" t="s">
        <v>64</v>
      </c>
      <c r="F9535" t="str">
        <f>INDEX(Lists!I:I,MATCH(Validation!E9535,Lists!G:G,0))</f>
        <v>Error</v>
      </c>
      <c r="G9535" t="str">
        <f>INDEX(Lists!H:H,MATCH(Validation!E9535,Lists!G:G,0))</f>
        <v>You must make a selection from the dropdown list.</v>
      </c>
      <c r="H9535" s="25" t="str">
        <f t="shared" ca="1" si="1083"/>
        <v/>
      </c>
      <c r="I9535" s="25" t="str">
        <f t="shared" ca="1" si="1084"/>
        <v/>
      </c>
      <c r="J9535" s="26" t="str">
        <f t="shared" si="1085"/>
        <v/>
      </c>
    </row>
    <row r="9536" spans="1:10" x14ac:dyDescent="0.25">
      <c r="A9536" t="s">
        <v>111</v>
      </c>
      <c r="B9536" t="str">
        <f>ADDRESS(ROW(Parcels!B808),COLUMN(Parcels!B808),4)</f>
        <v>B808</v>
      </c>
      <c r="C9536" t="str">
        <f>ADDRESS(ROW(Parcels!D808),COLUMN(Parcels!D808),4)</f>
        <v>D808</v>
      </c>
      <c r="D9536" t="b">
        <f>IF(AND(Parcels!$B$6="Yes",NOT(ISBLANK(Parcels!A808)),ISBLANK(Parcels!B808)),TRUE,FALSE)</f>
        <v>0</v>
      </c>
      <c r="E9536" t="s">
        <v>64</v>
      </c>
      <c r="F9536" t="str">
        <f>INDEX(Lists!I:I,MATCH(Validation!E9536,Lists!G:G,0))</f>
        <v>Error</v>
      </c>
      <c r="G9536" t="str">
        <f>INDEX(Lists!H:H,MATCH(Validation!E9536,Lists!G:G,0))</f>
        <v>You must make a selection from the dropdown list.</v>
      </c>
      <c r="H9536" s="25" t="str">
        <f t="shared" ca="1" si="1083"/>
        <v/>
      </c>
      <c r="I9536" s="25" t="str">
        <f t="shared" ca="1" si="1084"/>
        <v/>
      </c>
      <c r="J9536" s="26" t="str">
        <f t="shared" si="1085"/>
        <v/>
      </c>
    </row>
    <row r="9537" spans="1:10" x14ac:dyDescent="0.25">
      <c r="A9537" t="s">
        <v>111</v>
      </c>
      <c r="B9537" t="str">
        <f>ADDRESS(ROW(Parcels!B809),COLUMN(Parcels!B809),4)</f>
        <v>B809</v>
      </c>
      <c r="C9537" t="str">
        <f>ADDRESS(ROW(Parcels!D809),COLUMN(Parcels!D809),4)</f>
        <v>D809</v>
      </c>
      <c r="D9537" t="b">
        <f>IF(AND(Parcels!$B$6="Yes",NOT(ISBLANK(Parcels!A809)),ISBLANK(Parcels!B809)),TRUE,FALSE)</f>
        <v>0</v>
      </c>
      <c r="E9537" t="s">
        <v>64</v>
      </c>
      <c r="F9537" t="str">
        <f>INDEX(Lists!I:I,MATCH(Validation!E9537,Lists!G:G,0))</f>
        <v>Error</v>
      </c>
      <c r="G9537" t="str">
        <f>INDEX(Lists!H:H,MATCH(Validation!E9537,Lists!G:G,0))</f>
        <v>You must make a selection from the dropdown list.</v>
      </c>
      <c r="H9537" s="25" t="str">
        <f t="shared" ca="1" si="1083"/>
        <v/>
      </c>
      <c r="I9537" s="25" t="str">
        <f t="shared" ca="1" si="1084"/>
        <v/>
      </c>
      <c r="J9537" s="26" t="str">
        <f t="shared" si="1085"/>
        <v/>
      </c>
    </row>
    <row r="9538" spans="1:10" x14ac:dyDescent="0.25">
      <c r="A9538" t="s">
        <v>111</v>
      </c>
      <c r="B9538" t="str">
        <f>ADDRESS(ROW(Parcels!B810),COLUMN(Parcels!B810),4)</f>
        <v>B810</v>
      </c>
      <c r="C9538" t="str">
        <f>ADDRESS(ROW(Parcels!D810),COLUMN(Parcels!D810),4)</f>
        <v>D810</v>
      </c>
      <c r="D9538" t="b">
        <f>IF(AND(Parcels!$B$6="Yes",NOT(ISBLANK(Parcels!A810)),ISBLANK(Parcels!B810)),TRUE,FALSE)</f>
        <v>0</v>
      </c>
      <c r="E9538" t="s">
        <v>64</v>
      </c>
      <c r="F9538" t="str">
        <f>INDEX(Lists!I:I,MATCH(Validation!E9538,Lists!G:G,0))</f>
        <v>Error</v>
      </c>
      <c r="G9538" t="str">
        <f>INDEX(Lists!H:H,MATCH(Validation!E9538,Lists!G:G,0))</f>
        <v>You must make a selection from the dropdown list.</v>
      </c>
      <c r="H9538" s="25" t="str">
        <f t="shared" ca="1" si="1083"/>
        <v/>
      </c>
      <c r="I9538" s="25" t="str">
        <f t="shared" ca="1" si="1084"/>
        <v/>
      </c>
      <c r="J9538" s="26" t="str">
        <f t="shared" si="1085"/>
        <v/>
      </c>
    </row>
    <row r="9539" spans="1:10" x14ac:dyDescent="0.25">
      <c r="A9539" t="s">
        <v>111</v>
      </c>
      <c r="B9539" t="str">
        <f>ADDRESS(ROW(Parcels!B811),COLUMN(Parcels!B811),4)</f>
        <v>B811</v>
      </c>
      <c r="C9539" t="str">
        <f>ADDRESS(ROW(Parcels!D811),COLUMN(Parcels!D811),4)</f>
        <v>D811</v>
      </c>
      <c r="D9539" t="b">
        <f>IF(AND(Parcels!$B$6="Yes",NOT(ISBLANK(Parcels!A811)),ISBLANK(Parcels!B811)),TRUE,FALSE)</f>
        <v>0</v>
      </c>
      <c r="E9539" t="s">
        <v>64</v>
      </c>
      <c r="F9539" t="str">
        <f>INDEX(Lists!I:I,MATCH(Validation!E9539,Lists!G:G,0))</f>
        <v>Error</v>
      </c>
      <c r="G9539" t="str">
        <f>INDEX(Lists!H:H,MATCH(Validation!E9539,Lists!G:G,0))</f>
        <v>You must make a selection from the dropdown list.</v>
      </c>
      <c r="H9539" s="25" t="str">
        <f t="shared" ca="1" si="1083"/>
        <v/>
      </c>
      <c r="I9539" s="25" t="str">
        <f t="shared" ca="1" si="1084"/>
        <v/>
      </c>
      <c r="J9539" s="26" t="str">
        <f t="shared" si="1085"/>
        <v/>
      </c>
    </row>
    <row r="9540" spans="1:10" x14ac:dyDescent="0.25">
      <c r="A9540" t="s">
        <v>111</v>
      </c>
      <c r="B9540" t="str">
        <f>ADDRESS(ROW(Parcels!B812),COLUMN(Parcels!B812),4)</f>
        <v>B812</v>
      </c>
      <c r="C9540" t="str">
        <f>ADDRESS(ROW(Parcels!D812),COLUMN(Parcels!D812),4)</f>
        <v>D812</v>
      </c>
      <c r="D9540" t="b">
        <f>IF(AND(Parcels!$B$6="Yes",NOT(ISBLANK(Parcels!A812)),ISBLANK(Parcels!B812)),TRUE,FALSE)</f>
        <v>0</v>
      </c>
      <c r="E9540" t="s">
        <v>64</v>
      </c>
      <c r="F9540" t="str">
        <f>INDEX(Lists!I:I,MATCH(Validation!E9540,Lists!G:G,0))</f>
        <v>Error</v>
      </c>
      <c r="G9540" t="str">
        <f>INDEX(Lists!H:H,MATCH(Validation!E9540,Lists!G:G,0))</f>
        <v>You must make a selection from the dropdown list.</v>
      </c>
      <c r="H9540" s="25" t="str">
        <f t="shared" ca="1" si="1083"/>
        <v/>
      </c>
      <c r="I9540" s="25" t="str">
        <f t="shared" ca="1" si="1084"/>
        <v/>
      </c>
      <c r="J9540" s="26" t="str">
        <f t="shared" si="1085"/>
        <v/>
      </c>
    </row>
    <row r="9541" spans="1:10" x14ac:dyDescent="0.25">
      <c r="A9541" t="s">
        <v>111</v>
      </c>
      <c r="B9541" t="str">
        <f>ADDRESS(ROW(Parcels!B813),COLUMN(Parcels!B813),4)</f>
        <v>B813</v>
      </c>
      <c r="C9541" t="str">
        <f>ADDRESS(ROW(Parcels!D813),COLUMN(Parcels!D813),4)</f>
        <v>D813</v>
      </c>
      <c r="D9541" t="b">
        <f>IF(AND(Parcels!$B$6="Yes",NOT(ISBLANK(Parcels!A813)),ISBLANK(Parcels!B813)),TRUE,FALSE)</f>
        <v>0</v>
      </c>
      <c r="E9541" t="s">
        <v>64</v>
      </c>
      <c r="F9541" t="str">
        <f>INDEX(Lists!I:I,MATCH(Validation!E9541,Lists!G:G,0))</f>
        <v>Error</v>
      </c>
      <c r="G9541" t="str">
        <f>INDEX(Lists!H:H,MATCH(Validation!E9541,Lists!G:G,0))</f>
        <v>You must make a selection from the dropdown list.</v>
      </c>
      <c r="H9541" s="25" t="str">
        <f t="shared" ca="1" si="1083"/>
        <v/>
      </c>
      <c r="I9541" s="25" t="str">
        <f t="shared" ca="1" si="1084"/>
        <v/>
      </c>
      <c r="J9541" s="26" t="str">
        <f t="shared" si="1085"/>
        <v/>
      </c>
    </row>
    <row r="9542" spans="1:10" x14ac:dyDescent="0.25">
      <c r="A9542" t="s">
        <v>111</v>
      </c>
      <c r="B9542" t="str">
        <f>ADDRESS(ROW(Parcels!B814),COLUMN(Parcels!B814),4)</f>
        <v>B814</v>
      </c>
      <c r="C9542" t="str">
        <f>ADDRESS(ROW(Parcels!D814),COLUMN(Parcels!D814),4)</f>
        <v>D814</v>
      </c>
      <c r="D9542" t="b">
        <f>IF(AND(Parcels!$B$6="Yes",NOT(ISBLANK(Parcels!A814)),ISBLANK(Parcels!B814)),TRUE,FALSE)</f>
        <v>0</v>
      </c>
      <c r="E9542" t="s">
        <v>64</v>
      </c>
      <c r="F9542" t="str">
        <f>INDEX(Lists!I:I,MATCH(Validation!E9542,Lists!G:G,0))</f>
        <v>Error</v>
      </c>
      <c r="G9542" t="str">
        <f>INDEX(Lists!H:H,MATCH(Validation!E9542,Lists!G:G,0))</f>
        <v>You must make a selection from the dropdown list.</v>
      </c>
      <c r="H9542" s="25" t="str">
        <f t="shared" ca="1" si="1083"/>
        <v/>
      </c>
      <c r="I9542" s="25" t="str">
        <f t="shared" ca="1" si="1084"/>
        <v/>
      </c>
      <c r="J9542" s="26" t="str">
        <f t="shared" si="1085"/>
        <v/>
      </c>
    </row>
    <row r="9543" spans="1:10" x14ac:dyDescent="0.25">
      <c r="A9543" t="s">
        <v>111</v>
      </c>
      <c r="B9543" t="str">
        <f>ADDRESS(ROW(Parcels!B815),COLUMN(Parcels!B815),4)</f>
        <v>B815</v>
      </c>
      <c r="C9543" t="str">
        <f>ADDRESS(ROW(Parcels!D815),COLUMN(Parcels!D815),4)</f>
        <v>D815</v>
      </c>
      <c r="D9543" t="b">
        <f>IF(AND(Parcels!$B$6="Yes",NOT(ISBLANK(Parcels!A815)),ISBLANK(Parcels!B815)),TRUE,FALSE)</f>
        <v>0</v>
      </c>
      <c r="E9543" t="s">
        <v>64</v>
      </c>
      <c r="F9543" t="str">
        <f>INDEX(Lists!I:I,MATCH(Validation!E9543,Lists!G:G,0))</f>
        <v>Error</v>
      </c>
      <c r="G9543" t="str">
        <f>INDEX(Lists!H:H,MATCH(Validation!E9543,Lists!G:G,0))</f>
        <v>You must make a selection from the dropdown list.</v>
      </c>
      <c r="H9543" s="25" t="str">
        <f t="shared" ca="1" si="1083"/>
        <v/>
      </c>
      <c r="I9543" s="25" t="str">
        <f t="shared" ca="1" si="1084"/>
        <v/>
      </c>
      <c r="J9543" s="26" t="str">
        <f t="shared" si="1085"/>
        <v/>
      </c>
    </row>
    <row r="9544" spans="1:10" x14ac:dyDescent="0.25">
      <c r="A9544" t="s">
        <v>111</v>
      </c>
      <c r="B9544" t="str">
        <f>ADDRESS(ROW(Parcels!B816),COLUMN(Parcels!B816),4)</f>
        <v>B816</v>
      </c>
      <c r="C9544" t="str">
        <f>ADDRESS(ROW(Parcels!D816),COLUMN(Parcels!D816),4)</f>
        <v>D816</v>
      </c>
      <c r="D9544" t="b">
        <f>IF(AND(Parcels!$B$6="Yes",NOT(ISBLANK(Parcels!A816)),ISBLANK(Parcels!B816)),TRUE,FALSE)</f>
        <v>0</v>
      </c>
      <c r="E9544" t="s">
        <v>64</v>
      </c>
      <c r="F9544" t="str">
        <f>INDEX(Lists!I:I,MATCH(Validation!E9544,Lists!G:G,0))</f>
        <v>Error</v>
      </c>
      <c r="G9544" t="str">
        <f>INDEX(Lists!H:H,MATCH(Validation!E9544,Lists!G:G,0))</f>
        <v>You must make a selection from the dropdown list.</v>
      </c>
      <c r="H9544" s="25" t="str">
        <f t="shared" ca="1" si="1083"/>
        <v/>
      </c>
      <c r="I9544" s="25" t="str">
        <f t="shared" ca="1" si="1084"/>
        <v/>
      </c>
      <c r="J9544" s="26" t="str">
        <f t="shared" si="1085"/>
        <v/>
      </c>
    </row>
    <row r="9545" spans="1:10" x14ac:dyDescent="0.25">
      <c r="A9545" t="s">
        <v>111</v>
      </c>
      <c r="B9545" t="str">
        <f>ADDRESS(ROW(Parcels!B817),COLUMN(Parcels!B817),4)</f>
        <v>B817</v>
      </c>
      <c r="C9545" t="str">
        <f>ADDRESS(ROW(Parcels!D817),COLUMN(Parcels!D817),4)</f>
        <v>D817</v>
      </c>
      <c r="D9545" t="b">
        <f>IF(AND(Parcels!$B$6="Yes",NOT(ISBLANK(Parcels!A817)),ISBLANK(Parcels!B817)),TRUE,FALSE)</f>
        <v>0</v>
      </c>
      <c r="E9545" t="s">
        <v>64</v>
      </c>
      <c r="F9545" t="str">
        <f>INDEX(Lists!I:I,MATCH(Validation!E9545,Lists!G:G,0))</f>
        <v>Error</v>
      </c>
      <c r="G9545" t="str">
        <f>INDEX(Lists!H:H,MATCH(Validation!E9545,Lists!G:G,0))</f>
        <v>You must make a selection from the dropdown list.</v>
      </c>
      <c r="H9545" s="25" t="str">
        <f t="shared" ca="1" si="1083"/>
        <v/>
      </c>
      <c r="I9545" s="25" t="str">
        <f t="shared" ca="1" si="1084"/>
        <v/>
      </c>
      <c r="J9545" s="26" t="str">
        <f t="shared" si="1085"/>
        <v/>
      </c>
    </row>
    <row r="9546" spans="1:10" x14ac:dyDescent="0.25">
      <c r="A9546" t="s">
        <v>111</v>
      </c>
      <c r="B9546" t="str">
        <f>ADDRESS(ROW(Parcels!B818),COLUMN(Parcels!B818),4)</f>
        <v>B818</v>
      </c>
      <c r="C9546" t="str">
        <f>ADDRESS(ROW(Parcels!D818),COLUMN(Parcels!D818),4)</f>
        <v>D818</v>
      </c>
      <c r="D9546" t="b">
        <f>IF(AND(Parcels!$B$6="Yes",NOT(ISBLANK(Parcels!A818)),ISBLANK(Parcels!B818)),TRUE,FALSE)</f>
        <v>0</v>
      </c>
      <c r="E9546" t="s">
        <v>64</v>
      </c>
      <c r="F9546" t="str">
        <f>INDEX(Lists!I:I,MATCH(Validation!E9546,Lists!G:G,0))</f>
        <v>Error</v>
      </c>
      <c r="G9546" t="str">
        <f>INDEX(Lists!H:H,MATCH(Validation!E9546,Lists!G:G,0))</f>
        <v>You must make a selection from the dropdown list.</v>
      </c>
      <c r="H9546" s="25" t="str">
        <f t="shared" ca="1" si="1083"/>
        <v/>
      </c>
      <c r="I9546" s="25" t="str">
        <f t="shared" ca="1" si="1084"/>
        <v/>
      </c>
      <c r="J9546" s="26" t="str">
        <f t="shared" si="1085"/>
        <v/>
      </c>
    </row>
    <row r="9547" spans="1:10" x14ac:dyDescent="0.25">
      <c r="A9547" t="s">
        <v>111</v>
      </c>
      <c r="B9547" t="str">
        <f>ADDRESS(ROW(Parcels!B819),COLUMN(Parcels!B819),4)</f>
        <v>B819</v>
      </c>
      <c r="C9547" t="str">
        <f>ADDRESS(ROW(Parcels!D819),COLUMN(Parcels!D819),4)</f>
        <v>D819</v>
      </c>
      <c r="D9547" t="b">
        <f>IF(AND(Parcels!$B$6="Yes",NOT(ISBLANK(Parcels!A819)),ISBLANK(Parcels!B819)),TRUE,FALSE)</f>
        <v>0</v>
      </c>
      <c r="E9547" t="s">
        <v>64</v>
      </c>
      <c r="F9547" t="str">
        <f>INDEX(Lists!I:I,MATCH(Validation!E9547,Lists!G:G,0))</f>
        <v>Error</v>
      </c>
      <c r="G9547" t="str">
        <f>INDEX(Lists!H:H,MATCH(Validation!E9547,Lists!G:G,0))</f>
        <v>You must make a selection from the dropdown list.</v>
      </c>
      <c r="H9547" s="25" t="str">
        <f t="shared" ca="1" si="1083"/>
        <v/>
      </c>
      <c r="I9547" s="25" t="str">
        <f t="shared" ca="1" si="1084"/>
        <v/>
      </c>
      <c r="J9547" s="26" t="str">
        <f t="shared" si="1085"/>
        <v/>
      </c>
    </row>
    <row r="9548" spans="1:10" x14ac:dyDescent="0.25">
      <c r="A9548" t="s">
        <v>111</v>
      </c>
      <c r="B9548" t="str">
        <f>ADDRESS(ROW(Parcels!B820),COLUMN(Parcels!B820),4)</f>
        <v>B820</v>
      </c>
      <c r="C9548" t="str">
        <f>ADDRESS(ROW(Parcels!D820),COLUMN(Parcels!D820),4)</f>
        <v>D820</v>
      </c>
      <c r="D9548" t="b">
        <f>IF(AND(Parcels!$B$6="Yes",NOT(ISBLANK(Parcels!A820)),ISBLANK(Parcels!B820)),TRUE,FALSE)</f>
        <v>0</v>
      </c>
      <c r="E9548" t="s">
        <v>64</v>
      </c>
      <c r="F9548" t="str">
        <f>INDEX(Lists!I:I,MATCH(Validation!E9548,Lists!G:G,0))</f>
        <v>Error</v>
      </c>
      <c r="G9548" t="str">
        <f>INDEX(Lists!H:H,MATCH(Validation!E9548,Lists!G:G,0))</f>
        <v>You must make a selection from the dropdown list.</v>
      </c>
      <c r="H9548" s="25" t="str">
        <f t="shared" ca="1" si="1083"/>
        <v/>
      </c>
      <c r="I9548" s="25" t="str">
        <f t="shared" ca="1" si="1084"/>
        <v/>
      </c>
      <c r="J9548" s="26" t="str">
        <f t="shared" si="1085"/>
        <v/>
      </c>
    </row>
    <row r="9549" spans="1:10" x14ac:dyDescent="0.25">
      <c r="A9549" t="s">
        <v>111</v>
      </c>
      <c r="B9549" t="str">
        <f>ADDRESS(ROW(Parcels!B821),COLUMN(Parcels!B821),4)</f>
        <v>B821</v>
      </c>
      <c r="C9549" t="str">
        <f>ADDRESS(ROW(Parcels!D821),COLUMN(Parcels!D821),4)</f>
        <v>D821</v>
      </c>
      <c r="D9549" t="b">
        <f>IF(AND(Parcels!$B$6="Yes",NOT(ISBLANK(Parcels!A821)),ISBLANK(Parcels!B821)),TRUE,FALSE)</f>
        <v>0</v>
      </c>
      <c r="E9549" t="s">
        <v>64</v>
      </c>
      <c r="F9549" t="str">
        <f>INDEX(Lists!I:I,MATCH(Validation!E9549,Lists!G:G,0))</f>
        <v>Error</v>
      </c>
      <c r="G9549" t="str">
        <f>INDEX(Lists!H:H,MATCH(Validation!E9549,Lists!G:G,0))</f>
        <v>You must make a selection from the dropdown list.</v>
      </c>
      <c r="H9549" s="25" t="str">
        <f t="shared" ca="1" si="1083"/>
        <v/>
      </c>
      <c r="I9549" s="25" t="str">
        <f t="shared" ca="1" si="1084"/>
        <v/>
      </c>
      <c r="J9549" s="26" t="str">
        <f t="shared" si="1085"/>
        <v/>
      </c>
    </row>
    <row r="9550" spans="1:10" x14ac:dyDescent="0.25">
      <c r="A9550" t="s">
        <v>111</v>
      </c>
      <c r="B9550" t="str">
        <f>ADDRESS(ROW(Parcels!B822),COLUMN(Parcels!B822),4)</f>
        <v>B822</v>
      </c>
      <c r="C9550" t="str">
        <f>ADDRESS(ROW(Parcels!D822),COLUMN(Parcels!D822),4)</f>
        <v>D822</v>
      </c>
      <c r="D9550" t="b">
        <f>IF(AND(Parcels!$B$6="Yes",NOT(ISBLANK(Parcels!A822)),ISBLANK(Parcels!B822)),TRUE,FALSE)</f>
        <v>0</v>
      </c>
      <c r="E9550" t="s">
        <v>64</v>
      </c>
      <c r="F9550" t="str">
        <f>INDEX(Lists!I:I,MATCH(Validation!E9550,Lists!G:G,0))</f>
        <v>Error</v>
      </c>
      <c r="G9550" t="str">
        <f>INDEX(Lists!H:H,MATCH(Validation!E9550,Lists!G:G,0))</f>
        <v>You must make a selection from the dropdown list.</v>
      </c>
      <c r="H9550" s="25" t="str">
        <f t="shared" ca="1" si="1083"/>
        <v/>
      </c>
      <c r="I9550" s="25" t="str">
        <f t="shared" ca="1" si="1084"/>
        <v/>
      </c>
      <c r="J9550" s="26" t="str">
        <f t="shared" si="1085"/>
        <v/>
      </c>
    </row>
    <row r="9551" spans="1:10" x14ac:dyDescent="0.25">
      <c r="A9551" t="s">
        <v>111</v>
      </c>
      <c r="B9551" t="str">
        <f>ADDRESS(ROW(Parcels!B823),COLUMN(Parcels!B823),4)</f>
        <v>B823</v>
      </c>
      <c r="C9551" t="str">
        <f>ADDRESS(ROW(Parcels!D823),COLUMN(Parcels!D823),4)</f>
        <v>D823</v>
      </c>
      <c r="D9551" t="b">
        <f>IF(AND(Parcels!$B$6="Yes",NOT(ISBLANK(Parcels!A823)),ISBLANK(Parcels!B823)),TRUE,FALSE)</f>
        <v>0</v>
      </c>
      <c r="E9551" t="s">
        <v>64</v>
      </c>
      <c r="F9551" t="str">
        <f>INDEX(Lists!I:I,MATCH(Validation!E9551,Lists!G:G,0))</f>
        <v>Error</v>
      </c>
      <c r="G9551" t="str">
        <f>INDEX(Lists!H:H,MATCH(Validation!E9551,Lists!G:G,0))</f>
        <v>You must make a selection from the dropdown list.</v>
      </c>
      <c r="H9551" s="25" t="str">
        <f t="shared" ca="1" si="1083"/>
        <v/>
      </c>
      <c r="I9551" s="25" t="str">
        <f t="shared" ca="1" si="1084"/>
        <v/>
      </c>
      <c r="J9551" s="26" t="str">
        <f t="shared" si="1085"/>
        <v/>
      </c>
    </row>
    <row r="9552" spans="1:10" x14ac:dyDescent="0.25">
      <c r="A9552" t="s">
        <v>111</v>
      </c>
      <c r="B9552" t="str">
        <f>ADDRESS(ROW(Parcels!B824),COLUMN(Parcels!B824),4)</f>
        <v>B824</v>
      </c>
      <c r="C9552" t="str">
        <f>ADDRESS(ROW(Parcels!D824),COLUMN(Parcels!D824),4)</f>
        <v>D824</v>
      </c>
      <c r="D9552" t="b">
        <f>IF(AND(Parcels!$B$6="Yes",NOT(ISBLANK(Parcels!A824)),ISBLANK(Parcels!B824)),TRUE,FALSE)</f>
        <v>0</v>
      </c>
      <c r="E9552" t="s">
        <v>64</v>
      </c>
      <c r="F9552" t="str">
        <f>INDEX(Lists!I:I,MATCH(Validation!E9552,Lists!G:G,0))</f>
        <v>Error</v>
      </c>
      <c r="G9552" t="str">
        <f>INDEX(Lists!H:H,MATCH(Validation!E9552,Lists!G:G,0))</f>
        <v>You must make a selection from the dropdown list.</v>
      </c>
      <c r="H9552" s="25" t="str">
        <f t="shared" ca="1" si="1083"/>
        <v/>
      </c>
      <c r="I9552" s="25" t="str">
        <f t="shared" ca="1" si="1084"/>
        <v/>
      </c>
      <c r="J9552" s="26" t="str">
        <f t="shared" si="1085"/>
        <v/>
      </c>
    </row>
    <row r="9553" spans="1:10" x14ac:dyDescent="0.25">
      <c r="A9553" t="s">
        <v>111</v>
      </c>
      <c r="B9553" t="str">
        <f>ADDRESS(ROW(Parcels!B825),COLUMN(Parcels!B825),4)</f>
        <v>B825</v>
      </c>
      <c r="C9553" t="str">
        <f>ADDRESS(ROW(Parcels!D825),COLUMN(Parcels!D825),4)</f>
        <v>D825</v>
      </c>
      <c r="D9553" t="b">
        <f>IF(AND(Parcels!$B$6="Yes",NOT(ISBLANK(Parcels!A825)),ISBLANK(Parcels!B825)),TRUE,FALSE)</f>
        <v>0</v>
      </c>
      <c r="E9553" t="s">
        <v>64</v>
      </c>
      <c r="F9553" t="str">
        <f>INDEX(Lists!I:I,MATCH(Validation!E9553,Lists!G:G,0))</f>
        <v>Error</v>
      </c>
      <c r="G9553" t="str">
        <f>INDEX(Lists!H:H,MATCH(Validation!E9553,Lists!G:G,0))</f>
        <v>You must make a selection from the dropdown list.</v>
      </c>
      <c r="H9553" s="25" t="str">
        <f t="shared" ca="1" si="1083"/>
        <v/>
      </c>
      <c r="I9553" s="25" t="str">
        <f t="shared" ca="1" si="1084"/>
        <v/>
      </c>
      <c r="J9553" s="26" t="str">
        <f t="shared" si="1085"/>
        <v/>
      </c>
    </row>
    <row r="9554" spans="1:10" x14ac:dyDescent="0.25">
      <c r="A9554" t="s">
        <v>111</v>
      </c>
      <c r="B9554" t="str">
        <f>ADDRESS(ROW(Parcels!B826),COLUMN(Parcels!B826),4)</f>
        <v>B826</v>
      </c>
      <c r="C9554" t="str">
        <f>ADDRESS(ROW(Parcels!D826),COLUMN(Parcels!D826),4)</f>
        <v>D826</v>
      </c>
      <c r="D9554" t="b">
        <f>IF(AND(Parcels!$B$6="Yes",NOT(ISBLANK(Parcels!A826)),ISBLANK(Parcels!B826)),TRUE,FALSE)</f>
        <v>0</v>
      </c>
      <c r="E9554" t="s">
        <v>64</v>
      </c>
      <c r="F9554" t="str">
        <f>INDEX(Lists!I:I,MATCH(Validation!E9554,Lists!G:G,0))</f>
        <v>Error</v>
      </c>
      <c r="G9554" t="str">
        <f>INDEX(Lists!H:H,MATCH(Validation!E9554,Lists!G:G,0))</f>
        <v>You must make a selection from the dropdown list.</v>
      </c>
      <c r="H9554" s="25" t="str">
        <f t="shared" ca="1" si="1083"/>
        <v/>
      </c>
      <c r="I9554" s="25" t="str">
        <f t="shared" ca="1" si="1084"/>
        <v/>
      </c>
      <c r="J9554" s="26" t="str">
        <f t="shared" si="1085"/>
        <v/>
      </c>
    </row>
    <row r="9555" spans="1:10" x14ac:dyDescent="0.25">
      <c r="A9555" t="s">
        <v>111</v>
      </c>
      <c r="B9555" t="str">
        <f>ADDRESS(ROW(Parcels!B827),COLUMN(Parcels!B827),4)</f>
        <v>B827</v>
      </c>
      <c r="C9555" t="str">
        <f>ADDRESS(ROW(Parcels!D827),COLUMN(Parcels!D827),4)</f>
        <v>D827</v>
      </c>
      <c r="D9555" t="b">
        <f>IF(AND(Parcels!$B$6="Yes",NOT(ISBLANK(Parcels!A827)),ISBLANK(Parcels!B827)),TRUE,FALSE)</f>
        <v>0</v>
      </c>
      <c r="E9555" t="s">
        <v>64</v>
      </c>
      <c r="F9555" t="str">
        <f>INDEX(Lists!I:I,MATCH(Validation!E9555,Lists!G:G,0))</f>
        <v>Error</v>
      </c>
      <c r="G9555" t="str">
        <f>INDEX(Lists!H:H,MATCH(Validation!E9555,Lists!G:G,0))</f>
        <v>You must make a selection from the dropdown list.</v>
      </c>
      <c r="H9555" s="25" t="str">
        <f t="shared" ca="1" si="1083"/>
        <v/>
      </c>
      <c r="I9555" s="25" t="str">
        <f t="shared" ca="1" si="1084"/>
        <v/>
      </c>
      <c r="J9555" s="26" t="str">
        <f t="shared" si="1085"/>
        <v/>
      </c>
    </row>
    <row r="9556" spans="1:10" x14ac:dyDescent="0.25">
      <c r="A9556" t="s">
        <v>111</v>
      </c>
      <c r="B9556" t="str">
        <f>ADDRESS(ROW(Parcels!B828),COLUMN(Parcels!B828),4)</f>
        <v>B828</v>
      </c>
      <c r="C9556" t="str">
        <f>ADDRESS(ROW(Parcels!D828),COLUMN(Parcels!D828),4)</f>
        <v>D828</v>
      </c>
      <c r="D9556" t="b">
        <f>IF(AND(Parcels!$B$6="Yes",NOT(ISBLANK(Parcels!A828)),ISBLANK(Parcels!B828)),TRUE,FALSE)</f>
        <v>0</v>
      </c>
      <c r="E9556" t="s">
        <v>64</v>
      </c>
      <c r="F9556" t="str">
        <f>INDEX(Lists!I:I,MATCH(Validation!E9556,Lists!G:G,0))</f>
        <v>Error</v>
      </c>
      <c r="G9556" t="str">
        <f>INDEX(Lists!H:H,MATCH(Validation!E9556,Lists!G:G,0))</f>
        <v>You must make a selection from the dropdown list.</v>
      </c>
      <c r="H9556" s="25" t="str">
        <f t="shared" ca="1" si="1083"/>
        <v/>
      </c>
      <c r="I9556" s="25" t="str">
        <f t="shared" ca="1" si="1084"/>
        <v/>
      </c>
      <c r="J9556" s="26" t="str">
        <f t="shared" si="1085"/>
        <v/>
      </c>
    </row>
    <row r="9557" spans="1:10" x14ac:dyDescent="0.25">
      <c r="A9557" t="s">
        <v>111</v>
      </c>
      <c r="B9557" t="str">
        <f>ADDRESS(ROW(Parcels!B829),COLUMN(Parcels!B829),4)</f>
        <v>B829</v>
      </c>
      <c r="C9557" t="str">
        <f>ADDRESS(ROW(Parcels!D829),COLUMN(Parcels!D829),4)</f>
        <v>D829</v>
      </c>
      <c r="D9557" t="b">
        <f>IF(AND(Parcels!$B$6="Yes",NOT(ISBLANK(Parcels!A829)),ISBLANK(Parcels!B829)),TRUE,FALSE)</f>
        <v>0</v>
      </c>
      <c r="E9557" t="s">
        <v>64</v>
      </c>
      <c r="F9557" t="str">
        <f>INDEX(Lists!I:I,MATCH(Validation!E9557,Lists!G:G,0))</f>
        <v>Error</v>
      </c>
      <c r="G9557" t="str">
        <f>INDEX(Lists!H:H,MATCH(Validation!E9557,Lists!G:G,0))</f>
        <v>You must make a selection from the dropdown list.</v>
      </c>
      <c r="H9557" s="25" t="str">
        <f t="shared" ca="1" si="1083"/>
        <v/>
      </c>
      <c r="I9557" s="25" t="str">
        <f t="shared" ca="1" si="1084"/>
        <v/>
      </c>
      <c r="J9557" s="26" t="str">
        <f t="shared" si="1085"/>
        <v/>
      </c>
    </row>
    <row r="9558" spans="1:10" x14ac:dyDescent="0.25">
      <c r="A9558" t="s">
        <v>111</v>
      </c>
      <c r="B9558" t="str">
        <f>ADDRESS(ROW(Parcels!B830),COLUMN(Parcels!B830),4)</f>
        <v>B830</v>
      </c>
      <c r="C9558" t="str">
        <f>ADDRESS(ROW(Parcels!D830),COLUMN(Parcels!D830),4)</f>
        <v>D830</v>
      </c>
      <c r="D9558" t="b">
        <f>IF(AND(Parcels!$B$6="Yes",NOT(ISBLANK(Parcels!A830)),ISBLANK(Parcels!B830)),TRUE,FALSE)</f>
        <v>0</v>
      </c>
      <c r="E9558" t="s">
        <v>64</v>
      </c>
      <c r="F9558" t="str">
        <f>INDEX(Lists!I:I,MATCH(Validation!E9558,Lists!G:G,0))</f>
        <v>Error</v>
      </c>
      <c r="G9558" t="str">
        <f>INDEX(Lists!H:H,MATCH(Validation!E9558,Lists!G:G,0))</f>
        <v>You must make a selection from the dropdown list.</v>
      </c>
      <c r="H9558" s="25" t="str">
        <f t="shared" ca="1" si="1083"/>
        <v/>
      </c>
      <c r="I9558" s="25" t="str">
        <f t="shared" ca="1" si="1084"/>
        <v/>
      </c>
      <c r="J9558" s="26" t="str">
        <f t="shared" si="1085"/>
        <v/>
      </c>
    </row>
    <row r="9559" spans="1:10" x14ac:dyDescent="0.25">
      <c r="A9559" t="s">
        <v>111</v>
      </c>
      <c r="B9559" t="str">
        <f>ADDRESS(ROW(Parcels!B831),COLUMN(Parcels!B831),4)</f>
        <v>B831</v>
      </c>
      <c r="C9559" t="str">
        <f>ADDRESS(ROW(Parcels!D831),COLUMN(Parcels!D831),4)</f>
        <v>D831</v>
      </c>
      <c r="D9559" t="b">
        <f>IF(AND(Parcels!$B$6="Yes",NOT(ISBLANK(Parcels!A831)),ISBLANK(Parcels!B831)),TRUE,FALSE)</f>
        <v>0</v>
      </c>
      <c r="E9559" t="s">
        <v>64</v>
      </c>
      <c r="F9559" t="str">
        <f>INDEX(Lists!I:I,MATCH(Validation!E9559,Lists!G:G,0))</f>
        <v>Error</v>
      </c>
      <c r="G9559" t="str">
        <f>INDEX(Lists!H:H,MATCH(Validation!E9559,Lists!G:G,0))</f>
        <v>You must make a selection from the dropdown list.</v>
      </c>
      <c r="H9559" s="25" t="str">
        <f t="shared" ca="1" si="1083"/>
        <v/>
      </c>
      <c r="I9559" s="25" t="str">
        <f t="shared" ca="1" si="1084"/>
        <v/>
      </c>
      <c r="J9559" s="26" t="str">
        <f t="shared" si="1085"/>
        <v/>
      </c>
    </row>
    <row r="9560" spans="1:10" x14ac:dyDescent="0.25">
      <c r="A9560" t="s">
        <v>111</v>
      </c>
      <c r="B9560" t="str">
        <f>ADDRESS(ROW(Parcels!B832),COLUMN(Parcels!B832),4)</f>
        <v>B832</v>
      </c>
      <c r="C9560" t="str">
        <f>ADDRESS(ROW(Parcels!D832),COLUMN(Parcels!D832),4)</f>
        <v>D832</v>
      </c>
      <c r="D9560" t="b">
        <f>IF(AND(Parcels!$B$6="Yes",NOT(ISBLANK(Parcels!A832)),ISBLANK(Parcels!B832)),TRUE,FALSE)</f>
        <v>0</v>
      </c>
      <c r="E9560" t="s">
        <v>64</v>
      </c>
      <c r="F9560" t="str">
        <f>INDEX(Lists!I:I,MATCH(Validation!E9560,Lists!G:G,0))</f>
        <v>Error</v>
      </c>
      <c r="G9560" t="str">
        <f>INDEX(Lists!H:H,MATCH(Validation!E9560,Lists!G:G,0))</f>
        <v>You must make a selection from the dropdown list.</v>
      </c>
      <c r="H9560" s="25" t="str">
        <f t="shared" ca="1" si="1083"/>
        <v/>
      </c>
      <c r="I9560" s="25" t="str">
        <f t="shared" ca="1" si="1084"/>
        <v/>
      </c>
      <c r="J9560" s="26" t="str">
        <f t="shared" si="1085"/>
        <v/>
      </c>
    </row>
    <row r="9561" spans="1:10" x14ac:dyDescent="0.25">
      <c r="A9561" t="s">
        <v>111</v>
      </c>
      <c r="B9561" t="str">
        <f>ADDRESS(ROW(Parcels!B833),COLUMN(Parcels!B833),4)</f>
        <v>B833</v>
      </c>
      <c r="C9561" t="str">
        <f>ADDRESS(ROW(Parcels!D833),COLUMN(Parcels!D833),4)</f>
        <v>D833</v>
      </c>
      <c r="D9561" t="b">
        <f>IF(AND(Parcels!$B$6="Yes",NOT(ISBLANK(Parcels!A833)),ISBLANK(Parcels!B833)),TRUE,FALSE)</f>
        <v>0</v>
      </c>
      <c r="E9561" t="s">
        <v>64</v>
      </c>
      <c r="F9561" t="str">
        <f>INDEX(Lists!I:I,MATCH(Validation!E9561,Lists!G:G,0))</f>
        <v>Error</v>
      </c>
      <c r="G9561" t="str">
        <f>INDEX(Lists!H:H,MATCH(Validation!E9561,Lists!G:G,0))</f>
        <v>You must make a selection from the dropdown list.</v>
      </c>
      <c r="H9561" s="25" t="str">
        <f t="shared" ca="1" si="1083"/>
        <v/>
      </c>
      <c r="I9561" s="25" t="str">
        <f t="shared" ca="1" si="1084"/>
        <v/>
      </c>
      <c r="J9561" s="26" t="str">
        <f t="shared" si="1085"/>
        <v/>
      </c>
    </row>
    <row r="9562" spans="1:10" x14ac:dyDescent="0.25">
      <c r="A9562" t="s">
        <v>111</v>
      </c>
      <c r="B9562" t="str">
        <f>ADDRESS(ROW(Parcels!B834),COLUMN(Parcels!B834),4)</f>
        <v>B834</v>
      </c>
      <c r="C9562" t="str">
        <f>ADDRESS(ROW(Parcels!D834),COLUMN(Parcels!D834),4)</f>
        <v>D834</v>
      </c>
      <c r="D9562" t="b">
        <f>IF(AND(Parcels!$B$6="Yes",NOT(ISBLANK(Parcels!A834)),ISBLANK(Parcels!B834)),TRUE,FALSE)</f>
        <v>0</v>
      </c>
      <c r="E9562" t="s">
        <v>64</v>
      </c>
      <c r="F9562" t="str">
        <f>INDEX(Lists!I:I,MATCH(Validation!E9562,Lists!G:G,0))</f>
        <v>Error</v>
      </c>
      <c r="G9562" t="str">
        <f>INDEX(Lists!H:H,MATCH(Validation!E9562,Lists!G:G,0))</f>
        <v>You must make a selection from the dropdown list.</v>
      </c>
      <c r="H9562" s="25" t="str">
        <f t="shared" ca="1" si="1083"/>
        <v/>
      </c>
      <c r="I9562" s="25" t="str">
        <f t="shared" ca="1" si="1084"/>
        <v/>
      </c>
      <c r="J9562" s="26" t="str">
        <f t="shared" si="1085"/>
        <v/>
      </c>
    </row>
    <row r="9563" spans="1:10" x14ac:dyDescent="0.25">
      <c r="A9563" t="s">
        <v>111</v>
      </c>
      <c r="B9563" t="str">
        <f>ADDRESS(ROW(Parcels!B835),COLUMN(Parcels!B835),4)</f>
        <v>B835</v>
      </c>
      <c r="C9563" t="str">
        <f>ADDRESS(ROW(Parcels!D835),COLUMN(Parcels!D835),4)</f>
        <v>D835</v>
      </c>
      <c r="D9563" t="b">
        <f>IF(AND(Parcels!$B$6="Yes",NOT(ISBLANK(Parcels!A835)),ISBLANK(Parcels!B835)),TRUE,FALSE)</f>
        <v>0</v>
      </c>
      <c r="E9563" t="s">
        <v>64</v>
      </c>
      <c r="F9563" t="str">
        <f>INDEX(Lists!I:I,MATCH(Validation!E9563,Lists!G:G,0))</f>
        <v>Error</v>
      </c>
      <c r="G9563" t="str">
        <f>INDEX(Lists!H:H,MATCH(Validation!E9563,Lists!G:G,0))</f>
        <v>You must make a selection from the dropdown list.</v>
      </c>
      <c r="H9563" s="25" t="str">
        <f t="shared" ca="1" si="1083"/>
        <v/>
      </c>
      <c r="I9563" s="25" t="str">
        <f t="shared" ca="1" si="1084"/>
        <v/>
      </c>
      <c r="J9563" s="26" t="str">
        <f t="shared" si="1085"/>
        <v/>
      </c>
    </row>
    <row r="9564" spans="1:10" x14ac:dyDescent="0.25">
      <c r="A9564" t="s">
        <v>111</v>
      </c>
      <c r="B9564" t="str">
        <f>ADDRESS(ROW(Parcels!B836),COLUMN(Parcels!B836),4)</f>
        <v>B836</v>
      </c>
      <c r="C9564" t="str">
        <f>ADDRESS(ROW(Parcels!D836),COLUMN(Parcels!D836),4)</f>
        <v>D836</v>
      </c>
      <c r="D9564" t="b">
        <f>IF(AND(Parcels!$B$6="Yes",NOT(ISBLANK(Parcels!A836)),ISBLANK(Parcels!B836)),TRUE,FALSE)</f>
        <v>0</v>
      </c>
      <c r="E9564" t="s">
        <v>64</v>
      </c>
      <c r="F9564" t="str">
        <f>INDEX(Lists!I:I,MATCH(Validation!E9564,Lists!G:G,0))</f>
        <v>Error</v>
      </c>
      <c r="G9564" t="str">
        <f>INDEX(Lists!H:H,MATCH(Validation!E9564,Lists!G:G,0))</f>
        <v>You must make a selection from the dropdown list.</v>
      </c>
      <c r="H9564" s="25" t="str">
        <f t="shared" ca="1" si="1083"/>
        <v/>
      </c>
      <c r="I9564" s="25" t="str">
        <f t="shared" ca="1" si="1084"/>
        <v/>
      </c>
      <c r="J9564" s="26" t="str">
        <f t="shared" si="1085"/>
        <v/>
      </c>
    </row>
    <row r="9565" spans="1:10" x14ac:dyDescent="0.25">
      <c r="A9565" t="s">
        <v>111</v>
      </c>
      <c r="B9565" t="str">
        <f>ADDRESS(ROW(Parcels!B837),COLUMN(Parcels!B837),4)</f>
        <v>B837</v>
      </c>
      <c r="C9565" t="str">
        <f>ADDRESS(ROW(Parcels!D837),COLUMN(Parcels!D837),4)</f>
        <v>D837</v>
      </c>
      <c r="D9565" t="b">
        <f>IF(AND(Parcels!$B$6="Yes",NOT(ISBLANK(Parcels!A837)),ISBLANK(Parcels!B837)),TRUE,FALSE)</f>
        <v>0</v>
      </c>
      <c r="E9565" t="s">
        <v>64</v>
      </c>
      <c r="F9565" t="str">
        <f>INDEX(Lists!I:I,MATCH(Validation!E9565,Lists!G:G,0))</f>
        <v>Error</v>
      </c>
      <c r="G9565" t="str">
        <f>INDEX(Lists!H:H,MATCH(Validation!E9565,Lists!G:G,0))</f>
        <v>You must make a selection from the dropdown list.</v>
      </c>
      <c r="H9565" s="25" t="str">
        <f t="shared" ca="1" si="1083"/>
        <v/>
      </c>
      <c r="I9565" s="25" t="str">
        <f t="shared" ca="1" si="1084"/>
        <v/>
      </c>
      <c r="J9565" s="26" t="str">
        <f t="shared" si="1085"/>
        <v/>
      </c>
    </row>
    <row r="9566" spans="1:10" x14ac:dyDescent="0.25">
      <c r="A9566" t="s">
        <v>111</v>
      </c>
      <c r="B9566" t="str">
        <f>ADDRESS(ROW(Parcels!B838),COLUMN(Parcels!B838),4)</f>
        <v>B838</v>
      </c>
      <c r="C9566" t="str">
        <f>ADDRESS(ROW(Parcels!D838),COLUMN(Parcels!D838),4)</f>
        <v>D838</v>
      </c>
      <c r="D9566" t="b">
        <f>IF(AND(Parcels!$B$6="Yes",NOT(ISBLANK(Parcels!A838)),ISBLANK(Parcels!B838)),TRUE,FALSE)</f>
        <v>0</v>
      </c>
      <c r="E9566" t="s">
        <v>64</v>
      </c>
      <c r="F9566" t="str">
        <f>INDEX(Lists!I:I,MATCH(Validation!E9566,Lists!G:G,0))</f>
        <v>Error</v>
      </c>
      <c r="G9566" t="str">
        <f>INDEX(Lists!H:H,MATCH(Validation!E9566,Lists!G:G,0))</f>
        <v>You must make a selection from the dropdown list.</v>
      </c>
      <c r="H9566" s="25" t="str">
        <f t="shared" ca="1" si="1083"/>
        <v/>
      </c>
      <c r="I9566" s="25" t="str">
        <f t="shared" ca="1" si="1084"/>
        <v/>
      </c>
      <c r="J9566" s="26" t="str">
        <f t="shared" si="1085"/>
        <v/>
      </c>
    </row>
    <row r="9567" spans="1:10" x14ac:dyDescent="0.25">
      <c r="A9567" t="s">
        <v>111</v>
      </c>
      <c r="B9567" t="str">
        <f>ADDRESS(ROW(Parcels!B839),COLUMN(Parcels!B839),4)</f>
        <v>B839</v>
      </c>
      <c r="C9567" t="str">
        <f>ADDRESS(ROW(Parcels!D839),COLUMN(Parcels!D839),4)</f>
        <v>D839</v>
      </c>
      <c r="D9567" t="b">
        <f>IF(AND(Parcels!$B$6="Yes",NOT(ISBLANK(Parcels!A839)),ISBLANK(Parcels!B839)),TRUE,FALSE)</f>
        <v>0</v>
      </c>
      <c r="E9567" t="s">
        <v>64</v>
      </c>
      <c r="F9567" t="str">
        <f>INDEX(Lists!I:I,MATCH(Validation!E9567,Lists!G:G,0))</f>
        <v>Error</v>
      </c>
      <c r="G9567" t="str">
        <f>INDEX(Lists!H:H,MATCH(Validation!E9567,Lists!G:G,0))</f>
        <v>You must make a selection from the dropdown list.</v>
      </c>
      <c r="H9567" s="25" t="str">
        <f t="shared" ca="1" si="1083"/>
        <v/>
      </c>
      <c r="I9567" s="25" t="str">
        <f t="shared" ca="1" si="1084"/>
        <v/>
      </c>
      <c r="J9567" s="26" t="str">
        <f t="shared" si="1085"/>
        <v/>
      </c>
    </row>
    <row r="9568" spans="1:10" x14ac:dyDescent="0.25">
      <c r="A9568" t="s">
        <v>111</v>
      </c>
      <c r="B9568" t="str">
        <f>ADDRESS(ROW(Parcels!B840),COLUMN(Parcels!B840),4)</f>
        <v>B840</v>
      </c>
      <c r="C9568" t="str">
        <f>ADDRESS(ROW(Parcels!D840),COLUMN(Parcels!D840),4)</f>
        <v>D840</v>
      </c>
      <c r="D9568" t="b">
        <f>IF(AND(Parcels!$B$6="Yes",NOT(ISBLANK(Parcels!A840)),ISBLANK(Parcels!B840)),TRUE,FALSE)</f>
        <v>0</v>
      </c>
      <c r="E9568" t="s">
        <v>64</v>
      </c>
      <c r="F9568" t="str">
        <f>INDEX(Lists!I:I,MATCH(Validation!E9568,Lists!G:G,0))</f>
        <v>Error</v>
      </c>
      <c r="G9568" t="str">
        <f>INDEX(Lists!H:H,MATCH(Validation!E9568,Lists!G:G,0))</f>
        <v>You must make a selection from the dropdown list.</v>
      </c>
      <c r="H9568" s="25" t="str">
        <f t="shared" ref="H9568:H9578" ca="1" si="1086">IFERROR(IF(OR(NOT(D9568),F9568&lt;&gt;"Error"),"",A9568&amp;CELL("address",INDIRECT(B9568))),"")</f>
        <v/>
      </c>
      <c r="I9568" s="25" t="str">
        <f t="shared" ref="I9568:I9578" ca="1" si="1087">IFERROR(IF(NOT(D9568),"",A9568&amp;CELL("address",INDIRECT(C9568))),"")</f>
        <v/>
      </c>
      <c r="J9568" s="26" t="str">
        <f t="shared" ref="J9568:J9578" si="1088">IFERROR(IF(NOT(D9568),"",A9568),"")</f>
        <v/>
      </c>
    </row>
    <row r="9569" spans="1:10" x14ac:dyDescent="0.25">
      <c r="A9569" t="s">
        <v>111</v>
      </c>
      <c r="B9569" t="str">
        <f>ADDRESS(ROW(Parcels!B841),COLUMN(Parcels!B841),4)</f>
        <v>B841</v>
      </c>
      <c r="C9569" t="str">
        <f>ADDRESS(ROW(Parcels!D841),COLUMN(Parcels!D841),4)</f>
        <v>D841</v>
      </c>
      <c r="D9569" t="b">
        <f>IF(AND(Parcels!$B$6="Yes",NOT(ISBLANK(Parcels!A841)),ISBLANK(Parcels!B841)),TRUE,FALSE)</f>
        <v>0</v>
      </c>
      <c r="E9569" t="s">
        <v>64</v>
      </c>
      <c r="F9569" t="str">
        <f>INDEX(Lists!I:I,MATCH(Validation!E9569,Lists!G:G,0))</f>
        <v>Error</v>
      </c>
      <c r="G9569" t="str">
        <f>INDEX(Lists!H:H,MATCH(Validation!E9569,Lists!G:G,0))</f>
        <v>You must make a selection from the dropdown list.</v>
      </c>
      <c r="H9569" s="25" t="str">
        <f t="shared" ca="1" si="1086"/>
        <v/>
      </c>
      <c r="I9569" s="25" t="str">
        <f t="shared" ca="1" si="1087"/>
        <v/>
      </c>
      <c r="J9569" s="26" t="str">
        <f t="shared" si="1088"/>
        <v/>
      </c>
    </row>
    <row r="9570" spans="1:10" x14ac:dyDescent="0.25">
      <c r="A9570" t="s">
        <v>111</v>
      </c>
      <c r="B9570" t="str">
        <f>ADDRESS(ROW(Parcels!B842),COLUMN(Parcels!B842),4)</f>
        <v>B842</v>
      </c>
      <c r="C9570" t="str">
        <f>ADDRESS(ROW(Parcels!D842),COLUMN(Parcels!D842),4)</f>
        <v>D842</v>
      </c>
      <c r="D9570" t="b">
        <f>IF(AND(Parcels!$B$6="Yes",NOT(ISBLANK(Parcels!A842)),ISBLANK(Parcels!B842)),TRUE,FALSE)</f>
        <v>0</v>
      </c>
      <c r="E9570" t="s">
        <v>64</v>
      </c>
      <c r="F9570" t="str">
        <f>INDEX(Lists!I:I,MATCH(Validation!E9570,Lists!G:G,0))</f>
        <v>Error</v>
      </c>
      <c r="G9570" t="str">
        <f>INDEX(Lists!H:H,MATCH(Validation!E9570,Lists!G:G,0))</f>
        <v>You must make a selection from the dropdown list.</v>
      </c>
      <c r="H9570" s="25" t="str">
        <f t="shared" ca="1" si="1086"/>
        <v/>
      </c>
      <c r="I9570" s="25" t="str">
        <f t="shared" ca="1" si="1087"/>
        <v/>
      </c>
      <c r="J9570" s="26" t="str">
        <f t="shared" si="1088"/>
        <v/>
      </c>
    </row>
    <row r="9571" spans="1:10" x14ac:dyDescent="0.25">
      <c r="A9571" t="s">
        <v>111</v>
      </c>
      <c r="B9571" t="str">
        <f>ADDRESS(ROW(Parcels!B843),COLUMN(Parcels!B843),4)</f>
        <v>B843</v>
      </c>
      <c r="C9571" t="str">
        <f>ADDRESS(ROW(Parcels!D843),COLUMN(Parcels!D843),4)</f>
        <v>D843</v>
      </c>
      <c r="D9571" t="b">
        <f>IF(AND(Parcels!$B$6="Yes",NOT(ISBLANK(Parcels!A843)),ISBLANK(Parcels!B843)),TRUE,FALSE)</f>
        <v>0</v>
      </c>
      <c r="E9571" t="s">
        <v>64</v>
      </c>
      <c r="F9571" t="str">
        <f>INDEX(Lists!I:I,MATCH(Validation!E9571,Lists!G:G,0))</f>
        <v>Error</v>
      </c>
      <c r="G9571" t="str">
        <f>INDEX(Lists!H:H,MATCH(Validation!E9571,Lists!G:G,0))</f>
        <v>You must make a selection from the dropdown list.</v>
      </c>
      <c r="H9571" s="25" t="str">
        <f t="shared" ca="1" si="1086"/>
        <v/>
      </c>
      <c r="I9571" s="25" t="str">
        <f t="shared" ca="1" si="1087"/>
        <v/>
      </c>
      <c r="J9571" s="26" t="str">
        <f t="shared" si="1088"/>
        <v/>
      </c>
    </row>
    <row r="9572" spans="1:10" x14ac:dyDescent="0.25">
      <c r="A9572" t="s">
        <v>111</v>
      </c>
      <c r="B9572" t="str">
        <f>ADDRESS(ROW(Parcels!B844),COLUMN(Parcels!B844),4)</f>
        <v>B844</v>
      </c>
      <c r="C9572" t="str">
        <f>ADDRESS(ROW(Parcels!D844),COLUMN(Parcels!D844),4)</f>
        <v>D844</v>
      </c>
      <c r="D9572" t="b">
        <f>IF(AND(Parcels!$B$6="Yes",NOT(ISBLANK(Parcels!A844)),ISBLANK(Parcels!B844)),TRUE,FALSE)</f>
        <v>0</v>
      </c>
      <c r="E9572" t="s">
        <v>64</v>
      </c>
      <c r="F9572" t="str">
        <f>INDEX(Lists!I:I,MATCH(Validation!E9572,Lists!G:G,0))</f>
        <v>Error</v>
      </c>
      <c r="G9572" t="str">
        <f>INDEX(Lists!H:H,MATCH(Validation!E9572,Lists!G:G,0))</f>
        <v>You must make a selection from the dropdown list.</v>
      </c>
      <c r="H9572" s="25" t="str">
        <f t="shared" ca="1" si="1086"/>
        <v/>
      </c>
      <c r="I9572" s="25" t="str">
        <f t="shared" ca="1" si="1087"/>
        <v/>
      </c>
      <c r="J9572" s="26" t="str">
        <f t="shared" si="1088"/>
        <v/>
      </c>
    </row>
    <row r="9573" spans="1:10" x14ac:dyDescent="0.25">
      <c r="A9573" t="s">
        <v>111</v>
      </c>
      <c r="B9573" t="str">
        <f>ADDRESS(ROW(Parcels!B845),COLUMN(Parcels!B845),4)</f>
        <v>B845</v>
      </c>
      <c r="C9573" t="str">
        <f>ADDRESS(ROW(Parcels!D845),COLUMN(Parcels!D845),4)</f>
        <v>D845</v>
      </c>
      <c r="D9573" t="b">
        <f>IF(AND(Parcels!$B$6="Yes",NOT(ISBLANK(Parcels!A845)),ISBLANK(Parcels!B845)),TRUE,FALSE)</f>
        <v>0</v>
      </c>
      <c r="E9573" t="s">
        <v>64</v>
      </c>
      <c r="F9573" t="str">
        <f>INDEX(Lists!I:I,MATCH(Validation!E9573,Lists!G:G,0))</f>
        <v>Error</v>
      </c>
      <c r="G9573" t="str">
        <f>INDEX(Lists!H:H,MATCH(Validation!E9573,Lists!G:G,0))</f>
        <v>You must make a selection from the dropdown list.</v>
      </c>
      <c r="H9573" s="25" t="str">
        <f t="shared" ca="1" si="1086"/>
        <v/>
      </c>
      <c r="I9573" s="25" t="str">
        <f t="shared" ca="1" si="1087"/>
        <v/>
      </c>
      <c r="J9573" s="26" t="str">
        <f t="shared" si="1088"/>
        <v/>
      </c>
    </row>
    <row r="9574" spans="1:10" x14ac:dyDescent="0.25">
      <c r="A9574" t="s">
        <v>111</v>
      </c>
      <c r="B9574" t="str">
        <f>ADDRESS(ROW(Parcels!B846),COLUMN(Parcels!B846),4)</f>
        <v>B846</v>
      </c>
      <c r="C9574" t="str">
        <f>ADDRESS(ROW(Parcels!D846),COLUMN(Parcels!D846),4)</f>
        <v>D846</v>
      </c>
      <c r="D9574" t="b">
        <f>IF(AND(Parcels!$B$6="Yes",NOT(ISBLANK(Parcels!A846)),ISBLANK(Parcels!B846)),TRUE,FALSE)</f>
        <v>0</v>
      </c>
      <c r="E9574" t="s">
        <v>64</v>
      </c>
      <c r="F9574" t="str">
        <f>INDEX(Lists!I:I,MATCH(Validation!E9574,Lists!G:G,0))</f>
        <v>Error</v>
      </c>
      <c r="G9574" t="str">
        <f>INDEX(Lists!H:H,MATCH(Validation!E9574,Lists!G:G,0))</f>
        <v>You must make a selection from the dropdown list.</v>
      </c>
      <c r="H9574" s="25" t="str">
        <f t="shared" ca="1" si="1086"/>
        <v/>
      </c>
      <c r="I9574" s="25" t="str">
        <f t="shared" ca="1" si="1087"/>
        <v/>
      </c>
      <c r="J9574" s="26" t="str">
        <f t="shared" si="1088"/>
        <v/>
      </c>
    </row>
    <row r="9575" spans="1:10" x14ac:dyDescent="0.25">
      <c r="A9575" t="s">
        <v>111</v>
      </c>
      <c r="B9575" t="str">
        <f>ADDRESS(ROW(Parcels!B847),COLUMN(Parcels!B847),4)</f>
        <v>B847</v>
      </c>
      <c r="C9575" t="str">
        <f>ADDRESS(ROW(Parcels!D847),COLUMN(Parcels!D847),4)</f>
        <v>D847</v>
      </c>
      <c r="D9575" t="b">
        <f>IF(AND(Parcels!$B$6="Yes",NOT(ISBLANK(Parcels!A847)),ISBLANK(Parcels!B847)),TRUE,FALSE)</f>
        <v>0</v>
      </c>
      <c r="E9575" t="s">
        <v>64</v>
      </c>
      <c r="F9575" t="str">
        <f>INDEX(Lists!I:I,MATCH(Validation!E9575,Lists!G:G,0))</f>
        <v>Error</v>
      </c>
      <c r="G9575" t="str">
        <f>INDEX(Lists!H:H,MATCH(Validation!E9575,Lists!G:G,0))</f>
        <v>You must make a selection from the dropdown list.</v>
      </c>
      <c r="H9575" s="25" t="str">
        <f t="shared" ca="1" si="1086"/>
        <v/>
      </c>
      <c r="I9575" s="25" t="str">
        <f t="shared" ca="1" si="1087"/>
        <v/>
      </c>
      <c r="J9575" s="26" t="str">
        <f t="shared" si="1088"/>
        <v/>
      </c>
    </row>
    <row r="9576" spans="1:10" x14ac:dyDescent="0.25">
      <c r="A9576" t="s">
        <v>111</v>
      </c>
      <c r="B9576" t="str">
        <f>ADDRESS(ROW(Parcels!B848),COLUMN(Parcels!B848),4)</f>
        <v>B848</v>
      </c>
      <c r="C9576" t="str">
        <f>ADDRESS(ROW(Parcels!D848),COLUMN(Parcels!D848),4)</f>
        <v>D848</v>
      </c>
      <c r="D9576" t="b">
        <f>IF(AND(Parcels!$B$6="Yes",NOT(ISBLANK(Parcels!A848)),ISBLANK(Parcels!B848)),TRUE,FALSE)</f>
        <v>0</v>
      </c>
      <c r="E9576" t="s">
        <v>64</v>
      </c>
      <c r="F9576" t="str">
        <f>INDEX(Lists!I:I,MATCH(Validation!E9576,Lists!G:G,0))</f>
        <v>Error</v>
      </c>
      <c r="G9576" t="str">
        <f>INDEX(Lists!H:H,MATCH(Validation!E9576,Lists!G:G,0))</f>
        <v>You must make a selection from the dropdown list.</v>
      </c>
      <c r="H9576" s="25" t="str">
        <f t="shared" ca="1" si="1086"/>
        <v/>
      </c>
      <c r="I9576" s="25" t="str">
        <f t="shared" ca="1" si="1087"/>
        <v/>
      </c>
      <c r="J9576" s="26" t="str">
        <f t="shared" si="1088"/>
        <v/>
      </c>
    </row>
    <row r="9577" spans="1:10" x14ac:dyDescent="0.25">
      <c r="A9577" t="s">
        <v>111</v>
      </c>
      <c r="B9577" t="str">
        <f>ADDRESS(ROW(Parcels!B849),COLUMN(Parcels!B849),4)</f>
        <v>B849</v>
      </c>
      <c r="C9577" t="str">
        <f>ADDRESS(ROW(Parcels!D849),COLUMN(Parcels!D849),4)</f>
        <v>D849</v>
      </c>
      <c r="D9577" t="b">
        <f>IF(AND(Parcels!$B$6="Yes",NOT(ISBLANK(Parcels!A849)),ISBLANK(Parcels!B849)),TRUE,FALSE)</f>
        <v>0</v>
      </c>
      <c r="E9577" t="s">
        <v>64</v>
      </c>
      <c r="F9577" t="str">
        <f>INDEX(Lists!I:I,MATCH(Validation!E9577,Lists!G:G,0))</f>
        <v>Error</v>
      </c>
      <c r="G9577" t="str">
        <f>INDEX(Lists!H:H,MATCH(Validation!E9577,Lists!G:G,0))</f>
        <v>You must make a selection from the dropdown list.</v>
      </c>
      <c r="H9577" s="25" t="str">
        <f t="shared" ca="1" si="1086"/>
        <v/>
      </c>
      <c r="I9577" s="25" t="str">
        <f t="shared" ca="1" si="1087"/>
        <v/>
      </c>
      <c r="J9577" s="26" t="str">
        <f t="shared" si="1088"/>
        <v/>
      </c>
    </row>
    <row r="9578" spans="1:10" x14ac:dyDescent="0.25">
      <c r="A9578" t="s">
        <v>111</v>
      </c>
      <c r="B9578" t="str">
        <f>ADDRESS(ROW(Parcels!B850),COLUMN(Parcels!B850),4)</f>
        <v>B850</v>
      </c>
      <c r="C9578" t="str">
        <f>ADDRESS(ROW(Parcels!D850),COLUMN(Parcels!D850),4)</f>
        <v>D850</v>
      </c>
      <c r="D9578" t="b">
        <f>IF(AND(Parcels!$B$6="Yes",NOT(ISBLANK(Parcels!A850)),ISBLANK(Parcels!B850)),TRUE,FALSE)</f>
        <v>0</v>
      </c>
      <c r="E9578" t="s">
        <v>64</v>
      </c>
      <c r="F9578" t="str">
        <f>INDEX(Lists!I:I,MATCH(Validation!E9578,Lists!G:G,0))</f>
        <v>Error</v>
      </c>
      <c r="G9578" t="str">
        <f>INDEX(Lists!H:H,MATCH(Validation!E9578,Lists!G:G,0))</f>
        <v>You must make a selection from the dropdown list.</v>
      </c>
      <c r="H9578" s="25" t="str">
        <f t="shared" ca="1" si="1086"/>
        <v/>
      </c>
      <c r="I9578" s="25" t="str">
        <f t="shared" ca="1" si="1087"/>
        <v/>
      </c>
      <c r="J9578" s="26" t="str">
        <f t="shared" si="1088"/>
        <v/>
      </c>
    </row>
    <row r="9579" spans="1:10" x14ac:dyDescent="0.25">
      <c r="A9579" t="s">
        <v>111</v>
      </c>
      <c r="B9579" t="str">
        <f>ADDRESS(ROW(TIF_DistrictYear_UserCommentsParcels),COLUMN(TIF_DistrictYear_UserCommentsParcels),4)</f>
        <v>A852</v>
      </c>
      <c r="C9579" t="str">
        <f>ADDRESS(ROW(Parcels!D$851),COLUMN(Parcels!D$851),4)</f>
        <v>D851</v>
      </c>
      <c r="D9579" t="b" cm="1">
        <f t="array" aca="1" ref="D9579" ca="1">IF(ISBLANK(INDIRECT("'"&amp;A9579&amp;"'!"&amp;B9579)),FALSE,IF(LEN(TRIM(CLEAN(INDIRECT("'"&amp;A9579&amp;"'!"&amp;B9579))))&lt;15,TRUE,FALSE))</f>
        <v>0</v>
      </c>
      <c r="E9579" t="s">
        <v>635</v>
      </c>
      <c r="F9579" t="str">
        <f>INDEX(Lists!I:I,MATCH(Validation!E9579,Lists!G:G,0))</f>
        <v>Error</v>
      </c>
      <c r="G9579" t="str">
        <f>INDEX(Lists!H:H,MATCH(Validation!E9579,Lists!G:G,0))</f>
        <v>Insufficient information. Please provide a longer comment.</v>
      </c>
      <c r="H9579" s="16" t="str">
        <f ca="1">IFERROR(IF(OR(NOT(D9579),F9579&lt;&gt;"Error"),"",A9579&amp;CELL("address",INDIRECT(B9579))),"")</f>
        <v/>
      </c>
      <c r="I9579" s="16" t="str">
        <f ca="1">IFERROR(IF(NOT(D9579),"",A9579&amp;CELL("address",INDIRECT(C9579))),"")</f>
        <v/>
      </c>
      <c r="J9579" s="17" t="str">
        <f ca="1">IFERROR(IF(NOT(D9579),"",A9579),"")</f>
        <v/>
      </c>
    </row>
    <row r="9580" spans="1:10" x14ac:dyDescent="0.25">
      <c r="A9580" t="s">
        <v>111</v>
      </c>
      <c r="B9580" t="str">
        <f>ADDRESS(ROW(TIF_DistrictYear_UserCommentsParcels),COLUMN(TIF_DistrictYear_UserCommentsParcels),4)</f>
        <v>A852</v>
      </c>
      <c r="C9580" t="str">
        <f>ADDRESS(ROW(Parcels!D$851),COLUMN(Parcels!D$851),4)</f>
        <v>D851</v>
      </c>
      <c r="D9580" t="b" cm="1">
        <f t="array" aca="1" ref="D9580" ca="1">IF(LEN(INDIRECT("'"&amp;A9580&amp;"'!"&amp;B9580))&gt;500,TRUE,FALSE)</f>
        <v>0</v>
      </c>
      <c r="E9580" t="s">
        <v>636</v>
      </c>
      <c r="F9580" t="str">
        <f>INDEX(Lists!I:I,MATCH(Validation!E9580,Lists!G:G,0))</f>
        <v>Error</v>
      </c>
      <c r="G9580" t="str">
        <f>INDEX(Lists!H:H,MATCH(Validation!E9580,Lists!G:G,0))</f>
        <v>Comments cannot exceed 500 characters. (Limit length. Send email to further explain.)</v>
      </c>
      <c r="H9580" s="16" t="str">
        <f ca="1">IFERROR(IF(OR(NOT(D9580),F9580&lt;&gt;"Error"),"",A9580&amp;CELL("address",INDIRECT(B9580))),"")</f>
        <v/>
      </c>
      <c r="I9580" s="16" t="str">
        <f ca="1">IFERROR(IF(NOT(D9580),"",A9580&amp;CELL("address",INDIRECT(C9580))),"")</f>
        <v/>
      </c>
      <c r="J9580" s="17" t="str">
        <f ca="1">IFERROR(IF(NOT(D9580),"",A9580),"")</f>
        <v/>
      </c>
    </row>
    <row r="9581" spans="1:10" x14ac:dyDescent="0.25">
      <c r="A9581" t="s">
        <v>111</v>
      </c>
      <c r="B9581" t="str">
        <f>ADDRESS(ROW(Parcels!B8),COLUMN(Parcels!B850),4)</f>
        <v>B8</v>
      </c>
      <c r="C9581" t="str">
        <f>ADDRESS(ROW(Parcels!D8),COLUMN(Parcels!D8),4)</f>
        <v>D8</v>
      </c>
      <c r="D9581" s="46" t="b">
        <f>IF(AND(Parcels!B8="Current",'Six-Yr Rule'!B9&lt;=Year_DestinationYearID),IF((SUMIFS('Bond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581" t="s">
        <v>1641</v>
      </c>
      <c r="F9581" t="str">
        <f>INDEX(Lists!I:I,MATCH(Validation!E9581,Lists!G:G,0))</f>
        <v>Alert</v>
      </c>
      <c r="G9581" t="str">
        <f>INDEX(Lists!H:H,MATCH(Validation!E9581,Lists!G:G,0))</f>
        <v>This parcel does not appear to be pledged to an outstanding in-district obligation.</v>
      </c>
      <c r="H9581" s="25" t="str">
        <f t="shared" ref="H9581" ca="1" si="1089">IFERROR(IF(OR(NOT(D9581),F9581&lt;&gt;"Error"),"",A9581&amp;CELL("address",INDIRECT(B9581))),"")</f>
        <v/>
      </c>
      <c r="I9581" s="25" t="str">
        <f t="shared" ref="I9581" ca="1" si="1090">IFERROR(IF(NOT(D9581),"",A9581&amp;CELL("address",INDIRECT(C9581))),"")</f>
        <v/>
      </c>
      <c r="J9581" s="26" t="str">
        <f t="shared" ref="J9581" si="1091">IFERROR(IF(NOT(D9581),"",A9581),"")</f>
        <v/>
      </c>
    </row>
    <row r="9582" spans="1:10" x14ac:dyDescent="0.25">
      <c r="A9582" t="s">
        <v>111</v>
      </c>
      <c r="B9582" t="str">
        <f>ADDRESS(ROW(Parcels!B9),COLUMN(Parcels!B851),4)</f>
        <v>B9</v>
      </c>
      <c r="C9582" t="str">
        <f>ADDRESS(ROW(Parcels!D9),COLUMN(Parcels!D9),4)</f>
        <v>D9</v>
      </c>
      <c r="D9582" s="46" t="b">
        <f>IF(AND(Parcels!B9="Current",'Six-Yr Rule'!B10&lt;=Year_DestinationYearID),IF((SUMIFS('Bond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582" t="s">
        <v>1641</v>
      </c>
      <c r="F9582" t="str">
        <f>INDEX(Lists!I:I,MATCH(Validation!E9582,Lists!G:G,0))</f>
        <v>Alert</v>
      </c>
      <c r="G9582" t="str">
        <f>INDEX(Lists!H:H,MATCH(Validation!E9582,Lists!G:G,0))</f>
        <v>This parcel does not appear to be pledged to an outstanding in-district obligation.</v>
      </c>
      <c r="H9582" s="25" t="str">
        <f t="shared" ref="H9582:H9591" ca="1" si="1092">IFERROR(IF(OR(NOT(D9582),F9582&lt;&gt;"Error"),"",A9582&amp;CELL("address",INDIRECT(B9582))),"")</f>
        <v/>
      </c>
      <c r="I9582" s="25" t="str">
        <f t="shared" ref="I9582:I9591" ca="1" si="1093">IFERROR(IF(NOT(D9582),"",A9582&amp;CELL("address",INDIRECT(C9582))),"")</f>
        <v/>
      </c>
      <c r="J9582" s="26" t="str">
        <f t="shared" ref="J9582:J9591" si="1094">IFERROR(IF(NOT(D9582),"",A9582),"")</f>
        <v/>
      </c>
    </row>
    <row r="9583" spans="1:10" x14ac:dyDescent="0.25">
      <c r="A9583" t="s">
        <v>111</v>
      </c>
      <c r="B9583" t="str">
        <f>ADDRESS(ROW(Parcels!B10),COLUMN(Parcels!B852),4)</f>
        <v>B10</v>
      </c>
      <c r="C9583" t="str">
        <f>ADDRESS(ROW(Parcels!D10),COLUMN(Parcels!D10),4)</f>
        <v>D10</v>
      </c>
      <c r="D9583" s="46" t="b">
        <f ca="1">IF(AND(Parcels!B10="Current",'Six-Yr Rule'!B11&lt;=Year_DestinationYearID),IF((SUMIFS('Bond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583" t="s">
        <v>1641</v>
      </c>
      <c r="F9583" t="str">
        <f>INDEX(Lists!I:I,MATCH(Validation!E9583,Lists!G:G,0))</f>
        <v>Alert</v>
      </c>
      <c r="G9583" t="str">
        <f>INDEX(Lists!H:H,MATCH(Validation!E9583,Lists!G:G,0))</f>
        <v>This parcel does not appear to be pledged to an outstanding in-district obligation.</v>
      </c>
      <c r="H9583" s="25" t="str">
        <f t="shared" ca="1" si="1092"/>
        <v/>
      </c>
      <c r="I9583" s="25" t="str">
        <f t="shared" ca="1" si="1093"/>
        <v/>
      </c>
      <c r="J9583" s="26" t="str">
        <f t="shared" ca="1" si="1094"/>
        <v/>
      </c>
    </row>
    <row r="9584" spans="1:10" x14ac:dyDescent="0.25">
      <c r="A9584" t="s">
        <v>111</v>
      </c>
      <c r="B9584" t="str">
        <f>ADDRESS(ROW(Parcels!B11),COLUMN(Parcels!B853),4)</f>
        <v>B11</v>
      </c>
      <c r="C9584" t="str">
        <f>ADDRESS(ROW(Parcels!D11),COLUMN(Parcels!D11),4)</f>
        <v>D11</v>
      </c>
      <c r="D9584" s="46" t="b">
        <f>IF(AND(Parcels!B11="Current",'Six-Yr Rule'!B12&lt;=Year_DestinationYearID),IF((SUMIFS('Bond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584" t="s">
        <v>1641</v>
      </c>
      <c r="F9584" t="str">
        <f>INDEX(Lists!I:I,MATCH(Validation!E9584,Lists!G:G,0))</f>
        <v>Alert</v>
      </c>
      <c r="G9584" t="str">
        <f>INDEX(Lists!H:H,MATCH(Validation!E9584,Lists!G:G,0))</f>
        <v>This parcel does not appear to be pledged to an outstanding in-district obligation.</v>
      </c>
      <c r="H9584" s="25" t="str">
        <f t="shared" ca="1" si="1092"/>
        <v/>
      </c>
      <c r="I9584" s="25" t="str">
        <f t="shared" ca="1" si="1093"/>
        <v/>
      </c>
      <c r="J9584" s="26" t="str">
        <f t="shared" si="1094"/>
        <v/>
      </c>
    </row>
    <row r="9585" spans="1:10" x14ac:dyDescent="0.25">
      <c r="A9585" t="s">
        <v>111</v>
      </c>
      <c r="B9585" t="str">
        <f>ADDRESS(ROW(Parcels!B12),COLUMN(Parcels!B854),4)</f>
        <v>B12</v>
      </c>
      <c r="C9585" t="str">
        <f>ADDRESS(ROW(Parcels!D12),COLUMN(Parcels!D12),4)</f>
        <v>D12</v>
      </c>
      <c r="D9585" s="46" t="b">
        <f ca="1">IF(AND(Parcels!B12="Current",'Six-Yr Rule'!B13&lt;=Year_DestinationYearID),IF((SUMIFS('Bond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585" t="s">
        <v>1641</v>
      </c>
      <c r="F9585" t="str">
        <f>INDEX(Lists!I:I,MATCH(Validation!E9585,Lists!G:G,0))</f>
        <v>Alert</v>
      </c>
      <c r="G9585" t="str">
        <f>INDEX(Lists!H:H,MATCH(Validation!E9585,Lists!G:G,0))</f>
        <v>This parcel does not appear to be pledged to an outstanding in-district obligation.</v>
      </c>
      <c r="H9585" s="25" t="str">
        <f t="shared" ca="1" si="1092"/>
        <v/>
      </c>
      <c r="I9585" s="25" t="str">
        <f t="shared" ca="1" si="1093"/>
        <v/>
      </c>
      <c r="J9585" s="26" t="str">
        <f t="shared" ca="1" si="1094"/>
        <v/>
      </c>
    </row>
    <row r="9586" spans="1:10" x14ac:dyDescent="0.25">
      <c r="A9586" t="s">
        <v>111</v>
      </c>
      <c r="B9586" t="str">
        <f>ADDRESS(ROW(Parcels!B13),COLUMN(Parcels!B855),4)</f>
        <v>B13</v>
      </c>
      <c r="C9586" t="str">
        <f>ADDRESS(ROW(Parcels!D13),COLUMN(Parcels!D13),4)</f>
        <v>D13</v>
      </c>
      <c r="D9586" s="46" t="b">
        <f ca="1">IF(AND(Parcels!B13="Current",'Six-Yr Rule'!B14&lt;=Year_DestinationYearID),IF((SUMIFS('Bond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586" t="s">
        <v>1641</v>
      </c>
      <c r="F9586" t="str">
        <f>INDEX(Lists!I:I,MATCH(Validation!E9586,Lists!G:G,0))</f>
        <v>Alert</v>
      </c>
      <c r="G9586" t="str">
        <f>INDEX(Lists!H:H,MATCH(Validation!E9586,Lists!G:G,0))</f>
        <v>This parcel does not appear to be pledged to an outstanding in-district obligation.</v>
      </c>
      <c r="H9586" s="25" t="str">
        <f t="shared" ca="1" si="1092"/>
        <v/>
      </c>
      <c r="I9586" s="25" t="str">
        <f t="shared" ca="1" si="1093"/>
        <v/>
      </c>
      <c r="J9586" s="26" t="str">
        <f t="shared" ca="1" si="1094"/>
        <v/>
      </c>
    </row>
    <row r="9587" spans="1:10" x14ac:dyDescent="0.25">
      <c r="A9587" t="s">
        <v>111</v>
      </c>
      <c r="B9587" t="str">
        <f>ADDRESS(ROW(Parcels!B14),COLUMN(Parcels!B856),4)</f>
        <v>B14</v>
      </c>
      <c r="C9587" t="str">
        <f>ADDRESS(ROW(Parcels!D14),COLUMN(Parcels!D14),4)</f>
        <v>D14</v>
      </c>
      <c r="D9587" s="46" t="b">
        <f ca="1">IF(AND(Parcels!B14="Current",'Six-Yr Rule'!B15&lt;=Year_DestinationYearID),IF((SUMIFS('Bond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587" t="s">
        <v>1641</v>
      </c>
      <c r="F9587" t="str">
        <f>INDEX(Lists!I:I,MATCH(Validation!E9587,Lists!G:G,0))</f>
        <v>Alert</v>
      </c>
      <c r="G9587" t="str">
        <f>INDEX(Lists!H:H,MATCH(Validation!E9587,Lists!G:G,0))</f>
        <v>This parcel does not appear to be pledged to an outstanding in-district obligation.</v>
      </c>
      <c r="H9587" s="25" t="str">
        <f t="shared" ca="1" si="1092"/>
        <v/>
      </c>
      <c r="I9587" s="25" t="str">
        <f t="shared" ca="1" si="1093"/>
        <v/>
      </c>
      <c r="J9587" s="26" t="str">
        <f t="shared" ca="1" si="1094"/>
        <v/>
      </c>
    </row>
    <row r="9588" spans="1:10" x14ac:dyDescent="0.25">
      <c r="A9588" t="s">
        <v>111</v>
      </c>
      <c r="B9588" t="str">
        <f>ADDRESS(ROW(Parcels!B15),COLUMN(Parcels!B857),4)</f>
        <v>B15</v>
      </c>
      <c r="C9588" t="str">
        <f>ADDRESS(ROW(Parcels!D15),COLUMN(Parcels!D15),4)</f>
        <v>D15</v>
      </c>
      <c r="D9588" s="46" t="b">
        <f>IF(AND(Parcels!B15="Current",'Six-Yr Rule'!B16&lt;=Year_DestinationYearID),IF((SUMIFS('Bond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588" t="s">
        <v>1641</v>
      </c>
      <c r="F9588" t="str">
        <f>INDEX(Lists!I:I,MATCH(Validation!E9588,Lists!G:G,0))</f>
        <v>Alert</v>
      </c>
      <c r="G9588" t="str">
        <f>INDEX(Lists!H:H,MATCH(Validation!E9588,Lists!G:G,0))</f>
        <v>This parcel does not appear to be pledged to an outstanding in-district obligation.</v>
      </c>
      <c r="H9588" s="25" t="str">
        <f t="shared" ca="1" si="1092"/>
        <v/>
      </c>
      <c r="I9588" s="25" t="str">
        <f t="shared" ca="1" si="1093"/>
        <v/>
      </c>
      <c r="J9588" s="26" t="str">
        <f t="shared" si="1094"/>
        <v/>
      </c>
    </row>
    <row r="9589" spans="1:10" x14ac:dyDescent="0.25">
      <c r="A9589" t="s">
        <v>111</v>
      </c>
      <c r="B9589" t="str">
        <f>ADDRESS(ROW(Parcels!B16),COLUMN(Parcels!B858),4)</f>
        <v>B16</v>
      </c>
      <c r="C9589" t="str">
        <f>ADDRESS(ROW(Parcels!D16),COLUMN(Parcels!D16),4)</f>
        <v>D16</v>
      </c>
      <c r="D9589" s="46" t="b">
        <f ca="1">IF(AND(Parcels!B16="Current",'Six-Yr Rule'!B17&lt;=Year_DestinationYearID),IF((SUMIFS('Bond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589" t="s">
        <v>1641</v>
      </c>
      <c r="F9589" t="str">
        <f>INDEX(Lists!I:I,MATCH(Validation!E9589,Lists!G:G,0))</f>
        <v>Alert</v>
      </c>
      <c r="G9589" t="str">
        <f>INDEX(Lists!H:H,MATCH(Validation!E9589,Lists!G:G,0))</f>
        <v>This parcel does not appear to be pledged to an outstanding in-district obligation.</v>
      </c>
      <c r="H9589" s="25" t="str">
        <f t="shared" ca="1" si="1092"/>
        <v/>
      </c>
      <c r="I9589" s="25" t="str">
        <f t="shared" ca="1" si="1093"/>
        <v/>
      </c>
      <c r="J9589" s="26" t="str">
        <f t="shared" ca="1" si="1094"/>
        <v/>
      </c>
    </row>
    <row r="9590" spans="1:10" x14ac:dyDescent="0.25">
      <c r="A9590" t="s">
        <v>111</v>
      </c>
      <c r="B9590" t="str">
        <f>ADDRESS(ROW(Parcels!B17),COLUMN(Parcels!B859),4)</f>
        <v>B17</v>
      </c>
      <c r="C9590" t="str">
        <f>ADDRESS(ROW(Parcels!D17),COLUMN(Parcels!D17),4)</f>
        <v>D17</v>
      </c>
      <c r="D9590" s="46" t="b">
        <f>IF(AND(Parcels!B17="Current",'Six-Yr Rule'!B18&lt;=Year_DestinationYearID),IF((SUMIFS('Bond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590" t="s">
        <v>1641</v>
      </c>
      <c r="F9590" t="str">
        <f>INDEX(Lists!I:I,MATCH(Validation!E9590,Lists!G:G,0))</f>
        <v>Alert</v>
      </c>
      <c r="G9590" t="str">
        <f>INDEX(Lists!H:H,MATCH(Validation!E9590,Lists!G:G,0))</f>
        <v>This parcel does not appear to be pledged to an outstanding in-district obligation.</v>
      </c>
      <c r="H9590" s="25" t="str">
        <f t="shared" ca="1" si="1092"/>
        <v/>
      </c>
      <c r="I9590" s="25" t="str">
        <f t="shared" ca="1" si="1093"/>
        <v/>
      </c>
      <c r="J9590" s="26" t="str">
        <f t="shared" si="1094"/>
        <v/>
      </c>
    </row>
    <row r="9591" spans="1:10" x14ac:dyDescent="0.25">
      <c r="A9591" t="s">
        <v>111</v>
      </c>
      <c r="B9591" t="str">
        <f>ADDRESS(ROW(Parcels!B18),COLUMN(Parcels!B860),4)</f>
        <v>B18</v>
      </c>
      <c r="C9591" t="str">
        <f>ADDRESS(ROW(Parcels!D18),COLUMN(Parcels!D18),4)</f>
        <v>D18</v>
      </c>
      <c r="D9591" s="46" t="b">
        <f>IF(AND(Parcels!B18="Current",'Six-Yr Rule'!B19&lt;=Year_DestinationYearID),IF((SUMIFS('Bond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591" t="s">
        <v>1641</v>
      </c>
      <c r="F9591" t="str">
        <f>INDEX(Lists!I:I,MATCH(Validation!E9591,Lists!G:G,0))</f>
        <v>Alert</v>
      </c>
      <c r="G9591" t="str">
        <f>INDEX(Lists!H:H,MATCH(Validation!E9591,Lists!G:G,0))</f>
        <v>This parcel does not appear to be pledged to an outstanding in-district obligation.</v>
      </c>
      <c r="H9591" s="25" t="str">
        <f t="shared" ca="1" si="1092"/>
        <v/>
      </c>
      <c r="I9591" s="25" t="str">
        <f t="shared" ca="1" si="1093"/>
        <v/>
      </c>
      <c r="J9591" s="26" t="str">
        <f t="shared" si="1094"/>
        <v/>
      </c>
    </row>
    <row r="9592" spans="1:10" x14ac:dyDescent="0.25">
      <c r="A9592" t="s">
        <v>111</v>
      </c>
      <c r="B9592" t="str">
        <f>ADDRESS(ROW(Parcels!B19),COLUMN(Parcels!B861),4)</f>
        <v>B19</v>
      </c>
      <c r="C9592" t="str">
        <f>ADDRESS(ROW(Parcels!D19),COLUMN(Parcels!D19),4)</f>
        <v>D19</v>
      </c>
      <c r="D9592" s="46" t="b">
        <f>IF(AND(Parcels!B19="Current",'Six-Yr Rule'!B20&lt;=Year_DestinationYearID),IF((SUMIFS('Bond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592" t="s">
        <v>1641</v>
      </c>
      <c r="F9592" t="str">
        <f>INDEX(Lists!I:I,MATCH(Validation!E9592,Lists!G:G,0))</f>
        <v>Alert</v>
      </c>
      <c r="G9592" t="str">
        <f>INDEX(Lists!H:H,MATCH(Validation!E9592,Lists!G:G,0))</f>
        <v>This parcel does not appear to be pledged to an outstanding in-district obligation.</v>
      </c>
      <c r="H9592" s="25" t="str">
        <f t="shared" ref="H9592:H9650" ca="1" si="1095">IFERROR(IF(OR(NOT(D9592),F9592&lt;&gt;"Error"),"",A9592&amp;CELL("address",INDIRECT(B9592))),"")</f>
        <v/>
      </c>
      <c r="I9592" s="25" t="str">
        <f t="shared" ref="I9592:I9650" ca="1" si="1096">IFERROR(IF(NOT(D9592),"",A9592&amp;CELL("address",INDIRECT(C9592))),"")</f>
        <v/>
      </c>
      <c r="J9592" s="26" t="str">
        <f t="shared" ref="J9592:J9650" si="1097">IFERROR(IF(NOT(D9592),"",A9592),"")</f>
        <v/>
      </c>
    </row>
    <row r="9593" spans="1:10" x14ac:dyDescent="0.25">
      <c r="A9593" t="s">
        <v>111</v>
      </c>
      <c r="B9593" t="str">
        <f>ADDRESS(ROW(Parcels!B20),COLUMN(Parcels!B862),4)</f>
        <v>B20</v>
      </c>
      <c r="C9593" t="str">
        <f>ADDRESS(ROW(Parcels!D20),COLUMN(Parcels!D20),4)</f>
        <v>D20</v>
      </c>
      <c r="D9593" s="46" t="b">
        <f>IF(AND(Parcels!B20="Current",'Six-Yr Rule'!B21&lt;=Year_DestinationYearID),IF((SUMIFS('Bond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593" t="s">
        <v>1641</v>
      </c>
      <c r="F9593" t="str">
        <f>INDEX(Lists!I:I,MATCH(Validation!E9593,Lists!G:G,0))</f>
        <v>Alert</v>
      </c>
      <c r="G9593" t="str">
        <f>INDEX(Lists!H:H,MATCH(Validation!E9593,Lists!G:G,0))</f>
        <v>This parcel does not appear to be pledged to an outstanding in-district obligation.</v>
      </c>
      <c r="H9593" s="25" t="str">
        <f t="shared" ca="1" si="1095"/>
        <v/>
      </c>
      <c r="I9593" s="25" t="str">
        <f t="shared" ca="1" si="1096"/>
        <v/>
      </c>
      <c r="J9593" s="26" t="str">
        <f t="shared" si="1097"/>
        <v/>
      </c>
    </row>
    <row r="9594" spans="1:10" x14ac:dyDescent="0.25">
      <c r="A9594" t="s">
        <v>111</v>
      </c>
      <c r="B9594" t="str">
        <f>ADDRESS(ROW(Parcels!B21),COLUMN(Parcels!B863),4)</f>
        <v>B21</v>
      </c>
      <c r="C9594" t="str">
        <f>ADDRESS(ROW(Parcels!D21),COLUMN(Parcels!D21),4)</f>
        <v>D21</v>
      </c>
      <c r="D9594" s="46" t="b">
        <f>IF(AND(Parcels!B21="Current",'Six-Yr Rule'!B22&lt;=Year_DestinationYearID),IF((SUMIFS('Bond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594" t="s">
        <v>1641</v>
      </c>
      <c r="F9594" t="str">
        <f>INDEX(Lists!I:I,MATCH(Validation!E9594,Lists!G:G,0))</f>
        <v>Alert</v>
      </c>
      <c r="G9594" t="str">
        <f>INDEX(Lists!H:H,MATCH(Validation!E9594,Lists!G:G,0))</f>
        <v>This parcel does not appear to be pledged to an outstanding in-district obligation.</v>
      </c>
      <c r="H9594" s="25" t="str">
        <f t="shared" ca="1" si="1095"/>
        <v/>
      </c>
      <c r="I9594" s="25" t="str">
        <f t="shared" ca="1" si="1096"/>
        <v/>
      </c>
      <c r="J9594" s="26" t="str">
        <f t="shared" si="1097"/>
        <v/>
      </c>
    </row>
    <row r="9595" spans="1:10" x14ac:dyDescent="0.25">
      <c r="A9595" t="s">
        <v>111</v>
      </c>
      <c r="B9595" t="str">
        <f>ADDRESS(ROW(Parcels!B22),COLUMN(Parcels!B864),4)</f>
        <v>B22</v>
      </c>
      <c r="C9595" t="str">
        <f>ADDRESS(ROW(Parcels!D22),COLUMN(Parcels!D22),4)</f>
        <v>D22</v>
      </c>
      <c r="D9595" s="46" t="b">
        <f>IF(AND(Parcels!B22="Current",'Six-Yr Rule'!B23&lt;=Year_DestinationYearID),IF((SUMIFS('Bond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595" t="s">
        <v>1641</v>
      </c>
      <c r="F9595" t="str">
        <f>INDEX(Lists!I:I,MATCH(Validation!E9595,Lists!G:G,0))</f>
        <v>Alert</v>
      </c>
      <c r="G9595" t="str">
        <f>INDEX(Lists!H:H,MATCH(Validation!E9595,Lists!G:G,0))</f>
        <v>This parcel does not appear to be pledged to an outstanding in-district obligation.</v>
      </c>
      <c r="H9595" s="25" t="str">
        <f t="shared" ca="1" si="1095"/>
        <v/>
      </c>
      <c r="I9595" s="25" t="str">
        <f t="shared" ca="1" si="1096"/>
        <v/>
      </c>
      <c r="J9595" s="26" t="str">
        <f t="shared" si="1097"/>
        <v/>
      </c>
    </row>
    <row r="9596" spans="1:10" x14ac:dyDescent="0.25">
      <c r="A9596" t="s">
        <v>111</v>
      </c>
      <c r="B9596" t="str">
        <f>ADDRESS(ROW(Parcels!B23),COLUMN(Parcels!B865),4)</f>
        <v>B23</v>
      </c>
      <c r="C9596" t="str">
        <f>ADDRESS(ROW(Parcels!D23),COLUMN(Parcels!D23),4)</f>
        <v>D23</v>
      </c>
      <c r="D9596" s="46" t="b">
        <f>IF(AND(Parcels!B23="Current",'Six-Yr Rule'!B24&lt;=Year_DestinationYearID),IF((SUMIFS('Bond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596" t="s">
        <v>1641</v>
      </c>
      <c r="F9596" t="str">
        <f>INDEX(Lists!I:I,MATCH(Validation!E9596,Lists!G:G,0))</f>
        <v>Alert</v>
      </c>
      <c r="G9596" t="str">
        <f>INDEX(Lists!H:H,MATCH(Validation!E9596,Lists!G:G,0))</f>
        <v>This parcel does not appear to be pledged to an outstanding in-district obligation.</v>
      </c>
      <c r="H9596" s="25" t="str">
        <f t="shared" ca="1" si="1095"/>
        <v/>
      </c>
      <c r="I9596" s="25" t="str">
        <f t="shared" ca="1" si="1096"/>
        <v/>
      </c>
      <c r="J9596" s="26" t="str">
        <f t="shared" si="1097"/>
        <v/>
      </c>
    </row>
    <row r="9597" spans="1:10" x14ac:dyDescent="0.25">
      <c r="A9597" t="s">
        <v>111</v>
      </c>
      <c r="B9597" t="str">
        <f>ADDRESS(ROW(Parcels!B24),COLUMN(Parcels!B866),4)</f>
        <v>B24</v>
      </c>
      <c r="C9597" t="str">
        <f>ADDRESS(ROW(Parcels!D24),COLUMN(Parcels!D24),4)</f>
        <v>D24</v>
      </c>
      <c r="D9597" s="46" t="b">
        <f ca="1">IF(AND(Parcels!B24="Current",'Six-Yr Rule'!B25&lt;=Year_DestinationYearID),IF((SUMIFS('Bond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597" t="s">
        <v>1641</v>
      </c>
      <c r="F9597" t="str">
        <f>INDEX(Lists!I:I,MATCH(Validation!E9597,Lists!G:G,0))</f>
        <v>Alert</v>
      </c>
      <c r="G9597" t="str">
        <f>INDEX(Lists!H:H,MATCH(Validation!E9597,Lists!G:G,0))</f>
        <v>This parcel does not appear to be pledged to an outstanding in-district obligation.</v>
      </c>
      <c r="H9597" s="25" t="str">
        <f t="shared" ca="1" si="1095"/>
        <v/>
      </c>
      <c r="I9597" s="25" t="str">
        <f t="shared" ca="1" si="1096"/>
        <v/>
      </c>
      <c r="J9597" s="26" t="str">
        <f t="shared" ca="1" si="1097"/>
        <v/>
      </c>
    </row>
    <row r="9598" spans="1:10" x14ac:dyDescent="0.25">
      <c r="A9598" t="s">
        <v>111</v>
      </c>
      <c r="B9598" t="str">
        <f>ADDRESS(ROW(Parcels!B25),COLUMN(Parcels!B867),4)</f>
        <v>B25</v>
      </c>
      <c r="C9598" t="str">
        <f>ADDRESS(ROW(Parcels!D25),COLUMN(Parcels!D25),4)</f>
        <v>D25</v>
      </c>
      <c r="D9598" s="46" t="b">
        <f>IF(AND(Parcels!B25="Current",'Six-Yr Rule'!B26&lt;=Year_DestinationYearID),IF((SUMIFS('Bond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598" t="s">
        <v>1641</v>
      </c>
      <c r="F9598" t="str">
        <f>INDEX(Lists!I:I,MATCH(Validation!E9598,Lists!G:G,0))</f>
        <v>Alert</v>
      </c>
      <c r="G9598" t="str">
        <f>INDEX(Lists!H:H,MATCH(Validation!E9598,Lists!G:G,0))</f>
        <v>This parcel does not appear to be pledged to an outstanding in-district obligation.</v>
      </c>
      <c r="H9598" s="25" t="str">
        <f t="shared" ca="1" si="1095"/>
        <v/>
      </c>
      <c r="I9598" s="25" t="str">
        <f t="shared" ca="1" si="1096"/>
        <v/>
      </c>
      <c r="J9598" s="26" t="str">
        <f t="shared" si="1097"/>
        <v/>
      </c>
    </row>
    <row r="9599" spans="1:10" x14ac:dyDescent="0.25">
      <c r="A9599" t="s">
        <v>111</v>
      </c>
      <c r="B9599" t="str">
        <f>ADDRESS(ROW(Parcels!B26),COLUMN(Parcels!B868),4)</f>
        <v>B26</v>
      </c>
      <c r="C9599" t="str">
        <f>ADDRESS(ROW(Parcels!D26),COLUMN(Parcels!D26),4)</f>
        <v>D26</v>
      </c>
      <c r="D9599" s="46" t="b">
        <f>IF(AND(Parcels!B26="Current",'Six-Yr Rule'!B27&lt;=Year_DestinationYearID),IF((SUMIFS('Bond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599" t="s">
        <v>1641</v>
      </c>
      <c r="F9599" t="str">
        <f>INDEX(Lists!I:I,MATCH(Validation!E9599,Lists!G:G,0))</f>
        <v>Alert</v>
      </c>
      <c r="G9599" t="str">
        <f>INDEX(Lists!H:H,MATCH(Validation!E9599,Lists!G:G,0))</f>
        <v>This parcel does not appear to be pledged to an outstanding in-district obligation.</v>
      </c>
      <c r="H9599" s="25" t="str">
        <f t="shared" ca="1" si="1095"/>
        <v/>
      </c>
      <c r="I9599" s="25" t="str">
        <f t="shared" ca="1" si="1096"/>
        <v/>
      </c>
      <c r="J9599" s="26" t="str">
        <f t="shared" si="1097"/>
        <v/>
      </c>
    </row>
    <row r="9600" spans="1:10" x14ac:dyDescent="0.25">
      <c r="A9600" t="s">
        <v>111</v>
      </c>
      <c r="B9600" t="str">
        <f>ADDRESS(ROW(Parcels!B27),COLUMN(Parcels!B869),4)</f>
        <v>B27</v>
      </c>
      <c r="C9600" t="str">
        <f>ADDRESS(ROW(Parcels!D27),COLUMN(Parcels!D27),4)</f>
        <v>D27</v>
      </c>
      <c r="D9600" s="46" t="b">
        <f>IF(AND(Parcels!B27="Current",'Six-Yr Rule'!B28&lt;=Year_DestinationYearID),IF((SUMIFS('Bond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600" t="s">
        <v>1641</v>
      </c>
      <c r="F9600" t="str">
        <f>INDEX(Lists!I:I,MATCH(Validation!E9600,Lists!G:G,0))</f>
        <v>Alert</v>
      </c>
      <c r="G9600" t="str">
        <f>INDEX(Lists!H:H,MATCH(Validation!E9600,Lists!G:G,0))</f>
        <v>This parcel does not appear to be pledged to an outstanding in-district obligation.</v>
      </c>
      <c r="H9600" s="25" t="str">
        <f t="shared" ca="1" si="1095"/>
        <v/>
      </c>
      <c r="I9600" s="25" t="str">
        <f t="shared" ca="1" si="1096"/>
        <v/>
      </c>
      <c r="J9600" s="26" t="str">
        <f t="shared" si="1097"/>
        <v/>
      </c>
    </row>
    <row r="9601" spans="1:10" x14ac:dyDescent="0.25">
      <c r="A9601" t="s">
        <v>111</v>
      </c>
      <c r="B9601" t="str">
        <f>ADDRESS(ROW(Parcels!B28),COLUMN(Parcels!B870),4)</f>
        <v>B28</v>
      </c>
      <c r="C9601" t="str">
        <f>ADDRESS(ROW(Parcels!D28),COLUMN(Parcels!D28),4)</f>
        <v>D28</v>
      </c>
      <c r="D9601" s="46" t="b">
        <f>IF(AND(Parcels!B28="Current",'Six-Yr Rule'!B29&lt;=Year_DestinationYearID),IF((SUMIFS('Bond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601" t="s">
        <v>1641</v>
      </c>
      <c r="F9601" t="str">
        <f>INDEX(Lists!I:I,MATCH(Validation!E9601,Lists!G:G,0))</f>
        <v>Alert</v>
      </c>
      <c r="G9601" t="str">
        <f>INDEX(Lists!H:H,MATCH(Validation!E9601,Lists!G:G,0))</f>
        <v>This parcel does not appear to be pledged to an outstanding in-district obligation.</v>
      </c>
      <c r="H9601" s="25" t="str">
        <f t="shared" ca="1" si="1095"/>
        <v/>
      </c>
      <c r="I9601" s="25" t="str">
        <f t="shared" ca="1" si="1096"/>
        <v/>
      </c>
      <c r="J9601" s="26" t="str">
        <f t="shared" si="1097"/>
        <v/>
      </c>
    </row>
    <row r="9602" spans="1:10" x14ac:dyDescent="0.25">
      <c r="A9602" t="s">
        <v>111</v>
      </c>
      <c r="B9602" t="str">
        <f>ADDRESS(ROW(Parcels!B29),COLUMN(Parcels!B871),4)</f>
        <v>B29</v>
      </c>
      <c r="C9602" t="str">
        <f>ADDRESS(ROW(Parcels!D29),COLUMN(Parcels!D29),4)</f>
        <v>D29</v>
      </c>
      <c r="D9602" s="46" t="b">
        <f>IF(AND(Parcels!B29="Current",'Six-Yr Rule'!B30&lt;=Year_DestinationYearID),IF((SUMIFS('Bond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602" t="s">
        <v>1641</v>
      </c>
      <c r="F9602" t="str">
        <f>INDEX(Lists!I:I,MATCH(Validation!E9602,Lists!G:G,0))</f>
        <v>Alert</v>
      </c>
      <c r="G9602" t="str">
        <f>INDEX(Lists!H:H,MATCH(Validation!E9602,Lists!G:G,0))</f>
        <v>This parcel does not appear to be pledged to an outstanding in-district obligation.</v>
      </c>
      <c r="H9602" s="25" t="str">
        <f t="shared" ca="1" si="1095"/>
        <v/>
      </c>
      <c r="I9602" s="25" t="str">
        <f t="shared" ca="1" si="1096"/>
        <v/>
      </c>
      <c r="J9602" s="26" t="str">
        <f t="shared" si="1097"/>
        <v/>
      </c>
    </row>
    <row r="9603" spans="1:10" x14ac:dyDescent="0.25">
      <c r="A9603" t="s">
        <v>111</v>
      </c>
      <c r="B9603" t="str">
        <f>ADDRESS(ROW(Parcels!B30),COLUMN(Parcels!B872),4)</f>
        <v>B30</v>
      </c>
      <c r="C9603" t="str">
        <f>ADDRESS(ROW(Parcels!D30),COLUMN(Parcels!D30),4)</f>
        <v>D30</v>
      </c>
      <c r="D9603" s="46" t="b">
        <f>IF(AND(Parcels!B30="Current",'Six-Yr Rule'!B31&lt;=Year_DestinationYearID),IF((SUMIFS('Bond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603" t="s">
        <v>1641</v>
      </c>
      <c r="F9603" t="str">
        <f>INDEX(Lists!I:I,MATCH(Validation!E9603,Lists!G:G,0))</f>
        <v>Alert</v>
      </c>
      <c r="G9603" t="str">
        <f>INDEX(Lists!H:H,MATCH(Validation!E9603,Lists!G:G,0))</f>
        <v>This parcel does not appear to be pledged to an outstanding in-district obligation.</v>
      </c>
      <c r="H9603" s="25" t="str">
        <f t="shared" ca="1" si="1095"/>
        <v/>
      </c>
      <c r="I9603" s="25" t="str">
        <f t="shared" ca="1" si="1096"/>
        <v/>
      </c>
      <c r="J9603" s="26" t="str">
        <f t="shared" si="1097"/>
        <v/>
      </c>
    </row>
    <row r="9604" spans="1:10" x14ac:dyDescent="0.25">
      <c r="A9604" t="s">
        <v>111</v>
      </c>
      <c r="B9604" t="str">
        <f>ADDRESS(ROW(Parcels!B31),COLUMN(Parcels!B873),4)</f>
        <v>B31</v>
      </c>
      <c r="C9604" t="str">
        <f>ADDRESS(ROW(Parcels!D31),COLUMN(Parcels!D31),4)</f>
        <v>D31</v>
      </c>
      <c r="D9604" s="46" t="b">
        <f>IF(AND(Parcels!B31="Current",'Six-Yr Rule'!B32&lt;=Year_DestinationYearID),IF((SUMIFS('Bond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604" t="s">
        <v>1641</v>
      </c>
      <c r="F9604" t="str">
        <f>INDEX(Lists!I:I,MATCH(Validation!E9604,Lists!G:G,0))</f>
        <v>Alert</v>
      </c>
      <c r="G9604" t="str">
        <f>INDEX(Lists!H:H,MATCH(Validation!E9604,Lists!G:G,0))</f>
        <v>This parcel does not appear to be pledged to an outstanding in-district obligation.</v>
      </c>
      <c r="H9604" s="25" t="str">
        <f t="shared" ca="1" si="1095"/>
        <v/>
      </c>
      <c r="I9604" s="25" t="str">
        <f t="shared" ca="1" si="1096"/>
        <v/>
      </c>
      <c r="J9604" s="26" t="str">
        <f t="shared" si="1097"/>
        <v/>
      </c>
    </row>
    <row r="9605" spans="1:10" x14ac:dyDescent="0.25">
      <c r="A9605" t="s">
        <v>111</v>
      </c>
      <c r="B9605" t="str">
        <f>ADDRESS(ROW(Parcels!B32),COLUMN(Parcels!B874),4)</f>
        <v>B32</v>
      </c>
      <c r="C9605" t="str">
        <f>ADDRESS(ROW(Parcels!D32),COLUMN(Parcels!D32),4)</f>
        <v>D32</v>
      </c>
      <c r="D9605" s="46" t="b">
        <f>IF(AND(Parcels!B32="Current",'Six-Yr Rule'!B33&lt;=Year_DestinationYearID),IF((SUMIFS('Bond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605" t="s">
        <v>1641</v>
      </c>
      <c r="F9605" t="str">
        <f>INDEX(Lists!I:I,MATCH(Validation!E9605,Lists!G:G,0))</f>
        <v>Alert</v>
      </c>
      <c r="G9605" t="str">
        <f>INDEX(Lists!H:H,MATCH(Validation!E9605,Lists!G:G,0))</f>
        <v>This parcel does not appear to be pledged to an outstanding in-district obligation.</v>
      </c>
      <c r="H9605" s="25" t="str">
        <f t="shared" ca="1" si="1095"/>
        <v/>
      </c>
      <c r="I9605" s="25" t="str">
        <f t="shared" ca="1" si="1096"/>
        <v/>
      </c>
      <c r="J9605" s="26" t="str">
        <f t="shared" si="1097"/>
        <v/>
      </c>
    </row>
    <row r="9606" spans="1:10" x14ac:dyDescent="0.25">
      <c r="A9606" t="s">
        <v>111</v>
      </c>
      <c r="B9606" t="str">
        <f>ADDRESS(ROW(Parcels!B33),COLUMN(Parcels!B875),4)</f>
        <v>B33</v>
      </c>
      <c r="C9606" t="str">
        <f>ADDRESS(ROW(Parcels!D33),COLUMN(Parcels!D33),4)</f>
        <v>D33</v>
      </c>
      <c r="D9606" s="46" t="b">
        <f ca="1">IF(AND(Parcels!B33="Current",'Six-Yr Rule'!B34&lt;=Year_DestinationYearID),IF((SUMIFS('Bond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606" t="s">
        <v>1641</v>
      </c>
      <c r="F9606" t="str">
        <f>INDEX(Lists!I:I,MATCH(Validation!E9606,Lists!G:G,0))</f>
        <v>Alert</v>
      </c>
      <c r="G9606" t="str">
        <f>INDEX(Lists!H:H,MATCH(Validation!E9606,Lists!G:G,0))</f>
        <v>This parcel does not appear to be pledged to an outstanding in-district obligation.</v>
      </c>
      <c r="H9606" s="25" t="str">
        <f t="shared" ca="1" si="1095"/>
        <v/>
      </c>
      <c r="I9606" s="25" t="str">
        <f t="shared" ca="1" si="1096"/>
        <v/>
      </c>
      <c r="J9606" s="26" t="str">
        <f t="shared" ca="1" si="1097"/>
        <v/>
      </c>
    </row>
    <row r="9607" spans="1:10" x14ac:dyDescent="0.25">
      <c r="A9607" t="s">
        <v>111</v>
      </c>
      <c r="B9607" t="str">
        <f>ADDRESS(ROW(Parcels!B34),COLUMN(Parcels!B876),4)</f>
        <v>B34</v>
      </c>
      <c r="C9607" t="str">
        <f>ADDRESS(ROW(Parcels!D34),COLUMN(Parcels!D34),4)</f>
        <v>D34</v>
      </c>
      <c r="D9607" s="46" t="b">
        <f ca="1">IF(AND(Parcels!B34="Current",'Six-Yr Rule'!B35&lt;=Year_DestinationYearID),IF((SUMIFS('Bond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607" t="s">
        <v>1641</v>
      </c>
      <c r="F9607" t="str">
        <f>INDEX(Lists!I:I,MATCH(Validation!E9607,Lists!G:G,0))</f>
        <v>Alert</v>
      </c>
      <c r="G9607" t="str">
        <f>INDEX(Lists!H:H,MATCH(Validation!E9607,Lists!G:G,0))</f>
        <v>This parcel does not appear to be pledged to an outstanding in-district obligation.</v>
      </c>
      <c r="H9607" s="25" t="str">
        <f t="shared" ca="1" si="1095"/>
        <v/>
      </c>
      <c r="I9607" s="25" t="str">
        <f t="shared" ca="1" si="1096"/>
        <v/>
      </c>
      <c r="J9607" s="26" t="str">
        <f t="shared" ca="1" si="1097"/>
        <v/>
      </c>
    </row>
    <row r="9608" spans="1:10" x14ac:dyDescent="0.25">
      <c r="A9608" t="s">
        <v>111</v>
      </c>
      <c r="B9608" t="str">
        <f>ADDRESS(ROW(Parcels!B35),COLUMN(Parcels!B877),4)</f>
        <v>B35</v>
      </c>
      <c r="C9608" t="str">
        <f>ADDRESS(ROW(Parcels!D35),COLUMN(Parcels!D35),4)</f>
        <v>D35</v>
      </c>
      <c r="D9608" s="46" t="b">
        <f>IF(AND(Parcels!B35="Current",'Six-Yr Rule'!B36&lt;=Year_DestinationYearID),IF((SUMIFS('Bond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608" t="s">
        <v>1641</v>
      </c>
      <c r="F9608" t="str">
        <f>INDEX(Lists!I:I,MATCH(Validation!E9608,Lists!G:G,0))</f>
        <v>Alert</v>
      </c>
      <c r="G9608" t="str">
        <f>INDEX(Lists!H:H,MATCH(Validation!E9608,Lists!G:G,0))</f>
        <v>This parcel does not appear to be pledged to an outstanding in-district obligation.</v>
      </c>
      <c r="H9608" s="25" t="str">
        <f t="shared" ca="1" si="1095"/>
        <v/>
      </c>
      <c r="I9608" s="25" t="str">
        <f t="shared" ca="1" si="1096"/>
        <v/>
      </c>
      <c r="J9608" s="26" t="str">
        <f t="shared" si="1097"/>
        <v/>
      </c>
    </row>
    <row r="9609" spans="1:10" x14ac:dyDescent="0.25">
      <c r="A9609" t="s">
        <v>111</v>
      </c>
      <c r="B9609" t="str">
        <f>ADDRESS(ROW(Parcels!B36),COLUMN(Parcels!B878),4)</f>
        <v>B36</v>
      </c>
      <c r="C9609" t="str">
        <f>ADDRESS(ROW(Parcels!D36),COLUMN(Parcels!D36),4)</f>
        <v>D36</v>
      </c>
      <c r="D9609" s="46" t="b">
        <f>IF(AND(Parcels!B36="Current",'Six-Yr Rule'!B37&lt;=Year_DestinationYearID),IF((SUMIFS('Bond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609" t="s">
        <v>1641</v>
      </c>
      <c r="F9609" t="str">
        <f>INDEX(Lists!I:I,MATCH(Validation!E9609,Lists!G:G,0))</f>
        <v>Alert</v>
      </c>
      <c r="G9609" t="str">
        <f>INDEX(Lists!H:H,MATCH(Validation!E9609,Lists!G:G,0))</f>
        <v>This parcel does not appear to be pledged to an outstanding in-district obligation.</v>
      </c>
      <c r="H9609" s="25" t="str">
        <f t="shared" ca="1" si="1095"/>
        <v/>
      </c>
      <c r="I9609" s="25" t="str">
        <f t="shared" ca="1" si="1096"/>
        <v/>
      </c>
      <c r="J9609" s="26" t="str">
        <f t="shared" si="1097"/>
        <v/>
      </c>
    </row>
    <row r="9610" spans="1:10" x14ac:dyDescent="0.25">
      <c r="A9610" t="s">
        <v>111</v>
      </c>
      <c r="B9610" t="str">
        <f>ADDRESS(ROW(Parcels!B37),COLUMN(Parcels!B879),4)</f>
        <v>B37</v>
      </c>
      <c r="C9610" t="str">
        <f>ADDRESS(ROW(Parcels!D37),COLUMN(Parcels!D37),4)</f>
        <v>D37</v>
      </c>
      <c r="D9610" s="46" t="b">
        <f>IF(AND(Parcels!B37="Current",'Six-Yr Rule'!B38&lt;=Year_DestinationYearID),IF((SUMIFS('Bond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610" t="s">
        <v>1641</v>
      </c>
      <c r="F9610" t="str">
        <f>INDEX(Lists!I:I,MATCH(Validation!E9610,Lists!G:G,0))</f>
        <v>Alert</v>
      </c>
      <c r="G9610" t="str">
        <f>INDEX(Lists!H:H,MATCH(Validation!E9610,Lists!G:G,0))</f>
        <v>This parcel does not appear to be pledged to an outstanding in-district obligation.</v>
      </c>
      <c r="H9610" s="25" t="str">
        <f t="shared" ca="1" si="1095"/>
        <v/>
      </c>
      <c r="I9610" s="25" t="str">
        <f t="shared" ca="1" si="1096"/>
        <v/>
      </c>
      <c r="J9610" s="26" t="str">
        <f t="shared" si="1097"/>
        <v/>
      </c>
    </row>
    <row r="9611" spans="1:10" x14ac:dyDescent="0.25">
      <c r="A9611" t="s">
        <v>111</v>
      </c>
      <c r="B9611" t="str">
        <f>ADDRESS(ROW(Parcels!B38),COLUMN(Parcels!B880),4)</f>
        <v>B38</v>
      </c>
      <c r="C9611" t="str">
        <f>ADDRESS(ROW(Parcels!D38),COLUMN(Parcels!D38),4)</f>
        <v>D38</v>
      </c>
      <c r="D9611" s="46" t="b">
        <f>IF(AND(Parcels!B38="Current",'Six-Yr Rule'!B39&lt;=Year_DestinationYearID),IF((SUMIFS('Bond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611" t="s">
        <v>1641</v>
      </c>
      <c r="F9611" t="str">
        <f>INDEX(Lists!I:I,MATCH(Validation!E9611,Lists!G:G,0))</f>
        <v>Alert</v>
      </c>
      <c r="G9611" t="str">
        <f>INDEX(Lists!H:H,MATCH(Validation!E9611,Lists!G:G,0))</f>
        <v>This parcel does not appear to be pledged to an outstanding in-district obligation.</v>
      </c>
      <c r="H9611" s="25" t="str">
        <f t="shared" ca="1" si="1095"/>
        <v/>
      </c>
      <c r="I9611" s="25" t="str">
        <f t="shared" ca="1" si="1096"/>
        <v/>
      </c>
      <c r="J9611" s="26" t="str">
        <f t="shared" si="1097"/>
        <v/>
      </c>
    </row>
    <row r="9612" spans="1:10" x14ac:dyDescent="0.25">
      <c r="A9612" t="s">
        <v>111</v>
      </c>
      <c r="B9612" t="str">
        <f>ADDRESS(ROW(Parcels!B39),COLUMN(Parcels!B881),4)</f>
        <v>B39</v>
      </c>
      <c r="C9612" t="str">
        <f>ADDRESS(ROW(Parcels!D39),COLUMN(Parcels!D39),4)</f>
        <v>D39</v>
      </c>
      <c r="D9612" s="46" t="b">
        <f>IF(AND(Parcels!B39="Current",'Six-Yr Rule'!B40&lt;=Year_DestinationYearID),IF((SUMIFS('Bond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612" t="s">
        <v>1641</v>
      </c>
      <c r="F9612" t="str">
        <f>INDEX(Lists!I:I,MATCH(Validation!E9612,Lists!G:G,0))</f>
        <v>Alert</v>
      </c>
      <c r="G9612" t="str">
        <f>INDEX(Lists!H:H,MATCH(Validation!E9612,Lists!G:G,0))</f>
        <v>This parcel does not appear to be pledged to an outstanding in-district obligation.</v>
      </c>
      <c r="H9612" s="25" t="str">
        <f t="shared" ca="1" si="1095"/>
        <v/>
      </c>
      <c r="I9612" s="25" t="str">
        <f t="shared" ca="1" si="1096"/>
        <v/>
      </c>
      <c r="J9612" s="26" t="str">
        <f t="shared" si="1097"/>
        <v/>
      </c>
    </row>
    <row r="9613" spans="1:10" x14ac:dyDescent="0.25">
      <c r="A9613" t="s">
        <v>111</v>
      </c>
      <c r="B9613" t="str">
        <f>ADDRESS(ROW(Parcels!B40),COLUMN(Parcels!B882),4)</f>
        <v>B40</v>
      </c>
      <c r="C9613" t="str">
        <f>ADDRESS(ROW(Parcels!D40),COLUMN(Parcels!D40),4)</f>
        <v>D40</v>
      </c>
      <c r="D9613" s="46" t="b">
        <f>IF(AND(Parcels!B40="Current",'Six-Yr Rule'!B41&lt;=Year_DestinationYearID),IF((SUMIFS('Bond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613" t="s">
        <v>1641</v>
      </c>
      <c r="F9613" t="str">
        <f>INDEX(Lists!I:I,MATCH(Validation!E9613,Lists!G:G,0))</f>
        <v>Alert</v>
      </c>
      <c r="G9613" t="str">
        <f>INDEX(Lists!H:H,MATCH(Validation!E9613,Lists!G:G,0))</f>
        <v>This parcel does not appear to be pledged to an outstanding in-district obligation.</v>
      </c>
      <c r="H9613" s="25" t="str">
        <f t="shared" ca="1" si="1095"/>
        <v/>
      </c>
      <c r="I9613" s="25" t="str">
        <f t="shared" ca="1" si="1096"/>
        <v/>
      </c>
      <c r="J9613" s="26" t="str">
        <f t="shared" si="1097"/>
        <v/>
      </c>
    </row>
    <row r="9614" spans="1:10" x14ac:dyDescent="0.25">
      <c r="A9614" t="s">
        <v>111</v>
      </c>
      <c r="B9614" t="str">
        <f>ADDRESS(ROW(Parcels!B41),COLUMN(Parcels!B883),4)</f>
        <v>B41</v>
      </c>
      <c r="C9614" t="str">
        <f>ADDRESS(ROW(Parcels!D41),COLUMN(Parcels!D41),4)</f>
        <v>D41</v>
      </c>
      <c r="D9614" s="46" t="b">
        <f>IF(AND(Parcels!B41="Current",'Six-Yr Rule'!B42&lt;=Year_DestinationYearID),IF((SUMIFS('Bond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614" t="s">
        <v>1641</v>
      </c>
      <c r="F9614" t="str">
        <f>INDEX(Lists!I:I,MATCH(Validation!E9614,Lists!G:G,0))</f>
        <v>Alert</v>
      </c>
      <c r="G9614" t="str">
        <f>INDEX(Lists!H:H,MATCH(Validation!E9614,Lists!G:G,0))</f>
        <v>This parcel does not appear to be pledged to an outstanding in-district obligation.</v>
      </c>
      <c r="H9614" s="25" t="str">
        <f t="shared" ca="1" si="1095"/>
        <v/>
      </c>
      <c r="I9614" s="25" t="str">
        <f t="shared" ca="1" si="1096"/>
        <v/>
      </c>
      <c r="J9614" s="26" t="str">
        <f t="shared" si="1097"/>
        <v/>
      </c>
    </row>
    <row r="9615" spans="1:10" x14ac:dyDescent="0.25">
      <c r="A9615" t="s">
        <v>111</v>
      </c>
      <c r="B9615" t="str">
        <f>ADDRESS(ROW(Parcels!B42),COLUMN(Parcels!B884),4)</f>
        <v>B42</v>
      </c>
      <c r="C9615" t="str">
        <f>ADDRESS(ROW(Parcels!D42),COLUMN(Parcels!D42),4)</f>
        <v>D42</v>
      </c>
      <c r="D9615" s="46" t="b">
        <f>IF(AND(Parcels!B42="Current",'Six-Yr Rule'!B43&lt;=Year_DestinationYearID),IF((SUMIFS('Bond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615" t="s">
        <v>1641</v>
      </c>
      <c r="F9615" t="str">
        <f>INDEX(Lists!I:I,MATCH(Validation!E9615,Lists!G:G,0))</f>
        <v>Alert</v>
      </c>
      <c r="G9615" t="str">
        <f>INDEX(Lists!H:H,MATCH(Validation!E9615,Lists!G:G,0))</f>
        <v>This parcel does not appear to be pledged to an outstanding in-district obligation.</v>
      </c>
      <c r="H9615" s="25" t="str">
        <f t="shared" ca="1" si="1095"/>
        <v/>
      </c>
      <c r="I9615" s="25" t="str">
        <f t="shared" ca="1" si="1096"/>
        <v/>
      </c>
      <c r="J9615" s="26" t="str">
        <f t="shared" si="1097"/>
        <v/>
      </c>
    </row>
    <row r="9616" spans="1:10" x14ac:dyDescent="0.25">
      <c r="A9616" t="s">
        <v>111</v>
      </c>
      <c r="B9616" t="str">
        <f>ADDRESS(ROW(Parcels!B43),COLUMN(Parcels!B885),4)</f>
        <v>B43</v>
      </c>
      <c r="C9616" t="str">
        <f>ADDRESS(ROW(Parcels!D43),COLUMN(Parcels!D43),4)</f>
        <v>D43</v>
      </c>
      <c r="D9616" s="46" t="b">
        <f>IF(AND(Parcels!B43="Current",'Six-Yr Rule'!B44&lt;=Year_DestinationYearID),IF((SUMIFS('Bond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616" t="s">
        <v>1641</v>
      </c>
      <c r="F9616" t="str">
        <f>INDEX(Lists!I:I,MATCH(Validation!E9616,Lists!G:G,0))</f>
        <v>Alert</v>
      </c>
      <c r="G9616" t="str">
        <f>INDEX(Lists!H:H,MATCH(Validation!E9616,Lists!G:G,0))</f>
        <v>This parcel does not appear to be pledged to an outstanding in-district obligation.</v>
      </c>
      <c r="H9616" s="25" t="str">
        <f t="shared" ca="1" si="1095"/>
        <v/>
      </c>
      <c r="I9616" s="25" t="str">
        <f t="shared" ca="1" si="1096"/>
        <v/>
      </c>
      <c r="J9616" s="26" t="str">
        <f t="shared" si="1097"/>
        <v/>
      </c>
    </row>
    <row r="9617" spans="1:10" x14ac:dyDescent="0.25">
      <c r="A9617" t="s">
        <v>111</v>
      </c>
      <c r="B9617" t="str">
        <f>ADDRESS(ROW(Parcels!B44),COLUMN(Parcels!B886),4)</f>
        <v>B44</v>
      </c>
      <c r="C9617" t="str">
        <f>ADDRESS(ROW(Parcels!D44),COLUMN(Parcels!D44),4)</f>
        <v>D44</v>
      </c>
      <c r="D9617" s="46" t="b">
        <f>IF(AND(Parcels!B44="Current",'Six-Yr Rule'!B45&lt;=Year_DestinationYearID),IF((SUMIFS('Bond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617" t="s">
        <v>1641</v>
      </c>
      <c r="F9617" t="str">
        <f>INDEX(Lists!I:I,MATCH(Validation!E9617,Lists!G:G,0))</f>
        <v>Alert</v>
      </c>
      <c r="G9617" t="str">
        <f>INDEX(Lists!H:H,MATCH(Validation!E9617,Lists!G:G,0))</f>
        <v>This parcel does not appear to be pledged to an outstanding in-district obligation.</v>
      </c>
      <c r="H9617" s="25" t="str">
        <f t="shared" ca="1" si="1095"/>
        <v/>
      </c>
      <c r="I9617" s="25" t="str">
        <f t="shared" ca="1" si="1096"/>
        <v/>
      </c>
      <c r="J9617" s="26" t="str">
        <f t="shared" si="1097"/>
        <v/>
      </c>
    </row>
    <row r="9618" spans="1:10" x14ac:dyDescent="0.25">
      <c r="A9618" t="s">
        <v>111</v>
      </c>
      <c r="B9618" t="str">
        <f>ADDRESS(ROW(Parcels!B45),COLUMN(Parcels!B887),4)</f>
        <v>B45</v>
      </c>
      <c r="C9618" t="str">
        <f>ADDRESS(ROW(Parcels!D45),COLUMN(Parcels!D45),4)</f>
        <v>D45</v>
      </c>
      <c r="D9618" s="46" t="b">
        <f>IF(AND(Parcels!B45="Current",'Six-Yr Rule'!B46&lt;=Year_DestinationYearID),IF((SUMIFS('Bond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618" t="s">
        <v>1641</v>
      </c>
      <c r="F9618" t="str">
        <f>INDEX(Lists!I:I,MATCH(Validation!E9618,Lists!G:G,0))</f>
        <v>Alert</v>
      </c>
      <c r="G9618" t="str">
        <f>INDEX(Lists!H:H,MATCH(Validation!E9618,Lists!G:G,0))</f>
        <v>This parcel does not appear to be pledged to an outstanding in-district obligation.</v>
      </c>
      <c r="H9618" s="25" t="str">
        <f t="shared" ca="1" si="1095"/>
        <v/>
      </c>
      <c r="I9618" s="25" t="str">
        <f t="shared" ca="1" si="1096"/>
        <v/>
      </c>
      <c r="J9618" s="26" t="str">
        <f t="shared" si="1097"/>
        <v/>
      </c>
    </row>
    <row r="9619" spans="1:10" x14ac:dyDescent="0.25">
      <c r="A9619" t="s">
        <v>111</v>
      </c>
      <c r="B9619" t="str">
        <f>ADDRESS(ROW(Parcels!B46),COLUMN(Parcels!B888),4)</f>
        <v>B46</v>
      </c>
      <c r="C9619" t="str">
        <f>ADDRESS(ROW(Parcels!D46),COLUMN(Parcels!D46),4)</f>
        <v>D46</v>
      </c>
      <c r="D9619" s="46" t="b">
        <f>IF(AND(Parcels!B46="Current",'Six-Yr Rule'!B47&lt;=Year_DestinationYearID),IF((SUMIFS('Bond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619" t="s">
        <v>1641</v>
      </c>
      <c r="F9619" t="str">
        <f>INDEX(Lists!I:I,MATCH(Validation!E9619,Lists!G:G,0))</f>
        <v>Alert</v>
      </c>
      <c r="G9619" t="str">
        <f>INDEX(Lists!H:H,MATCH(Validation!E9619,Lists!G:G,0))</f>
        <v>This parcel does not appear to be pledged to an outstanding in-district obligation.</v>
      </c>
      <c r="H9619" s="25" t="str">
        <f t="shared" ca="1" si="1095"/>
        <v/>
      </c>
      <c r="I9619" s="25" t="str">
        <f t="shared" ca="1" si="1096"/>
        <v/>
      </c>
      <c r="J9619" s="26" t="str">
        <f t="shared" si="1097"/>
        <v/>
      </c>
    </row>
    <row r="9620" spans="1:10" x14ac:dyDescent="0.25">
      <c r="A9620" t="s">
        <v>111</v>
      </c>
      <c r="B9620" t="str">
        <f>ADDRESS(ROW(Parcels!B47),COLUMN(Parcels!B889),4)</f>
        <v>B47</v>
      </c>
      <c r="C9620" t="str">
        <f>ADDRESS(ROW(Parcels!D47),COLUMN(Parcels!D47),4)</f>
        <v>D47</v>
      </c>
      <c r="D9620" s="46" t="b">
        <f>IF(AND(Parcels!B47="Current",'Six-Yr Rule'!B48&lt;=Year_DestinationYearID),IF((SUMIFS('Bond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620" t="s">
        <v>1641</v>
      </c>
      <c r="F9620" t="str">
        <f>INDEX(Lists!I:I,MATCH(Validation!E9620,Lists!G:G,0))</f>
        <v>Alert</v>
      </c>
      <c r="G9620" t="str">
        <f>INDEX(Lists!H:H,MATCH(Validation!E9620,Lists!G:G,0))</f>
        <v>This parcel does not appear to be pledged to an outstanding in-district obligation.</v>
      </c>
      <c r="H9620" s="25" t="str">
        <f t="shared" ca="1" si="1095"/>
        <v/>
      </c>
      <c r="I9620" s="25" t="str">
        <f t="shared" ca="1" si="1096"/>
        <v/>
      </c>
      <c r="J9620" s="26" t="str">
        <f t="shared" si="1097"/>
        <v/>
      </c>
    </row>
    <row r="9621" spans="1:10" x14ac:dyDescent="0.25">
      <c r="A9621" t="s">
        <v>111</v>
      </c>
      <c r="B9621" t="str">
        <f>ADDRESS(ROW(Parcels!B48),COLUMN(Parcels!B890),4)</f>
        <v>B48</v>
      </c>
      <c r="C9621" t="str">
        <f>ADDRESS(ROW(Parcels!D48),COLUMN(Parcels!D48),4)</f>
        <v>D48</v>
      </c>
      <c r="D9621" s="46" t="b">
        <f>IF(AND(Parcels!B48="Current",'Six-Yr Rule'!B49&lt;=Year_DestinationYearID),IF((SUMIFS('Bond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621" t="s">
        <v>1641</v>
      </c>
      <c r="F9621" t="str">
        <f>INDEX(Lists!I:I,MATCH(Validation!E9621,Lists!G:G,0))</f>
        <v>Alert</v>
      </c>
      <c r="G9621" t="str">
        <f>INDEX(Lists!H:H,MATCH(Validation!E9621,Lists!G:G,0))</f>
        <v>This parcel does not appear to be pledged to an outstanding in-district obligation.</v>
      </c>
      <c r="H9621" s="25" t="str">
        <f t="shared" ca="1" si="1095"/>
        <v/>
      </c>
      <c r="I9621" s="25" t="str">
        <f t="shared" ca="1" si="1096"/>
        <v/>
      </c>
      <c r="J9621" s="26" t="str">
        <f t="shared" si="1097"/>
        <v/>
      </c>
    </row>
    <row r="9622" spans="1:10" x14ac:dyDescent="0.25">
      <c r="A9622" t="s">
        <v>111</v>
      </c>
      <c r="B9622" t="str">
        <f>ADDRESS(ROW(Parcels!B49),COLUMN(Parcels!B891),4)</f>
        <v>B49</v>
      </c>
      <c r="C9622" t="str">
        <f>ADDRESS(ROW(Parcels!D49),COLUMN(Parcels!D49),4)</f>
        <v>D49</v>
      </c>
      <c r="D9622" s="46" t="b">
        <f>IF(AND(Parcels!B49="Current",'Six-Yr Rule'!B50&lt;=Year_DestinationYearID),IF((SUMIFS('Bond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622" t="s">
        <v>1641</v>
      </c>
      <c r="F9622" t="str">
        <f>INDEX(Lists!I:I,MATCH(Validation!E9622,Lists!G:G,0))</f>
        <v>Alert</v>
      </c>
      <c r="G9622" t="str">
        <f>INDEX(Lists!H:H,MATCH(Validation!E9622,Lists!G:G,0))</f>
        <v>This parcel does not appear to be pledged to an outstanding in-district obligation.</v>
      </c>
      <c r="H9622" s="25" t="str">
        <f t="shared" ca="1" si="1095"/>
        <v/>
      </c>
      <c r="I9622" s="25" t="str">
        <f t="shared" ca="1" si="1096"/>
        <v/>
      </c>
      <c r="J9622" s="26" t="str">
        <f t="shared" si="1097"/>
        <v/>
      </c>
    </row>
    <row r="9623" spans="1:10" x14ac:dyDescent="0.25">
      <c r="A9623" t="s">
        <v>111</v>
      </c>
      <c r="B9623" t="str">
        <f>ADDRESS(ROW(Parcels!B50),COLUMN(Parcels!B892),4)</f>
        <v>B50</v>
      </c>
      <c r="C9623" t="str">
        <f>ADDRESS(ROW(Parcels!D50),COLUMN(Parcels!D50),4)</f>
        <v>D50</v>
      </c>
      <c r="D9623" s="46" t="b">
        <f>IF(AND(Parcels!B50="Current",'Six-Yr Rule'!B51&lt;=Year_DestinationYearID),IF((SUMIFS('Bond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623" t="s">
        <v>1641</v>
      </c>
      <c r="F9623" t="str">
        <f>INDEX(Lists!I:I,MATCH(Validation!E9623,Lists!G:G,0))</f>
        <v>Alert</v>
      </c>
      <c r="G9623" t="str">
        <f>INDEX(Lists!H:H,MATCH(Validation!E9623,Lists!G:G,0))</f>
        <v>This parcel does not appear to be pledged to an outstanding in-district obligation.</v>
      </c>
      <c r="H9623" s="25" t="str">
        <f t="shared" ca="1" si="1095"/>
        <v/>
      </c>
      <c r="I9623" s="25" t="str">
        <f t="shared" ca="1" si="1096"/>
        <v/>
      </c>
      <c r="J9623" s="26" t="str">
        <f t="shared" si="1097"/>
        <v/>
      </c>
    </row>
    <row r="9624" spans="1:10" x14ac:dyDescent="0.25">
      <c r="A9624" t="s">
        <v>111</v>
      </c>
      <c r="B9624" t="str">
        <f>ADDRESS(ROW(Parcels!B51),COLUMN(Parcels!B893),4)</f>
        <v>B51</v>
      </c>
      <c r="C9624" t="str">
        <f>ADDRESS(ROW(Parcels!D51),COLUMN(Parcels!D51),4)</f>
        <v>D51</v>
      </c>
      <c r="D9624" s="46" t="b">
        <f>IF(AND(Parcels!B51="Current",'Six-Yr Rule'!B52&lt;=Year_DestinationYearID),IF((SUMIFS('Bond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624" t="s">
        <v>1641</v>
      </c>
      <c r="F9624" t="str">
        <f>INDEX(Lists!I:I,MATCH(Validation!E9624,Lists!G:G,0))</f>
        <v>Alert</v>
      </c>
      <c r="G9624" t="str">
        <f>INDEX(Lists!H:H,MATCH(Validation!E9624,Lists!G:G,0))</f>
        <v>This parcel does not appear to be pledged to an outstanding in-district obligation.</v>
      </c>
      <c r="H9624" s="25" t="str">
        <f t="shared" ca="1" si="1095"/>
        <v/>
      </c>
      <c r="I9624" s="25" t="str">
        <f t="shared" ca="1" si="1096"/>
        <v/>
      </c>
      <c r="J9624" s="26" t="str">
        <f t="shared" si="1097"/>
        <v/>
      </c>
    </row>
    <row r="9625" spans="1:10" x14ac:dyDescent="0.25">
      <c r="A9625" t="s">
        <v>111</v>
      </c>
      <c r="B9625" t="str">
        <f>ADDRESS(ROW(Parcels!B52),COLUMN(Parcels!B894),4)</f>
        <v>B52</v>
      </c>
      <c r="C9625" t="str">
        <f>ADDRESS(ROW(Parcels!D52),COLUMN(Parcels!D52),4)</f>
        <v>D52</v>
      </c>
      <c r="D9625" s="46" t="b">
        <f>IF(AND(Parcels!B52="Current",'Six-Yr Rule'!B53&lt;=Year_DestinationYearID),IF((SUMIFS('Bond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625" t="s">
        <v>1641</v>
      </c>
      <c r="F9625" t="str">
        <f>INDEX(Lists!I:I,MATCH(Validation!E9625,Lists!G:G,0))</f>
        <v>Alert</v>
      </c>
      <c r="G9625" t="str">
        <f>INDEX(Lists!H:H,MATCH(Validation!E9625,Lists!G:G,0))</f>
        <v>This parcel does not appear to be pledged to an outstanding in-district obligation.</v>
      </c>
      <c r="H9625" s="25" t="str">
        <f t="shared" ca="1" si="1095"/>
        <v/>
      </c>
      <c r="I9625" s="25" t="str">
        <f t="shared" ca="1" si="1096"/>
        <v/>
      </c>
      <c r="J9625" s="26" t="str">
        <f t="shared" si="1097"/>
        <v/>
      </c>
    </row>
    <row r="9626" spans="1:10" x14ac:dyDescent="0.25">
      <c r="A9626" t="s">
        <v>111</v>
      </c>
      <c r="B9626" t="str">
        <f>ADDRESS(ROW(Parcels!B53),COLUMN(Parcels!B895),4)</f>
        <v>B53</v>
      </c>
      <c r="C9626" t="str">
        <f>ADDRESS(ROW(Parcels!D53),COLUMN(Parcels!D53),4)</f>
        <v>D53</v>
      </c>
      <c r="D9626" s="46" t="b">
        <f>IF(AND(Parcels!B53="Current",'Six-Yr Rule'!B54&lt;=Year_DestinationYearID),IF((SUMIFS('Bond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626" t="s">
        <v>1641</v>
      </c>
      <c r="F9626" t="str">
        <f>INDEX(Lists!I:I,MATCH(Validation!E9626,Lists!G:G,0))</f>
        <v>Alert</v>
      </c>
      <c r="G9626" t="str">
        <f>INDEX(Lists!H:H,MATCH(Validation!E9626,Lists!G:G,0))</f>
        <v>This parcel does not appear to be pledged to an outstanding in-district obligation.</v>
      </c>
      <c r="H9626" s="25" t="str">
        <f t="shared" ca="1" si="1095"/>
        <v/>
      </c>
      <c r="I9626" s="25" t="str">
        <f t="shared" ca="1" si="1096"/>
        <v/>
      </c>
      <c r="J9626" s="26" t="str">
        <f t="shared" si="1097"/>
        <v/>
      </c>
    </row>
    <row r="9627" spans="1:10" x14ac:dyDescent="0.25">
      <c r="A9627" t="s">
        <v>111</v>
      </c>
      <c r="B9627" t="str">
        <f>ADDRESS(ROW(Parcels!B54),COLUMN(Parcels!B896),4)</f>
        <v>B54</v>
      </c>
      <c r="C9627" t="str">
        <f>ADDRESS(ROW(Parcels!D54),COLUMN(Parcels!D54),4)</f>
        <v>D54</v>
      </c>
      <c r="D9627" s="46" t="b">
        <f>IF(AND(Parcels!B54="Current",'Six-Yr Rule'!B55&lt;=Year_DestinationYearID),IF((SUMIFS('Bond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627" t="s">
        <v>1641</v>
      </c>
      <c r="F9627" t="str">
        <f>INDEX(Lists!I:I,MATCH(Validation!E9627,Lists!G:G,0))</f>
        <v>Alert</v>
      </c>
      <c r="G9627" t="str">
        <f>INDEX(Lists!H:H,MATCH(Validation!E9627,Lists!G:G,0))</f>
        <v>This parcel does not appear to be pledged to an outstanding in-district obligation.</v>
      </c>
      <c r="H9627" s="25" t="str">
        <f t="shared" ca="1" si="1095"/>
        <v/>
      </c>
      <c r="I9627" s="25" t="str">
        <f t="shared" ca="1" si="1096"/>
        <v/>
      </c>
      <c r="J9627" s="26" t="str">
        <f t="shared" si="1097"/>
        <v/>
      </c>
    </row>
    <row r="9628" spans="1:10" x14ac:dyDescent="0.25">
      <c r="A9628" t="s">
        <v>111</v>
      </c>
      <c r="B9628" t="str">
        <f>ADDRESS(ROW(Parcels!B55),COLUMN(Parcels!B897),4)</f>
        <v>B55</v>
      </c>
      <c r="C9628" t="str">
        <f>ADDRESS(ROW(Parcels!D55),COLUMN(Parcels!D55),4)</f>
        <v>D55</v>
      </c>
      <c r="D9628" s="46" t="b">
        <f>IF(AND(Parcels!B55="Current",'Six-Yr Rule'!B56&lt;=Year_DestinationYearID),IF((SUMIFS('Bond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628" t="s">
        <v>1641</v>
      </c>
      <c r="F9628" t="str">
        <f>INDEX(Lists!I:I,MATCH(Validation!E9628,Lists!G:G,0))</f>
        <v>Alert</v>
      </c>
      <c r="G9628" t="str">
        <f>INDEX(Lists!H:H,MATCH(Validation!E9628,Lists!G:G,0))</f>
        <v>This parcel does not appear to be pledged to an outstanding in-district obligation.</v>
      </c>
      <c r="H9628" s="25" t="str">
        <f t="shared" ca="1" si="1095"/>
        <v/>
      </c>
      <c r="I9628" s="25" t="str">
        <f t="shared" ca="1" si="1096"/>
        <v/>
      </c>
      <c r="J9628" s="26" t="str">
        <f t="shared" si="1097"/>
        <v/>
      </c>
    </row>
    <row r="9629" spans="1:10" x14ac:dyDescent="0.25">
      <c r="A9629" t="s">
        <v>111</v>
      </c>
      <c r="B9629" t="str">
        <f>ADDRESS(ROW(Parcels!B56),COLUMN(Parcels!B898),4)</f>
        <v>B56</v>
      </c>
      <c r="C9629" t="str">
        <f>ADDRESS(ROW(Parcels!D56),COLUMN(Parcels!D56),4)</f>
        <v>D56</v>
      </c>
      <c r="D9629" s="46" t="b">
        <f>IF(AND(Parcels!B56="Current",'Six-Yr Rule'!B57&lt;=Year_DestinationYearID),IF((SUMIFS('Bond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629" t="s">
        <v>1641</v>
      </c>
      <c r="F9629" t="str">
        <f>INDEX(Lists!I:I,MATCH(Validation!E9629,Lists!G:G,0))</f>
        <v>Alert</v>
      </c>
      <c r="G9629" t="str">
        <f>INDEX(Lists!H:H,MATCH(Validation!E9629,Lists!G:G,0))</f>
        <v>This parcel does not appear to be pledged to an outstanding in-district obligation.</v>
      </c>
      <c r="H9629" s="25" t="str">
        <f t="shared" ca="1" si="1095"/>
        <v/>
      </c>
      <c r="I9629" s="25" t="str">
        <f t="shared" ca="1" si="1096"/>
        <v/>
      </c>
      <c r="J9629" s="26" t="str">
        <f t="shared" si="1097"/>
        <v/>
      </c>
    </row>
    <row r="9630" spans="1:10" x14ac:dyDescent="0.25">
      <c r="A9630" t="s">
        <v>111</v>
      </c>
      <c r="B9630" t="str">
        <f>ADDRESS(ROW(Parcels!B57),COLUMN(Parcels!B899),4)</f>
        <v>B57</v>
      </c>
      <c r="C9630" t="str">
        <f>ADDRESS(ROW(Parcels!D57),COLUMN(Parcels!D57),4)</f>
        <v>D57</v>
      </c>
      <c r="D9630" s="46" t="b">
        <f>IF(AND(Parcels!B57="Current",'Six-Yr Rule'!B58&lt;=Year_DestinationYearID),IF((SUMIFS('Bond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630" t="s">
        <v>1641</v>
      </c>
      <c r="F9630" t="str">
        <f>INDEX(Lists!I:I,MATCH(Validation!E9630,Lists!G:G,0))</f>
        <v>Alert</v>
      </c>
      <c r="G9630" t="str">
        <f>INDEX(Lists!H:H,MATCH(Validation!E9630,Lists!G:G,0))</f>
        <v>This parcel does not appear to be pledged to an outstanding in-district obligation.</v>
      </c>
      <c r="H9630" s="25" t="str">
        <f t="shared" ca="1" si="1095"/>
        <v/>
      </c>
      <c r="I9630" s="25" t="str">
        <f t="shared" ca="1" si="1096"/>
        <v/>
      </c>
      <c r="J9630" s="26" t="str">
        <f t="shared" si="1097"/>
        <v/>
      </c>
    </row>
    <row r="9631" spans="1:10" x14ac:dyDescent="0.25">
      <c r="A9631" t="s">
        <v>111</v>
      </c>
      <c r="B9631" t="str">
        <f>ADDRESS(ROW(Parcels!B58),COLUMN(Parcels!B900),4)</f>
        <v>B58</v>
      </c>
      <c r="C9631" t="str">
        <f>ADDRESS(ROW(Parcels!D58),COLUMN(Parcels!D58),4)</f>
        <v>D58</v>
      </c>
      <c r="D9631" s="46" t="b">
        <f>IF(AND(Parcels!B58="Current",'Six-Yr Rule'!B59&lt;=Year_DestinationYearID),IF((SUMIFS('Bond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631" t="s">
        <v>1641</v>
      </c>
      <c r="F9631" t="str">
        <f>INDEX(Lists!I:I,MATCH(Validation!E9631,Lists!G:G,0))</f>
        <v>Alert</v>
      </c>
      <c r="G9631" t="str">
        <f>INDEX(Lists!H:H,MATCH(Validation!E9631,Lists!G:G,0))</f>
        <v>This parcel does not appear to be pledged to an outstanding in-district obligation.</v>
      </c>
      <c r="H9631" s="25" t="str">
        <f t="shared" ca="1" si="1095"/>
        <v/>
      </c>
      <c r="I9631" s="25" t="str">
        <f t="shared" ca="1" si="1096"/>
        <v/>
      </c>
      <c r="J9631" s="26" t="str">
        <f t="shared" si="1097"/>
        <v/>
      </c>
    </row>
    <row r="9632" spans="1:10" x14ac:dyDescent="0.25">
      <c r="A9632" t="s">
        <v>111</v>
      </c>
      <c r="B9632" t="str">
        <f>ADDRESS(ROW(Parcels!B59),COLUMN(Parcels!B901),4)</f>
        <v>B59</v>
      </c>
      <c r="C9632" t="str">
        <f>ADDRESS(ROW(Parcels!D59),COLUMN(Parcels!D59),4)</f>
        <v>D59</v>
      </c>
      <c r="D9632" s="46" t="b">
        <f>IF(AND(Parcels!B59="Current",'Six-Yr Rule'!B60&lt;=Year_DestinationYearID),IF((SUMIFS('Bond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632" t="s">
        <v>1641</v>
      </c>
      <c r="F9632" t="str">
        <f>INDEX(Lists!I:I,MATCH(Validation!E9632,Lists!G:G,0))</f>
        <v>Alert</v>
      </c>
      <c r="G9632" t="str">
        <f>INDEX(Lists!H:H,MATCH(Validation!E9632,Lists!G:G,0))</f>
        <v>This parcel does not appear to be pledged to an outstanding in-district obligation.</v>
      </c>
      <c r="H9632" s="25" t="str">
        <f t="shared" ca="1" si="1095"/>
        <v/>
      </c>
      <c r="I9632" s="25" t="str">
        <f t="shared" ca="1" si="1096"/>
        <v/>
      </c>
      <c r="J9632" s="26" t="str">
        <f t="shared" si="1097"/>
        <v/>
      </c>
    </row>
    <row r="9633" spans="1:10" x14ac:dyDescent="0.25">
      <c r="A9633" t="s">
        <v>111</v>
      </c>
      <c r="B9633" t="str">
        <f>ADDRESS(ROW(Parcels!B60),COLUMN(Parcels!B902),4)</f>
        <v>B60</v>
      </c>
      <c r="C9633" t="str">
        <f>ADDRESS(ROW(Parcels!D60),COLUMN(Parcels!D60),4)</f>
        <v>D60</v>
      </c>
      <c r="D9633" s="46" t="b">
        <f>IF(AND(Parcels!B60="Current",'Six-Yr Rule'!B61&lt;=Year_DestinationYearID),IF((SUMIFS('Bond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633" t="s">
        <v>1641</v>
      </c>
      <c r="F9633" t="str">
        <f>INDEX(Lists!I:I,MATCH(Validation!E9633,Lists!G:G,0))</f>
        <v>Alert</v>
      </c>
      <c r="G9633" t="str">
        <f>INDEX(Lists!H:H,MATCH(Validation!E9633,Lists!G:G,0))</f>
        <v>This parcel does not appear to be pledged to an outstanding in-district obligation.</v>
      </c>
      <c r="H9633" s="25" t="str">
        <f t="shared" ca="1" si="1095"/>
        <v/>
      </c>
      <c r="I9633" s="25" t="str">
        <f t="shared" ca="1" si="1096"/>
        <v/>
      </c>
      <c r="J9633" s="26" t="str">
        <f t="shared" si="1097"/>
        <v/>
      </c>
    </row>
    <row r="9634" spans="1:10" x14ac:dyDescent="0.25">
      <c r="A9634" t="s">
        <v>111</v>
      </c>
      <c r="B9634" t="str">
        <f>ADDRESS(ROW(Parcels!B61),COLUMN(Parcels!B903),4)</f>
        <v>B61</v>
      </c>
      <c r="C9634" t="str">
        <f>ADDRESS(ROW(Parcels!D61),COLUMN(Parcels!D61),4)</f>
        <v>D61</v>
      </c>
      <c r="D9634" s="46" t="b">
        <f>IF(AND(Parcels!B61="Current",'Six-Yr Rule'!B62&lt;=Year_DestinationYearID),IF((SUMIFS('Bond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634" t="s">
        <v>1641</v>
      </c>
      <c r="F9634" t="str">
        <f>INDEX(Lists!I:I,MATCH(Validation!E9634,Lists!G:G,0))</f>
        <v>Alert</v>
      </c>
      <c r="G9634" t="str">
        <f>INDEX(Lists!H:H,MATCH(Validation!E9634,Lists!G:G,0))</f>
        <v>This parcel does not appear to be pledged to an outstanding in-district obligation.</v>
      </c>
      <c r="H9634" s="25" t="str">
        <f t="shared" ca="1" si="1095"/>
        <v/>
      </c>
      <c r="I9634" s="25" t="str">
        <f t="shared" ca="1" si="1096"/>
        <v/>
      </c>
      <c r="J9634" s="26" t="str">
        <f t="shared" si="1097"/>
        <v/>
      </c>
    </row>
    <row r="9635" spans="1:10" x14ac:dyDescent="0.25">
      <c r="A9635" t="s">
        <v>111</v>
      </c>
      <c r="B9635" t="str">
        <f>ADDRESS(ROW(Parcels!B62),COLUMN(Parcels!B904),4)</f>
        <v>B62</v>
      </c>
      <c r="C9635" t="str">
        <f>ADDRESS(ROW(Parcels!D62),COLUMN(Parcels!D62),4)</f>
        <v>D62</v>
      </c>
      <c r="D9635" s="46" t="b">
        <f>IF(AND(Parcels!B62="Current",'Six-Yr Rule'!B63&lt;=Year_DestinationYearID),IF((SUMIFS('Bond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635" t="s">
        <v>1641</v>
      </c>
      <c r="F9635" t="str">
        <f>INDEX(Lists!I:I,MATCH(Validation!E9635,Lists!G:G,0))</f>
        <v>Alert</v>
      </c>
      <c r="G9635" t="str">
        <f>INDEX(Lists!H:H,MATCH(Validation!E9635,Lists!G:G,0))</f>
        <v>This parcel does not appear to be pledged to an outstanding in-district obligation.</v>
      </c>
      <c r="H9635" s="25" t="str">
        <f t="shared" ca="1" si="1095"/>
        <v/>
      </c>
      <c r="I9635" s="25" t="str">
        <f t="shared" ca="1" si="1096"/>
        <v/>
      </c>
      <c r="J9635" s="26" t="str">
        <f t="shared" si="1097"/>
        <v/>
      </c>
    </row>
    <row r="9636" spans="1:10" x14ac:dyDescent="0.25">
      <c r="A9636" t="s">
        <v>111</v>
      </c>
      <c r="B9636" t="str">
        <f>ADDRESS(ROW(Parcels!B63),COLUMN(Parcels!B905),4)</f>
        <v>B63</v>
      </c>
      <c r="C9636" t="str">
        <f>ADDRESS(ROW(Parcels!D63),COLUMN(Parcels!D63),4)</f>
        <v>D63</v>
      </c>
      <c r="D9636" s="46" t="b">
        <f>IF(AND(Parcels!B63="Current",'Six-Yr Rule'!B64&lt;=Year_DestinationYearID),IF((SUMIFS('Bond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636" t="s">
        <v>1641</v>
      </c>
      <c r="F9636" t="str">
        <f>INDEX(Lists!I:I,MATCH(Validation!E9636,Lists!G:G,0))</f>
        <v>Alert</v>
      </c>
      <c r="G9636" t="str">
        <f>INDEX(Lists!H:H,MATCH(Validation!E9636,Lists!G:G,0))</f>
        <v>This parcel does not appear to be pledged to an outstanding in-district obligation.</v>
      </c>
      <c r="H9636" s="25" t="str">
        <f t="shared" ca="1" si="1095"/>
        <v/>
      </c>
      <c r="I9636" s="25" t="str">
        <f t="shared" ca="1" si="1096"/>
        <v/>
      </c>
      <c r="J9636" s="26" t="str">
        <f t="shared" si="1097"/>
        <v/>
      </c>
    </row>
    <row r="9637" spans="1:10" x14ac:dyDescent="0.25">
      <c r="A9637" t="s">
        <v>111</v>
      </c>
      <c r="B9637" t="str">
        <f>ADDRESS(ROW(Parcels!B64),COLUMN(Parcels!B906),4)</f>
        <v>B64</v>
      </c>
      <c r="C9637" t="str">
        <f>ADDRESS(ROW(Parcels!D64),COLUMN(Parcels!D64),4)</f>
        <v>D64</v>
      </c>
      <c r="D9637" s="46" t="b">
        <f>IF(AND(Parcels!B64="Current",'Six-Yr Rule'!B65&lt;=Year_DestinationYearID),IF((SUMIFS('Bond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637" t="s">
        <v>1641</v>
      </c>
      <c r="F9637" t="str">
        <f>INDEX(Lists!I:I,MATCH(Validation!E9637,Lists!G:G,0))</f>
        <v>Alert</v>
      </c>
      <c r="G9637" t="str">
        <f>INDEX(Lists!H:H,MATCH(Validation!E9637,Lists!G:G,0))</f>
        <v>This parcel does not appear to be pledged to an outstanding in-district obligation.</v>
      </c>
      <c r="H9637" s="25" t="str">
        <f t="shared" ca="1" si="1095"/>
        <v/>
      </c>
      <c r="I9637" s="25" t="str">
        <f t="shared" ca="1" si="1096"/>
        <v/>
      </c>
      <c r="J9637" s="26" t="str">
        <f t="shared" si="1097"/>
        <v/>
      </c>
    </row>
    <row r="9638" spans="1:10" x14ac:dyDescent="0.25">
      <c r="A9638" t="s">
        <v>111</v>
      </c>
      <c r="B9638" t="str">
        <f>ADDRESS(ROW(Parcels!B65),COLUMN(Parcels!B907),4)</f>
        <v>B65</v>
      </c>
      <c r="C9638" t="str">
        <f>ADDRESS(ROW(Parcels!D65),COLUMN(Parcels!D65),4)</f>
        <v>D65</v>
      </c>
      <c r="D9638" s="46" t="b">
        <f>IF(AND(Parcels!B65="Current",'Six-Yr Rule'!B66&lt;=Year_DestinationYearID),IF((SUMIFS('Bond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638" t="s">
        <v>1641</v>
      </c>
      <c r="F9638" t="str">
        <f>INDEX(Lists!I:I,MATCH(Validation!E9638,Lists!G:G,0))</f>
        <v>Alert</v>
      </c>
      <c r="G9638" t="str">
        <f>INDEX(Lists!H:H,MATCH(Validation!E9638,Lists!G:G,0))</f>
        <v>This parcel does not appear to be pledged to an outstanding in-district obligation.</v>
      </c>
      <c r="H9638" s="25" t="str">
        <f t="shared" ca="1" si="1095"/>
        <v/>
      </c>
      <c r="I9638" s="25" t="str">
        <f t="shared" ca="1" si="1096"/>
        <v/>
      </c>
      <c r="J9638" s="26" t="str">
        <f t="shared" si="1097"/>
        <v/>
      </c>
    </row>
    <row r="9639" spans="1:10" x14ac:dyDescent="0.25">
      <c r="A9639" t="s">
        <v>111</v>
      </c>
      <c r="B9639" t="str">
        <f>ADDRESS(ROW(Parcels!B66),COLUMN(Parcels!B908),4)</f>
        <v>B66</v>
      </c>
      <c r="C9639" t="str">
        <f>ADDRESS(ROW(Parcels!D66),COLUMN(Parcels!D66),4)</f>
        <v>D66</v>
      </c>
      <c r="D9639" s="46" t="b">
        <f>IF(AND(Parcels!B66="Current",'Six-Yr Rule'!B67&lt;=Year_DestinationYearID),IF((SUMIFS('Bond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639" t="s">
        <v>1641</v>
      </c>
      <c r="F9639" t="str">
        <f>INDEX(Lists!I:I,MATCH(Validation!E9639,Lists!G:G,0))</f>
        <v>Alert</v>
      </c>
      <c r="G9639" t="str">
        <f>INDEX(Lists!H:H,MATCH(Validation!E9639,Lists!G:G,0))</f>
        <v>This parcel does not appear to be pledged to an outstanding in-district obligation.</v>
      </c>
      <c r="H9639" s="25" t="str">
        <f t="shared" ca="1" si="1095"/>
        <v/>
      </c>
      <c r="I9639" s="25" t="str">
        <f t="shared" ca="1" si="1096"/>
        <v/>
      </c>
      <c r="J9639" s="26" t="str">
        <f t="shared" si="1097"/>
        <v/>
      </c>
    </row>
    <row r="9640" spans="1:10" x14ac:dyDescent="0.25">
      <c r="A9640" t="s">
        <v>111</v>
      </c>
      <c r="B9640" t="str">
        <f>ADDRESS(ROW(Parcels!B67),COLUMN(Parcels!B909),4)</f>
        <v>B67</v>
      </c>
      <c r="C9640" t="str">
        <f>ADDRESS(ROW(Parcels!D67),COLUMN(Parcels!D67),4)</f>
        <v>D67</v>
      </c>
      <c r="D9640" s="46" t="b">
        <f>IF(AND(Parcels!B67="Current",'Six-Yr Rule'!B68&lt;=Year_DestinationYearID),IF((SUMIFS('Bond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640" t="s">
        <v>1641</v>
      </c>
      <c r="F9640" t="str">
        <f>INDEX(Lists!I:I,MATCH(Validation!E9640,Lists!G:G,0))</f>
        <v>Alert</v>
      </c>
      <c r="G9640" t="str">
        <f>INDEX(Lists!H:H,MATCH(Validation!E9640,Lists!G:G,0))</f>
        <v>This parcel does not appear to be pledged to an outstanding in-district obligation.</v>
      </c>
      <c r="H9640" s="25" t="str">
        <f t="shared" ca="1" si="1095"/>
        <v/>
      </c>
      <c r="I9640" s="25" t="str">
        <f t="shared" ca="1" si="1096"/>
        <v/>
      </c>
      <c r="J9640" s="26" t="str">
        <f t="shared" si="1097"/>
        <v/>
      </c>
    </row>
    <row r="9641" spans="1:10" x14ac:dyDescent="0.25">
      <c r="A9641" t="s">
        <v>111</v>
      </c>
      <c r="B9641" t="str">
        <f>ADDRESS(ROW(Parcels!B68),COLUMN(Parcels!B910),4)</f>
        <v>B68</v>
      </c>
      <c r="C9641" t="str">
        <f>ADDRESS(ROW(Parcels!D68),COLUMN(Parcels!D68),4)</f>
        <v>D68</v>
      </c>
      <c r="D9641" s="46" t="b">
        <f>IF(AND(Parcels!B68="Current",'Six-Yr Rule'!B69&lt;=Year_DestinationYearID),IF((SUMIFS('Bond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641" t="s">
        <v>1641</v>
      </c>
      <c r="F9641" t="str">
        <f>INDEX(Lists!I:I,MATCH(Validation!E9641,Lists!G:G,0))</f>
        <v>Alert</v>
      </c>
      <c r="G9641" t="str">
        <f>INDEX(Lists!H:H,MATCH(Validation!E9641,Lists!G:G,0))</f>
        <v>This parcel does not appear to be pledged to an outstanding in-district obligation.</v>
      </c>
      <c r="H9641" s="25" t="str">
        <f t="shared" ca="1" si="1095"/>
        <v/>
      </c>
      <c r="I9641" s="25" t="str">
        <f t="shared" ca="1" si="1096"/>
        <v/>
      </c>
      <c r="J9641" s="26" t="str">
        <f t="shared" si="1097"/>
        <v/>
      </c>
    </row>
    <row r="9642" spans="1:10" x14ac:dyDescent="0.25">
      <c r="A9642" t="s">
        <v>111</v>
      </c>
      <c r="B9642" t="str">
        <f>ADDRESS(ROW(Parcels!B69),COLUMN(Parcels!B911),4)</f>
        <v>B69</v>
      </c>
      <c r="C9642" t="str">
        <f>ADDRESS(ROW(Parcels!D69),COLUMN(Parcels!D69),4)</f>
        <v>D69</v>
      </c>
      <c r="D9642" s="46" t="b">
        <f>IF(AND(Parcels!B69="Current",'Six-Yr Rule'!B70&lt;=Year_DestinationYearID),IF((SUMIFS('Bond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642" t="s">
        <v>1641</v>
      </c>
      <c r="F9642" t="str">
        <f>INDEX(Lists!I:I,MATCH(Validation!E9642,Lists!G:G,0))</f>
        <v>Alert</v>
      </c>
      <c r="G9642" t="str">
        <f>INDEX(Lists!H:H,MATCH(Validation!E9642,Lists!G:G,0))</f>
        <v>This parcel does not appear to be pledged to an outstanding in-district obligation.</v>
      </c>
      <c r="H9642" s="25" t="str">
        <f t="shared" ca="1" si="1095"/>
        <v/>
      </c>
      <c r="I9642" s="25" t="str">
        <f t="shared" ca="1" si="1096"/>
        <v/>
      </c>
      <c r="J9642" s="26" t="str">
        <f t="shared" si="1097"/>
        <v/>
      </c>
    </row>
    <row r="9643" spans="1:10" x14ac:dyDescent="0.25">
      <c r="A9643" t="s">
        <v>111</v>
      </c>
      <c r="B9643" t="str">
        <f>ADDRESS(ROW(Parcels!B70),COLUMN(Parcels!B912),4)</f>
        <v>B70</v>
      </c>
      <c r="C9643" t="str">
        <f>ADDRESS(ROW(Parcels!D70),COLUMN(Parcels!D70),4)</f>
        <v>D70</v>
      </c>
      <c r="D9643" s="46" t="b">
        <f>IF(AND(Parcels!B70="Current",'Six-Yr Rule'!B71&lt;=Year_DestinationYearID),IF((SUMIFS('Bond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643" t="s">
        <v>1641</v>
      </c>
      <c r="F9643" t="str">
        <f>INDEX(Lists!I:I,MATCH(Validation!E9643,Lists!G:G,0))</f>
        <v>Alert</v>
      </c>
      <c r="G9643" t="str">
        <f>INDEX(Lists!H:H,MATCH(Validation!E9643,Lists!G:G,0))</f>
        <v>This parcel does not appear to be pledged to an outstanding in-district obligation.</v>
      </c>
      <c r="H9643" s="25" t="str">
        <f t="shared" ca="1" si="1095"/>
        <v/>
      </c>
      <c r="I9643" s="25" t="str">
        <f t="shared" ca="1" si="1096"/>
        <v/>
      </c>
      <c r="J9643" s="26" t="str">
        <f t="shared" si="1097"/>
        <v/>
      </c>
    </row>
    <row r="9644" spans="1:10" x14ac:dyDescent="0.25">
      <c r="A9644" t="s">
        <v>111</v>
      </c>
      <c r="B9644" t="str">
        <f>ADDRESS(ROW(Parcels!B71),COLUMN(Parcels!B913),4)</f>
        <v>B71</v>
      </c>
      <c r="C9644" t="str">
        <f>ADDRESS(ROW(Parcels!D71),COLUMN(Parcels!D71),4)</f>
        <v>D71</v>
      </c>
      <c r="D9644" s="46" t="b">
        <f>IF(AND(Parcels!B71="Current",'Six-Yr Rule'!B72&lt;=Year_DestinationYearID),IF((SUMIFS('Bond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644" t="s">
        <v>1641</v>
      </c>
      <c r="F9644" t="str">
        <f>INDEX(Lists!I:I,MATCH(Validation!E9644,Lists!G:G,0))</f>
        <v>Alert</v>
      </c>
      <c r="G9644" t="str">
        <f>INDEX(Lists!H:H,MATCH(Validation!E9644,Lists!G:G,0))</f>
        <v>This parcel does not appear to be pledged to an outstanding in-district obligation.</v>
      </c>
      <c r="H9644" s="25" t="str">
        <f t="shared" ca="1" si="1095"/>
        <v/>
      </c>
      <c r="I9644" s="25" t="str">
        <f t="shared" ca="1" si="1096"/>
        <v/>
      </c>
      <c r="J9644" s="26" t="str">
        <f t="shared" si="1097"/>
        <v/>
      </c>
    </row>
    <row r="9645" spans="1:10" x14ac:dyDescent="0.25">
      <c r="A9645" t="s">
        <v>111</v>
      </c>
      <c r="B9645" t="str">
        <f>ADDRESS(ROW(Parcels!B72),COLUMN(Parcels!B914),4)</f>
        <v>B72</v>
      </c>
      <c r="C9645" t="str">
        <f>ADDRESS(ROW(Parcels!D72),COLUMN(Parcels!D72),4)</f>
        <v>D72</v>
      </c>
      <c r="D9645" s="46" t="b">
        <f>IF(AND(Parcels!B72="Current",'Six-Yr Rule'!B73&lt;=Year_DestinationYearID),IF((SUMIFS('Bond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645" t="s">
        <v>1641</v>
      </c>
      <c r="F9645" t="str">
        <f>INDEX(Lists!I:I,MATCH(Validation!E9645,Lists!G:G,0))</f>
        <v>Alert</v>
      </c>
      <c r="G9645" t="str">
        <f>INDEX(Lists!H:H,MATCH(Validation!E9645,Lists!G:G,0))</f>
        <v>This parcel does not appear to be pledged to an outstanding in-district obligation.</v>
      </c>
      <c r="H9645" s="25" t="str">
        <f t="shared" ca="1" si="1095"/>
        <v/>
      </c>
      <c r="I9645" s="25" t="str">
        <f t="shared" ca="1" si="1096"/>
        <v/>
      </c>
      <c r="J9645" s="26" t="str">
        <f t="shared" si="1097"/>
        <v/>
      </c>
    </row>
    <row r="9646" spans="1:10" x14ac:dyDescent="0.25">
      <c r="A9646" t="s">
        <v>111</v>
      </c>
      <c r="B9646" t="str">
        <f>ADDRESS(ROW(Parcels!B73),COLUMN(Parcels!B915),4)</f>
        <v>B73</v>
      </c>
      <c r="C9646" t="str">
        <f>ADDRESS(ROW(Parcels!D73),COLUMN(Parcels!D73),4)</f>
        <v>D73</v>
      </c>
      <c r="D9646" s="46" t="b">
        <f>IF(AND(Parcels!B73="Current",'Six-Yr Rule'!B74&lt;=Year_DestinationYearID),IF((SUMIFS('Bond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646" t="s">
        <v>1641</v>
      </c>
      <c r="F9646" t="str">
        <f>INDEX(Lists!I:I,MATCH(Validation!E9646,Lists!G:G,0))</f>
        <v>Alert</v>
      </c>
      <c r="G9646" t="str">
        <f>INDEX(Lists!H:H,MATCH(Validation!E9646,Lists!G:G,0))</f>
        <v>This parcel does not appear to be pledged to an outstanding in-district obligation.</v>
      </c>
      <c r="H9646" s="25" t="str">
        <f t="shared" ca="1" si="1095"/>
        <v/>
      </c>
      <c r="I9646" s="25" t="str">
        <f t="shared" ca="1" si="1096"/>
        <v/>
      </c>
      <c r="J9646" s="26" t="str">
        <f t="shared" si="1097"/>
        <v/>
      </c>
    </row>
    <row r="9647" spans="1:10" x14ac:dyDescent="0.25">
      <c r="A9647" t="s">
        <v>111</v>
      </c>
      <c r="B9647" t="str">
        <f>ADDRESS(ROW(Parcels!B74),COLUMN(Parcels!B916),4)</f>
        <v>B74</v>
      </c>
      <c r="C9647" t="str">
        <f>ADDRESS(ROW(Parcels!D74),COLUMN(Parcels!D74),4)</f>
        <v>D74</v>
      </c>
      <c r="D9647" s="46" t="b">
        <f>IF(AND(Parcels!B74="Current",'Six-Yr Rule'!B75&lt;=Year_DestinationYearID),IF((SUMIFS('Bond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647" t="s">
        <v>1641</v>
      </c>
      <c r="F9647" t="str">
        <f>INDEX(Lists!I:I,MATCH(Validation!E9647,Lists!G:G,0))</f>
        <v>Alert</v>
      </c>
      <c r="G9647" t="str">
        <f>INDEX(Lists!H:H,MATCH(Validation!E9647,Lists!G:G,0))</f>
        <v>This parcel does not appear to be pledged to an outstanding in-district obligation.</v>
      </c>
      <c r="H9647" s="25" t="str">
        <f t="shared" ca="1" si="1095"/>
        <v/>
      </c>
      <c r="I9647" s="25" t="str">
        <f t="shared" ca="1" si="1096"/>
        <v/>
      </c>
      <c r="J9647" s="26" t="str">
        <f t="shared" si="1097"/>
        <v/>
      </c>
    </row>
    <row r="9648" spans="1:10" x14ac:dyDescent="0.25">
      <c r="A9648" t="s">
        <v>111</v>
      </c>
      <c r="B9648" t="str">
        <f>ADDRESS(ROW(Parcels!B75),COLUMN(Parcels!B917),4)</f>
        <v>B75</v>
      </c>
      <c r="C9648" t="str">
        <f>ADDRESS(ROW(Parcels!D75),COLUMN(Parcels!D75),4)</f>
        <v>D75</v>
      </c>
      <c r="D9648" s="46" t="b">
        <f>IF(AND(Parcels!B75="Current",'Six-Yr Rule'!B76&lt;=Year_DestinationYearID),IF((SUMIFS('Bond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648" t="s">
        <v>1641</v>
      </c>
      <c r="F9648" t="str">
        <f>INDEX(Lists!I:I,MATCH(Validation!E9648,Lists!G:G,0))</f>
        <v>Alert</v>
      </c>
      <c r="G9648" t="str">
        <f>INDEX(Lists!H:H,MATCH(Validation!E9648,Lists!G:G,0))</f>
        <v>This parcel does not appear to be pledged to an outstanding in-district obligation.</v>
      </c>
      <c r="H9648" s="25" t="str">
        <f t="shared" ca="1" si="1095"/>
        <v/>
      </c>
      <c r="I9648" s="25" t="str">
        <f t="shared" ca="1" si="1096"/>
        <v/>
      </c>
      <c r="J9648" s="26" t="str">
        <f t="shared" si="1097"/>
        <v/>
      </c>
    </row>
    <row r="9649" spans="1:10" x14ac:dyDescent="0.25">
      <c r="A9649" t="s">
        <v>111</v>
      </c>
      <c r="B9649" t="str">
        <f>ADDRESS(ROW(Parcels!B76),COLUMN(Parcels!B918),4)</f>
        <v>B76</v>
      </c>
      <c r="C9649" t="str">
        <f>ADDRESS(ROW(Parcels!D76),COLUMN(Parcels!D76),4)</f>
        <v>D76</v>
      </c>
      <c r="D9649" s="46" t="b">
        <f>IF(AND(Parcels!B76="Current",'Six-Yr Rule'!B77&lt;=Year_DestinationYearID),IF((SUMIFS('Bond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649" t="s">
        <v>1641</v>
      </c>
      <c r="F9649" t="str">
        <f>INDEX(Lists!I:I,MATCH(Validation!E9649,Lists!G:G,0))</f>
        <v>Alert</v>
      </c>
      <c r="G9649" t="str">
        <f>INDEX(Lists!H:H,MATCH(Validation!E9649,Lists!G:G,0))</f>
        <v>This parcel does not appear to be pledged to an outstanding in-district obligation.</v>
      </c>
      <c r="H9649" s="25" t="str">
        <f t="shared" ca="1" si="1095"/>
        <v/>
      </c>
      <c r="I9649" s="25" t="str">
        <f t="shared" ca="1" si="1096"/>
        <v/>
      </c>
      <c r="J9649" s="26" t="str">
        <f t="shared" si="1097"/>
        <v/>
      </c>
    </row>
    <row r="9650" spans="1:10" x14ac:dyDescent="0.25">
      <c r="A9650" t="s">
        <v>111</v>
      </c>
      <c r="B9650" t="str">
        <f>ADDRESS(ROW(Parcels!B77),COLUMN(Parcels!B919),4)</f>
        <v>B77</v>
      </c>
      <c r="C9650" t="str">
        <f>ADDRESS(ROW(Parcels!D77),COLUMN(Parcels!D77),4)</f>
        <v>D77</v>
      </c>
      <c r="D9650" s="46" t="b">
        <f>IF(AND(Parcels!B77="Current",'Six-Yr Rule'!B78&lt;=Year_DestinationYearID),IF((SUMIFS('Bond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650" t="s">
        <v>1641</v>
      </c>
      <c r="F9650" t="str">
        <f>INDEX(Lists!I:I,MATCH(Validation!E9650,Lists!G:G,0))</f>
        <v>Alert</v>
      </c>
      <c r="G9650" t="str">
        <f>INDEX(Lists!H:H,MATCH(Validation!E9650,Lists!G:G,0))</f>
        <v>This parcel does not appear to be pledged to an outstanding in-district obligation.</v>
      </c>
      <c r="H9650" s="25" t="str">
        <f t="shared" ca="1" si="1095"/>
        <v/>
      </c>
      <c r="I9650" s="25" t="str">
        <f t="shared" ca="1" si="1096"/>
        <v/>
      </c>
      <c r="J9650" s="26" t="str">
        <f t="shared" si="1097"/>
        <v/>
      </c>
    </row>
    <row r="9651" spans="1:10" x14ac:dyDescent="0.25">
      <c r="A9651" t="s">
        <v>111</v>
      </c>
      <c r="B9651" t="str">
        <f>ADDRESS(ROW(Parcels!B78),COLUMN(Parcels!B920),4)</f>
        <v>B78</v>
      </c>
      <c r="C9651" t="str">
        <f>ADDRESS(ROW(Parcels!D78),COLUMN(Parcels!D78),4)</f>
        <v>D78</v>
      </c>
      <c r="D9651" s="46" t="b">
        <f>IF(AND(Parcels!B78="Current",'Six-Yr Rule'!B79&lt;=Year_DestinationYearID),IF((SUMIFS('Bond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651" t="s">
        <v>1641</v>
      </c>
      <c r="F9651" t="str">
        <f>INDEX(Lists!I:I,MATCH(Validation!E9651,Lists!G:G,0))</f>
        <v>Alert</v>
      </c>
      <c r="G9651" t="str">
        <f>INDEX(Lists!H:H,MATCH(Validation!E9651,Lists!G:G,0))</f>
        <v>This parcel does not appear to be pledged to an outstanding in-district obligation.</v>
      </c>
      <c r="H9651" s="25" t="str">
        <f t="shared" ref="H9651:H9714" ca="1" si="1098">IFERROR(IF(OR(NOT(D9651),F9651&lt;&gt;"Error"),"",A9651&amp;CELL("address",INDIRECT(B9651))),"")</f>
        <v/>
      </c>
      <c r="I9651" s="25" t="str">
        <f t="shared" ref="I9651:I9714" ca="1" si="1099">IFERROR(IF(NOT(D9651),"",A9651&amp;CELL("address",INDIRECT(C9651))),"")</f>
        <v/>
      </c>
      <c r="J9651" s="26" t="str">
        <f t="shared" ref="J9651:J9714" si="1100">IFERROR(IF(NOT(D9651),"",A9651),"")</f>
        <v/>
      </c>
    </row>
    <row r="9652" spans="1:10" x14ac:dyDescent="0.25">
      <c r="A9652" t="s">
        <v>111</v>
      </c>
      <c r="B9652" t="str">
        <f>ADDRESS(ROW(Parcels!B79),COLUMN(Parcels!B921),4)</f>
        <v>B79</v>
      </c>
      <c r="C9652" t="str">
        <f>ADDRESS(ROW(Parcels!D79),COLUMN(Parcels!D79),4)</f>
        <v>D79</v>
      </c>
      <c r="D9652" s="46" t="b">
        <f>IF(AND(Parcels!B79="Current",'Six-Yr Rule'!B80&lt;=Year_DestinationYearID),IF((SUMIFS('Bond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652" t="s">
        <v>1641</v>
      </c>
      <c r="F9652" t="str">
        <f>INDEX(Lists!I:I,MATCH(Validation!E9652,Lists!G:G,0))</f>
        <v>Alert</v>
      </c>
      <c r="G9652" t="str">
        <f>INDEX(Lists!H:H,MATCH(Validation!E9652,Lists!G:G,0))</f>
        <v>This parcel does not appear to be pledged to an outstanding in-district obligation.</v>
      </c>
      <c r="H9652" s="25" t="str">
        <f t="shared" ca="1" si="1098"/>
        <v/>
      </c>
      <c r="I9652" s="25" t="str">
        <f t="shared" ca="1" si="1099"/>
        <v/>
      </c>
      <c r="J9652" s="26" t="str">
        <f t="shared" si="1100"/>
        <v/>
      </c>
    </row>
    <row r="9653" spans="1:10" x14ac:dyDescent="0.25">
      <c r="A9653" t="s">
        <v>111</v>
      </c>
      <c r="B9653" t="str">
        <f>ADDRESS(ROW(Parcels!B80),COLUMN(Parcels!B922),4)</f>
        <v>B80</v>
      </c>
      <c r="C9653" t="str">
        <f>ADDRESS(ROW(Parcels!D80),COLUMN(Parcels!D80),4)</f>
        <v>D80</v>
      </c>
      <c r="D9653" s="46" t="b">
        <f>IF(AND(Parcels!B80="Current",'Six-Yr Rule'!B81&lt;=Year_DestinationYearID),IF((SUMIFS('Bond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653" t="s">
        <v>1641</v>
      </c>
      <c r="F9653" t="str">
        <f>INDEX(Lists!I:I,MATCH(Validation!E9653,Lists!G:G,0))</f>
        <v>Alert</v>
      </c>
      <c r="G9653" t="str">
        <f>INDEX(Lists!H:H,MATCH(Validation!E9653,Lists!G:G,0))</f>
        <v>This parcel does not appear to be pledged to an outstanding in-district obligation.</v>
      </c>
      <c r="H9653" s="25" t="str">
        <f t="shared" ca="1" si="1098"/>
        <v/>
      </c>
      <c r="I9653" s="25" t="str">
        <f t="shared" ca="1" si="1099"/>
        <v/>
      </c>
      <c r="J9653" s="26" t="str">
        <f t="shared" si="1100"/>
        <v/>
      </c>
    </row>
    <row r="9654" spans="1:10" x14ac:dyDescent="0.25">
      <c r="A9654" t="s">
        <v>111</v>
      </c>
      <c r="B9654" t="str">
        <f>ADDRESS(ROW(Parcels!B81),COLUMN(Parcels!B923),4)</f>
        <v>B81</v>
      </c>
      <c r="C9654" t="str">
        <f>ADDRESS(ROW(Parcels!D81),COLUMN(Parcels!D81),4)</f>
        <v>D81</v>
      </c>
      <c r="D9654" s="46" t="b">
        <f>IF(AND(Parcels!B81="Current",'Six-Yr Rule'!B82&lt;=Year_DestinationYearID),IF((SUMIFS('Bond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654" t="s">
        <v>1641</v>
      </c>
      <c r="F9654" t="str">
        <f>INDEX(Lists!I:I,MATCH(Validation!E9654,Lists!G:G,0))</f>
        <v>Alert</v>
      </c>
      <c r="G9654" t="str">
        <f>INDEX(Lists!H:H,MATCH(Validation!E9654,Lists!G:G,0))</f>
        <v>This parcel does not appear to be pledged to an outstanding in-district obligation.</v>
      </c>
      <c r="H9654" s="25" t="str">
        <f t="shared" ca="1" si="1098"/>
        <v/>
      </c>
      <c r="I9654" s="25" t="str">
        <f t="shared" ca="1" si="1099"/>
        <v/>
      </c>
      <c r="J9654" s="26" t="str">
        <f t="shared" si="1100"/>
        <v/>
      </c>
    </row>
    <row r="9655" spans="1:10" x14ac:dyDescent="0.25">
      <c r="A9655" t="s">
        <v>111</v>
      </c>
      <c r="B9655" t="str">
        <f>ADDRESS(ROW(Parcels!B82),COLUMN(Parcels!B924),4)</f>
        <v>B82</v>
      </c>
      <c r="C9655" t="str">
        <f>ADDRESS(ROW(Parcels!D82),COLUMN(Parcels!D82),4)</f>
        <v>D82</v>
      </c>
      <c r="D9655" s="46" t="b">
        <f>IF(AND(Parcels!B82="Current",'Six-Yr Rule'!B83&lt;=Year_DestinationYearID),IF((SUMIFS('Bond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655" t="s">
        <v>1641</v>
      </c>
      <c r="F9655" t="str">
        <f>INDEX(Lists!I:I,MATCH(Validation!E9655,Lists!G:G,0))</f>
        <v>Alert</v>
      </c>
      <c r="G9655" t="str">
        <f>INDEX(Lists!H:H,MATCH(Validation!E9655,Lists!G:G,0))</f>
        <v>This parcel does not appear to be pledged to an outstanding in-district obligation.</v>
      </c>
      <c r="H9655" s="25" t="str">
        <f t="shared" ca="1" si="1098"/>
        <v/>
      </c>
      <c r="I9655" s="25" t="str">
        <f t="shared" ca="1" si="1099"/>
        <v/>
      </c>
      <c r="J9655" s="26" t="str">
        <f t="shared" si="1100"/>
        <v/>
      </c>
    </row>
    <row r="9656" spans="1:10" x14ac:dyDescent="0.25">
      <c r="A9656" t="s">
        <v>111</v>
      </c>
      <c r="B9656" t="str">
        <f>ADDRESS(ROW(Parcels!B83),COLUMN(Parcels!B925),4)</f>
        <v>B83</v>
      </c>
      <c r="C9656" t="str">
        <f>ADDRESS(ROW(Parcels!D83),COLUMN(Parcels!D83),4)</f>
        <v>D83</v>
      </c>
      <c r="D9656" s="46" t="b">
        <f>IF(AND(Parcels!B83="Current",'Six-Yr Rule'!B84&lt;=Year_DestinationYearID),IF((SUMIFS('Bond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656" t="s">
        <v>1641</v>
      </c>
      <c r="F9656" t="str">
        <f>INDEX(Lists!I:I,MATCH(Validation!E9656,Lists!G:G,0))</f>
        <v>Alert</v>
      </c>
      <c r="G9656" t="str">
        <f>INDEX(Lists!H:H,MATCH(Validation!E9656,Lists!G:G,0))</f>
        <v>This parcel does not appear to be pledged to an outstanding in-district obligation.</v>
      </c>
      <c r="H9656" s="25" t="str">
        <f t="shared" ca="1" si="1098"/>
        <v/>
      </c>
      <c r="I9656" s="25" t="str">
        <f t="shared" ca="1" si="1099"/>
        <v/>
      </c>
      <c r="J9656" s="26" t="str">
        <f t="shared" si="1100"/>
        <v/>
      </c>
    </row>
    <row r="9657" spans="1:10" x14ac:dyDescent="0.25">
      <c r="A9657" t="s">
        <v>111</v>
      </c>
      <c r="B9657" t="str">
        <f>ADDRESS(ROW(Parcels!B84),COLUMN(Parcels!B926),4)</f>
        <v>B84</v>
      </c>
      <c r="C9657" t="str">
        <f>ADDRESS(ROW(Parcels!D84),COLUMN(Parcels!D84),4)</f>
        <v>D84</v>
      </c>
      <c r="D9657" s="46" t="b">
        <f>IF(AND(Parcels!B84="Current",'Six-Yr Rule'!B85&lt;=Year_DestinationYearID),IF((SUMIFS('Bond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657" t="s">
        <v>1641</v>
      </c>
      <c r="F9657" t="str">
        <f>INDEX(Lists!I:I,MATCH(Validation!E9657,Lists!G:G,0))</f>
        <v>Alert</v>
      </c>
      <c r="G9657" t="str">
        <f>INDEX(Lists!H:H,MATCH(Validation!E9657,Lists!G:G,0))</f>
        <v>This parcel does not appear to be pledged to an outstanding in-district obligation.</v>
      </c>
      <c r="H9657" s="25" t="str">
        <f t="shared" ca="1" si="1098"/>
        <v/>
      </c>
      <c r="I9657" s="25" t="str">
        <f t="shared" ca="1" si="1099"/>
        <v/>
      </c>
      <c r="J9657" s="26" t="str">
        <f t="shared" si="1100"/>
        <v/>
      </c>
    </row>
    <row r="9658" spans="1:10" x14ac:dyDescent="0.25">
      <c r="A9658" t="s">
        <v>111</v>
      </c>
      <c r="B9658" t="str">
        <f>ADDRESS(ROW(Parcels!B85),COLUMN(Parcels!B927),4)</f>
        <v>B85</v>
      </c>
      <c r="C9658" t="str">
        <f>ADDRESS(ROW(Parcels!D85),COLUMN(Parcels!D85),4)</f>
        <v>D85</v>
      </c>
      <c r="D9658" s="46" t="b">
        <f>IF(AND(Parcels!B85="Current",'Six-Yr Rule'!B86&lt;=Year_DestinationYearID),IF((SUMIFS('Bond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658" t="s">
        <v>1641</v>
      </c>
      <c r="F9658" t="str">
        <f>INDEX(Lists!I:I,MATCH(Validation!E9658,Lists!G:G,0))</f>
        <v>Alert</v>
      </c>
      <c r="G9658" t="str">
        <f>INDEX(Lists!H:H,MATCH(Validation!E9658,Lists!G:G,0))</f>
        <v>This parcel does not appear to be pledged to an outstanding in-district obligation.</v>
      </c>
      <c r="H9658" s="25" t="str">
        <f t="shared" ca="1" si="1098"/>
        <v/>
      </c>
      <c r="I9658" s="25" t="str">
        <f t="shared" ca="1" si="1099"/>
        <v/>
      </c>
      <c r="J9658" s="26" t="str">
        <f t="shared" si="1100"/>
        <v/>
      </c>
    </row>
    <row r="9659" spans="1:10" x14ac:dyDescent="0.25">
      <c r="A9659" t="s">
        <v>111</v>
      </c>
      <c r="B9659" t="str">
        <f>ADDRESS(ROW(Parcels!B86),COLUMN(Parcels!B928),4)</f>
        <v>B86</v>
      </c>
      <c r="C9659" t="str">
        <f>ADDRESS(ROW(Parcels!D86),COLUMN(Parcels!D86),4)</f>
        <v>D86</v>
      </c>
      <c r="D9659" s="46" t="b">
        <f>IF(AND(Parcels!B86="Current",'Six-Yr Rule'!B87&lt;=Year_DestinationYearID),IF((SUMIFS('Bond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659" t="s">
        <v>1641</v>
      </c>
      <c r="F9659" t="str">
        <f>INDEX(Lists!I:I,MATCH(Validation!E9659,Lists!G:G,0))</f>
        <v>Alert</v>
      </c>
      <c r="G9659" t="str">
        <f>INDEX(Lists!H:H,MATCH(Validation!E9659,Lists!G:G,0))</f>
        <v>This parcel does not appear to be pledged to an outstanding in-district obligation.</v>
      </c>
      <c r="H9659" s="25" t="str">
        <f t="shared" ca="1" si="1098"/>
        <v/>
      </c>
      <c r="I9659" s="25" t="str">
        <f t="shared" ca="1" si="1099"/>
        <v/>
      </c>
      <c r="J9659" s="26" t="str">
        <f t="shared" si="1100"/>
        <v/>
      </c>
    </row>
    <row r="9660" spans="1:10" x14ac:dyDescent="0.25">
      <c r="A9660" t="s">
        <v>111</v>
      </c>
      <c r="B9660" t="str">
        <f>ADDRESS(ROW(Parcels!B87),COLUMN(Parcels!B929),4)</f>
        <v>B87</v>
      </c>
      <c r="C9660" t="str">
        <f>ADDRESS(ROW(Parcels!D87),COLUMN(Parcels!D87),4)</f>
        <v>D87</v>
      </c>
      <c r="D9660" s="46" t="b">
        <f>IF(AND(Parcels!B87="Current",'Six-Yr Rule'!B88&lt;=Year_DestinationYearID),IF((SUMIFS('Bond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660" t="s">
        <v>1641</v>
      </c>
      <c r="F9660" t="str">
        <f>INDEX(Lists!I:I,MATCH(Validation!E9660,Lists!G:G,0))</f>
        <v>Alert</v>
      </c>
      <c r="G9660" t="str">
        <f>INDEX(Lists!H:H,MATCH(Validation!E9660,Lists!G:G,0))</f>
        <v>This parcel does not appear to be pledged to an outstanding in-district obligation.</v>
      </c>
      <c r="H9660" s="25" t="str">
        <f t="shared" ca="1" si="1098"/>
        <v/>
      </c>
      <c r="I9660" s="25" t="str">
        <f t="shared" ca="1" si="1099"/>
        <v/>
      </c>
      <c r="J9660" s="26" t="str">
        <f t="shared" si="1100"/>
        <v/>
      </c>
    </row>
    <row r="9661" spans="1:10" x14ac:dyDescent="0.25">
      <c r="A9661" t="s">
        <v>111</v>
      </c>
      <c r="B9661" t="str">
        <f>ADDRESS(ROW(Parcels!B88),COLUMN(Parcels!B930),4)</f>
        <v>B88</v>
      </c>
      <c r="C9661" t="str">
        <f>ADDRESS(ROW(Parcels!D88),COLUMN(Parcels!D88),4)</f>
        <v>D88</v>
      </c>
      <c r="D9661" s="46" t="b">
        <f>IF(AND(Parcels!B88="Current",'Six-Yr Rule'!B89&lt;=Year_DestinationYearID),IF((SUMIFS('Bond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661" t="s">
        <v>1641</v>
      </c>
      <c r="F9661" t="str">
        <f>INDEX(Lists!I:I,MATCH(Validation!E9661,Lists!G:G,0))</f>
        <v>Alert</v>
      </c>
      <c r="G9661" t="str">
        <f>INDEX(Lists!H:H,MATCH(Validation!E9661,Lists!G:G,0))</f>
        <v>This parcel does not appear to be pledged to an outstanding in-district obligation.</v>
      </c>
      <c r="H9661" s="25" t="str">
        <f t="shared" ca="1" si="1098"/>
        <v/>
      </c>
      <c r="I9661" s="25" t="str">
        <f t="shared" ca="1" si="1099"/>
        <v/>
      </c>
      <c r="J9661" s="26" t="str">
        <f t="shared" si="1100"/>
        <v/>
      </c>
    </row>
    <row r="9662" spans="1:10" x14ac:dyDescent="0.25">
      <c r="A9662" t="s">
        <v>111</v>
      </c>
      <c r="B9662" t="str">
        <f>ADDRESS(ROW(Parcels!B89),COLUMN(Parcels!B931),4)</f>
        <v>B89</v>
      </c>
      <c r="C9662" t="str">
        <f>ADDRESS(ROW(Parcels!D89),COLUMN(Parcels!D89),4)</f>
        <v>D89</v>
      </c>
      <c r="D9662" s="46" t="b">
        <f>IF(AND(Parcels!B89="Current",'Six-Yr Rule'!B90&lt;=Year_DestinationYearID),IF((SUMIFS('Bond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662" t="s">
        <v>1641</v>
      </c>
      <c r="F9662" t="str">
        <f>INDEX(Lists!I:I,MATCH(Validation!E9662,Lists!G:G,0))</f>
        <v>Alert</v>
      </c>
      <c r="G9662" t="str">
        <f>INDEX(Lists!H:H,MATCH(Validation!E9662,Lists!G:G,0))</f>
        <v>This parcel does not appear to be pledged to an outstanding in-district obligation.</v>
      </c>
      <c r="H9662" s="25" t="str">
        <f t="shared" ca="1" si="1098"/>
        <v/>
      </c>
      <c r="I9662" s="25" t="str">
        <f t="shared" ca="1" si="1099"/>
        <v/>
      </c>
      <c r="J9662" s="26" t="str">
        <f t="shared" si="1100"/>
        <v/>
      </c>
    </row>
    <row r="9663" spans="1:10" x14ac:dyDescent="0.25">
      <c r="A9663" t="s">
        <v>111</v>
      </c>
      <c r="B9663" t="str">
        <f>ADDRESS(ROW(Parcels!B90),COLUMN(Parcels!B932),4)</f>
        <v>B90</v>
      </c>
      <c r="C9663" t="str">
        <f>ADDRESS(ROW(Parcels!D90),COLUMN(Parcels!D90),4)</f>
        <v>D90</v>
      </c>
      <c r="D9663" s="46" t="b">
        <f>IF(AND(Parcels!B90="Current",'Six-Yr Rule'!B91&lt;=Year_DestinationYearID),IF((SUMIFS('Bond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663" t="s">
        <v>1641</v>
      </c>
      <c r="F9663" t="str">
        <f>INDEX(Lists!I:I,MATCH(Validation!E9663,Lists!G:G,0))</f>
        <v>Alert</v>
      </c>
      <c r="G9663" t="str">
        <f>INDEX(Lists!H:H,MATCH(Validation!E9663,Lists!G:G,0))</f>
        <v>This parcel does not appear to be pledged to an outstanding in-district obligation.</v>
      </c>
      <c r="H9663" s="25" t="str">
        <f t="shared" ca="1" si="1098"/>
        <v/>
      </c>
      <c r="I9663" s="25" t="str">
        <f t="shared" ca="1" si="1099"/>
        <v/>
      </c>
      <c r="J9663" s="26" t="str">
        <f t="shared" si="1100"/>
        <v/>
      </c>
    </row>
    <row r="9664" spans="1:10" x14ac:dyDescent="0.25">
      <c r="A9664" t="s">
        <v>111</v>
      </c>
      <c r="B9664" t="str">
        <f>ADDRESS(ROW(Parcels!B91),COLUMN(Parcels!B933),4)</f>
        <v>B91</v>
      </c>
      <c r="C9664" t="str">
        <f>ADDRESS(ROW(Parcels!D91),COLUMN(Parcels!D91),4)</f>
        <v>D91</v>
      </c>
      <c r="D9664" s="46" t="b">
        <f>IF(AND(Parcels!B91="Current",'Six-Yr Rule'!B92&lt;=Year_DestinationYearID),IF((SUMIFS('Bond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664" t="s">
        <v>1641</v>
      </c>
      <c r="F9664" t="str">
        <f>INDEX(Lists!I:I,MATCH(Validation!E9664,Lists!G:G,0))</f>
        <v>Alert</v>
      </c>
      <c r="G9664" t="str">
        <f>INDEX(Lists!H:H,MATCH(Validation!E9664,Lists!G:G,0))</f>
        <v>This parcel does not appear to be pledged to an outstanding in-district obligation.</v>
      </c>
      <c r="H9664" s="25" t="str">
        <f t="shared" ca="1" si="1098"/>
        <v/>
      </c>
      <c r="I9664" s="25" t="str">
        <f t="shared" ca="1" si="1099"/>
        <v/>
      </c>
      <c r="J9664" s="26" t="str">
        <f t="shared" si="1100"/>
        <v/>
      </c>
    </row>
    <row r="9665" spans="1:10" x14ac:dyDescent="0.25">
      <c r="A9665" t="s">
        <v>111</v>
      </c>
      <c r="B9665" t="str">
        <f>ADDRESS(ROW(Parcels!B92),COLUMN(Parcels!B934),4)</f>
        <v>B92</v>
      </c>
      <c r="C9665" t="str">
        <f>ADDRESS(ROW(Parcels!D92),COLUMN(Parcels!D92),4)</f>
        <v>D92</v>
      </c>
      <c r="D9665" s="46" t="b">
        <f>IF(AND(Parcels!B92="Current",'Six-Yr Rule'!B93&lt;=Year_DestinationYearID),IF((SUMIFS('Bond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665" t="s">
        <v>1641</v>
      </c>
      <c r="F9665" t="str">
        <f>INDEX(Lists!I:I,MATCH(Validation!E9665,Lists!G:G,0))</f>
        <v>Alert</v>
      </c>
      <c r="G9665" t="str">
        <f>INDEX(Lists!H:H,MATCH(Validation!E9665,Lists!G:G,0))</f>
        <v>This parcel does not appear to be pledged to an outstanding in-district obligation.</v>
      </c>
      <c r="H9665" s="25" t="str">
        <f t="shared" ca="1" si="1098"/>
        <v/>
      </c>
      <c r="I9665" s="25" t="str">
        <f t="shared" ca="1" si="1099"/>
        <v/>
      </c>
      <c r="J9665" s="26" t="str">
        <f t="shared" si="1100"/>
        <v/>
      </c>
    </row>
    <row r="9666" spans="1:10" x14ac:dyDescent="0.25">
      <c r="A9666" t="s">
        <v>111</v>
      </c>
      <c r="B9666" t="str">
        <f>ADDRESS(ROW(Parcels!B93),COLUMN(Parcels!B935),4)</f>
        <v>B93</v>
      </c>
      <c r="C9666" t="str">
        <f>ADDRESS(ROW(Parcels!D93),COLUMN(Parcels!D93),4)</f>
        <v>D93</v>
      </c>
      <c r="D9666" s="46" t="b">
        <f>IF(AND(Parcels!B93="Current",'Six-Yr Rule'!B94&lt;=Year_DestinationYearID),IF((SUMIFS('Bond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666" t="s">
        <v>1641</v>
      </c>
      <c r="F9666" t="str">
        <f>INDEX(Lists!I:I,MATCH(Validation!E9666,Lists!G:G,0))</f>
        <v>Alert</v>
      </c>
      <c r="G9666" t="str">
        <f>INDEX(Lists!H:H,MATCH(Validation!E9666,Lists!G:G,0))</f>
        <v>This parcel does not appear to be pledged to an outstanding in-district obligation.</v>
      </c>
      <c r="H9666" s="25" t="str">
        <f t="shared" ca="1" si="1098"/>
        <v/>
      </c>
      <c r="I9666" s="25" t="str">
        <f t="shared" ca="1" si="1099"/>
        <v/>
      </c>
      <c r="J9666" s="26" t="str">
        <f t="shared" si="1100"/>
        <v/>
      </c>
    </row>
    <row r="9667" spans="1:10" x14ac:dyDescent="0.25">
      <c r="A9667" t="s">
        <v>111</v>
      </c>
      <c r="B9667" t="str">
        <f>ADDRESS(ROW(Parcels!B94),COLUMN(Parcels!B936),4)</f>
        <v>B94</v>
      </c>
      <c r="C9667" t="str">
        <f>ADDRESS(ROW(Parcels!D94),COLUMN(Parcels!D94),4)</f>
        <v>D94</v>
      </c>
      <c r="D9667" s="46" t="b">
        <f>IF(AND(Parcels!B94="Current",'Six-Yr Rule'!B95&lt;=Year_DestinationYearID),IF((SUMIFS('Bond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667" t="s">
        <v>1641</v>
      </c>
      <c r="F9667" t="str">
        <f>INDEX(Lists!I:I,MATCH(Validation!E9667,Lists!G:G,0))</f>
        <v>Alert</v>
      </c>
      <c r="G9667" t="str">
        <f>INDEX(Lists!H:H,MATCH(Validation!E9667,Lists!G:G,0))</f>
        <v>This parcel does not appear to be pledged to an outstanding in-district obligation.</v>
      </c>
      <c r="H9667" s="25" t="str">
        <f t="shared" ca="1" si="1098"/>
        <v/>
      </c>
      <c r="I9667" s="25" t="str">
        <f t="shared" ca="1" si="1099"/>
        <v/>
      </c>
      <c r="J9667" s="26" t="str">
        <f t="shared" si="1100"/>
        <v/>
      </c>
    </row>
    <row r="9668" spans="1:10" x14ac:dyDescent="0.25">
      <c r="A9668" t="s">
        <v>111</v>
      </c>
      <c r="B9668" t="str">
        <f>ADDRESS(ROW(Parcels!B95),COLUMN(Parcels!B937),4)</f>
        <v>B95</v>
      </c>
      <c r="C9668" t="str">
        <f>ADDRESS(ROW(Parcels!D95),COLUMN(Parcels!D95),4)</f>
        <v>D95</v>
      </c>
      <c r="D9668" s="46" t="b">
        <f>IF(AND(Parcels!B95="Current",'Six-Yr Rule'!B96&lt;=Year_DestinationYearID),IF((SUMIFS('Bond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668" t="s">
        <v>1641</v>
      </c>
      <c r="F9668" t="str">
        <f>INDEX(Lists!I:I,MATCH(Validation!E9668,Lists!G:G,0))</f>
        <v>Alert</v>
      </c>
      <c r="G9668" t="str">
        <f>INDEX(Lists!H:H,MATCH(Validation!E9668,Lists!G:G,0))</f>
        <v>This parcel does not appear to be pledged to an outstanding in-district obligation.</v>
      </c>
      <c r="H9668" s="25" t="str">
        <f t="shared" ca="1" si="1098"/>
        <v/>
      </c>
      <c r="I9668" s="25" t="str">
        <f t="shared" ca="1" si="1099"/>
        <v/>
      </c>
      <c r="J9668" s="26" t="str">
        <f t="shared" si="1100"/>
        <v/>
      </c>
    </row>
    <row r="9669" spans="1:10" x14ac:dyDescent="0.25">
      <c r="A9669" t="s">
        <v>111</v>
      </c>
      <c r="B9669" t="str">
        <f>ADDRESS(ROW(Parcels!B96),COLUMN(Parcels!B938),4)</f>
        <v>B96</v>
      </c>
      <c r="C9669" t="str">
        <f>ADDRESS(ROW(Parcels!D96),COLUMN(Parcels!D96),4)</f>
        <v>D96</v>
      </c>
      <c r="D9669" s="46" t="b">
        <f>IF(AND(Parcels!B96="Current",'Six-Yr Rule'!B97&lt;=Year_DestinationYearID),IF((SUMIFS('Bond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669" t="s">
        <v>1641</v>
      </c>
      <c r="F9669" t="str">
        <f>INDEX(Lists!I:I,MATCH(Validation!E9669,Lists!G:G,0))</f>
        <v>Alert</v>
      </c>
      <c r="G9669" t="str">
        <f>INDEX(Lists!H:H,MATCH(Validation!E9669,Lists!G:G,0))</f>
        <v>This parcel does not appear to be pledged to an outstanding in-district obligation.</v>
      </c>
      <c r="H9669" s="25" t="str">
        <f t="shared" ca="1" si="1098"/>
        <v/>
      </c>
      <c r="I9669" s="25" t="str">
        <f t="shared" ca="1" si="1099"/>
        <v/>
      </c>
      <c r="J9669" s="26" t="str">
        <f t="shared" si="1100"/>
        <v/>
      </c>
    </row>
    <row r="9670" spans="1:10" x14ac:dyDescent="0.25">
      <c r="A9670" t="s">
        <v>111</v>
      </c>
      <c r="B9670" t="str">
        <f>ADDRESS(ROW(Parcels!B97),COLUMN(Parcels!B939),4)</f>
        <v>B97</v>
      </c>
      <c r="C9670" t="str">
        <f>ADDRESS(ROW(Parcels!D97),COLUMN(Parcels!D97),4)</f>
        <v>D97</v>
      </c>
      <c r="D9670" s="46" t="b">
        <f>IF(AND(Parcels!B97="Current",'Six-Yr Rule'!B98&lt;=Year_DestinationYearID),IF((SUMIFS('Bond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670" t="s">
        <v>1641</v>
      </c>
      <c r="F9670" t="str">
        <f>INDEX(Lists!I:I,MATCH(Validation!E9670,Lists!G:G,0))</f>
        <v>Alert</v>
      </c>
      <c r="G9670" t="str">
        <f>INDEX(Lists!H:H,MATCH(Validation!E9670,Lists!G:G,0))</f>
        <v>This parcel does not appear to be pledged to an outstanding in-district obligation.</v>
      </c>
      <c r="H9670" s="25" t="str">
        <f t="shared" ca="1" si="1098"/>
        <v/>
      </c>
      <c r="I9670" s="25" t="str">
        <f t="shared" ca="1" si="1099"/>
        <v/>
      </c>
      <c r="J9670" s="26" t="str">
        <f t="shared" si="1100"/>
        <v/>
      </c>
    </row>
    <row r="9671" spans="1:10" x14ac:dyDescent="0.25">
      <c r="A9671" t="s">
        <v>111</v>
      </c>
      <c r="B9671" t="str">
        <f>ADDRESS(ROW(Parcels!B98),COLUMN(Parcels!B940),4)</f>
        <v>B98</v>
      </c>
      <c r="C9671" t="str">
        <f>ADDRESS(ROW(Parcels!D98),COLUMN(Parcels!D98),4)</f>
        <v>D98</v>
      </c>
      <c r="D9671" s="46" t="b">
        <f>IF(AND(Parcels!B98="Current",'Six-Yr Rule'!B99&lt;=Year_DestinationYearID),IF((SUMIFS('Bond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671" t="s">
        <v>1641</v>
      </c>
      <c r="F9671" t="str">
        <f>INDEX(Lists!I:I,MATCH(Validation!E9671,Lists!G:G,0))</f>
        <v>Alert</v>
      </c>
      <c r="G9671" t="str">
        <f>INDEX(Lists!H:H,MATCH(Validation!E9671,Lists!G:G,0))</f>
        <v>This parcel does not appear to be pledged to an outstanding in-district obligation.</v>
      </c>
      <c r="H9671" s="25" t="str">
        <f t="shared" ca="1" si="1098"/>
        <v/>
      </c>
      <c r="I9671" s="25" t="str">
        <f t="shared" ca="1" si="1099"/>
        <v/>
      </c>
      <c r="J9671" s="26" t="str">
        <f t="shared" si="1100"/>
        <v/>
      </c>
    </row>
    <row r="9672" spans="1:10" x14ac:dyDescent="0.25">
      <c r="A9672" t="s">
        <v>111</v>
      </c>
      <c r="B9672" t="str">
        <f>ADDRESS(ROW(Parcels!B99),COLUMN(Parcels!B941),4)</f>
        <v>B99</v>
      </c>
      <c r="C9672" t="str">
        <f>ADDRESS(ROW(Parcels!D99),COLUMN(Parcels!D99),4)</f>
        <v>D99</v>
      </c>
      <c r="D9672" s="46" t="b">
        <f>IF(AND(Parcels!B99="Current",'Six-Yr Rule'!B100&lt;=Year_DestinationYearID),IF((SUMIFS('Bond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672" t="s">
        <v>1641</v>
      </c>
      <c r="F9672" t="str">
        <f>INDEX(Lists!I:I,MATCH(Validation!E9672,Lists!G:G,0))</f>
        <v>Alert</v>
      </c>
      <c r="G9672" t="str">
        <f>INDEX(Lists!H:H,MATCH(Validation!E9672,Lists!G:G,0))</f>
        <v>This parcel does not appear to be pledged to an outstanding in-district obligation.</v>
      </c>
      <c r="H9672" s="25" t="str">
        <f t="shared" ca="1" si="1098"/>
        <v/>
      </c>
      <c r="I9672" s="25" t="str">
        <f t="shared" ca="1" si="1099"/>
        <v/>
      </c>
      <c r="J9672" s="26" t="str">
        <f t="shared" si="1100"/>
        <v/>
      </c>
    </row>
    <row r="9673" spans="1:10" x14ac:dyDescent="0.25">
      <c r="A9673" t="s">
        <v>111</v>
      </c>
      <c r="B9673" t="str">
        <f>ADDRESS(ROW(Parcels!B100),COLUMN(Parcels!B942),4)</f>
        <v>B100</v>
      </c>
      <c r="C9673" t="str">
        <f>ADDRESS(ROW(Parcels!D100),COLUMN(Parcels!D100),4)</f>
        <v>D100</v>
      </c>
      <c r="D9673" s="46" t="b">
        <f>IF(AND(Parcels!B100="Current",'Six-Yr Rule'!B101&lt;=Year_DestinationYearID),IF((SUMIFS('Bond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673" t="s">
        <v>1641</v>
      </c>
      <c r="F9673" t="str">
        <f>INDEX(Lists!I:I,MATCH(Validation!E9673,Lists!G:G,0))</f>
        <v>Alert</v>
      </c>
      <c r="G9673" t="str">
        <f>INDEX(Lists!H:H,MATCH(Validation!E9673,Lists!G:G,0))</f>
        <v>This parcel does not appear to be pledged to an outstanding in-district obligation.</v>
      </c>
      <c r="H9673" s="25" t="str">
        <f t="shared" ca="1" si="1098"/>
        <v/>
      </c>
      <c r="I9673" s="25" t="str">
        <f t="shared" ca="1" si="1099"/>
        <v/>
      </c>
      <c r="J9673" s="26" t="str">
        <f t="shared" si="1100"/>
        <v/>
      </c>
    </row>
    <row r="9674" spans="1:10" x14ac:dyDescent="0.25">
      <c r="A9674" t="s">
        <v>111</v>
      </c>
      <c r="B9674" t="str">
        <f>ADDRESS(ROW(Parcels!B101),COLUMN(Parcels!B943),4)</f>
        <v>B101</v>
      </c>
      <c r="C9674" t="str">
        <f>ADDRESS(ROW(Parcels!D101),COLUMN(Parcels!D101),4)</f>
        <v>D101</v>
      </c>
      <c r="D9674" s="46" t="b">
        <f>IF(AND(Parcels!B101="Current",'Six-Yr Rule'!B102&lt;=Year_DestinationYearID),IF((SUMIFS('Bond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674" t="s">
        <v>1641</v>
      </c>
      <c r="F9674" t="str">
        <f>INDEX(Lists!I:I,MATCH(Validation!E9674,Lists!G:G,0))</f>
        <v>Alert</v>
      </c>
      <c r="G9674" t="str">
        <f>INDEX(Lists!H:H,MATCH(Validation!E9674,Lists!G:G,0))</f>
        <v>This parcel does not appear to be pledged to an outstanding in-district obligation.</v>
      </c>
      <c r="H9674" s="25" t="str">
        <f t="shared" ca="1" si="1098"/>
        <v/>
      </c>
      <c r="I9674" s="25" t="str">
        <f t="shared" ca="1" si="1099"/>
        <v/>
      </c>
      <c r="J9674" s="26" t="str">
        <f t="shared" si="1100"/>
        <v/>
      </c>
    </row>
    <row r="9675" spans="1:10" x14ac:dyDescent="0.25">
      <c r="A9675" t="s">
        <v>111</v>
      </c>
      <c r="B9675" t="str">
        <f>ADDRESS(ROW(Parcels!B102),COLUMN(Parcels!B944),4)</f>
        <v>B102</v>
      </c>
      <c r="C9675" t="str">
        <f>ADDRESS(ROW(Parcels!D102),COLUMN(Parcels!D102),4)</f>
        <v>D102</v>
      </c>
      <c r="D9675" s="46" t="b">
        <f>IF(AND(Parcels!B102="Current",'Six-Yr Rule'!B103&lt;=Year_DestinationYearID),IF((SUMIFS('Bond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675" t="s">
        <v>1641</v>
      </c>
      <c r="F9675" t="str">
        <f>INDEX(Lists!I:I,MATCH(Validation!E9675,Lists!G:G,0))</f>
        <v>Alert</v>
      </c>
      <c r="G9675" t="str">
        <f>INDEX(Lists!H:H,MATCH(Validation!E9675,Lists!G:G,0))</f>
        <v>This parcel does not appear to be pledged to an outstanding in-district obligation.</v>
      </c>
      <c r="H9675" s="25" t="str">
        <f t="shared" ca="1" si="1098"/>
        <v/>
      </c>
      <c r="I9675" s="25" t="str">
        <f t="shared" ca="1" si="1099"/>
        <v/>
      </c>
      <c r="J9675" s="26" t="str">
        <f t="shared" si="1100"/>
        <v/>
      </c>
    </row>
    <row r="9676" spans="1:10" x14ac:dyDescent="0.25">
      <c r="A9676" t="s">
        <v>111</v>
      </c>
      <c r="B9676" t="str">
        <f>ADDRESS(ROW(Parcels!B103),COLUMN(Parcels!B945),4)</f>
        <v>B103</v>
      </c>
      <c r="C9676" t="str">
        <f>ADDRESS(ROW(Parcels!D103),COLUMN(Parcels!D103),4)</f>
        <v>D103</v>
      </c>
      <c r="D9676" s="46" t="b">
        <f>IF(AND(Parcels!B103="Current",'Six-Yr Rule'!B104&lt;=Year_DestinationYearID),IF((SUMIFS('Bond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676" t="s">
        <v>1641</v>
      </c>
      <c r="F9676" t="str">
        <f>INDEX(Lists!I:I,MATCH(Validation!E9676,Lists!G:G,0))</f>
        <v>Alert</v>
      </c>
      <c r="G9676" t="str">
        <f>INDEX(Lists!H:H,MATCH(Validation!E9676,Lists!G:G,0))</f>
        <v>This parcel does not appear to be pledged to an outstanding in-district obligation.</v>
      </c>
      <c r="H9676" s="25" t="str">
        <f t="shared" ca="1" si="1098"/>
        <v/>
      </c>
      <c r="I9676" s="25" t="str">
        <f t="shared" ca="1" si="1099"/>
        <v/>
      </c>
      <c r="J9676" s="26" t="str">
        <f t="shared" si="1100"/>
        <v/>
      </c>
    </row>
    <row r="9677" spans="1:10" x14ac:dyDescent="0.25">
      <c r="A9677" t="s">
        <v>111</v>
      </c>
      <c r="B9677" t="str">
        <f>ADDRESS(ROW(Parcels!B104),COLUMN(Parcels!B946),4)</f>
        <v>B104</v>
      </c>
      <c r="C9677" t="str">
        <f>ADDRESS(ROW(Parcels!D104),COLUMN(Parcels!D104),4)</f>
        <v>D104</v>
      </c>
      <c r="D9677" s="46" t="b">
        <f>IF(AND(Parcels!B104="Current",'Six-Yr Rule'!B105&lt;=Year_DestinationYearID),IF((SUMIFS('Bond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677" t="s">
        <v>1641</v>
      </c>
      <c r="F9677" t="str">
        <f>INDEX(Lists!I:I,MATCH(Validation!E9677,Lists!G:G,0))</f>
        <v>Alert</v>
      </c>
      <c r="G9677" t="str">
        <f>INDEX(Lists!H:H,MATCH(Validation!E9677,Lists!G:G,0))</f>
        <v>This parcel does not appear to be pledged to an outstanding in-district obligation.</v>
      </c>
      <c r="H9677" s="25" t="str">
        <f t="shared" ca="1" si="1098"/>
        <v/>
      </c>
      <c r="I9677" s="25" t="str">
        <f t="shared" ca="1" si="1099"/>
        <v/>
      </c>
      <c r="J9677" s="26" t="str">
        <f t="shared" si="1100"/>
        <v/>
      </c>
    </row>
    <row r="9678" spans="1:10" x14ac:dyDescent="0.25">
      <c r="A9678" t="s">
        <v>111</v>
      </c>
      <c r="B9678" t="str">
        <f>ADDRESS(ROW(Parcels!B105),COLUMN(Parcels!B947),4)</f>
        <v>B105</v>
      </c>
      <c r="C9678" t="str">
        <f>ADDRESS(ROW(Parcels!D105),COLUMN(Parcels!D105),4)</f>
        <v>D105</v>
      </c>
      <c r="D9678" s="46" t="b">
        <f>IF(AND(Parcels!B105="Current",'Six-Yr Rule'!B106&lt;=Year_DestinationYearID),IF((SUMIFS('Bond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678" t="s">
        <v>1641</v>
      </c>
      <c r="F9678" t="str">
        <f>INDEX(Lists!I:I,MATCH(Validation!E9678,Lists!G:G,0))</f>
        <v>Alert</v>
      </c>
      <c r="G9678" t="str">
        <f>INDEX(Lists!H:H,MATCH(Validation!E9678,Lists!G:G,0))</f>
        <v>This parcel does not appear to be pledged to an outstanding in-district obligation.</v>
      </c>
      <c r="H9678" s="25" t="str">
        <f t="shared" ca="1" si="1098"/>
        <v/>
      </c>
      <c r="I9678" s="25" t="str">
        <f t="shared" ca="1" si="1099"/>
        <v/>
      </c>
      <c r="J9678" s="26" t="str">
        <f t="shared" si="1100"/>
        <v/>
      </c>
    </row>
    <row r="9679" spans="1:10" x14ac:dyDescent="0.25">
      <c r="A9679" t="s">
        <v>111</v>
      </c>
      <c r="B9679" t="str">
        <f>ADDRESS(ROW(Parcels!B106),COLUMN(Parcels!B948),4)</f>
        <v>B106</v>
      </c>
      <c r="C9679" t="str">
        <f>ADDRESS(ROW(Parcels!D106),COLUMN(Parcels!D106),4)</f>
        <v>D106</v>
      </c>
      <c r="D9679" s="46" t="b">
        <f>IF(AND(Parcels!B106="Current",'Six-Yr Rule'!B107&lt;=Year_DestinationYearID),IF((SUMIFS('Bond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679" t="s">
        <v>1641</v>
      </c>
      <c r="F9679" t="str">
        <f>INDEX(Lists!I:I,MATCH(Validation!E9679,Lists!G:G,0))</f>
        <v>Alert</v>
      </c>
      <c r="G9679" t="str">
        <f>INDEX(Lists!H:H,MATCH(Validation!E9679,Lists!G:G,0))</f>
        <v>This parcel does not appear to be pledged to an outstanding in-district obligation.</v>
      </c>
      <c r="H9679" s="25" t="str">
        <f t="shared" ca="1" si="1098"/>
        <v/>
      </c>
      <c r="I9679" s="25" t="str">
        <f t="shared" ca="1" si="1099"/>
        <v/>
      </c>
      <c r="J9679" s="26" t="str">
        <f t="shared" si="1100"/>
        <v/>
      </c>
    </row>
    <row r="9680" spans="1:10" x14ac:dyDescent="0.25">
      <c r="A9680" t="s">
        <v>111</v>
      </c>
      <c r="B9680" t="str">
        <f>ADDRESS(ROW(Parcels!B107),COLUMN(Parcels!B949),4)</f>
        <v>B107</v>
      </c>
      <c r="C9680" t="str">
        <f>ADDRESS(ROW(Parcels!D107),COLUMN(Parcels!D107),4)</f>
        <v>D107</v>
      </c>
      <c r="D9680" s="46" t="b">
        <f>IF(AND(Parcels!B107="Current",'Six-Yr Rule'!B108&lt;=Year_DestinationYearID),IF((SUMIFS('Bond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680" t="s">
        <v>1641</v>
      </c>
      <c r="F9680" t="str">
        <f>INDEX(Lists!I:I,MATCH(Validation!E9680,Lists!G:G,0))</f>
        <v>Alert</v>
      </c>
      <c r="G9680" t="str">
        <f>INDEX(Lists!H:H,MATCH(Validation!E9680,Lists!G:G,0))</f>
        <v>This parcel does not appear to be pledged to an outstanding in-district obligation.</v>
      </c>
      <c r="H9680" s="25" t="str">
        <f t="shared" ca="1" si="1098"/>
        <v/>
      </c>
      <c r="I9680" s="25" t="str">
        <f t="shared" ca="1" si="1099"/>
        <v/>
      </c>
      <c r="J9680" s="26" t="str">
        <f t="shared" si="1100"/>
        <v/>
      </c>
    </row>
    <row r="9681" spans="1:10" x14ac:dyDescent="0.25">
      <c r="A9681" t="s">
        <v>111</v>
      </c>
      <c r="B9681" t="str">
        <f>ADDRESS(ROW(Parcels!B108),COLUMN(Parcels!B950),4)</f>
        <v>B108</v>
      </c>
      <c r="C9681" t="str">
        <f>ADDRESS(ROW(Parcels!D108),COLUMN(Parcels!D108),4)</f>
        <v>D108</v>
      </c>
      <c r="D9681" s="46" t="b">
        <f>IF(AND(Parcels!B108="Current",'Six-Yr Rule'!B109&lt;=Year_DestinationYearID),IF((SUMIFS('Bond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681" t="s">
        <v>1641</v>
      </c>
      <c r="F9681" t="str">
        <f>INDEX(Lists!I:I,MATCH(Validation!E9681,Lists!G:G,0))</f>
        <v>Alert</v>
      </c>
      <c r="G9681" t="str">
        <f>INDEX(Lists!H:H,MATCH(Validation!E9681,Lists!G:G,0))</f>
        <v>This parcel does not appear to be pledged to an outstanding in-district obligation.</v>
      </c>
      <c r="H9681" s="25" t="str">
        <f t="shared" ca="1" si="1098"/>
        <v/>
      </c>
      <c r="I9681" s="25" t="str">
        <f t="shared" ca="1" si="1099"/>
        <v/>
      </c>
      <c r="J9681" s="26" t="str">
        <f t="shared" si="1100"/>
        <v/>
      </c>
    </row>
    <row r="9682" spans="1:10" x14ac:dyDescent="0.25">
      <c r="A9682" t="s">
        <v>111</v>
      </c>
      <c r="B9682" t="str">
        <f>ADDRESS(ROW(Parcels!B109),COLUMN(Parcels!B951),4)</f>
        <v>B109</v>
      </c>
      <c r="C9682" t="str">
        <f>ADDRESS(ROW(Parcels!D109),COLUMN(Parcels!D109),4)</f>
        <v>D109</v>
      </c>
      <c r="D9682" s="46" t="b">
        <f>IF(AND(Parcels!B109="Current",'Six-Yr Rule'!B110&lt;=Year_DestinationYearID),IF((SUMIFS('Bond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682" t="s">
        <v>1641</v>
      </c>
      <c r="F9682" t="str">
        <f>INDEX(Lists!I:I,MATCH(Validation!E9682,Lists!G:G,0))</f>
        <v>Alert</v>
      </c>
      <c r="G9682" t="str">
        <f>INDEX(Lists!H:H,MATCH(Validation!E9682,Lists!G:G,0))</f>
        <v>This parcel does not appear to be pledged to an outstanding in-district obligation.</v>
      </c>
      <c r="H9682" s="25" t="str">
        <f t="shared" ca="1" si="1098"/>
        <v/>
      </c>
      <c r="I9682" s="25" t="str">
        <f t="shared" ca="1" si="1099"/>
        <v/>
      </c>
      <c r="J9682" s="26" t="str">
        <f t="shared" si="1100"/>
        <v/>
      </c>
    </row>
    <row r="9683" spans="1:10" x14ac:dyDescent="0.25">
      <c r="A9683" t="s">
        <v>111</v>
      </c>
      <c r="B9683" t="str">
        <f>ADDRESS(ROW(Parcels!B110),COLUMN(Parcels!B952),4)</f>
        <v>B110</v>
      </c>
      <c r="C9683" t="str">
        <f>ADDRESS(ROW(Parcels!D110),COLUMN(Parcels!D110),4)</f>
        <v>D110</v>
      </c>
      <c r="D9683" s="46" t="b">
        <f>IF(AND(Parcels!B110="Current",'Six-Yr Rule'!B111&lt;=Year_DestinationYearID),IF((SUMIFS('Bond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683" t="s">
        <v>1641</v>
      </c>
      <c r="F9683" t="str">
        <f>INDEX(Lists!I:I,MATCH(Validation!E9683,Lists!G:G,0))</f>
        <v>Alert</v>
      </c>
      <c r="G9683" t="str">
        <f>INDEX(Lists!H:H,MATCH(Validation!E9683,Lists!G:G,0))</f>
        <v>This parcel does not appear to be pledged to an outstanding in-district obligation.</v>
      </c>
      <c r="H9683" s="25" t="str">
        <f t="shared" ca="1" si="1098"/>
        <v/>
      </c>
      <c r="I9683" s="25" t="str">
        <f t="shared" ca="1" si="1099"/>
        <v/>
      </c>
      <c r="J9683" s="26" t="str">
        <f t="shared" si="1100"/>
        <v/>
      </c>
    </row>
    <row r="9684" spans="1:10" x14ac:dyDescent="0.25">
      <c r="A9684" t="s">
        <v>111</v>
      </c>
      <c r="B9684" t="str">
        <f>ADDRESS(ROW(Parcels!B111),COLUMN(Parcels!B953),4)</f>
        <v>B111</v>
      </c>
      <c r="C9684" t="str">
        <f>ADDRESS(ROW(Parcels!D111),COLUMN(Parcels!D111),4)</f>
        <v>D111</v>
      </c>
      <c r="D9684" s="46" t="b">
        <f>IF(AND(Parcels!B111="Current",'Six-Yr Rule'!B112&lt;=Year_DestinationYearID),IF((SUMIFS('Bond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684" t="s">
        <v>1641</v>
      </c>
      <c r="F9684" t="str">
        <f>INDEX(Lists!I:I,MATCH(Validation!E9684,Lists!G:G,0))</f>
        <v>Alert</v>
      </c>
      <c r="G9684" t="str">
        <f>INDEX(Lists!H:H,MATCH(Validation!E9684,Lists!G:G,0))</f>
        <v>This parcel does not appear to be pledged to an outstanding in-district obligation.</v>
      </c>
      <c r="H9684" s="25" t="str">
        <f t="shared" ca="1" si="1098"/>
        <v/>
      </c>
      <c r="I9684" s="25" t="str">
        <f t="shared" ca="1" si="1099"/>
        <v/>
      </c>
      <c r="J9684" s="26" t="str">
        <f t="shared" si="1100"/>
        <v/>
      </c>
    </row>
    <row r="9685" spans="1:10" x14ac:dyDescent="0.25">
      <c r="A9685" t="s">
        <v>111</v>
      </c>
      <c r="B9685" t="str">
        <f>ADDRESS(ROW(Parcels!B112),COLUMN(Parcels!B954),4)</f>
        <v>B112</v>
      </c>
      <c r="C9685" t="str">
        <f>ADDRESS(ROW(Parcels!D112),COLUMN(Parcels!D112),4)</f>
        <v>D112</v>
      </c>
      <c r="D9685" s="46" t="b">
        <f>IF(AND(Parcels!B112="Current",'Six-Yr Rule'!B113&lt;=Year_DestinationYearID),IF((SUMIFS('Bond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685" t="s">
        <v>1641</v>
      </c>
      <c r="F9685" t="str">
        <f>INDEX(Lists!I:I,MATCH(Validation!E9685,Lists!G:G,0))</f>
        <v>Alert</v>
      </c>
      <c r="G9685" t="str">
        <f>INDEX(Lists!H:H,MATCH(Validation!E9685,Lists!G:G,0))</f>
        <v>This parcel does not appear to be pledged to an outstanding in-district obligation.</v>
      </c>
      <c r="H9685" s="25" t="str">
        <f t="shared" ca="1" si="1098"/>
        <v/>
      </c>
      <c r="I9685" s="25" t="str">
        <f t="shared" ca="1" si="1099"/>
        <v/>
      </c>
      <c r="J9685" s="26" t="str">
        <f t="shared" si="1100"/>
        <v/>
      </c>
    </row>
    <row r="9686" spans="1:10" x14ac:dyDescent="0.25">
      <c r="A9686" t="s">
        <v>111</v>
      </c>
      <c r="B9686" t="str">
        <f>ADDRESS(ROW(Parcels!B113),COLUMN(Parcels!B955),4)</f>
        <v>B113</v>
      </c>
      <c r="C9686" t="str">
        <f>ADDRESS(ROW(Parcels!D113),COLUMN(Parcels!D113),4)</f>
        <v>D113</v>
      </c>
      <c r="D9686" s="46" t="b">
        <f>IF(AND(Parcels!B113="Current",'Six-Yr Rule'!B114&lt;=Year_DestinationYearID),IF((SUMIFS('Bond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686" t="s">
        <v>1641</v>
      </c>
      <c r="F9686" t="str">
        <f>INDEX(Lists!I:I,MATCH(Validation!E9686,Lists!G:G,0))</f>
        <v>Alert</v>
      </c>
      <c r="G9686" t="str">
        <f>INDEX(Lists!H:H,MATCH(Validation!E9686,Lists!G:G,0))</f>
        <v>This parcel does not appear to be pledged to an outstanding in-district obligation.</v>
      </c>
      <c r="H9686" s="25" t="str">
        <f t="shared" ca="1" si="1098"/>
        <v/>
      </c>
      <c r="I9686" s="25" t="str">
        <f t="shared" ca="1" si="1099"/>
        <v/>
      </c>
      <c r="J9686" s="26" t="str">
        <f t="shared" si="1100"/>
        <v/>
      </c>
    </row>
    <row r="9687" spans="1:10" x14ac:dyDescent="0.25">
      <c r="A9687" t="s">
        <v>111</v>
      </c>
      <c r="B9687" t="str">
        <f>ADDRESS(ROW(Parcels!B114),COLUMN(Parcels!B956),4)</f>
        <v>B114</v>
      </c>
      <c r="C9687" t="str">
        <f>ADDRESS(ROW(Parcels!D114),COLUMN(Parcels!D114),4)</f>
        <v>D114</v>
      </c>
      <c r="D9687" s="46" t="b">
        <f>IF(AND(Parcels!B114="Current",'Six-Yr Rule'!B115&lt;=Year_DestinationYearID),IF((SUMIFS('Bond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687" t="s">
        <v>1641</v>
      </c>
      <c r="F9687" t="str">
        <f>INDEX(Lists!I:I,MATCH(Validation!E9687,Lists!G:G,0))</f>
        <v>Alert</v>
      </c>
      <c r="G9687" t="str">
        <f>INDEX(Lists!H:H,MATCH(Validation!E9687,Lists!G:G,0))</f>
        <v>This parcel does not appear to be pledged to an outstanding in-district obligation.</v>
      </c>
      <c r="H9687" s="25" t="str">
        <f t="shared" ca="1" si="1098"/>
        <v/>
      </c>
      <c r="I9687" s="25" t="str">
        <f t="shared" ca="1" si="1099"/>
        <v/>
      </c>
      <c r="J9687" s="26" t="str">
        <f t="shared" si="1100"/>
        <v/>
      </c>
    </row>
    <row r="9688" spans="1:10" x14ac:dyDescent="0.25">
      <c r="A9688" t="s">
        <v>111</v>
      </c>
      <c r="B9688" t="str">
        <f>ADDRESS(ROW(Parcels!B115),COLUMN(Parcels!B957),4)</f>
        <v>B115</v>
      </c>
      <c r="C9688" t="str">
        <f>ADDRESS(ROW(Parcels!D115),COLUMN(Parcels!D115),4)</f>
        <v>D115</v>
      </c>
      <c r="D9688" s="46" t="b">
        <f>IF(AND(Parcels!B115="Current",'Six-Yr Rule'!B116&lt;=Year_DestinationYearID),IF((SUMIFS('Bond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688" t="s">
        <v>1641</v>
      </c>
      <c r="F9688" t="str">
        <f>INDEX(Lists!I:I,MATCH(Validation!E9688,Lists!G:G,0))</f>
        <v>Alert</v>
      </c>
      <c r="G9688" t="str">
        <f>INDEX(Lists!H:H,MATCH(Validation!E9688,Lists!G:G,0))</f>
        <v>This parcel does not appear to be pledged to an outstanding in-district obligation.</v>
      </c>
      <c r="H9688" s="25" t="str">
        <f t="shared" ca="1" si="1098"/>
        <v/>
      </c>
      <c r="I9688" s="25" t="str">
        <f t="shared" ca="1" si="1099"/>
        <v/>
      </c>
      <c r="J9688" s="26" t="str">
        <f t="shared" si="1100"/>
        <v/>
      </c>
    </row>
    <row r="9689" spans="1:10" x14ac:dyDescent="0.25">
      <c r="A9689" t="s">
        <v>111</v>
      </c>
      <c r="B9689" t="str">
        <f>ADDRESS(ROW(Parcels!B116),COLUMN(Parcels!B958),4)</f>
        <v>B116</v>
      </c>
      <c r="C9689" t="str">
        <f>ADDRESS(ROW(Parcels!D116),COLUMN(Parcels!D116),4)</f>
        <v>D116</v>
      </c>
      <c r="D9689" s="46" t="b">
        <f>IF(AND(Parcels!B116="Current",'Six-Yr Rule'!B117&lt;=Year_DestinationYearID),IF((SUMIFS('Bond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689" t="s">
        <v>1641</v>
      </c>
      <c r="F9689" t="str">
        <f>INDEX(Lists!I:I,MATCH(Validation!E9689,Lists!G:G,0))</f>
        <v>Alert</v>
      </c>
      <c r="G9689" t="str">
        <f>INDEX(Lists!H:H,MATCH(Validation!E9689,Lists!G:G,0))</f>
        <v>This parcel does not appear to be pledged to an outstanding in-district obligation.</v>
      </c>
      <c r="H9689" s="25" t="str">
        <f t="shared" ca="1" si="1098"/>
        <v/>
      </c>
      <c r="I9689" s="25" t="str">
        <f t="shared" ca="1" si="1099"/>
        <v/>
      </c>
      <c r="J9689" s="26" t="str">
        <f t="shared" si="1100"/>
        <v/>
      </c>
    </row>
    <row r="9690" spans="1:10" x14ac:dyDescent="0.25">
      <c r="A9690" t="s">
        <v>111</v>
      </c>
      <c r="B9690" t="str">
        <f>ADDRESS(ROW(Parcels!B117),COLUMN(Parcels!B959),4)</f>
        <v>B117</v>
      </c>
      <c r="C9690" t="str">
        <f>ADDRESS(ROW(Parcels!D117),COLUMN(Parcels!D117),4)</f>
        <v>D117</v>
      </c>
      <c r="D9690" s="46" t="b">
        <f>IF(AND(Parcels!B117="Current",'Six-Yr Rule'!B118&lt;=Year_DestinationYearID),IF((SUMIFS('Bond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690" t="s">
        <v>1641</v>
      </c>
      <c r="F9690" t="str">
        <f>INDEX(Lists!I:I,MATCH(Validation!E9690,Lists!G:G,0))</f>
        <v>Alert</v>
      </c>
      <c r="G9690" t="str">
        <f>INDEX(Lists!H:H,MATCH(Validation!E9690,Lists!G:G,0))</f>
        <v>This parcel does not appear to be pledged to an outstanding in-district obligation.</v>
      </c>
      <c r="H9690" s="25" t="str">
        <f t="shared" ca="1" si="1098"/>
        <v/>
      </c>
      <c r="I9690" s="25" t="str">
        <f t="shared" ca="1" si="1099"/>
        <v/>
      </c>
      <c r="J9690" s="26" t="str">
        <f t="shared" si="1100"/>
        <v/>
      </c>
    </row>
    <row r="9691" spans="1:10" x14ac:dyDescent="0.25">
      <c r="A9691" t="s">
        <v>111</v>
      </c>
      <c r="B9691" t="str">
        <f>ADDRESS(ROW(Parcels!B118),COLUMN(Parcels!B960),4)</f>
        <v>B118</v>
      </c>
      <c r="C9691" t="str">
        <f>ADDRESS(ROW(Parcels!D118),COLUMN(Parcels!D118),4)</f>
        <v>D118</v>
      </c>
      <c r="D9691" s="46" t="b">
        <f>IF(AND(Parcels!B118="Current",'Six-Yr Rule'!B119&lt;=Year_DestinationYearID),IF((SUMIFS('Bond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691" t="s">
        <v>1641</v>
      </c>
      <c r="F9691" t="str">
        <f>INDEX(Lists!I:I,MATCH(Validation!E9691,Lists!G:G,0))</f>
        <v>Alert</v>
      </c>
      <c r="G9691" t="str">
        <f>INDEX(Lists!H:H,MATCH(Validation!E9691,Lists!G:G,0))</f>
        <v>This parcel does not appear to be pledged to an outstanding in-district obligation.</v>
      </c>
      <c r="H9691" s="25" t="str">
        <f t="shared" ca="1" si="1098"/>
        <v/>
      </c>
      <c r="I9691" s="25" t="str">
        <f t="shared" ca="1" si="1099"/>
        <v/>
      </c>
      <c r="J9691" s="26" t="str">
        <f t="shared" si="1100"/>
        <v/>
      </c>
    </row>
    <row r="9692" spans="1:10" x14ac:dyDescent="0.25">
      <c r="A9692" t="s">
        <v>111</v>
      </c>
      <c r="B9692" t="str">
        <f>ADDRESS(ROW(Parcels!B119),COLUMN(Parcels!B961),4)</f>
        <v>B119</v>
      </c>
      <c r="C9692" t="str">
        <f>ADDRESS(ROW(Parcels!D119),COLUMN(Parcels!D119),4)</f>
        <v>D119</v>
      </c>
      <c r="D9692" s="46" t="b">
        <f>IF(AND(Parcels!B119="Current",'Six-Yr Rule'!B120&lt;=Year_DestinationYearID),IF((SUMIFS('Bond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692" t="s">
        <v>1641</v>
      </c>
      <c r="F9692" t="str">
        <f>INDEX(Lists!I:I,MATCH(Validation!E9692,Lists!G:G,0))</f>
        <v>Alert</v>
      </c>
      <c r="G9692" t="str">
        <f>INDEX(Lists!H:H,MATCH(Validation!E9692,Lists!G:G,0))</f>
        <v>This parcel does not appear to be pledged to an outstanding in-district obligation.</v>
      </c>
      <c r="H9692" s="25" t="str">
        <f t="shared" ca="1" si="1098"/>
        <v/>
      </c>
      <c r="I9692" s="25" t="str">
        <f t="shared" ca="1" si="1099"/>
        <v/>
      </c>
      <c r="J9692" s="26" t="str">
        <f t="shared" si="1100"/>
        <v/>
      </c>
    </row>
    <row r="9693" spans="1:10" x14ac:dyDescent="0.25">
      <c r="A9693" t="s">
        <v>111</v>
      </c>
      <c r="B9693" t="str">
        <f>ADDRESS(ROW(Parcels!B120),COLUMN(Parcels!B962),4)</f>
        <v>B120</v>
      </c>
      <c r="C9693" t="str">
        <f>ADDRESS(ROW(Parcels!D120),COLUMN(Parcels!D120),4)</f>
        <v>D120</v>
      </c>
      <c r="D9693" s="46" t="b">
        <f>IF(AND(Parcels!B120="Current",'Six-Yr Rule'!B121&lt;=Year_DestinationYearID),IF((SUMIFS('Bond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693" t="s">
        <v>1641</v>
      </c>
      <c r="F9693" t="str">
        <f>INDEX(Lists!I:I,MATCH(Validation!E9693,Lists!G:G,0))</f>
        <v>Alert</v>
      </c>
      <c r="G9693" t="str">
        <f>INDEX(Lists!H:H,MATCH(Validation!E9693,Lists!G:G,0))</f>
        <v>This parcel does not appear to be pledged to an outstanding in-district obligation.</v>
      </c>
      <c r="H9693" s="25" t="str">
        <f t="shared" ca="1" si="1098"/>
        <v/>
      </c>
      <c r="I9693" s="25" t="str">
        <f t="shared" ca="1" si="1099"/>
        <v/>
      </c>
      <c r="J9693" s="26" t="str">
        <f t="shared" si="1100"/>
        <v/>
      </c>
    </row>
    <row r="9694" spans="1:10" x14ac:dyDescent="0.25">
      <c r="A9694" t="s">
        <v>111</v>
      </c>
      <c r="B9694" t="str">
        <f>ADDRESS(ROW(Parcels!B121),COLUMN(Parcels!B963),4)</f>
        <v>B121</v>
      </c>
      <c r="C9694" t="str">
        <f>ADDRESS(ROW(Parcels!D121),COLUMN(Parcels!D121),4)</f>
        <v>D121</v>
      </c>
      <c r="D9694" s="46" t="b">
        <f>IF(AND(Parcels!B121="Current",'Six-Yr Rule'!B122&lt;=Year_DestinationYearID),IF((SUMIFS('Bond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694" t="s">
        <v>1641</v>
      </c>
      <c r="F9694" t="str">
        <f>INDEX(Lists!I:I,MATCH(Validation!E9694,Lists!G:G,0))</f>
        <v>Alert</v>
      </c>
      <c r="G9694" t="str">
        <f>INDEX(Lists!H:H,MATCH(Validation!E9694,Lists!G:G,0))</f>
        <v>This parcel does not appear to be pledged to an outstanding in-district obligation.</v>
      </c>
      <c r="H9694" s="25" t="str">
        <f t="shared" ca="1" si="1098"/>
        <v/>
      </c>
      <c r="I9694" s="25" t="str">
        <f t="shared" ca="1" si="1099"/>
        <v/>
      </c>
      <c r="J9694" s="26" t="str">
        <f t="shared" si="1100"/>
        <v/>
      </c>
    </row>
    <row r="9695" spans="1:10" x14ac:dyDescent="0.25">
      <c r="A9695" t="s">
        <v>111</v>
      </c>
      <c r="B9695" t="str">
        <f>ADDRESS(ROW(Parcels!B122),COLUMN(Parcels!B964),4)</f>
        <v>B122</v>
      </c>
      <c r="C9695" t="str">
        <f>ADDRESS(ROW(Parcels!D122),COLUMN(Parcels!D122),4)</f>
        <v>D122</v>
      </c>
      <c r="D9695" s="46" t="b">
        <f>IF(AND(Parcels!B122="Current",'Six-Yr Rule'!B123&lt;=Year_DestinationYearID),IF((SUMIFS('Bond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695" t="s">
        <v>1641</v>
      </c>
      <c r="F9695" t="str">
        <f>INDEX(Lists!I:I,MATCH(Validation!E9695,Lists!G:G,0))</f>
        <v>Alert</v>
      </c>
      <c r="G9695" t="str">
        <f>INDEX(Lists!H:H,MATCH(Validation!E9695,Lists!G:G,0))</f>
        <v>This parcel does not appear to be pledged to an outstanding in-district obligation.</v>
      </c>
      <c r="H9695" s="25" t="str">
        <f t="shared" ca="1" si="1098"/>
        <v/>
      </c>
      <c r="I9695" s="25" t="str">
        <f t="shared" ca="1" si="1099"/>
        <v/>
      </c>
      <c r="J9695" s="26" t="str">
        <f t="shared" si="1100"/>
        <v/>
      </c>
    </row>
    <row r="9696" spans="1:10" x14ac:dyDescent="0.25">
      <c r="A9696" t="s">
        <v>111</v>
      </c>
      <c r="B9696" t="str">
        <f>ADDRESS(ROW(Parcels!B123),COLUMN(Parcels!B965),4)</f>
        <v>B123</v>
      </c>
      <c r="C9696" t="str">
        <f>ADDRESS(ROW(Parcels!D123),COLUMN(Parcels!D123),4)</f>
        <v>D123</v>
      </c>
      <c r="D9696" s="46" t="b">
        <f>IF(AND(Parcels!B123="Current",'Six-Yr Rule'!B124&lt;=Year_DestinationYearID),IF((SUMIFS('Bond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696" t="s">
        <v>1641</v>
      </c>
      <c r="F9696" t="str">
        <f>INDEX(Lists!I:I,MATCH(Validation!E9696,Lists!G:G,0))</f>
        <v>Alert</v>
      </c>
      <c r="G9696" t="str">
        <f>INDEX(Lists!H:H,MATCH(Validation!E9696,Lists!G:G,0))</f>
        <v>This parcel does not appear to be pledged to an outstanding in-district obligation.</v>
      </c>
      <c r="H9696" s="25" t="str">
        <f t="shared" ca="1" si="1098"/>
        <v/>
      </c>
      <c r="I9696" s="25" t="str">
        <f t="shared" ca="1" si="1099"/>
        <v/>
      </c>
      <c r="J9696" s="26" t="str">
        <f t="shared" si="1100"/>
        <v/>
      </c>
    </row>
    <row r="9697" spans="1:10" x14ac:dyDescent="0.25">
      <c r="A9697" t="s">
        <v>111</v>
      </c>
      <c r="B9697" t="str">
        <f>ADDRESS(ROW(Parcels!B124),COLUMN(Parcels!B966),4)</f>
        <v>B124</v>
      </c>
      <c r="C9697" t="str">
        <f>ADDRESS(ROW(Parcels!D124),COLUMN(Parcels!D124),4)</f>
        <v>D124</v>
      </c>
      <c r="D9697" s="46" t="b">
        <f>IF(AND(Parcels!B124="Current",'Six-Yr Rule'!B125&lt;=Year_DestinationYearID),IF((SUMIFS('Bond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697" t="s">
        <v>1641</v>
      </c>
      <c r="F9697" t="str">
        <f>INDEX(Lists!I:I,MATCH(Validation!E9697,Lists!G:G,0))</f>
        <v>Alert</v>
      </c>
      <c r="G9697" t="str">
        <f>INDEX(Lists!H:H,MATCH(Validation!E9697,Lists!G:G,0))</f>
        <v>This parcel does not appear to be pledged to an outstanding in-district obligation.</v>
      </c>
      <c r="H9697" s="25" t="str">
        <f t="shared" ca="1" si="1098"/>
        <v/>
      </c>
      <c r="I9697" s="25" t="str">
        <f t="shared" ca="1" si="1099"/>
        <v/>
      </c>
      <c r="J9697" s="26" t="str">
        <f t="shared" si="1100"/>
        <v/>
      </c>
    </row>
    <row r="9698" spans="1:10" x14ac:dyDescent="0.25">
      <c r="A9698" t="s">
        <v>111</v>
      </c>
      <c r="B9698" t="str">
        <f>ADDRESS(ROW(Parcels!B125),COLUMN(Parcels!B967),4)</f>
        <v>B125</v>
      </c>
      <c r="C9698" t="str">
        <f>ADDRESS(ROW(Parcels!D125),COLUMN(Parcels!D125),4)</f>
        <v>D125</v>
      </c>
      <c r="D9698" s="46" t="b">
        <f>IF(AND(Parcels!B125="Current",'Six-Yr Rule'!B126&lt;=Year_DestinationYearID),IF((SUMIFS('Bond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698" t="s">
        <v>1641</v>
      </c>
      <c r="F9698" t="str">
        <f>INDEX(Lists!I:I,MATCH(Validation!E9698,Lists!G:G,0))</f>
        <v>Alert</v>
      </c>
      <c r="G9698" t="str">
        <f>INDEX(Lists!H:H,MATCH(Validation!E9698,Lists!G:G,0))</f>
        <v>This parcel does not appear to be pledged to an outstanding in-district obligation.</v>
      </c>
      <c r="H9698" s="25" t="str">
        <f t="shared" ca="1" si="1098"/>
        <v/>
      </c>
      <c r="I9698" s="25" t="str">
        <f t="shared" ca="1" si="1099"/>
        <v/>
      </c>
      <c r="J9698" s="26" t="str">
        <f t="shared" si="1100"/>
        <v/>
      </c>
    </row>
    <row r="9699" spans="1:10" x14ac:dyDescent="0.25">
      <c r="A9699" t="s">
        <v>111</v>
      </c>
      <c r="B9699" t="str">
        <f>ADDRESS(ROW(Parcels!B126),COLUMN(Parcels!B968),4)</f>
        <v>B126</v>
      </c>
      <c r="C9699" t="str">
        <f>ADDRESS(ROW(Parcels!D126),COLUMN(Parcels!D126),4)</f>
        <v>D126</v>
      </c>
      <c r="D9699" s="46" t="b">
        <f>IF(AND(Parcels!B126="Current",'Six-Yr Rule'!B127&lt;=Year_DestinationYearID),IF((SUMIFS('Bond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699" t="s">
        <v>1641</v>
      </c>
      <c r="F9699" t="str">
        <f>INDEX(Lists!I:I,MATCH(Validation!E9699,Lists!G:G,0))</f>
        <v>Alert</v>
      </c>
      <c r="G9699" t="str">
        <f>INDEX(Lists!H:H,MATCH(Validation!E9699,Lists!G:G,0))</f>
        <v>This parcel does not appear to be pledged to an outstanding in-district obligation.</v>
      </c>
      <c r="H9699" s="25" t="str">
        <f t="shared" ca="1" si="1098"/>
        <v/>
      </c>
      <c r="I9699" s="25" t="str">
        <f t="shared" ca="1" si="1099"/>
        <v/>
      </c>
      <c r="J9699" s="26" t="str">
        <f t="shared" si="1100"/>
        <v/>
      </c>
    </row>
    <row r="9700" spans="1:10" x14ac:dyDescent="0.25">
      <c r="A9700" t="s">
        <v>111</v>
      </c>
      <c r="B9700" t="str">
        <f>ADDRESS(ROW(Parcels!B127),COLUMN(Parcels!B969),4)</f>
        <v>B127</v>
      </c>
      <c r="C9700" t="str">
        <f>ADDRESS(ROW(Parcels!D127),COLUMN(Parcels!D127),4)</f>
        <v>D127</v>
      </c>
      <c r="D9700" s="46" t="b">
        <f>IF(AND(Parcels!B127="Current",'Six-Yr Rule'!B128&lt;=Year_DestinationYearID),IF((SUMIFS('Bond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700" t="s">
        <v>1641</v>
      </c>
      <c r="F9700" t="str">
        <f>INDEX(Lists!I:I,MATCH(Validation!E9700,Lists!G:G,0))</f>
        <v>Alert</v>
      </c>
      <c r="G9700" t="str">
        <f>INDEX(Lists!H:H,MATCH(Validation!E9700,Lists!G:G,0))</f>
        <v>This parcel does not appear to be pledged to an outstanding in-district obligation.</v>
      </c>
      <c r="H9700" s="25" t="str">
        <f t="shared" ca="1" si="1098"/>
        <v/>
      </c>
      <c r="I9700" s="25" t="str">
        <f t="shared" ca="1" si="1099"/>
        <v/>
      </c>
      <c r="J9700" s="26" t="str">
        <f t="shared" si="1100"/>
        <v/>
      </c>
    </row>
    <row r="9701" spans="1:10" x14ac:dyDescent="0.25">
      <c r="A9701" t="s">
        <v>111</v>
      </c>
      <c r="B9701" t="str">
        <f>ADDRESS(ROW(Parcels!B128),COLUMN(Parcels!B970),4)</f>
        <v>B128</v>
      </c>
      <c r="C9701" t="str">
        <f>ADDRESS(ROW(Parcels!D128),COLUMN(Parcels!D128),4)</f>
        <v>D128</v>
      </c>
      <c r="D9701" s="46" t="b">
        <f>IF(AND(Parcels!B128="Current",'Six-Yr Rule'!B129&lt;=Year_DestinationYearID),IF((SUMIFS('Bond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701" t="s">
        <v>1641</v>
      </c>
      <c r="F9701" t="str">
        <f>INDEX(Lists!I:I,MATCH(Validation!E9701,Lists!G:G,0))</f>
        <v>Alert</v>
      </c>
      <c r="G9701" t="str">
        <f>INDEX(Lists!H:H,MATCH(Validation!E9701,Lists!G:G,0))</f>
        <v>This parcel does not appear to be pledged to an outstanding in-district obligation.</v>
      </c>
      <c r="H9701" s="25" t="str">
        <f t="shared" ca="1" si="1098"/>
        <v/>
      </c>
      <c r="I9701" s="25" t="str">
        <f t="shared" ca="1" si="1099"/>
        <v/>
      </c>
      <c r="J9701" s="26" t="str">
        <f t="shared" si="1100"/>
        <v/>
      </c>
    </row>
    <row r="9702" spans="1:10" x14ac:dyDescent="0.25">
      <c r="A9702" t="s">
        <v>111</v>
      </c>
      <c r="B9702" t="str">
        <f>ADDRESS(ROW(Parcels!B129),COLUMN(Parcels!B971),4)</f>
        <v>B129</v>
      </c>
      <c r="C9702" t="str">
        <f>ADDRESS(ROW(Parcels!D129),COLUMN(Parcels!D129),4)</f>
        <v>D129</v>
      </c>
      <c r="D9702" s="46" t="b">
        <f>IF(AND(Parcels!B129="Current",'Six-Yr Rule'!B130&lt;=Year_DestinationYearID),IF((SUMIFS('Bond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702" t="s">
        <v>1641</v>
      </c>
      <c r="F9702" t="str">
        <f>INDEX(Lists!I:I,MATCH(Validation!E9702,Lists!G:G,0))</f>
        <v>Alert</v>
      </c>
      <c r="G9702" t="str">
        <f>INDEX(Lists!H:H,MATCH(Validation!E9702,Lists!G:G,0))</f>
        <v>This parcel does not appear to be pledged to an outstanding in-district obligation.</v>
      </c>
      <c r="H9702" s="25" t="str">
        <f t="shared" ca="1" si="1098"/>
        <v/>
      </c>
      <c r="I9702" s="25" t="str">
        <f t="shared" ca="1" si="1099"/>
        <v/>
      </c>
      <c r="J9702" s="26" t="str">
        <f t="shared" si="1100"/>
        <v/>
      </c>
    </row>
    <row r="9703" spans="1:10" x14ac:dyDescent="0.25">
      <c r="A9703" t="s">
        <v>111</v>
      </c>
      <c r="B9703" t="str">
        <f>ADDRESS(ROW(Parcels!B130),COLUMN(Parcels!B972),4)</f>
        <v>B130</v>
      </c>
      <c r="C9703" t="str">
        <f>ADDRESS(ROW(Parcels!D130),COLUMN(Parcels!D130),4)</f>
        <v>D130</v>
      </c>
      <c r="D9703" s="46" t="b">
        <f>IF(AND(Parcels!B130="Current",'Six-Yr Rule'!B131&lt;=Year_DestinationYearID),IF((SUMIFS('Bond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703" t="s">
        <v>1641</v>
      </c>
      <c r="F9703" t="str">
        <f>INDEX(Lists!I:I,MATCH(Validation!E9703,Lists!G:G,0))</f>
        <v>Alert</v>
      </c>
      <c r="G9703" t="str">
        <f>INDEX(Lists!H:H,MATCH(Validation!E9703,Lists!G:G,0))</f>
        <v>This parcel does not appear to be pledged to an outstanding in-district obligation.</v>
      </c>
      <c r="H9703" s="25" t="str">
        <f t="shared" ca="1" si="1098"/>
        <v/>
      </c>
      <c r="I9703" s="25" t="str">
        <f t="shared" ca="1" si="1099"/>
        <v/>
      </c>
      <c r="J9703" s="26" t="str">
        <f t="shared" si="1100"/>
        <v/>
      </c>
    </row>
    <row r="9704" spans="1:10" x14ac:dyDescent="0.25">
      <c r="A9704" t="s">
        <v>111</v>
      </c>
      <c r="B9704" t="str">
        <f>ADDRESS(ROW(Parcels!B131),COLUMN(Parcels!B973),4)</f>
        <v>B131</v>
      </c>
      <c r="C9704" t="str">
        <f>ADDRESS(ROW(Parcels!D131),COLUMN(Parcels!D131),4)</f>
        <v>D131</v>
      </c>
      <c r="D9704" s="46" t="b">
        <f>IF(AND(Parcels!B131="Current",'Six-Yr Rule'!B132&lt;=Year_DestinationYearID),IF((SUMIFS('Bond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704" t="s">
        <v>1641</v>
      </c>
      <c r="F9704" t="str">
        <f>INDEX(Lists!I:I,MATCH(Validation!E9704,Lists!G:G,0))</f>
        <v>Alert</v>
      </c>
      <c r="G9704" t="str">
        <f>INDEX(Lists!H:H,MATCH(Validation!E9704,Lists!G:G,0))</f>
        <v>This parcel does not appear to be pledged to an outstanding in-district obligation.</v>
      </c>
      <c r="H9704" s="25" t="str">
        <f t="shared" ca="1" si="1098"/>
        <v/>
      </c>
      <c r="I9704" s="25" t="str">
        <f t="shared" ca="1" si="1099"/>
        <v/>
      </c>
      <c r="J9704" s="26" t="str">
        <f t="shared" si="1100"/>
        <v/>
      </c>
    </row>
    <row r="9705" spans="1:10" x14ac:dyDescent="0.25">
      <c r="A9705" t="s">
        <v>111</v>
      </c>
      <c r="B9705" t="str">
        <f>ADDRESS(ROW(Parcels!B132),COLUMN(Parcels!B974),4)</f>
        <v>B132</v>
      </c>
      <c r="C9705" t="str">
        <f>ADDRESS(ROW(Parcels!D132),COLUMN(Parcels!D132),4)</f>
        <v>D132</v>
      </c>
      <c r="D9705" s="46" t="b">
        <f>IF(AND(Parcels!B132="Current",'Six-Yr Rule'!B133&lt;=Year_DestinationYearID),IF((SUMIFS('Bond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705" t="s">
        <v>1641</v>
      </c>
      <c r="F9705" t="str">
        <f>INDEX(Lists!I:I,MATCH(Validation!E9705,Lists!G:G,0))</f>
        <v>Alert</v>
      </c>
      <c r="G9705" t="str">
        <f>INDEX(Lists!H:H,MATCH(Validation!E9705,Lists!G:G,0))</f>
        <v>This parcel does not appear to be pledged to an outstanding in-district obligation.</v>
      </c>
      <c r="H9705" s="25" t="str">
        <f t="shared" ca="1" si="1098"/>
        <v/>
      </c>
      <c r="I9705" s="25" t="str">
        <f t="shared" ca="1" si="1099"/>
        <v/>
      </c>
      <c r="J9705" s="26" t="str">
        <f t="shared" si="1100"/>
        <v/>
      </c>
    </row>
    <row r="9706" spans="1:10" x14ac:dyDescent="0.25">
      <c r="A9706" t="s">
        <v>111</v>
      </c>
      <c r="B9706" t="str">
        <f>ADDRESS(ROW(Parcels!B133),COLUMN(Parcels!B975),4)</f>
        <v>B133</v>
      </c>
      <c r="C9706" t="str">
        <f>ADDRESS(ROW(Parcels!D133),COLUMN(Parcels!D133),4)</f>
        <v>D133</v>
      </c>
      <c r="D9706" s="46" t="b">
        <f>IF(AND(Parcels!B133="Current",'Six-Yr Rule'!B134&lt;=Year_DestinationYearID),IF((SUMIFS('Bond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706" t="s">
        <v>1641</v>
      </c>
      <c r="F9706" t="str">
        <f>INDEX(Lists!I:I,MATCH(Validation!E9706,Lists!G:G,0))</f>
        <v>Alert</v>
      </c>
      <c r="G9706" t="str">
        <f>INDEX(Lists!H:H,MATCH(Validation!E9706,Lists!G:G,0))</f>
        <v>This parcel does not appear to be pledged to an outstanding in-district obligation.</v>
      </c>
      <c r="H9706" s="25" t="str">
        <f t="shared" ca="1" si="1098"/>
        <v/>
      </c>
      <c r="I9706" s="25" t="str">
        <f t="shared" ca="1" si="1099"/>
        <v/>
      </c>
      <c r="J9706" s="26" t="str">
        <f t="shared" si="1100"/>
        <v/>
      </c>
    </row>
    <row r="9707" spans="1:10" x14ac:dyDescent="0.25">
      <c r="A9707" t="s">
        <v>111</v>
      </c>
      <c r="B9707" t="str">
        <f>ADDRESS(ROW(Parcels!B134),COLUMN(Parcels!B976),4)</f>
        <v>B134</v>
      </c>
      <c r="C9707" t="str">
        <f>ADDRESS(ROW(Parcels!D134),COLUMN(Parcels!D134),4)</f>
        <v>D134</v>
      </c>
      <c r="D9707" s="46" t="b">
        <f>IF(AND(Parcels!B134="Current",'Six-Yr Rule'!B135&lt;=Year_DestinationYearID),IF((SUMIFS('Bond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707" t="s">
        <v>1641</v>
      </c>
      <c r="F9707" t="str">
        <f>INDEX(Lists!I:I,MATCH(Validation!E9707,Lists!G:G,0))</f>
        <v>Alert</v>
      </c>
      <c r="G9707" t="str">
        <f>INDEX(Lists!H:H,MATCH(Validation!E9707,Lists!G:G,0))</f>
        <v>This parcel does not appear to be pledged to an outstanding in-district obligation.</v>
      </c>
      <c r="H9707" s="25" t="str">
        <f t="shared" ca="1" si="1098"/>
        <v/>
      </c>
      <c r="I9707" s="25" t="str">
        <f t="shared" ca="1" si="1099"/>
        <v/>
      </c>
      <c r="J9707" s="26" t="str">
        <f t="shared" si="1100"/>
        <v/>
      </c>
    </row>
    <row r="9708" spans="1:10" x14ac:dyDescent="0.25">
      <c r="A9708" t="s">
        <v>111</v>
      </c>
      <c r="B9708" t="str">
        <f>ADDRESS(ROW(Parcels!B135),COLUMN(Parcels!B977),4)</f>
        <v>B135</v>
      </c>
      <c r="C9708" t="str">
        <f>ADDRESS(ROW(Parcels!D135),COLUMN(Parcels!D135),4)</f>
        <v>D135</v>
      </c>
      <c r="D9708" s="46" t="b">
        <f>IF(AND(Parcels!B135="Current",'Six-Yr Rule'!B136&lt;=Year_DestinationYearID),IF((SUMIFS('Bond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708" t="s">
        <v>1641</v>
      </c>
      <c r="F9708" t="str">
        <f>INDEX(Lists!I:I,MATCH(Validation!E9708,Lists!G:G,0))</f>
        <v>Alert</v>
      </c>
      <c r="G9708" t="str">
        <f>INDEX(Lists!H:H,MATCH(Validation!E9708,Lists!G:G,0))</f>
        <v>This parcel does not appear to be pledged to an outstanding in-district obligation.</v>
      </c>
      <c r="H9708" s="25" t="str">
        <f t="shared" ca="1" si="1098"/>
        <v/>
      </c>
      <c r="I9708" s="25" t="str">
        <f t="shared" ca="1" si="1099"/>
        <v/>
      </c>
      <c r="J9708" s="26" t="str">
        <f t="shared" si="1100"/>
        <v/>
      </c>
    </row>
    <row r="9709" spans="1:10" x14ac:dyDescent="0.25">
      <c r="A9709" t="s">
        <v>111</v>
      </c>
      <c r="B9709" t="str">
        <f>ADDRESS(ROW(Parcels!B136),COLUMN(Parcels!B978),4)</f>
        <v>B136</v>
      </c>
      <c r="C9709" t="str">
        <f>ADDRESS(ROW(Parcels!D136),COLUMN(Parcels!D136),4)</f>
        <v>D136</v>
      </c>
      <c r="D9709" s="46" t="b">
        <f>IF(AND(Parcels!B136="Current",'Six-Yr Rule'!B137&lt;=Year_DestinationYearID),IF((SUMIFS('Bond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709" t="s">
        <v>1641</v>
      </c>
      <c r="F9709" t="str">
        <f>INDEX(Lists!I:I,MATCH(Validation!E9709,Lists!G:G,0))</f>
        <v>Alert</v>
      </c>
      <c r="G9709" t="str">
        <f>INDEX(Lists!H:H,MATCH(Validation!E9709,Lists!G:G,0))</f>
        <v>This parcel does not appear to be pledged to an outstanding in-district obligation.</v>
      </c>
      <c r="H9709" s="25" t="str">
        <f t="shared" ca="1" si="1098"/>
        <v/>
      </c>
      <c r="I9709" s="25" t="str">
        <f t="shared" ca="1" si="1099"/>
        <v/>
      </c>
      <c r="J9709" s="26" t="str">
        <f t="shared" si="1100"/>
        <v/>
      </c>
    </row>
    <row r="9710" spans="1:10" x14ac:dyDescent="0.25">
      <c r="A9710" t="s">
        <v>111</v>
      </c>
      <c r="B9710" t="str">
        <f>ADDRESS(ROW(Parcels!B137),COLUMN(Parcels!B979),4)</f>
        <v>B137</v>
      </c>
      <c r="C9710" t="str">
        <f>ADDRESS(ROW(Parcels!D137),COLUMN(Parcels!D137),4)</f>
        <v>D137</v>
      </c>
      <c r="D9710" s="46" t="b">
        <f>IF(AND(Parcels!B137="Current",'Six-Yr Rule'!B138&lt;=Year_DestinationYearID),IF((SUMIFS('Bond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710" t="s">
        <v>1641</v>
      </c>
      <c r="F9710" t="str">
        <f>INDEX(Lists!I:I,MATCH(Validation!E9710,Lists!G:G,0))</f>
        <v>Alert</v>
      </c>
      <c r="G9710" t="str">
        <f>INDEX(Lists!H:H,MATCH(Validation!E9710,Lists!G:G,0))</f>
        <v>This parcel does not appear to be pledged to an outstanding in-district obligation.</v>
      </c>
      <c r="H9710" s="25" t="str">
        <f t="shared" ca="1" si="1098"/>
        <v/>
      </c>
      <c r="I9710" s="25" t="str">
        <f t="shared" ca="1" si="1099"/>
        <v/>
      </c>
      <c r="J9710" s="26" t="str">
        <f t="shared" si="1100"/>
        <v/>
      </c>
    </row>
    <row r="9711" spans="1:10" x14ac:dyDescent="0.25">
      <c r="A9711" t="s">
        <v>111</v>
      </c>
      <c r="B9711" t="str">
        <f>ADDRESS(ROW(Parcels!B138),COLUMN(Parcels!B980),4)</f>
        <v>B138</v>
      </c>
      <c r="C9711" t="str">
        <f>ADDRESS(ROW(Parcels!D138),COLUMN(Parcels!D138),4)</f>
        <v>D138</v>
      </c>
      <c r="D9711" s="46" t="b">
        <f>IF(AND(Parcels!B138="Current",'Six-Yr Rule'!B139&lt;=Year_DestinationYearID),IF((SUMIFS('Bond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711" t="s">
        <v>1641</v>
      </c>
      <c r="F9711" t="str">
        <f>INDEX(Lists!I:I,MATCH(Validation!E9711,Lists!G:G,0))</f>
        <v>Alert</v>
      </c>
      <c r="G9711" t="str">
        <f>INDEX(Lists!H:H,MATCH(Validation!E9711,Lists!G:G,0))</f>
        <v>This parcel does not appear to be pledged to an outstanding in-district obligation.</v>
      </c>
      <c r="H9711" s="25" t="str">
        <f t="shared" ca="1" si="1098"/>
        <v/>
      </c>
      <c r="I9711" s="25" t="str">
        <f t="shared" ca="1" si="1099"/>
        <v/>
      </c>
      <c r="J9711" s="26" t="str">
        <f t="shared" si="1100"/>
        <v/>
      </c>
    </row>
    <row r="9712" spans="1:10" x14ac:dyDescent="0.25">
      <c r="A9712" t="s">
        <v>111</v>
      </c>
      <c r="B9712" t="str">
        <f>ADDRESS(ROW(Parcels!B139),COLUMN(Parcels!B981),4)</f>
        <v>B139</v>
      </c>
      <c r="C9712" t="str">
        <f>ADDRESS(ROW(Parcels!D139),COLUMN(Parcels!D139),4)</f>
        <v>D139</v>
      </c>
      <c r="D9712" s="46" t="b">
        <f>IF(AND(Parcels!B139="Current",'Six-Yr Rule'!B140&lt;=Year_DestinationYearID),IF((SUMIFS('Bond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712" t="s">
        <v>1641</v>
      </c>
      <c r="F9712" t="str">
        <f>INDEX(Lists!I:I,MATCH(Validation!E9712,Lists!G:G,0))</f>
        <v>Alert</v>
      </c>
      <c r="G9712" t="str">
        <f>INDEX(Lists!H:H,MATCH(Validation!E9712,Lists!G:G,0))</f>
        <v>This parcel does not appear to be pledged to an outstanding in-district obligation.</v>
      </c>
      <c r="H9712" s="25" t="str">
        <f t="shared" ca="1" si="1098"/>
        <v/>
      </c>
      <c r="I9712" s="25" t="str">
        <f t="shared" ca="1" si="1099"/>
        <v/>
      </c>
      <c r="J9712" s="26" t="str">
        <f t="shared" si="1100"/>
        <v/>
      </c>
    </row>
    <row r="9713" spans="1:10" x14ac:dyDescent="0.25">
      <c r="A9713" t="s">
        <v>111</v>
      </c>
      <c r="B9713" t="str">
        <f>ADDRESS(ROW(Parcels!B140),COLUMN(Parcels!B982),4)</f>
        <v>B140</v>
      </c>
      <c r="C9713" t="str">
        <f>ADDRESS(ROW(Parcels!D140),COLUMN(Parcels!D140),4)</f>
        <v>D140</v>
      </c>
      <c r="D9713" s="46" t="b">
        <f>IF(AND(Parcels!B140="Current",'Six-Yr Rule'!B141&lt;=Year_DestinationYearID),IF((SUMIFS('Bond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713" t="s">
        <v>1641</v>
      </c>
      <c r="F9713" t="str">
        <f>INDEX(Lists!I:I,MATCH(Validation!E9713,Lists!G:G,0))</f>
        <v>Alert</v>
      </c>
      <c r="G9713" t="str">
        <f>INDEX(Lists!H:H,MATCH(Validation!E9713,Lists!G:G,0))</f>
        <v>This parcel does not appear to be pledged to an outstanding in-district obligation.</v>
      </c>
      <c r="H9713" s="25" t="str">
        <f t="shared" ca="1" si="1098"/>
        <v/>
      </c>
      <c r="I9713" s="25" t="str">
        <f t="shared" ca="1" si="1099"/>
        <v/>
      </c>
      <c r="J9713" s="26" t="str">
        <f t="shared" si="1100"/>
        <v/>
      </c>
    </row>
    <row r="9714" spans="1:10" x14ac:dyDescent="0.25">
      <c r="A9714" t="s">
        <v>111</v>
      </c>
      <c r="B9714" t="str">
        <f>ADDRESS(ROW(Parcels!B141),COLUMN(Parcels!B983),4)</f>
        <v>B141</v>
      </c>
      <c r="C9714" t="str">
        <f>ADDRESS(ROW(Parcels!D141),COLUMN(Parcels!D141),4)</f>
        <v>D141</v>
      </c>
      <c r="D9714" s="46" t="b">
        <f>IF(AND(Parcels!B141="Current",'Six-Yr Rule'!B142&lt;=Year_DestinationYearID),IF((SUMIFS('Bond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714" t="s">
        <v>1641</v>
      </c>
      <c r="F9714" t="str">
        <f>INDEX(Lists!I:I,MATCH(Validation!E9714,Lists!G:G,0))</f>
        <v>Alert</v>
      </c>
      <c r="G9714" t="str">
        <f>INDEX(Lists!H:H,MATCH(Validation!E9714,Lists!G:G,0))</f>
        <v>This parcel does not appear to be pledged to an outstanding in-district obligation.</v>
      </c>
      <c r="H9714" s="25" t="str">
        <f t="shared" ca="1" si="1098"/>
        <v/>
      </c>
      <c r="I9714" s="25" t="str">
        <f t="shared" ca="1" si="1099"/>
        <v/>
      </c>
      <c r="J9714" s="26" t="str">
        <f t="shared" si="1100"/>
        <v/>
      </c>
    </row>
    <row r="9715" spans="1:10" x14ac:dyDescent="0.25">
      <c r="A9715" t="s">
        <v>111</v>
      </c>
      <c r="B9715" t="str">
        <f>ADDRESS(ROW(Parcels!B142),COLUMN(Parcels!B984),4)</f>
        <v>B142</v>
      </c>
      <c r="C9715" t="str">
        <f>ADDRESS(ROW(Parcels!D142),COLUMN(Parcels!D142),4)</f>
        <v>D142</v>
      </c>
      <c r="D9715" s="46" t="b">
        <f>IF(AND(Parcels!B142="Current",'Six-Yr Rule'!B143&lt;=Year_DestinationYearID),IF((SUMIFS('Bond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715" t="s">
        <v>1641</v>
      </c>
      <c r="F9715" t="str">
        <f>INDEX(Lists!I:I,MATCH(Validation!E9715,Lists!G:G,0))</f>
        <v>Alert</v>
      </c>
      <c r="G9715" t="str">
        <f>INDEX(Lists!H:H,MATCH(Validation!E9715,Lists!G:G,0))</f>
        <v>This parcel does not appear to be pledged to an outstanding in-district obligation.</v>
      </c>
      <c r="H9715" s="25" t="str">
        <f t="shared" ref="H9715:H9778" ca="1" si="1101">IFERROR(IF(OR(NOT(D9715),F9715&lt;&gt;"Error"),"",A9715&amp;CELL("address",INDIRECT(B9715))),"")</f>
        <v/>
      </c>
      <c r="I9715" s="25" t="str">
        <f t="shared" ref="I9715:I9778" ca="1" si="1102">IFERROR(IF(NOT(D9715),"",A9715&amp;CELL("address",INDIRECT(C9715))),"")</f>
        <v/>
      </c>
      <c r="J9715" s="26" t="str">
        <f t="shared" ref="J9715:J9778" si="1103">IFERROR(IF(NOT(D9715),"",A9715),"")</f>
        <v/>
      </c>
    </row>
    <row r="9716" spans="1:10" x14ac:dyDescent="0.25">
      <c r="A9716" t="s">
        <v>111</v>
      </c>
      <c r="B9716" t="str">
        <f>ADDRESS(ROW(Parcels!B143),COLUMN(Parcels!B985),4)</f>
        <v>B143</v>
      </c>
      <c r="C9716" t="str">
        <f>ADDRESS(ROW(Parcels!D143),COLUMN(Parcels!D143),4)</f>
        <v>D143</v>
      </c>
      <c r="D9716" s="46" t="b">
        <f>IF(AND(Parcels!B143="Current",'Six-Yr Rule'!B144&lt;=Year_DestinationYearID),IF((SUMIFS('Bond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716" t="s">
        <v>1641</v>
      </c>
      <c r="F9716" t="str">
        <f>INDEX(Lists!I:I,MATCH(Validation!E9716,Lists!G:G,0))</f>
        <v>Alert</v>
      </c>
      <c r="G9716" t="str">
        <f>INDEX(Lists!H:H,MATCH(Validation!E9716,Lists!G:G,0))</f>
        <v>This parcel does not appear to be pledged to an outstanding in-district obligation.</v>
      </c>
      <c r="H9716" s="25" t="str">
        <f t="shared" ca="1" si="1101"/>
        <v/>
      </c>
      <c r="I9716" s="25" t="str">
        <f t="shared" ca="1" si="1102"/>
        <v/>
      </c>
      <c r="J9716" s="26" t="str">
        <f t="shared" si="1103"/>
        <v/>
      </c>
    </row>
    <row r="9717" spans="1:10" x14ac:dyDescent="0.25">
      <c r="A9717" t="s">
        <v>111</v>
      </c>
      <c r="B9717" t="str">
        <f>ADDRESS(ROW(Parcels!B144),COLUMN(Parcels!B986),4)</f>
        <v>B144</v>
      </c>
      <c r="C9717" t="str">
        <f>ADDRESS(ROW(Parcels!D144),COLUMN(Parcels!D144),4)</f>
        <v>D144</v>
      </c>
      <c r="D9717" s="46" t="b">
        <f>IF(AND(Parcels!B144="Current",'Six-Yr Rule'!B145&lt;=Year_DestinationYearID),IF((SUMIFS('Bond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717" t="s">
        <v>1641</v>
      </c>
      <c r="F9717" t="str">
        <f>INDEX(Lists!I:I,MATCH(Validation!E9717,Lists!G:G,0))</f>
        <v>Alert</v>
      </c>
      <c r="G9717" t="str">
        <f>INDEX(Lists!H:H,MATCH(Validation!E9717,Lists!G:G,0))</f>
        <v>This parcel does not appear to be pledged to an outstanding in-district obligation.</v>
      </c>
      <c r="H9717" s="25" t="str">
        <f t="shared" ca="1" si="1101"/>
        <v/>
      </c>
      <c r="I9717" s="25" t="str">
        <f t="shared" ca="1" si="1102"/>
        <v/>
      </c>
      <c r="J9717" s="26" t="str">
        <f t="shared" si="1103"/>
        <v/>
      </c>
    </row>
    <row r="9718" spans="1:10" x14ac:dyDescent="0.25">
      <c r="A9718" t="s">
        <v>111</v>
      </c>
      <c r="B9718" t="str">
        <f>ADDRESS(ROW(Parcels!B145),COLUMN(Parcels!B987),4)</f>
        <v>B145</v>
      </c>
      <c r="C9718" t="str">
        <f>ADDRESS(ROW(Parcels!D145),COLUMN(Parcels!D145),4)</f>
        <v>D145</v>
      </c>
      <c r="D9718" s="46" t="b">
        <f>IF(AND(Parcels!B145="Current",'Six-Yr Rule'!B146&lt;=Year_DestinationYearID),IF((SUMIFS('Bond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718" t="s">
        <v>1641</v>
      </c>
      <c r="F9718" t="str">
        <f>INDEX(Lists!I:I,MATCH(Validation!E9718,Lists!G:G,0))</f>
        <v>Alert</v>
      </c>
      <c r="G9718" t="str">
        <f>INDEX(Lists!H:H,MATCH(Validation!E9718,Lists!G:G,0))</f>
        <v>This parcel does not appear to be pledged to an outstanding in-district obligation.</v>
      </c>
      <c r="H9718" s="25" t="str">
        <f t="shared" ca="1" si="1101"/>
        <v/>
      </c>
      <c r="I9718" s="25" t="str">
        <f t="shared" ca="1" si="1102"/>
        <v/>
      </c>
      <c r="J9718" s="26" t="str">
        <f t="shared" si="1103"/>
        <v/>
      </c>
    </row>
    <row r="9719" spans="1:10" x14ac:dyDescent="0.25">
      <c r="A9719" t="s">
        <v>111</v>
      </c>
      <c r="B9719" t="str">
        <f>ADDRESS(ROW(Parcels!B146),COLUMN(Parcels!B988),4)</f>
        <v>B146</v>
      </c>
      <c r="C9719" t="str">
        <f>ADDRESS(ROW(Parcels!D146),COLUMN(Parcels!D146),4)</f>
        <v>D146</v>
      </c>
      <c r="D9719" s="46" t="b">
        <f>IF(AND(Parcels!B146="Current",'Six-Yr Rule'!B147&lt;=Year_DestinationYearID),IF((SUMIFS('Bond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719" t="s">
        <v>1641</v>
      </c>
      <c r="F9719" t="str">
        <f>INDEX(Lists!I:I,MATCH(Validation!E9719,Lists!G:G,0))</f>
        <v>Alert</v>
      </c>
      <c r="G9719" t="str">
        <f>INDEX(Lists!H:H,MATCH(Validation!E9719,Lists!G:G,0))</f>
        <v>This parcel does not appear to be pledged to an outstanding in-district obligation.</v>
      </c>
      <c r="H9719" s="25" t="str">
        <f t="shared" ca="1" si="1101"/>
        <v/>
      </c>
      <c r="I9719" s="25" t="str">
        <f t="shared" ca="1" si="1102"/>
        <v/>
      </c>
      <c r="J9719" s="26" t="str">
        <f t="shared" si="1103"/>
        <v/>
      </c>
    </row>
    <row r="9720" spans="1:10" x14ac:dyDescent="0.25">
      <c r="A9720" t="s">
        <v>111</v>
      </c>
      <c r="B9720" t="str">
        <f>ADDRESS(ROW(Parcels!B147),COLUMN(Parcels!B989),4)</f>
        <v>B147</v>
      </c>
      <c r="C9720" t="str">
        <f>ADDRESS(ROW(Parcels!D147),COLUMN(Parcels!D147),4)</f>
        <v>D147</v>
      </c>
      <c r="D9720" s="46" t="b">
        <f>IF(AND(Parcels!B147="Current",'Six-Yr Rule'!B148&lt;=Year_DestinationYearID),IF((SUMIFS('Bond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720" t="s">
        <v>1641</v>
      </c>
      <c r="F9720" t="str">
        <f>INDEX(Lists!I:I,MATCH(Validation!E9720,Lists!G:G,0))</f>
        <v>Alert</v>
      </c>
      <c r="G9720" t="str">
        <f>INDEX(Lists!H:H,MATCH(Validation!E9720,Lists!G:G,0))</f>
        <v>This parcel does not appear to be pledged to an outstanding in-district obligation.</v>
      </c>
      <c r="H9720" s="25" t="str">
        <f t="shared" ca="1" si="1101"/>
        <v/>
      </c>
      <c r="I9720" s="25" t="str">
        <f t="shared" ca="1" si="1102"/>
        <v/>
      </c>
      <c r="J9720" s="26" t="str">
        <f t="shared" si="1103"/>
        <v/>
      </c>
    </row>
    <row r="9721" spans="1:10" x14ac:dyDescent="0.25">
      <c r="A9721" t="s">
        <v>111</v>
      </c>
      <c r="B9721" t="str">
        <f>ADDRESS(ROW(Parcels!B148),COLUMN(Parcels!B990),4)</f>
        <v>B148</v>
      </c>
      <c r="C9721" t="str">
        <f>ADDRESS(ROW(Parcels!D148),COLUMN(Parcels!D148),4)</f>
        <v>D148</v>
      </c>
      <c r="D9721" s="46" t="b">
        <f>IF(AND(Parcels!B148="Current",'Six-Yr Rule'!B149&lt;=Year_DestinationYearID),IF((SUMIFS('Bond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721" t="s">
        <v>1641</v>
      </c>
      <c r="F9721" t="str">
        <f>INDEX(Lists!I:I,MATCH(Validation!E9721,Lists!G:G,0))</f>
        <v>Alert</v>
      </c>
      <c r="G9721" t="str">
        <f>INDEX(Lists!H:H,MATCH(Validation!E9721,Lists!G:G,0))</f>
        <v>This parcel does not appear to be pledged to an outstanding in-district obligation.</v>
      </c>
      <c r="H9721" s="25" t="str">
        <f t="shared" ca="1" si="1101"/>
        <v/>
      </c>
      <c r="I9721" s="25" t="str">
        <f t="shared" ca="1" si="1102"/>
        <v/>
      </c>
      <c r="J9721" s="26" t="str">
        <f t="shared" si="1103"/>
        <v/>
      </c>
    </row>
    <row r="9722" spans="1:10" x14ac:dyDescent="0.25">
      <c r="A9722" t="s">
        <v>111</v>
      </c>
      <c r="B9722" t="str">
        <f>ADDRESS(ROW(Parcels!B149),COLUMN(Parcels!B991),4)</f>
        <v>B149</v>
      </c>
      <c r="C9722" t="str">
        <f>ADDRESS(ROW(Parcels!D149),COLUMN(Parcels!D149),4)</f>
        <v>D149</v>
      </c>
      <c r="D9722" s="46" t="b">
        <f>IF(AND(Parcels!B149="Current",'Six-Yr Rule'!B150&lt;=Year_DestinationYearID),IF((SUMIFS('Bond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722" t="s">
        <v>1641</v>
      </c>
      <c r="F9722" t="str">
        <f>INDEX(Lists!I:I,MATCH(Validation!E9722,Lists!G:G,0))</f>
        <v>Alert</v>
      </c>
      <c r="G9722" t="str">
        <f>INDEX(Lists!H:H,MATCH(Validation!E9722,Lists!G:G,0))</f>
        <v>This parcel does not appear to be pledged to an outstanding in-district obligation.</v>
      </c>
      <c r="H9722" s="25" t="str">
        <f t="shared" ca="1" si="1101"/>
        <v/>
      </c>
      <c r="I9722" s="25" t="str">
        <f t="shared" ca="1" si="1102"/>
        <v/>
      </c>
      <c r="J9722" s="26" t="str">
        <f t="shared" si="1103"/>
        <v/>
      </c>
    </row>
    <row r="9723" spans="1:10" x14ac:dyDescent="0.25">
      <c r="A9723" t="s">
        <v>111</v>
      </c>
      <c r="B9723" t="str">
        <f>ADDRESS(ROW(Parcels!B150),COLUMN(Parcels!B992),4)</f>
        <v>B150</v>
      </c>
      <c r="C9723" t="str">
        <f>ADDRESS(ROW(Parcels!D150),COLUMN(Parcels!D150),4)</f>
        <v>D150</v>
      </c>
      <c r="D9723" s="46" t="b">
        <f>IF(AND(Parcels!B150="Current",'Six-Yr Rule'!B151&lt;=Year_DestinationYearID),IF((SUMIFS('Bond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723" t="s">
        <v>1641</v>
      </c>
      <c r="F9723" t="str">
        <f>INDEX(Lists!I:I,MATCH(Validation!E9723,Lists!G:G,0))</f>
        <v>Alert</v>
      </c>
      <c r="G9723" t="str">
        <f>INDEX(Lists!H:H,MATCH(Validation!E9723,Lists!G:G,0))</f>
        <v>This parcel does not appear to be pledged to an outstanding in-district obligation.</v>
      </c>
      <c r="H9723" s="25" t="str">
        <f t="shared" ca="1" si="1101"/>
        <v/>
      </c>
      <c r="I9723" s="25" t="str">
        <f t="shared" ca="1" si="1102"/>
        <v/>
      </c>
      <c r="J9723" s="26" t="str">
        <f t="shared" si="1103"/>
        <v/>
      </c>
    </row>
    <row r="9724" spans="1:10" x14ac:dyDescent="0.25">
      <c r="A9724" t="s">
        <v>111</v>
      </c>
      <c r="B9724" t="str">
        <f>ADDRESS(ROW(Parcels!B151),COLUMN(Parcels!B993),4)</f>
        <v>B151</v>
      </c>
      <c r="C9724" t="str">
        <f>ADDRESS(ROW(Parcels!D151),COLUMN(Parcels!D151),4)</f>
        <v>D151</v>
      </c>
      <c r="D9724" s="46" t="b">
        <f>IF(AND(Parcels!B151="Current",'Six-Yr Rule'!B152&lt;=Year_DestinationYearID),IF((SUMIFS('Bond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724" t="s">
        <v>1641</v>
      </c>
      <c r="F9724" t="str">
        <f>INDEX(Lists!I:I,MATCH(Validation!E9724,Lists!G:G,0))</f>
        <v>Alert</v>
      </c>
      <c r="G9724" t="str">
        <f>INDEX(Lists!H:H,MATCH(Validation!E9724,Lists!G:G,0))</f>
        <v>This parcel does not appear to be pledged to an outstanding in-district obligation.</v>
      </c>
      <c r="H9724" s="25" t="str">
        <f t="shared" ca="1" si="1101"/>
        <v/>
      </c>
      <c r="I9724" s="25" t="str">
        <f t="shared" ca="1" si="1102"/>
        <v/>
      </c>
      <c r="J9724" s="26" t="str">
        <f t="shared" si="1103"/>
        <v/>
      </c>
    </row>
    <row r="9725" spans="1:10" x14ac:dyDescent="0.25">
      <c r="A9725" t="s">
        <v>111</v>
      </c>
      <c r="B9725" t="str">
        <f>ADDRESS(ROW(Parcels!B152),COLUMN(Parcels!B994),4)</f>
        <v>B152</v>
      </c>
      <c r="C9725" t="str">
        <f>ADDRESS(ROW(Parcels!D152),COLUMN(Parcels!D152),4)</f>
        <v>D152</v>
      </c>
      <c r="D9725" s="46" t="b">
        <f>IF(AND(Parcels!B152="Current",'Six-Yr Rule'!B153&lt;=Year_DestinationYearID),IF((SUMIFS('Bond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725" t="s">
        <v>1641</v>
      </c>
      <c r="F9725" t="str">
        <f>INDEX(Lists!I:I,MATCH(Validation!E9725,Lists!G:G,0))</f>
        <v>Alert</v>
      </c>
      <c r="G9725" t="str">
        <f>INDEX(Lists!H:H,MATCH(Validation!E9725,Lists!G:G,0))</f>
        <v>This parcel does not appear to be pledged to an outstanding in-district obligation.</v>
      </c>
      <c r="H9725" s="25" t="str">
        <f t="shared" ca="1" si="1101"/>
        <v/>
      </c>
      <c r="I9725" s="25" t="str">
        <f t="shared" ca="1" si="1102"/>
        <v/>
      </c>
      <c r="J9725" s="26" t="str">
        <f t="shared" si="1103"/>
        <v/>
      </c>
    </row>
    <row r="9726" spans="1:10" x14ac:dyDescent="0.25">
      <c r="A9726" t="s">
        <v>111</v>
      </c>
      <c r="B9726" t="str">
        <f>ADDRESS(ROW(Parcels!B153),COLUMN(Parcels!B995),4)</f>
        <v>B153</v>
      </c>
      <c r="C9726" t="str">
        <f>ADDRESS(ROW(Parcels!D153),COLUMN(Parcels!D153),4)</f>
        <v>D153</v>
      </c>
      <c r="D9726" s="46" t="b">
        <f>IF(AND(Parcels!B153="Current",'Six-Yr Rule'!B154&lt;=Year_DestinationYearID),IF((SUMIFS('Bond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726" t="s">
        <v>1641</v>
      </c>
      <c r="F9726" t="str">
        <f>INDEX(Lists!I:I,MATCH(Validation!E9726,Lists!G:G,0))</f>
        <v>Alert</v>
      </c>
      <c r="G9726" t="str">
        <f>INDEX(Lists!H:H,MATCH(Validation!E9726,Lists!G:G,0))</f>
        <v>This parcel does not appear to be pledged to an outstanding in-district obligation.</v>
      </c>
      <c r="H9726" s="25" t="str">
        <f t="shared" ca="1" si="1101"/>
        <v/>
      </c>
      <c r="I9726" s="25" t="str">
        <f t="shared" ca="1" si="1102"/>
        <v/>
      </c>
      <c r="J9726" s="26" t="str">
        <f t="shared" si="1103"/>
        <v/>
      </c>
    </row>
    <row r="9727" spans="1:10" x14ac:dyDescent="0.25">
      <c r="A9727" t="s">
        <v>111</v>
      </c>
      <c r="B9727" t="str">
        <f>ADDRESS(ROW(Parcels!B154),COLUMN(Parcels!B996),4)</f>
        <v>B154</v>
      </c>
      <c r="C9727" t="str">
        <f>ADDRESS(ROW(Parcels!D154),COLUMN(Parcels!D154),4)</f>
        <v>D154</v>
      </c>
      <c r="D9727" s="46" t="b">
        <f>IF(AND(Parcels!B154="Current",'Six-Yr Rule'!B155&lt;=Year_DestinationYearID),IF((SUMIFS('Bond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727" t="s">
        <v>1641</v>
      </c>
      <c r="F9727" t="str">
        <f>INDEX(Lists!I:I,MATCH(Validation!E9727,Lists!G:G,0))</f>
        <v>Alert</v>
      </c>
      <c r="G9727" t="str">
        <f>INDEX(Lists!H:H,MATCH(Validation!E9727,Lists!G:G,0))</f>
        <v>This parcel does not appear to be pledged to an outstanding in-district obligation.</v>
      </c>
      <c r="H9727" s="25" t="str">
        <f t="shared" ca="1" si="1101"/>
        <v/>
      </c>
      <c r="I9727" s="25" t="str">
        <f t="shared" ca="1" si="1102"/>
        <v/>
      </c>
      <c r="J9727" s="26" t="str">
        <f t="shared" si="1103"/>
        <v/>
      </c>
    </row>
    <row r="9728" spans="1:10" x14ac:dyDescent="0.25">
      <c r="A9728" t="s">
        <v>111</v>
      </c>
      <c r="B9728" t="str">
        <f>ADDRESS(ROW(Parcels!B155),COLUMN(Parcels!B997),4)</f>
        <v>B155</v>
      </c>
      <c r="C9728" t="str">
        <f>ADDRESS(ROW(Parcels!D155),COLUMN(Parcels!D155),4)</f>
        <v>D155</v>
      </c>
      <c r="D9728" s="46" t="b">
        <f>IF(AND(Parcels!B155="Current",'Six-Yr Rule'!B156&lt;=Year_DestinationYearID),IF((SUMIFS('Bond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728" t="s">
        <v>1641</v>
      </c>
      <c r="F9728" t="str">
        <f>INDEX(Lists!I:I,MATCH(Validation!E9728,Lists!G:G,0))</f>
        <v>Alert</v>
      </c>
      <c r="G9728" t="str">
        <f>INDEX(Lists!H:H,MATCH(Validation!E9728,Lists!G:G,0))</f>
        <v>This parcel does not appear to be pledged to an outstanding in-district obligation.</v>
      </c>
      <c r="H9728" s="25" t="str">
        <f t="shared" ca="1" si="1101"/>
        <v/>
      </c>
      <c r="I9728" s="25" t="str">
        <f t="shared" ca="1" si="1102"/>
        <v/>
      </c>
      <c r="J9728" s="26" t="str">
        <f t="shared" si="1103"/>
        <v/>
      </c>
    </row>
    <row r="9729" spans="1:10" x14ac:dyDescent="0.25">
      <c r="A9729" t="s">
        <v>111</v>
      </c>
      <c r="B9729" t="str">
        <f>ADDRESS(ROW(Parcels!B156),COLUMN(Parcels!B998),4)</f>
        <v>B156</v>
      </c>
      <c r="C9729" t="str">
        <f>ADDRESS(ROW(Parcels!D156),COLUMN(Parcels!D156),4)</f>
        <v>D156</v>
      </c>
      <c r="D9729" s="46" t="b">
        <f>IF(AND(Parcels!B156="Current",'Six-Yr Rule'!B157&lt;=Year_DestinationYearID),IF((SUMIFS('Bond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729" t="s">
        <v>1641</v>
      </c>
      <c r="F9729" t="str">
        <f>INDEX(Lists!I:I,MATCH(Validation!E9729,Lists!G:G,0))</f>
        <v>Alert</v>
      </c>
      <c r="G9729" t="str">
        <f>INDEX(Lists!H:H,MATCH(Validation!E9729,Lists!G:G,0))</f>
        <v>This parcel does not appear to be pledged to an outstanding in-district obligation.</v>
      </c>
      <c r="H9729" s="25" t="str">
        <f t="shared" ca="1" si="1101"/>
        <v/>
      </c>
      <c r="I9729" s="25" t="str">
        <f t="shared" ca="1" si="1102"/>
        <v/>
      </c>
      <c r="J9729" s="26" t="str">
        <f t="shared" si="1103"/>
        <v/>
      </c>
    </row>
    <row r="9730" spans="1:10" x14ac:dyDescent="0.25">
      <c r="A9730" t="s">
        <v>111</v>
      </c>
      <c r="B9730" t="str">
        <f>ADDRESS(ROW(Parcels!B157),COLUMN(Parcels!B999),4)</f>
        <v>B157</v>
      </c>
      <c r="C9730" t="str">
        <f>ADDRESS(ROW(Parcels!D157),COLUMN(Parcels!D157),4)</f>
        <v>D157</v>
      </c>
      <c r="D9730" s="46" t="b">
        <f>IF(AND(Parcels!B157="Current",'Six-Yr Rule'!B158&lt;=Year_DestinationYearID),IF((SUMIFS('Bond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730" t="s">
        <v>1641</v>
      </c>
      <c r="F9730" t="str">
        <f>INDEX(Lists!I:I,MATCH(Validation!E9730,Lists!G:G,0))</f>
        <v>Alert</v>
      </c>
      <c r="G9730" t="str">
        <f>INDEX(Lists!H:H,MATCH(Validation!E9730,Lists!G:G,0))</f>
        <v>This parcel does not appear to be pledged to an outstanding in-district obligation.</v>
      </c>
      <c r="H9730" s="25" t="str">
        <f t="shared" ca="1" si="1101"/>
        <v/>
      </c>
      <c r="I9730" s="25" t="str">
        <f t="shared" ca="1" si="1102"/>
        <v/>
      </c>
      <c r="J9730" s="26" t="str">
        <f t="shared" si="1103"/>
        <v/>
      </c>
    </row>
    <row r="9731" spans="1:10" x14ac:dyDescent="0.25">
      <c r="A9731" t="s">
        <v>111</v>
      </c>
      <c r="B9731" t="str">
        <f>ADDRESS(ROW(Parcels!B158),COLUMN(Parcels!B1000),4)</f>
        <v>B158</v>
      </c>
      <c r="C9731" t="str">
        <f>ADDRESS(ROW(Parcels!D158),COLUMN(Parcels!D158),4)</f>
        <v>D158</v>
      </c>
      <c r="D9731" s="46" t="b">
        <f>IF(AND(Parcels!B158="Current",'Six-Yr Rule'!B159&lt;=Year_DestinationYearID),IF((SUMIFS('Bond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731" t="s">
        <v>1641</v>
      </c>
      <c r="F9731" t="str">
        <f>INDEX(Lists!I:I,MATCH(Validation!E9731,Lists!G:G,0))</f>
        <v>Alert</v>
      </c>
      <c r="G9731" t="str">
        <f>INDEX(Lists!H:H,MATCH(Validation!E9731,Lists!G:G,0))</f>
        <v>This parcel does not appear to be pledged to an outstanding in-district obligation.</v>
      </c>
      <c r="H9731" s="25" t="str">
        <f t="shared" ca="1" si="1101"/>
        <v/>
      </c>
      <c r="I9731" s="25" t="str">
        <f t="shared" ca="1" si="1102"/>
        <v/>
      </c>
      <c r="J9731" s="26" t="str">
        <f t="shared" si="1103"/>
        <v/>
      </c>
    </row>
    <row r="9732" spans="1:10" x14ac:dyDescent="0.25">
      <c r="A9732" t="s">
        <v>111</v>
      </c>
      <c r="B9732" t="str">
        <f>ADDRESS(ROW(Parcels!B159),COLUMN(Parcels!B1001),4)</f>
        <v>B159</v>
      </c>
      <c r="C9732" t="str">
        <f>ADDRESS(ROW(Parcels!D159),COLUMN(Parcels!D159),4)</f>
        <v>D159</v>
      </c>
      <c r="D9732" s="46" t="b">
        <f>IF(AND(Parcels!B159="Current",'Six-Yr Rule'!B160&lt;=Year_DestinationYearID),IF((SUMIFS('Bond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732" t="s">
        <v>1641</v>
      </c>
      <c r="F9732" t="str">
        <f>INDEX(Lists!I:I,MATCH(Validation!E9732,Lists!G:G,0))</f>
        <v>Alert</v>
      </c>
      <c r="G9732" t="str">
        <f>INDEX(Lists!H:H,MATCH(Validation!E9732,Lists!G:G,0))</f>
        <v>This parcel does not appear to be pledged to an outstanding in-district obligation.</v>
      </c>
      <c r="H9732" s="25" t="str">
        <f t="shared" ca="1" si="1101"/>
        <v/>
      </c>
      <c r="I9732" s="25" t="str">
        <f t="shared" ca="1" si="1102"/>
        <v/>
      </c>
      <c r="J9732" s="26" t="str">
        <f t="shared" si="1103"/>
        <v/>
      </c>
    </row>
    <row r="9733" spans="1:10" x14ac:dyDescent="0.25">
      <c r="A9733" t="s">
        <v>111</v>
      </c>
      <c r="B9733" t="str">
        <f>ADDRESS(ROW(Parcels!B160),COLUMN(Parcels!B1002),4)</f>
        <v>B160</v>
      </c>
      <c r="C9733" t="str">
        <f>ADDRESS(ROW(Parcels!D160),COLUMN(Parcels!D160),4)</f>
        <v>D160</v>
      </c>
      <c r="D9733" s="46" t="b">
        <f>IF(AND(Parcels!B160="Current",'Six-Yr Rule'!B161&lt;=Year_DestinationYearID),IF((SUMIFS('Bond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733" t="s">
        <v>1641</v>
      </c>
      <c r="F9733" t="str">
        <f>INDEX(Lists!I:I,MATCH(Validation!E9733,Lists!G:G,0))</f>
        <v>Alert</v>
      </c>
      <c r="G9733" t="str">
        <f>INDEX(Lists!H:H,MATCH(Validation!E9733,Lists!G:G,0))</f>
        <v>This parcel does not appear to be pledged to an outstanding in-district obligation.</v>
      </c>
      <c r="H9733" s="25" t="str">
        <f t="shared" ca="1" si="1101"/>
        <v/>
      </c>
      <c r="I9733" s="25" t="str">
        <f t="shared" ca="1" si="1102"/>
        <v/>
      </c>
      <c r="J9733" s="26" t="str">
        <f t="shared" si="1103"/>
        <v/>
      </c>
    </row>
    <row r="9734" spans="1:10" x14ac:dyDescent="0.25">
      <c r="A9734" t="s">
        <v>111</v>
      </c>
      <c r="B9734" t="str">
        <f>ADDRESS(ROW(Parcels!B161),COLUMN(Parcels!B1003),4)</f>
        <v>B161</v>
      </c>
      <c r="C9734" t="str">
        <f>ADDRESS(ROW(Parcels!D161),COLUMN(Parcels!D161),4)</f>
        <v>D161</v>
      </c>
      <c r="D9734" s="46" t="b">
        <f>IF(AND(Parcels!B161="Current",'Six-Yr Rule'!B162&lt;=Year_DestinationYearID),IF((SUMIFS('Bond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734" t="s">
        <v>1641</v>
      </c>
      <c r="F9734" t="str">
        <f>INDEX(Lists!I:I,MATCH(Validation!E9734,Lists!G:G,0))</f>
        <v>Alert</v>
      </c>
      <c r="G9734" t="str">
        <f>INDEX(Lists!H:H,MATCH(Validation!E9734,Lists!G:G,0))</f>
        <v>This parcel does not appear to be pledged to an outstanding in-district obligation.</v>
      </c>
      <c r="H9734" s="25" t="str">
        <f t="shared" ca="1" si="1101"/>
        <v/>
      </c>
      <c r="I9734" s="25" t="str">
        <f t="shared" ca="1" si="1102"/>
        <v/>
      </c>
      <c r="J9734" s="26" t="str">
        <f t="shared" si="1103"/>
        <v/>
      </c>
    </row>
    <row r="9735" spans="1:10" x14ac:dyDescent="0.25">
      <c r="A9735" t="s">
        <v>111</v>
      </c>
      <c r="B9735" t="str">
        <f>ADDRESS(ROW(Parcels!B162),COLUMN(Parcels!B1004),4)</f>
        <v>B162</v>
      </c>
      <c r="C9735" t="str">
        <f>ADDRESS(ROW(Parcels!D162),COLUMN(Parcels!D162),4)</f>
        <v>D162</v>
      </c>
      <c r="D9735" s="46" t="b">
        <f>IF(AND(Parcels!B162="Current",'Six-Yr Rule'!B163&lt;=Year_DestinationYearID),IF((SUMIFS('Bond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735" t="s">
        <v>1641</v>
      </c>
      <c r="F9735" t="str">
        <f>INDEX(Lists!I:I,MATCH(Validation!E9735,Lists!G:G,0))</f>
        <v>Alert</v>
      </c>
      <c r="G9735" t="str">
        <f>INDEX(Lists!H:H,MATCH(Validation!E9735,Lists!G:G,0))</f>
        <v>This parcel does not appear to be pledged to an outstanding in-district obligation.</v>
      </c>
      <c r="H9735" s="25" t="str">
        <f t="shared" ca="1" si="1101"/>
        <v/>
      </c>
      <c r="I9735" s="25" t="str">
        <f t="shared" ca="1" si="1102"/>
        <v/>
      </c>
      <c r="J9735" s="26" t="str">
        <f t="shared" si="1103"/>
        <v/>
      </c>
    </row>
    <row r="9736" spans="1:10" x14ac:dyDescent="0.25">
      <c r="A9736" t="s">
        <v>111</v>
      </c>
      <c r="B9736" t="str">
        <f>ADDRESS(ROW(Parcels!B163),COLUMN(Parcels!B1005),4)</f>
        <v>B163</v>
      </c>
      <c r="C9736" t="str">
        <f>ADDRESS(ROW(Parcels!D163),COLUMN(Parcels!D163),4)</f>
        <v>D163</v>
      </c>
      <c r="D9736" s="46" t="b">
        <f>IF(AND(Parcels!B163="Current",'Six-Yr Rule'!B164&lt;=Year_DestinationYearID),IF((SUMIFS('Bond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736" t="s">
        <v>1641</v>
      </c>
      <c r="F9736" t="str">
        <f>INDEX(Lists!I:I,MATCH(Validation!E9736,Lists!G:G,0))</f>
        <v>Alert</v>
      </c>
      <c r="G9736" t="str">
        <f>INDEX(Lists!H:H,MATCH(Validation!E9736,Lists!G:G,0))</f>
        <v>This parcel does not appear to be pledged to an outstanding in-district obligation.</v>
      </c>
      <c r="H9736" s="25" t="str">
        <f t="shared" ca="1" si="1101"/>
        <v/>
      </c>
      <c r="I9736" s="25" t="str">
        <f t="shared" ca="1" si="1102"/>
        <v/>
      </c>
      <c r="J9736" s="26" t="str">
        <f t="shared" si="1103"/>
        <v/>
      </c>
    </row>
    <row r="9737" spans="1:10" x14ac:dyDescent="0.25">
      <c r="A9737" t="s">
        <v>111</v>
      </c>
      <c r="B9737" t="str">
        <f>ADDRESS(ROW(Parcels!B164),COLUMN(Parcels!B1006),4)</f>
        <v>B164</v>
      </c>
      <c r="C9737" t="str">
        <f>ADDRESS(ROW(Parcels!D164),COLUMN(Parcels!D164),4)</f>
        <v>D164</v>
      </c>
      <c r="D9737" s="46" t="b">
        <f>IF(AND(Parcels!B164="Current",'Six-Yr Rule'!B165&lt;=Year_DestinationYearID),IF((SUMIFS('Bond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737" t="s">
        <v>1641</v>
      </c>
      <c r="F9737" t="str">
        <f>INDEX(Lists!I:I,MATCH(Validation!E9737,Lists!G:G,0))</f>
        <v>Alert</v>
      </c>
      <c r="G9737" t="str">
        <f>INDEX(Lists!H:H,MATCH(Validation!E9737,Lists!G:G,0))</f>
        <v>This parcel does not appear to be pledged to an outstanding in-district obligation.</v>
      </c>
      <c r="H9737" s="25" t="str">
        <f t="shared" ca="1" si="1101"/>
        <v/>
      </c>
      <c r="I9737" s="25" t="str">
        <f t="shared" ca="1" si="1102"/>
        <v/>
      </c>
      <c r="J9737" s="26" t="str">
        <f t="shared" si="1103"/>
        <v/>
      </c>
    </row>
    <row r="9738" spans="1:10" x14ac:dyDescent="0.25">
      <c r="A9738" t="s">
        <v>111</v>
      </c>
      <c r="B9738" t="str">
        <f>ADDRESS(ROW(Parcels!B165),COLUMN(Parcels!B1007),4)</f>
        <v>B165</v>
      </c>
      <c r="C9738" t="str">
        <f>ADDRESS(ROW(Parcels!D165),COLUMN(Parcels!D165),4)</f>
        <v>D165</v>
      </c>
      <c r="D9738" s="46" t="b">
        <f>IF(AND(Parcels!B165="Current",'Six-Yr Rule'!B166&lt;=Year_DestinationYearID),IF((SUMIFS('Bond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738" t="s">
        <v>1641</v>
      </c>
      <c r="F9738" t="str">
        <f>INDEX(Lists!I:I,MATCH(Validation!E9738,Lists!G:G,0))</f>
        <v>Alert</v>
      </c>
      <c r="G9738" t="str">
        <f>INDEX(Lists!H:H,MATCH(Validation!E9738,Lists!G:G,0))</f>
        <v>This parcel does not appear to be pledged to an outstanding in-district obligation.</v>
      </c>
      <c r="H9738" s="25" t="str">
        <f t="shared" ca="1" si="1101"/>
        <v/>
      </c>
      <c r="I9738" s="25" t="str">
        <f t="shared" ca="1" si="1102"/>
        <v/>
      </c>
      <c r="J9738" s="26" t="str">
        <f t="shared" si="1103"/>
        <v/>
      </c>
    </row>
    <row r="9739" spans="1:10" x14ac:dyDescent="0.25">
      <c r="A9739" t="s">
        <v>111</v>
      </c>
      <c r="B9739" t="str">
        <f>ADDRESS(ROW(Parcels!B166),COLUMN(Parcels!B1008),4)</f>
        <v>B166</v>
      </c>
      <c r="C9739" t="str">
        <f>ADDRESS(ROW(Parcels!D166),COLUMN(Parcels!D166),4)</f>
        <v>D166</v>
      </c>
      <c r="D9739" s="46" t="b">
        <f>IF(AND(Parcels!B166="Current",'Six-Yr Rule'!B167&lt;=Year_DestinationYearID),IF((SUMIFS('Bond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739" t="s">
        <v>1641</v>
      </c>
      <c r="F9739" t="str">
        <f>INDEX(Lists!I:I,MATCH(Validation!E9739,Lists!G:G,0))</f>
        <v>Alert</v>
      </c>
      <c r="G9739" t="str">
        <f>INDEX(Lists!H:H,MATCH(Validation!E9739,Lists!G:G,0))</f>
        <v>This parcel does not appear to be pledged to an outstanding in-district obligation.</v>
      </c>
      <c r="H9739" s="25" t="str">
        <f t="shared" ca="1" si="1101"/>
        <v/>
      </c>
      <c r="I9739" s="25" t="str">
        <f t="shared" ca="1" si="1102"/>
        <v/>
      </c>
      <c r="J9739" s="26" t="str">
        <f t="shared" si="1103"/>
        <v/>
      </c>
    </row>
    <row r="9740" spans="1:10" x14ac:dyDescent="0.25">
      <c r="A9740" t="s">
        <v>111</v>
      </c>
      <c r="B9740" t="str">
        <f>ADDRESS(ROW(Parcels!B167),COLUMN(Parcels!B1009),4)</f>
        <v>B167</v>
      </c>
      <c r="C9740" t="str">
        <f>ADDRESS(ROW(Parcels!D167),COLUMN(Parcels!D167),4)</f>
        <v>D167</v>
      </c>
      <c r="D9740" s="46" t="b">
        <f>IF(AND(Parcels!B167="Current",'Six-Yr Rule'!B168&lt;=Year_DestinationYearID),IF((SUMIFS('Bond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740" t="s">
        <v>1641</v>
      </c>
      <c r="F9740" t="str">
        <f>INDEX(Lists!I:I,MATCH(Validation!E9740,Lists!G:G,0))</f>
        <v>Alert</v>
      </c>
      <c r="G9740" t="str">
        <f>INDEX(Lists!H:H,MATCH(Validation!E9740,Lists!G:G,0))</f>
        <v>This parcel does not appear to be pledged to an outstanding in-district obligation.</v>
      </c>
      <c r="H9740" s="25" t="str">
        <f t="shared" ca="1" si="1101"/>
        <v/>
      </c>
      <c r="I9740" s="25" t="str">
        <f t="shared" ca="1" si="1102"/>
        <v/>
      </c>
      <c r="J9740" s="26" t="str">
        <f t="shared" si="1103"/>
        <v/>
      </c>
    </row>
    <row r="9741" spans="1:10" x14ac:dyDescent="0.25">
      <c r="A9741" t="s">
        <v>111</v>
      </c>
      <c r="B9741" t="str">
        <f>ADDRESS(ROW(Parcels!B168),COLUMN(Parcels!B1010),4)</f>
        <v>B168</v>
      </c>
      <c r="C9741" t="str">
        <f>ADDRESS(ROW(Parcels!D168),COLUMN(Parcels!D168),4)</f>
        <v>D168</v>
      </c>
      <c r="D9741" s="46" t="b">
        <f>IF(AND(Parcels!B168="Current",'Six-Yr Rule'!B169&lt;=Year_DestinationYearID),IF((SUMIFS('Bond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741" t="s">
        <v>1641</v>
      </c>
      <c r="F9741" t="str">
        <f>INDEX(Lists!I:I,MATCH(Validation!E9741,Lists!G:G,0))</f>
        <v>Alert</v>
      </c>
      <c r="G9741" t="str">
        <f>INDEX(Lists!H:H,MATCH(Validation!E9741,Lists!G:G,0))</f>
        <v>This parcel does not appear to be pledged to an outstanding in-district obligation.</v>
      </c>
      <c r="H9741" s="25" t="str">
        <f t="shared" ca="1" si="1101"/>
        <v/>
      </c>
      <c r="I9741" s="25" t="str">
        <f t="shared" ca="1" si="1102"/>
        <v/>
      </c>
      <c r="J9741" s="26" t="str">
        <f t="shared" si="1103"/>
        <v/>
      </c>
    </row>
    <row r="9742" spans="1:10" x14ac:dyDescent="0.25">
      <c r="A9742" t="s">
        <v>111</v>
      </c>
      <c r="B9742" t="str">
        <f>ADDRESS(ROW(Parcels!B169),COLUMN(Parcels!B1011),4)</f>
        <v>B169</v>
      </c>
      <c r="C9742" t="str">
        <f>ADDRESS(ROW(Parcels!D169),COLUMN(Parcels!D169),4)</f>
        <v>D169</v>
      </c>
      <c r="D9742" s="46" t="b">
        <f>IF(AND(Parcels!B169="Current",'Six-Yr Rule'!B170&lt;=Year_DestinationYearID),IF((SUMIFS('Bond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742" t="s">
        <v>1641</v>
      </c>
      <c r="F9742" t="str">
        <f>INDEX(Lists!I:I,MATCH(Validation!E9742,Lists!G:G,0))</f>
        <v>Alert</v>
      </c>
      <c r="G9742" t="str">
        <f>INDEX(Lists!H:H,MATCH(Validation!E9742,Lists!G:G,0))</f>
        <v>This parcel does not appear to be pledged to an outstanding in-district obligation.</v>
      </c>
      <c r="H9742" s="25" t="str">
        <f t="shared" ca="1" si="1101"/>
        <v/>
      </c>
      <c r="I9742" s="25" t="str">
        <f t="shared" ca="1" si="1102"/>
        <v/>
      </c>
      <c r="J9742" s="26" t="str">
        <f t="shared" si="1103"/>
        <v/>
      </c>
    </row>
    <row r="9743" spans="1:10" x14ac:dyDescent="0.25">
      <c r="A9743" t="s">
        <v>111</v>
      </c>
      <c r="B9743" t="str">
        <f>ADDRESS(ROW(Parcels!B170),COLUMN(Parcels!B1012),4)</f>
        <v>B170</v>
      </c>
      <c r="C9743" t="str">
        <f>ADDRESS(ROW(Parcels!D170),COLUMN(Parcels!D170),4)</f>
        <v>D170</v>
      </c>
      <c r="D9743" s="46" t="b">
        <f>IF(AND(Parcels!B170="Current",'Six-Yr Rule'!B171&lt;=Year_DestinationYearID),IF((SUMIFS('Bond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743" t="s">
        <v>1641</v>
      </c>
      <c r="F9743" t="str">
        <f>INDEX(Lists!I:I,MATCH(Validation!E9743,Lists!G:G,0))</f>
        <v>Alert</v>
      </c>
      <c r="G9743" t="str">
        <f>INDEX(Lists!H:H,MATCH(Validation!E9743,Lists!G:G,0))</f>
        <v>This parcel does not appear to be pledged to an outstanding in-district obligation.</v>
      </c>
      <c r="H9743" s="25" t="str">
        <f t="shared" ca="1" si="1101"/>
        <v/>
      </c>
      <c r="I9743" s="25" t="str">
        <f t="shared" ca="1" si="1102"/>
        <v/>
      </c>
      <c r="J9743" s="26" t="str">
        <f t="shared" si="1103"/>
        <v/>
      </c>
    </row>
    <row r="9744" spans="1:10" x14ac:dyDescent="0.25">
      <c r="A9744" t="s">
        <v>111</v>
      </c>
      <c r="B9744" t="str">
        <f>ADDRESS(ROW(Parcels!B171),COLUMN(Parcels!B1013),4)</f>
        <v>B171</v>
      </c>
      <c r="C9744" t="str">
        <f>ADDRESS(ROW(Parcels!D171),COLUMN(Parcels!D171),4)</f>
        <v>D171</v>
      </c>
      <c r="D9744" s="46" t="b">
        <f>IF(AND(Parcels!B171="Current",'Six-Yr Rule'!B172&lt;=Year_DestinationYearID),IF((SUMIFS('Bond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744" t="s">
        <v>1641</v>
      </c>
      <c r="F9744" t="str">
        <f>INDEX(Lists!I:I,MATCH(Validation!E9744,Lists!G:G,0))</f>
        <v>Alert</v>
      </c>
      <c r="G9744" t="str">
        <f>INDEX(Lists!H:H,MATCH(Validation!E9744,Lists!G:G,0))</f>
        <v>This parcel does not appear to be pledged to an outstanding in-district obligation.</v>
      </c>
      <c r="H9744" s="25" t="str">
        <f t="shared" ca="1" si="1101"/>
        <v/>
      </c>
      <c r="I9744" s="25" t="str">
        <f t="shared" ca="1" si="1102"/>
        <v/>
      </c>
      <c r="J9744" s="26" t="str">
        <f t="shared" si="1103"/>
        <v/>
      </c>
    </row>
    <row r="9745" spans="1:10" x14ac:dyDescent="0.25">
      <c r="A9745" t="s">
        <v>111</v>
      </c>
      <c r="B9745" t="str">
        <f>ADDRESS(ROW(Parcels!B172),COLUMN(Parcels!B1014),4)</f>
        <v>B172</v>
      </c>
      <c r="C9745" t="str">
        <f>ADDRESS(ROW(Parcels!D172),COLUMN(Parcels!D172),4)</f>
        <v>D172</v>
      </c>
      <c r="D9745" s="46" t="b">
        <f>IF(AND(Parcels!B172="Current",'Six-Yr Rule'!B173&lt;=Year_DestinationYearID),IF((SUMIFS('Bond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745" t="s">
        <v>1641</v>
      </c>
      <c r="F9745" t="str">
        <f>INDEX(Lists!I:I,MATCH(Validation!E9745,Lists!G:G,0))</f>
        <v>Alert</v>
      </c>
      <c r="G9745" t="str">
        <f>INDEX(Lists!H:H,MATCH(Validation!E9745,Lists!G:G,0))</f>
        <v>This parcel does not appear to be pledged to an outstanding in-district obligation.</v>
      </c>
      <c r="H9745" s="25" t="str">
        <f t="shared" ca="1" si="1101"/>
        <v/>
      </c>
      <c r="I9745" s="25" t="str">
        <f t="shared" ca="1" si="1102"/>
        <v/>
      </c>
      <c r="J9745" s="26" t="str">
        <f t="shared" si="1103"/>
        <v/>
      </c>
    </row>
    <row r="9746" spans="1:10" x14ac:dyDescent="0.25">
      <c r="A9746" t="s">
        <v>111</v>
      </c>
      <c r="B9746" t="str">
        <f>ADDRESS(ROW(Parcels!B173),COLUMN(Parcels!B1015),4)</f>
        <v>B173</v>
      </c>
      <c r="C9746" t="str">
        <f>ADDRESS(ROW(Parcels!D173),COLUMN(Parcels!D173),4)</f>
        <v>D173</v>
      </c>
      <c r="D9746" s="46" t="b">
        <f>IF(AND(Parcels!B173="Current",'Six-Yr Rule'!B174&lt;=Year_DestinationYearID),IF((SUMIFS('Bond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746" t="s">
        <v>1641</v>
      </c>
      <c r="F9746" t="str">
        <f>INDEX(Lists!I:I,MATCH(Validation!E9746,Lists!G:G,0))</f>
        <v>Alert</v>
      </c>
      <c r="G9746" t="str">
        <f>INDEX(Lists!H:H,MATCH(Validation!E9746,Lists!G:G,0))</f>
        <v>This parcel does not appear to be pledged to an outstanding in-district obligation.</v>
      </c>
      <c r="H9746" s="25" t="str">
        <f t="shared" ca="1" si="1101"/>
        <v/>
      </c>
      <c r="I9746" s="25" t="str">
        <f t="shared" ca="1" si="1102"/>
        <v/>
      </c>
      <c r="J9746" s="26" t="str">
        <f t="shared" si="1103"/>
        <v/>
      </c>
    </row>
    <row r="9747" spans="1:10" x14ac:dyDescent="0.25">
      <c r="A9747" t="s">
        <v>111</v>
      </c>
      <c r="B9747" t="str">
        <f>ADDRESS(ROW(Parcels!B174),COLUMN(Parcels!B1016),4)</f>
        <v>B174</v>
      </c>
      <c r="C9747" t="str">
        <f>ADDRESS(ROW(Parcels!D174),COLUMN(Parcels!D174),4)</f>
        <v>D174</v>
      </c>
      <c r="D9747" s="46" t="b">
        <f>IF(AND(Parcels!B174="Current",'Six-Yr Rule'!B175&lt;=Year_DestinationYearID),IF((SUMIFS('Bond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747" t="s">
        <v>1641</v>
      </c>
      <c r="F9747" t="str">
        <f>INDEX(Lists!I:I,MATCH(Validation!E9747,Lists!G:G,0))</f>
        <v>Alert</v>
      </c>
      <c r="G9747" t="str">
        <f>INDEX(Lists!H:H,MATCH(Validation!E9747,Lists!G:G,0))</f>
        <v>This parcel does not appear to be pledged to an outstanding in-district obligation.</v>
      </c>
      <c r="H9747" s="25" t="str">
        <f t="shared" ca="1" si="1101"/>
        <v/>
      </c>
      <c r="I9747" s="25" t="str">
        <f t="shared" ca="1" si="1102"/>
        <v/>
      </c>
      <c r="J9747" s="26" t="str">
        <f t="shared" si="1103"/>
        <v/>
      </c>
    </row>
    <row r="9748" spans="1:10" x14ac:dyDescent="0.25">
      <c r="A9748" t="s">
        <v>111</v>
      </c>
      <c r="B9748" t="str">
        <f>ADDRESS(ROW(Parcels!B175),COLUMN(Parcels!B1017),4)</f>
        <v>B175</v>
      </c>
      <c r="C9748" t="str">
        <f>ADDRESS(ROW(Parcels!D175),COLUMN(Parcels!D175),4)</f>
        <v>D175</v>
      </c>
      <c r="D9748" s="46" t="b">
        <f>IF(AND(Parcels!B175="Current",'Six-Yr Rule'!B176&lt;=Year_DestinationYearID),IF((SUMIFS('Bond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748" t="s">
        <v>1641</v>
      </c>
      <c r="F9748" t="str">
        <f>INDEX(Lists!I:I,MATCH(Validation!E9748,Lists!G:G,0))</f>
        <v>Alert</v>
      </c>
      <c r="G9748" t="str">
        <f>INDEX(Lists!H:H,MATCH(Validation!E9748,Lists!G:G,0))</f>
        <v>This parcel does not appear to be pledged to an outstanding in-district obligation.</v>
      </c>
      <c r="H9748" s="25" t="str">
        <f t="shared" ca="1" si="1101"/>
        <v/>
      </c>
      <c r="I9748" s="25" t="str">
        <f t="shared" ca="1" si="1102"/>
        <v/>
      </c>
      <c r="J9748" s="26" t="str">
        <f t="shared" si="1103"/>
        <v/>
      </c>
    </row>
    <row r="9749" spans="1:10" x14ac:dyDescent="0.25">
      <c r="A9749" t="s">
        <v>111</v>
      </c>
      <c r="B9749" t="str">
        <f>ADDRESS(ROW(Parcels!B176),COLUMN(Parcels!B1018),4)</f>
        <v>B176</v>
      </c>
      <c r="C9749" t="str">
        <f>ADDRESS(ROW(Parcels!D176),COLUMN(Parcels!D176),4)</f>
        <v>D176</v>
      </c>
      <c r="D9749" s="46" t="b">
        <f>IF(AND(Parcels!B176="Current",'Six-Yr Rule'!B177&lt;=Year_DestinationYearID),IF((SUMIFS('Bond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749" t="s">
        <v>1641</v>
      </c>
      <c r="F9749" t="str">
        <f>INDEX(Lists!I:I,MATCH(Validation!E9749,Lists!G:G,0))</f>
        <v>Alert</v>
      </c>
      <c r="G9749" t="str">
        <f>INDEX(Lists!H:H,MATCH(Validation!E9749,Lists!G:G,0))</f>
        <v>This parcel does not appear to be pledged to an outstanding in-district obligation.</v>
      </c>
      <c r="H9749" s="25" t="str">
        <f t="shared" ca="1" si="1101"/>
        <v/>
      </c>
      <c r="I9749" s="25" t="str">
        <f t="shared" ca="1" si="1102"/>
        <v/>
      </c>
      <c r="J9749" s="26" t="str">
        <f t="shared" si="1103"/>
        <v/>
      </c>
    </row>
    <row r="9750" spans="1:10" x14ac:dyDescent="0.25">
      <c r="A9750" t="s">
        <v>111</v>
      </c>
      <c r="B9750" t="str">
        <f>ADDRESS(ROW(Parcels!B177),COLUMN(Parcels!B1019),4)</f>
        <v>B177</v>
      </c>
      <c r="C9750" t="str">
        <f>ADDRESS(ROW(Parcels!D177),COLUMN(Parcels!D177),4)</f>
        <v>D177</v>
      </c>
      <c r="D9750" s="46" t="b">
        <f>IF(AND(Parcels!B177="Current",'Six-Yr Rule'!B178&lt;=Year_DestinationYearID),IF((SUMIFS('Bond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750" t="s">
        <v>1641</v>
      </c>
      <c r="F9750" t="str">
        <f>INDEX(Lists!I:I,MATCH(Validation!E9750,Lists!G:G,0))</f>
        <v>Alert</v>
      </c>
      <c r="G9750" t="str">
        <f>INDEX(Lists!H:H,MATCH(Validation!E9750,Lists!G:G,0))</f>
        <v>This parcel does not appear to be pledged to an outstanding in-district obligation.</v>
      </c>
      <c r="H9750" s="25" t="str">
        <f t="shared" ca="1" si="1101"/>
        <v/>
      </c>
      <c r="I9750" s="25" t="str">
        <f t="shared" ca="1" si="1102"/>
        <v/>
      </c>
      <c r="J9750" s="26" t="str">
        <f t="shared" si="1103"/>
        <v/>
      </c>
    </row>
    <row r="9751" spans="1:10" x14ac:dyDescent="0.25">
      <c r="A9751" t="s">
        <v>111</v>
      </c>
      <c r="B9751" t="str">
        <f>ADDRESS(ROW(Parcels!B178),COLUMN(Parcels!B1020),4)</f>
        <v>B178</v>
      </c>
      <c r="C9751" t="str">
        <f>ADDRESS(ROW(Parcels!D178),COLUMN(Parcels!D178),4)</f>
        <v>D178</v>
      </c>
      <c r="D9751" s="46" t="b">
        <f>IF(AND(Parcels!B178="Current",'Six-Yr Rule'!B179&lt;=Year_DestinationYearID),IF((SUMIFS('Bond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751" t="s">
        <v>1641</v>
      </c>
      <c r="F9751" t="str">
        <f>INDEX(Lists!I:I,MATCH(Validation!E9751,Lists!G:G,0))</f>
        <v>Alert</v>
      </c>
      <c r="G9751" t="str">
        <f>INDEX(Lists!H:H,MATCH(Validation!E9751,Lists!G:G,0))</f>
        <v>This parcel does not appear to be pledged to an outstanding in-district obligation.</v>
      </c>
      <c r="H9751" s="25" t="str">
        <f t="shared" ca="1" si="1101"/>
        <v/>
      </c>
      <c r="I9751" s="25" t="str">
        <f t="shared" ca="1" si="1102"/>
        <v/>
      </c>
      <c r="J9751" s="26" t="str">
        <f t="shared" si="1103"/>
        <v/>
      </c>
    </row>
    <row r="9752" spans="1:10" x14ac:dyDescent="0.25">
      <c r="A9752" t="s">
        <v>111</v>
      </c>
      <c r="B9752" t="str">
        <f>ADDRESS(ROW(Parcels!B179),COLUMN(Parcels!B1021),4)</f>
        <v>B179</v>
      </c>
      <c r="C9752" t="str">
        <f>ADDRESS(ROW(Parcels!D179),COLUMN(Parcels!D179),4)</f>
        <v>D179</v>
      </c>
      <c r="D9752" s="46" t="b">
        <f>IF(AND(Parcels!B179="Current",'Six-Yr Rule'!B180&lt;=Year_DestinationYearID),IF((SUMIFS('Bond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752" t="s">
        <v>1641</v>
      </c>
      <c r="F9752" t="str">
        <f>INDEX(Lists!I:I,MATCH(Validation!E9752,Lists!G:G,0))</f>
        <v>Alert</v>
      </c>
      <c r="G9752" t="str">
        <f>INDEX(Lists!H:H,MATCH(Validation!E9752,Lists!G:G,0))</f>
        <v>This parcel does not appear to be pledged to an outstanding in-district obligation.</v>
      </c>
      <c r="H9752" s="25" t="str">
        <f t="shared" ca="1" si="1101"/>
        <v/>
      </c>
      <c r="I9752" s="25" t="str">
        <f t="shared" ca="1" si="1102"/>
        <v/>
      </c>
      <c r="J9752" s="26" t="str">
        <f t="shared" si="1103"/>
        <v/>
      </c>
    </row>
    <row r="9753" spans="1:10" x14ac:dyDescent="0.25">
      <c r="A9753" t="s">
        <v>111</v>
      </c>
      <c r="B9753" t="str">
        <f>ADDRESS(ROW(Parcels!B180),COLUMN(Parcels!B1022),4)</f>
        <v>B180</v>
      </c>
      <c r="C9753" t="str">
        <f>ADDRESS(ROW(Parcels!D180),COLUMN(Parcels!D180),4)</f>
        <v>D180</v>
      </c>
      <c r="D9753" s="46" t="b">
        <f>IF(AND(Parcels!B180="Current",'Six-Yr Rule'!B181&lt;=Year_DestinationYearID),IF((SUMIFS('Bond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753" t="s">
        <v>1641</v>
      </c>
      <c r="F9753" t="str">
        <f>INDEX(Lists!I:I,MATCH(Validation!E9753,Lists!G:G,0))</f>
        <v>Alert</v>
      </c>
      <c r="G9753" t="str">
        <f>INDEX(Lists!H:H,MATCH(Validation!E9753,Lists!G:G,0))</f>
        <v>This parcel does not appear to be pledged to an outstanding in-district obligation.</v>
      </c>
      <c r="H9753" s="25" t="str">
        <f t="shared" ca="1" si="1101"/>
        <v/>
      </c>
      <c r="I9753" s="25" t="str">
        <f t="shared" ca="1" si="1102"/>
        <v/>
      </c>
      <c r="J9753" s="26" t="str">
        <f t="shared" si="1103"/>
        <v/>
      </c>
    </row>
    <row r="9754" spans="1:10" x14ac:dyDescent="0.25">
      <c r="A9754" t="s">
        <v>111</v>
      </c>
      <c r="B9754" t="str">
        <f>ADDRESS(ROW(Parcels!B181),COLUMN(Parcels!B1023),4)</f>
        <v>B181</v>
      </c>
      <c r="C9754" t="str">
        <f>ADDRESS(ROW(Parcels!D181),COLUMN(Parcels!D181),4)</f>
        <v>D181</v>
      </c>
      <c r="D9754" s="46" t="b">
        <f>IF(AND(Parcels!B181="Current",'Six-Yr Rule'!B182&lt;=Year_DestinationYearID),IF((SUMIFS('Bond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754" t="s">
        <v>1641</v>
      </c>
      <c r="F9754" t="str">
        <f>INDEX(Lists!I:I,MATCH(Validation!E9754,Lists!G:G,0))</f>
        <v>Alert</v>
      </c>
      <c r="G9754" t="str">
        <f>INDEX(Lists!H:H,MATCH(Validation!E9754,Lists!G:G,0))</f>
        <v>This parcel does not appear to be pledged to an outstanding in-district obligation.</v>
      </c>
      <c r="H9754" s="25" t="str">
        <f t="shared" ca="1" si="1101"/>
        <v/>
      </c>
      <c r="I9754" s="25" t="str">
        <f t="shared" ca="1" si="1102"/>
        <v/>
      </c>
      <c r="J9754" s="26" t="str">
        <f t="shared" si="1103"/>
        <v/>
      </c>
    </row>
    <row r="9755" spans="1:10" x14ac:dyDescent="0.25">
      <c r="A9755" t="s">
        <v>111</v>
      </c>
      <c r="B9755" t="str">
        <f>ADDRESS(ROW(Parcels!B182),COLUMN(Parcels!B1024),4)</f>
        <v>B182</v>
      </c>
      <c r="C9755" t="str">
        <f>ADDRESS(ROW(Parcels!D182),COLUMN(Parcels!D182),4)</f>
        <v>D182</v>
      </c>
      <c r="D9755" s="46" t="b">
        <f>IF(AND(Parcels!B182="Current",'Six-Yr Rule'!B183&lt;=Year_DestinationYearID),IF((SUMIFS('Bond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755" t="s">
        <v>1641</v>
      </c>
      <c r="F9755" t="str">
        <f>INDEX(Lists!I:I,MATCH(Validation!E9755,Lists!G:G,0))</f>
        <v>Alert</v>
      </c>
      <c r="G9755" t="str">
        <f>INDEX(Lists!H:H,MATCH(Validation!E9755,Lists!G:G,0))</f>
        <v>This parcel does not appear to be pledged to an outstanding in-district obligation.</v>
      </c>
      <c r="H9755" s="25" t="str">
        <f t="shared" ca="1" si="1101"/>
        <v/>
      </c>
      <c r="I9755" s="25" t="str">
        <f t="shared" ca="1" si="1102"/>
        <v/>
      </c>
      <c r="J9755" s="26" t="str">
        <f t="shared" si="1103"/>
        <v/>
      </c>
    </row>
    <row r="9756" spans="1:10" x14ac:dyDescent="0.25">
      <c r="A9756" t="s">
        <v>111</v>
      </c>
      <c r="B9756" t="str">
        <f>ADDRESS(ROW(Parcels!B183),COLUMN(Parcels!B1025),4)</f>
        <v>B183</v>
      </c>
      <c r="C9756" t="str">
        <f>ADDRESS(ROW(Parcels!D183),COLUMN(Parcels!D183),4)</f>
        <v>D183</v>
      </c>
      <c r="D9756" s="46" t="b">
        <f>IF(AND(Parcels!B183="Current",'Six-Yr Rule'!B184&lt;=Year_DestinationYearID),IF((SUMIFS('Bond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756" t="s">
        <v>1641</v>
      </c>
      <c r="F9756" t="str">
        <f>INDEX(Lists!I:I,MATCH(Validation!E9756,Lists!G:G,0))</f>
        <v>Alert</v>
      </c>
      <c r="G9756" t="str">
        <f>INDEX(Lists!H:H,MATCH(Validation!E9756,Lists!G:G,0))</f>
        <v>This parcel does not appear to be pledged to an outstanding in-district obligation.</v>
      </c>
      <c r="H9756" s="25" t="str">
        <f t="shared" ca="1" si="1101"/>
        <v/>
      </c>
      <c r="I9756" s="25" t="str">
        <f t="shared" ca="1" si="1102"/>
        <v/>
      </c>
      <c r="J9756" s="26" t="str">
        <f t="shared" si="1103"/>
        <v/>
      </c>
    </row>
    <row r="9757" spans="1:10" x14ac:dyDescent="0.25">
      <c r="A9757" t="s">
        <v>111</v>
      </c>
      <c r="B9757" t="str">
        <f>ADDRESS(ROW(Parcels!B184),COLUMN(Parcels!B1026),4)</f>
        <v>B184</v>
      </c>
      <c r="C9757" t="str">
        <f>ADDRESS(ROW(Parcels!D184),COLUMN(Parcels!D184),4)</f>
        <v>D184</v>
      </c>
      <c r="D9757" s="46" t="b">
        <f>IF(AND(Parcels!B184="Current",'Six-Yr Rule'!B185&lt;=Year_DestinationYearID),IF((SUMIFS('Bond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757" t="s">
        <v>1641</v>
      </c>
      <c r="F9757" t="str">
        <f>INDEX(Lists!I:I,MATCH(Validation!E9757,Lists!G:G,0))</f>
        <v>Alert</v>
      </c>
      <c r="G9757" t="str">
        <f>INDEX(Lists!H:H,MATCH(Validation!E9757,Lists!G:G,0))</f>
        <v>This parcel does not appear to be pledged to an outstanding in-district obligation.</v>
      </c>
      <c r="H9757" s="25" t="str">
        <f t="shared" ca="1" si="1101"/>
        <v/>
      </c>
      <c r="I9757" s="25" t="str">
        <f t="shared" ca="1" si="1102"/>
        <v/>
      </c>
      <c r="J9757" s="26" t="str">
        <f t="shared" si="1103"/>
        <v/>
      </c>
    </row>
    <row r="9758" spans="1:10" x14ac:dyDescent="0.25">
      <c r="A9758" t="s">
        <v>111</v>
      </c>
      <c r="B9758" t="str">
        <f>ADDRESS(ROW(Parcels!B185),COLUMN(Parcels!B1027),4)</f>
        <v>B185</v>
      </c>
      <c r="C9758" t="str">
        <f>ADDRESS(ROW(Parcels!D185),COLUMN(Parcels!D185),4)</f>
        <v>D185</v>
      </c>
      <c r="D9758" s="46" t="b">
        <f>IF(AND(Parcels!B185="Current",'Six-Yr Rule'!B186&lt;=Year_DestinationYearID),IF((SUMIFS('Bond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758" t="s">
        <v>1641</v>
      </c>
      <c r="F9758" t="str">
        <f>INDEX(Lists!I:I,MATCH(Validation!E9758,Lists!G:G,0))</f>
        <v>Alert</v>
      </c>
      <c r="G9758" t="str">
        <f>INDEX(Lists!H:H,MATCH(Validation!E9758,Lists!G:G,0))</f>
        <v>This parcel does not appear to be pledged to an outstanding in-district obligation.</v>
      </c>
      <c r="H9758" s="25" t="str">
        <f t="shared" ca="1" si="1101"/>
        <v/>
      </c>
      <c r="I9758" s="25" t="str">
        <f t="shared" ca="1" si="1102"/>
        <v/>
      </c>
      <c r="J9758" s="26" t="str">
        <f t="shared" si="1103"/>
        <v/>
      </c>
    </row>
    <row r="9759" spans="1:10" x14ac:dyDescent="0.25">
      <c r="A9759" t="s">
        <v>111</v>
      </c>
      <c r="B9759" t="str">
        <f>ADDRESS(ROW(Parcels!B186),COLUMN(Parcels!B1028),4)</f>
        <v>B186</v>
      </c>
      <c r="C9759" t="str">
        <f>ADDRESS(ROW(Parcels!D186),COLUMN(Parcels!D186),4)</f>
        <v>D186</v>
      </c>
      <c r="D9759" s="46" t="b">
        <f>IF(AND(Parcels!B186="Current",'Six-Yr Rule'!B187&lt;=Year_DestinationYearID),IF((SUMIFS('Bond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759" t="s">
        <v>1641</v>
      </c>
      <c r="F9759" t="str">
        <f>INDEX(Lists!I:I,MATCH(Validation!E9759,Lists!G:G,0))</f>
        <v>Alert</v>
      </c>
      <c r="G9759" t="str">
        <f>INDEX(Lists!H:H,MATCH(Validation!E9759,Lists!G:G,0))</f>
        <v>This parcel does not appear to be pledged to an outstanding in-district obligation.</v>
      </c>
      <c r="H9759" s="25" t="str">
        <f t="shared" ca="1" si="1101"/>
        <v/>
      </c>
      <c r="I9759" s="25" t="str">
        <f t="shared" ca="1" si="1102"/>
        <v/>
      </c>
      <c r="J9759" s="26" t="str">
        <f t="shared" si="1103"/>
        <v/>
      </c>
    </row>
    <row r="9760" spans="1:10" x14ac:dyDescent="0.25">
      <c r="A9760" t="s">
        <v>111</v>
      </c>
      <c r="B9760" t="str">
        <f>ADDRESS(ROW(Parcels!B187),COLUMN(Parcels!B1029),4)</f>
        <v>B187</v>
      </c>
      <c r="C9760" t="str">
        <f>ADDRESS(ROW(Parcels!D187),COLUMN(Parcels!D187),4)</f>
        <v>D187</v>
      </c>
      <c r="D9760" s="46" t="b">
        <f>IF(AND(Parcels!B187="Current",'Six-Yr Rule'!B188&lt;=Year_DestinationYearID),IF((SUMIFS('Bond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760" t="s">
        <v>1641</v>
      </c>
      <c r="F9760" t="str">
        <f>INDEX(Lists!I:I,MATCH(Validation!E9760,Lists!G:G,0))</f>
        <v>Alert</v>
      </c>
      <c r="G9760" t="str">
        <f>INDEX(Lists!H:H,MATCH(Validation!E9760,Lists!G:G,0))</f>
        <v>This parcel does not appear to be pledged to an outstanding in-district obligation.</v>
      </c>
      <c r="H9760" s="25" t="str">
        <f t="shared" ca="1" si="1101"/>
        <v/>
      </c>
      <c r="I9760" s="25" t="str">
        <f t="shared" ca="1" si="1102"/>
        <v/>
      </c>
      <c r="J9760" s="26" t="str">
        <f t="shared" si="1103"/>
        <v/>
      </c>
    </row>
    <row r="9761" spans="1:10" x14ac:dyDescent="0.25">
      <c r="A9761" t="s">
        <v>111</v>
      </c>
      <c r="B9761" t="str">
        <f>ADDRESS(ROW(Parcels!B188),COLUMN(Parcels!B1030),4)</f>
        <v>B188</v>
      </c>
      <c r="C9761" t="str">
        <f>ADDRESS(ROW(Parcels!D188),COLUMN(Parcels!D188),4)</f>
        <v>D188</v>
      </c>
      <c r="D9761" s="46" t="b">
        <f>IF(AND(Parcels!B188="Current",'Six-Yr Rule'!B189&lt;=Year_DestinationYearID),IF((SUMIFS('Bond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761" t="s">
        <v>1641</v>
      </c>
      <c r="F9761" t="str">
        <f>INDEX(Lists!I:I,MATCH(Validation!E9761,Lists!G:G,0))</f>
        <v>Alert</v>
      </c>
      <c r="G9761" t="str">
        <f>INDEX(Lists!H:H,MATCH(Validation!E9761,Lists!G:G,0))</f>
        <v>This parcel does not appear to be pledged to an outstanding in-district obligation.</v>
      </c>
      <c r="H9761" s="25" t="str">
        <f t="shared" ca="1" si="1101"/>
        <v/>
      </c>
      <c r="I9761" s="25" t="str">
        <f t="shared" ca="1" si="1102"/>
        <v/>
      </c>
      <c r="J9761" s="26" t="str">
        <f t="shared" si="1103"/>
        <v/>
      </c>
    </row>
    <row r="9762" spans="1:10" x14ac:dyDescent="0.25">
      <c r="A9762" t="s">
        <v>111</v>
      </c>
      <c r="B9762" t="str">
        <f>ADDRESS(ROW(Parcels!B189),COLUMN(Parcels!B1031),4)</f>
        <v>B189</v>
      </c>
      <c r="C9762" t="str">
        <f>ADDRESS(ROW(Parcels!D189),COLUMN(Parcels!D189),4)</f>
        <v>D189</v>
      </c>
      <c r="D9762" s="46" t="b">
        <f>IF(AND(Parcels!B189="Current",'Six-Yr Rule'!B190&lt;=Year_DestinationYearID),IF((SUMIFS('Bond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762" t="s">
        <v>1641</v>
      </c>
      <c r="F9762" t="str">
        <f>INDEX(Lists!I:I,MATCH(Validation!E9762,Lists!G:G,0))</f>
        <v>Alert</v>
      </c>
      <c r="G9762" t="str">
        <f>INDEX(Lists!H:H,MATCH(Validation!E9762,Lists!G:G,0))</f>
        <v>This parcel does not appear to be pledged to an outstanding in-district obligation.</v>
      </c>
      <c r="H9762" s="25" t="str">
        <f t="shared" ca="1" si="1101"/>
        <v/>
      </c>
      <c r="I9762" s="25" t="str">
        <f t="shared" ca="1" si="1102"/>
        <v/>
      </c>
      <c r="J9762" s="26" t="str">
        <f t="shared" si="1103"/>
        <v/>
      </c>
    </row>
    <row r="9763" spans="1:10" x14ac:dyDescent="0.25">
      <c r="A9763" t="s">
        <v>111</v>
      </c>
      <c r="B9763" t="str">
        <f>ADDRESS(ROW(Parcels!B190),COLUMN(Parcels!B1032),4)</f>
        <v>B190</v>
      </c>
      <c r="C9763" t="str">
        <f>ADDRESS(ROW(Parcels!D190),COLUMN(Parcels!D190),4)</f>
        <v>D190</v>
      </c>
      <c r="D9763" s="46" t="b">
        <f>IF(AND(Parcels!B190="Current",'Six-Yr Rule'!B191&lt;=Year_DestinationYearID),IF((SUMIFS('Bond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763" t="s">
        <v>1641</v>
      </c>
      <c r="F9763" t="str">
        <f>INDEX(Lists!I:I,MATCH(Validation!E9763,Lists!G:G,0))</f>
        <v>Alert</v>
      </c>
      <c r="G9763" t="str">
        <f>INDEX(Lists!H:H,MATCH(Validation!E9763,Lists!G:G,0))</f>
        <v>This parcel does not appear to be pledged to an outstanding in-district obligation.</v>
      </c>
      <c r="H9763" s="25" t="str">
        <f t="shared" ca="1" si="1101"/>
        <v/>
      </c>
      <c r="I9763" s="25" t="str">
        <f t="shared" ca="1" si="1102"/>
        <v/>
      </c>
      <c r="J9763" s="26" t="str">
        <f t="shared" si="1103"/>
        <v/>
      </c>
    </row>
    <row r="9764" spans="1:10" x14ac:dyDescent="0.25">
      <c r="A9764" t="s">
        <v>111</v>
      </c>
      <c r="B9764" t="str">
        <f>ADDRESS(ROW(Parcels!B191),COLUMN(Parcels!B1033),4)</f>
        <v>B191</v>
      </c>
      <c r="C9764" t="str">
        <f>ADDRESS(ROW(Parcels!D191),COLUMN(Parcels!D191),4)</f>
        <v>D191</v>
      </c>
      <c r="D9764" s="46" t="b">
        <f>IF(AND(Parcels!B191="Current",'Six-Yr Rule'!B192&lt;=Year_DestinationYearID),IF((SUMIFS('Bond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764" t="s">
        <v>1641</v>
      </c>
      <c r="F9764" t="str">
        <f>INDEX(Lists!I:I,MATCH(Validation!E9764,Lists!G:G,0))</f>
        <v>Alert</v>
      </c>
      <c r="G9764" t="str">
        <f>INDEX(Lists!H:H,MATCH(Validation!E9764,Lists!G:G,0))</f>
        <v>This parcel does not appear to be pledged to an outstanding in-district obligation.</v>
      </c>
      <c r="H9764" s="25" t="str">
        <f t="shared" ca="1" si="1101"/>
        <v/>
      </c>
      <c r="I9764" s="25" t="str">
        <f t="shared" ca="1" si="1102"/>
        <v/>
      </c>
      <c r="J9764" s="26" t="str">
        <f t="shared" si="1103"/>
        <v/>
      </c>
    </row>
    <row r="9765" spans="1:10" x14ac:dyDescent="0.25">
      <c r="A9765" t="s">
        <v>111</v>
      </c>
      <c r="B9765" t="str">
        <f>ADDRESS(ROW(Parcels!B192),COLUMN(Parcels!B1034),4)</f>
        <v>B192</v>
      </c>
      <c r="C9765" t="str">
        <f>ADDRESS(ROW(Parcels!D192),COLUMN(Parcels!D192),4)</f>
        <v>D192</v>
      </c>
      <c r="D9765" s="46" t="b">
        <f>IF(AND(Parcels!B192="Current",'Six-Yr Rule'!B193&lt;=Year_DestinationYearID),IF((SUMIFS('Bond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765" t="s">
        <v>1641</v>
      </c>
      <c r="F9765" t="str">
        <f>INDEX(Lists!I:I,MATCH(Validation!E9765,Lists!G:G,0))</f>
        <v>Alert</v>
      </c>
      <c r="G9765" t="str">
        <f>INDEX(Lists!H:H,MATCH(Validation!E9765,Lists!G:G,0))</f>
        <v>This parcel does not appear to be pledged to an outstanding in-district obligation.</v>
      </c>
      <c r="H9765" s="25" t="str">
        <f t="shared" ca="1" si="1101"/>
        <v/>
      </c>
      <c r="I9765" s="25" t="str">
        <f t="shared" ca="1" si="1102"/>
        <v/>
      </c>
      <c r="J9765" s="26" t="str">
        <f t="shared" si="1103"/>
        <v/>
      </c>
    </row>
    <row r="9766" spans="1:10" x14ac:dyDescent="0.25">
      <c r="A9766" t="s">
        <v>111</v>
      </c>
      <c r="B9766" t="str">
        <f>ADDRESS(ROW(Parcels!B193),COLUMN(Parcels!B1035),4)</f>
        <v>B193</v>
      </c>
      <c r="C9766" t="str">
        <f>ADDRESS(ROW(Parcels!D193),COLUMN(Parcels!D193),4)</f>
        <v>D193</v>
      </c>
      <c r="D9766" s="46" t="b">
        <f>IF(AND(Parcels!B193="Current",'Six-Yr Rule'!B194&lt;=Year_DestinationYearID),IF((SUMIFS('Bond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766" t="s">
        <v>1641</v>
      </c>
      <c r="F9766" t="str">
        <f>INDEX(Lists!I:I,MATCH(Validation!E9766,Lists!G:G,0))</f>
        <v>Alert</v>
      </c>
      <c r="G9766" t="str">
        <f>INDEX(Lists!H:H,MATCH(Validation!E9766,Lists!G:G,0))</f>
        <v>This parcel does not appear to be pledged to an outstanding in-district obligation.</v>
      </c>
      <c r="H9766" s="25" t="str">
        <f t="shared" ca="1" si="1101"/>
        <v/>
      </c>
      <c r="I9766" s="25" t="str">
        <f t="shared" ca="1" si="1102"/>
        <v/>
      </c>
      <c r="J9766" s="26" t="str">
        <f t="shared" si="1103"/>
        <v/>
      </c>
    </row>
    <row r="9767" spans="1:10" x14ac:dyDescent="0.25">
      <c r="A9767" t="s">
        <v>111</v>
      </c>
      <c r="B9767" t="str">
        <f>ADDRESS(ROW(Parcels!B194),COLUMN(Parcels!B1036),4)</f>
        <v>B194</v>
      </c>
      <c r="C9767" t="str">
        <f>ADDRESS(ROW(Parcels!D194),COLUMN(Parcels!D194),4)</f>
        <v>D194</v>
      </c>
      <c r="D9767" s="46" t="b">
        <f>IF(AND(Parcels!B194="Current",'Six-Yr Rule'!B195&lt;=Year_DestinationYearID),IF((SUMIFS('Bond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767" t="s">
        <v>1641</v>
      </c>
      <c r="F9767" t="str">
        <f>INDEX(Lists!I:I,MATCH(Validation!E9767,Lists!G:G,0))</f>
        <v>Alert</v>
      </c>
      <c r="G9767" t="str">
        <f>INDEX(Lists!H:H,MATCH(Validation!E9767,Lists!G:G,0))</f>
        <v>This parcel does not appear to be pledged to an outstanding in-district obligation.</v>
      </c>
      <c r="H9767" s="25" t="str">
        <f t="shared" ca="1" si="1101"/>
        <v/>
      </c>
      <c r="I9767" s="25" t="str">
        <f t="shared" ca="1" si="1102"/>
        <v/>
      </c>
      <c r="J9767" s="26" t="str">
        <f t="shared" si="1103"/>
        <v/>
      </c>
    </row>
    <row r="9768" spans="1:10" x14ac:dyDescent="0.25">
      <c r="A9768" t="s">
        <v>111</v>
      </c>
      <c r="B9768" t="str">
        <f>ADDRESS(ROW(Parcels!B195),COLUMN(Parcels!B1037),4)</f>
        <v>B195</v>
      </c>
      <c r="C9768" t="str">
        <f>ADDRESS(ROW(Parcels!D195),COLUMN(Parcels!D195),4)</f>
        <v>D195</v>
      </c>
      <c r="D9768" s="46" t="b">
        <f>IF(AND(Parcels!B195="Current",'Six-Yr Rule'!B196&lt;=Year_DestinationYearID),IF((SUMIFS('Bond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768" t="s">
        <v>1641</v>
      </c>
      <c r="F9768" t="str">
        <f>INDEX(Lists!I:I,MATCH(Validation!E9768,Lists!G:G,0))</f>
        <v>Alert</v>
      </c>
      <c r="G9768" t="str">
        <f>INDEX(Lists!H:H,MATCH(Validation!E9768,Lists!G:G,0))</f>
        <v>This parcel does not appear to be pledged to an outstanding in-district obligation.</v>
      </c>
      <c r="H9768" s="25" t="str">
        <f t="shared" ca="1" si="1101"/>
        <v/>
      </c>
      <c r="I9768" s="25" t="str">
        <f t="shared" ca="1" si="1102"/>
        <v/>
      </c>
      <c r="J9768" s="26" t="str">
        <f t="shared" si="1103"/>
        <v/>
      </c>
    </row>
    <row r="9769" spans="1:10" x14ac:dyDescent="0.25">
      <c r="A9769" t="s">
        <v>111</v>
      </c>
      <c r="B9769" t="str">
        <f>ADDRESS(ROW(Parcels!B196),COLUMN(Parcels!B1038),4)</f>
        <v>B196</v>
      </c>
      <c r="C9769" t="str">
        <f>ADDRESS(ROW(Parcels!D196),COLUMN(Parcels!D196),4)</f>
        <v>D196</v>
      </c>
      <c r="D9769" s="46" t="b">
        <f>IF(AND(Parcels!B196="Current",'Six-Yr Rule'!B197&lt;=Year_DestinationYearID),IF((SUMIFS('Bond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769" t="s">
        <v>1641</v>
      </c>
      <c r="F9769" t="str">
        <f>INDEX(Lists!I:I,MATCH(Validation!E9769,Lists!G:G,0))</f>
        <v>Alert</v>
      </c>
      <c r="G9769" t="str">
        <f>INDEX(Lists!H:H,MATCH(Validation!E9769,Lists!G:G,0))</f>
        <v>This parcel does not appear to be pledged to an outstanding in-district obligation.</v>
      </c>
      <c r="H9769" s="25" t="str">
        <f t="shared" ca="1" si="1101"/>
        <v/>
      </c>
      <c r="I9769" s="25" t="str">
        <f t="shared" ca="1" si="1102"/>
        <v/>
      </c>
      <c r="J9769" s="26" t="str">
        <f t="shared" si="1103"/>
        <v/>
      </c>
    </row>
    <row r="9770" spans="1:10" x14ac:dyDescent="0.25">
      <c r="A9770" t="s">
        <v>111</v>
      </c>
      <c r="B9770" t="str">
        <f>ADDRESS(ROW(Parcels!B197),COLUMN(Parcels!B1039),4)</f>
        <v>B197</v>
      </c>
      <c r="C9770" t="str">
        <f>ADDRESS(ROW(Parcels!D197),COLUMN(Parcels!D197),4)</f>
        <v>D197</v>
      </c>
      <c r="D9770" s="46" t="b">
        <f>IF(AND(Parcels!B197="Current",'Six-Yr Rule'!B198&lt;=Year_DestinationYearID),IF((SUMIFS('Bond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770" t="s">
        <v>1641</v>
      </c>
      <c r="F9770" t="str">
        <f>INDEX(Lists!I:I,MATCH(Validation!E9770,Lists!G:G,0))</f>
        <v>Alert</v>
      </c>
      <c r="G9770" t="str">
        <f>INDEX(Lists!H:H,MATCH(Validation!E9770,Lists!G:G,0))</f>
        <v>This parcel does not appear to be pledged to an outstanding in-district obligation.</v>
      </c>
      <c r="H9770" s="25" t="str">
        <f t="shared" ca="1" si="1101"/>
        <v/>
      </c>
      <c r="I9770" s="25" t="str">
        <f t="shared" ca="1" si="1102"/>
        <v/>
      </c>
      <c r="J9770" s="26" t="str">
        <f t="shared" si="1103"/>
        <v/>
      </c>
    </row>
    <row r="9771" spans="1:10" x14ac:dyDescent="0.25">
      <c r="A9771" t="s">
        <v>111</v>
      </c>
      <c r="B9771" t="str">
        <f>ADDRESS(ROW(Parcels!B198),COLUMN(Parcels!B1040),4)</f>
        <v>B198</v>
      </c>
      <c r="C9771" t="str">
        <f>ADDRESS(ROW(Parcels!D198),COLUMN(Parcels!D198),4)</f>
        <v>D198</v>
      </c>
      <c r="D9771" s="46" t="b">
        <f>IF(AND(Parcels!B198="Current",'Six-Yr Rule'!B199&lt;=Year_DestinationYearID),IF((SUMIFS('Bond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771" t="s">
        <v>1641</v>
      </c>
      <c r="F9771" t="str">
        <f>INDEX(Lists!I:I,MATCH(Validation!E9771,Lists!G:G,0))</f>
        <v>Alert</v>
      </c>
      <c r="G9771" t="str">
        <f>INDEX(Lists!H:H,MATCH(Validation!E9771,Lists!G:G,0))</f>
        <v>This parcel does not appear to be pledged to an outstanding in-district obligation.</v>
      </c>
      <c r="H9771" s="25" t="str">
        <f t="shared" ca="1" si="1101"/>
        <v/>
      </c>
      <c r="I9771" s="25" t="str">
        <f t="shared" ca="1" si="1102"/>
        <v/>
      </c>
      <c r="J9771" s="26" t="str">
        <f t="shared" si="1103"/>
        <v/>
      </c>
    </row>
    <row r="9772" spans="1:10" x14ac:dyDescent="0.25">
      <c r="A9772" t="s">
        <v>111</v>
      </c>
      <c r="B9772" t="str">
        <f>ADDRESS(ROW(Parcels!B199),COLUMN(Parcels!B1041),4)</f>
        <v>B199</v>
      </c>
      <c r="C9772" t="str">
        <f>ADDRESS(ROW(Parcels!D199),COLUMN(Parcels!D199),4)</f>
        <v>D199</v>
      </c>
      <c r="D9772" s="46" t="b">
        <f>IF(AND(Parcels!B199="Current",'Six-Yr Rule'!B200&lt;=Year_DestinationYearID),IF((SUMIFS('Bond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772" t="s">
        <v>1641</v>
      </c>
      <c r="F9772" t="str">
        <f>INDEX(Lists!I:I,MATCH(Validation!E9772,Lists!G:G,0))</f>
        <v>Alert</v>
      </c>
      <c r="G9772" t="str">
        <f>INDEX(Lists!H:H,MATCH(Validation!E9772,Lists!G:G,0))</f>
        <v>This parcel does not appear to be pledged to an outstanding in-district obligation.</v>
      </c>
      <c r="H9772" s="25" t="str">
        <f t="shared" ca="1" si="1101"/>
        <v/>
      </c>
      <c r="I9772" s="25" t="str">
        <f t="shared" ca="1" si="1102"/>
        <v/>
      </c>
      <c r="J9772" s="26" t="str">
        <f t="shared" si="1103"/>
        <v/>
      </c>
    </row>
    <row r="9773" spans="1:10" x14ac:dyDescent="0.25">
      <c r="A9773" t="s">
        <v>111</v>
      </c>
      <c r="B9773" t="str">
        <f>ADDRESS(ROW(Parcels!B200),COLUMN(Parcels!B1042),4)</f>
        <v>B200</v>
      </c>
      <c r="C9773" t="str">
        <f>ADDRESS(ROW(Parcels!D200),COLUMN(Parcels!D200),4)</f>
        <v>D200</v>
      </c>
      <c r="D9773" s="46" t="b">
        <f>IF(AND(Parcels!B200="Current",'Six-Yr Rule'!B201&lt;=Year_DestinationYearID),IF((SUMIFS('Bond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773" t="s">
        <v>1641</v>
      </c>
      <c r="F9773" t="str">
        <f>INDEX(Lists!I:I,MATCH(Validation!E9773,Lists!G:G,0))</f>
        <v>Alert</v>
      </c>
      <c r="G9773" t="str">
        <f>INDEX(Lists!H:H,MATCH(Validation!E9773,Lists!G:G,0))</f>
        <v>This parcel does not appear to be pledged to an outstanding in-district obligation.</v>
      </c>
      <c r="H9773" s="25" t="str">
        <f t="shared" ca="1" si="1101"/>
        <v/>
      </c>
      <c r="I9773" s="25" t="str">
        <f t="shared" ca="1" si="1102"/>
        <v/>
      </c>
      <c r="J9773" s="26" t="str">
        <f t="shared" si="1103"/>
        <v/>
      </c>
    </row>
    <row r="9774" spans="1:10" x14ac:dyDescent="0.25">
      <c r="A9774" t="s">
        <v>111</v>
      </c>
      <c r="B9774" t="str">
        <f>ADDRESS(ROW(Parcels!B201),COLUMN(Parcels!B1043),4)</f>
        <v>B201</v>
      </c>
      <c r="C9774" t="str">
        <f>ADDRESS(ROW(Parcels!D201),COLUMN(Parcels!D201),4)</f>
        <v>D201</v>
      </c>
      <c r="D9774" s="46" t="b">
        <f>IF(AND(Parcels!B201="Current",'Six-Yr Rule'!B202&lt;=Year_DestinationYearID),IF((SUMIFS('Bond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774" t="s">
        <v>1641</v>
      </c>
      <c r="F9774" t="str">
        <f>INDEX(Lists!I:I,MATCH(Validation!E9774,Lists!G:G,0))</f>
        <v>Alert</v>
      </c>
      <c r="G9774" t="str">
        <f>INDEX(Lists!H:H,MATCH(Validation!E9774,Lists!G:G,0))</f>
        <v>This parcel does not appear to be pledged to an outstanding in-district obligation.</v>
      </c>
      <c r="H9774" s="25" t="str">
        <f t="shared" ca="1" si="1101"/>
        <v/>
      </c>
      <c r="I9774" s="25" t="str">
        <f t="shared" ca="1" si="1102"/>
        <v/>
      </c>
      <c r="J9774" s="26" t="str">
        <f t="shared" si="1103"/>
        <v/>
      </c>
    </row>
    <row r="9775" spans="1:10" x14ac:dyDescent="0.25">
      <c r="A9775" t="s">
        <v>111</v>
      </c>
      <c r="B9775" t="str">
        <f>ADDRESS(ROW(Parcels!B202),COLUMN(Parcels!B1044),4)</f>
        <v>B202</v>
      </c>
      <c r="C9775" t="str">
        <f>ADDRESS(ROW(Parcels!D202),COLUMN(Parcels!D202),4)</f>
        <v>D202</v>
      </c>
      <c r="D9775" s="46" t="b">
        <f>IF(AND(Parcels!B202="Current",'Six-Yr Rule'!B203&lt;=Year_DestinationYearID),IF((SUMIFS('Bond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775" t="s">
        <v>1641</v>
      </c>
      <c r="F9775" t="str">
        <f>INDEX(Lists!I:I,MATCH(Validation!E9775,Lists!G:G,0))</f>
        <v>Alert</v>
      </c>
      <c r="G9775" t="str">
        <f>INDEX(Lists!H:H,MATCH(Validation!E9775,Lists!G:G,0))</f>
        <v>This parcel does not appear to be pledged to an outstanding in-district obligation.</v>
      </c>
      <c r="H9775" s="25" t="str">
        <f t="shared" ca="1" si="1101"/>
        <v/>
      </c>
      <c r="I9775" s="25" t="str">
        <f t="shared" ca="1" si="1102"/>
        <v/>
      </c>
      <c r="J9775" s="26" t="str">
        <f t="shared" si="1103"/>
        <v/>
      </c>
    </row>
    <row r="9776" spans="1:10" x14ac:dyDescent="0.25">
      <c r="A9776" t="s">
        <v>111</v>
      </c>
      <c r="B9776" t="str">
        <f>ADDRESS(ROW(Parcels!B203),COLUMN(Parcels!B1045),4)</f>
        <v>B203</v>
      </c>
      <c r="C9776" t="str">
        <f>ADDRESS(ROW(Parcels!D203),COLUMN(Parcels!D203),4)</f>
        <v>D203</v>
      </c>
      <c r="D9776" s="46" t="b">
        <f>IF(AND(Parcels!B203="Current",'Six-Yr Rule'!B204&lt;=Year_DestinationYearID),IF((SUMIFS('Bond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776" t="s">
        <v>1641</v>
      </c>
      <c r="F9776" t="str">
        <f>INDEX(Lists!I:I,MATCH(Validation!E9776,Lists!G:G,0))</f>
        <v>Alert</v>
      </c>
      <c r="G9776" t="str">
        <f>INDEX(Lists!H:H,MATCH(Validation!E9776,Lists!G:G,0))</f>
        <v>This parcel does not appear to be pledged to an outstanding in-district obligation.</v>
      </c>
      <c r="H9776" s="25" t="str">
        <f t="shared" ca="1" si="1101"/>
        <v/>
      </c>
      <c r="I9776" s="25" t="str">
        <f t="shared" ca="1" si="1102"/>
        <v/>
      </c>
      <c r="J9776" s="26" t="str">
        <f t="shared" si="1103"/>
        <v/>
      </c>
    </row>
    <row r="9777" spans="1:10" x14ac:dyDescent="0.25">
      <c r="A9777" t="s">
        <v>111</v>
      </c>
      <c r="B9777" t="str">
        <f>ADDRESS(ROW(Parcels!B204),COLUMN(Parcels!B1046),4)</f>
        <v>B204</v>
      </c>
      <c r="C9777" t="str">
        <f>ADDRESS(ROW(Parcels!D204),COLUMN(Parcels!D204),4)</f>
        <v>D204</v>
      </c>
      <c r="D9777" s="46" t="b">
        <f>IF(AND(Parcels!B204="Current",'Six-Yr Rule'!B205&lt;=Year_DestinationYearID),IF((SUMIFS('Bond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777" t="s">
        <v>1641</v>
      </c>
      <c r="F9777" t="str">
        <f>INDEX(Lists!I:I,MATCH(Validation!E9777,Lists!G:G,0))</f>
        <v>Alert</v>
      </c>
      <c r="G9777" t="str">
        <f>INDEX(Lists!H:H,MATCH(Validation!E9777,Lists!G:G,0))</f>
        <v>This parcel does not appear to be pledged to an outstanding in-district obligation.</v>
      </c>
      <c r="H9777" s="25" t="str">
        <f t="shared" ca="1" si="1101"/>
        <v/>
      </c>
      <c r="I9777" s="25" t="str">
        <f t="shared" ca="1" si="1102"/>
        <v/>
      </c>
      <c r="J9777" s="26" t="str">
        <f t="shared" si="1103"/>
        <v/>
      </c>
    </row>
    <row r="9778" spans="1:10" x14ac:dyDescent="0.25">
      <c r="A9778" t="s">
        <v>111</v>
      </c>
      <c r="B9778" t="str">
        <f>ADDRESS(ROW(Parcels!B205),COLUMN(Parcels!B1047),4)</f>
        <v>B205</v>
      </c>
      <c r="C9778" t="str">
        <f>ADDRESS(ROW(Parcels!D205),COLUMN(Parcels!D205),4)</f>
        <v>D205</v>
      </c>
      <c r="D9778" s="46" t="b">
        <f>IF(AND(Parcels!B205="Current",'Six-Yr Rule'!B206&lt;=Year_DestinationYearID),IF((SUMIFS('Bond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778" t="s">
        <v>1641</v>
      </c>
      <c r="F9778" t="str">
        <f>INDEX(Lists!I:I,MATCH(Validation!E9778,Lists!G:G,0))</f>
        <v>Alert</v>
      </c>
      <c r="G9778" t="str">
        <f>INDEX(Lists!H:H,MATCH(Validation!E9778,Lists!G:G,0))</f>
        <v>This parcel does not appear to be pledged to an outstanding in-district obligation.</v>
      </c>
      <c r="H9778" s="25" t="str">
        <f t="shared" ca="1" si="1101"/>
        <v/>
      </c>
      <c r="I9778" s="25" t="str">
        <f t="shared" ca="1" si="1102"/>
        <v/>
      </c>
      <c r="J9778" s="26" t="str">
        <f t="shared" si="1103"/>
        <v/>
      </c>
    </row>
    <row r="9779" spans="1:10" x14ac:dyDescent="0.25">
      <c r="A9779" t="s">
        <v>111</v>
      </c>
      <c r="B9779" t="str">
        <f>ADDRESS(ROW(Parcels!B206),COLUMN(Parcels!B1048),4)</f>
        <v>B206</v>
      </c>
      <c r="C9779" t="str">
        <f>ADDRESS(ROW(Parcels!D206),COLUMN(Parcels!D206),4)</f>
        <v>D206</v>
      </c>
      <c r="D9779" s="46" t="b">
        <f>IF(AND(Parcels!B206="Current",'Six-Yr Rule'!B207&lt;=Year_DestinationYearID),IF((SUMIFS('Bond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779" t="s">
        <v>1641</v>
      </c>
      <c r="F9779" t="str">
        <f>INDEX(Lists!I:I,MATCH(Validation!E9779,Lists!G:G,0))</f>
        <v>Alert</v>
      </c>
      <c r="G9779" t="str">
        <f>INDEX(Lists!H:H,MATCH(Validation!E9779,Lists!G:G,0))</f>
        <v>This parcel does not appear to be pledged to an outstanding in-district obligation.</v>
      </c>
      <c r="H9779" s="25" t="str">
        <f t="shared" ref="H9779:H9842" ca="1" si="1104">IFERROR(IF(OR(NOT(D9779),F9779&lt;&gt;"Error"),"",A9779&amp;CELL("address",INDIRECT(B9779))),"")</f>
        <v/>
      </c>
      <c r="I9779" s="25" t="str">
        <f t="shared" ref="I9779:I9842" ca="1" si="1105">IFERROR(IF(NOT(D9779),"",A9779&amp;CELL("address",INDIRECT(C9779))),"")</f>
        <v/>
      </c>
      <c r="J9779" s="26" t="str">
        <f t="shared" ref="J9779:J9842" si="1106">IFERROR(IF(NOT(D9779),"",A9779),"")</f>
        <v/>
      </c>
    </row>
    <row r="9780" spans="1:10" x14ac:dyDescent="0.25">
      <c r="A9780" t="s">
        <v>111</v>
      </c>
      <c r="B9780" t="str">
        <f>ADDRESS(ROW(Parcels!B207),COLUMN(Parcels!B1049),4)</f>
        <v>B207</v>
      </c>
      <c r="C9780" t="str">
        <f>ADDRESS(ROW(Parcels!D207),COLUMN(Parcels!D207),4)</f>
        <v>D207</v>
      </c>
      <c r="D9780" s="46" t="b">
        <f>IF(AND(Parcels!B207="Current",'Six-Yr Rule'!B208&lt;=Year_DestinationYearID),IF((SUMIFS('Bond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780" t="s">
        <v>1641</v>
      </c>
      <c r="F9780" t="str">
        <f>INDEX(Lists!I:I,MATCH(Validation!E9780,Lists!G:G,0))</f>
        <v>Alert</v>
      </c>
      <c r="G9780" t="str">
        <f>INDEX(Lists!H:H,MATCH(Validation!E9780,Lists!G:G,0))</f>
        <v>This parcel does not appear to be pledged to an outstanding in-district obligation.</v>
      </c>
      <c r="H9780" s="25" t="str">
        <f t="shared" ca="1" si="1104"/>
        <v/>
      </c>
      <c r="I9780" s="25" t="str">
        <f t="shared" ca="1" si="1105"/>
        <v/>
      </c>
      <c r="J9780" s="26" t="str">
        <f t="shared" si="1106"/>
        <v/>
      </c>
    </row>
    <row r="9781" spans="1:10" x14ac:dyDescent="0.25">
      <c r="A9781" t="s">
        <v>111</v>
      </c>
      <c r="B9781" t="str">
        <f>ADDRESS(ROW(Parcels!B208),COLUMN(Parcels!B1050),4)</f>
        <v>B208</v>
      </c>
      <c r="C9781" t="str">
        <f>ADDRESS(ROW(Parcels!D208),COLUMN(Parcels!D208),4)</f>
        <v>D208</v>
      </c>
      <c r="D9781" s="46" t="b">
        <f>IF(AND(Parcels!B208="Current",'Six-Yr Rule'!B209&lt;=Year_DestinationYearID),IF((SUMIFS('Bond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781" t="s">
        <v>1641</v>
      </c>
      <c r="F9781" t="str">
        <f>INDEX(Lists!I:I,MATCH(Validation!E9781,Lists!G:G,0))</f>
        <v>Alert</v>
      </c>
      <c r="G9781" t="str">
        <f>INDEX(Lists!H:H,MATCH(Validation!E9781,Lists!G:G,0))</f>
        <v>This parcel does not appear to be pledged to an outstanding in-district obligation.</v>
      </c>
      <c r="H9781" s="25" t="str">
        <f t="shared" ca="1" si="1104"/>
        <v/>
      </c>
      <c r="I9781" s="25" t="str">
        <f t="shared" ca="1" si="1105"/>
        <v/>
      </c>
      <c r="J9781" s="26" t="str">
        <f t="shared" si="1106"/>
        <v/>
      </c>
    </row>
    <row r="9782" spans="1:10" x14ac:dyDescent="0.25">
      <c r="A9782" t="s">
        <v>111</v>
      </c>
      <c r="B9782" t="str">
        <f>ADDRESS(ROW(Parcels!B209),COLUMN(Parcels!B1051),4)</f>
        <v>B209</v>
      </c>
      <c r="C9782" t="str">
        <f>ADDRESS(ROW(Parcels!D209),COLUMN(Parcels!D209),4)</f>
        <v>D209</v>
      </c>
      <c r="D9782" s="46" t="b">
        <f>IF(AND(Parcels!B209="Current",'Six-Yr Rule'!B210&lt;=Year_DestinationYearID),IF((SUMIFS('Bond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782" t="s">
        <v>1641</v>
      </c>
      <c r="F9782" t="str">
        <f>INDEX(Lists!I:I,MATCH(Validation!E9782,Lists!G:G,0))</f>
        <v>Alert</v>
      </c>
      <c r="G9782" t="str">
        <f>INDEX(Lists!H:H,MATCH(Validation!E9782,Lists!G:G,0))</f>
        <v>This parcel does not appear to be pledged to an outstanding in-district obligation.</v>
      </c>
      <c r="H9782" s="25" t="str">
        <f t="shared" ca="1" si="1104"/>
        <v/>
      </c>
      <c r="I9782" s="25" t="str">
        <f t="shared" ca="1" si="1105"/>
        <v/>
      </c>
      <c r="J9782" s="26" t="str">
        <f t="shared" si="1106"/>
        <v/>
      </c>
    </row>
    <row r="9783" spans="1:10" x14ac:dyDescent="0.25">
      <c r="A9783" t="s">
        <v>111</v>
      </c>
      <c r="B9783" t="str">
        <f>ADDRESS(ROW(Parcels!B210),COLUMN(Parcels!B1052),4)</f>
        <v>B210</v>
      </c>
      <c r="C9783" t="str">
        <f>ADDRESS(ROW(Parcels!D210),COLUMN(Parcels!D210),4)</f>
        <v>D210</v>
      </c>
      <c r="D9783" s="46" t="b">
        <f>IF(AND(Parcels!B210="Current",'Six-Yr Rule'!B211&lt;=Year_DestinationYearID),IF((SUMIFS('Bond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783" t="s">
        <v>1641</v>
      </c>
      <c r="F9783" t="str">
        <f>INDEX(Lists!I:I,MATCH(Validation!E9783,Lists!G:G,0))</f>
        <v>Alert</v>
      </c>
      <c r="G9783" t="str">
        <f>INDEX(Lists!H:H,MATCH(Validation!E9783,Lists!G:G,0))</f>
        <v>This parcel does not appear to be pledged to an outstanding in-district obligation.</v>
      </c>
      <c r="H9783" s="25" t="str">
        <f t="shared" ca="1" si="1104"/>
        <v/>
      </c>
      <c r="I9783" s="25" t="str">
        <f t="shared" ca="1" si="1105"/>
        <v/>
      </c>
      <c r="J9783" s="26" t="str">
        <f t="shared" si="1106"/>
        <v/>
      </c>
    </row>
    <row r="9784" spans="1:10" x14ac:dyDescent="0.25">
      <c r="A9784" t="s">
        <v>111</v>
      </c>
      <c r="B9784" t="str">
        <f>ADDRESS(ROW(Parcels!B211),COLUMN(Parcels!B1053),4)</f>
        <v>B211</v>
      </c>
      <c r="C9784" t="str">
        <f>ADDRESS(ROW(Parcels!D211),COLUMN(Parcels!D211),4)</f>
        <v>D211</v>
      </c>
      <c r="D9784" s="46" t="b">
        <f>IF(AND(Parcels!B211="Current",'Six-Yr Rule'!B212&lt;=Year_DestinationYearID),IF((SUMIFS('Bond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784" t="s">
        <v>1641</v>
      </c>
      <c r="F9784" t="str">
        <f>INDEX(Lists!I:I,MATCH(Validation!E9784,Lists!G:G,0))</f>
        <v>Alert</v>
      </c>
      <c r="G9784" t="str">
        <f>INDEX(Lists!H:H,MATCH(Validation!E9784,Lists!G:G,0))</f>
        <v>This parcel does not appear to be pledged to an outstanding in-district obligation.</v>
      </c>
      <c r="H9784" s="25" t="str">
        <f t="shared" ca="1" si="1104"/>
        <v/>
      </c>
      <c r="I9784" s="25" t="str">
        <f t="shared" ca="1" si="1105"/>
        <v/>
      </c>
      <c r="J9784" s="26" t="str">
        <f t="shared" si="1106"/>
        <v/>
      </c>
    </row>
    <row r="9785" spans="1:10" x14ac:dyDescent="0.25">
      <c r="A9785" t="s">
        <v>111</v>
      </c>
      <c r="B9785" t="str">
        <f>ADDRESS(ROW(Parcels!B212),COLUMN(Parcels!B1054),4)</f>
        <v>B212</v>
      </c>
      <c r="C9785" t="str">
        <f>ADDRESS(ROW(Parcels!D212),COLUMN(Parcels!D212),4)</f>
        <v>D212</v>
      </c>
      <c r="D9785" s="46" t="b">
        <f>IF(AND(Parcels!B212="Current",'Six-Yr Rule'!B213&lt;=Year_DestinationYearID),IF((SUMIFS('Bond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785" t="s">
        <v>1641</v>
      </c>
      <c r="F9785" t="str">
        <f>INDEX(Lists!I:I,MATCH(Validation!E9785,Lists!G:G,0))</f>
        <v>Alert</v>
      </c>
      <c r="G9785" t="str">
        <f>INDEX(Lists!H:H,MATCH(Validation!E9785,Lists!G:G,0))</f>
        <v>This parcel does not appear to be pledged to an outstanding in-district obligation.</v>
      </c>
      <c r="H9785" s="25" t="str">
        <f t="shared" ca="1" si="1104"/>
        <v/>
      </c>
      <c r="I9785" s="25" t="str">
        <f t="shared" ca="1" si="1105"/>
        <v/>
      </c>
      <c r="J9785" s="26" t="str">
        <f t="shared" si="1106"/>
        <v/>
      </c>
    </row>
    <row r="9786" spans="1:10" x14ac:dyDescent="0.25">
      <c r="A9786" t="s">
        <v>111</v>
      </c>
      <c r="B9786" t="str">
        <f>ADDRESS(ROW(Parcels!B213),COLUMN(Parcels!B1055),4)</f>
        <v>B213</v>
      </c>
      <c r="C9786" t="str">
        <f>ADDRESS(ROW(Parcels!D213),COLUMN(Parcels!D213),4)</f>
        <v>D213</v>
      </c>
      <c r="D9786" s="46" t="b">
        <f>IF(AND(Parcels!B213="Current",'Six-Yr Rule'!B214&lt;=Year_DestinationYearID),IF((SUMIFS('Bond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786" t="s">
        <v>1641</v>
      </c>
      <c r="F9786" t="str">
        <f>INDEX(Lists!I:I,MATCH(Validation!E9786,Lists!G:G,0))</f>
        <v>Alert</v>
      </c>
      <c r="G9786" t="str">
        <f>INDEX(Lists!H:H,MATCH(Validation!E9786,Lists!G:G,0))</f>
        <v>This parcel does not appear to be pledged to an outstanding in-district obligation.</v>
      </c>
      <c r="H9786" s="25" t="str">
        <f t="shared" ca="1" si="1104"/>
        <v/>
      </c>
      <c r="I9786" s="25" t="str">
        <f t="shared" ca="1" si="1105"/>
        <v/>
      </c>
      <c r="J9786" s="26" t="str">
        <f t="shared" si="1106"/>
        <v/>
      </c>
    </row>
    <row r="9787" spans="1:10" x14ac:dyDescent="0.25">
      <c r="A9787" t="s">
        <v>111</v>
      </c>
      <c r="B9787" t="str">
        <f>ADDRESS(ROW(Parcels!B214),COLUMN(Parcels!B1056),4)</f>
        <v>B214</v>
      </c>
      <c r="C9787" t="str">
        <f>ADDRESS(ROW(Parcels!D214),COLUMN(Parcels!D214),4)</f>
        <v>D214</v>
      </c>
      <c r="D9787" s="46" t="b">
        <f>IF(AND(Parcels!B214="Current",'Six-Yr Rule'!B215&lt;=Year_DestinationYearID),IF((SUMIFS('Bond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787" t="s">
        <v>1641</v>
      </c>
      <c r="F9787" t="str">
        <f>INDEX(Lists!I:I,MATCH(Validation!E9787,Lists!G:G,0))</f>
        <v>Alert</v>
      </c>
      <c r="G9787" t="str">
        <f>INDEX(Lists!H:H,MATCH(Validation!E9787,Lists!G:G,0))</f>
        <v>This parcel does not appear to be pledged to an outstanding in-district obligation.</v>
      </c>
      <c r="H9787" s="25" t="str">
        <f t="shared" ca="1" si="1104"/>
        <v/>
      </c>
      <c r="I9787" s="25" t="str">
        <f t="shared" ca="1" si="1105"/>
        <v/>
      </c>
      <c r="J9787" s="26" t="str">
        <f t="shared" si="1106"/>
        <v/>
      </c>
    </row>
    <row r="9788" spans="1:10" x14ac:dyDescent="0.25">
      <c r="A9788" t="s">
        <v>111</v>
      </c>
      <c r="B9788" t="str">
        <f>ADDRESS(ROW(Parcels!B215),COLUMN(Parcels!B1057),4)</f>
        <v>B215</v>
      </c>
      <c r="C9788" t="str">
        <f>ADDRESS(ROW(Parcels!D215),COLUMN(Parcels!D215),4)</f>
        <v>D215</v>
      </c>
      <c r="D9788" s="46" t="b">
        <f>IF(AND(Parcels!B215="Current",'Six-Yr Rule'!B216&lt;=Year_DestinationYearID),IF((SUMIFS('Bond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788" t="s">
        <v>1641</v>
      </c>
      <c r="F9788" t="str">
        <f>INDEX(Lists!I:I,MATCH(Validation!E9788,Lists!G:G,0))</f>
        <v>Alert</v>
      </c>
      <c r="G9788" t="str">
        <f>INDEX(Lists!H:H,MATCH(Validation!E9788,Lists!G:G,0))</f>
        <v>This parcel does not appear to be pledged to an outstanding in-district obligation.</v>
      </c>
      <c r="H9788" s="25" t="str">
        <f t="shared" ca="1" si="1104"/>
        <v/>
      </c>
      <c r="I9788" s="25" t="str">
        <f t="shared" ca="1" si="1105"/>
        <v/>
      </c>
      <c r="J9788" s="26" t="str">
        <f t="shared" si="1106"/>
        <v/>
      </c>
    </row>
    <row r="9789" spans="1:10" x14ac:dyDescent="0.25">
      <c r="A9789" t="s">
        <v>111</v>
      </c>
      <c r="B9789" t="str">
        <f>ADDRESS(ROW(Parcels!B216),COLUMN(Parcels!B1058),4)</f>
        <v>B216</v>
      </c>
      <c r="C9789" t="str">
        <f>ADDRESS(ROW(Parcels!D216),COLUMN(Parcels!D216),4)</f>
        <v>D216</v>
      </c>
      <c r="D9789" s="46" t="b">
        <f>IF(AND(Parcels!B216="Current",'Six-Yr Rule'!B217&lt;=Year_DestinationYearID),IF((SUMIFS('Bond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789" t="s">
        <v>1641</v>
      </c>
      <c r="F9789" t="str">
        <f>INDEX(Lists!I:I,MATCH(Validation!E9789,Lists!G:G,0))</f>
        <v>Alert</v>
      </c>
      <c r="G9789" t="str">
        <f>INDEX(Lists!H:H,MATCH(Validation!E9789,Lists!G:G,0))</f>
        <v>This parcel does not appear to be pledged to an outstanding in-district obligation.</v>
      </c>
      <c r="H9789" s="25" t="str">
        <f t="shared" ca="1" si="1104"/>
        <v/>
      </c>
      <c r="I9789" s="25" t="str">
        <f t="shared" ca="1" si="1105"/>
        <v/>
      </c>
      <c r="J9789" s="26" t="str">
        <f t="shared" si="1106"/>
        <v/>
      </c>
    </row>
    <row r="9790" spans="1:10" x14ac:dyDescent="0.25">
      <c r="A9790" t="s">
        <v>111</v>
      </c>
      <c r="B9790" t="str">
        <f>ADDRESS(ROW(Parcels!B217),COLUMN(Parcels!B1059),4)</f>
        <v>B217</v>
      </c>
      <c r="C9790" t="str">
        <f>ADDRESS(ROW(Parcels!D217),COLUMN(Parcels!D217),4)</f>
        <v>D217</v>
      </c>
      <c r="D9790" s="46" t="b">
        <f>IF(AND(Parcels!B217="Current",'Six-Yr Rule'!B218&lt;=Year_DestinationYearID),IF((SUMIFS('Bond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790" t="s">
        <v>1641</v>
      </c>
      <c r="F9790" t="str">
        <f>INDEX(Lists!I:I,MATCH(Validation!E9790,Lists!G:G,0))</f>
        <v>Alert</v>
      </c>
      <c r="G9790" t="str">
        <f>INDEX(Lists!H:H,MATCH(Validation!E9790,Lists!G:G,0))</f>
        <v>This parcel does not appear to be pledged to an outstanding in-district obligation.</v>
      </c>
      <c r="H9790" s="25" t="str">
        <f t="shared" ca="1" si="1104"/>
        <v/>
      </c>
      <c r="I9790" s="25" t="str">
        <f t="shared" ca="1" si="1105"/>
        <v/>
      </c>
      <c r="J9790" s="26" t="str">
        <f t="shared" si="1106"/>
        <v/>
      </c>
    </row>
    <row r="9791" spans="1:10" x14ac:dyDescent="0.25">
      <c r="A9791" t="s">
        <v>111</v>
      </c>
      <c r="B9791" t="str">
        <f>ADDRESS(ROW(Parcels!B218),COLUMN(Parcels!B1060),4)</f>
        <v>B218</v>
      </c>
      <c r="C9791" t="str">
        <f>ADDRESS(ROW(Parcels!D218),COLUMN(Parcels!D218),4)</f>
        <v>D218</v>
      </c>
      <c r="D9791" s="46" t="b">
        <f>IF(AND(Parcels!B218="Current",'Six-Yr Rule'!B219&lt;=Year_DestinationYearID),IF((SUMIFS('Bond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791" t="s">
        <v>1641</v>
      </c>
      <c r="F9791" t="str">
        <f>INDEX(Lists!I:I,MATCH(Validation!E9791,Lists!G:G,0))</f>
        <v>Alert</v>
      </c>
      <c r="G9791" t="str">
        <f>INDEX(Lists!H:H,MATCH(Validation!E9791,Lists!G:G,0))</f>
        <v>This parcel does not appear to be pledged to an outstanding in-district obligation.</v>
      </c>
      <c r="H9791" s="25" t="str">
        <f t="shared" ca="1" si="1104"/>
        <v/>
      </c>
      <c r="I9791" s="25" t="str">
        <f t="shared" ca="1" si="1105"/>
        <v/>
      </c>
      <c r="J9791" s="26" t="str">
        <f t="shared" si="1106"/>
        <v/>
      </c>
    </row>
    <row r="9792" spans="1:10" x14ac:dyDescent="0.25">
      <c r="A9792" t="s">
        <v>111</v>
      </c>
      <c r="B9792" t="str">
        <f>ADDRESS(ROW(Parcels!B219),COLUMN(Parcels!B1061),4)</f>
        <v>B219</v>
      </c>
      <c r="C9792" t="str">
        <f>ADDRESS(ROW(Parcels!D219),COLUMN(Parcels!D219),4)</f>
        <v>D219</v>
      </c>
      <c r="D9792" s="46" t="b">
        <f>IF(AND(Parcels!B219="Current",'Six-Yr Rule'!B220&lt;=Year_DestinationYearID),IF((SUMIFS('Bond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792" t="s">
        <v>1641</v>
      </c>
      <c r="F9792" t="str">
        <f>INDEX(Lists!I:I,MATCH(Validation!E9792,Lists!G:G,0))</f>
        <v>Alert</v>
      </c>
      <c r="G9792" t="str">
        <f>INDEX(Lists!H:H,MATCH(Validation!E9792,Lists!G:G,0))</f>
        <v>This parcel does not appear to be pledged to an outstanding in-district obligation.</v>
      </c>
      <c r="H9792" s="25" t="str">
        <f t="shared" ca="1" si="1104"/>
        <v/>
      </c>
      <c r="I9792" s="25" t="str">
        <f t="shared" ca="1" si="1105"/>
        <v/>
      </c>
      <c r="J9792" s="26" t="str">
        <f t="shared" si="1106"/>
        <v/>
      </c>
    </row>
    <row r="9793" spans="1:10" x14ac:dyDescent="0.25">
      <c r="A9793" t="s">
        <v>111</v>
      </c>
      <c r="B9793" t="str">
        <f>ADDRESS(ROW(Parcels!B220),COLUMN(Parcels!B1062),4)</f>
        <v>B220</v>
      </c>
      <c r="C9793" t="str">
        <f>ADDRESS(ROW(Parcels!D220),COLUMN(Parcels!D220),4)</f>
        <v>D220</v>
      </c>
      <c r="D9793" s="46" t="b">
        <f>IF(AND(Parcels!B220="Current",'Six-Yr Rule'!B221&lt;=Year_DestinationYearID),IF((SUMIFS('Bond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793" t="s">
        <v>1641</v>
      </c>
      <c r="F9793" t="str">
        <f>INDEX(Lists!I:I,MATCH(Validation!E9793,Lists!G:G,0))</f>
        <v>Alert</v>
      </c>
      <c r="G9793" t="str">
        <f>INDEX(Lists!H:H,MATCH(Validation!E9793,Lists!G:G,0))</f>
        <v>This parcel does not appear to be pledged to an outstanding in-district obligation.</v>
      </c>
      <c r="H9793" s="25" t="str">
        <f t="shared" ca="1" si="1104"/>
        <v/>
      </c>
      <c r="I9793" s="25" t="str">
        <f t="shared" ca="1" si="1105"/>
        <v/>
      </c>
      <c r="J9793" s="26" t="str">
        <f t="shared" si="1106"/>
        <v/>
      </c>
    </row>
    <row r="9794" spans="1:10" x14ac:dyDescent="0.25">
      <c r="A9794" t="s">
        <v>111</v>
      </c>
      <c r="B9794" t="str">
        <f>ADDRESS(ROW(Parcels!B221),COLUMN(Parcels!B1063),4)</f>
        <v>B221</v>
      </c>
      <c r="C9794" t="str">
        <f>ADDRESS(ROW(Parcels!D221),COLUMN(Parcels!D221),4)</f>
        <v>D221</v>
      </c>
      <c r="D9794" s="46" t="b">
        <f>IF(AND(Parcels!B221="Current",'Six-Yr Rule'!B222&lt;=Year_DestinationYearID),IF((SUMIFS('Bond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794" t="s">
        <v>1641</v>
      </c>
      <c r="F9794" t="str">
        <f>INDEX(Lists!I:I,MATCH(Validation!E9794,Lists!G:G,0))</f>
        <v>Alert</v>
      </c>
      <c r="G9794" t="str">
        <f>INDEX(Lists!H:H,MATCH(Validation!E9794,Lists!G:G,0))</f>
        <v>This parcel does not appear to be pledged to an outstanding in-district obligation.</v>
      </c>
      <c r="H9794" s="25" t="str">
        <f t="shared" ca="1" si="1104"/>
        <v/>
      </c>
      <c r="I9794" s="25" t="str">
        <f t="shared" ca="1" si="1105"/>
        <v/>
      </c>
      <c r="J9794" s="26" t="str">
        <f t="shared" si="1106"/>
        <v/>
      </c>
    </row>
    <row r="9795" spans="1:10" x14ac:dyDescent="0.25">
      <c r="A9795" t="s">
        <v>111</v>
      </c>
      <c r="B9795" t="str">
        <f>ADDRESS(ROW(Parcels!B222),COLUMN(Parcels!B1064),4)</f>
        <v>B222</v>
      </c>
      <c r="C9795" t="str">
        <f>ADDRESS(ROW(Parcels!D222),COLUMN(Parcels!D222),4)</f>
        <v>D222</v>
      </c>
      <c r="D9795" s="46" t="b">
        <f>IF(AND(Parcels!B222="Current",'Six-Yr Rule'!B223&lt;=Year_DestinationYearID),IF((SUMIFS('Bond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795" t="s">
        <v>1641</v>
      </c>
      <c r="F9795" t="str">
        <f>INDEX(Lists!I:I,MATCH(Validation!E9795,Lists!G:G,0))</f>
        <v>Alert</v>
      </c>
      <c r="G9795" t="str">
        <f>INDEX(Lists!H:H,MATCH(Validation!E9795,Lists!G:G,0))</f>
        <v>This parcel does not appear to be pledged to an outstanding in-district obligation.</v>
      </c>
      <c r="H9795" s="25" t="str">
        <f t="shared" ca="1" si="1104"/>
        <v/>
      </c>
      <c r="I9795" s="25" t="str">
        <f t="shared" ca="1" si="1105"/>
        <v/>
      </c>
      <c r="J9795" s="26" t="str">
        <f t="shared" si="1106"/>
        <v/>
      </c>
    </row>
    <row r="9796" spans="1:10" x14ac:dyDescent="0.25">
      <c r="A9796" t="s">
        <v>111</v>
      </c>
      <c r="B9796" t="str">
        <f>ADDRESS(ROW(Parcels!B223),COLUMN(Parcels!B1065),4)</f>
        <v>B223</v>
      </c>
      <c r="C9796" t="str">
        <f>ADDRESS(ROW(Parcels!D223),COLUMN(Parcels!D223),4)</f>
        <v>D223</v>
      </c>
      <c r="D9796" s="46" t="b">
        <f>IF(AND(Parcels!B223="Current",'Six-Yr Rule'!B224&lt;=Year_DestinationYearID),IF((SUMIFS('Bond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796" t="s">
        <v>1641</v>
      </c>
      <c r="F9796" t="str">
        <f>INDEX(Lists!I:I,MATCH(Validation!E9796,Lists!G:G,0))</f>
        <v>Alert</v>
      </c>
      <c r="G9796" t="str">
        <f>INDEX(Lists!H:H,MATCH(Validation!E9796,Lists!G:G,0))</f>
        <v>This parcel does not appear to be pledged to an outstanding in-district obligation.</v>
      </c>
      <c r="H9796" s="25" t="str">
        <f t="shared" ca="1" si="1104"/>
        <v/>
      </c>
      <c r="I9796" s="25" t="str">
        <f t="shared" ca="1" si="1105"/>
        <v/>
      </c>
      <c r="J9796" s="26" t="str">
        <f t="shared" si="1106"/>
        <v/>
      </c>
    </row>
    <row r="9797" spans="1:10" x14ac:dyDescent="0.25">
      <c r="A9797" t="s">
        <v>111</v>
      </c>
      <c r="B9797" t="str">
        <f>ADDRESS(ROW(Parcels!B224),COLUMN(Parcels!B1066),4)</f>
        <v>B224</v>
      </c>
      <c r="C9797" t="str">
        <f>ADDRESS(ROW(Parcels!D224),COLUMN(Parcels!D224),4)</f>
        <v>D224</v>
      </c>
      <c r="D9797" s="46" t="b">
        <f>IF(AND(Parcels!B224="Current",'Six-Yr Rule'!B225&lt;=Year_DestinationYearID),IF((SUMIFS('Bond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797" t="s">
        <v>1641</v>
      </c>
      <c r="F9797" t="str">
        <f>INDEX(Lists!I:I,MATCH(Validation!E9797,Lists!G:G,0))</f>
        <v>Alert</v>
      </c>
      <c r="G9797" t="str">
        <f>INDEX(Lists!H:H,MATCH(Validation!E9797,Lists!G:G,0))</f>
        <v>This parcel does not appear to be pledged to an outstanding in-district obligation.</v>
      </c>
      <c r="H9797" s="25" t="str">
        <f t="shared" ca="1" si="1104"/>
        <v/>
      </c>
      <c r="I9797" s="25" t="str">
        <f t="shared" ca="1" si="1105"/>
        <v/>
      </c>
      <c r="J9797" s="26" t="str">
        <f t="shared" si="1106"/>
        <v/>
      </c>
    </row>
    <row r="9798" spans="1:10" x14ac:dyDescent="0.25">
      <c r="A9798" t="s">
        <v>111</v>
      </c>
      <c r="B9798" t="str">
        <f>ADDRESS(ROW(Parcels!B225),COLUMN(Parcels!B1067),4)</f>
        <v>B225</v>
      </c>
      <c r="C9798" t="str">
        <f>ADDRESS(ROW(Parcels!D225),COLUMN(Parcels!D225),4)</f>
        <v>D225</v>
      </c>
      <c r="D9798" s="46" t="b">
        <f>IF(AND(Parcels!B225="Current",'Six-Yr Rule'!B226&lt;=Year_DestinationYearID),IF((SUMIFS('Bond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798" t="s">
        <v>1641</v>
      </c>
      <c r="F9798" t="str">
        <f>INDEX(Lists!I:I,MATCH(Validation!E9798,Lists!G:G,0))</f>
        <v>Alert</v>
      </c>
      <c r="G9798" t="str">
        <f>INDEX(Lists!H:H,MATCH(Validation!E9798,Lists!G:G,0))</f>
        <v>This parcel does not appear to be pledged to an outstanding in-district obligation.</v>
      </c>
      <c r="H9798" s="25" t="str">
        <f t="shared" ca="1" si="1104"/>
        <v/>
      </c>
      <c r="I9798" s="25" t="str">
        <f t="shared" ca="1" si="1105"/>
        <v/>
      </c>
      <c r="J9798" s="26" t="str">
        <f t="shared" si="1106"/>
        <v/>
      </c>
    </row>
    <row r="9799" spans="1:10" x14ac:dyDescent="0.25">
      <c r="A9799" t="s">
        <v>111</v>
      </c>
      <c r="B9799" t="str">
        <f>ADDRESS(ROW(Parcels!B226),COLUMN(Parcels!B1068),4)</f>
        <v>B226</v>
      </c>
      <c r="C9799" t="str">
        <f>ADDRESS(ROW(Parcels!D226),COLUMN(Parcels!D226),4)</f>
        <v>D226</v>
      </c>
      <c r="D9799" s="46" t="b">
        <f>IF(AND(Parcels!B226="Current",'Six-Yr Rule'!B227&lt;=Year_DestinationYearID),IF((SUMIFS('Bond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799" t="s">
        <v>1641</v>
      </c>
      <c r="F9799" t="str">
        <f>INDEX(Lists!I:I,MATCH(Validation!E9799,Lists!G:G,0))</f>
        <v>Alert</v>
      </c>
      <c r="G9799" t="str">
        <f>INDEX(Lists!H:H,MATCH(Validation!E9799,Lists!G:G,0))</f>
        <v>This parcel does not appear to be pledged to an outstanding in-district obligation.</v>
      </c>
      <c r="H9799" s="25" t="str">
        <f t="shared" ca="1" si="1104"/>
        <v/>
      </c>
      <c r="I9799" s="25" t="str">
        <f t="shared" ca="1" si="1105"/>
        <v/>
      </c>
      <c r="J9799" s="26" t="str">
        <f t="shared" si="1106"/>
        <v/>
      </c>
    </row>
    <row r="9800" spans="1:10" x14ac:dyDescent="0.25">
      <c r="A9800" t="s">
        <v>111</v>
      </c>
      <c r="B9800" t="str">
        <f>ADDRESS(ROW(Parcels!B227),COLUMN(Parcels!B1069),4)</f>
        <v>B227</v>
      </c>
      <c r="C9800" t="str">
        <f>ADDRESS(ROW(Parcels!D227),COLUMN(Parcels!D227),4)</f>
        <v>D227</v>
      </c>
      <c r="D9800" s="46" t="b">
        <f>IF(AND(Parcels!B227="Current",'Six-Yr Rule'!B228&lt;=Year_DestinationYearID),IF((SUMIFS('Bond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800" t="s">
        <v>1641</v>
      </c>
      <c r="F9800" t="str">
        <f>INDEX(Lists!I:I,MATCH(Validation!E9800,Lists!G:G,0))</f>
        <v>Alert</v>
      </c>
      <c r="G9800" t="str">
        <f>INDEX(Lists!H:H,MATCH(Validation!E9800,Lists!G:G,0))</f>
        <v>This parcel does not appear to be pledged to an outstanding in-district obligation.</v>
      </c>
      <c r="H9800" s="25" t="str">
        <f t="shared" ca="1" si="1104"/>
        <v/>
      </c>
      <c r="I9800" s="25" t="str">
        <f t="shared" ca="1" si="1105"/>
        <v/>
      </c>
      <c r="J9800" s="26" t="str">
        <f t="shared" si="1106"/>
        <v/>
      </c>
    </row>
    <row r="9801" spans="1:10" x14ac:dyDescent="0.25">
      <c r="A9801" t="s">
        <v>111</v>
      </c>
      <c r="B9801" t="str">
        <f>ADDRESS(ROW(Parcels!B228),COLUMN(Parcels!B1070),4)</f>
        <v>B228</v>
      </c>
      <c r="C9801" t="str">
        <f>ADDRESS(ROW(Parcels!D228),COLUMN(Parcels!D228),4)</f>
        <v>D228</v>
      </c>
      <c r="D9801" s="46" t="b">
        <f>IF(AND(Parcels!B228="Current",'Six-Yr Rule'!B229&lt;=Year_DestinationYearID),IF((SUMIFS('Bond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801" t="s">
        <v>1641</v>
      </c>
      <c r="F9801" t="str">
        <f>INDEX(Lists!I:I,MATCH(Validation!E9801,Lists!G:G,0))</f>
        <v>Alert</v>
      </c>
      <c r="G9801" t="str">
        <f>INDEX(Lists!H:H,MATCH(Validation!E9801,Lists!G:G,0))</f>
        <v>This parcel does not appear to be pledged to an outstanding in-district obligation.</v>
      </c>
      <c r="H9801" s="25" t="str">
        <f t="shared" ca="1" si="1104"/>
        <v/>
      </c>
      <c r="I9801" s="25" t="str">
        <f t="shared" ca="1" si="1105"/>
        <v/>
      </c>
      <c r="J9801" s="26" t="str">
        <f t="shared" si="1106"/>
        <v/>
      </c>
    </row>
    <row r="9802" spans="1:10" x14ac:dyDescent="0.25">
      <c r="A9802" t="s">
        <v>111</v>
      </c>
      <c r="B9802" t="str">
        <f>ADDRESS(ROW(Parcels!B229),COLUMN(Parcels!B1071),4)</f>
        <v>B229</v>
      </c>
      <c r="C9802" t="str">
        <f>ADDRESS(ROW(Parcels!D229),COLUMN(Parcels!D229),4)</f>
        <v>D229</v>
      </c>
      <c r="D9802" s="46" t="b">
        <f>IF(AND(Parcels!B229="Current",'Six-Yr Rule'!B230&lt;=Year_DestinationYearID),IF((SUMIFS('Bond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802" t="s">
        <v>1641</v>
      </c>
      <c r="F9802" t="str">
        <f>INDEX(Lists!I:I,MATCH(Validation!E9802,Lists!G:G,0))</f>
        <v>Alert</v>
      </c>
      <c r="G9802" t="str">
        <f>INDEX(Lists!H:H,MATCH(Validation!E9802,Lists!G:G,0))</f>
        <v>This parcel does not appear to be pledged to an outstanding in-district obligation.</v>
      </c>
      <c r="H9802" s="25" t="str">
        <f t="shared" ca="1" si="1104"/>
        <v/>
      </c>
      <c r="I9802" s="25" t="str">
        <f t="shared" ca="1" si="1105"/>
        <v/>
      </c>
      <c r="J9802" s="26" t="str">
        <f t="shared" si="1106"/>
        <v/>
      </c>
    </row>
    <row r="9803" spans="1:10" x14ac:dyDescent="0.25">
      <c r="A9803" t="s">
        <v>111</v>
      </c>
      <c r="B9803" t="str">
        <f>ADDRESS(ROW(Parcels!B230),COLUMN(Parcels!B1072),4)</f>
        <v>B230</v>
      </c>
      <c r="C9803" t="str">
        <f>ADDRESS(ROW(Parcels!D230),COLUMN(Parcels!D230),4)</f>
        <v>D230</v>
      </c>
      <c r="D9803" s="46" t="b">
        <f>IF(AND(Parcels!B230="Current",'Six-Yr Rule'!B231&lt;=Year_DestinationYearID),IF((SUMIFS('Bond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803" t="s">
        <v>1641</v>
      </c>
      <c r="F9803" t="str">
        <f>INDEX(Lists!I:I,MATCH(Validation!E9803,Lists!G:G,0))</f>
        <v>Alert</v>
      </c>
      <c r="G9803" t="str">
        <f>INDEX(Lists!H:H,MATCH(Validation!E9803,Lists!G:G,0))</f>
        <v>This parcel does not appear to be pledged to an outstanding in-district obligation.</v>
      </c>
      <c r="H9803" s="25" t="str">
        <f t="shared" ca="1" si="1104"/>
        <v/>
      </c>
      <c r="I9803" s="25" t="str">
        <f t="shared" ca="1" si="1105"/>
        <v/>
      </c>
      <c r="J9803" s="26" t="str">
        <f t="shared" si="1106"/>
        <v/>
      </c>
    </row>
    <row r="9804" spans="1:10" x14ac:dyDescent="0.25">
      <c r="A9804" t="s">
        <v>111</v>
      </c>
      <c r="B9804" t="str">
        <f>ADDRESS(ROW(Parcels!B231),COLUMN(Parcels!B1073),4)</f>
        <v>B231</v>
      </c>
      <c r="C9804" t="str">
        <f>ADDRESS(ROW(Parcels!D231),COLUMN(Parcels!D231),4)</f>
        <v>D231</v>
      </c>
      <c r="D9804" s="46" t="b">
        <f>IF(AND(Parcels!B231="Current",'Six-Yr Rule'!B232&lt;=Year_DestinationYearID),IF((SUMIFS('Bond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804" t="s">
        <v>1641</v>
      </c>
      <c r="F9804" t="str">
        <f>INDEX(Lists!I:I,MATCH(Validation!E9804,Lists!G:G,0))</f>
        <v>Alert</v>
      </c>
      <c r="G9804" t="str">
        <f>INDEX(Lists!H:H,MATCH(Validation!E9804,Lists!G:G,0))</f>
        <v>This parcel does not appear to be pledged to an outstanding in-district obligation.</v>
      </c>
      <c r="H9804" s="25" t="str">
        <f t="shared" ca="1" si="1104"/>
        <v/>
      </c>
      <c r="I9804" s="25" t="str">
        <f t="shared" ca="1" si="1105"/>
        <v/>
      </c>
      <c r="J9804" s="26" t="str">
        <f t="shared" si="1106"/>
        <v/>
      </c>
    </row>
    <row r="9805" spans="1:10" x14ac:dyDescent="0.25">
      <c r="A9805" t="s">
        <v>111</v>
      </c>
      <c r="B9805" t="str">
        <f>ADDRESS(ROW(Parcels!B232),COLUMN(Parcels!B1074),4)</f>
        <v>B232</v>
      </c>
      <c r="C9805" t="str">
        <f>ADDRESS(ROW(Parcels!D232),COLUMN(Parcels!D232),4)</f>
        <v>D232</v>
      </c>
      <c r="D9805" s="46" t="b">
        <f>IF(AND(Parcels!B232="Current",'Six-Yr Rule'!B233&lt;=Year_DestinationYearID),IF((SUMIFS('Bond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805" t="s">
        <v>1641</v>
      </c>
      <c r="F9805" t="str">
        <f>INDEX(Lists!I:I,MATCH(Validation!E9805,Lists!G:G,0))</f>
        <v>Alert</v>
      </c>
      <c r="G9805" t="str">
        <f>INDEX(Lists!H:H,MATCH(Validation!E9805,Lists!G:G,0))</f>
        <v>This parcel does not appear to be pledged to an outstanding in-district obligation.</v>
      </c>
      <c r="H9805" s="25" t="str">
        <f t="shared" ca="1" si="1104"/>
        <v/>
      </c>
      <c r="I9805" s="25" t="str">
        <f t="shared" ca="1" si="1105"/>
        <v/>
      </c>
      <c r="J9805" s="26" t="str">
        <f t="shared" si="1106"/>
        <v/>
      </c>
    </row>
    <row r="9806" spans="1:10" x14ac:dyDescent="0.25">
      <c r="A9806" t="s">
        <v>111</v>
      </c>
      <c r="B9806" t="str">
        <f>ADDRESS(ROW(Parcels!B233),COLUMN(Parcels!B1075),4)</f>
        <v>B233</v>
      </c>
      <c r="C9806" t="str">
        <f>ADDRESS(ROW(Parcels!D233),COLUMN(Parcels!D233),4)</f>
        <v>D233</v>
      </c>
      <c r="D9806" s="46" t="b">
        <f>IF(AND(Parcels!B233="Current",'Six-Yr Rule'!B234&lt;=Year_DestinationYearID),IF((SUMIFS('Bond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806" t="s">
        <v>1641</v>
      </c>
      <c r="F9806" t="str">
        <f>INDEX(Lists!I:I,MATCH(Validation!E9806,Lists!G:G,0))</f>
        <v>Alert</v>
      </c>
      <c r="G9806" t="str">
        <f>INDEX(Lists!H:H,MATCH(Validation!E9806,Lists!G:G,0))</f>
        <v>This parcel does not appear to be pledged to an outstanding in-district obligation.</v>
      </c>
      <c r="H9806" s="25" t="str">
        <f t="shared" ca="1" si="1104"/>
        <v/>
      </c>
      <c r="I9806" s="25" t="str">
        <f t="shared" ca="1" si="1105"/>
        <v/>
      </c>
      <c r="J9806" s="26" t="str">
        <f t="shared" si="1106"/>
        <v/>
      </c>
    </row>
    <row r="9807" spans="1:10" x14ac:dyDescent="0.25">
      <c r="A9807" t="s">
        <v>111</v>
      </c>
      <c r="B9807" t="str">
        <f>ADDRESS(ROW(Parcels!B234),COLUMN(Parcels!B1076),4)</f>
        <v>B234</v>
      </c>
      <c r="C9807" t="str">
        <f>ADDRESS(ROW(Parcels!D234),COLUMN(Parcels!D234),4)</f>
        <v>D234</v>
      </c>
      <c r="D9807" s="46" t="b">
        <f>IF(AND(Parcels!B234="Current",'Six-Yr Rule'!B235&lt;=Year_DestinationYearID),IF((SUMIFS('Bond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807" t="s">
        <v>1641</v>
      </c>
      <c r="F9807" t="str">
        <f>INDEX(Lists!I:I,MATCH(Validation!E9807,Lists!G:G,0))</f>
        <v>Alert</v>
      </c>
      <c r="G9807" t="str">
        <f>INDEX(Lists!H:H,MATCH(Validation!E9807,Lists!G:G,0))</f>
        <v>This parcel does not appear to be pledged to an outstanding in-district obligation.</v>
      </c>
      <c r="H9807" s="25" t="str">
        <f t="shared" ca="1" si="1104"/>
        <v/>
      </c>
      <c r="I9807" s="25" t="str">
        <f t="shared" ca="1" si="1105"/>
        <v/>
      </c>
      <c r="J9807" s="26" t="str">
        <f t="shared" si="1106"/>
        <v/>
      </c>
    </row>
    <row r="9808" spans="1:10" x14ac:dyDescent="0.25">
      <c r="A9808" t="s">
        <v>111</v>
      </c>
      <c r="B9808" t="str">
        <f>ADDRESS(ROW(Parcels!B235),COLUMN(Parcels!B1077),4)</f>
        <v>B235</v>
      </c>
      <c r="C9808" t="str">
        <f>ADDRESS(ROW(Parcels!D235),COLUMN(Parcels!D235),4)</f>
        <v>D235</v>
      </c>
      <c r="D9808" s="46" t="b">
        <f>IF(AND(Parcels!B235="Current",'Six-Yr Rule'!B236&lt;=Year_DestinationYearID),IF((SUMIFS('Bond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808" t="s">
        <v>1641</v>
      </c>
      <c r="F9808" t="str">
        <f>INDEX(Lists!I:I,MATCH(Validation!E9808,Lists!G:G,0))</f>
        <v>Alert</v>
      </c>
      <c r="G9808" t="str">
        <f>INDEX(Lists!H:H,MATCH(Validation!E9808,Lists!G:G,0))</f>
        <v>This parcel does not appear to be pledged to an outstanding in-district obligation.</v>
      </c>
      <c r="H9808" s="25" t="str">
        <f t="shared" ca="1" si="1104"/>
        <v/>
      </c>
      <c r="I9808" s="25" t="str">
        <f t="shared" ca="1" si="1105"/>
        <v/>
      </c>
      <c r="J9808" s="26" t="str">
        <f t="shared" si="1106"/>
        <v/>
      </c>
    </row>
    <row r="9809" spans="1:10" x14ac:dyDescent="0.25">
      <c r="A9809" t="s">
        <v>111</v>
      </c>
      <c r="B9809" t="str">
        <f>ADDRESS(ROW(Parcels!B236),COLUMN(Parcels!B1078),4)</f>
        <v>B236</v>
      </c>
      <c r="C9809" t="str">
        <f>ADDRESS(ROW(Parcels!D236),COLUMN(Parcels!D236),4)</f>
        <v>D236</v>
      </c>
      <c r="D9809" s="46" t="b">
        <f>IF(AND(Parcels!B236="Current",'Six-Yr Rule'!B237&lt;=Year_DestinationYearID),IF((SUMIFS('Bond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809" t="s">
        <v>1641</v>
      </c>
      <c r="F9809" t="str">
        <f>INDEX(Lists!I:I,MATCH(Validation!E9809,Lists!G:G,0))</f>
        <v>Alert</v>
      </c>
      <c r="G9809" t="str">
        <f>INDEX(Lists!H:H,MATCH(Validation!E9809,Lists!G:G,0))</f>
        <v>This parcel does not appear to be pledged to an outstanding in-district obligation.</v>
      </c>
      <c r="H9809" s="25" t="str">
        <f t="shared" ca="1" si="1104"/>
        <v/>
      </c>
      <c r="I9809" s="25" t="str">
        <f t="shared" ca="1" si="1105"/>
        <v/>
      </c>
      <c r="J9809" s="26" t="str">
        <f t="shared" si="1106"/>
        <v/>
      </c>
    </row>
    <row r="9810" spans="1:10" x14ac:dyDescent="0.25">
      <c r="A9810" t="s">
        <v>111</v>
      </c>
      <c r="B9810" t="str">
        <f>ADDRESS(ROW(Parcels!B237),COLUMN(Parcels!B1079),4)</f>
        <v>B237</v>
      </c>
      <c r="C9810" t="str">
        <f>ADDRESS(ROW(Parcels!D237),COLUMN(Parcels!D237),4)</f>
        <v>D237</v>
      </c>
      <c r="D9810" s="46" t="b">
        <f>IF(AND(Parcels!B237="Current",'Six-Yr Rule'!B238&lt;=Year_DestinationYearID),IF((SUMIFS('Bond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810" t="s">
        <v>1641</v>
      </c>
      <c r="F9810" t="str">
        <f>INDEX(Lists!I:I,MATCH(Validation!E9810,Lists!G:G,0))</f>
        <v>Alert</v>
      </c>
      <c r="G9810" t="str">
        <f>INDEX(Lists!H:H,MATCH(Validation!E9810,Lists!G:G,0))</f>
        <v>This parcel does not appear to be pledged to an outstanding in-district obligation.</v>
      </c>
      <c r="H9810" s="25" t="str">
        <f t="shared" ca="1" si="1104"/>
        <v/>
      </c>
      <c r="I9810" s="25" t="str">
        <f t="shared" ca="1" si="1105"/>
        <v/>
      </c>
      <c r="J9810" s="26" t="str">
        <f t="shared" si="1106"/>
        <v/>
      </c>
    </row>
    <row r="9811" spans="1:10" x14ac:dyDescent="0.25">
      <c r="A9811" t="s">
        <v>111</v>
      </c>
      <c r="B9811" t="str">
        <f>ADDRESS(ROW(Parcels!B238),COLUMN(Parcels!B1080),4)</f>
        <v>B238</v>
      </c>
      <c r="C9811" t="str">
        <f>ADDRESS(ROW(Parcels!D238),COLUMN(Parcels!D238),4)</f>
        <v>D238</v>
      </c>
      <c r="D9811" s="46" t="b">
        <f>IF(AND(Parcels!B238="Current",'Six-Yr Rule'!B239&lt;=Year_DestinationYearID),IF((SUMIFS('Bond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811" t="s">
        <v>1641</v>
      </c>
      <c r="F9811" t="str">
        <f>INDEX(Lists!I:I,MATCH(Validation!E9811,Lists!G:G,0))</f>
        <v>Alert</v>
      </c>
      <c r="G9811" t="str">
        <f>INDEX(Lists!H:H,MATCH(Validation!E9811,Lists!G:G,0))</f>
        <v>This parcel does not appear to be pledged to an outstanding in-district obligation.</v>
      </c>
      <c r="H9811" s="25" t="str">
        <f t="shared" ca="1" si="1104"/>
        <v/>
      </c>
      <c r="I9811" s="25" t="str">
        <f t="shared" ca="1" si="1105"/>
        <v/>
      </c>
      <c r="J9811" s="26" t="str">
        <f t="shared" si="1106"/>
        <v/>
      </c>
    </row>
    <row r="9812" spans="1:10" x14ac:dyDescent="0.25">
      <c r="A9812" t="s">
        <v>111</v>
      </c>
      <c r="B9812" t="str">
        <f>ADDRESS(ROW(Parcels!B239),COLUMN(Parcels!B1081),4)</f>
        <v>B239</v>
      </c>
      <c r="C9812" t="str">
        <f>ADDRESS(ROW(Parcels!D239),COLUMN(Parcels!D239),4)</f>
        <v>D239</v>
      </c>
      <c r="D9812" s="46" t="b">
        <f>IF(AND(Parcels!B239="Current",'Six-Yr Rule'!B240&lt;=Year_DestinationYearID),IF((SUMIFS('Bond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812" t="s">
        <v>1641</v>
      </c>
      <c r="F9812" t="str">
        <f>INDEX(Lists!I:I,MATCH(Validation!E9812,Lists!G:G,0))</f>
        <v>Alert</v>
      </c>
      <c r="G9812" t="str">
        <f>INDEX(Lists!H:H,MATCH(Validation!E9812,Lists!G:G,0))</f>
        <v>This parcel does not appear to be pledged to an outstanding in-district obligation.</v>
      </c>
      <c r="H9812" s="25" t="str">
        <f t="shared" ca="1" si="1104"/>
        <v/>
      </c>
      <c r="I9812" s="25" t="str">
        <f t="shared" ca="1" si="1105"/>
        <v/>
      </c>
      <c r="J9812" s="26" t="str">
        <f t="shared" si="1106"/>
        <v/>
      </c>
    </row>
    <row r="9813" spans="1:10" x14ac:dyDescent="0.25">
      <c r="A9813" t="s">
        <v>111</v>
      </c>
      <c r="B9813" t="str">
        <f>ADDRESS(ROW(Parcels!B240),COLUMN(Parcels!B1082),4)</f>
        <v>B240</v>
      </c>
      <c r="C9813" t="str">
        <f>ADDRESS(ROW(Parcels!D240),COLUMN(Parcels!D240),4)</f>
        <v>D240</v>
      </c>
      <c r="D9813" s="46" t="b">
        <f>IF(AND(Parcels!B240="Current",'Six-Yr Rule'!B241&lt;=Year_DestinationYearID),IF((SUMIFS('Bond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813" t="s">
        <v>1641</v>
      </c>
      <c r="F9813" t="str">
        <f>INDEX(Lists!I:I,MATCH(Validation!E9813,Lists!G:G,0))</f>
        <v>Alert</v>
      </c>
      <c r="G9813" t="str">
        <f>INDEX(Lists!H:H,MATCH(Validation!E9813,Lists!G:G,0))</f>
        <v>This parcel does not appear to be pledged to an outstanding in-district obligation.</v>
      </c>
      <c r="H9813" s="25" t="str">
        <f t="shared" ca="1" si="1104"/>
        <v/>
      </c>
      <c r="I9813" s="25" t="str">
        <f t="shared" ca="1" si="1105"/>
        <v/>
      </c>
      <c r="J9813" s="26" t="str">
        <f t="shared" si="1106"/>
        <v/>
      </c>
    </row>
    <row r="9814" spans="1:10" x14ac:dyDescent="0.25">
      <c r="A9814" t="s">
        <v>111</v>
      </c>
      <c r="B9814" t="str">
        <f>ADDRESS(ROW(Parcels!B241),COLUMN(Parcels!B1083),4)</f>
        <v>B241</v>
      </c>
      <c r="C9814" t="str">
        <f>ADDRESS(ROW(Parcels!D241),COLUMN(Parcels!D241),4)</f>
        <v>D241</v>
      </c>
      <c r="D9814" s="46" t="b">
        <f>IF(AND(Parcels!B241="Current",'Six-Yr Rule'!B242&lt;=Year_DestinationYearID),IF((SUMIFS('Bond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814" t="s">
        <v>1641</v>
      </c>
      <c r="F9814" t="str">
        <f>INDEX(Lists!I:I,MATCH(Validation!E9814,Lists!G:G,0))</f>
        <v>Alert</v>
      </c>
      <c r="G9814" t="str">
        <f>INDEX(Lists!H:H,MATCH(Validation!E9814,Lists!G:G,0))</f>
        <v>This parcel does not appear to be pledged to an outstanding in-district obligation.</v>
      </c>
      <c r="H9814" s="25" t="str">
        <f t="shared" ca="1" si="1104"/>
        <v/>
      </c>
      <c r="I9814" s="25" t="str">
        <f t="shared" ca="1" si="1105"/>
        <v/>
      </c>
      <c r="J9814" s="26" t="str">
        <f t="shared" si="1106"/>
        <v/>
      </c>
    </row>
    <row r="9815" spans="1:10" x14ac:dyDescent="0.25">
      <c r="A9815" t="s">
        <v>111</v>
      </c>
      <c r="B9815" t="str">
        <f>ADDRESS(ROW(Parcels!B242),COLUMN(Parcels!B1084),4)</f>
        <v>B242</v>
      </c>
      <c r="C9815" t="str">
        <f>ADDRESS(ROW(Parcels!D242),COLUMN(Parcels!D242),4)</f>
        <v>D242</v>
      </c>
      <c r="D9815" s="46" t="b">
        <f>IF(AND(Parcels!B242="Current",'Six-Yr Rule'!B243&lt;=Year_DestinationYearID),IF((SUMIFS('Bond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815" t="s">
        <v>1641</v>
      </c>
      <c r="F9815" t="str">
        <f>INDEX(Lists!I:I,MATCH(Validation!E9815,Lists!G:G,0))</f>
        <v>Alert</v>
      </c>
      <c r="G9815" t="str">
        <f>INDEX(Lists!H:H,MATCH(Validation!E9815,Lists!G:G,0))</f>
        <v>This parcel does not appear to be pledged to an outstanding in-district obligation.</v>
      </c>
      <c r="H9815" s="25" t="str">
        <f t="shared" ca="1" si="1104"/>
        <v/>
      </c>
      <c r="I9815" s="25" t="str">
        <f t="shared" ca="1" si="1105"/>
        <v/>
      </c>
      <c r="J9815" s="26" t="str">
        <f t="shared" si="1106"/>
        <v/>
      </c>
    </row>
    <row r="9816" spans="1:10" x14ac:dyDescent="0.25">
      <c r="A9816" t="s">
        <v>111</v>
      </c>
      <c r="B9816" t="str">
        <f>ADDRESS(ROW(Parcels!B243),COLUMN(Parcels!B1085),4)</f>
        <v>B243</v>
      </c>
      <c r="C9816" t="str">
        <f>ADDRESS(ROW(Parcels!D243),COLUMN(Parcels!D243),4)</f>
        <v>D243</v>
      </c>
      <c r="D9816" s="46" t="b">
        <f>IF(AND(Parcels!B243="Current",'Six-Yr Rule'!B244&lt;=Year_DestinationYearID),IF((SUMIFS('Bond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816" t="s">
        <v>1641</v>
      </c>
      <c r="F9816" t="str">
        <f>INDEX(Lists!I:I,MATCH(Validation!E9816,Lists!G:G,0))</f>
        <v>Alert</v>
      </c>
      <c r="G9816" t="str">
        <f>INDEX(Lists!H:H,MATCH(Validation!E9816,Lists!G:G,0))</f>
        <v>This parcel does not appear to be pledged to an outstanding in-district obligation.</v>
      </c>
      <c r="H9816" s="25" t="str">
        <f t="shared" ca="1" si="1104"/>
        <v/>
      </c>
      <c r="I9816" s="25" t="str">
        <f t="shared" ca="1" si="1105"/>
        <v/>
      </c>
      <c r="J9816" s="26" t="str">
        <f t="shared" si="1106"/>
        <v/>
      </c>
    </row>
    <row r="9817" spans="1:10" x14ac:dyDescent="0.25">
      <c r="A9817" t="s">
        <v>111</v>
      </c>
      <c r="B9817" t="str">
        <f>ADDRESS(ROW(Parcels!B244),COLUMN(Parcels!B1086),4)</f>
        <v>B244</v>
      </c>
      <c r="C9817" t="str">
        <f>ADDRESS(ROW(Parcels!D244),COLUMN(Parcels!D244),4)</f>
        <v>D244</v>
      </c>
      <c r="D9817" s="46" t="b">
        <f>IF(AND(Parcels!B244="Current",'Six-Yr Rule'!B245&lt;=Year_DestinationYearID),IF((SUMIFS('Bond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817" t="s">
        <v>1641</v>
      </c>
      <c r="F9817" t="str">
        <f>INDEX(Lists!I:I,MATCH(Validation!E9817,Lists!G:G,0))</f>
        <v>Alert</v>
      </c>
      <c r="G9817" t="str">
        <f>INDEX(Lists!H:H,MATCH(Validation!E9817,Lists!G:G,0))</f>
        <v>This parcel does not appear to be pledged to an outstanding in-district obligation.</v>
      </c>
      <c r="H9817" s="25" t="str">
        <f t="shared" ca="1" si="1104"/>
        <v/>
      </c>
      <c r="I9817" s="25" t="str">
        <f t="shared" ca="1" si="1105"/>
        <v/>
      </c>
      <c r="J9817" s="26" t="str">
        <f t="shared" si="1106"/>
        <v/>
      </c>
    </row>
    <row r="9818" spans="1:10" x14ac:dyDescent="0.25">
      <c r="A9818" t="s">
        <v>111</v>
      </c>
      <c r="B9818" t="str">
        <f>ADDRESS(ROW(Parcels!B245),COLUMN(Parcels!B1087),4)</f>
        <v>B245</v>
      </c>
      <c r="C9818" t="str">
        <f>ADDRESS(ROW(Parcels!D245),COLUMN(Parcels!D245),4)</f>
        <v>D245</v>
      </c>
      <c r="D9818" s="46" t="b">
        <f>IF(AND(Parcels!B245="Current",'Six-Yr Rule'!B246&lt;=Year_DestinationYearID),IF((SUMIFS('Bond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818" t="s">
        <v>1641</v>
      </c>
      <c r="F9818" t="str">
        <f>INDEX(Lists!I:I,MATCH(Validation!E9818,Lists!G:G,0))</f>
        <v>Alert</v>
      </c>
      <c r="G9818" t="str">
        <f>INDEX(Lists!H:H,MATCH(Validation!E9818,Lists!G:G,0))</f>
        <v>This parcel does not appear to be pledged to an outstanding in-district obligation.</v>
      </c>
      <c r="H9818" s="25" t="str">
        <f t="shared" ca="1" si="1104"/>
        <v/>
      </c>
      <c r="I9818" s="25" t="str">
        <f t="shared" ca="1" si="1105"/>
        <v/>
      </c>
      <c r="J9818" s="26" t="str">
        <f t="shared" si="1106"/>
        <v/>
      </c>
    </row>
    <row r="9819" spans="1:10" x14ac:dyDescent="0.25">
      <c r="A9819" t="s">
        <v>111</v>
      </c>
      <c r="B9819" t="str">
        <f>ADDRESS(ROW(Parcels!B246),COLUMN(Parcels!B1088),4)</f>
        <v>B246</v>
      </c>
      <c r="C9819" t="str">
        <f>ADDRESS(ROW(Parcels!D246),COLUMN(Parcels!D246),4)</f>
        <v>D246</v>
      </c>
      <c r="D9819" s="46" t="b">
        <f>IF(AND(Parcels!B246="Current",'Six-Yr Rule'!B247&lt;=Year_DestinationYearID),IF((SUMIFS('Bond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819" t="s">
        <v>1641</v>
      </c>
      <c r="F9819" t="str">
        <f>INDEX(Lists!I:I,MATCH(Validation!E9819,Lists!G:G,0))</f>
        <v>Alert</v>
      </c>
      <c r="G9819" t="str">
        <f>INDEX(Lists!H:H,MATCH(Validation!E9819,Lists!G:G,0))</f>
        <v>This parcel does not appear to be pledged to an outstanding in-district obligation.</v>
      </c>
      <c r="H9819" s="25" t="str">
        <f t="shared" ca="1" si="1104"/>
        <v/>
      </c>
      <c r="I9819" s="25" t="str">
        <f t="shared" ca="1" si="1105"/>
        <v/>
      </c>
      <c r="J9819" s="26" t="str">
        <f t="shared" si="1106"/>
        <v/>
      </c>
    </row>
    <row r="9820" spans="1:10" x14ac:dyDescent="0.25">
      <c r="A9820" t="s">
        <v>111</v>
      </c>
      <c r="B9820" t="str">
        <f>ADDRESS(ROW(Parcels!B247),COLUMN(Parcels!B1089),4)</f>
        <v>B247</v>
      </c>
      <c r="C9820" t="str">
        <f>ADDRESS(ROW(Parcels!D247),COLUMN(Parcels!D247),4)</f>
        <v>D247</v>
      </c>
      <c r="D9820" s="46" t="b">
        <f>IF(AND(Parcels!B247="Current",'Six-Yr Rule'!B248&lt;=Year_DestinationYearID),IF((SUMIFS('Bond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820" t="s">
        <v>1641</v>
      </c>
      <c r="F9820" t="str">
        <f>INDEX(Lists!I:I,MATCH(Validation!E9820,Lists!G:G,0))</f>
        <v>Alert</v>
      </c>
      <c r="G9820" t="str">
        <f>INDEX(Lists!H:H,MATCH(Validation!E9820,Lists!G:G,0))</f>
        <v>This parcel does not appear to be pledged to an outstanding in-district obligation.</v>
      </c>
      <c r="H9820" s="25" t="str">
        <f t="shared" ca="1" si="1104"/>
        <v/>
      </c>
      <c r="I9820" s="25" t="str">
        <f t="shared" ca="1" si="1105"/>
        <v/>
      </c>
      <c r="J9820" s="26" t="str">
        <f t="shared" si="1106"/>
        <v/>
      </c>
    </row>
    <row r="9821" spans="1:10" x14ac:dyDescent="0.25">
      <c r="A9821" t="s">
        <v>111</v>
      </c>
      <c r="B9821" t="str">
        <f>ADDRESS(ROW(Parcels!B248),COLUMN(Parcels!B1090),4)</f>
        <v>B248</v>
      </c>
      <c r="C9821" t="str">
        <f>ADDRESS(ROW(Parcels!D248),COLUMN(Parcels!D248),4)</f>
        <v>D248</v>
      </c>
      <c r="D9821" s="46" t="b">
        <f>IF(AND(Parcels!B248="Current",'Six-Yr Rule'!B249&lt;=Year_DestinationYearID),IF((SUMIFS('Bond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821" t="s">
        <v>1641</v>
      </c>
      <c r="F9821" t="str">
        <f>INDEX(Lists!I:I,MATCH(Validation!E9821,Lists!G:G,0))</f>
        <v>Alert</v>
      </c>
      <c r="G9821" t="str">
        <f>INDEX(Lists!H:H,MATCH(Validation!E9821,Lists!G:G,0))</f>
        <v>This parcel does not appear to be pledged to an outstanding in-district obligation.</v>
      </c>
      <c r="H9821" s="25" t="str">
        <f t="shared" ca="1" si="1104"/>
        <v/>
      </c>
      <c r="I9821" s="25" t="str">
        <f t="shared" ca="1" si="1105"/>
        <v/>
      </c>
      <c r="J9821" s="26" t="str">
        <f t="shared" si="1106"/>
        <v/>
      </c>
    </row>
    <row r="9822" spans="1:10" x14ac:dyDescent="0.25">
      <c r="A9822" t="s">
        <v>111</v>
      </c>
      <c r="B9822" t="str">
        <f>ADDRESS(ROW(Parcels!B249),COLUMN(Parcels!B1091),4)</f>
        <v>B249</v>
      </c>
      <c r="C9822" t="str">
        <f>ADDRESS(ROW(Parcels!D249),COLUMN(Parcels!D249),4)</f>
        <v>D249</v>
      </c>
      <c r="D9822" s="46" t="b">
        <f>IF(AND(Parcels!B249="Current",'Six-Yr Rule'!B250&lt;=Year_DestinationYearID),IF((SUMIFS('Bond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822" t="s">
        <v>1641</v>
      </c>
      <c r="F9822" t="str">
        <f>INDEX(Lists!I:I,MATCH(Validation!E9822,Lists!G:G,0))</f>
        <v>Alert</v>
      </c>
      <c r="G9822" t="str">
        <f>INDEX(Lists!H:H,MATCH(Validation!E9822,Lists!G:G,0))</f>
        <v>This parcel does not appear to be pledged to an outstanding in-district obligation.</v>
      </c>
      <c r="H9822" s="25" t="str">
        <f t="shared" ca="1" si="1104"/>
        <v/>
      </c>
      <c r="I9822" s="25" t="str">
        <f t="shared" ca="1" si="1105"/>
        <v/>
      </c>
      <c r="J9822" s="26" t="str">
        <f t="shared" si="1106"/>
        <v/>
      </c>
    </row>
    <row r="9823" spans="1:10" x14ac:dyDescent="0.25">
      <c r="A9823" t="s">
        <v>111</v>
      </c>
      <c r="B9823" t="str">
        <f>ADDRESS(ROW(Parcels!B250),COLUMN(Parcels!B1092),4)</f>
        <v>B250</v>
      </c>
      <c r="C9823" t="str">
        <f>ADDRESS(ROW(Parcels!D250),COLUMN(Parcels!D250),4)</f>
        <v>D250</v>
      </c>
      <c r="D9823" s="46" t="b">
        <f>IF(AND(Parcels!B250="Current",'Six-Yr Rule'!B251&lt;=Year_DestinationYearID),IF((SUMIFS('Bond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823" t="s">
        <v>1641</v>
      </c>
      <c r="F9823" t="str">
        <f>INDEX(Lists!I:I,MATCH(Validation!E9823,Lists!G:G,0))</f>
        <v>Alert</v>
      </c>
      <c r="G9823" t="str">
        <f>INDEX(Lists!H:H,MATCH(Validation!E9823,Lists!G:G,0))</f>
        <v>This parcel does not appear to be pledged to an outstanding in-district obligation.</v>
      </c>
      <c r="H9823" s="25" t="str">
        <f t="shared" ca="1" si="1104"/>
        <v/>
      </c>
      <c r="I9823" s="25" t="str">
        <f t="shared" ca="1" si="1105"/>
        <v/>
      </c>
      <c r="J9823" s="26" t="str">
        <f t="shared" si="1106"/>
        <v/>
      </c>
    </row>
    <row r="9824" spans="1:10" x14ac:dyDescent="0.25">
      <c r="A9824" t="s">
        <v>111</v>
      </c>
      <c r="B9824" t="str">
        <f>ADDRESS(ROW(Parcels!B251),COLUMN(Parcels!B1093),4)</f>
        <v>B251</v>
      </c>
      <c r="C9824" t="str">
        <f>ADDRESS(ROW(Parcels!D251),COLUMN(Parcels!D251),4)</f>
        <v>D251</v>
      </c>
      <c r="D9824" s="46" t="b">
        <f>IF(AND(Parcels!B251="Current",'Six-Yr Rule'!B252&lt;=Year_DestinationYearID),IF((SUMIFS('Bond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824" t="s">
        <v>1641</v>
      </c>
      <c r="F9824" t="str">
        <f>INDEX(Lists!I:I,MATCH(Validation!E9824,Lists!G:G,0))</f>
        <v>Alert</v>
      </c>
      <c r="G9824" t="str">
        <f>INDEX(Lists!H:H,MATCH(Validation!E9824,Lists!G:G,0))</f>
        <v>This parcel does not appear to be pledged to an outstanding in-district obligation.</v>
      </c>
      <c r="H9824" s="25" t="str">
        <f t="shared" ca="1" si="1104"/>
        <v/>
      </c>
      <c r="I9824" s="25" t="str">
        <f t="shared" ca="1" si="1105"/>
        <v/>
      </c>
      <c r="J9824" s="26" t="str">
        <f t="shared" si="1106"/>
        <v/>
      </c>
    </row>
    <row r="9825" spans="1:10" x14ac:dyDescent="0.25">
      <c r="A9825" t="s">
        <v>111</v>
      </c>
      <c r="B9825" t="str">
        <f>ADDRESS(ROW(Parcels!B252),COLUMN(Parcels!B1094),4)</f>
        <v>B252</v>
      </c>
      <c r="C9825" t="str">
        <f>ADDRESS(ROW(Parcels!D252),COLUMN(Parcels!D252),4)</f>
        <v>D252</v>
      </c>
      <c r="D9825" s="46" t="b">
        <f>IF(AND(Parcels!B252="Current",'Six-Yr Rule'!B253&lt;=Year_DestinationYearID),IF((SUMIFS('Bond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825" t="s">
        <v>1641</v>
      </c>
      <c r="F9825" t="str">
        <f>INDEX(Lists!I:I,MATCH(Validation!E9825,Lists!G:G,0))</f>
        <v>Alert</v>
      </c>
      <c r="G9825" t="str">
        <f>INDEX(Lists!H:H,MATCH(Validation!E9825,Lists!G:G,0))</f>
        <v>This parcel does not appear to be pledged to an outstanding in-district obligation.</v>
      </c>
      <c r="H9825" s="25" t="str">
        <f t="shared" ca="1" si="1104"/>
        <v/>
      </c>
      <c r="I9825" s="25" t="str">
        <f t="shared" ca="1" si="1105"/>
        <v/>
      </c>
      <c r="J9825" s="26" t="str">
        <f t="shared" si="1106"/>
        <v/>
      </c>
    </row>
    <row r="9826" spans="1:10" x14ac:dyDescent="0.25">
      <c r="A9826" t="s">
        <v>111</v>
      </c>
      <c r="B9826" t="str">
        <f>ADDRESS(ROW(Parcels!B253),COLUMN(Parcels!B1095),4)</f>
        <v>B253</v>
      </c>
      <c r="C9826" t="str">
        <f>ADDRESS(ROW(Parcels!D253),COLUMN(Parcels!D253),4)</f>
        <v>D253</v>
      </c>
      <c r="D9826" s="46" t="b">
        <f>IF(AND(Parcels!B253="Current",'Six-Yr Rule'!B254&lt;=Year_DestinationYearID),IF((SUMIFS('Bond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826" t="s">
        <v>1641</v>
      </c>
      <c r="F9826" t="str">
        <f>INDEX(Lists!I:I,MATCH(Validation!E9826,Lists!G:G,0))</f>
        <v>Alert</v>
      </c>
      <c r="G9826" t="str">
        <f>INDEX(Lists!H:H,MATCH(Validation!E9826,Lists!G:G,0))</f>
        <v>This parcel does not appear to be pledged to an outstanding in-district obligation.</v>
      </c>
      <c r="H9826" s="25" t="str">
        <f t="shared" ca="1" si="1104"/>
        <v/>
      </c>
      <c r="I9826" s="25" t="str">
        <f t="shared" ca="1" si="1105"/>
        <v/>
      </c>
      <c r="J9826" s="26" t="str">
        <f t="shared" si="1106"/>
        <v/>
      </c>
    </row>
    <row r="9827" spans="1:10" x14ac:dyDescent="0.25">
      <c r="A9827" t="s">
        <v>111</v>
      </c>
      <c r="B9827" t="str">
        <f>ADDRESS(ROW(Parcels!B254),COLUMN(Parcels!B1096),4)</f>
        <v>B254</v>
      </c>
      <c r="C9827" t="str">
        <f>ADDRESS(ROW(Parcels!D254),COLUMN(Parcels!D254),4)</f>
        <v>D254</v>
      </c>
      <c r="D9827" s="46" t="b">
        <f>IF(AND(Parcels!B254="Current",'Six-Yr Rule'!B255&lt;=Year_DestinationYearID),IF((SUMIFS('Bond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827" t="s">
        <v>1641</v>
      </c>
      <c r="F9827" t="str">
        <f>INDEX(Lists!I:I,MATCH(Validation!E9827,Lists!G:G,0))</f>
        <v>Alert</v>
      </c>
      <c r="G9827" t="str">
        <f>INDEX(Lists!H:H,MATCH(Validation!E9827,Lists!G:G,0))</f>
        <v>This parcel does not appear to be pledged to an outstanding in-district obligation.</v>
      </c>
      <c r="H9827" s="25" t="str">
        <f t="shared" ca="1" si="1104"/>
        <v/>
      </c>
      <c r="I9827" s="25" t="str">
        <f t="shared" ca="1" si="1105"/>
        <v/>
      </c>
      <c r="J9827" s="26" t="str">
        <f t="shared" si="1106"/>
        <v/>
      </c>
    </row>
    <row r="9828" spans="1:10" x14ac:dyDescent="0.25">
      <c r="A9828" t="s">
        <v>111</v>
      </c>
      <c r="B9828" t="str">
        <f>ADDRESS(ROW(Parcels!B255),COLUMN(Parcels!B1097),4)</f>
        <v>B255</v>
      </c>
      <c r="C9828" t="str">
        <f>ADDRESS(ROW(Parcels!D255),COLUMN(Parcels!D255),4)</f>
        <v>D255</v>
      </c>
      <c r="D9828" s="46" t="b">
        <f>IF(AND(Parcels!B255="Current",'Six-Yr Rule'!B256&lt;=Year_DestinationYearID),IF((SUMIFS('Bond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828" t="s">
        <v>1641</v>
      </c>
      <c r="F9828" t="str">
        <f>INDEX(Lists!I:I,MATCH(Validation!E9828,Lists!G:G,0))</f>
        <v>Alert</v>
      </c>
      <c r="G9828" t="str">
        <f>INDEX(Lists!H:H,MATCH(Validation!E9828,Lists!G:G,0))</f>
        <v>This parcel does not appear to be pledged to an outstanding in-district obligation.</v>
      </c>
      <c r="H9828" s="25" t="str">
        <f t="shared" ca="1" si="1104"/>
        <v/>
      </c>
      <c r="I9828" s="25" t="str">
        <f t="shared" ca="1" si="1105"/>
        <v/>
      </c>
      <c r="J9828" s="26" t="str">
        <f t="shared" si="1106"/>
        <v/>
      </c>
    </row>
    <row r="9829" spans="1:10" x14ac:dyDescent="0.25">
      <c r="A9829" t="s">
        <v>111</v>
      </c>
      <c r="B9829" t="str">
        <f>ADDRESS(ROW(Parcels!B256),COLUMN(Parcels!B1098),4)</f>
        <v>B256</v>
      </c>
      <c r="C9829" t="str">
        <f>ADDRESS(ROW(Parcels!D256),COLUMN(Parcels!D256),4)</f>
        <v>D256</v>
      </c>
      <c r="D9829" s="46" t="b">
        <f>IF(AND(Parcels!B256="Current",'Six-Yr Rule'!B257&lt;=Year_DestinationYearID),IF((SUMIFS('Bond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829" t="s">
        <v>1641</v>
      </c>
      <c r="F9829" t="str">
        <f>INDEX(Lists!I:I,MATCH(Validation!E9829,Lists!G:G,0))</f>
        <v>Alert</v>
      </c>
      <c r="G9829" t="str">
        <f>INDEX(Lists!H:H,MATCH(Validation!E9829,Lists!G:G,0))</f>
        <v>This parcel does not appear to be pledged to an outstanding in-district obligation.</v>
      </c>
      <c r="H9829" s="25" t="str">
        <f t="shared" ca="1" si="1104"/>
        <v/>
      </c>
      <c r="I9829" s="25" t="str">
        <f t="shared" ca="1" si="1105"/>
        <v/>
      </c>
      <c r="J9829" s="26" t="str">
        <f t="shared" si="1106"/>
        <v/>
      </c>
    </row>
    <row r="9830" spans="1:10" x14ac:dyDescent="0.25">
      <c r="A9830" t="s">
        <v>111</v>
      </c>
      <c r="B9830" t="str">
        <f>ADDRESS(ROW(Parcels!B257),COLUMN(Parcels!B1099),4)</f>
        <v>B257</v>
      </c>
      <c r="C9830" t="str">
        <f>ADDRESS(ROW(Parcels!D257),COLUMN(Parcels!D257),4)</f>
        <v>D257</v>
      </c>
      <c r="D9830" s="46" t="b">
        <f>IF(AND(Parcels!B257="Current",'Six-Yr Rule'!B258&lt;=Year_DestinationYearID),IF((SUMIFS('Bond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830" t="s">
        <v>1641</v>
      </c>
      <c r="F9830" t="str">
        <f>INDEX(Lists!I:I,MATCH(Validation!E9830,Lists!G:G,0))</f>
        <v>Alert</v>
      </c>
      <c r="G9830" t="str">
        <f>INDEX(Lists!H:H,MATCH(Validation!E9830,Lists!G:G,0))</f>
        <v>This parcel does not appear to be pledged to an outstanding in-district obligation.</v>
      </c>
      <c r="H9830" s="25" t="str">
        <f t="shared" ca="1" si="1104"/>
        <v/>
      </c>
      <c r="I9830" s="25" t="str">
        <f t="shared" ca="1" si="1105"/>
        <v/>
      </c>
      <c r="J9830" s="26" t="str">
        <f t="shared" si="1106"/>
        <v/>
      </c>
    </row>
    <row r="9831" spans="1:10" x14ac:dyDescent="0.25">
      <c r="A9831" t="s">
        <v>111</v>
      </c>
      <c r="B9831" t="str">
        <f>ADDRESS(ROW(Parcels!B258),COLUMN(Parcels!B1100),4)</f>
        <v>B258</v>
      </c>
      <c r="C9831" t="str">
        <f>ADDRESS(ROW(Parcels!D258),COLUMN(Parcels!D258),4)</f>
        <v>D258</v>
      </c>
      <c r="D9831" s="46" t="b">
        <f>IF(AND(Parcels!B258="Current",'Six-Yr Rule'!B259&lt;=Year_DestinationYearID),IF((SUMIFS('Bond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831" t="s">
        <v>1641</v>
      </c>
      <c r="F9831" t="str">
        <f>INDEX(Lists!I:I,MATCH(Validation!E9831,Lists!G:G,0))</f>
        <v>Alert</v>
      </c>
      <c r="G9831" t="str">
        <f>INDEX(Lists!H:H,MATCH(Validation!E9831,Lists!G:G,0))</f>
        <v>This parcel does not appear to be pledged to an outstanding in-district obligation.</v>
      </c>
      <c r="H9831" s="25" t="str">
        <f t="shared" ca="1" si="1104"/>
        <v/>
      </c>
      <c r="I9831" s="25" t="str">
        <f t="shared" ca="1" si="1105"/>
        <v/>
      </c>
      <c r="J9831" s="26" t="str">
        <f t="shared" si="1106"/>
        <v/>
      </c>
    </row>
    <row r="9832" spans="1:10" x14ac:dyDescent="0.25">
      <c r="A9832" t="s">
        <v>111</v>
      </c>
      <c r="B9832" t="str">
        <f>ADDRESS(ROW(Parcels!B259),COLUMN(Parcels!B1101),4)</f>
        <v>B259</v>
      </c>
      <c r="C9832" t="str">
        <f>ADDRESS(ROW(Parcels!D259),COLUMN(Parcels!D259),4)</f>
        <v>D259</v>
      </c>
      <c r="D9832" s="46" t="b">
        <f>IF(AND(Parcels!B259="Current",'Six-Yr Rule'!B260&lt;=Year_DestinationYearID),IF((SUMIFS('Bond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832" t="s">
        <v>1641</v>
      </c>
      <c r="F9832" t="str">
        <f>INDEX(Lists!I:I,MATCH(Validation!E9832,Lists!G:G,0))</f>
        <v>Alert</v>
      </c>
      <c r="G9832" t="str">
        <f>INDEX(Lists!H:H,MATCH(Validation!E9832,Lists!G:G,0))</f>
        <v>This parcel does not appear to be pledged to an outstanding in-district obligation.</v>
      </c>
      <c r="H9832" s="25" t="str">
        <f t="shared" ca="1" si="1104"/>
        <v/>
      </c>
      <c r="I9832" s="25" t="str">
        <f t="shared" ca="1" si="1105"/>
        <v/>
      </c>
      <c r="J9832" s="26" t="str">
        <f t="shared" si="1106"/>
        <v/>
      </c>
    </row>
    <row r="9833" spans="1:10" x14ac:dyDescent="0.25">
      <c r="A9833" t="s">
        <v>111</v>
      </c>
      <c r="B9833" t="str">
        <f>ADDRESS(ROW(Parcels!B260),COLUMN(Parcels!B1102),4)</f>
        <v>B260</v>
      </c>
      <c r="C9833" t="str">
        <f>ADDRESS(ROW(Parcels!D260),COLUMN(Parcels!D260),4)</f>
        <v>D260</v>
      </c>
      <c r="D9833" s="46" t="b">
        <f>IF(AND(Parcels!B260="Current",'Six-Yr Rule'!B261&lt;=Year_DestinationYearID),IF((SUMIFS('Bond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833" t="s">
        <v>1641</v>
      </c>
      <c r="F9833" t="str">
        <f>INDEX(Lists!I:I,MATCH(Validation!E9833,Lists!G:G,0))</f>
        <v>Alert</v>
      </c>
      <c r="G9833" t="str">
        <f>INDEX(Lists!H:H,MATCH(Validation!E9833,Lists!G:G,0))</f>
        <v>This parcel does not appear to be pledged to an outstanding in-district obligation.</v>
      </c>
      <c r="H9833" s="25" t="str">
        <f t="shared" ca="1" si="1104"/>
        <v/>
      </c>
      <c r="I9833" s="25" t="str">
        <f t="shared" ca="1" si="1105"/>
        <v/>
      </c>
      <c r="J9833" s="26" t="str">
        <f t="shared" si="1106"/>
        <v/>
      </c>
    </row>
    <row r="9834" spans="1:10" x14ac:dyDescent="0.25">
      <c r="A9834" t="s">
        <v>111</v>
      </c>
      <c r="B9834" t="str">
        <f>ADDRESS(ROW(Parcels!B261),COLUMN(Parcels!B1103),4)</f>
        <v>B261</v>
      </c>
      <c r="C9834" t="str">
        <f>ADDRESS(ROW(Parcels!D261),COLUMN(Parcels!D261),4)</f>
        <v>D261</v>
      </c>
      <c r="D9834" s="46" t="b">
        <f>IF(AND(Parcels!B261="Current",'Six-Yr Rule'!B262&lt;=Year_DestinationYearID),IF((SUMIFS('Bond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834" t="s">
        <v>1641</v>
      </c>
      <c r="F9834" t="str">
        <f>INDEX(Lists!I:I,MATCH(Validation!E9834,Lists!G:G,0))</f>
        <v>Alert</v>
      </c>
      <c r="G9834" t="str">
        <f>INDEX(Lists!H:H,MATCH(Validation!E9834,Lists!G:G,0))</f>
        <v>This parcel does not appear to be pledged to an outstanding in-district obligation.</v>
      </c>
      <c r="H9834" s="25" t="str">
        <f t="shared" ca="1" si="1104"/>
        <v/>
      </c>
      <c r="I9834" s="25" t="str">
        <f t="shared" ca="1" si="1105"/>
        <v/>
      </c>
      <c r="J9834" s="26" t="str">
        <f t="shared" si="1106"/>
        <v/>
      </c>
    </row>
    <row r="9835" spans="1:10" x14ac:dyDescent="0.25">
      <c r="A9835" t="s">
        <v>111</v>
      </c>
      <c r="B9835" t="str">
        <f>ADDRESS(ROW(Parcels!B262),COLUMN(Parcels!B1104),4)</f>
        <v>B262</v>
      </c>
      <c r="C9835" t="str">
        <f>ADDRESS(ROW(Parcels!D262),COLUMN(Parcels!D262),4)</f>
        <v>D262</v>
      </c>
      <c r="D9835" s="46" t="b">
        <f>IF(AND(Parcels!B262="Current",'Six-Yr Rule'!B263&lt;=Year_DestinationYearID),IF((SUMIFS('Bond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835" t="s">
        <v>1641</v>
      </c>
      <c r="F9835" t="str">
        <f>INDEX(Lists!I:I,MATCH(Validation!E9835,Lists!G:G,0))</f>
        <v>Alert</v>
      </c>
      <c r="G9835" t="str">
        <f>INDEX(Lists!H:H,MATCH(Validation!E9835,Lists!G:G,0))</f>
        <v>This parcel does not appear to be pledged to an outstanding in-district obligation.</v>
      </c>
      <c r="H9835" s="25" t="str">
        <f t="shared" ca="1" si="1104"/>
        <v/>
      </c>
      <c r="I9835" s="25" t="str">
        <f t="shared" ca="1" si="1105"/>
        <v/>
      </c>
      <c r="J9835" s="26" t="str">
        <f t="shared" si="1106"/>
        <v/>
      </c>
    </row>
    <row r="9836" spans="1:10" x14ac:dyDescent="0.25">
      <c r="A9836" t="s">
        <v>111</v>
      </c>
      <c r="B9836" t="str">
        <f>ADDRESS(ROW(Parcels!B263),COLUMN(Parcels!B1105),4)</f>
        <v>B263</v>
      </c>
      <c r="C9836" t="str">
        <f>ADDRESS(ROW(Parcels!D263),COLUMN(Parcels!D263),4)</f>
        <v>D263</v>
      </c>
      <c r="D9836" s="46" t="b">
        <f>IF(AND(Parcels!B263="Current",'Six-Yr Rule'!B264&lt;=Year_DestinationYearID),IF((SUMIFS('Bond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836" t="s">
        <v>1641</v>
      </c>
      <c r="F9836" t="str">
        <f>INDEX(Lists!I:I,MATCH(Validation!E9836,Lists!G:G,0))</f>
        <v>Alert</v>
      </c>
      <c r="G9836" t="str">
        <f>INDEX(Lists!H:H,MATCH(Validation!E9836,Lists!G:G,0))</f>
        <v>This parcel does not appear to be pledged to an outstanding in-district obligation.</v>
      </c>
      <c r="H9836" s="25" t="str">
        <f t="shared" ca="1" si="1104"/>
        <v/>
      </c>
      <c r="I9836" s="25" t="str">
        <f t="shared" ca="1" si="1105"/>
        <v/>
      </c>
      <c r="J9836" s="26" t="str">
        <f t="shared" si="1106"/>
        <v/>
      </c>
    </row>
    <row r="9837" spans="1:10" x14ac:dyDescent="0.25">
      <c r="A9837" t="s">
        <v>111</v>
      </c>
      <c r="B9837" t="str">
        <f>ADDRESS(ROW(Parcels!B264),COLUMN(Parcels!B1106),4)</f>
        <v>B264</v>
      </c>
      <c r="C9837" t="str">
        <f>ADDRESS(ROW(Parcels!D264),COLUMN(Parcels!D264),4)</f>
        <v>D264</v>
      </c>
      <c r="D9837" s="46" t="b">
        <f>IF(AND(Parcels!B264="Current",'Six-Yr Rule'!B265&lt;=Year_DestinationYearID),IF((SUMIFS('Bond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837" t="s">
        <v>1641</v>
      </c>
      <c r="F9837" t="str">
        <f>INDEX(Lists!I:I,MATCH(Validation!E9837,Lists!G:G,0))</f>
        <v>Alert</v>
      </c>
      <c r="G9837" t="str">
        <f>INDEX(Lists!H:H,MATCH(Validation!E9837,Lists!G:G,0))</f>
        <v>This parcel does not appear to be pledged to an outstanding in-district obligation.</v>
      </c>
      <c r="H9837" s="25" t="str">
        <f t="shared" ca="1" si="1104"/>
        <v/>
      </c>
      <c r="I9837" s="25" t="str">
        <f t="shared" ca="1" si="1105"/>
        <v/>
      </c>
      <c r="J9837" s="26" t="str">
        <f t="shared" si="1106"/>
        <v/>
      </c>
    </row>
    <row r="9838" spans="1:10" x14ac:dyDescent="0.25">
      <c r="A9838" t="s">
        <v>111</v>
      </c>
      <c r="B9838" t="str">
        <f>ADDRESS(ROW(Parcels!B265),COLUMN(Parcels!B1107),4)</f>
        <v>B265</v>
      </c>
      <c r="C9838" t="str">
        <f>ADDRESS(ROW(Parcels!D265),COLUMN(Parcels!D265),4)</f>
        <v>D265</v>
      </c>
      <c r="D9838" s="46" t="b">
        <f>IF(AND(Parcels!B265="Current",'Six-Yr Rule'!B266&lt;=Year_DestinationYearID),IF((SUMIFS('Bond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838" t="s">
        <v>1641</v>
      </c>
      <c r="F9838" t="str">
        <f>INDEX(Lists!I:I,MATCH(Validation!E9838,Lists!G:G,0))</f>
        <v>Alert</v>
      </c>
      <c r="G9838" t="str">
        <f>INDEX(Lists!H:H,MATCH(Validation!E9838,Lists!G:G,0))</f>
        <v>This parcel does not appear to be pledged to an outstanding in-district obligation.</v>
      </c>
      <c r="H9838" s="25" t="str">
        <f t="shared" ca="1" si="1104"/>
        <v/>
      </c>
      <c r="I9838" s="25" t="str">
        <f t="shared" ca="1" si="1105"/>
        <v/>
      </c>
      <c r="J9838" s="26" t="str">
        <f t="shared" si="1106"/>
        <v/>
      </c>
    </row>
    <row r="9839" spans="1:10" x14ac:dyDescent="0.25">
      <c r="A9839" t="s">
        <v>111</v>
      </c>
      <c r="B9839" t="str">
        <f>ADDRESS(ROW(Parcels!B266),COLUMN(Parcels!B1108),4)</f>
        <v>B266</v>
      </c>
      <c r="C9839" t="str">
        <f>ADDRESS(ROW(Parcels!D266),COLUMN(Parcels!D266),4)</f>
        <v>D266</v>
      </c>
      <c r="D9839" s="46" t="b">
        <f>IF(AND(Parcels!B266="Current",'Six-Yr Rule'!B267&lt;=Year_DestinationYearID),IF((SUMIFS('Bond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839" t="s">
        <v>1641</v>
      </c>
      <c r="F9839" t="str">
        <f>INDEX(Lists!I:I,MATCH(Validation!E9839,Lists!G:G,0))</f>
        <v>Alert</v>
      </c>
      <c r="G9839" t="str">
        <f>INDEX(Lists!H:H,MATCH(Validation!E9839,Lists!G:G,0))</f>
        <v>This parcel does not appear to be pledged to an outstanding in-district obligation.</v>
      </c>
      <c r="H9839" s="25" t="str">
        <f t="shared" ca="1" si="1104"/>
        <v/>
      </c>
      <c r="I9839" s="25" t="str">
        <f t="shared" ca="1" si="1105"/>
        <v/>
      </c>
      <c r="J9839" s="26" t="str">
        <f t="shared" si="1106"/>
        <v/>
      </c>
    </row>
    <row r="9840" spans="1:10" x14ac:dyDescent="0.25">
      <c r="A9840" t="s">
        <v>111</v>
      </c>
      <c r="B9840" t="str">
        <f>ADDRESS(ROW(Parcels!B267),COLUMN(Parcels!B1109),4)</f>
        <v>B267</v>
      </c>
      <c r="C9840" t="str">
        <f>ADDRESS(ROW(Parcels!D267),COLUMN(Parcels!D267),4)</f>
        <v>D267</v>
      </c>
      <c r="D9840" s="46" t="b">
        <f>IF(AND(Parcels!B267="Current",'Six-Yr Rule'!B268&lt;=Year_DestinationYearID),IF((SUMIFS('Bond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840" t="s">
        <v>1641</v>
      </c>
      <c r="F9840" t="str">
        <f>INDEX(Lists!I:I,MATCH(Validation!E9840,Lists!G:G,0))</f>
        <v>Alert</v>
      </c>
      <c r="G9840" t="str">
        <f>INDEX(Lists!H:H,MATCH(Validation!E9840,Lists!G:G,0))</f>
        <v>This parcel does not appear to be pledged to an outstanding in-district obligation.</v>
      </c>
      <c r="H9840" s="25" t="str">
        <f t="shared" ca="1" si="1104"/>
        <v/>
      </c>
      <c r="I9840" s="25" t="str">
        <f t="shared" ca="1" si="1105"/>
        <v/>
      </c>
      <c r="J9840" s="26" t="str">
        <f t="shared" si="1106"/>
        <v/>
      </c>
    </row>
    <row r="9841" spans="1:10" x14ac:dyDescent="0.25">
      <c r="A9841" t="s">
        <v>111</v>
      </c>
      <c r="B9841" t="str">
        <f>ADDRESS(ROW(Parcels!B268),COLUMN(Parcels!B1110),4)</f>
        <v>B268</v>
      </c>
      <c r="C9841" t="str">
        <f>ADDRESS(ROW(Parcels!D268),COLUMN(Parcels!D268),4)</f>
        <v>D268</v>
      </c>
      <c r="D9841" s="46" t="b">
        <f>IF(AND(Parcels!B268="Current",'Six-Yr Rule'!B269&lt;=Year_DestinationYearID),IF((SUMIFS('Bond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841" t="s">
        <v>1641</v>
      </c>
      <c r="F9841" t="str">
        <f>INDEX(Lists!I:I,MATCH(Validation!E9841,Lists!G:G,0))</f>
        <v>Alert</v>
      </c>
      <c r="G9841" t="str">
        <f>INDEX(Lists!H:H,MATCH(Validation!E9841,Lists!G:G,0))</f>
        <v>This parcel does not appear to be pledged to an outstanding in-district obligation.</v>
      </c>
      <c r="H9841" s="25" t="str">
        <f t="shared" ca="1" si="1104"/>
        <v/>
      </c>
      <c r="I9841" s="25" t="str">
        <f t="shared" ca="1" si="1105"/>
        <v/>
      </c>
      <c r="J9841" s="26" t="str">
        <f t="shared" si="1106"/>
        <v/>
      </c>
    </row>
    <row r="9842" spans="1:10" x14ac:dyDescent="0.25">
      <c r="A9842" t="s">
        <v>111</v>
      </c>
      <c r="B9842" t="str">
        <f>ADDRESS(ROW(Parcels!B269),COLUMN(Parcels!B1111),4)</f>
        <v>B269</v>
      </c>
      <c r="C9842" t="str">
        <f>ADDRESS(ROW(Parcels!D269),COLUMN(Parcels!D269),4)</f>
        <v>D269</v>
      </c>
      <c r="D9842" s="46" t="b">
        <f>IF(AND(Parcels!B269="Current",'Six-Yr Rule'!B270&lt;=Year_DestinationYearID),IF((SUMIFS('Bond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842" t="s">
        <v>1641</v>
      </c>
      <c r="F9842" t="str">
        <f>INDEX(Lists!I:I,MATCH(Validation!E9842,Lists!G:G,0))</f>
        <v>Alert</v>
      </c>
      <c r="G9842" t="str">
        <f>INDEX(Lists!H:H,MATCH(Validation!E9842,Lists!G:G,0))</f>
        <v>This parcel does not appear to be pledged to an outstanding in-district obligation.</v>
      </c>
      <c r="H9842" s="25" t="str">
        <f t="shared" ca="1" si="1104"/>
        <v/>
      </c>
      <c r="I9842" s="25" t="str">
        <f t="shared" ca="1" si="1105"/>
        <v/>
      </c>
      <c r="J9842" s="26" t="str">
        <f t="shared" si="1106"/>
        <v/>
      </c>
    </row>
    <row r="9843" spans="1:10" x14ac:dyDescent="0.25">
      <c r="A9843" t="s">
        <v>111</v>
      </c>
      <c r="B9843" t="str">
        <f>ADDRESS(ROW(Parcels!B270),COLUMN(Parcels!B1112),4)</f>
        <v>B270</v>
      </c>
      <c r="C9843" t="str">
        <f>ADDRESS(ROW(Parcels!D270),COLUMN(Parcels!D270),4)</f>
        <v>D270</v>
      </c>
      <c r="D9843" s="46" t="b">
        <f>IF(AND(Parcels!B270="Current",'Six-Yr Rule'!B271&lt;=Year_DestinationYearID),IF((SUMIFS('Bond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843" t="s">
        <v>1641</v>
      </c>
      <c r="F9843" t="str">
        <f>INDEX(Lists!I:I,MATCH(Validation!E9843,Lists!G:G,0))</f>
        <v>Alert</v>
      </c>
      <c r="G9843" t="str">
        <f>INDEX(Lists!H:H,MATCH(Validation!E9843,Lists!G:G,0))</f>
        <v>This parcel does not appear to be pledged to an outstanding in-district obligation.</v>
      </c>
      <c r="H9843" s="25" t="str">
        <f t="shared" ref="H9843:H9906" ca="1" si="1107">IFERROR(IF(OR(NOT(D9843),F9843&lt;&gt;"Error"),"",A9843&amp;CELL("address",INDIRECT(B9843))),"")</f>
        <v/>
      </c>
      <c r="I9843" s="25" t="str">
        <f t="shared" ref="I9843:I9906" ca="1" si="1108">IFERROR(IF(NOT(D9843),"",A9843&amp;CELL("address",INDIRECT(C9843))),"")</f>
        <v/>
      </c>
      <c r="J9843" s="26" t="str">
        <f t="shared" ref="J9843:J9906" si="1109">IFERROR(IF(NOT(D9843),"",A9843),"")</f>
        <v/>
      </c>
    </row>
    <row r="9844" spans="1:10" x14ac:dyDescent="0.25">
      <c r="A9844" t="s">
        <v>111</v>
      </c>
      <c r="B9844" t="str">
        <f>ADDRESS(ROW(Parcels!B271),COLUMN(Parcels!B1113),4)</f>
        <v>B271</v>
      </c>
      <c r="C9844" t="str">
        <f>ADDRESS(ROW(Parcels!D271),COLUMN(Parcels!D271),4)</f>
        <v>D271</v>
      </c>
      <c r="D9844" s="46" t="b">
        <f>IF(AND(Parcels!B271="Current",'Six-Yr Rule'!B272&lt;=Year_DestinationYearID),IF((SUMIFS('Bond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844" t="s">
        <v>1641</v>
      </c>
      <c r="F9844" t="str">
        <f>INDEX(Lists!I:I,MATCH(Validation!E9844,Lists!G:G,0))</f>
        <v>Alert</v>
      </c>
      <c r="G9844" t="str">
        <f>INDEX(Lists!H:H,MATCH(Validation!E9844,Lists!G:G,0))</f>
        <v>This parcel does not appear to be pledged to an outstanding in-district obligation.</v>
      </c>
      <c r="H9844" s="25" t="str">
        <f t="shared" ca="1" si="1107"/>
        <v/>
      </c>
      <c r="I9844" s="25" t="str">
        <f t="shared" ca="1" si="1108"/>
        <v/>
      </c>
      <c r="J9844" s="26" t="str">
        <f t="shared" si="1109"/>
        <v/>
      </c>
    </row>
    <row r="9845" spans="1:10" x14ac:dyDescent="0.25">
      <c r="A9845" t="s">
        <v>111</v>
      </c>
      <c r="B9845" t="str">
        <f>ADDRESS(ROW(Parcels!B272),COLUMN(Parcels!B1114),4)</f>
        <v>B272</v>
      </c>
      <c r="C9845" t="str">
        <f>ADDRESS(ROW(Parcels!D272),COLUMN(Parcels!D272),4)</f>
        <v>D272</v>
      </c>
      <c r="D9845" s="46" t="b">
        <f>IF(AND(Parcels!B272="Current",'Six-Yr Rule'!B273&lt;=Year_DestinationYearID),IF((SUMIFS('Bond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845" t="s">
        <v>1641</v>
      </c>
      <c r="F9845" t="str">
        <f>INDEX(Lists!I:I,MATCH(Validation!E9845,Lists!G:G,0))</f>
        <v>Alert</v>
      </c>
      <c r="G9845" t="str">
        <f>INDEX(Lists!H:H,MATCH(Validation!E9845,Lists!G:G,0))</f>
        <v>This parcel does not appear to be pledged to an outstanding in-district obligation.</v>
      </c>
      <c r="H9845" s="25" t="str">
        <f t="shared" ca="1" si="1107"/>
        <v/>
      </c>
      <c r="I9845" s="25" t="str">
        <f t="shared" ca="1" si="1108"/>
        <v/>
      </c>
      <c r="J9845" s="26" t="str">
        <f t="shared" si="1109"/>
        <v/>
      </c>
    </row>
    <row r="9846" spans="1:10" x14ac:dyDescent="0.25">
      <c r="A9846" t="s">
        <v>111</v>
      </c>
      <c r="B9846" t="str">
        <f>ADDRESS(ROW(Parcels!B273),COLUMN(Parcels!B1115),4)</f>
        <v>B273</v>
      </c>
      <c r="C9846" t="str">
        <f>ADDRESS(ROW(Parcels!D273),COLUMN(Parcels!D273),4)</f>
        <v>D273</v>
      </c>
      <c r="D9846" s="46" t="b">
        <f>IF(AND(Parcels!B273="Current",'Six-Yr Rule'!B274&lt;=Year_DestinationYearID),IF((SUMIFS('Bond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846" t="s">
        <v>1641</v>
      </c>
      <c r="F9846" t="str">
        <f>INDEX(Lists!I:I,MATCH(Validation!E9846,Lists!G:G,0))</f>
        <v>Alert</v>
      </c>
      <c r="G9846" t="str">
        <f>INDEX(Lists!H:H,MATCH(Validation!E9846,Lists!G:G,0))</f>
        <v>This parcel does not appear to be pledged to an outstanding in-district obligation.</v>
      </c>
      <c r="H9846" s="25" t="str">
        <f t="shared" ca="1" si="1107"/>
        <v/>
      </c>
      <c r="I9846" s="25" t="str">
        <f t="shared" ca="1" si="1108"/>
        <v/>
      </c>
      <c r="J9846" s="26" t="str">
        <f t="shared" si="1109"/>
        <v/>
      </c>
    </row>
    <row r="9847" spans="1:10" x14ac:dyDescent="0.25">
      <c r="A9847" t="s">
        <v>111</v>
      </c>
      <c r="B9847" t="str">
        <f>ADDRESS(ROW(Parcels!B274),COLUMN(Parcels!B1116),4)</f>
        <v>B274</v>
      </c>
      <c r="C9847" t="str">
        <f>ADDRESS(ROW(Parcels!D274),COLUMN(Parcels!D274),4)</f>
        <v>D274</v>
      </c>
      <c r="D9847" s="46" t="b">
        <f>IF(AND(Parcels!B274="Current",'Six-Yr Rule'!B275&lt;=Year_DestinationYearID),IF((SUMIFS('Bond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847" t="s">
        <v>1641</v>
      </c>
      <c r="F9847" t="str">
        <f>INDEX(Lists!I:I,MATCH(Validation!E9847,Lists!G:G,0))</f>
        <v>Alert</v>
      </c>
      <c r="G9847" t="str">
        <f>INDEX(Lists!H:H,MATCH(Validation!E9847,Lists!G:G,0))</f>
        <v>This parcel does not appear to be pledged to an outstanding in-district obligation.</v>
      </c>
      <c r="H9847" s="25" t="str">
        <f t="shared" ca="1" si="1107"/>
        <v/>
      </c>
      <c r="I9847" s="25" t="str">
        <f t="shared" ca="1" si="1108"/>
        <v/>
      </c>
      <c r="J9847" s="26" t="str">
        <f t="shared" si="1109"/>
        <v/>
      </c>
    </row>
    <row r="9848" spans="1:10" x14ac:dyDescent="0.25">
      <c r="A9848" t="s">
        <v>111</v>
      </c>
      <c r="B9848" t="str">
        <f>ADDRESS(ROW(Parcels!B275),COLUMN(Parcels!B1117),4)</f>
        <v>B275</v>
      </c>
      <c r="C9848" t="str">
        <f>ADDRESS(ROW(Parcels!D275),COLUMN(Parcels!D275),4)</f>
        <v>D275</v>
      </c>
      <c r="D9848" s="46" t="b">
        <f>IF(AND(Parcels!B275="Current",'Six-Yr Rule'!B276&lt;=Year_DestinationYearID),IF((SUMIFS('Bond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848" t="s">
        <v>1641</v>
      </c>
      <c r="F9848" t="str">
        <f>INDEX(Lists!I:I,MATCH(Validation!E9848,Lists!G:G,0))</f>
        <v>Alert</v>
      </c>
      <c r="G9848" t="str">
        <f>INDEX(Lists!H:H,MATCH(Validation!E9848,Lists!G:G,0))</f>
        <v>This parcel does not appear to be pledged to an outstanding in-district obligation.</v>
      </c>
      <c r="H9848" s="25" t="str">
        <f t="shared" ca="1" si="1107"/>
        <v/>
      </c>
      <c r="I9848" s="25" t="str">
        <f t="shared" ca="1" si="1108"/>
        <v/>
      </c>
      <c r="J9848" s="26" t="str">
        <f t="shared" si="1109"/>
        <v/>
      </c>
    </row>
    <row r="9849" spans="1:10" x14ac:dyDescent="0.25">
      <c r="A9849" t="s">
        <v>111</v>
      </c>
      <c r="B9849" t="str">
        <f>ADDRESS(ROW(Parcels!B276),COLUMN(Parcels!B1118),4)</f>
        <v>B276</v>
      </c>
      <c r="C9849" t="str">
        <f>ADDRESS(ROW(Parcels!D276),COLUMN(Parcels!D276),4)</f>
        <v>D276</v>
      </c>
      <c r="D9849" s="46" t="b">
        <f>IF(AND(Parcels!B276="Current",'Six-Yr Rule'!B277&lt;=Year_DestinationYearID),IF((SUMIFS('Bond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849" t="s">
        <v>1641</v>
      </c>
      <c r="F9849" t="str">
        <f>INDEX(Lists!I:I,MATCH(Validation!E9849,Lists!G:G,0))</f>
        <v>Alert</v>
      </c>
      <c r="G9849" t="str">
        <f>INDEX(Lists!H:H,MATCH(Validation!E9849,Lists!G:G,0))</f>
        <v>This parcel does not appear to be pledged to an outstanding in-district obligation.</v>
      </c>
      <c r="H9849" s="25" t="str">
        <f t="shared" ca="1" si="1107"/>
        <v/>
      </c>
      <c r="I9849" s="25" t="str">
        <f t="shared" ca="1" si="1108"/>
        <v/>
      </c>
      <c r="J9849" s="26" t="str">
        <f t="shared" si="1109"/>
        <v/>
      </c>
    </row>
    <row r="9850" spans="1:10" x14ac:dyDescent="0.25">
      <c r="A9850" t="s">
        <v>111</v>
      </c>
      <c r="B9850" t="str">
        <f>ADDRESS(ROW(Parcels!B277),COLUMN(Parcels!B1119),4)</f>
        <v>B277</v>
      </c>
      <c r="C9850" t="str">
        <f>ADDRESS(ROW(Parcels!D277),COLUMN(Parcels!D277),4)</f>
        <v>D277</v>
      </c>
      <c r="D9850" s="46" t="b">
        <f>IF(AND(Parcels!B277="Current",'Six-Yr Rule'!B278&lt;=Year_DestinationYearID),IF((SUMIFS('Bond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850" t="s">
        <v>1641</v>
      </c>
      <c r="F9850" t="str">
        <f>INDEX(Lists!I:I,MATCH(Validation!E9850,Lists!G:G,0))</f>
        <v>Alert</v>
      </c>
      <c r="G9850" t="str">
        <f>INDEX(Lists!H:H,MATCH(Validation!E9850,Lists!G:G,0))</f>
        <v>This parcel does not appear to be pledged to an outstanding in-district obligation.</v>
      </c>
      <c r="H9850" s="25" t="str">
        <f t="shared" ca="1" si="1107"/>
        <v/>
      </c>
      <c r="I9850" s="25" t="str">
        <f t="shared" ca="1" si="1108"/>
        <v/>
      </c>
      <c r="J9850" s="26" t="str">
        <f t="shared" si="1109"/>
        <v/>
      </c>
    </row>
    <row r="9851" spans="1:10" x14ac:dyDescent="0.25">
      <c r="A9851" t="s">
        <v>111</v>
      </c>
      <c r="B9851" t="str">
        <f>ADDRESS(ROW(Parcels!B278),COLUMN(Parcels!B1120),4)</f>
        <v>B278</v>
      </c>
      <c r="C9851" t="str">
        <f>ADDRESS(ROW(Parcels!D278),COLUMN(Parcels!D278),4)</f>
        <v>D278</v>
      </c>
      <c r="D9851" s="46" t="b">
        <f>IF(AND(Parcels!B278="Current",'Six-Yr Rule'!B279&lt;=Year_DestinationYearID),IF((SUMIFS('Bond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851" t="s">
        <v>1641</v>
      </c>
      <c r="F9851" t="str">
        <f>INDEX(Lists!I:I,MATCH(Validation!E9851,Lists!G:G,0))</f>
        <v>Alert</v>
      </c>
      <c r="G9851" t="str">
        <f>INDEX(Lists!H:H,MATCH(Validation!E9851,Lists!G:G,0))</f>
        <v>This parcel does not appear to be pledged to an outstanding in-district obligation.</v>
      </c>
      <c r="H9851" s="25" t="str">
        <f t="shared" ca="1" si="1107"/>
        <v/>
      </c>
      <c r="I9851" s="25" t="str">
        <f t="shared" ca="1" si="1108"/>
        <v/>
      </c>
      <c r="J9851" s="26" t="str">
        <f t="shared" si="1109"/>
        <v/>
      </c>
    </row>
    <row r="9852" spans="1:10" x14ac:dyDescent="0.25">
      <c r="A9852" t="s">
        <v>111</v>
      </c>
      <c r="B9852" t="str">
        <f>ADDRESS(ROW(Parcels!B279),COLUMN(Parcels!B1121),4)</f>
        <v>B279</v>
      </c>
      <c r="C9852" t="str">
        <f>ADDRESS(ROW(Parcels!D279),COLUMN(Parcels!D279),4)</f>
        <v>D279</v>
      </c>
      <c r="D9852" s="46" t="b">
        <f>IF(AND(Parcels!B279="Current",'Six-Yr Rule'!B280&lt;=Year_DestinationYearID),IF((SUMIFS('Bond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852" t="s">
        <v>1641</v>
      </c>
      <c r="F9852" t="str">
        <f>INDEX(Lists!I:I,MATCH(Validation!E9852,Lists!G:G,0))</f>
        <v>Alert</v>
      </c>
      <c r="G9852" t="str">
        <f>INDEX(Lists!H:H,MATCH(Validation!E9852,Lists!G:G,0))</f>
        <v>This parcel does not appear to be pledged to an outstanding in-district obligation.</v>
      </c>
      <c r="H9852" s="25" t="str">
        <f t="shared" ca="1" si="1107"/>
        <v/>
      </c>
      <c r="I9852" s="25" t="str">
        <f t="shared" ca="1" si="1108"/>
        <v/>
      </c>
      <c r="J9852" s="26" t="str">
        <f t="shared" si="1109"/>
        <v/>
      </c>
    </row>
    <row r="9853" spans="1:10" x14ac:dyDescent="0.25">
      <c r="A9853" t="s">
        <v>111</v>
      </c>
      <c r="B9853" t="str">
        <f>ADDRESS(ROW(Parcels!B280),COLUMN(Parcels!B1122),4)</f>
        <v>B280</v>
      </c>
      <c r="C9853" t="str">
        <f>ADDRESS(ROW(Parcels!D280),COLUMN(Parcels!D280),4)</f>
        <v>D280</v>
      </c>
      <c r="D9853" s="46" t="b">
        <f>IF(AND(Parcels!B280="Current",'Six-Yr Rule'!B281&lt;=Year_DestinationYearID),IF((SUMIFS('Bond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853" t="s">
        <v>1641</v>
      </c>
      <c r="F9853" t="str">
        <f>INDEX(Lists!I:I,MATCH(Validation!E9853,Lists!G:G,0))</f>
        <v>Alert</v>
      </c>
      <c r="G9853" t="str">
        <f>INDEX(Lists!H:H,MATCH(Validation!E9853,Lists!G:G,0))</f>
        <v>This parcel does not appear to be pledged to an outstanding in-district obligation.</v>
      </c>
      <c r="H9853" s="25" t="str">
        <f t="shared" ca="1" si="1107"/>
        <v/>
      </c>
      <c r="I9853" s="25" t="str">
        <f t="shared" ca="1" si="1108"/>
        <v/>
      </c>
      <c r="J9853" s="26" t="str">
        <f t="shared" si="1109"/>
        <v/>
      </c>
    </row>
    <row r="9854" spans="1:10" x14ac:dyDescent="0.25">
      <c r="A9854" t="s">
        <v>111</v>
      </c>
      <c r="B9854" t="str">
        <f>ADDRESS(ROW(Parcels!B281),COLUMN(Parcels!B1123),4)</f>
        <v>B281</v>
      </c>
      <c r="C9854" t="str">
        <f>ADDRESS(ROW(Parcels!D281),COLUMN(Parcels!D281),4)</f>
        <v>D281</v>
      </c>
      <c r="D9854" s="46" t="b">
        <f>IF(AND(Parcels!B281="Current",'Six-Yr Rule'!B282&lt;=Year_DestinationYearID),IF((SUMIFS('Bond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854" t="s">
        <v>1641</v>
      </c>
      <c r="F9854" t="str">
        <f>INDEX(Lists!I:I,MATCH(Validation!E9854,Lists!G:G,0))</f>
        <v>Alert</v>
      </c>
      <c r="G9854" t="str">
        <f>INDEX(Lists!H:H,MATCH(Validation!E9854,Lists!G:G,0))</f>
        <v>This parcel does not appear to be pledged to an outstanding in-district obligation.</v>
      </c>
      <c r="H9854" s="25" t="str">
        <f t="shared" ca="1" si="1107"/>
        <v/>
      </c>
      <c r="I9854" s="25" t="str">
        <f t="shared" ca="1" si="1108"/>
        <v/>
      </c>
      <c r="J9854" s="26" t="str">
        <f t="shared" si="1109"/>
        <v/>
      </c>
    </row>
    <row r="9855" spans="1:10" x14ac:dyDescent="0.25">
      <c r="A9855" t="s">
        <v>111</v>
      </c>
      <c r="B9855" t="str">
        <f>ADDRESS(ROW(Parcels!B282),COLUMN(Parcels!B1124),4)</f>
        <v>B282</v>
      </c>
      <c r="C9855" t="str">
        <f>ADDRESS(ROW(Parcels!D282),COLUMN(Parcels!D282),4)</f>
        <v>D282</v>
      </c>
      <c r="D9855" s="46" t="b">
        <f>IF(AND(Parcels!B282="Current",'Six-Yr Rule'!B283&lt;=Year_DestinationYearID),IF((SUMIFS('Bond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855" t="s">
        <v>1641</v>
      </c>
      <c r="F9855" t="str">
        <f>INDEX(Lists!I:I,MATCH(Validation!E9855,Lists!G:G,0))</f>
        <v>Alert</v>
      </c>
      <c r="G9855" t="str">
        <f>INDEX(Lists!H:H,MATCH(Validation!E9855,Lists!G:G,0))</f>
        <v>This parcel does not appear to be pledged to an outstanding in-district obligation.</v>
      </c>
      <c r="H9855" s="25" t="str">
        <f t="shared" ca="1" si="1107"/>
        <v/>
      </c>
      <c r="I9855" s="25" t="str">
        <f t="shared" ca="1" si="1108"/>
        <v/>
      </c>
      <c r="J9855" s="26" t="str">
        <f t="shared" si="1109"/>
        <v/>
      </c>
    </row>
    <row r="9856" spans="1:10" x14ac:dyDescent="0.25">
      <c r="A9856" t="s">
        <v>111</v>
      </c>
      <c r="B9856" t="str">
        <f>ADDRESS(ROW(Parcels!B283),COLUMN(Parcels!B1125),4)</f>
        <v>B283</v>
      </c>
      <c r="C9856" t="str">
        <f>ADDRESS(ROW(Parcels!D283),COLUMN(Parcels!D283),4)</f>
        <v>D283</v>
      </c>
      <c r="D9856" s="46" t="b">
        <f>IF(AND(Parcels!B283="Current",'Six-Yr Rule'!B284&lt;=Year_DestinationYearID),IF((SUMIFS('Bond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856" t="s">
        <v>1641</v>
      </c>
      <c r="F9856" t="str">
        <f>INDEX(Lists!I:I,MATCH(Validation!E9856,Lists!G:G,0))</f>
        <v>Alert</v>
      </c>
      <c r="G9856" t="str">
        <f>INDEX(Lists!H:H,MATCH(Validation!E9856,Lists!G:G,0))</f>
        <v>This parcel does not appear to be pledged to an outstanding in-district obligation.</v>
      </c>
      <c r="H9856" s="25" t="str">
        <f t="shared" ca="1" si="1107"/>
        <v/>
      </c>
      <c r="I9856" s="25" t="str">
        <f t="shared" ca="1" si="1108"/>
        <v/>
      </c>
      <c r="J9856" s="26" t="str">
        <f t="shared" si="1109"/>
        <v/>
      </c>
    </row>
    <row r="9857" spans="1:10" x14ac:dyDescent="0.25">
      <c r="A9857" t="s">
        <v>111</v>
      </c>
      <c r="B9857" t="str">
        <f>ADDRESS(ROW(Parcels!B284),COLUMN(Parcels!B1126),4)</f>
        <v>B284</v>
      </c>
      <c r="C9857" t="str">
        <f>ADDRESS(ROW(Parcels!D284),COLUMN(Parcels!D284),4)</f>
        <v>D284</v>
      </c>
      <c r="D9857" s="46" t="b">
        <f>IF(AND(Parcels!B284="Current",'Six-Yr Rule'!B285&lt;=Year_DestinationYearID),IF((SUMIFS('Bond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857" t="s">
        <v>1641</v>
      </c>
      <c r="F9857" t="str">
        <f>INDEX(Lists!I:I,MATCH(Validation!E9857,Lists!G:G,0))</f>
        <v>Alert</v>
      </c>
      <c r="G9857" t="str">
        <f>INDEX(Lists!H:H,MATCH(Validation!E9857,Lists!G:G,0))</f>
        <v>This parcel does not appear to be pledged to an outstanding in-district obligation.</v>
      </c>
      <c r="H9857" s="25" t="str">
        <f t="shared" ca="1" si="1107"/>
        <v/>
      </c>
      <c r="I9857" s="25" t="str">
        <f t="shared" ca="1" si="1108"/>
        <v/>
      </c>
      <c r="J9857" s="26" t="str">
        <f t="shared" si="1109"/>
        <v/>
      </c>
    </row>
    <row r="9858" spans="1:10" x14ac:dyDescent="0.25">
      <c r="A9858" t="s">
        <v>111</v>
      </c>
      <c r="B9858" t="str">
        <f>ADDRESS(ROW(Parcels!B285),COLUMN(Parcels!B1127),4)</f>
        <v>B285</v>
      </c>
      <c r="C9858" t="str">
        <f>ADDRESS(ROW(Parcels!D285),COLUMN(Parcels!D285),4)</f>
        <v>D285</v>
      </c>
      <c r="D9858" s="46" t="b">
        <f>IF(AND(Parcels!B285="Current",'Six-Yr Rule'!B286&lt;=Year_DestinationYearID),IF((SUMIFS('Bond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858" t="s">
        <v>1641</v>
      </c>
      <c r="F9858" t="str">
        <f>INDEX(Lists!I:I,MATCH(Validation!E9858,Lists!G:G,0))</f>
        <v>Alert</v>
      </c>
      <c r="G9858" t="str">
        <f>INDEX(Lists!H:H,MATCH(Validation!E9858,Lists!G:G,0))</f>
        <v>This parcel does not appear to be pledged to an outstanding in-district obligation.</v>
      </c>
      <c r="H9858" s="25" t="str">
        <f t="shared" ca="1" si="1107"/>
        <v/>
      </c>
      <c r="I9858" s="25" t="str">
        <f t="shared" ca="1" si="1108"/>
        <v/>
      </c>
      <c r="J9858" s="26" t="str">
        <f t="shared" si="1109"/>
        <v/>
      </c>
    </row>
    <row r="9859" spans="1:10" x14ac:dyDescent="0.25">
      <c r="A9859" t="s">
        <v>111</v>
      </c>
      <c r="B9859" t="str">
        <f>ADDRESS(ROW(Parcels!B286),COLUMN(Parcels!B1128),4)</f>
        <v>B286</v>
      </c>
      <c r="C9859" t="str">
        <f>ADDRESS(ROW(Parcels!D286),COLUMN(Parcels!D286),4)</f>
        <v>D286</v>
      </c>
      <c r="D9859" s="46" t="b">
        <f>IF(AND(Parcels!B286="Current",'Six-Yr Rule'!B287&lt;=Year_DestinationYearID),IF((SUMIFS('Bond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859" t="s">
        <v>1641</v>
      </c>
      <c r="F9859" t="str">
        <f>INDEX(Lists!I:I,MATCH(Validation!E9859,Lists!G:G,0))</f>
        <v>Alert</v>
      </c>
      <c r="G9859" t="str">
        <f>INDEX(Lists!H:H,MATCH(Validation!E9859,Lists!G:G,0))</f>
        <v>This parcel does not appear to be pledged to an outstanding in-district obligation.</v>
      </c>
      <c r="H9859" s="25" t="str">
        <f t="shared" ca="1" si="1107"/>
        <v/>
      </c>
      <c r="I9859" s="25" t="str">
        <f t="shared" ca="1" si="1108"/>
        <v/>
      </c>
      <c r="J9859" s="26" t="str">
        <f t="shared" si="1109"/>
        <v/>
      </c>
    </row>
    <row r="9860" spans="1:10" x14ac:dyDescent="0.25">
      <c r="A9860" t="s">
        <v>111</v>
      </c>
      <c r="B9860" t="str">
        <f>ADDRESS(ROW(Parcels!B287),COLUMN(Parcels!B1129),4)</f>
        <v>B287</v>
      </c>
      <c r="C9860" t="str">
        <f>ADDRESS(ROW(Parcels!D287),COLUMN(Parcels!D287),4)</f>
        <v>D287</v>
      </c>
      <c r="D9860" s="46" t="b">
        <f>IF(AND(Parcels!B287="Current",'Six-Yr Rule'!B288&lt;=Year_DestinationYearID),IF((SUMIFS('Bond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860" t="s">
        <v>1641</v>
      </c>
      <c r="F9860" t="str">
        <f>INDEX(Lists!I:I,MATCH(Validation!E9860,Lists!G:G,0))</f>
        <v>Alert</v>
      </c>
      <c r="G9860" t="str">
        <f>INDEX(Lists!H:H,MATCH(Validation!E9860,Lists!G:G,0))</f>
        <v>This parcel does not appear to be pledged to an outstanding in-district obligation.</v>
      </c>
      <c r="H9860" s="25" t="str">
        <f t="shared" ca="1" si="1107"/>
        <v/>
      </c>
      <c r="I9860" s="25" t="str">
        <f t="shared" ca="1" si="1108"/>
        <v/>
      </c>
      <c r="J9860" s="26" t="str">
        <f t="shared" si="1109"/>
        <v/>
      </c>
    </row>
    <row r="9861" spans="1:10" x14ac:dyDescent="0.25">
      <c r="A9861" t="s">
        <v>111</v>
      </c>
      <c r="B9861" t="str">
        <f>ADDRESS(ROW(Parcels!B288),COLUMN(Parcels!B1130),4)</f>
        <v>B288</v>
      </c>
      <c r="C9861" t="str">
        <f>ADDRESS(ROW(Parcels!D288),COLUMN(Parcels!D288),4)</f>
        <v>D288</v>
      </c>
      <c r="D9861" s="46" t="b">
        <f>IF(AND(Parcels!B288="Current",'Six-Yr Rule'!B289&lt;=Year_DestinationYearID),IF((SUMIFS('Bond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861" t="s">
        <v>1641</v>
      </c>
      <c r="F9861" t="str">
        <f>INDEX(Lists!I:I,MATCH(Validation!E9861,Lists!G:G,0))</f>
        <v>Alert</v>
      </c>
      <c r="G9861" t="str">
        <f>INDEX(Lists!H:H,MATCH(Validation!E9861,Lists!G:G,0))</f>
        <v>This parcel does not appear to be pledged to an outstanding in-district obligation.</v>
      </c>
      <c r="H9861" s="25" t="str">
        <f t="shared" ca="1" si="1107"/>
        <v/>
      </c>
      <c r="I9861" s="25" t="str">
        <f t="shared" ca="1" si="1108"/>
        <v/>
      </c>
      <c r="J9861" s="26" t="str">
        <f t="shared" si="1109"/>
        <v/>
      </c>
    </row>
    <row r="9862" spans="1:10" x14ac:dyDescent="0.25">
      <c r="A9862" t="s">
        <v>111</v>
      </c>
      <c r="B9862" t="str">
        <f>ADDRESS(ROW(Parcels!B289),COLUMN(Parcels!B1131),4)</f>
        <v>B289</v>
      </c>
      <c r="C9862" t="str">
        <f>ADDRESS(ROW(Parcels!D289),COLUMN(Parcels!D289),4)</f>
        <v>D289</v>
      </c>
      <c r="D9862" s="46" t="b">
        <f>IF(AND(Parcels!B289="Current",'Six-Yr Rule'!B290&lt;=Year_DestinationYearID),IF((SUMIFS('Bond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862" t="s">
        <v>1641</v>
      </c>
      <c r="F9862" t="str">
        <f>INDEX(Lists!I:I,MATCH(Validation!E9862,Lists!G:G,0))</f>
        <v>Alert</v>
      </c>
      <c r="G9862" t="str">
        <f>INDEX(Lists!H:H,MATCH(Validation!E9862,Lists!G:G,0))</f>
        <v>This parcel does not appear to be pledged to an outstanding in-district obligation.</v>
      </c>
      <c r="H9862" s="25" t="str">
        <f t="shared" ca="1" si="1107"/>
        <v/>
      </c>
      <c r="I9862" s="25" t="str">
        <f t="shared" ca="1" si="1108"/>
        <v/>
      </c>
      <c r="J9862" s="26" t="str">
        <f t="shared" si="1109"/>
        <v/>
      </c>
    </row>
    <row r="9863" spans="1:10" x14ac:dyDescent="0.25">
      <c r="A9863" t="s">
        <v>111</v>
      </c>
      <c r="B9863" t="str">
        <f>ADDRESS(ROW(Parcels!B290),COLUMN(Parcels!B1132),4)</f>
        <v>B290</v>
      </c>
      <c r="C9863" t="str">
        <f>ADDRESS(ROW(Parcels!D290),COLUMN(Parcels!D290),4)</f>
        <v>D290</v>
      </c>
      <c r="D9863" s="46" t="b">
        <f>IF(AND(Parcels!B290="Current",'Six-Yr Rule'!B291&lt;=Year_DestinationYearID),IF((SUMIFS('Bond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863" t="s">
        <v>1641</v>
      </c>
      <c r="F9863" t="str">
        <f>INDEX(Lists!I:I,MATCH(Validation!E9863,Lists!G:G,0))</f>
        <v>Alert</v>
      </c>
      <c r="G9863" t="str">
        <f>INDEX(Lists!H:H,MATCH(Validation!E9863,Lists!G:G,0))</f>
        <v>This parcel does not appear to be pledged to an outstanding in-district obligation.</v>
      </c>
      <c r="H9863" s="25" t="str">
        <f t="shared" ca="1" si="1107"/>
        <v/>
      </c>
      <c r="I9863" s="25" t="str">
        <f t="shared" ca="1" si="1108"/>
        <v/>
      </c>
      <c r="J9863" s="26" t="str">
        <f t="shared" si="1109"/>
        <v/>
      </c>
    </row>
    <row r="9864" spans="1:10" x14ac:dyDescent="0.25">
      <c r="A9864" t="s">
        <v>111</v>
      </c>
      <c r="B9864" t="str">
        <f>ADDRESS(ROW(Parcels!B291),COLUMN(Parcels!B1133),4)</f>
        <v>B291</v>
      </c>
      <c r="C9864" t="str">
        <f>ADDRESS(ROW(Parcels!D291),COLUMN(Parcels!D291),4)</f>
        <v>D291</v>
      </c>
      <c r="D9864" s="46" t="b">
        <f>IF(AND(Parcels!B291="Current",'Six-Yr Rule'!B292&lt;=Year_DestinationYearID),IF((SUMIFS('Bond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864" t="s">
        <v>1641</v>
      </c>
      <c r="F9864" t="str">
        <f>INDEX(Lists!I:I,MATCH(Validation!E9864,Lists!G:G,0))</f>
        <v>Alert</v>
      </c>
      <c r="G9864" t="str">
        <f>INDEX(Lists!H:H,MATCH(Validation!E9864,Lists!G:G,0))</f>
        <v>This parcel does not appear to be pledged to an outstanding in-district obligation.</v>
      </c>
      <c r="H9864" s="25" t="str">
        <f t="shared" ca="1" si="1107"/>
        <v/>
      </c>
      <c r="I9864" s="25" t="str">
        <f t="shared" ca="1" si="1108"/>
        <v/>
      </c>
      <c r="J9864" s="26" t="str">
        <f t="shared" si="1109"/>
        <v/>
      </c>
    </row>
    <row r="9865" spans="1:10" x14ac:dyDescent="0.25">
      <c r="A9865" t="s">
        <v>111</v>
      </c>
      <c r="B9865" t="str">
        <f>ADDRESS(ROW(Parcels!B292),COLUMN(Parcels!B1134),4)</f>
        <v>B292</v>
      </c>
      <c r="C9865" t="str">
        <f>ADDRESS(ROW(Parcels!D292),COLUMN(Parcels!D292),4)</f>
        <v>D292</v>
      </c>
      <c r="D9865" s="46" t="b">
        <f>IF(AND(Parcels!B292="Current",'Six-Yr Rule'!B293&lt;=Year_DestinationYearID),IF((SUMIFS('Bond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865" t="s">
        <v>1641</v>
      </c>
      <c r="F9865" t="str">
        <f>INDEX(Lists!I:I,MATCH(Validation!E9865,Lists!G:G,0))</f>
        <v>Alert</v>
      </c>
      <c r="G9865" t="str">
        <f>INDEX(Lists!H:H,MATCH(Validation!E9865,Lists!G:G,0))</f>
        <v>This parcel does not appear to be pledged to an outstanding in-district obligation.</v>
      </c>
      <c r="H9865" s="25" t="str">
        <f t="shared" ca="1" si="1107"/>
        <v/>
      </c>
      <c r="I9865" s="25" t="str">
        <f t="shared" ca="1" si="1108"/>
        <v/>
      </c>
      <c r="J9865" s="26" t="str">
        <f t="shared" si="1109"/>
        <v/>
      </c>
    </row>
    <row r="9866" spans="1:10" x14ac:dyDescent="0.25">
      <c r="A9866" t="s">
        <v>111</v>
      </c>
      <c r="B9866" t="str">
        <f>ADDRESS(ROW(Parcels!B293),COLUMN(Parcels!B1135),4)</f>
        <v>B293</v>
      </c>
      <c r="C9866" t="str">
        <f>ADDRESS(ROW(Parcels!D293),COLUMN(Parcels!D293),4)</f>
        <v>D293</v>
      </c>
      <c r="D9866" s="46" t="b">
        <f>IF(AND(Parcels!B293="Current",'Six-Yr Rule'!B294&lt;=Year_DestinationYearID),IF((SUMIFS('Bond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866" t="s">
        <v>1641</v>
      </c>
      <c r="F9866" t="str">
        <f>INDEX(Lists!I:I,MATCH(Validation!E9866,Lists!G:G,0))</f>
        <v>Alert</v>
      </c>
      <c r="G9866" t="str">
        <f>INDEX(Lists!H:H,MATCH(Validation!E9866,Lists!G:G,0))</f>
        <v>This parcel does not appear to be pledged to an outstanding in-district obligation.</v>
      </c>
      <c r="H9866" s="25" t="str">
        <f t="shared" ca="1" si="1107"/>
        <v/>
      </c>
      <c r="I9866" s="25" t="str">
        <f t="shared" ca="1" si="1108"/>
        <v/>
      </c>
      <c r="J9866" s="26" t="str">
        <f t="shared" si="1109"/>
        <v/>
      </c>
    </row>
    <row r="9867" spans="1:10" x14ac:dyDescent="0.25">
      <c r="A9867" t="s">
        <v>111</v>
      </c>
      <c r="B9867" t="str">
        <f>ADDRESS(ROW(Parcels!B294),COLUMN(Parcels!B1136),4)</f>
        <v>B294</v>
      </c>
      <c r="C9867" t="str">
        <f>ADDRESS(ROW(Parcels!D294),COLUMN(Parcels!D294),4)</f>
        <v>D294</v>
      </c>
      <c r="D9867" s="46" t="b">
        <f>IF(AND(Parcels!B294="Current",'Six-Yr Rule'!B295&lt;=Year_DestinationYearID),IF((SUMIFS('Bond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867" t="s">
        <v>1641</v>
      </c>
      <c r="F9867" t="str">
        <f>INDEX(Lists!I:I,MATCH(Validation!E9867,Lists!G:G,0))</f>
        <v>Alert</v>
      </c>
      <c r="G9867" t="str">
        <f>INDEX(Lists!H:H,MATCH(Validation!E9867,Lists!G:G,0))</f>
        <v>This parcel does not appear to be pledged to an outstanding in-district obligation.</v>
      </c>
      <c r="H9867" s="25" t="str">
        <f t="shared" ca="1" si="1107"/>
        <v/>
      </c>
      <c r="I9867" s="25" t="str">
        <f t="shared" ca="1" si="1108"/>
        <v/>
      </c>
      <c r="J9867" s="26" t="str">
        <f t="shared" si="1109"/>
        <v/>
      </c>
    </row>
    <row r="9868" spans="1:10" x14ac:dyDescent="0.25">
      <c r="A9868" t="s">
        <v>111</v>
      </c>
      <c r="B9868" t="str">
        <f>ADDRESS(ROW(Parcels!B295),COLUMN(Parcels!B1137),4)</f>
        <v>B295</v>
      </c>
      <c r="C9868" t="str">
        <f>ADDRESS(ROW(Parcels!D295),COLUMN(Parcels!D295),4)</f>
        <v>D295</v>
      </c>
      <c r="D9868" s="46" t="b">
        <f>IF(AND(Parcels!B295="Current",'Six-Yr Rule'!B296&lt;=Year_DestinationYearID),IF((SUMIFS('Bond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868" t="s">
        <v>1641</v>
      </c>
      <c r="F9868" t="str">
        <f>INDEX(Lists!I:I,MATCH(Validation!E9868,Lists!G:G,0))</f>
        <v>Alert</v>
      </c>
      <c r="G9868" t="str">
        <f>INDEX(Lists!H:H,MATCH(Validation!E9868,Lists!G:G,0))</f>
        <v>This parcel does not appear to be pledged to an outstanding in-district obligation.</v>
      </c>
      <c r="H9868" s="25" t="str">
        <f t="shared" ca="1" si="1107"/>
        <v/>
      </c>
      <c r="I9868" s="25" t="str">
        <f t="shared" ca="1" si="1108"/>
        <v/>
      </c>
      <c r="J9868" s="26" t="str">
        <f t="shared" si="1109"/>
        <v/>
      </c>
    </row>
    <row r="9869" spans="1:10" x14ac:dyDescent="0.25">
      <c r="A9869" t="s">
        <v>111</v>
      </c>
      <c r="B9869" t="str">
        <f>ADDRESS(ROW(Parcels!B296),COLUMN(Parcels!B1138),4)</f>
        <v>B296</v>
      </c>
      <c r="C9869" t="str">
        <f>ADDRESS(ROW(Parcels!D296),COLUMN(Parcels!D296),4)</f>
        <v>D296</v>
      </c>
      <c r="D9869" s="46" t="b">
        <f>IF(AND(Parcels!B296="Current",'Six-Yr Rule'!B297&lt;=Year_DestinationYearID),IF((SUMIFS('Bond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869" t="s">
        <v>1641</v>
      </c>
      <c r="F9869" t="str">
        <f>INDEX(Lists!I:I,MATCH(Validation!E9869,Lists!G:G,0))</f>
        <v>Alert</v>
      </c>
      <c r="G9869" t="str">
        <f>INDEX(Lists!H:H,MATCH(Validation!E9869,Lists!G:G,0))</f>
        <v>This parcel does not appear to be pledged to an outstanding in-district obligation.</v>
      </c>
      <c r="H9869" s="25" t="str">
        <f t="shared" ca="1" si="1107"/>
        <v/>
      </c>
      <c r="I9869" s="25" t="str">
        <f t="shared" ca="1" si="1108"/>
        <v/>
      </c>
      <c r="J9869" s="26" t="str">
        <f t="shared" si="1109"/>
        <v/>
      </c>
    </row>
    <row r="9870" spans="1:10" x14ac:dyDescent="0.25">
      <c r="A9870" t="s">
        <v>111</v>
      </c>
      <c r="B9870" t="str">
        <f>ADDRESS(ROW(Parcels!B297),COLUMN(Parcels!B1139),4)</f>
        <v>B297</v>
      </c>
      <c r="C9870" t="str">
        <f>ADDRESS(ROW(Parcels!D297),COLUMN(Parcels!D297),4)</f>
        <v>D297</v>
      </c>
      <c r="D9870" s="46" t="b">
        <f>IF(AND(Parcels!B297="Current",'Six-Yr Rule'!B298&lt;=Year_DestinationYearID),IF((SUMIFS('Bond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870" t="s">
        <v>1641</v>
      </c>
      <c r="F9870" t="str">
        <f>INDEX(Lists!I:I,MATCH(Validation!E9870,Lists!G:G,0))</f>
        <v>Alert</v>
      </c>
      <c r="G9870" t="str">
        <f>INDEX(Lists!H:H,MATCH(Validation!E9870,Lists!G:G,0))</f>
        <v>This parcel does not appear to be pledged to an outstanding in-district obligation.</v>
      </c>
      <c r="H9870" s="25" t="str">
        <f t="shared" ca="1" si="1107"/>
        <v/>
      </c>
      <c r="I9870" s="25" t="str">
        <f t="shared" ca="1" si="1108"/>
        <v/>
      </c>
      <c r="J9870" s="26" t="str">
        <f t="shared" si="1109"/>
        <v/>
      </c>
    </row>
    <row r="9871" spans="1:10" x14ac:dyDescent="0.25">
      <c r="A9871" t="s">
        <v>111</v>
      </c>
      <c r="B9871" t="str">
        <f>ADDRESS(ROW(Parcels!B298),COLUMN(Parcels!B1140),4)</f>
        <v>B298</v>
      </c>
      <c r="C9871" t="str">
        <f>ADDRESS(ROW(Parcels!D298),COLUMN(Parcels!D298),4)</f>
        <v>D298</v>
      </c>
      <c r="D9871" s="46" t="b">
        <f>IF(AND(Parcels!B298="Current",'Six-Yr Rule'!B299&lt;=Year_DestinationYearID),IF((SUMIFS('Bond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871" t="s">
        <v>1641</v>
      </c>
      <c r="F9871" t="str">
        <f>INDEX(Lists!I:I,MATCH(Validation!E9871,Lists!G:G,0))</f>
        <v>Alert</v>
      </c>
      <c r="G9871" t="str">
        <f>INDEX(Lists!H:H,MATCH(Validation!E9871,Lists!G:G,0))</f>
        <v>This parcel does not appear to be pledged to an outstanding in-district obligation.</v>
      </c>
      <c r="H9871" s="25" t="str">
        <f t="shared" ca="1" si="1107"/>
        <v/>
      </c>
      <c r="I9871" s="25" t="str">
        <f t="shared" ca="1" si="1108"/>
        <v/>
      </c>
      <c r="J9871" s="26" t="str">
        <f t="shared" si="1109"/>
        <v/>
      </c>
    </row>
    <row r="9872" spans="1:10" x14ac:dyDescent="0.25">
      <c r="A9872" t="s">
        <v>111</v>
      </c>
      <c r="B9872" t="str">
        <f>ADDRESS(ROW(Parcels!B299),COLUMN(Parcels!B1141),4)</f>
        <v>B299</v>
      </c>
      <c r="C9872" t="str">
        <f>ADDRESS(ROW(Parcels!D299),COLUMN(Parcels!D299),4)</f>
        <v>D299</v>
      </c>
      <c r="D9872" s="46" t="b">
        <f>IF(AND(Parcels!B299="Current",'Six-Yr Rule'!B300&lt;=Year_DestinationYearID),IF((SUMIFS('Bond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872" t="s">
        <v>1641</v>
      </c>
      <c r="F9872" t="str">
        <f>INDEX(Lists!I:I,MATCH(Validation!E9872,Lists!G:G,0))</f>
        <v>Alert</v>
      </c>
      <c r="G9872" t="str">
        <f>INDEX(Lists!H:H,MATCH(Validation!E9872,Lists!G:G,0))</f>
        <v>This parcel does not appear to be pledged to an outstanding in-district obligation.</v>
      </c>
      <c r="H9872" s="25" t="str">
        <f t="shared" ca="1" si="1107"/>
        <v/>
      </c>
      <c r="I9872" s="25" t="str">
        <f t="shared" ca="1" si="1108"/>
        <v/>
      </c>
      <c r="J9872" s="26" t="str">
        <f t="shared" si="1109"/>
        <v/>
      </c>
    </row>
    <row r="9873" spans="1:10" x14ac:dyDescent="0.25">
      <c r="A9873" t="s">
        <v>111</v>
      </c>
      <c r="B9873" t="str">
        <f>ADDRESS(ROW(Parcels!B300),COLUMN(Parcels!B1142),4)</f>
        <v>B300</v>
      </c>
      <c r="C9873" t="str">
        <f>ADDRESS(ROW(Parcels!D300),COLUMN(Parcels!D300),4)</f>
        <v>D300</v>
      </c>
      <c r="D9873" s="46" t="b">
        <f>IF(AND(Parcels!B300="Current",'Six-Yr Rule'!B301&lt;=Year_DestinationYearID),IF((SUMIFS('Bond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873" t="s">
        <v>1641</v>
      </c>
      <c r="F9873" t="str">
        <f>INDEX(Lists!I:I,MATCH(Validation!E9873,Lists!G:G,0))</f>
        <v>Alert</v>
      </c>
      <c r="G9873" t="str">
        <f>INDEX(Lists!H:H,MATCH(Validation!E9873,Lists!G:G,0))</f>
        <v>This parcel does not appear to be pledged to an outstanding in-district obligation.</v>
      </c>
      <c r="H9873" s="25" t="str">
        <f t="shared" ca="1" si="1107"/>
        <v/>
      </c>
      <c r="I9873" s="25" t="str">
        <f t="shared" ca="1" si="1108"/>
        <v/>
      </c>
      <c r="J9873" s="26" t="str">
        <f t="shared" si="1109"/>
        <v/>
      </c>
    </row>
    <row r="9874" spans="1:10" x14ac:dyDescent="0.25">
      <c r="A9874" t="s">
        <v>111</v>
      </c>
      <c r="B9874" t="str">
        <f>ADDRESS(ROW(Parcels!B301),COLUMN(Parcels!B1143),4)</f>
        <v>B301</v>
      </c>
      <c r="C9874" t="str">
        <f>ADDRESS(ROW(Parcels!D301),COLUMN(Parcels!D301),4)</f>
        <v>D301</v>
      </c>
      <c r="D9874" s="46" t="b">
        <f>IF(AND(Parcels!B301="Current",'Six-Yr Rule'!B302&lt;=Year_DestinationYearID),IF((SUMIFS('Bond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874" t="s">
        <v>1641</v>
      </c>
      <c r="F9874" t="str">
        <f>INDEX(Lists!I:I,MATCH(Validation!E9874,Lists!G:G,0))</f>
        <v>Alert</v>
      </c>
      <c r="G9874" t="str">
        <f>INDEX(Lists!H:H,MATCH(Validation!E9874,Lists!G:G,0))</f>
        <v>This parcel does not appear to be pledged to an outstanding in-district obligation.</v>
      </c>
      <c r="H9874" s="25" t="str">
        <f t="shared" ca="1" si="1107"/>
        <v/>
      </c>
      <c r="I9874" s="25" t="str">
        <f t="shared" ca="1" si="1108"/>
        <v/>
      </c>
      <c r="J9874" s="26" t="str">
        <f t="shared" si="1109"/>
        <v/>
      </c>
    </row>
    <row r="9875" spans="1:10" x14ac:dyDescent="0.25">
      <c r="A9875" t="s">
        <v>111</v>
      </c>
      <c r="B9875" t="str">
        <f>ADDRESS(ROW(Parcels!B302),COLUMN(Parcels!B1144),4)</f>
        <v>B302</v>
      </c>
      <c r="C9875" t="str">
        <f>ADDRESS(ROW(Parcels!D302),COLUMN(Parcels!D302),4)</f>
        <v>D302</v>
      </c>
      <c r="D9875" s="46" t="b">
        <f>IF(AND(Parcels!B302="Current",'Six-Yr Rule'!B303&lt;=Year_DestinationYearID),IF((SUMIFS('Bond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875" t="s">
        <v>1641</v>
      </c>
      <c r="F9875" t="str">
        <f>INDEX(Lists!I:I,MATCH(Validation!E9875,Lists!G:G,0))</f>
        <v>Alert</v>
      </c>
      <c r="G9875" t="str">
        <f>INDEX(Lists!H:H,MATCH(Validation!E9875,Lists!G:G,0))</f>
        <v>This parcel does not appear to be pledged to an outstanding in-district obligation.</v>
      </c>
      <c r="H9875" s="25" t="str">
        <f t="shared" ca="1" si="1107"/>
        <v/>
      </c>
      <c r="I9875" s="25" t="str">
        <f t="shared" ca="1" si="1108"/>
        <v/>
      </c>
      <c r="J9875" s="26" t="str">
        <f t="shared" si="1109"/>
        <v/>
      </c>
    </row>
    <row r="9876" spans="1:10" x14ac:dyDescent="0.25">
      <c r="A9876" t="s">
        <v>111</v>
      </c>
      <c r="B9876" t="str">
        <f>ADDRESS(ROW(Parcels!B303),COLUMN(Parcels!B1145),4)</f>
        <v>B303</v>
      </c>
      <c r="C9876" t="str">
        <f>ADDRESS(ROW(Parcels!D303),COLUMN(Parcels!D303),4)</f>
        <v>D303</v>
      </c>
      <c r="D9876" s="46" t="b">
        <f>IF(AND(Parcels!B303="Current",'Six-Yr Rule'!B304&lt;=Year_DestinationYearID),IF((SUMIFS('Bond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876" t="s">
        <v>1641</v>
      </c>
      <c r="F9876" t="str">
        <f>INDEX(Lists!I:I,MATCH(Validation!E9876,Lists!G:G,0))</f>
        <v>Alert</v>
      </c>
      <c r="G9876" t="str">
        <f>INDEX(Lists!H:H,MATCH(Validation!E9876,Lists!G:G,0))</f>
        <v>This parcel does not appear to be pledged to an outstanding in-district obligation.</v>
      </c>
      <c r="H9876" s="25" t="str">
        <f t="shared" ca="1" si="1107"/>
        <v/>
      </c>
      <c r="I9876" s="25" t="str">
        <f t="shared" ca="1" si="1108"/>
        <v/>
      </c>
      <c r="J9876" s="26" t="str">
        <f t="shared" si="1109"/>
        <v/>
      </c>
    </row>
    <row r="9877" spans="1:10" x14ac:dyDescent="0.25">
      <c r="A9877" t="s">
        <v>111</v>
      </c>
      <c r="B9877" t="str">
        <f>ADDRESS(ROW(Parcels!B304),COLUMN(Parcels!B1146),4)</f>
        <v>B304</v>
      </c>
      <c r="C9877" t="str">
        <f>ADDRESS(ROW(Parcels!D304),COLUMN(Parcels!D304),4)</f>
        <v>D304</v>
      </c>
      <c r="D9877" s="46" t="b">
        <f>IF(AND(Parcels!B304="Current",'Six-Yr Rule'!B305&lt;=Year_DestinationYearID),IF((SUMIFS('Bond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877" t="s">
        <v>1641</v>
      </c>
      <c r="F9877" t="str">
        <f>INDEX(Lists!I:I,MATCH(Validation!E9877,Lists!G:G,0))</f>
        <v>Alert</v>
      </c>
      <c r="G9877" t="str">
        <f>INDEX(Lists!H:H,MATCH(Validation!E9877,Lists!G:G,0))</f>
        <v>This parcel does not appear to be pledged to an outstanding in-district obligation.</v>
      </c>
      <c r="H9877" s="25" t="str">
        <f t="shared" ca="1" si="1107"/>
        <v/>
      </c>
      <c r="I9877" s="25" t="str">
        <f t="shared" ca="1" si="1108"/>
        <v/>
      </c>
      <c r="J9877" s="26" t="str">
        <f t="shared" si="1109"/>
        <v/>
      </c>
    </row>
    <row r="9878" spans="1:10" x14ac:dyDescent="0.25">
      <c r="A9878" t="s">
        <v>111</v>
      </c>
      <c r="B9878" t="str">
        <f>ADDRESS(ROW(Parcels!B305),COLUMN(Parcels!B1147),4)</f>
        <v>B305</v>
      </c>
      <c r="C9878" t="str">
        <f>ADDRESS(ROW(Parcels!D305),COLUMN(Parcels!D305),4)</f>
        <v>D305</v>
      </c>
      <c r="D9878" s="46" t="b">
        <f>IF(AND(Parcels!B305="Current",'Six-Yr Rule'!B306&lt;=Year_DestinationYearID),IF((SUMIFS('Bond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878" t="s">
        <v>1641</v>
      </c>
      <c r="F9878" t="str">
        <f>INDEX(Lists!I:I,MATCH(Validation!E9878,Lists!G:G,0))</f>
        <v>Alert</v>
      </c>
      <c r="G9878" t="str">
        <f>INDEX(Lists!H:H,MATCH(Validation!E9878,Lists!G:G,0))</f>
        <v>This parcel does not appear to be pledged to an outstanding in-district obligation.</v>
      </c>
      <c r="H9878" s="25" t="str">
        <f t="shared" ca="1" si="1107"/>
        <v/>
      </c>
      <c r="I9878" s="25" t="str">
        <f t="shared" ca="1" si="1108"/>
        <v/>
      </c>
      <c r="J9878" s="26" t="str">
        <f t="shared" si="1109"/>
        <v/>
      </c>
    </row>
    <row r="9879" spans="1:10" x14ac:dyDescent="0.25">
      <c r="A9879" t="s">
        <v>111</v>
      </c>
      <c r="B9879" t="str">
        <f>ADDRESS(ROW(Parcels!B306),COLUMN(Parcels!B1148),4)</f>
        <v>B306</v>
      </c>
      <c r="C9879" t="str">
        <f>ADDRESS(ROW(Parcels!D306),COLUMN(Parcels!D306),4)</f>
        <v>D306</v>
      </c>
      <c r="D9879" s="46" t="b">
        <f>IF(AND(Parcels!B306="Current",'Six-Yr Rule'!B307&lt;=Year_DestinationYearID),IF((SUMIFS('Bond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879" t="s">
        <v>1641</v>
      </c>
      <c r="F9879" t="str">
        <f>INDEX(Lists!I:I,MATCH(Validation!E9879,Lists!G:G,0))</f>
        <v>Alert</v>
      </c>
      <c r="G9879" t="str">
        <f>INDEX(Lists!H:H,MATCH(Validation!E9879,Lists!G:G,0))</f>
        <v>This parcel does not appear to be pledged to an outstanding in-district obligation.</v>
      </c>
      <c r="H9879" s="25" t="str">
        <f t="shared" ca="1" si="1107"/>
        <v/>
      </c>
      <c r="I9879" s="25" t="str">
        <f t="shared" ca="1" si="1108"/>
        <v/>
      </c>
      <c r="J9879" s="26" t="str">
        <f t="shared" si="1109"/>
        <v/>
      </c>
    </row>
    <row r="9880" spans="1:10" x14ac:dyDescent="0.25">
      <c r="A9880" t="s">
        <v>111</v>
      </c>
      <c r="B9880" t="str">
        <f>ADDRESS(ROW(Parcels!B307),COLUMN(Parcels!B1149),4)</f>
        <v>B307</v>
      </c>
      <c r="C9880" t="str">
        <f>ADDRESS(ROW(Parcels!D307),COLUMN(Parcels!D307),4)</f>
        <v>D307</v>
      </c>
      <c r="D9880" s="46" t="b">
        <f>IF(AND(Parcels!B307="Current",'Six-Yr Rule'!B308&lt;=Year_DestinationYearID),IF((SUMIFS('Bond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880" t="s">
        <v>1641</v>
      </c>
      <c r="F9880" t="str">
        <f>INDEX(Lists!I:I,MATCH(Validation!E9880,Lists!G:G,0))</f>
        <v>Alert</v>
      </c>
      <c r="G9880" t="str">
        <f>INDEX(Lists!H:H,MATCH(Validation!E9880,Lists!G:G,0))</f>
        <v>This parcel does not appear to be pledged to an outstanding in-district obligation.</v>
      </c>
      <c r="H9880" s="25" t="str">
        <f t="shared" ca="1" si="1107"/>
        <v/>
      </c>
      <c r="I9880" s="25" t="str">
        <f t="shared" ca="1" si="1108"/>
        <v/>
      </c>
      <c r="J9880" s="26" t="str">
        <f t="shared" si="1109"/>
        <v/>
      </c>
    </row>
    <row r="9881" spans="1:10" x14ac:dyDescent="0.25">
      <c r="A9881" t="s">
        <v>111</v>
      </c>
      <c r="B9881" t="str">
        <f>ADDRESS(ROW(Parcels!B308),COLUMN(Parcels!B1150),4)</f>
        <v>B308</v>
      </c>
      <c r="C9881" t="str">
        <f>ADDRESS(ROW(Parcels!D308),COLUMN(Parcels!D308),4)</f>
        <v>D308</v>
      </c>
      <c r="D9881" s="46" t="b">
        <f>IF(AND(Parcels!B308="Current",'Six-Yr Rule'!B309&lt;=Year_DestinationYearID),IF((SUMIFS('Bond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881" t="s">
        <v>1641</v>
      </c>
      <c r="F9881" t="str">
        <f>INDEX(Lists!I:I,MATCH(Validation!E9881,Lists!G:G,0))</f>
        <v>Alert</v>
      </c>
      <c r="G9881" t="str">
        <f>INDEX(Lists!H:H,MATCH(Validation!E9881,Lists!G:G,0))</f>
        <v>This parcel does not appear to be pledged to an outstanding in-district obligation.</v>
      </c>
      <c r="H9881" s="25" t="str">
        <f t="shared" ca="1" si="1107"/>
        <v/>
      </c>
      <c r="I9881" s="25" t="str">
        <f t="shared" ca="1" si="1108"/>
        <v/>
      </c>
      <c r="J9881" s="26" t="str">
        <f t="shared" si="1109"/>
        <v/>
      </c>
    </row>
    <row r="9882" spans="1:10" x14ac:dyDescent="0.25">
      <c r="A9882" t="s">
        <v>111</v>
      </c>
      <c r="B9882" t="str">
        <f>ADDRESS(ROW(Parcels!B309),COLUMN(Parcels!B1151),4)</f>
        <v>B309</v>
      </c>
      <c r="C9882" t="str">
        <f>ADDRESS(ROW(Parcels!D309),COLUMN(Parcels!D309),4)</f>
        <v>D309</v>
      </c>
      <c r="D9882" s="46" t="b">
        <f>IF(AND(Parcels!B309="Current",'Six-Yr Rule'!B310&lt;=Year_DestinationYearID),IF((SUMIFS('Bond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882" t="s">
        <v>1641</v>
      </c>
      <c r="F9882" t="str">
        <f>INDEX(Lists!I:I,MATCH(Validation!E9882,Lists!G:G,0))</f>
        <v>Alert</v>
      </c>
      <c r="G9882" t="str">
        <f>INDEX(Lists!H:H,MATCH(Validation!E9882,Lists!G:G,0))</f>
        <v>This parcel does not appear to be pledged to an outstanding in-district obligation.</v>
      </c>
      <c r="H9882" s="25" t="str">
        <f t="shared" ca="1" si="1107"/>
        <v/>
      </c>
      <c r="I9882" s="25" t="str">
        <f t="shared" ca="1" si="1108"/>
        <v/>
      </c>
      <c r="J9882" s="26" t="str">
        <f t="shared" si="1109"/>
        <v/>
      </c>
    </row>
    <row r="9883" spans="1:10" x14ac:dyDescent="0.25">
      <c r="A9883" t="s">
        <v>111</v>
      </c>
      <c r="B9883" t="str">
        <f>ADDRESS(ROW(Parcels!B310),COLUMN(Parcels!B1152),4)</f>
        <v>B310</v>
      </c>
      <c r="C9883" t="str">
        <f>ADDRESS(ROW(Parcels!D310),COLUMN(Parcels!D310),4)</f>
        <v>D310</v>
      </c>
      <c r="D9883" s="46" t="b">
        <f>IF(AND(Parcels!B310="Current",'Six-Yr Rule'!B311&lt;=Year_DestinationYearID),IF((SUMIFS('Bond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883" t="s">
        <v>1641</v>
      </c>
      <c r="F9883" t="str">
        <f>INDEX(Lists!I:I,MATCH(Validation!E9883,Lists!G:G,0))</f>
        <v>Alert</v>
      </c>
      <c r="G9883" t="str">
        <f>INDEX(Lists!H:H,MATCH(Validation!E9883,Lists!G:G,0))</f>
        <v>This parcel does not appear to be pledged to an outstanding in-district obligation.</v>
      </c>
      <c r="H9883" s="25" t="str">
        <f t="shared" ca="1" si="1107"/>
        <v/>
      </c>
      <c r="I9883" s="25" t="str">
        <f t="shared" ca="1" si="1108"/>
        <v/>
      </c>
      <c r="J9883" s="26" t="str">
        <f t="shared" si="1109"/>
        <v/>
      </c>
    </row>
    <row r="9884" spans="1:10" x14ac:dyDescent="0.25">
      <c r="A9884" t="s">
        <v>111</v>
      </c>
      <c r="B9884" t="str">
        <f>ADDRESS(ROW(Parcels!B311),COLUMN(Parcels!B1153),4)</f>
        <v>B311</v>
      </c>
      <c r="C9884" t="str">
        <f>ADDRESS(ROW(Parcels!D311),COLUMN(Parcels!D311),4)</f>
        <v>D311</v>
      </c>
      <c r="D9884" s="46" t="b">
        <f>IF(AND(Parcels!B311="Current",'Six-Yr Rule'!B312&lt;=Year_DestinationYearID),IF((SUMIFS('Bond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884" t="s">
        <v>1641</v>
      </c>
      <c r="F9884" t="str">
        <f>INDEX(Lists!I:I,MATCH(Validation!E9884,Lists!G:G,0))</f>
        <v>Alert</v>
      </c>
      <c r="G9884" t="str">
        <f>INDEX(Lists!H:H,MATCH(Validation!E9884,Lists!G:G,0))</f>
        <v>This parcel does not appear to be pledged to an outstanding in-district obligation.</v>
      </c>
      <c r="H9884" s="25" t="str">
        <f t="shared" ca="1" si="1107"/>
        <v/>
      </c>
      <c r="I9884" s="25" t="str">
        <f t="shared" ca="1" si="1108"/>
        <v/>
      </c>
      <c r="J9884" s="26" t="str">
        <f t="shared" si="1109"/>
        <v/>
      </c>
    </row>
    <row r="9885" spans="1:10" x14ac:dyDescent="0.25">
      <c r="A9885" t="s">
        <v>111</v>
      </c>
      <c r="B9885" t="str">
        <f>ADDRESS(ROW(Parcels!B312),COLUMN(Parcels!B1154),4)</f>
        <v>B312</v>
      </c>
      <c r="C9885" t="str">
        <f>ADDRESS(ROW(Parcels!D312),COLUMN(Parcels!D312),4)</f>
        <v>D312</v>
      </c>
      <c r="D9885" s="46" t="b">
        <f>IF(AND(Parcels!B312="Current",'Six-Yr Rule'!B313&lt;=Year_DestinationYearID),IF((SUMIFS('Bond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885" t="s">
        <v>1641</v>
      </c>
      <c r="F9885" t="str">
        <f>INDEX(Lists!I:I,MATCH(Validation!E9885,Lists!G:G,0))</f>
        <v>Alert</v>
      </c>
      <c r="G9885" t="str">
        <f>INDEX(Lists!H:H,MATCH(Validation!E9885,Lists!G:G,0))</f>
        <v>This parcel does not appear to be pledged to an outstanding in-district obligation.</v>
      </c>
      <c r="H9885" s="25" t="str">
        <f t="shared" ca="1" si="1107"/>
        <v/>
      </c>
      <c r="I9885" s="25" t="str">
        <f t="shared" ca="1" si="1108"/>
        <v/>
      </c>
      <c r="J9885" s="26" t="str">
        <f t="shared" si="1109"/>
        <v/>
      </c>
    </row>
    <row r="9886" spans="1:10" x14ac:dyDescent="0.25">
      <c r="A9886" t="s">
        <v>111</v>
      </c>
      <c r="B9886" t="str">
        <f>ADDRESS(ROW(Parcels!B313),COLUMN(Parcels!B1155),4)</f>
        <v>B313</v>
      </c>
      <c r="C9886" t="str">
        <f>ADDRESS(ROW(Parcels!D313),COLUMN(Parcels!D313),4)</f>
        <v>D313</v>
      </c>
      <c r="D9886" s="46" t="b">
        <f>IF(AND(Parcels!B313="Current",'Six-Yr Rule'!B314&lt;=Year_DestinationYearID),IF((SUMIFS('Bond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886" t="s">
        <v>1641</v>
      </c>
      <c r="F9886" t="str">
        <f>INDEX(Lists!I:I,MATCH(Validation!E9886,Lists!G:G,0))</f>
        <v>Alert</v>
      </c>
      <c r="G9886" t="str">
        <f>INDEX(Lists!H:H,MATCH(Validation!E9886,Lists!G:G,0))</f>
        <v>This parcel does not appear to be pledged to an outstanding in-district obligation.</v>
      </c>
      <c r="H9886" s="25" t="str">
        <f t="shared" ca="1" si="1107"/>
        <v/>
      </c>
      <c r="I9886" s="25" t="str">
        <f t="shared" ca="1" si="1108"/>
        <v/>
      </c>
      <c r="J9886" s="26" t="str">
        <f t="shared" si="1109"/>
        <v/>
      </c>
    </row>
    <row r="9887" spans="1:10" x14ac:dyDescent="0.25">
      <c r="A9887" t="s">
        <v>111</v>
      </c>
      <c r="B9887" t="str">
        <f>ADDRESS(ROW(Parcels!B314),COLUMN(Parcels!B1156),4)</f>
        <v>B314</v>
      </c>
      <c r="C9887" t="str">
        <f>ADDRESS(ROW(Parcels!D314),COLUMN(Parcels!D314),4)</f>
        <v>D314</v>
      </c>
      <c r="D9887" s="46" t="b">
        <f>IF(AND(Parcels!B314="Current",'Six-Yr Rule'!B315&lt;=Year_DestinationYearID),IF((SUMIFS('Bond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887" t="s">
        <v>1641</v>
      </c>
      <c r="F9887" t="str">
        <f>INDEX(Lists!I:I,MATCH(Validation!E9887,Lists!G:G,0))</f>
        <v>Alert</v>
      </c>
      <c r="G9887" t="str">
        <f>INDEX(Lists!H:H,MATCH(Validation!E9887,Lists!G:G,0))</f>
        <v>This parcel does not appear to be pledged to an outstanding in-district obligation.</v>
      </c>
      <c r="H9887" s="25" t="str">
        <f t="shared" ca="1" si="1107"/>
        <v/>
      </c>
      <c r="I9887" s="25" t="str">
        <f t="shared" ca="1" si="1108"/>
        <v/>
      </c>
      <c r="J9887" s="26" t="str">
        <f t="shared" si="1109"/>
        <v/>
      </c>
    </row>
    <row r="9888" spans="1:10" x14ac:dyDescent="0.25">
      <c r="A9888" t="s">
        <v>111</v>
      </c>
      <c r="B9888" t="str">
        <f>ADDRESS(ROW(Parcels!B315),COLUMN(Parcels!B1157),4)</f>
        <v>B315</v>
      </c>
      <c r="C9888" t="str">
        <f>ADDRESS(ROW(Parcels!D315),COLUMN(Parcels!D315),4)</f>
        <v>D315</v>
      </c>
      <c r="D9888" s="46" t="b">
        <f>IF(AND(Parcels!B315="Current",'Six-Yr Rule'!B316&lt;=Year_DestinationYearID),IF((SUMIFS('Bond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888" t="s">
        <v>1641</v>
      </c>
      <c r="F9888" t="str">
        <f>INDEX(Lists!I:I,MATCH(Validation!E9888,Lists!G:G,0))</f>
        <v>Alert</v>
      </c>
      <c r="G9888" t="str">
        <f>INDEX(Lists!H:H,MATCH(Validation!E9888,Lists!G:G,0))</f>
        <v>This parcel does not appear to be pledged to an outstanding in-district obligation.</v>
      </c>
      <c r="H9888" s="25" t="str">
        <f t="shared" ca="1" si="1107"/>
        <v/>
      </c>
      <c r="I9888" s="25" t="str">
        <f t="shared" ca="1" si="1108"/>
        <v/>
      </c>
      <c r="J9888" s="26" t="str">
        <f t="shared" si="1109"/>
        <v/>
      </c>
    </row>
    <row r="9889" spans="1:10" x14ac:dyDescent="0.25">
      <c r="A9889" t="s">
        <v>111</v>
      </c>
      <c r="B9889" t="str">
        <f>ADDRESS(ROW(Parcels!B316),COLUMN(Parcels!B1158),4)</f>
        <v>B316</v>
      </c>
      <c r="C9889" t="str">
        <f>ADDRESS(ROW(Parcels!D316),COLUMN(Parcels!D316),4)</f>
        <v>D316</v>
      </c>
      <c r="D9889" s="46" t="b">
        <f>IF(AND(Parcels!B316="Current",'Six-Yr Rule'!B317&lt;=Year_DestinationYearID),IF((SUMIFS('Bond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889" t="s">
        <v>1641</v>
      </c>
      <c r="F9889" t="str">
        <f>INDEX(Lists!I:I,MATCH(Validation!E9889,Lists!G:G,0))</f>
        <v>Alert</v>
      </c>
      <c r="G9889" t="str">
        <f>INDEX(Lists!H:H,MATCH(Validation!E9889,Lists!G:G,0))</f>
        <v>This parcel does not appear to be pledged to an outstanding in-district obligation.</v>
      </c>
      <c r="H9889" s="25" t="str">
        <f t="shared" ca="1" si="1107"/>
        <v/>
      </c>
      <c r="I9889" s="25" t="str">
        <f t="shared" ca="1" si="1108"/>
        <v/>
      </c>
      <c r="J9889" s="26" t="str">
        <f t="shared" si="1109"/>
        <v/>
      </c>
    </row>
    <row r="9890" spans="1:10" x14ac:dyDescent="0.25">
      <c r="A9890" t="s">
        <v>111</v>
      </c>
      <c r="B9890" t="str">
        <f>ADDRESS(ROW(Parcels!B317),COLUMN(Parcels!B1159),4)</f>
        <v>B317</v>
      </c>
      <c r="C9890" t="str">
        <f>ADDRESS(ROW(Parcels!D317),COLUMN(Parcels!D317),4)</f>
        <v>D317</v>
      </c>
      <c r="D9890" s="46" t="b">
        <f>IF(AND(Parcels!B317="Current",'Six-Yr Rule'!B318&lt;=Year_DestinationYearID),IF((SUMIFS('Bond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890" t="s">
        <v>1641</v>
      </c>
      <c r="F9890" t="str">
        <f>INDEX(Lists!I:I,MATCH(Validation!E9890,Lists!G:G,0))</f>
        <v>Alert</v>
      </c>
      <c r="G9890" t="str">
        <f>INDEX(Lists!H:H,MATCH(Validation!E9890,Lists!G:G,0))</f>
        <v>This parcel does not appear to be pledged to an outstanding in-district obligation.</v>
      </c>
      <c r="H9890" s="25" t="str">
        <f t="shared" ca="1" si="1107"/>
        <v/>
      </c>
      <c r="I9890" s="25" t="str">
        <f t="shared" ca="1" si="1108"/>
        <v/>
      </c>
      <c r="J9890" s="26" t="str">
        <f t="shared" si="1109"/>
        <v/>
      </c>
    </row>
    <row r="9891" spans="1:10" x14ac:dyDescent="0.25">
      <c r="A9891" t="s">
        <v>111</v>
      </c>
      <c r="B9891" t="str">
        <f>ADDRESS(ROW(Parcels!B318),COLUMN(Parcels!B1160),4)</f>
        <v>B318</v>
      </c>
      <c r="C9891" t="str">
        <f>ADDRESS(ROW(Parcels!D318),COLUMN(Parcels!D318),4)</f>
        <v>D318</v>
      </c>
      <c r="D9891" s="46" t="b">
        <f>IF(AND(Parcels!B318="Current",'Six-Yr Rule'!B319&lt;=Year_DestinationYearID),IF((SUMIFS('Bond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891" t="s">
        <v>1641</v>
      </c>
      <c r="F9891" t="str">
        <f>INDEX(Lists!I:I,MATCH(Validation!E9891,Lists!G:G,0))</f>
        <v>Alert</v>
      </c>
      <c r="G9891" t="str">
        <f>INDEX(Lists!H:H,MATCH(Validation!E9891,Lists!G:G,0))</f>
        <v>This parcel does not appear to be pledged to an outstanding in-district obligation.</v>
      </c>
      <c r="H9891" s="25" t="str">
        <f t="shared" ca="1" si="1107"/>
        <v/>
      </c>
      <c r="I9891" s="25" t="str">
        <f t="shared" ca="1" si="1108"/>
        <v/>
      </c>
      <c r="J9891" s="26" t="str">
        <f t="shared" si="1109"/>
        <v/>
      </c>
    </row>
    <row r="9892" spans="1:10" x14ac:dyDescent="0.25">
      <c r="A9892" t="s">
        <v>111</v>
      </c>
      <c r="B9892" t="str">
        <f>ADDRESS(ROW(Parcels!B319),COLUMN(Parcels!B1161),4)</f>
        <v>B319</v>
      </c>
      <c r="C9892" t="str">
        <f>ADDRESS(ROW(Parcels!D319),COLUMN(Parcels!D319),4)</f>
        <v>D319</v>
      </c>
      <c r="D9892" s="46" t="b">
        <f>IF(AND(Parcels!B319="Current",'Six-Yr Rule'!B320&lt;=Year_DestinationYearID),IF((SUMIFS('Bond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892" t="s">
        <v>1641</v>
      </c>
      <c r="F9892" t="str">
        <f>INDEX(Lists!I:I,MATCH(Validation!E9892,Lists!G:G,0))</f>
        <v>Alert</v>
      </c>
      <c r="G9892" t="str">
        <f>INDEX(Lists!H:H,MATCH(Validation!E9892,Lists!G:G,0))</f>
        <v>This parcel does not appear to be pledged to an outstanding in-district obligation.</v>
      </c>
      <c r="H9892" s="25" t="str">
        <f t="shared" ca="1" si="1107"/>
        <v/>
      </c>
      <c r="I9892" s="25" t="str">
        <f t="shared" ca="1" si="1108"/>
        <v/>
      </c>
      <c r="J9892" s="26" t="str">
        <f t="shared" si="1109"/>
        <v/>
      </c>
    </row>
    <row r="9893" spans="1:10" x14ac:dyDescent="0.25">
      <c r="A9893" t="s">
        <v>111</v>
      </c>
      <c r="B9893" t="str">
        <f>ADDRESS(ROW(Parcels!B320),COLUMN(Parcels!B1162),4)</f>
        <v>B320</v>
      </c>
      <c r="C9893" t="str">
        <f>ADDRESS(ROW(Parcels!D320),COLUMN(Parcels!D320),4)</f>
        <v>D320</v>
      </c>
      <c r="D9893" s="46" t="b">
        <f>IF(AND(Parcels!B320="Current",'Six-Yr Rule'!B321&lt;=Year_DestinationYearID),IF((SUMIFS('Bond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893" t="s">
        <v>1641</v>
      </c>
      <c r="F9893" t="str">
        <f>INDEX(Lists!I:I,MATCH(Validation!E9893,Lists!G:G,0))</f>
        <v>Alert</v>
      </c>
      <c r="G9893" t="str">
        <f>INDEX(Lists!H:H,MATCH(Validation!E9893,Lists!G:G,0))</f>
        <v>This parcel does not appear to be pledged to an outstanding in-district obligation.</v>
      </c>
      <c r="H9893" s="25" t="str">
        <f t="shared" ca="1" si="1107"/>
        <v/>
      </c>
      <c r="I9893" s="25" t="str">
        <f t="shared" ca="1" si="1108"/>
        <v/>
      </c>
      <c r="J9893" s="26" t="str">
        <f t="shared" si="1109"/>
        <v/>
      </c>
    </row>
    <row r="9894" spans="1:10" x14ac:dyDescent="0.25">
      <c r="A9894" t="s">
        <v>111</v>
      </c>
      <c r="B9894" t="str">
        <f>ADDRESS(ROW(Parcels!B321),COLUMN(Parcels!B1163),4)</f>
        <v>B321</v>
      </c>
      <c r="C9894" t="str">
        <f>ADDRESS(ROW(Parcels!D321),COLUMN(Parcels!D321),4)</f>
        <v>D321</v>
      </c>
      <c r="D9894" s="46" t="b">
        <f>IF(AND(Parcels!B321="Current",'Six-Yr Rule'!B322&lt;=Year_DestinationYearID),IF((SUMIFS('Bond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894" t="s">
        <v>1641</v>
      </c>
      <c r="F9894" t="str">
        <f>INDEX(Lists!I:I,MATCH(Validation!E9894,Lists!G:G,0))</f>
        <v>Alert</v>
      </c>
      <c r="G9894" t="str">
        <f>INDEX(Lists!H:H,MATCH(Validation!E9894,Lists!G:G,0))</f>
        <v>This parcel does not appear to be pledged to an outstanding in-district obligation.</v>
      </c>
      <c r="H9894" s="25" t="str">
        <f t="shared" ca="1" si="1107"/>
        <v/>
      </c>
      <c r="I9894" s="25" t="str">
        <f t="shared" ca="1" si="1108"/>
        <v/>
      </c>
      <c r="J9894" s="26" t="str">
        <f t="shared" si="1109"/>
        <v/>
      </c>
    </row>
    <row r="9895" spans="1:10" x14ac:dyDescent="0.25">
      <c r="A9895" t="s">
        <v>111</v>
      </c>
      <c r="B9895" t="str">
        <f>ADDRESS(ROW(Parcels!B322),COLUMN(Parcels!B1164),4)</f>
        <v>B322</v>
      </c>
      <c r="C9895" t="str">
        <f>ADDRESS(ROW(Parcels!D322),COLUMN(Parcels!D322),4)</f>
        <v>D322</v>
      </c>
      <c r="D9895" s="46" t="b">
        <f>IF(AND(Parcels!B322="Current",'Six-Yr Rule'!B323&lt;=Year_DestinationYearID),IF((SUMIFS('Bond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895" t="s">
        <v>1641</v>
      </c>
      <c r="F9895" t="str">
        <f>INDEX(Lists!I:I,MATCH(Validation!E9895,Lists!G:G,0))</f>
        <v>Alert</v>
      </c>
      <c r="G9895" t="str">
        <f>INDEX(Lists!H:H,MATCH(Validation!E9895,Lists!G:G,0))</f>
        <v>This parcel does not appear to be pledged to an outstanding in-district obligation.</v>
      </c>
      <c r="H9895" s="25" t="str">
        <f t="shared" ca="1" si="1107"/>
        <v/>
      </c>
      <c r="I9895" s="25" t="str">
        <f t="shared" ca="1" si="1108"/>
        <v/>
      </c>
      <c r="J9895" s="26" t="str">
        <f t="shared" si="1109"/>
        <v/>
      </c>
    </row>
    <row r="9896" spans="1:10" x14ac:dyDescent="0.25">
      <c r="A9896" t="s">
        <v>111</v>
      </c>
      <c r="B9896" t="str">
        <f>ADDRESS(ROW(Parcels!B323),COLUMN(Parcels!B1165),4)</f>
        <v>B323</v>
      </c>
      <c r="C9896" t="str">
        <f>ADDRESS(ROW(Parcels!D323),COLUMN(Parcels!D323),4)</f>
        <v>D323</v>
      </c>
      <c r="D9896" s="46" t="b">
        <f>IF(AND(Parcels!B323="Current",'Six-Yr Rule'!B324&lt;=Year_DestinationYearID),IF((SUMIFS('Bond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896" t="s">
        <v>1641</v>
      </c>
      <c r="F9896" t="str">
        <f>INDEX(Lists!I:I,MATCH(Validation!E9896,Lists!G:G,0))</f>
        <v>Alert</v>
      </c>
      <c r="G9896" t="str">
        <f>INDEX(Lists!H:H,MATCH(Validation!E9896,Lists!G:G,0))</f>
        <v>This parcel does not appear to be pledged to an outstanding in-district obligation.</v>
      </c>
      <c r="H9896" s="25" t="str">
        <f t="shared" ca="1" si="1107"/>
        <v/>
      </c>
      <c r="I9896" s="25" t="str">
        <f t="shared" ca="1" si="1108"/>
        <v/>
      </c>
      <c r="J9896" s="26" t="str">
        <f t="shared" si="1109"/>
        <v/>
      </c>
    </row>
    <row r="9897" spans="1:10" x14ac:dyDescent="0.25">
      <c r="A9897" t="s">
        <v>111</v>
      </c>
      <c r="B9897" t="str">
        <f>ADDRESS(ROW(Parcels!B324),COLUMN(Parcels!B1166),4)</f>
        <v>B324</v>
      </c>
      <c r="C9897" t="str">
        <f>ADDRESS(ROW(Parcels!D324),COLUMN(Parcels!D324),4)</f>
        <v>D324</v>
      </c>
      <c r="D9897" s="46" t="b">
        <f>IF(AND(Parcels!B324="Current",'Six-Yr Rule'!B325&lt;=Year_DestinationYearID),IF((SUMIFS('Bond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897" t="s">
        <v>1641</v>
      </c>
      <c r="F9897" t="str">
        <f>INDEX(Lists!I:I,MATCH(Validation!E9897,Lists!G:G,0))</f>
        <v>Alert</v>
      </c>
      <c r="G9897" t="str">
        <f>INDEX(Lists!H:H,MATCH(Validation!E9897,Lists!G:G,0))</f>
        <v>This parcel does not appear to be pledged to an outstanding in-district obligation.</v>
      </c>
      <c r="H9897" s="25" t="str">
        <f t="shared" ca="1" si="1107"/>
        <v/>
      </c>
      <c r="I9897" s="25" t="str">
        <f t="shared" ca="1" si="1108"/>
        <v/>
      </c>
      <c r="J9897" s="26" t="str">
        <f t="shared" si="1109"/>
        <v/>
      </c>
    </row>
    <row r="9898" spans="1:10" x14ac:dyDescent="0.25">
      <c r="A9898" t="s">
        <v>111</v>
      </c>
      <c r="B9898" t="str">
        <f>ADDRESS(ROW(Parcels!B325),COLUMN(Parcels!B1167),4)</f>
        <v>B325</v>
      </c>
      <c r="C9898" t="str">
        <f>ADDRESS(ROW(Parcels!D325),COLUMN(Parcels!D325),4)</f>
        <v>D325</v>
      </c>
      <c r="D9898" s="46" t="b">
        <f>IF(AND(Parcels!B325="Current",'Six-Yr Rule'!B326&lt;=Year_DestinationYearID),IF((SUMIFS('Bond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898" t="s">
        <v>1641</v>
      </c>
      <c r="F9898" t="str">
        <f>INDEX(Lists!I:I,MATCH(Validation!E9898,Lists!G:G,0))</f>
        <v>Alert</v>
      </c>
      <c r="G9898" t="str">
        <f>INDEX(Lists!H:H,MATCH(Validation!E9898,Lists!G:G,0))</f>
        <v>This parcel does not appear to be pledged to an outstanding in-district obligation.</v>
      </c>
      <c r="H9898" s="25" t="str">
        <f t="shared" ca="1" si="1107"/>
        <v/>
      </c>
      <c r="I9898" s="25" t="str">
        <f t="shared" ca="1" si="1108"/>
        <v/>
      </c>
      <c r="J9898" s="26" t="str">
        <f t="shared" si="1109"/>
        <v/>
      </c>
    </row>
    <row r="9899" spans="1:10" x14ac:dyDescent="0.25">
      <c r="A9899" t="s">
        <v>111</v>
      </c>
      <c r="B9899" t="str">
        <f>ADDRESS(ROW(Parcels!B326),COLUMN(Parcels!B1168),4)</f>
        <v>B326</v>
      </c>
      <c r="C9899" t="str">
        <f>ADDRESS(ROW(Parcels!D326),COLUMN(Parcels!D326),4)</f>
        <v>D326</v>
      </c>
      <c r="D9899" s="46" t="b">
        <f>IF(AND(Parcels!B326="Current",'Six-Yr Rule'!B327&lt;=Year_DestinationYearID),IF((SUMIFS('Bond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899" t="s">
        <v>1641</v>
      </c>
      <c r="F9899" t="str">
        <f>INDEX(Lists!I:I,MATCH(Validation!E9899,Lists!G:G,0))</f>
        <v>Alert</v>
      </c>
      <c r="G9899" t="str">
        <f>INDEX(Lists!H:H,MATCH(Validation!E9899,Lists!G:G,0))</f>
        <v>This parcel does not appear to be pledged to an outstanding in-district obligation.</v>
      </c>
      <c r="H9899" s="25" t="str">
        <f t="shared" ca="1" si="1107"/>
        <v/>
      </c>
      <c r="I9899" s="25" t="str">
        <f t="shared" ca="1" si="1108"/>
        <v/>
      </c>
      <c r="J9899" s="26" t="str">
        <f t="shared" si="1109"/>
        <v/>
      </c>
    </row>
    <row r="9900" spans="1:10" x14ac:dyDescent="0.25">
      <c r="A9900" t="s">
        <v>111</v>
      </c>
      <c r="B9900" t="str">
        <f>ADDRESS(ROW(Parcels!B327),COLUMN(Parcels!B1169),4)</f>
        <v>B327</v>
      </c>
      <c r="C9900" t="str">
        <f>ADDRESS(ROW(Parcels!D327),COLUMN(Parcels!D327),4)</f>
        <v>D327</v>
      </c>
      <c r="D9900" s="46" t="b">
        <f>IF(AND(Parcels!B327="Current",'Six-Yr Rule'!B328&lt;=Year_DestinationYearID),IF((SUMIFS('Bond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900" t="s">
        <v>1641</v>
      </c>
      <c r="F9900" t="str">
        <f>INDEX(Lists!I:I,MATCH(Validation!E9900,Lists!G:G,0))</f>
        <v>Alert</v>
      </c>
      <c r="G9900" t="str">
        <f>INDEX(Lists!H:H,MATCH(Validation!E9900,Lists!G:G,0))</f>
        <v>This parcel does not appear to be pledged to an outstanding in-district obligation.</v>
      </c>
      <c r="H9900" s="25" t="str">
        <f t="shared" ca="1" si="1107"/>
        <v/>
      </c>
      <c r="I9900" s="25" t="str">
        <f t="shared" ca="1" si="1108"/>
        <v/>
      </c>
      <c r="J9900" s="26" t="str">
        <f t="shared" si="1109"/>
        <v/>
      </c>
    </row>
    <row r="9901" spans="1:10" x14ac:dyDescent="0.25">
      <c r="A9901" t="s">
        <v>111</v>
      </c>
      <c r="B9901" t="str">
        <f>ADDRESS(ROW(Parcels!B328),COLUMN(Parcels!B1170),4)</f>
        <v>B328</v>
      </c>
      <c r="C9901" t="str">
        <f>ADDRESS(ROW(Parcels!D328),COLUMN(Parcels!D328),4)</f>
        <v>D328</v>
      </c>
      <c r="D9901" s="46" t="b">
        <f>IF(AND(Parcels!B328="Current",'Six-Yr Rule'!B329&lt;=Year_DestinationYearID),IF((SUMIFS('Bond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901" t="s">
        <v>1641</v>
      </c>
      <c r="F9901" t="str">
        <f>INDEX(Lists!I:I,MATCH(Validation!E9901,Lists!G:G,0))</f>
        <v>Alert</v>
      </c>
      <c r="G9901" t="str">
        <f>INDEX(Lists!H:H,MATCH(Validation!E9901,Lists!G:G,0))</f>
        <v>This parcel does not appear to be pledged to an outstanding in-district obligation.</v>
      </c>
      <c r="H9901" s="25" t="str">
        <f t="shared" ca="1" si="1107"/>
        <v/>
      </c>
      <c r="I9901" s="25" t="str">
        <f t="shared" ca="1" si="1108"/>
        <v/>
      </c>
      <c r="J9901" s="26" t="str">
        <f t="shared" si="1109"/>
        <v/>
      </c>
    </row>
    <row r="9902" spans="1:10" x14ac:dyDescent="0.25">
      <c r="A9902" t="s">
        <v>111</v>
      </c>
      <c r="B9902" t="str">
        <f>ADDRESS(ROW(Parcels!B329),COLUMN(Parcels!B1171),4)</f>
        <v>B329</v>
      </c>
      <c r="C9902" t="str">
        <f>ADDRESS(ROW(Parcels!D329),COLUMN(Parcels!D329),4)</f>
        <v>D329</v>
      </c>
      <c r="D9902" s="46" t="b">
        <f>IF(AND(Parcels!B329="Current",'Six-Yr Rule'!B330&lt;=Year_DestinationYearID),IF((SUMIFS('Bond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902" t="s">
        <v>1641</v>
      </c>
      <c r="F9902" t="str">
        <f>INDEX(Lists!I:I,MATCH(Validation!E9902,Lists!G:G,0))</f>
        <v>Alert</v>
      </c>
      <c r="G9902" t="str">
        <f>INDEX(Lists!H:H,MATCH(Validation!E9902,Lists!G:G,0))</f>
        <v>This parcel does not appear to be pledged to an outstanding in-district obligation.</v>
      </c>
      <c r="H9902" s="25" t="str">
        <f t="shared" ca="1" si="1107"/>
        <v/>
      </c>
      <c r="I9902" s="25" t="str">
        <f t="shared" ca="1" si="1108"/>
        <v/>
      </c>
      <c r="J9902" s="26" t="str">
        <f t="shared" si="1109"/>
        <v/>
      </c>
    </row>
    <row r="9903" spans="1:10" x14ac:dyDescent="0.25">
      <c r="A9903" t="s">
        <v>111</v>
      </c>
      <c r="B9903" t="str">
        <f>ADDRESS(ROW(Parcels!B330),COLUMN(Parcels!B1172),4)</f>
        <v>B330</v>
      </c>
      <c r="C9903" t="str">
        <f>ADDRESS(ROW(Parcels!D330),COLUMN(Parcels!D330),4)</f>
        <v>D330</v>
      </c>
      <c r="D9903" s="46" t="b">
        <f>IF(AND(Parcels!B330="Current",'Six-Yr Rule'!B331&lt;=Year_DestinationYearID),IF((SUMIFS('Bond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903" t="s">
        <v>1641</v>
      </c>
      <c r="F9903" t="str">
        <f>INDEX(Lists!I:I,MATCH(Validation!E9903,Lists!G:G,0))</f>
        <v>Alert</v>
      </c>
      <c r="G9903" t="str">
        <f>INDEX(Lists!H:H,MATCH(Validation!E9903,Lists!G:G,0))</f>
        <v>This parcel does not appear to be pledged to an outstanding in-district obligation.</v>
      </c>
      <c r="H9903" s="25" t="str">
        <f t="shared" ca="1" si="1107"/>
        <v/>
      </c>
      <c r="I9903" s="25" t="str">
        <f t="shared" ca="1" si="1108"/>
        <v/>
      </c>
      <c r="J9903" s="26" t="str">
        <f t="shared" si="1109"/>
        <v/>
      </c>
    </row>
    <row r="9904" spans="1:10" x14ac:dyDescent="0.25">
      <c r="A9904" t="s">
        <v>111</v>
      </c>
      <c r="B9904" t="str">
        <f>ADDRESS(ROW(Parcels!B331),COLUMN(Parcels!B1173),4)</f>
        <v>B331</v>
      </c>
      <c r="C9904" t="str">
        <f>ADDRESS(ROW(Parcels!D331),COLUMN(Parcels!D331),4)</f>
        <v>D331</v>
      </c>
      <c r="D9904" s="46" t="b">
        <f>IF(AND(Parcels!B331="Current",'Six-Yr Rule'!B332&lt;=Year_DestinationYearID),IF((SUMIFS('Bond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904" t="s">
        <v>1641</v>
      </c>
      <c r="F9904" t="str">
        <f>INDEX(Lists!I:I,MATCH(Validation!E9904,Lists!G:G,0))</f>
        <v>Alert</v>
      </c>
      <c r="G9904" t="str">
        <f>INDEX(Lists!H:H,MATCH(Validation!E9904,Lists!G:G,0))</f>
        <v>This parcel does not appear to be pledged to an outstanding in-district obligation.</v>
      </c>
      <c r="H9904" s="25" t="str">
        <f t="shared" ca="1" si="1107"/>
        <v/>
      </c>
      <c r="I9904" s="25" t="str">
        <f t="shared" ca="1" si="1108"/>
        <v/>
      </c>
      <c r="J9904" s="26" t="str">
        <f t="shared" si="1109"/>
        <v/>
      </c>
    </row>
    <row r="9905" spans="1:10" x14ac:dyDescent="0.25">
      <c r="A9905" t="s">
        <v>111</v>
      </c>
      <c r="B9905" t="str">
        <f>ADDRESS(ROW(Parcels!B332),COLUMN(Parcels!B1174),4)</f>
        <v>B332</v>
      </c>
      <c r="C9905" t="str">
        <f>ADDRESS(ROW(Parcels!D332),COLUMN(Parcels!D332),4)</f>
        <v>D332</v>
      </c>
      <c r="D9905" s="46" t="b">
        <f>IF(AND(Parcels!B332="Current",'Six-Yr Rule'!B333&lt;=Year_DestinationYearID),IF((SUMIFS('Bond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905" t="s">
        <v>1641</v>
      </c>
      <c r="F9905" t="str">
        <f>INDEX(Lists!I:I,MATCH(Validation!E9905,Lists!G:G,0))</f>
        <v>Alert</v>
      </c>
      <c r="G9905" t="str">
        <f>INDEX(Lists!H:H,MATCH(Validation!E9905,Lists!G:G,0))</f>
        <v>This parcel does not appear to be pledged to an outstanding in-district obligation.</v>
      </c>
      <c r="H9905" s="25" t="str">
        <f t="shared" ca="1" si="1107"/>
        <v/>
      </c>
      <c r="I9905" s="25" t="str">
        <f t="shared" ca="1" si="1108"/>
        <v/>
      </c>
      <c r="J9905" s="26" t="str">
        <f t="shared" si="1109"/>
        <v/>
      </c>
    </row>
    <row r="9906" spans="1:10" x14ac:dyDescent="0.25">
      <c r="A9906" t="s">
        <v>111</v>
      </c>
      <c r="B9906" t="str">
        <f>ADDRESS(ROW(Parcels!B333),COLUMN(Parcels!B1175),4)</f>
        <v>B333</v>
      </c>
      <c r="C9906" t="str">
        <f>ADDRESS(ROW(Parcels!D333),COLUMN(Parcels!D333),4)</f>
        <v>D333</v>
      </c>
      <c r="D9906" s="46" t="b">
        <f>IF(AND(Parcels!B333="Current",'Six-Yr Rule'!B334&lt;=Year_DestinationYearID),IF((SUMIFS('Bond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906" t="s">
        <v>1641</v>
      </c>
      <c r="F9906" t="str">
        <f>INDEX(Lists!I:I,MATCH(Validation!E9906,Lists!G:G,0))</f>
        <v>Alert</v>
      </c>
      <c r="G9906" t="str">
        <f>INDEX(Lists!H:H,MATCH(Validation!E9906,Lists!G:G,0))</f>
        <v>This parcel does not appear to be pledged to an outstanding in-district obligation.</v>
      </c>
      <c r="H9906" s="25" t="str">
        <f t="shared" ca="1" si="1107"/>
        <v/>
      </c>
      <c r="I9906" s="25" t="str">
        <f t="shared" ca="1" si="1108"/>
        <v/>
      </c>
      <c r="J9906" s="26" t="str">
        <f t="shared" si="1109"/>
        <v/>
      </c>
    </row>
    <row r="9907" spans="1:10" x14ac:dyDescent="0.25">
      <c r="A9907" t="s">
        <v>111</v>
      </c>
      <c r="B9907" t="str">
        <f>ADDRESS(ROW(Parcels!B334),COLUMN(Parcels!B1176),4)</f>
        <v>B334</v>
      </c>
      <c r="C9907" t="str">
        <f>ADDRESS(ROW(Parcels!D334),COLUMN(Parcels!D334),4)</f>
        <v>D334</v>
      </c>
      <c r="D9907" s="46" t="b">
        <f>IF(AND(Parcels!B334="Current",'Six-Yr Rule'!B335&lt;=Year_DestinationYearID),IF((SUMIFS('Bond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907" t="s">
        <v>1641</v>
      </c>
      <c r="F9907" t="str">
        <f>INDEX(Lists!I:I,MATCH(Validation!E9907,Lists!G:G,0))</f>
        <v>Alert</v>
      </c>
      <c r="G9907" t="str">
        <f>INDEX(Lists!H:H,MATCH(Validation!E9907,Lists!G:G,0))</f>
        <v>This parcel does not appear to be pledged to an outstanding in-district obligation.</v>
      </c>
      <c r="H9907" s="25" t="str">
        <f t="shared" ref="H9907:H9970" ca="1" si="1110">IFERROR(IF(OR(NOT(D9907),F9907&lt;&gt;"Error"),"",A9907&amp;CELL("address",INDIRECT(B9907))),"")</f>
        <v/>
      </c>
      <c r="I9907" s="25" t="str">
        <f t="shared" ref="I9907:I9970" ca="1" si="1111">IFERROR(IF(NOT(D9907),"",A9907&amp;CELL("address",INDIRECT(C9907))),"")</f>
        <v/>
      </c>
      <c r="J9907" s="26" t="str">
        <f t="shared" ref="J9907:J9970" si="1112">IFERROR(IF(NOT(D9907),"",A9907),"")</f>
        <v/>
      </c>
    </row>
    <row r="9908" spans="1:10" x14ac:dyDescent="0.25">
      <c r="A9908" t="s">
        <v>111</v>
      </c>
      <c r="B9908" t="str">
        <f>ADDRESS(ROW(Parcels!B335),COLUMN(Parcels!B1177),4)</f>
        <v>B335</v>
      </c>
      <c r="C9908" t="str">
        <f>ADDRESS(ROW(Parcels!D335),COLUMN(Parcels!D335),4)</f>
        <v>D335</v>
      </c>
      <c r="D9908" s="46" t="b">
        <f>IF(AND(Parcels!B335="Current",'Six-Yr Rule'!B336&lt;=Year_DestinationYearID),IF((SUMIFS('Bond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908" t="s">
        <v>1641</v>
      </c>
      <c r="F9908" t="str">
        <f>INDEX(Lists!I:I,MATCH(Validation!E9908,Lists!G:G,0))</f>
        <v>Alert</v>
      </c>
      <c r="G9908" t="str">
        <f>INDEX(Lists!H:H,MATCH(Validation!E9908,Lists!G:G,0))</f>
        <v>This parcel does not appear to be pledged to an outstanding in-district obligation.</v>
      </c>
      <c r="H9908" s="25" t="str">
        <f t="shared" ca="1" si="1110"/>
        <v/>
      </c>
      <c r="I9908" s="25" t="str">
        <f t="shared" ca="1" si="1111"/>
        <v/>
      </c>
      <c r="J9908" s="26" t="str">
        <f t="shared" si="1112"/>
        <v/>
      </c>
    </row>
    <row r="9909" spans="1:10" x14ac:dyDescent="0.25">
      <c r="A9909" t="s">
        <v>111</v>
      </c>
      <c r="B9909" t="str">
        <f>ADDRESS(ROW(Parcels!B336),COLUMN(Parcels!B1178),4)</f>
        <v>B336</v>
      </c>
      <c r="C9909" t="str">
        <f>ADDRESS(ROW(Parcels!D336),COLUMN(Parcels!D336),4)</f>
        <v>D336</v>
      </c>
      <c r="D9909" s="46" t="b">
        <f>IF(AND(Parcels!B336="Current",'Six-Yr Rule'!B337&lt;=Year_DestinationYearID),IF((SUMIFS('Bond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909" t="s">
        <v>1641</v>
      </c>
      <c r="F9909" t="str">
        <f>INDEX(Lists!I:I,MATCH(Validation!E9909,Lists!G:G,0))</f>
        <v>Alert</v>
      </c>
      <c r="G9909" t="str">
        <f>INDEX(Lists!H:H,MATCH(Validation!E9909,Lists!G:G,0))</f>
        <v>This parcel does not appear to be pledged to an outstanding in-district obligation.</v>
      </c>
      <c r="H9909" s="25" t="str">
        <f t="shared" ca="1" si="1110"/>
        <v/>
      </c>
      <c r="I9909" s="25" t="str">
        <f t="shared" ca="1" si="1111"/>
        <v/>
      </c>
      <c r="J9909" s="26" t="str">
        <f t="shared" si="1112"/>
        <v/>
      </c>
    </row>
    <row r="9910" spans="1:10" x14ac:dyDescent="0.25">
      <c r="A9910" t="s">
        <v>111</v>
      </c>
      <c r="B9910" t="str">
        <f>ADDRESS(ROW(Parcels!B337),COLUMN(Parcels!B1179),4)</f>
        <v>B337</v>
      </c>
      <c r="C9910" t="str">
        <f>ADDRESS(ROW(Parcels!D337),COLUMN(Parcels!D337),4)</f>
        <v>D337</v>
      </c>
      <c r="D9910" s="46" t="b">
        <f>IF(AND(Parcels!B337="Current",'Six-Yr Rule'!B338&lt;=Year_DestinationYearID),IF((SUMIFS('Bond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910" t="s">
        <v>1641</v>
      </c>
      <c r="F9910" t="str">
        <f>INDEX(Lists!I:I,MATCH(Validation!E9910,Lists!G:G,0))</f>
        <v>Alert</v>
      </c>
      <c r="G9910" t="str">
        <f>INDEX(Lists!H:H,MATCH(Validation!E9910,Lists!G:G,0))</f>
        <v>This parcel does not appear to be pledged to an outstanding in-district obligation.</v>
      </c>
      <c r="H9910" s="25" t="str">
        <f t="shared" ca="1" si="1110"/>
        <v/>
      </c>
      <c r="I9910" s="25" t="str">
        <f t="shared" ca="1" si="1111"/>
        <v/>
      </c>
      <c r="J9910" s="26" t="str">
        <f t="shared" si="1112"/>
        <v/>
      </c>
    </row>
    <row r="9911" spans="1:10" x14ac:dyDescent="0.25">
      <c r="A9911" t="s">
        <v>111</v>
      </c>
      <c r="B9911" t="str">
        <f>ADDRESS(ROW(Parcels!B338),COLUMN(Parcels!B1180),4)</f>
        <v>B338</v>
      </c>
      <c r="C9911" t="str">
        <f>ADDRESS(ROW(Parcels!D338),COLUMN(Parcels!D338),4)</f>
        <v>D338</v>
      </c>
      <c r="D9911" s="46" t="b">
        <f>IF(AND(Parcels!B338="Current",'Six-Yr Rule'!B339&lt;=Year_DestinationYearID),IF((SUMIFS('Bond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911" t="s">
        <v>1641</v>
      </c>
      <c r="F9911" t="str">
        <f>INDEX(Lists!I:I,MATCH(Validation!E9911,Lists!G:G,0))</f>
        <v>Alert</v>
      </c>
      <c r="G9911" t="str">
        <f>INDEX(Lists!H:H,MATCH(Validation!E9911,Lists!G:G,0))</f>
        <v>This parcel does not appear to be pledged to an outstanding in-district obligation.</v>
      </c>
      <c r="H9911" s="25" t="str">
        <f t="shared" ca="1" si="1110"/>
        <v/>
      </c>
      <c r="I9911" s="25" t="str">
        <f t="shared" ca="1" si="1111"/>
        <v/>
      </c>
      <c r="J9911" s="26" t="str">
        <f t="shared" si="1112"/>
        <v/>
      </c>
    </row>
    <row r="9912" spans="1:10" x14ac:dyDescent="0.25">
      <c r="A9912" t="s">
        <v>111</v>
      </c>
      <c r="B9912" t="str">
        <f>ADDRESS(ROW(Parcels!B339),COLUMN(Parcels!B1181),4)</f>
        <v>B339</v>
      </c>
      <c r="C9912" t="str">
        <f>ADDRESS(ROW(Parcels!D339),COLUMN(Parcels!D339),4)</f>
        <v>D339</v>
      </c>
      <c r="D9912" s="46" t="b">
        <f>IF(AND(Parcels!B339="Current",'Six-Yr Rule'!B340&lt;=Year_DestinationYearID),IF((SUMIFS('Bond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912" t="s">
        <v>1641</v>
      </c>
      <c r="F9912" t="str">
        <f>INDEX(Lists!I:I,MATCH(Validation!E9912,Lists!G:G,0))</f>
        <v>Alert</v>
      </c>
      <c r="G9912" t="str">
        <f>INDEX(Lists!H:H,MATCH(Validation!E9912,Lists!G:G,0))</f>
        <v>This parcel does not appear to be pledged to an outstanding in-district obligation.</v>
      </c>
      <c r="H9912" s="25" t="str">
        <f t="shared" ca="1" si="1110"/>
        <v/>
      </c>
      <c r="I9912" s="25" t="str">
        <f t="shared" ca="1" si="1111"/>
        <v/>
      </c>
      <c r="J9912" s="26" t="str">
        <f t="shared" si="1112"/>
        <v/>
      </c>
    </row>
    <row r="9913" spans="1:10" x14ac:dyDescent="0.25">
      <c r="A9913" t="s">
        <v>111</v>
      </c>
      <c r="B9913" t="str">
        <f>ADDRESS(ROW(Parcels!B340),COLUMN(Parcels!B1182),4)</f>
        <v>B340</v>
      </c>
      <c r="C9913" t="str">
        <f>ADDRESS(ROW(Parcels!D340),COLUMN(Parcels!D340),4)</f>
        <v>D340</v>
      </c>
      <c r="D9913" s="46" t="b">
        <f>IF(AND(Parcels!B340="Current",'Six-Yr Rule'!B341&lt;=Year_DestinationYearID),IF((SUMIFS('Bond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913" t="s">
        <v>1641</v>
      </c>
      <c r="F9913" t="str">
        <f>INDEX(Lists!I:I,MATCH(Validation!E9913,Lists!G:G,0))</f>
        <v>Alert</v>
      </c>
      <c r="G9913" t="str">
        <f>INDEX(Lists!H:H,MATCH(Validation!E9913,Lists!G:G,0))</f>
        <v>This parcel does not appear to be pledged to an outstanding in-district obligation.</v>
      </c>
      <c r="H9913" s="25" t="str">
        <f t="shared" ca="1" si="1110"/>
        <v/>
      </c>
      <c r="I9913" s="25" t="str">
        <f t="shared" ca="1" si="1111"/>
        <v/>
      </c>
      <c r="J9913" s="26" t="str">
        <f t="shared" si="1112"/>
        <v/>
      </c>
    </row>
    <row r="9914" spans="1:10" x14ac:dyDescent="0.25">
      <c r="A9914" t="s">
        <v>111</v>
      </c>
      <c r="B9914" t="str">
        <f>ADDRESS(ROW(Parcels!B341),COLUMN(Parcels!B1183),4)</f>
        <v>B341</v>
      </c>
      <c r="C9914" t="str">
        <f>ADDRESS(ROW(Parcels!D341),COLUMN(Parcels!D341),4)</f>
        <v>D341</v>
      </c>
      <c r="D9914" s="46" t="b">
        <f>IF(AND(Parcels!B341="Current",'Six-Yr Rule'!B342&lt;=Year_DestinationYearID),IF((SUMIFS('Bond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914" t="s">
        <v>1641</v>
      </c>
      <c r="F9914" t="str">
        <f>INDEX(Lists!I:I,MATCH(Validation!E9914,Lists!G:G,0))</f>
        <v>Alert</v>
      </c>
      <c r="G9914" t="str">
        <f>INDEX(Lists!H:H,MATCH(Validation!E9914,Lists!G:G,0))</f>
        <v>This parcel does not appear to be pledged to an outstanding in-district obligation.</v>
      </c>
      <c r="H9914" s="25" t="str">
        <f t="shared" ca="1" si="1110"/>
        <v/>
      </c>
      <c r="I9914" s="25" t="str">
        <f t="shared" ca="1" si="1111"/>
        <v/>
      </c>
      <c r="J9914" s="26" t="str">
        <f t="shared" si="1112"/>
        <v/>
      </c>
    </row>
    <row r="9915" spans="1:10" x14ac:dyDescent="0.25">
      <c r="A9915" t="s">
        <v>111</v>
      </c>
      <c r="B9915" t="str">
        <f>ADDRESS(ROW(Parcels!B342),COLUMN(Parcels!B1184),4)</f>
        <v>B342</v>
      </c>
      <c r="C9915" t="str">
        <f>ADDRESS(ROW(Parcels!D342),COLUMN(Parcels!D342),4)</f>
        <v>D342</v>
      </c>
      <c r="D9915" s="46" t="b">
        <f>IF(AND(Parcels!B342="Current",'Six-Yr Rule'!B343&lt;=Year_DestinationYearID),IF((SUMIFS('Bond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915" t="s">
        <v>1641</v>
      </c>
      <c r="F9915" t="str">
        <f>INDEX(Lists!I:I,MATCH(Validation!E9915,Lists!G:G,0))</f>
        <v>Alert</v>
      </c>
      <c r="G9915" t="str">
        <f>INDEX(Lists!H:H,MATCH(Validation!E9915,Lists!G:G,0))</f>
        <v>This parcel does not appear to be pledged to an outstanding in-district obligation.</v>
      </c>
      <c r="H9915" s="25" t="str">
        <f t="shared" ca="1" si="1110"/>
        <v/>
      </c>
      <c r="I9915" s="25" t="str">
        <f t="shared" ca="1" si="1111"/>
        <v/>
      </c>
      <c r="J9915" s="26" t="str">
        <f t="shared" si="1112"/>
        <v/>
      </c>
    </row>
    <row r="9916" spans="1:10" x14ac:dyDescent="0.25">
      <c r="A9916" t="s">
        <v>111</v>
      </c>
      <c r="B9916" t="str">
        <f>ADDRESS(ROW(Parcels!B343),COLUMN(Parcels!B1185),4)</f>
        <v>B343</v>
      </c>
      <c r="C9916" t="str">
        <f>ADDRESS(ROW(Parcels!D343),COLUMN(Parcels!D343),4)</f>
        <v>D343</v>
      </c>
      <c r="D9916" s="46" t="b">
        <f>IF(AND(Parcels!B343="Current",'Six-Yr Rule'!B344&lt;=Year_DestinationYearID),IF((SUMIFS('Bond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916" t="s">
        <v>1641</v>
      </c>
      <c r="F9916" t="str">
        <f>INDEX(Lists!I:I,MATCH(Validation!E9916,Lists!G:G,0))</f>
        <v>Alert</v>
      </c>
      <c r="G9916" t="str">
        <f>INDEX(Lists!H:H,MATCH(Validation!E9916,Lists!G:G,0))</f>
        <v>This parcel does not appear to be pledged to an outstanding in-district obligation.</v>
      </c>
      <c r="H9916" s="25" t="str">
        <f t="shared" ca="1" si="1110"/>
        <v/>
      </c>
      <c r="I9916" s="25" t="str">
        <f t="shared" ca="1" si="1111"/>
        <v/>
      </c>
      <c r="J9916" s="26" t="str">
        <f t="shared" si="1112"/>
        <v/>
      </c>
    </row>
    <row r="9917" spans="1:10" x14ac:dyDescent="0.25">
      <c r="A9917" t="s">
        <v>111</v>
      </c>
      <c r="B9917" t="str">
        <f>ADDRESS(ROW(Parcels!B344),COLUMN(Parcels!B1186),4)</f>
        <v>B344</v>
      </c>
      <c r="C9917" t="str">
        <f>ADDRESS(ROW(Parcels!D344),COLUMN(Parcels!D344),4)</f>
        <v>D344</v>
      </c>
      <c r="D9917" s="46" t="b">
        <f>IF(AND(Parcels!B344="Current",'Six-Yr Rule'!B345&lt;=Year_DestinationYearID),IF((SUMIFS('Bond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917" t="s">
        <v>1641</v>
      </c>
      <c r="F9917" t="str">
        <f>INDEX(Lists!I:I,MATCH(Validation!E9917,Lists!G:G,0))</f>
        <v>Alert</v>
      </c>
      <c r="G9917" t="str">
        <f>INDEX(Lists!H:H,MATCH(Validation!E9917,Lists!G:G,0))</f>
        <v>This parcel does not appear to be pledged to an outstanding in-district obligation.</v>
      </c>
      <c r="H9917" s="25" t="str">
        <f t="shared" ca="1" si="1110"/>
        <v/>
      </c>
      <c r="I9917" s="25" t="str">
        <f t="shared" ca="1" si="1111"/>
        <v/>
      </c>
      <c r="J9917" s="26" t="str">
        <f t="shared" si="1112"/>
        <v/>
      </c>
    </row>
    <row r="9918" spans="1:10" x14ac:dyDescent="0.25">
      <c r="A9918" t="s">
        <v>111</v>
      </c>
      <c r="B9918" t="str">
        <f>ADDRESS(ROW(Parcels!B345),COLUMN(Parcels!B1187),4)</f>
        <v>B345</v>
      </c>
      <c r="C9918" t="str">
        <f>ADDRESS(ROW(Parcels!D345),COLUMN(Parcels!D345),4)</f>
        <v>D345</v>
      </c>
      <c r="D9918" s="46" t="b">
        <f>IF(AND(Parcels!B345="Current",'Six-Yr Rule'!B346&lt;=Year_DestinationYearID),IF((SUMIFS('Bond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918" t="s">
        <v>1641</v>
      </c>
      <c r="F9918" t="str">
        <f>INDEX(Lists!I:I,MATCH(Validation!E9918,Lists!G:G,0))</f>
        <v>Alert</v>
      </c>
      <c r="G9918" t="str">
        <f>INDEX(Lists!H:H,MATCH(Validation!E9918,Lists!G:G,0))</f>
        <v>This parcel does not appear to be pledged to an outstanding in-district obligation.</v>
      </c>
      <c r="H9918" s="25" t="str">
        <f t="shared" ca="1" si="1110"/>
        <v/>
      </c>
      <c r="I9918" s="25" t="str">
        <f t="shared" ca="1" si="1111"/>
        <v/>
      </c>
      <c r="J9918" s="26" t="str">
        <f t="shared" si="1112"/>
        <v/>
      </c>
    </row>
    <row r="9919" spans="1:10" x14ac:dyDescent="0.25">
      <c r="A9919" t="s">
        <v>111</v>
      </c>
      <c r="B9919" t="str">
        <f>ADDRESS(ROW(Parcels!B346),COLUMN(Parcels!B1188),4)</f>
        <v>B346</v>
      </c>
      <c r="C9919" t="str">
        <f>ADDRESS(ROW(Parcels!D346),COLUMN(Parcels!D346),4)</f>
        <v>D346</v>
      </c>
      <c r="D9919" s="46" t="b">
        <f>IF(AND(Parcels!B346="Current",'Six-Yr Rule'!B347&lt;=Year_DestinationYearID),IF((SUMIFS('Bond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919" t="s">
        <v>1641</v>
      </c>
      <c r="F9919" t="str">
        <f>INDEX(Lists!I:I,MATCH(Validation!E9919,Lists!G:G,0))</f>
        <v>Alert</v>
      </c>
      <c r="G9919" t="str">
        <f>INDEX(Lists!H:H,MATCH(Validation!E9919,Lists!G:G,0))</f>
        <v>This parcel does not appear to be pledged to an outstanding in-district obligation.</v>
      </c>
      <c r="H9919" s="25" t="str">
        <f t="shared" ca="1" si="1110"/>
        <v/>
      </c>
      <c r="I9919" s="25" t="str">
        <f t="shared" ca="1" si="1111"/>
        <v/>
      </c>
      <c r="J9919" s="26" t="str">
        <f t="shared" si="1112"/>
        <v/>
      </c>
    </row>
    <row r="9920" spans="1:10" x14ac:dyDescent="0.25">
      <c r="A9920" t="s">
        <v>111</v>
      </c>
      <c r="B9920" t="str">
        <f>ADDRESS(ROW(Parcels!B347),COLUMN(Parcels!B1189),4)</f>
        <v>B347</v>
      </c>
      <c r="C9920" t="str">
        <f>ADDRESS(ROW(Parcels!D347),COLUMN(Parcels!D347),4)</f>
        <v>D347</v>
      </c>
      <c r="D9920" s="46" t="b">
        <f>IF(AND(Parcels!B347="Current",'Six-Yr Rule'!B348&lt;=Year_DestinationYearID),IF((SUMIFS('Bond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920" t="s">
        <v>1641</v>
      </c>
      <c r="F9920" t="str">
        <f>INDEX(Lists!I:I,MATCH(Validation!E9920,Lists!G:G,0))</f>
        <v>Alert</v>
      </c>
      <c r="G9920" t="str">
        <f>INDEX(Lists!H:H,MATCH(Validation!E9920,Lists!G:G,0))</f>
        <v>This parcel does not appear to be pledged to an outstanding in-district obligation.</v>
      </c>
      <c r="H9920" s="25" t="str">
        <f t="shared" ca="1" si="1110"/>
        <v/>
      </c>
      <c r="I9920" s="25" t="str">
        <f t="shared" ca="1" si="1111"/>
        <v/>
      </c>
      <c r="J9920" s="26" t="str">
        <f t="shared" si="1112"/>
        <v/>
      </c>
    </row>
    <row r="9921" spans="1:10" x14ac:dyDescent="0.25">
      <c r="A9921" t="s">
        <v>111</v>
      </c>
      <c r="B9921" t="str">
        <f>ADDRESS(ROW(Parcels!B348),COLUMN(Parcels!B1190),4)</f>
        <v>B348</v>
      </c>
      <c r="C9921" t="str">
        <f>ADDRESS(ROW(Parcels!D348),COLUMN(Parcels!D348),4)</f>
        <v>D348</v>
      </c>
      <c r="D9921" s="46" t="b">
        <f>IF(AND(Parcels!B348="Current",'Six-Yr Rule'!B349&lt;=Year_DestinationYearID),IF((SUMIFS('Bond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921" t="s">
        <v>1641</v>
      </c>
      <c r="F9921" t="str">
        <f>INDEX(Lists!I:I,MATCH(Validation!E9921,Lists!G:G,0))</f>
        <v>Alert</v>
      </c>
      <c r="G9921" t="str">
        <f>INDEX(Lists!H:H,MATCH(Validation!E9921,Lists!G:G,0))</f>
        <v>This parcel does not appear to be pledged to an outstanding in-district obligation.</v>
      </c>
      <c r="H9921" s="25" t="str">
        <f t="shared" ca="1" si="1110"/>
        <v/>
      </c>
      <c r="I9921" s="25" t="str">
        <f t="shared" ca="1" si="1111"/>
        <v/>
      </c>
      <c r="J9921" s="26" t="str">
        <f t="shared" si="1112"/>
        <v/>
      </c>
    </row>
    <row r="9922" spans="1:10" x14ac:dyDescent="0.25">
      <c r="A9922" t="s">
        <v>111</v>
      </c>
      <c r="B9922" t="str">
        <f>ADDRESS(ROW(Parcels!B349),COLUMN(Parcels!B1191),4)</f>
        <v>B349</v>
      </c>
      <c r="C9922" t="str">
        <f>ADDRESS(ROW(Parcels!D349),COLUMN(Parcels!D349),4)</f>
        <v>D349</v>
      </c>
      <c r="D9922" s="46" t="b">
        <f>IF(AND(Parcels!B349="Current",'Six-Yr Rule'!B350&lt;=Year_DestinationYearID),IF((SUMIFS('Bond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922" t="s">
        <v>1641</v>
      </c>
      <c r="F9922" t="str">
        <f>INDEX(Lists!I:I,MATCH(Validation!E9922,Lists!G:G,0))</f>
        <v>Alert</v>
      </c>
      <c r="G9922" t="str">
        <f>INDEX(Lists!H:H,MATCH(Validation!E9922,Lists!G:G,0))</f>
        <v>This parcel does not appear to be pledged to an outstanding in-district obligation.</v>
      </c>
      <c r="H9922" s="25" t="str">
        <f t="shared" ca="1" si="1110"/>
        <v/>
      </c>
      <c r="I9922" s="25" t="str">
        <f t="shared" ca="1" si="1111"/>
        <v/>
      </c>
      <c r="J9922" s="26" t="str">
        <f t="shared" si="1112"/>
        <v/>
      </c>
    </row>
    <row r="9923" spans="1:10" x14ac:dyDescent="0.25">
      <c r="A9923" t="s">
        <v>111</v>
      </c>
      <c r="B9923" t="str">
        <f>ADDRESS(ROW(Parcels!B350),COLUMN(Parcels!B1192),4)</f>
        <v>B350</v>
      </c>
      <c r="C9923" t="str">
        <f>ADDRESS(ROW(Parcels!D350),COLUMN(Parcels!D350),4)</f>
        <v>D350</v>
      </c>
      <c r="D9923" s="46" t="b">
        <f>IF(AND(Parcels!B350="Current",'Six-Yr Rule'!B351&lt;=Year_DestinationYearID),IF((SUMIFS('Bond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923" t="s">
        <v>1641</v>
      </c>
      <c r="F9923" t="str">
        <f>INDEX(Lists!I:I,MATCH(Validation!E9923,Lists!G:G,0))</f>
        <v>Alert</v>
      </c>
      <c r="G9923" t="str">
        <f>INDEX(Lists!H:H,MATCH(Validation!E9923,Lists!G:G,0))</f>
        <v>This parcel does not appear to be pledged to an outstanding in-district obligation.</v>
      </c>
      <c r="H9923" s="25" t="str">
        <f t="shared" ca="1" si="1110"/>
        <v/>
      </c>
      <c r="I9923" s="25" t="str">
        <f t="shared" ca="1" si="1111"/>
        <v/>
      </c>
      <c r="J9923" s="26" t="str">
        <f t="shared" si="1112"/>
        <v/>
      </c>
    </row>
    <row r="9924" spans="1:10" x14ac:dyDescent="0.25">
      <c r="A9924" t="s">
        <v>111</v>
      </c>
      <c r="B9924" t="str">
        <f>ADDRESS(ROW(Parcels!B351),COLUMN(Parcels!B1193),4)</f>
        <v>B351</v>
      </c>
      <c r="C9924" t="str">
        <f>ADDRESS(ROW(Parcels!D351),COLUMN(Parcels!D351),4)</f>
        <v>D351</v>
      </c>
      <c r="D9924" s="46" t="b">
        <f>IF(AND(Parcels!B351="Current",'Six-Yr Rule'!B352&lt;=Year_DestinationYearID),IF((SUMIFS('Bond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924" t="s">
        <v>1641</v>
      </c>
      <c r="F9924" t="str">
        <f>INDEX(Lists!I:I,MATCH(Validation!E9924,Lists!G:G,0))</f>
        <v>Alert</v>
      </c>
      <c r="G9924" t="str">
        <f>INDEX(Lists!H:H,MATCH(Validation!E9924,Lists!G:G,0))</f>
        <v>This parcel does not appear to be pledged to an outstanding in-district obligation.</v>
      </c>
      <c r="H9924" s="25" t="str">
        <f t="shared" ca="1" si="1110"/>
        <v/>
      </c>
      <c r="I9924" s="25" t="str">
        <f t="shared" ca="1" si="1111"/>
        <v/>
      </c>
      <c r="J9924" s="26" t="str">
        <f t="shared" si="1112"/>
        <v/>
      </c>
    </row>
    <row r="9925" spans="1:10" x14ac:dyDescent="0.25">
      <c r="A9925" t="s">
        <v>111</v>
      </c>
      <c r="B9925" t="str">
        <f>ADDRESS(ROW(Parcels!B352),COLUMN(Parcels!B1194),4)</f>
        <v>B352</v>
      </c>
      <c r="C9925" t="str">
        <f>ADDRESS(ROW(Parcels!D352),COLUMN(Parcels!D352),4)</f>
        <v>D352</v>
      </c>
      <c r="D9925" s="46" t="b">
        <f>IF(AND(Parcels!B352="Current",'Six-Yr Rule'!B353&lt;=Year_DestinationYearID),IF((SUMIFS('Bond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925" t="s">
        <v>1641</v>
      </c>
      <c r="F9925" t="str">
        <f>INDEX(Lists!I:I,MATCH(Validation!E9925,Lists!G:G,0))</f>
        <v>Alert</v>
      </c>
      <c r="G9925" t="str">
        <f>INDEX(Lists!H:H,MATCH(Validation!E9925,Lists!G:G,0))</f>
        <v>This parcel does not appear to be pledged to an outstanding in-district obligation.</v>
      </c>
      <c r="H9925" s="25" t="str">
        <f t="shared" ca="1" si="1110"/>
        <v/>
      </c>
      <c r="I9925" s="25" t="str">
        <f t="shared" ca="1" si="1111"/>
        <v/>
      </c>
      <c r="J9925" s="26" t="str">
        <f t="shared" si="1112"/>
        <v/>
      </c>
    </row>
    <row r="9926" spans="1:10" x14ac:dyDescent="0.25">
      <c r="A9926" t="s">
        <v>111</v>
      </c>
      <c r="B9926" t="str">
        <f>ADDRESS(ROW(Parcels!B353),COLUMN(Parcels!B1195),4)</f>
        <v>B353</v>
      </c>
      <c r="C9926" t="str">
        <f>ADDRESS(ROW(Parcels!D353),COLUMN(Parcels!D353),4)</f>
        <v>D353</v>
      </c>
      <c r="D9926" s="46" t="b">
        <f>IF(AND(Parcels!B353="Current",'Six-Yr Rule'!B354&lt;=Year_DestinationYearID),IF((SUMIFS('Bond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926" t="s">
        <v>1641</v>
      </c>
      <c r="F9926" t="str">
        <f>INDEX(Lists!I:I,MATCH(Validation!E9926,Lists!G:G,0))</f>
        <v>Alert</v>
      </c>
      <c r="G9926" t="str">
        <f>INDEX(Lists!H:H,MATCH(Validation!E9926,Lists!G:G,0))</f>
        <v>This parcel does not appear to be pledged to an outstanding in-district obligation.</v>
      </c>
      <c r="H9926" s="25" t="str">
        <f t="shared" ca="1" si="1110"/>
        <v/>
      </c>
      <c r="I9926" s="25" t="str">
        <f t="shared" ca="1" si="1111"/>
        <v/>
      </c>
      <c r="J9926" s="26" t="str">
        <f t="shared" si="1112"/>
        <v/>
      </c>
    </row>
    <row r="9927" spans="1:10" x14ac:dyDescent="0.25">
      <c r="A9927" t="s">
        <v>111</v>
      </c>
      <c r="B9927" t="str">
        <f>ADDRESS(ROW(Parcels!B354),COLUMN(Parcels!B1196),4)</f>
        <v>B354</v>
      </c>
      <c r="C9927" t="str">
        <f>ADDRESS(ROW(Parcels!D354),COLUMN(Parcels!D354),4)</f>
        <v>D354</v>
      </c>
      <c r="D9927" s="46" t="b">
        <f>IF(AND(Parcels!B354="Current",'Six-Yr Rule'!B355&lt;=Year_DestinationYearID),IF((SUMIFS('Bond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927" t="s">
        <v>1641</v>
      </c>
      <c r="F9927" t="str">
        <f>INDEX(Lists!I:I,MATCH(Validation!E9927,Lists!G:G,0))</f>
        <v>Alert</v>
      </c>
      <c r="G9927" t="str">
        <f>INDEX(Lists!H:H,MATCH(Validation!E9927,Lists!G:G,0))</f>
        <v>This parcel does not appear to be pledged to an outstanding in-district obligation.</v>
      </c>
      <c r="H9927" s="25" t="str">
        <f t="shared" ca="1" si="1110"/>
        <v/>
      </c>
      <c r="I9927" s="25" t="str">
        <f t="shared" ca="1" si="1111"/>
        <v/>
      </c>
      <c r="J9927" s="26" t="str">
        <f t="shared" si="1112"/>
        <v/>
      </c>
    </row>
    <row r="9928" spans="1:10" x14ac:dyDescent="0.25">
      <c r="A9928" t="s">
        <v>111</v>
      </c>
      <c r="B9928" t="str">
        <f>ADDRESS(ROW(Parcels!B355),COLUMN(Parcels!B1197),4)</f>
        <v>B355</v>
      </c>
      <c r="C9928" t="str">
        <f>ADDRESS(ROW(Parcels!D355),COLUMN(Parcels!D355),4)</f>
        <v>D355</v>
      </c>
      <c r="D9928" s="46" t="b">
        <f>IF(AND(Parcels!B355="Current",'Six-Yr Rule'!B356&lt;=Year_DestinationYearID),IF((SUMIFS('Bond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928" t="s">
        <v>1641</v>
      </c>
      <c r="F9928" t="str">
        <f>INDEX(Lists!I:I,MATCH(Validation!E9928,Lists!G:G,0))</f>
        <v>Alert</v>
      </c>
      <c r="G9928" t="str">
        <f>INDEX(Lists!H:H,MATCH(Validation!E9928,Lists!G:G,0))</f>
        <v>This parcel does not appear to be pledged to an outstanding in-district obligation.</v>
      </c>
      <c r="H9928" s="25" t="str">
        <f t="shared" ca="1" si="1110"/>
        <v/>
      </c>
      <c r="I9928" s="25" t="str">
        <f t="shared" ca="1" si="1111"/>
        <v/>
      </c>
      <c r="J9928" s="26" t="str">
        <f t="shared" si="1112"/>
        <v/>
      </c>
    </row>
    <row r="9929" spans="1:10" x14ac:dyDescent="0.25">
      <c r="A9929" t="s">
        <v>111</v>
      </c>
      <c r="B9929" t="str">
        <f>ADDRESS(ROW(Parcels!B356),COLUMN(Parcels!B1198),4)</f>
        <v>B356</v>
      </c>
      <c r="C9929" t="str">
        <f>ADDRESS(ROW(Parcels!D356),COLUMN(Parcels!D356),4)</f>
        <v>D356</v>
      </c>
      <c r="D9929" s="46" t="b">
        <f>IF(AND(Parcels!B356="Current",'Six-Yr Rule'!B357&lt;=Year_DestinationYearID),IF((SUMIFS('Bond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929" t="s">
        <v>1641</v>
      </c>
      <c r="F9929" t="str">
        <f>INDEX(Lists!I:I,MATCH(Validation!E9929,Lists!G:G,0))</f>
        <v>Alert</v>
      </c>
      <c r="G9929" t="str">
        <f>INDEX(Lists!H:H,MATCH(Validation!E9929,Lists!G:G,0))</f>
        <v>This parcel does not appear to be pledged to an outstanding in-district obligation.</v>
      </c>
      <c r="H9929" s="25" t="str">
        <f t="shared" ca="1" si="1110"/>
        <v/>
      </c>
      <c r="I9929" s="25" t="str">
        <f t="shared" ca="1" si="1111"/>
        <v/>
      </c>
      <c r="J9929" s="26" t="str">
        <f t="shared" si="1112"/>
        <v/>
      </c>
    </row>
    <row r="9930" spans="1:10" x14ac:dyDescent="0.25">
      <c r="A9930" t="s">
        <v>111</v>
      </c>
      <c r="B9930" t="str">
        <f>ADDRESS(ROW(Parcels!B357),COLUMN(Parcels!B1199),4)</f>
        <v>B357</v>
      </c>
      <c r="C9930" t="str">
        <f>ADDRESS(ROW(Parcels!D357),COLUMN(Parcels!D357),4)</f>
        <v>D357</v>
      </c>
      <c r="D9930" s="46" t="b">
        <f>IF(AND(Parcels!B357="Current",'Six-Yr Rule'!B358&lt;=Year_DestinationYearID),IF((SUMIFS('Bond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930" t="s">
        <v>1641</v>
      </c>
      <c r="F9930" t="str">
        <f>INDEX(Lists!I:I,MATCH(Validation!E9930,Lists!G:G,0))</f>
        <v>Alert</v>
      </c>
      <c r="G9930" t="str">
        <f>INDEX(Lists!H:H,MATCH(Validation!E9930,Lists!G:G,0))</f>
        <v>This parcel does not appear to be pledged to an outstanding in-district obligation.</v>
      </c>
      <c r="H9930" s="25" t="str">
        <f t="shared" ca="1" si="1110"/>
        <v/>
      </c>
      <c r="I9930" s="25" t="str">
        <f t="shared" ca="1" si="1111"/>
        <v/>
      </c>
      <c r="J9930" s="26" t="str">
        <f t="shared" si="1112"/>
        <v/>
      </c>
    </row>
    <row r="9931" spans="1:10" x14ac:dyDescent="0.25">
      <c r="A9931" t="s">
        <v>111</v>
      </c>
      <c r="B9931" t="str">
        <f>ADDRESS(ROW(Parcels!B358),COLUMN(Parcels!B1200),4)</f>
        <v>B358</v>
      </c>
      <c r="C9931" t="str">
        <f>ADDRESS(ROW(Parcels!D358),COLUMN(Parcels!D358),4)</f>
        <v>D358</v>
      </c>
      <c r="D9931" s="46" t="b">
        <f>IF(AND(Parcels!B358="Current",'Six-Yr Rule'!B359&lt;=Year_DestinationYearID),IF((SUMIFS('Bond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931" t="s">
        <v>1641</v>
      </c>
      <c r="F9931" t="str">
        <f>INDEX(Lists!I:I,MATCH(Validation!E9931,Lists!G:G,0))</f>
        <v>Alert</v>
      </c>
      <c r="G9931" t="str">
        <f>INDEX(Lists!H:H,MATCH(Validation!E9931,Lists!G:G,0))</f>
        <v>This parcel does not appear to be pledged to an outstanding in-district obligation.</v>
      </c>
      <c r="H9931" s="25" t="str">
        <f t="shared" ca="1" si="1110"/>
        <v/>
      </c>
      <c r="I9931" s="25" t="str">
        <f t="shared" ca="1" si="1111"/>
        <v/>
      </c>
      <c r="J9931" s="26" t="str">
        <f t="shared" si="1112"/>
        <v/>
      </c>
    </row>
    <row r="9932" spans="1:10" x14ac:dyDescent="0.25">
      <c r="A9932" t="s">
        <v>111</v>
      </c>
      <c r="B9932" t="str">
        <f>ADDRESS(ROW(Parcels!B359),COLUMN(Parcels!B1201),4)</f>
        <v>B359</v>
      </c>
      <c r="C9932" t="str">
        <f>ADDRESS(ROW(Parcels!D359),COLUMN(Parcels!D359),4)</f>
        <v>D359</v>
      </c>
      <c r="D9932" s="46" t="b">
        <f>IF(AND(Parcels!B359="Current",'Six-Yr Rule'!B360&lt;=Year_DestinationYearID),IF((SUMIFS('Bond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932" t="s">
        <v>1641</v>
      </c>
      <c r="F9932" t="str">
        <f>INDEX(Lists!I:I,MATCH(Validation!E9932,Lists!G:G,0))</f>
        <v>Alert</v>
      </c>
      <c r="G9932" t="str">
        <f>INDEX(Lists!H:H,MATCH(Validation!E9932,Lists!G:G,0))</f>
        <v>This parcel does not appear to be pledged to an outstanding in-district obligation.</v>
      </c>
      <c r="H9932" s="25" t="str">
        <f t="shared" ca="1" si="1110"/>
        <v/>
      </c>
      <c r="I9932" s="25" t="str">
        <f t="shared" ca="1" si="1111"/>
        <v/>
      </c>
      <c r="J9932" s="26" t="str">
        <f t="shared" si="1112"/>
        <v/>
      </c>
    </row>
    <row r="9933" spans="1:10" x14ac:dyDescent="0.25">
      <c r="A9933" t="s">
        <v>111</v>
      </c>
      <c r="B9933" t="str">
        <f>ADDRESS(ROW(Parcels!B360),COLUMN(Parcels!B1202),4)</f>
        <v>B360</v>
      </c>
      <c r="C9933" t="str">
        <f>ADDRESS(ROW(Parcels!D360),COLUMN(Parcels!D360),4)</f>
        <v>D360</v>
      </c>
      <c r="D9933" s="46" t="b">
        <f>IF(AND(Parcels!B360="Current",'Six-Yr Rule'!B361&lt;=Year_DestinationYearID),IF((SUMIFS('Bond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933" t="s">
        <v>1641</v>
      </c>
      <c r="F9933" t="str">
        <f>INDEX(Lists!I:I,MATCH(Validation!E9933,Lists!G:G,0))</f>
        <v>Alert</v>
      </c>
      <c r="G9933" t="str">
        <f>INDEX(Lists!H:H,MATCH(Validation!E9933,Lists!G:G,0))</f>
        <v>This parcel does not appear to be pledged to an outstanding in-district obligation.</v>
      </c>
      <c r="H9933" s="25" t="str">
        <f t="shared" ca="1" si="1110"/>
        <v/>
      </c>
      <c r="I9933" s="25" t="str">
        <f t="shared" ca="1" si="1111"/>
        <v/>
      </c>
      <c r="J9933" s="26" t="str">
        <f t="shared" si="1112"/>
        <v/>
      </c>
    </row>
    <row r="9934" spans="1:10" x14ac:dyDescent="0.25">
      <c r="A9934" t="s">
        <v>111</v>
      </c>
      <c r="B9934" t="str">
        <f>ADDRESS(ROW(Parcels!B361),COLUMN(Parcels!B1203),4)</f>
        <v>B361</v>
      </c>
      <c r="C9934" t="str">
        <f>ADDRESS(ROW(Parcels!D361),COLUMN(Parcels!D361),4)</f>
        <v>D361</v>
      </c>
      <c r="D9934" s="46" t="b">
        <f>IF(AND(Parcels!B361="Current",'Six-Yr Rule'!B362&lt;=Year_DestinationYearID),IF((SUMIFS('Bond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934" t="s">
        <v>1641</v>
      </c>
      <c r="F9934" t="str">
        <f>INDEX(Lists!I:I,MATCH(Validation!E9934,Lists!G:G,0))</f>
        <v>Alert</v>
      </c>
      <c r="G9934" t="str">
        <f>INDEX(Lists!H:H,MATCH(Validation!E9934,Lists!G:G,0))</f>
        <v>This parcel does not appear to be pledged to an outstanding in-district obligation.</v>
      </c>
      <c r="H9934" s="25" t="str">
        <f t="shared" ca="1" si="1110"/>
        <v/>
      </c>
      <c r="I9934" s="25" t="str">
        <f t="shared" ca="1" si="1111"/>
        <v/>
      </c>
      <c r="J9934" s="26" t="str">
        <f t="shared" si="1112"/>
        <v/>
      </c>
    </row>
    <row r="9935" spans="1:10" x14ac:dyDescent="0.25">
      <c r="A9935" t="s">
        <v>111</v>
      </c>
      <c r="B9935" t="str">
        <f>ADDRESS(ROW(Parcels!B362),COLUMN(Parcels!B1204),4)</f>
        <v>B362</v>
      </c>
      <c r="C9935" t="str">
        <f>ADDRESS(ROW(Parcels!D362),COLUMN(Parcels!D362),4)</f>
        <v>D362</v>
      </c>
      <c r="D9935" s="46" t="b">
        <f>IF(AND(Parcels!B362="Current",'Six-Yr Rule'!B363&lt;=Year_DestinationYearID),IF((SUMIFS('Bond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935" t="s">
        <v>1641</v>
      </c>
      <c r="F9935" t="str">
        <f>INDEX(Lists!I:I,MATCH(Validation!E9935,Lists!G:G,0))</f>
        <v>Alert</v>
      </c>
      <c r="G9935" t="str">
        <f>INDEX(Lists!H:H,MATCH(Validation!E9935,Lists!G:G,0))</f>
        <v>This parcel does not appear to be pledged to an outstanding in-district obligation.</v>
      </c>
      <c r="H9935" s="25" t="str">
        <f t="shared" ca="1" si="1110"/>
        <v/>
      </c>
      <c r="I9935" s="25" t="str">
        <f t="shared" ca="1" si="1111"/>
        <v/>
      </c>
      <c r="J9935" s="26" t="str">
        <f t="shared" si="1112"/>
        <v/>
      </c>
    </row>
    <row r="9936" spans="1:10" x14ac:dyDescent="0.25">
      <c r="A9936" t="s">
        <v>111</v>
      </c>
      <c r="B9936" t="str">
        <f>ADDRESS(ROW(Parcels!B363),COLUMN(Parcels!B1205),4)</f>
        <v>B363</v>
      </c>
      <c r="C9936" t="str">
        <f>ADDRESS(ROW(Parcels!D363),COLUMN(Parcels!D363),4)</f>
        <v>D363</v>
      </c>
      <c r="D9936" s="46" t="b">
        <f>IF(AND(Parcels!B363="Current",'Six-Yr Rule'!B364&lt;=Year_DestinationYearID),IF((SUMIFS('Bond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936" t="s">
        <v>1641</v>
      </c>
      <c r="F9936" t="str">
        <f>INDEX(Lists!I:I,MATCH(Validation!E9936,Lists!G:G,0))</f>
        <v>Alert</v>
      </c>
      <c r="G9936" t="str">
        <f>INDEX(Lists!H:H,MATCH(Validation!E9936,Lists!G:G,0))</f>
        <v>This parcel does not appear to be pledged to an outstanding in-district obligation.</v>
      </c>
      <c r="H9936" s="25" t="str">
        <f t="shared" ca="1" si="1110"/>
        <v/>
      </c>
      <c r="I9936" s="25" t="str">
        <f t="shared" ca="1" si="1111"/>
        <v/>
      </c>
      <c r="J9936" s="26" t="str">
        <f t="shared" si="1112"/>
        <v/>
      </c>
    </row>
    <row r="9937" spans="1:10" x14ac:dyDescent="0.25">
      <c r="A9937" t="s">
        <v>111</v>
      </c>
      <c r="B9937" t="str">
        <f>ADDRESS(ROW(Parcels!B364),COLUMN(Parcels!B1206),4)</f>
        <v>B364</v>
      </c>
      <c r="C9937" t="str">
        <f>ADDRESS(ROW(Parcels!D364),COLUMN(Parcels!D364),4)</f>
        <v>D364</v>
      </c>
      <c r="D9937" s="46" t="b">
        <f>IF(AND(Parcels!B364="Current",'Six-Yr Rule'!B365&lt;=Year_DestinationYearID),IF((SUMIFS('Bond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937" t="s">
        <v>1641</v>
      </c>
      <c r="F9937" t="str">
        <f>INDEX(Lists!I:I,MATCH(Validation!E9937,Lists!G:G,0))</f>
        <v>Alert</v>
      </c>
      <c r="G9937" t="str">
        <f>INDEX(Lists!H:H,MATCH(Validation!E9937,Lists!G:G,0))</f>
        <v>This parcel does not appear to be pledged to an outstanding in-district obligation.</v>
      </c>
      <c r="H9937" s="25" t="str">
        <f t="shared" ca="1" si="1110"/>
        <v/>
      </c>
      <c r="I9937" s="25" t="str">
        <f t="shared" ca="1" si="1111"/>
        <v/>
      </c>
      <c r="J9937" s="26" t="str">
        <f t="shared" si="1112"/>
        <v/>
      </c>
    </row>
    <row r="9938" spans="1:10" x14ac:dyDescent="0.25">
      <c r="A9938" t="s">
        <v>111</v>
      </c>
      <c r="B9938" t="str">
        <f>ADDRESS(ROW(Parcels!B365),COLUMN(Parcels!B1207),4)</f>
        <v>B365</v>
      </c>
      <c r="C9938" t="str">
        <f>ADDRESS(ROW(Parcels!D365),COLUMN(Parcels!D365),4)</f>
        <v>D365</v>
      </c>
      <c r="D9938" s="46" t="b">
        <f>IF(AND(Parcels!B365="Current",'Six-Yr Rule'!B366&lt;=Year_DestinationYearID),IF((SUMIFS('Bond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938" t="s">
        <v>1641</v>
      </c>
      <c r="F9938" t="str">
        <f>INDEX(Lists!I:I,MATCH(Validation!E9938,Lists!G:G,0))</f>
        <v>Alert</v>
      </c>
      <c r="G9938" t="str">
        <f>INDEX(Lists!H:H,MATCH(Validation!E9938,Lists!G:G,0))</f>
        <v>This parcel does not appear to be pledged to an outstanding in-district obligation.</v>
      </c>
      <c r="H9938" s="25" t="str">
        <f t="shared" ca="1" si="1110"/>
        <v/>
      </c>
      <c r="I9938" s="25" t="str">
        <f t="shared" ca="1" si="1111"/>
        <v/>
      </c>
      <c r="J9938" s="26" t="str">
        <f t="shared" si="1112"/>
        <v/>
      </c>
    </row>
    <row r="9939" spans="1:10" x14ac:dyDescent="0.25">
      <c r="A9939" t="s">
        <v>111</v>
      </c>
      <c r="B9939" t="str">
        <f>ADDRESS(ROW(Parcels!B366),COLUMN(Parcels!B1208),4)</f>
        <v>B366</v>
      </c>
      <c r="C9939" t="str">
        <f>ADDRESS(ROW(Parcels!D366),COLUMN(Parcels!D366),4)</f>
        <v>D366</v>
      </c>
      <c r="D9939" s="46" t="b">
        <f>IF(AND(Parcels!B366="Current",'Six-Yr Rule'!B367&lt;=Year_DestinationYearID),IF((SUMIFS('Bond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939" t="s">
        <v>1641</v>
      </c>
      <c r="F9939" t="str">
        <f>INDEX(Lists!I:I,MATCH(Validation!E9939,Lists!G:G,0))</f>
        <v>Alert</v>
      </c>
      <c r="G9939" t="str">
        <f>INDEX(Lists!H:H,MATCH(Validation!E9939,Lists!G:G,0))</f>
        <v>This parcel does not appear to be pledged to an outstanding in-district obligation.</v>
      </c>
      <c r="H9939" s="25" t="str">
        <f t="shared" ca="1" si="1110"/>
        <v/>
      </c>
      <c r="I9939" s="25" t="str">
        <f t="shared" ca="1" si="1111"/>
        <v/>
      </c>
      <c r="J9939" s="26" t="str">
        <f t="shared" si="1112"/>
        <v/>
      </c>
    </row>
    <row r="9940" spans="1:10" x14ac:dyDescent="0.25">
      <c r="A9940" t="s">
        <v>111</v>
      </c>
      <c r="B9940" t="str">
        <f>ADDRESS(ROW(Parcels!B367),COLUMN(Parcels!B1209),4)</f>
        <v>B367</v>
      </c>
      <c r="C9940" t="str">
        <f>ADDRESS(ROW(Parcels!D367),COLUMN(Parcels!D367),4)</f>
        <v>D367</v>
      </c>
      <c r="D9940" s="46" t="b">
        <f>IF(AND(Parcels!B367="Current",'Six-Yr Rule'!B368&lt;=Year_DestinationYearID),IF((SUMIFS('Bond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940" t="s">
        <v>1641</v>
      </c>
      <c r="F9940" t="str">
        <f>INDEX(Lists!I:I,MATCH(Validation!E9940,Lists!G:G,0))</f>
        <v>Alert</v>
      </c>
      <c r="G9940" t="str">
        <f>INDEX(Lists!H:H,MATCH(Validation!E9940,Lists!G:G,0))</f>
        <v>This parcel does not appear to be pledged to an outstanding in-district obligation.</v>
      </c>
      <c r="H9940" s="25" t="str">
        <f t="shared" ca="1" si="1110"/>
        <v/>
      </c>
      <c r="I9940" s="25" t="str">
        <f t="shared" ca="1" si="1111"/>
        <v/>
      </c>
      <c r="J9940" s="26" t="str">
        <f t="shared" si="1112"/>
        <v/>
      </c>
    </row>
    <row r="9941" spans="1:10" x14ac:dyDescent="0.25">
      <c r="A9941" t="s">
        <v>111</v>
      </c>
      <c r="B9941" t="str">
        <f>ADDRESS(ROW(Parcels!B368),COLUMN(Parcels!B1210),4)</f>
        <v>B368</v>
      </c>
      <c r="C9941" t="str">
        <f>ADDRESS(ROW(Parcels!D368),COLUMN(Parcels!D368),4)</f>
        <v>D368</v>
      </c>
      <c r="D9941" s="46" t="b">
        <f>IF(AND(Parcels!B368="Current",'Six-Yr Rule'!B369&lt;=Year_DestinationYearID),IF((SUMIFS('Bond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941" t="s">
        <v>1641</v>
      </c>
      <c r="F9941" t="str">
        <f>INDEX(Lists!I:I,MATCH(Validation!E9941,Lists!G:G,0))</f>
        <v>Alert</v>
      </c>
      <c r="G9941" t="str">
        <f>INDEX(Lists!H:H,MATCH(Validation!E9941,Lists!G:G,0))</f>
        <v>This parcel does not appear to be pledged to an outstanding in-district obligation.</v>
      </c>
      <c r="H9941" s="25" t="str">
        <f t="shared" ca="1" si="1110"/>
        <v/>
      </c>
      <c r="I9941" s="25" t="str">
        <f t="shared" ca="1" si="1111"/>
        <v/>
      </c>
      <c r="J9941" s="26" t="str">
        <f t="shared" si="1112"/>
        <v/>
      </c>
    </row>
    <row r="9942" spans="1:10" x14ac:dyDescent="0.25">
      <c r="A9942" t="s">
        <v>111</v>
      </c>
      <c r="B9942" t="str">
        <f>ADDRESS(ROW(Parcels!B369),COLUMN(Parcels!B1211),4)</f>
        <v>B369</v>
      </c>
      <c r="C9942" t="str">
        <f>ADDRESS(ROW(Parcels!D369),COLUMN(Parcels!D369),4)</f>
        <v>D369</v>
      </c>
      <c r="D9942" s="46" t="b">
        <f>IF(AND(Parcels!B369="Current",'Six-Yr Rule'!B370&lt;=Year_DestinationYearID),IF((SUMIFS('Bond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942" t="s">
        <v>1641</v>
      </c>
      <c r="F9942" t="str">
        <f>INDEX(Lists!I:I,MATCH(Validation!E9942,Lists!G:G,0))</f>
        <v>Alert</v>
      </c>
      <c r="G9942" t="str">
        <f>INDEX(Lists!H:H,MATCH(Validation!E9942,Lists!G:G,0))</f>
        <v>This parcel does not appear to be pledged to an outstanding in-district obligation.</v>
      </c>
      <c r="H9942" s="25" t="str">
        <f t="shared" ca="1" si="1110"/>
        <v/>
      </c>
      <c r="I9942" s="25" t="str">
        <f t="shared" ca="1" si="1111"/>
        <v/>
      </c>
      <c r="J9942" s="26" t="str">
        <f t="shared" si="1112"/>
        <v/>
      </c>
    </row>
    <row r="9943" spans="1:10" x14ac:dyDescent="0.25">
      <c r="A9943" t="s">
        <v>111</v>
      </c>
      <c r="B9943" t="str">
        <f>ADDRESS(ROW(Parcels!B370),COLUMN(Parcels!B1212),4)</f>
        <v>B370</v>
      </c>
      <c r="C9943" t="str">
        <f>ADDRESS(ROW(Parcels!D370),COLUMN(Parcels!D370),4)</f>
        <v>D370</v>
      </c>
      <c r="D9943" s="46" t="b">
        <f>IF(AND(Parcels!B370="Current",'Six-Yr Rule'!B371&lt;=Year_DestinationYearID),IF((SUMIFS('Bond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943" t="s">
        <v>1641</v>
      </c>
      <c r="F9943" t="str">
        <f>INDEX(Lists!I:I,MATCH(Validation!E9943,Lists!G:G,0))</f>
        <v>Alert</v>
      </c>
      <c r="G9943" t="str">
        <f>INDEX(Lists!H:H,MATCH(Validation!E9943,Lists!G:G,0))</f>
        <v>This parcel does not appear to be pledged to an outstanding in-district obligation.</v>
      </c>
      <c r="H9943" s="25" t="str">
        <f t="shared" ca="1" si="1110"/>
        <v/>
      </c>
      <c r="I9943" s="25" t="str">
        <f t="shared" ca="1" si="1111"/>
        <v/>
      </c>
      <c r="J9943" s="26" t="str">
        <f t="shared" si="1112"/>
        <v/>
      </c>
    </row>
    <row r="9944" spans="1:10" x14ac:dyDescent="0.25">
      <c r="A9944" t="s">
        <v>111</v>
      </c>
      <c r="B9944" t="str">
        <f>ADDRESS(ROW(Parcels!B371),COLUMN(Parcels!B1213),4)</f>
        <v>B371</v>
      </c>
      <c r="C9944" t="str">
        <f>ADDRESS(ROW(Parcels!D371),COLUMN(Parcels!D371),4)</f>
        <v>D371</v>
      </c>
      <c r="D9944" s="46" t="b">
        <f>IF(AND(Parcels!B371="Current",'Six-Yr Rule'!B372&lt;=Year_DestinationYearID),IF((SUMIFS('Bond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944" t="s">
        <v>1641</v>
      </c>
      <c r="F9944" t="str">
        <f>INDEX(Lists!I:I,MATCH(Validation!E9944,Lists!G:G,0))</f>
        <v>Alert</v>
      </c>
      <c r="G9944" t="str">
        <f>INDEX(Lists!H:H,MATCH(Validation!E9944,Lists!G:G,0))</f>
        <v>This parcel does not appear to be pledged to an outstanding in-district obligation.</v>
      </c>
      <c r="H9944" s="25" t="str">
        <f t="shared" ca="1" si="1110"/>
        <v/>
      </c>
      <c r="I9944" s="25" t="str">
        <f t="shared" ca="1" si="1111"/>
        <v/>
      </c>
      <c r="J9944" s="26" t="str">
        <f t="shared" si="1112"/>
        <v/>
      </c>
    </row>
    <row r="9945" spans="1:10" x14ac:dyDescent="0.25">
      <c r="A9945" t="s">
        <v>111</v>
      </c>
      <c r="B9945" t="str">
        <f>ADDRESS(ROW(Parcels!B372),COLUMN(Parcels!B1214),4)</f>
        <v>B372</v>
      </c>
      <c r="C9945" t="str">
        <f>ADDRESS(ROW(Parcels!D372),COLUMN(Parcels!D372),4)</f>
        <v>D372</v>
      </c>
      <c r="D9945" s="46" t="b">
        <f>IF(AND(Parcels!B372="Current",'Six-Yr Rule'!B373&lt;=Year_DestinationYearID),IF((SUMIFS('Bond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945" t="s">
        <v>1641</v>
      </c>
      <c r="F9945" t="str">
        <f>INDEX(Lists!I:I,MATCH(Validation!E9945,Lists!G:G,0))</f>
        <v>Alert</v>
      </c>
      <c r="G9945" t="str">
        <f>INDEX(Lists!H:H,MATCH(Validation!E9945,Lists!G:G,0))</f>
        <v>This parcel does not appear to be pledged to an outstanding in-district obligation.</v>
      </c>
      <c r="H9945" s="25" t="str">
        <f t="shared" ca="1" si="1110"/>
        <v/>
      </c>
      <c r="I9945" s="25" t="str">
        <f t="shared" ca="1" si="1111"/>
        <v/>
      </c>
      <c r="J9945" s="26" t="str">
        <f t="shared" si="1112"/>
        <v/>
      </c>
    </row>
    <row r="9946" spans="1:10" x14ac:dyDescent="0.25">
      <c r="A9946" t="s">
        <v>111</v>
      </c>
      <c r="B9946" t="str">
        <f>ADDRESS(ROW(Parcels!B373),COLUMN(Parcels!B1215),4)</f>
        <v>B373</v>
      </c>
      <c r="C9946" t="str">
        <f>ADDRESS(ROW(Parcels!D373),COLUMN(Parcels!D373),4)</f>
        <v>D373</v>
      </c>
      <c r="D9946" s="46" t="b">
        <f>IF(AND(Parcels!B373="Current",'Six-Yr Rule'!B374&lt;=Year_DestinationYearID),IF((SUMIFS('Bond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946" t="s">
        <v>1641</v>
      </c>
      <c r="F9946" t="str">
        <f>INDEX(Lists!I:I,MATCH(Validation!E9946,Lists!G:G,0))</f>
        <v>Alert</v>
      </c>
      <c r="G9946" t="str">
        <f>INDEX(Lists!H:H,MATCH(Validation!E9946,Lists!G:G,0))</f>
        <v>This parcel does not appear to be pledged to an outstanding in-district obligation.</v>
      </c>
      <c r="H9946" s="25" t="str">
        <f t="shared" ca="1" si="1110"/>
        <v/>
      </c>
      <c r="I9946" s="25" t="str">
        <f t="shared" ca="1" si="1111"/>
        <v/>
      </c>
      <c r="J9946" s="26" t="str">
        <f t="shared" si="1112"/>
        <v/>
      </c>
    </row>
    <row r="9947" spans="1:10" x14ac:dyDescent="0.25">
      <c r="A9947" t="s">
        <v>111</v>
      </c>
      <c r="B9947" t="str">
        <f>ADDRESS(ROW(Parcels!B374),COLUMN(Parcels!B1216),4)</f>
        <v>B374</v>
      </c>
      <c r="C9947" t="str">
        <f>ADDRESS(ROW(Parcels!D374),COLUMN(Parcels!D374),4)</f>
        <v>D374</v>
      </c>
      <c r="D9947" s="46" t="b">
        <f>IF(AND(Parcels!B374="Current",'Six-Yr Rule'!B375&lt;=Year_DestinationYearID),IF((SUMIFS('Bond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947" t="s">
        <v>1641</v>
      </c>
      <c r="F9947" t="str">
        <f>INDEX(Lists!I:I,MATCH(Validation!E9947,Lists!G:G,0))</f>
        <v>Alert</v>
      </c>
      <c r="G9947" t="str">
        <f>INDEX(Lists!H:H,MATCH(Validation!E9947,Lists!G:G,0))</f>
        <v>This parcel does not appear to be pledged to an outstanding in-district obligation.</v>
      </c>
      <c r="H9947" s="25" t="str">
        <f t="shared" ca="1" si="1110"/>
        <v/>
      </c>
      <c r="I9947" s="25" t="str">
        <f t="shared" ca="1" si="1111"/>
        <v/>
      </c>
      <c r="J9947" s="26" t="str">
        <f t="shared" si="1112"/>
        <v/>
      </c>
    </row>
    <row r="9948" spans="1:10" x14ac:dyDescent="0.25">
      <c r="A9948" t="s">
        <v>111</v>
      </c>
      <c r="B9948" t="str">
        <f>ADDRESS(ROW(Parcels!B375),COLUMN(Parcels!B1217),4)</f>
        <v>B375</v>
      </c>
      <c r="C9948" t="str">
        <f>ADDRESS(ROW(Parcels!D375),COLUMN(Parcels!D375),4)</f>
        <v>D375</v>
      </c>
      <c r="D9948" s="46" t="b">
        <f>IF(AND(Parcels!B375="Current",'Six-Yr Rule'!B376&lt;=Year_DestinationYearID),IF((SUMIFS('Bond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948" t="s">
        <v>1641</v>
      </c>
      <c r="F9948" t="str">
        <f>INDEX(Lists!I:I,MATCH(Validation!E9948,Lists!G:G,0))</f>
        <v>Alert</v>
      </c>
      <c r="G9948" t="str">
        <f>INDEX(Lists!H:H,MATCH(Validation!E9948,Lists!G:G,0))</f>
        <v>This parcel does not appear to be pledged to an outstanding in-district obligation.</v>
      </c>
      <c r="H9948" s="25" t="str">
        <f t="shared" ca="1" si="1110"/>
        <v/>
      </c>
      <c r="I9948" s="25" t="str">
        <f t="shared" ca="1" si="1111"/>
        <v/>
      </c>
      <c r="J9948" s="26" t="str">
        <f t="shared" si="1112"/>
        <v/>
      </c>
    </row>
    <row r="9949" spans="1:10" x14ac:dyDescent="0.25">
      <c r="A9949" t="s">
        <v>111</v>
      </c>
      <c r="B9949" t="str">
        <f>ADDRESS(ROW(Parcels!B376),COLUMN(Parcels!B1218),4)</f>
        <v>B376</v>
      </c>
      <c r="C9949" t="str">
        <f>ADDRESS(ROW(Parcels!D376),COLUMN(Parcels!D376),4)</f>
        <v>D376</v>
      </c>
      <c r="D9949" s="46" t="b">
        <f>IF(AND(Parcels!B376="Current",'Six-Yr Rule'!B377&lt;=Year_DestinationYearID),IF((SUMIFS('Bond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949" t="s">
        <v>1641</v>
      </c>
      <c r="F9949" t="str">
        <f>INDEX(Lists!I:I,MATCH(Validation!E9949,Lists!G:G,0))</f>
        <v>Alert</v>
      </c>
      <c r="G9949" t="str">
        <f>INDEX(Lists!H:H,MATCH(Validation!E9949,Lists!G:G,0))</f>
        <v>This parcel does not appear to be pledged to an outstanding in-district obligation.</v>
      </c>
      <c r="H9949" s="25" t="str">
        <f t="shared" ca="1" si="1110"/>
        <v/>
      </c>
      <c r="I9949" s="25" t="str">
        <f t="shared" ca="1" si="1111"/>
        <v/>
      </c>
      <c r="J9949" s="26" t="str">
        <f t="shared" si="1112"/>
        <v/>
      </c>
    </row>
    <row r="9950" spans="1:10" x14ac:dyDescent="0.25">
      <c r="A9950" t="s">
        <v>111</v>
      </c>
      <c r="B9950" t="str">
        <f>ADDRESS(ROW(Parcels!B377),COLUMN(Parcels!B1219),4)</f>
        <v>B377</v>
      </c>
      <c r="C9950" t="str">
        <f>ADDRESS(ROW(Parcels!D377),COLUMN(Parcels!D377),4)</f>
        <v>D377</v>
      </c>
      <c r="D9950" s="46" t="b">
        <f>IF(AND(Parcels!B377="Current",'Six-Yr Rule'!B378&lt;=Year_DestinationYearID),IF((SUMIFS('Bond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950" t="s">
        <v>1641</v>
      </c>
      <c r="F9950" t="str">
        <f>INDEX(Lists!I:I,MATCH(Validation!E9950,Lists!G:G,0))</f>
        <v>Alert</v>
      </c>
      <c r="G9950" t="str">
        <f>INDEX(Lists!H:H,MATCH(Validation!E9950,Lists!G:G,0))</f>
        <v>This parcel does not appear to be pledged to an outstanding in-district obligation.</v>
      </c>
      <c r="H9950" s="25" t="str">
        <f t="shared" ca="1" si="1110"/>
        <v/>
      </c>
      <c r="I9950" s="25" t="str">
        <f t="shared" ca="1" si="1111"/>
        <v/>
      </c>
      <c r="J9950" s="26" t="str">
        <f t="shared" si="1112"/>
        <v/>
      </c>
    </row>
    <row r="9951" spans="1:10" x14ac:dyDescent="0.25">
      <c r="A9951" t="s">
        <v>111</v>
      </c>
      <c r="B9951" t="str">
        <f>ADDRESS(ROW(Parcels!B378),COLUMN(Parcels!B1220),4)</f>
        <v>B378</v>
      </c>
      <c r="C9951" t="str">
        <f>ADDRESS(ROW(Parcels!D378),COLUMN(Parcels!D378),4)</f>
        <v>D378</v>
      </c>
      <c r="D9951" s="46" t="b">
        <f>IF(AND(Parcels!B378="Current",'Six-Yr Rule'!B379&lt;=Year_DestinationYearID),IF((SUMIFS('Bond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951" t="s">
        <v>1641</v>
      </c>
      <c r="F9951" t="str">
        <f>INDEX(Lists!I:I,MATCH(Validation!E9951,Lists!G:G,0))</f>
        <v>Alert</v>
      </c>
      <c r="G9951" t="str">
        <f>INDEX(Lists!H:H,MATCH(Validation!E9951,Lists!G:G,0))</f>
        <v>This parcel does not appear to be pledged to an outstanding in-district obligation.</v>
      </c>
      <c r="H9951" s="25" t="str">
        <f t="shared" ca="1" si="1110"/>
        <v/>
      </c>
      <c r="I9951" s="25" t="str">
        <f t="shared" ca="1" si="1111"/>
        <v/>
      </c>
      <c r="J9951" s="26" t="str">
        <f t="shared" si="1112"/>
        <v/>
      </c>
    </row>
    <row r="9952" spans="1:10" x14ac:dyDescent="0.25">
      <c r="A9952" t="s">
        <v>111</v>
      </c>
      <c r="B9952" t="str">
        <f>ADDRESS(ROW(Parcels!B379),COLUMN(Parcels!B1221),4)</f>
        <v>B379</v>
      </c>
      <c r="C9952" t="str">
        <f>ADDRESS(ROW(Parcels!D379),COLUMN(Parcels!D379),4)</f>
        <v>D379</v>
      </c>
      <c r="D9952" s="46" t="b">
        <f>IF(AND(Parcels!B379="Current",'Six-Yr Rule'!B380&lt;=Year_DestinationYearID),IF((SUMIFS('Bond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952" t="s">
        <v>1641</v>
      </c>
      <c r="F9952" t="str">
        <f>INDEX(Lists!I:I,MATCH(Validation!E9952,Lists!G:G,0))</f>
        <v>Alert</v>
      </c>
      <c r="G9952" t="str">
        <f>INDEX(Lists!H:H,MATCH(Validation!E9952,Lists!G:G,0))</f>
        <v>This parcel does not appear to be pledged to an outstanding in-district obligation.</v>
      </c>
      <c r="H9952" s="25" t="str">
        <f t="shared" ca="1" si="1110"/>
        <v/>
      </c>
      <c r="I9952" s="25" t="str">
        <f t="shared" ca="1" si="1111"/>
        <v/>
      </c>
      <c r="J9952" s="26" t="str">
        <f t="shared" si="1112"/>
        <v/>
      </c>
    </row>
    <row r="9953" spans="1:10" x14ac:dyDescent="0.25">
      <c r="A9953" t="s">
        <v>111</v>
      </c>
      <c r="B9953" t="str">
        <f>ADDRESS(ROW(Parcels!B380),COLUMN(Parcels!B1222),4)</f>
        <v>B380</v>
      </c>
      <c r="C9953" t="str">
        <f>ADDRESS(ROW(Parcels!D380),COLUMN(Parcels!D380),4)</f>
        <v>D380</v>
      </c>
      <c r="D9953" s="46" t="b">
        <f>IF(AND(Parcels!B380="Current",'Six-Yr Rule'!B381&lt;=Year_DestinationYearID),IF((SUMIFS('Bond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953" t="s">
        <v>1641</v>
      </c>
      <c r="F9953" t="str">
        <f>INDEX(Lists!I:I,MATCH(Validation!E9953,Lists!G:G,0))</f>
        <v>Alert</v>
      </c>
      <c r="G9953" t="str">
        <f>INDEX(Lists!H:H,MATCH(Validation!E9953,Lists!G:G,0))</f>
        <v>This parcel does not appear to be pledged to an outstanding in-district obligation.</v>
      </c>
      <c r="H9953" s="25" t="str">
        <f t="shared" ca="1" si="1110"/>
        <v/>
      </c>
      <c r="I9953" s="25" t="str">
        <f t="shared" ca="1" si="1111"/>
        <v/>
      </c>
      <c r="J9953" s="26" t="str">
        <f t="shared" si="1112"/>
        <v/>
      </c>
    </row>
    <row r="9954" spans="1:10" x14ac:dyDescent="0.25">
      <c r="A9954" t="s">
        <v>111</v>
      </c>
      <c r="B9954" t="str">
        <f>ADDRESS(ROW(Parcels!B381),COLUMN(Parcels!B1223),4)</f>
        <v>B381</v>
      </c>
      <c r="C9954" t="str">
        <f>ADDRESS(ROW(Parcels!D381),COLUMN(Parcels!D381),4)</f>
        <v>D381</v>
      </c>
      <c r="D9954" s="46" t="b">
        <f>IF(AND(Parcels!B381="Current",'Six-Yr Rule'!B382&lt;=Year_DestinationYearID),IF((SUMIFS('Bond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954" t="s">
        <v>1641</v>
      </c>
      <c r="F9954" t="str">
        <f>INDEX(Lists!I:I,MATCH(Validation!E9954,Lists!G:G,0))</f>
        <v>Alert</v>
      </c>
      <c r="G9954" t="str">
        <f>INDEX(Lists!H:H,MATCH(Validation!E9954,Lists!G:G,0))</f>
        <v>This parcel does not appear to be pledged to an outstanding in-district obligation.</v>
      </c>
      <c r="H9954" s="25" t="str">
        <f t="shared" ca="1" si="1110"/>
        <v/>
      </c>
      <c r="I9954" s="25" t="str">
        <f t="shared" ca="1" si="1111"/>
        <v/>
      </c>
      <c r="J9954" s="26" t="str">
        <f t="shared" si="1112"/>
        <v/>
      </c>
    </row>
    <row r="9955" spans="1:10" x14ac:dyDescent="0.25">
      <c r="A9955" t="s">
        <v>111</v>
      </c>
      <c r="B9955" t="str">
        <f>ADDRESS(ROW(Parcels!B382),COLUMN(Parcels!B1224),4)</f>
        <v>B382</v>
      </c>
      <c r="C9955" t="str">
        <f>ADDRESS(ROW(Parcels!D382),COLUMN(Parcels!D382),4)</f>
        <v>D382</v>
      </c>
      <c r="D9955" s="46" t="b">
        <f>IF(AND(Parcels!B382="Current",'Six-Yr Rule'!B383&lt;=Year_DestinationYearID),IF((SUMIFS('Bond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955" t="s">
        <v>1641</v>
      </c>
      <c r="F9955" t="str">
        <f>INDEX(Lists!I:I,MATCH(Validation!E9955,Lists!G:G,0))</f>
        <v>Alert</v>
      </c>
      <c r="G9955" t="str">
        <f>INDEX(Lists!H:H,MATCH(Validation!E9955,Lists!G:G,0))</f>
        <v>This parcel does not appear to be pledged to an outstanding in-district obligation.</v>
      </c>
      <c r="H9955" s="25" t="str">
        <f t="shared" ca="1" si="1110"/>
        <v/>
      </c>
      <c r="I9955" s="25" t="str">
        <f t="shared" ca="1" si="1111"/>
        <v/>
      </c>
      <c r="J9955" s="26" t="str">
        <f t="shared" si="1112"/>
        <v/>
      </c>
    </row>
    <row r="9956" spans="1:10" x14ac:dyDescent="0.25">
      <c r="A9956" t="s">
        <v>111</v>
      </c>
      <c r="B9956" t="str">
        <f>ADDRESS(ROW(Parcels!B383),COLUMN(Parcels!B1225),4)</f>
        <v>B383</v>
      </c>
      <c r="C9956" t="str">
        <f>ADDRESS(ROW(Parcels!D383),COLUMN(Parcels!D383),4)</f>
        <v>D383</v>
      </c>
      <c r="D9956" s="46" t="b">
        <f>IF(AND(Parcels!B383="Current",'Six-Yr Rule'!B384&lt;=Year_DestinationYearID),IF((SUMIFS('Bond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956" t="s">
        <v>1641</v>
      </c>
      <c r="F9956" t="str">
        <f>INDEX(Lists!I:I,MATCH(Validation!E9956,Lists!G:G,0))</f>
        <v>Alert</v>
      </c>
      <c r="G9956" t="str">
        <f>INDEX(Lists!H:H,MATCH(Validation!E9956,Lists!G:G,0))</f>
        <v>This parcel does not appear to be pledged to an outstanding in-district obligation.</v>
      </c>
      <c r="H9956" s="25" t="str">
        <f t="shared" ca="1" si="1110"/>
        <v/>
      </c>
      <c r="I9956" s="25" t="str">
        <f t="shared" ca="1" si="1111"/>
        <v/>
      </c>
      <c r="J9956" s="26" t="str">
        <f t="shared" si="1112"/>
        <v/>
      </c>
    </row>
    <row r="9957" spans="1:10" x14ac:dyDescent="0.25">
      <c r="A9957" t="s">
        <v>111</v>
      </c>
      <c r="B9957" t="str">
        <f>ADDRESS(ROW(Parcels!B384),COLUMN(Parcels!B1226),4)</f>
        <v>B384</v>
      </c>
      <c r="C9957" t="str">
        <f>ADDRESS(ROW(Parcels!D384),COLUMN(Parcels!D384),4)</f>
        <v>D384</v>
      </c>
      <c r="D9957" s="46" t="b">
        <f>IF(AND(Parcels!B384="Current",'Six-Yr Rule'!B385&lt;=Year_DestinationYearID),IF((SUMIFS('Bond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957" t="s">
        <v>1641</v>
      </c>
      <c r="F9957" t="str">
        <f>INDEX(Lists!I:I,MATCH(Validation!E9957,Lists!G:G,0))</f>
        <v>Alert</v>
      </c>
      <c r="G9957" t="str">
        <f>INDEX(Lists!H:H,MATCH(Validation!E9957,Lists!G:G,0))</f>
        <v>This parcel does not appear to be pledged to an outstanding in-district obligation.</v>
      </c>
      <c r="H9957" s="25" t="str">
        <f t="shared" ca="1" si="1110"/>
        <v/>
      </c>
      <c r="I9957" s="25" t="str">
        <f t="shared" ca="1" si="1111"/>
        <v/>
      </c>
      <c r="J9957" s="26" t="str">
        <f t="shared" si="1112"/>
        <v/>
      </c>
    </row>
    <row r="9958" spans="1:10" x14ac:dyDescent="0.25">
      <c r="A9958" t="s">
        <v>111</v>
      </c>
      <c r="B9958" t="str">
        <f>ADDRESS(ROW(Parcels!B385),COLUMN(Parcels!B1227),4)</f>
        <v>B385</v>
      </c>
      <c r="C9958" t="str">
        <f>ADDRESS(ROW(Parcels!D385),COLUMN(Parcels!D385),4)</f>
        <v>D385</v>
      </c>
      <c r="D9958" s="46" t="b">
        <f>IF(AND(Parcels!B385="Current",'Six-Yr Rule'!B386&lt;=Year_DestinationYearID),IF((SUMIFS('Bond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958" t="s">
        <v>1641</v>
      </c>
      <c r="F9958" t="str">
        <f>INDEX(Lists!I:I,MATCH(Validation!E9958,Lists!G:G,0))</f>
        <v>Alert</v>
      </c>
      <c r="G9958" t="str">
        <f>INDEX(Lists!H:H,MATCH(Validation!E9958,Lists!G:G,0))</f>
        <v>This parcel does not appear to be pledged to an outstanding in-district obligation.</v>
      </c>
      <c r="H9958" s="25" t="str">
        <f t="shared" ca="1" si="1110"/>
        <v/>
      </c>
      <c r="I9958" s="25" t="str">
        <f t="shared" ca="1" si="1111"/>
        <v/>
      </c>
      <c r="J9958" s="26" t="str">
        <f t="shared" si="1112"/>
        <v/>
      </c>
    </row>
    <row r="9959" spans="1:10" x14ac:dyDescent="0.25">
      <c r="A9959" t="s">
        <v>111</v>
      </c>
      <c r="B9959" t="str">
        <f>ADDRESS(ROW(Parcels!B386),COLUMN(Parcels!B1228),4)</f>
        <v>B386</v>
      </c>
      <c r="C9959" t="str">
        <f>ADDRESS(ROW(Parcels!D386),COLUMN(Parcels!D386),4)</f>
        <v>D386</v>
      </c>
      <c r="D9959" s="46" t="b">
        <f>IF(AND(Parcels!B386="Current",'Six-Yr Rule'!B387&lt;=Year_DestinationYearID),IF((SUMIFS('Bond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959" t="s">
        <v>1641</v>
      </c>
      <c r="F9959" t="str">
        <f>INDEX(Lists!I:I,MATCH(Validation!E9959,Lists!G:G,0))</f>
        <v>Alert</v>
      </c>
      <c r="G9959" t="str">
        <f>INDEX(Lists!H:H,MATCH(Validation!E9959,Lists!G:G,0))</f>
        <v>This parcel does not appear to be pledged to an outstanding in-district obligation.</v>
      </c>
      <c r="H9959" s="25" t="str">
        <f t="shared" ca="1" si="1110"/>
        <v/>
      </c>
      <c r="I9959" s="25" t="str">
        <f t="shared" ca="1" si="1111"/>
        <v/>
      </c>
      <c r="J9959" s="26" t="str">
        <f t="shared" si="1112"/>
        <v/>
      </c>
    </row>
    <row r="9960" spans="1:10" x14ac:dyDescent="0.25">
      <c r="A9960" t="s">
        <v>111</v>
      </c>
      <c r="B9960" t="str">
        <f>ADDRESS(ROW(Parcels!B387),COLUMN(Parcels!B1229),4)</f>
        <v>B387</v>
      </c>
      <c r="C9960" t="str">
        <f>ADDRESS(ROW(Parcels!D387),COLUMN(Parcels!D387),4)</f>
        <v>D387</v>
      </c>
      <c r="D9960" s="46" t="b">
        <f>IF(AND(Parcels!B387="Current",'Six-Yr Rule'!B388&lt;=Year_DestinationYearID),IF((SUMIFS('Bond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960" t="s">
        <v>1641</v>
      </c>
      <c r="F9960" t="str">
        <f>INDEX(Lists!I:I,MATCH(Validation!E9960,Lists!G:G,0))</f>
        <v>Alert</v>
      </c>
      <c r="G9960" t="str">
        <f>INDEX(Lists!H:H,MATCH(Validation!E9960,Lists!G:G,0))</f>
        <v>This parcel does not appear to be pledged to an outstanding in-district obligation.</v>
      </c>
      <c r="H9960" s="25" t="str">
        <f t="shared" ca="1" si="1110"/>
        <v/>
      </c>
      <c r="I9960" s="25" t="str">
        <f t="shared" ca="1" si="1111"/>
        <v/>
      </c>
      <c r="J9960" s="26" t="str">
        <f t="shared" si="1112"/>
        <v/>
      </c>
    </row>
    <row r="9961" spans="1:10" x14ac:dyDescent="0.25">
      <c r="A9961" t="s">
        <v>111</v>
      </c>
      <c r="B9961" t="str">
        <f>ADDRESS(ROW(Parcels!B388),COLUMN(Parcels!B1230),4)</f>
        <v>B388</v>
      </c>
      <c r="C9961" t="str">
        <f>ADDRESS(ROW(Parcels!D388),COLUMN(Parcels!D388),4)</f>
        <v>D388</v>
      </c>
      <c r="D9961" s="46" t="b">
        <f>IF(AND(Parcels!B388="Current",'Six-Yr Rule'!B389&lt;=Year_DestinationYearID),IF((SUMIFS('Bond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961" t="s">
        <v>1641</v>
      </c>
      <c r="F9961" t="str">
        <f>INDEX(Lists!I:I,MATCH(Validation!E9961,Lists!G:G,0))</f>
        <v>Alert</v>
      </c>
      <c r="G9961" t="str">
        <f>INDEX(Lists!H:H,MATCH(Validation!E9961,Lists!G:G,0))</f>
        <v>This parcel does not appear to be pledged to an outstanding in-district obligation.</v>
      </c>
      <c r="H9961" s="25" t="str">
        <f t="shared" ca="1" si="1110"/>
        <v/>
      </c>
      <c r="I9961" s="25" t="str">
        <f t="shared" ca="1" si="1111"/>
        <v/>
      </c>
      <c r="J9961" s="26" t="str">
        <f t="shared" si="1112"/>
        <v/>
      </c>
    </row>
    <row r="9962" spans="1:10" x14ac:dyDescent="0.25">
      <c r="A9962" t="s">
        <v>111</v>
      </c>
      <c r="B9962" t="str">
        <f>ADDRESS(ROW(Parcels!B389),COLUMN(Parcels!B1231),4)</f>
        <v>B389</v>
      </c>
      <c r="C9962" t="str">
        <f>ADDRESS(ROW(Parcels!D389),COLUMN(Parcels!D389),4)</f>
        <v>D389</v>
      </c>
      <c r="D9962" s="46" t="b">
        <f>IF(AND(Parcels!B389="Current",'Six-Yr Rule'!B390&lt;=Year_DestinationYearID),IF((SUMIFS('Bond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962" t="s">
        <v>1641</v>
      </c>
      <c r="F9962" t="str">
        <f>INDEX(Lists!I:I,MATCH(Validation!E9962,Lists!G:G,0))</f>
        <v>Alert</v>
      </c>
      <c r="G9962" t="str">
        <f>INDEX(Lists!H:H,MATCH(Validation!E9962,Lists!G:G,0))</f>
        <v>This parcel does not appear to be pledged to an outstanding in-district obligation.</v>
      </c>
      <c r="H9962" s="25" t="str">
        <f t="shared" ca="1" si="1110"/>
        <v/>
      </c>
      <c r="I9962" s="25" t="str">
        <f t="shared" ca="1" si="1111"/>
        <v/>
      </c>
      <c r="J9962" s="26" t="str">
        <f t="shared" si="1112"/>
        <v/>
      </c>
    </row>
    <row r="9963" spans="1:10" x14ac:dyDescent="0.25">
      <c r="A9963" t="s">
        <v>111</v>
      </c>
      <c r="B9963" t="str">
        <f>ADDRESS(ROW(Parcels!B390),COLUMN(Parcels!B1232),4)</f>
        <v>B390</v>
      </c>
      <c r="C9963" t="str">
        <f>ADDRESS(ROW(Parcels!D390),COLUMN(Parcels!D390),4)</f>
        <v>D390</v>
      </c>
      <c r="D9963" s="46" t="b">
        <f>IF(AND(Parcels!B390="Current",'Six-Yr Rule'!B391&lt;=Year_DestinationYearID),IF((SUMIFS('Bond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963" t="s">
        <v>1641</v>
      </c>
      <c r="F9963" t="str">
        <f>INDEX(Lists!I:I,MATCH(Validation!E9963,Lists!G:G,0))</f>
        <v>Alert</v>
      </c>
      <c r="G9963" t="str">
        <f>INDEX(Lists!H:H,MATCH(Validation!E9963,Lists!G:G,0))</f>
        <v>This parcel does not appear to be pledged to an outstanding in-district obligation.</v>
      </c>
      <c r="H9963" s="25" t="str">
        <f t="shared" ca="1" si="1110"/>
        <v/>
      </c>
      <c r="I9963" s="25" t="str">
        <f t="shared" ca="1" si="1111"/>
        <v/>
      </c>
      <c r="J9963" s="26" t="str">
        <f t="shared" si="1112"/>
        <v/>
      </c>
    </row>
    <row r="9964" spans="1:10" x14ac:dyDescent="0.25">
      <c r="A9964" t="s">
        <v>111</v>
      </c>
      <c r="B9964" t="str">
        <f>ADDRESS(ROW(Parcels!B391),COLUMN(Parcels!B1233),4)</f>
        <v>B391</v>
      </c>
      <c r="C9964" t="str">
        <f>ADDRESS(ROW(Parcels!D391),COLUMN(Parcels!D391),4)</f>
        <v>D391</v>
      </c>
      <c r="D9964" s="46" t="b">
        <f>IF(AND(Parcels!B391="Current",'Six-Yr Rule'!B392&lt;=Year_DestinationYearID),IF((SUMIFS('Bond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964" t="s">
        <v>1641</v>
      </c>
      <c r="F9964" t="str">
        <f>INDEX(Lists!I:I,MATCH(Validation!E9964,Lists!G:G,0))</f>
        <v>Alert</v>
      </c>
      <c r="G9964" t="str">
        <f>INDEX(Lists!H:H,MATCH(Validation!E9964,Lists!G:G,0))</f>
        <v>This parcel does not appear to be pledged to an outstanding in-district obligation.</v>
      </c>
      <c r="H9964" s="25" t="str">
        <f t="shared" ca="1" si="1110"/>
        <v/>
      </c>
      <c r="I9964" s="25" t="str">
        <f t="shared" ca="1" si="1111"/>
        <v/>
      </c>
      <c r="J9964" s="26" t="str">
        <f t="shared" si="1112"/>
        <v/>
      </c>
    </row>
    <row r="9965" spans="1:10" x14ac:dyDescent="0.25">
      <c r="A9965" t="s">
        <v>111</v>
      </c>
      <c r="B9965" t="str">
        <f>ADDRESS(ROW(Parcels!B392),COLUMN(Parcels!B1234),4)</f>
        <v>B392</v>
      </c>
      <c r="C9965" t="str">
        <f>ADDRESS(ROW(Parcels!D392),COLUMN(Parcels!D392),4)</f>
        <v>D392</v>
      </c>
      <c r="D9965" s="46" t="b">
        <f>IF(AND(Parcels!B392="Current",'Six-Yr Rule'!B393&lt;=Year_DestinationYearID),IF((SUMIFS('Bond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965" t="s">
        <v>1641</v>
      </c>
      <c r="F9965" t="str">
        <f>INDEX(Lists!I:I,MATCH(Validation!E9965,Lists!G:G,0))</f>
        <v>Alert</v>
      </c>
      <c r="G9965" t="str">
        <f>INDEX(Lists!H:H,MATCH(Validation!E9965,Lists!G:G,0))</f>
        <v>This parcel does not appear to be pledged to an outstanding in-district obligation.</v>
      </c>
      <c r="H9965" s="25" t="str">
        <f t="shared" ca="1" si="1110"/>
        <v/>
      </c>
      <c r="I9965" s="25" t="str">
        <f t="shared" ca="1" si="1111"/>
        <v/>
      </c>
      <c r="J9965" s="26" t="str">
        <f t="shared" si="1112"/>
        <v/>
      </c>
    </row>
    <row r="9966" spans="1:10" x14ac:dyDescent="0.25">
      <c r="A9966" t="s">
        <v>111</v>
      </c>
      <c r="B9966" t="str">
        <f>ADDRESS(ROW(Parcels!B393),COLUMN(Parcels!B1235),4)</f>
        <v>B393</v>
      </c>
      <c r="C9966" t="str">
        <f>ADDRESS(ROW(Parcels!D393),COLUMN(Parcels!D393),4)</f>
        <v>D393</v>
      </c>
      <c r="D9966" s="46" t="b">
        <f>IF(AND(Parcels!B393="Current",'Six-Yr Rule'!B394&lt;=Year_DestinationYearID),IF((SUMIFS('Bond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966" t="s">
        <v>1641</v>
      </c>
      <c r="F9966" t="str">
        <f>INDEX(Lists!I:I,MATCH(Validation!E9966,Lists!G:G,0))</f>
        <v>Alert</v>
      </c>
      <c r="G9966" t="str">
        <f>INDEX(Lists!H:H,MATCH(Validation!E9966,Lists!G:G,0))</f>
        <v>This parcel does not appear to be pledged to an outstanding in-district obligation.</v>
      </c>
      <c r="H9966" s="25" t="str">
        <f t="shared" ca="1" si="1110"/>
        <v/>
      </c>
      <c r="I9966" s="25" t="str">
        <f t="shared" ca="1" si="1111"/>
        <v/>
      </c>
      <c r="J9966" s="26" t="str">
        <f t="shared" si="1112"/>
        <v/>
      </c>
    </row>
    <row r="9967" spans="1:10" x14ac:dyDescent="0.25">
      <c r="A9967" t="s">
        <v>111</v>
      </c>
      <c r="B9967" t="str">
        <f>ADDRESS(ROW(Parcels!B394),COLUMN(Parcels!B1236),4)</f>
        <v>B394</v>
      </c>
      <c r="C9967" t="str">
        <f>ADDRESS(ROW(Parcels!D394),COLUMN(Parcels!D394),4)</f>
        <v>D394</v>
      </c>
      <c r="D9967" s="46" t="b">
        <f>IF(AND(Parcels!B394="Current",'Six-Yr Rule'!B395&lt;=Year_DestinationYearID),IF((SUMIFS('Bond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967" t="s">
        <v>1641</v>
      </c>
      <c r="F9967" t="str">
        <f>INDEX(Lists!I:I,MATCH(Validation!E9967,Lists!G:G,0))</f>
        <v>Alert</v>
      </c>
      <c r="G9967" t="str">
        <f>INDEX(Lists!H:H,MATCH(Validation!E9967,Lists!G:G,0))</f>
        <v>This parcel does not appear to be pledged to an outstanding in-district obligation.</v>
      </c>
      <c r="H9967" s="25" t="str">
        <f t="shared" ca="1" si="1110"/>
        <v/>
      </c>
      <c r="I9967" s="25" t="str">
        <f t="shared" ca="1" si="1111"/>
        <v/>
      </c>
      <c r="J9967" s="26" t="str">
        <f t="shared" si="1112"/>
        <v/>
      </c>
    </row>
    <row r="9968" spans="1:10" x14ac:dyDescent="0.25">
      <c r="A9968" t="s">
        <v>111</v>
      </c>
      <c r="B9968" t="str">
        <f>ADDRESS(ROW(Parcels!B395),COLUMN(Parcels!B1237),4)</f>
        <v>B395</v>
      </c>
      <c r="C9968" t="str">
        <f>ADDRESS(ROW(Parcels!D395),COLUMN(Parcels!D395),4)</f>
        <v>D395</v>
      </c>
      <c r="D9968" s="46" t="b">
        <f>IF(AND(Parcels!B395="Current",'Six-Yr Rule'!B396&lt;=Year_DestinationYearID),IF((SUMIFS('Bond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968" t="s">
        <v>1641</v>
      </c>
      <c r="F9968" t="str">
        <f>INDEX(Lists!I:I,MATCH(Validation!E9968,Lists!G:G,0))</f>
        <v>Alert</v>
      </c>
      <c r="G9968" t="str">
        <f>INDEX(Lists!H:H,MATCH(Validation!E9968,Lists!G:G,0))</f>
        <v>This parcel does not appear to be pledged to an outstanding in-district obligation.</v>
      </c>
      <c r="H9968" s="25" t="str">
        <f t="shared" ca="1" si="1110"/>
        <v/>
      </c>
      <c r="I9968" s="25" t="str">
        <f t="shared" ca="1" si="1111"/>
        <v/>
      </c>
      <c r="J9968" s="26" t="str">
        <f t="shared" si="1112"/>
        <v/>
      </c>
    </row>
    <row r="9969" spans="1:10" x14ac:dyDescent="0.25">
      <c r="A9969" t="s">
        <v>111</v>
      </c>
      <c r="B9969" t="str">
        <f>ADDRESS(ROW(Parcels!B396),COLUMN(Parcels!B1238),4)</f>
        <v>B396</v>
      </c>
      <c r="C9969" t="str">
        <f>ADDRESS(ROW(Parcels!D396),COLUMN(Parcels!D396),4)</f>
        <v>D396</v>
      </c>
      <c r="D9969" s="46" t="b">
        <f>IF(AND(Parcels!B396="Current",'Six-Yr Rule'!B397&lt;=Year_DestinationYearID),IF((SUMIFS('Bond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969" t="s">
        <v>1641</v>
      </c>
      <c r="F9969" t="str">
        <f>INDEX(Lists!I:I,MATCH(Validation!E9969,Lists!G:G,0))</f>
        <v>Alert</v>
      </c>
      <c r="G9969" t="str">
        <f>INDEX(Lists!H:H,MATCH(Validation!E9969,Lists!G:G,0))</f>
        <v>This parcel does not appear to be pledged to an outstanding in-district obligation.</v>
      </c>
      <c r="H9969" s="25" t="str">
        <f t="shared" ca="1" si="1110"/>
        <v/>
      </c>
      <c r="I9969" s="25" t="str">
        <f t="shared" ca="1" si="1111"/>
        <v/>
      </c>
      <c r="J9969" s="26" t="str">
        <f t="shared" si="1112"/>
        <v/>
      </c>
    </row>
    <row r="9970" spans="1:10" x14ac:dyDescent="0.25">
      <c r="A9970" t="s">
        <v>111</v>
      </c>
      <c r="B9970" t="str">
        <f>ADDRESS(ROW(Parcels!B397),COLUMN(Parcels!B1239),4)</f>
        <v>B397</v>
      </c>
      <c r="C9970" t="str">
        <f>ADDRESS(ROW(Parcels!D397),COLUMN(Parcels!D397),4)</f>
        <v>D397</v>
      </c>
      <c r="D9970" s="46" t="b">
        <f>IF(AND(Parcels!B397="Current",'Six-Yr Rule'!B398&lt;=Year_DestinationYearID),IF((SUMIFS('Bond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970" t="s">
        <v>1641</v>
      </c>
      <c r="F9970" t="str">
        <f>INDEX(Lists!I:I,MATCH(Validation!E9970,Lists!G:G,0))</f>
        <v>Alert</v>
      </c>
      <c r="G9970" t="str">
        <f>INDEX(Lists!H:H,MATCH(Validation!E9970,Lists!G:G,0))</f>
        <v>This parcel does not appear to be pledged to an outstanding in-district obligation.</v>
      </c>
      <c r="H9970" s="25" t="str">
        <f t="shared" ca="1" si="1110"/>
        <v/>
      </c>
      <c r="I9970" s="25" t="str">
        <f t="shared" ca="1" si="1111"/>
        <v/>
      </c>
      <c r="J9970" s="26" t="str">
        <f t="shared" si="1112"/>
        <v/>
      </c>
    </row>
    <row r="9971" spans="1:10" x14ac:dyDescent="0.25">
      <c r="A9971" t="s">
        <v>111</v>
      </c>
      <c r="B9971" t="str">
        <f>ADDRESS(ROW(Parcels!B398),COLUMN(Parcels!B1240),4)</f>
        <v>B398</v>
      </c>
      <c r="C9971" t="str">
        <f>ADDRESS(ROW(Parcels!D398),COLUMN(Parcels!D398),4)</f>
        <v>D398</v>
      </c>
      <c r="D9971" s="46" t="b">
        <f>IF(AND(Parcels!B398="Current",'Six-Yr Rule'!B399&lt;=Year_DestinationYearID),IF((SUMIFS('Bond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971" t="s">
        <v>1641</v>
      </c>
      <c r="F9971" t="str">
        <f>INDEX(Lists!I:I,MATCH(Validation!E9971,Lists!G:G,0))</f>
        <v>Alert</v>
      </c>
      <c r="G9971" t="str">
        <f>INDEX(Lists!H:H,MATCH(Validation!E9971,Lists!G:G,0))</f>
        <v>This parcel does not appear to be pledged to an outstanding in-district obligation.</v>
      </c>
      <c r="H9971" s="25" t="str">
        <f t="shared" ref="H9971:H10034" ca="1" si="1113">IFERROR(IF(OR(NOT(D9971),F9971&lt;&gt;"Error"),"",A9971&amp;CELL("address",INDIRECT(B9971))),"")</f>
        <v/>
      </c>
      <c r="I9971" s="25" t="str">
        <f t="shared" ref="I9971:I10034" ca="1" si="1114">IFERROR(IF(NOT(D9971),"",A9971&amp;CELL("address",INDIRECT(C9971))),"")</f>
        <v/>
      </c>
      <c r="J9971" s="26" t="str">
        <f t="shared" ref="J9971:J10034" si="1115">IFERROR(IF(NOT(D9971),"",A9971),"")</f>
        <v/>
      </c>
    </row>
    <row r="9972" spans="1:10" x14ac:dyDescent="0.25">
      <c r="A9972" t="s">
        <v>111</v>
      </c>
      <c r="B9972" t="str">
        <f>ADDRESS(ROW(Parcels!B399),COLUMN(Parcels!B1241),4)</f>
        <v>B399</v>
      </c>
      <c r="C9972" t="str">
        <f>ADDRESS(ROW(Parcels!D399),COLUMN(Parcels!D399),4)</f>
        <v>D399</v>
      </c>
      <c r="D9972" s="46" t="b">
        <f>IF(AND(Parcels!B399="Current",'Six-Yr Rule'!B400&lt;=Year_DestinationYearID),IF((SUMIFS('Bond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972" t="s">
        <v>1641</v>
      </c>
      <c r="F9972" t="str">
        <f>INDEX(Lists!I:I,MATCH(Validation!E9972,Lists!G:G,0))</f>
        <v>Alert</v>
      </c>
      <c r="G9972" t="str">
        <f>INDEX(Lists!H:H,MATCH(Validation!E9972,Lists!G:G,0))</f>
        <v>This parcel does not appear to be pledged to an outstanding in-district obligation.</v>
      </c>
      <c r="H9972" s="25" t="str">
        <f t="shared" ca="1" si="1113"/>
        <v/>
      </c>
      <c r="I9972" s="25" t="str">
        <f t="shared" ca="1" si="1114"/>
        <v/>
      </c>
      <c r="J9972" s="26" t="str">
        <f t="shared" si="1115"/>
        <v/>
      </c>
    </row>
    <row r="9973" spans="1:10" x14ac:dyDescent="0.25">
      <c r="A9973" t="s">
        <v>111</v>
      </c>
      <c r="B9973" t="str">
        <f>ADDRESS(ROW(Parcels!B400),COLUMN(Parcels!B1242),4)</f>
        <v>B400</v>
      </c>
      <c r="C9973" t="str">
        <f>ADDRESS(ROW(Parcels!D400),COLUMN(Parcels!D400),4)</f>
        <v>D400</v>
      </c>
      <c r="D9973" s="46" t="b">
        <f>IF(AND(Parcels!B400="Current",'Six-Yr Rule'!B401&lt;=Year_DestinationYearID),IF((SUMIFS('Bond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973" t="s">
        <v>1641</v>
      </c>
      <c r="F9973" t="str">
        <f>INDEX(Lists!I:I,MATCH(Validation!E9973,Lists!G:G,0))</f>
        <v>Alert</v>
      </c>
      <c r="G9973" t="str">
        <f>INDEX(Lists!H:H,MATCH(Validation!E9973,Lists!G:G,0))</f>
        <v>This parcel does not appear to be pledged to an outstanding in-district obligation.</v>
      </c>
      <c r="H9973" s="25" t="str">
        <f t="shared" ca="1" si="1113"/>
        <v/>
      </c>
      <c r="I9973" s="25" t="str">
        <f t="shared" ca="1" si="1114"/>
        <v/>
      </c>
      <c r="J9973" s="26" t="str">
        <f t="shared" si="1115"/>
        <v/>
      </c>
    </row>
    <row r="9974" spans="1:10" x14ac:dyDescent="0.25">
      <c r="A9974" t="s">
        <v>111</v>
      </c>
      <c r="B9974" t="str">
        <f>ADDRESS(ROW(Parcels!B401),COLUMN(Parcels!B1243),4)</f>
        <v>B401</v>
      </c>
      <c r="C9974" t="str">
        <f>ADDRESS(ROW(Parcels!D401),COLUMN(Parcels!D401),4)</f>
        <v>D401</v>
      </c>
      <c r="D9974" s="46" t="b">
        <f>IF(AND(Parcels!B401="Current",'Six-Yr Rule'!B402&lt;=Year_DestinationYearID),IF((SUMIFS('Bond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974" t="s">
        <v>1641</v>
      </c>
      <c r="F9974" t="str">
        <f>INDEX(Lists!I:I,MATCH(Validation!E9974,Lists!G:G,0))</f>
        <v>Alert</v>
      </c>
      <c r="G9974" t="str">
        <f>INDEX(Lists!H:H,MATCH(Validation!E9974,Lists!G:G,0))</f>
        <v>This parcel does not appear to be pledged to an outstanding in-district obligation.</v>
      </c>
      <c r="H9974" s="25" t="str">
        <f t="shared" ca="1" si="1113"/>
        <v/>
      </c>
      <c r="I9974" s="25" t="str">
        <f t="shared" ca="1" si="1114"/>
        <v/>
      </c>
      <c r="J9974" s="26" t="str">
        <f t="shared" si="1115"/>
        <v/>
      </c>
    </row>
    <row r="9975" spans="1:10" x14ac:dyDescent="0.25">
      <c r="A9975" t="s">
        <v>111</v>
      </c>
      <c r="B9975" t="str">
        <f>ADDRESS(ROW(Parcels!B402),COLUMN(Parcels!B1244),4)</f>
        <v>B402</v>
      </c>
      <c r="C9975" t="str">
        <f>ADDRESS(ROW(Parcels!D402),COLUMN(Parcels!D402),4)</f>
        <v>D402</v>
      </c>
      <c r="D9975" s="46" t="b">
        <f>IF(AND(Parcels!B402="Current",'Six-Yr Rule'!B403&lt;=Year_DestinationYearID),IF((SUMIFS('Bond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975" t="s">
        <v>1641</v>
      </c>
      <c r="F9975" t="str">
        <f>INDEX(Lists!I:I,MATCH(Validation!E9975,Lists!G:G,0))</f>
        <v>Alert</v>
      </c>
      <c r="G9975" t="str">
        <f>INDEX(Lists!H:H,MATCH(Validation!E9975,Lists!G:G,0))</f>
        <v>This parcel does not appear to be pledged to an outstanding in-district obligation.</v>
      </c>
      <c r="H9975" s="25" t="str">
        <f t="shared" ca="1" si="1113"/>
        <v/>
      </c>
      <c r="I9975" s="25" t="str">
        <f t="shared" ca="1" si="1114"/>
        <v/>
      </c>
      <c r="J9975" s="26" t="str">
        <f t="shared" si="1115"/>
        <v/>
      </c>
    </row>
    <row r="9976" spans="1:10" x14ac:dyDescent="0.25">
      <c r="A9976" t="s">
        <v>111</v>
      </c>
      <c r="B9976" t="str">
        <f>ADDRESS(ROW(Parcels!B403),COLUMN(Parcels!B1245),4)</f>
        <v>B403</v>
      </c>
      <c r="C9976" t="str">
        <f>ADDRESS(ROW(Parcels!D403),COLUMN(Parcels!D403),4)</f>
        <v>D403</v>
      </c>
      <c r="D9976" s="46" t="b">
        <f>IF(AND(Parcels!B403="Current",'Six-Yr Rule'!B404&lt;=Year_DestinationYearID),IF((SUMIFS('Bond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976" t="s">
        <v>1641</v>
      </c>
      <c r="F9976" t="str">
        <f>INDEX(Lists!I:I,MATCH(Validation!E9976,Lists!G:G,0))</f>
        <v>Alert</v>
      </c>
      <c r="G9976" t="str">
        <f>INDEX(Lists!H:H,MATCH(Validation!E9976,Lists!G:G,0))</f>
        <v>This parcel does not appear to be pledged to an outstanding in-district obligation.</v>
      </c>
      <c r="H9976" s="25" t="str">
        <f t="shared" ca="1" si="1113"/>
        <v/>
      </c>
      <c r="I9976" s="25" t="str">
        <f t="shared" ca="1" si="1114"/>
        <v/>
      </c>
      <c r="J9976" s="26" t="str">
        <f t="shared" si="1115"/>
        <v/>
      </c>
    </row>
    <row r="9977" spans="1:10" x14ac:dyDescent="0.25">
      <c r="A9977" t="s">
        <v>111</v>
      </c>
      <c r="B9977" t="str">
        <f>ADDRESS(ROW(Parcels!B404),COLUMN(Parcels!B1246),4)</f>
        <v>B404</v>
      </c>
      <c r="C9977" t="str">
        <f>ADDRESS(ROW(Parcels!D404),COLUMN(Parcels!D404),4)</f>
        <v>D404</v>
      </c>
      <c r="D9977" s="46" t="b">
        <f>IF(AND(Parcels!B404="Current",'Six-Yr Rule'!B405&lt;=Year_DestinationYearID),IF((SUMIFS('Bond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977" t="s">
        <v>1641</v>
      </c>
      <c r="F9977" t="str">
        <f>INDEX(Lists!I:I,MATCH(Validation!E9977,Lists!G:G,0))</f>
        <v>Alert</v>
      </c>
      <c r="G9977" t="str">
        <f>INDEX(Lists!H:H,MATCH(Validation!E9977,Lists!G:G,0))</f>
        <v>This parcel does not appear to be pledged to an outstanding in-district obligation.</v>
      </c>
      <c r="H9977" s="25" t="str">
        <f t="shared" ca="1" si="1113"/>
        <v/>
      </c>
      <c r="I9977" s="25" t="str">
        <f t="shared" ca="1" si="1114"/>
        <v/>
      </c>
      <c r="J9977" s="26" t="str">
        <f t="shared" si="1115"/>
        <v/>
      </c>
    </row>
    <row r="9978" spans="1:10" x14ac:dyDescent="0.25">
      <c r="A9978" t="s">
        <v>111</v>
      </c>
      <c r="B9978" t="str">
        <f>ADDRESS(ROW(Parcels!B405),COLUMN(Parcels!B1247),4)</f>
        <v>B405</v>
      </c>
      <c r="C9978" t="str">
        <f>ADDRESS(ROW(Parcels!D405),COLUMN(Parcels!D405),4)</f>
        <v>D405</v>
      </c>
      <c r="D9978" s="46" t="b">
        <f>IF(AND(Parcels!B405="Current",'Six-Yr Rule'!B406&lt;=Year_DestinationYearID),IF((SUMIFS('Bond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978" t="s">
        <v>1641</v>
      </c>
      <c r="F9978" t="str">
        <f>INDEX(Lists!I:I,MATCH(Validation!E9978,Lists!G:G,0))</f>
        <v>Alert</v>
      </c>
      <c r="G9978" t="str">
        <f>INDEX(Lists!H:H,MATCH(Validation!E9978,Lists!G:G,0))</f>
        <v>This parcel does not appear to be pledged to an outstanding in-district obligation.</v>
      </c>
      <c r="H9978" s="25" t="str">
        <f t="shared" ca="1" si="1113"/>
        <v/>
      </c>
      <c r="I9978" s="25" t="str">
        <f t="shared" ca="1" si="1114"/>
        <v/>
      </c>
      <c r="J9978" s="26" t="str">
        <f t="shared" si="1115"/>
        <v/>
      </c>
    </row>
    <row r="9979" spans="1:10" x14ac:dyDescent="0.25">
      <c r="A9979" t="s">
        <v>111</v>
      </c>
      <c r="B9979" t="str">
        <f>ADDRESS(ROW(Parcels!B406),COLUMN(Parcels!B1248),4)</f>
        <v>B406</v>
      </c>
      <c r="C9979" t="str">
        <f>ADDRESS(ROW(Parcels!D406),COLUMN(Parcels!D406),4)</f>
        <v>D406</v>
      </c>
      <c r="D9979" s="46" t="b">
        <f>IF(AND(Parcels!B406="Current",'Six-Yr Rule'!B407&lt;=Year_DestinationYearID),IF((SUMIFS('Bond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979" t="s">
        <v>1641</v>
      </c>
      <c r="F9979" t="str">
        <f>INDEX(Lists!I:I,MATCH(Validation!E9979,Lists!G:G,0))</f>
        <v>Alert</v>
      </c>
      <c r="G9979" t="str">
        <f>INDEX(Lists!H:H,MATCH(Validation!E9979,Lists!G:G,0))</f>
        <v>This parcel does not appear to be pledged to an outstanding in-district obligation.</v>
      </c>
      <c r="H9979" s="25" t="str">
        <f t="shared" ca="1" si="1113"/>
        <v/>
      </c>
      <c r="I9979" s="25" t="str">
        <f t="shared" ca="1" si="1114"/>
        <v/>
      </c>
      <c r="J9979" s="26" t="str">
        <f t="shared" si="1115"/>
        <v/>
      </c>
    </row>
    <row r="9980" spans="1:10" x14ac:dyDescent="0.25">
      <c r="A9980" t="s">
        <v>111</v>
      </c>
      <c r="B9980" t="str">
        <f>ADDRESS(ROW(Parcels!B407),COLUMN(Parcels!B1249),4)</f>
        <v>B407</v>
      </c>
      <c r="C9980" t="str">
        <f>ADDRESS(ROW(Parcels!D407),COLUMN(Parcels!D407),4)</f>
        <v>D407</v>
      </c>
      <c r="D9980" s="46" t="b">
        <f>IF(AND(Parcels!B407="Current",'Six-Yr Rule'!B408&lt;=Year_DestinationYearID),IF((SUMIFS('Bond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980" t="s">
        <v>1641</v>
      </c>
      <c r="F9980" t="str">
        <f>INDEX(Lists!I:I,MATCH(Validation!E9980,Lists!G:G,0))</f>
        <v>Alert</v>
      </c>
      <c r="G9980" t="str">
        <f>INDEX(Lists!H:H,MATCH(Validation!E9980,Lists!G:G,0))</f>
        <v>This parcel does not appear to be pledged to an outstanding in-district obligation.</v>
      </c>
      <c r="H9980" s="25" t="str">
        <f t="shared" ca="1" si="1113"/>
        <v/>
      </c>
      <c r="I9980" s="25" t="str">
        <f t="shared" ca="1" si="1114"/>
        <v/>
      </c>
      <c r="J9980" s="26" t="str">
        <f t="shared" si="1115"/>
        <v/>
      </c>
    </row>
    <row r="9981" spans="1:10" x14ac:dyDescent="0.25">
      <c r="A9981" t="s">
        <v>111</v>
      </c>
      <c r="B9981" t="str">
        <f>ADDRESS(ROW(Parcels!B408),COLUMN(Parcels!B1250),4)</f>
        <v>B408</v>
      </c>
      <c r="C9981" t="str">
        <f>ADDRESS(ROW(Parcels!D408),COLUMN(Parcels!D408),4)</f>
        <v>D408</v>
      </c>
      <c r="D9981" s="46" t="b">
        <f>IF(AND(Parcels!B408="Current",'Six-Yr Rule'!B409&lt;=Year_DestinationYearID),IF((SUMIFS('Bond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981" t="s">
        <v>1641</v>
      </c>
      <c r="F9981" t="str">
        <f>INDEX(Lists!I:I,MATCH(Validation!E9981,Lists!G:G,0))</f>
        <v>Alert</v>
      </c>
      <c r="G9981" t="str">
        <f>INDEX(Lists!H:H,MATCH(Validation!E9981,Lists!G:G,0))</f>
        <v>This parcel does not appear to be pledged to an outstanding in-district obligation.</v>
      </c>
      <c r="H9981" s="25" t="str">
        <f t="shared" ca="1" si="1113"/>
        <v/>
      </c>
      <c r="I9981" s="25" t="str">
        <f t="shared" ca="1" si="1114"/>
        <v/>
      </c>
      <c r="J9981" s="26" t="str">
        <f t="shared" si="1115"/>
        <v/>
      </c>
    </row>
    <row r="9982" spans="1:10" x14ac:dyDescent="0.25">
      <c r="A9982" t="s">
        <v>111</v>
      </c>
      <c r="B9982" t="str">
        <f>ADDRESS(ROW(Parcels!B409),COLUMN(Parcels!B1251),4)</f>
        <v>B409</v>
      </c>
      <c r="C9982" t="str">
        <f>ADDRESS(ROW(Parcels!D409),COLUMN(Parcels!D409),4)</f>
        <v>D409</v>
      </c>
      <c r="D9982" s="46" t="b">
        <f>IF(AND(Parcels!B409="Current",'Six-Yr Rule'!B410&lt;=Year_DestinationYearID),IF((SUMIFS('Bond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982" t="s">
        <v>1641</v>
      </c>
      <c r="F9982" t="str">
        <f>INDEX(Lists!I:I,MATCH(Validation!E9982,Lists!G:G,0))</f>
        <v>Alert</v>
      </c>
      <c r="G9982" t="str">
        <f>INDEX(Lists!H:H,MATCH(Validation!E9982,Lists!G:G,0))</f>
        <v>This parcel does not appear to be pledged to an outstanding in-district obligation.</v>
      </c>
      <c r="H9982" s="25" t="str">
        <f t="shared" ca="1" si="1113"/>
        <v/>
      </c>
      <c r="I9982" s="25" t="str">
        <f t="shared" ca="1" si="1114"/>
        <v/>
      </c>
      <c r="J9982" s="26" t="str">
        <f t="shared" si="1115"/>
        <v/>
      </c>
    </row>
    <row r="9983" spans="1:10" x14ac:dyDescent="0.25">
      <c r="A9983" t="s">
        <v>111</v>
      </c>
      <c r="B9983" t="str">
        <f>ADDRESS(ROW(Parcels!B410),COLUMN(Parcels!B1252),4)</f>
        <v>B410</v>
      </c>
      <c r="C9983" t="str">
        <f>ADDRESS(ROW(Parcels!D410),COLUMN(Parcels!D410),4)</f>
        <v>D410</v>
      </c>
      <c r="D9983" s="46" t="b">
        <f>IF(AND(Parcels!B410="Current",'Six-Yr Rule'!B411&lt;=Year_DestinationYearID),IF((SUMIFS('Bond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983" t="s">
        <v>1641</v>
      </c>
      <c r="F9983" t="str">
        <f>INDEX(Lists!I:I,MATCH(Validation!E9983,Lists!G:G,0))</f>
        <v>Alert</v>
      </c>
      <c r="G9983" t="str">
        <f>INDEX(Lists!H:H,MATCH(Validation!E9983,Lists!G:G,0))</f>
        <v>This parcel does not appear to be pledged to an outstanding in-district obligation.</v>
      </c>
      <c r="H9983" s="25" t="str">
        <f t="shared" ca="1" si="1113"/>
        <v/>
      </c>
      <c r="I9983" s="25" t="str">
        <f t="shared" ca="1" si="1114"/>
        <v/>
      </c>
      <c r="J9983" s="26" t="str">
        <f t="shared" si="1115"/>
        <v/>
      </c>
    </row>
    <row r="9984" spans="1:10" x14ac:dyDescent="0.25">
      <c r="A9984" t="s">
        <v>111</v>
      </c>
      <c r="B9984" t="str">
        <f>ADDRESS(ROW(Parcels!B411),COLUMN(Parcels!B1253),4)</f>
        <v>B411</v>
      </c>
      <c r="C9984" t="str">
        <f>ADDRESS(ROW(Parcels!D411),COLUMN(Parcels!D411),4)</f>
        <v>D411</v>
      </c>
      <c r="D9984" s="46" t="b">
        <f>IF(AND(Parcels!B411="Current",'Six-Yr Rule'!B412&lt;=Year_DestinationYearID),IF((SUMIFS('Bond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984" t="s">
        <v>1641</v>
      </c>
      <c r="F9984" t="str">
        <f>INDEX(Lists!I:I,MATCH(Validation!E9984,Lists!G:G,0))</f>
        <v>Alert</v>
      </c>
      <c r="G9984" t="str">
        <f>INDEX(Lists!H:H,MATCH(Validation!E9984,Lists!G:G,0))</f>
        <v>This parcel does not appear to be pledged to an outstanding in-district obligation.</v>
      </c>
      <c r="H9984" s="25" t="str">
        <f t="shared" ca="1" si="1113"/>
        <v/>
      </c>
      <c r="I9984" s="25" t="str">
        <f t="shared" ca="1" si="1114"/>
        <v/>
      </c>
      <c r="J9984" s="26" t="str">
        <f t="shared" si="1115"/>
        <v/>
      </c>
    </row>
    <row r="9985" spans="1:10" x14ac:dyDescent="0.25">
      <c r="A9985" t="s">
        <v>111</v>
      </c>
      <c r="B9985" t="str">
        <f>ADDRESS(ROW(Parcels!B412),COLUMN(Parcels!B1254),4)</f>
        <v>B412</v>
      </c>
      <c r="C9985" t="str">
        <f>ADDRESS(ROW(Parcels!D412),COLUMN(Parcels!D412),4)</f>
        <v>D412</v>
      </c>
      <c r="D9985" s="46" t="b">
        <f>IF(AND(Parcels!B412="Current",'Six-Yr Rule'!B413&lt;=Year_DestinationYearID),IF((SUMIFS('Bond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985" t="s">
        <v>1641</v>
      </c>
      <c r="F9985" t="str">
        <f>INDEX(Lists!I:I,MATCH(Validation!E9985,Lists!G:G,0))</f>
        <v>Alert</v>
      </c>
      <c r="G9985" t="str">
        <f>INDEX(Lists!H:H,MATCH(Validation!E9985,Lists!G:G,0))</f>
        <v>This parcel does not appear to be pledged to an outstanding in-district obligation.</v>
      </c>
      <c r="H9985" s="25" t="str">
        <f t="shared" ca="1" si="1113"/>
        <v/>
      </c>
      <c r="I9985" s="25" t="str">
        <f t="shared" ca="1" si="1114"/>
        <v/>
      </c>
      <c r="J9985" s="26" t="str">
        <f t="shared" si="1115"/>
        <v/>
      </c>
    </row>
    <row r="9986" spans="1:10" x14ac:dyDescent="0.25">
      <c r="A9986" t="s">
        <v>111</v>
      </c>
      <c r="B9986" t="str">
        <f>ADDRESS(ROW(Parcels!B413),COLUMN(Parcels!B1255),4)</f>
        <v>B413</v>
      </c>
      <c r="C9986" t="str">
        <f>ADDRESS(ROW(Parcels!D413),COLUMN(Parcels!D413),4)</f>
        <v>D413</v>
      </c>
      <c r="D9986" s="46" t="b">
        <f>IF(AND(Parcels!B413="Current",'Six-Yr Rule'!B414&lt;=Year_DestinationYearID),IF((SUMIFS('Bond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986" t="s">
        <v>1641</v>
      </c>
      <c r="F9986" t="str">
        <f>INDEX(Lists!I:I,MATCH(Validation!E9986,Lists!G:G,0))</f>
        <v>Alert</v>
      </c>
      <c r="G9986" t="str">
        <f>INDEX(Lists!H:H,MATCH(Validation!E9986,Lists!G:G,0))</f>
        <v>This parcel does not appear to be pledged to an outstanding in-district obligation.</v>
      </c>
      <c r="H9986" s="25" t="str">
        <f t="shared" ca="1" si="1113"/>
        <v/>
      </c>
      <c r="I9986" s="25" t="str">
        <f t="shared" ca="1" si="1114"/>
        <v/>
      </c>
      <c r="J9986" s="26" t="str">
        <f t="shared" si="1115"/>
        <v/>
      </c>
    </row>
    <row r="9987" spans="1:10" x14ac:dyDescent="0.25">
      <c r="A9987" t="s">
        <v>111</v>
      </c>
      <c r="B9987" t="str">
        <f>ADDRESS(ROW(Parcels!B414),COLUMN(Parcels!B1256),4)</f>
        <v>B414</v>
      </c>
      <c r="C9987" t="str">
        <f>ADDRESS(ROW(Parcels!D414),COLUMN(Parcels!D414),4)</f>
        <v>D414</v>
      </c>
      <c r="D9987" s="46" t="b">
        <f>IF(AND(Parcels!B414="Current",'Six-Yr Rule'!B415&lt;=Year_DestinationYearID),IF((SUMIFS('Bond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987" t="s">
        <v>1641</v>
      </c>
      <c r="F9987" t="str">
        <f>INDEX(Lists!I:I,MATCH(Validation!E9987,Lists!G:G,0))</f>
        <v>Alert</v>
      </c>
      <c r="G9987" t="str">
        <f>INDEX(Lists!H:H,MATCH(Validation!E9987,Lists!G:G,0))</f>
        <v>This parcel does not appear to be pledged to an outstanding in-district obligation.</v>
      </c>
      <c r="H9987" s="25" t="str">
        <f t="shared" ca="1" si="1113"/>
        <v/>
      </c>
      <c r="I9987" s="25" t="str">
        <f t="shared" ca="1" si="1114"/>
        <v/>
      </c>
      <c r="J9987" s="26" t="str">
        <f t="shared" si="1115"/>
        <v/>
      </c>
    </row>
    <row r="9988" spans="1:10" x14ac:dyDescent="0.25">
      <c r="A9988" t="s">
        <v>111</v>
      </c>
      <c r="B9988" t="str">
        <f>ADDRESS(ROW(Parcels!B415),COLUMN(Parcels!B1257),4)</f>
        <v>B415</v>
      </c>
      <c r="C9988" t="str">
        <f>ADDRESS(ROW(Parcels!D415),COLUMN(Parcels!D415),4)</f>
        <v>D415</v>
      </c>
      <c r="D9988" s="46" t="b">
        <f>IF(AND(Parcels!B415="Current",'Six-Yr Rule'!B416&lt;=Year_DestinationYearID),IF((SUMIFS('Bond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988" t="s">
        <v>1641</v>
      </c>
      <c r="F9988" t="str">
        <f>INDEX(Lists!I:I,MATCH(Validation!E9988,Lists!G:G,0))</f>
        <v>Alert</v>
      </c>
      <c r="G9988" t="str">
        <f>INDEX(Lists!H:H,MATCH(Validation!E9988,Lists!G:G,0))</f>
        <v>This parcel does not appear to be pledged to an outstanding in-district obligation.</v>
      </c>
      <c r="H9988" s="25" t="str">
        <f t="shared" ca="1" si="1113"/>
        <v/>
      </c>
      <c r="I9988" s="25" t="str">
        <f t="shared" ca="1" si="1114"/>
        <v/>
      </c>
      <c r="J9988" s="26" t="str">
        <f t="shared" si="1115"/>
        <v/>
      </c>
    </row>
    <row r="9989" spans="1:10" x14ac:dyDescent="0.25">
      <c r="A9989" t="s">
        <v>111</v>
      </c>
      <c r="B9989" t="str">
        <f>ADDRESS(ROW(Parcels!B416),COLUMN(Parcels!B1258),4)</f>
        <v>B416</v>
      </c>
      <c r="C9989" t="str">
        <f>ADDRESS(ROW(Parcels!D416),COLUMN(Parcels!D416),4)</f>
        <v>D416</v>
      </c>
      <c r="D9989" s="46" t="b">
        <f>IF(AND(Parcels!B416="Current",'Six-Yr Rule'!B417&lt;=Year_DestinationYearID),IF((SUMIFS('Bond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989" t="s">
        <v>1641</v>
      </c>
      <c r="F9989" t="str">
        <f>INDEX(Lists!I:I,MATCH(Validation!E9989,Lists!G:G,0))</f>
        <v>Alert</v>
      </c>
      <c r="G9989" t="str">
        <f>INDEX(Lists!H:H,MATCH(Validation!E9989,Lists!G:G,0))</f>
        <v>This parcel does not appear to be pledged to an outstanding in-district obligation.</v>
      </c>
      <c r="H9989" s="25" t="str">
        <f t="shared" ca="1" si="1113"/>
        <v/>
      </c>
      <c r="I9989" s="25" t="str">
        <f t="shared" ca="1" si="1114"/>
        <v/>
      </c>
      <c r="J9989" s="26" t="str">
        <f t="shared" si="1115"/>
        <v/>
      </c>
    </row>
    <row r="9990" spans="1:10" x14ac:dyDescent="0.25">
      <c r="A9990" t="s">
        <v>111</v>
      </c>
      <c r="B9990" t="str">
        <f>ADDRESS(ROW(Parcels!B417),COLUMN(Parcels!B1259),4)</f>
        <v>B417</v>
      </c>
      <c r="C9990" t="str">
        <f>ADDRESS(ROW(Parcels!D417),COLUMN(Parcels!D417),4)</f>
        <v>D417</v>
      </c>
      <c r="D9990" s="46" t="b">
        <f>IF(AND(Parcels!B417="Current",'Six-Yr Rule'!B418&lt;=Year_DestinationYearID),IF((SUMIFS('Bond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990" t="s">
        <v>1641</v>
      </c>
      <c r="F9990" t="str">
        <f>INDEX(Lists!I:I,MATCH(Validation!E9990,Lists!G:G,0))</f>
        <v>Alert</v>
      </c>
      <c r="G9990" t="str">
        <f>INDEX(Lists!H:H,MATCH(Validation!E9990,Lists!G:G,0))</f>
        <v>This parcel does not appear to be pledged to an outstanding in-district obligation.</v>
      </c>
      <c r="H9990" s="25" t="str">
        <f t="shared" ca="1" si="1113"/>
        <v/>
      </c>
      <c r="I9990" s="25" t="str">
        <f t="shared" ca="1" si="1114"/>
        <v/>
      </c>
      <c r="J9990" s="26" t="str">
        <f t="shared" si="1115"/>
        <v/>
      </c>
    </row>
    <row r="9991" spans="1:10" x14ac:dyDescent="0.25">
      <c r="A9991" t="s">
        <v>111</v>
      </c>
      <c r="B9991" t="str">
        <f>ADDRESS(ROW(Parcels!B418),COLUMN(Parcels!B1260),4)</f>
        <v>B418</v>
      </c>
      <c r="C9991" t="str">
        <f>ADDRESS(ROW(Parcels!D418),COLUMN(Parcels!D418),4)</f>
        <v>D418</v>
      </c>
      <c r="D9991" s="46" t="b">
        <f>IF(AND(Parcels!B418="Current",'Six-Yr Rule'!B419&lt;=Year_DestinationYearID),IF((SUMIFS('Bond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991" t="s">
        <v>1641</v>
      </c>
      <c r="F9991" t="str">
        <f>INDEX(Lists!I:I,MATCH(Validation!E9991,Lists!G:G,0))</f>
        <v>Alert</v>
      </c>
      <c r="G9991" t="str">
        <f>INDEX(Lists!H:H,MATCH(Validation!E9991,Lists!G:G,0))</f>
        <v>This parcel does not appear to be pledged to an outstanding in-district obligation.</v>
      </c>
      <c r="H9991" s="25" t="str">
        <f t="shared" ca="1" si="1113"/>
        <v/>
      </c>
      <c r="I9991" s="25" t="str">
        <f t="shared" ca="1" si="1114"/>
        <v/>
      </c>
      <c r="J9991" s="26" t="str">
        <f t="shared" si="1115"/>
        <v/>
      </c>
    </row>
    <row r="9992" spans="1:10" x14ac:dyDescent="0.25">
      <c r="A9992" t="s">
        <v>111</v>
      </c>
      <c r="B9992" t="str">
        <f>ADDRESS(ROW(Parcels!B419),COLUMN(Parcels!B1261),4)</f>
        <v>B419</v>
      </c>
      <c r="C9992" t="str">
        <f>ADDRESS(ROW(Parcels!D419),COLUMN(Parcels!D419),4)</f>
        <v>D419</v>
      </c>
      <c r="D9992" s="46" t="b">
        <f>IF(AND(Parcels!B419="Current",'Six-Yr Rule'!B420&lt;=Year_DestinationYearID),IF((SUMIFS('Bond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992" t="s">
        <v>1641</v>
      </c>
      <c r="F9992" t="str">
        <f>INDEX(Lists!I:I,MATCH(Validation!E9992,Lists!G:G,0))</f>
        <v>Alert</v>
      </c>
      <c r="G9992" t="str">
        <f>INDEX(Lists!H:H,MATCH(Validation!E9992,Lists!G:G,0))</f>
        <v>This parcel does not appear to be pledged to an outstanding in-district obligation.</v>
      </c>
      <c r="H9992" s="25" t="str">
        <f t="shared" ca="1" si="1113"/>
        <v/>
      </c>
      <c r="I9992" s="25" t="str">
        <f t="shared" ca="1" si="1114"/>
        <v/>
      </c>
      <c r="J9992" s="26" t="str">
        <f t="shared" si="1115"/>
        <v/>
      </c>
    </row>
    <row r="9993" spans="1:10" x14ac:dyDescent="0.25">
      <c r="A9993" t="s">
        <v>111</v>
      </c>
      <c r="B9993" t="str">
        <f>ADDRESS(ROW(Parcels!B420),COLUMN(Parcels!B1262),4)</f>
        <v>B420</v>
      </c>
      <c r="C9993" t="str">
        <f>ADDRESS(ROW(Parcels!D420),COLUMN(Parcels!D420),4)</f>
        <v>D420</v>
      </c>
      <c r="D9993" s="46" t="b">
        <f>IF(AND(Parcels!B420="Current",'Six-Yr Rule'!B421&lt;=Year_DestinationYearID),IF((SUMIFS('Bond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993" t="s">
        <v>1641</v>
      </c>
      <c r="F9993" t="str">
        <f>INDEX(Lists!I:I,MATCH(Validation!E9993,Lists!G:G,0))</f>
        <v>Alert</v>
      </c>
      <c r="G9993" t="str">
        <f>INDEX(Lists!H:H,MATCH(Validation!E9993,Lists!G:G,0))</f>
        <v>This parcel does not appear to be pledged to an outstanding in-district obligation.</v>
      </c>
      <c r="H9993" s="25" t="str">
        <f t="shared" ca="1" si="1113"/>
        <v/>
      </c>
      <c r="I9993" s="25" t="str">
        <f t="shared" ca="1" si="1114"/>
        <v/>
      </c>
      <c r="J9993" s="26" t="str">
        <f t="shared" si="1115"/>
        <v/>
      </c>
    </row>
    <row r="9994" spans="1:10" x14ac:dyDescent="0.25">
      <c r="A9994" t="s">
        <v>111</v>
      </c>
      <c r="B9994" t="str">
        <f>ADDRESS(ROW(Parcels!B421),COLUMN(Parcels!B1263),4)</f>
        <v>B421</v>
      </c>
      <c r="C9994" t="str">
        <f>ADDRESS(ROW(Parcels!D421),COLUMN(Parcels!D421),4)</f>
        <v>D421</v>
      </c>
      <c r="D9994" s="46" t="b">
        <f>IF(AND(Parcels!B421="Current",'Six-Yr Rule'!B422&lt;=Year_DestinationYearID),IF((SUMIFS('Bond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994" t="s">
        <v>1641</v>
      </c>
      <c r="F9994" t="str">
        <f>INDEX(Lists!I:I,MATCH(Validation!E9994,Lists!G:G,0))</f>
        <v>Alert</v>
      </c>
      <c r="G9994" t="str">
        <f>INDEX(Lists!H:H,MATCH(Validation!E9994,Lists!G:G,0))</f>
        <v>This parcel does not appear to be pledged to an outstanding in-district obligation.</v>
      </c>
      <c r="H9994" s="25" t="str">
        <f t="shared" ca="1" si="1113"/>
        <v/>
      </c>
      <c r="I9994" s="25" t="str">
        <f t="shared" ca="1" si="1114"/>
        <v/>
      </c>
      <c r="J9994" s="26" t="str">
        <f t="shared" si="1115"/>
        <v/>
      </c>
    </row>
    <row r="9995" spans="1:10" x14ac:dyDescent="0.25">
      <c r="A9995" t="s">
        <v>111</v>
      </c>
      <c r="B9995" t="str">
        <f>ADDRESS(ROW(Parcels!B422),COLUMN(Parcels!B1264),4)</f>
        <v>B422</v>
      </c>
      <c r="C9995" t="str">
        <f>ADDRESS(ROW(Parcels!D422),COLUMN(Parcels!D422),4)</f>
        <v>D422</v>
      </c>
      <c r="D9995" s="46" t="b">
        <f>IF(AND(Parcels!B422="Current",'Six-Yr Rule'!B423&lt;=Year_DestinationYearID),IF((SUMIFS('Bond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995" t="s">
        <v>1641</v>
      </c>
      <c r="F9995" t="str">
        <f>INDEX(Lists!I:I,MATCH(Validation!E9995,Lists!G:G,0))</f>
        <v>Alert</v>
      </c>
      <c r="G9995" t="str">
        <f>INDEX(Lists!H:H,MATCH(Validation!E9995,Lists!G:G,0))</f>
        <v>This parcel does not appear to be pledged to an outstanding in-district obligation.</v>
      </c>
      <c r="H9995" s="25" t="str">
        <f t="shared" ca="1" si="1113"/>
        <v/>
      </c>
      <c r="I9995" s="25" t="str">
        <f t="shared" ca="1" si="1114"/>
        <v/>
      </c>
      <c r="J9995" s="26" t="str">
        <f t="shared" si="1115"/>
        <v/>
      </c>
    </row>
    <row r="9996" spans="1:10" x14ac:dyDescent="0.25">
      <c r="A9996" t="s">
        <v>111</v>
      </c>
      <c r="B9996" t="str">
        <f>ADDRESS(ROW(Parcels!B423),COLUMN(Parcels!B1265),4)</f>
        <v>B423</v>
      </c>
      <c r="C9996" t="str">
        <f>ADDRESS(ROW(Parcels!D423),COLUMN(Parcels!D423),4)</f>
        <v>D423</v>
      </c>
      <c r="D9996" s="46" t="b">
        <f>IF(AND(Parcels!B423="Current",'Six-Yr Rule'!B424&lt;=Year_DestinationYearID),IF((SUMIFS('Bond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996" t="s">
        <v>1641</v>
      </c>
      <c r="F9996" t="str">
        <f>INDEX(Lists!I:I,MATCH(Validation!E9996,Lists!G:G,0))</f>
        <v>Alert</v>
      </c>
      <c r="G9996" t="str">
        <f>INDEX(Lists!H:H,MATCH(Validation!E9996,Lists!G:G,0))</f>
        <v>This parcel does not appear to be pledged to an outstanding in-district obligation.</v>
      </c>
      <c r="H9996" s="25" t="str">
        <f t="shared" ca="1" si="1113"/>
        <v/>
      </c>
      <c r="I9996" s="25" t="str">
        <f t="shared" ca="1" si="1114"/>
        <v/>
      </c>
      <c r="J9996" s="26" t="str">
        <f t="shared" si="1115"/>
        <v/>
      </c>
    </row>
    <row r="9997" spans="1:10" x14ac:dyDescent="0.25">
      <c r="A9997" t="s">
        <v>111</v>
      </c>
      <c r="B9997" t="str">
        <f>ADDRESS(ROW(Parcels!B424),COLUMN(Parcels!B1266),4)</f>
        <v>B424</v>
      </c>
      <c r="C9997" t="str">
        <f>ADDRESS(ROW(Parcels!D424),COLUMN(Parcels!D424),4)</f>
        <v>D424</v>
      </c>
      <c r="D9997" s="46" t="b">
        <f>IF(AND(Parcels!B424="Current",'Six-Yr Rule'!B425&lt;=Year_DestinationYearID),IF((SUMIFS('Bond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997" t="s">
        <v>1641</v>
      </c>
      <c r="F9997" t="str">
        <f>INDEX(Lists!I:I,MATCH(Validation!E9997,Lists!G:G,0))</f>
        <v>Alert</v>
      </c>
      <c r="G9997" t="str">
        <f>INDEX(Lists!H:H,MATCH(Validation!E9997,Lists!G:G,0))</f>
        <v>This parcel does not appear to be pledged to an outstanding in-district obligation.</v>
      </c>
      <c r="H9997" s="25" t="str">
        <f t="shared" ca="1" si="1113"/>
        <v/>
      </c>
      <c r="I9997" s="25" t="str">
        <f t="shared" ca="1" si="1114"/>
        <v/>
      </c>
      <c r="J9997" s="26" t="str">
        <f t="shared" si="1115"/>
        <v/>
      </c>
    </row>
    <row r="9998" spans="1:10" x14ac:dyDescent="0.25">
      <c r="A9998" t="s">
        <v>111</v>
      </c>
      <c r="B9998" t="str">
        <f>ADDRESS(ROW(Parcels!B425),COLUMN(Parcels!B1267),4)</f>
        <v>B425</v>
      </c>
      <c r="C9998" t="str">
        <f>ADDRESS(ROW(Parcels!D425),COLUMN(Parcels!D425),4)</f>
        <v>D425</v>
      </c>
      <c r="D9998" s="46" t="b">
        <f>IF(AND(Parcels!B425="Current",'Six-Yr Rule'!B426&lt;=Year_DestinationYearID),IF((SUMIFS('Bond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998" t="s">
        <v>1641</v>
      </c>
      <c r="F9998" t="str">
        <f>INDEX(Lists!I:I,MATCH(Validation!E9998,Lists!G:G,0))</f>
        <v>Alert</v>
      </c>
      <c r="G9998" t="str">
        <f>INDEX(Lists!H:H,MATCH(Validation!E9998,Lists!G:G,0))</f>
        <v>This parcel does not appear to be pledged to an outstanding in-district obligation.</v>
      </c>
      <c r="H9998" s="25" t="str">
        <f t="shared" ca="1" si="1113"/>
        <v/>
      </c>
      <c r="I9998" s="25" t="str">
        <f t="shared" ca="1" si="1114"/>
        <v/>
      </c>
      <c r="J9998" s="26" t="str">
        <f t="shared" si="1115"/>
        <v/>
      </c>
    </row>
    <row r="9999" spans="1:10" x14ac:dyDescent="0.25">
      <c r="A9999" t="s">
        <v>111</v>
      </c>
      <c r="B9999" t="str">
        <f>ADDRESS(ROW(Parcels!B426),COLUMN(Parcels!B1268),4)</f>
        <v>B426</v>
      </c>
      <c r="C9999" t="str">
        <f>ADDRESS(ROW(Parcels!D426),COLUMN(Parcels!D426),4)</f>
        <v>D426</v>
      </c>
      <c r="D9999" s="46" t="b">
        <f>IF(AND(Parcels!B426="Current",'Six-Yr Rule'!B427&lt;=Year_DestinationYearID),IF((SUMIFS('Bond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9999" t="s">
        <v>1641</v>
      </c>
      <c r="F9999" t="str">
        <f>INDEX(Lists!I:I,MATCH(Validation!E9999,Lists!G:G,0))</f>
        <v>Alert</v>
      </c>
      <c r="G9999" t="str">
        <f>INDEX(Lists!H:H,MATCH(Validation!E9999,Lists!G:G,0))</f>
        <v>This parcel does not appear to be pledged to an outstanding in-district obligation.</v>
      </c>
      <c r="H9999" s="25" t="str">
        <f t="shared" ca="1" si="1113"/>
        <v/>
      </c>
      <c r="I9999" s="25" t="str">
        <f t="shared" ca="1" si="1114"/>
        <v/>
      </c>
      <c r="J9999" s="26" t="str">
        <f t="shared" si="1115"/>
        <v/>
      </c>
    </row>
    <row r="10000" spans="1:10" x14ac:dyDescent="0.25">
      <c r="A10000" t="s">
        <v>111</v>
      </c>
      <c r="B10000" t="str">
        <f>ADDRESS(ROW(Parcels!B427),COLUMN(Parcels!B1269),4)</f>
        <v>B427</v>
      </c>
      <c r="C10000" t="str">
        <f>ADDRESS(ROW(Parcels!D427),COLUMN(Parcels!D427),4)</f>
        <v>D427</v>
      </c>
      <c r="D10000" s="46" t="b">
        <f>IF(AND(Parcels!B427="Current",'Six-Yr Rule'!B428&lt;=Year_DestinationYearID),IF((SUMIFS('Bond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000" t="s">
        <v>1641</v>
      </c>
      <c r="F10000" t="str">
        <f>INDEX(Lists!I:I,MATCH(Validation!E10000,Lists!G:G,0))</f>
        <v>Alert</v>
      </c>
      <c r="G10000" t="str">
        <f>INDEX(Lists!H:H,MATCH(Validation!E10000,Lists!G:G,0))</f>
        <v>This parcel does not appear to be pledged to an outstanding in-district obligation.</v>
      </c>
      <c r="H10000" s="25" t="str">
        <f t="shared" ca="1" si="1113"/>
        <v/>
      </c>
      <c r="I10000" s="25" t="str">
        <f t="shared" ca="1" si="1114"/>
        <v/>
      </c>
      <c r="J10000" s="26" t="str">
        <f t="shared" si="1115"/>
        <v/>
      </c>
    </row>
    <row r="10001" spans="1:10" x14ac:dyDescent="0.25">
      <c r="A10001" t="s">
        <v>111</v>
      </c>
      <c r="B10001" t="str">
        <f>ADDRESS(ROW(Parcels!B428),COLUMN(Parcels!B1270),4)</f>
        <v>B428</v>
      </c>
      <c r="C10001" t="str">
        <f>ADDRESS(ROW(Parcels!D428),COLUMN(Parcels!D428),4)</f>
        <v>D428</v>
      </c>
      <c r="D10001" s="46" t="b">
        <f>IF(AND(Parcels!B428="Current",'Six-Yr Rule'!B429&lt;=Year_DestinationYearID),IF((SUMIFS('Bond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001" t="s">
        <v>1641</v>
      </c>
      <c r="F10001" t="str">
        <f>INDEX(Lists!I:I,MATCH(Validation!E10001,Lists!G:G,0))</f>
        <v>Alert</v>
      </c>
      <c r="G10001" t="str">
        <f>INDEX(Lists!H:H,MATCH(Validation!E10001,Lists!G:G,0))</f>
        <v>This parcel does not appear to be pledged to an outstanding in-district obligation.</v>
      </c>
      <c r="H10001" s="25" t="str">
        <f t="shared" ca="1" si="1113"/>
        <v/>
      </c>
      <c r="I10001" s="25" t="str">
        <f t="shared" ca="1" si="1114"/>
        <v/>
      </c>
      <c r="J10001" s="26" t="str">
        <f t="shared" si="1115"/>
        <v/>
      </c>
    </row>
    <row r="10002" spans="1:10" x14ac:dyDescent="0.25">
      <c r="A10002" t="s">
        <v>111</v>
      </c>
      <c r="B10002" t="str">
        <f>ADDRESS(ROW(Parcels!B429),COLUMN(Parcels!B1271),4)</f>
        <v>B429</v>
      </c>
      <c r="C10002" t="str">
        <f>ADDRESS(ROW(Parcels!D429),COLUMN(Parcels!D429),4)</f>
        <v>D429</v>
      </c>
      <c r="D10002" s="46" t="b">
        <f>IF(AND(Parcels!B429="Current",'Six-Yr Rule'!B430&lt;=Year_DestinationYearID),IF((SUMIFS('Bond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002" t="s">
        <v>1641</v>
      </c>
      <c r="F10002" t="str">
        <f>INDEX(Lists!I:I,MATCH(Validation!E10002,Lists!G:G,0))</f>
        <v>Alert</v>
      </c>
      <c r="G10002" t="str">
        <f>INDEX(Lists!H:H,MATCH(Validation!E10002,Lists!G:G,0))</f>
        <v>This parcel does not appear to be pledged to an outstanding in-district obligation.</v>
      </c>
      <c r="H10002" s="25" t="str">
        <f t="shared" ca="1" si="1113"/>
        <v/>
      </c>
      <c r="I10002" s="25" t="str">
        <f t="shared" ca="1" si="1114"/>
        <v/>
      </c>
      <c r="J10002" s="26" t="str">
        <f t="shared" si="1115"/>
        <v/>
      </c>
    </row>
    <row r="10003" spans="1:10" x14ac:dyDescent="0.25">
      <c r="A10003" t="s">
        <v>111</v>
      </c>
      <c r="B10003" t="str">
        <f>ADDRESS(ROW(Parcels!B430),COLUMN(Parcels!B1272),4)</f>
        <v>B430</v>
      </c>
      <c r="C10003" t="str">
        <f>ADDRESS(ROW(Parcels!D430),COLUMN(Parcels!D430),4)</f>
        <v>D430</v>
      </c>
      <c r="D10003" s="46" t="b">
        <f>IF(AND(Parcels!B430="Current",'Six-Yr Rule'!B431&lt;=Year_DestinationYearID),IF((SUMIFS('Bond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003" t="s">
        <v>1641</v>
      </c>
      <c r="F10003" t="str">
        <f>INDEX(Lists!I:I,MATCH(Validation!E10003,Lists!G:G,0))</f>
        <v>Alert</v>
      </c>
      <c r="G10003" t="str">
        <f>INDEX(Lists!H:H,MATCH(Validation!E10003,Lists!G:G,0))</f>
        <v>This parcel does not appear to be pledged to an outstanding in-district obligation.</v>
      </c>
      <c r="H10003" s="25" t="str">
        <f t="shared" ca="1" si="1113"/>
        <v/>
      </c>
      <c r="I10003" s="25" t="str">
        <f t="shared" ca="1" si="1114"/>
        <v/>
      </c>
      <c r="J10003" s="26" t="str">
        <f t="shared" si="1115"/>
        <v/>
      </c>
    </row>
    <row r="10004" spans="1:10" x14ac:dyDescent="0.25">
      <c r="A10004" t="s">
        <v>111</v>
      </c>
      <c r="B10004" t="str">
        <f>ADDRESS(ROW(Parcels!B431),COLUMN(Parcels!B1273),4)</f>
        <v>B431</v>
      </c>
      <c r="C10004" t="str">
        <f>ADDRESS(ROW(Parcels!D431),COLUMN(Parcels!D431),4)</f>
        <v>D431</v>
      </c>
      <c r="D10004" s="46" t="b">
        <f>IF(AND(Parcels!B431="Current",'Six-Yr Rule'!B432&lt;=Year_DestinationYearID),IF((SUMIFS('Bond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004" t="s">
        <v>1641</v>
      </c>
      <c r="F10004" t="str">
        <f>INDEX(Lists!I:I,MATCH(Validation!E10004,Lists!G:G,0))</f>
        <v>Alert</v>
      </c>
      <c r="G10004" t="str">
        <f>INDEX(Lists!H:H,MATCH(Validation!E10004,Lists!G:G,0))</f>
        <v>This parcel does not appear to be pledged to an outstanding in-district obligation.</v>
      </c>
      <c r="H10004" s="25" t="str">
        <f t="shared" ca="1" si="1113"/>
        <v/>
      </c>
      <c r="I10004" s="25" t="str">
        <f t="shared" ca="1" si="1114"/>
        <v/>
      </c>
      <c r="J10004" s="26" t="str">
        <f t="shared" si="1115"/>
        <v/>
      </c>
    </row>
    <row r="10005" spans="1:10" x14ac:dyDescent="0.25">
      <c r="A10005" t="s">
        <v>111</v>
      </c>
      <c r="B10005" t="str">
        <f>ADDRESS(ROW(Parcels!B432),COLUMN(Parcels!B1274),4)</f>
        <v>B432</v>
      </c>
      <c r="C10005" t="str">
        <f>ADDRESS(ROW(Parcels!D432),COLUMN(Parcels!D432),4)</f>
        <v>D432</v>
      </c>
      <c r="D10005" s="46" t="b">
        <f>IF(AND(Parcels!B432="Current",'Six-Yr Rule'!B433&lt;=Year_DestinationYearID),IF((SUMIFS('Bond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005" t="s">
        <v>1641</v>
      </c>
      <c r="F10005" t="str">
        <f>INDEX(Lists!I:I,MATCH(Validation!E10005,Lists!G:G,0))</f>
        <v>Alert</v>
      </c>
      <c r="G10005" t="str">
        <f>INDEX(Lists!H:H,MATCH(Validation!E10005,Lists!G:G,0))</f>
        <v>This parcel does not appear to be pledged to an outstanding in-district obligation.</v>
      </c>
      <c r="H10005" s="25" t="str">
        <f t="shared" ca="1" si="1113"/>
        <v/>
      </c>
      <c r="I10005" s="25" t="str">
        <f t="shared" ca="1" si="1114"/>
        <v/>
      </c>
      <c r="J10005" s="26" t="str">
        <f t="shared" si="1115"/>
        <v/>
      </c>
    </row>
    <row r="10006" spans="1:10" x14ac:dyDescent="0.25">
      <c r="A10006" t="s">
        <v>111</v>
      </c>
      <c r="B10006" t="str">
        <f>ADDRESS(ROW(Parcels!B433),COLUMN(Parcels!B1275),4)</f>
        <v>B433</v>
      </c>
      <c r="C10006" t="str">
        <f>ADDRESS(ROW(Parcels!D433),COLUMN(Parcels!D433),4)</f>
        <v>D433</v>
      </c>
      <c r="D10006" s="46" t="b">
        <f>IF(AND(Parcels!B433="Current",'Six-Yr Rule'!B434&lt;=Year_DestinationYearID),IF((SUMIFS('Bond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006" t="s">
        <v>1641</v>
      </c>
      <c r="F10006" t="str">
        <f>INDEX(Lists!I:I,MATCH(Validation!E10006,Lists!G:G,0))</f>
        <v>Alert</v>
      </c>
      <c r="G10006" t="str">
        <f>INDEX(Lists!H:H,MATCH(Validation!E10006,Lists!G:G,0))</f>
        <v>This parcel does not appear to be pledged to an outstanding in-district obligation.</v>
      </c>
      <c r="H10006" s="25" t="str">
        <f t="shared" ca="1" si="1113"/>
        <v/>
      </c>
      <c r="I10006" s="25" t="str">
        <f t="shared" ca="1" si="1114"/>
        <v/>
      </c>
      <c r="J10006" s="26" t="str">
        <f t="shared" si="1115"/>
        <v/>
      </c>
    </row>
    <row r="10007" spans="1:10" x14ac:dyDescent="0.25">
      <c r="A10007" t="s">
        <v>111</v>
      </c>
      <c r="B10007" t="str">
        <f>ADDRESS(ROW(Parcels!B434),COLUMN(Parcels!B1276),4)</f>
        <v>B434</v>
      </c>
      <c r="C10007" t="str">
        <f>ADDRESS(ROW(Parcels!D434),COLUMN(Parcels!D434),4)</f>
        <v>D434</v>
      </c>
      <c r="D10007" s="46" t="b">
        <f>IF(AND(Parcels!B434="Current",'Six-Yr Rule'!B435&lt;=Year_DestinationYearID),IF((SUMIFS('Bond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007" t="s">
        <v>1641</v>
      </c>
      <c r="F10007" t="str">
        <f>INDEX(Lists!I:I,MATCH(Validation!E10007,Lists!G:G,0))</f>
        <v>Alert</v>
      </c>
      <c r="G10007" t="str">
        <f>INDEX(Lists!H:H,MATCH(Validation!E10007,Lists!G:G,0))</f>
        <v>This parcel does not appear to be pledged to an outstanding in-district obligation.</v>
      </c>
      <c r="H10007" s="25" t="str">
        <f t="shared" ca="1" si="1113"/>
        <v/>
      </c>
      <c r="I10007" s="25" t="str">
        <f t="shared" ca="1" si="1114"/>
        <v/>
      </c>
      <c r="J10007" s="26" t="str">
        <f t="shared" si="1115"/>
        <v/>
      </c>
    </row>
    <row r="10008" spans="1:10" x14ac:dyDescent="0.25">
      <c r="A10008" t="s">
        <v>111</v>
      </c>
      <c r="B10008" t="str">
        <f>ADDRESS(ROW(Parcels!B435),COLUMN(Parcels!B1277),4)</f>
        <v>B435</v>
      </c>
      <c r="C10008" t="str">
        <f>ADDRESS(ROW(Parcels!D435),COLUMN(Parcels!D435),4)</f>
        <v>D435</v>
      </c>
      <c r="D10008" s="46" t="b">
        <f>IF(AND(Parcels!B435="Current",'Six-Yr Rule'!B436&lt;=Year_DestinationYearID),IF((SUMIFS('Bond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008" t="s">
        <v>1641</v>
      </c>
      <c r="F10008" t="str">
        <f>INDEX(Lists!I:I,MATCH(Validation!E10008,Lists!G:G,0))</f>
        <v>Alert</v>
      </c>
      <c r="G10008" t="str">
        <f>INDEX(Lists!H:H,MATCH(Validation!E10008,Lists!G:G,0))</f>
        <v>This parcel does not appear to be pledged to an outstanding in-district obligation.</v>
      </c>
      <c r="H10008" s="25" t="str">
        <f t="shared" ca="1" si="1113"/>
        <v/>
      </c>
      <c r="I10008" s="25" t="str">
        <f t="shared" ca="1" si="1114"/>
        <v/>
      </c>
      <c r="J10008" s="26" t="str">
        <f t="shared" si="1115"/>
        <v/>
      </c>
    </row>
    <row r="10009" spans="1:10" x14ac:dyDescent="0.25">
      <c r="A10009" t="s">
        <v>111</v>
      </c>
      <c r="B10009" t="str">
        <f>ADDRESS(ROW(Parcels!B436),COLUMN(Parcels!B1278),4)</f>
        <v>B436</v>
      </c>
      <c r="C10009" t="str">
        <f>ADDRESS(ROW(Parcels!D436),COLUMN(Parcels!D436),4)</f>
        <v>D436</v>
      </c>
      <c r="D10009" s="46" t="b">
        <f>IF(AND(Parcels!B436="Current",'Six-Yr Rule'!B437&lt;=Year_DestinationYearID),IF((SUMIFS('Bond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009" t="s">
        <v>1641</v>
      </c>
      <c r="F10009" t="str">
        <f>INDEX(Lists!I:I,MATCH(Validation!E10009,Lists!G:G,0))</f>
        <v>Alert</v>
      </c>
      <c r="G10009" t="str">
        <f>INDEX(Lists!H:H,MATCH(Validation!E10009,Lists!G:G,0))</f>
        <v>This parcel does not appear to be pledged to an outstanding in-district obligation.</v>
      </c>
      <c r="H10009" s="25" t="str">
        <f t="shared" ca="1" si="1113"/>
        <v/>
      </c>
      <c r="I10009" s="25" t="str">
        <f t="shared" ca="1" si="1114"/>
        <v/>
      </c>
      <c r="J10009" s="26" t="str">
        <f t="shared" si="1115"/>
        <v/>
      </c>
    </row>
    <row r="10010" spans="1:10" x14ac:dyDescent="0.25">
      <c r="A10010" t="s">
        <v>111</v>
      </c>
      <c r="B10010" t="str">
        <f>ADDRESS(ROW(Parcels!B437),COLUMN(Parcels!B1279),4)</f>
        <v>B437</v>
      </c>
      <c r="C10010" t="str">
        <f>ADDRESS(ROW(Parcels!D437),COLUMN(Parcels!D437),4)</f>
        <v>D437</v>
      </c>
      <c r="D10010" s="46" t="b">
        <f>IF(AND(Parcels!B437="Current",'Six-Yr Rule'!B438&lt;=Year_DestinationYearID),IF((SUMIFS('Bond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010" t="s">
        <v>1641</v>
      </c>
      <c r="F10010" t="str">
        <f>INDEX(Lists!I:I,MATCH(Validation!E10010,Lists!G:G,0))</f>
        <v>Alert</v>
      </c>
      <c r="G10010" t="str">
        <f>INDEX(Lists!H:H,MATCH(Validation!E10010,Lists!G:G,0))</f>
        <v>This parcel does not appear to be pledged to an outstanding in-district obligation.</v>
      </c>
      <c r="H10010" s="25" t="str">
        <f t="shared" ca="1" si="1113"/>
        <v/>
      </c>
      <c r="I10010" s="25" t="str">
        <f t="shared" ca="1" si="1114"/>
        <v/>
      </c>
      <c r="J10010" s="26" t="str">
        <f t="shared" si="1115"/>
        <v/>
      </c>
    </row>
    <row r="10011" spans="1:10" x14ac:dyDescent="0.25">
      <c r="A10011" t="s">
        <v>111</v>
      </c>
      <c r="B10011" t="str">
        <f>ADDRESS(ROW(Parcels!B438),COLUMN(Parcels!B1280),4)</f>
        <v>B438</v>
      </c>
      <c r="C10011" t="str">
        <f>ADDRESS(ROW(Parcels!D438),COLUMN(Parcels!D438),4)</f>
        <v>D438</v>
      </c>
      <c r="D10011" s="46" t="b">
        <f>IF(AND(Parcels!B438="Current",'Six-Yr Rule'!B439&lt;=Year_DestinationYearID),IF((SUMIFS('Bond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011" t="s">
        <v>1641</v>
      </c>
      <c r="F10011" t="str">
        <f>INDEX(Lists!I:I,MATCH(Validation!E10011,Lists!G:G,0))</f>
        <v>Alert</v>
      </c>
      <c r="G10011" t="str">
        <f>INDEX(Lists!H:H,MATCH(Validation!E10011,Lists!G:G,0))</f>
        <v>This parcel does not appear to be pledged to an outstanding in-district obligation.</v>
      </c>
      <c r="H10011" s="25" t="str">
        <f t="shared" ca="1" si="1113"/>
        <v/>
      </c>
      <c r="I10011" s="25" t="str">
        <f t="shared" ca="1" si="1114"/>
        <v/>
      </c>
      <c r="J10011" s="26" t="str">
        <f t="shared" si="1115"/>
        <v/>
      </c>
    </row>
    <row r="10012" spans="1:10" x14ac:dyDescent="0.25">
      <c r="A10012" t="s">
        <v>111</v>
      </c>
      <c r="B10012" t="str">
        <f>ADDRESS(ROW(Parcels!B439),COLUMN(Parcels!B1281),4)</f>
        <v>B439</v>
      </c>
      <c r="C10012" t="str">
        <f>ADDRESS(ROW(Parcels!D439),COLUMN(Parcels!D439),4)</f>
        <v>D439</v>
      </c>
      <c r="D10012" s="46" t="b">
        <f>IF(AND(Parcels!B439="Current",'Six-Yr Rule'!B440&lt;=Year_DestinationYearID),IF((SUMIFS('Bond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012" t="s">
        <v>1641</v>
      </c>
      <c r="F10012" t="str">
        <f>INDEX(Lists!I:I,MATCH(Validation!E10012,Lists!G:G,0))</f>
        <v>Alert</v>
      </c>
      <c r="G10012" t="str">
        <f>INDEX(Lists!H:H,MATCH(Validation!E10012,Lists!G:G,0))</f>
        <v>This parcel does not appear to be pledged to an outstanding in-district obligation.</v>
      </c>
      <c r="H10012" s="25" t="str">
        <f t="shared" ca="1" si="1113"/>
        <v/>
      </c>
      <c r="I10012" s="25" t="str">
        <f t="shared" ca="1" si="1114"/>
        <v/>
      </c>
      <c r="J10012" s="26" t="str">
        <f t="shared" si="1115"/>
        <v/>
      </c>
    </row>
    <row r="10013" spans="1:10" x14ac:dyDescent="0.25">
      <c r="A10013" t="s">
        <v>111</v>
      </c>
      <c r="B10013" t="str">
        <f>ADDRESS(ROW(Parcels!B440),COLUMN(Parcels!B1282),4)</f>
        <v>B440</v>
      </c>
      <c r="C10013" t="str">
        <f>ADDRESS(ROW(Parcels!D440),COLUMN(Parcels!D440),4)</f>
        <v>D440</v>
      </c>
      <c r="D10013" s="46" t="b">
        <f>IF(AND(Parcels!B440="Current",'Six-Yr Rule'!B441&lt;=Year_DestinationYearID),IF((SUMIFS('Bond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013" t="s">
        <v>1641</v>
      </c>
      <c r="F10013" t="str">
        <f>INDEX(Lists!I:I,MATCH(Validation!E10013,Lists!G:G,0))</f>
        <v>Alert</v>
      </c>
      <c r="G10013" t="str">
        <f>INDEX(Lists!H:H,MATCH(Validation!E10013,Lists!G:G,0))</f>
        <v>This parcel does not appear to be pledged to an outstanding in-district obligation.</v>
      </c>
      <c r="H10013" s="25" t="str">
        <f t="shared" ca="1" si="1113"/>
        <v/>
      </c>
      <c r="I10013" s="25" t="str">
        <f t="shared" ca="1" si="1114"/>
        <v/>
      </c>
      <c r="J10013" s="26" t="str">
        <f t="shared" si="1115"/>
        <v/>
      </c>
    </row>
    <row r="10014" spans="1:10" x14ac:dyDescent="0.25">
      <c r="A10014" t="s">
        <v>111</v>
      </c>
      <c r="B10014" t="str">
        <f>ADDRESS(ROW(Parcels!B441),COLUMN(Parcels!B1283),4)</f>
        <v>B441</v>
      </c>
      <c r="C10014" t="str">
        <f>ADDRESS(ROW(Parcels!D441),COLUMN(Parcels!D441),4)</f>
        <v>D441</v>
      </c>
      <c r="D10014" s="46" t="b">
        <f>IF(AND(Parcels!B441="Current",'Six-Yr Rule'!B442&lt;=Year_DestinationYearID),IF((SUMIFS('Bond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014" t="s">
        <v>1641</v>
      </c>
      <c r="F10014" t="str">
        <f>INDEX(Lists!I:I,MATCH(Validation!E10014,Lists!G:G,0))</f>
        <v>Alert</v>
      </c>
      <c r="G10014" t="str">
        <f>INDEX(Lists!H:H,MATCH(Validation!E10014,Lists!G:G,0))</f>
        <v>This parcel does not appear to be pledged to an outstanding in-district obligation.</v>
      </c>
      <c r="H10014" s="25" t="str">
        <f t="shared" ca="1" si="1113"/>
        <v/>
      </c>
      <c r="I10014" s="25" t="str">
        <f t="shared" ca="1" si="1114"/>
        <v/>
      </c>
      <c r="J10014" s="26" t="str">
        <f t="shared" si="1115"/>
        <v/>
      </c>
    </row>
    <row r="10015" spans="1:10" x14ac:dyDescent="0.25">
      <c r="A10015" t="s">
        <v>111</v>
      </c>
      <c r="B10015" t="str">
        <f>ADDRESS(ROW(Parcels!B442),COLUMN(Parcels!B1284),4)</f>
        <v>B442</v>
      </c>
      <c r="C10015" t="str">
        <f>ADDRESS(ROW(Parcels!D442),COLUMN(Parcels!D442),4)</f>
        <v>D442</v>
      </c>
      <c r="D10015" s="46" t="b">
        <f>IF(AND(Parcels!B442="Current",'Six-Yr Rule'!B443&lt;=Year_DestinationYearID),IF((SUMIFS('Bond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015" t="s">
        <v>1641</v>
      </c>
      <c r="F10015" t="str">
        <f>INDEX(Lists!I:I,MATCH(Validation!E10015,Lists!G:G,0))</f>
        <v>Alert</v>
      </c>
      <c r="G10015" t="str">
        <f>INDEX(Lists!H:H,MATCH(Validation!E10015,Lists!G:G,0))</f>
        <v>This parcel does not appear to be pledged to an outstanding in-district obligation.</v>
      </c>
      <c r="H10015" s="25" t="str">
        <f t="shared" ca="1" si="1113"/>
        <v/>
      </c>
      <c r="I10015" s="25" t="str">
        <f t="shared" ca="1" si="1114"/>
        <v/>
      </c>
      <c r="J10015" s="26" t="str">
        <f t="shared" si="1115"/>
        <v/>
      </c>
    </row>
    <row r="10016" spans="1:10" x14ac:dyDescent="0.25">
      <c r="A10016" t="s">
        <v>111</v>
      </c>
      <c r="B10016" t="str">
        <f>ADDRESS(ROW(Parcels!B443),COLUMN(Parcels!B1285),4)</f>
        <v>B443</v>
      </c>
      <c r="C10016" t="str">
        <f>ADDRESS(ROW(Parcels!D443),COLUMN(Parcels!D443),4)</f>
        <v>D443</v>
      </c>
      <c r="D10016" s="46" t="b">
        <f>IF(AND(Parcels!B443="Current",'Six-Yr Rule'!B444&lt;=Year_DestinationYearID),IF((SUMIFS('Bond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016" t="s">
        <v>1641</v>
      </c>
      <c r="F10016" t="str">
        <f>INDEX(Lists!I:I,MATCH(Validation!E10016,Lists!G:G,0))</f>
        <v>Alert</v>
      </c>
      <c r="G10016" t="str">
        <f>INDEX(Lists!H:H,MATCH(Validation!E10016,Lists!G:G,0))</f>
        <v>This parcel does not appear to be pledged to an outstanding in-district obligation.</v>
      </c>
      <c r="H10016" s="25" t="str">
        <f t="shared" ca="1" si="1113"/>
        <v/>
      </c>
      <c r="I10016" s="25" t="str">
        <f t="shared" ca="1" si="1114"/>
        <v/>
      </c>
      <c r="J10016" s="26" t="str">
        <f t="shared" si="1115"/>
        <v/>
      </c>
    </row>
    <row r="10017" spans="1:10" x14ac:dyDescent="0.25">
      <c r="A10017" t="s">
        <v>111</v>
      </c>
      <c r="B10017" t="str">
        <f>ADDRESS(ROW(Parcels!B444),COLUMN(Parcels!B1286),4)</f>
        <v>B444</v>
      </c>
      <c r="C10017" t="str">
        <f>ADDRESS(ROW(Parcels!D444),COLUMN(Parcels!D444),4)</f>
        <v>D444</v>
      </c>
      <c r="D10017" s="46" t="b">
        <f>IF(AND(Parcels!B444="Current",'Six-Yr Rule'!B445&lt;=Year_DestinationYearID),IF((SUMIFS('Bond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017" t="s">
        <v>1641</v>
      </c>
      <c r="F10017" t="str">
        <f>INDEX(Lists!I:I,MATCH(Validation!E10017,Lists!G:G,0))</f>
        <v>Alert</v>
      </c>
      <c r="G10017" t="str">
        <f>INDEX(Lists!H:H,MATCH(Validation!E10017,Lists!G:G,0))</f>
        <v>This parcel does not appear to be pledged to an outstanding in-district obligation.</v>
      </c>
      <c r="H10017" s="25" t="str">
        <f t="shared" ca="1" si="1113"/>
        <v/>
      </c>
      <c r="I10017" s="25" t="str">
        <f t="shared" ca="1" si="1114"/>
        <v/>
      </c>
      <c r="J10017" s="26" t="str">
        <f t="shared" si="1115"/>
        <v/>
      </c>
    </row>
    <row r="10018" spans="1:10" x14ac:dyDescent="0.25">
      <c r="A10018" t="s">
        <v>111</v>
      </c>
      <c r="B10018" t="str">
        <f>ADDRESS(ROW(Parcels!B445),COLUMN(Parcels!B1287),4)</f>
        <v>B445</v>
      </c>
      <c r="C10018" t="str">
        <f>ADDRESS(ROW(Parcels!D445),COLUMN(Parcels!D445),4)</f>
        <v>D445</v>
      </c>
      <c r="D10018" s="46" t="b">
        <f>IF(AND(Parcels!B445="Current",'Six-Yr Rule'!B446&lt;=Year_DestinationYearID),IF((SUMIFS('Bond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018" t="s">
        <v>1641</v>
      </c>
      <c r="F10018" t="str">
        <f>INDEX(Lists!I:I,MATCH(Validation!E10018,Lists!G:G,0))</f>
        <v>Alert</v>
      </c>
      <c r="G10018" t="str">
        <f>INDEX(Lists!H:H,MATCH(Validation!E10018,Lists!G:G,0))</f>
        <v>This parcel does not appear to be pledged to an outstanding in-district obligation.</v>
      </c>
      <c r="H10018" s="25" t="str">
        <f t="shared" ca="1" si="1113"/>
        <v/>
      </c>
      <c r="I10018" s="25" t="str">
        <f t="shared" ca="1" si="1114"/>
        <v/>
      </c>
      <c r="J10018" s="26" t="str">
        <f t="shared" si="1115"/>
        <v/>
      </c>
    </row>
    <row r="10019" spans="1:10" x14ac:dyDescent="0.25">
      <c r="A10019" t="s">
        <v>111</v>
      </c>
      <c r="B10019" t="str">
        <f>ADDRESS(ROW(Parcels!B446),COLUMN(Parcels!B1288),4)</f>
        <v>B446</v>
      </c>
      <c r="C10019" t="str">
        <f>ADDRESS(ROW(Parcels!D446),COLUMN(Parcels!D446),4)</f>
        <v>D446</v>
      </c>
      <c r="D10019" s="46" t="b">
        <f>IF(AND(Parcels!B446="Current",'Six-Yr Rule'!B447&lt;=Year_DestinationYearID),IF((SUMIFS('Bond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019" t="s">
        <v>1641</v>
      </c>
      <c r="F10019" t="str">
        <f>INDEX(Lists!I:I,MATCH(Validation!E10019,Lists!G:G,0))</f>
        <v>Alert</v>
      </c>
      <c r="G10019" t="str">
        <f>INDEX(Lists!H:H,MATCH(Validation!E10019,Lists!G:G,0))</f>
        <v>This parcel does not appear to be pledged to an outstanding in-district obligation.</v>
      </c>
      <c r="H10019" s="25" t="str">
        <f t="shared" ca="1" si="1113"/>
        <v/>
      </c>
      <c r="I10019" s="25" t="str">
        <f t="shared" ca="1" si="1114"/>
        <v/>
      </c>
      <c r="J10019" s="26" t="str">
        <f t="shared" si="1115"/>
        <v/>
      </c>
    </row>
    <row r="10020" spans="1:10" x14ac:dyDescent="0.25">
      <c r="A10020" t="s">
        <v>111</v>
      </c>
      <c r="B10020" t="str">
        <f>ADDRESS(ROW(Parcels!B447),COLUMN(Parcels!B1289),4)</f>
        <v>B447</v>
      </c>
      <c r="C10020" t="str">
        <f>ADDRESS(ROW(Parcels!D447),COLUMN(Parcels!D447),4)</f>
        <v>D447</v>
      </c>
      <c r="D10020" s="46" t="b">
        <f>IF(AND(Parcels!B447="Current",'Six-Yr Rule'!B448&lt;=Year_DestinationYearID),IF((SUMIFS('Bond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020" t="s">
        <v>1641</v>
      </c>
      <c r="F10020" t="str">
        <f>INDEX(Lists!I:I,MATCH(Validation!E10020,Lists!G:G,0))</f>
        <v>Alert</v>
      </c>
      <c r="G10020" t="str">
        <f>INDEX(Lists!H:H,MATCH(Validation!E10020,Lists!G:G,0))</f>
        <v>This parcel does not appear to be pledged to an outstanding in-district obligation.</v>
      </c>
      <c r="H10020" s="25" t="str">
        <f t="shared" ca="1" si="1113"/>
        <v/>
      </c>
      <c r="I10020" s="25" t="str">
        <f t="shared" ca="1" si="1114"/>
        <v/>
      </c>
      <c r="J10020" s="26" t="str">
        <f t="shared" si="1115"/>
        <v/>
      </c>
    </row>
    <row r="10021" spans="1:10" x14ac:dyDescent="0.25">
      <c r="A10021" t="s">
        <v>111</v>
      </c>
      <c r="B10021" t="str">
        <f>ADDRESS(ROW(Parcels!B448),COLUMN(Parcels!B1290),4)</f>
        <v>B448</v>
      </c>
      <c r="C10021" t="str">
        <f>ADDRESS(ROW(Parcels!D448),COLUMN(Parcels!D448),4)</f>
        <v>D448</v>
      </c>
      <c r="D10021" s="46" t="b">
        <f>IF(AND(Parcels!B448="Current",'Six-Yr Rule'!B449&lt;=Year_DestinationYearID),IF((SUMIFS('Bond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021" t="s">
        <v>1641</v>
      </c>
      <c r="F10021" t="str">
        <f>INDEX(Lists!I:I,MATCH(Validation!E10021,Lists!G:G,0))</f>
        <v>Alert</v>
      </c>
      <c r="G10021" t="str">
        <f>INDEX(Lists!H:H,MATCH(Validation!E10021,Lists!G:G,0))</f>
        <v>This parcel does not appear to be pledged to an outstanding in-district obligation.</v>
      </c>
      <c r="H10021" s="25" t="str">
        <f t="shared" ca="1" si="1113"/>
        <v/>
      </c>
      <c r="I10021" s="25" t="str">
        <f t="shared" ca="1" si="1114"/>
        <v/>
      </c>
      <c r="J10021" s="26" t="str">
        <f t="shared" si="1115"/>
        <v/>
      </c>
    </row>
    <row r="10022" spans="1:10" x14ac:dyDescent="0.25">
      <c r="A10022" t="s">
        <v>111</v>
      </c>
      <c r="B10022" t="str">
        <f>ADDRESS(ROW(Parcels!B449),COLUMN(Parcels!B1291),4)</f>
        <v>B449</v>
      </c>
      <c r="C10022" t="str">
        <f>ADDRESS(ROW(Parcels!D449),COLUMN(Parcels!D449),4)</f>
        <v>D449</v>
      </c>
      <c r="D10022" s="46" t="b">
        <f>IF(AND(Parcels!B449="Current",'Six-Yr Rule'!B450&lt;=Year_DestinationYearID),IF((SUMIFS('Bond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022" t="s">
        <v>1641</v>
      </c>
      <c r="F10022" t="str">
        <f>INDEX(Lists!I:I,MATCH(Validation!E10022,Lists!G:G,0))</f>
        <v>Alert</v>
      </c>
      <c r="G10022" t="str">
        <f>INDEX(Lists!H:H,MATCH(Validation!E10022,Lists!G:G,0))</f>
        <v>This parcel does not appear to be pledged to an outstanding in-district obligation.</v>
      </c>
      <c r="H10022" s="25" t="str">
        <f t="shared" ca="1" si="1113"/>
        <v/>
      </c>
      <c r="I10022" s="25" t="str">
        <f t="shared" ca="1" si="1114"/>
        <v/>
      </c>
      <c r="J10022" s="26" t="str">
        <f t="shared" si="1115"/>
        <v/>
      </c>
    </row>
    <row r="10023" spans="1:10" x14ac:dyDescent="0.25">
      <c r="A10023" t="s">
        <v>111</v>
      </c>
      <c r="B10023" t="str">
        <f>ADDRESS(ROW(Parcels!B450),COLUMN(Parcels!B1292),4)</f>
        <v>B450</v>
      </c>
      <c r="C10023" t="str">
        <f>ADDRESS(ROW(Parcels!D450),COLUMN(Parcels!D450),4)</f>
        <v>D450</v>
      </c>
      <c r="D10023" s="46" t="b">
        <f>IF(AND(Parcels!B450="Current",'Six-Yr Rule'!B451&lt;=Year_DestinationYearID),IF((SUMIFS('Bond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023" t="s">
        <v>1641</v>
      </c>
      <c r="F10023" t="str">
        <f>INDEX(Lists!I:I,MATCH(Validation!E10023,Lists!G:G,0))</f>
        <v>Alert</v>
      </c>
      <c r="G10023" t="str">
        <f>INDEX(Lists!H:H,MATCH(Validation!E10023,Lists!G:G,0))</f>
        <v>This parcel does not appear to be pledged to an outstanding in-district obligation.</v>
      </c>
      <c r="H10023" s="25" t="str">
        <f t="shared" ca="1" si="1113"/>
        <v/>
      </c>
      <c r="I10023" s="25" t="str">
        <f t="shared" ca="1" si="1114"/>
        <v/>
      </c>
      <c r="J10023" s="26" t="str">
        <f t="shared" si="1115"/>
        <v/>
      </c>
    </row>
    <row r="10024" spans="1:10" x14ac:dyDescent="0.25">
      <c r="A10024" t="s">
        <v>111</v>
      </c>
      <c r="B10024" t="str">
        <f>ADDRESS(ROW(Parcels!B451),COLUMN(Parcels!B1293),4)</f>
        <v>B451</v>
      </c>
      <c r="C10024" t="str">
        <f>ADDRESS(ROW(Parcels!D451),COLUMN(Parcels!D451),4)</f>
        <v>D451</v>
      </c>
      <c r="D10024" s="46" t="b">
        <f>IF(AND(Parcels!B451="Current",'Six-Yr Rule'!B452&lt;=Year_DestinationYearID),IF((SUMIFS('Bond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024" t="s">
        <v>1641</v>
      </c>
      <c r="F10024" t="str">
        <f>INDEX(Lists!I:I,MATCH(Validation!E10024,Lists!G:G,0))</f>
        <v>Alert</v>
      </c>
      <c r="G10024" t="str">
        <f>INDEX(Lists!H:H,MATCH(Validation!E10024,Lists!G:G,0))</f>
        <v>This parcel does not appear to be pledged to an outstanding in-district obligation.</v>
      </c>
      <c r="H10024" s="25" t="str">
        <f t="shared" ca="1" si="1113"/>
        <v/>
      </c>
      <c r="I10024" s="25" t="str">
        <f t="shared" ca="1" si="1114"/>
        <v/>
      </c>
      <c r="J10024" s="26" t="str">
        <f t="shared" si="1115"/>
        <v/>
      </c>
    </row>
    <row r="10025" spans="1:10" x14ac:dyDescent="0.25">
      <c r="A10025" t="s">
        <v>111</v>
      </c>
      <c r="B10025" t="str">
        <f>ADDRESS(ROW(Parcels!B452),COLUMN(Parcels!B1294),4)</f>
        <v>B452</v>
      </c>
      <c r="C10025" t="str">
        <f>ADDRESS(ROW(Parcels!D452),COLUMN(Parcels!D452),4)</f>
        <v>D452</v>
      </c>
      <c r="D10025" s="46" t="b">
        <f>IF(AND(Parcels!B452="Current",'Six-Yr Rule'!B453&lt;=Year_DestinationYearID),IF((SUMIFS('Bond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025" t="s">
        <v>1641</v>
      </c>
      <c r="F10025" t="str">
        <f>INDEX(Lists!I:I,MATCH(Validation!E10025,Lists!G:G,0))</f>
        <v>Alert</v>
      </c>
      <c r="G10025" t="str">
        <f>INDEX(Lists!H:H,MATCH(Validation!E10025,Lists!G:G,0))</f>
        <v>This parcel does not appear to be pledged to an outstanding in-district obligation.</v>
      </c>
      <c r="H10025" s="25" t="str">
        <f t="shared" ca="1" si="1113"/>
        <v/>
      </c>
      <c r="I10025" s="25" t="str">
        <f t="shared" ca="1" si="1114"/>
        <v/>
      </c>
      <c r="J10025" s="26" t="str">
        <f t="shared" si="1115"/>
        <v/>
      </c>
    </row>
    <row r="10026" spans="1:10" x14ac:dyDescent="0.25">
      <c r="A10026" t="s">
        <v>111</v>
      </c>
      <c r="B10026" t="str">
        <f>ADDRESS(ROW(Parcels!B453),COLUMN(Parcels!B1295),4)</f>
        <v>B453</v>
      </c>
      <c r="C10026" t="str">
        <f>ADDRESS(ROW(Parcels!D453),COLUMN(Parcels!D453),4)</f>
        <v>D453</v>
      </c>
      <c r="D10026" s="46" t="b">
        <f>IF(AND(Parcels!B453="Current",'Six-Yr Rule'!B454&lt;=Year_DestinationYearID),IF((SUMIFS('Bond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026" t="s">
        <v>1641</v>
      </c>
      <c r="F10026" t="str">
        <f>INDEX(Lists!I:I,MATCH(Validation!E10026,Lists!G:G,0))</f>
        <v>Alert</v>
      </c>
      <c r="G10026" t="str">
        <f>INDEX(Lists!H:H,MATCH(Validation!E10026,Lists!G:G,0))</f>
        <v>This parcel does not appear to be pledged to an outstanding in-district obligation.</v>
      </c>
      <c r="H10026" s="25" t="str">
        <f t="shared" ca="1" si="1113"/>
        <v/>
      </c>
      <c r="I10026" s="25" t="str">
        <f t="shared" ca="1" si="1114"/>
        <v/>
      </c>
      <c r="J10026" s="26" t="str">
        <f t="shared" si="1115"/>
        <v/>
      </c>
    </row>
    <row r="10027" spans="1:10" x14ac:dyDescent="0.25">
      <c r="A10027" t="s">
        <v>111</v>
      </c>
      <c r="B10027" t="str">
        <f>ADDRESS(ROW(Parcels!B454),COLUMN(Parcels!B1296),4)</f>
        <v>B454</v>
      </c>
      <c r="C10027" t="str">
        <f>ADDRESS(ROW(Parcels!D454),COLUMN(Parcels!D454),4)</f>
        <v>D454</v>
      </c>
      <c r="D10027" s="46" t="b">
        <f>IF(AND(Parcels!B454="Current",'Six-Yr Rule'!B455&lt;=Year_DestinationYearID),IF((SUMIFS('Bond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027" t="s">
        <v>1641</v>
      </c>
      <c r="F10027" t="str">
        <f>INDEX(Lists!I:I,MATCH(Validation!E10027,Lists!G:G,0))</f>
        <v>Alert</v>
      </c>
      <c r="G10027" t="str">
        <f>INDEX(Lists!H:H,MATCH(Validation!E10027,Lists!G:G,0))</f>
        <v>This parcel does not appear to be pledged to an outstanding in-district obligation.</v>
      </c>
      <c r="H10027" s="25" t="str">
        <f t="shared" ca="1" si="1113"/>
        <v/>
      </c>
      <c r="I10027" s="25" t="str">
        <f t="shared" ca="1" si="1114"/>
        <v/>
      </c>
      <c r="J10027" s="26" t="str">
        <f t="shared" si="1115"/>
        <v/>
      </c>
    </row>
    <row r="10028" spans="1:10" x14ac:dyDescent="0.25">
      <c r="A10028" t="s">
        <v>111</v>
      </c>
      <c r="B10028" t="str">
        <f>ADDRESS(ROW(Parcels!B455),COLUMN(Parcels!B1297),4)</f>
        <v>B455</v>
      </c>
      <c r="C10028" t="str">
        <f>ADDRESS(ROW(Parcels!D455),COLUMN(Parcels!D455),4)</f>
        <v>D455</v>
      </c>
      <c r="D10028" s="46" t="b">
        <f>IF(AND(Parcels!B455="Current",'Six-Yr Rule'!B456&lt;=Year_DestinationYearID),IF((SUMIFS('Bond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028" t="s">
        <v>1641</v>
      </c>
      <c r="F10028" t="str">
        <f>INDEX(Lists!I:I,MATCH(Validation!E10028,Lists!G:G,0))</f>
        <v>Alert</v>
      </c>
      <c r="G10028" t="str">
        <f>INDEX(Lists!H:H,MATCH(Validation!E10028,Lists!G:G,0))</f>
        <v>This parcel does not appear to be pledged to an outstanding in-district obligation.</v>
      </c>
      <c r="H10028" s="25" t="str">
        <f t="shared" ca="1" si="1113"/>
        <v/>
      </c>
      <c r="I10028" s="25" t="str">
        <f t="shared" ca="1" si="1114"/>
        <v/>
      </c>
      <c r="J10028" s="26" t="str">
        <f t="shared" si="1115"/>
        <v/>
      </c>
    </row>
    <row r="10029" spans="1:10" x14ac:dyDescent="0.25">
      <c r="A10029" t="s">
        <v>111</v>
      </c>
      <c r="B10029" t="str">
        <f>ADDRESS(ROW(Parcels!B456),COLUMN(Parcels!B1298),4)</f>
        <v>B456</v>
      </c>
      <c r="C10029" t="str">
        <f>ADDRESS(ROW(Parcels!D456),COLUMN(Parcels!D456),4)</f>
        <v>D456</v>
      </c>
      <c r="D10029" s="46" t="b">
        <f>IF(AND(Parcels!B456="Current",'Six-Yr Rule'!B457&lt;=Year_DestinationYearID),IF((SUMIFS('Bond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029" t="s">
        <v>1641</v>
      </c>
      <c r="F10029" t="str">
        <f>INDEX(Lists!I:I,MATCH(Validation!E10029,Lists!G:G,0))</f>
        <v>Alert</v>
      </c>
      <c r="G10029" t="str">
        <f>INDEX(Lists!H:H,MATCH(Validation!E10029,Lists!G:G,0))</f>
        <v>This parcel does not appear to be pledged to an outstanding in-district obligation.</v>
      </c>
      <c r="H10029" s="25" t="str">
        <f t="shared" ca="1" si="1113"/>
        <v/>
      </c>
      <c r="I10029" s="25" t="str">
        <f t="shared" ca="1" si="1114"/>
        <v/>
      </c>
      <c r="J10029" s="26" t="str">
        <f t="shared" si="1115"/>
        <v/>
      </c>
    </row>
    <row r="10030" spans="1:10" x14ac:dyDescent="0.25">
      <c r="A10030" t="s">
        <v>111</v>
      </c>
      <c r="B10030" t="str">
        <f>ADDRESS(ROW(Parcels!B457),COLUMN(Parcels!B1299),4)</f>
        <v>B457</v>
      </c>
      <c r="C10030" t="str">
        <f>ADDRESS(ROW(Parcels!D457),COLUMN(Parcels!D457),4)</f>
        <v>D457</v>
      </c>
      <c r="D10030" s="46" t="b">
        <f>IF(AND(Parcels!B457="Current",'Six-Yr Rule'!B458&lt;=Year_DestinationYearID),IF((SUMIFS('Bond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030" t="s">
        <v>1641</v>
      </c>
      <c r="F10030" t="str">
        <f>INDEX(Lists!I:I,MATCH(Validation!E10030,Lists!G:G,0))</f>
        <v>Alert</v>
      </c>
      <c r="G10030" t="str">
        <f>INDEX(Lists!H:H,MATCH(Validation!E10030,Lists!G:G,0))</f>
        <v>This parcel does not appear to be pledged to an outstanding in-district obligation.</v>
      </c>
      <c r="H10030" s="25" t="str">
        <f t="shared" ca="1" si="1113"/>
        <v/>
      </c>
      <c r="I10030" s="25" t="str">
        <f t="shared" ca="1" si="1114"/>
        <v/>
      </c>
      <c r="J10030" s="26" t="str">
        <f t="shared" si="1115"/>
        <v/>
      </c>
    </row>
    <row r="10031" spans="1:10" x14ac:dyDescent="0.25">
      <c r="A10031" t="s">
        <v>111</v>
      </c>
      <c r="B10031" t="str">
        <f>ADDRESS(ROW(Parcels!B458),COLUMN(Parcels!B1300),4)</f>
        <v>B458</v>
      </c>
      <c r="C10031" t="str">
        <f>ADDRESS(ROW(Parcels!D458),COLUMN(Parcels!D458),4)</f>
        <v>D458</v>
      </c>
      <c r="D10031" s="46" t="b">
        <f>IF(AND(Parcels!B458="Current",'Six-Yr Rule'!B459&lt;=Year_DestinationYearID),IF((SUMIFS('Bond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031" t="s">
        <v>1641</v>
      </c>
      <c r="F10031" t="str">
        <f>INDEX(Lists!I:I,MATCH(Validation!E10031,Lists!G:G,0))</f>
        <v>Alert</v>
      </c>
      <c r="G10031" t="str">
        <f>INDEX(Lists!H:H,MATCH(Validation!E10031,Lists!G:G,0))</f>
        <v>This parcel does not appear to be pledged to an outstanding in-district obligation.</v>
      </c>
      <c r="H10031" s="25" t="str">
        <f t="shared" ca="1" si="1113"/>
        <v/>
      </c>
      <c r="I10031" s="25" t="str">
        <f t="shared" ca="1" si="1114"/>
        <v/>
      </c>
      <c r="J10031" s="26" t="str">
        <f t="shared" si="1115"/>
        <v/>
      </c>
    </row>
    <row r="10032" spans="1:10" x14ac:dyDescent="0.25">
      <c r="A10032" t="s">
        <v>111</v>
      </c>
      <c r="B10032" t="str">
        <f>ADDRESS(ROW(Parcels!B459),COLUMN(Parcels!B1301),4)</f>
        <v>B459</v>
      </c>
      <c r="C10032" t="str">
        <f>ADDRESS(ROW(Parcels!D459),COLUMN(Parcels!D459),4)</f>
        <v>D459</v>
      </c>
      <c r="D10032" s="46" t="b">
        <f>IF(AND(Parcels!B459="Current",'Six-Yr Rule'!B460&lt;=Year_DestinationYearID),IF((SUMIFS('Bond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032" t="s">
        <v>1641</v>
      </c>
      <c r="F10032" t="str">
        <f>INDEX(Lists!I:I,MATCH(Validation!E10032,Lists!G:G,0))</f>
        <v>Alert</v>
      </c>
      <c r="G10032" t="str">
        <f>INDEX(Lists!H:H,MATCH(Validation!E10032,Lists!G:G,0))</f>
        <v>This parcel does not appear to be pledged to an outstanding in-district obligation.</v>
      </c>
      <c r="H10032" s="25" t="str">
        <f t="shared" ca="1" si="1113"/>
        <v/>
      </c>
      <c r="I10032" s="25" t="str">
        <f t="shared" ca="1" si="1114"/>
        <v/>
      </c>
      <c r="J10032" s="26" t="str">
        <f t="shared" si="1115"/>
        <v/>
      </c>
    </row>
    <row r="10033" spans="1:10" x14ac:dyDescent="0.25">
      <c r="A10033" t="s">
        <v>111</v>
      </c>
      <c r="B10033" t="str">
        <f>ADDRESS(ROW(Parcels!B460),COLUMN(Parcels!B1302),4)</f>
        <v>B460</v>
      </c>
      <c r="C10033" t="str">
        <f>ADDRESS(ROW(Parcels!D460),COLUMN(Parcels!D460),4)</f>
        <v>D460</v>
      </c>
      <c r="D10033" s="46" t="b">
        <f>IF(AND(Parcels!B460="Current",'Six-Yr Rule'!B461&lt;=Year_DestinationYearID),IF((SUMIFS('Bond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033" t="s">
        <v>1641</v>
      </c>
      <c r="F10033" t="str">
        <f>INDEX(Lists!I:I,MATCH(Validation!E10033,Lists!G:G,0))</f>
        <v>Alert</v>
      </c>
      <c r="G10033" t="str">
        <f>INDEX(Lists!H:H,MATCH(Validation!E10033,Lists!G:G,0))</f>
        <v>This parcel does not appear to be pledged to an outstanding in-district obligation.</v>
      </c>
      <c r="H10033" s="25" t="str">
        <f t="shared" ca="1" si="1113"/>
        <v/>
      </c>
      <c r="I10033" s="25" t="str">
        <f t="shared" ca="1" si="1114"/>
        <v/>
      </c>
      <c r="J10033" s="26" t="str">
        <f t="shared" si="1115"/>
        <v/>
      </c>
    </row>
    <row r="10034" spans="1:10" x14ac:dyDescent="0.25">
      <c r="A10034" t="s">
        <v>111</v>
      </c>
      <c r="B10034" t="str">
        <f>ADDRESS(ROW(Parcels!B461),COLUMN(Parcels!B1303),4)</f>
        <v>B461</v>
      </c>
      <c r="C10034" t="str">
        <f>ADDRESS(ROW(Parcels!D461),COLUMN(Parcels!D461),4)</f>
        <v>D461</v>
      </c>
      <c r="D10034" s="46" t="b">
        <f>IF(AND(Parcels!B461="Current",'Six-Yr Rule'!B462&lt;=Year_DestinationYearID),IF((SUMIFS('Bond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034" t="s">
        <v>1641</v>
      </c>
      <c r="F10034" t="str">
        <f>INDEX(Lists!I:I,MATCH(Validation!E10034,Lists!G:G,0))</f>
        <v>Alert</v>
      </c>
      <c r="G10034" t="str">
        <f>INDEX(Lists!H:H,MATCH(Validation!E10034,Lists!G:G,0))</f>
        <v>This parcel does not appear to be pledged to an outstanding in-district obligation.</v>
      </c>
      <c r="H10034" s="25" t="str">
        <f t="shared" ca="1" si="1113"/>
        <v/>
      </c>
      <c r="I10034" s="25" t="str">
        <f t="shared" ca="1" si="1114"/>
        <v/>
      </c>
      <c r="J10034" s="26" t="str">
        <f t="shared" si="1115"/>
        <v/>
      </c>
    </row>
    <row r="10035" spans="1:10" x14ac:dyDescent="0.25">
      <c r="A10035" t="s">
        <v>111</v>
      </c>
      <c r="B10035" t="str">
        <f>ADDRESS(ROW(Parcels!B462),COLUMN(Parcels!B1304),4)</f>
        <v>B462</v>
      </c>
      <c r="C10035" t="str">
        <f>ADDRESS(ROW(Parcels!D462),COLUMN(Parcels!D462),4)</f>
        <v>D462</v>
      </c>
      <c r="D10035" s="46" t="b">
        <f>IF(AND(Parcels!B462="Current",'Six-Yr Rule'!B463&lt;=Year_DestinationYearID),IF((SUMIFS('Bond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035" t="s">
        <v>1641</v>
      </c>
      <c r="F10035" t="str">
        <f>INDEX(Lists!I:I,MATCH(Validation!E10035,Lists!G:G,0))</f>
        <v>Alert</v>
      </c>
      <c r="G10035" t="str">
        <f>INDEX(Lists!H:H,MATCH(Validation!E10035,Lists!G:G,0))</f>
        <v>This parcel does not appear to be pledged to an outstanding in-district obligation.</v>
      </c>
      <c r="H10035" s="25" t="str">
        <f t="shared" ref="H10035:H10098" ca="1" si="1116">IFERROR(IF(OR(NOT(D10035),F10035&lt;&gt;"Error"),"",A10035&amp;CELL("address",INDIRECT(B10035))),"")</f>
        <v/>
      </c>
      <c r="I10035" s="25" t="str">
        <f t="shared" ref="I10035:I10098" ca="1" si="1117">IFERROR(IF(NOT(D10035),"",A10035&amp;CELL("address",INDIRECT(C10035))),"")</f>
        <v/>
      </c>
      <c r="J10035" s="26" t="str">
        <f t="shared" ref="J10035:J10098" si="1118">IFERROR(IF(NOT(D10035),"",A10035),"")</f>
        <v/>
      </c>
    </row>
    <row r="10036" spans="1:10" x14ac:dyDescent="0.25">
      <c r="A10036" t="s">
        <v>111</v>
      </c>
      <c r="B10036" t="str">
        <f>ADDRESS(ROW(Parcels!B463),COLUMN(Parcels!B1305),4)</f>
        <v>B463</v>
      </c>
      <c r="C10036" t="str">
        <f>ADDRESS(ROW(Parcels!D463),COLUMN(Parcels!D463),4)</f>
        <v>D463</v>
      </c>
      <c r="D10036" s="46" t="b">
        <f>IF(AND(Parcels!B463="Current",'Six-Yr Rule'!B464&lt;=Year_DestinationYearID),IF((SUMIFS('Bond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036" t="s">
        <v>1641</v>
      </c>
      <c r="F10036" t="str">
        <f>INDEX(Lists!I:I,MATCH(Validation!E10036,Lists!G:G,0))</f>
        <v>Alert</v>
      </c>
      <c r="G10036" t="str">
        <f>INDEX(Lists!H:H,MATCH(Validation!E10036,Lists!G:G,0))</f>
        <v>This parcel does not appear to be pledged to an outstanding in-district obligation.</v>
      </c>
      <c r="H10036" s="25" t="str">
        <f t="shared" ca="1" si="1116"/>
        <v/>
      </c>
      <c r="I10036" s="25" t="str">
        <f t="shared" ca="1" si="1117"/>
        <v/>
      </c>
      <c r="J10036" s="26" t="str">
        <f t="shared" si="1118"/>
        <v/>
      </c>
    </row>
    <row r="10037" spans="1:10" x14ac:dyDescent="0.25">
      <c r="A10037" t="s">
        <v>111</v>
      </c>
      <c r="B10037" t="str">
        <f>ADDRESS(ROW(Parcels!B464),COLUMN(Parcels!B1306),4)</f>
        <v>B464</v>
      </c>
      <c r="C10037" t="str">
        <f>ADDRESS(ROW(Parcels!D464),COLUMN(Parcels!D464),4)</f>
        <v>D464</v>
      </c>
      <c r="D10037" s="46" t="b">
        <f>IF(AND(Parcels!B464="Current",'Six-Yr Rule'!B465&lt;=Year_DestinationYearID),IF((SUMIFS('Bond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037" t="s">
        <v>1641</v>
      </c>
      <c r="F10037" t="str">
        <f>INDEX(Lists!I:I,MATCH(Validation!E10037,Lists!G:G,0))</f>
        <v>Alert</v>
      </c>
      <c r="G10037" t="str">
        <f>INDEX(Lists!H:H,MATCH(Validation!E10037,Lists!G:G,0))</f>
        <v>This parcel does not appear to be pledged to an outstanding in-district obligation.</v>
      </c>
      <c r="H10037" s="25" t="str">
        <f t="shared" ca="1" si="1116"/>
        <v/>
      </c>
      <c r="I10037" s="25" t="str">
        <f t="shared" ca="1" si="1117"/>
        <v/>
      </c>
      <c r="J10037" s="26" t="str">
        <f t="shared" si="1118"/>
        <v/>
      </c>
    </row>
    <row r="10038" spans="1:10" x14ac:dyDescent="0.25">
      <c r="A10038" t="s">
        <v>111</v>
      </c>
      <c r="B10038" t="str">
        <f>ADDRESS(ROW(Parcels!B465),COLUMN(Parcels!B1307),4)</f>
        <v>B465</v>
      </c>
      <c r="C10038" t="str">
        <f>ADDRESS(ROW(Parcels!D465),COLUMN(Parcels!D465),4)</f>
        <v>D465</v>
      </c>
      <c r="D10038" s="46" t="b">
        <f>IF(AND(Parcels!B465="Current",'Six-Yr Rule'!B466&lt;=Year_DestinationYearID),IF((SUMIFS('Bond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038" t="s">
        <v>1641</v>
      </c>
      <c r="F10038" t="str">
        <f>INDEX(Lists!I:I,MATCH(Validation!E10038,Lists!G:G,0))</f>
        <v>Alert</v>
      </c>
      <c r="G10038" t="str">
        <f>INDEX(Lists!H:H,MATCH(Validation!E10038,Lists!G:G,0))</f>
        <v>This parcel does not appear to be pledged to an outstanding in-district obligation.</v>
      </c>
      <c r="H10038" s="25" t="str">
        <f t="shared" ca="1" si="1116"/>
        <v/>
      </c>
      <c r="I10038" s="25" t="str">
        <f t="shared" ca="1" si="1117"/>
        <v/>
      </c>
      <c r="J10038" s="26" t="str">
        <f t="shared" si="1118"/>
        <v/>
      </c>
    </row>
    <row r="10039" spans="1:10" x14ac:dyDescent="0.25">
      <c r="A10039" t="s">
        <v>111</v>
      </c>
      <c r="B10039" t="str">
        <f>ADDRESS(ROW(Parcels!B466),COLUMN(Parcels!B1308),4)</f>
        <v>B466</v>
      </c>
      <c r="C10039" t="str">
        <f>ADDRESS(ROW(Parcels!D466),COLUMN(Parcels!D466),4)</f>
        <v>D466</v>
      </c>
      <c r="D10039" s="46" t="b">
        <f>IF(AND(Parcels!B466="Current",'Six-Yr Rule'!B467&lt;=Year_DestinationYearID),IF((SUMIFS('Bond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039" t="s">
        <v>1641</v>
      </c>
      <c r="F10039" t="str">
        <f>INDEX(Lists!I:I,MATCH(Validation!E10039,Lists!G:G,0))</f>
        <v>Alert</v>
      </c>
      <c r="G10039" t="str">
        <f>INDEX(Lists!H:H,MATCH(Validation!E10039,Lists!G:G,0))</f>
        <v>This parcel does not appear to be pledged to an outstanding in-district obligation.</v>
      </c>
      <c r="H10039" s="25" t="str">
        <f t="shared" ca="1" si="1116"/>
        <v/>
      </c>
      <c r="I10039" s="25" t="str">
        <f t="shared" ca="1" si="1117"/>
        <v/>
      </c>
      <c r="J10039" s="26" t="str">
        <f t="shared" si="1118"/>
        <v/>
      </c>
    </row>
    <row r="10040" spans="1:10" x14ac:dyDescent="0.25">
      <c r="A10040" t="s">
        <v>111</v>
      </c>
      <c r="B10040" t="str">
        <f>ADDRESS(ROW(Parcels!B467),COLUMN(Parcels!B1309),4)</f>
        <v>B467</v>
      </c>
      <c r="C10040" t="str">
        <f>ADDRESS(ROW(Parcels!D467),COLUMN(Parcels!D467),4)</f>
        <v>D467</v>
      </c>
      <c r="D10040" s="46" t="b">
        <f>IF(AND(Parcels!B467="Current",'Six-Yr Rule'!B468&lt;=Year_DestinationYearID),IF((SUMIFS('Bond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040" t="s">
        <v>1641</v>
      </c>
      <c r="F10040" t="str">
        <f>INDEX(Lists!I:I,MATCH(Validation!E10040,Lists!G:G,0))</f>
        <v>Alert</v>
      </c>
      <c r="G10040" t="str">
        <f>INDEX(Lists!H:H,MATCH(Validation!E10040,Lists!G:G,0))</f>
        <v>This parcel does not appear to be pledged to an outstanding in-district obligation.</v>
      </c>
      <c r="H10040" s="25" t="str">
        <f t="shared" ca="1" si="1116"/>
        <v/>
      </c>
      <c r="I10040" s="25" t="str">
        <f t="shared" ca="1" si="1117"/>
        <v/>
      </c>
      <c r="J10040" s="26" t="str">
        <f t="shared" si="1118"/>
        <v/>
      </c>
    </row>
    <row r="10041" spans="1:10" x14ac:dyDescent="0.25">
      <c r="A10041" t="s">
        <v>111</v>
      </c>
      <c r="B10041" t="str">
        <f>ADDRESS(ROW(Parcels!B468),COLUMN(Parcels!B1310),4)</f>
        <v>B468</v>
      </c>
      <c r="C10041" t="str">
        <f>ADDRESS(ROW(Parcels!D468),COLUMN(Parcels!D468),4)</f>
        <v>D468</v>
      </c>
      <c r="D10041" s="46" t="b">
        <f>IF(AND(Parcels!B468="Current",'Six-Yr Rule'!B469&lt;=Year_DestinationYearID),IF((SUMIFS('Bond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041" t="s">
        <v>1641</v>
      </c>
      <c r="F10041" t="str">
        <f>INDEX(Lists!I:I,MATCH(Validation!E10041,Lists!G:G,0))</f>
        <v>Alert</v>
      </c>
      <c r="G10041" t="str">
        <f>INDEX(Lists!H:H,MATCH(Validation!E10041,Lists!G:G,0))</f>
        <v>This parcel does not appear to be pledged to an outstanding in-district obligation.</v>
      </c>
      <c r="H10041" s="25" t="str">
        <f t="shared" ca="1" si="1116"/>
        <v/>
      </c>
      <c r="I10041" s="25" t="str">
        <f t="shared" ca="1" si="1117"/>
        <v/>
      </c>
      <c r="J10041" s="26" t="str">
        <f t="shared" si="1118"/>
        <v/>
      </c>
    </row>
    <row r="10042" spans="1:10" x14ac:dyDescent="0.25">
      <c r="A10042" t="s">
        <v>111</v>
      </c>
      <c r="B10042" t="str">
        <f>ADDRESS(ROW(Parcels!B469),COLUMN(Parcels!B1311),4)</f>
        <v>B469</v>
      </c>
      <c r="C10042" t="str">
        <f>ADDRESS(ROW(Parcels!D469),COLUMN(Parcels!D469),4)</f>
        <v>D469</v>
      </c>
      <c r="D10042" s="46" t="b">
        <f>IF(AND(Parcels!B469="Current",'Six-Yr Rule'!B470&lt;=Year_DestinationYearID),IF((SUMIFS('Bond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042" t="s">
        <v>1641</v>
      </c>
      <c r="F10042" t="str">
        <f>INDEX(Lists!I:I,MATCH(Validation!E10042,Lists!G:G,0))</f>
        <v>Alert</v>
      </c>
      <c r="G10042" t="str">
        <f>INDEX(Lists!H:H,MATCH(Validation!E10042,Lists!G:G,0))</f>
        <v>This parcel does not appear to be pledged to an outstanding in-district obligation.</v>
      </c>
      <c r="H10042" s="25" t="str">
        <f t="shared" ca="1" si="1116"/>
        <v/>
      </c>
      <c r="I10042" s="25" t="str">
        <f t="shared" ca="1" si="1117"/>
        <v/>
      </c>
      <c r="J10042" s="26" t="str">
        <f t="shared" si="1118"/>
        <v/>
      </c>
    </row>
    <row r="10043" spans="1:10" x14ac:dyDescent="0.25">
      <c r="A10043" t="s">
        <v>111</v>
      </c>
      <c r="B10043" t="str">
        <f>ADDRESS(ROW(Parcels!B470),COLUMN(Parcels!B1312),4)</f>
        <v>B470</v>
      </c>
      <c r="C10043" t="str">
        <f>ADDRESS(ROW(Parcels!D470),COLUMN(Parcels!D470),4)</f>
        <v>D470</v>
      </c>
      <c r="D10043" s="46" t="b">
        <f>IF(AND(Parcels!B470="Current",'Six-Yr Rule'!B471&lt;=Year_DestinationYearID),IF((SUMIFS('Bond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043" t="s">
        <v>1641</v>
      </c>
      <c r="F10043" t="str">
        <f>INDEX(Lists!I:I,MATCH(Validation!E10043,Lists!G:G,0))</f>
        <v>Alert</v>
      </c>
      <c r="G10043" t="str">
        <f>INDEX(Lists!H:H,MATCH(Validation!E10043,Lists!G:G,0))</f>
        <v>This parcel does not appear to be pledged to an outstanding in-district obligation.</v>
      </c>
      <c r="H10043" s="25" t="str">
        <f t="shared" ca="1" si="1116"/>
        <v/>
      </c>
      <c r="I10043" s="25" t="str">
        <f t="shared" ca="1" si="1117"/>
        <v/>
      </c>
      <c r="J10043" s="26" t="str">
        <f t="shared" si="1118"/>
        <v/>
      </c>
    </row>
    <row r="10044" spans="1:10" x14ac:dyDescent="0.25">
      <c r="A10044" t="s">
        <v>111</v>
      </c>
      <c r="B10044" t="str">
        <f>ADDRESS(ROW(Parcels!B471),COLUMN(Parcels!B1313),4)</f>
        <v>B471</v>
      </c>
      <c r="C10044" t="str">
        <f>ADDRESS(ROW(Parcels!D471),COLUMN(Parcels!D471),4)</f>
        <v>D471</v>
      </c>
      <c r="D10044" s="46" t="b">
        <f>IF(AND(Parcels!B471="Current",'Six-Yr Rule'!B472&lt;=Year_DestinationYearID),IF((SUMIFS('Bond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044" t="s">
        <v>1641</v>
      </c>
      <c r="F10044" t="str">
        <f>INDEX(Lists!I:I,MATCH(Validation!E10044,Lists!G:G,0))</f>
        <v>Alert</v>
      </c>
      <c r="G10044" t="str">
        <f>INDEX(Lists!H:H,MATCH(Validation!E10044,Lists!G:G,0))</f>
        <v>This parcel does not appear to be pledged to an outstanding in-district obligation.</v>
      </c>
      <c r="H10044" s="25" t="str">
        <f t="shared" ca="1" si="1116"/>
        <v/>
      </c>
      <c r="I10044" s="25" t="str">
        <f t="shared" ca="1" si="1117"/>
        <v/>
      </c>
      <c r="J10044" s="26" t="str">
        <f t="shared" si="1118"/>
        <v/>
      </c>
    </row>
    <row r="10045" spans="1:10" x14ac:dyDescent="0.25">
      <c r="A10045" t="s">
        <v>111</v>
      </c>
      <c r="B10045" t="str">
        <f>ADDRESS(ROW(Parcels!B472),COLUMN(Parcels!B1314),4)</f>
        <v>B472</v>
      </c>
      <c r="C10045" t="str">
        <f>ADDRESS(ROW(Parcels!D472),COLUMN(Parcels!D472),4)</f>
        <v>D472</v>
      </c>
      <c r="D10045" s="46" t="b">
        <f>IF(AND(Parcels!B472="Current",'Six-Yr Rule'!B473&lt;=Year_DestinationYearID),IF((SUMIFS('Bond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045" t="s">
        <v>1641</v>
      </c>
      <c r="F10045" t="str">
        <f>INDEX(Lists!I:I,MATCH(Validation!E10045,Lists!G:G,0))</f>
        <v>Alert</v>
      </c>
      <c r="G10045" t="str">
        <f>INDEX(Lists!H:H,MATCH(Validation!E10045,Lists!G:G,0))</f>
        <v>This parcel does not appear to be pledged to an outstanding in-district obligation.</v>
      </c>
      <c r="H10045" s="25" t="str">
        <f t="shared" ca="1" si="1116"/>
        <v/>
      </c>
      <c r="I10045" s="25" t="str">
        <f t="shared" ca="1" si="1117"/>
        <v/>
      </c>
      <c r="J10045" s="26" t="str">
        <f t="shared" si="1118"/>
        <v/>
      </c>
    </row>
    <row r="10046" spans="1:10" x14ac:dyDescent="0.25">
      <c r="A10046" t="s">
        <v>111</v>
      </c>
      <c r="B10046" t="str">
        <f>ADDRESS(ROW(Parcels!B473),COLUMN(Parcels!B1315),4)</f>
        <v>B473</v>
      </c>
      <c r="C10046" t="str">
        <f>ADDRESS(ROW(Parcels!D473),COLUMN(Parcels!D473),4)</f>
        <v>D473</v>
      </c>
      <c r="D10046" s="46" t="b">
        <f>IF(AND(Parcels!B473="Current",'Six-Yr Rule'!B474&lt;=Year_DestinationYearID),IF((SUMIFS('Bond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046" t="s">
        <v>1641</v>
      </c>
      <c r="F10046" t="str">
        <f>INDEX(Lists!I:I,MATCH(Validation!E10046,Lists!G:G,0))</f>
        <v>Alert</v>
      </c>
      <c r="G10046" t="str">
        <f>INDEX(Lists!H:H,MATCH(Validation!E10046,Lists!G:G,0))</f>
        <v>This parcel does not appear to be pledged to an outstanding in-district obligation.</v>
      </c>
      <c r="H10046" s="25" t="str">
        <f t="shared" ca="1" si="1116"/>
        <v/>
      </c>
      <c r="I10046" s="25" t="str">
        <f t="shared" ca="1" si="1117"/>
        <v/>
      </c>
      <c r="J10046" s="26" t="str">
        <f t="shared" si="1118"/>
        <v/>
      </c>
    </row>
    <row r="10047" spans="1:10" x14ac:dyDescent="0.25">
      <c r="A10047" t="s">
        <v>111</v>
      </c>
      <c r="B10047" t="str">
        <f>ADDRESS(ROW(Parcels!B474),COLUMN(Parcels!B1316),4)</f>
        <v>B474</v>
      </c>
      <c r="C10047" t="str">
        <f>ADDRESS(ROW(Parcels!D474),COLUMN(Parcels!D474),4)</f>
        <v>D474</v>
      </c>
      <c r="D10047" s="46" t="b">
        <f>IF(AND(Parcels!B474="Current",'Six-Yr Rule'!B475&lt;=Year_DestinationYearID),IF((SUMIFS('Bond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047" t="s">
        <v>1641</v>
      </c>
      <c r="F10047" t="str">
        <f>INDEX(Lists!I:I,MATCH(Validation!E10047,Lists!G:G,0))</f>
        <v>Alert</v>
      </c>
      <c r="G10047" t="str">
        <f>INDEX(Lists!H:H,MATCH(Validation!E10047,Lists!G:G,0))</f>
        <v>This parcel does not appear to be pledged to an outstanding in-district obligation.</v>
      </c>
      <c r="H10047" s="25" t="str">
        <f t="shared" ca="1" si="1116"/>
        <v/>
      </c>
      <c r="I10047" s="25" t="str">
        <f t="shared" ca="1" si="1117"/>
        <v/>
      </c>
      <c r="J10047" s="26" t="str">
        <f t="shared" si="1118"/>
        <v/>
      </c>
    </row>
    <row r="10048" spans="1:10" x14ac:dyDescent="0.25">
      <c r="A10048" t="s">
        <v>111</v>
      </c>
      <c r="B10048" t="str">
        <f>ADDRESS(ROW(Parcels!B475),COLUMN(Parcels!B1317),4)</f>
        <v>B475</v>
      </c>
      <c r="C10048" t="str">
        <f>ADDRESS(ROW(Parcels!D475),COLUMN(Parcels!D475),4)</f>
        <v>D475</v>
      </c>
      <c r="D10048" s="46" t="b">
        <f>IF(AND(Parcels!B475="Current",'Six-Yr Rule'!B476&lt;=Year_DestinationYearID),IF((SUMIFS('Bond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048" t="s">
        <v>1641</v>
      </c>
      <c r="F10048" t="str">
        <f>INDEX(Lists!I:I,MATCH(Validation!E10048,Lists!G:G,0))</f>
        <v>Alert</v>
      </c>
      <c r="G10048" t="str">
        <f>INDEX(Lists!H:H,MATCH(Validation!E10048,Lists!G:G,0))</f>
        <v>This parcel does not appear to be pledged to an outstanding in-district obligation.</v>
      </c>
      <c r="H10048" s="25" t="str">
        <f t="shared" ca="1" si="1116"/>
        <v/>
      </c>
      <c r="I10048" s="25" t="str">
        <f t="shared" ca="1" si="1117"/>
        <v/>
      </c>
      <c r="J10048" s="26" t="str">
        <f t="shared" si="1118"/>
        <v/>
      </c>
    </row>
    <row r="10049" spans="1:10" x14ac:dyDescent="0.25">
      <c r="A10049" t="s">
        <v>111</v>
      </c>
      <c r="B10049" t="str">
        <f>ADDRESS(ROW(Parcels!B476),COLUMN(Parcels!B1318),4)</f>
        <v>B476</v>
      </c>
      <c r="C10049" t="str">
        <f>ADDRESS(ROW(Parcels!D476),COLUMN(Parcels!D476),4)</f>
        <v>D476</v>
      </c>
      <c r="D10049" s="46" t="b">
        <f>IF(AND(Parcels!B476="Current",'Six-Yr Rule'!B477&lt;=Year_DestinationYearID),IF((SUMIFS('Bond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049" t="s">
        <v>1641</v>
      </c>
      <c r="F10049" t="str">
        <f>INDEX(Lists!I:I,MATCH(Validation!E10049,Lists!G:G,0))</f>
        <v>Alert</v>
      </c>
      <c r="G10049" t="str">
        <f>INDEX(Lists!H:H,MATCH(Validation!E10049,Lists!G:G,0))</f>
        <v>This parcel does not appear to be pledged to an outstanding in-district obligation.</v>
      </c>
      <c r="H10049" s="25" t="str">
        <f t="shared" ca="1" si="1116"/>
        <v/>
      </c>
      <c r="I10049" s="25" t="str">
        <f t="shared" ca="1" si="1117"/>
        <v/>
      </c>
      <c r="J10049" s="26" t="str">
        <f t="shared" si="1118"/>
        <v/>
      </c>
    </row>
    <row r="10050" spans="1:10" x14ac:dyDescent="0.25">
      <c r="A10050" t="s">
        <v>111</v>
      </c>
      <c r="B10050" t="str">
        <f>ADDRESS(ROW(Parcels!B477),COLUMN(Parcels!B1319),4)</f>
        <v>B477</v>
      </c>
      <c r="C10050" t="str">
        <f>ADDRESS(ROW(Parcels!D477),COLUMN(Parcels!D477),4)</f>
        <v>D477</v>
      </c>
      <c r="D10050" s="46" t="b">
        <f>IF(AND(Parcels!B477="Current",'Six-Yr Rule'!B478&lt;=Year_DestinationYearID),IF((SUMIFS('Bond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050" t="s">
        <v>1641</v>
      </c>
      <c r="F10050" t="str">
        <f>INDEX(Lists!I:I,MATCH(Validation!E10050,Lists!G:G,0))</f>
        <v>Alert</v>
      </c>
      <c r="G10050" t="str">
        <f>INDEX(Lists!H:H,MATCH(Validation!E10050,Lists!G:G,0))</f>
        <v>This parcel does not appear to be pledged to an outstanding in-district obligation.</v>
      </c>
      <c r="H10050" s="25" t="str">
        <f t="shared" ca="1" si="1116"/>
        <v/>
      </c>
      <c r="I10050" s="25" t="str">
        <f t="shared" ca="1" si="1117"/>
        <v/>
      </c>
      <c r="J10050" s="26" t="str">
        <f t="shared" si="1118"/>
        <v/>
      </c>
    </row>
    <row r="10051" spans="1:10" x14ac:dyDescent="0.25">
      <c r="A10051" t="s">
        <v>111</v>
      </c>
      <c r="B10051" t="str">
        <f>ADDRESS(ROW(Parcels!B478),COLUMN(Parcels!B1320),4)</f>
        <v>B478</v>
      </c>
      <c r="C10051" t="str">
        <f>ADDRESS(ROW(Parcels!D478),COLUMN(Parcels!D478),4)</f>
        <v>D478</v>
      </c>
      <c r="D10051" s="46" t="b">
        <f>IF(AND(Parcels!B478="Current",'Six-Yr Rule'!B479&lt;=Year_DestinationYearID),IF((SUMIFS('Bond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051" t="s">
        <v>1641</v>
      </c>
      <c r="F10051" t="str">
        <f>INDEX(Lists!I:I,MATCH(Validation!E10051,Lists!G:G,0))</f>
        <v>Alert</v>
      </c>
      <c r="G10051" t="str">
        <f>INDEX(Lists!H:H,MATCH(Validation!E10051,Lists!G:G,0))</f>
        <v>This parcel does not appear to be pledged to an outstanding in-district obligation.</v>
      </c>
      <c r="H10051" s="25" t="str">
        <f t="shared" ca="1" si="1116"/>
        <v/>
      </c>
      <c r="I10051" s="25" t="str">
        <f t="shared" ca="1" si="1117"/>
        <v/>
      </c>
      <c r="J10051" s="26" t="str">
        <f t="shared" si="1118"/>
        <v/>
      </c>
    </row>
    <row r="10052" spans="1:10" x14ac:dyDescent="0.25">
      <c r="A10052" t="s">
        <v>111</v>
      </c>
      <c r="B10052" t="str">
        <f>ADDRESS(ROW(Parcels!B479),COLUMN(Parcels!B1321),4)</f>
        <v>B479</v>
      </c>
      <c r="C10052" t="str">
        <f>ADDRESS(ROW(Parcels!D479),COLUMN(Parcels!D479),4)</f>
        <v>D479</v>
      </c>
      <c r="D10052" s="46" t="b">
        <f>IF(AND(Parcels!B479="Current",'Six-Yr Rule'!B480&lt;=Year_DestinationYearID),IF((SUMIFS('Bond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052" t="s">
        <v>1641</v>
      </c>
      <c r="F10052" t="str">
        <f>INDEX(Lists!I:I,MATCH(Validation!E10052,Lists!G:G,0))</f>
        <v>Alert</v>
      </c>
      <c r="G10052" t="str">
        <f>INDEX(Lists!H:H,MATCH(Validation!E10052,Lists!G:G,0))</f>
        <v>This parcel does not appear to be pledged to an outstanding in-district obligation.</v>
      </c>
      <c r="H10052" s="25" t="str">
        <f t="shared" ca="1" si="1116"/>
        <v/>
      </c>
      <c r="I10052" s="25" t="str">
        <f t="shared" ca="1" si="1117"/>
        <v/>
      </c>
      <c r="J10052" s="26" t="str">
        <f t="shared" si="1118"/>
        <v/>
      </c>
    </row>
    <row r="10053" spans="1:10" x14ac:dyDescent="0.25">
      <c r="A10053" t="s">
        <v>111</v>
      </c>
      <c r="B10053" t="str">
        <f>ADDRESS(ROW(Parcels!B480),COLUMN(Parcels!B1322),4)</f>
        <v>B480</v>
      </c>
      <c r="C10053" t="str">
        <f>ADDRESS(ROW(Parcels!D480),COLUMN(Parcels!D480),4)</f>
        <v>D480</v>
      </c>
      <c r="D10053" s="46" t="b">
        <f>IF(AND(Parcels!B480="Current",'Six-Yr Rule'!B481&lt;=Year_DestinationYearID),IF((SUMIFS('Bond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053" t="s">
        <v>1641</v>
      </c>
      <c r="F10053" t="str">
        <f>INDEX(Lists!I:I,MATCH(Validation!E10053,Lists!G:G,0))</f>
        <v>Alert</v>
      </c>
      <c r="G10053" t="str">
        <f>INDEX(Lists!H:H,MATCH(Validation!E10053,Lists!G:G,0))</f>
        <v>This parcel does not appear to be pledged to an outstanding in-district obligation.</v>
      </c>
      <c r="H10053" s="25" t="str">
        <f t="shared" ca="1" si="1116"/>
        <v/>
      </c>
      <c r="I10053" s="25" t="str">
        <f t="shared" ca="1" si="1117"/>
        <v/>
      </c>
      <c r="J10053" s="26" t="str">
        <f t="shared" si="1118"/>
        <v/>
      </c>
    </row>
    <row r="10054" spans="1:10" x14ac:dyDescent="0.25">
      <c r="A10054" t="s">
        <v>111</v>
      </c>
      <c r="B10054" t="str">
        <f>ADDRESS(ROW(Parcels!B481),COLUMN(Parcels!B1323),4)</f>
        <v>B481</v>
      </c>
      <c r="C10054" t="str">
        <f>ADDRESS(ROW(Parcels!D481),COLUMN(Parcels!D481),4)</f>
        <v>D481</v>
      </c>
      <c r="D10054" s="46" t="b">
        <f>IF(AND(Parcels!B481="Current",'Six-Yr Rule'!B482&lt;=Year_DestinationYearID),IF((SUMIFS('Bond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054" t="s">
        <v>1641</v>
      </c>
      <c r="F10054" t="str">
        <f>INDEX(Lists!I:I,MATCH(Validation!E10054,Lists!G:G,0))</f>
        <v>Alert</v>
      </c>
      <c r="G10054" t="str">
        <f>INDEX(Lists!H:H,MATCH(Validation!E10054,Lists!G:G,0))</f>
        <v>This parcel does not appear to be pledged to an outstanding in-district obligation.</v>
      </c>
      <c r="H10054" s="25" t="str">
        <f t="shared" ca="1" si="1116"/>
        <v/>
      </c>
      <c r="I10054" s="25" t="str">
        <f t="shared" ca="1" si="1117"/>
        <v/>
      </c>
      <c r="J10054" s="26" t="str">
        <f t="shared" si="1118"/>
        <v/>
      </c>
    </row>
    <row r="10055" spans="1:10" x14ac:dyDescent="0.25">
      <c r="A10055" t="s">
        <v>111</v>
      </c>
      <c r="B10055" t="str">
        <f>ADDRESS(ROW(Parcels!B482),COLUMN(Parcels!B1324),4)</f>
        <v>B482</v>
      </c>
      <c r="C10055" t="str">
        <f>ADDRESS(ROW(Parcels!D482),COLUMN(Parcels!D482),4)</f>
        <v>D482</v>
      </c>
      <c r="D10055" s="46" t="b">
        <f>IF(AND(Parcels!B482="Current",'Six-Yr Rule'!B483&lt;=Year_DestinationYearID),IF((SUMIFS('Bond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055" t="s">
        <v>1641</v>
      </c>
      <c r="F10055" t="str">
        <f>INDEX(Lists!I:I,MATCH(Validation!E10055,Lists!G:G,0))</f>
        <v>Alert</v>
      </c>
      <c r="G10055" t="str">
        <f>INDEX(Lists!H:H,MATCH(Validation!E10055,Lists!G:G,0))</f>
        <v>This parcel does not appear to be pledged to an outstanding in-district obligation.</v>
      </c>
      <c r="H10055" s="25" t="str">
        <f t="shared" ca="1" si="1116"/>
        <v/>
      </c>
      <c r="I10055" s="25" t="str">
        <f t="shared" ca="1" si="1117"/>
        <v/>
      </c>
      <c r="J10055" s="26" t="str">
        <f t="shared" si="1118"/>
        <v/>
      </c>
    </row>
    <row r="10056" spans="1:10" x14ac:dyDescent="0.25">
      <c r="A10056" t="s">
        <v>111</v>
      </c>
      <c r="B10056" t="str">
        <f>ADDRESS(ROW(Parcels!B483),COLUMN(Parcels!B1325),4)</f>
        <v>B483</v>
      </c>
      <c r="C10056" t="str">
        <f>ADDRESS(ROW(Parcels!D483),COLUMN(Parcels!D483),4)</f>
        <v>D483</v>
      </c>
      <c r="D10056" s="46" t="b">
        <f>IF(AND(Parcels!B483="Current",'Six-Yr Rule'!B484&lt;=Year_DestinationYearID),IF((SUMIFS('Bond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056" t="s">
        <v>1641</v>
      </c>
      <c r="F10056" t="str">
        <f>INDEX(Lists!I:I,MATCH(Validation!E10056,Lists!G:G,0))</f>
        <v>Alert</v>
      </c>
      <c r="G10056" t="str">
        <f>INDEX(Lists!H:H,MATCH(Validation!E10056,Lists!G:G,0))</f>
        <v>This parcel does not appear to be pledged to an outstanding in-district obligation.</v>
      </c>
      <c r="H10056" s="25" t="str">
        <f t="shared" ca="1" si="1116"/>
        <v/>
      </c>
      <c r="I10056" s="25" t="str">
        <f t="shared" ca="1" si="1117"/>
        <v/>
      </c>
      <c r="J10056" s="26" t="str">
        <f t="shared" si="1118"/>
        <v/>
      </c>
    </row>
    <row r="10057" spans="1:10" x14ac:dyDescent="0.25">
      <c r="A10057" t="s">
        <v>111</v>
      </c>
      <c r="B10057" t="str">
        <f>ADDRESS(ROW(Parcels!B484),COLUMN(Parcels!B1326),4)</f>
        <v>B484</v>
      </c>
      <c r="C10057" t="str">
        <f>ADDRESS(ROW(Parcels!D484),COLUMN(Parcels!D484),4)</f>
        <v>D484</v>
      </c>
      <c r="D10057" s="46" t="b">
        <f>IF(AND(Parcels!B484="Current",'Six-Yr Rule'!B485&lt;=Year_DestinationYearID),IF((SUMIFS('Bond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057" t="s">
        <v>1641</v>
      </c>
      <c r="F10057" t="str">
        <f>INDEX(Lists!I:I,MATCH(Validation!E10057,Lists!G:G,0))</f>
        <v>Alert</v>
      </c>
      <c r="G10057" t="str">
        <f>INDEX(Lists!H:H,MATCH(Validation!E10057,Lists!G:G,0))</f>
        <v>This parcel does not appear to be pledged to an outstanding in-district obligation.</v>
      </c>
      <c r="H10057" s="25" t="str">
        <f t="shared" ca="1" si="1116"/>
        <v/>
      </c>
      <c r="I10057" s="25" t="str">
        <f t="shared" ca="1" si="1117"/>
        <v/>
      </c>
      <c r="J10057" s="26" t="str">
        <f t="shared" si="1118"/>
        <v/>
      </c>
    </row>
    <row r="10058" spans="1:10" x14ac:dyDescent="0.25">
      <c r="A10058" t="s">
        <v>111</v>
      </c>
      <c r="B10058" t="str">
        <f>ADDRESS(ROW(Parcels!B485),COLUMN(Parcels!B1327),4)</f>
        <v>B485</v>
      </c>
      <c r="C10058" t="str">
        <f>ADDRESS(ROW(Parcels!D485),COLUMN(Parcels!D485),4)</f>
        <v>D485</v>
      </c>
      <c r="D10058" s="46" t="b">
        <f>IF(AND(Parcels!B485="Current",'Six-Yr Rule'!B486&lt;=Year_DestinationYearID),IF((SUMIFS('Bond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058" t="s">
        <v>1641</v>
      </c>
      <c r="F10058" t="str">
        <f>INDEX(Lists!I:I,MATCH(Validation!E10058,Lists!G:G,0))</f>
        <v>Alert</v>
      </c>
      <c r="G10058" t="str">
        <f>INDEX(Lists!H:H,MATCH(Validation!E10058,Lists!G:G,0))</f>
        <v>This parcel does not appear to be pledged to an outstanding in-district obligation.</v>
      </c>
      <c r="H10058" s="25" t="str">
        <f t="shared" ca="1" si="1116"/>
        <v/>
      </c>
      <c r="I10058" s="25" t="str">
        <f t="shared" ca="1" si="1117"/>
        <v/>
      </c>
      <c r="J10058" s="26" t="str">
        <f t="shared" si="1118"/>
        <v/>
      </c>
    </row>
    <row r="10059" spans="1:10" x14ac:dyDescent="0.25">
      <c r="A10059" t="s">
        <v>111</v>
      </c>
      <c r="B10059" t="str">
        <f>ADDRESS(ROW(Parcels!B486),COLUMN(Parcels!B1328),4)</f>
        <v>B486</v>
      </c>
      <c r="C10059" t="str">
        <f>ADDRESS(ROW(Parcels!D486),COLUMN(Parcels!D486),4)</f>
        <v>D486</v>
      </c>
      <c r="D10059" s="46" t="b">
        <f>IF(AND(Parcels!B486="Current",'Six-Yr Rule'!B487&lt;=Year_DestinationYearID),IF((SUMIFS('Bond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059" t="s">
        <v>1641</v>
      </c>
      <c r="F10059" t="str">
        <f>INDEX(Lists!I:I,MATCH(Validation!E10059,Lists!G:G,0))</f>
        <v>Alert</v>
      </c>
      <c r="G10059" t="str">
        <f>INDEX(Lists!H:H,MATCH(Validation!E10059,Lists!G:G,0))</f>
        <v>This parcel does not appear to be pledged to an outstanding in-district obligation.</v>
      </c>
      <c r="H10059" s="25" t="str">
        <f t="shared" ca="1" si="1116"/>
        <v/>
      </c>
      <c r="I10059" s="25" t="str">
        <f t="shared" ca="1" si="1117"/>
        <v/>
      </c>
      <c r="J10059" s="26" t="str">
        <f t="shared" si="1118"/>
        <v/>
      </c>
    </row>
    <row r="10060" spans="1:10" x14ac:dyDescent="0.25">
      <c r="A10060" t="s">
        <v>111</v>
      </c>
      <c r="B10060" t="str">
        <f>ADDRESS(ROW(Parcels!B487),COLUMN(Parcels!B1329),4)</f>
        <v>B487</v>
      </c>
      <c r="C10060" t="str">
        <f>ADDRESS(ROW(Parcels!D487),COLUMN(Parcels!D487),4)</f>
        <v>D487</v>
      </c>
      <c r="D10060" s="46" t="b">
        <f>IF(AND(Parcels!B487="Current",'Six-Yr Rule'!B488&lt;=Year_DestinationYearID),IF((SUMIFS('Bond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060" t="s">
        <v>1641</v>
      </c>
      <c r="F10060" t="str">
        <f>INDEX(Lists!I:I,MATCH(Validation!E10060,Lists!G:G,0))</f>
        <v>Alert</v>
      </c>
      <c r="G10060" t="str">
        <f>INDEX(Lists!H:H,MATCH(Validation!E10060,Lists!G:G,0))</f>
        <v>This parcel does not appear to be pledged to an outstanding in-district obligation.</v>
      </c>
      <c r="H10060" s="25" t="str">
        <f t="shared" ca="1" si="1116"/>
        <v/>
      </c>
      <c r="I10060" s="25" t="str">
        <f t="shared" ca="1" si="1117"/>
        <v/>
      </c>
      <c r="J10060" s="26" t="str">
        <f t="shared" si="1118"/>
        <v/>
      </c>
    </row>
    <row r="10061" spans="1:10" x14ac:dyDescent="0.25">
      <c r="A10061" t="s">
        <v>111</v>
      </c>
      <c r="B10061" t="str">
        <f>ADDRESS(ROW(Parcels!B488),COLUMN(Parcels!B1330),4)</f>
        <v>B488</v>
      </c>
      <c r="C10061" t="str">
        <f>ADDRESS(ROW(Parcels!D488),COLUMN(Parcels!D488),4)</f>
        <v>D488</v>
      </c>
      <c r="D10061" s="46" t="b">
        <f>IF(AND(Parcels!B488="Current",'Six-Yr Rule'!B489&lt;=Year_DestinationYearID),IF((SUMIFS('Bond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061" t="s">
        <v>1641</v>
      </c>
      <c r="F10061" t="str">
        <f>INDEX(Lists!I:I,MATCH(Validation!E10061,Lists!G:G,0))</f>
        <v>Alert</v>
      </c>
      <c r="G10061" t="str">
        <f>INDEX(Lists!H:H,MATCH(Validation!E10061,Lists!G:G,0))</f>
        <v>This parcel does not appear to be pledged to an outstanding in-district obligation.</v>
      </c>
      <c r="H10061" s="25" t="str">
        <f t="shared" ca="1" si="1116"/>
        <v/>
      </c>
      <c r="I10061" s="25" t="str">
        <f t="shared" ca="1" si="1117"/>
        <v/>
      </c>
      <c r="J10061" s="26" t="str">
        <f t="shared" si="1118"/>
        <v/>
      </c>
    </row>
    <row r="10062" spans="1:10" x14ac:dyDescent="0.25">
      <c r="A10062" t="s">
        <v>111</v>
      </c>
      <c r="B10062" t="str">
        <f>ADDRESS(ROW(Parcels!B489),COLUMN(Parcels!B1331),4)</f>
        <v>B489</v>
      </c>
      <c r="C10062" t="str">
        <f>ADDRESS(ROW(Parcels!D489),COLUMN(Parcels!D489),4)</f>
        <v>D489</v>
      </c>
      <c r="D10062" s="46" t="b">
        <f>IF(AND(Parcels!B489="Current",'Six-Yr Rule'!B490&lt;=Year_DestinationYearID),IF((SUMIFS('Bond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062" t="s">
        <v>1641</v>
      </c>
      <c r="F10062" t="str">
        <f>INDEX(Lists!I:I,MATCH(Validation!E10062,Lists!G:G,0))</f>
        <v>Alert</v>
      </c>
      <c r="G10062" t="str">
        <f>INDEX(Lists!H:H,MATCH(Validation!E10062,Lists!G:G,0))</f>
        <v>This parcel does not appear to be pledged to an outstanding in-district obligation.</v>
      </c>
      <c r="H10062" s="25" t="str">
        <f t="shared" ca="1" si="1116"/>
        <v/>
      </c>
      <c r="I10062" s="25" t="str">
        <f t="shared" ca="1" si="1117"/>
        <v/>
      </c>
      <c r="J10062" s="26" t="str">
        <f t="shared" si="1118"/>
        <v/>
      </c>
    </row>
    <row r="10063" spans="1:10" x14ac:dyDescent="0.25">
      <c r="A10063" t="s">
        <v>111</v>
      </c>
      <c r="B10063" t="str">
        <f>ADDRESS(ROW(Parcels!B490),COLUMN(Parcels!B1332),4)</f>
        <v>B490</v>
      </c>
      <c r="C10063" t="str">
        <f>ADDRESS(ROW(Parcels!D490),COLUMN(Parcels!D490),4)</f>
        <v>D490</v>
      </c>
      <c r="D10063" s="46" t="b">
        <f>IF(AND(Parcels!B490="Current",'Six-Yr Rule'!B491&lt;=Year_DestinationYearID),IF((SUMIFS('Bond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063" t="s">
        <v>1641</v>
      </c>
      <c r="F10063" t="str">
        <f>INDEX(Lists!I:I,MATCH(Validation!E10063,Lists!G:G,0))</f>
        <v>Alert</v>
      </c>
      <c r="G10063" t="str">
        <f>INDEX(Lists!H:H,MATCH(Validation!E10063,Lists!G:G,0))</f>
        <v>This parcel does not appear to be pledged to an outstanding in-district obligation.</v>
      </c>
      <c r="H10063" s="25" t="str">
        <f t="shared" ca="1" si="1116"/>
        <v/>
      </c>
      <c r="I10063" s="25" t="str">
        <f t="shared" ca="1" si="1117"/>
        <v/>
      </c>
      <c r="J10063" s="26" t="str">
        <f t="shared" si="1118"/>
        <v/>
      </c>
    </row>
    <row r="10064" spans="1:10" x14ac:dyDescent="0.25">
      <c r="A10064" t="s">
        <v>111</v>
      </c>
      <c r="B10064" t="str">
        <f>ADDRESS(ROW(Parcels!B491),COLUMN(Parcels!B1333),4)</f>
        <v>B491</v>
      </c>
      <c r="C10064" t="str">
        <f>ADDRESS(ROW(Parcels!D491),COLUMN(Parcels!D491),4)</f>
        <v>D491</v>
      </c>
      <c r="D10064" s="46" t="b">
        <f>IF(AND(Parcels!B491="Current",'Six-Yr Rule'!B492&lt;=Year_DestinationYearID),IF((SUMIFS('Bond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064" t="s">
        <v>1641</v>
      </c>
      <c r="F10064" t="str">
        <f>INDEX(Lists!I:I,MATCH(Validation!E10064,Lists!G:G,0))</f>
        <v>Alert</v>
      </c>
      <c r="G10064" t="str">
        <f>INDEX(Lists!H:H,MATCH(Validation!E10064,Lists!G:G,0))</f>
        <v>This parcel does not appear to be pledged to an outstanding in-district obligation.</v>
      </c>
      <c r="H10064" s="25" t="str">
        <f t="shared" ca="1" si="1116"/>
        <v/>
      </c>
      <c r="I10064" s="25" t="str">
        <f t="shared" ca="1" si="1117"/>
        <v/>
      </c>
      <c r="J10064" s="26" t="str">
        <f t="shared" si="1118"/>
        <v/>
      </c>
    </row>
    <row r="10065" spans="1:10" x14ac:dyDescent="0.25">
      <c r="A10065" t="s">
        <v>111</v>
      </c>
      <c r="B10065" t="str">
        <f>ADDRESS(ROW(Parcels!B492),COLUMN(Parcels!B1334),4)</f>
        <v>B492</v>
      </c>
      <c r="C10065" t="str">
        <f>ADDRESS(ROW(Parcels!D492),COLUMN(Parcels!D492),4)</f>
        <v>D492</v>
      </c>
      <c r="D10065" s="46" t="b">
        <f>IF(AND(Parcels!B492="Current",'Six-Yr Rule'!B493&lt;=Year_DestinationYearID),IF((SUMIFS('Bond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065" t="s">
        <v>1641</v>
      </c>
      <c r="F10065" t="str">
        <f>INDEX(Lists!I:I,MATCH(Validation!E10065,Lists!G:G,0))</f>
        <v>Alert</v>
      </c>
      <c r="G10065" t="str">
        <f>INDEX(Lists!H:H,MATCH(Validation!E10065,Lists!G:G,0))</f>
        <v>This parcel does not appear to be pledged to an outstanding in-district obligation.</v>
      </c>
      <c r="H10065" s="25" t="str">
        <f t="shared" ca="1" si="1116"/>
        <v/>
      </c>
      <c r="I10065" s="25" t="str">
        <f t="shared" ca="1" si="1117"/>
        <v/>
      </c>
      <c r="J10065" s="26" t="str">
        <f t="shared" si="1118"/>
        <v/>
      </c>
    </row>
    <row r="10066" spans="1:10" x14ac:dyDescent="0.25">
      <c r="A10066" t="s">
        <v>111</v>
      </c>
      <c r="B10066" t="str">
        <f>ADDRESS(ROW(Parcels!B493),COLUMN(Parcels!B1335),4)</f>
        <v>B493</v>
      </c>
      <c r="C10066" t="str">
        <f>ADDRESS(ROW(Parcels!D493),COLUMN(Parcels!D493),4)</f>
        <v>D493</v>
      </c>
      <c r="D10066" s="46" t="b">
        <f>IF(AND(Parcels!B493="Current",'Six-Yr Rule'!B494&lt;=Year_DestinationYearID),IF((SUMIFS('Bond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066" t="s">
        <v>1641</v>
      </c>
      <c r="F10066" t="str">
        <f>INDEX(Lists!I:I,MATCH(Validation!E10066,Lists!G:G,0))</f>
        <v>Alert</v>
      </c>
      <c r="G10066" t="str">
        <f>INDEX(Lists!H:H,MATCH(Validation!E10066,Lists!G:G,0))</f>
        <v>This parcel does not appear to be pledged to an outstanding in-district obligation.</v>
      </c>
      <c r="H10066" s="25" t="str">
        <f t="shared" ca="1" si="1116"/>
        <v/>
      </c>
      <c r="I10066" s="25" t="str">
        <f t="shared" ca="1" si="1117"/>
        <v/>
      </c>
      <c r="J10066" s="26" t="str">
        <f t="shared" si="1118"/>
        <v/>
      </c>
    </row>
    <row r="10067" spans="1:10" x14ac:dyDescent="0.25">
      <c r="A10067" t="s">
        <v>111</v>
      </c>
      <c r="B10067" t="str">
        <f>ADDRESS(ROW(Parcels!B494),COLUMN(Parcels!B1336),4)</f>
        <v>B494</v>
      </c>
      <c r="C10067" t="str">
        <f>ADDRESS(ROW(Parcels!D494),COLUMN(Parcels!D494),4)</f>
        <v>D494</v>
      </c>
      <c r="D10067" s="46" t="b">
        <f>IF(AND(Parcels!B494="Current",'Six-Yr Rule'!B495&lt;=Year_DestinationYearID),IF((SUMIFS('Bond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067" t="s">
        <v>1641</v>
      </c>
      <c r="F10067" t="str">
        <f>INDEX(Lists!I:I,MATCH(Validation!E10067,Lists!G:G,0))</f>
        <v>Alert</v>
      </c>
      <c r="G10067" t="str">
        <f>INDEX(Lists!H:H,MATCH(Validation!E10067,Lists!G:G,0))</f>
        <v>This parcel does not appear to be pledged to an outstanding in-district obligation.</v>
      </c>
      <c r="H10067" s="25" t="str">
        <f t="shared" ca="1" si="1116"/>
        <v/>
      </c>
      <c r="I10067" s="25" t="str">
        <f t="shared" ca="1" si="1117"/>
        <v/>
      </c>
      <c r="J10067" s="26" t="str">
        <f t="shared" si="1118"/>
        <v/>
      </c>
    </row>
    <row r="10068" spans="1:10" x14ac:dyDescent="0.25">
      <c r="A10068" t="s">
        <v>111</v>
      </c>
      <c r="B10068" t="str">
        <f>ADDRESS(ROW(Parcels!B495),COLUMN(Parcels!B1337),4)</f>
        <v>B495</v>
      </c>
      <c r="C10068" t="str">
        <f>ADDRESS(ROW(Parcels!D495),COLUMN(Parcels!D495),4)</f>
        <v>D495</v>
      </c>
      <c r="D10068" s="46" t="b">
        <f>IF(AND(Parcels!B495="Current",'Six-Yr Rule'!B496&lt;=Year_DestinationYearID),IF((SUMIFS('Bond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068" t="s">
        <v>1641</v>
      </c>
      <c r="F10068" t="str">
        <f>INDEX(Lists!I:I,MATCH(Validation!E10068,Lists!G:G,0))</f>
        <v>Alert</v>
      </c>
      <c r="G10068" t="str">
        <f>INDEX(Lists!H:H,MATCH(Validation!E10068,Lists!G:G,0))</f>
        <v>This parcel does not appear to be pledged to an outstanding in-district obligation.</v>
      </c>
      <c r="H10068" s="25" t="str">
        <f t="shared" ca="1" si="1116"/>
        <v/>
      </c>
      <c r="I10068" s="25" t="str">
        <f t="shared" ca="1" si="1117"/>
        <v/>
      </c>
      <c r="J10068" s="26" t="str">
        <f t="shared" si="1118"/>
        <v/>
      </c>
    </row>
    <row r="10069" spans="1:10" x14ac:dyDescent="0.25">
      <c r="A10069" t="s">
        <v>111</v>
      </c>
      <c r="B10069" t="str">
        <f>ADDRESS(ROW(Parcels!B496),COLUMN(Parcels!B1338),4)</f>
        <v>B496</v>
      </c>
      <c r="C10069" t="str">
        <f>ADDRESS(ROW(Parcels!D496),COLUMN(Parcels!D496),4)</f>
        <v>D496</v>
      </c>
      <c r="D10069" s="46" t="b">
        <f>IF(AND(Parcels!B496="Current",'Six-Yr Rule'!B497&lt;=Year_DestinationYearID),IF((SUMIFS('Bond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069" t="s">
        <v>1641</v>
      </c>
      <c r="F10069" t="str">
        <f>INDEX(Lists!I:I,MATCH(Validation!E10069,Lists!G:G,0))</f>
        <v>Alert</v>
      </c>
      <c r="G10069" t="str">
        <f>INDEX(Lists!H:H,MATCH(Validation!E10069,Lists!G:G,0))</f>
        <v>This parcel does not appear to be pledged to an outstanding in-district obligation.</v>
      </c>
      <c r="H10069" s="25" t="str">
        <f t="shared" ca="1" si="1116"/>
        <v/>
      </c>
      <c r="I10069" s="25" t="str">
        <f t="shared" ca="1" si="1117"/>
        <v/>
      </c>
      <c r="J10069" s="26" t="str">
        <f t="shared" si="1118"/>
        <v/>
      </c>
    </row>
    <row r="10070" spans="1:10" x14ac:dyDescent="0.25">
      <c r="A10070" t="s">
        <v>111</v>
      </c>
      <c r="B10070" t="str">
        <f>ADDRESS(ROW(Parcels!B497),COLUMN(Parcels!B1339),4)</f>
        <v>B497</v>
      </c>
      <c r="C10070" t="str">
        <f>ADDRESS(ROW(Parcels!D497),COLUMN(Parcels!D497),4)</f>
        <v>D497</v>
      </c>
      <c r="D10070" s="46" t="b">
        <f>IF(AND(Parcels!B497="Current",'Six-Yr Rule'!B498&lt;=Year_DestinationYearID),IF((SUMIFS('Bond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070" t="s">
        <v>1641</v>
      </c>
      <c r="F10070" t="str">
        <f>INDEX(Lists!I:I,MATCH(Validation!E10070,Lists!G:G,0))</f>
        <v>Alert</v>
      </c>
      <c r="G10070" t="str">
        <f>INDEX(Lists!H:H,MATCH(Validation!E10070,Lists!G:G,0))</f>
        <v>This parcel does not appear to be pledged to an outstanding in-district obligation.</v>
      </c>
      <c r="H10070" s="25" t="str">
        <f t="shared" ca="1" si="1116"/>
        <v/>
      </c>
      <c r="I10070" s="25" t="str">
        <f t="shared" ca="1" si="1117"/>
        <v/>
      </c>
      <c r="J10070" s="26" t="str">
        <f t="shared" si="1118"/>
        <v/>
      </c>
    </row>
    <row r="10071" spans="1:10" x14ac:dyDescent="0.25">
      <c r="A10071" t="s">
        <v>111</v>
      </c>
      <c r="B10071" t="str">
        <f>ADDRESS(ROW(Parcels!B498),COLUMN(Parcels!B1340),4)</f>
        <v>B498</v>
      </c>
      <c r="C10071" t="str">
        <f>ADDRESS(ROW(Parcels!D498),COLUMN(Parcels!D498),4)</f>
        <v>D498</v>
      </c>
      <c r="D10071" s="46" t="b">
        <f>IF(AND(Parcels!B498="Current",'Six-Yr Rule'!B499&lt;=Year_DestinationYearID),IF((SUMIFS('Bond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071" t="s">
        <v>1641</v>
      </c>
      <c r="F10071" t="str">
        <f>INDEX(Lists!I:I,MATCH(Validation!E10071,Lists!G:G,0))</f>
        <v>Alert</v>
      </c>
      <c r="G10071" t="str">
        <f>INDEX(Lists!H:H,MATCH(Validation!E10071,Lists!G:G,0))</f>
        <v>This parcel does not appear to be pledged to an outstanding in-district obligation.</v>
      </c>
      <c r="H10071" s="25" t="str">
        <f t="shared" ca="1" si="1116"/>
        <v/>
      </c>
      <c r="I10071" s="25" t="str">
        <f t="shared" ca="1" si="1117"/>
        <v/>
      </c>
      <c r="J10071" s="26" t="str">
        <f t="shared" si="1118"/>
        <v/>
      </c>
    </row>
    <row r="10072" spans="1:10" x14ac:dyDescent="0.25">
      <c r="A10072" t="s">
        <v>111</v>
      </c>
      <c r="B10072" t="str">
        <f>ADDRESS(ROW(Parcels!B499),COLUMN(Parcels!B1341),4)</f>
        <v>B499</v>
      </c>
      <c r="C10072" t="str">
        <f>ADDRESS(ROW(Parcels!D499),COLUMN(Parcels!D499),4)</f>
        <v>D499</v>
      </c>
      <c r="D10072" s="46" t="b">
        <f>IF(AND(Parcels!B499="Current",'Six-Yr Rule'!B500&lt;=Year_DestinationYearID),IF((SUMIFS('Bond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072" t="s">
        <v>1641</v>
      </c>
      <c r="F10072" t="str">
        <f>INDEX(Lists!I:I,MATCH(Validation!E10072,Lists!G:G,0))</f>
        <v>Alert</v>
      </c>
      <c r="G10072" t="str">
        <f>INDEX(Lists!H:H,MATCH(Validation!E10072,Lists!G:G,0))</f>
        <v>This parcel does not appear to be pledged to an outstanding in-district obligation.</v>
      </c>
      <c r="H10072" s="25" t="str">
        <f t="shared" ca="1" si="1116"/>
        <v/>
      </c>
      <c r="I10072" s="25" t="str">
        <f t="shared" ca="1" si="1117"/>
        <v/>
      </c>
      <c r="J10072" s="26" t="str">
        <f t="shared" si="1118"/>
        <v/>
      </c>
    </row>
    <row r="10073" spans="1:10" x14ac:dyDescent="0.25">
      <c r="A10073" t="s">
        <v>111</v>
      </c>
      <c r="B10073" t="str">
        <f>ADDRESS(ROW(Parcels!B500),COLUMN(Parcels!B1342),4)</f>
        <v>B500</v>
      </c>
      <c r="C10073" t="str">
        <f>ADDRESS(ROW(Parcels!D500),COLUMN(Parcels!D500),4)</f>
        <v>D500</v>
      </c>
      <c r="D10073" s="46" t="b">
        <f>IF(AND(Parcels!B500="Current",'Six-Yr Rule'!B501&lt;=Year_DestinationYearID),IF((SUMIFS('Bond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073" t="s">
        <v>1641</v>
      </c>
      <c r="F10073" t="str">
        <f>INDEX(Lists!I:I,MATCH(Validation!E10073,Lists!G:G,0))</f>
        <v>Alert</v>
      </c>
      <c r="G10073" t="str">
        <f>INDEX(Lists!H:H,MATCH(Validation!E10073,Lists!G:G,0))</f>
        <v>This parcel does not appear to be pledged to an outstanding in-district obligation.</v>
      </c>
      <c r="H10073" s="25" t="str">
        <f t="shared" ca="1" si="1116"/>
        <v/>
      </c>
      <c r="I10073" s="25" t="str">
        <f t="shared" ca="1" si="1117"/>
        <v/>
      </c>
      <c r="J10073" s="26" t="str">
        <f t="shared" si="1118"/>
        <v/>
      </c>
    </row>
    <row r="10074" spans="1:10" x14ac:dyDescent="0.25">
      <c r="A10074" t="s">
        <v>111</v>
      </c>
      <c r="B10074" t="str">
        <f>ADDRESS(ROW(Parcels!B501),COLUMN(Parcels!B1343),4)</f>
        <v>B501</v>
      </c>
      <c r="C10074" t="str">
        <f>ADDRESS(ROW(Parcels!D501),COLUMN(Parcels!D501),4)</f>
        <v>D501</v>
      </c>
      <c r="D10074" s="46" t="b">
        <f>IF(AND(Parcels!B501="Current",'Six-Yr Rule'!B502&lt;=Year_DestinationYearID),IF((SUMIFS('Bond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074" t="s">
        <v>1641</v>
      </c>
      <c r="F10074" t="str">
        <f>INDEX(Lists!I:I,MATCH(Validation!E10074,Lists!G:G,0))</f>
        <v>Alert</v>
      </c>
      <c r="G10074" t="str">
        <f>INDEX(Lists!H:H,MATCH(Validation!E10074,Lists!G:G,0))</f>
        <v>This parcel does not appear to be pledged to an outstanding in-district obligation.</v>
      </c>
      <c r="H10074" s="25" t="str">
        <f t="shared" ca="1" si="1116"/>
        <v/>
      </c>
      <c r="I10074" s="25" t="str">
        <f t="shared" ca="1" si="1117"/>
        <v/>
      </c>
      <c r="J10074" s="26" t="str">
        <f t="shared" si="1118"/>
        <v/>
      </c>
    </row>
    <row r="10075" spans="1:10" x14ac:dyDescent="0.25">
      <c r="A10075" t="s">
        <v>111</v>
      </c>
      <c r="B10075" t="str">
        <f>ADDRESS(ROW(Parcels!B502),COLUMN(Parcels!B1344),4)</f>
        <v>B502</v>
      </c>
      <c r="C10075" t="str">
        <f>ADDRESS(ROW(Parcels!D502),COLUMN(Parcels!D502),4)</f>
        <v>D502</v>
      </c>
      <c r="D10075" s="46" t="b">
        <f>IF(AND(Parcels!B502="Current",'Six-Yr Rule'!B503&lt;=Year_DestinationYearID),IF((SUMIFS('Bond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075" t="s">
        <v>1641</v>
      </c>
      <c r="F10075" t="str">
        <f>INDEX(Lists!I:I,MATCH(Validation!E10075,Lists!G:G,0))</f>
        <v>Alert</v>
      </c>
      <c r="G10075" t="str">
        <f>INDEX(Lists!H:H,MATCH(Validation!E10075,Lists!G:G,0))</f>
        <v>This parcel does not appear to be pledged to an outstanding in-district obligation.</v>
      </c>
      <c r="H10075" s="25" t="str">
        <f t="shared" ca="1" si="1116"/>
        <v/>
      </c>
      <c r="I10075" s="25" t="str">
        <f t="shared" ca="1" si="1117"/>
        <v/>
      </c>
      <c r="J10075" s="26" t="str">
        <f t="shared" si="1118"/>
        <v/>
      </c>
    </row>
    <row r="10076" spans="1:10" x14ac:dyDescent="0.25">
      <c r="A10076" t="s">
        <v>111</v>
      </c>
      <c r="B10076" t="str">
        <f>ADDRESS(ROW(Parcels!B503),COLUMN(Parcels!B1345),4)</f>
        <v>B503</v>
      </c>
      <c r="C10076" t="str">
        <f>ADDRESS(ROW(Parcels!D503),COLUMN(Parcels!D503),4)</f>
        <v>D503</v>
      </c>
      <c r="D10076" s="46" t="b">
        <f>IF(AND(Parcels!B503="Current",'Six-Yr Rule'!B504&lt;=Year_DestinationYearID),IF((SUMIFS('Bond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076" t="s">
        <v>1641</v>
      </c>
      <c r="F10076" t="str">
        <f>INDEX(Lists!I:I,MATCH(Validation!E10076,Lists!G:G,0))</f>
        <v>Alert</v>
      </c>
      <c r="G10076" t="str">
        <f>INDEX(Lists!H:H,MATCH(Validation!E10076,Lists!G:G,0))</f>
        <v>This parcel does not appear to be pledged to an outstanding in-district obligation.</v>
      </c>
      <c r="H10076" s="25" t="str">
        <f t="shared" ca="1" si="1116"/>
        <v/>
      </c>
      <c r="I10076" s="25" t="str">
        <f t="shared" ca="1" si="1117"/>
        <v/>
      </c>
      <c r="J10076" s="26" t="str">
        <f t="shared" si="1118"/>
        <v/>
      </c>
    </row>
    <row r="10077" spans="1:10" x14ac:dyDescent="0.25">
      <c r="A10077" t="s">
        <v>111</v>
      </c>
      <c r="B10077" t="str">
        <f>ADDRESS(ROW(Parcels!B504),COLUMN(Parcels!B1346),4)</f>
        <v>B504</v>
      </c>
      <c r="C10077" t="str">
        <f>ADDRESS(ROW(Parcels!D504),COLUMN(Parcels!D504),4)</f>
        <v>D504</v>
      </c>
      <c r="D10077" s="46" t="b">
        <f>IF(AND(Parcels!B504="Current",'Six-Yr Rule'!B505&lt;=Year_DestinationYearID),IF((SUMIFS('Bond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077" t="s">
        <v>1641</v>
      </c>
      <c r="F10077" t="str">
        <f>INDEX(Lists!I:I,MATCH(Validation!E10077,Lists!G:G,0))</f>
        <v>Alert</v>
      </c>
      <c r="G10077" t="str">
        <f>INDEX(Lists!H:H,MATCH(Validation!E10077,Lists!G:G,0))</f>
        <v>This parcel does not appear to be pledged to an outstanding in-district obligation.</v>
      </c>
      <c r="H10077" s="25" t="str">
        <f t="shared" ca="1" si="1116"/>
        <v/>
      </c>
      <c r="I10077" s="25" t="str">
        <f t="shared" ca="1" si="1117"/>
        <v/>
      </c>
      <c r="J10077" s="26" t="str">
        <f t="shared" si="1118"/>
        <v/>
      </c>
    </row>
    <row r="10078" spans="1:10" x14ac:dyDescent="0.25">
      <c r="A10078" t="s">
        <v>111</v>
      </c>
      <c r="B10078" t="str">
        <f>ADDRESS(ROW(Parcels!B505),COLUMN(Parcels!B1347),4)</f>
        <v>B505</v>
      </c>
      <c r="C10078" t="str">
        <f>ADDRESS(ROW(Parcels!D505),COLUMN(Parcels!D505),4)</f>
        <v>D505</v>
      </c>
      <c r="D10078" s="46" t="b">
        <f>IF(AND(Parcels!B505="Current",'Six-Yr Rule'!B506&lt;=Year_DestinationYearID),IF((SUMIFS('Bond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078" t="s">
        <v>1641</v>
      </c>
      <c r="F10078" t="str">
        <f>INDEX(Lists!I:I,MATCH(Validation!E10078,Lists!G:G,0))</f>
        <v>Alert</v>
      </c>
      <c r="G10078" t="str">
        <f>INDEX(Lists!H:H,MATCH(Validation!E10078,Lists!G:G,0))</f>
        <v>This parcel does not appear to be pledged to an outstanding in-district obligation.</v>
      </c>
      <c r="H10078" s="25" t="str">
        <f t="shared" ca="1" si="1116"/>
        <v/>
      </c>
      <c r="I10078" s="25" t="str">
        <f t="shared" ca="1" si="1117"/>
        <v/>
      </c>
      <c r="J10078" s="26" t="str">
        <f t="shared" si="1118"/>
        <v/>
      </c>
    </row>
    <row r="10079" spans="1:10" x14ac:dyDescent="0.25">
      <c r="A10079" t="s">
        <v>111</v>
      </c>
      <c r="B10079" t="str">
        <f>ADDRESS(ROW(Parcels!B506),COLUMN(Parcels!B1348),4)</f>
        <v>B506</v>
      </c>
      <c r="C10079" t="str">
        <f>ADDRESS(ROW(Parcels!D506),COLUMN(Parcels!D506),4)</f>
        <v>D506</v>
      </c>
      <c r="D10079" s="46" t="b">
        <f>IF(AND(Parcels!B506="Current",'Six-Yr Rule'!B507&lt;=Year_DestinationYearID),IF((SUMIFS('Bond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079" t="s">
        <v>1641</v>
      </c>
      <c r="F10079" t="str">
        <f>INDEX(Lists!I:I,MATCH(Validation!E10079,Lists!G:G,0))</f>
        <v>Alert</v>
      </c>
      <c r="G10079" t="str">
        <f>INDEX(Lists!H:H,MATCH(Validation!E10079,Lists!G:G,0))</f>
        <v>This parcel does not appear to be pledged to an outstanding in-district obligation.</v>
      </c>
      <c r="H10079" s="25" t="str">
        <f t="shared" ca="1" si="1116"/>
        <v/>
      </c>
      <c r="I10079" s="25" t="str">
        <f t="shared" ca="1" si="1117"/>
        <v/>
      </c>
      <c r="J10079" s="26" t="str">
        <f t="shared" si="1118"/>
        <v/>
      </c>
    </row>
    <row r="10080" spans="1:10" x14ac:dyDescent="0.25">
      <c r="A10080" t="s">
        <v>111</v>
      </c>
      <c r="B10080" t="str">
        <f>ADDRESS(ROW(Parcels!B507),COLUMN(Parcels!B1349),4)</f>
        <v>B507</v>
      </c>
      <c r="C10080" t="str">
        <f>ADDRESS(ROW(Parcels!D507),COLUMN(Parcels!D507),4)</f>
        <v>D507</v>
      </c>
      <c r="D10080" s="46" t="b">
        <f>IF(AND(Parcels!B507="Current",'Six-Yr Rule'!B508&lt;=Year_DestinationYearID),IF((SUMIFS('Bond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080" t="s">
        <v>1641</v>
      </c>
      <c r="F10080" t="str">
        <f>INDEX(Lists!I:I,MATCH(Validation!E10080,Lists!G:G,0))</f>
        <v>Alert</v>
      </c>
      <c r="G10080" t="str">
        <f>INDEX(Lists!H:H,MATCH(Validation!E10080,Lists!G:G,0))</f>
        <v>This parcel does not appear to be pledged to an outstanding in-district obligation.</v>
      </c>
      <c r="H10080" s="25" t="str">
        <f t="shared" ca="1" si="1116"/>
        <v/>
      </c>
      <c r="I10080" s="25" t="str">
        <f t="shared" ca="1" si="1117"/>
        <v/>
      </c>
      <c r="J10080" s="26" t="str">
        <f t="shared" si="1118"/>
        <v/>
      </c>
    </row>
    <row r="10081" spans="1:10" x14ac:dyDescent="0.25">
      <c r="A10081" t="s">
        <v>111</v>
      </c>
      <c r="B10081" t="str">
        <f>ADDRESS(ROW(Parcels!B508),COLUMN(Parcels!B1350),4)</f>
        <v>B508</v>
      </c>
      <c r="C10081" t="str">
        <f>ADDRESS(ROW(Parcels!D508),COLUMN(Parcels!D508),4)</f>
        <v>D508</v>
      </c>
      <c r="D10081" s="46" t="b">
        <f>IF(AND(Parcels!B508="Current",'Six-Yr Rule'!B509&lt;=Year_DestinationYearID),IF((SUMIFS('Bond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081" t="s">
        <v>1641</v>
      </c>
      <c r="F10081" t="str">
        <f>INDEX(Lists!I:I,MATCH(Validation!E10081,Lists!G:G,0))</f>
        <v>Alert</v>
      </c>
      <c r="G10081" t="str">
        <f>INDEX(Lists!H:H,MATCH(Validation!E10081,Lists!G:G,0))</f>
        <v>This parcel does not appear to be pledged to an outstanding in-district obligation.</v>
      </c>
      <c r="H10081" s="25" t="str">
        <f t="shared" ca="1" si="1116"/>
        <v/>
      </c>
      <c r="I10081" s="25" t="str">
        <f t="shared" ca="1" si="1117"/>
        <v/>
      </c>
      <c r="J10081" s="26" t="str">
        <f t="shared" si="1118"/>
        <v/>
      </c>
    </row>
    <row r="10082" spans="1:10" x14ac:dyDescent="0.25">
      <c r="A10082" t="s">
        <v>111</v>
      </c>
      <c r="B10082" t="str">
        <f>ADDRESS(ROW(Parcels!B509),COLUMN(Parcels!B1351),4)</f>
        <v>B509</v>
      </c>
      <c r="C10082" t="str">
        <f>ADDRESS(ROW(Parcels!D509),COLUMN(Parcels!D509),4)</f>
        <v>D509</v>
      </c>
      <c r="D10082" s="46" t="b">
        <f>IF(AND(Parcels!B509="Current",'Six-Yr Rule'!B510&lt;=Year_DestinationYearID),IF((SUMIFS('Bond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082" t="s">
        <v>1641</v>
      </c>
      <c r="F10082" t="str">
        <f>INDEX(Lists!I:I,MATCH(Validation!E10082,Lists!G:G,0))</f>
        <v>Alert</v>
      </c>
      <c r="G10082" t="str">
        <f>INDEX(Lists!H:H,MATCH(Validation!E10082,Lists!G:G,0))</f>
        <v>This parcel does not appear to be pledged to an outstanding in-district obligation.</v>
      </c>
      <c r="H10082" s="25" t="str">
        <f t="shared" ca="1" si="1116"/>
        <v/>
      </c>
      <c r="I10082" s="25" t="str">
        <f t="shared" ca="1" si="1117"/>
        <v/>
      </c>
      <c r="J10082" s="26" t="str">
        <f t="shared" si="1118"/>
        <v/>
      </c>
    </row>
    <row r="10083" spans="1:10" x14ac:dyDescent="0.25">
      <c r="A10083" t="s">
        <v>111</v>
      </c>
      <c r="B10083" t="str">
        <f>ADDRESS(ROW(Parcels!B510),COLUMN(Parcels!B1352),4)</f>
        <v>B510</v>
      </c>
      <c r="C10083" t="str">
        <f>ADDRESS(ROW(Parcels!D510),COLUMN(Parcels!D510),4)</f>
        <v>D510</v>
      </c>
      <c r="D10083" s="46" t="b">
        <f>IF(AND(Parcels!B510="Current",'Six-Yr Rule'!B511&lt;=Year_DestinationYearID),IF((SUMIFS('Bond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083" t="s">
        <v>1641</v>
      </c>
      <c r="F10083" t="str">
        <f>INDEX(Lists!I:I,MATCH(Validation!E10083,Lists!G:G,0))</f>
        <v>Alert</v>
      </c>
      <c r="G10083" t="str">
        <f>INDEX(Lists!H:H,MATCH(Validation!E10083,Lists!G:G,0))</f>
        <v>This parcel does not appear to be pledged to an outstanding in-district obligation.</v>
      </c>
      <c r="H10083" s="25" t="str">
        <f t="shared" ca="1" si="1116"/>
        <v/>
      </c>
      <c r="I10083" s="25" t="str">
        <f t="shared" ca="1" si="1117"/>
        <v/>
      </c>
      <c r="J10083" s="26" t="str">
        <f t="shared" si="1118"/>
        <v/>
      </c>
    </row>
    <row r="10084" spans="1:10" x14ac:dyDescent="0.25">
      <c r="A10084" t="s">
        <v>111</v>
      </c>
      <c r="B10084" t="str">
        <f>ADDRESS(ROW(Parcels!B511),COLUMN(Parcels!B1353),4)</f>
        <v>B511</v>
      </c>
      <c r="C10084" t="str">
        <f>ADDRESS(ROW(Parcels!D511),COLUMN(Parcels!D511),4)</f>
        <v>D511</v>
      </c>
      <c r="D10084" s="46" t="b">
        <f>IF(AND(Parcels!B511="Current",'Six-Yr Rule'!B512&lt;=Year_DestinationYearID),IF((SUMIFS('Bond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084" t="s">
        <v>1641</v>
      </c>
      <c r="F10084" t="str">
        <f>INDEX(Lists!I:I,MATCH(Validation!E10084,Lists!G:G,0))</f>
        <v>Alert</v>
      </c>
      <c r="G10084" t="str">
        <f>INDEX(Lists!H:H,MATCH(Validation!E10084,Lists!G:G,0))</f>
        <v>This parcel does not appear to be pledged to an outstanding in-district obligation.</v>
      </c>
      <c r="H10084" s="25" t="str">
        <f t="shared" ca="1" si="1116"/>
        <v/>
      </c>
      <c r="I10084" s="25" t="str">
        <f t="shared" ca="1" si="1117"/>
        <v/>
      </c>
      <c r="J10084" s="26" t="str">
        <f t="shared" si="1118"/>
        <v/>
      </c>
    </row>
    <row r="10085" spans="1:10" x14ac:dyDescent="0.25">
      <c r="A10085" t="s">
        <v>111</v>
      </c>
      <c r="B10085" t="str">
        <f>ADDRESS(ROW(Parcels!B512),COLUMN(Parcels!B1354),4)</f>
        <v>B512</v>
      </c>
      <c r="C10085" t="str">
        <f>ADDRESS(ROW(Parcels!D512),COLUMN(Parcels!D512),4)</f>
        <v>D512</v>
      </c>
      <c r="D10085" s="46" t="b">
        <f>IF(AND(Parcels!B512="Current",'Six-Yr Rule'!B513&lt;=Year_DestinationYearID),IF((SUMIFS('Bond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085" t="s">
        <v>1641</v>
      </c>
      <c r="F10085" t="str">
        <f>INDEX(Lists!I:I,MATCH(Validation!E10085,Lists!G:G,0))</f>
        <v>Alert</v>
      </c>
      <c r="G10085" t="str">
        <f>INDEX(Lists!H:H,MATCH(Validation!E10085,Lists!G:G,0))</f>
        <v>This parcel does not appear to be pledged to an outstanding in-district obligation.</v>
      </c>
      <c r="H10085" s="25" t="str">
        <f t="shared" ca="1" si="1116"/>
        <v/>
      </c>
      <c r="I10085" s="25" t="str">
        <f t="shared" ca="1" si="1117"/>
        <v/>
      </c>
      <c r="J10085" s="26" t="str">
        <f t="shared" si="1118"/>
        <v/>
      </c>
    </row>
    <row r="10086" spans="1:10" x14ac:dyDescent="0.25">
      <c r="A10086" t="s">
        <v>111</v>
      </c>
      <c r="B10086" t="str">
        <f>ADDRESS(ROW(Parcels!B513),COLUMN(Parcels!B1355),4)</f>
        <v>B513</v>
      </c>
      <c r="C10086" t="str">
        <f>ADDRESS(ROW(Parcels!D513),COLUMN(Parcels!D513),4)</f>
        <v>D513</v>
      </c>
      <c r="D10086" s="46" t="b">
        <f>IF(AND(Parcels!B513="Current",'Six-Yr Rule'!B514&lt;=Year_DestinationYearID),IF((SUMIFS('Bond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086" t="s">
        <v>1641</v>
      </c>
      <c r="F10086" t="str">
        <f>INDEX(Lists!I:I,MATCH(Validation!E10086,Lists!G:G,0))</f>
        <v>Alert</v>
      </c>
      <c r="G10086" t="str">
        <f>INDEX(Lists!H:H,MATCH(Validation!E10086,Lists!G:G,0))</f>
        <v>This parcel does not appear to be pledged to an outstanding in-district obligation.</v>
      </c>
      <c r="H10086" s="25" t="str">
        <f t="shared" ca="1" si="1116"/>
        <v/>
      </c>
      <c r="I10086" s="25" t="str">
        <f t="shared" ca="1" si="1117"/>
        <v/>
      </c>
      <c r="J10086" s="26" t="str">
        <f t="shared" si="1118"/>
        <v/>
      </c>
    </row>
    <row r="10087" spans="1:10" x14ac:dyDescent="0.25">
      <c r="A10087" t="s">
        <v>111</v>
      </c>
      <c r="B10087" t="str">
        <f>ADDRESS(ROW(Parcels!B514),COLUMN(Parcels!B1356),4)</f>
        <v>B514</v>
      </c>
      <c r="C10087" t="str">
        <f>ADDRESS(ROW(Parcels!D514),COLUMN(Parcels!D514),4)</f>
        <v>D514</v>
      </c>
      <c r="D10087" s="46" t="b">
        <f>IF(AND(Parcels!B514="Current",'Six-Yr Rule'!B515&lt;=Year_DestinationYearID),IF((SUMIFS('Bond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087" t="s">
        <v>1641</v>
      </c>
      <c r="F10087" t="str">
        <f>INDEX(Lists!I:I,MATCH(Validation!E10087,Lists!G:G,0))</f>
        <v>Alert</v>
      </c>
      <c r="G10087" t="str">
        <f>INDEX(Lists!H:H,MATCH(Validation!E10087,Lists!G:G,0))</f>
        <v>This parcel does not appear to be pledged to an outstanding in-district obligation.</v>
      </c>
      <c r="H10087" s="25" t="str">
        <f t="shared" ca="1" si="1116"/>
        <v/>
      </c>
      <c r="I10087" s="25" t="str">
        <f t="shared" ca="1" si="1117"/>
        <v/>
      </c>
      <c r="J10087" s="26" t="str">
        <f t="shared" si="1118"/>
        <v/>
      </c>
    </row>
    <row r="10088" spans="1:10" x14ac:dyDescent="0.25">
      <c r="A10088" t="s">
        <v>111</v>
      </c>
      <c r="B10088" t="str">
        <f>ADDRESS(ROW(Parcels!B515),COLUMN(Parcels!B1357),4)</f>
        <v>B515</v>
      </c>
      <c r="C10088" t="str">
        <f>ADDRESS(ROW(Parcels!D515),COLUMN(Parcels!D515),4)</f>
        <v>D515</v>
      </c>
      <c r="D10088" s="46" t="b">
        <f>IF(AND(Parcels!B515="Current",'Six-Yr Rule'!B516&lt;=Year_DestinationYearID),IF((SUMIFS('Bond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088" t="s">
        <v>1641</v>
      </c>
      <c r="F10088" t="str">
        <f>INDEX(Lists!I:I,MATCH(Validation!E10088,Lists!G:G,0))</f>
        <v>Alert</v>
      </c>
      <c r="G10088" t="str">
        <f>INDEX(Lists!H:H,MATCH(Validation!E10088,Lists!G:G,0))</f>
        <v>This parcel does not appear to be pledged to an outstanding in-district obligation.</v>
      </c>
      <c r="H10088" s="25" t="str">
        <f t="shared" ca="1" si="1116"/>
        <v/>
      </c>
      <c r="I10088" s="25" t="str">
        <f t="shared" ca="1" si="1117"/>
        <v/>
      </c>
      <c r="J10088" s="26" t="str">
        <f t="shared" si="1118"/>
        <v/>
      </c>
    </row>
    <row r="10089" spans="1:10" x14ac:dyDescent="0.25">
      <c r="A10089" t="s">
        <v>111</v>
      </c>
      <c r="B10089" t="str">
        <f>ADDRESS(ROW(Parcels!B516),COLUMN(Parcels!B1358),4)</f>
        <v>B516</v>
      </c>
      <c r="C10089" t="str">
        <f>ADDRESS(ROW(Parcels!D516),COLUMN(Parcels!D516),4)</f>
        <v>D516</v>
      </c>
      <c r="D10089" s="46" t="b">
        <f>IF(AND(Parcels!B516="Current",'Six-Yr Rule'!B517&lt;=Year_DestinationYearID),IF((SUMIFS('Bond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089" t="s">
        <v>1641</v>
      </c>
      <c r="F10089" t="str">
        <f>INDEX(Lists!I:I,MATCH(Validation!E10089,Lists!G:G,0))</f>
        <v>Alert</v>
      </c>
      <c r="G10089" t="str">
        <f>INDEX(Lists!H:H,MATCH(Validation!E10089,Lists!G:G,0))</f>
        <v>This parcel does not appear to be pledged to an outstanding in-district obligation.</v>
      </c>
      <c r="H10089" s="25" t="str">
        <f t="shared" ca="1" si="1116"/>
        <v/>
      </c>
      <c r="I10089" s="25" t="str">
        <f t="shared" ca="1" si="1117"/>
        <v/>
      </c>
      <c r="J10089" s="26" t="str">
        <f t="shared" si="1118"/>
        <v/>
      </c>
    </row>
    <row r="10090" spans="1:10" x14ac:dyDescent="0.25">
      <c r="A10090" t="s">
        <v>111</v>
      </c>
      <c r="B10090" t="str">
        <f>ADDRESS(ROW(Parcels!B517),COLUMN(Parcels!B1359),4)</f>
        <v>B517</v>
      </c>
      <c r="C10090" t="str">
        <f>ADDRESS(ROW(Parcels!D517),COLUMN(Parcels!D517),4)</f>
        <v>D517</v>
      </c>
      <c r="D10090" s="46" t="b">
        <f>IF(AND(Parcels!B517="Current",'Six-Yr Rule'!B518&lt;=Year_DestinationYearID),IF((SUMIFS('Bond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090" t="s">
        <v>1641</v>
      </c>
      <c r="F10090" t="str">
        <f>INDEX(Lists!I:I,MATCH(Validation!E10090,Lists!G:G,0))</f>
        <v>Alert</v>
      </c>
      <c r="G10090" t="str">
        <f>INDEX(Lists!H:H,MATCH(Validation!E10090,Lists!G:G,0))</f>
        <v>This parcel does not appear to be pledged to an outstanding in-district obligation.</v>
      </c>
      <c r="H10090" s="25" t="str">
        <f t="shared" ca="1" si="1116"/>
        <v/>
      </c>
      <c r="I10090" s="25" t="str">
        <f t="shared" ca="1" si="1117"/>
        <v/>
      </c>
      <c r="J10090" s="26" t="str">
        <f t="shared" si="1118"/>
        <v/>
      </c>
    </row>
    <row r="10091" spans="1:10" x14ac:dyDescent="0.25">
      <c r="A10091" t="s">
        <v>111</v>
      </c>
      <c r="B10091" t="str">
        <f>ADDRESS(ROW(Parcels!B518),COLUMN(Parcels!B1360),4)</f>
        <v>B518</v>
      </c>
      <c r="C10091" t="str">
        <f>ADDRESS(ROW(Parcels!D518),COLUMN(Parcels!D518),4)</f>
        <v>D518</v>
      </c>
      <c r="D10091" s="46" t="b">
        <f>IF(AND(Parcels!B518="Current",'Six-Yr Rule'!B519&lt;=Year_DestinationYearID),IF((SUMIFS('Bond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091" t="s">
        <v>1641</v>
      </c>
      <c r="F10091" t="str">
        <f>INDEX(Lists!I:I,MATCH(Validation!E10091,Lists!G:G,0))</f>
        <v>Alert</v>
      </c>
      <c r="G10091" t="str">
        <f>INDEX(Lists!H:H,MATCH(Validation!E10091,Lists!G:G,0))</f>
        <v>This parcel does not appear to be pledged to an outstanding in-district obligation.</v>
      </c>
      <c r="H10091" s="25" t="str">
        <f t="shared" ca="1" si="1116"/>
        <v/>
      </c>
      <c r="I10091" s="25" t="str">
        <f t="shared" ca="1" si="1117"/>
        <v/>
      </c>
      <c r="J10091" s="26" t="str">
        <f t="shared" si="1118"/>
        <v/>
      </c>
    </row>
    <row r="10092" spans="1:10" x14ac:dyDescent="0.25">
      <c r="A10092" t="s">
        <v>111</v>
      </c>
      <c r="B10092" t="str">
        <f>ADDRESS(ROW(Parcels!B519),COLUMN(Parcels!B1361),4)</f>
        <v>B519</v>
      </c>
      <c r="C10092" t="str">
        <f>ADDRESS(ROW(Parcels!D519),COLUMN(Parcels!D519),4)</f>
        <v>D519</v>
      </c>
      <c r="D10092" s="46" t="b">
        <f>IF(AND(Parcels!B519="Current",'Six-Yr Rule'!B520&lt;=Year_DestinationYearID),IF((SUMIFS('Bond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092" t="s">
        <v>1641</v>
      </c>
      <c r="F10092" t="str">
        <f>INDEX(Lists!I:I,MATCH(Validation!E10092,Lists!G:G,0))</f>
        <v>Alert</v>
      </c>
      <c r="G10092" t="str">
        <f>INDEX(Lists!H:H,MATCH(Validation!E10092,Lists!G:G,0))</f>
        <v>This parcel does not appear to be pledged to an outstanding in-district obligation.</v>
      </c>
      <c r="H10092" s="25" t="str">
        <f t="shared" ca="1" si="1116"/>
        <v/>
      </c>
      <c r="I10092" s="25" t="str">
        <f t="shared" ca="1" si="1117"/>
        <v/>
      </c>
      <c r="J10092" s="26" t="str">
        <f t="shared" si="1118"/>
        <v/>
      </c>
    </row>
    <row r="10093" spans="1:10" x14ac:dyDescent="0.25">
      <c r="A10093" t="s">
        <v>111</v>
      </c>
      <c r="B10093" t="str">
        <f>ADDRESS(ROW(Parcels!B520),COLUMN(Parcels!B1362),4)</f>
        <v>B520</v>
      </c>
      <c r="C10093" t="str">
        <f>ADDRESS(ROW(Parcels!D520),COLUMN(Parcels!D520),4)</f>
        <v>D520</v>
      </c>
      <c r="D10093" s="46" t="b">
        <f>IF(AND(Parcels!B520="Current",'Six-Yr Rule'!B521&lt;=Year_DestinationYearID),IF((SUMIFS('Bond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093" t="s">
        <v>1641</v>
      </c>
      <c r="F10093" t="str">
        <f>INDEX(Lists!I:I,MATCH(Validation!E10093,Lists!G:G,0))</f>
        <v>Alert</v>
      </c>
      <c r="G10093" t="str">
        <f>INDEX(Lists!H:H,MATCH(Validation!E10093,Lists!G:G,0))</f>
        <v>This parcel does not appear to be pledged to an outstanding in-district obligation.</v>
      </c>
      <c r="H10093" s="25" t="str">
        <f t="shared" ca="1" si="1116"/>
        <v/>
      </c>
      <c r="I10093" s="25" t="str">
        <f t="shared" ca="1" si="1117"/>
        <v/>
      </c>
      <c r="J10093" s="26" t="str">
        <f t="shared" si="1118"/>
        <v/>
      </c>
    </row>
    <row r="10094" spans="1:10" x14ac:dyDescent="0.25">
      <c r="A10094" t="s">
        <v>111</v>
      </c>
      <c r="B10094" t="str">
        <f>ADDRESS(ROW(Parcels!B521),COLUMN(Parcels!B1363),4)</f>
        <v>B521</v>
      </c>
      <c r="C10094" t="str">
        <f>ADDRESS(ROW(Parcels!D521),COLUMN(Parcels!D521),4)</f>
        <v>D521</v>
      </c>
      <c r="D10094" s="46" t="b">
        <f>IF(AND(Parcels!B521="Current",'Six-Yr Rule'!B522&lt;=Year_DestinationYearID),IF((SUMIFS('Bond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094" t="s">
        <v>1641</v>
      </c>
      <c r="F10094" t="str">
        <f>INDEX(Lists!I:I,MATCH(Validation!E10094,Lists!G:G,0))</f>
        <v>Alert</v>
      </c>
      <c r="G10094" t="str">
        <f>INDEX(Lists!H:H,MATCH(Validation!E10094,Lists!G:G,0))</f>
        <v>This parcel does not appear to be pledged to an outstanding in-district obligation.</v>
      </c>
      <c r="H10094" s="25" t="str">
        <f t="shared" ca="1" si="1116"/>
        <v/>
      </c>
      <c r="I10094" s="25" t="str">
        <f t="shared" ca="1" si="1117"/>
        <v/>
      </c>
      <c r="J10094" s="26" t="str">
        <f t="shared" si="1118"/>
        <v/>
      </c>
    </row>
    <row r="10095" spans="1:10" x14ac:dyDescent="0.25">
      <c r="A10095" t="s">
        <v>111</v>
      </c>
      <c r="B10095" t="str">
        <f>ADDRESS(ROW(Parcels!B522),COLUMN(Parcels!B1364),4)</f>
        <v>B522</v>
      </c>
      <c r="C10095" t="str">
        <f>ADDRESS(ROW(Parcels!D522),COLUMN(Parcels!D522),4)</f>
        <v>D522</v>
      </c>
      <c r="D10095" s="46" t="b">
        <f>IF(AND(Parcels!B522="Current",'Six-Yr Rule'!B523&lt;=Year_DestinationYearID),IF((SUMIFS('Bond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095" t="s">
        <v>1641</v>
      </c>
      <c r="F10095" t="str">
        <f>INDEX(Lists!I:I,MATCH(Validation!E10095,Lists!G:G,0))</f>
        <v>Alert</v>
      </c>
      <c r="G10095" t="str">
        <f>INDEX(Lists!H:H,MATCH(Validation!E10095,Lists!G:G,0))</f>
        <v>This parcel does not appear to be pledged to an outstanding in-district obligation.</v>
      </c>
      <c r="H10095" s="25" t="str">
        <f t="shared" ca="1" si="1116"/>
        <v/>
      </c>
      <c r="I10095" s="25" t="str">
        <f t="shared" ca="1" si="1117"/>
        <v/>
      </c>
      <c r="J10095" s="26" t="str">
        <f t="shared" si="1118"/>
        <v/>
      </c>
    </row>
    <row r="10096" spans="1:10" x14ac:dyDescent="0.25">
      <c r="A10096" t="s">
        <v>111</v>
      </c>
      <c r="B10096" t="str">
        <f>ADDRESS(ROW(Parcels!B523),COLUMN(Parcels!B1365),4)</f>
        <v>B523</v>
      </c>
      <c r="C10096" t="str">
        <f>ADDRESS(ROW(Parcels!D523),COLUMN(Parcels!D523),4)</f>
        <v>D523</v>
      </c>
      <c r="D10096" s="46" t="b">
        <f>IF(AND(Parcels!B523="Current",'Six-Yr Rule'!B524&lt;=Year_DestinationYearID),IF((SUMIFS('Bond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096" t="s">
        <v>1641</v>
      </c>
      <c r="F10096" t="str">
        <f>INDEX(Lists!I:I,MATCH(Validation!E10096,Lists!G:G,0))</f>
        <v>Alert</v>
      </c>
      <c r="G10096" t="str">
        <f>INDEX(Lists!H:H,MATCH(Validation!E10096,Lists!G:G,0))</f>
        <v>This parcel does not appear to be pledged to an outstanding in-district obligation.</v>
      </c>
      <c r="H10096" s="25" t="str">
        <f t="shared" ca="1" si="1116"/>
        <v/>
      </c>
      <c r="I10096" s="25" t="str">
        <f t="shared" ca="1" si="1117"/>
        <v/>
      </c>
      <c r="J10096" s="26" t="str">
        <f t="shared" si="1118"/>
        <v/>
      </c>
    </row>
    <row r="10097" spans="1:10" x14ac:dyDescent="0.25">
      <c r="A10097" t="s">
        <v>111</v>
      </c>
      <c r="B10097" t="str">
        <f>ADDRESS(ROW(Parcels!B524),COLUMN(Parcels!B1366),4)</f>
        <v>B524</v>
      </c>
      <c r="C10097" t="str">
        <f>ADDRESS(ROW(Parcels!D524),COLUMN(Parcels!D524),4)</f>
        <v>D524</v>
      </c>
      <c r="D10097" s="46" t="b">
        <f>IF(AND(Parcels!B524="Current",'Six-Yr Rule'!B525&lt;=Year_DestinationYearID),IF((SUMIFS('Bond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097" t="s">
        <v>1641</v>
      </c>
      <c r="F10097" t="str">
        <f>INDEX(Lists!I:I,MATCH(Validation!E10097,Lists!G:G,0))</f>
        <v>Alert</v>
      </c>
      <c r="G10097" t="str">
        <f>INDEX(Lists!H:H,MATCH(Validation!E10097,Lists!G:G,0))</f>
        <v>This parcel does not appear to be pledged to an outstanding in-district obligation.</v>
      </c>
      <c r="H10097" s="25" t="str">
        <f t="shared" ca="1" si="1116"/>
        <v/>
      </c>
      <c r="I10097" s="25" t="str">
        <f t="shared" ca="1" si="1117"/>
        <v/>
      </c>
      <c r="J10097" s="26" t="str">
        <f t="shared" si="1118"/>
        <v/>
      </c>
    </row>
    <row r="10098" spans="1:10" x14ac:dyDescent="0.25">
      <c r="A10098" t="s">
        <v>111</v>
      </c>
      <c r="B10098" t="str">
        <f>ADDRESS(ROW(Parcels!B525),COLUMN(Parcels!B1367),4)</f>
        <v>B525</v>
      </c>
      <c r="C10098" t="str">
        <f>ADDRESS(ROW(Parcels!D525),COLUMN(Parcels!D525),4)</f>
        <v>D525</v>
      </c>
      <c r="D10098" s="46" t="b">
        <f>IF(AND(Parcels!B525="Current",'Six-Yr Rule'!B526&lt;=Year_DestinationYearID),IF((SUMIFS('Bond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098" t="s">
        <v>1641</v>
      </c>
      <c r="F10098" t="str">
        <f>INDEX(Lists!I:I,MATCH(Validation!E10098,Lists!G:G,0))</f>
        <v>Alert</v>
      </c>
      <c r="G10098" t="str">
        <f>INDEX(Lists!H:H,MATCH(Validation!E10098,Lists!G:G,0))</f>
        <v>This parcel does not appear to be pledged to an outstanding in-district obligation.</v>
      </c>
      <c r="H10098" s="25" t="str">
        <f t="shared" ca="1" si="1116"/>
        <v/>
      </c>
      <c r="I10098" s="25" t="str">
        <f t="shared" ca="1" si="1117"/>
        <v/>
      </c>
      <c r="J10098" s="26" t="str">
        <f t="shared" si="1118"/>
        <v/>
      </c>
    </row>
    <row r="10099" spans="1:10" x14ac:dyDescent="0.25">
      <c r="A10099" t="s">
        <v>111</v>
      </c>
      <c r="B10099" t="str">
        <f>ADDRESS(ROW(Parcels!B526),COLUMN(Parcels!B1368),4)</f>
        <v>B526</v>
      </c>
      <c r="C10099" t="str">
        <f>ADDRESS(ROW(Parcels!D526),COLUMN(Parcels!D526),4)</f>
        <v>D526</v>
      </c>
      <c r="D10099" s="46" t="b">
        <f>IF(AND(Parcels!B526="Current",'Six-Yr Rule'!B527&lt;=Year_DestinationYearID),IF((SUMIFS('Bond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099" t="s">
        <v>1641</v>
      </c>
      <c r="F10099" t="str">
        <f>INDEX(Lists!I:I,MATCH(Validation!E10099,Lists!G:G,0))</f>
        <v>Alert</v>
      </c>
      <c r="G10099" t="str">
        <f>INDEX(Lists!H:H,MATCH(Validation!E10099,Lists!G:G,0))</f>
        <v>This parcel does not appear to be pledged to an outstanding in-district obligation.</v>
      </c>
      <c r="H10099" s="25" t="str">
        <f t="shared" ref="H10099:H10162" ca="1" si="1119">IFERROR(IF(OR(NOT(D10099),F10099&lt;&gt;"Error"),"",A10099&amp;CELL("address",INDIRECT(B10099))),"")</f>
        <v/>
      </c>
      <c r="I10099" s="25" t="str">
        <f t="shared" ref="I10099:I10162" ca="1" si="1120">IFERROR(IF(NOT(D10099),"",A10099&amp;CELL("address",INDIRECT(C10099))),"")</f>
        <v/>
      </c>
      <c r="J10099" s="26" t="str">
        <f t="shared" ref="J10099:J10162" si="1121">IFERROR(IF(NOT(D10099),"",A10099),"")</f>
        <v/>
      </c>
    </row>
    <row r="10100" spans="1:10" x14ac:dyDescent="0.25">
      <c r="A10100" t="s">
        <v>111</v>
      </c>
      <c r="B10100" t="str">
        <f>ADDRESS(ROW(Parcels!B527),COLUMN(Parcels!B1369),4)</f>
        <v>B527</v>
      </c>
      <c r="C10100" t="str">
        <f>ADDRESS(ROW(Parcels!D527),COLUMN(Parcels!D527),4)</f>
        <v>D527</v>
      </c>
      <c r="D10100" s="46" t="b">
        <f>IF(AND(Parcels!B527="Current",'Six-Yr Rule'!B528&lt;=Year_DestinationYearID),IF((SUMIFS('Bond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100" t="s">
        <v>1641</v>
      </c>
      <c r="F10100" t="str">
        <f>INDEX(Lists!I:I,MATCH(Validation!E10100,Lists!G:G,0))</f>
        <v>Alert</v>
      </c>
      <c r="G10100" t="str">
        <f>INDEX(Lists!H:H,MATCH(Validation!E10100,Lists!G:G,0))</f>
        <v>This parcel does not appear to be pledged to an outstanding in-district obligation.</v>
      </c>
      <c r="H10100" s="25" t="str">
        <f t="shared" ca="1" si="1119"/>
        <v/>
      </c>
      <c r="I10100" s="25" t="str">
        <f t="shared" ca="1" si="1120"/>
        <v/>
      </c>
      <c r="J10100" s="26" t="str">
        <f t="shared" si="1121"/>
        <v/>
      </c>
    </row>
    <row r="10101" spans="1:10" x14ac:dyDescent="0.25">
      <c r="A10101" t="s">
        <v>111</v>
      </c>
      <c r="B10101" t="str">
        <f>ADDRESS(ROW(Parcels!B528),COLUMN(Parcels!B1370),4)</f>
        <v>B528</v>
      </c>
      <c r="C10101" t="str">
        <f>ADDRESS(ROW(Parcels!D528),COLUMN(Parcels!D528),4)</f>
        <v>D528</v>
      </c>
      <c r="D10101" s="46" t="b">
        <f>IF(AND(Parcels!B528="Current",'Six-Yr Rule'!B529&lt;=Year_DestinationYearID),IF((SUMIFS('Bond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101" t="s">
        <v>1641</v>
      </c>
      <c r="F10101" t="str">
        <f>INDEX(Lists!I:I,MATCH(Validation!E10101,Lists!G:G,0))</f>
        <v>Alert</v>
      </c>
      <c r="G10101" t="str">
        <f>INDEX(Lists!H:H,MATCH(Validation!E10101,Lists!G:G,0))</f>
        <v>This parcel does not appear to be pledged to an outstanding in-district obligation.</v>
      </c>
      <c r="H10101" s="25" t="str">
        <f t="shared" ca="1" si="1119"/>
        <v/>
      </c>
      <c r="I10101" s="25" t="str">
        <f t="shared" ca="1" si="1120"/>
        <v/>
      </c>
      <c r="J10101" s="26" t="str">
        <f t="shared" si="1121"/>
        <v/>
      </c>
    </row>
    <row r="10102" spans="1:10" x14ac:dyDescent="0.25">
      <c r="A10102" t="s">
        <v>111</v>
      </c>
      <c r="B10102" t="str">
        <f>ADDRESS(ROW(Parcels!B529),COLUMN(Parcels!B1371),4)</f>
        <v>B529</v>
      </c>
      <c r="C10102" t="str">
        <f>ADDRESS(ROW(Parcels!D529),COLUMN(Parcels!D529),4)</f>
        <v>D529</v>
      </c>
      <c r="D10102" s="46" t="b">
        <f>IF(AND(Parcels!B529="Current",'Six-Yr Rule'!B530&lt;=Year_DestinationYearID),IF((SUMIFS('Bond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102" t="s">
        <v>1641</v>
      </c>
      <c r="F10102" t="str">
        <f>INDEX(Lists!I:I,MATCH(Validation!E10102,Lists!G:G,0))</f>
        <v>Alert</v>
      </c>
      <c r="G10102" t="str">
        <f>INDEX(Lists!H:H,MATCH(Validation!E10102,Lists!G:G,0))</f>
        <v>This parcel does not appear to be pledged to an outstanding in-district obligation.</v>
      </c>
      <c r="H10102" s="25" t="str">
        <f t="shared" ca="1" si="1119"/>
        <v/>
      </c>
      <c r="I10102" s="25" t="str">
        <f t="shared" ca="1" si="1120"/>
        <v/>
      </c>
      <c r="J10102" s="26" t="str">
        <f t="shared" si="1121"/>
        <v/>
      </c>
    </row>
    <row r="10103" spans="1:10" x14ac:dyDescent="0.25">
      <c r="A10103" t="s">
        <v>111</v>
      </c>
      <c r="B10103" t="str">
        <f>ADDRESS(ROW(Parcels!B530),COLUMN(Parcels!B1372),4)</f>
        <v>B530</v>
      </c>
      <c r="C10103" t="str">
        <f>ADDRESS(ROW(Parcels!D530),COLUMN(Parcels!D530),4)</f>
        <v>D530</v>
      </c>
      <c r="D10103" s="46" t="b">
        <f>IF(AND(Parcels!B530="Current",'Six-Yr Rule'!B531&lt;=Year_DestinationYearID),IF((SUMIFS('Bond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103" t="s">
        <v>1641</v>
      </c>
      <c r="F10103" t="str">
        <f>INDEX(Lists!I:I,MATCH(Validation!E10103,Lists!G:G,0))</f>
        <v>Alert</v>
      </c>
      <c r="G10103" t="str">
        <f>INDEX(Lists!H:H,MATCH(Validation!E10103,Lists!G:G,0))</f>
        <v>This parcel does not appear to be pledged to an outstanding in-district obligation.</v>
      </c>
      <c r="H10103" s="25" t="str">
        <f t="shared" ca="1" si="1119"/>
        <v/>
      </c>
      <c r="I10103" s="25" t="str">
        <f t="shared" ca="1" si="1120"/>
        <v/>
      </c>
      <c r="J10103" s="26" t="str">
        <f t="shared" si="1121"/>
        <v/>
      </c>
    </row>
    <row r="10104" spans="1:10" x14ac:dyDescent="0.25">
      <c r="A10104" t="s">
        <v>111</v>
      </c>
      <c r="B10104" t="str">
        <f>ADDRESS(ROW(Parcels!B531),COLUMN(Parcels!B1373),4)</f>
        <v>B531</v>
      </c>
      <c r="C10104" t="str">
        <f>ADDRESS(ROW(Parcels!D531),COLUMN(Parcels!D531),4)</f>
        <v>D531</v>
      </c>
      <c r="D10104" s="46" t="b">
        <f>IF(AND(Parcels!B531="Current",'Six-Yr Rule'!B532&lt;=Year_DestinationYearID),IF((SUMIFS('Bond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104" t="s">
        <v>1641</v>
      </c>
      <c r="F10104" t="str">
        <f>INDEX(Lists!I:I,MATCH(Validation!E10104,Lists!G:G,0))</f>
        <v>Alert</v>
      </c>
      <c r="G10104" t="str">
        <f>INDEX(Lists!H:H,MATCH(Validation!E10104,Lists!G:G,0))</f>
        <v>This parcel does not appear to be pledged to an outstanding in-district obligation.</v>
      </c>
      <c r="H10104" s="25" t="str">
        <f t="shared" ca="1" si="1119"/>
        <v/>
      </c>
      <c r="I10104" s="25" t="str">
        <f t="shared" ca="1" si="1120"/>
        <v/>
      </c>
      <c r="J10104" s="26" t="str">
        <f t="shared" si="1121"/>
        <v/>
      </c>
    </row>
    <row r="10105" spans="1:10" x14ac:dyDescent="0.25">
      <c r="A10105" t="s">
        <v>111</v>
      </c>
      <c r="B10105" t="str">
        <f>ADDRESS(ROW(Parcels!B532),COLUMN(Parcels!B1374),4)</f>
        <v>B532</v>
      </c>
      <c r="C10105" t="str">
        <f>ADDRESS(ROW(Parcels!D532),COLUMN(Parcels!D532),4)</f>
        <v>D532</v>
      </c>
      <c r="D10105" s="46" t="b">
        <f>IF(AND(Parcels!B532="Current",'Six-Yr Rule'!B533&lt;=Year_DestinationYearID),IF((SUMIFS('Bond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105" t="s">
        <v>1641</v>
      </c>
      <c r="F10105" t="str">
        <f>INDEX(Lists!I:I,MATCH(Validation!E10105,Lists!G:G,0))</f>
        <v>Alert</v>
      </c>
      <c r="G10105" t="str">
        <f>INDEX(Lists!H:H,MATCH(Validation!E10105,Lists!G:G,0))</f>
        <v>This parcel does not appear to be pledged to an outstanding in-district obligation.</v>
      </c>
      <c r="H10105" s="25" t="str">
        <f t="shared" ca="1" si="1119"/>
        <v/>
      </c>
      <c r="I10105" s="25" t="str">
        <f t="shared" ca="1" si="1120"/>
        <v/>
      </c>
      <c r="J10105" s="26" t="str">
        <f t="shared" si="1121"/>
        <v/>
      </c>
    </row>
    <row r="10106" spans="1:10" x14ac:dyDescent="0.25">
      <c r="A10106" t="s">
        <v>111</v>
      </c>
      <c r="B10106" t="str">
        <f>ADDRESS(ROW(Parcels!B533),COLUMN(Parcels!B1375),4)</f>
        <v>B533</v>
      </c>
      <c r="C10106" t="str">
        <f>ADDRESS(ROW(Parcels!D533),COLUMN(Parcels!D533),4)</f>
        <v>D533</v>
      </c>
      <c r="D10106" s="46" t="b">
        <f>IF(AND(Parcels!B533="Current",'Six-Yr Rule'!B534&lt;=Year_DestinationYearID),IF((SUMIFS('Bond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106" t="s">
        <v>1641</v>
      </c>
      <c r="F10106" t="str">
        <f>INDEX(Lists!I:I,MATCH(Validation!E10106,Lists!G:G,0))</f>
        <v>Alert</v>
      </c>
      <c r="G10106" t="str">
        <f>INDEX(Lists!H:H,MATCH(Validation!E10106,Lists!G:G,0))</f>
        <v>This parcel does not appear to be pledged to an outstanding in-district obligation.</v>
      </c>
      <c r="H10106" s="25" t="str">
        <f t="shared" ca="1" si="1119"/>
        <v/>
      </c>
      <c r="I10106" s="25" t="str">
        <f t="shared" ca="1" si="1120"/>
        <v/>
      </c>
      <c r="J10106" s="26" t="str">
        <f t="shared" si="1121"/>
        <v/>
      </c>
    </row>
    <row r="10107" spans="1:10" x14ac:dyDescent="0.25">
      <c r="A10107" t="s">
        <v>111</v>
      </c>
      <c r="B10107" t="str">
        <f>ADDRESS(ROW(Parcels!B534),COLUMN(Parcels!B1376),4)</f>
        <v>B534</v>
      </c>
      <c r="C10107" t="str">
        <f>ADDRESS(ROW(Parcels!D534),COLUMN(Parcels!D534),4)</f>
        <v>D534</v>
      </c>
      <c r="D10107" s="46" t="b">
        <f>IF(AND(Parcels!B534="Current",'Six-Yr Rule'!B535&lt;=Year_DestinationYearID),IF((SUMIFS('Bond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107" t="s">
        <v>1641</v>
      </c>
      <c r="F10107" t="str">
        <f>INDEX(Lists!I:I,MATCH(Validation!E10107,Lists!G:G,0))</f>
        <v>Alert</v>
      </c>
      <c r="G10107" t="str">
        <f>INDEX(Lists!H:H,MATCH(Validation!E10107,Lists!G:G,0))</f>
        <v>This parcel does not appear to be pledged to an outstanding in-district obligation.</v>
      </c>
      <c r="H10107" s="25" t="str">
        <f t="shared" ca="1" si="1119"/>
        <v/>
      </c>
      <c r="I10107" s="25" t="str">
        <f t="shared" ca="1" si="1120"/>
        <v/>
      </c>
      <c r="J10107" s="26" t="str">
        <f t="shared" si="1121"/>
        <v/>
      </c>
    </row>
    <row r="10108" spans="1:10" x14ac:dyDescent="0.25">
      <c r="A10108" t="s">
        <v>111</v>
      </c>
      <c r="B10108" t="str">
        <f>ADDRESS(ROW(Parcels!B535),COLUMN(Parcels!B1377),4)</f>
        <v>B535</v>
      </c>
      <c r="C10108" t="str">
        <f>ADDRESS(ROW(Parcels!D535),COLUMN(Parcels!D535),4)</f>
        <v>D535</v>
      </c>
      <c r="D10108" s="46" t="b">
        <f>IF(AND(Parcels!B535="Current",'Six-Yr Rule'!B536&lt;=Year_DestinationYearID),IF((SUMIFS('Bond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108" t="s">
        <v>1641</v>
      </c>
      <c r="F10108" t="str">
        <f>INDEX(Lists!I:I,MATCH(Validation!E10108,Lists!G:G,0))</f>
        <v>Alert</v>
      </c>
      <c r="G10108" t="str">
        <f>INDEX(Lists!H:H,MATCH(Validation!E10108,Lists!G:G,0))</f>
        <v>This parcel does not appear to be pledged to an outstanding in-district obligation.</v>
      </c>
      <c r="H10108" s="25" t="str">
        <f t="shared" ca="1" si="1119"/>
        <v/>
      </c>
      <c r="I10108" s="25" t="str">
        <f t="shared" ca="1" si="1120"/>
        <v/>
      </c>
      <c r="J10108" s="26" t="str">
        <f t="shared" si="1121"/>
        <v/>
      </c>
    </row>
    <row r="10109" spans="1:10" x14ac:dyDescent="0.25">
      <c r="A10109" t="s">
        <v>111</v>
      </c>
      <c r="B10109" t="str">
        <f>ADDRESS(ROW(Parcels!B536),COLUMN(Parcels!B1378),4)</f>
        <v>B536</v>
      </c>
      <c r="C10109" t="str">
        <f>ADDRESS(ROW(Parcels!D536),COLUMN(Parcels!D536),4)</f>
        <v>D536</v>
      </c>
      <c r="D10109" s="46" t="b">
        <f>IF(AND(Parcels!B536="Current",'Six-Yr Rule'!B537&lt;=Year_DestinationYearID),IF((SUMIFS('Bond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109" t="s">
        <v>1641</v>
      </c>
      <c r="F10109" t="str">
        <f>INDEX(Lists!I:I,MATCH(Validation!E10109,Lists!G:G,0))</f>
        <v>Alert</v>
      </c>
      <c r="G10109" t="str">
        <f>INDEX(Lists!H:H,MATCH(Validation!E10109,Lists!G:G,0))</f>
        <v>This parcel does not appear to be pledged to an outstanding in-district obligation.</v>
      </c>
      <c r="H10109" s="25" t="str">
        <f t="shared" ca="1" si="1119"/>
        <v/>
      </c>
      <c r="I10109" s="25" t="str">
        <f t="shared" ca="1" si="1120"/>
        <v/>
      </c>
      <c r="J10109" s="26" t="str">
        <f t="shared" si="1121"/>
        <v/>
      </c>
    </row>
    <row r="10110" spans="1:10" x14ac:dyDescent="0.25">
      <c r="A10110" t="s">
        <v>111</v>
      </c>
      <c r="B10110" t="str">
        <f>ADDRESS(ROW(Parcels!B537),COLUMN(Parcels!B1379),4)</f>
        <v>B537</v>
      </c>
      <c r="C10110" t="str">
        <f>ADDRESS(ROW(Parcels!D537),COLUMN(Parcels!D537),4)</f>
        <v>D537</v>
      </c>
      <c r="D10110" s="46" t="b">
        <f>IF(AND(Parcels!B537="Current",'Six-Yr Rule'!B538&lt;=Year_DestinationYearID),IF((SUMIFS('Bond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110" t="s">
        <v>1641</v>
      </c>
      <c r="F10110" t="str">
        <f>INDEX(Lists!I:I,MATCH(Validation!E10110,Lists!G:G,0))</f>
        <v>Alert</v>
      </c>
      <c r="G10110" t="str">
        <f>INDEX(Lists!H:H,MATCH(Validation!E10110,Lists!G:G,0))</f>
        <v>This parcel does not appear to be pledged to an outstanding in-district obligation.</v>
      </c>
      <c r="H10110" s="25" t="str">
        <f t="shared" ca="1" si="1119"/>
        <v/>
      </c>
      <c r="I10110" s="25" t="str">
        <f t="shared" ca="1" si="1120"/>
        <v/>
      </c>
      <c r="J10110" s="26" t="str">
        <f t="shared" si="1121"/>
        <v/>
      </c>
    </row>
    <row r="10111" spans="1:10" x14ac:dyDescent="0.25">
      <c r="A10111" t="s">
        <v>111</v>
      </c>
      <c r="B10111" t="str">
        <f>ADDRESS(ROW(Parcels!B538),COLUMN(Parcels!B1380),4)</f>
        <v>B538</v>
      </c>
      <c r="C10111" t="str">
        <f>ADDRESS(ROW(Parcels!D538),COLUMN(Parcels!D538),4)</f>
        <v>D538</v>
      </c>
      <c r="D10111" s="46" t="b">
        <f>IF(AND(Parcels!B538="Current",'Six-Yr Rule'!B539&lt;=Year_DestinationYearID),IF((SUMIFS('Bond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111" t="s">
        <v>1641</v>
      </c>
      <c r="F10111" t="str">
        <f>INDEX(Lists!I:I,MATCH(Validation!E10111,Lists!G:G,0))</f>
        <v>Alert</v>
      </c>
      <c r="G10111" t="str">
        <f>INDEX(Lists!H:H,MATCH(Validation!E10111,Lists!G:G,0))</f>
        <v>This parcel does not appear to be pledged to an outstanding in-district obligation.</v>
      </c>
      <c r="H10111" s="25" t="str">
        <f t="shared" ca="1" si="1119"/>
        <v/>
      </c>
      <c r="I10111" s="25" t="str">
        <f t="shared" ca="1" si="1120"/>
        <v/>
      </c>
      <c r="J10111" s="26" t="str">
        <f t="shared" si="1121"/>
        <v/>
      </c>
    </row>
    <row r="10112" spans="1:10" x14ac:dyDescent="0.25">
      <c r="A10112" t="s">
        <v>111</v>
      </c>
      <c r="B10112" t="str">
        <f>ADDRESS(ROW(Parcels!B539),COLUMN(Parcels!B1381),4)</f>
        <v>B539</v>
      </c>
      <c r="C10112" t="str">
        <f>ADDRESS(ROW(Parcels!D539),COLUMN(Parcels!D539),4)</f>
        <v>D539</v>
      </c>
      <c r="D10112" s="46" t="b">
        <f>IF(AND(Parcels!B539="Current",'Six-Yr Rule'!B540&lt;=Year_DestinationYearID),IF((SUMIFS('Bond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112" t="s">
        <v>1641</v>
      </c>
      <c r="F10112" t="str">
        <f>INDEX(Lists!I:I,MATCH(Validation!E10112,Lists!G:G,0))</f>
        <v>Alert</v>
      </c>
      <c r="G10112" t="str">
        <f>INDEX(Lists!H:H,MATCH(Validation!E10112,Lists!G:G,0))</f>
        <v>This parcel does not appear to be pledged to an outstanding in-district obligation.</v>
      </c>
      <c r="H10112" s="25" t="str">
        <f t="shared" ca="1" si="1119"/>
        <v/>
      </c>
      <c r="I10112" s="25" t="str">
        <f t="shared" ca="1" si="1120"/>
        <v/>
      </c>
      <c r="J10112" s="26" t="str">
        <f t="shared" si="1121"/>
        <v/>
      </c>
    </row>
    <row r="10113" spans="1:10" x14ac:dyDescent="0.25">
      <c r="A10113" t="s">
        <v>111</v>
      </c>
      <c r="B10113" t="str">
        <f>ADDRESS(ROW(Parcels!B540),COLUMN(Parcels!B1382),4)</f>
        <v>B540</v>
      </c>
      <c r="C10113" t="str">
        <f>ADDRESS(ROW(Parcels!D540),COLUMN(Parcels!D540),4)</f>
        <v>D540</v>
      </c>
      <c r="D10113" s="46" t="b">
        <f>IF(AND(Parcels!B540="Current",'Six-Yr Rule'!B541&lt;=Year_DestinationYearID),IF((SUMIFS('Bond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113" t="s">
        <v>1641</v>
      </c>
      <c r="F10113" t="str">
        <f>INDEX(Lists!I:I,MATCH(Validation!E10113,Lists!G:G,0))</f>
        <v>Alert</v>
      </c>
      <c r="G10113" t="str">
        <f>INDEX(Lists!H:H,MATCH(Validation!E10113,Lists!G:G,0))</f>
        <v>This parcel does not appear to be pledged to an outstanding in-district obligation.</v>
      </c>
      <c r="H10113" s="25" t="str">
        <f t="shared" ca="1" si="1119"/>
        <v/>
      </c>
      <c r="I10113" s="25" t="str">
        <f t="shared" ca="1" si="1120"/>
        <v/>
      </c>
      <c r="J10113" s="26" t="str">
        <f t="shared" si="1121"/>
        <v/>
      </c>
    </row>
    <row r="10114" spans="1:10" x14ac:dyDescent="0.25">
      <c r="A10114" t="s">
        <v>111</v>
      </c>
      <c r="B10114" t="str">
        <f>ADDRESS(ROW(Parcels!B541),COLUMN(Parcels!B1383),4)</f>
        <v>B541</v>
      </c>
      <c r="C10114" t="str">
        <f>ADDRESS(ROW(Parcels!D541),COLUMN(Parcels!D541),4)</f>
        <v>D541</v>
      </c>
      <c r="D10114" s="46" t="b">
        <f>IF(AND(Parcels!B541="Current",'Six-Yr Rule'!B542&lt;=Year_DestinationYearID),IF((SUMIFS('Bond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114" t="s">
        <v>1641</v>
      </c>
      <c r="F10114" t="str">
        <f>INDEX(Lists!I:I,MATCH(Validation!E10114,Lists!G:G,0))</f>
        <v>Alert</v>
      </c>
      <c r="G10114" t="str">
        <f>INDEX(Lists!H:H,MATCH(Validation!E10114,Lists!G:G,0))</f>
        <v>This parcel does not appear to be pledged to an outstanding in-district obligation.</v>
      </c>
      <c r="H10114" s="25" t="str">
        <f t="shared" ca="1" si="1119"/>
        <v/>
      </c>
      <c r="I10114" s="25" t="str">
        <f t="shared" ca="1" si="1120"/>
        <v/>
      </c>
      <c r="J10114" s="26" t="str">
        <f t="shared" si="1121"/>
        <v/>
      </c>
    </row>
    <row r="10115" spans="1:10" x14ac:dyDescent="0.25">
      <c r="A10115" t="s">
        <v>111</v>
      </c>
      <c r="B10115" t="str">
        <f>ADDRESS(ROW(Parcels!B542),COLUMN(Parcels!B1384),4)</f>
        <v>B542</v>
      </c>
      <c r="C10115" t="str">
        <f>ADDRESS(ROW(Parcels!D542),COLUMN(Parcels!D542),4)</f>
        <v>D542</v>
      </c>
      <c r="D10115" s="46" t="b">
        <f>IF(AND(Parcels!B542="Current",'Six-Yr Rule'!B543&lt;=Year_DestinationYearID),IF((SUMIFS('Bond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115" t="s">
        <v>1641</v>
      </c>
      <c r="F10115" t="str">
        <f>INDEX(Lists!I:I,MATCH(Validation!E10115,Lists!G:G,0))</f>
        <v>Alert</v>
      </c>
      <c r="G10115" t="str">
        <f>INDEX(Lists!H:H,MATCH(Validation!E10115,Lists!G:G,0))</f>
        <v>This parcel does not appear to be pledged to an outstanding in-district obligation.</v>
      </c>
      <c r="H10115" s="25" t="str">
        <f t="shared" ca="1" si="1119"/>
        <v/>
      </c>
      <c r="I10115" s="25" t="str">
        <f t="shared" ca="1" si="1120"/>
        <v/>
      </c>
      <c r="J10115" s="26" t="str">
        <f t="shared" si="1121"/>
        <v/>
      </c>
    </row>
    <row r="10116" spans="1:10" x14ac:dyDescent="0.25">
      <c r="A10116" t="s">
        <v>111</v>
      </c>
      <c r="B10116" t="str">
        <f>ADDRESS(ROW(Parcels!B543),COLUMN(Parcels!B1385),4)</f>
        <v>B543</v>
      </c>
      <c r="C10116" t="str">
        <f>ADDRESS(ROW(Parcels!D543),COLUMN(Parcels!D543),4)</f>
        <v>D543</v>
      </c>
      <c r="D10116" s="46" t="b">
        <f>IF(AND(Parcels!B543="Current",'Six-Yr Rule'!B544&lt;=Year_DestinationYearID),IF((SUMIFS('Bond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116" t="s">
        <v>1641</v>
      </c>
      <c r="F10116" t="str">
        <f>INDEX(Lists!I:I,MATCH(Validation!E10116,Lists!G:G,0))</f>
        <v>Alert</v>
      </c>
      <c r="G10116" t="str">
        <f>INDEX(Lists!H:H,MATCH(Validation!E10116,Lists!G:G,0))</f>
        <v>This parcel does not appear to be pledged to an outstanding in-district obligation.</v>
      </c>
      <c r="H10116" s="25" t="str">
        <f t="shared" ca="1" si="1119"/>
        <v/>
      </c>
      <c r="I10116" s="25" t="str">
        <f t="shared" ca="1" si="1120"/>
        <v/>
      </c>
      <c r="J10116" s="26" t="str">
        <f t="shared" si="1121"/>
        <v/>
      </c>
    </row>
    <row r="10117" spans="1:10" x14ac:dyDescent="0.25">
      <c r="A10117" t="s">
        <v>111</v>
      </c>
      <c r="B10117" t="str">
        <f>ADDRESS(ROW(Parcels!B544),COLUMN(Parcels!B1386),4)</f>
        <v>B544</v>
      </c>
      <c r="C10117" t="str">
        <f>ADDRESS(ROW(Parcels!D544),COLUMN(Parcels!D544),4)</f>
        <v>D544</v>
      </c>
      <c r="D10117" s="46" t="b">
        <f>IF(AND(Parcels!B544="Current",'Six-Yr Rule'!B545&lt;=Year_DestinationYearID),IF((SUMIFS('Bond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117" t="s">
        <v>1641</v>
      </c>
      <c r="F10117" t="str">
        <f>INDEX(Lists!I:I,MATCH(Validation!E10117,Lists!G:G,0))</f>
        <v>Alert</v>
      </c>
      <c r="G10117" t="str">
        <f>INDEX(Lists!H:H,MATCH(Validation!E10117,Lists!G:G,0))</f>
        <v>This parcel does not appear to be pledged to an outstanding in-district obligation.</v>
      </c>
      <c r="H10117" s="25" t="str">
        <f t="shared" ca="1" si="1119"/>
        <v/>
      </c>
      <c r="I10117" s="25" t="str">
        <f t="shared" ca="1" si="1120"/>
        <v/>
      </c>
      <c r="J10117" s="26" t="str">
        <f t="shared" si="1121"/>
        <v/>
      </c>
    </row>
    <row r="10118" spans="1:10" x14ac:dyDescent="0.25">
      <c r="A10118" t="s">
        <v>111</v>
      </c>
      <c r="B10118" t="str">
        <f>ADDRESS(ROW(Parcels!B545),COLUMN(Parcels!B1387),4)</f>
        <v>B545</v>
      </c>
      <c r="C10118" t="str">
        <f>ADDRESS(ROW(Parcels!D545),COLUMN(Parcels!D545),4)</f>
        <v>D545</v>
      </c>
      <c r="D10118" s="46" t="b">
        <f>IF(AND(Parcels!B545="Current",'Six-Yr Rule'!B546&lt;=Year_DestinationYearID),IF((SUMIFS('Bond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118" t="s">
        <v>1641</v>
      </c>
      <c r="F10118" t="str">
        <f>INDEX(Lists!I:I,MATCH(Validation!E10118,Lists!G:G,0))</f>
        <v>Alert</v>
      </c>
      <c r="G10118" t="str">
        <f>INDEX(Lists!H:H,MATCH(Validation!E10118,Lists!G:G,0))</f>
        <v>This parcel does not appear to be pledged to an outstanding in-district obligation.</v>
      </c>
      <c r="H10118" s="25" t="str">
        <f t="shared" ca="1" si="1119"/>
        <v/>
      </c>
      <c r="I10118" s="25" t="str">
        <f t="shared" ca="1" si="1120"/>
        <v/>
      </c>
      <c r="J10118" s="26" t="str">
        <f t="shared" si="1121"/>
        <v/>
      </c>
    </row>
    <row r="10119" spans="1:10" x14ac:dyDescent="0.25">
      <c r="A10119" t="s">
        <v>111</v>
      </c>
      <c r="B10119" t="str">
        <f>ADDRESS(ROW(Parcels!B546),COLUMN(Parcels!B1388),4)</f>
        <v>B546</v>
      </c>
      <c r="C10119" t="str">
        <f>ADDRESS(ROW(Parcels!D546),COLUMN(Parcels!D546),4)</f>
        <v>D546</v>
      </c>
      <c r="D10119" s="46" t="b">
        <f>IF(AND(Parcels!B546="Current",'Six-Yr Rule'!B547&lt;=Year_DestinationYearID),IF((SUMIFS('Bond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119" t="s">
        <v>1641</v>
      </c>
      <c r="F10119" t="str">
        <f>INDEX(Lists!I:I,MATCH(Validation!E10119,Lists!G:G,0))</f>
        <v>Alert</v>
      </c>
      <c r="G10119" t="str">
        <f>INDEX(Lists!H:H,MATCH(Validation!E10119,Lists!G:G,0))</f>
        <v>This parcel does not appear to be pledged to an outstanding in-district obligation.</v>
      </c>
      <c r="H10119" s="25" t="str">
        <f t="shared" ca="1" si="1119"/>
        <v/>
      </c>
      <c r="I10119" s="25" t="str">
        <f t="shared" ca="1" si="1120"/>
        <v/>
      </c>
      <c r="J10119" s="26" t="str">
        <f t="shared" si="1121"/>
        <v/>
      </c>
    </row>
    <row r="10120" spans="1:10" x14ac:dyDescent="0.25">
      <c r="A10120" t="s">
        <v>111</v>
      </c>
      <c r="B10120" t="str">
        <f>ADDRESS(ROW(Parcels!B547),COLUMN(Parcels!B1389),4)</f>
        <v>B547</v>
      </c>
      <c r="C10120" t="str">
        <f>ADDRESS(ROW(Parcels!D547),COLUMN(Parcels!D547),4)</f>
        <v>D547</v>
      </c>
      <c r="D10120" s="46" t="b">
        <f>IF(AND(Parcels!B547="Current",'Six-Yr Rule'!B548&lt;=Year_DestinationYearID),IF((SUMIFS('Bond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120" t="s">
        <v>1641</v>
      </c>
      <c r="F10120" t="str">
        <f>INDEX(Lists!I:I,MATCH(Validation!E10120,Lists!G:G,0))</f>
        <v>Alert</v>
      </c>
      <c r="G10120" t="str">
        <f>INDEX(Lists!H:H,MATCH(Validation!E10120,Lists!G:G,0))</f>
        <v>This parcel does not appear to be pledged to an outstanding in-district obligation.</v>
      </c>
      <c r="H10120" s="25" t="str">
        <f t="shared" ca="1" si="1119"/>
        <v/>
      </c>
      <c r="I10120" s="25" t="str">
        <f t="shared" ca="1" si="1120"/>
        <v/>
      </c>
      <c r="J10120" s="26" t="str">
        <f t="shared" si="1121"/>
        <v/>
      </c>
    </row>
    <row r="10121" spans="1:10" x14ac:dyDescent="0.25">
      <c r="A10121" t="s">
        <v>111</v>
      </c>
      <c r="B10121" t="str">
        <f>ADDRESS(ROW(Parcels!B548),COLUMN(Parcels!B1390),4)</f>
        <v>B548</v>
      </c>
      <c r="C10121" t="str">
        <f>ADDRESS(ROW(Parcels!D548),COLUMN(Parcels!D548),4)</f>
        <v>D548</v>
      </c>
      <c r="D10121" s="46" t="b">
        <f>IF(AND(Parcels!B548="Current",'Six-Yr Rule'!B549&lt;=Year_DestinationYearID),IF((SUMIFS('Bond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121" t="s">
        <v>1641</v>
      </c>
      <c r="F10121" t="str">
        <f>INDEX(Lists!I:I,MATCH(Validation!E10121,Lists!G:G,0))</f>
        <v>Alert</v>
      </c>
      <c r="G10121" t="str">
        <f>INDEX(Lists!H:H,MATCH(Validation!E10121,Lists!G:G,0))</f>
        <v>This parcel does not appear to be pledged to an outstanding in-district obligation.</v>
      </c>
      <c r="H10121" s="25" t="str">
        <f t="shared" ca="1" si="1119"/>
        <v/>
      </c>
      <c r="I10121" s="25" t="str">
        <f t="shared" ca="1" si="1120"/>
        <v/>
      </c>
      <c r="J10121" s="26" t="str">
        <f t="shared" si="1121"/>
        <v/>
      </c>
    </row>
    <row r="10122" spans="1:10" x14ac:dyDescent="0.25">
      <c r="A10122" t="s">
        <v>111</v>
      </c>
      <c r="B10122" t="str">
        <f>ADDRESS(ROW(Parcels!B549),COLUMN(Parcels!B1391),4)</f>
        <v>B549</v>
      </c>
      <c r="C10122" t="str">
        <f>ADDRESS(ROW(Parcels!D549),COLUMN(Parcels!D549),4)</f>
        <v>D549</v>
      </c>
      <c r="D10122" s="46" t="b">
        <f>IF(AND(Parcels!B549="Current",'Six-Yr Rule'!B550&lt;=Year_DestinationYearID),IF((SUMIFS('Bond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122" t="s">
        <v>1641</v>
      </c>
      <c r="F10122" t="str">
        <f>INDEX(Lists!I:I,MATCH(Validation!E10122,Lists!G:G,0))</f>
        <v>Alert</v>
      </c>
      <c r="G10122" t="str">
        <f>INDEX(Lists!H:H,MATCH(Validation!E10122,Lists!G:G,0))</f>
        <v>This parcel does not appear to be pledged to an outstanding in-district obligation.</v>
      </c>
      <c r="H10122" s="25" t="str">
        <f t="shared" ca="1" si="1119"/>
        <v/>
      </c>
      <c r="I10122" s="25" t="str">
        <f t="shared" ca="1" si="1120"/>
        <v/>
      </c>
      <c r="J10122" s="26" t="str">
        <f t="shared" si="1121"/>
        <v/>
      </c>
    </row>
    <row r="10123" spans="1:10" x14ac:dyDescent="0.25">
      <c r="A10123" t="s">
        <v>111</v>
      </c>
      <c r="B10123" t="str">
        <f>ADDRESS(ROW(Parcels!B550),COLUMN(Parcels!B1392),4)</f>
        <v>B550</v>
      </c>
      <c r="C10123" t="str">
        <f>ADDRESS(ROW(Parcels!D550),COLUMN(Parcels!D550),4)</f>
        <v>D550</v>
      </c>
      <c r="D10123" s="46" t="b">
        <f>IF(AND(Parcels!B550="Current",'Six-Yr Rule'!B551&lt;=Year_DestinationYearID),IF((SUMIFS('Bond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123" t="s">
        <v>1641</v>
      </c>
      <c r="F10123" t="str">
        <f>INDEX(Lists!I:I,MATCH(Validation!E10123,Lists!G:G,0))</f>
        <v>Alert</v>
      </c>
      <c r="G10123" t="str">
        <f>INDEX(Lists!H:H,MATCH(Validation!E10123,Lists!G:G,0))</f>
        <v>This parcel does not appear to be pledged to an outstanding in-district obligation.</v>
      </c>
      <c r="H10123" s="25" t="str">
        <f t="shared" ca="1" si="1119"/>
        <v/>
      </c>
      <c r="I10123" s="25" t="str">
        <f t="shared" ca="1" si="1120"/>
        <v/>
      </c>
      <c r="J10123" s="26" t="str">
        <f t="shared" si="1121"/>
        <v/>
      </c>
    </row>
    <row r="10124" spans="1:10" x14ac:dyDescent="0.25">
      <c r="A10124" t="s">
        <v>111</v>
      </c>
      <c r="B10124" t="str">
        <f>ADDRESS(ROW(Parcels!B551),COLUMN(Parcels!B1393),4)</f>
        <v>B551</v>
      </c>
      <c r="C10124" t="str">
        <f>ADDRESS(ROW(Parcels!D551),COLUMN(Parcels!D551),4)</f>
        <v>D551</v>
      </c>
      <c r="D10124" s="46" t="b">
        <f>IF(AND(Parcels!B551="Current",'Six-Yr Rule'!B552&lt;=Year_DestinationYearID),IF((SUMIFS('Bond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124" t="s">
        <v>1641</v>
      </c>
      <c r="F10124" t="str">
        <f>INDEX(Lists!I:I,MATCH(Validation!E10124,Lists!G:G,0))</f>
        <v>Alert</v>
      </c>
      <c r="G10124" t="str">
        <f>INDEX(Lists!H:H,MATCH(Validation!E10124,Lists!G:G,0))</f>
        <v>This parcel does not appear to be pledged to an outstanding in-district obligation.</v>
      </c>
      <c r="H10124" s="25" t="str">
        <f t="shared" ca="1" si="1119"/>
        <v/>
      </c>
      <c r="I10124" s="25" t="str">
        <f t="shared" ca="1" si="1120"/>
        <v/>
      </c>
      <c r="J10124" s="26" t="str">
        <f t="shared" si="1121"/>
        <v/>
      </c>
    </row>
    <row r="10125" spans="1:10" x14ac:dyDescent="0.25">
      <c r="A10125" t="s">
        <v>111</v>
      </c>
      <c r="B10125" t="str">
        <f>ADDRESS(ROW(Parcels!B552),COLUMN(Parcels!B1394),4)</f>
        <v>B552</v>
      </c>
      <c r="C10125" t="str">
        <f>ADDRESS(ROW(Parcels!D552),COLUMN(Parcels!D552),4)</f>
        <v>D552</v>
      </c>
      <c r="D10125" s="46" t="b">
        <f>IF(AND(Parcels!B552="Current",'Six-Yr Rule'!B553&lt;=Year_DestinationYearID),IF((SUMIFS('Bond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125" t="s">
        <v>1641</v>
      </c>
      <c r="F10125" t="str">
        <f>INDEX(Lists!I:I,MATCH(Validation!E10125,Lists!G:G,0))</f>
        <v>Alert</v>
      </c>
      <c r="G10125" t="str">
        <f>INDEX(Lists!H:H,MATCH(Validation!E10125,Lists!G:G,0))</f>
        <v>This parcel does not appear to be pledged to an outstanding in-district obligation.</v>
      </c>
      <c r="H10125" s="25" t="str">
        <f t="shared" ca="1" si="1119"/>
        <v/>
      </c>
      <c r="I10125" s="25" t="str">
        <f t="shared" ca="1" si="1120"/>
        <v/>
      </c>
      <c r="J10125" s="26" t="str">
        <f t="shared" si="1121"/>
        <v/>
      </c>
    </row>
    <row r="10126" spans="1:10" x14ac:dyDescent="0.25">
      <c r="A10126" t="s">
        <v>111</v>
      </c>
      <c r="B10126" t="str">
        <f>ADDRESS(ROW(Parcels!B553),COLUMN(Parcels!B1395),4)</f>
        <v>B553</v>
      </c>
      <c r="C10126" t="str">
        <f>ADDRESS(ROW(Parcels!D553),COLUMN(Parcels!D553),4)</f>
        <v>D553</v>
      </c>
      <c r="D10126" s="46" t="b">
        <f>IF(AND(Parcels!B553="Current",'Six-Yr Rule'!B554&lt;=Year_DestinationYearID),IF((SUMIFS('Bond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126" t="s">
        <v>1641</v>
      </c>
      <c r="F10126" t="str">
        <f>INDEX(Lists!I:I,MATCH(Validation!E10126,Lists!G:G,0))</f>
        <v>Alert</v>
      </c>
      <c r="G10126" t="str">
        <f>INDEX(Lists!H:H,MATCH(Validation!E10126,Lists!G:G,0))</f>
        <v>This parcel does not appear to be pledged to an outstanding in-district obligation.</v>
      </c>
      <c r="H10126" s="25" t="str">
        <f t="shared" ca="1" si="1119"/>
        <v/>
      </c>
      <c r="I10126" s="25" t="str">
        <f t="shared" ca="1" si="1120"/>
        <v/>
      </c>
      <c r="J10126" s="26" t="str">
        <f t="shared" si="1121"/>
        <v/>
      </c>
    </row>
    <row r="10127" spans="1:10" x14ac:dyDescent="0.25">
      <c r="A10127" t="s">
        <v>111</v>
      </c>
      <c r="B10127" t="str">
        <f>ADDRESS(ROW(Parcels!B554),COLUMN(Parcels!B1396),4)</f>
        <v>B554</v>
      </c>
      <c r="C10127" t="str">
        <f>ADDRESS(ROW(Parcels!D554),COLUMN(Parcels!D554),4)</f>
        <v>D554</v>
      </c>
      <c r="D10127" s="46" t="b">
        <f>IF(AND(Parcels!B554="Current",'Six-Yr Rule'!B555&lt;=Year_DestinationYearID),IF((SUMIFS('Bond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127" t="s">
        <v>1641</v>
      </c>
      <c r="F10127" t="str">
        <f>INDEX(Lists!I:I,MATCH(Validation!E10127,Lists!G:G,0))</f>
        <v>Alert</v>
      </c>
      <c r="G10127" t="str">
        <f>INDEX(Lists!H:H,MATCH(Validation!E10127,Lists!G:G,0))</f>
        <v>This parcel does not appear to be pledged to an outstanding in-district obligation.</v>
      </c>
      <c r="H10127" s="25" t="str">
        <f t="shared" ca="1" si="1119"/>
        <v/>
      </c>
      <c r="I10127" s="25" t="str">
        <f t="shared" ca="1" si="1120"/>
        <v/>
      </c>
      <c r="J10127" s="26" t="str">
        <f t="shared" si="1121"/>
        <v/>
      </c>
    </row>
    <row r="10128" spans="1:10" x14ac:dyDescent="0.25">
      <c r="A10128" t="s">
        <v>111</v>
      </c>
      <c r="B10128" t="str">
        <f>ADDRESS(ROW(Parcels!B555),COLUMN(Parcels!B1397),4)</f>
        <v>B555</v>
      </c>
      <c r="C10128" t="str">
        <f>ADDRESS(ROW(Parcels!D555),COLUMN(Parcels!D555),4)</f>
        <v>D555</v>
      </c>
      <c r="D10128" s="46" t="b">
        <f>IF(AND(Parcels!B555="Current",'Six-Yr Rule'!B556&lt;=Year_DestinationYearID),IF((SUMIFS('Bond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128" t="s">
        <v>1641</v>
      </c>
      <c r="F10128" t="str">
        <f>INDEX(Lists!I:I,MATCH(Validation!E10128,Lists!G:G,0))</f>
        <v>Alert</v>
      </c>
      <c r="G10128" t="str">
        <f>INDEX(Lists!H:H,MATCH(Validation!E10128,Lists!G:G,0))</f>
        <v>This parcel does not appear to be pledged to an outstanding in-district obligation.</v>
      </c>
      <c r="H10128" s="25" t="str">
        <f t="shared" ca="1" si="1119"/>
        <v/>
      </c>
      <c r="I10128" s="25" t="str">
        <f t="shared" ca="1" si="1120"/>
        <v/>
      </c>
      <c r="J10128" s="26" t="str">
        <f t="shared" si="1121"/>
        <v/>
      </c>
    </row>
    <row r="10129" spans="1:10" x14ac:dyDescent="0.25">
      <c r="A10129" t="s">
        <v>111</v>
      </c>
      <c r="B10129" t="str">
        <f>ADDRESS(ROW(Parcels!B556),COLUMN(Parcels!B1398),4)</f>
        <v>B556</v>
      </c>
      <c r="C10129" t="str">
        <f>ADDRESS(ROW(Parcels!D556),COLUMN(Parcels!D556),4)</f>
        <v>D556</v>
      </c>
      <c r="D10129" s="46" t="b">
        <f>IF(AND(Parcels!B556="Current",'Six-Yr Rule'!B557&lt;=Year_DestinationYearID),IF((SUMIFS('Bond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129" t="s">
        <v>1641</v>
      </c>
      <c r="F10129" t="str">
        <f>INDEX(Lists!I:I,MATCH(Validation!E10129,Lists!G:G,0))</f>
        <v>Alert</v>
      </c>
      <c r="G10129" t="str">
        <f>INDEX(Lists!H:H,MATCH(Validation!E10129,Lists!G:G,0))</f>
        <v>This parcel does not appear to be pledged to an outstanding in-district obligation.</v>
      </c>
      <c r="H10129" s="25" t="str">
        <f t="shared" ca="1" si="1119"/>
        <v/>
      </c>
      <c r="I10129" s="25" t="str">
        <f t="shared" ca="1" si="1120"/>
        <v/>
      </c>
      <c r="J10129" s="26" t="str">
        <f t="shared" si="1121"/>
        <v/>
      </c>
    </row>
    <row r="10130" spans="1:10" x14ac:dyDescent="0.25">
      <c r="A10130" t="s">
        <v>111</v>
      </c>
      <c r="B10130" t="str">
        <f>ADDRESS(ROW(Parcels!B557),COLUMN(Parcels!B1399),4)</f>
        <v>B557</v>
      </c>
      <c r="C10130" t="str">
        <f>ADDRESS(ROW(Parcels!D557),COLUMN(Parcels!D557),4)</f>
        <v>D557</v>
      </c>
      <c r="D10130" s="46" t="b">
        <f>IF(AND(Parcels!B557="Current",'Six-Yr Rule'!B558&lt;=Year_DestinationYearID),IF((SUMIFS('Bond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130" t="s">
        <v>1641</v>
      </c>
      <c r="F10130" t="str">
        <f>INDEX(Lists!I:I,MATCH(Validation!E10130,Lists!G:G,0))</f>
        <v>Alert</v>
      </c>
      <c r="G10130" t="str">
        <f>INDEX(Lists!H:H,MATCH(Validation!E10130,Lists!G:G,0))</f>
        <v>This parcel does not appear to be pledged to an outstanding in-district obligation.</v>
      </c>
      <c r="H10130" s="25" t="str">
        <f t="shared" ca="1" si="1119"/>
        <v/>
      </c>
      <c r="I10130" s="25" t="str">
        <f t="shared" ca="1" si="1120"/>
        <v/>
      </c>
      <c r="J10130" s="26" t="str">
        <f t="shared" si="1121"/>
        <v/>
      </c>
    </row>
    <row r="10131" spans="1:10" x14ac:dyDescent="0.25">
      <c r="A10131" t="s">
        <v>111</v>
      </c>
      <c r="B10131" t="str">
        <f>ADDRESS(ROW(Parcels!B558),COLUMN(Parcels!B1400),4)</f>
        <v>B558</v>
      </c>
      <c r="C10131" t="str">
        <f>ADDRESS(ROW(Parcels!D558),COLUMN(Parcels!D558),4)</f>
        <v>D558</v>
      </c>
      <c r="D10131" s="46" t="b">
        <f>IF(AND(Parcels!B558="Current",'Six-Yr Rule'!B559&lt;=Year_DestinationYearID),IF((SUMIFS('Bond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131" t="s">
        <v>1641</v>
      </c>
      <c r="F10131" t="str">
        <f>INDEX(Lists!I:I,MATCH(Validation!E10131,Lists!G:G,0))</f>
        <v>Alert</v>
      </c>
      <c r="G10131" t="str">
        <f>INDEX(Lists!H:H,MATCH(Validation!E10131,Lists!G:G,0))</f>
        <v>This parcel does not appear to be pledged to an outstanding in-district obligation.</v>
      </c>
      <c r="H10131" s="25" t="str">
        <f t="shared" ca="1" si="1119"/>
        <v/>
      </c>
      <c r="I10131" s="25" t="str">
        <f t="shared" ca="1" si="1120"/>
        <v/>
      </c>
      <c r="J10131" s="26" t="str">
        <f t="shared" si="1121"/>
        <v/>
      </c>
    </row>
    <row r="10132" spans="1:10" x14ac:dyDescent="0.25">
      <c r="A10132" t="s">
        <v>111</v>
      </c>
      <c r="B10132" t="str">
        <f>ADDRESS(ROW(Parcels!B559),COLUMN(Parcels!B1401),4)</f>
        <v>B559</v>
      </c>
      <c r="C10132" t="str">
        <f>ADDRESS(ROW(Parcels!D559),COLUMN(Parcels!D559),4)</f>
        <v>D559</v>
      </c>
      <c r="D10132" s="46" t="b">
        <f>IF(AND(Parcels!B559="Current",'Six-Yr Rule'!B560&lt;=Year_DestinationYearID),IF((SUMIFS('Bond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132" t="s">
        <v>1641</v>
      </c>
      <c r="F10132" t="str">
        <f>INDEX(Lists!I:I,MATCH(Validation!E10132,Lists!G:G,0))</f>
        <v>Alert</v>
      </c>
      <c r="G10132" t="str">
        <f>INDEX(Lists!H:H,MATCH(Validation!E10132,Lists!G:G,0))</f>
        <v>This parcel does not appear to be pledged to an outstanding in-district obligation.</v>
      </c>
      <c r="H10132" s="25" t="str">
        <f t="shared" ca="1" si="1119"/>
        <v/>
      </c>
      <c r="I10132" s="25" t="str">
        <f t="shared" ca="1" si="1120"/>
        <v/>
      </c>
      <c r="J10132" s="26" t="str">
        <f t="shared" si="1121"/>
        <v/>
      </c>
    </row>
    <row r="10133" spans="1:10" x14ac:dyDescent="0.25">
      <c r="A10133" t="s">
        <v>111</v>
      </c>
      <c r="B10133" t="str">
        <f>ADDRESS(ROW(Parcels!B560),COLUMN(Parcels!B1402),4)</f>
        <v>B560</v>
      </c>
      <c r="C10133" t="str">
        <f>ADDRESS(ROW(Parcels!D560),COLUMN(Parcels!D560),4)</f>
        <v>D560</v>
      </c>
      <c r="D10133" s="46" t="b">
        <f>IF(AND(Parcels!B560="Current",'Six-Yr Rule'!B561&lt;=Year_DestinationYearID),IF((SUMIFS('Bond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133" t="s">
        <v>1641</v>
      </c>
      <c r="F10133" t="str">
        <f>INDEX(Lists!I:I,MATCH(Validation!E10133,Lists!G:G,0))</f>
        <v>Alert</v>
      </c>
      <c r="G10133" t="str">
        <f>INDEX(Lists!H:H,MATCH(Validation!E10133,Lists!G:G,0))</f>
        <v>This parcel does not appear to be pledged to an outstanding in-district obligation.</v>
      </c>
      <c r="H10133" s="25" t="str">
        <f t="shared" ca="1" si="1119"/>
        <v/>
      </c>
      <c r="I10133" s="25" t="str">
        <f t="shared" ca="1" si="1120"/>
        <v/>
      </c>
      <c r="J10133" s="26" t="str">
        <f t="shared" si="1121"/>
        <v/>
      </c>
    </row>
    <row r="10134" spans="1:10" x14ac:dyDescent="0.25">
      <c r="A10134" t="s">
        <v>111</v>
      </c>
      <c r="B10134" t="str">
        <f>ADDRESS(ROW(Parcels!B561),COLUMN(Parcels!B1403),4)</f>
        <v>B561</v>
      </c>
      <c r="C10134" t="str">
        <f>ADDRESS(ROW(Parcels!D561),COLUMN(Parcels!D561),4)</f>
        <v>D561</v>
      </c>
      <c r="D10134" s="46" t="b">
        <f>IF(AND(Parcels!B561="Current",'Six-Yr Rule'!B562&lt;=Year_DestinationYearID),IF((SUMIFS('Bond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134" t="s">
        <v>1641</v>
      </c>
      <c r="F10134" t="str">
        <f>INDEX(Lists!I:I,MATCH(Validation!E10134,Lists!G:G,0))</f>
        <v>Alert</v>
      </c>
      <c r="G10134" t="str">
        <f>INDEX(Lists!H:H,MATCH(Validation!E10134,Lists!G:G,0))</f>
        <v>This parcel does not appear to be pledged to an outstanding in-district obligation.</v>
      </c>
      <c r="H10134" s="25" t="str">
        <f t="shared" ca="1" si="1119"/>
        <v/>
      </c>
      <c r="I10134" s="25" t="str">
        <f t="shared" ca="1" si="1120"/>
        <v/>
      </c>
      <c r="J10134" s="26" t="str">
        <f t="shared" si="1121"/>
        <v/>
      </c>
    </row>
    <row r="10135" spans="1:10" x14ac:dyDescent="0.25">
      <c r="A10135" t="s">
        <v>111</v>
      </c>
      <c r="B10135" t="str">
        <f>ADDRESS(ROW(Parcels!B562),COLUMN(Parcels!B1404),4)</f>
        <v>B562</v>
      </c>
      <c r="C10135" t="str">
        <f>ADDRESS(ROW(Parcels!D562),COLUMN(Parcels!D562),4)</f>
        <v>D562</v>
      </c>
      <c r="D10135" s="46" t="b">
        <f>IF(AND(Parcels!B562="Current",'Six-Yr Rule'!B563&lt;=Year_DestinationYearID),IF((SUMIFS('Bond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135" t="s">
        <v>1641</v>
      </c>
      <c r="F10135" t="str">
        <f>INDEX(Lists!I:I,MATCH(Validation!E10135,Lists!G:G,0))</f>
        <v>Alert</v>
      </c>
      <c r="G10135" t="str">
        <f>INDEX(Lists!H:H,MATCH(Validation!E10135,Lists!G:G,0))</f>
        <v>This parcel does not appear to be pledged to an outstanding in-district obligation.</v>
      </c>
      <c r="H10135" s="25" t="str">
        <f t="shared" ca="1" si="1119"/>
        <v/>
      </c>
      <c r="I10135" s="25" t="str">
        <f t="shared" ca="1" si="1120"/>
        <v/>
      </c>
      <c r="J10135" s="26" t="str">
        <f t="shared" si="1121"/>
        <v/>
      </c>
    </row>
    <row r="10136" spans="1:10" x14ac:dyDescent="0.25">
      <c r="A10136" t="s">
        <v>111</v>
      </c>
      <c r="B10136" t="str">
        <f>ADDRESS(ROW(Parcels!B563),COLUMN(Parcels!B1405),4)</f>
        <v>B563</v>
      </c>
      <c r="C10136" t="str">
        <f>ADDRESS(ROW(Parcels!D563),COLUMN(Parcels!D563),4)</f>
        <v>D563</v>
      </c>
      <c r="D10136" s="46" t="b">
        <f>IF(AND(Parcels!B563="Current",'Six-Yr Rule'!B564&lt;=Year_DestinationYearID),IF((SUMIFS('Bond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136" t="s">
        <v>1641</v>
      </c>
      <c r="F10136" t="str">
        <f>INDEX(Lists!I:I,MATCH(Validation!E10136,Lists!G:G,0))</f>
        <v>Alert</v>
      </c>
      <c r="G10136" t="str">
        <f>INDEX(Lists!H:H,MATCH(Validation!E10136,Lists!G:G,0))</f>
        <v>This parcel does not appear to be pledged to an outstanding in-district obligation.</v>
      </c>
      <c r="H10136" s="25" t="str">
        <f t="shared" ca="1" si="1119"/>
        <v/>
      </c>
      <c r="I10136" s="25" t="str">
        <f t="shared" ca="1" si="1120"/>
        <v/>
      </c>
      <c r="J10136" s="26" t="str">
        <f t="shared" si="1121"/>
        <v/>
      </c>
    </row>
    <row r="10137" spans="1:10" x14ac:dyDescent="0.25">
      <c r="A10137" t="s">
        <v>111</v>
      </c>
      <c r="B10137" t="str">
        <f>ADDRESS(ROW(Parcels!B564),COLUMN(Parcels!B1406),4)</f>
        <v>B564</v>
      </c>
      <c r="C10137" t="str">
        <f>ADDRESS(ROW(Parcels!D564),COLUMN(Parcels!D564),4)</f>
        <v>D564</v>
      </c>
      <c r="D10137" s="46" t="b">
        <f>IF(AND(Parcels!B564="Current",'Six-Yr Rule'!B565&lt;=Year_DestinationYearID),IF((SUMIFS('Bond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137" t="s">
        <v>1641</v>
      </c>
      <c r="F10137" t="str">
        <f>INDEX(Lists!I:I,MATCH(Validation!E10137,Lists!G:G,0))</f>
        <v>Alert</v>
      </c>
      <c r="G10137" t="str">
        <f>INDEX(Lists!H:H,MATCH(Validation!E10137,Lists!G:G,0))</f>
        <v>This parcel does not appear to be pledged to an outstanding in-district obligation.</v>
      </c>
      <c r="H10137" s="25" t="str">
        <f t="shared" ca="1" si="1119"/>
        <v/>
      </c>
      <c r="I10137" s="25" t="str">
        <f t="shared" ca="1" si="1120"/>
        <v/>
      </c>
      <c r="J10137" s="26" t="str">
        <f t="shared" si="1121"/>
        <v/>
      </c>
    </row>
    <row r="10138" spans="1:10" x14ac:dyDescent="0.25">
      <c r="A10138" t="s">
        <v>111</v>
      </c>
      <c r="B10138" t="str">
        <f>ADDRESS(ROW(Parcels!B565),COLUMN(Parcels!B1407),4)</f>
        <v>B565</v>
      </c>
      <c r="C10138" t="str">
        <f>ADDRESS(ROW(Parcels!D565),COLUMN(Parcels!D565),4)</f>
        <v>D565</v>
      </c>
      <c r="D10138" s="46" t="b">
        <f>IF(AND(Parcels!B565="Current",'Six-Yr Rule'!B566&lt;=Year_DestinationYearID),IF((SUMIFS('Bond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138" t="s">
        <v>1641</v>
      </c>
      <c r="F10138" t="str">
        <f>INDEX(Lists!I:I,MATCH(Validation!E10138,Lists!G:G,0))</f>
        <v>Alert</v>
      </c>
      <c r="G10138" t="str">
        <f>INDEX(Lists!H:H,MATCH(Validation!E10138,Lists!G:G,0))</f>
        <v>This parcel does not appear to be pledged to an outstanding in-district obligation.</v>
      </c>
      <c r="H10138" s="25" t="str">
        <f t="shared" ca="1" si="1119"/>
        <v/>
      </c>
      <c r="I10138" s="25" t="str">
        <f t="shared" ca="1" si="1120"/>
        <v/>
      </c>
      <c r="J10138" s="26" t="str">
        <f t="shared" si="1121"/>
        <v/>
      </c>
    </row>
    <row r="10139" spans="1:10" x14ac:dyDescent="0.25">
      <c r="A10139" t="s">
        <v>111</v>
      </c>
      <c r="B10139" t="str">
        <f>ADDRESS(ROW(Parcels!B566),COLUMN(Parcels!B1408),4)</f>
        <v>B566</v>
      </c>
      <c r="C10139" t="str">
        <f>ADDRESS(ROW(Parcels!D566),COLUMN(Parcels!D566),4)</f>
        <v>D566</v>
      </c>
      <c r="D10139" s="46" t="b">
        <f>IF(AND(Parcels!B566="Current",'Six-Yr Rule'!B567&lt;=Year_DestinationYearID),IF((SUMIFS('Bond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139" t="s">
        <v>1641</v>
      </c>
      <c r="F10139" t="str">
        <f>INDEX(Lists!I:I,MATCH(Validation!E10139,Lists!G:G,0))</f>
        <v>Alert</v>
      </c>
      <c r="G10139" t="str">
        <f>INDEX(Lists!H:H,MATCH(Validation!E10139,Lists!G:G,0))</f>
        <v>This parcel does not appear to be pledged to an outstanding in-district obligation.</v>
      </c>
      <c r="H10139" s="25" t="str">
        <f t="shared" ca="1" si="1119"/>
        <v/>
      </c>
      <c r="I10139" s="25" t="str">
        <f t="shared" ca="1" si="1120"/>
        <v/>
      </c>
      <c r="J10139" s="26" t="str">
        <f t="shared" si="1121"/>
        <v/>
      </c>
    </row>
    <row r="10140" spans="1:10" x14ac:dyDescent="0.25">
      <c r="A10140" t="s">
        <v>111</v>
      </c>
      <c r="B10140" t="str">
        <f>ADDRESS(ROW(Parcels!B567),COLUMN(Parcels!B1409),4)</f>
        <v>B567</v>
      </c>
      <c r="C10140" t="str">
        <f>ADDRESS(ROW(Parcels!D567),COLUMN(Parcels!D567),4)</f>
        <v>D567</v>
      </c>
      <c r="D10140" s="46" t="b">
        <f>IF(AND(Parcels!B567="Current",'Six-Yr Rule'!B568&lt;=Year_DestinationYearID),IF((SUMIFS('Bond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140" t="s">
        <v>1641</v>
      </c>
      <c r="F10140" t="str">
        <f>INDEX(Lists!I:I,MATCH(Validation!E10140,Lists!G:G,0))</f>
        <v>Alert</v>
      </c>
      <c r="G10140" t="str">
        <f>INDEX(Lists!H:H,MATCH(Validation!E10140,Lists!G:G,0))</f>
        <v>This parcel does not appear to be pledged to an outstanding in-district obligation.</v>
      </c>
      <c r="H10140" s="25" t="str">
        <f t="shared" ca="1" si="1119"/>
        <v/>
      </c>
      <c r="I10140" s="25" t="str">
        <f t="shared" ca="1" si="1120"/>
        <v/>
      </c>
      <c r="J10140" s="26" t="str">
        <f t="shared" si="1121"/>
        <v/>
      </c>
    </row>
    <row r="10141" spans="1:10" x14ac:dyDescent="0.25">
      <c r="A10141" t="s">
        <v>111</v>
      </c>
      <c r="B10141" t="str">
        <f>ADDRESS(ROW(Parcels!B568),COLUMN(Parcels!B1410),4)</f>
        <v>B568</v>
      </c>
      <c r="C10141" t="str">
        <f>ADDRESS(ROW(Parcels!D568),COLUMN(Parcels!D568),4)</f>
        <v>D568</v>
      </c>
      <c r="D10141" s="46" t="b">
        <f>IF(AND(Parcels!B568="Current",'Six-Yr Rule'!B569&lt;=Year_DestinationYearID),IF((SUMIFS('Bond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141" t="s">
        <v>1641</v>
      </c>
      <c r="F10141" t="str">
        <f>INDEX(Lists!I:I,MATCH(Validation!E10141,Lists!G:G,0))</f>
        <v>Alert</v>
      </c>
      <c r="G10141" t="str">
        <f>INDEX(Lists!H:H,MATCH(Validation!E10141,Lists!G:G,0))</f>
        <v>This parcel does not appear to be pledged to an outstanding in-district obligation.</v>
      </c>
      <c r="H10141" s="25" t="str">
        <f t="shared" ca="1" si="1119"/>
        <v/>
      </c>
      <c r="I10141" s="25" t="str">
        <f t="shared" ca="1" si="1120"/>
        <v/>
      </c>
      <c r="J10141" s="26" t="str">
        <f t="shared" si="1121"/>
        <v/>
      </c>
    </row>
    <row r="10142" spans="1:10" x14ac:dyDescent="0.25">
      <c r="A10142" t="s">
        <v>111</v>
      </c>
      <c r="B10142" t="str">
        <f>ADDRESS(ROW(Parcels!B569),COLUMN(Parcels!B1411),4)</f>
        <v>B569</v>
      </c>
      <c r="C10142" t="str">
        <f>ADDRESS(ROW(Parcels!D569),COLUMN(Parcels!D569),4)</f>
        <v>D569</v>
      </c>
      <c r="D10142" s="46" t="b">
        <f>IF(AND(Parcels!B569="Current",'Six-Yr Rule'!B570&lt;=Year_DestinationYearID),IF((SUMIFS('Bond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142" t="s">
        <v>1641</v>
      </c>
      <c r="F10142" t="str">
        <f>INDEX(Lists!I:I,MATCH(Validation!E10142,Lists!G:G,0))</f>
        <v>Alert</v>
      </c>
      <c r="G10142" t="str">
        <f>INDEX(Lists!H:H,MATCH(Validation!E10142,Lists!G:G,0))</f>
        <v>This parcel does not appear to be pledged to an outstanding in-district obligation.</v>
      </c>
      <c r="H10142" s="25" t="str">
        <f t="shared" ca="1" si="1119"/>
        <v/>
      </c>
      <c r="I10142" s="25" t="str">
        <f t="shared" ca="1" si="1120"/>
        <v/>
      </c>
      <c r="J10142" s="26" t="str">
        <f t="shared" si="1121"/>
        <v/>
      </c>
    </row>
    <row r="10143" spans="1:10" x14ac:dyDescent="0.25">
      <c r="A10143" t="s">
        <v>111</v>
      </c>
      <c r="B10143" t="str">
        <f>ADDRESS(ROW(Parcels!B570),COLUMN(Parcels!B1412),4)</f>
        <v>B570</v>
      </c>
      <c r="C10143" t="str">
        <f>ADDRESS(ROW(Parcels!D570),COLUMN(Parcels!D570),4)</f>
        <v>D570</v>
      </c>
      <c r="D10143" s="46" t="b">
        <f>IF(AND(Parcels!B570="Current",'Six-Yr Rule'!B571&lt;=Year_DestinationYearID),IF((SUMIFS('Bond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143" t="s">
        <v>1641</v>
      </c>
      <c r="F10143" t="str">
        <f>INDEX(Lists!I:I,MATCH(Validation!E10143,Lists!G:G,0))</f>
        <v>Alert</v>
      </c>
      <c r="G10143" t="str">
        <f>INDEX(Lists!H:H,MATCH(Validation!E10143,Lists!G:G,0))</f>
        <v>This parcel does not appear to be pledged to an outstanding in-district obligation.</v>
      </c>
      <c r="H10143" s="25" t="str">
        <f t="shared" ca="1" si="1119"/>
        <v/>
      </c>
      <c r="I10143" s="25" t="str">
        <f t="shared" ca="1" si="1120"/>
        <v/>
      </c>
      <c r="J10143" s="26" t="str">
        <f t="shared" si="1121"/>
        <v/>
      </c>
    </row>
    <row r="10144" spans="1:10" x14ac:dyDescent="0.25">
      <c r="A10144" t="s">
        <v>111</v>
      </c>
      <c r="B10144" t="str">
        <f>ADDRESS(ROW(Parcels!B571),COLUMN(Parcels!B1413),4)</f>
        <v>B571</v>
      </c>
      <c r="C10144" t="str">
        <f>ADDRESS(ROW(Parcels!D571),COLUMN(Parcels!D571),4)</f>
        <v>D571</v>
      </c>
      <c r="D10144" s="46" t="b">
        <f>IF(AND(Parcels!B571="Current",'Six-Yr Rule'!B572&lt;=Year_DestinationYearID),IF((SUMIFS('Bond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144" t="s">
        <v>1641</v>
      </c>
      <c r="F10144" t="str">
        <f>INDEX(Lists!I:I,MATCH(Validation!E10144,Lists!G:G,0))</f>
        <v>Alert</v>
      </c>
      <c r="G10144" t="str">
        <f>INDEX(Lists!H:H,MATCH(Validation!E10144,Lists!G:G,0))</f>
        <v>This parcel does not appear to be pledged to an outstanding in-district obligation.</v>
      </c>
      <c r="H10144" s="25" t="str">
        <f t="shared" ca="1" si="1119"/>
        <v/>
      </c>
      <c r="I10144" s="25" t="str">
        <f t="shared" ca="1" si="1120"/>
        <v/>
      </c>
      <c r="J10144" s="26" t="str">
        <f t="shared" si="1121"/>
        <v/>
      </c>
    </row>
    <row r="10145" spans="1:10" x14ac:dyDescent="0.25">
      <c r="A10145" t="s">
        <v>111</v>
      </c>
      <c r="B10145" t="str">
        <f>ADDRESS(ROW(Parcels!B572),COLUMN(Parcels!B1414),4)</f>
        <v>B572</v>
      </c>
      <c r="C10145" t="str">
        <f>ADDRESS(ROW(Parcels!D572),COLUMN(Parcels!D572),4)</f>
        <v>D572</v>
      </c>
      <c r="D10145" s="46" t="b">
        <f>IF(AND(Parcels!B572="Current",'Six-Yr Rule'!B573&lt;=Year_DestinationYearID),IF((SUMIFS('Bond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145" t="s">
        <v>1641</v>
      </c>
      <c r="F10145" t="str">
        <f>INDEX(Lists!I:I,MATCH(Validation!E10145,Lists!G:G,0))</f>
        <v>Alert</v>
      </c>
      <c r="G10145" t="str">
        <f>INDEX(Lists!H:H,MATCH(Validation!E10145,Lists!G:G,0))</f>
        <v>This parcel does not appear to be pledged to an outstanding in-district obligation.</v>
      </c>
      <c r="H10145" s="25" t="str">
        <f t="shared" ca="1" si="1119"/>
        <v/>
      </c>
      <c r="I10145" s="25" t="str">
        <f t="shared" ca="1" si="1120"/>
        <v/>
      </c>
      <c r="J10145" s="26" t="str">
        <f t="shared" si="1121"/>
        <v/>
      </c>
    </row>
    <row r="10146" spans="1:10" x14ac:dyDescent="0.25">
      <c r="A10146" t="s">
        <v>111</v>
      </c>
      <c r="B10146" t="str">
        <f>ADDRESS(ROW(Parcels!B573),COLUMN(Parcels!B1415),4)</f>
        <v>B573</v>
      </c>
      <c r="C10146" t="str">
        <f>ADDRESS(ROW(Parcels!D573),COLUMN(Parcels!D573),4)</f>
        <v>D573</v>
      </c>
      <c r="D10146" s="46" t="b">
        <f>IF(AND(Parcels!B573="Current",'Six-Yr Rule'!B574&lt;=Year_DestinationYearID),IF((SUMIFS('Bond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146" t="s">
        <v>1641</v>
      </c>
      <c r="F10146" t="str">
        <f>INDEX(Lists!I:I,MATCH(Validation!E10146,Lists!G:G,0))</f>
        <v>Alert</v>
      </c>
      <c r="G10146" t="str">
        <f>INDEX(Lists!H:H,MATCH(Validation!E10146,Lists!G:G,0))</f>
        <v>This parcel does not appear to be pledged to an outstanding in-district obligation.</v>
      </c>
      <c r="H10146" s="25" t="str">
        <f t="shared" ca="1" si="1119"/>
        <v/>
      </c>
      <c r="I10146" s="25" t="str">
        <f t="shared" ca="1" si="1120"/>
        <v/>
      </c>
      <c r="J10146" s="26" t="str">
        <f t="shared" si="1121"/>
        <v/>
      </c>
    </row>
    <row r="10147" spans="1:10" x14ac:dyDescent="0.25">
      <c r="A10147" t="s">
        <v>111</v>
      </c>
      <c r="B10147" t="str">
        <f>ADDRESS(ROW(Parcels!B574),COLUMN(Parcels!B1416),4)</f>
        <v>B574</v>
      </c>
      <c r="C10147" t="str">
        <f>ADDRESS(ROW(Parcels!D574),COLUMN(Parcels!D574),4)</f>
        <v>D574</v>
      </c>
      <c r="D10147" s="46" t="b">
        <f>IF(AND(Parcels!B574="Current",'Six-Yr Rule'!B575&lt;=Year_DestinationYearID),IF((SUMIFS('Bond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147" t="s">
        <v>1641</v>
      </c>
      <c r="F10147" t="str">
        <f>INDEX(Lists!I:I,MATCH(Validation!E10147,Lists!G:G,0))</f>
        <v>Alert</v>
      </c>
      <c r="G10147" t="str">
        <f>INDEX(Lists!H:H,MATCH(Validation!E10147,Lists!G:G,0))</f>
        <v>This parcel does not appear to be pledged to an outstanding in-district obligation.</v>
      </c>
      <c r="H10147" s="25" t="str">
        <f t="shared" ca="1" si="1119"/>
        <v/>
      </c>
      <c r="I10147" s="25" t="str">
        <f t="shared" ca="1" si="1120"/>
        <v/>
      </c>
      <c r="J10147" s="26" t="str">
        <f t="shared" si="1121"/>
        <v/>
      </c>
    </row>
    <row r="10148" spans="1:10" x14ac:dyDescent="0.25">
      <c r="A10148" t="s">
        <v>111</v>
      </c>
      <c r="B10148" t="str">
        <f>ADDRESS(ROW(Parcels!B575),COLUMN(Parcels!B1417),4)</f>
        <v>B575</v>
      </c>
      <c r="C10148" t="str">
        <f>ADDRESS(ROW(Parcels!D575),COLUMN(Parcels!D575),4)</f>
        <v>D575</v>
      </c>
      <c r="D10148" s="46" t="b">
        <f>IF(AND(Parcels!B575="Current",'Six-Yr Rule'!B576&lt;=Year_DestinationYearID),IF((SUMIFS('Bond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148" t="s">
        <v>1641</v>
      </c>
      <c r="F10148" t="str">
        <f>INDEX(Lists!I:I,MATCH(Validation!E10148,Lists!G:G,0))</f>
        <v>Alert</v>
      </c>
      <c r="G10148" t="str">
        <f>INDEX(Lists!H:H,MATCH(Validation!E10148,Lists!G:G,0))</f>
        <v>This parcel does not appear to be pledged to an outstanding in-district obligation.</v>
      </c>
      <c r="H10148" s="25" t="str">
        <f t="shared" ca="1" si="1119"/>
        <v/>
      </c>
      <c r="I10148" s="25" t="str">
        <f t="shared" ca="1" si="1120"/>
        <v/>
      </c>
      <c r="J10148" s="26" t="str">
        <f t="shared" si="1121"/>
        <v/>
      </c>
    </row>
    <row r="10149" spans="1:10" x14ac:dyDescent="0.25">
      <c r="A10149" t="s">
        <v>111</v>
      </c>
      <c r="B10149" t="str">
        <f>ADDRESS(ROW(Parcels!B576),COLUMN(Parcels!B1418),4)</f>
        <v>B576</v>
      </c>
      <c r="C10149" t="str">
        <f>ADDRESS(ROW(Parcels!D576),COLUMN(Parcels!D576),4)</f>
        <v>D576</v>
      </c>
      <c r="D10149" s="46" t="b">
        <f>IF(AND(Parcels!B576="Current",'Six-Yr Rule'!B577&lt;=Year_DestinationYearID),IF((SUMIFS('Bond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149" t="s">
        <v>1641</v>
      </c>
      <c r="F10149" t="str">
        <f>INDEX(Lists!I:I,MATCH(Validation!E10149,Lists!G:G,0))</f>
        <v>Alert</v>
      </c>
      <c r="G10149" t="str">
        <f>INDEX(Lists!H:H,MATCH(Validation!E10149,Lists!G:G,0))</f>
        <v>This parcel does not appear to be pledged to an outstanding in-district obligation.</v>
      </c>
      <c r="H10149" s="25" t="str">
        <f t="shared" ca="1" si="1119"/>
        <v/>
      </c>
      <c r="I10149" s="25" t="str">
        <f t="shared" ca="1" si="1120"/>
        <v/>
      </c>
      <c r="J10149" s="26" t="str">
        <f t="shared" si="1121"/>
        <v/>
      </c>
    </row>
    <row r="10150" spans="1:10" x14ac:dyDescent="0.25">
      <c r="A10150" t="s">
        <v>111</v>
      </c>
      <c r="B10150" t="str">
        <f>ADDRESS(ROW(Parcels!B577),COLUMN(Parcels!B1419),4)</f>
        <v>B577</v>
      </c>
      <c r="C10150" t="str">
        <f>ADDRESS(ROW(Parcels!D577),COLUMN(Parcels!D577),4)</f>
        <v>D577</v>
      </c>
      <c r="D10150" s="46" t="b">
        <f>IF(AND(Parcels!B577="Current",'Six-Yr Rule'!B578&lt;=Year_DestinationYearID),IF((SUMIFS('Bond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150" t="s">
        <v>1641</v>
      </c>
      <c r="F10150" t="str">
        <f>INDEX(Lists!I:I,MATCH(Validation!E10150,Lists!G:G,0))</f>
        <v>Alert</v>
      </c>
      <c r="G10150" t="str">
        <f>INDEX(Lists!H:H,MATCH(Validation!E10150,Lists!G:G,0))</f>
        <v>This parcel does not appear to be pledged to an outstanding in-district obligation.</v>
      </c>
      <c r="H10150" s="25" t="str">
        <f t="shared" ca="1" si="1119"/>
        <v/>
      </c>
      <c r="I10150" s="25" t="str">
        <f t="shared" ca="1" si="1120"/>
        <v/>
      </c>
      <c r="J10150" s="26" t="str">
        <f t="shared" si="1121"/>
        <v/>
      </c>
    </row>
    <row r="10151" spans="1:10" x14ac:dyDescent="0.25">
      <c r="A10151" t="s">
        <v>111</v>
      </c>
      <c r="B10151" t="str">
        <f>ADDRESS(ROW(Parcels!B578),COLUMN(Parcels!B1420),4)</f>
        <v>B578</v>
      </c>
      <c r="C10151" t="str">
        <f>ADDRESS(ROW(Parcels!D578),COLUMN(Parcels!D578),4)</f>
        <v>D578</v>
      </c>
      <c r="D10151" s="46" t="b">
        <f>IF(AND(Parcels!B578="Current",'Six-Yr Rule'!B579&lt;=Year_DestinationYearID),IF((SUMIFS('Bond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151" t="s">
        <v>1641</v>
      </c>
      <c r="F10151" t="str">
        <f>INDEX(Lists!I:I,MATCH(Validation!E10151,Lists!G:G,0))</f>
        <v>Alert</v>
      </c>
      <c r="G10151" t="str">
        <f>INDEX(Lists!H:H,MATCH(Validation!E10151,Lists!G:G,0))</f>
        <v>This parcel does not appear to be pledged to an outstanding in-district obligation.</v>
      </c>
      <c r="H10151" s="25" t="str">
        <f t="shared" ca="1" si="1119"/>
        <v/>
      </c>
      <c r="I10151" s="25" t="str">
        <f t="shared" ca="1" si="1120"/>
        <v/>
      </c>
      <c r="J10151" s="26" t="str">
        <f t="shared" si="1121"/>
        <v/>
      </c>
    </row>
    <row r="10152" spans="1:10" x14ac:dyDescent="0.25">
      <c r="A10152" t="s">
        <v>111</v>
      </c>
      <c r="B10152" t="str">
        <f>ADDRESS(ROW(Parcels!B579),COLUMN(Parcels!B1421),4)</f>
        <v>B579</v>
      </c>
      <c r="C10152" t="str">
        <f>ADDRESS(ROW(Parcels!D579),COLUMN(Parcels!D579),4)</f>
        <v>D579</v>
      </c>
      <c r="D10152" s="46" t="b">
        <f>IF(AND(Parcels!B579="Current",'Six-Yr Rule'!B580&lt;=Year_DestinationYearID),IF((SUMIFS('Bond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152" t="s">
        <v>1641</v>
      </c>
      <c r="F10152" t="str">
        <f>INDEX(Lists!I:I,MATCH(Validation!E10152,Lists!G:G,0))</f>
        <v>Alert</v>
      </c>
      <c r="G10152" t="str">
        <f>INDEX(Lists!H:H,MATCH(Validation!E10152,Lists!G:G,0))</f>
        <v>This parcel does not appear to be pledged to an outstanding in-district obligation.</v>
      </c>
      <c r="H10152" s="25" t="str">
        <f t="shared" ca="1" si="1119"/>
        <v/>
      </c>
      <c r="I10152" s="25" t="str">
        <f t="shared" ca="1" si="1120"/>
        <v/>
      </c>
      <c r="J10152" s="26" t="str">
        <f t="shared" si="1121"/>
        <v/>
      </c>
    </row>
    <row r="10153" spans="1:10" x14ac:dyDescent="0.25">
      <c r="A10153" t="s">
        <v>111</v>
      </c>
      <c r="B10153" t="str">
        <f>ADDRESS(ROW(Parcels!B580),COLUMN(Parcels!B1422),4)</f>
        <v>B580</v>
      </c>
      <c r="C10153" t="str">
        <f>ADDRESS(ROW(Parcels!D580),COLUMN(Parcels!D580),4)</f>
        <v>D580</v>
      </c>
      <c r="D10153" s="46" t="b">
        <f>IF(AND(Parcels!B580="Current",'Six-Yr Rule'!B581&lt;=Year_DestinationYearID),IF((SUMIFS('Bond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153" t="s">
        <v>1641</v>
      </c>
      <c r="F10153" t="str">
        <f>INDEX(Lists!I:I,MATCH(Validation!E10153,Lists!G:G,0))</f>
        <v>Alert</v>
      </c>
      <c r="G10153" t="str">
        <f>INDEX(Lists!H:H,MATCH(Validation!E10153,Lists!G:G,0))</f>
        <v>This parcel does not appear to be pledged to an outstanding in-district obligation.</v>
      </c>
      <c r="H10153" s="25" t="str">
        <f t="shared" ca="1" si="1119"/>
        <v/>
      </c>
      <c r="I10153" s="25" t="str">
        <f t="shared" ca="1" si="1120"/>
        <v/>
      </c>
      <c r="J10153" s="26" t="str">
        <f t="shared" si="1121"/>
        <v/>
      </c>
    </row>
    <row r="10154" spans="1:10" x14ac:dyDescent="0.25">
      <c r="A10154" t="s">
        <v>111</v>
      </c>
      <c r="B10154" t="str">
        <f>ADDRESS(ROW(Parcels!B581),COLUMN(Parcels!B1423),4)</f>
        <v>B581</v>
      </c>
      <c r="C10154" t="str">
        <f>ADDRESS(ROW(Parcels!D581),COLUMN(Parcels!D581),4)</f>
        <v>D581</v>
      </c>
      <c r="D10154" s="46" t="b">
        <f>IF(AND(Parcels!B581="Current",'Six-Yr Rule'!B582&lt;=Year_DestinationYearID),IF((SUMIFS('Bond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154" t="s">
        <v>1641</v>
      </c>
      <c r="F10154" t="str">
        <f>INDEX(Lists!I:I,MATCH(Validation!E10154,Lists!G:G,0))</f>
        <v>Alert</v>
      </c>
      <c r="G10154" t="str">
        <f>INDEX(Lists!H:H,MATCH(Validation!E10154,Lists!G:G,0))</f>
        <v>This parcel does not appear to be pledged to an outstanding in-district obligation.</v>
      </c>
      <c r="H10154" s="25" t="str">
        <f t="shared" ca="1" si="1119"/>
        <v/>
      </c>
      <c r="I10154" s="25" t="str">
        <f t="shared" ca="1" si="1120"/>
        <v/>
      </c>
      <c r="J10154" s="26" t="str">
        <f t="shared" si="1121"/>
        <v/>
      </c>
    </row>
    <row r="10155" spans="1:10" x14ac:dyDescent="0.25">
      <c r="A10155" t="s">
        <v>111</v>
      </c>
      <c r="B10155" t="str">
        <f>ADDRESS(ROW(Parcels!B582),COLUMN(Parcels!B1424),4)</f>
        <v>B582</v>
      </c>
      <c r="C10155" t="str">
        <f>ADDRESS(ROW(Parcels!D582),COLUMN(Parcels!D582),4)</f>
        <v>D582</v>
      </c>
      <c r="D10155" s="46" t="b">
        <f>IF(AND(Parcels!B582="Current",'Six-Yr Rule'!B583&lt;=Year_DestinationYearID),IF((SUMIFS('Bond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155" t="s">
        <v>1641</v>
      </c>
      <c r="F10155" t="str">
        <f>INDEX(Lists!I:I,MATCH(Validation!E10155,Lists!G:G,0))</f>
        <v>Alert</v>
      </c>
      <c r="G10155" t="str">
        <f>INDEX(Lists!H:H,MATCH(Validation!E10155,Lists!G:G,0))</f>
        <v>This parcel does not appear to be pledged to an outstanding in-district obligation.</v>
      </c>
      <c r="H10155" s="25" t="str">
        <f t="shared" ca="1" si="1119"/>
        <v/>
      </c>
      <c r="I10155" s="25" t="str">
        <f t="shared" ca="1" si="1120"/>
        <v/>
      </c>
      <c r="J10155" s="26" t="str">
        <f t="shared" si="1121"/>
        <v/>
      </c>
    </row>
    <row r="10156" spans="1:10" x14ac:dyDescent="0.25">
      <c r="A10156" t="s">
        <v>111</v>
      </c>
      <c r="B10156" t="str">
        <f>ADDRESS(ROW(Parcels!B583),COLUMN(Parcels!B1425),4)</f>
        <v>B583</v>
      </c>
      <c r="C10156" t="str">
        <f>ADDRESS(ROW(Parcels!D583),COLUMN(Parcels!D583),4)</f>
        <v>D583</v>
      </c>
      <c r="D10156" s="46" t="b">
        <f>IF(AND(Parcels!B583="Current",'Six-Yr Rule'!B584&lt;=Year_DestinationYearID),IF((SUMIFS('Bond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156" t="s">
        <v>1641</v>
      </c>
      <c r="F10156" t="str">
        <f>INDEX(Lists!I:I,MATCH(Validation!E10156,Lists!G:G,0))</f>
        <v>Alert</v>
      </c>
      <c r="G10156" t="str">
        <f>INDEX(Lists!H:H,MATCH(Validation!E10156,Lists!G:G,0))</f>
        <v>This parcel does not appear to be pledged to an outstanding in-district obligation.</v>
      </c>
      <c r="H10156" s="25" t="str">
        <f t="shared" ca="1" si="1119"/>
        <v/>
      </c>
      <c r="I10156" s="25" t="str">
        <f t="shared" ca="1" si="1120"/>
        <v/>
      </c>
      <c r="J10156" s="26" t="str">
        <f t="shared" si="1121"/>
        <v/>
      </c>
    </row>
    <row r="10157" spans="1:10" x14ac:dyDescent="0.25">
      <c r="A10157" t="s">
        <v>111</v>
      </c>
      <c r="B10157" t="str">
        <f>ADDRESS(ROW(Parcels!B584),COLUMN(Parcels!B1426),4)</f>
        <v>B584</v>
      </c>
      <c r="C10157" t="str">
        <f>ADDRESS(ROW(Parcels!D584),COLUMN(Parcels!D584),4)</f>
        <v>D584</v>
      </c>
      <c r="D10157" s="46" t="b">
        <f>IF(AND(Parcels!B584="Current",'Six-Yr Rule'!B585&lt;=Year_DestinationYearID),IF((SUMIFS('Bond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157" t="s">
        <v>1641</v>
      </c>
      <c r="F10157" t="str">
        <f>INDEX(Lists!I:I,MATCH(Validation!E10157,Lists!G:G,0))</f>
        <v>Alert</v>
      </c>
      <c r="G10157" t="str">
        <f>INDEX(Lists!H:H,MATCH(Validation!E10157,Lists!G:G,0))</f>
        <v>This parcel does not appear to be pledged to an outstanding in-district obligation.</v>
      </c>
      <c r="H10157" s="25" t="str">
        <f t="shared" ca="1" si="1119"/>
        <v/>
      </c>
      <c r="I10157" s="25" t="str">
        <f t="shared" ca="1" si="1120"/>
        <v/>
      </c>
      <c r="J10157" s="26" t="str">
        <f t="shared" si="1121"/>
        <v/>
      </c>
    </row>
    <row r="10158" spans="1:10" x14ac:dyDescent="0.25">
      <c r="A10158" t="s">
        <v>111</v>
      </c>
      <c r="B10158" t="str">
        <f>ADDRESS(ROW(Parcels!B585),COLUMN(Parcels!B1427),4)</f>
        <v>B585</v>
      </c>
      <c r="C10158" t="str">
        <f>ADDRESS(ROW(Parcels!D585),COLUMN(Parcels!D585),4)</f>
        <v>D585</v>
      </c>
      <c r="D10158" s="46" t="b">
        <f>IF(AND(Parcels!B585="Current",'Six-Yr Rule'!B586&lt;=Year_DestinationYearID),IF((SUMIFS('Bond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158" t="s">
        <v>1641</v>
      </c>
      <c r="F10158" t="str">
        <f>INDEX(Lists!I:I,MATCH(Validation!E10158,Lists!G:G,0))</f>
        <v>Alert</v>
      </c>
      <c r="G10158" t="str">
        <f>INDEX(Lists!H:H,MATCH(Validation!E10158,Lists!G:G,0))</f>
        <v>This parcel does not appear to be pledged to an outstanding in-district obligation.</v>
      </c>
      <c r="H10158" s="25" t="str">
        <f t="shared" ca="1" si="1119"/>
        <v/>
      </c>
      <c r="I10158" s="25" t="str">
        <f t="shared" ca="1" si="1120"/>
        <v/>
      </c>
      <c r="J10158" s="26" t="str">
        <f t="shared" si="1121"/>
        <v/>
      </c>
    </row>
    <row r="10159" spans="1:10" x14ac:dyDescent="0.25">
      <c r="A10159" t="s">
        <v>111</v>
      </c>
      <c r="B10159" t="str">
        <f>ADDRESS(ROW(Parcels!B586),COLUMN(Parcels!B1428),4)</f>
        <v>B586</v>
      </c>
      <c r="C10159" t="str">
        <f>ADDRESS(ROW(Parcels!D586),COLUMN(Parcels!D586),4)</f>
        <v>D586</v>
      </c>
      <c r="D10159" s="46" t="b">
        <f>IF(AND(Parcels!B586="Current",'Six-Yr Rule'!B587&lt;=Year_DestinationYearID),IF((SUMIFS('Bond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159" t="s">
        <v>1641</v>
      </c>
      <c r="F10159" t="str">
        <f>INDEX(Lists!I:I,MATCH(Validation!E10159,Lists!G:G,0))</f>
        <v>Alert</v>
      </c>
      <c r="G10159" t="str">
        <f>INDEX(Lists!H:H,MATCH(Validation!E10159,Lists!G:G,0))</f>
        <v>This parcel does not appear to be pledged to an outstanding in-district obligation.</v>
      </c>
      <c r="H10159" s="25" t="str">
        <f t="shared" ca="1" si="1119"/>
        <v/>
      </c>
      <c r="I10159" s="25" t="str">
        <f t="shared" ca="1" si="1120"/>
        <v/>
      </c>
      <c r="J10159" s="26" t="str">
        <f t="shared" si="1121"/>
        <v/>
      </c>
    </row>
    <row r="10160" spans="1:10" x14ac:dyDescent="0.25">
      <c r="A10160" t="s">
        <v>111</v>
      </c>
      <c r="B10160" t="str">
        <f>ADDRESS(ROW(Parcels!B587),COLUMN(Parcels!B1429),4)</f>
        <v>B587</v>
      </c>
      <c r="C10160" t="str">
        <f>ADDRESS(ROW(Parcels!D587),COLUMN(Parcels!D587),4)</f>
        <v>D587</v>
      </c>
      <c r="D10160" s="46" t="b">
        <f>IF(AND(Parcels!B587="Current",'Six-Yr Rule'!B588&lt;=Year_DestinationYearID),IF((SUMIFS('Bond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160" t="s">
        <v>1641</v>
      </c>
      <c r="F10160" t="str">
        <f>INDEX(Lists!I:I,MATCH(Validation!E10160,Lists!G:G,0))</f>
        <v>Alert</v>
      </c>
      <c r="G10160" t="str">
        <f>INDEX(Lists!H:H,MATCH(Validation!E10160,Lists!G:G,0))</f>
        <v>This parcel does not appear to be pledged to an outstanding in-district obligation.</v>
      </c>
      <c r="H10160" s="25" t="str">
        <f t="shared" ca="1" si="1119"/>
        <v/>
      </c>
      <c r="I10160" s="25" t="str">
        <f t="shared" ca="1" si="1120"/>
        <v/>
      </c>
      <c r="J10160" s="26" t="str">
        <f t="shared" si="1121"/>
        <v/>
      </c>
    </row>
    <row r="10161" spans="1:10" x14ac:dyDescent="0.25">
      <c r="A10161" t="s">
        <v>111</v>
      </c>
      <c r="B10161" t="str">
        <f>ADDRESS(ROW(Parcels!B588),COLUMN(Parcels!B1430),4)</f>
        <v>B588</v>
      </c>
      <c r="C10161" t="str">
        <f>ADDRESS(ROW(Parcels!D588),COLUMN(Parcels!D588),4)</f>
        <v>D588</v>
      </c>
      <c r="D10161" s="46" t="b">
        <f>IF(AND(Parcels!B588="Current",'Six-Yr Rule'!B589&lt;=Year_DestinationYearID),IF((SUMIFS('Bond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161" t="s">
        <v>1641</v>
      </c>
      <c r="F10161" t="str">
        <f>INDEX(Lists!I:I,MATCH(Validation!E10161,Lists!G:G,0))</f>
        <v>Alert</v>
      </c>
      <c r="G10161" t="str">
        <f>INDEX(Lists!H:H,MATCH(Validation!E10161,Lists!G:G,0))</f>
        <v>This parcel does not appear to be pledged to an outstanding in-district obligation.</v>
      </c>
      <c r="H10161" s="25" t="str">
        <f t="shared" ca="1" si="1119"/>
        <v/>
      </c>
      <c r="I10161" s="25" t="str">
        <f t="shared" ca="1" si="1120"/>
        <v/>
      </c>
      <c r="J10161" s="26" t="str">
        <f t="shared" si="1121"/>
        <v/>
      </c>
    </row>
    <row r="10162" spans="1:10" x14ac:dyDescent="0.25">
      <c r="A10162" t="s">
        <v>111</v>
      </c>
      <c r="B10162" t="str">
        <f>ADDRESS(ROW(Parcels!B589),COLUMN(Parcels!B1431),4)</f>
        <v>B589</v>
      </c>
      <c r="C10162" t="str">
        <f>ADDRESS(ROW(Parcels!D589),COLUMN(Parcels!D589),4)</f>
        <v>D589</v>
      </c>
      <c r="D10162" s="46" t="b">
        <f>IF(AND(Parcels!B589="Current",'Six-Yr Rule'!B590&lt;=Year_DestinationYearID),IF((SUMIFS('Bond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162" t="s">
        <v>1641</v>
      </c>
      <c r="F10162" t="str">
        <f>INDEX(Lists!I:I,MATCH(Validation!E10162,Lists!G:G,0))</f>
        <v>Alert</v>
      </c>
      <c r="G10162" t="str">
        <f>INDEX(Lists!H:H,MATCH(Validation!E10162,Lists!G:G,0))</f>
        <v>This parcel does not appear to be pledged to an outstanding in-district obligation.</v>
      </c>
      <c r="H10162" s="25" t="str">
        <f t="shared" ca="1" si="1119"/>
        <v/>
      </c>
      <c r="I10162" s="25" t="str">
        <f t="shared" ca="1" si="1120"/>
        <v/>
      </c>
      <c r="J10162" s="26" t="str">
        <f t="shared" si="1121"/>
        <v/>
      </c>
    </row>
    <row r="10163" spans="1:10" x14ac:dyDescent="0.25">
      <c r="A10163" t="s">
        <v>111</v>
      </c>
      <c r="B10163" t="str">
        <f>ADDRESS(ROW(Parcels!B590),COLUMN(Parcels!B1432),4)</f>
        <v>B590</v>
      </c>
      <c r="C10163" t="str">
        <f>ADDRESS(ROW(Parcels!D590),COLUMN(Parcels!D590),4)</f>
        <v>D590</v>
      </c>
      <c r="D10163" s="46" t="b">
        <f>IF(AND(Parcels!B590="Current",'Six-Yr Rule'!B591&lt;=Year_DestinationYearID),IF((SUMIFS('Bond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163" t="s">
        <v>1641</v>
      </c>
      <c r="F10163" t="str">
        <f>INDEX(Lists!I:I,MATCH(Validation!E10163,Lists!G:G,0))</f>
        <v>Alert</v>
      </c>
      <c r="G10163" t="str">
        <f>INDEX(Lists!H:H,MATCH(Validation!E10163,Lists!G:G,0))</f>
        <v>This parcel does not appear to be pledged to an outstanding in-district obligation.</v>
      </c>
      <c r="H10163" s="25" t="str">
        <f t="shared" ref="H10163:H10226" ca="1" si="1122">IFERROR(IF(OR(NOT(D10163),F10163&lt;&gt;"Error"),"",A10163&amp;CELL("address",INDIRECT(B10163))),"")</f>
        <v/>
      </c>
      <c r="I10163" s="25" t="str">
        <f t="shared" ref="I10163:I10226" ca="1" si="1123">IFERROR(IF(NOT(D10163),"",A10163&amp;CELL("address",INDIRECT(C10163))),"")</f>
        <v/>
      </c>
      <c r="J10163" s="26" t="str">
        <f t="shared" ref="J10163:J10226" si="1124">IFERROR(IF(NOT(D10163),"",A10163),"")</f>
        <v/>
      </c>
    </row>
    <row r="10164" spans="1:10" x14ac:dyDescent="0.25">
      <c r="A10164" t="s">
        <v>111</v>
      </c>
      <c r="B10164" t="str">
        <f>ADDRESS(ROW(Parcels!B591),COLUMN(Parcels!B1433),4)</f>
        <v>B591</v>
      </c>
      <c r="C10164" t="str">
        <f>ADDRESS(ROW(Parcels!D591),COLUMN(Parcels!D591),4)</f>
        <v>D591</v>
      </c>
      <c r="D10164" s="46" t="b">
        <f>IF(AND(Parcels!B591="Current",'Six-Yr Rule'!B592&lt;=Year_DestinationYearID),IF((SUMIFS('Bond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164" t="s">
        <v>1641</v>
      </c>
      <c r="F10164" t="str">
        <f>INDEX(Lists!I:I,MATCH(Validation!E10164,Lists!G:G,0))</f>
        <v>Alert</v>
      </c>
      <c r="G10164" t="str">
        <f>INDEX(Lists!H:H,MATCH(Validation!E10164,Lists!G:G,0))</f>
        <v>This parcel does not appear to be pledged to an outstanding in-district obligation.</v>
      </c>
      <c r="H10164" s="25" t="str">
        <f t="shared" ca="1" si="1122"/>
        <v/>
      </c>
      <c r="I10164" s="25" t="str">
        <f t="shared" ca="1" si="1123"/>
        <v/>
      </c>
      <c r="J10164" s="26" t="str">
        <f t="shared" si="1124"/>
        <v/>
      </c>
    </row>
    <row r="10165" spans="1:10" x14ac:dyDescent="0.25">
      <c r="A10165" t="s">
        <v>111</v>
      </c>
      <c r="B10165" t="str">
        <f>ADDRESS(ROW(Parcels!B592),COLUMN(Parcels!B1434),4)</f>
        <v>B592</v>
      </c>
      <c r="C10165" t="str">
        <f>ADDRESS(ROW(Parcels!D592),COLUMN(Parcels!D592),4)</f>
        <v>D592</v>
      </c>
      <c r="D10165" s="46" t="b">
        <f>IF(AND(Parcels!B592="Current",'Six-Yr Rule'!B593&lt;=Year_DestinationYearID),IF((SUMIFS('Bond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165" t="s">
        <v>1641</v>
      </c>
      <c r="F10165" t="str">
        <f>INDEX(Lists!I:I,MATCH(Validation!E10165,Lists!G:G,0))</f>
        <v>Alert</v>
      </c>
      <c r="G10165" t="str">
        <f>INDEX(Lists!H:H,MATCH(Validation!E10165,Lists!G:G,0))</f>
        <v>This parcel does not appear to be pledged to an outstanding in-district obligation.</v>
      </c>
      <c r="H10165" s="25" t="str">
        <f t="shared" ca="1" si="1122"/>
        <v/>
      </c>
      <c r="I10165" s="25" t="str">
        <f t="shared" ca="1" si="1123"/>
        <v/>
      </c>
      <c r="J10165" s="26" t="str">
        <f t="shared" si="1124"/>
        <v/>
      </c>
    </row>
    <row r="10166" spans="1:10" x14ac:dyDescent="0.25">
      <c r="A10166" t="s">
        <v>111</v>
      </c>
      <c r="B10166" t="str">
        <f>ADDRESS(ROW(Parcels!B593),COLUMN(Parcels!B1435),4)</f>
        <v>B593</v>
      </c>
      <c r="C10166" t="str">
        <f>ADDRESS(ROW(Parcels!D593),COLUMN(Parcels!D593),4)</f>
        <v>D593</v>
      </c>
      <c r="D10166" s="46" t="b">
        <f>IF(AND(Parcels!B593="Current",'Six-Yr Rule'!B594&lt;=Year_DestinationYearID),IF((SUMIFS('Bond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166" t="s">
        <v>1641</v>
      </c>
      <c r="F10166" t="str">
        <f>INDEX(Lists!I:I,MATCH(Validation!E10166,Lists!G:G,0))</f>
        <v>Alert</v>
      </c>
      <c r="G10166" t="str">
        <f>INDEX(Lists!H:H,MATCH(Validation!E10166,Lists!G:G,0))</f>
        <v>This parcel does not appear to be pledged to an outstanding in-district obligation.</v>
      </c>
      <c r="H10166" s="25" t="str">
        <f t="shared" ca="1" si="1122"/>
        <v/>
      </c>
      <c r="I10166" s="25" t="str">
        <f t="shared" ca="1" si="1123"/>
        <v/>
      </c>
      <c r="J10166" s="26" t="str">
        <f t="shared" si="1124"/>
        <v/>
      </c>
    </row>
    <row r="10167" spans="1:10" x14ac:dyDescent="0.25">
      <c r="A10167" t="s">
        <v>111</v>
      </c>
      <c r="B10167" t="str">
        <f>ADDRESS(ROW(Parcels!B594),COLUMN(Parcels!B1436),4)</f>
        <v>B594</v>
      </c>
      <c r="C10167" t="str">
        <f>ADDRESS(ROW(Parcels!D594),COLUMN(Parcels!D594),4)</f>
        <v>D594</v>
      </c>
      <c r="D10167" s="46" t="b">
        <f>IF(AND(Parcels!B594="Current",'Six-Yr Rule'!B595&lt;=Year_DestinationYearID),IF((SUMIFS('Bond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167" t="s">
        <v>1641</v>
      </c>
      <c r="F10167" t="str">
        <f>INDEX(Lists!I:I,MATCH(Validation!E10167,Lists!G:G,0))</f>
        <v>Alert</v>
      </c>
      <c r="G10167" t="str">
        <f>INDEX(Lists!H:H,MATCH(Validation!E10167,Lists!G:G,0))</f>
        <v>This parcel does not appear to be pledged to an outstanding in-district obligation.</v>
      </c>
      <c r="H10167" s="25" t="str">
        <f t="shared" ca="1" si="1122"/>
        <v/>
      </c>
      <c r="I10167" s="25" t="str">
        <f t="shared" ca="1" si="1123"/>
        <v/>
      </c>
      <c r="J10167" s="26" t="str">
        <f t="shared" si="1124"/>
        <v/>
      </c>
    </row>
    <row r="10168" spans="1:10" x14ac:dyDescent="0.25">
      <c r="A10168" t="s">
        <v>111</v>
      </c>
      <c r="B10168" t="str">
        <f>ADDRESS(ROW(Parcels!B595),COLUMN(Parcels!B1437),4)</f>
        <v>B595</v>
      </c>
      <c r="C10168" t="str">
        <f>ADDRESS(ROW(Parcels!D595),COLUMN(Parcels!D595),4)</f>
        <v>D595</v>
      </c>
      <c r="D10168" s="46" t="b">
        <f>IF(AND(Parcels!B595="Current",'Six-Yr Rule'!B596&lt;=Year_DestinationYearID),IF((SUMIFS('Bond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168" t="s">
        <v>1641</v>
      </c>
      <c r="F10168" t="str">
        <f>INDEX(Lists!I:I,MATCH(Validation!E10168,Lists!G:G,0))</f>
        <v>Alert</v>
      </c>
      <c r="G10168" t="str">
        <f>INDEX(Lists!H:H,MATCH(Validation!E10168,Lists!G:G,0))</f>
        <v>This parcel does not appear to be pledged to an outstanding in-district obligation.</v>
      </c>
      <c r="H10168" s="25" t="str">
        <f t="shared" ca="1" si="1122"/>
        <v/>
      </c>
      <c r="I10168" s="25" t="str">
        <f t="shared" ca="1" si="1123"/>
        <v/>
      </c>
      <c r="J10168" s="26" t="str">
        <f t="shared" si="1124"/>
        <v/>
      </c>
    </row>
    <row r="10169" spans="1:10" x14ac:dyDescent="0.25">
      <c r="A10169" t="s">
        <v>111</v>
      </c>
      <c r="B10169" t="str">
        <f>ADDRESS(ROW(Parcels!B596),COLUMN(Parcels!B1438),4)</f>
        <v>B596</v>
      </c>
      <c r="C10169" t="str">
        <f>ADDRESS(ROW(Parcels!D596),COLUMN(Parcels!D596),4)</f>
        <v>D596</v>
      </c>
      <c r="D10169" s="46" t="b">
        <f>IF(AND(Parcels!B596="Current",'Six-Yr Rule'!B597&lt;=Year_DestinationYearID),IF((SUMIFS('Bond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169" t="s">
        <v>1641</v>
      </c>
      <c r="F10169" t="str">
        <f>INDEX(Lists!I:I,MATCH(Validation!E10169,Lists!G:G,0))</f>
        <v>Alert</v>
      </c>
      <c r="G10169" t="str">
        <f>INDEX(Lists!H:H,MATCH(Validation!E10169,Lists!G:G,0))</f>
        <v>This parcel does not appear to be pledged to an outstanding in-district obligation.</v>
      </c>
      <c r="H10169" s="25" t="str">
        <f t="shared" ca="1" si="1122"/>
        <v/>
      </c>
      <c r="I10169" s="25" t="str">
        <f t="shared" ca="1" si="1123"/>
        <v/>
      </c>
      <c r="J10169" s="26" t="str">
        <f t="shared" si="1124"/>
        <v/>
      </c>
    </row>
    <row r="10170" spans="1:10" x14ac:dyDescent="0.25">
      <c r="A10170" t="s">
        <v>111</v>
      </c>
      <c r="B10170" t="str">
        <f>ADDRESS(ROW(Parcels!B597),COLUMN(Parcels!B1439),4)</f>
        <v>B597</v>
      </c>
      <c r="C10170" t="str">
        <f>ADDRESS(ROW(Parcels!D597),COLUMN(Parcels!D597),4)</f>
        <v>D597</v>
      </c>
      <c r="D10170" s="46" t="b">
        <f>IF(AND(Parcels!B597="Current",'Six-Yr Rule'!B598&lt;=Year_DestinationYearID),IF((SUMIFS('Bond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170" t="s">
        <v>1641</v>
      </c>
      <c r="F10170" t="str">
        <f>INDEX(Lists!I:I,MATCH(Validation!E10170,Lists!G:G,0))</f>
        <v>Alert</v>
      </c>
      <c r="G10170" t="str">
        <f>INDEX(Lists!H:H,MATCH(Validation!E10170,Lists!G:G,0))</f>
        <v>This parcel does not appear to be pledged to an outstanding in-district obligation.</v>
      </c>
      <c r="H10170" s="25" t="str">
        <f t="shared" ca="1" si="1122"/>
        <v/>
      </c>
      <c r="I10170" s="25" t="str">
        <f t="shared" ca="1" si="1123"/>
        <v/>
      </c>
      <c r="J10170" s="26" t="str">
        <f t="shared" si="1124"/>
        <v/>
      </c>
    </row>
    <row r="10171" spans="1:10" x14ac:dyDescent="0.25">
      <c r="A10171" t="s">
        <v>111</v>
      </c>
      <c r="B10171" t="str">
        <f>ADDRESS(ROW(Parcels!B598),COLUMN(Parcels!B1440),4)</f>
        <v>B598</v>
      </c>
      <c r="C10171" t="str">
        <f>ADDRESS(ROW(Parcels!D598),COLUMN(Parcels!D598),4)</f>
        <v>D598</v>
      </c>
      <c r="D10171" s="46" t="b">
        <f>IF(AND(Parcels!B598="Current",'Six-Yr Rule'!B599&lt;=Year_DestinationYearID),IF((SUMIFS('Bond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171" t="s">
        <v>1641</v>
      </c>
      <c r="F10171" t="str">
        <f>INDEX(Lists!I:I,MATCH(Validation!E10171,Lists!G:G,0))</f>
        <v>Alert</v>
      </c>
      <c r="G10171" t="str">
        <f>INDEX(Lists!H:H,MATCH(Validation!E10171,Lists!G:G,0))</f>
        <v>This parcel does not appear to be pledged to an outstanding in-district obligation.</v>
      </c>
      <c r="H10171" s="25" t="str">
        <f t="shared" ca="1" si="1122"/>
        <v/>
      </c>
      <c r="I10171" s="25" t="str">
        <f t="shared" ca="1" si="1123"/>
        <v/>
      </c>
      <c r="J10171" s="26" t="str">
        <f t="shared" si="1124"/>
        <v/>
      </c>
    </row>
    <row r="10172" spans="1:10" x14ac:dyDescent="0.25">
      <c r="A10172" t="s">
        <v>111</v>
      </c>
      <c r="B10172" t="str">
        <f>ADDRESS(ROW(Parcels!B599),COLUMN(Parcels!B1441),4)</f>
        <v>B599</v>
      </c>
      <c r="C10172" t="str">
        <f>ADDRESS(ROW(Parcels!D599),COLUMN(Parcels!D599),4)</f>
        <v>D599</v>
      </c>
      <c r="D10172" s="46" t="b">
        <f>IF(AND(Parcels!B599="Current",'Six-Yr Rule'!B600&lt;=Year_DestinationYearID),IF((SUMIFS('Bond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172" t="s">
        <v>1641</v>
      </c>
      <c r="F10172" t="str">
        <f>INDEX(Lists!I:I,MATCH(Validation!E10172,Lists!G:G,0))</f>
        <v>Alert</v>
      </c>
      <c r="G10172" t="str">
        <f>INDEX(Lists!H:H,MATCH(Validation!E10172,Lists!G:G,0))</f>
        <v>This parcel does not appear to be pledged to an outstanding in-district obligation.</v>
      </c>
      <c r="H10172" s="25" t="str">
        <f t="shared" ca="1" si="1122"/>
        <v/>
      </c>
      <c r="I10172" s="25" t="str">
        <f t="shared" ca="1" si="1123"/>
        <v/>
      </c>
      <c r="J10172" s="26" t="str">
        <f t="shared" si="1124"/>
        <v/>
      </c>
    </row>
    <row r="10173" spans="1:10" x14ac:dyDescent="0.25">
      <c r="A10173" t="s">
        <v>111</v>
      </c>
      <c r="B10173" t="str">
        <f>ADDRESS(ROW(Parcels!B600),COLUMN(Parcels!B1442),4)</f>
        <v>B600</v>
      </c>
      <c r="C10173" t="str">
        <f>ADDRESS(ROW(Parcels!D600),COLUMN(Parcels!D600),4)</f>
        <v>D600</v>
      </c>
      <c r="D10173" s="46" t="b">
        <f>IF(AND(Parcels!B600="Current",'Six-Yr Rule'!B601&lt;=Year_DestinationYearID),IF((SUMIFS('Bond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173" t="s">
        <v>1641</v>
      </c>
      <c r="F10173" t="str">
        <f>INDEX(Lists!I:I,MATCH(Validation!E10173,Lists!G:G,0))</f>
        <v>Alert</v>
      </c>
      <c r="G10173" t="str">
        <f>INDEX(Lists!H:H,MATCH(Validation!E10173,Lists!G:G,0))</f>
        <v>This parcel does not appear to be pledged to an outstanding in-district obligation.</v>
      </c>
      <c r="H10173" s="25" t="str">
        <f t="shared" ca="1" si="1122"/>
        <v/>
      </c>
      <c r="I10173" s="25" t="str">
        <f t="shared" ca="1" si="1123"/>
        <v/>
      </c>
      <c r="J10173" s="26" t="str">
        <f t="shared" si="1124"/>
        <v/>
      </c>
    </row>
    <row r="10174" spans="1:10" x14ac:dyDescent="0.25">
      <c r="A10174" t="s">
        <v>111</v>
      </c>
      <c r="B10174" t="str">
        <f>ADDRESS(ROW(Parcels!B601),COLUMN(Parcels!B1443),4)</f>
        <v>B601</v>
      </c>
      <c r="C10174" t="str">
        <f>ADDRESS(ROW(Parcels!D601),COLUMN(Parcels!D601),4)</f>
        <v>D601</v>
      </c>
      <c r="D10174" s="46" t="b">
        <f>IF(AND(Parcels!B601="Current",'Six-Yr Rule'!B602&lt;=Year_DestinationYearID),IF((SUMIFS('Bond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174" t="s">
        <v>1641</v>
      </c>
      <c r="F10174" t="str">
        <f>INDEX(Lists!I:I,MATCH(Validation!E10174,Lists!G:G,0))</f>
        <v>Alert</v>
      </c>
      <c r="G10174" t="str">
        <f>INDEX(Lists!H:H,MATCH(Validation!E10174,Lists!G:G,0))</f>
        <v>This parcel does not appear to be pledged to an outstanding in-district obligation.</v>
      </c>
      <c r="H10174" s="25" t="str">
        <f t="shared" ca="1" si="1122"/>
        <v/>
      </c>
      <c r="I10174" s="25" t="str">
        <f t="shared" ca="1" si="1123"/>
        <v/>
      </c>
      <c r="J10174" s="26" t="str">
        <f t="shared" si="1124"/>
        <v/>
      </c>
    </row>
    <row r="10175" spans="1:10" x14ac:dyDescent="0.25">
      <c r="A10175" t="s">
        <v>111</v>
      </c>
      <c r="B10175" t="str">
        <f>ADDRESS(ROW(Parcels!B602),COLUMN(Parcels!B1444),4)</f>
        <v>B602</v>
      </c>
      <c r="C10175" t="str">
        <f>ADDRESS(ROW(Parcels!D602),COLUMN(Parcels!D602),4)</f>
        <v>D602</v>
      </c>
      <c r="D10175" s="46" t="b">
        <f>IF(AND(Parcels!B602="Current",'Six-Yr Rule'!B603&lt;=Year_DestinationYearID),IF((SUMIFS('Bond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175" t="s">
        <v>1641</v>
      </c>
      <c r="F10175" t="str">
        <f>INDEX(Lists!I:I,MATCH(Validation!E10175,Lists!G:G,0))</f>
        <v>Alert</v>
      </c>
      <c r="G10175" t="str">
        <f>INDEX(Lists!H:H,MATCH(Validation!E10175,Lists!G:G,0))</f>
        <v>This parcel does not appear to be pledged to an outstanding in-district obligation.</v>
      </c>
      <c r="H10175" s="25" t="str">
        <f t="shared" ca="1" si="1122"/>
        <v/>
      </c>
      <c r="I10175" s="25" t="str">
        <f t="shared" ca="1" si="1123"/>
        <v/>
      </c>
      <c r="J10175" s="26" t="str">
        <f t="shared" si="1124"/>
        <v/>
      </c>
    </row>
    <row r="10176" spans="1:10" x14ac:dyDescent="0.25">
      <c r="A10176" t="s">
        <v>111</v>
      </c>
      <c r="B10176" t="str">
        <f>ADDRESS(ROW(Parcels!B603),COLUMN(Parcels!B1445),4)</f>
        <v>B603</v>
      </c>
      <c r="C10176" t="str">
        <f>ADDRESS(ROW(Parcels!D603),COLUMN(Parcels!D603),4)</f>
        <v>D603</v>
      </c>
      <c r="D10176" s="46" t="b">
        <f>IF(AND(Parcels!B603="Current",'Six-Yr Rule'!B604&lt;=Year_DestinationYearID),IF((SUMIFS('Bond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176" t="s">
        <v>1641</v>
      </c>
      <c r="F10176" t="str">
        <f>INDEX(Lists!I:I,MATCH(Validation!E10176,Lists!G:G,0))</f>
        <v>Alert</v>
      </c>
      <c r="G10176" t="str">
        <f>INDEX(Lists!H:H,MATCH(Validation!E10176,Lists!G:G,0))</f>
        <v>This parcel does not appear to be pledged to an outstanding in-district obligation.</v>
      </c>
      <c r="H10176" s="25" t="str">
        <f t="shared" ca="1" si="1122"/>
        <v/>
      </c>
      <c r="I10176" s="25" t="str">
        <f t="shared" ca="1" si="1123"/>
        <v/>
      </c>
      <c r="J10176" s="26" t="str">
        <f t="shared" si="1124"/>
        <v/>
      </c>
    </row>
    <row r="10177" spans="1:10" x14ac:dyDescent="0.25">
      <c r="A10177" t="s">
        <v>111</v>
      </c>
      <c r="B10177" t="str">
        <f>ADDRESS(ROW(Parcels!B604),COLUMN(Parcels!B1446),4)</f>
        <v>B604</v>
      </c>
      <c r="C10177" t="str">
        <f>ADDRESS(ROW(Parcels!D604),COLUMN(Parcels!D604),4)</f>
        <v>D604</v>
      </c>
      <c r="D10177" s="46" t="b">
        <f>IF(AND(Parcels!B604="Current",'Six-Yr Rule'!B605&lt;=Year_DestinationYearID),IF((SUMIFS('Bond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177" t="s">
        <v>1641</v>
      </c>
      <c r="F10177" t="str">
        <f>INDEX(Lists!I:I,MATCH(Validation!E10177,Lists!G:G,0))</f>
        <v>Alert</v>
      </c>
      <c r="G10177" t="str">
        <f>INDEX(Lists!H:H,MATCH(Validation!E10177,Lists!G:G,0))</f>
        <v>This parcel does not appear to be pledged to an outstanding in-district obligation.</v>
      </c>
      <c r="H10177" s="25" t="str">
        <f t="shared" ca="1" si="1122"/>
        <v/>
      </c>
      <c r="I10177" s="25" t="str">
        <f t="shared" ca="1" si="1123"/>
        <v/>
      </c>
      <c r="J10177" s="26" t="str">
        <f t="shared" si="1124"/>
        <v/>
      </c>
    </row>
    <row r="10178" spans="1:10" x14ac:dyDescent="0.25">
      <c r="A10178" t="s">
        <v>111</v>
      </c>
      <c r="B10178" t="str">
        <f>ADDRESS(ROW(Parcels!B605),COLUMN(Parcels!B1447),4)</f>
        <v>B605</v>
      </c>
      <c r="C10178" t="str">
        <f>ADDRESS(ROW(Parcels!D605),COLUMN(Parcels!D605),4)</f>
        <v>D605</v>
      </c>
      <c r="D10178" s="46" t="b">
        <f>IF(AND(Parcels!B605="Current",'Six-Yr Rule'!B606&lt;=Year_DestinationYearID),IF((SUMIFS('Bond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178" t="s">
        <v>1641</v>
      </c>
      <c r="F10178" t="str">
        <f>INDEX(Lists!I:I,MATCH(Validation!E10178,Lists!G:G,0))</f>
        <v>Alert</v>
      </c>
      <c r="G10178" t="str">
        <f>INDEX(Lists!H:H,MATCH(Validation!E10178,Lists!G:G,0))</f>
        <v>This parcel does not appear to be pledged to an outstanding in-district obligation.</v>
      </c>
      <c r="H10178" s="25" t="str">
        <f t="shared" ca="1" si="1122"/>
        <v/>
      </c>
      <c r="I10178" s="25" t="str">
        <f t="shared" ca="1" si="1123"/>
        <v/>
      </c>
      <c r="J10178" s="26" t="str">
        <f t="shared" si="1124"/>
        <v/>
      </c>
    </row>
    <row r="10179" spans="1:10" x14ac:dyDescent="0.25">
      <c r="A10179" t="s">
        <v>111</v>
      </c>
      <c r="B10179" t="str">
        <f>ADDRESS(ROW(Parcels!B606),COLUMN(Parcels!B1448),4)</f>
        <v>B606</v>
      </c>
      <c r="C10179" t="str">
        <f>ADDRESS(ROW(Parcels!D606),COLUMN(Parcels!D606),4)</f>
        <v>D606</v>
      </c>
      <c r="D10179" s="46" t="b">
        <f>IF(AND(Parcels!B606="Current",'Six-Yr Rule'!B607&lt;=Year_DestinationYearID),IF((SUMIFS('Bond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179" t="s">
        <v>1641</v>
      </c>
      <c r="F10179" t="str">
        <f>INDEX(Lists!I:I,MATCH(Validation!E10179,Lists!G:G,0))</f>
        <v>Alert</v>
      </c>
      <c r="G10179" t="str">
        <f>INDEX(Lists!H:H,MATCH(Validation!E10179,Lists!G:G,0))</f>
        <v>This parcel does not appear to be pledged to an outstanding in-district obligation.</v>
      </c>
      <c r="H10179" s="25" t="str">
        <f t="shared" ca="1" si="1122"/>
        <v/>
      </c>
      <c r="I10179" s="25" t="str">
        <f t="shared" ca="1" si="1123"/>
        <v/>
      </c>
      <c r="J10179" s="26" t="str">
        <f t="shared" si="1124"/>
        <v/>
      </c>
    </row>
    <row r="10180" spans="1:10" x14ac:dyDescent="0.25">
      <c r="A10180" t="s">
        <v>111</v>
      </c>
      <c r="B10180" t="str">
        <f>ADDRESS(ROW(Parcels!B607),COLUMN(Parcels!B1449),4)</f>
        <v>B607</v>
      </c>
      <c r="C10180" t="str">
        <f>ADDRESS(ROW(Parcels!D607),COLUMN(Parcels!D607),4)</f>
        <v>D607</v>
      </c>
      <c r="D10180" s="46" t="b">
        <f>IF(AND(Parcels!B607="Current",'Six-Yr Rule'!B608&lt;=Year_DestinationYearID),IF((SUMIFS('Bond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180" t="s">
        <v>1641</v>
      </c>
      <c r="F10180" t="str">
        <f>INDEX(Lists!I:I,MATCH(Validation!E10180,Lists!G:G,0))</f>
        <v>Alert</v>
      </c>
      <c r="G10180" t="str">
        <f>INDEX(Lists!H:H,MATCH(Validation!E10180,Lists!G:G,0))</f>
        <v>This parcel does not appear to be pledged to an outstanding in-district obligation.</v>
      </c>
      <c r="H10180" s="25" t="str">
        <f t="shared" ca="1" si="1122"/>
        <v/>
      </c>
      <c r="I10180" s="25" t="str">
        <f t="shared" ca="1" si="1123"/>
        <v/>
      </c>
      <c r="J10180" s="26" t="str">
        <f t="shared" si="1124"/>
        <v/>
      </c>
    </row>
    <row r="10181" spans="1:10" x14ac:dyDescent="0.25">
      <c r="A10181" t="s">
        <v>111</v>
      </c>
      <c r="B10181" t="str">
        <f>ADDRESS(ROW(Parcels!B608),COLUMN(Parcels!B1450),4)</f>
        <v>B608</v>
      </c>
      <c r="C10181" t="str">
        <f>ADDRESS(ROW(Parcels!D608),COLUMN(Parcels!D608),4)</f>
        <v>D608</v>
      </c>
      <c r="D10181" s="46" t="b">
        <f>IF(AND(Parcels!B608="Current",'Six-Yr Rule'!B609&lt;=Year_DestinationYearID),IF((SUMIFS('Bond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181" t="s">
        <v>1641</v>
      </c>
      <c r="F10181" t="str">
        <f>INDEX(Lists!I:I,MATCH(Validation!E10181,Lists!G:G,0))</f>
        <v>Alert</v>
      </c>
      <c r="G10181" t="str">
        <f>INDEX(Lists!H:H,MATCH(Validation!E10181,Lists!G:G,0))</f>
        <v>This parcel does not appear to be pledged to an outstanding in-district obligation.</v>
      </c>
      <c r="H10181" s="25" t="str">
        <f t="shared" ca="1" si="1122"/>
        <v/>
      </c>
      <c r="I10181" s="25" t="str">
        <f t="shared" ca="1" si="1123"/>
        <v/>
      </c>
      <c r="J10181" s="26" t="str">
        <f t="shared" si="1124"/>
        <v/>
      </c>
    </row>
    <row r="10182" spans="1:10" x14ac:dyDescent="0.25">
      <c r="A10182" t="s">
        <v>111</v>
      </c>
      <c r="B10182" t="str">
        <f>ADDRESS(ROW(Parcels!B609),COLUMN(Parcels!B1451),4)</f>
        <v>B609</v>
      </c>
      <c r="C10182" t="str">
        <f>ADDRESS(ROW(Parcels!D609),COLUMN(Parcels!D609),4)</f>
        <v>D609</v>
      </c>
      <c r="D10182" s="46" t="b">
        <f>IF(AND(Parcels!B609="Current",'Six-Yr Rule'!B610&lt;=Year_DestinationYearID),IF((SUMIFS('Bond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182" t="s">
        <v>1641</v>
      </c>
      <c r="F10182" t="str">
        <f>INDEX(Lists!I:I,MATCH(Validation!E10182,Lists!G:G,0))</f>
        <v>Alert</v>
      </c>
      <c r="G10182" t="str">
        <f>INDEX(Lists!H:H,MATCH(Validation!E10182,Lists!G:G,0))</f>
        <v>This parcel does not appear to be pledged to an outstanding in-district obligation.</v>
      </c>
      <c r="H10182" s="25" t="str">
        <f t="shared" ca="1" si="1122"/>
        <v/>
      </c>
      <c r="I10182" s="25" t="str">
        <f t="shared" ca="1" si="1123"/>
        <v/>
      </c>
      <c r="J10182" s="26" t="str">
        <f t="shared" si="1124"/>
        <v/>
      </c>
    </row>
    <row r="10183" spans="1:10" x14ac:dyDescent="0.25">
      <c r="A10183" t="s">
        <v>111</v>
      </c>
      <c r="B10183" t="str">
        <f>ADDRESS(ROW(Parcels!B610),COLUMN(Parcels!B1452),4)</f>
        <v>B610</v>
      </c>
      <c r="C10183" t="str">
        <f>ADDRESS(ROW(Parcels!D610),COLUMN(Parcels!D610),4)</f>
        <v>D610</v>
      </c>
      <c r="D10183" s="46" t="b">
        <f>IF(AND(Parcels!B610="Current",'Six-Yr Rule'!B611&lt;=Year_DestinationYearID),IF((SUMIFS('Bond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183" t="s">
        <v>1641</v>
      </c>
      <c r="F10183" t="str">
        <f>INDEX(Lists!I:I,MATCH(Validation!E10183,Lists!G:G,0))</f>
        <v>Alert</v>
      </c>
      <c r="G10183" t="str">
        <f>INDEX(Lists!H:H,MATCH(Validation!E10183,Lists!G:G,0))</f>
        <v>This parcel does not appear to be pledged to an outstanding in-district obligation.</v>
      </c>
      <c r="H10183" s="25" t="str">
        <f t="shared" ca="1" si="1122"/>
        <v/>
      </c>
      <c r="I10183" s="25" t="str">
        <f t="shared" ca="1" si="1123"/>
        <v/>
      </c>
      <c r="J10183" s="26" t="str">
        <f t="shared" si="1124"/>
        <v/>
      </c>
    </row>
    <row r="10184" spans="1:10" x14ac:dyDescent="0.25">
      <c r="A10184" t="s">
        <v>111</v>
      </c>
      <c r="B10184" t="str">
        <f>ADDRESS(ROW(Parcels!B611),COLUMN(Parcels!B1453),4)</f>
        <v>B611</v>
      </c>
      <c r="C10184" t="str">
        <f>ADDRESS(ROW(Parcels!D611),COLUMN(Parcels!D611),4)</f>
        <v>D611</v>
      </c>
      <c r="D10184" s="46" t="b">
        <f>IF(AND(Parcels!B611="Current",'Six-Yr Rule'!B612&lt;=Year_DestinationYearID),IF((SUMIFS('Bond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184" t="s">
        <v>1641</v>
      </c>
      <c r="F10184" t="str">
        <f>INDEX(Lists!I:I,MATCH(Validation!E10184,Lists!G:G,0))</f>
        <v>Alert</v>
      </c>
      <c r="G10184" t="str">
        <f>INDEX(Lists!H:H,MATCH(Validation!E10184,Lists!G:G,0))</f>
        <v>This parcel does not appear to be pledged to an outstanding in-district obligation.</v>
      </c>
      <c r="H10184" s="25" t="str">
        <f t="shared" ca="1" si="1122"/>
        <v/>
      </c>
      <c r="I10184" s="25" t="str">
        <f t="shared" ca="1" si="1123"/>
        <v/>
      </c>
      <c r="J10184" s="26" t="str">
        <f t="shared" si="1124"/>
        <v/>
      </c>
    </row>
    <row r="10185" spans="1:10" x14ac:dyDescent="0.25">
      <c r="A10185" t="s">
        <v>111</v>
      </c>
      <c r="B10185" t="str">
        <f>ADDRESS(ROW(Parcels!B612),COLUMN(Parcels!B1454),4)</f>
        <v>B612</v>
      </c>
      <c r="C10185" t="str">
        <f>ADDRESS(ROW(Parcels!D612),COLUMN(Parcels!D612),4)</f>
        <v>D612</v>
      </c>
      <c r="D10185" s="46" t="b">
        <f>IF(AND(Parcels!B612="Current",'Six-Yr Rule'!B613&lt;=Year_DestinationYearID),IF((SUMIFS('Bond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185" t="s">
        <v>1641</v>
      </c>
      <c r="F10185" t="str">
        <f>INDEX(Lists!I:I,MATCH(Validation!E10185,Lists!G:G,0))</f>
        <v>Alert</v>
      </c>
      <c r="G10185" t="str">
        <f>INDEX(Lists!H:H,MATCH(Validation!E10185,Lists!G:G,0))</f>
        <v>This parcel does not appear to be pledged to an outstanding in-district obligation.</v>
      </c>
      <c r="H10185" s="25" t="str">
        <f t="shared" ca="1" si="1122"/>
        <v/>
      </c>
      <c r="I10185" s="25" t="str">
        <f t="shared" ca="1" si="1123"/>
        <v/>
      </c>
      <c r="J10185" s="26" t="str">
        <f t="shared" si="1124"/>
        <v/>
      </c>
    </row>
    <row r="10186" spans="1:10" x14ac:dyDescent="0.25">
      <c r="A10186" t="s">
        <v>111</v>
      </c>
      <c r="B10186" t="str">
        <f>ADDRESS(ROW(Parcels!B613),COLUMN(Parcels!B1455),4)</f>
        <v>B613</v>
      </c>
      <c r="C10186" t="str">
        <f>ADDRESS(ROW(Parcels!D613),COLUMN(Parcels!D613),4)</f>
        <v>D613</v>
      </c>
      <c r="D10186" s="46" t="b">
        <f>IF(AND(Parcels!B613="Current",'Six-Yr Rule'!B614&lt;=Year_DestinationYearID),IF((SUMIFS('Bond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186" t="s">
        <v>1641</v>
      </c>
      <c r="F10186" t="str">
        <f>INDEX(Lists!I:I,MATCH(Validation!E10186,Lists!G:G,0))</f>
        <v>Alert</v>
      </c>
      <c r="G10186" t="str">
        <f>INDEX(Lists!H:H,MATCH(Validation!E10186,Lists!G:G,0))</f>
        <v>This parcel does not appear to be pledged to an outstanding in-district obligation.</v>
      </c>
      <c r="H10186" s="25" t="str">
        <f t="shared" ca="1" si="1122"/>
        <v/>
      </c>
      <c r="I10186" s="25" t="str">
        <f t="shared" ca="1" si="1123"/>
        <v/>
      </c>
      <c r="J10186" s="26" t="str">
        <f t="shared" si="1124"/>
        <v/>
      </c>
    </row>
    <row r="10187" spans="1:10" x14ac:dyDescent="0.25">
      <c r="A10187" t="s">
        <v>111</v>
      </c>
      <c r="B10187" t="str">
        <f>ADDRESS(ROW(Parcels!B614),COLUMN(Parcels!B1456),4)</f>
        <v>B614</v>
      </c>
      <c r="C10187" t="str">
        <f>ADDRESS(ROW(Parcels!D614),COLUMN(Parcels!D614),4)</f>
        <v>D614</v>
      </c>
      <c r="D10187" s="46" t="b">
        <f>IF(AND(Parcels!B614="Current",'Six-Yr Rule'!B615&lt;=Year_DestinationYearID),IF((SUMIFS('Bond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187" t="s">
        <v>1641</v>
      </c>
      <c r="F10187" t="str">
        <f>INDEX(Lists!I:I,MATCH(Validation!E10187,Lists!G:G,0))</f>
        <v>Alert</v>
      </c>
      <c r="G10187" t="str">
        <f>INDEX(Lists!H:H,MATCH(Validation!E10187,Lists!G:G,0))</f>
        <v>This parcel does not appear to be pledged to an outstanding in-district obligation.</v>
      </c>
      <c r="H10187" s="25" t="str">
        <f t="shared" ca="1" si="1122"/>
        <v/>
      </c>
      <c r="I10187" s="25" t="str">
        <f t="shared" ca="1" si="1123"/>
        <v/>
      </c>
      <c r="J10187" s="26" t="str">
        <f t="shared" si="1124"/>
        <v/>
      </c>
    </row>
    <row r="10188" spans="1:10" x14ac:dyDescent="0.25">
      <c r="A10188" t="s">
        <v>111</v>
      </c>
      <c r="B10188" t="str">
        <f>ADDRESS(ROW(Parcels!B615),COLUMN(Parcels!B1457),4)</f>
        <v>B615</v>
      </c>
      <c r="C10188" t="str">
        <f>ADDRESS(ROW(Parcels!D615),COLUMN(Parcels!D615),4)</f>
        <v>D615</v>
      </c>
      <c r="D10188" s="46" t="b">
        <f>IF(AND(Parcels!B615="Current",'Six-Yr Rule'!B616&lt;=Year_DestinationYearID),IF((SUMIFS('Bond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188" t="s">
        <v>1641</v>
      </c>
      <c r="F10188" t="str">
        <f>INDEX(Lists!I:I,MATCH(Validation!E10188,Lists!G:G,0))</f>
        <v>Alert</v>
      </c>
      <c r="G10188" t="str">
        <f>INDEX(Lists!H:H,MATCH(Validation!E10188,Lists!G:G,0))</f>
        <v>This parcel does not appear to be pledged to an outstanding in-district obligation.</v>
      </c>
      <c r="H10188" s="25" t="str">
        <f t="shared" ca="1" si="1122"/>
        <v/>
      </c>
      <c r="I10188" s="25" t="str">
        <f t="shared" ca="1" si="1123"/>
        <v/>
      </c>
      <c r="J10188" s="26" t="str">
        <f t="shared" si="1124"/>
        <v/>
      </c>
    </row>
    <row r="10189" spans="1:10" x14ac:dyDescent="0.25">
      <c r="A10189" t="s">
        <v>111</v>
      </c>
      <c r="B10189" t="str">
        <f>ADDRESS(ROW(Parcels!B616),COLUMN(Parcels!B1458),4)</f>
        <v>B616</v>
      </c>
      <c r="C10189" t="str">
        <f>ADDRESS(ROW(Parcels!D616),COLUMN(Parcels!D616),4)</f>
        <v>D616</v>
      </c>
      <c r="D10189" s="46" t="b">
        <f>IF(AND(Parcels!B616="Current",'Six-Yr Rule'!B617&lt;=Year_DestinationYearID),IF((SUMIFS('Bond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189" t="s">
        <v>1641</v>
      </c>
      <c r="F10189" t="str">
        <f>INDEX(Lists!I:I,MATCH(Validation!E10189,Lists!G:G,0))</f>
        <v>Alert</v>
      </c>
      <c r="G10189" t="str">
        <f>INDEX(Lists!H:H,MATCH(Validation!E10189,Lists!G:G,0))</f>
        <v>This parcel does not appear to be pledged to an outstanding in-district obligation.</v>
      </c>
      <c r="H10189" s="25" t="str">
        <f t="shared" ca="1" si="1122"/>
        <v/>
      </c>
      <c r="I10189" s="25" t="str">
        <f t="shared" ca="1" si="1123"/>
        <v/>
      </c>
      <c r="J10189" s="26" t="str">
        <f t="shared" si="1124"/>
        <v/>
      </c>
    </row>
    <row r="10190" spans="1:10" x14ac:dyDescent="0.25">
      <c r="A10190" t="s">
        <v>111</v>
      </c>
      <c r="B10190" t="str">
        <f>ADDRESS(ROW(Parcels!B617),COLUMN(Parcels!B1459),4)</f>
        <v>B617</v>
      </c>
      <c r="C10190" t="str">
        <f>ADDRESS(ROW(Parcels!D617),COLUMN(Parcels!D617),4)</f>
        <v>D617</v>
      </c>
      <c r="D10190" s="46" t="b">
        <f>IF(AND(Parcels!B617="Current",'Six-Yr Rule'!B618&lt;=Year_DestinationYearID),IF((SUMIFS('Bond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190" t="s">
        <v>1641</v>
      </c>
      <c r="F10190" t="str">
        <f>INDEX(Lists!I:I,MATCH(Validation!E10190,Lists!G:G,0))</f>
        <v>Alert</v>
      </c>
      <c r="G10190" t="str">
        <f>INDEX(Lists!H:H,MATCH(Validation!E10190,Lists!G:G,0))</f>
        <v>This parcel does not appear to be pledged to an outstanding in-district obligation.</v>
      </c>
      <c r="H10190" s="25" t="str">
        <f t="shared" ca="1" si="1122"/>
        <v/>
      </c>
      <c r="I10190" s="25" t="str">
        <f t="shared" ca="1" si="1123"/>
        <v/>
      </c>
      <c r="J10190" s="26" t="str">
        <f t="shared" si="1124"/>
        <v/>
      </c>
    </row>
    <row r="10191" spans="1:10" x14ac:dyDescent="0.25">
      <c r="A10191" t="s">
        <v>111</v>
      </c>
      <c r="B10191" t="str">
        <f>ADDRESS(ROW(Parcels!B618),COLUMN(Parcels!B1460),4)</f>
        <v>B618</v>
      </c>
      <c r="C10191" t="str">
        <f>ADDRESS(ROW(Parcels!D618),COLUMN(Parcels!D618),4)</f>
        <v>D618</v>
      </c>
      <c r="D10191" s="46" t="b">
        <f>IF(AND(Parcels!B618="Current",'Six-Yr Rule'!B619&lt;=Year_DestinationYearID),IF((SUMIFS('Bond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191" t="s">
        <v>1641</v>
      </c>
      <c r="F10191" t="str">
        <f>INDEX(Lists!I:I,MATCH(Validation!E10191,Lists!G:G,0))</f>
        <v>Alert</v>
      </c>
      <c r="G10191" t="str">
        <f>INDEX(Lists!H:H,MATCH(Validation!E10191,Lists!G:G,0))</f>
        <v>This parcel does not appear to be pledged to an outstanding in-district obligation.</v>
      </c>
      <c r="H10191" s="25" t="str">
        <f t="shared" ca="1" si="1122"/>
        <v/>
      </c>
      <c r="I10191" s="25" t="str">
        <f t="shared" ca="1" si="1123"/>
        <v/>
      </c>
      <c r="J10191" s="26" t="str">
        <f t="shared" si="1124"/>
        <v/>
      </c>
    </row>
    <row r="10192" spans="1:10" x14ac:dyDescent="0.25">
      <c r="A10192" t="s">
        <v>111</v>
      </c>
      <c r="B10192" t="str">
        <f>ADDRESS(ROW(Parcels!B619),COLUMN(Parcels!B1461),4)</f>
        <v>B619</v>
      </c>
      <c r="C10192" t="str">
        <f>ADDRESS(ROW(Parcels!D619),COLUMN(Parcels!D619),4)</f>
        <v>D619</v>
      </c>
      <c r="D10192" s="46" t="b">
        <f>IF(AND(Parcels!B619="Current",'Six-Yr Rule'!B620&lt;=Year_DestinationYearID),IF((SUMIFS('Bond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192" t="s">
        <v>1641</v>
      </c>
      <c r="F10192" t="str">
        <f>INDEX(Lists!I:I,MATCH(Validation!E10192,Lists!G:G,0))</f>
        <v>Alert</v>
      </c>
      <c r="G10192" t="str">
        <f>INDEX(Lists!H:H,MATCH(Validation!E10192,Lists!G:G,0))</f>
        <v>This parcel does not appear to be pledged to an outstanding in-district obligation.</v>
      </c>
      <c r="H10192" s="25" t="str">
        <f t="shared" ca="1" si="1122"/>
        <v/>
      </c>
      <c r="I10192" s="25" t="str">
        <f t="shared" ca="1" si="1123"/>
        <v/>
      </c>
      <c r="J10192" s="26" t="str">
        <f t="shared" si="1124"/>
        <v/>
      </c>
    </row>
    <row r="10193" spans="1:10" x14ac:dyDescent="0.25">
      <c r="A10193" t="s">
        <v>111</v>
      </c>
      <c r="B10193" t="str">
        <f>ADDRESS(ROW(Parcels!B620),COLUMN(Parcels!B1462),4)</f>
        <v>B620</v>
      </c>
      <c r="C10193" t="str">
        <f>ADDRESS(ROW(Parcels!D620),COLUMN(Parcels!D620),4)</f>
        <v>D620</v>
      </c>
      <c r="D10193" s="46" t="b">
        <f>IF(AND(Parcels!B620="Current",'Six-Yr Rule'!B621&lt;=Year_DestinationYearID),IF((SUMIFS('Bond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193" t="s">
        <v>1641</v>
      </c>
      <c r="F10193" t="str">
        <f>INDEX(Lists!I:I,MATCH(Validation!E10193,Lists!G:G,0))</f>
        <v>Alert</v>
      </c>
      <c r="G10193" t="str">
        <f>INDEX(Lists!H:H,MATCH(Validation!E10193,Lists!G:G,0))</f>
        <v>This parcel does not appear to be pledged to an outstanding in-district obligation.</v>
      </c>
      <c r="H10193" s="25" t="str">
        <f t="shared" ca="1" si="1122"/>
        <v/>
      </c>
      <c r="I10193" s="25" t="str">
        <f t="shared" ca="1" si="1123"/>
        <v/>
      </c>
      <c r="J10193" s="26" t="str">
        <f t="shared" si="1124"/>
        <v/>
      </c>
    </row>
    <row r="10194" spans="1:10" x14ac:dyDescent="0.25">
      <c r="A10194" t="s">
        <v>111</v>
      </c>
      <c r="B10194" t="str">
        <f>ADDRESS(ROW(Parcels!B621),COLUMN(Parcels!B1463),4)</f>
        <v>B621</v>
      </c>
      <c r="C10194" t="str">
        <f>ADDRESS(ROW(Parcels!D621),COLUMN(Parcels!D621),4)</f>
        <v>D621</v>
      </c>
      <c r="D10194" s="46" t="b">
        <f>IF(AND(Parcels!B621="Current",'Six-Yr Rule'!B622&lt;=Year_DestinationYearID),IF((SUMIFS('Bond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194" t="s">
        <v>1641</v>
      </c>
      <c r="F10194" t="str">
        <f>INDEX(Lists!I:I,MATCH(Validation!E10194,Lists!G:G,0))</f>
        <v>Alert</v>
      </c>
      <c r="G10194" t="str">
        <f>INDEX(Lists!H:H,MATCH(Validation!E10194,Lists!G:G,0))</f>
        <v>This parcel does not appear to be pledged to an outstanding in-district obligation.</v>
      </c>
      <c r="H10194" s="25" t="str">
        <f t="shared" ca="1" si="1122"/>
        <v/>
      </c>
      <c r="I10194" s="25" t="str">
        <f t="shared" ca="1" si="1123"/>
        <v/>
      </c>
      <c r="J10194" s="26" t="str">
        <f t="shared" si="1124"/>
        <v/>
      </c>
    </row>
    <row r="10195" spans="1:10" x14ac:dyDescent="0.25">
      <c r="A10195" t="s">
        <v>111</v>
      </c>
      <c r="B10195" t="str">
        <f>ADDRESS(ROW(Parcels!B622),COLUMN(Parcels!B1464),4)</f>
        <v>B622</v>
      </c>
      <c r="C10195" t="str">
        <f>ADDRESS(ROW(Parcels!D622),COLUMN(Parcels!D622),4)</f>
        <v>D622</v>
      </c>
      <c r="D10195" s="46" t="b">
        <f>IF(AND(Parcels!B622="Current",'Six-Yr Rule'!B623&lt;=Year_DestinationYearID),IF((SUMIFS('Bond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195" t="s">
        <v>1641</v>
      </c>
      <c r="F10195" t="str">
        <f>INDEX(Lists!I:I,MATCH(Validation!E10195,Lists!G:G,0))</f>
        <v>Alert</v>
      </c>
      <c r="G10195" t="str">
        <f>INDEX(Lists!H:H,MATCH(Validation!E10195,Lists!G:G,0))</f>
        <v>This parcel does not appear to be pledged to an outstanding in-district obligation.</v>
      </c>
      <c r="H10195" s="25" t="str">
        <f t="shared" ca="1" si="1122"/>
        <v/>
      </c>
      <c r="I10195" s="25" t="str">
        <f t="shared" ca="1" si="1123"/>
        <v/>
      </c>
      <c r="J10195" s="26" t="str">
        <f t="shared" si="1124"/>
        <v/>
      </c>
    </row>
    <row r="10196" spans="1:10" x14ac:dyDescent="0.25">
      <c r="A10196" t="s">
        <v>111</v>
      </c>
      <c r="B10196" t="str">
        <f>ADDRESS(ROW(Parcels!B623),COLUMN(Parcels!B1465),4)</f>
        <v>B623</v>
      </c>
      <c r="C10196" t="str">
        <f>ADDRESS(ROW(Parcels!D623),COLUMN(Parcels!D623),4)</f>
        <v>D623</v>
      </c>
      <c r="D10196" s="46" t="b">
        <f>IF(AND(Parcels!B623="Current",'Six-Yr Rule'!B624&lt;=Year_DestinationYearID),IF((SUMIFS('Bond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196" t="s">
        <v>1641</v>
      </c>
      <c r="F10196" t="str">
        <f>INDEX(Lists!I:I,MATCH(Validation!E10196,Lists!G:G,0))</f>
        <v>Alert</v>
      </c>
      <c r="G10196" t="str">
        <f>INDEX(Lists!H:H,MATCH(Validation!E10196,Lists!G:G,0))</f>
        <v>This parcel does not appear to be pledged to an outstanding in-district obligation.</v>
      </c>
      <c r="H10196" s="25" t="str">
        <f t="shared" ca="1" si="1122"/>
        <v/>
      </c>
      <c r="I10196" s="25" t="str">
        <f t="shared" ca="1" si="1123"/>
        <v/>
      </c>
      <c r="J10196" s="26" t="str">
        <f t="shared" si="1124"/>
        <v/>
      </c>
    </row>
    <row r="10197" spans="1:10" x14ac:dyDescent="0.25">
      <c r="A10197" t="s">
        <v>111</v>
      </c>
      <c r="B10197" t="str">
        <f>ADDRESS(ROW(Parcels!B624),COLUMN(Parcels!B1466),4)</f>
        <v>B624</v>
      </c>
      <c r="C10197" t="str">
        <f>ADDRESS(ROW(Parcels!D624),COLUMN(Parcels!D624),4)</f>
        <v>D624</v>
      </c>
      <c r="D10197" s="46" t="b">
        <f>IF(AND(Parcels!B624="Current",'Six-Yr Rule'!B625&lt;=Year_DestinationYearID),IF((SUMIFS('Bond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197" t="s">
        <v>1641</v>
      </c>
      <c r="F10197" t="str">
        <f>INDEX(Lists!I:I,MATCH(Validation!E10197,Lists!G:G,0))</f>
        <v>Alert</v>
      </c>
      <c r="G10197" t="str">
        <f>INDEX(Lists!H:H,MATCH(Validation!E10197,Lists!G:G,0))</f>
        <v>This parcel does not appear to be pledged to an outstanding in-district obligation.</v>
      </c>
      <c r="H10197" s="25" t="str">
        <f t="shared" ca="1" si="1122"/>
        <v/>
      </c>
      <c r="I10197" s="25" t="str">
        <f t="shared" ca="1" si="1123"/>
        <v/>
      </c>
      <c r="J10197" s="26" t="str">
        <f t="shared" si="1124"/>
        <v/>
      </c>
    </row>
    <row r="10198" spans="1:10" x14ac:dyDescent="0.25">
      <c r="A10198" t="s">
        <v>111</v>
      </c>
      <c r="B10198" t="str">
        <f>ADDRESS(ROW(Parcels!B625),COLUMN(Parcels!B1467),4)</f>
        <v>B625</v>
      </c>
      <c r="C10198" t="str">
        <f>ADDRESS(ROW(Parcels!D625),COLUMN(Parcels!D625),4)</f>
        <v>D625</v>
      </c>
      <c r="D10198" s="46" t="b">
        <f>IF(AND(Parcels!B625="Current",'Six-Yr Rule'!B626&lt;=Year_DestinationYearID),IF((SUMIFS('Bond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198" t="s">
        <v>1641</v>
      </c>
      <c r="F10198" t="str">
        <f>INDEX(Lists!I:I,MATCH(Validation!E10198,Lists!G:G,0))</f>
        <v>Alert</v>
      </c>
      <c r="G10198" t="str">
        <f>INDEX(Lists!H:H,MATCH(Validation!E10198,Lists!G:G,0))</f>
        <v>This parcel does not appear to be pledged to an outstanding in-district obligation.</v>
      </c>
      <c r="H10198" s="25" t="str">
        <f t="shared" ca="1" si="1122"/>
        <v/>
      </c>
      <c r="I10198" s="25" t="str">
        <f t="shared" ca="1" si="1123"/>
        <v/>
      </c>
      <c r="J10198" s="26" t="str">
        <f t="shared" si="1124"/>
        <v/>
      </c>
    </row>
    <row r="10199" spans="1:10" x14ac:dyDescent="0.25">
      <c r="A10199" t="s">
        <v>111</v>
      </c>
      <c r="B10199" t="str">
        <f>ADDRESS(ROW(Parcels!B626),COLUMN(Parcels!B1468),4)</f>
        <v>B626</v>
      </c>
      <c r="C10199" t="str">
        <f>ADDRESS(ROW(Parcels!D626),COLUMN(Parcels!D626),4)</f>
        <v>D626</v>
      </c>
      <c r="D10199" s="46" t="b">
        <f>IF(AND(Parcels!B626="Current",'Six-Yr Rule'!B627&lt;=Year_DestinationYearID),IF((SUMIFS('Bond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199" t="s">
        <v>1641</v>
      </c>
      <c r="F10199" t="str">
        <f>INDEX(Lists!I:I,MATCH(Validation!E10199,Lists!G:G,0))</f>
        <v>Alert</v>
      </c>
      <c r="G10199" t="str">
        <f>INDEX(Lists!H:H,MATCH(Validation!E10199,Lists!G:G,0))</f>
        <v>This parcel does not appear to be pledged to an outstanding in-district obligation.</v>
      </c>
      <c r="H10199" s="25" t="str">
        <f t="shared" ca="1" si="1122"/>
        <v/>
      </c>
      <c r="I10199" s="25" t="str">
        <f t="shared" ca="1" si="1123"/>
        <v/>
      </c>
      <c r="J10199" s="26" t="str">
        <f t="shared" si="1124"/>
        <v/>
      </c>
    </row>
    <row r="10200" spans="1:10" x14ac:dyDescent="0.25">
      <c r="A10200" t="s">
        <v>111</v>
      </c>
      <c r="B10200" t="str">
        <f>ADDRESS(ROW(Parcels!B627),COLUMN(Parcels!B1469),4)</f>
        <v>B627</v>
      </c>
      <c r="C10200" t="str">
        <f>ADDRESS(ROW(Parcels!D627),COLUMN(Parcels!D627),4)</f>
        <v>D627</v>
      </c>
      <c r="D10200" s="46" t="b">
        <f>IF(AND(Parcels!B627="Current",'Six-Yr Rule'!B628&lt;=Year_DestinationYearID),IF((SUMIFS('Bond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200" t="s">
        <v>1641</v>
      </c>
      <c r="F10200" t="str">
        <f>INDEX(Lists!I:I,MATCH(Validation!E10200,Lists!G:G,0))</f>
        <v>Alert</v>
      </c>
      <c r="G10200" t="str">
        <f>INDEX(Lists!H:H,MATCH(Validation!E10200,Lists!G:G,0))</f>
        <v>This parcel does not appear to be pledged to an outstanding in-district obligation.</v>
      </c>
      <c r="H10200" s="25" t="str">
        <f t="shared" ca="1" si="1122"/>
        <v/>
      </c>
      <c r="I10200" s="25" t="str">
        <f t="shared" ca="1" si="1123"/>
        <v/>
      </c>
      <c r="J10200" s="26" t="str">
        <f t="shared" si="1124"/>
        <v/>
      </c>
    </row>
    <row r="10201" spans="1:10" x14ac:dyDescent="0.25">
      <c r="A10201" t="s">
        <v>111</v>
      </c>
      <c r="B10201" t="str">
        <f>ADDRESS(ROW(Parcels!B628),COLUMN(Parcels!B1470),4)</f>
        <v>B628</v>
      </c>
      <c r="C10201" t="str">
        <f>ADDRESS(ROW(Parcels!D628),COLUMN(Parcels!D628),4)</f>
        <v>D628</v>
      </c>
      <c r="D10201" s="46" t="b">
        <f>IF(AND(Parcels!B628="Current",'Six-Yr Rule'!B629&lt;=Year_DestinationYearID),IF((SUMIFS('Bond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201" t="s">
        <v>1641</v>
      </c>
      <c r="F10201" t="str">
        <f>INDEX(Lists!I:I,MATCH(Validation!E10201,Lists!G:G,0))</f>
        <v>Alert</v>
      </c>
      <c r="G10201" t="str">
        <f>INDEX(Lists!H:H,MATCH(Validation!E10201,Lists!G:G,0))</f>
        <v>This parcel does not appear to be pledged to an outstanding in-district obligation.</v>
      </c>
      <c r="H10201" s="25" t="str">
        <f t="shared" ca="1" si="1122"/>
        <v/>
      </c>
      <c r="I10201" s="25" t="str">
        <f t="shared" ca="1" si="1123"/>
        <v/>
      </c>
      <c r="J10201" s="26" t="str">
        <f t="shared" si="1124"/>
        <v/>
      </c>
    </row>
    <row r="10202" spans="1:10" x14ac:dyDescent="0.25">
      <c r="A10202" t="s">
        <v>111</v>
      </c>
      <c r="B10202" t="str">
        <f>ADDRESS(ROW(Parcels!B629),COLUMN(Parcels!B1471),4)</f>
        <v>B629</v>
      </c>
      <c r="C10202" t="str">
        <f>ADDRESS(ROW(Parcels!D629),COLUMN(Parcels!D629),4)</f>
        <v>D629</v>
      </c>
      <c r="D10202" s="46" t="b">
        <f>IF(AND(Parcels!B629="Current",'Six-Yr Rule'!B630&lt;=Year_DestinationYearID),IF((SUMIFS('Bond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202" t="s">
        <v>1641</v>
      </c>
      <c r="F10202" t="str">
        <f>INDEX(Lists!I:I,MATCH(Validation!E10202,Lists!G:G,0))</f>
        <v>Alert</v>
      </c>
      <c r="G10202" t="str">
        <f>INDEX(Lists!H:H,MATCH(Validation!E10202,Lists!G:G,0))</f>
        <v>This parcel does not appear to be pledged to an outstanding in-district obligation.</v>
      </c>
      <c r="H10202" s="25" t="str">
        <f t="shared" ca="1" si="1122"/>
        <v/>
      </c>
      <c r="I10202" s="25" t="str">
        <f t="shared" ca="1" si="1123"/>
        <v/>
      </c>
      <c r="J10202" s="26" t="str">
        <f t="shared" si="1124"/>
        <v/>
      </c>
    </row>
    <row r="10203" spans="1:10" x14ac:dyDescent="0.25">
      <c r="A10203" t="s">
        <v>111</v>
      </c>
      <c r="B10203" t="str">
        <f>ADDRESS(ROW(Parcels!B630),COLUMN(Parcels!B1472),4)</f>
        <v>B630</v>
      </c>
      <c r="C10203" t="str">
        <f>ADDRESS(ROW(Parcels!D630),COLUMN(Parcels!D630),4)</f>
        <v>D630</v>
      </c>
      <c r="D10203" s="46" t="b">
        <f>IF(AND(Parcels!B630="Current",'Six-Yr Rule'!B631&lt;=Year_DestinationYearID),IF((SUMIFS('Bond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203" t="s">
        <v>1641</v>
      </c>
      <c r="F10203" t="str">
        <f>INDEX(Lists!I:I,MATCH(Validation!E10203,Lists!G:G,0))</f>
        <v>Alert</v>
      </c>
      <c r="G10203" t="str">
        <f>INDEX(Lists!H:H,MATCH(Validation!E10203,Lists!G:G,0))</f>
        <v>This parcel does not appear to be pledged to an outstanding in-district obligation.</v>
      </c>
      <c r="H10203" s="25" t="str">
        <f t="shared" ca="1" si="1122"/>
        <v/>
      </c>
      <c r="I10203" s="25" t="str">
        <f t="shared" ca="1" si="1123"/>
        <v/>
      </c>
      <c r="J10203" s="26" t="str">
        <f t="shared" si="1124"/>
        <v/>
      </c>
    </row>
    <row r="10204" spans="1:10" x14ac:dyDescent="0.25">
      <c r="A10204" t="s">
        <v>111</v>
      </c>
      <c r="B10204" t="str">
        <f>ADDRESS(ROW(Parcels!B631),COLUMN(Parcels!B1473),4)</f>
        <v>B631</v>
      </c>
      <c r="C10204" t="str">
        <f>ADDRESS(ROW(Parcels!D631),COLUMN(Parcels!D631),4)</f>
        <v>D631</v>
      </c>
      <c r="D10204" s="46" t="b">
        <f>IF(AND(Parcels!B631="Current",'Six-Yr Rule'!B632&lt;=Year_DestinationYearID),IF((SUMIFS('Bond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204" t="s">
        <v>1641</v>
      </c>
      <c r="F10204" t="str">
        <f>INDEX(Lists!I:I,MATCH(Validation!E10204,Lists!G:G,0))</f>
        <v>Alert</v>
      </c>
      <c r="G10204" t="str">
        <f>INDEX(Lists!H:H,MATCH(Validation!E10204,Lists!G:G,0))</f>
        <v>This parcel does not appear to be pledged to an outstanding in-district obligation.</v>
      </c>
      <c r="H10204" s="25" t="str">
        <f t="shared" ca="1" si="1122"/>
        <v/>
      </c>
      <c r="I10204" s="25" t="str">
        <f t="shared" ca="1" si="1123"/>
        <v/>
      </c>
      <c r="J10204" s="26" t="str">
        <f t="shared" si="1124"/>
        <v/>
      </c>
    </row>
    <row r="10205" spans="1:10" x14ac:dyDescent="0.25">
      <c r="A10205" t="s">
        <v>111</v>
      </c>
      <c r="B10205" t="str">
        <f>ADDRESS(ROW(Parcels!B632),COLUMN(Parcels!B1474),4)</f>
        <v>B632</v>
      </c>
      <c r="C10205" t="str">
        <f>ADDRESS(ROW(Parcels!D632),COLUMN(Parcels!D632),4)</f>
        <v>D632</v>
      </c>
      <c r="D10205" s="46" t="b">
        <f>IF(AND(Parcels!B632="Current",'Six-Yr Rule'!B633&lt;=Year_DestinationYearID),IF((SUMIFS('Bond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205" t="s">
        <v>1641</v>
      </c>
      <c r="F10205" t="str">
        <f>INDEX(Lists!I:I,MATCH(Validation!E10205,Lists!G:G,0))</f>
        <v>Alert</v>
      </c>
      <c r="G10205" t="str">
        <f>INDEX(Lists!H:H,MATCH(Validation!E10205,Lists!G:G,0))</f>
        <v>This parcel does not appear to be pledged to an outstanding in-district obligation.</v>
      </c>
      <c r="H10205" s="25" t="str">
        <f t="shared" ca="1" si="1122"/>
        <v/>
      </c>
      <c r="I10205" s="25" t="str">
        <f t="shared" ca="1" si="1123"/>
        <v/>
      </c>
      <c r="J10205" s="26" t="str">
        <f t="shared" si="1124"/>
        <v/>
      </c>
    </row>
    <row r="10206" spans="1:10" x14ac:dyDescent="0.25">
      <c r="A10206" t="s">
        <v>111</v>
      </c>
      <c r="B10206" t="str">
        <f>ADDRESS(ROW(Parcels!B633),COLUMN(Parcels!B1475),4)</f>
        <v>B633</v>
      </c>
      <c r="C10206" t="str">
        <f>ADDRESS(ROW(Parcels!D633),COLUMN(Parcels!D633),4)</f>
        <v>D633</v>
      </c>
      <c r="D10206" s="46" t="b">
        <f>IF(AND(Parcels!B633="Current",'Six-Yr Rule'!B634&lt;=Year_DestinationYearID),IF((SUMIFS('Bond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206" t="s">
        <v>1641</v>
      </c>
      <c r="F10206" t="str">
        <f>INDEX(Lists!I:I,MATCH(Validation!E10206,Lists!G:G,0))</f>
        <v>Alert</v>
      </c>
      <c r="G10206" t="str">
        <f>INDEX(Lists!H:H,MATCH(Validation!E10206,Lists!G:G,0))</f>
        <v>This parcel does not appear to be pledged to an outstanding in-district obligation.</v>
      </c>
      <c r="H10206" s="25" t="str">
        <f t="shared" ca="1" si="1122"/>
        <v/>
      </c>
      <c r="I10206" s="25" t="str">
        <f t="shared" ca="1" si="1123"/>
        <v/>
      </c>
      <c r="J10206" s="26" t="str">
        <f t="shared" si="1124"/>
        <v/>
      </c>
    </row>
    <row r="10207" spans="1:10" x14ac:dyDescent="0.25">
      <c r="A10207" t="s">
        <v>111</v>
      </c>
      <c r="B10207" t="str">
        <f>ADDRESS(ROW(Parcels!B634),COLUMN(Parcels!B1476),4)</f>
        <v>B634</v>
      </c>
      <c r="C10207" t="str">
        <f>ADDRESS(ROW(Parcels!D634),COLUMN(Parcels!D634),4)</f>
        <v>D634</v>
      </c>
      <c r="D10207" s="46" t="b">
        <f>IF(AND(Parcels!B634="Current",'Six-Yr Rule'!B635&lt;=Year_DestinationYearID),IF((SUMIFS('Bond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207" t="s">
        <v>1641</v>
      </c>
      <c r="F10207" t="str">
        <f>INDEX(Lists!I:I,MATCH(Validation!E10207,Lists!G:G,0))</f>
        <v>Alert</v>
      </c>
      <c r="G10207" t="str">
        <f>INDEX(Lists!H:H,MATCH(Validation!E10207,Lists!G:G,0))</f>
        <v>This parcel does not appear to be pledged to an outstanding in-district obligation.</v>
      </c>
      <c r="H10207" s="25" t="str">
        <f t="shared" ca="1" si="1122"/>
        <v/>
      </c>
      <c r="I10207" s="25" t="str">
        <f t="shared" ca="1" si="1123"/>
        <v/>
      </c>
      <c r="J10207" s="26" t="str">
        <f t="shared" si="1124"/>
        <v/>
      </c>
    </row>
    <row r="10208" spans="1:10" x14ac:dyDescent="0.25">
      <c r="A10208" t="s">
        <v>111</v>
      </c>
      <c r="B10208" t="str">
        <f>ADDRESS(ROW(Parcels!B635),COLUMN(Parcels!B1477),4)</f>
        <v>B635</v>
      </c>
      <c r="C10208" t="str">
        <f>ADDRESS(ROW(Parcels!D635),COLUMN(Parcels!D635),4)</f>
        <v>D635</v>
      </c>
      <c r="D10208" s="46" t="b">
        <f>IF(AND(Parcels!B635="Current",'Six-Yr Rule'!B636&lt;=Year_DestinationYearID),IF((SUMIFS('Bond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208" t="s">
        <v>1641</v>
      </c>
      <c r="F10208" t="str">
        <f>INDEX(Lists!I:I,MATCH(Validation!E10208,Lists!G:G,0))</f>
        <v>Alert</v>
      </c>
      <c r="G10208" t="str">
        <f>INDEX(Lists!H:H,MATCH(Validation!E10208,Lists!G:G,0))</f>
        <v>This parcel does not appear to be pledged to an outstanding in-district obligation.</v>
      </c>
      <c r="H10208" s="25" t="str">
        <f t="shared" ca="1" si="1122"/>
        <v/>
      </c>
      <c r="I10208" s="25" t="str">
        <f t="shared" ca="1" si="1123"/>
        <v/>
      </c>
      <c r="J10208" s="26" t="str">
        <f t="shared" si="1124"/>
        <v/>
      </c>
    </row>
    <row r="10209" spans="1:10" x14ac:dyDescent="0.25">
      <c r="A10209" t="s">
        <v>111</v>
      </c>
      <c r="B10209" t="str">
        <f>ADDRESS(ROW(Parcels!B636),COLUMN(Parcels!B1478),4)</f>
        <v>B636</v>
      </c>
      <c r="C10209" t="str">
        <f>ADDRESS(ROW(Parcels!D636),COLUMN(Parcels!D636),4)</f>
        <v>D636</v>
      </c>
      <c r="D10209" s="46" t="b">
        <f>IF(AND(Parcels!B636="Current",'Six-Yr Rule'!B637&lt;=Year_DestinationYearID),IF((SUMIFS('Bond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209" t="s">
        <v>1641</v>
      </c>
      <c r="F10209" t="str">
        <f>INDEX(Lists!I:I,MATCH(Validation!E10209,Lists!G:G,0))</f>
        <v>Alert</v>
      </c>
      <c r="G10209" t="str">
        <f>INDEX(Lists!H:H,MATCH(Validation!E10209,Lists!G:G,0))</f>
        <v>This parcel does not appear to be pledged to an outstanding in-district obligation.</v>
      </c>
      <c r="H10209" s="25" t="str">
        <f t="shared" ca="1" si="1122"/>
        <v/>
      </c>
      <c r="I10209" s="25" t="str">
        <f t="shared" ca="1" si="1123"/>
        <v/>
      </c>
      <c r="J10209" s="26" t="str">
        <f t="shared" si="1124"/>
        <v/>
      </c>
    </row>
    <row r="10210" spans="1:10" x14ac:dyDescent="0.25">
      <c r="A10210" t="s">
        <v>111</v>
      </c>
      <c r="B10210" t="str">
        <f>ADDRESS(ROW(Parcels!B637),COLUMN(Parcels!B1479),4)</f>
        <v>B637</v>
      </c>
      <c r="C10210" t="str">
        <f>ADDRESS(ROW(Parcels!D637),COLUMN(Parcels!D637),4)</f>
        <v>D637</v>
      </c>
      <c r="D10210" s="46" t="b">
        <f>IF(AND(Parcels!B637="Current",'Six-Yr Rule'!B638&lt;=Year_DestinationYearID),IF((SUMIFS('Bond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210" t="s">
        <v>1641</v>
      </c>
      <c r="F10210" t="str">
        <f>INDEX(Lists!I:I,MATCH(Validation!E10210,Lists!G:G,0))</f>
        <v>Alert</v>
      </c>
      <c r="G10210" t="str">
        <f>INDEX(Lists!H:H,MATCH(Validation!E10210,Lists!G:G,0))</f>
        <v>This parcel does not appear to be pledged to an outstanding in-district obligation.</v>
      </c>
      <c r="H10210" s="25" t="str">
        <f t="shared" ca="1" si="1122"/>
        <v/>
      </c>
      <c r="I10210" s="25" t="str">
        <f t="shared" ca="1" si="1123"/>
        <v/>
      </c>
      <c r="J10210" s="26" t="str">
        <f t="shared" si="1124"/>
        <v/>
      </c>
    </row>
    <row r="10211" spans="1:10" x14ac:dyDescent="0.25">
      <c r="A10211" t="s">
        <v>111</v>
      </c>
      <c r="B10211" t="str">
        <f>ADDRESS(ROW(Parcels!B638),COLUMN(Parcels!B1480),4)</f>
        <v>B638</v>
      </c>
      <c r="C10211" t="str">
        <f>ADDRESS(ROW(Parcels!D638),COLUMN(Parcels!D638),4)</f>
        <v>D638</v>
      </c>
      <c r="D10211" s="46" t="b">
        <f>IF(AND(Parcels!B638="Current",'Six-Yr Rule'!B639&lt;=Year_DestinationYearID),IF((SUMIFS('Bond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211" t="s">
        <v>1641</v>
      </c>
      <c r="F10211" t="str">
        <f>INDEX(Lists!I:I,MATCH(Validation!E10211,Lists!G:G,0))</f>
        <v>Alert</v>
      </c>
      <c r="G10211" t="str">
        <f>INDEX(Lists!H:H,MATCH(Validation!E10211,Lists!G:G,0))</f>
        <v>This parcel does not appear to be pledged to an outstanding in-district obligation.</v>
      </c>
      <c r="H10211" s="25" t="str">
        <f t="shared" ca="1" si="1122"/>
        <v/>
      </c>
      <c r="I10211" s="25" t="str">
        <f t="shared" ca="1" si="1123"/>
        <v/>
      </c>
      <c r="J10211" s="26" t="str">
        <f t="shared" si="1124"/>
        <v/>
      </c>
    </row>
    <row r="10212" spans="1:10" x14ac:dyDescent="0.25">
      <c r="A10212" t="s">
        <v>111</v>
      </c>
      <c r="B10212" t="str">
        <f>ADDRESS(ROW(Parcels!B639),COLUMN(Parcels!B1481),4)</f>
        <v>B639</v>
      </c>
      <c r="C10212" t="str">
        <f>ADDRESS(ROW(Parcels!D639),COLUMN(Parcels!D639),4)</f>
        <v>D639</v>
      </c>
      <c r="D10212" s="46" t="b">
        <f>IF(AND(Parcels!B639="Current",'Six-Yr Rule'!B640&lt;=Year_DestinationYearID),IF((SUMIFS('Bond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212" t="s">
        <v>1641</v>
      </c>
      <c r="F10212" t="str">
        <f>INDEX(Lists!I:I,MATCH(Validation!E10212,Lists!G:G,0))</f>
        <v>Alert</v>
      </c>
      <c r="G10212" t="str">
        <f>INDEX(Lists!H:H,MATCH(Validation!E10212,Lists!G:G,0))</f>
        <v>This parcel does not appear to be pledged to an outstanding in-district obligation.</v>
      </c>
      <c r="H10212" s="25" t="str">
        <f t="shared" ca="1" si="1122"/>
        <v/>
      </c>
      <c r="I10212" s="25" t="str">
        <f t="shared" ca="1" si="1123"/>
        <v/>
      </c>
      <c r="J10212" s="26" t="str">
        <f t="shared" si="1124"/>
        <v/>
      </c>
    </row>
    <row r="10213" spans="1:10" x14ac:dyDescent="0.25">
      <c r="A10213" t="s">
        <v>111</v>
      </c>
      <c r="B10213" t="str">
        <f>ADDRESS(ROW(Parcels!B640),COLUMN(Parcels!B1482),4)</f>
        <v>B640</v>
      </c>
      <c r="C10213" t="str">
        <f>ADDRESS(ROW(Parcels!D640),COLUMN(Parcels!D640),4)</f>
        <v>D640</v>
      </c>
      <c r="D10213" s="46" t="b">
        <f>IF(AND(Parcels!B640="Current",'Six-Yr Rule'!B641&lt;=Year_DestinationYearID),IF((SUMIFS('Bond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213" t="s">
        <v>1641</v>
      </c>
      <c r="F10213" t="str">
        <f>INDEX(Lists!I:I,MATCH(Validation!E10213,Lists!G:G,0))</f>
        <v>Alert</v>
      </c>
      <c r="G10213" t="str">
        <f>INDEX(Lists!H:H,MATCH(Validation!E10213,Lists!G:G,0))</f>
        <v>This parcel does not appear to be pledged to an outstanding in-district obligation.</v>
      </c>
      <c r="H10213" s="25" t="str">
        <f t="shared" ca="1" si="1122"/>
        <v/>
      </c>
      <c r="I10213" s="25" t="str">
        <f t="shared" ca="1" si="1123"/>
        <v/>
      </c>
      <c r="J10213" s="26" t="str">
        <f t="shared" si="1124"/>
        <v/>
      </c>
    </row>
    <row r="10214" spans="1:10" x14ac:dyDescent="0.25">
      <c r="A10214" t="s">
        <v>111</v>
      </c>
      <c r="B10214" t="str">
        <f>ADDRESS(ROW(Parcels!B641),COLUMN(Parcels!B1483),4)</f>
        <v>B641</v>
      </c>
      <c r="C10214" t="str">
        <f>ADDRESS(ROW(Parcels!D641),COLUMN(Parcels!D641),4)</f>
        <v>D641</v>
      </c>
      <c r="D10214" s="46" t="b">
        <f>IF(AND(Parcels!B641="Current",'Six-Yr Rule'!B642&lt;=Year_DestinationYearID),IF((SUMIFS('Bond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214" t="s">
        <v>1641</v>
      </c>
      <c r="F10214" t="str">
        <f>INDEX(Lists!I:I,MATCH(Validation!E10214,Lists!G:G,0))</f>
        <v>Alert</v>
      </c>
      <c r="G10214" t="str">
        <f>INDEX(Lists!H:H,MATCH(Validation!E10214,Lists!G:G,0))</f>
        <v>This parcel does not appear to be pledged to an outstanding in-district obligation.</v>
      </c>
      <c r="H10214" s="25" t="str">
        <f t="shared" ca="1" si="1122"/>
        <v/>
      </c>
      <c r="I10214" s="25" t="str">
        <f t="shared" ca="1" si="1123"/>
        <v/>
      </c>
      <c r="J10214" s="26" t="str">
        <f t="shared" si="1124"/>
        <v/>
      </c>
    </row>
    <row r="10215" spans="1:10" x14ac:dyDescent="0.25">
      <c r="A10215" t="s">
        <v>111</v>
      </c>
      <c r="B10215" t="str">
        <f>ADDRESS(ROW(Parcels!B642),COLUMN(Parcels!B1484),4)</f>
        <v>B642</v>
      </c>
      <c r="C10215" t="str">
        <f>ADDRESS(ROW(Parcels!D642),COLUMN(Parcels!D642),4)</f>
        <v>D642</v>
      </c>
      <c r="D10215" s="46" t="b">
        <f>IF(AND(Parcels!B642="Current",'Six-Yr Rule'!B643&lt;=Year_DestinationYearID),IF((SUMIFS('Bond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215" t="s">
        <v>1641</v>
      </c>
      <c r="F10215" t="str">
        <f>INDEX(Lists!I:I,MATCH(Validation!E10215,Lists!G:G,0))</f>
        <v>Alert</v>
      </c>
      <c r="G10215" t="str">
        <f>INDEX(Lists!H:H,MATCH(Validation!E10215,Lists!G:G,0))</f>
        <v>This parcel does not appear to be pledged to an outstanding in-district obligation.</v>
      </c>
      <c r="H10215" s="25" t="str">
        <f t="shared" ca="1" si="1122"/>
        <v/>
      </c>
      <c r="I10215" s="25" t="str">
        <f t="shared" ca="1" si="1123"/>
        <v/>
      </c>
      <c r="J10215" s="26" t="str">
        <f t="shared" si="1124"/>
        <v/>
      </c>
    </row>
    <row r="10216" spans="1:10" x14ac:dyDescent="0.25">
      <c r="A10216" t="s">
        <v>111</v>
      </c>
      <c r="B10216" t="str">
        <f>ADDRESS(ROW(Parcels!B643),COLUMN(Parcels!B1485),4)</f>
        <v>B643</v>
      </c>
      <c r="C10216" t="str">
        <f>ADDRESS(ROW(Parcels!D643),COLUMN(Parcels!D643),4)</f>
        <v>D643</v>
      </c>
      <c r="D10216" s="46" t="b">
        <f>IF(AND(Parcels!B643="Current",'Six-Yr Rule'!B644&lt;=Year_DestinationYearID),IF((SUMIFS('Bond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216" t="s">
        <v>1641</v>
      </c>
      <c r="F10216" t="str">
        <f>INDEX(Lists!I:I,MATCH(Validation!E10216,Lists!G:G,0))</f>
        <v>Alert</v>
      </c>
      <c r="G10216" t="str">
        <f>INDEX(Lists!H:H,MATCH(Validation!E10216,Lists!G:G,0))</f>
        <v>This parcel does not appear to be pledged to an outstanding in-district obligation.</v>
      </c>
      <c r="H10216" s="25" t="str">
        <f t="shared" ca="1" si="1122"/>
        <v/>
      </c>
      <c r="I10216" s="25" t="str">
        <f t="shared" ca="1" si="1123"/>
        <v/>
      </c>
      <c r="J10216" s="26" t="str">
        <f t="shared" si="1124"/>
        <v/>
      </c>
    </row>
    <row r="10217" spans="1:10" x14ac:dyDescent="0.25">
      <c r="A10217" t="s">
        <v>111</v>
      </c>
      <c r="B10217" t="str">
        <f>ADDRESS(ROW(Parcels!B644),COLUMN(Parcels!B1486),4)</f>
        <v>B644</v>
      </c>
      <c r="C10217" t="str">
        <f>ADDRESS(ROW(Parcels!D644),COLUMN(Parcels!D644),4)</f>
        <v>D644</v>
      </c>
      <c r="D10217" s="46" t="b">
        <f>IF(AND(Parcels!B644="Current",'Six-Yr Rule'!B645&lt;=Year_DestinationYearID),IF((SUMIFS('Bond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217" t="s">
        <v>1641</v>
      </c>
      <c r="F10217" t="str">
        <f>INDEX(Lists!I:I,MATCH(Validation!E10217,Lists!G:G,0))</f>
        <v>Alert</v>
      </c>
      <c r="G10217" t="str">
        <f>INDEX(Lists!H:H,MATCH(Validation!E10217,Lists!G:G,0))</f>
        <v>This parcel does not appear to be pledged to an outstanding in-district obligation.</v>
      </c>
      <c r="H10217" s="25" t="str">
        <f t="shared" ca="1" si="1122"/>
        <v/>
      </c>
      <c r="I10217" s="25" t="str">
        <f t="shared" ca="1" si="1123"/>
        <v/>
      </c>
      <c r="J10217" s="26" t="str">
        <f t="shared" si="1124"/>
        <v/>
      </c>
    </row>
    <row r="10218" spans="1:10" x14ac:dyDescent="0.25">
      <c r="A10218" t="s">
        <v>111</v>
      </c>
      <c r="B10218" t="str">
        <f>ADDRESS(ROW(Parcels!B645),COLUMN(Parcels!B1487),4)</f>
        <v>B645</v>
      </c>
      <c r="C10218" t="str">
        <f>ADDRESS(ROW(Parcels!D645),COLUMN(Parcels!D645),4)</f>
        <v>D645</v>
      </c>
      <c r="D10218" s="46" t="b">
        <f>IF(AND(Parcels!B645="Current",'Six-Yr Rule'!B646&lt;=Year_DestinationYearID),IF((SUMIFS('Bond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218" t="s">
        <v>1641</v>
      </c>
      <c r="F10218" t="str">
        <f>INDEX(Lists!I:I,MATCH(Validation!E10218,Lists!G:G,0))</f>
        <v>Alert</v>
      </c>
      <c r="G10218" t="str">
        <f>INDEX(Lists!H:H,MATCH(Validation!E10218,Lists!G:G,0))</f>
        <v>This parcel does not appear to be pledged to an outstanding in-district obligation.</v>
      </c>
      <c r="H10218" s="25" t="str">
        <f t="shared" ca="1" si="1122"/>
        <v/>
      </c>
      <c r="I10218" s="25" t="str">
        <f t="shared" ca="1" si="1123"/>
        <v/>
      </c>
      <c r="J10218" s="26" t="str">
        <f t="shared" si="1124"/>
        <v/>
      </c>
    </row>
    <row r="10219" spans="1:10" x14ac:dyDescent="0.25">
      <c r="A10219" t="s">
        <v>111</v>
      </c>
      <c r="B10219" t="str">
        <f>ADDRESS(ROW(Parcels!B646),COLUMN(Parcels!B1488),4)</f>
        <v>B646</v>
      </c>
      <c r="C10219" t="str">
        <f>ADDRESS(ROW(Parcels!D646),COLUMN(Parcels!D646),4)</f>
        <v>D646</v>
      </c>
      <c r="D10219" s="46" t="b">
        <f>IF(AND(Parcels!B646="Current",'Six-Yr Rule'!B647&lt;=Year_DestinationYearID),IF((SUMIFS('Bond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219" t="s">
        <v>1641</v>
      </c>
      <c r="F10219" t="str">
        <f>INDEX(Lists!I:I,MATCH(Validation!E10219,Lists!G:G,0))</f>
        <v>Alert</v>
      </c>
      <c r="G10219" t="str">
        <f>INDEX(Lists!H:H,MATCH(Validation!E10219,Lists!G:G,0))</f>
        <v>This parcel does not appear to be pledged to an outstanding in-district obligation.</v>
      </c>
      <c r="H10219" s="25" t="str">
        <f t="shared" ca="1" si="1122"/>
        <v/>
      </c>
      <c r="I10219" s="25" t="str">
        <f t="shared" ca="1" si="1123"/>
        <v/>
      </c>
      <c r="J10219" s="26" t="str">
        <f t="shared" si="1124"/>
        <v/>
      </c>
    </row>
    <row r="10220" spans="1:10" x14ac:dyDescent="0.25">
      <c r="A10220" t="s">
        <v>111</v>
      </c>
      <c r="B10220" t="str">
        <f>ADDRESS(ROW(Parcels!B647),COLUMN(Parcels!B1489),4)</f>
        <v>B647</v>
      </c>
      <c r="C10220" t="str">
        <f>ADDRESS(ROW(Parcels!D647),COLUMN(Parcels!D647),4)</f>
        <v>D647</v>
      </c>
      <c r="D10220" s="46" t="b">
        <f>IF(AND(Parcels!B647="Current",'Six-Yr Rule'!B648&lt;=Year_DestinationYearID),IF((SUMIFS('Bond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220" t="s">
        <v>1641</v>
      </c>
      <c r="F10220" t="str">
        <f>INDEX(Lists!I:I,MATCH(Validation!E10220,Lists!G:G,0))</f>
        <v>Alert</v>
      </c>
      <c r="G10220" t="str">
        <f>INDEX(Lists!H:H,MATCH(Validation!E10220,Lists!G:G,0))</f>
        <v>This parcel does not appear to be pledged to an outstanding in-district obligation.</v>
      </c>
      <c r="H10220" s="25" t="str">
        <f t="shared" ca="1" si="1122"/>
        <v/>
      </c>
      <c r="I10220" s="25" t="str">
        <f t="shared" ca="1" si="1123"/>
        <v/>
      </c>
      <c r="J10220" s="26" t="str">
        <f t="shared" si="1124"/>
        <v/>
      </c>
    </row>
    <row r="10221" spans="1:10" x14ac:dyDescent="0.25">
      <c r="A10221" t="s">
        <v>111</v>
      </c>
      <c r="B10221" t="str">
        <f>ADDRESS(ROW(Parcels!B648),COLUMN(Parcels!B1490),4)</f>
        <v>B648</v>
      </c>
      <c r="C10221" t="str">
        <f>ADDRESS(ROW(Parcels!D648),COLUMN(Parcels!D648),4)</f>
        <v>D648</v>
      </c>
      <c r="D10221" s="46" t="b">
        <f>IF(AND(Parcels!B648="Current",'Six-Yr Rule'!B649&lt;=Year_DestinationYearID),IF((SUMIFS('Bond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221" t="s">
        <v>1641</v>
      </c>
      <c r="F10221" t="str">
        <f>INDEX(Lists!I:I,MATCH(Validation!E10221,Lists!G:G,0))</f>
        <v>Alert</v>
      </c>
      <c r="G10221" t="str">
        <f>INDEX(Lists!H:H,MATCH(Validation!E10221,Lists!G:G,0))</f>
        <v>This parcel does not appear to be pledged to an outstanding in-district obligation.</v>
      </c>
      <c r="H10221" s="25" t="str">
        <f t="shared" ca="1" si="1122"/>
        <v/>
      </c>
      <c r="I10221" s="25" t="str">
        <f t="shared" ca="1" si="1123"/>
        <v/>
      </c>
      <c r="J10221" s="26" t="str">
        <f t="shared" si="1124"/>
        <v/>
      </c>
    </row>
    <row r="10222" spans="1:10" x14ac:dyDescent="0.25">
      <c r="A10222" t="s">
        <v>111</v>
      </c>
      <c r="B10222" t="str">
        <f>ADDRESS(ROW(Parcels!B649),COLUMN(Parcels!B1491),4)</f>
        <v>B649</v>
      </c>
      <c r="C10222" t="str">
        <f>ADDRESS(ROW(Parcels!D649),COLUMN(Parcels!D649),4)</f>
        <v>D649</v>
      </c>
      <c r="D10222" s="46" t="b">
        <f>IF(AND(Parcels!B649="Current",'Six-Yr Rule'!B650&lt;=Year_DestinationYearID),IF((SUMIFS('Bond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222" t="s">
        <v>1641</v>
      </c>
      <c r="F10222" t="str">
        <f>INDEX(Lists!I:I,MATCH(Validation!E10222,Lists!G:G,0))</f>
        <v>Alert</v>
      </c>
      <c r="G10222" t="str">
        <f>INDEX(Lists!H:H,MATCH(Validation!E10222,Lists!G:G,0))</f>
        <v>This parcel does not appear to be pledged to an outstanding in-district obligation.</v>
      </c>
      <c r="H10222" s="25" t="str">
        <f t="shared" ca="1" si="1122"/>
        <v/>
      </c>
      <c r="I10222" s="25" t="str">
        <f t="shared" ca="1" si="1123"/>
        <v/>
      </c>
      <c r="J10222" s="26" t="str">
        <f t="shared" si="1124"/>
        <v/>
      </c>
    </row>
    <row r="10223" spans="1:10" x14ac:dyDescent="0.25">
      <c r="A10223" t="s">
        <v>111</v>
      </c>
      <c r="B10223" t="str">
        <f>ADDRESS(ROW(Parcels!B650),COLUMN(Parcels!B1492),4)</f>
        <v>B650</v>
      </c>
      <c r="C10223" t="str">
        <f>ADDRESS(ROW(Parcels!D650),COLUMN(Parcels!D650),4)</f>
        <v>D650</v>
      </c>
      <c r="D10223" s="46" t="b">
        <f>IF(AND(Parcels!B650="Current",'Six-Yr Rule'!B651&lt;=Year_DestinationYearID),IF((SUMIFS('Bond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223" t="s">
        <v>1641</v>
      </c>
      <c r="F10223" t="str">
        <f>INDEX(Lists!I:I,MATCH(Validation!E10223,Lists!G:G,0))</f>
        <v>Alert</v>
      </c>
      <c r="G10223" t="str">
        <f>INDEX(Lists!H:H,MATCH(Validation!E10223,Lists!G:G,0))</f>
        <v>This parcel does not appear to be pledged to an outstanding in-district obligation.</v>
      </c>
      <c r="H10223" s="25" t="str">
        <f t="shared" ca="1" si="1122"/>
        <v/>
      </c>
      <c r="I10223" s="25" t="str">
        <f t="shared" ca="1" si="1123"/>
        <v/>
      </c>
      <c r="J10223" s="26" t="str">
        <f t="shared" si="1124"/>
        <v/>
      </c>
    </row>
    <row r="10224" spans="1:10" x14ac:dyDescent="0.25">
      <c r="A10224" t="s">
        <v>111</v>
      </c>
      <c r="B10224" t="str">
        <f>ADDRESS(ROW(Parcels!B651),COLUMN(Parcels!B1493),4)</f>
        <v>B651</v>
      </c>
      <c r="C10224" t="str">
        <f>ADDRESS(ROW(Parcels!D651),COLUMN(Parcels!D651),4)</f>
        <v>D651</v>
      </c>
      <c r="D10224" s="46" t="b">
        <f>IF(AND(Parcels!B651="Current",'Six-Yr Rule'!B652&lt;=Year_DestinationYearID),IF((SUMIFS('Bond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224" t="s">
        <v>1641</v>
      </c>
      <c r="F10224" t="str">
        <f>INDEX(Lists!I:I,MATCH(Validation!E10224,Lists!G:G,0))</f>
        <v>Alert</v>
      </c>
      <c r="G10224" t="str">
        <f>INDEX(Lists!H:H,MATCH(Validation!E10224,Lists!G:G,0))</f>
        <v>This parcel does not appear to be pledged to an outstanding in-district obligation.</v>
      </c>
      <c r="H10224" s="25" t="str">
        <f t="shared" ca="1" si="1122"/>
        <v/>
      </c>
      <c r="I10224" s="25" t="str">
        <f t="shared" ca="1" si="1123"/>
        <v/>
      </c>
      <c r="J10224" s="26" t="str">
        <f t="shared" si="1124"/>
        <v/>
      </c>
    </row>
    <row r="10225" spans="1:10" x14ac:dyDescent="0.25">
      <c r="A10225" t="s">
        <v>111</v>
      </c>
      <c r="B10225" t="str">
        <f>ADDRESS(ROW(Parcels!B652),COLUMN(Parcels!B1494),4)</f>
        <v>B652</v>
      </c>
      <c r="C10225" t="str">
        <f>ADDRESS(ROW(Parcels!D652),COLUMN(Parcels!D652),4)</f>
        <v>D652</v>
      </c>
      <c r="D10225" s="46" t="b">
        <f>IF(AND(Parcels!B652="Current",'Six-Yr Rule'!B653&lt;=Year_DestinationYearID),IF((SUMIFS('Bond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225" t="s">
        <v>1641</v>
      </c>
      <c r="F10225" t="str">
        <f>INDEX(Lists!I:I,MATCH(Validation!E10225,Lists!G:G,0))</f>
        <v>Alert</v>
      </c>
      <c r="G10225" t="str">
        <f>INDEX(Lists!H:H,MATCH(Validation!E10225,Lists!G:G,0))</f>
        <v>This parcel does not appear to be pledged to an outstanding in-district obligation.</v>
      </c>
      <c r="H10225" s="25" t="str">
        <f t="shared" ca="1" si="1122"/>
        <v/>
      </c>
      <c r="I10225" s="25" t="str">
        <f t="shared" ca="1" si="1123"/>
        <v/>
      </c>
      <c r="J10225" s="26" t="str">
        <f t="shared" si="1124"/>
        <v/>
      </c>
    </row>
    <row r="10226" spans="1:10" x14ac:dyDescent="0.25">
      <c r="A10226" t="s">
        <v>111</v>
      </c>
      <c r="B10226" t="str">
        <f>ADDRESS(ROW(Parcels!B653),COLUMN(Parcels!B1495),4)</f>
        <v>B653</v>
      </c>
      <c r="C10226" t="str">
        <f>ADDRESS(ROW(Parcels!D653),COLUMN(Parcels!D653),4)</f>
        <v>D653</v>
      </c>
      <c r="D10226" s="46" t="b">
        <f>IF(AND(Parcels!B653="Current",'Six-Yr Rule'!B654&lt;=Year_DestinationYearID),IF((SUMIFS('Bond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226" t="s">
        <v>1641</v>
      </c>
      <c r="F10226" t="str">
        <f>INDEX(Lists!I:I,MATCH(Validation!E10226,Lists!G:G,0))</f>
        <v>Alert</v>
      </c>
      <c r="G10226" t="str">
        <f>INDEX(Lists!H:H,MATCH(Validation!E10226,Lists!G:G,0))</f>
        <v>This parcel does not appear to be pledged to an outstanding in-district obligation.</v>
      </c>
      <c r="H10226" s="25" t="str">
        <f t="shared" ca="1" si="1122"/>
        <v/>
      </c>
      <c r="I10226" s="25" t="str">
        <f t="shared" ca="1" si="1123"/>
        <v/>
      </c>
      <c r="J10226" s="26" t="str">
        <f t="shared" si="1124"/>
        <v/>
      </c>
    </row>
    <row r="10227" spans="1:10" x14ac:dyDescent="0.25">
      <c r="A10227" t="s">
        <v>111</v>
      </c>
      <c r="B10227" t="str">
        <f>ADDRESS(ROW(Parcels!B654),COLUMN(Parcels!B1496),4)</f>
        <v>B654</v>
      </c>
      <c r="C10227" t="str">
        <f>ADDRESS(ROW(Parcels!D654),COLUMN(Parcels!D654),4)</f>
        <v>D654</v>
      </c>
      <c r="D10227" s="46" t="b">
        <f>IF(AND(Parcels!B654="Current",'Six-Yr Rule'!B655&lt;=Year_DestinationYearID),IF((SUMIFS('Bond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227" t="s">
        <v>1641</v>
      </c>
      <c r="F10227" t="str">
        <f>INDEX(Lists!I:I,MATCH(Validation!E10227,Lists!G:G,0))</f>
        <v>Alert</v>
      </c>
      <c r="G10227" t="str">
        <f>INDEX(Lists!H:H,MATCH(Validation!E10227,Lists!G:G,0))</f>
        <v>This parcel does not appear to be pledged to an outstanding in-district obligation.</v>
      </c>
      <c r="H10227" s="25" t="str">
        <f t="shared" ref="H10227:H10290" ca="1" si="1125">IFERROR(IF(OR(NOT(D10227),F10227&lt;&gt;"Error"),"",A10227&amp;CELL("address",INDIRECT(B10227))),"")</f>
        <v/>
      </c>
      <c r="I10227" s="25" t="str">
        <f t="shared" ref="I10227:I10290" ca="1" si="1126">IFERROR(IF(NOT(D10227),"",A10227&amp;CELL("address",INDIRECT(C10227))),"")</f>
        <v/>
      </c>
      <c r="J10227" s="26" t="str">
        <f t="shared" ref="J10227:J10290" si="1127">IFERROR(IF(NOT(D10227),"",A10227),"")</f>
        <v/>
      </c>
    </row>
    <row r="10228" spans="1:10" x14ac:dyDescent="0.25">
      <c r="A10228" t="s">
        <v>111</v>
      </c>
      <c r="B10228" t="str">
        <f>ADDRESS(ROW(Parcels!B655),COLUMN(Parcels!B1497),4)</f>
        <v>B655</v>
      </c>
      <c r="C10228" t="str">
        <f>ADDRESS(ROW(Parcels!D655),COLUMN(Parcels!D655),4)</f>
        <v>D655</v>
      </c>
      <c r="D10228" s="46" t="b">
        <f>IF(AND(Parcels!B655="Current",'Six-Yr Rule'!B656&lt;=Year_DestinationYearID),IF((SUMIFS('Bond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228" t="s">
        <v>1641</v>
      </c>
      <c r="F10228" t="str">
        <f>INDEX(Lists!I:I,MATCH(Validation!E10228,Lists!G:G,0))</f>
        <v>Alert</v>
      </c>
      <c r="G10228" t="str">
        <f>INDEX(Lists!H:H,MATCH(Validation!E10228,Lists!G:G,0))</f>
        <v>This parcel does not appear to be pledged to an outstanding in-district obligation.</v>
      </c>
      <c r="H10228" s="25" t="str">
        <f t="shared" ca="1" si="1125"/>
        <v/>
      </c>
      <c r="I10228" s="25" t="str">
        <f t="shared" ca="1" si="1126"/>
        <v/>
      </c>
      <c r="J10228" s="26" t="str">
        <f t="shared" si="1127"/>
        <v/>
      </c>
    </row>
    <row r="10229" spans="1:10" x14ac:dyDescent="0.25">
      <c r="A10229" t="s">
        <v>111</v>
      </c>
      <c r="B10229" t="str">
        <f>ADDRESS(ROW(Parcels!B656),COLUMN(Parcels!B1498),4)</f>
        <v>B656</v>
      </c>
      <c r="C10229" t="str">
        <f>ADDRESS(ROW(Parcels!D656),COLUMN(Parcels!D656),4)</f>
        <v>D656</v>
      </c>
      <c r="D10229" s="46" t="b">
        <f>IF(AND(Parcels!B656="Current",'Six-Yr Rule'!B657&lt;=Year_DestinationYearID),IF((SUMIFS('Bond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229" t="s">
        <v>1641</v>
      </c>
      <c r="F10229" t="str">
        <f>INDEX(Lists!I:I,MATCH(Validation!E10229,Lists!G:G,0))</f>
        <v>Alert</v>
      </c>
      <c r="G10229" t="str">
        <f>INDEX(Lists!H:H,MATCH(Validation!E10229,Lists!G:G,0))</f>
        <v>This parcel does not appear to be pledged to an outstanding in-district obligation.</v>
      </c>
      <c r="H10229" s="25" t="str">
        <f t="shared" ca="1" si="1125"/>
        <v/>
      </c>
      <c r="I10229" s="25" t="str">
        <f t="shared" ca="1" si="1126"/>
        <v/>
      </c>
      <c r="J10229" s="26" t="str">
        <f t="shared" si="1127"/>
        <v/>
      </c>
    </row>
    <row r="10230" spans="1:10" x14ac:dyDescent="0.25">
      <c r="A10230" t="s">
        <v>111</v>
      </c>
      <c r="B10230" t="str">
        <f>ADDRESS(ROW(Parcels!B657),COLUMN(Parcels!B1499),4)</f>
        <v>B657</v>
      </c>
      <c r="C10230" t="str">
        <f>ADDRESS(ROW(Parcels!D657),COLUMN(Parcels!D657),4)</f>
        <v>D657</v>
      </c>
      <c r="D10230" s="46" t="b">
        <f>IF(AND(Parcels!B657="Current",'Six-Yr Rule'!B658&lt;=Year_DestinationYearID),IF((SUMIFS('Bond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230" t="s">
        <v>1641</v>
      </c>
      <c r="F10230" t="str">
        <f>INDEX(Lists!I:I,MATCH(Validation!E10230,Lists!G:G,0))</f>
        <v>Alert</v>
      </c>
      <c r="G10230" t="str">
        <f>INDEX(Lists!H:H,MATCH(Validation!E10230,Lists!G:G,0))</f>
        <v>This parcel does not appear to be pledged to an outstanding in-district obligation.</v>
      </c>
      <c r="H10230" s="25" t="str">
        <f t="shared" ca="1" si="1125"/>
        <v/>
      </c>
      <c r="I10230" s="25" t="str">
        <f t="shared" ca="1" si="1126"/>
        <v/>
      </c>
      <c r="J10230" s="26" t="str">
        <f t="shared" si="1127"/>
        <v/>
      </c>
    </row>
    <row r="10231" spans="1:10" x14ac:dyDescent="0.25">
      <c r="A10231" t="s">
        <v>111</v>
      </c>
      <c r="B10231" t="str">
        <f>ADDRESS(ROW(Parcels!B658),COLUMN(Parcels!B1500),4)</f>
        <v>B658</v>
      </c>
      <c r="C10231" t="str">
        <f>ADDRESS(ROW(Parcels!D658),COLUMN(Parcels!D658),4)</f>
        <v>D658</v>
      </c>
      <c r="D10231" s="46" t="b">
        <f>IF(AND(Parcels!B658="Current",'Six-Yr Rule'!B659&lt;=Year_DestinationYearID),IF((SUMIFS('Bond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231" t="s">
        <v>1641</v>
      </c>
      <c r="F10231" t="str">
        <f>INDEX(Lists!I:I,MATCH(Validation!E10231,Lists!G:G,0))</f>
        <v>Alert</v>
      </c>
      <c r="G10231" t="str">
        <f>INDEX(Lists!H:H,MATCH(Validation!E10231,Lists!G:G,0))</f>
        <v>This parcel does not appear to be pledged to an outstanding in-district obligation.</v>
      </c>
      <c r="H10231" s="25" t="str">
        <f t="shared" ca="1" si="1125"/>
        <v/>
      </c>
      <c r="I10231" s="25" t="str">
        <f t="shared" ca="1" si="1126"/>
        <v/>
      </c>
      <c r="J10231" s="26" t="str">
        <f t="shared" si="1127"/>
        <v/>
      </c>
    </row>
    <row r="10232" spans="1:10" x14ac:dyDescent="0.25">
      <c r="A10232" t="s">
        <v>111</v>
      </c>
      <c r="B10232" t="str">
        <f>ADDRESS(ROW(Parcels!B659),COLUMN(Parcels!B1501),4)</f>
        <v>B659</v>
      </c>
      <c r="C10232" t="str">
        <f>ADDRESS(ROW(Parcels!D659),COLUMN(Parcels!D659),4)</f>
        <v>D659</v>
      </c>
      <c r="D10232" s="46" t="b">
        <f>IF(AND(Parcels!B659="Current",'Six-Yr Rule'!B660&lt;=Year_DestinationYearID),IF((SUMIFS('Bond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232" t="s">
        <v>1641</v>
      </c>
      <c r="F10232" t="str">
        <f>INDEX(Lists!I:I,MATCH(Validation!E10232,Lists!G:G,0))</f>
        <v>Alert</v>
      </c>
      <c r="G10232" t="str">
        <f>INDEX(Lists!H:H,MATCH(Validation!E10232,Lists!G:G,0))</f>
        <v>This parcel does not appear to be pledged to an outstanding in-district obligation.</v>
      </c>
      <c r="H10232" s="25" t="str">
        <f t="shared" ca="1" si="1125"/>
        <v/>
      </c>
      <c r="I10232" s="25" t="str">
        <f t="shared" ca="1" si="1126"/>
        <v/>
      </c>
      <c r="J10232" s="26" t="str">
        <f t="shared" si="1127"/>
        <v/>
      </c>
    </row>
    <row r="10233" spans="1:10" x14ac:dyDescent="0.25">
      <c r="A10233" t="s">
        <v>111</v>
      </c>
      <c r="B10233" t="str">
        <f>ADDRESS(ROW(Parcels!B660),COLUMN(Parcels!B1502),4)</f>
        <v>B660</v>
      </c>
      <c r="C10233" t="str">
        <f>ADDRESS(ROW(Parcels!D660),COLUMN(Parcels!D660),4)</f>
        <v>D660</v>
      </c>
      <c r="D10233" s="46" t="b">
        <f>IF(AND(Parcels!B660="Current",'Six-Yr Rule'!B661&lt;=Year_DestinationYearID),IF((SUMIFS('Bond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233" t="s">
        <v>1641</v>
      </c>
      <c r="F10233" t="str">
        <f>INDEX(Lists!I:I,MATCH(Validation!E10233,Lists!G:G,0))</f>
        <v>Alert</v>
      </c>
      <c r="G10233" t="str">
        <f>INDEX(Lists!H:H,MATCH(Validation!E10233,Lists!G:G,0))</f>
        <v>This parcel does not appear to be pledged to an outstanding in-district obligation.</v>
      </c>
      <c r="H10233" s="25" t="str">
        <f t="shared" ca="1" si="1125"/>
        <v/>
      </c>
      <c r="I10233" s="25" t="str">
        <f t="shared" ca="1" si="1126"/>
        <v/>
      </c>
      <c r="J10233" s="26" t="str">
        <f t="shared" si="1127"/>
        <v/>
      </c>
    </row>
    <row r="10234" spans="1:10" x14ac:dyDescent="0.25">
      <c r="A10234" t="s">
        <v>111</v>
      </c>
      <c r="B10234" t="str">
        <f>ADDRESS(ROW(Parcels!B661),COLUMN(Parcels!B1503),4)</f>
        <v>B661</v>
      </c>
      <c r="C10234" t="str">
        <f>ADDRESS(ROW(Parcels!D661),COLUMN(Parcels!D661),4)</f>
        <v>D661</v>
      </c>
      <c r="D10234" s="46" t="b">
        <f>IF(AND(Parcels!B661="Current",'Six-Yr Rule'!B662&lt;=Year_DestinationYearID),IF((SUMIFS('Bond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234" t="s">
        <v>1641</v>
      </c>
      <c r="F10234" t="str">
        <f>INDEX(Lists!I:I,MATCH(Validation!E10234,Lists!G:G,0))</f>
        <v>Alert</v>
      </c>
      <c r="G10234" t="str">
        <f>INDEX(Lists!H:H,MATCH(Validation!E10234,Lists!G:G,0))</f>
        <v>This parcel does not appear to be pledged to an outstanding in-district obligation.</v>
      </c>
      <c r="H10234" s="25" t="str">
        <f t="shared" ca="1" si="1125"/>
        <v/>
      </c>
      <c r="I10234" s="25" t="str">
        <f t="shared" ca="1" si="1126"/>
        <v/>
      </c>
      <c r="J10234" s="26" t="str">
        <f t="shared" si="1127"/>
        <v/>
      </c>
    </row>
    <row r="10235" spans="1:10" x14ac:dyDescent="0.25">
      <c r="A10235" t="s">
        <v>111</v>
      </c>
      <c r="B10235" t="str">
        <f>ADDRESS(ROW(Parcels!B662),COLUMN(Parcels!B1504),4)</f>
        <v>B662</v>
      </c>
      <c r="C10235" t="str">
        <f>ADDRESS(ROW(Parcels!D662),COLUMN(Parcels!D662),4)</f>
        <v>D662</v>
      </c>
      <c r="D10235" s="46" t="b">
        <f>IF(AND(Parcels!B662="Current",'Six-Yr Rule'!B663&lt;=Year_DestinationYearID),IF((SUMIFS('Bond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235" t="s">
        <v>1641</v>
      </c>
      <c r="F10235" t="str">
        <f>INDEX(Lists!I:I,MATCH(Validation!E10235,Lists!G:G,0))</f>
        <v>Alert</v>
      </c>
      <c r="G10235" t="str">
        <f>INDEX(Lists!H:H,MATCH(Validation!E10235,Lists!G:G,0))</f>
        <v>This parcel does not appear to be pledged to an outstanding in-district obligation.</v>
      </c>
      <c r="H10235" s="25" t="str">
        <f t="shared" ca="1" si="1125"/>
        <v/>
      </c>
      <c r="I10235" s="25" t="str">
        <f t="shared" ca="1" si="1126"/>
        <v/>
      </c>
      <c r="J10235" s="26" t="str">
        <f t="shared" si="1127"/>
        <v/>
      </c>
    </row>
    <row r="10236" spans="1:10" x14ac:dyDescent="0.25">
      <c r="A10236" t="s">
        <v>111</v>
      </c>
      <c r="B10236" t="str">
        <f>ADDRESS(ROW(Parcels!B663),COLUMN(Parcels!B1505),4)</f>
        <v>B663</v>
      </c>
      <c r="C10236" t="str">
        <f>ADDRESS(ROW(Parcels!D663),COLUMN(Parcels!D663),4)</f>
        <v>D663</v>
      </c>
      <c r="D10236" s="46" t="b">
        <f>IF(AND(Parcels!B663="Current",'Six-Yr Rule'!B664&lt;=Year_DestinationYearID),IF((SUMIFS('Bond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236" t="s">
        <v>1641</v>
      </c>
      <c r="F10236" t="str">
        <f>INDEX(Lists!I:I,MATCH(Validation!E10236,Lists!G:G,0))</f>
        <v>Alert</v>
      </c>
      <c r="G10236" t="str">
        <f>INDEX(Lists!H:H,MATCH(Validation!E10236,Lists!G:G,0))</f>
        <v>This parcel does not appear to be pledged to an outstanding in-district obligation.</v>
      </c>
      <c r="H10236" s="25" t="str">
        <f t="shared" ca="1" si="1125"/>
        <v/>
      </c>
      <c r="I10236" s="25" t="str">
        <f t="shared" ca="1" si="1126"/>
        <v/>
      </c>
      <c r="J10236" s="26" t="str">
        <f t="shared" si="1127"/>
        <v/>
      </c>
    </row>
    <row r="10237" spans="1:10" x14ac:dyDescent="0.25">
      <c r="A10237" t="s">
        <v>111</v>
      </c>
      <c r="B10237" t="str">
        <f>ADDRESS(ROW(Parcels!B664),COLUMN(Parcels!B1506),4)</f>
        <v>B664</v>
      </c>
      <c r="C10237" t="str">
        <f>ADDRESS(ROW(Parcels!D664),COLUMN(Parcels!D664),4)</f>
        <v>D664</v>
      </c>
      <c r="D10237" s="46" t="b">
        <f>IF(AND(Parcels!B664="Current",'Six-Yr Rule'!B665&lt;=Year_DestinationYearID),IF((SUMIFS('Bond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237" t="s">
        <v>1641</v>
      </c>
      <c r="F10237" t="str">
        <f>INDEX(Lists!I:I,MATCH(Validation!E10237,Lists!G:G,0))</f>
        <v>Alert</v>
      </c>
      <c r="G10237" t="str">
        <f>INDEX(Lists!H:H,MATCH(Validation!E10237,Lists!G:G,0))</f>
        <v>This parcel does not appear to be pledged to an outstanding in-district obligation.</v>
      </c>
      <c r="H10237" s="25" t="str">
        <f t="shared" ca="1" si="1125"/>
        <v/>
      </c>
      <c r="I10237" s="25" t="str">
        <f t="shared" ca="1" si="1126"/>
        <v/>
      </c>
      <c r="J10237" s="26" t="str">
        <f t="shared" si="1127"/>
        <v/>
      </c>
    </row>
    <row r="10238" spans="1:10" x14ac:dyDescent="0.25">
      <c r="A10238" t="s">
        <v>111</v>
      </c>
      <c r="B10238" t="str">
        <f>ADDRESS(ROW(Parcels!B665),COLUMN(Parcels!B1507),4)</f>
        <v>B665</v>
      </c>
      <c r="C10238" t="str">
        <f>ADDRESS(ROW(Parcels!D665),COLUMN(Parcels!D665),4)</f>
        <v>D665</v>
      </c>
      <c r="D10238" s="46" t="b">
        <f>IF(AND(Parcels!B665="Current",'Six-Yr Rule'!B666&lt;=Year_DestinationYearID),IF((SUMIFS('Bond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238" t="s">
        <v>1641</v>
      </c>
      <c r="F10238" t="str">
        <f>INDEX(Lists!I:I,MATCH(Validation!E10238,Lists!G:G,0))</f>
        <v>Alert</v>
      </c>
      <c r="G10238" t="str">
        <f>INDEX(Lists!H:H,MATCH(Validation!E10238,Lists!G:G,0))</f>
        <v>This parcel does not appear to be pledged to an outstanding in-district obligation.</v>
      </c>
      <c r="H10238" s="25" t="str">
        <f t="shared" ca="1" si="1125"/>
        <v/>
      </c>
      <c r="I10238" s="25" t="str">
        <f t="shared" ca="1" si="1126"/>
        <v/>
      </c>
      <c r="J10238" s="26" t="str">
        <f t="shared" si="1127"/>
        <v/>
      </c>
    </row>
    <row r="10239" spans="1:10" x14ac:dyDescent="0.25">
      <c r="A10239" t="s">
        <v>111</v>
      </c>
      <c r="B10239" t="str">
        <f>ADDRESS(ROW(Parcels!B666),COLUMN(Parcels!B1508),4)</f>
        <v>B666</v>
      </c>
      <c r="C10239" t="str">
        <f>ADDRESS(ROW(Parcels!D666),COLUMN(Parcels!D666),4)</f>
        <v>D666</v>
      </c>
      <c r="D10239" s="46" t="b">
        <f>IF(AND(Parcels!B666="Current",'Six-Yr Rule'!B667&lt;=Year_DestinationYearID),IF((SUMIFS('Bond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239" t="s">
        <v>1641</v>
      </c>
      <c r="F10239" t="str">
        <f>INDEX(Lists!I:I,MATCH(Validation!E10239,Lists!G:G,0))</f>
        <v>Alert</v>
      </c>
      <c r="G10239" t="str">
        <f>INDEX(Lists!H:H,MATCH(Validation!E10239,Lists!G:G,0))</f>
        <v>This parcel does not appear to be pledged to an outstanding in-district obligation.</v>
      </c>
      <c r="H10239" s="25" t="str">
        <f t="shared" ca="1" si="1125"/>
        <v/>
      </c>
      <c r="I10239" s="25" t="str">
        <f t="shared" ca="1" si="1126"/>
        <v/>
      </c>
      <c r="J10239" s="26" t="str">
        <f t="shared" si="1127"/>
        <v/>
      </c>
    </row>
    <row r="10240" spans="1:10" x14ac:dyDescent="0.25">
      <c r="A10240" t="s">
        <v>111</v>
      </c>
      <c r="B10240" t="str">
        <f>ADDRESS(ROW(Parcels!B667),COLUMN(Parcels!B1509),4)</f>
        <v>B667</v>
      </c>
      <c r="C10240" t="str">
        <f>ADDRESS(ROW(Parcels!D667),COLUMN(Parcels!D667),4)</f>
        <v>D667</v>
      </c>
      <c r="D10240" s="46" t="b">
        <f>IF(AND(Parcels!B667="Current",'Six-Yr Rule'!B668&lt;=Year_DestinationYearID),IF((SUMIFS('Bond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240" t="s">
        <v>1641</v>
      </c>
      <c r="F10240" t="str">
        <f>INDEX(Lists!I:I,MATCH(Validation!E10240,Lists!G:G,0))</f>
        <v>Alert</v>
      </c>
      <c r="G10240" t="str">
        <f>INDEX(Lists!H:H,MATCH(Validation!E10240,Lists!G:G,0))</f>
        <v>This parcel does not appear to be pledged to an outstanding in-district obligation.</v>
      </c>
      <c r="H10240" s="25" t="str">
        <f t="shared" ca="1" si="1125"/>
        <v/>
      </c>
      <c r="I10240" s="25" t="str">
        <f t="shared" ca="1" si="1126"/>
        <v/>
      </c>
      <c r="J10240" s="26" t="str">
        <f t="shared" si="1127"/>
        <v/>
      </c>
    </row>
    <row r="10241" spans="1:10" x14ac:dyDescent="0.25">
      <c r="A10241" t="s">
        <v>111</v>
      </c>
      <c r="B10241" t="str">
        <f>ADDRESS(ROW(Parcels!B668),COLUMN(Parcels!B1510),4)</f>
        <v>B668</v>
      </c>
      <c r="C10241" t="str">
        <f>ADDRESS(ROW(Parcels!D668),COLUMN(Parcels!D668),4)</f>
        <v>D668</v>
      </c>
      <c r="D10241" s="46" t="b">
        <f>IF(AND(Parcels!B668="Current",'Six-Yr Rule'!B669&lt;=Year_DestinationYearID),IF((SUMIFS('Bond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241" t="s">
        <v>1641</v>
      </c>
      <c r="F10241" t="str">
        <f>INDEX(Lists!I:I,MATCH(Validation!E10241,Lists!G:G,0))</f>
        <v>Alert</v>
      </c>
      <c r="G10241" t="str">
        <f>INDEX(Lists!H:H,MATCH(Validation!E10241,Lists!G:G,0))</f>
        <v>This parcel does not appear to be pledged to an outstanding in-district obligation.</v>
      </c>
      <c r="H10241" s="25" t="str">
        <f t="shared" ca="1" si="1125"/>
        <v/>
      </c>
      <c r="I10241" s="25" t="str">
        <f t="shared" ca="1" si="1126"/>
        <v/>
      </c>
      <c r="J10241" s="26" t="str">
        <f t="shared" si="1127"/>
        <v/>
      </c>
    </row>
    <row r="10242" spans="1:10" x14ac:dyDescent="0.25">
      <c r="A10242" t="s">
        <v>111</v>
      </c>
      <c r="B10242" t="str">
        <f>ADDRESS(ROW(Parcels!B669),COLUMN(Parcels!B1511),4)</f>
        <v>B669</v>
      </c>
      <c r="C10242" t="str">
        <f>ADDRESS(ROW(Parcels!D669),COLUMN(Parcels!D669),4)</f>
        <v>D669</v>
      </c>
      <c r="D10242" s="46" t="b">
        <f>IF(AND(Parcels!B669="Current",'Six-Yr Rule'!B670&lt;=Year_DestinationYearID),IF((SUMIFS('Bond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242" t="s">
        <v>1641</v>
      </c>
      <c r="F10242" t="str">
        <f>INDEX(Lists!I:I,MATCH(Validation!E10242,Lists!G:G,0))</f>
        <v>Alert</v>
      </c>
      <c r="G10242" t="str">
        <f>INDEX(Lists!H:H,MATCH(Validation!E10242,Lists!G:G,0))</f>
        <v>This parcel does not appear to be pledged to an outstanding in-district obligation.</v>
      </c>
      <c r="H10242" s="25" t="str">
        <f t="shared" ca="1" si="1125"/>
        <v/>
      </c>
      <c r="I10242" s="25" t="str">
        <f t="shared" ca="1" si="1126"/>
        <v/>
      </c>
      <c r="J10242" s="26" t="str">
        <f t="shared" si="1127"/>
        <v/>
      </c>
    </row>
    <row r="10243" spans="1:10" x14ac:dyDescent="0.25">
      <c r="A10243" t="s">
        <v>111</v>
      </c>
      <c r="B10243" t="str">
        <f>ADDRESS(ROW(Parcels!B670),COLUMN(Parcels!B1512),4)</f>
        <v>B670</v>
      </c>
      <c r="C10243" t="str">
        <f>ADDRESS(ROW(Parcels!D670),COLUMN(Parcels!D670),4)</f>
        <v>D670</v>
      </c>
      <c r="D10243" s="46" t="b">
        <f>IF(AND(Parcels!B670="Current",'Six-Yr Rule'!B671&lt;=Year_DestinationYearID),IF((SUMIFS('Bond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243" t="s">
        <v>1641</v>
      </c>
      <c r="F10243" t="str">
        <f>INDEX(Lists!I:I,MATCH(Validation!E10243,Lists!G:G,0))</f>
        <v>Alert</v>
      </c>
      <c r="G10243" t="str">
        <f>INDEX(Lists!H:H,MATCH(Validation!E10243,Lists!G:G,0))</f>
        <v>This parcel does not appear to be pledged to an outstanding in-district obligation.</v>
      </c>
      <c r="H10243" s="25" t="str">
        <f t="shared" ca="1" si="1125"/>
        <v/>
      </c>
      <c r="I10243" s="25" t="str">
        <f t="shared" ca="1" si="1126"/>
        <v/>
      </c>
      <c r="J10243" s="26" t="str">
        <f t="shared" si="1127"/>
        <v/>
      </c>
    </row>
    <row r="10244" spans="1:10" x14ac:dyDescent="0.25">
      <c r="A10244" t="s">
        <v>111</v>
      </c>
      <c r="B10244" t="str">
        <f>ADDRESS(ROW(Parcels!B671),COLUMN(Parcels!B1513),4)</f>
        <v>B671</v>
      </c>
      <c r="C10244" t="str">
        <f>ADDRESS(ROW(Parcels!D671),COLUMN(Parcels!D671),4)</f>
        <v>D671</v>
      </c>
      <c r="D10244" s="46" t="b">
        <f>IF(AND(Parcels!B671="Current",'Six-Yr Rule'!B672&lt;=Year_DestinationYearID),IF((SUMIFS('Bond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244" t="s">
        <v>1641</v>
      </c>
      <c r="F10244" t="str">
        <f>INDEX(Lists!I:I,MATCH(Validation!E10244,Lists!G:G,0))</f>
        <v>Alert</v>
      </c>
      <c r="G10244" t="str">
        <f>INDEX(Lists!H:H,MATCH(Validation!E10244,Lists!G:G,0))</f>
        <v>This parcel does not appear to be pledged to an outstanding in-district obligation.</v>
      </c>
      <c r="H10244" s="25" t="str">
        <f t="shared" ca="1" si="1125"/>
        <v/>
      </c>
      <c r="I10244" s="25" t="str">
        <f t="shared" ca="1" si="1126"/>
        <v/>
      </c>
      <c r="J10244" s="26" t="str">
        <f t="shared" si="1127"/>
        <v/>
      </c>
    </row>
    <row r="10245" spans="1:10" x14ac:dyDescent="0.25">
      <c r="A10245" t="s">
        <v>111</v>
      </c>
      <c r="B10245" t="str">
        <f>ADDRESS(ROW(Parcels!B672),COLUMN(Parcels!B1514),4)</f>
        <v>B672</v>
      </c>
      <c r="C10245" t="str">
        <f>ADDRESS(ROW(Parcels!D672),COLUMN(Parcels!D672),4)</f>
        <v>D672</v>
      </c>
      <c r="D10245" s="46" t="b">
        <f>IF(AND(Parcels!B672="Current",'Six-Yr Rule'!B673&lt;=Year_DestinationYearID),IF((SUMIFS('Bond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245" t="s">
        <v>1641</v>
      </c>
      <c r="F10245" t="str">
        <f>INDEX(Lists!I:I,MATCH(Validation!E10245,Lists!G:G,0))</f>
        <v>Alert</v>
      </c>
      <c r="G10245" t="str">
        <f>INDEX(Lists!H:H,MATCH(Validation!E10245,Lists!G:G,0))</f>
        <v>This parcel does not appear to be pledged to an outstanding in-district obligation.</v>
      </c>
      <c r="H10245" s="25" t="str">
        <f t="shared" ca="1" si="1125"/>
        <v/>
      </c>
      <c r="I10245" s="25" t="str">
        <f t="shared" ca="1" si="1126"/>
        <v/>
      </c>
      <c r="J10245" s="26" t="str">
        <f t="shared" si="1127"/>
        <v/>
      </c>
    </row>
    <row r="10246" spans="1:10" x14ac:dyDescent="0.25">
      <c r="A10246" t="s">
        <v>111</v>
      </c>
      <c r="B10246" t="str">
        <f>ADDRESS(ROW(Parcels!B673),COLUMN(Parcels!B1515),4)</f>
        <v>B673</v>
      </c>
      <c r="C10246" t="str">
        <f>ADDRESS(ROW(Parcels!D673),COLUMN(Parcels!D673),4)</f>
        <v>D673</v>
      </c>
      <c r="D10246" s="46" t="b">
        <f>IF(AND(Parcels!B673="Current",'Six-Yr Rule'!B674&lt;=Year_DestinationYearID),IF((SUMIFS('Bond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246" t="s">
        <v>1641</v>
      </c>
      <c r="F10246" t="str">
        <f>INDEX(Lists!I:I,MATCH(Validation!E10246,Lists!G:G,0))</f>
        <v>Alert</v>
      </c>
      <c r="G10246" t="str">
        <f>INDEX(Lists!H:H,MATCH(Validation!E10246,Lists!G:G,0))</f>
        <v>This parcel does not appear to be pledged to an outstanding in-district obligation.</v>
      </c>
      <c r="H10246" s="25" t="str">
        <f t="shared" ca="1" si="1125"/>
        <v/>
      </c>
      <c r="I10246" s="25" t="str">
        <f t="shared" ca="1" si="1126"/>
        <v/>
      </c>
      <c r="J10246" s="26" t="str">
        <f t="shared" si="1127"/>
        <v/>
      </c>
    </row>
    <row r="10247" spans="1:10" x14ac:dyDescent="0.25">
      <c r="A10247" t="s">
        <v>111</v>
      </c>
      <c r="B10247" t="str">
        <f>ADDRESS(ROW(Parcels!B674),COLUMN(Parcels!B1516),4)</f>
        <v>B674</v>
      </c>
      <c r="C10247" t="str">
        <f>ADDRESS(ROW(Parcels!D674),COLUMN(Parcels!D674),4)</f>
        <v>D674</v>
      </c>
      <c r="D10247" s="46" t="b">
        <f>IF(AND(Parcels!B674="Current",'Six-Yr Rule'!B675&lt;=Year_DestinationYearID),IF((SUMIFS('Bond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247" t="s">
        <v>1641</v>
      </c>
      <c r="F10247" t="str">
        <f>INDEX(Lists!I:I,MATCH(Validation!E10247,Lists!G:G,0))</f>
        <v>Alert</v>
      </c>
      <c r="G10247" t="str">
        <f>INDEX(Lists!H:H,MATCH(Validation!E10247,Lists!G:G,0))</f>
        <v>This parcel does not appear to be pledged to an outstanding in-district obligation.</v>
      </c>
      <c r="H10247" s="25" t="str">
        <f t="shared" ca="1" si="1125"/>
        <v/>
      </c>
      <c r="I10247" s="25" t="str">
        <f t="shared" ca="1" si="1126"/>
        <v/>
      </c>
      <c r="J10247" s="26" t="str">
        <f t="shared" si="1127"/>
        <v/>
      </c>
    </row>
    <row r="10248" spans="1:10" x14ac:dyDescent="0.25">
      <c r="A10248" t="s">
        <v>111</v>
      </c>
      <c r="B10248" t="str">
        <f>ADDRESS(ROW(Parcels!B675),COLUMN(Parcels!B1517),4)</f>
        <v>B675</v>
      </c>
      <c r="C10248" t="str">
        <f>ADDRESS(ROW(Parcels!D675),COLUMN(Parcels!D675),4)</f>
        <v>D675</v>
      </c>
      <c r="D10248" s="46" t="b">
        <f>IF(AND(Parcels!B675="Current",'Six-Yr Rule'!B676&lt;=Year_DestinationYearID),IF((SUMIFS('Bond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248" t="s">
        <v>1641</v>
      </c>
      <c r="F10248" t="str">
        <f>INDEX(Lists!I:I,MATCH(Validation!E10248,Lists!G:G,0))</f>
        <v>Alert</v>
      </c>
      <c r="G10248" t="str">
        <f>INDEX(Lists!H:H,MATCH(Validation!E10248,Lists!G:G,0))</f>
        <v>This parcel does not appear to be pledged to an outstanding in-district obligation.</v>
      </c>
      <c r="H10248" s="25" t="str">
        <f t="shared" ca="1" si="1125"/>
        <v/>
      </c>
      <c r="I10248" s="25" t="str">
        <f t="shared" ca="1" si="1126"/>
        <v/>
      </c>
      <c r="J10248" s="26" t="str">
        <f t="shared" si="1127"/>
        <v/>
      </c>
    </row>
    <row r="10249" spans="1:10" x14ac:dyDescent="0.25">
      <c r="A10249" t="s">
        <v>111</v>
      </c>
      <c r="B10249" t="str">
        <f>ADDRESS(ROW(Parcels!B676),COLUMN(Parcels!B1518),4)</f>
        <v>B676</v>
      </c>
      <c r="C10249" t="str">
        <f>ADDRESS(ROW(Parcels!D676),COLUMN(Parcels!D676),4)</f>
        <v>D676</v>
      </c>
      <c r="D10249" s="46" t="b">
        <f>IF(AND(Parcels!B676="Current",'Six-Yr Rule'!B677&lt;=Year_DestinationYearID),IF((SUMIFS('Bond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249" t="s">
        <v>1641</v>
      </c>
      <c r="F10249" t="str">
        <f>INDEX(Lists!I:I,MATCH(Validation!E10249,Lists!G:G,0))</f>
        <v>Alert</v>
      </c>
      <c r="G10249" t="str">
        <f>INDEX(Lists!H:H,MATCH(Validation!E10249,Lists!G:G,0))</f>
        <v>This parcel does not appear to be pledged to an outstanding in-district obligation.</v>
      </c>
      <c r="H10249" s="25" t="str">
        <f t="shared" ca="1" si="1125"/>
        <v/>
      </c>
      <c r="I10249" s="25" t="str">
        <f t="shared" ca="1" si="1126"/>
        <v/>
      </c>
      <c r="J10249" s="26" t="str">
        <f t="shared" si="1127"/>
        <v/>
      </c>
    </row>
    <row r="10250" spans="1:10" x14ac:dyDescent="0.25">
      <c r="A10250" t="s">
        <v>111</v>
      </c>
      <c r="B10250" t="str">
        <f>ADDRESS(ROW(Parcels!B677),COLUMN(Parcels!B1519),4)</f>
        <v>B677</v>
      </c>
      <c r="C10250" t="str">
        <f>ADDRESS(ROW(Parcels!D677),COLUMN(Parcels!D677),4)</f>
        <v>D677</v>
      </c>
      <c r="D10250" s="46" t="b">
        <f>IF(AND(Parcels!B677="Current",'Six-Yr Rule'!B678&lt;=Year_DestinationYearID),IF((SUMIFS('Bond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250" t="s">
        <v>1641</v>
      </c>
      <c r="F10250" t="str">
        <f>INDEX(Lists!I:I,MATCH(Validation!E10250,Lists!G:G,0))</f>
        <v>Alert</v>
      </c>
      <c r="G10250" t="str">
        <f>INDEX(Lists!H:H,MATCH(Validation!E10250,Lists!G:G,0))</f>
        <v>This parcel does not appear to be pledged to an outstanding in-district obligation.</v>
      </c>
      <c r="H10250" s="25" t="str">
        <f t="shared" ca="1" si="1125"/>
        <v/>
      </c>
      <c r="I10250" s="25" t="str">
        <f t="shared" ca="1" si="1126"/>
        <v/>
      </c>
      <c r="J10250" s="26" t="str">
        <f t="shared" si="1127"/>
        <v/>
      </c>
    </row>
    <row r="10251" spans="1:10" x14ac:dyDescent="0.25">
      <c r="A10251" t="s">
        <v>111</v>
      </c>
      <c r="B10251" t="str">
        <f>ADDRESS(ROW(Parcels!B678),COLUMN(Parcels!B1520),4)</f>
        <v>B678</v>
      </c>
      <c r="C10251" t="str">
        <f>ADDRESS(ROW(Parcels!D678),COLUMN(Parcels!D678),4)</f>
        <v>D678</v>
      </c>
      <c r="D10251" s="46" t="b">
        <f>IF(AND(Parcels!B678="Current",'Six-Yr Rule'!B679&lt;=Year_DestinationYearID),IF((SUMIFS('Bond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251" t="s">
        <v>1641</v>
      </c>
      <c r="F10251" t="str">
        <f>INDEX(Lists!I:I,MATCH(Validation!E10251,Lists!G:G,0))</f>
        <v>Alert</v>
      </c>
      <c r="G10251" t="str">
        <f>INDEX(Lists!H:H,MATCH(Validation!E10251,Lists!G:G,0))</f>
        <v>This parcel does not appear to be pledged to an outstanding in-district obligation.</v>
      </c>
      <c r="H10251" s="25" t="str">
        <f t="shared" ca="1" si="1125"/>
        <v/>
      </c>
      <c r="I10251" s="25" t="str">
        <f t="shared" ca="1" si="1126"/>
        <v/>
      </c>
      <c r="J10251" s="26" t="str">
        <f t="shared" si="1127"/>
        <v/>
      </c>
    </row>
    <row r="10252" spans="1:10" x14ac:dyDescent="0.25">
      <c r="A10252" t="s">
        <v>111</v>
      </c>
      <c r="B10252" t="str">
        <f>ADDRESS(ROW(Parcels!B679),COLUMN(Parcels!B1521),4)</f>
        <v>B679</v>
      </c>
      <c r="C10252" t="str">
        <f>ADDRESS(ROW(Parcels!D679),COLUMN(Parcels!D679),4)</f>
        <v>D679</v>
      </c>
      <c r="D10252" s="46" t="b">
        <f>IF(AND(Parcels!B679="Current",'Six-Yr Rule'!B680&lt;=Year_DestinationYearID),IF((SUMIFS('Bond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252" t="s">
        <v>1641</v>
      </c>
      <c r="F10252" t="str">
        <f>INDEX(Lists!I:I,MATCH(Validation!E10252,Lists!G:G,0))</f>
        <v>Alert</v>
      </c>
      <c r="G10252" t="str">
        <f>INDEX(Lists!H:H,MATCH(Validation!E10252,Lists!G:G,0))</f>
        <v>This parcel does not appear to be pledged to an outstanding in-district obligation.</v>
      </c>
      <c r="H10252" s="25" t="str">
        <f t="shared" ca="1" si="1125"/>
        <v/>
      </c>
      <c r="I10252" s="25" t="str">
        <f t="shared" ca="1" si="1126"/>
        <v/>
      </c>
      <c r="J10252" s="26" t="str">
        <f t="shared" si="1127"/>
        <v/>
      </c>
    </row>
    <row r="10253" spans="1:10" x14ac:dyDescent="0.25">
      <c r="A10253" t="s">
        <v>111</v>
      </c>
      <c r="B10253" t="str">
        <f>ADDRESS(ROW(Parcels!B680),COLUMN(Parcels!B1522),4)</f>
        <v>B680</v>
      </c>
      <c r="C10253" t="str">
        <f>ADDRESS(ROW(Parcels!D680),COLUMN(Parcels!D680),4)</f>
        <v>D680</v>
      </c>
      <c r="D10253" s="46" t="b">
        <f>IF(AND(Parcels!B680="Current",'Six-Yr Rule'!B681&lt;=Year_DestinationYearID),IF((SUMIFS('Bond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253" t="s">
        <v>1641</v>
      </c>
      <c r="F10253" t="str">
        <f>INDEX(Lists!I:I,MATCH(Validation!E10253,Lists!G:G,0))</f>
        <v>Alert</v>
      </c>
      <c r="G10253" t="str">
        <f>INDEX(Lists!H:H,MATCH(Validation!E10253,Lists!G:G,0))</f>
        <v>This parcel does not appear to be pledged to an outstanding in-district obligation.</v>
      </c>
      <c r="H10253" s="25" t="str">
        <f t="shared" ca="1" si="1125"/>
        <v/>
      </c>
      <c r="I10253" s="25" t="str">
        <f t="shared" ca="1" si="1126"/>
        <v/>
      </c>
      <c r="J10253" s="26" t="str">
        <f t="shared" si="1127"/>
        <v/>
      </c>
    </row>
    <row r="10254" spans="1:10" x14ac:dyDescent="0.25">
      <c r="A10254" t="s">
        <v>111</v>
      </c>
      <c r="B10254" t="str">
        <f>ADDRESS(ROW(Parcels!B681),COLUMN(Parcels!B1523),4)</f>
        <v>B681</v>
      </c>
      <c r="C10254" t="str">
        <f>ADDRESS(ROW(Parcels!D681),COLUMN(Parcels!D681),4)</f>
        <v>D681</v>
      </c>
      <c r="D10254" s="46" t="b">
        <f>IF(AND(Parcels!B681="Current",'Six-Yr Rule'!B682&lt;=Year_DestinationYearID),IF((SUMIFS('Bond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254" t="s">
        <v>1641</v>
      </c>
      <c r="F10254" t="str">
        <f>INDEX(Lists!I:I,MATCH(Validation!E10254,Lists!G:G,0))</f>
        <v>Alert</v>
      </c>
      <c r="G10254" t="str">
        <f>INDEX(Lists!H:H,MATCH(Validation!E10254,Lists!G:G,0))</f>
        <v>This parcel does not appear to be pledged to an outstanding in-district obligation.</v>
      </c>
      <c r="H10254" s="25" t="str">
        <f t="shared" ca="1" si="1125"/>
        <v/>
      </c>
      <c r="I10254" s="25" t="str">
        <f t="shared" ca="1" si="1126"/>
        <v/>
      </c>
      <c r="J10254" s="26" t="str">
        <f t="shared" si="1127"/>
        <v/>
      </c>
    </row>
    <row r="10255" spans="1:10" x14ac:dyDescent="0.25">
      <c r="A10255" t="s">
        <v>111</v>
      </c>
      <c r="B10255" t="str">
        <f>ADDRESS(ROW(Parcels!B682),COLUMN(Parcels!B1524),4)</f>
        <v>B682</v>
      </c>
      <c r="C10255" t="str">
        <f>ADDRESS(ROW(Parcels!D682),COLUMN(Parcels!D682),4)</f>
        <v>D682</v>
      </c>
      <c r="D10255" s="46" t="b">
        <f>IF(AND(Parcels!B682="Current",'Six-Yr Rule'!B683&lt;=Year_DestinationYearID),IF((SUMIFS('Bond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255" t="s">
        <v>1641</v>
      </c>
      <c r="F10255" t="str">
        <f>INDEX(Lists!I:I,MATCH(Validation!E10255,Lists!G:G,0))</f>
        <v>Alert</v>
      </c>
      <c r="G10255" t="str">
        <f>INDEX(Lists!H:H,MATCH(Validation!E10255,Lists!G:G,0))</f>
        <v>This parcel does not appear to be pledged to an outstanding in-district obligation.</v>
      </c>
      <c r="H10255" s="25" t="str">
        <f t="shared" ca="1" si="1125"/>
        <v/>
      </c>
      <c r="I10255" s="25" t="str">
        <f t="shared" ca="1" si="1126"/>
        <v/>
      </c>
      <c r="J10255" s="26" t="str">
        <f t="shared" si="1127"/>
        <v/>
      </c>
    </row>
    <row r="10256" spans="1:10" x14ac:dyDescent="0.25">
      <c r="A10256" t="s">
        <v>111</v>
      </c>
      <c r="B10256" t="str">
        <f>ADDRESS(ROW(Parcels!B683),COLUMN(Parcels!B1525),4)</f>
        <v>B683</v>
      </c>
      <c r="C10256" t="str">
        <f>ADDRESS(ROW(Parcels!D683),COLUMN(Parcels!D683),4)</f>
        <v>D683</v>
      </c>
      <c r="D10256" s="46" t="b">
        <f>IF(AND(Parcels!B683="Current",'Six-Yr Rule'!B684&lt;=Year_DestinationYearID),IF((SUMIFS('Bond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256" t="s">
        <v>1641</v>
      </c>
      <c r="F10256" t="str">
        <f>INDEX(Lists!I:I,MATCH(Validation!E10256,Lists!G:G,0))</f>
        <v>Alert</v>
      </c>
      <c r="G10256" t="str">
        <f>INDEX(Lists!H:H,MATCH(Validation!E10256,Lists!G:G,0))</f>
        <v>This parcel does not appear to be pledged to an outstanding in-district obligation.</v>
      </c>
      <c r="H10256" s="25" t="str">
        <f t="shared" ca="1" si="1125"/>
        <v/>
      </c>
      <c r="I10256" s="25" t="str">
        <f t="shared" ca="1" si="1126"/>
        <v/>
      </c>
      <c r="J10256" s="26" t="str">
        <f t="shared" si="1127"/>
        <v/>
      </c>
    </row>
    <row r="10257" spans="1:10" x14ac:dyDescent="0.25">
      <c r="A10257" t="s">
        <v>111</v>
      </c>
      <c r="B10257" t="str">
        <f>ADDRESS(ROW(Parcels!B684),COLUMN(Parcels!B1526),4)</f>
        <v>B684</v>
      </c>
      <c r="C10257" t="str">
        <f>ADDRESS(ROW(Parcels!D684),COLUMN(Parcels!D684),4)</f>
        <v>D684</v>
      </c>
      <c r="D10257" s="46" t="b">
        <f>IF(AND(Parcels!B684="Current",'Six-Yr Rule'!B685&lt;=Year_DestinationYearID),IF((SUMIFS('Bond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257" t="s">
        <v>1641</v>
      </c>
      <c r="F10257" t="str">
        <f>INDEX(Lists!I:I,MATCH(Validation!E10257,Lists!G:G,0))</f>
        <v>Alert</v>
      </c>
      <c r="G10257" t="str">
        <f>INDEX(Lists!H:H,MATCH(Validation!E10257,Lists!G:G,0))</f>
        <v>This parcel does not appear to be pledged to an outstanding in-district obligation.</v>
      </c>
      <c r="H10257" s="25" t="str">
        <f t="shared" ca="1" si="1125"/>
        <v/>
      </c>
      <c r="I10257" s="25" t="str">
        <f t="shared" ca="1" si="1126"/>
        <v/>
      </c>
      <c r="J10257" s="26" t="str">
        <f t="shared" si="1127"/>
        <v/>
      </c>
    </row>
    <row r="10258" spans="1:10" x14ac:dyDescent="0.25">
      <c r="A10258" t="s">
        <v>111</v>
      </c>
      <c r="B10258" t="str">
        <f>ADDRESS(ROW(Parcels!B685),COLUMN(Parcels!B1527),4)</f>
        <v>B685</v>
      </c>
      <c r="C10258" t="str">
        <f>ADDRESS(ROW(Parcels!D685),COLUMN(Parcels!D685),4)</f>
        <v>D685</v>
      </c>
      <c r="D10258" s="46" t="b">
        <f>IF(AND(Parcels!B685="Current",'Six-Yr Rule'!B686&lt;=Year_DestinationYearID),IF((SUMIFS('Bond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258" t="s">
        <v>1641</v>
      </c>
      <c r="F10258" t="str">
        <f>INDEX(Lists!I:I,MATCH(Validation!E10258,Lists!G:G,0))</f>
        <v>Alert</v>
      </c>
      <c r="G10258" t="str">
        <f>INDEX(Lists!H:H,MATCH(Validation!E10258,Lists!G:G,0))</f>
        <v>This parcel does not appear to be pledged to an outstanding in-district obligation.</v>
      </c>
      <c r="H10258" s="25" t="str">
        <f t="shared" ca="1" si="1125"/>
        <v/>
      </c>
      <c r="I10258" s="25" t="str">
        <f t="shared" ca="1" si="1126"/>
        <v/>
      </c>
      <c r="J10258" s="26" t="str">
        <f t="shared" si="1127"/>
        <v/>
      </c>
    </row>
    <row r="10259" spans="1:10" x14ac:dyDescent="0.25">
      <c r="A10259" t="s">
        <v>111</v>
      </c>
      <c r="B10259" t="str">
        <f>ADDRESS(ROW(Parcels!B686),COLUMN(Parcels!B1528),4)</f>
        <v>B686</v>
      </c>
      <c r="C10259" t="str">
        <f>ADDRESS(ROW(Parcels!D686),COLUMN(Parcels!D686),4)</f>
        <v>D686</v>
      </c>
      <c r="D10259" s="46" t="b">
        <f>IF(AND(Parcels!B686="Current",'Six-Yr Rule'!B687&lt;=Year_DestinationYearID),IF((SUMIFS('Bond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259" t="s">
        <v>1641</v>
      </c>
      <c r="F10259" t="str">
        <f>INDEX(Lists!I:I,MATCH(Validation!E10259,Lists!G:G,0))</f>
        <v>Alert</v>
      </c>
      <c r="G10259" t="str">
        <f>INDEX(Lists!H:H,MATCH(Validation!E10259,Lists!G:G,0))</f>
        <v>This parcel does not appear to be pledged to an outstanding in-district obligation.</v>
      </c>
      <c r="H10259" s="25" t="str">
        <f t="shared" ca="1" si="1125"/>
        <v/>
      </c>
      <c r="I10259" s="25" t="str">
        <f t="shared" ca="1" si="1126"/>
        <v/>
      </c>
      <c r="J10259" s="26" t="str">
        <f t="shared" si="1127"/>
        <v/>
      </c>
    </row>
    <row r="10260" spans="1:10" x14ac:dyDescent="0.25">
      <c r="A10260" t="s">
        <v>111</v>
      </c>
      <c r="B10260" t="str">
        <f>ADDRESS(ROW(Parcels!B687),COLUMN(Parcels!B1529),4)</f>
        <v>B687</v>
      </c>
      <c r="C10260" t="str">
        <f>ADDRESS(ROW(Parcels!D687),COLUMN(Parcels!D687),4)</f>
        <v>D687</v>
      </c>
      <c r="D10260" s="46" t="b">
        <f>IF(AND(Parcels!B687="Current",'Six-Yr Rule'!B688&lt;=Year_DestinationYearID),IF((SUMIFS('Bond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260" t="s">
        <v>1641</v>
      </c>
      <c r="F10260" t="str">
        <f>INDEX(Lists!I:I,MATCH(Validation!E10260,Lists!G:G,0))</f>
        <v>Alert</v>
      </c>
      <c r="G10260" t="str">
        <f>INDEX(Lists!H:H,MATCH(Validation!E10260,Lists!G:G,0))</f>
        <v>This parcel does not appear to be pledged to an outstanding in-district obligation.</v>
      </c>
      <c r="H10260" s="25" t="str">
        <f t="shared" ca="1" si="1125"/>
        <v/>
      </c>
      <c r="I10260" s="25" t="str">
        <f t="shared" ca="1" si="1126"/>
        <v/>
      </c>
      <c r="J10260" s="26" t="str">
        <f t="shared" si="1127"/>
        <v/>
      </c>
    </row>
    <row r="10261" spans="1:10" x14ac:dyDescent="0.25">
      <c r="A10261" t="s">
        <v>111</v>
      </c>
      <c r="B10261" t="str">
        <f>ADDRESS(ROW(Parcels!B688),COLUMN(Parcels!B1530),4)</f>
        <v>B688</v>
      </c>
      <c r="C10261" t="str">
        <f>ADDRESS(ROW(Parcels!D688),COLUMN(Parcels!D688),4)</f>
        <v>D688</v>
      </c>
      <c r="D10261" s="46" t="b">
        <f>IF(AND(Parcels!B688="Current",'Six-Yr Rule'!B689&lt;=Year_DestinationYearID),IF((SUMIFS('Bond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261" t="s">
        <v>1641</v>
      </c>
      <c r="F10261" t="str">
        <f>INDEX(Lists!I:I,MATCH(Validation!E10261,Lists!G:G,0))</f>
        <v>Alert</v>
      </c>
      <c r="G10261" t="str">
        <f>INDEX(Lists!H:H,MATCH(Validation!E10261,Lists!G:G,0))</f>
        <v>This parcel does not appear to be pledged to an outstanding in-district obligation.</v>
      </c>
      <c r="H10261" s="25" t="str">
        <f t="shared" ca="1" si="1125"/>
        <v/>
      </c>
      <c r="I10261" s="25" t="str">
        <f t="shared" ca="1" si="1126"/>
        <v/>
      </c>
      <c r="J10261" s="26" t="str">
        <f t="shared" si="1127"/>
        <v/>
      </c>
    </row>
    <row r="10262" spans="1:10" x14ac:dyDescent="0.25">
      <c r="A10262" t="s">
        <v>111</v>
      </c>
      <c r="B10262" t="str">
        <f>ADDRESS(ROW(Parcels!B689),COLUMN(Parcels!B1531),4)</f>
        <v>B689</v>
      </c>
      <c r="C10262" t="str">
        <f>ADDRESS(ROW(Parcels!D689),COLUMN(Parcels!D689),4)</f>
        <v>D689</v>
      </c>
      <c r="D10262" s="46" t="b">
        <f>IF(AND(Parcels!B689="Current",'Six-Yr Rule'!B690&lt;=Year_DestinationYearID),IF((SUMIFS('Bond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262" t="s">
        <v>1641</v>
      </c>
      <c r="F10262" t="str">
        <f>INDEX(Lists!I:I,MATCH(Validation!E10262,Lists!G:G,0))</f>
        <v>Alert</v>
      </c>
      <c r="G10262" t="str">
        <f>INDEX(Lists!H:H,MATCH(Validation!E10262,Lists!G:G,0))</f>
        <v>This parcel does not appear to be pledged to an outstanding in-district obligation.</v>
      </c>
      <c r="H10262" s="25" t="str">
        <f t="shared" ca="1" si="1125"/>
        <v/>
      </c>
      <c r="I10262" s="25" t="str">
        <f t="shared" ca="1" si="1126"/>
        <v/>
      </c>
      <c r="J10262" s="26" t="str">
        <f t="shared" si="1127"/>
        <v/>
      </c>
    </row>
    <row r="10263" spans="1:10" x14ac:dyDescent="0.25">
      <c r="A10263" t="s">
        <v>111</v>
      </c>
      <c r="B10263" t="str">
        <f>ADDRESS(ROW(Parcels!B690),COLUMN(Parcels!B1532),4)</f>
        <v>B690</v>
      </c>
      <c r="C10263" t="str">
        <f>ADDRESS(ROW(Parcels!D690),COLUMN(Parcels!D690),4)</f>
        <v>D690</v>
      </c>
      <c r="D10263" s="46" t="b">
        <f>IF(AND(Parcels!B690="Current",'Six-Yr Rule'!B691&lt;=Year_DestinationYearID),IF((SUMIFS('Bond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263" t="s">
        <v>1641</v>
      </c>
      <c r="F10263" t="str">
        <f>INDEX(Lists!I:I,MATCH(Validation!E10263,Lists!G:G,0))</f>
        <v>Alert</v>
      </c>
      <c r="G10263" t="str">
        <f>INDEX(Lists!H:H,MATCH(Validation!E10263,Lists!G:G,0))</f>
        <v>This parcel does not appear to be pledged to an outstanding in-district obligation.</v>
      </c>
      <c r="H10263" s="25" t="str">
        <f t="shared" ca="1" si="1125"/>
        <v/>
      </c>
      <c r="I10263" s="25" t="str">
        <f t="shared" ca="1" si="1126"/>
        <v/>
      </c>
      <c r="J10263" s="26" t="str">
        <f t="shared" si="1127"/>
        <v/>
      </c>
    </row>
    <row r="10264" spans="1:10" x14ac:dyDescent="0.25">
      <c r="A10264" t="s">
        <v>111</v>
      </c>
      <c r="B10264" t="str">
        <f>ADDRESS(ROW(Parcels!B691),COLUMN(Parcels!B1533),4)</f>
        <v>B691</v>
      </c>
      <c r="C10264" t="str">
        <f>ADDRESS(ROW(Parcels!D691),COLUMN(Parcels!D691),4)</f>
        <v>D691</v>
      </c>
      <c r="D10264" s="46" t="b">
        <f>IF(AND(Parcels!B691="Current",'Six-Yr Rule'!B692&lt;=Year_DestinationYearID),IF((SUMIFS('Bond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264" t="s">
        <v>1641</v>
      </c>
      <c r="F10264" t="str">
        <f>INDEX(Lists!I:I,MATCH(Validation!E10264,Lists!G:G,0))</f>
        <v>Alert</v>
      </c>
      <c r="G10264" t="str">
        <f>INDEX(Lists!H:H,MATCH(Validation!E10264,Lists!G:G,0))</f>
        <v>This parcel does not appear to be pledged to an outstanding in-district obligation.</v>
      </c>
      <c r="H10264" s="25" t="str">
        <f t="shared" ca="1" si="1125"/>
        <v/>
      </c>
      <c r="I10264" s="25" t="str">
        <f t="shared" ca="1" si="1126"/>
        <v/>
      </c>
      <c r="J10264" s="26" t="str">
        <f t="shared" si="1127"/>
        <v/>
      </c>
    </row>
    <row r="10265" spans="1:10" x14ac:dyDescent="0.25">
      <c r="A10265" t="s">
        <v>111</v>
      </c>
      <c r="B10265" t="str">
        <f>ADDRESS(ROW(Parcels!B692),COLUMN(Parcels!B1534),4)</f>
        <v>B692</v>
      </c>
      <c r="C10265" t="str">
        <f>ADDRESS(ROW(Parcels!D692),COLUMN(Parcels!D692),4)</f>
        <v>D692</v>
      </c>
      <c r="D10265" s="46" t="b">
        <f>IF(AND(Parcels!B692="Current",'Six-Yr Rule'!B693&lt;=Year_DestinationYearID),IF((SUMIFS('Bond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265" t="s">
        <v>1641</v>
      </c>
      <c r="F10265" t="str">
        <f>INDEX(Lists!I:I,MATCH(Validation!E10265,Lists!G:G,0))</f>
        <v>Alert</v>
      </c>
      <c r="G10265" t="str">
        <f>INDEX(Lists!H:H,MATCH(Validation!E10265,Lists!G:G,0))</f>
        <v>This parcel does not appear to be pledged to an outstanding in-district obligation.</v>
      </c>
      <c r="H10265" s="25" t="str">
        <f t="shared" ca="1" si="1125"/>
        <v/>
      </c>
      <c r="I10265" s="25" t="str">
        <f t="shared" ca="1" si="1126"/>
        <v/>
      </c>
      <c r="J10265" s="26" t="str">
        <f t="shared" si="1127"/>
        <v/>
      </c>
    </row>
    <row r="10266" spans="1:10" x14ac:dyDescent="0.25">
      <c r="A10266" t="s">
        <v>111</v>
      </c>
      <c r="B10266" t="str">
        <f>ADDRESS(ROW(Parcels!B693),COLUMN(Parcels!B1535),4)</f>
        <v>B693</v>
      </c>
      <c r="C10266" t="str">
        <f>ADDRESS(ROW(Parcels!D693),COLUMN(Parcels!D693),4)</f>
        <v>D693</v>
      </c>
      <c r="D10266" s="46" t="b">
        <f>IF(AND(Parcels!B693="Current",'Six-Yr Rule'!B694&lt;=Year_DestinationYearID),IF((SUMIFS('Bond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266" t="s">
        <v>1641</v>
      </c>
      <c r="F10266" t="str">
        <f>INDEX(Lists!I:I,MATCH(Validation!E10266,Lists!G:G,0))</f>
        <v>Alert</v>
      </c>
      <c r="G10266" t="str">
        <f>INDEX(Lists!H:H,MATCH(Validation!E10266,Lists!G:G,0))</f>
        <v>This parcel does not appear to be pledged to an outstanding in-district obligation.</v>
      </c>
      <c r="H10266" s="25" t="str">
        <f t="shared" ca="1" si="1125"/>
        <v/>
      </c>
      <c r="I10266" s="25" t="str">
        <f t="shared" ca="1" si="1126"/>
        <v/>
      </c>
      <c r="J10266" s="26" t="str">
        <f t="shared" si="1127"/>
        <v/>
      </c>
    </row>
    <row r="10267" spans="1:10" x14ac:dyDescent="0.25">
      <c r="A10267" t="s">
        <v>111</v>
      </c>
      <c r="B10267" t="str">
        <f>ADDRESS(ROW(Parcels!B694),COLUMN(Parcels!B1536),4)</f>
        <v>B694</v>
      </c>
      <c r="C10267" t="str">
        <f>ADDRESS(ROW(Parcels!D694),COLUMN(Parcels!D694),4)</f>
        <v>D694</v>
      </c>
      <c r="D10267" s="46" t="b">
        <f>IF(AND(Parcels!B694="Current",'Six-Yr Rule'!B695&lt;=Year_DestinationYearID),IF((SUMIFS('Bond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267" t="s">
        <v>1641</v>
      </c>
      <c r="F10267" t="str">
        <f>INDEX(Lists!I:I,MATCH(Validation!E10267,Lists!G:G,0))</f>
        <v>Alert</v>
      </c>
      <c r="G10267" t="str">
        <f>INDEX(Lists!H:H,MATCH(Validation!E10267,Lists!G:G,0))</f>
        <v>This parcel does not appear to be pledged to an outstanding in-district obligation.</v>
      </c>
      <c r="H10267" s="25" t="str">
        <f t="shared" ca="1" si="1125"/>
        <v/>
      </c>
      <c r="I10267" s="25" t="str">
        <f t="shared" ca="1" si="1126"/>
        <v/>
      </c>
      <c r="J10267" s="26" t="str">
        <f t="shared" si="1127"/>
        <v/>
      </c>
    </row>
    <row r="10268" spans="1:10" x14ac:dyDescent="0.25">
      <c r="A10268" t="s">
        <v>111</v>
      </c>
      <c r="B10268" t="str">
        <f>ADDRESS(ROW(Parcels!B695),COLUMN(Parcels!B1537),4)</f>
        <v>B695</v>
      </c>
      <c r="C10268" t="str">
        <f>ADDRESS(ROW(Parcels!D695),COLUMN(Parcels!D695),4)</f>
        <v>D695</v>
      </c>
      <c r="D10268" s="46" t="b">
        <f>IF(AND(Parcels!B695="Current",'Six-Yr Rule'!B696&lt;=Year_DestinationYearID),IF((SUMIFS('Bond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268" t="s">
        <v>1641</v>
      </c>
      <c r="F10268" t="str">
        <f>INDEX(Lists!I:I,MATCH(Validation!E10268,Lists!G:G,0))</f>
        <v>Alert</v>
      </c>
      <c r="G10268" t="str">
        <f>INDEX(Lists!H:H,MATCH(Validation!E10268,Lists!G:G,0))</f>
        <v>This parcel does not appear to be pledged to an outstanding in-district obligation.</v>
      </c>
      <c r="H10268" s="25" t="str">
        <f t="shared" ca="1" si="1125"/>
        <v/>
      </c>
      <c r="I10268" s="25" t="str">
        <f t="shared" ca="1" si="1126"/>
        <v/>
      </c>
      <c r="J10268" s="26" t="str">
        <f t="shared" si="1127"/>
        <v/>
      </c>
    </row>
    <row r="10269" spans="1:10" x14ac:dyDescent="0.25">
      <c r="A10269" t="s">
        <v>111</v>
      </c>
      <c r="B10269" t="str">
        <f>ADDRESS(ROW(Parcels!B696),COLUMN(Parcels!B1538),4)</f>
        <v>B696</v>
      </c>
      <c r="C10269" t="str">
        <f>ADDRESS(ROW(Parcels!D696),COLUMN(Parcels!D696),4)</f>
        <v>D696</v>
      </c>
      <c r="D10269" s="46" t="b">
        <f>IF(AND(Parcels!B696="Current",'Six-Yr Rule'!B697&lt;=Year_DestinationYearID),IF((SUMIFS('Bond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269" t="s">
        <v>1641</v>
      </c>
      <c r="F10269" t="str">
        <f>INDEX(Lists!I:I,MATCH(Validation!E10269,Lists!G:G,0))</f>
        <v>Alert</v>
      </c>
      <c r="G10269" t="str">
        <f>INDEX(Lists!H:H,MATCH(Validation!E10269,Lists!G:G,0))</f>
        <v>This parcel does not appear to be pledged to an outstanding in-district obligation.</v>
      </c>
      <c r="H10269" s="25" t="str">
        <f t="shared" ca="1" si="1125"/>
        <v/>
      </c>
      <c r="I10269" s="25" t="str">
        <f t="shared" ca="1" si="1126"/>
        <v/>
      </c>
      <c r="J10269" s="26" t="str">
        <f t="shared" si="1127"/>
        <v/>
      </c>
    </row>
    <row r="10270" spans="1:10" x14ac:dyDescent="0.25">
      <c r="A10270" t="s">
        <v>111</v>
      </c>
      <c r="B10270" t="str">
        <f>ADDRESS(ROW(Parcels!B697),COLUMN(Parcels!B1539),4)</f>
        <v>B697</v>
      </c>
      <c r="C10270" t="str">
        <f>ADDRESS(ROW(Parcels!D697),COLUMN(Parcels!D697),4)</f>
        <v>D697</v>
      </c>
      <c r="D10270" s="46" t="b">
        <f>IF(AND(Parcels!B697="Current",'Six-Yr Rule'!B698&lt;=Year_DestinationYearID),IF((SUMIFS('Bond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270" t="s">
        <v>1641</v>
      </c>
      <c r="F10270" t="str">
        <f>INDEX(Lists!I:I,MATCH(Validation!E10270,Lists!G:G,0))</f>
        <v>Alert</v>
      </c>
      <c r="G10270" t="str">
        <f>INDEX(Lists!H:H,MATCH(Validation!E10270,Lists!G:G,0))</f>
        <v>This parcel does not appear to be pledged to an outstanding in-district obligation.</v>
      </c>
      <c r="H10270" s="25" t="str">
        <f t="shared" ca="1" si="1125"/>
        <v/>
      </c>
      <c r="I10270" s="25" t="str">
        <f t="shared" ca="1" si="1126"/>
        <v/>
      </c>
      <c r="J10270" s="26" t="str">
        <f t="shared" si="1127"/>
        <v/>
      </c>
    </row>
    <row r="10271" spans="1:10" x14ac:dyDescent="0.25">
      <c r="A10271" t="s">
        <v>111</v>
      </c>
      <c r="B10271" t="str">
        <f>ADDRESS(ROW(Parcels!B698),COLUMN(Parcels!B1540),4)</f>
        <v>B698</v>
      </c>
      <c r="C10271" t="str">
        <f>ADDRESS(ROW(Parcels!D698),COLUMN(Parcels!D698),4)</f>
        <v>D698</v>
      </c>
      <c r="D10271" s="46" t="b">
        <f>IF(AND(Parcels!B698="Current",'Six-Yr Rule'!B699&lt;=Year_DestinationYearID),IF((SUMIFS('Bond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271" t="s">
        <v>1641</v>
      </c>
      <c r="F10271" t="str">
        <f>INDEX(Lists!I:I,MATCH(Validation!E10271,Lists!G:G,0))</f>
        <v>Alert</v>
      </c>
      <c r="G10271" t="str">
        <f>INDEX(Lists!H:H,MATCH(Validation!E10271,Lists!G:G,0))</f>
        <v>This parcel does not appear to be pledged to an outstanding in-district obligation.</v>
      </c>
      <c r="H10271" s="25" t="str">
        <f t="shared" ca="1" si="1125"/>
        <v/>
      </c>
      <c r="I10271" s="25" t="str">
        <f t="shared" ca="1" si="1126"/>
        <v/>
      </c>
      <c r="J10271" s="26" t="str">
        <f t="shared" si="1127"/>
        <v/>
      </c>
    </row>
    <row r="10272" spans="1:10" x14ac:dyDescent="0.25">
      <c r="A10272" t="s">
        <v>111</v>
      </c>
      <c r="B10272" t="str">
        <f>ADDRESS(ROW(Parcels!B699),COLUMN(Parcels!B1541),4)</f>
        <v>B699</v>
      </c>
      <c r="C10272" t="str">
        <f>ADDRESS(ROW(Parcels!D699),COLUMN(Parcels!D699),4)</f>
        <v>D699</v>
      </c>
      <c r="D10272" s="46" t="b">
        <f>IF(AND(Parcels!B699="Current",'Six-Yr Rule'!B700&lt;=Year_DestinationYearID),IF((SUMIFS('Bond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272" t="s">
        <v>1641</v>
      </c>
      <c r="F10272" t="str">
        <f>INDEX(Lists!I:I,MATCH(Validation!E10272,Lists!G:G,0))</f>
        <v>Alert</v>
      </c>
      <c r="G10272" t="str">
        <f>INDEX(Lists!H:H,MATCH(Validation!E10272,Lists!G:G,0))</f>
        <v>This parcel does not appear to be pledged to an outstanding in-district obligation.</v>
      </c>
      <c r="H10272" s="25" t="str">
        <f t="shared" ca="1" si="1125"/>
        <v/>
      </c>
      <c r="I10272" s="25" t="str">
        <f t="shared" ca="1" si="1126"/>
        <v/>
      </c>
      <c r="J10272" s="26" t="str">
        <f t="shared" si="1127"/>
        <v/>
      </c>
    </row>
    <row r="10273" spans="1:10" x14ac:dyDescent="0.25">
      <c r="A10273" t="s">
        <v>111</v>
      </c>
      <c r="B10273" t="str">
        <f>ADDRESS(ROW(Parcels!B700),COLUMN(Parcels!B1542),4)</f>
        <v>B700</v>
      </c>
      <c r="C10273" t="str">
        <f>ADDRESS(ROW(Parcels!D700),COLUMN(Parcels!D700),4)</f>
        <v>D700</v>
      </c>
      <c r="D10273" s="46" t="b">
        <f>IF(AND(Parcels!B700="Current",'Six-Yr Rule'!B701&lt;=Year_DestinationYearID),IF((SUMIFS('Bond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273" t="s">
        <v>1641</v>
      </c>
      <c r="F10273" t="str">
        <f>INDEX(Lists!I:I,MATCH(Validation!E10273,Lists!G:G,0))</f>
        <v>Alert</v>
      </c>
      <c r="G10273" t="str">
        <f>INDEX(Lists!H:H,MATCH(Validation!E10273,Lists!G:G,0))</f>
        <v>This parcel does not appear to be pledged to an outstanding in-district obligation.</v>
      </c>
      <c r="H10273" s="25" t="str">
        <f t="shared" ca="1" si="1125"/>
        <v/>
      </c>
      <c r="I10273" s="25" t="str">
        <f t="shared" ca="1" si="1126"/>
        <v/>
      </c>
      <c r="J10273" s="26" t="str">
        <f t="shared" si="1127"/>
        <v/>
      </c>
    </row>
    <row r="10274" spans="1:10" x14ac:dyDescent="0.25">
      <c r="A10274" t="s">
        <v>111</v>
      </c>
      <c r="B10274" t="str">
        <f>ADDRESS(ROW(Parcels!B701),COLUMN(Parcels!B1543),4)</f>
        <v>B701</v>
      </c>
      <c r="C10274" t="str">
        <f>ADDRESS(ROW(Parcels!D701),COLUMN(Parcels!D701),4)</f>
        <v>D701</v>
      </c>
      <c r="D10274" s="46" t="b">
        <f>IF(AND(Parcels!B701="Current",'Six-Yr Rule'!B702&lt;=Year_DestinationYearID),IF((SUMIFS('Bond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274" t="s">
        <v>1641</v>
      </c>
      <c r="F10274" t="str">
        <f>INDEX(Lists!I:I,MATCH(Validation!E10274,Lists!G:G,0))</f>
        <v>Alert</v>
      </c>
      <c r="G10274" t="str">
        <f>INDEX(Lists!H:H,MATCH(Validation!E10274,Lists!G:G,0))</f>
        <v>This parcel does not appear to be pledged to an outstanding in-district obligation.</v>
      </c>
      <c r="H10274" s="25" t="str">
        <f t="shared" ca="1" si="1125"/>
        <v/>
      </c>
      <c r="I10274" s="25" t="str">
        <f t="shared" ca="1" si="1126"/>
        <v/>
      </c>
      <c r="J10274" s="26" t="str">
        <f t="shared" si="1127"/>
        <v/>
      </c>
    </row>
    <row r="10275" spans="1:10" x14ac:dyDescent="0.25">
      <c r="A10275" t="s">
        <v>111</v>
      </c>
      <c r="B10275" t="str">
        <f>ADDRESS(ROW(Parcels!B702),COLUMN(Parcels!B1544),4)</f>
        <v>B702</v>
      </c>
      <c r="C10275" t="str">
        <f>ADDRESS(ROW(Parcels!D702),COLUMN(Parcels!D702),4)</f>
        <v>D702</v>
      </c>
      <c r="D10275" s="46" t="b">
        <f>IF(AND(Parcels!B702="Current",'Six-Yr Rule'!B703&lt;=Year_DestinationYearID),IF((SUMIFS('Bond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275" t="s">
        <v>1641</v>
      </c>
      <c r="F10275" t="str">
        <f>INDEX(Lists!I:I,MATCH(Validation!E10275,Lists!G:G,0))</f>
        <v>Alert</v>
      </c>
      <c r="G10275" t="str">
        <f>INDEX(Lists!H:H,MATCH(Validation!E10275,Lists!G:G,0))</f>
        <v>This parcel does not appear to be pledged to an outstanding in-district obligation.</v>
      </c>
      <c r="H10275" s="25" t="str">
        <f t="shared" ca="1" si="1125"/>
        <v/>
      </c>
      <c r="I10275" s="25" t="str">
        <f t="shared" ca="1" si="1126"/>
        <v/>
      </c>
      <c r="J10275" s="26" t="str">
        <f t="shared" si="1127"/>
        <v/>
      </c>
    </row>
    <row r="10276" spans="1:10" x14ac:dyDescent="0.25">
      <c r="A10276" t="s">
        <v>111</v>
      </c>
      <c r="B10276" t="str">
        <f>ADDRESS(ROW(Parcels!B703),COLUMN(Parcels!B1545),4)</f>
        <v>B703</v>
      </c>
      <c r="C10276" t="str">
        <f>ADDRESS(ROW(Parcels!D703),COLUMN(Parcels!D703),4)</f>
        <v>D703</v>
      </c>
      <c r="D10276" s="46" t="b">
        <f>IF(AND(Parcels!B703="Current",'Six-Yr Rule'!B704&lt;=Year_DestinationYearID),IF((SUMIFS('Bond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276" t="s">
        <v>1641</v>
      </c>
      <c r="F10276" t="str">
        <f>INDEX(Lists!I:I,MATCH(Validation!E10276,Lists!G:G,0))</f>
        <v>Alert</v>
      </c>
      <c r="G10276" t="str">
        <f>INDEX(Lists!H:H,MATCH(Validation!E10276,Lists!G:G,0))</f>
        <v>This parcel does not appear to be pledged to an outstanding in-district obligation.</v>
      </c>
      <c r="H10276" s="25" t="str">
        <f t="shared" ca="1" si="1125"/>
        <v/>
      </c>
      <c r="I10276" s="25" t="str">
        <f t="shared" ca="1" si="1126"/>
        <v/>
      </c>
      <c r="J10276" s="26" t="str">
        <f t="shared" si="1127"/>
        <v/>
      </c>
    </row>
    <row r="10277" spans="1:10" x14ac:dyDescent="0.25">
      <c r="A10277" t="s">
        <v>111</v>
      </c>
      <c r="B10277" t="str">
        <f>ADDRESS(ROW(Parcels!B704),COLUMN(Parcels!B1546),4)</f>
        <v>B704</v>
      </c>
      <c r="C10277" t="str">
        <f>ADDRESS(ROW(Parcels!D704),COLUMN(Parcels!D704),4)</f>
        <v>D704</v>
      </c>
      <c r="D10277" s="46" t="b">
        <f>IF(AND(Parcels!B704="Current",'Six-Yr Rule'!B705&lt;=Year_DestinationYearID),IF((SUMIFS('Bond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277" t="s">
        <v>1641</v>
      </c>
      <c r="F10277" t="str">
        <f>INDEX(Lists!I:I,MATCH(Validation!E10277,Lists!G:G,0))</f>
        <v>Alert</v>
      </c>
      <c r="G10277" t="str">
        <f>INDEX(Lists!H:H,MATCH(Validation!E10277,Lists!G:G,0))</f>
        <v>This parcel does not appear to be pledged to an outstanding in-district obligation.</v>
      </c>
      <c r="H10277" s="25" t="str">
        <f t="shared" ca="1" si="1125"/>
        <v/>
      </c>
      <c r="I10277" s="25" t="str">
        <f t="shared" ca="1" si="1126"/>
        <v/>
      </c>
      <c r="J10277" s="26" t="str">
        <f t="shared" si="1127"/>
        <v/>
      </c>
    </row>
    <row r="10278" spans="1:10" x14ac:dyDescent="0.25">
      <c r="A10278" t="s">
        <v>111</v>
      </c>
      <c r="B10278" t="str">
        <f>ADDRESS(ROW(Parcels!B705),COLUMN(Parcels!B1547),4)</f>
        <v>B705</v>
      </c>
      <c r="C10278" t="str">
        <f>ADDRESS(ROW(Parcels!D705),COLUMN(Parcels!D705),4)</f>
        <v>D705</v>
      </c>
      <c r="D10278" s="46" t="b">
        <f>IF(AND(Parcels!B705="Current",'Six-Yr Rule'!B706&lt;=Year_DestinationYearID),IF((SUMIFS('Bond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278" t="s">
        <v>1641</v>
      </c>
      <c r="F10278" t="str">
        <f>INDEX(Lists!I:I,MATCH(Validation!E10278,Lists!G:G,0))</f>
        <v>Alert</v>
      </c>
      <c r="G10278" t="str">
        <f>INDEX(Lists!H:H,MATCH(Validation!E10278,Lists!G:G,0))</f>
        <v>This parcel does not appear to be pledged to an outstanding in-district obligation.</v>
      </c>
      <c r="H10278" s="25" t="str">
        <f t="shared" ca="1" si="1125"/>
        <v/>
      </c>
      <c r="I10278" s="25" t="str">
        <f t="shared" ca="1" si="1126"/>
        <v/>
      </c>
      <c r="J10278" s="26" t="str">
        <f t="shared" si="1127"/>
        <v/>
      </c>
    </row>
    <row r="10279" spans="1:10" x14ac:dyDescent="0.25">
      <c r="A10279" t="s">
        <v>111</v>
      </c>
      <c r="B10279" t="str">
        <f>ADDRESS(ROW(Parcels!B706),COLUMN(Parcels!B1548),4)</f>
        <v>B706</v>
      </c>
      <c r="C10279" t="str">
        <f>ADDRESS(ROW(Parcels!D706),COLUMN(Parcels!D706),4)</f>
        <v>D706</v>
      </c>
      <c r="D10279" s="46" t="b">
        <f>IF(AND(Parcels!B706="Current",'Six-Yr Rule'!B707&lt;=Year_DestinationYearID),IF((SUMIFS('Bond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279" t="s">
        <v>1641</v>
      </c>
      <c r="F10279" t="str">
        <f>INDEX(Lists!I:I,MATCH(Validation!E10279,Lists!G:G,0))</f>
        <v>Alert</v>
      </c>
      <c r="G10279" t="str">
        <f>INDEX(Lists!H:H,MATCH(Validation!E10279,Lists!G:G,0))</f>
        <v>This parcel does not appear to be pledged to an outstanding in-district obligation.</v>
      </c>
      <c r="H10279" s="25" t="str">
        <f t="shared" ca="1" si="1125"/>
        <v/>
      </c>
      <c r="I10279" s="25" t="str">
        <f t="shared" ca="1" si="1126"/>
        <v/>
      </c>
      <c r="J10279" s="26" t="str">
        <f t="shared" si="1127"/>
        <v/>
      </c>
    </row>
    <row r="10280" spans="1:10" x14ac:dyDescent="0.25">
      <c r="A10280" t="s">
        <v>111</v>
      </c>
      <c r="B10280" t="str">
        <f>ADDRESS(ROW(Parcels!B707),COLUMN(Parcels!B1549),4)</f>
        <v>B707</v>
      </c>
      <c r="C10280" t="str">
        <f>ADDRESS(ROW(Parcels!D707),COLUMN(Parcels!D707),4)</f>
        <v>D707</v>
      </c>
      <c r="D10280" s="46" t="b">
        <f>IF(AND(Parcels!B707="Current",'Six-Yr Rule'!B708&lt;=Year_DestinationYearID),IF((SUMIFS('Bond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280" t="s">
        <v>1641</v>
      </c>
      <c r="F10280" t="str">
        <f>INDEX(Lists!I:I,MATCH(Validation!E10280,Lists!G:G,0))</f>
        <v>Alert</v>
      </c>
      <c r="G10280" t="str">
        <f>INDEX(Lists!H:H,MATCH(Validation!E10280,Lists!G:G,0))</f>
        <v>This parcel does not appear to be pledged to an outstanding in-district obligation.</v>
      </c>
      <c r="H10280" s="25" t="str">
        <f t="shared" ca="1" si="1125"/>
        <v/>
      </c>
      <c r="I10280" s="25" t="str">
        <f t="shared" ca="1" si="1126"/>
        <v/>
      </c>
      <c r="J10280" s="26" t="str">
        <f t="shared" si="1127"/>
        <v/>
      </c>
    </row>
    <row r="10281" spans="1:10" x14ac:dyDescent="0.25">
      <c r="A10281" t="s">
        <v>111</v>
      </c>
      <c r="B10281" t="str">
        <f>ADDRESS(ROW(Parcels!B708),COLUMN(Parcels!B1550),4)</f>
        <v>B708</v>
      </c>
      <c r="C10281" t="str">
        <f>ADDRESS(ROW(Parcels!D708),COLUMN(Parcels!D708),4)</f>
        <v>D708</v>
      </c>
      <c r="D10281" s="46" t="b">
        <f>IF(AND(Parcels!B708="Current",'Six-Yr Rule'!B709&lt;=Year_DestinationYearID),IF((SUMIFS('Bond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281" t="s">
        <v>1641</v>
      </c>
      <c r="F10281" t="str">
        <f>INDEX(Lists!I:I,MATCH(Validation!E10281,Lists!G:G,0))</f>
        <v>Alert</v>
      </c>
      <c r="G10281" t="str">
        <f>INDEX(Lists!H:H,MATCH(Validation!E10281,Lists!G:G,0))</f>
        <v>This parcel does not appear to be pledged to an outstanding in-district obligation.</v>
      </c>
      <c r="H10281" s="25" t="str">
        <f t="shared" ca="1" si="1125"/>
        <v/>
      </c>
      <c r="I10281" s="25" t="str">
        <f t="shared" ca="1" si="1126"/>
        <v/>
      </c>
      <c r="J10281" s="26" t="str">
        <f t="shared" si="1127"/>
        <v/>
      </c>
    </row>
    <row r="10282" spans="1:10" x14ac:dyDescent="0.25">
      <c r="A10282" t="s">
        <v>111</v>
      </c>
      <c r="B10282" t="str">
        <f>ADDRESS(ROW(Parcels!B709),COLUMN(Parcels!B1551),4)</f>
        <v>B709</v>
      </c>
      <c r="C10282" t="str">
        <f>ADDRESS(ROW(Parcels!D709),COLUMN(Parcels!D709),4)</f>
        <v>D709</v>
      </c>
      <c r="D10282" s="46" t="b">
        <f>IF(AND(Parcels!B709="Current",'Six-Yr Rule'!B710&lt;=Year_DestinationYearID),IF((SUMIFS('Bond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282" t="s">
        <v>1641</v>
      </c>
      <c r="F10282" t="str">
        <f>INDEX(Lists!I:I,MATCH(Validation!E10282,Lists!G:G,0))</f>
        <v>Alert</v>
      </c>
      <c r="G10282" t="str">
        <f>INDEX(Lists!H:H,MATCH(Validation!E10282,Lists!G:G,0))</f>
        <v>This parcel does not appear to be pledged to an outstanding in-district obligation.</v>
      </c>
      <c r="H10282" s="25" t="str">
        <f t="shared" ca="1" si="1125"/>
        <v/>
      </c>
      <c r="I10282" s="25" t="str">
        <f t="shared" ca="1" si="1126"/>
        <v/>
      </c>
      <c r="J10282" s="26" t="str">
        <f t="shared" si="1127"/>
        <v/>
      </c>
    </row>
    <row r="10283" spans="1:10" x14ac:dyDescent="0.25">
      <c r="A10283" t="s">
        <v>111</v>
      </c>
      <c r="B10283" t="str">
        <f>ADDRESS(ROW(Parcels!B710),COLUMN(Parcels!B1552),4)</f>
        <v>B710</v>
      </c>
      <c r="C10283" t="str">
        <f>ADDRESS(ROW(Parcels!D710),COLUMN(Parcels!D710),4)</f>
        <v>D710</v>
      </c>
      <c r="D10283" s="46" t="b">
        <f>IF(AND(Parcels!B710="Current",'Six-Yr Rule'!B711&lt;=Year_DestinationYearID),IF((SUMIFS('Bond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283" t="s">
        <v>1641</v>
      </c>
      <c r="F10283" t="str">
        <f>INDEX(Lists!I:I,MATCH(Validation!E10283,Lists!G:G,0))</f>
        <v>Alert</v>
      </c>
      <c r="G10283" t="str">
        <f>INDEX(Lists!H:H,MATCH(Validation!E10283,Lists!G:G,0))</f>
        <v>This parcel does not appear to be pledged to an outstanding in-district obligation.</v>
      </c>
      <c r="H10283" s="25" t="str">
        <f t="shared" ca="1" si="1125"/>
        <v/>
      </c>
      <c r="I10283" s="25" t="str">
        <f t="shared" ca="1" si="1126"/>
        <v/>
      </c>
      <c r="J10283" s="26" t="str">
        <f t="shared" si="1127"/>
        <v/>
      </c>
    </row>
    <row r="10284" spans="1:10" x14ac:dyDescent="0.25">
      <c r="A10284" t="s">
        <v>111</v>
      </c>
      <c r="B10284" t="str">
        <f>ADDRESS(ROW(Parcels!B711),COLUMN(Parcels!B1553),4)</f>
        <v>B711</v>
      </c>
      <c r="C10284" t="str">
        <f>ADDRESS(ROW(Parcels!D711),COLUMN(Parcels!D711),4)</f>
        <v>D711</v>
      </c>
      <c r="D10284" s="46" t="b">
        <f>IF(AND(Parcels!B711="Current",'Six-Yr Rule'!B712&lt;=Year_DestinationYearID),IF((SUMIFS('Bond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284" t="s">
        <v>1641</v>
      </c>
      <c r="F10284" t="str">
        <f>INDEX(Lists!I:I,MATCH(Validation!E10284,Lists!G:G,0))</f>
        <v>Alert</v>
      </c>
      <c r="G10284" t="str">
        <f>INDEX(Lists!H:H,MATCH(Validation!E10284,Lists!G:G,0))</f>
        <v>This parcel does not appear to be pledged to an outstanding in-district obligation.</v>
      </c>
      <c r="H10284" s="25" t="str">
        <f t="shared" ca="1" si="1125"/>
        <v/>
      </c>
      <c r="I10284" s="25" t="str">
        <f t="shared" ca="1" si="1126"/>
        <v/>
      </c>
      <c r="J10284" s="26" t="str">
        <f t="shared" si="1127"/>
        <v/>
      </c>
    </row>
    <row r="10285" spans="1:10" x14ac:dyDescent="0.25">
      <c r="A10285" t="s">
        <v>111</v>
      </c>
      <c r="B10285" t="str">
        <f>ADDRESS(ROW(Parcels!B712),COLUMN(Parcels!B1554),4)</f>
        <v>B712</v>
      </c>
      <c r="C10285" t="str">
        <f>ADDRESS(ROW(Parcels!D712),COLUMN(Parcels!D712),4)</f>
        <v>D712</v>
      </c>
      <c r="D10285" s="46" t="b">
        <f>IF(AND(Parcels!B712="Current",'Six-Yr Rule'!B713&lt;=Year_DestinationYearID),IF((SUMIFS('Bond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285" t="s">
        <v>1641</v>
      </c>
      <c r="F10285" t="str">
        <f>INDEX(Lists!I:I,MATCH(Validation!E10285,Lists!G:G,0))</f>
        <v>Alert</v>
      </c>
      <c r="G10285" t="str">
        <f>INDEX(Lists!H:H,MATCH(Validation!E10285,Lists!G:G,0))</f>
        <v>This parcel does not appear to be pledged to an outstanding in-district obligation.</v>
      </c>
      <c r="H10285" s="25" t="str">
        <f t="shared" ca="1" si="1125"/>
        <v/>
      </c>
      <c r="I10285" s="25" t="str">
        <f t="shared" ca="1" si="1126"/>
        <v/>
      </c>
      <c r="J10285" s="26" t="str">
        <f t="shared" si="1127"/>
        <v/>
      </c>
    </row>
    <row r="10286" spans="1:10" x14ac:dyDescent="0.25">
      <c r="A10286" t="s">
        <v>111</v>
      </c>
      <c r="B10286" t="str">
        <f>ADDRESS(ROW(Parcels!B713),COLUMN(Parcels!B1555),4)</f>
        <v>B713</v>
      </c>
      <c r="C10286" t="str">
        <f>ADDRESS(ROW(Parcels!D713),COLUMN(Parcels!D713),4)</f>
        <v>D713</v>
      </c>
      <c r="D10286" s="46" t="b">
        <f>IF(AND(Parcels!B713="Current",'Six-Yr Rule'!B714&lt;=Year_DestinationYearID),IF((SUMIFS('Bond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286" t="s">
        <v>1641</v>
      </c>
      <c r="F10286" t="str">
        <f>INDEX(Lists!I:I,MATCH(Validation!E10286,Lists!G:G,0))</f>
        <v>Alert</v>
      </c>
      <c r="G10286" t="str">
        <f>INDEX(Lists!H:H,MATCH(Validation!E10286,Lists!G:G,0))</f>
        <v>This parcel does not appear to be pledged to an outstanding in-district obligation.</v>
      </c>
      <c r="H10286" s="25" t="str">
        <f t="shared" ca="1" si="1125"/>
        <v/>
      </c>
      <c r="I10286" s="25" t="str">
        <f t="shared" ca="1" si="1126"/>
        <v/>
      </c>
      <c r="J10286" s="26" t="str">
        <f t="shared" si="1127"/>
        <v/>
      </c>
    </row>
    <row r="10287" spans="1:10" x14ac:dyDescent="0.25">
      <c r="A10287" t="s">
        <v>111</v>
      </c>
      <c r="B10287" t="str">
        <f>ADDRESS(ROW(Parcels!B714),COLUMN(Parcels!B1556),4)</f>
        <v>B714</v>
      </c>
      <c r="C10287" t="str">
        <f>ADDRESS(ROW(Parcels!D714),COLUMN(Parcels!D714),4)</f>
        <v>D714</v>
      </c>
      <c r="D10287" s="46" t="b">
        <f>IF(AND(Parcels!B714="Current",'Six-Yr Rule'!B715&lt;=Year_DestinationYearID),IF((SUMIFS('Bond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287" t="s">
        <v>1641</v>
      </c>
      <c r="F10287" t="str">
        <f>INDEX(Lists!I:I,MATCH(Validation!E10287,Lists!G:G,0))</f>
        <v>Alert</v>
      </c>
      <c r="G10287" t="str">
        <f>INDEX(Lists!H:H,MATCH(Validation!E10287,Lists!G:G,0))</f>
        <v>This parcel does not appear to be pledged to an outstanding in-district obligation.</v>
      </c>
      <c r="H10287" s="25" t="str">
        <f t="shared" ca="1" si="1125"/>
        <v/>
      </c>
      <c r="I10287" s="25" t="str">
        <f t="shared" ca="1" si="1126"/>
        <v/>
      </c>
      <c r="J10287" s="26" t="str">
        <f t="shared" si="1127"/>
        <v/>
      </c>
    </row>
    <row r="10288" spans="1:10" x14ac:dyDescent="0.25">
      <c r="A10288" t="s">
        <v>111</v>
      </c>
      <c r="B10288" t="str">
        <f>ADDRESS(ROW(Parcels!B715),COLUMN(Parcels!B1557),4)</f>
        <v>B715</v>
      </c>
      <c r="C10288" t="str">
        <f>ADDRESS(ROW(Parcels!D715),COLUMN(Parcels!D715),4)</f>
        <v>D715</v>
      </c>
      <c r="D10288" s="46" t="b">
        <f>IF(AND(Parcels!B715="Current",'Six-Yr Rule'!B716&lt;=Year_DestinationYearID),IF((SUMIFS('Bond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288" t="s">
        <v>1641</v>
      </c>
      <c r="F10288" t="str">
        <f>INDEX(Lists!I:I,MATCH(Validation!E10288,Lists!G:G,0))</f>
        <v>Alert</v>
      </c>
      <c r="G10288" t="str">
        <f>INDEX(Lists!H:H,MATCH(Validation!E10288,Lists!G:G,0))</f>
        <v>This parcel does not appear to be pledged to an outstanding in-district obligation.</v>
      </c>
      <c r="H10288" s="25" t="str">
        <f t="shared" ca="1" si="1125"/>
        <v/>
      </c>
      <c r="I10288" s="25" t="str">
        <f t="shared" ca="1" si="1126"/>
        <v/>
      </c>
      <c r="J10288" s="26" t="str">
        <f t="shared" si="1127"/>
        <v/>
      </c>
    </row>
    <row r="10289" spans="1:10" x14ac:dyDescent="0.25">
      <c r="A10289" t="s">
        <v>111</v>
      </c>
      <c r="B10289" t="str">
        <f>ADDRESS(ROW(Parcels!B716),COLUMN(Parcels!B1558),4)</f>
        <v>B716</v>
      </c>
      <c r="C10289" t="str">
        <f>ADDRESS(ROW(Parcels!D716),COLUMN(Parcels!D716),4)</f>
        <v>D716</v>
      </c>
      <c r="D10289" s="46" t="b">
        <f>IF(AND(Parcels!B716="Current",'Six-Yr Rule'!B717&lt;=Year_DestinationYearID),IF((SUMIFS('Bond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289" t="s">
        <v>1641</v>
      </c>
      <c r="F10289" t="str">
        <f>INDEX(Lists!I:I,MATCH(Validation!E10289,Lists!G:G,0))</f>
        <v>Alert</v>
      </c>
      <c r="G10289" t="str">
        <f>INDEX(Lists!H:H,MATCH(Validation!E10289,Lists!G:G,0))</f>
        <v>This parcel does not appear to be pledged to an outstanding in-district obligation.</v>
      </c>
      <c r="H10289" s="25" t="str">
        <f t="shared" ca="1" si="1125"/>
        <v/>
      </c>
      <c r="I10289" s="25" t="str">
        <f t="shared" ca="1" si="1126"/>
        <v/>
      </c>
      <c r="J10289" s="26" t="str">
        <f t="shared" si="1127"/>
        <v/>
      </c>
    </row>
    <row r="10290" spans="1:10" x14ac:dyDescent="0.25">
      <c r="A10290" t="s">
        <v>111</v>
      </c>
      <c r="B10290" t="str">
        <f>ADDRESS(ROW(Parcels!B717),COLUMN(Parcels!B1559),4)</f>
        <v>B717</v>
      </c>
      <c r="C10290" t="str">
        <f>ADDRESS(ROW(Parcels!D717),COLUMN(Parcels!D717),4)</f>
        <v>D717</v>
      </c>
      <c r="D10290" s="46" t="b">
        <f>IF(AND(Parcels!B717="Current",'Six-Yr Rule'!B718&lt;=Year_DestinationYearID),IF((SUMIFS('Bond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290" t="s">
        <v>1641</v>
      </c>
      <c r="F10290" t="str">
        <f>INDEX(Lists!I:I,MATCH(Validation!E10290,Lists!G:G,0))</f>
        <v>Alert</v>
      </c>
      <c r="G10290" t="str">
        <f>INDEX(Lists!H:H,MATCH(Validation!E10290,Lists!G:G,0))</f>
        <v>This parcel does not appear to be pledged to an outstanding in-district obligation.</v>
      </c>
      <c r="H10290" s="25" t="str">
        <f t="shared" ca="1" si="1125"/>
        <v/>
      </c>
      <c r="I10290" s="25" t="str">
        <f t="shared" ca="1" si="1126"/>
        <v/>
      </c>
      <c r="J10290" s="26" t="str">
        <f t="shared" si="1127"/>
        <v/>
      </c>
    </row>
    <row r="10291" spans="1:10" x14ac:dyDescent="0.25">
      <c r="A10291" t="s">
        <v>111</v>
      </c>
      <c r="B10291" t="str">
        <f>ADDRESS(ROW(Parcels!B718),COLUMN(Parcels!B1560),4)</f>
        <v>B718</v>
      </c>
      <c r="C10291" t="str">
        <f>ADDRESS(ROW(Parcels!D718),COLUMN(Parcels!D718),4)</f>
        <v>D718</v>
      </c>
      <c r="D10291" s="46" t="b">
        <f>IF(AND(Parcels!B718="Current",'Six-Yr Rule'!B719&lt;=Year_DestinationYearID),IF((SUMIFS('Bond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291" t="s">
        <v>1641</v>
      </c>
      <c r="F10291" t="str">
        <f>INDEX(Lists!I:I,MATCH(Validation!E10291,Lists!G:G,0))</f>
        <v>Alert</v>
      </c>
      <c r="G10291" t="str">
        <f>INDEX(Lists!H:H,MATCH(Validation!E10291,Lists!G:G,0))</f>
        <v>This parcel does not appear to be pledged to an outstanding in-district obligation.</v>
      </c>
      <c r="H10291" s="25" t="str">
        <f t="shared" ref="H10291:H10354" ca="1" si="1128">IFERROR(IF(OR(NOT(D10291),F10291&lt;&gt;"Error"),"",A10291&amp;CELL("address",INDIRECT(B10291))),"")</f>
        <v/>
      </c>
      <c r="I10291" s="25" t="str">
        <f t="shared" ref="I10291:I10354" ca="1" si="1129">IFERROR(IF(NOT(D10291),"",A10291&amp;CELL("address",INDIRECT(C10291))),"")</f>
        <v/>
      </c>
      <c r="J10291" s="26" t="str">
        <f t="shared" ref="J10291:J10354" si="1130">IFERROR(IF(NOT(D10291),"",A10291),"")</f>
        <v/>
      </c>
    </row>
    <row r="10292" spans="1:10" x14ac:dyDescent="0.25">
      <c r="A10292" t="s">
        <v>111</v>
      </c>
      <c r="B10292" t="str">
        <f>ADDRESS(ROW(Parcels!B719),COLUMN(Parcels!B1561),4)</f>
        <v>B719</v>
      </c>
      <c r="C10292" t="str">
        <f>ADDRESS(ROW(Parcels!D719),COLUMN(Parcels!D719),4)</f>
        <v>D719</v>
      </c>
      <c r="D10292" s="46" t="b">
        <f>IF(AND(Parcels!B719="Current",'Six-Yr Rule'!B720&lt;=Year_DestinationYearID),IF((SUMIFS('Bond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292" t="s">
        <v>1641</v>
      </c>
      <c r="F10292" t="str">
        <f>INDEX(Lists!I:I,MATCH(Validation!E10292,Lists!G:G,0))</f>
        <v>Alert</v>
      </c>
      <c r="G10292" t="str">
        <f>INDEX(Lists!H:H,MATCH(Validation!E10292,Lists!G:G,0))</f>
        <v>This parcel does not appear to be pledged to an outstanding in-district obligation.</v>
      </c>
      <c r="H10292" s="25" t="str">
        <f t="shared" ca="1" si="1128"/>
        <v/>
      </c>
      <c r="I10292" s="25" t="str">
        <f t="shared" ca="1" si="1129"/>
        <v/>
      </c>
      <c r="J10292" s="26" t="str">
        <f t="shared" si="1130"/>
        <v/>
      </c>
    </row>
    <row r="10293" spans="1:10" x14ac:dyDescent="0.25">
      <c r="A10293" t="s">
        <v>111</v>
      </c>
      <c r="B10293" t="str">
        <f>ADDRESS(ROW(Parcels!B720),COLUMN(Parcels!B1562),4)</f>
        <v>B720</v>
      </c>
      <c r="C10293" t="str">
        <f>ADDRESS(ROW(Parcels!D720),COLUMN(Parcels!D720),4)</f>
        <v>D720</v>
      </c>
      <c r="D10293" s="46" t="b">
        <f>IF(AND(Parcels!B720="Current",'Six-Yr Rule'!B721&lt;=Year_DestinationYearID),IF((SUMIFS('Bond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293" t="s">
        <v>1641</v>
      </c>
      <c r="F10293" t="str">
        <f>INDEX(Lists!I:I,MATCH(Validation!E10293,Lists!G:G,0))</f>
        <v>Alert</v>
      </c>
      <c r="G10293" t="str">
        <f>INDEX(Lists!H:H,MATCH(Validation!E10293,Lists!G:G,0))</f>
        <v>This parcel does not appear to be pledged to an outstanding in-district obligation.</v>
      </c>
      <c r="H10293" s="25" t="str">
        <f t="shared" ca="1" si="1128"/>
        <v/>
      </c>
      <c r="I10293" s="25" t="str">
        <f t="shared" ca="1" si="1129"/>
        <v/>
      </c>
      <c r="J10293" s="26" t="str">
        <f t="shared" si="1130"/>
        <v/>
      </c>
    </row>
    <row r="10294" spans="1:10" x14ac:dyDescent="0.25">
      <c r="A10294" t="s">
        <v>111</v>
      </c>
      <c r="B10294" t="str">
        <f>ADDRESS(ROW(Parcels!B721),COLUMN(Parcels!B1563),4)</f>
        <v>B721</v>
      </c>
      <c r="C10294" t="str">
        <f>ADDRESS(ROW(Parcels!D721),COLUMN(Parcels!D721),4)</f>
        <v>D721</v>
      </c>
      <c r="D10294" s="46" t="b">
        <f>IF(AND(Parcels!B721="Current",'Six-Yr Rule'!B722&lt;=Year_DestinationYearID),IF((SUMIFS('Bond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294" t="s">
        <v>1641</v>
      </c>
      <c r="F10294" t="str">
        <f>INDEX(Lists!I:I,MATCH(Validation!E10294,Lists!G:G,0))</f>
        <v>Alert</v>
      </c>
      <c r="G10294" t="str">
        <f>INDEX(Lists!H:H,MATCH(Validation!E10294,Lists!G:G,0))</f>
        <v>This parcel does not appear to be pledged to an outstanding in-district obligation.</v>
      </c>
      <c r="H10294" s="25" t="str">
        <f t="shared" ca="1" si="1128"/>
        <v/>
      </c>
      <c r="I10294" s="25" t="str">
        <f t="shared" ca="1" si="1129"/>
        <v/>
      </c>
      <c r="J10294" s="26" t="str">
        <f t="shared" si="1130"/>
        <v/>
      </c>
    </row>
    <row r="10295" spans="1:10" x14ac:dyDescent="0.25">
      <c r="A10295" t="s">
        <v>111</v>
      </c>
      <c r="B10295" t="str">
        <f>ADDRESS(ROW(Parcels!B722),COLUMN(Parcels!B1564),4)</f>
        <v>B722</v>
      </c>
      <c r="C10295" t="str">
        <f>ADDRESS(ROW(Parcels!D722),COLUMN(Parcels!D722),4)</f>
        <v>D722</v>
      </c>
      <c r="D10295" s="46" t="b">
        <f>IF(AND(Parcels!B722="Current",'Six-Yr Rule'!B723&lt;=Year_DestinationYearID),IF((SUMIFS('Bond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295" t="s">
        <v>1641</v>
      </c>
      <c r="F10295" t="str">
        <f>INDEX(Lists!I:I,MATCH(Validation!E10295,Lists!G:G,0))</f>
        <v>Alert</v>
      </c>
      <c r="G10295" t="str">
        <f>INDEX(Lists!H:H,MATCH(Validation!E10295,Lists!G:G,0))</f>
        <v>This parcel does not appear to be pledged to an outstanding in-district obligation.</v>
      </c>
      <c r="H10295" s="25" t="str">
        <f t="shared" ca="1" si="1128"/>
        <v/>
      </c>
      <c r="I10295" s="25" t="str">
        <f t="shared" ca="1" si="1129"/>
        <v/>
      </c>
      <c r="J10295" s="26" t="str">
        <f t="shared" si="1130"/>
        <v/>
      </c>
    </row>
    <row r="10296" spans="1:10" x14ac:dyDescent="0.25">
      <c r="A10296" t="s">
        <v>111</v>
      </c>
      <c r="B10296" t="str">
        <f>ADDRESS(ROW(Parcels!B723),COLUMN(Parcels!B1565),4)</f>
        <v>B723</v>
      </c>
      <c r="C10296" t="str">
        <f>ADDRESS(ROW(Parcels!D723),COLUMN(Parcels!D723),4)</f>
        <v>D723</v>
      </c>
      <c r="D10296" s="46" t="b">
        <f>IF(AND(Parcels!B723="Current",'Six-Yr Rule'!B724&lt;=Year_DestinationYearID),IF((SUMIFS('Bond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296" t="s">
        <v>1641</v>
      </c>
      <c r="F10296" t="str">
        <f>INDEX(Lists!I:I,MATCH(Validation!E10296,Lists!G:G,0))</f>
        <v>Alert</v>
      </c>
      <c r="G10296" t="str">
        <f>INDEX(Lists!H:H,MATCH(Validation!E10296,Lists!G:G,0))</f>
        <v>This parcel does not appear to be pledged to an outstanding in-district obligation.</v>
      </c>
      <c r="H10296" s="25" t="str">
        <f t="shared" ca="1" si="1128"/>
        <v/>
      </c>
      <c r="I10296" s="25" t="str">
        <f t="shared" ca="1" si="1129"/>
        <v/>
      </c>
      <c r="J10296" s="26" t="str">
        <f t="shared" si="1130"/>
        <v/>
      </c>
    </row>
    <row r="10297" spans="1:10" x14ac:dyDescent="0.25">
      <c r="A10297" t="s">
        <v>111</v>
      </c>
      <c r="B10297" t="str">
        <f>ADDRESS(ROW(Parcels!B724),COLUMN(Parcels!B1566),4)</f>
        <v>B724</v>
      </c>
      <c r="C10297" t="str">
        <f>ADDRESS(ROW(Parcels!D724),COLUMN(Parcels!D724),4)</f>
        <v>D724</v>
      </c>
      <c r="D10297" s="46" t="b">
        <f>IF(AND(Parcels!B724="Current",'Six-Yr Rule'!B725&lt;=Year_DestinationYearID),IF((SUMIFS('Bond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297" t="s">
        <v>1641</v>
      </c>
      <c r="F10297" t="str">
        <f>INDEX(Lists!I:I,MATCH(Validation!E10297,Lists!G:G,0))</f>
        <v>Alert</v>
      </c>
      <c r="G10297" t="str">
        <f>INDEX(Lists!H:H,MATCH(Validation!E10297,Lists!G:G,0))</f>
        <v>This parcel does not appear to be pledged to an outstanding in-district obligation.</v>
      </c>
      <c r="H10297" s="25" t="str">
        <f t="shared" ca="1" si="1128"/>
        <v/>
      </c>
      <c r="I10297" s="25" t="str">
        <f t="shared" ca="1" si="1129"/>
        <v/>
      </c>
      <c r="J10297" s="26" t="str">
        <f t="shared" si="1130"/>
        <v/>
      </c>
    </row>
    <row r="10298" spans="1:10" x14ac:dyDescent="0.25">
      <c r="A10298" t="s">
        <v>111</v>
      </c>
      <c r="B10298" t="str">
        <f>ADDRESS(ROW(Parcels!B725),COLUMN(Parcels!B1567),4)</f>
        <v>B725</v>
      </c>
      <c r="C10298" t="str">
        <f>ADDRESS(ROW(Parcels!D725),COLUMN(Parcels!D725),4)</f>
        <v>D725</v>
      </c>
      <c r="D10298" s="46" t="b">
        <f>IF(AND(Parcels!B725="Current",'Six-Yr Rule'!B726&lt;=Year_DestinationYearID),IF((SUMIFS('Bond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298" t="s">
        <v>1641</v>
      </c>
      <c r="F10298" t="str">
        <f>INDEX(Lists!I:I,MATCH(Validation!E10298,Lists!G:G,0))</f>
        <v>Alert</v>
      </c>
      <c r="G10298" t="str">
        <f>INDEX(Lists!H:H,MATCH(Validation!E10298,Lists!G:G,0))</f>
        <v>This parcel does not appear to be pledged to an outstanding in-district obligation.</v>
      </c>
      <c r="H10298" s="25" t="str">
        <f t="shared" ca="1" si="1128"/>
        <v/>
      </c>
      <c r="I10298" s="25" t="str">
        <f t="shared" ca="1" si="1129"/>
        <v/>
      </c>
      <c r="J10298" s="26" t="str">
        <f t="shared" si="1130"/>
        <v/>
      </c>
    </row>
    <row r="10299" spans="1:10" x14ac:dyDescent="0.25">
      <c r="A10299" t="s">
        <v>111</v>
      </c>
      <c r="B10299" t="str">
        <f>ADDRESS(ROW(Parcels!B726),COLUMN(Parcels!B1568),4)</f>
        <v>B726</v>
      </c>
      <c r="C10299" t="str">
        <f>ADDRESS(ROW(Parcels!D726),COLUMN(Parcels!D726),4)</f>
        <v>D726</v>
      </c>
      <c r="D10299" s="46" t="b">
        <f>IF(AND(Parcels!B726="Current",'Six-Yr Rule'!B727&lt;=Year_DestinationYearID),IF((SUMIFS('Bond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299" t="s">
        <v>1641</v>
      </c>
      <c r="F10299" t="str">
        <f>INDEX(Lists!I:I,MATCH(Validation!E10299,Lists!G:G,0))</f>
        <v>Alert</v>
      </c>
      <c r="G10299" t="str">
        <f>INDEX(Lists!H:H,MATCH(Validation!E10299,Lists!G:G,0))</f>
        <v>This parcel does not appear to be pledged to an outstanding in-district obligation.</v>
      </c>
      <c r="H10299" s="25" t="str">
        <f t="shared" ca="1" si="1128"/>
        <v/>
      </c>
      <c r="I10299" s="25" t="str">
        <f t="shared" ca="1" si="1129"/>
        <v/>
      </c>
      <c r="J10299" s="26" t="str">
        <f t="shared" si="1130"/>
        <v/>
      </c>
    </row>
    <row r="10300" spans="1:10" x14ac:dyDescent="0.25">
      <c r="A10300" t="s">
        <v>111</v>
      </c>
      <c r="B10300" t="str">
        <f>ADDRESS(ROW(Parcels!B727),COLUMN(Parcels!B1569),4)</f>
        <v>B727</v>
      </c>
      <c r="C10300" t="str">
        <f>ADDRESS(ROW(Parcels!D727),COLUMN(Parcels!D727),4)</f>
        <v>D727</v>
      </c>
      <c r="D10300" s="46" t="b">
        <f>IF(AND(Parcels!B727="Current",'Six-Yr Rule'!B728&lt;=Year_DestinationYearID),IF((SUMIFS('Bond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300" t="s">
        <v>1641</v>
      </c>
      <c r="F10300" t="str">
        <f>INDEX(Lists!I:I,MATCH(Validation!E10300,Lists!G:G,0))</f>
        <v>Alert</v>
      </c>
      <c r="G10300" t="str">
        <f>INDEX(Lists!H:H,MATCH(Validation!E10300,Lists!G:G,0))</f>
        <v>This parcel does not appear to be pledged to an outstanding in-district obligation.</v>
      </c>
      <c r="H10300" s="25" t="str">
        <f t="shared" ca="1" si="1128"/>
        <v/>
      </c>
      <c r="I10300" s="25" t="str">
        <f t="shared" ca="1" si="1129"/>
        <v/>
      </c>
      <c r="J10300" s="26" t="str">
        <f t="shared" si="1130"/>
        <v/>
      </c>
    </row>
    <row r="10301" spans="1:10" x14ac:dyDescent="0.25">
      <c r="A10301" t="s">
        <v>111</v>
      </c>
      <c r="B10301" t="str">
        <f>ADDRESS(ROW(Parcels!B728),COLUMN(Parcels!B1570),4)</f>
        <v>B728</v>
      </c>
      <c r="C10301" t="str">
        <f>ADDRESS(ROW(Parcels!D728),COLUMN(Parcels!D728),4)</f>
        <v>D728</v>
      </c>
      <c r="D10301" s="46" t="b">
        <f>IF(AND(Parcels!B728="Current",'Six-Yr Rule'!B729&lt;=Year_DestinationYearID),IF((SUMIFS('Bond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301" t="s">
        <v>1641</v>
      </c>
      <c r="F10301" t="str">
        <f>INDEX(Lists!I:I,MATCH(Validation!E10301,Lists!G:G,0))</f>
        <v>Alert</v>
      </c>
      <c r="G10301" t="str">
        <f>INDEX(Lists!H:H,MATCH(Validation!E10301,Lists!G:G,0))</f>
        <v>This parcel does not appear to be pledged to an outstanding in-district obligation.</v>
      </c>
      <c r="H10301" s="25" t="str">
        <f t="shared" ca="1" si="1128"/>
        <v/>
      </c>
      <c r="I10301" s="25" t="str">
        <f t="shared" ca="1" si="1129"/>
        <v/>
      </c>
      <c r="J10301" s="26" t="str">
        <f t="shared" si="1130"/>
        <v/>
      </c>
    </row>
    <row r="10302" spans="1:10" x14ac:dyDescent="0.25">
      <c r="A10302" t="s">
        <v>111</v>
      </c>
      <c r="B10302" t="str">
        <f>ADDRESS(ROW(Parcels!B729),COLUMN(Parcels!B1571),4)</f>
        <v>B729</v>
      </c>
      <c r="C10302" t="str">
        <f>ADDRESS(ROW(Parcels!D729),COLUMN(Parcels!D729),4)</f>
        <v>D729</v>
      </c>
      <c r="D10302" s="46" t="b">
        <f>IF(AND(Parcels!B729="Current",'Six-Yr Rule'!B730&lt;=Year_DestinationYearID),IF((SUMIFS('Bond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302" t="s">
        <v>1641</v>
      </c>
      <c r="F10302" t="str">
        <f>INDEX(Lists!I:I,MATCH(Validation!E10302,Lists!G:G,0))</f>
        <v>Alert</v>
      </c>
      <c r="G10302" t="str">
        <f>INDEX(Lists!H:H,MATCH(Validation!E10302,Lists!G:G,0))</f>
        <v>This parcel does not appear to be pledged to an outstanding in-district obligation.</v>
      </c>
      <c r="H10302" s="25" t="str">
        <f t="shared" ca="1" si="1128"/>
        <v/>
      </c>
      <c r="I10302" s="25" t="str">
        <f t="shared" ca="1" si="1129"/>
        <v/>
      </c>
      <c r="J10302" s="26" t="str">
        <f t="shared" si="1130"/>
        <v/>
      </c>
    </row>
    <row r="10303" spans="1:10" x14ac:dyDescent="0.25">
      <c r="A10303" t="s">
        <v>111</v>
      </c>
      <c r="B10303" t="str">
        <f>ADDRESS(ROW(Parcels!B730),COLUMN(Parcels!B1572),4)</f>
        <v>B730</v>
      </c>
      <c r="C10303" t="str">
        <f>ADDRESS(ROW(Parcels!D730),COLUMN(Parcels!D730),4)</f>
        <v>D730</v>
      </c>
      <c r="D10303" s="46" t="b">
        <f>IF(AND(Parcels!B730="Current",'Six-Yr Rule'!B731&lt;=Year_DestinationYearID),IF((SUMIFS('Bond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303" t="s">
        <v>1641</v>
      </c>
      <c r="F10303" t="str">
        <f>INDEX(Lists!I:I,MATCH(Validation!E10303,Lists!G:G,0))</f>
        <v>Alert</v>
      </c>
      <c r="G10303" t="str">
        <f>INDEX(Lists!H:H,MATCH(Validation!E10303,Lists!G:G,0))</f>
        <v>This parcel does not appear to be pledged to an outstanding in-district obligation.</v>
      </c>
      <c r="H10303" s="25" t="str">
        <f t="shared" ca="1" si="1128"/>
        <v/>
      </c>
      <c r="I10303" s="25" t="str">
        <f t="shared" ca="1" si="1129"/>
        <v/>
      </c>
      <c r="J10303" s="26" t="str">
        <f t="shared" si="1130"/>
        <v/>
      </c>
    </row>
    <row r="10304" spans="1:10" x14ac:dyDescent="0.25">
      <c r="A10304" t="s">
        <v>111</v>
      </c>
      <c r="B10304" t="str">
        <f>ADDRESS(ROW(Parcels!B731),COLUMN(Parcels!B1573),4)</f>
        <v>B731</v>
      </c>
      <c r="C10304" t="str">
        <f>ADDRESS(ROW(Parcels!D731),COLUMN(Parcels!D731),4)</f>
        <v>D731</v>
      </c>
      <c r="D10304" s="46" t="b">
        <f>IF(AND(Parcels!B731="Current",'Six-Yr Rule'!B732&lt;=Year_DestinationYearID),IF((SUMIFS('Bond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304" t="s">
        <v>1641</v>
      </c>
      <c r="F10304" t="str">
        <f>INDEX(Lists!I:I,MATCH(Validation!E10304,Lists!G:G,0))</f>
        <v>Alert</v>
      </c>
      <c r="G10304" t="str">
        <f>INDEX(Lists!H:H,MATCH(Validation!E10304,Lists!G:G,0))</f>
        <v>This parcel does not appear to be pledged to an outstanding in-district obligation.</v>
      </c>
      <c r="H10304" s="25" t="str">
        <f t="shared" ca="1" si="1128"/>
        <v/>
      </c>
      <c r="I10304" s="25" t="str">
        <f t="shared" ca="1" si="1129"/>
        <v/>
      </c>
      <c r="J10304" s="26" t="str">
        <f t="shared" si="1130"/>
        <v/>
      </c>
    </row>
    <row r="10305" spans="1:10" x14ac:dyDescent="0.25">
      <c r="A10305" t="s">
        <v>111</v>
      </c>
      <c r="B10305" t="str">
        <f>ADDRESS(ROW(Parcels!B732),COLUMN(Parcels!B1574),4)</f>
        <v>B732</v>
      </c>
      <c r="C10305" t="str">
        <f>ADDRESS(ROW(Parcels!D732),COLUMN(Parcels!D732),4)</f>
        <v>D732</v>
      </c>
      <c r="D10305" s="46" t="b">
        <f>IF(AND(Parcels!B732="Current",'Six-Yr Rule'!B733&lt;=Year_DestinationYearID),IF((SUMIFS('Bond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305" t="s">
        <v>1641</v>
      </c>
      <c r="F10305" t="str">
        <f>INDEX(Lists!I:I,MATCH(Validation!E10305,Lists!G:G,0))</f>
        <v>Alert</v>
      </c>
      <c r="G10305" t="str">
        <f>INDEX(Lists!H:H,MATCH(Validation!E10305,Lists!G:G,0))</f>
        <v>This parcel does not appear to be pledged to an outstanding in-district obligation.</v>
      </c>
      <c r="H10305" s="25" t="str">
        <f t="shared" ca="1" si="1128"/>
        <v/>
      </c>
      <c r="I10305" s="25" t="str">
        <f t="shared" ca="1" si="1129"/>
        <v/>
      </c>
      <c r="J10305" s="26" t="str">
        <f t="shared" si="1130"/>
        <v/>
      </c>
    </row>
    <row r="10306" spans="1:10" x14ac:dyDescent="0.25">
      <c r="A10306" t="s">
        <v>111</v>
      </c>
      <c r="B10306" t="str">
        <f>ADDRESS(ROW(Parcels!B733),COLUMN(Parcels!B1575),4)</f>
        <v>B733</v>
      </c>
      <c r="C10306" t="str">
        <f>ADDRESS(ROW(Parcels!D733),COLUMN(Parcels!D733),4)</f>
        <v>D733</v>
      </c>
      <c r="D10306" s="46" t="b">
        <f>IF(AND(Parcels!B733="Current",'Six-Yr Rule'!B734&lt;=Year_DestinationYearID),IF((SUMIFS('Bond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306" t="s">
        <v>1641</v>
      </c>
      <c r="F10306" t="str">
        <f>INDEX(Lists!I:I,MATCH(Validation!E10306,Lists!G:G,0))</f>
        <v>Alert</v>
      </c>
      <c r="G10306" t="str">
        <f>INDEX(Lists!H:H,MATCH(Validation!E10306,Lists!G:G,0))</f>
        <v>This parcel does not appear to be pledged to an outstanding in-district obligation.</v>
      </c>
      <c r="H10306" s="25" t="str">
        <f t="shared" ca="1" si="1128"/>
        <v/>
      </c>
      <c r="I10306" s="25" t="str">
        <f t="shared" ca="1" si="1129"/>
        <v/>
      </c>
      <c r="J10306" s="26" t="str">
        <f t="shared" si="1130"/>
        <v/>
      </c>
    </row>
    <row r="10307" spans="1:10" x14ac:dyDescent="0.25">
      <c r="A10307" t="s">
        <v>111</v>
      </c>
      <c r="B10307" t="str">
        <f>ADDRESS(ROW(Parcels!B734),COLUMN(Parcels!B1576),4)</f>
        <v>B734</v>
      </c>
      <c r="C10307" t="str">
        <f>ADDRESS(ROW(Parcels!D734),COLUMN(Parcels!D734),4)</f>
        <v>D734</v>
      </c>
      <c r="D10307" s="46" t="b">
        <f>IF(AND(Parcels!B734="Current",'Six-Yr Rule'!B735&lt;=Year_DestinationYearID),IF((SUMIFS('Bond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307" t="s">
        <v>1641</v>
      </c>
      <c r="F10307" t="str">
        <f>INDEX(Lists!I:I,MATCH(Validation!E10307,Lists!G:G,0))</f>
        <v>Alert</v>
      </c>
      <c r="G10307" t="str">
        <f>INDEX(Lists!H:H,MATCH(Validation!E10307,Lists!G:G,0))</f>
        <v>This parcel does not appear to be pledged to an outstanding in-district obligation.</v>
      </c>
      <c r="H10307" s="25" t="str">
        <f t="shared" ca="1" si="1128"/>
        <v/>
      </c>
      <c r="I10307" s="25" t="str">
        <f t="shared" ca="1" si="1129"/>
        <v/>
      </c>
      <c r="J10307" s="26" t="str">
        <f t="shared" si="1130"/>
        <v/>
      </c>
    </row>
    <row r="10308" spans="1:10" x14ac:dyDescent="0.25">
      <c r="A10308" t="s">
        <v>111</v>
      </c>
      <c r="B10308" t="str">
        <f>ADDRESS(ROW(Parcels!B735),COLUMN(Parcels!B1577),4)</f>
        <v>B735</v>
      </c>
      <c r="C10308" t="str">
        <f>ADDRESS(ROW(Parcels!D735),COLUMN(Parcels!D735),4)</f>
        <v>D735</v>
      </c>
      <c r="D10308" s="46" t="b">
        <f>IF(AND(Parcels!B735="Current",'Six-Yr Rule'!B736&lt;=Year_DestinationYearID),IF((SUMIFS('Bond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308" t="s">
        <v>1641</v>
      </c>
      <c r="F10308" t="str">
        <f>INDEX(Lists!I:I,MATCH(Validation!E10308,Lists!G:G,0))</f>
        <v>Alert</v>
      </c>
      <c r="G10308" t="str">
        <f>INDEX(Lists!H:H,MATCH(Validation!E10308,Lists!G:G,0))</f>
        <v>This parcel does not appear to be pledged to an outstanding in-district obligation.</v>
      </c>
      <c r="H10308" s="25" t="str">
        <f t="shared" ca="1" si="1128"/>
        <v/>
      </c>
      <c r="I10308" s="25" t="str">
        <f t="shared" ca="1" si="1129"/>
        <v/>
      </c>
      <c r="J10308" s="26" t="str">
        <f t="shared" si="1130"/>
        <v/>
      </c>
    </row>
    <row r="10309" spans="1:10" x14ac:dyDescent="0.25">
      <c r="A10309" t="s">
        <v>111</v>
      </c>
      <c r="B10309" t="str">
        <f>ADDRESS(ROW(Parcels!B736),COLUMN(Parcels!B1578),4)</f>
        <v>B736</v>
      </c>
      <c r="C10309" t="str">
        <f>ADDRESS(ROW(Parcels!D736),COLUMN(Parcels!D736),4)</f>
        <v>D736</v>
      </c>
      <c r="D10309" s="46" t="b">
        <f>IF(AND(Parcels!B736="Current",'Six-Yr Rule'!B737&lt;=Year_DestinationYearID),IF((SUMIFS('Bond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309" t="s">
        <v>1641</v>
      </c>
      <c r="F10309" t="str">
        <f>INDEX(Lists!I:I,MATCH(Validation!E10309,Lists!G:G,0))</f>
        <v>Alert</v>
      </c>
      <c r="G10309" t="str">
        <f>INDEX(Lists!H:H,MATCH(Validation!E10309,Lists!G:G,0))</f>
        <v>This parcel does not appear to be pledged to an outstanding in-district obligation.</v>
      </c>
      <c r="H10309" s="25" t="str">
        <f t="shared" ca="1" si="1128"/>
        <v/>
      </c>
      <c r="I10309" s="25" t="str">
        <f t="shared" ca="1" si="1129"/>
        <v/>
      </c>
      <c r="J10309" s="26" t="str">
        <f t="shared" si="1130"/>
        <v/>
      </c>
    </row>
    <row r="10310" spans="1:10" x14ac:dyDescent="0.25">
      <c r="A10310" t="s">
        <v>111</v>
      </c>
      <c r="B10310" t="str">
        <f>ADDRESS(ROW(Parcels!B737),COLUMN(Parcels!B1579),4)</f>
        <v>B737</v>
      </c>
      <c r="C10310" t="str">
        <f>ADDRESS(ROW(Parcels!D737),COLUMN(Parcels!D737),4)</f>
        <v>D737</v>
      </c>
      <c r="D10310" s="46" t="b">
        <f>IF(AND(Parcels!B737="Current",'Six-Yr Rule'!B738&lt;=Year_DestinationYearID),IF((SUMIFS('Bond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310" t="s">
        <v>1641</v>
      </c>
      <c r="F10310" t="str">
        <f>INDEX(Lists!I:I,MATCH(Validation!E10310,Lists!G:G,0))</f>
        <v>Alert</v>
      </c>
      <c r="G10310" t="str">
        <f>INDEX(Lists!H:H,MATCH(Validation!E10310,Lists!G:G,0))</f>
        <v>This parcel does not appear to be pledged to an outstanding in-district obligation.</v>
      </c>
      <c r="H10310" s="25" t="str">
        <f t="shared" ca="1" si="1128"/>
        <v/>
      </c>
      <c r="I10310" s="25" t="str">
        <f t="shared" ca="1" si="1129"/>
        <v/>
      </c>
      <c r="J10310" s="26" t="str">
        <f t="shared" si="1130"/>
        <v/>
      </c>
    </row>
    <row r="10311" spans="1:10" x14ac:dyDescent="0.25">
      <c r="A10311" t="s">
        <v>111</v>
      </c>
      <c r="B10311" t="str">
        <f>ADDRESS(ROW(Parcels!B738),COLUMN(Parcels!B1580),4)</f>
        <v>B738</v>
      </c>
      <c r="C10311" t="str">
        <f>ADDRESS(ROW(Parcels!D738),COLUMN(Parcels!D738),4)</f>
        <v>D738</v>
      </c>
      <c r="D10311" s="46" t="b">
        <f>IF(AND(Parcels!B738="Current",'Six-Yr Rule'!B739&lt;=Year_DestinationYearID),IF((SUMIFS('Bond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311" t="s">
        <v>1641</v>
      </c>
      <c r="F10311" t="str">
        <f>INDEX(Lists!I:I,MATCH(Validation!E10311,Lists!G:G,0))</f>
        <v>Alert</v>
      </c>
      <c r="G10311" t="str">
        <f>INDEX(Lists!H:H,MATCH(Validation!E10311,Lists!G:G,0))</f>
        <v>This parcel does not appear to be pledged to an outstanding in-district obligation.</v>
      </c>
      <c r="H10311" s="25" t="str">
        <f t="shared" ca="1" si="1128"/>
        <v/>
      </c>
      <c r="I10311" s="25" t="str">
        <f t="shared" ca="1" si="1129"/>
        <v/>
      </c>
      <c r="J10311" s="26" t="str">
        <f t="shared" si="1130"/>
        <v/>
      </c>
    </row>
    <row r="10312" spans="1:10" x14ac:dyDescent="0.25">
      <c r="A10312" t="s">
        <v>111</v>
      </c>
      <c r="B10312" t="str">
        <f>ADDRESS(ROW(Parcels!B739),COLUMN(Parcels!B1581),4)</f>
        <v>B739</v>
      </c>
      <c r="C10312" t="str">
        <f>ADDRESS(ROW(Parcels!D739),COLUMN(Parcels!D739),4)</f>
        <v>D739</v>
      </c>
      <c r="D10312" s="46" t="b">
        <f>IF(AND(Parcels!B739="Current",'Six-Yr Rule'!B740&lt;=Year_DestinationYearID),IF((SUMIFS('Bond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312" t="s">
        <v>1641</v>
      </c>
      <c r="F10312" t="str">
        <f>INDEX(Lists!I:I,MATCH(Validation!E10312,Lists!G:G,0))</f>
        <v>Alert</v>
      </c>
      <c r="G10312" t="str">
        <f>INDEX(Lists!H:H,MATCH(Validation!E10312,Lists!G:G,0))</f>
        <v>This parcel does not appear to be pledged to an outstanding in-district obligation.</v>
      </c>
      <c r="H10312" s="25" t="str">
        <f t="shared" ca="1" si="1128"/>
        <v/>
      </c>
      <c r="I10312" s="25" t="str">
        <f t="shared" ca="1" si="1129"/>
        <v/>
      </c>
      <c r="J10312" s="26" t="str">
        <f t="shared" si="1130"/>
        <v/>
      </c>
    </row>
    <row r="10313" spans="1:10" x14ac:dyDescent="0.25">
      <c r="A10313" t="s">
        <v>111</v>
      </c>
      <c r="B10313" t="str">
        <f>ADDRESS(ROW(Parcels!B740),COLUMN(Parcels!B1582),4)</f>
        <v>B740</v>
      </c>
      <c r="C10313" t="str">
        <f>ADDRESS(ROW(Parcels!D740),COLUMN(Parcels!D740),4)</f>
        <v>D740</v>
      </c>
      <c r="D10313" s="46" t="b">
        <f>IF(AND(Parcels!B740="Current",'Six-Yr Rule'!B741&lt;=Year_DestinationYearID),IF((SUMIFS('Bond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313" t="s">
        <v>1641</v>
      </c>
      <c r="F10313" t="str">
        <f>INDEX(Lists!I:I,MATCH(Validation!E10313,Lists!G:G,0))</f>
        <v>Alert</v>
      </c>
      <c r="G10313" t="str">
        <f>INDEX(Lists!H:H,MATCH(Validation!E10313,Lists!G:G,0))</f>
        <v>This parcel does not appear to be pledged to an outstanding in-district obligation.</v>
      </c>
      <c r="H10313" s="25" t="str">
        <f t="shared" ca="1" si="1128"/>
        <v/>
      </c>
      <c r="I10313" s="25" t="str">
        <f t="shared" ca="1" si="1129"/>
        <v/>
      </c>
      <c r="J10313" s="26" t="str">
        <f t="shared" si="1130"/>
        <v/>
      </c>
    </row>
    <row r="10314" spans="1:10" x14ac:dyDescent="0.25">
      <c r="A10314" t="s">
        <v>111</v>
      </c>
      <c r="B10314" t="str">
        <f>ADDRESS(ROW(Parcels!B741),COLUMN(Parcels!B1583),4)</f>
        <v>B741</v>
      </c>
      <c r="C10314" t="str">
        <f>ADDRESS(ROW(Parcels!D741),COLUMN(Parcels!D741),4)</f>
        <v>D741</v>
      </c>
      <c r="D10314" s="46" t="b">
        <f>IF(AND(Parcels!B741="Current",'Six-Yr Rule'!B742&lt;=Year_DestinationYearID),IF((SUMIFS('Bond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314" t="s">
        <v>1641</v>
      </c>
      <c r="F10314" t="str">
        <f>INDEX(Lists!I:I,MATCH(Validation!E10314,Lists!G:G,0))</f>
        <v>Alert</v>
      </c>
      <c r="G10314" t="str">
        <f>INDEX(Lists!H:H,MATCH(Validation!E10314,Lists!G:G,0))</f>
        <v>This parcel does not appear to be pledged to an outstanding in-district obligation.</v>
      </c>
      <c r="H10314" s="25" t="str">
        <f t="shared" ca="1" si="1128"/>
        <v/>
      </c>
      <c r="I10314" s="25" t="str">
        <f t="shared" ca="1" si="1129"/>
        <v/>
      </c>
      <c r="J10314" s="26" t="str">
        <f t="shared" si="1130"/>
        <v/>
      </c>
    </row>
    <row r="10315" spans="1:10" x14ac:dyDescent="0.25">
      <c r="A10315" t="s">
        <v>111</v>
      </c>
      <c r="B10315" t="str">
        <f>ADDRESS(ROW(Parcels!B742),COLUMN(Parcels!B1584),4)</f>
        <v>B742</v>
      </c>
      <c r="C10315" t="str">
        <f>ADDRESS(ROW(Parcels!D742),COLUMN(Parcels!D742),4)</f>
        <v>D742</v>
      </c>
      <c r="D10315" s="46" t="b">
        <f>IF(AND(Parcels!B742="Current",'Six-Yr Rule'!B743&lt;=Year_DestinationYearID),IF((SUMIFS('Bond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315" t="s">
        <v>1641</v>
      </c>
      <c r="F10315" t="str">
        <f>INDEX(Lists!I:I,MATCH(Validation!E10315,Lists!G:G,0))</f>
        <v>Alert</v>
      </c>
      <c r="G10315" t="str">
        <f>INDEX(Lists!H:H,MATCH(Validation!E10315,Lists!G:G,0))</f>
        <v>This parcel does not appear to be pledged to an outstanding in-district obligation.</v>
      </c>
      <c r="H10315" s="25" t="str">
        <f t="shared" ca="1" si="1128"/>
        <v/>
      </c>
      <c r="I10315" s="25" t="str">
        <f t="shared" ca="1" si="1129"/>
        <v/>
      </c>
      <c r="J10315" s="26" t="str">
        <f t="shared" si="1130"/>
        <v/>
      </c>
    </row>
    <row r="10316" spans="1:10" x14ac:dyDescent="0.25">
      <c r="A10316" t="s">
        <v>111</v>
      </c>
      <c r="B10316" t="str">
        <f>ADDRESS(ROW(Parcels!B743),COLUMN(Parcels!B1585),4)</f>
        <v>B743</v>
      </c>
      <c r="C10316" t="str">
        <f>ADDRESS(ROW(Parcels!D743),COLUMN(Parcels!D743),4)</f>
        <v>D743</v>
      </c>
      <c r="D10316" s="46" t="b">
        <f>IF(AND(Parcels!B743="Current",'Six-Yr Rule'!B744&lt;=Year_DestinationYearID),IF((SUMIFS('Bond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316" t="s">
        <v>1641</v>
      </c>
      <c r="F10316" t="str">
        <f>INDEX(Lists!I:I,MATCH(Validation!E10316,Lists!G:G,0))</f>
        <v>Alert</v>
      </c>
      <c r="G10316" t="str">
        <f>INDEX(Lists!H:H,MATCH(Validation!E10316,Lists!G:G,0))</f>
        <v>This parcel does not appear to be pledged to an outstanding in-district obligation.</v>
      </c>
      <c r="H10316" s="25" t="str">
        <f t="shared" ca="1" si="1128"/>
        <v/>
      </c>
      <c r="I10316" s="25" t="str">
        <f t="shared" ca="1" si="1129"/>
        <v/>
      </c>
      <c r="J10316" s="26" t="str">
        <f t="shared" si="1130"/>
        <v/>
      </c>
    </row>
    <row r="10317" spans="1:10" x14ac:dyDescent="0.25">
      <c r="A10317" t="s">
        <v>111</v>
      </c>
      <c r="B10317" t="str">
        <f>ADDRESS(ROW(Parcels!B744),COLUMN(Parcels!B1586),4)</f>
        <v>B744</v>
      </c>
      <c r="C10317" t="str">
        <f>ADDRESS(ROW(Parcels!D744),COLUMN(Parcels!D744),4)</f>
        <v>D744</v>
      </c>
      <c r="D10317" s="46" t="b">
        <f>IF(AND(Parcels!B744="Current",'Six-Yr Rule'!B745&lt;=Year_DestinationYearID),IF((SUMIFS('Bond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317" t="s">
        <v>1641</v>
      </c>
      <c r="F10317" t="str">
        <f>INDEX(Lists!I:I,MATCH(Validation!E10317,Lists!G:G,0))</f>
        <v>Alert</v>
      </c>
      <c r="G10317" t="str">
        <f>INDEX(Lists!H:H,MATCH(Validation!E10317,Lists!G:G,0))</f>
        <v>This parcel does not appear to be pledged to an outstanding in-district obligation.</v>
      </c>
      <c r="H10317" s="25" t="str">
        <f t="shared" ca="1" si="1128"/>
        <v/>
      </c>
      <c r="I10317" s="25" t="str">
        <f t="shared" ca="1" si="1129"/>
        <v/>
      </c>
      <c r="J10317" s="26" t="str">
        <f t="shared" si="1130"/>
        <v/>
      </c>
    </row>
    <row r="10318" spans="1:10" x14ac:dyDescent="0.25">
      <c r="A10318" t="s">
        <v>111</v>
      </c>
      <c r="B10318" t="str">
        <f>ADDRESS(ROW(Parcels!B745),COLUMN(Parcels!B1587),4)</f>
        <v>B745</v>
      </c>
      <c r="C10318" t="str">
        <f>ADDRESS(ROW(Parcels!D745),COLUMN(Parcels!D745),4)</f>
        <v>D745</v>
      </c>
      <c r="D10318" s="46" t="b">
        <f>IF(AND(Parcels!B745="Current",'Six-Yr Rule'!B746&lt;=Year_DestinationYearID),IF((SUMIFS('Bond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318" t="s">
        <v>1641</v>
      </c>
      <c r="F10318" t="str">
        <f>INDEX(Lists!I:I,MATCH(Validation!E10318,Lists!G:G,0))</f>
        <v>Alert</v>
      </c>
      <c r="G10318" t="str">
        <f>INDEX(Lists!H:H,MATCH(Validation!E10318,Lists!G:G,0))</f>
        <v>This parcel does not appear to be pledged to an outstanding in-district obligation.</v>
      </c>
      <c r="H10318" s="25" t="str">
        <f t="shared" ca="1" si="1128"/>
        <v/>
      </c>
      <c r="I10318" s="25" t="str">
        <f t="shared" ca="1" si="1129"/>
        <v/>
      </c>
      <c r="J10318" s="26" t="str">
        <f t="shared" si="1130"/>
        <v/>
      </c>
    </row>
    <row r="10319" spans="1:10" x14ac:dyDescent="0.25">
      <c r="A10319" t="s">
        <v>111</v>
      </c>
      <c r="B10319" t="str">
        <f>ADDRESS(ROW(Parcels!B746),COLUMN(Parcels!B1588),4)</f>
        <v>B746</v>
      </c>
      <c r="C10319" t="str">
        <f>ADDRESS(ROW(Parcels!D746),COLUMN(Parcels!D746),4)</f>
        <v>D746</v>
      </c>
      <c r="D10319" s="46" t="b">
        <f>IF(AND(Parcels!B746="Current",'Six-Yr Rule'!B747&lt;=Year_DestinationYearID),IF((SUMIFS('Bond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319" t="s">
        <v>1641</v>
      </c>
      <c r="F10319" t="str">
        <f>INDEX(Lists!I:I,MATCH(Validation!E10319,Lists!G:G,0))</f>
        <v>Alert</v>
      </c>
      <c r="G10319" t="str">
        <f>INDEX(Lists!H:H,MATCH(Validation!E10319,Lists!G:G,0))</f>
        <v>This parcel does not appear to be pledged to an outstanding in-district obligation.</v>
      </c>
      <c r="H10319" s="25" t="str">
        <f t="shared" ca="1" si="1128"/>
        <v/>
      </c>
      <c r="I10319" s="25" t="str">
        <f t="shared" ca="1" si="1129"/>
        <v/>
      </c>
      <c r="J10319" s="26" t="str">
        <f t="shared" si="1130"/>
        <v/>
      </c>
    </row>
    <row r="10320" spans="1:10" x14ac:dyDescent="0.25">
      <c r="A10320" t="s">
        <v>111</v>
      </c>
      <c r="B10320" t="str">
        <f>ADDRESS(ROW(Parcels!B747),COLUMN(Parcels!B1589),4)</f>
        <v>B747</v>
      </c>
      <c r="C10320" t="str">
        <f>ADDRESS(ROW(Parcels!D747),COLUMN(Parcels!D747),4)</f>
        <v>D747</v>
      </c>
      <c r="D10320" s="46" t="b">
        <f>IF(AND(Parcels!B747="Current",'Six-Yr Rule'!B748&lt;=Year_DestinationYearID),IF((SUMIFS('Bond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320" t="s">
        <v>1641</v>
      </c>
      <c r="F10320" t="str">
        <f>INDEX(Lists!I:I,MATCH(Validation!E10320,Lists!G:G,0))</f>
        <v>Alert</v>
      </c>
      <c r="G10320" t="str">
        <f>INDEX(Lists!H:H,MATCH(Validation!E10320,Lists!G:G,0))</f>
        <v>This parcel does not appear to be pledged to an outstanding in-district obligation.</v>
      </c>
      <c r="H10320" s="25" t="str">
        <f t="shared" ca="1" si="1128"/>
        <v/>
      </c>
      <c r="I10320" s="25" t="str">
        <f t="shared" ca="1" si="1129"/>
        <v/>
      </c>
      <c r="J10320" s="26" t="str">
        <f t="shared" si="1130"/>
        <v/>
      </c>
    </row>
    <row r="10321" spans="1:10" x14ac:dyDescent="0.25">
      <c r="A10321" t="s">
        <v>111</v>
      </c>
      <c r="B10321" t="str">
        <f>ADDRESS(ROW(Parcels!B748),COLUMN(Parcels!B1590),4)</f>
        <v>B748</v>
      </c>
      <c r="C10321" t="str">
        <f>ADDRESS(ROW(Parcels!D748),COLUMN(Parcels!D748),4)</f>
        <v>D748</v>
      </c>
      <c r="D10321" s="46" t="b">
        <f>IF(AND(Parcels!B748="Current",'Six-Yr Rule'!B749&lt;=Year_DestinationYearID),IF((SUMIFS('Bond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321" t="s">
        <v>1641</v>
      </c>
      <c r="F10321" t="str">
        <f>INDEX(Lists!I:I,MATCH(Validation!E10321,Lists!G:G,0))</f>
        <v>Alert</v>
      </c>
      <c r="G10321" t="str">
        <f>INDEX(Lists!H:H,MATCH(Validation!E10321,Lists!G:G,0))</f>
        <v>This parcel does not appear to be pledged to an outstanding in-district obligation.</v>
      </c>
      <c r="H10321" s="25" t="str">
        <f t="shared" ca="1" si="1128"/>
        <v/>
      </c>
      <c r="I10321" s="25" t="str">
        <f t="shared" ca="1" si="1129"/>
        <v/>
      </c>
      <c r="J10321" s="26" t="str">
        <f t="shared" si="1130"/>
        <v/>
      </c>
    </row>
    <row r="10322" spans="1:10" x14ac:dyDescent="0.25">
      <c r="A10322" t="s">
        <v>111</v>
      </c>
      <c r="B10322" t="str">
        <f>ADDRESS(ROW(Parcels!B749),COLUMN(Parcels!B1591),4)</f>
        <v>B749</v>
      </c>
      <c r="C10322" t="str">
        <f>ADDRESS(ROW(Parcels!D749),COLUMN(Parcels!D749),4)</f>
        <v>D749</v>
      </c>
      <c r="D10322" s="46" t="b">
        <f>IF(AND(Parcels!B749="Current",'Six-Yr Rule'!B750&lt;=Year_DestinationYearID),IF((SUMIFS('Bond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322" t="s">
        <v>1641</v>
      </c>
      <c r="F10322" t="str">
        <f>INDEX(Lists!I:I,MATCH(Validation!E10322,Lists!G:G,0))</f>
        <v>Alert</v>
      </c>
      <c r="G10322" t="str">
        <f>INDEX(Lists!H:H,MATCH(Validation!E10322,Lists!G:G,0))</f>
        <v>This parcel does not appear to be pledged to an outstanding in-district obligation.</v>
      </c>
      <c r="H10322" s="25" t="str">
        <f t="shared" ca="1" si="1128"/>
        <v/>
      </c>
      <c r="I10322" s="25" t="str">
        <f t="shared" ca="1" si="1129"/>
        <v/>
      </c>
      <c r="J10322" s="26" t="str">
        <f t="shared" si="1130"/>
        <v/>
      </c>
    </row>
    <row r="10323" spans="1:10" x14ac:dyDescent="0.25">
      <c r="A10323" t="s">
        <v>111</v>
      </c>
      <c r="B10323" t="str">
        <f>ADDRESS(ROW(Parcels!B750),COLUMN(Parcels!B1592),4)</f>
        <v>B750</v>
      </c>
      <c r="C10323" t="str">
        <f>ADDRESS(ROW(Parcels!D750),COLUMN(Parcels!D750),4)</f>
        <v>D750</v>
      </c>
      <c r="D10323" s="46" t="b">
        <f>IF(AND(Parcels!B750="Current",'Six-Yr Rule'!B751&lt;=Year_DestinationYearID),IF((SUMIFS('Bond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323" t="s">
        <v>1641</v>
      </c>
      <c r="F10323" t="str">
        <f>INDEX(Lists!I:I,MATCH(Validation!E10323,Lists!G:G,0))</f>
        <v>Alert</v>
      </c>
      <c r="G10323" t="str">
        <f>INDEX(Lists!H:H,MATCH(Validation!E10323,Lists!G:G,0))</f>
        <v>This parcel does not appear to be pledged to an outstanding in-district obligation.</v>
      </c>
      <c r="H10323" s="25" t="str">
        <f t="shared" ca="1" si="1128"/>
        <v/>
      </c>
      <c r="I10323" s="25" t="str">
        <f t="shared" ca="1" si="1129"/>
        <v/>
      </c>
      <c r="J10323" s="26" t="str">
        <f t="shared" si="1130"/>
        <v/>
      </c>
    </row>
    <row r="10324" spans="1:10" x14ac:dyDescent="0.25">
      <c r="A10324" t="s">
        <v>111</v>
      </c>
      <c r="B10324" t="str">
        <f>ADDRESS(ROW(Parcels!B751),COLUMN(Parcels!B1593),4)</f>
        <v>B751</v>
      </c>
      <c r="C10324" t="str">
        <f>ADDRESS(ROW(Parcels!D751),COLUMN(Parcels!D751),4)</f>
        <v>D751</v>
      </c>
      <c r="D10324" s="46" t="b">
        <f>IF(AND(Parcels!B751="Current",'Six-Yr Rule'!B752&lt;=Year_DestinationYearID),IF((SUMIFS('Bond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324" t="s">
        <v>1641</v>
      </c>
      <c r="F10324" t="str">
        <f>INDEX(Lists!I:I,MATCH(Validation!E10324,Lists!G:G,0))</f>
        <v>Alert</v>
      </c>
      <c r="G10324" t="str">
        <f>INDEX(Lists!H:H,MATCH(Validation!E10324,Lists!G:G,0))</f>
        <v>This parcel does not appear to be pledged to an outstanding in-district obligation.</v>
      </c>
      <c r="H10324" s="25" t="str">
        <f t="shared" ca="1" si="1128"/>
        <v/>
      </c>
      <c r="I10324" s="25" t="str">
        <f t="shared" ca="1" si="1129"/>
        <v/>
      </c>
      <c r="J10324" s="26" t="str">
        <f t="shared" si="1130"/>
        <v/>
      </c>
    </row>
    <row r="10325" spans="1:10" x14ac:dyDescent="0.25">
      <c r="A10325" t="s">
        <v>111</v>
      </c>
      <c r="B10325" t="str">
        <f>ADDRESS(ROW(Parcels!B752),COLUMN(Parcels!B1594),4)</f>
        <v>B752</v>
      </c>
      <c r="C10325" t="str">
        <f>ADDRESS(ROW(Parcels!D752),COLUMN(Parcels!D752),4)</f>
        <v>D752</v>
      </c>
      <c r="D10325" s="46" t="b">
        <f>IF(AND(Parcels!B752="Current",'Six-Yr Rule'!B753&lt;=Year_DestinationYearID),IF((SUMIFS('Bond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325" t="s">
        <v>1641</v>
      </c>
      <c r="F10325" t="str">
        <f>INDEX(Lists!I:I,MATCH(Validation!E10325,Lists!G:G,0))</f>
        <v>Alert</v>
      </c>
      <c r="G10325" t="str">
        <f>INDEX(Lists!H:H,MATCH(Validation!E10325,Lists!G:G,0))</f>
        <v>This parcel does not appear to be pledged to an outstanding in-district obligation.</v>
      </c>
      <c r="H10325" s="25" t="str">
        <f t="shared" ca="1" si="1128"/>
        <v/>
      </c>
      <c r="I10325" s="25" t="str">
        <f t="shared" ca="1" si="1129"/>
        <v/>
      </c>
      <c r="J10325" s="26" t="str">
        <f t="shared" si="1130"/>
        <v/>
      </c>
    </row>
    <row r="10326" spans="1:10" x14ac:dyDescent="0.25">
      <c r="A10326" t="s">
        <v>111</v>
      </c>
      <c r="B10326" t="str">
        <f>ADDRESS(ROW(Parcels!B753),COLUMN(Parcels!B1595),4)</f>
        <v>B753</v>
      </c>
      <c r="C10326" t="str">
        <f>ADDRESS(ROW(Parcels!D753),COLUMN(Parcels!D753),4)</f>
        <v>D753</v>
      </c>
      <c r="D10326" s="46" t="b">
        <f>IF(AND(Parcels!B753="Current",'Six-Yr Rule'!B754&lt;=Year_DestinationYearID),IF((SUMIFS('Bond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326" t="s">
        <v>1641</v>
      </c>
      <c r="F10326" t="str">
        <f>INDEX(Lists!I:I,MATCH(Validation!E10326,Lists!G:G,0))</f>
        <v>Alert</v>
      </c>
      <c r="G10326" t="str">
        <f>INDEX(Lists!H:H,MATCH(Validation!E10326,Lists!G:G,0))</f>
        <v>This parcel does not appear to be pledged to an outstanding in-district obligation.</v>
      </c>
      <c r="H10326" s="25" t="str">
        <f t="shared" ca="1" si="1128"/>
        <v/>
      </c>
      <c r="I10326" s="25" t="str">
        <f t="shared" ca="1" si="1129"/>
        <v/>
      </c>
      <c r="J10326" s="26" t="str">
        <f t="shared" si="1130"/>
        <v/>
      </c>
    </row>
    <row r="10327" spans="1:10" x14ac:dyDescent="0.25">
      <c r="A10327" t="s">
        <v>111</v>
      </c>
      <c r="B10327" t="str">
        <f>ADDRESS(ROW(Parcels!B754),COLUMN(Parcels!B1596),4)</f>
        <v>B754</v>
      </c>
      <c r="C10327" t="str">
        <f>ADDRESS(ROW(Parcels!D754),COLUMN(Parcels!D754),4)</f>
        <v>D754</v>
      </c>
      <c r="D10327" s="46" t="b">
        <f>IF(AND(Parcels!B754="Current",'Six-Yr Rule'!B755&lt;=Year_DestinationYearID),IF((SUMIFS('Bond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327" t="s">
        <v>1641</v>
      </c>
      <c r="F10327" t="str">
        <f>INDEX(Lists!I:I,MATCH(Validation!E10327,Lists!G:G,0))</f>
        <v>Alert</v>
      </c>
      <c r="G10327" t="str">
        <f>INDEX(Lists!H:H,MATCH(Validation!E10327,Lists!G:G,0))</f>
        <v>This parcel does not appear to be pledged to an outstanding in-district obligation.</v>
      </c>
      <c r="H10327" s="25" t="str">
        <f t="shared" ca="1" si="1128"/>
        <v/>
      </c>
      <c r="I10327" s="25" t="str">
        <f t="shared" ca="1" si="1129"/>
        <v/>
      </c>
      <c r="J10327" s="26" t="str">
        <f t="shared" si="1130"/>
        <v/>
      </c>
    </row>
    <row r="10328" spans="1:10" x14ac:dyDescent="0.25">
      <c r="A10328" t="s">
        <v>111</v>
      </c>
      <c r="B10328" t="str">
        <f>ADDRESS(ROW(Parcels!B755),COLUMN(Parcels!B1597),4)</f>
        <v>B755</v>
      </c>
      <c r="C10328" t="str">
        <f>ADDRESS(ROW(Parcels!D755),COLUMN(Parcels!D755),4)</f>
        <v>D755</v>
      </c>
      <c r="D10328" s="46" t="b">
        <f>IF(AND(Parcels!B755="Current",'Six-Yr Rule'!B756&lt;=Year_DestinationYearID),IF((SUMIFS('Bond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328" t="s">
        <v>1641</v>
      </c>
      <c r="F10328" t="str">
        <f>INDEX(Lists!I:I,MATCH(Validation!E10328,Lists!G:G,0))</f>
        <v>Alert</v>
      </c>
      <c r="G10328" t="str">
        <f>INDEX(Lists!H:H,MATCH(Validation!E10328,Lists!G:G,0))</f>
        <v>This parcel does not appear to be pledged to an outstanding in-district obligation.</v>
      </c>
      <c r="H10328" s="25" t="str">
        <f t="shared" ca="1" si="1128"/>
        <v/>
      </c>
      <c r="I10328" s="25" t="str">
        <f t="shared" ca="1" si="1129"/>
        <v/>
      </c>
      <c r="J10328" s="26" t="str">
        <f t="shared" si="1130"/>
        <v/>
      </c>
    </row>
    <row r="10329" spans="1:10" x14ac:dyDescent="0.25">
      <c r="A10329" t="s">
        <v>111</v>
      </c>
      <c r="B10329" t="str">
        <f>ADDRESS(ROW(Parcels!B756),COLUMN(Parcels!B1598),4)</f>
        <v>B756</v>
      </c>
      <c r="C10329" t="str">
        <f>ADDRESS(ROW(Parcels!D756),COLUMN(Parcels!D756),4)</f>
        <v>D756</v>
      </c>
      <c r="D10329" s="46" t="b">
        <f>IF(AND(Parcels!B756="Current",'Six-Yr Rule'!B757&lt;=Year_DestinationYearID),IF((SUMIFS('Bond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329" t="s">
        <v>1641</v>
      </c>
      <c r="F10329" t="str">
        <f>INDEX(Lists!I:I,MATCH(Validation!E10329,Lists!G:G,0))</f>
        <v>Alert</v>
      </c>
      <c r="G10329" t="str">
        <f>INDEX(Lists!H:H,MATCH(Validation!E10329,Lists!G:G,0))</f>
        <v>This parcel does not appear to be pledged to an outstanding in-district obligation.</v>
      </c>
      <c r="H10329" s="25" t="str">
        <f t="shared" ca="1" si="1128"/>
        <v/>
      </c>
      <c r="I10329" s="25" t="str">
        <f t="shared" ca="1" si="1129"/>
        <v/>
      </c>
      <c r="J10329" s="26" t="str">
        <f t="shared" si="1130"/>
        <v/>
      </c>
    </row>
    <row r="10330" spans="1:10" x14ac:dyDescent="0.25">
      <c r="A10330" t="s">
        <v>111</v>
      </c>
      <c r="B10330" t="str">
        <f>ADDRESS(ROW(Parcels!B757),COLUMN(Parcels!B1599),4)</f>
        <v>B757</v>
      </c>
      <c r="C10330" t="str">
        <f>ADDRESS(ROW(Parcels!D757),COLUMN(Parcels!D757),4)</f>
        <v>D757</v>
      </c>
      <c r="D10330" s="46" t="b">
        <f>IF(AND(Parcels!B757="Current",'Six-Yr Rule'!B758&lt;=Year_DestinationYearID),IF((SUMIFS('Bond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330" t="s">
        <v>1641</v>
      </c>
      <c r="F10330" t="str">
        <f>INDEX(Lists!I:I,MATCH(Validation!E10330,Lists!G:G,0))</f>
        <v>Alert</v>
      </c>
      <c r="G10330" t="str">
        <f>INDEX(Lists!H:H,MATCH(Validation!E10330,Lists!G:G,0))</f>
        <v>This parcel does not appear to be pledged to an outstanding in-district obligation.</v>
      </c>
      <c r="H10330" s="25" t="str">
        <f t="shared" ca="1" si="1128"/>
        <v/>
      </c>
      <c r="I10330" s="25" t="str">
        <f t="shared" ca="1" si="1129"/>
        <v/>
      </c>
      <c r="J10330" s="26" t="str">
        <f t="shared" si="1130"/>
        <v/>
      </c>
    </row>
    <row r="10331" spans="1:10" x14ac:dyDescent="0.25">
      <c r="A10331" t="s">
        <v>111</v>
      </c>
      <c r="B10331" t="str">
        <f>ADDRESS(ROW(Parcels!B758),COLUMN(Parcels!B1600),4)</f>
        <v>B758</v>
      </c>
      <c r="C10331" t="str">
        <f>ADDRESS(ROW(Parcels!D758),COLUMN(Parcels!D758),4)</f>
        <v>D758</v>
      </c>
      <c r="D10331" s="46" t="b">
        <f>IF(AND(Parcels!B758="Current",'Six-Yr Rule'!B759&lt;=Year_DestinationYearID),IF((SUMIFS('Bond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331" t="s">
        <v>1641</v>
      </c>
      <c r="F10331" t="str">
        <f>INDEX(Lists!I:I,MATCH(Validation!E10331,Lists!G:G,0))</f>
        <v>Alert</v>
      </c>
      <c r="G10331" t="str">
        <f>INDEX(Lists!H:H,MATCH(Validation!E10331,Lists!G:G,0))</f>
        <v>This parcel does not appear to be pledged to an outstanding in-district obligation.</v>
      </c>
      <c r="H10331" s="25" t="str">
        <f t="shared" ca="1" si="1128"/>
        <v/>
      </c>
      <c r="I10331" s="25" t="str">
        <f t="shared" ca="1" si="1129"/>
        <v/>
      </c>
      <c r="J10331" s="26" t="str">
        <f t="shared" si="1130"/>
        <v/>
      </c>
    </row>
    <row r="10332" spans="1:10" x14ac:dyDescent="0.25">
      <c r="A10332" t="s">
        <v>111</v>
      </c>
      <c r="B10332" t="str">
        <f>ADDRESS(ROW(Parcels!B759),COLUMN(Parcels!B1601),4)</f>
        <v>B759</v>
      </c>
      <c r="C10332" t="str">
        <f>ADDRESS(ROW(Parcels!D759),COLUMN(Parcels!D759),4)</f>
        <v>D759</v>
      </c>
      <c r="D10332" s="46" t="b">
        <f>IF(AND(Parcels!B759="Current",'Six-Yr Rule'!B760&lt;=Year_DestinationYearID),IF((SUMIFS('Bond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332" t="s">
        <v>1641</v>
      </c>
      <c r="F10332" t="str">
        <f>INDEX(Lists!I:I,MATCH(Validation!E10332,Lists!G:G,0))</f>
        <v>Alert</v>
      </c>
      <c r="G10332" t="str">
        <f>INDEX(Lists!H:H,MATCH(Validation!E10332,Lists!G:G,0))</f>
        <v>This parcel does not appear to be pledged to an outstanding in-district obligation.</v>
      </c>
      <c r="H10332" s="25" t="str">
        <f t="shared" ca="1" si="1128"/>
        <v/>
      </c>
      <c r="I10332" s="25" t="str">
        <f t="shared" ca="1" si="1129"/>
        <v/>
      </c>
      <c r="J10332" s="26" t="str">
        <f t="shared" si="1130"/>
        <v/>
      </c>
    </row>
    <row r="10333" spans="1:10" x14ac:dyDescent="0.25">
      <c r="A10333" t="s">
        <v>111</v>
      </c>
      <c r="B10333" t="str">
        <f>ADDRESS(ROW(Parcels!B760),COLUMN(Parcels!B1602),4)</f>
        <v>B760</v>
      </c>
      <c r="C10333" t="str">
        <f>ADDRESS(ROW(Parcels!D760),COLUMN(Parcels!D760),4)</f>
        <v>D760</v>
      </c>
      <c r="D10333" s="46" t="b">
        <f>IF(AND(Parcels!B760="Current",'Six-Yr Rule'!B761&lt;=Year_DestinationYearID),IF((SUMIFS('Bond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333" t="s">
        <v>1641</v>
      </c>
      <c r="F10333" t="str">
        <f>INDEX(Lists!I:I,MATCH(Validation!E10333,Lists!G:G,0))</f>
        <v>Alert</v>
      </c>
      <c r="G10333" t="str">
        <f>INDEX(Lists!H:H,MATCH(Validation!E10333,Lists!G:G,0))</f>
        <v>This parcel does not appear to be pledged to an outstanding in-district obligation.</v>
      </c>
      <c r="H10333" s="25" t="str">
        <f t="shared" ca="1" si="1128"/>
        <v/>
      </c>
      <c r="I10333" s="25" t="str">
        <f t="shared" ca="1" si="1129"/>
        <v/>
      </c>
      <c r="J10333" s="26" t="str">
        <f t="shared" si="1130"/>
        <v/>
      </c>
    </row>
    <row r="10334" spans="1:10" x14ac:dyDescent="0.25">
      <c r="A10334" t="s">
        <v>111</v>
      </c>
      <c r="B10334" t="str">
        <f>ADDRESS(ROW(Parcels!B761),COLUMN(Parcels!B1603),4)</f>
        <v>B761</v>
      </c>
      <c r="C10334" t="str">
        <f>ADDRESS(ROW(Parcels!D761),COLUMN(Parcels!D761),4)</f>
        <v>D761</v>
      </c>
      <c r="D10334" s="46" t="b">
        <f>IF(AND(Parcels!B761="Current",'Six-Yr Rule'!B762&lt;=Year_DestinationYearID),IF((SUMIFS('Bond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334" t="s">
        <v>1641</v>
      </c>
      <c r="F10334" t="str">
        <f>INDEX(Lists!I:I,MATCH(Validation!E10334,Lists!G:G,0))</f>
        <v>Alert</v>
      </c>
      <c r="G10334" t="str">
        <f>INDEX(Lists!H:H,MATCH(Validation!E10334,Lists!G:G,0))</f>
        <v>This parcel does not appear to be pledged to an outstanding in-district obligation.</v>
      </c>
      <c r="H10334" s="25" t="str">
        <f t="shared" ca="1" si="1128"/>
        <v/>
      </c>
      <c r="I10334" s="25" t="str">
        <f t="shared" ca="1" si="1129"/>
        <v/>
      </c>
      <c r="J10334" s="26" t="str">
        <f t="shared" si="1130"/>
        <v/>
      </c>
    </row>
    <row r="10335" spans="1:10" x14ac:dyDescent="0.25">
      <c r="A10335" t="s">
        <v>111</v>
      </c>
      <c r="B10335" t="str">
        <f>ADDRESS(ROW(Parcels!B762),COLUMN(Parcels!B1604),4)</f>
        <v>B762</v>
      </c>
      <c r="C10335" t="str">
        <f>ADDRESS(ROW(Parcels!D762),COLUMN(Parcels!D762),4)</f>
        <v>D762</v>
      </c>
      <c r="D10335" s="46" t="b">
        <f>IF(AND(Parcels!B762="Current",'Six-Yr Rule'!B763&lt;=Year_DestinationYearID),IF((SUMIFS('Bond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335" t="s">
        <v>1641</v>
      </c>
      <c r="F10335" t="str">
        <f>INDEX(Lists!I:I,MATCH(Validation!E10335,Lists!G:G,0))</f>
        <v>Alert</v>
      </c>
      <c r="G10335" t="str">
        <f>INDEX(Lists!H:H,MATCH(Validation!E10335,Lists!G:G,0))</f>
        <v>This parcel does not appear to be pledged to an outstanding in-district obligation.</v>
      </c>
      <c r="H10335" s="25" t="str">
        <f t="shared" ca="1" si="1128"/>
        <v/>
      </c>
      <c r="I10335" s="25" t="str">
        <f t="shared" ca="1" si="1129"/>
        <v/>
      </c>
      <c r="J10335" s="26" t="str">
        <f t="shared" si="1130"/>
        <v/>
      </c>
    </row>
    <row r="10336" spans="1:10" x14ac:dyDescent="0.25">
      <c r="A10336" t="s">
        <v>111</v>
      </c>
      <c r="B10336" t="str">
        <f>ADDRESS(ROW(Parcels!B763),COLUMN(Parcels!B1605),4)</f>
        <v>B763</v>
      </c>
      <c r="C10336" t="str">
        <f>ADDRESS(ROW(Parcels!D763),COLUMN(Parcels!D763),4)</f>
        <v>D763</v>
      </c>
      <c r="D10336" s="46" t="b">
        <f>IF(AND(Parcels!B763="Current",'Six-Yr Rule'!B764&lt;=Year_DestinationYearID),IF((SUMIFS('Bond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336" t="s">
        <v>1641</v>
      </c>
      <c r="F10336" t="str">
        <f>INDEX(Lists!I:I,MATCH(Validation!E10336,Lists!G:G,0))</f>
        <v>Alert</v>
      </c>
      <c r="G10336" t="str">
        <f>INDEX(Lists!H:H,MATCH(Validation!E10336,Lists!G:G,0))</f>
        <v>This parcel does not appear to be pledged to an outstanding in-district obligation.</v>
      </c>
      <c r="H10336" s="25" t="str">
        <f t="shared" ca="1" si="1128"/>
        <v/>
      </c>
      <c r="I10336" s="25" t="str">
        <f t="shared" ca="1" si="1129"/>
        <v/>
      </c>
      <c r="J10336" s="26" t="str">
        <f t="shared" si="1130"/>
        <v/>
      </c>
    </row>
    <row r="10337" spans="1:10" x14ac:dyDescent="0.25">
      <c r="A10337" t="s">
        <v>111</v>
      </c>
      <c r="B10337" t="str">
        <f>ADDRESS(ROW(Parcels!B764),COLUMN(Parcels!B1606),4)</f>
        <v>B764</v>
      </c>
      <c r="C10337" t="str">
        <f>ADDRESS(ROW(Parcels!D764),COLUMN(Parcels!D764),4)</f>
        <v>D764</v>
      </c>
      <c r="D10337" s="46" t="b">
        <f>IF(AND(Parcels!B764="Current",'Six-Yr Rule'!B765&lt;=Year_DestinationYearID),IF((SUMIFS('Bond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337" t="s">
        <v>1641</v>
      </c>
      <c r="F10337" t="str">
        <f>INDEX(Lists!I:I,MATCH(Validation!E10337,Lists!G:G,0))</f>
        <v>Alert</v>
      </c>
      <c r="G10337" t="str">
        <f>INDEX(Lists!H:H,MATCH(Validation!E10337,Lists!G:G,0))</f>
        <v>This parcel does not appear to be pledged to an outstanding in-district obligation.</v>
      </c>
      <c r="H10337" s="25" t="str">
        <f t="shared" ca="1" si="1128"/>
        <v/>
      </c>
      <c r="I10337" s="25" t="str">
        <f t="shared" ca="1" si="1129"/>
        <v/>
      </c>
      <c r="J10337" s="26" t="str">
        <f t="shared" si="1130"/>
        <v/>
      </c>
    </row>
    <row r="10338" spans="1:10" x14ac:dyDescent="0.25">
      <c r="A10338" t="s">
        <v>111</v>
      </c>
      <c r="B10338" t="str">
        <f>ADDRESS(ROW(Parcels!B765),COLUMN(Parcels!B1607),4)</f>
        <v>B765</v>
      </c>
      <c r="C10338" t="str">
        <f>ADDRESS(ROW(Parcels!D765),COLUMN(Parcels!D765),4)</f>
        <v>D765</v>
      </c>
      <c r="D10338" s="46" t="b">
        <f>IF(AND(Parcels!B765="Current",'Six-Yr Rule'!B766&lt;=Year_DestinationYearID),IF((SUMIFS('Bond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338" t="s">
        <v>1641</v>
      </c>
      <c r="F10338" t="str">
        <f>INDEX(Lists!I:I,MATCH(Validation!E10338,Lists!G:G,0))</f>
        <v>Alert</v>
      </c>
      <c r="G10338" t="str">
        <f>INDEX(Lists!H:H,MATCH(Validation!E10338,Lists!G:G,0))</f>
        <v>This parcel does not appear to be pledged to an outstanding in-district obligation.</v>
      </c>
      <c r="H10338" s="25" t="str">
        <f t="shared" ca="1" si="1128"/>
        <v/>
      </c>
      <c r="I10338" s="25" t="str">
        <f t="shared" ca="1" si="1129"/>
        <v/>
      </c>
      <c r="J10338" s="26" t="str">
        <f t="shared" si="1130"/>
        <v/>
      </c>
    </row>
    <row r="10339" spans="1:10" x14ac:dyDescent="0.25">
      <c r="A10339" t="s">
        <v>111</v>
      </c>
      <c r="B10339" t="str">
        <f>ADDRESS(ROW(Parcels!B766),COLUMN(Parcels!B1608),4)</f>
        <v>B766</v>
      </c>
      <c r="C10339" t="str">
        <f>ADDRESS(ROW(Parcels!D766),COLUMN(Parcels!D766),4)</f>
        <v>D766</v>
      </c>
      <c r="D10339" s="46" t="b">
        <f>IF(AND(Parcels!B766="Current",'Six-Yr Rule'!B767&lt;=Year_DestinationYearID),IF((SUMIFS('Bond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339" t="s">
        <v>1641</v>
      </c>
      <c r="F10339" t="str">
        <f>INDEX(Lists!I:I,MATCH(Validation!E10339,Lists!G:G,0))</f>
        <v>Alert</v>
      </c>
      <c r="G10339" t="str">
        <f>INDEX(Lists!H:H,MATCH(Validation!E10339,Lists!G:G,0))</f>
        <v>This parcel does not appear to be pledged to an outstanding in-district obligation.</v>
      </c>
      <c r="H10339" s="25" t="str">
        <f t="shared" ca="1" si="1128"/>
        <v/>
      </c>
      <c r="I10339" s="25" t="str">
        <f t="shared" ca="1" si="1129"/>
        <v/>
      </c>
      <c r="J10339" s="26" t="str">
        <f t="shared" si="1130"/>
        <v/>
      </c>
    </row>
    <row r="10340" spans="1:10" x14ac:dyDescent="0.25">
      <c r="A10340" t="s">
        <v>111</v>
      </c>
      <c r="B10340" t="str">
        <f>ADDRESS(ROW(Parcels!B767),COLUMN(Parcels!B1609),4)</f>
        <v>B767</v>
      </c>
      <c r="C10340" t="str">
        <f>ADDRESS(ROW(Parcels!D767),COLUMN(Parcels!D767),4)</f>
        <v>D767</v>
      </c>
      <c r="D10340" s="46" t="b">
        <f>IF(AND(Parcels!B767="Current",'Six-Yr Rule'!B768&lt;=Year_DestinationYearID),IF((SUMIFS('Bond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340" t="s">
        <v>1641</v>
      </c>
      <c r="F10340" t="str">
        <f>INDEX(Lists!I:I,MATCH(Validation!E10340,Lists!G:G,0))</f>
        <v>Alert</v>
      </c>
      <c r="G10340" t="str">
        <f>INDEX(Lists!H:H,MATCH(Validation!E10340,Lists!G:G,0))</f>
        <v>This parcel does not appear to be pledged to an outstanding in-district obligation.</v>
      </c>
      <c r="H10340" s="25" t="str">
        <f t="shared" ca="1" si="1128"/>
        <v/>
      </c>
      <c r="I10340" s="25" t="str">
        <f t="shared" ca="1" si="1129"/>
        <v/>
      </c>
      <c r="J10340" s="26" t="str">
        <f t="shared" si="1130"/>
        <v/>
      </c>
    </row>
    <row r="10341" spans="1:10" x14ac:dyDescent="0.25">
      <c r="A10341" t="s">
        <v>111</v>
      </c>
      <c r="B10341" t="str">
        <f>ADDRESS(ROW(Parcels!B768),COLUMN(Parcels!B1610),4)</f>
        <v>B768</v>
      </c>
      <c r="C10341" t="str">
        <f>ADDRESS(ROW(Parcels!D768),COLUMN(Parcels!D768),4)</f>
        <v>D768</v>
      </c>
      <c r="D10341" s="46" t="b">
        <f>IF(AND(Parcels!B768="Current",'Six-Yr Rule'!B769&lt;=Year_DestinationYearID),IF((SUMIFS('Bond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341" t="s">
        <v>1641</v>
      </c>
      <c r="F10341" t="str">
        <f>INDEX(Lists!I:I,MATCH(Validation!E10341,Lists!G:G,0))</f>
        <v>Alert</v>
      </c>
      <c r="G10341" t="str">
        <f>INDEX(Lists!H:H,MATCH(Validation!E10341,Lists!G:G,0))</f>
        <v>This parcel does not appear to be pledged to an outstanding in-district obligation.</v>
      </c>
      <c r="H10341" s="25" t="str">
        <f t="shared" ca="1" si="1128"/>
        <v/>
      </c>
      <c r="I10341" s="25" t="str">
        <f t="shared" ca="1" si="1129"/>
        <v/>
      </c>
      <c r="J10341" s="26" t="str">
        <f t="shared" si="1130"/>
        <v/>
      </c>
    </row>
    <row r="10342" spans="1:10" x14ac:dyDescent="0.25">
      <c r="A10342" t="s">
        <v>111</v>
      </c>
      <c r="B10342" t="str">
        <f>ADDRESS(ROW(Parcels!B769),COLUMN(Parcels!B1611),4)</f>
        <v>B769</v>
      </c>
      <c r="C10342" t="str">
        <f>ADDRESS(ROW(Parcels!D769),COLUMN(Parcels!D769),4)</f>
        <v>D769</v>
      </c>
      <c r="D10342" s="46" t="b">
        <f>IF(AND(Parcels!B769="Current",'Six-Yr Rule'!B770&lt;=Year_DestinationYearID),IF((SUMIFS('Bond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342" t="s">
        <v>1641</v>
      </c>
      <c r="F10342" t="str">
        <f>INDEX(Lists!I:I,MATCH(Validation!E10342,Lists!G:G,0))</f>
        <v>Alert</v>
      </c>
      <c r="G10342" t="str">
        <f>INDEX(Lists!H:H,MATCH(Validation!E10342,Lists!G:G,0))</f>
        <v>This parcel does not appear to be pledged to an outstanding in-district obligation.</v>
      </c>
      <c r="H10342" s="25" t="str">
        <f t="shared" ca="1" si="1128"/>
        <v/>
      </c>
      <c r="I10342" s="25" t="str">
        <f t="shared" ca="1" si="1129"/>
        <v/>
      </c>
      <c r="J10342" s="26" t="str">
        <f t="shared" si="1130"/>
        <v/>
      </c>
    </row>
    <row r="10343" spans="1:10" x14ac:dyDescent="0.25">
      <c r="A10343" t="s">
        <v>111</v>
      </c>
      <c r="B10343" t="str">
        <f>ADDRESS(ROW(Parcels!B770),COLUMN(Parcels!B1612),4)</f>
        <v>B770</v>
      </c>
      <c r="C10343" t="str">
        <f>ADDRESS(ROW(Parcels!D770),COLUMN(Parcels!D770),4)</f>
        <v>D770</v>
      </c>
      <c r="D10343" s="46" t="b">
        <f>IF(AND(Parcels!B770="Current",'Six-Yr Rule'!B771&lt;=Year_DestinationYearID),IF((SUMIFS('Bond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343" t="s">
        <v>1641</v>
      </c>
      <c r="F10343" t="str">
        <f>INDEX(Lists!I:I,MATCH(Validation!E10343,Lists!G:G,0))</f>
        <v>Alert</v>
      </c>
      <c r="G10343" t="str">
        <f>INDEX(Lists!H:H,MATCH(Validation!E10343,Lists!G:G,0))</f>
        <v>This parcel does not appear to be pledged to an outstanding in-district obligation.</v>
      </c>
      <c r="H10343" s="25" t="str">
        <f t="shared" ca="1" si="1128"/>
        <v/>
      </c>
      <c r="I10343" s="25" t="str">
        <f t="shared" ca="1" si="1129"/>
        <v/>
      </c>
      <c r="J10343" s="26" t="str">
        <f t="shared" si="1130"/>
        <v/>
      </c>
    </row>
    <row r="10344" spans="1:10" x14ac:dyDescent="0.25">
      <c r="A10344" t="s">
        <v>111</v>
      </c>
      <c r="B10344" t="str">
        <f>ADDRESS(ROW(Parcels!B771),COLUMN(Parcels!B1613),4)</f>
        <v>B771</v>
      </c>
      <c r="C10344" t="str">
        <f>ADDRESS(ROW(Parcels!D771),COLUMN(Parcels!D771),4)</f>
        <v>D771</v>
      </c>
      <c r="D10344" s="46" t="b">
        <f>IF(AND(Parcels!B771="Current",'Six-Yr Rule'!B772&lt;=Year_DestinationYearID),IF((SUMIFS('Bond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344" t="s">
        <v>1641</v>
      </c>
      <c r="F10344" t="str">
        <f>INDEX(Lists!I:I,MATCH(Validation!E10344,Lists!G:G,0))</f>
        <v>Alert</v>
      </c>
      <c r="G10344" t="str">
        <f>INDEX(Lists!H:H,MATCH(Validation!E10344,Lists!G:G,0))</f>
        <v>This parcel does not appear to be pledged to an outstanding in-district obligation.</v>
      </c>
      <c r="H10344" s="25" t="str">
        <f t="shared" ca="1" si="1128"/>
        <v/>
      </c>
      <c r="I10344" s="25" t="str">
        <f t="shared" ca="1" si="1129"/>
        <v/>
      </c>
      <c r="J10344" s="26" t="str">
        <f t="shared" si="1130"/>
        <v/>
      </c>
    </row>
    <row r="10345" spans="1:10" x14ac:dyDescent="0.25">
      <c r="A10345" t="s">
        <v>111</v>
      </c>
      <c r="B10345" t="str">
        <f>ADDRESS(ROW(Parcels!B772),COLUMN(Parcels!B1614),4)</f>
        <v>B772</v>
      </c>
      <c r="C10345" t="str">
        <f>ADDRESS(ROW(Parcels!D772),COLUMN(Parcels!D772),4)</f>
        <v>D772</v>
      </c>
      <c r="D10345" s="46" t="b">
        <f>IF(AND(Parcels!B772="Current",'Six-Yr Rule'!B773&lt;=Year_DestinationYearID),IF((SUMIFS('Bond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345" t="s">
        <v>1641</v>
      </c>
      <c r="F10345" t="str">
        <f>INDEX(Lists!I:I,MATCH(Validation!E10345,Lists!G:G,0))</f>
        <v>Alert</v>
      </c>
      <c r="G10345" t="str">
        <f>INDEX(Lists!H:H,MATCH(Validation!E10345,Lists!G:G,0))</f>
        <v>This parcel does not appear to be pledged to an outstanding in-district obligation.</v>
      </c>
      <c r="H10345" s="25" t="str">
        <f t="shared" ca="1" si="1128"/>
        <v/>
      </c>
      <c r="I10345" s="25" t="str">
        <f t="shared" ca="1" si="1129"/>
        <v/>
      </c>
      <c r="J10345" s="26" t="str">
        <f t="shared" si="1130"/>
        <v/>
      </c>
    </row>
    <row r="10346" spans="1:10" x14ac:dyDescent="0.25">
      <c r="A10346" t="s">
        <v>111</v>
      </c>
      <c r="B10346" t="str">
        <f>ADDRESS(ROW(Parcels!B773),COLUMN(Parcels!B1615),4)</f>
        <v>B773</v>
      </c>
      <c r="C10346" t="str">
        <f>ADDRESS(ROW(Parcels!D773),COLUMN(Parcels!D773),4)</f>
        <v>D773</v>
      </c>
      <c r="D10346" s="46" t="b">
        <f>IF(AND(Parcels!B773="Current",'Six-Yr Rule'!B774&lt;=Year_DestinationYearID),IF((SUMIFS('Bond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346" t="s">
        <v>1641</v>
      </c>
      <c r="F10346" t="str">
        <f>INDEX(Lists!I:I,MATCH(Validation!E10346,Lists!G:G,0))</f>
        <v>Alert</v>
      </c>
      <c r="G10346" t="str">
        <f>INDEX(Lists!H:H,MATCH(Validation!E10346,Lists!G:G,0))</f>
        <v>This parcel does not appear to be pledged to an outstanding in-district obligation.</v>
      </c>
      <c r="H10346" s="25" t="str">
        <f t="shared" ca="1" si="1128"/>
        <v/>
      </c>
      <c r="I10346" s="25" t="str">
        <f t="shared" ca="1" si="1129"/>
        <v/>
      </c>
      <c r="J10346" s="26" t="str">
        <f t="shared" si="1130"/>
        <v/>
      </c>
    </row>
    <row r="10347" spans="1:10" x14ac:dyDescent="0.25">
      <c r="A10347" t="s">
        <v>111</v>
      </c>
      <c r="B10347" t="str">
        <f>ADDRESS(ROW(Parcels!B774),COLUMN(Parcels!B1616),4)</f>
        <v>B774</v>
      </c>
      <c r="C10347" t="str">
        <f>ADDRESS(ROW(Parcels!D774),COLUMN(Parcels!D774),4)</f>
        <v>D774</v>
      </c>
      <c r="D10347" s="46" t="b">
        <f>IF(AND(Parcels!B774="Current",'Six-Yr Rule'!B775&lt;=Year_DestinationYearID),IF((SUMIFS('Bond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347" t="s">
        <v>1641</v>
      </c>
      <c r="F10347" t="str">
        <f>INDEX(Lists!I:I,MATCH(Validation!E10347,Lists!G:G,0))</f>
        <v>Alert</v>
      </c>
      <c r="G10347" t="str">
        <f>INDEX(Lists!H:H,MATCH(Validation!E10347,Lists!G:G,0))</f>
        <v>This parcel does not appear to be pledged to an outstanding in-district obligation.</v>
      </c>
      <c r="H10347" s="25" t="str">
        <f t="shared" ca="1" si="1128"/>
        <v/>
      </c>
      <c r="I10347" s="25" t="str">
        <f t="shared" ca="1" si="1129"/>
        <v/>
      </c>
      <c r="J10347" s="26" t="str">
        <f t="shared" si="1130"/>
        <v/>
      </c>
    </row>
    <row r="10348" spans="1:10" x14ac:dyDescent="0.25">
      <c r="A10348" t="s">
        <v>111</v>
      </c>
      <c r="B10348" t="str">
        <f>ADDRESS(ROW(Parcels!B775),COLUMN(Parcels!B1617),4)</f>
        <v>B775</v>
      </c>
      <c r="C10348" t="str">
        <f>ADDRESS(ROW(Parcels!D775),COLUMN(Parcels!D775),4)</f>
        <v>D775</v>
      </c>
      <c r="D10348" s="46" t="b">
        <f>IF(AND(Parcels!B775="Current",'Six-Yr Rule'!B776&lt;=Year_DestinationYearID),IF((SUMIFS('Bond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348" t="s">
        <v>1641</v>
      </c>
      <c r="F10348" t="str">
        <f>INDEX(Lists!I:I,MATCH(Validation!E10348,Lists!G:G,0))</f>
        <v>Alert</v>
      </c>
      <c r="G10348" t="str">
        <f>INDEX(Lists!H:H,MATCH(Validation!E10348,Lists!G:G,0))</f>
        <v>This parcel does not appear to be pledged to an outstanding in-district obligation.</v>
      </c>
      <c r="H10348" s="25" t="str">
        <f t="shared" ca="1" si="1128"/>
        <v/>
      </c>
      <c r="I10348" s="25" t="str">
        <f t="shared" ca="1" si="1129"/>
        <v/>
      </c>
      <c r="J10348" s="26" t="str">
        <f t="shared" si="1130"/>
        <v/>
      </c>
    </row>
    <row r="10349" spans="1:10" x14ac:dyDescent="0.25">
      <c r="A10349" t="s">
        <v>111</v>
      </c>
      <c r="B10349" t="str">
        <f>ADDRESS(ROW(Parcels!B776),COLUMN(Parcels!B1618),4)</f>
        <v>B776</v>
      </c>
      <c r="C10349" t="str">
        <f>ADDRESS(ROW(Parcels!D776),COLUMN(Parcels!D776),4)</f>
        <v>D776</v>
      </c>
      <c r="D10349" s="46" t="b">
        <f>IF(AND(Parcels!B776="Current",'Six-Yr Rule'!B777&lt;=Year_DestinationYearID),IF((SUMIFS('Bond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349" t="s">
        <v>1641</v>
      </c>
      <c r="F10349" t="str">
        <f>INDEX(Lists!I:I,MATCH(Validation!E10349,Lists!G:G,0))</f>
        <v>Alert</v>
      </c>
      <c r="G10349" t="str">
        <f>INDEX(Lists!H:H,MATCH(Validation!E10349,Lists!G:G,0))</f>
        <v>This parcel does not appear to be pledged to an outstanding in-district obligation.</v>
      </c>
      <c r="H10349" s="25" t="str">
        <f t="shared" ca="1" si="1128"/>
        <v/>
      </c>
      <c r="I10349" s="25" t="str">
        <f t="shared" ca="1" si="1129"/>
        <v/>
      </c>
      <c r="J10349" s="26" t="str">
        <f t="shared" si="1130"/>
        <v/>
      </c>
    </row>
    <row r="10350" spans="1:10" x14ac:dyDescent="0.25">
      <c r="A10350" t="s">
        <v>111</v>
      </c>
      <c r="B10350" t="str">
        <f>ADDRESS(ROW(Parcels!B777),COLUMN(Parcels!B1619),4)</f>
        <v>B777</v>
      </c>
      <c r="C10350" t="str">
        <f>ADDRESS(ROW(Parcels!D777),COLUMN(Parcels!D777),4)</f>
        <v>D777</v>
      </c>
      <c r="D10350" s="46" t="b">
        <f>IF(AND(Parcels!B777="Current",'Six-Yr Rule'!B778&lt;=Year_DestinationYearID),IF((SUMIFS('Bond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350" t="s">
        <v>1641</v>
      </c>
      <c r="F10350" t="str">
        <f>INDEX(Lists!I:I,MATCH(Validation!E10350,Lists!G:G,0))</f>
        <v>Alert</v>
      </c>
      <c r="G10350" t="str">
        <f>INDEX(Lists!H:H,MATCH(Validation!E10350,Lists!G:G,0))</f>
        <v>This parcel does not appear to be pledged to an outstanding in-district obligation.</v>
      </c>
      <c r="H10350" s="25" t="str">
        <f t="shared" ca="1" si="1128"/>
        <v/>
      </c>
      <c r="I10350" s="25" t="str">
        <f t="shared" ca="1" si="1129"/>
        <v/>
      </c>
      <c r="J10350" s="26" t="str">
        <f t="shared" si="1130"/>
        <v/>
      </c>
    </row>
    <row r="10351" spans="1:10" x14ac:dyDescent="0.25">
      <c r="A10351" t="s">
        <v>111</v>
      </c>
      <c r="B10351" t="str">
        <f>ADDRESS(ROW(Parcels!B778),COLUMN(Parcels!B1620),4)</f>
        <v>B778</v>
      </c>
      <c r="C10351" t="str">
        <f>ADDRESS(ROW(Parcels!D778),COLUMN(Parcels!D778),4)</f>
        <v>D778</v>
      </c>
      <c r="D10351" s="46" t="b">
        <f>IF(AND(Parcels!B778="Current",'Six-Yr Rule'!B779&lt;=Year_DestinationYearID),IF((SUMIFS('Bond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351" t="s">
        <v>1641</v>
      </c>
      <c r="F10351" t="str">
        <f>INDEX(Lists!I:I,MATCH(Validation!E10351,Lists!G:G,0))</f>
        <v>Alert</v>
      </c>
      <c r="G10351" t="str">
        <f>INDEX(Lists!H:H,MATCH(Validation!E10351,Lists!G:G,0))</f>
        <v>This parcel does not appear to be pledged to an outstanding in-district obligation.</v>
      </c>
      <c r="H10351" s="25" t="str">
        <f t="shared" ca="1" si="1128"/>
        <v/>
      </c>
      <c r="I10351" s="25" t="str">
        <f t="shared" ca="1" si="1129"/>
        <v/>
      </c>
      <c r="J10351" s="26" t="str">
        <f t="shared" si="1130"/>
        <v/>
      </c>
    </row>
    <row r="10352" spans="1:10" x14ac:dyDescent="0.25">
      <c r="A10352" t="s">
        <v>111</v>
      </c>
      <c r="B10352" t="str">
        <f>ADDRESS(ROW(Parcels!B779),COLUMN(Parcels!B1621),4)</f>
        <v>B779</v>
      </c>
      <c r="C10352" t="str">
        <f>ADDRESS(ROW(Parcels!D779),COLUMN(Parcels!D779),4)</f>
        <v>D779</v>
      </c>
      <c r="D10352" s="46" t="b">
        <f>IF(AND(Parcels!B779="Current",'Six-Yr Rule'!B780&lt;=Year_DestinationYearID),IF((SUMIFS('Bond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352" t="s">
        <v>1641</v>
      </c>
      <c r="F10352" t="str">
        <f>INDEX(Lists!I:I,MATCH(Validation!E10352,Lists!G:G,0))</f>
        <v>Alert</v>
      </c>
      <c r="G10352" t="str">
        <f>INDEX(Lists!H:H,MATCH(Validation!E10352,Lists!G:G,0))</f>
        <v>This parcel does not appear to be pledged to an outstanding in-district obligation.</v>
      </c>
      <c r="H10352" s="25" t="str">
        <f t="shared" ca="1" si="1128"/>
        <v/>
      </c>
      <c r="I10352" s="25" t="str">
        <f t="shared" ca="1" si="1129"/>
        <v/>
      </c>
      <c r="J10352" s="26" t="str">
        <f t="shared" si="1130"/>
        <v/>
      </c>
    </row>
    <row r="10353" spans="1:10" x14ac:dyDescent="0.25">
      <c r="A10353" t="s">
        <v>111</v>
      </c>
      <c r="B10353" t="str">
        <f>ADDRESS(ROW(Parcels!B780),COLUMN(Parcels!B1622),4)</f>
        <v>B780</v>
      </c>
      <c r="C10353" t="str">
        <f>ADDRESS(ROW(Parcels!D780),COLUMN(Parcels!D780),4)</f>
        <v>D780</v>
      </c>
      <c r="D10353" s="46" t="b">
        <f>IF(AND(Parcels!B780="Current",'Six-Yr Rule'!B781&lt;=Year_DestinationYearID),IF((SUMIFS('Bond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353" t="s">
        <v>1641</v>
      </c>
      <c r="F10353" t="str">
        <f>INDEX(Lists!I:I,MATCH(Validation!E10353,Lists!G:G,0))</f>
        <v>Alert</v>
      </c>
      <c r="G10353" t="str">
        <f>INDEX(Lists!H:H,MATCH(Validation!E10353,Lists!G:G,0))</f>
        <v>This parcel does not appear to be pledged to an outstanding in-district obligation.</v>
      </c>
      <c r="H10353" s="25" t="str">
        <f t="shared" ca="1" si="1128"/>
        <v/>
      </c>
      <c r="I10353" s="25" t="str">
        <f t="shared" ca="1" si="1129"/>
        <v/>
      </c>
      <c r="J10353" s="26" t="str">
        <f t="shared" si="1130"/>
        <v/>
      </c>
    </row>
    <row r="10354" spans="1:10" x14ac:dyDescent="0.25">
      <c r="A10354" t="s">
        <v>111</v>
      </c>
      <c r="B10354" t="str">
        <f>ADDRESS(ROW(Parcels!B781),COLUMN(Parcels!B1623),4)</f>
        <v>B781</v>
      </c>
      <c r="C10354" t="str">
        <f>ADDRESS(ROW(Parcels!D781),COLUMN(Parcels!D781),4)</f>
        <v>D781</v>
      </c>
      <c r="D10354" s="46" t="b">
        <f>IF(AND(Parcels!B781="Current",'Six-Yr Rule'!B782&lt;=Year_DestinationYearID),IF((SUMIFS('Bond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354" t="s">
        <v>1641</v>
      </c>
      <c r="F10354" t="str">
        <f>INDEX(Lists!I:I,MATCH(Validation!E10354,Lists!G:G,0))</f>
        <v>Alert</v>
      </c>
      <c r="G10354" t="str">
        <f>INDEX(Lists!H:H,MATCH(Validation!E10354,Lists!G:G,0))</f>
        <v>This parcel does not appear to be pledged to an outstanding in-district obligation.</v>
      </c>
      <c r="H10354" s="25" t="str">
        <f t="shared" ca="1" si="1128"/>
        <v/>
      </c>
      <c r="I10354" s="25" t="str">
        <f t="shared" ca="1" si="1129"/>
        <v/>
      </c>
      <c r="J10354" s="26" t="str">
        <f t="shared" si="1130"/>
        <v/>
      </c>
    </row>
    <row r="10355" spans="1:10" x14ac:dyDescent="0.25">
      <c r="A10355" t="s">
        <v>111</v>
      </c>
      <c r="B10355" t="str">
        <f>ADDRESS(ROW(Parcels!B782),COLUMN(Parcels!B1624),4)</f>
        <v>B782</v>
      </c>
      <c r="C10355" t="str">
        <f>ADDRESS(ROW(Parcels!D782),COLUMN(Parcels!D782),4)</f>
        <v>D782</v>
      </c>
      <c r="D10355" s="46" t="b">
        <f>IF(AND(Parcels!B782="Current",'Six-Yr Rule'!B783&lt;=Year_DestinationYearID),IF((SUMIFS('Bond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355" t="s">
        <v>1641</v>
      </c>
      <c r="F10355" t="str">
        <f>INDEX(Lists!I:I,MATCH(Validation!E10355,Lists!G:G,0))</f>
        <v>Alert</v>
      </c>
      <c r="G10355" t="str">
        <f>INDEX(Lists!H:H,MATCH(Validation!E10355,Lists!G:G,0))</f>
        <v>This parcel does not appear to be pledged to an outstanding in-district obligation.</v>
      </c>
      <c r="H10355" s="25" t="str">
        <f t="shared" ref="H10355:H10418" ca="1" si="1131">IFERROR(IF(OR(NOT(D10355),F10355&lt;&gt;"Error"),"",A10355&amp;CELL("address",INDIRECT(B10355))),"")</f>
        <v/>
      </c>
      <c r="I10355" s="25" t="str">
        <f t="shared" ref="I10355:I10418" ca="1" si="1132">IFERROR(IF(NOT(D10355),"",A10355&amp;CELL("address",INDIRECT(C10355))),"")</f>
        <v/>
      </c>
      <c r="J10355" s="26" t="str">
        <f t="shared" ref="J10355:J10418" si="1133">IFERROR(IF(NOT(D10355),"",A10355),"")</f>
        <v/>
      </c>
    </row>
    <row r="10356" spans="1:10" x14ac:dyDescent="0.25">
      <c r="A10356" t="s">
        <v>111</v>
      </c>
      <c r="B10356" t="str">
        <f>ADDRESS(ROW(Parcels!B783),COLUMN(Parcels!B1625),4)</f>
        <v>B783</v>
      </c>
      <c r="C10356" t="str">
        <f>ADDRESS(ROW(Parcels!D783),COLUMN(Parcels!D783),4)</f>
        <v>D783</v>
      </c>
      <c r="D10356" s="46" t="b">
        <f>IF(AND(Parcels!B783="Current",'Six-Yr Rule'!B784&lt;=Year_DestinationYearID),IF((SUMIFS('Bond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356" t="s">
        <v>1641</v>
      </c>
      <c r="F10356" t="str">
        <f>INDEX(Lists!I:I,MATCH(Validation!E10356,Lists!G:G,0))</f>
        <v>Alert</v>
      </c>
      <c r="G10356" t="str">
        <f>INDEX(Lists!H:H,MATCH(Validation!E10356,Lists!G:G,0))</f>
        <v>This parcel does not appear to be pledged to an outstanding in-district obligation.</v>
      </c>
      <c r="H10356" s="25" t="str">
        <f t="shared" ca="1" si="1131"/>
        <v/>
      </c>
      <c r="I10356" s="25" t="str">
        <f t="shared" ca="1" si="1132"/>
        <v/>
      </c>
      <c r="J10356" s="26" t="str">
        <f t="shared" si="1133"/>
        <v/>
      </c>
    </row>
    <row r="10357" spans="1:10" x14ac:dyDescent="0.25">
      <c r="A10357" t="s">
        <v>111</v>
      </c>
      <c r="B10357" t="str">
        <f>ADDRESS(ROW(Parcels!B784),COLUMN(Parcels!B1626),4)</f>
        <v>B784</v>
      </c>
      <c r="C10357" t="str">
        <f>ADDRESS(ROW(Parcels!D784),COLUMN(Parcels!D784),4)</f>
        <v>D784</v>
      </c>
      <c r="D10357" s="46" t="b">
        <f>IF(AND(Parcels!B784="Current",'Six-Yr Rule'!B785&lt;=Year_DestinationYearID),IF((SUMIFS('Bond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357" t="s">
        <v>1641</v>
      </c>
      <c r="F10357" t="str">
        <f>INDEX(Lists!I:I,MATCH(Validation!E10357,Lists!G:G,0))</f>
        <v>Alert</v>
      </c>
      <c r="G10357" t="str">
        <f>INDEX(Lists!H:H,MATCH(Validation!E10357,Lists!G:G,0))</f>
        <v>This parcel does not appear to be pledged to an outstanding in-district obligation.</v>
      </c>
      <c r="H10357" s="25" t="str">
        <f t="shared" ca="1" si="1131"/>
        <v/>
      </c>
      <c r="I10357" s="25" t="str">
        <f t="shared" ca="1" si="1132"/>
        <v/>
      </c>
      <c r="J10357" s="26" t="str">
        <f t="shared" si="1133"/>
        <v/>
      </c>
    </row>
    <row r="10358" spans="1:10" x14ac:dyDescent="0.25">
      <c r="A10358" t="s">
        <v>111</v>
      </c>
      <c r="B10358" t="str">
        <f>ADDRESS(ROW(Parcels!B785),COLUMN(Parcels!B1627),4)</f>
        <v>B785</v>
      </c>
      <c r="C10358" t="str">
        <f>ADDRESS(ROW(Parcels!D785),COLUMN(Parcels!D785),4)</f>
        <v>D785</v>
      </c>
      <c r="D10358" s="46" t="b">
        <f>IF(AND(Parcels!B785="Current",'Six-Yr Rule'!B786&lt;=Year_DestinationYearID),IF((SUMIFS('Bond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358" t="s">
        <v>1641</v>
      </c>
      <c r="F10358" t="str">
        <f>INDEX(Lists!I:I,MATCH(Validation!E10358,Lists!G:G,0))</f>
        <v>Alert</v>
      </c>
      <c r="G10358" t="str">
        <f>INDEX(Lists!H:H,MATCH(Validation!E10358,Lists!G:G,0))</f>
        <v>This parcel does not appear to be pledged to an outstanding in-district obligation.</v>
      </c>
      <c r="H10358" s="25" t="str">
        <f t="shared" ca="1" si="1131"/>
        <v/>
      </c>
      <c r="I10358" s="25" t="str">
        <f t="shared" ca="1" si="1132"/>
        <v/>
      </c>
      <c r="J10358" s="26" t="str">
        <f t="shared" si="1133"/>
        <v/>
      </c>
    </row>
    <row r="10359" spans="1:10" x14ac:dyDescent="0.25">
      <c r="A10359" t="s">
        <v>111</v>
      </c>
      <c r="B10359" t="str">
        <f>ADDRESS(ROW(Parcels!B786),COLUMN(Parcels!B1628),4)</f>
        <v>B786</v>
      </c>
      <c r="C10359" t="str">
        <f>ADDRESS(ROW(Parcels!D786),COLUMN(Parcels!D786),4)</f>
        <v>D786</v>
      </c>
      <c r="D10359" s="46" t="b">
        <f>IF(AND(Parcels!B786="Current",'Six-Yr Rule'!B787&lt;=Year_DestinationYearID),IF((SUMIFS('Bond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359" t="s">
        <v>1641</v>
      </c>
      <c r="F10359" t="str">
        <f>INDEX(Lists!I:I,MATCH(Validation!E10359,Lists!G:G,0))</f>
        <v>Alert</v>
      </c>
      <c r="G10359" t="str">
        <f>INDEX(Lists!H:H,MATCH(Validation!E10359,Lists!G:G,0))</f>
        <v>This parcel does not appear to be pledged to an outstanding in-district obligation.</v>
      </c>
      <c r="H10359" s="25" t="str">
        <f t="shared" ca="1" si="1131"/>
        <v/>
      </c>
      <c r="I10359" s="25" t="str">
        <f t="shared" ca="1" si="1132"/>
        <v/>
      </c>
      <c r="J10359" s="26" t="str">
        <f t="shared" si="1133"/>
        <v/>
      </c>
    </row>
    <row r="10360" spans="1:10" x14ac:dyDescent="0.25">
      <c r="A10360" t="s">
        <v>111</v>
      </c>
      <c r="B10360" t="str">
        <f>ADDRESS(ROW(Parcels!B787),COLUMN(Parcels!B1629),4)</f>
        <v>B787</v>
      </c>
      <c r="C10360" t="str">
        <f>ADDRESS(ROW(Parcels!D787),COLUMN(Parcels!D787),4)</f>
        <v>D787</v>
      </c>
      <c r="D10360" s="46" t="b">
        <f>IF(AND(Parcels!B787="Current",'Six-Yr Rule'!B788&lt;=Year_DestinationYearID),IF((SUMIFS('Bond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360" t="s">
        <v>1641</v>
      </c>
      <c r="F10360" t="str">
        <f>INDEX(Lists!I:I,MATCH(Validation!E10360,Lists!G:G,0))</f>
        <v>Alert</v>
      </c>
      <c r="G10360" t="str">
        <f>INDEX(Lists!H:H,MATCH(Validation!E10360,Lists!G:G,0))</f>
        <v>This parcel does not appear to be pledged to an outstanding in-district obligation.</v>
      </c>
      <c r="H10360" s="25" t="str">
        <f t="shared" ca="1" si="1131"/>
        <v/>
      </c>
      <c r="I10360" s="25" t="str">
        <f t="shared" ca="1" si="1132"/>
        <v/>
      </c>
      <c r="J10360" s="26" t="str">
        <f t="shared" si="1133"/>
        <v/>
      </c>
    </row>
    <row r="10361" spans="1:10" x14ac:dyDescent="0.25">
      <c r="A10361" t="s">
        <v>111</v>
      </c>
      <c r="B10361" t="str">
        <f>ADDRESS(ROW(Parcels!B788),COLUMN(Parcels!B1630),4)</f>
        <v>B788</v>
      </c>
      <c r="C10361" t="str">
        <f>ADDRESS(ROW(Parcels!D788),COLUMN(Parcels!D788),4)</f>
        <v>D788</v>
      </c>
      <c r="D10361" s="46" t="b">
        <f>IF(AND(Parcels!B788="Current",'Six-Yr Rule'!B789&lt;=Year_DestinationYearID),IF((SUMIFS('Bond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361" t="s">
        <v>1641</v>
      </c>
      <c r="F10361" t="str">
        <f>INDEX(Lists!I:I,MATCH(Validation!E10361,Lists!G:G,0))</f>
        <v>Alert</v>
      </c>
      <c r="G10361" t="str">
        <f>INDEX(Lists!H:H,MATCH(Validation!E10361,Lists!G:G,0))</f>
        <v>This parcel does not appear to be pledged to an outstanding in-district obligation.</v>
      </c>
      <c r="H10361" s="25" t="str">
        <f t="shared" ca="1" si="1131"/>
        <v/>
      </c>
      <c r="I10361" s="25" t="str">
        <f t="shared" ca="1" si="1132"/>
        <v/>
      </c>
      <c r="J10361" s="26" t="str">
        <f t="shared" si="1133"/>
        <v/>
      </c>
    </row>
    <row r="10362" spans="1:10" x14ac:dyDescent="0.25">
      <c r="A10362" t="s">
        <v>111</v>
      </c>
      <c r="B10362" t="str">
        <f>ADDRESS(ROW(Parcels!B789),COLUMN(Parcels!B1631),4)</f>
        <v>B789</v>
      </c>
      <c r="C10362" t="str">
        <f>ADDRESS(ROW(Parcels!D789),COLUMN(Parcels!D789),4)</f>
        <v>D789</v>
      </c>
      <c r="D10362" s="46" t="b">
        <f>IF(AND(Parcels!B789="Current",'Six-Yr Rule'!B790&lt;=Year_DestinationYearID),IF((SUMIFS('Bond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362" t="s">
        <v>1641</v>
      </c>
      <c r="F10362" t="str">
        <f>INDEX(Lists!I:I,MATCH(Validation!E10362,Lists!G:G,0))</f>
        <v>Alert</v>
      </c>
      <c r="G10362" t="str">
        <f>INDEX(Lists!H:H,MATCH(Validation!E10362,Lists!G:G,0))</f>
        <v>This parcel does not appear to be pledged to an outstanding in-district obligation.</v>
      </c>
      <c r="H10362" s="25" t="str">
        <f t="shared" ca="1" si="1131"/>
        <v/>
      </c>
      <c r="I10362" s="25" t="str">
        <f t="shared" ca="1" si="1132"/>
        <v/>
      </c>
      <c r="J10362" s="26" t="str">
        <f t="shared" si="1133"/>
        <v/>
      </c>
    </row>
    <row r="10363" spans="1:10" x14ac:dyDescent="0.25">
      <c r="A10363" t="s">
        <v>111</v>
      </c>
      <c r="B10363" t="str">
        <f>ADDRESS(ROW(Parcels!B790),COLUMN(Parcels!B1632),4)</f>
        <v>B790</v>
      </c>
      <c r="C10363" t="str">
        <f>ADDRESS(ROW(Parcels!D790),COLUMN(Parcels!D790),4)</f>
        <v>D790</v>
      </c>
      <c r="D10363" s="46" t="b">
        <f>IF(AND(Parcels!B790="Current",'Six-Yr Rule'!B791&lt;=Year_DestinationYearID),IF((SUMIFS('Bond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363" t="s">
        <v>1641</v>
      </c>
      <c r="F10363" t="str">
        <f>INDEX(Lists!I:I,MATCH(Validation!E10363,Lists!G:G,0))</f>
        <v>Alert</v>
      </c>
      <c r="G10363" t="str">
        <f>INDEX(Lists!H:H,MATCH(Validation!E10363,Lists!G:G,0))</f>
        <v>This parcel does not appear to be pledged to an outstanding in-district obligation.</v>
      </c>
      <c r="H10363" s="25" t="str">
        <f t="shared" ca="1" si="1131"/>
        <v/>
      </c>
      <c r="I10363" s="25" t="str">
        <f t="shared" ca="1" si="1132"/>
        <v/>
      </c>
      <c r="J10363" s="26" t="str">
        <f t="shared" si="1133"/>
        <v/>
      </c>
    </row>
    <row r="10364" spans="1:10" x14ac:dyDescent="0.25">
      <c r="A10364" t="s">
        <v>111</v>
      </c>
      <c r="B10364" t="str">
        <f>ADDRESS(ROW(Parcels!B791),COLUMN(Parcels!B1633),4)</f>
        <v>B791</v>
      </c>
      <c r="C10364" t="str">
        <f>ADDRESS(ROW(Parcels!D791),COLUMN(Parcels!D791),4)</f>
        <v>D791</v>
      </c>
      <c r="D10364" s="46" t="b">
        <f>IF(AND(Parcels!B791="Current",'Six-Yr Rule'!B792&lt;=Year_DestinationYearID),IF((SUMIFS('Bond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364" t="s">
        <v>1641</v>
      </c>
      <c r="F10364" t="str">
        <f>INDEX(Lists!I:I,MATCH(Validation!E10364,Lists!G:G,0))</f>
        <v>Alert</v>
      </c>
      <c r="G10364" t="str">
        <f>INDEX(Lists!H:H,MATCH(Validation!E10364,Lists!G:G,0))</f>
        <v>This parcel does not appear to be pledged to an outstanding in-district obligation.</v>
      </c>
      <c r="H10364" s="25" t="str">
        <f t="shared" ca="1" si="1131"/>
        <v/>
      </c>
      <c r="I10364" s="25" t="str">
        <f t="shared" ca="1" si="1132"/>
        <v/>
      </c>
      <c r="J10364" s="26" t="str">
        <f t="shared" si="1133"/>
        <v/>
      </c>
    </row>
    <row r="10365" spans="1:10" x14ac:dyDescent="0.25">
      <c r="A10365" t="s">
        <v>111</v>
      </c>
      <c r="B10365" t="str">
        <f>ADDRESS(ROW(Parcels!B792),COLUMN(Parcels!B1634),4)</f>
        <v>B792</v>
      </c>
      <c r="C10365" t="str">
        <f>ADDRESS(ROW(Parcels!D792),COLUMN(Parcels!D792),4)</f>
        <v>D792</v>
      </c>
      <c r="D10365" s="46" t="b">
        <f>IF(AND(Parcels!B792="Current",'Six-Yr Rule'!B793&lt;=Year_DestinationYearID),IF((SUMIFS('Bond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365" t="s">
        <v>1641</v>
      </c>
      <c r="F10365" t="str">
        <f>INDEX(Lists!I:I,MATCH(Validation!E10365,Lists!G:G,0))</f>
        <v>Alert</v>
      </c>
      <c r="G10365" t="str">
        <f>INDEX(Lists!H:H,MATCH(Validation!E10365,Lists!G:G,0))</f>
        <v>This parcel does not appear to be pledged to an outstanding in-district obligation.</v>
      </c>
      <c r="H10365" s="25" t="str">
        <f t="shared" ca="1" si="1131"/>
        <v/>
      </c>
      <c r="I10365" s="25" t="str">
        <f t="shared" ca="1" si="1132"/>
        <v/>
      </c>
      <c r="J10365" s="26" t="str">
        <f t="shared" si="1133"/>
        <v/>
      </c>
    </row>
    <row r="10366" spans="1:10" x14ac:dyDescent="0.25">
      <c r="A10366" t="s">
        <v>111</v>
      </c>
      <c r="B10366" t="str">
        <f>ADDRESS(ROW(Parcels!B793),COLUMN(Parcels!B1635),4)</f>
        <v>B793</v>
      </c>
      <c r="C10366" t="str">
        <f>ADDRESS(ROW(Parcels!D793),COLUMN(Parcels!D793),4)</f>
        <v>D793</v>
      </c>
      <c r="D10366" s="46" t="b">
        <f>IF(AND(Parcels!B793="Current",'Six-Yr Rule'!B794&lt;=Year_DestinationYearID),IF((SUMIFS('Bond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366" t="s">
        <v>1641</v>
      </c>
      <c r="F10366" t="str">
        <f>INDEX(Lists!I:I,MATCH(Validation!E10366,Lists!G:G,0))</f>
        <v>Alert</v>
      </c>
      <c r="G10366" t="str">
        <f>INDEX(Lists!H:H,MATCH(Validation!E10366,Lists!G:G,0))</f>
        <v>This parcel does not appear to be pledged to an outstanding in-district obligation.</v>
      </c>
      <c r="H10366" s="25" t="str">
        <f t="shared" ca="1" si="1131"/>
        <v/>
      </c>
      <c r="I10366" s="25" t="str">
        <f t="shared" ca="1" si="1132"/>
        <v/>
      </c>
      <c r="J10366" s="26" t="str">
        <f t="shared" si="1133"/>
        <v/>
      </c>
    </row>
    <row r="10367" spans="1:10" x14ac:dyDescent="0.25">
      <c r="A10367" t="s">
        <v>111</v>
      </c>
      <c r="B10367" t="str">
        <f>ADDRESS(ROW(Parcels!B794),COLUMN(Parcels!B1636),4)</f>
        <v>B794</v>
      </c>
      <c r="C10367" t="str">
        <f>ADDRESS(ROW(Parcels!D794),COLUMN(Parcels!D794),4)</f>
        <v>D794</v>
      </c>
      <c r="D10367" s="46" t="b">
        <f>IF(AND(Parcels!B794="Current",'Six-Yr Rule'!B795&lt;=Year_DestinationYearID),IF((SUMIFS('Bond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367" t="s">
        <v>1641</v>
      </c>
      <c r="F10367" t="str">
        <f>INDEX(Lists!I:I,MATCH(Validation!E10367,Lists!G:G,0))</f>
        <v>Alert</v>
      </c>
      <c r="G10367" t="str">
        <f>INDEX(Lists!H:H,MATCH(Validation!E10367,Lists!G:G,0))</f>
        <v>This parcel does not appear to be pledged to an outstanding in-district obligation.</v>
      </c>
      <c r="H10367" s="25" t="str">
        <f t="shared" ca="1" si="1131"/>
        <v/>
      </c>
      <c r="I10367" s="25" t="str">
        <f t="shared" ca="1" si="1132"/>
        <v/>
      </c>
      <c r="J10367" s="26" t="str">
        <f t="shared" si="1133"/>
        <v/>
      </c>
    </row>
    <row r="10368" spans="1:10" x14ac:dyDescent="0.25">
      <c r="A10368" t="s">
        <v>111</v>
      </c>
      <c r="B10368" t="str">
        <f>ADDRESS(ROW(Parcels!B795),COLUMN(Parcels!B1637),4)</f>
        <v>B795</v>
      </c>
      <c r="C10368" t="str">
        <f>ADDRESS(ROW(Parcels!D795),COLUMN(Parcels!D795),4)</f>
        <v>D795</v>
      </c>
      <c r="D10368" s="46" t="b">
        <f>IF(AND(Parcels!B795="Current",'Six-Yr Rule'!B796&lt;=Year_DestinationYearID),IF((SUMIFS('Bond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368" t="s">
        <v>1641</v>
      </c>
      <c r="F10368" t="str">
        <f>INDEX(Lists!I:I,MATCH(Validation!E10368,Lists!G:G,0))</f>
        <v>Alert</v>
      </c>
      <c r="G10368" t="str">
        <f>INDEX(Lists!H:H,MATCH(Validation!E10368,Lists!G:G,0))</f>
        <v>This parcel does not appear to be pledged to an outstanding in-district obligation.</v>
      </c>
      <c r="H10368" s="25" t="str">
        <f t="shared" ca="1" si="1131"/>
        <v/>
      </c>
      <c r="I10368" s="25" t="str">
        <f t="shared" ca="1" si="1132"/>
        <v/>
      </c>
      <c r="J10368" s="26" t="str">
        <f t="shared" si="1133"/>
        <v/>
      </c>
    </row>
    <row r="10369" spans="1:10" x14ac:dyDescent="0.25">
      <c r="A10369" t="s">
        <v>111</v>
      </c>
      <c r="B10369" t="str">
        <f>ADDRESS(ROW(Parcels!B796),COLUMN(Parcels!B1638),4)</f>
        <v>B796</v>
      </c>
      <c r="C10369" t="str">
        <f>ADDRESS(ROW(Parcels!D796),COLUMN(Parcels!D796),4)</f>
        <v>D796</v>
      </c>
      <c r="D10369" s="46" t="b">
        <f>IF(AND(Parcels!B796="Current",'Six-Yr Rule'!B797&lt;=Year_DestinationYearID),IF((SUMIFS('Bond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369" t="s">
        <v>1641</v>
      </c>
      <c r="F10369" t="str">
        <f>INDEX(Lists!I:I,MATCH(Validation!E10369,Lists!G:G,0))</f>
        <v>Alert</v>
      </c>
      <c r="G10369" t="str">
        <f>INDEX(Lists!H:H,MATCH(Validation!E10369,Lists!G:G,0))</f>
        <v>This parcel does not appear to be pledged to an outstanding in-district obligation.</v>
      </c>
      <c r="H10369" s="25" t="str">
        <f t="shared" ca="1" si="1131"/>
        <v/>
      </c>
      <c r="I10369" s="25" t="str">
        <f t="shared" ca="1" si="1132"/>
        <v/>
      </c>
      <c r="J10369" s="26" t="str">
        <f t="shared" si="1133"/>
        <v/>
      </c>
    </row>
    <row r="10370" spans="1:10" x14ac:dyDescent="0.25">
      <c r="A10370" t="s">
        <v>111</v>
      </c>
      <c r="B10370" t="str">
        <f>ADDRESS(ROW(Parcels!B797),COLUMN(Parcels!B1639),4)</f>
        <v>B797</v>
      </c>
      <c r="C10370" t="str">
        <f>ADDRESS(ROW(Parcels!D797),COLUMN(Parcels!D797),4)</f>
        <v>D797</v>
      </c>
      <c r="D10370" s="46" t="b">
        <f>IF(AND(Parcels!B797="Current",'Six-Yr Rule'!B798&lt;=Year_DestinationYearID),IF((SUMIFS('Bond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370" t="s">
        <v>1641</v>
      </c>
      <c r="F10370" t="str">
        <f>INDEX(Lists!I:I,MATCH(Validation!E10370,Lists!G:G,0))</f>
        <v>Alert</v>
      </c>
      <c r="G10370" t="str">
        <f>INDEX(Lists!H:H,MATCH(Validation!E10370,Lists!G:G,0))</f>
        <v>This parcel does not appear to be pledged to an outstanding in-district obligation.</v>
      </c>
      <c r="H10370" s="25" t="str">
        <f t="shared" ca="1" si="1131"/>
        <v/>
      </c>
      <c r="I10370" s="25" t="str">
        <f t="shared" ca="1" si="1132"/>
        <v/>
      </c>
      <c r="J10370" s="26" t="str">
        <f t="shared" si="1133"/>
        <v/>
      </c>
    </row>
    <row r="10371" spans="1:10" x14ac:dyDescent="0.25">
      <c r="A10371" t="s">
        <v>111</v>
      </c>
      <c r="B10371" t="str">
        <f>ADDRESS(ROW(Parcels!B798),COLUMN(Parcels!B1640),4)</f>
        <v>B798</v>
      </c>
      <c r="C10371" t="str">
        <f>ADDRESS(ROW(Parcels!D798),COLUMN(Parcels!D798),4)</f>
        <v>D798</v>
      </c>
      <c r="D10371" s="46" t="b">
        <f>IF(AND(Parcels!B798="Current",'Six-Yr Rule'!B799&lt;=Year_DestinationYearID),IF((SUMIFS('Bond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371" t="s">
        <v>1641</v>
      </c>
      <c r="F10371" t="str">
        <f>INDEX(Lists!I:I,MATCH(Validation!E10371,Lists!G:G,0))</f>
        <v>Alert</v>
      </c>
      <c r="G10371" t="str">
        <f>INDEX(Lists!H:H,MATCH(Validation!E10371,Lists!G:G,0))</f>
        <v>This parcel does not appear to be pledged to an outstanding in-district obligation.</v>
      </c>
      <c r="H10371" s="25" t="str">
        <f t="shared" ca="1" si="1131"/>
        <v/>
      </c>
      <c r="I10371" s="25" t="str">
        <f t="shared" ca="1" si="1132"/>
        <v/>
      </c>
      <c r="J10371" s="26" t="str">
        <f t="shared" si="1133"/>
        <v/>
      </c>
    </row>
    <row r="10372" spans="1:10" x14ac:dyDescent="0.25">
      <c r="A10372" t="s">
        <v>111</v>
      </c>
      <c r="B10372" t="str">
        <f>ADDRESS(ROW(Parcels!B799),COLUMN(Parcels!B1641),4)</f>
        <v>B799</v>
      </c>
      <c r="C10372" t="str">
        <f>ADDRESS(ROW(Parcels!D799),COLUMN(Parcels!D799),4)</f>
        <v>D799</v>
      </c>
      <c r="D10372" s="46" t="b">
        <f>IF(AND(Parcels!B799="Current",'Six-Yr Rule'!B800&lt;=Year_DestinationYearID),IF((SUMIFS('Bond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372" t="s">
        <v>1641</v>
      </c>
      <c r="F10372" t="str">
        <f>INDEX(Lists!I:I,MATCH(Validation!E10372,Lists!G:G,0))</f>
        <v>Alert</v>
      </c>
      <c r="G10372" t="str">
        <f>INDEX(Lists!H:H,MATCH(Validation!E10372,Lists!G:G,0))</f>
        <v>This parcel does not appear to be pledged to an outstanding in-district obligation.</v>
      </c>
      <c r="H10372" s="25" t="str">
        <f t="shared" ca="1" si="1131"/>
        <v/>
      </c>
      <c r="I10372" s="25" t="str">
        <f t="shared" ca="1" si="1132"/>
        <v/>
      </c>
      <c r="J10372" s="26" t="str">
        <f t="shared" si="1133"/>
        <v/>
      </c>
    </row>
    <row r="10373" spans="1:10" x14ac:dyDescent="0.25">
      <c r="A10373" t="s">
        <v>111</v>
      </c>
      <c r="B10373" t="str">
        <f>ADDRESS(ROW(Parcels!B800),COLUMN(Parcels!B1642),4)</f>
        <v>B800</v>
      </c>
      <c r="C10373" t="str">
        <f>ADDRESS(ROW(Parcels!D800),COLUMN(Parcels!D800),4)</f>
        <v>D800</v>
      </c>
      <c r="D10373" s="46" t="b">
        <f>IF(AND(Parcels!B800="Current",'Six-Yr Rule'!B801&lt;=Year_DestinationYearID),IF((SUMIFS('Bond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373" t="s">
        <v>1641</v>
      </c>
      <c r="F10373" t="str">
        <f>INDEX(Lists!I:I,MATCH(Validation!E10373,Lists!G:G,0))</f>
        <v>Alert</v>
      </c>
      <c r="G10373" t="str">
        <f>INDEX(Lists!H:H,MATCH(Validation!E10373,Lists!G:G,0))</f>
        <v>This parcel does not appear to be pledged to an outstanding in-district obligation.</v>
      </c>
      <c r="H10373" s="25" t="str">
        <f t="shared" ca="1" si="1131"/>
        <v/>
      </c>
      <c r="I10373" s="25" t="str">
        <f t="shared" ca="1" si="1132"/>
        <v/>
      </c>
      <c r="J10373" s="26" t="str">
        <f t="shared" si="1133"/>
        <v/>
      </c>
    </row>
    <row r="10374" spans="1:10" x14ac:dyDescent="0.25">
      <c r="A10374" t="s">
        <v>111</v>
      </c>
      <c r="B10374" t="str">
        <f>ADDRESS(ROW(Parcels!B801),COLUMN(Parcels!B1643),4)</f>
        <v>B801</v>
      </c>
      <c r="C10374" t="str">
        <f>ADDRESS(ROW(Parcels!D801),COLUMN(Parcels!D801),4)</f>
        <v>D801</v>
      </c>
      <c r="D10374" s="46" t="b">
        <f>IF(AND(Parcels!B801="Current",'Six-Yr Rule'!B802&lt;=Year_DestinationYearID),IF((SUMIFS('Bond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374" t="s">
        <v>1641</v>
      </c>
      <c r="F10374" t="str">
        <f>INDEX(Lists!I:I,MATCH(Validation!E10374,Lists!G:G,0))</f>
        <v>Alert</v>
      </c>
      <c r="G10374" t="str">
        <f>INDEX(Lists!H:H,MATCH(Validation!E10374,Lists!G:G,0))</f>
        <v>This parcel does not appear to be pledged to an outstanding in-district obligation.</v>
      </c>
      <c r="H10374" s="25" t="str">
        <f t="shared" ca="1" si="1131"/>
        <v/>
      </c>
      <c r="I10374" s="25" t="str">
        <f t="shared" ca="1" si="1132"/>
        <v/>
      </c>
      <c r="J10374" s="26" t="str">
        <f t="shared" si="1133"/>
        <v/>
      </c>
    </row>
    <row r="10375" spans="1:10" x14ac:dyDescent="0.25">
      <c r="A10375" t="s">
        <v>111</v>
      </c>
      <c r="B10375" t="str">
        <f>ADDRESS(ROW(Parcels!B802),COLUMN(Parcels!B1644),4)</f>
        <v>B802</v>
      </c>
      <c r="C10375" t="str">
        <f>ADDRESS(ROW(Parcels!D802),COLUMN(Parcels!D802),4)</f>
        <v>D802</v>
      </c>
      <c r="D10375" s="46" t="b">
        <f>IF(AND(Parcels!B802="Current",'Six-Yr Rule'!B803&lt;=Year_DestinationYearID),IF((SUMIFS('Bond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375" t="s">
        <v>1641</v>
      </c>
      <c r="F10375" t="str">
        <f>INDEX(Lists!I:I,MATCH(Validation!E10375,Lists!G:G,0))</f>
        <v>Alert</v>
      </c>
      <c r="G10375" t="str">
        <f>INDEX(Lists!H:H,MATCH(Validation!E10375,Lists!G:G,0))</f>
        <v>This parcel does not appear to be pledged to an outstanding in-district obligation.</v>
      </c>
      <c r="H10375" s="25" t="str">
        <f t="shared" ca="1" si="1131"/>
        <v/>
      </c>
      <c r="I10375" s="25" t="str">
        <f t="shared" ca="1" si="1132"/>
        <v/>
      </c>
      <c r="J10375" s="26" t="str">
        <f t="shared" si="1133"/>
        <v/>
      </c>
    </row>
    <row r="10376" spans="1:10" x14ac:dyDescent="0.25">
      <c r="A10376" t="s">
        <v>111</v>
      </c>
      <c r="B10376" t="str">
        <f>ADDRESS(ROW(Parcels!B803),COLUMN(Parcels!B1645),4)</f>
        <v>B803</v>
      </c>
      <c r="C10376" t="str">
        <f>ADDRESS(ROW(Parcels!D803),COLUMN(Parcels!D803),4)</f>
        <v>D803</v>
      </c>
      <c r="D10376" s="46" t="b">
        <f>IF(AND(Parcels!B803="Current",'Six-Yr Rule'!B804&lt;=Year_DestinationYearID),IF((SUMIFS('Bond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376" t="s">
        <v>1641</v>
      </c>
      <c r="F10376" t="str">
        <f>INDEX(Lists!I:I,MATCH(Validation!E10376,Lists!G:G,0))</f>
        <v>Alert</v>
      </c>
      <c r="G10376" t="str">
        <f>INDEX(Lists!H:H,MATCH(Validation!E10376,Lists!G:G,0))</f>
        <v>This parcel does not appear to be pledged to an outstanding in-district obligation.</v>
      </c>
      <c r="H10376" s="25" t="str">
        <f t="shared" ca="1" si="1131"/>
        <v/>
      </c>
      <c r="I10376" s="25" t="str">
        <f t="shared" ca="1" si="1132"/>
        <v/>
      </c>
      <c r="J10376" s="26" t="str">
        <f t="shared" si="1133"/>
        <v/>
      </c>
    </row>
    <row r="10377" spans="1:10" x14ac:dyDescent="0.25">
      <c r="A10377" t="s">
        <v>111</v>
      </c>
      <c r="B10377" t="str">
        <f>ADDRESS(ROW(Parcels!B804),COLUMN(Parcels!B1646),4)</f>
        <v>B804</v>
      </c>
      <c r="C10377" t="str">
        <f>ADDRESS(ROW(Parcels!D804),COLUMN(Parcels!D804),4)</f>
        <v>D804</v>
      </c>
      <c r="D10377" s="46" t="b">
        <f>IF(AND(Parcels!B804="Current",'Six-Yr Rule'!B805&lt;=Year_DestinationYearID),IF((SUMIFS('Bond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377" t="s">
        <v>1641</v>
      </c>
      <c r="F10377" t="str">
        <f>INDEX(Lists!I:I,MATCH(Validation!E10377,Lists!G:G,0))</f>
        <v>Alert</v>
      </c>
      <c r="G10377" t="str">
        <f>INDEX(Lists!H:H,MATCH(Validation!E10377,Lists!G:G,0))</f>
        <v>This parcel does not appear to be pledged to an outstanding in-district obligation.</v>
      </c>
      <c r="H10377" s="25" t="str">
        <f t="shared" ca="1" si="1131"/>
        <v/>
      </c>
      <c r="I10377" s="25" t="str">
        <f t="shared" ca="1" si="1132"/>
        <v/>
      </c>
      <c r="J10377" s="26" t="str">
        <f t="shared" si="1133"/>
        <v/>
      </c>
    </row>
    <row r="10378" spans="1:10" x14ac:dyDescent="0.25">
      <c r="A10378" t="s">
        <v>111</v>
      </c>
      <c r="B10378" t="str">
        <f>ADDRESS(ROW(Parcels!B805),COLUMN(Parcels!B1647),4)</f>
        <v>B805</v>
      </c>
      <c r="C10378" t="str">
        <f>ADDRESS(ROW(Parcels!D805),COLUMN(Parcels!D805),4)</f>
        <v>D805</v>
      </c>
      <c r="D10378" s="46" t="b">
        <f>IF(AND(Parcels!B805="Current",'Six-Yr Rule'!B806&lt;=Year_DestinationYearID),IF((SUMIFS('Bond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378" t="s">
        <v>1641</v>
      </c>
      <c r="F10378" t="str">
        <f>INDEX(Lists!I:I,MATCH(Validation!E10378,Lists!G:G,0))</f>
        <v>Alert</v>
      </c>
      <c r="G10378" t="str">
        <f>INDEX(Lists!H:H,MATCH(Validation!E10378,Lists!G:G,0))</f>
        <v>This parcel does not appear to be pledged to an outstanding in-district obligation.</v>
      </c>
      <c r="H10378" s="25" t="str">
        <f t="shared" ca="1" si="1131"/>
        <v/>
      </c>
      <c r="I10378" s="25" t="str">
        <f t="shared" ca="1" si="1132"/>
        <v/>
      </c>
      <c r="J10378" s="26" t="str">
        <f t="shared" si="1133"/>
        <v/>
      </c>
    </row>
    <row r="10379" spans="1:10" x14ac:dyDescent="0.25">
      <c r="A10379" t="s">
        <v>111</v>
      </c>
      <c r="B10379" t="str">
        <f>ADDRESS(ROW(Parcels!B806),COLUMN(Parcels!B1648),4)</f>
        <v>B806</v>
      </c>
      <c r="C10379" t="str">
        <f>ADDRESS(ROW(Parcels!D806),COLUMN(Parcels!D806),4)</f>
        <v>D806</v>
      </c>
      <c r="D10379" s="46" t="b">
        <f>IF(AND(Parcels!B806="Current",'Six-Yr Rule'!B807&lt;=Year_DestinationYearID),IF((SUMIFS('Bond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379" t="s">
        <v>1641</v>
      </c>
      <c r="F10379" t="str">
        <f>INDEX(Lists!I:I,MATCH(Validation!E10379,Lists!G:G,0))</f>
        <v>Alert</v>
      </c>
      <c r="G10379" t="str">
        <f>INDEX(Lists!H:H,MATCH(Validation!E10379,Lists!G:G,0))</f>
        <v>This parcel does not appear to be pledged to an outstanding in-district obligation.</v>
      </c>
      <c r="H10379" s="25" t="str">
        <f t="shared" ca="1" si="1131"/>
        <v/>
      </c>
      <c r="I10379" s="25" t="str">
        <f t="shared" ca="1" si="1132"/>
        <v/>
      </c>
      <c r="J10379" s="26" t="str">
        <f t="shared" si="1133"/>
        <v/>
      </c>
    </row>
    <row r="10380" spans="1:10" x14ac:dyDescent="0.25">
      <c r="A10380" t="s">
        <v>111</v>
      </c>
      <c r="B10380" t="str">
        <f>ADDRESS(ROW(Parcels!B807),COLUMN(Parcels!B1649),4)</f>
        <v>B807</v>
      </c>
      <c r="C10380" t="str">
        <f>ADDRESS(ROW(Parcels!D807),COLUMN(Parcels!D807),4)</f>
        <v>D807</v>
      </c>
      <c r="D10380" s="46" t="b">
        <f>IF(AND(Parcels!B807="Current",'Six-Yr Rule'!B808&lt;=Year_DestinationYearID),IF((SUMIFS('Bond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380" t="s">
        <v>1641</v>
      </c>
      <c r="F10380" t="str">
        <f>INDEX(Lists!I:I,MATCH(Validation!E10380,Lists!G:G,0))</f>
        <v>Alert</v>
      </c>
      <c r="G10380" t="str">
        <f>INDEX(Lists!H:H,MATCH(Validation!E10380,Lists!G:G,0))</f>
        <v>This parcel does not appear to be pledged to an outstanding in-district obligation.</v>
      </c>
      <c r="H10380" s="25" t="str">
        <f t="shared" ca="1" si="1131"/>
        <v/>
      </c>
      <c r="I10380" s="25" t="str">
        <f t="shared" ca="1" si="1132"/>
        <v/>
      </c>
      <c r="J10380" s="26" t="str">
        <f t="shared" si="1133"/>
        <v/>
      </c>
    </row>
    <row r="10381" spans="1:10" x14ac:dyDescent="0.25">
      <c r="A10381" t="s">
        <v>111</v>
      </c>
      <c r="B10381" t="str">
        <f>ADDRESS(ROW(Parcels!B808),COLUMN(Parcels!B1650),4)</f>
        <v>B808</v>
      </c>
      <c r="C10381" t="str">
        <f>ADDRESS(ROW(Parcels!D808),COLUMN(Parcels!D808),4)</f>
        <v>D808</v>
      </c>
      <c r="D10381" s="46" t="b">
        <f>IF(AND(Parcels!B808="Current",'Six-Yr Rule'!B809&lt;=Year_DestinationYearID),IF((SUMIFS('Bond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381" t="s">
        <v>1641</v>
      </c>
      <c r="F10381" t="str">
        <f>INDEX(Lists!I:I,MATCH(Validation!E10381,Lists!G:G,0))</f>
        <v>Alert</v>
      </c>
      <c r="G10381" t="str">
        <f>INDEX(Lists!H:H,MATCH(Validation!E10381,Lists!G:G,0))</f>
        <v>This parcel does not appear to be pledged to an outstanding in-district obligation.</v>
      </c>
      <c r="H10381" s="25" t="str">
        <f t="shared" ca="1" si="1131"/>
        <v/>
      </c>
      <c r="I10381" s="25" t="str">
        <f t="shared" ca="1" si="1132"/>
        <v/>
      </c>
      <c r="J10381" s="26" t="str">
        <f t="shared" si="1133"/>
        <v/>
      </c>
    </row>
    <row r="10382" spans="1:10" x14ac:dyDescent="0.25">
      <c r="A10382" t="s">
        <v>111</v>
      </c>
      <c r="B10382" t="str">
        <f>ADDRESS(ROW(Parcels!B809),COLUMN(Parcels!B1651),4)</f>
        <v>B809</v>
      </c>
      <c r="C10382" t="str">
        <f>ADDRESS(ROW(Parcels!D809),COLUMN(Parcels!D809),4)</f>
        <v>D809</v>
      </c>
      <c r="D10382" s="46" t="b">
        <f>IF(AND(Parcels!B809="Current",'Six-Yr Rule'!B810&lt;=Year_DestinationYearID),IF((SUMIFS('Bond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382" t="s">
        <v>1641</v>
      </c>
      <c r="F10382" t="str">
        <f>INDEX(Lists!I:I,MATCH(Validation!E10382,Lists!G:G,0))</f>
        <v>Alert</v>
      </c>
      <c r="G10382" t="str">
        <f>INDEX(Lists!H:H,MATCH(Validation!E10382,Lists!G:G,0))</f>
        <v>This parcel does not appear to be pledged to an outstanding in-district obligation.</v>
      </c>
      <c r="H10382" s="25" t="str">
        <f t="shared" ca="1" si="1131"/>
        <v/>
      </c>
      <c r="I10382" s="25" t="str">
        <f t="shared" ca="1" si="1132"/>
        <v/>
      </c>
      <c r="J10382" s="26" t="str">
        <f t="shared" si="1133"/>
        <v/>
      </c>
    </row>
    <row r="10383" spans="1:10" x14ac:dyDescent="0.25">
      <c r="A10383" t="s">
        <v>111</v>
      </c>
      <c r="B10383" t="str">
        <f>ADDRESS(ROW(Parcels!B810),COLUMN(Parcels!B1652),4)</f>
        <v>B810</v>
      </c>
      <c r="C10383" t="str">
        <f>ADDRESS(ROW(Parcels!D810),COLUMN(Parcels!D810),4)</f>
        <v>D810</v>
      </c>
      <c r="D10383" s="46" t="b">
        <f>IF(AND(Parcels!B810="Current",'Six-Yr Rule'!B811&lt;=Year_DestinationYearID),IF((SUMIFS('Bond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383" t="s">
        <v>1641</v>
      </c>
      <c r="F10383" t="str">
        <f>INDEX(Lists!I:I,MATCH(Validation!E10383,Lists!G:G,0))</f>
        <v>Alert</v>
      </c>
      <c r="G10383" t="str">
        <f>INDEX(Lists!H:H,MATCH(Validation!E10383,Lists!G:G,0))</f>
        <v>This parcel does not appear to be pledged to an outstanding in-district obligation.</v>
      </c>
      <c r="H10383" s="25" t="str">
        <f t="shared" ca="1" si="1131"/>
        <v/>
      </c>
      <c r="I10383" s="25" t="str">
        <f t="shared" ca="1" si="1132"/>
        <v/>
      </c>
      <c r="J10383" s="26" t="str">
        <f t="shared" si="1133"/>
        <v/>
      </c>
    </row>
    <row r="10384" spans="1:10" x14ac:dyDescent="0.25">
      <c r="A10384" t="s">
        <v>111</v>
      </c>
      <c r="B10384" t="str">
        <f>ADDRESS(ROW(Parcels!B811),COLUMN(Parcels!B1653),4)</f>
        <v>B811</v>
      </c>
      <c r="C10384" t="str">
        <f>ADDRESS(ROW(Parcels!D811),COLUMN(Parcels!D811),4)</f>
        <v>D811</v>
      </c>
      <c r="D10384" s="46" t="b">
        <f>IF(AND(Parcels!B811="Current",'Six-Yr Rule'!B812&lt;=Year_DestinationYearID),IF((SUMIFS('Bond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384" t="s">
        <v>1641</v>
      </c>
      <c r="F10384" t="str">
        <f>INDEX(Lists!I:I,MATCH(Validation!E10384,Lists!G:G,0))</f>
        <v>Alert</v>
      </c>
      <c r="G10384" t="str">
        <f>INDEX(Lists!H:H,MATCH(Validation!E10384,Lists!G:G,0))</f>
        <v>This parcel does not appear to be pledged to an outstanding in-district obligation.</v>
      </c>
      <c r="H10384" s="25" t="str">
        <f t="shared" ca="1" si="1131"/>
        <v/>
      </c>
      <c r="I10384" s="25" t="str">
        <f t="shared" ca="1" si="1132"/>
        <v/>
      </c>
      <c r="J10384" s="26" t="str">
        <f t="shared" si="1133"/>
        <v/>
      </c>
    </row>
    <row r="10385" spans="1:10" x14ac:dyDescent="0.25">
      <c r="A10385" t="s">
        <v>111</v>
      </c>
      <c r="B10385" t="str">
        <f>ADDRESS(ROW(Parcels!B812),COLUMN(Parcels!B1654),4)</f>
        <v>B812</v>
      </c>
      <c r="C10385" t="str">
        <f>ADDRESS(ROW(Parcels!D812),COLUMN(Parcels!D812),4)</f>
        <v>D812</v>
      </c>
      <c r="D10385" s="46" t="b">
        <f>IF(AND(Parcels!B812="Current",'Six-Yr Rule'!B813&lt;=Year_DestinationYearID),IF((SUMIFS('Bond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385" t="s">
        <v>1641</v>
      </c>
      <c r="F10385" t="str">
        <f>INDEX(Lists!I:I,MATCH(Validation!E10385,Lists!G:G,0))</f>
        <v>Alert</v>
      </c>
      <c r="G10385" t="str">
        <f>INDEX(Lists!H:H,MATCH(Validation!E10385,Lists!G:G,0))</f>
        <v>This parcel does not appear to be pledged to an outstanding in-district obligation.</v>
      </c>
      <c r="H10385" s="25" t="str">
        <f t="shared" ca="1" si="1131"/>
        <v/>
      </c>
      <c r="I10385" s="25" t="str">
        <f t="shared" ca="1" si="1132"/>
        <v/>
      </c>
      <c r="J10385" s="26" t="str">
        <f t="shared" si="1133"/>
        <v/>
      </c>
    </row>
    <row r="10386" spans="1:10" x14ac:dyDescent="0.25">
      <c r="A10386" t="s">
        <v>111</v>
      </c>
      <c r="B10386" t="str">
        <f>ADDRESS(ROW(Parcels!B813),COLUMN(Parcels!B1655),4)</f>
        <v>B813</v>
      </c>
      <c r="C10386" t="str">
        <f>ADDRESS(ROW(Parcels!D813),COLUMN(Parcels!D813),4)</f>
        <v>D813</v>
      </c>
      <c r="D10386" s="46" t="b">
        <f>IF(AND(Parcels!B813="Current",'Six-Yr Rule'!B814&lt;=Year_DestinationYearID),IF((SUMIFS('Bond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386" t="s">
        <v>1641</v>
      </c>
      <c r="F10386" t="str">
        <f>INDEX(Lists!I:I,MATCH(Validation!E10386,Lists!G:G,0))</f>
        <v>Alert</v>
      </c>
      <c r="G10386" t="str">
        <f>INDEX(Lists!H:H,MATCH(Validation!E10386,Lists!G:G,0))</f>
        <v>This parcel does not appear to be pledged to an outstanding in-district obligation.</v>
      </c>
      <c r="H10386" s="25" t="str">
        <f t="shared" ca="1" si="1131"/>
        <v/>
      </c>
      <c r="I10386" s="25" t="str">
        <f t="shared" ca="1" si="1132"/>
        <v/>
      </c>
      <c r="J10386" s="26" t="str">
        <f t="shared" si="1133"/>
        <v/>
      </c>
    </row>
    <row r="10387" spans="1:10" x14ac:dyDescent="0.25">
      <c r="A10387" t="s">
        <v>111</v>
      </c>
      <c r="B10387" t="str">
        <f>ADDRESS(ROW(Parcels!B814),COLUMN(Parcels!B1656),4)</f>
        <v>B814</v>
      </c>
      <c r="C10387" t="str">
        <f>ADDRESS(ROW(Parcels!D814),COLUMN(Parcels!D814),4)</f>
        <v>D814</v>
      </c>
      <c r="D10387" s="46" t="b">
        <f>IF(AND(Parcels!B814="Current",'Six-Yr Rule'!B815&lt;=Year_DestinationYearID),IF((SUMIFS('Bond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387" t="s">
        <v>1641</v>
      </c>
      <c r="F10387" t="str">
        <f>INDEX(Lists!I:I,MATCH(Validation!E10387,Lists!G:G,0))</f>
        <v>Alert</v>
      </c>
      <c r="G10387" t="str">
        <f>INDEX(Lists!H:H,MATCH(Validation!E10387,Lists!G:G,0))</f>
        <v>This parcel does not appear to be pledged to an outstanding in-district obligation.</v>
      </c>
      <c r="H10387" s="25" t="str">
        <f t="shared" ca="1" si="1131"/>
        <v/>
      </c>
      <c r="I10387" s="25" t="str">
        <f t="shared" ca="1" si="1132"/>
        <v/>
      </c>
      <c r="J10387" s="26" t="str">
        <f t="shared" si="1133"/>
        <v/>
      </c>
    </row>
    <row r="10388" spans="1:10" x14ac:dyDescent="0.25">
      <c r="A10388" t="s">
        <v>111</v>
      </c>
      <c r="B10388" t="str">
        <f>ADDRESS(ROW(Parcels!B815),COLUMN(Parcels!B1657),4)</f>
        <v>B815</v>
      </c>
      <c r="C10388" t="str">
        <f>ADDRESS(ROW(Parcels!D815),COLUMN(Parcels!D815),4)</f>
        <v>D815</v>
      </c>
      <c r="D10388" s="46" t="b">
        <f>IF(AND(Parcels!B815="Current",'Six-Yr Rule'!B816&lt;=Year_DestinationYearID),IF((SUMIFS('Bond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388" t="s">
        <v>1641</v>
      </c>
      <c r="F10388" t="str">
        <f>INDEX(Lists!I:I,MATCH(Validation!E10388,Lists!G:G,0))</f>
        <v>Alert</v>
      </c>
      <c r="G10388" t="str">
        <f>INDEX(Lists!H:H,MATCH(Validation!E10388,Lists!G:G,0))</f>
        <v>This parcel does not appear to be pledged to an outstanding in-district obligation.</v>
      </c>
      <c r="H10388" s="25" t="str">
        <f t="shared" ca="1" si="1131"/>
        <v/>
      </c>
      <c r="I10388" s="25" t="str">
        <f t="shared" ca="1" si="1132"/>
        <v/>
      </c>
      <c r="J10388" s="26" t="str">
        <f t="shared" si="1133"/>
        <v/>
      </c>
    </row>
    <row r="10389" spans="1:10" x14ac:dyDescent="0.25">
      <c r="A10389" t="s">
        <v>111</v>
      </c>
      <c r="B10389" t="str">
        <f>ADDRESS(ROW(Parcels!B816),COLUMN(Parcels!B1658),4)</f>
        <v>B816</v>
      </c>
      <c r="C10389" t="str">
        <f>ADDRESS(ROW(Parcels!D816),COLUMN(Parcels!D816),4)</f>
        <v>D816</v>
      </c>
      <c r="D10389" s="46" t="b">
        <f>IF(AND(Parcels!B816="Current",'Six-Yr Rule'!B817&lt;=Year_DestinationYearID),IF((SUMIFS('Bond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389" t="s">
        <v>1641</v>
      </c>
      <c r="F10389" t="str">
        <f>INDEX(Lists!I:I,MATCH(Validation!E10389,Lists!G:G,0))</f>
        <v>Alert</v>
      </c>
      <c r="G10389" t="str">
        <f>INDEX(Lists!H:H,MATCH(Validation!E10389,Lists!G:G,0))</f>
        <v>This parcel does not appear to be pledged to an outstanding in-district obligation.</v>
      </c>
      <c r="H10389" s="25" t="str">
        <f t="shared" ca="1" si="1131"/>
        <v/>
      </c>
      <c r="I10389" s="25" t="str">
        <f t="shared" ca="1" si="1132"/>
        <v/>
      </c>
      <c r="J10389" s="26" t="str">
        <f t="shared" si="1133"/>
        <v/>
      </c>
    </row>
    <row r="10390" spans="1:10" x14ac:dyDescent="0.25">
      <c r="A10390" t="s">
        <v>111</v>
      </c>
      <c r="B10390" t="str">
        <f>ADDRESS(ROW(Parcels!B817),COLUMN(Parcels!B1659),4)</f>
        <v>B817</v>
      </c>
      <c r="C10390" t="str">
        <f>ADDRESS(ROW(Parcels!D817),COLUMN(Parcels!D817),4)</f>
        <v>D817</v>
      </c>
      <c r="D10390" s="46" t="b">
        <f>IF(AND(Parcels!B817="Current",'Six-Yr Rule'!B818&lt;=Year_DestinationYearID),IF((SUMIFS('Bond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390" t="s">
        <v>1641</v>
      </c>
      <c r="F10390" t="str">
        <f>INDEX(Lists!I:I,MATCH(Validation!E10390,Lists!G:G,0))</f>
        <v>Alert</v>
      </c>
      <c r="G10390" t="str">
        <f>INDEX(Lists!H:H,MATCH(Validation!E10390,Lists!G:G,0))</f>
        <v>This parcel does not appear to be pledged to an outstanding in-district obligation.</v>
      </c>
      <c r="H10390" s="25" t="str">
        <f t="shared" ca="1" si="1131"/>
        <v/>
      </c>
      <c r="I10390" s="25" t="str">
        <f t="shared" ca="1" si="1132"/>
        <v/>
      </c>
      <c r="J10390" s="26" t="str">
        <f t="shared" si="1133"/>
        <v/>
      </c>
    </row>
    <row r="10391" spans="1:10" x14ac:dyDescent="0.25">
      <c r="A10391" t="s">
        <v>111</v>
      </c>
      <c r="B10391" t="str">
        <f>ADDRESS(ROW(Parcels!B818),COLUMN(Parcels!B1660),4)</f>
        <v>B818</v>
      </c>
      <c r="C10391" t="str">
        <f>ADDRESS(ROW(Parcels!D818),COLUMN(Parcels!D818),4)</f>
        <v>D818</v>
      </c>
      <c r="D10391" s="46" t="b">
        <f>IF(AND(Parcels!B818="Current",'Six-Yr Rule'!B819&lt;=Year_DestinationYearID),IF((SUMIFS('Bond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391" t="s">
        <v>1641</v>
      </c>
      <c r="F10391" t="str">
        <f>INDEX(Lists!I:I,MATCH(Validation!E10391,Lists!G:G,0))</f>
        <v>Alert</v>
      </c>
      <c r="G10391" t="str">
        <f>INDEX(Lists!H:H,MATCH(Validation!E10391,Lists!G:G,0))</f>
        <v>This parcel does not appear to be pledged to an outstanding in-district obligation.</v>
      </c>
      <c r="H10391" s="25" t="str">
        <f t="shared" ca="1" si="1131"/>
        <v/>
      </c>
      <c r="I10391" s="25" t="str">
        <f t="shared" ca="1" si="1132"/>
        <v/>
      </c>
      <c r="J10391" s="26" t="str">
        <f t="shared" si="1133"/>
        <v/>
      </c>
    </row>
    <row r="10392" spans="1:10" x14ac:dyDescent="0.25">
      <c r="A10392" t="s">
        <v>111</v>
      </c>
      <c r="B10392" t="str">
        <f>ADDRESS(ROW(Parcels!B819),COLUMN(Parcels!B1661),4)</f>
        <v>B819</v>
      </c>
      <c r="C10392" t="str">
        <f>ADDRESS(ROW(Parcels!D819),COLUMN(Parcels!D819),4)</f>
        <v>D819</v>
      </c>
      <c r="D10392" s="46" t="b">
        <f>IF(AND(Parcels!B819="Current",'Six-Yr Rule'!B820&lt;=Year_DestinationYearID),IF((SUMIFS('Bond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392" t="s">
        <v>1641</v>
      </c>
      <c r="F10392" t="str">
        <f>INDEX(Lists!I:I,MATCH(Validation!E10392,Lists!G:G,0))</f>
        <v>Alert</v>
      </c>
      <c r="G10392" t="str">
        <f>INDEX(Lists!H:H,MATCH(Validation!E10392,Lists!G:G,0))</f>
        <v>This parcel does not appear to be pledged to an outstanding in-district obligation.</v>
      </c>
      <c r="H10392" s="25" t="str">
        <f t="shared" ca="1" si="1131"/>
        <v/>
      </c>
      <c r="I10392" s="25" t="str">
        <f t="shared" ca="1" si="1132"/>
        <v/>
      </c>
      <c r="J10392" s="26" t="str">
        <f t="shared" si="1133"/>
        <v/>
      </c>
    </row>
    <row r="10393" spans="1:10" x14ac:dyDescent="0.25">
      <c r="A10393" t="s">
        <v>111</v>
      </c>
      <c r="B10393" t="str">
        <f>ADDRESS(ROW(Parcels!B820),COLUMN(Parcels!B1662),4)</f>
        <v>B820</v>
      </c>
      <c r="C10393" t="str">
        <f>ADDRESS(ROW(Parcels!D820),COLUMN(Parcels!D820),4)</f>
        <v>D820</v>
      </c>
      <c r="D10393" s="46" t="b">
        <f>IF(AND(Parcels!B820="Current",'Six-Yr Rule'!B821&lt;=Year_DestinationYearID),IF((SUMIFS('Bond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393" t="s">
        <v>1641</v>
      </c>
      <c r="F10393" t="str">
        <f>INDEX(Lists!I:I,MATCH(Validation!E10393,Lists!G:G,0))</f>
        <v>Alert</v>
      </c>
      <c r="G10393" t="str">
        <f>INDEX(Lists!H:H,MATCH(Validation!E10393,Lists!G:G,0))</f>
        <v>This parcel does not appear to be pledged to an outstanding in-district obligation.</v>
      </c>
      <c r="H10393" s="25" t="str">
        <f t="shared" ca="1" si="1131"/>
        <v/>
      </c>
      <c r="I10393" s="25" t="str">
        <f t="shared" ca="1" si="1132"/>
        <v/>
      </c>
      <c r="J10393" s="26" t="str">
        <f t="shared" si="1133"/>
        <v/>
      </c>
    </row>
    <row r="10394" spans="1:10" x14ac:dyDescent="0.25">
      <c r="A10394" t="s">
        <v>111</v>
      </c>
      <c r="B10394" t="str">
        <f>ADDRESS(ROW(Parcels!B821),COLUMN(Parcels!B1663),4)</f>
        <v>B821</v>
      </c>
      <c r="C10394" t="str">
        <f>ADDRESS(ROW(Parcels!D821),COLUMN(Parcels!D821),4)</f>
        <v>D821</v>
      </c>
      <c r="D10394" s="46" t="b">
        <f>IF(AND(Parcels!B821="Current",'Six-Yr Rule'!B822&lt;=Year_DestinationYearID),IF((SUMIFS('Bond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394" t="s">
        <v>1641</v>
      </c>
      <c r="F10394" t="str">
        <f>INDEX(Lists!I:I,MATCH(Validation!E10394,Lists!G:G,0))</f>
        <v>Alert</v>
      </c>
      <c r="G10394" t="str">
        <f>INDEX(Lists!H:H,MATCH(Validation!E10394,Lists!G:G,0))</f>
        <v>This parcel does not appear to be pledged to an outstanding in-district obligation.</v>
      </c>
      <c r="H10394" s="25" t="str">
        <f t="shared" ca="1" si="1131"/>
        <v/>
      </c>
      <c r="I10394" s="25" t="str">
        <f t="shared" ca="1" si="1132"/>
        <v/>
      </c>
      <c r="J10394" s="26" t="str">
        <f t="shared" si="1133"/>
        <v/>
      </c>
    </row>
    <row r="10395" spans="1:10" x14ac:dyDescent="0.25">
      <c r="A10395" t="s">
        <v>111</v>
      </c>
      <c r="B10395" t="str">
        <f>ADDRESS(ROW(Parcels!B822),COLUMN(Parcels!B1664),4)</f>
        <v>B822</v>
      </c>
      <c r="C10395" t="str">
        <f>ADDRESS(ROW(Parcels!D822),COLUMN(Parcels!D822),4)</f>
        <v>D822</v>
      </c>
      <c r="D10395" s="46" t="b">
        <f>IF(AND(Parcels!B822="Current",'Six-Yr Rule'!B823&lt;=Year_DestinationYearID),IF((SUMIFS('Bond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395" t="s">
        <v>1641</v>
      </c>
      <c r="F10395" t="str">
        <f>INDEX(Lists!I:I,MATCH(Validation!E10395,Lists!G:G,0))</f>
        <v>Alert</v>
      </c>
      <c r="G10395" t="str">
        <f>INDEX(Lists!H:H,MATCH(Validation!E10395,Lists!G:G,0))</f>
        <v>This parcel does not appear to be pledged to an outstanding in-district obligation.</v>
      </c>
      <c r="H10395" s="25" t="str">
        <f t="shared" ca="1" si="1131"/>
        <v/>
      </c>
      <c r="I10395" s="25" t="str">
        <f t="shared" ca="1" si="1132"/>
        <v/>
      </c>
      <c r="J10395" s="26" t="str">
        <f t="shared" si="1133"/>
        <v/>
      </c>
    </row>
    <row r="10396" spans="1:10" x14ac:dyDescent="0.25">
      <c r="A10396" t="s">
        <v>111</v>
      </c>
      <c r="B10396" t="str">
        <f>ADDRESS(ROW(Parcels!B823),COLUMN(Parcels!B1665),4)</f>
        <v>B823</v>
      </c>
      <c r="C10396" t="str">
        <f>ADDRESS(ROW(Parcels!D823),COLUMN(Parcels!D823),4)</f>
        <v>D823</v>
      </c>
      <c r="D10396" s="46" t="b">
        <f>IF(AND(Parcels!B823="Current",'Six-Yr Rule'!B824&lt;=Year_DestinationYearID),IF((SUMIFS('Bond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396" t="s">
        <v>1641</v>
      </c>
      <c r="F10396" t="str">
        <f>INDEX(Lists!I:I,MATCH(Validation!E10396,Lists!G:G,0))</f>
        <v>Alert</v>
      </c>
      <c r="G10396" t="str">
        <f>INDEX(Lists!H:H,MATCH(Validation!E10396,Lists!G:G,0))</f>
        <v>This parcel does not appear to be pledged to an outstanding in-district obligation.</v>
      </c>
      <c r="H10396" s="25" t="str">
        <f t="shared" ca="1" si="1131"/>
        <v/>
      </c>
      <c r="I10396" s="25" t="str">
        <f t="shared" ca="1" si="1132"/>
        <v/>
      </c>
      <c r="J10396" s="26" t="str">
        <f t="shared" si="1133"/>
        <v/>
      </c>
    </row>
    <row r="10397" spans="1:10" x14ac:dyDescent="0.25">
      <c r="A10397" t="s">
        <v>111</v>
      </c>
      <c r="B10397" t="str">
        <f>ADDRESS(ROW(Parcels!B824),COLUMN(Parcels!B1666),4)</f>
        <v>B824</v>
      </c>
      <c r="C10397" t="str">
        <f>ADDRESS(ROW(Parcels!D824),COLUMN(Parcels!D824),4)</f>
        <v>D824</v>
      </c>
      <c r="D10397" s="46" t="b">
        <f>IF(AND(Parcels!B824="Current",'Six-Yr Rule'!B825&lt;=Year_DestinationYearID),IF((SUMIFS('Bond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397" t="s">
        <v>1641</v>
      </c>
      <c r="F10397" t="str">
        <f>INDEX(Lists!I:I,MATCH(Validation!E10397,Lists!G:G,0))</f>
        <v>Alert</v>
      </c>
      <c r="G10397" t="str">
        <f>INDEX(Lists!H:H,MATCH(Validation!E10397,Lists!G:G,0))</f>
        <v>This parcel does not appear to be pledged to an outstanding in-district obligation.</v>
      </c>
      <c r="H10397" s="25" t="str">
        <f t="shared" ca="1" si="1131"/>
        <v/>
      </c>
      <c r="I10397" s="25" t="str">
        <f t="shared" ca="1" si="1132"/>
        <v/>
      </c>
      <c r="J10397" s="26" t="str">
        <f t="shared" si="1133"/>
        <v/>
      </c>
    </row>
    <row r="10398" spans="1:10" x14ac:dyDescent="0.25">
      <c r="A10398" t="s">
        <v>111</v>
      </c>
      <c r="B10398" t="str">
        <f>ADDRESS(ROW(Parcels!B825),COLUMN(Parcels!B1667),4)</f>
        <v>B825</v>
      </c>
      <c r="C10398" t="str">
        <f>ADDRESS(ROW(Parcels!D825),COLUMN(Parcels!D825),4)</f>
        <v>D825</v>
      </c>
      <c r="D10398" s="46" t="b">
        <f>IF(AND(Parcels!B825="Current",'Six-Yr Rule'!B826&lt;=Year_DestinationYearID),IF((SUMIFS('Bond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398" t="s">
        <v>1641</v>
      </c>
      <c r="F10398" t="str">
        <f>INDEX(Lists!I:I,MATCH(Validation!E10398,Lists!G:G,0))</f>
        <v>Alert</v>
      </c>
      <c r="G10398" t="str">
        <f>INDEX(Lists!H:H,MATCH(Validation!E10398,Lists!G:G,0))</f>
        <v>This parcel does not appear to be pledged to an outstanding in-district obligation.</v>
      </c>
      <c r="H10398" s="25" t="str">
        <f t="shared" ca="1" si="1131"/>
        <v/>
      </c>
      <c r="I10398" s="25" t="str">
        <f t="shared" ca="1" si="1132"/>
        <v/>
      </c>
      <c r="J10398" s="26" t="str">
        <f t="shared" si="1133"/>
        <v/>
      </c>
    </row>
    <row r="10399" spans="1:10" x14ac:dyDescent="0.25">
      <c r="A10399" t="s">
        <v>111</v>
      </c>
      <c r="B10399" t="str">
        <f>ADDRESS(ROW(Parcels!B826),COLUMN(Parcels!B1668),4)</f>
        <v>B826</v>
      </c>
      <c r="C10399" t="str">
        <f>ADDRESS(ROW(Parcels!D826),COLUMN(Parcels!D826),4)</f>
        <v>D826</v>
      </c>
      <c r="D10399" s="46" t="b">
        <f>IF(AND(Parcels!B826="Current",'Six-Yr Rule'!B827&lt;=Year_DestinationYearID),IF((SUMIFS('Bond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399" t="s">
        <v>1641</v>
      </c>
      <c r="F10399" t="str">
        <f>INDEX(Lists!I:I,MATCH(Validation!E10399,Lists!G:G,0))</f>
        <v>Alert</v>
      </c>
      <c r="G10399" t="str">
        <f>INDEX(Lists!H:H,MATCH(Validation!E10399,Lists!G:G,0))</f>
        <v>This parcel does not appear to be pledged to an outstanding in-district obligation.</v>
      </c>
      <c r="H10399" s="25" t="str">
        <f t="shared" ca="1" si="1131"/>
        <v/>
      </c>
      <c r="I10399" s="25" t="str">
        <f t="shared" ca="1" si="1132"/>
        <v/>
      </c>
      <c r="J10399" s="26" t="str">
        <f t="shared" si="1133"/>
        <v/>
      </c>
    </row>
    <row r="10400" spans="1:10" x14ac:dyDescent="0.25">
      <c r="A10400" t="s">
        <v>111</v>
      </c>
      <c r="B10400" t="str">
        <f>ADDRESS(ROW(Parcels!B827),COLUMN(Parcels!B1669),4)</f>
        <v>B827</v>
      </c>
      <c r="C10400" t="str">
        <f>ADDRESS(ROW(Parcels!D827),COLUMN(Parcels!D827),4)</f>
        <v>D827</v>
      </c>
      <c r="D10400" s="46" t="b">
        <f>IF(AND(Parcels!B827="Current",'Six-Yr Rule'!B828&lt;=Year_DestinationYearID),IF((SUMIFS('Bond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400" t="s">
        <v>1641</v>
      </c>
      <c r="F10400" t="str">
        <f>INDEX(Lists!I:I,MATCH(Validation!E10400,Lists!G:G,0))</f>
        <v>Alert</v>
      </c>
      <c r="G10400" t="str">
        <f>INDEX(Lists!H:H,MATCH(Validation!E10400,Lists!G:G,0))</f>
        <v>This parcel does not appear to be pledged to an outstanding in-district obligation.</v>
      </c>
      <c r="H10400" s="25" t="str">
        <f t="shared" ca="1" si="1131"/>
        <v/>
      </c>
      <c r="I10400" s="25" t="str">
        <f t="shared" ca="1" si="1132"/>
        <v/>
      </c>
      <c r="J10400" s="26" t="str">
        <f t="shared" si="1133"/>
        <v/>
      </c>
    </row>
    <row r="10401" spans="1:10" x14ac:dyDescent="0.25">
      <c r="A10401" t="s">
        <v>111</v>
      </c>
      <c r="B10401" t="str">
        <f>ADDRESS(ROW(Parcels!B828),COLUMN(Parcels!B1670),4)</f>
        <v>B828</v>
      </c>
      <c r="C10401" t="str">
        <f>ADDRESS(ROW(Parcels!D828),COLUMN(Parcels!D828),4)</f>
        <v>D828</v>
      </c>
      <c r="D10401" s="46" t="b">
        <f>IF(AND(Parcels!B828="Current",'Six-Yr Rule'!B829&lt;=Year_DestinationYearID),IF((SUMIFS('Bond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401" t="s">
        <v>1641</v>
      </c>
      <c r="F10401" t="str">
        <f>INDEX(Lists!I:I,MATCH(Validation!E10401,Lists!G:G,0))</f>
        <v>Alert</v>
      </c>
      <c r="G10401" t="str">
        <f>INDEX(Lists!H:H,MATCH(Validation!E10401,Lists!G:G,0))</f>
        <v>This parcel does not appear to be pledged to an outstanding in-district obligation.</v>
      </c>
      <c r="H10401" s="25" t="str">
        <f t="shared" ca="1" si="1131"/>
        <v/>
      </c>
      <c r="I10401" s="25" t="str">
        <f t="shared" ca="1" si="1132"/>
        <v/>
      </c>
      <c r="J10401" s="26" t="str">
        <f t="shared" si="1133"/>
        <v/>
      </c>
    </row>
    <row r="10402" spans="1:10" x14ac:dyDescent="0.25">
      <c r="A10402" t="s">
        <v>111</v>
      </c>
      <c r="B10402" t="str">
        <f>ADDRESS(ROW(Parcels!B829),COLUMN(Parcels!B1671),4)</f>
        <v>B829</v>
      </c>
      <c r="C10402" t="str">
        <f>ADDRESS(ROW(Parcels!D829),COLUMN(Parcels!D829),4)</f>
        <v>D829</v>
      </c>
      <c r="D10402" s="46" t="b">
        <f>IF(AND(Parcels!B829="Current",'Six-Yr Rule'!B830&lt;=Year_DestinationYearID),IF((SUMIFS('Bond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402" t="s">
        <v>1641</v>
      </c>
      <c r="F10402" t="str">
        <f>INDEX(Lists!I:I,MATCH(Validation!E10402,Lists!G:G,0))</f>
        <v>Alert</v>
      </c>
      <c r="G10402" t="str">
        <f>INDEX(Lists!H:H,MATCH(Validation!E10402,Lists!G:G,0))</f>
        <v>This parcel does not appear to be pledged to an outstanding in-district obligation.</v>
      </c>
      <c r="H10402" s="25" t="str">
        <f t="shared" ca="1" si="1131"/>
        <v/>
      </c>
      <c r="I10402" s="25" t="str">
        <f t="shared" ca="1" si="1132"/>
        <v/>
      </c>
      <c r="J10402" s="26" t="str">
        <f t="shared" si="1133"/>
        <v/>
      </c>
    </row>
    <row r="10403" spans="1:10" x14ac:dyDescent="0.25">
      <c r="A10403" t="s">
        <v>111</v>
      </c>
      <c r="B10403" t="str">
        <f>ADDRESS(ROW(Parcels!B830),COLUMN(Parcels!B1672),4)</f>
        <v>B830</v>
      </c>
      <c r="C10403" t="str">
        <f>ADDRESS(ROW(Parcels!D830),COLUMN(Parcels!D830),4)</f>
        <v>D830</v>
      </c>
      <c r="D10403" s="46" t="b">
        <f>IF(AND(Parcels!B830="Current",'Six-Yr Rule'!B831&lt;=Year_DestinationYearID),IF((SUMIFS('Bond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403" t="s">
        <v>1641</v>
      </c>
      <c r="F10403" t="str">
        <f>INDEX(Lists!I:I,MATCH(Validation!E10403,Lists!G:G,0))</f>
        <v>Alert</v>
      </c>
      <c r="G10403" t="str">
        <f>INDEX(Lists!H:H,MATCH(Validation!E10403,Lists!G:G,0))</f>
        <v>This parcel does not appear to be pledged to an outstanding in-district obligation.</v>
      </c>
      <c r="H10403" s="25" t="str">
        <f t="shared" ca="1" si="1131"/>
        <v/>
      </c>
      <c r="I10403" s="25" t="str">
        <f t="shared" ca="1" si="1132"/>
        <v/>
      </c>
      <c r="J10403" s="26" t="str">
        <f t="shared" si="1133"/>
        <v/>
      </c>
    </row>
    <row r="10404" spans="1:10" x14ac:dyDescent="0.25">
      <c r="A10404" t="s">
        <v>111</v>
      </c>
      <c r="B10404" t="str">
        <f>ADDRESS(ROW(Parcels!B831),COLUMN(Parcels!B1673),4)</f>
        <v>B831</v>
      </c>
      <c r="C10404" t="str">
        <f>ADDRESS(ROW(Parcels!D831),COLUMN(Parcels!D831),4)</f>
        <v>D831</v>
      </c>
      <c r="D10404" s="46" t="b">
        <f>IF(AND(Parcels!B831="Current",'Six-Yr Rule'!B832&lt;=Year_DestinationYearID),IF((SUMIFS('Bond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404" t="s">
        <v>1641</v>
      </c>
      <c r="F10404" t="str">
        <f>INDEX(Lists!I:I,MATCH(Validation!E10404,Lists!G:G,0))</f>
        <v>Alert</v>
      </c>
      <c r="G10404" t="str">
        <f>INDEX(Lists!H:H,MATCH(Validation!E10404,Lists!G:G,0))</f>
        <v>This parcel does not appear to be pledged to an outstanding in-district obligation.</v>
      </c>
      <c r="H10404" s="25" t="str">
        <f t="shared" ca="1" si="1131"/>
        <v/>
      </c>
      <c r="I10404" s="25" t="str">
        <f t="shared" ca="1" si="1132"/>
        <v/>
      </c>
      <c r="J10404" s="26" t="str">
        <f t="shared" si="1133"/>
        <v/>
      </c>
    </row>
    <row r="10405" spans="1:10" x14ac:dyDescent="0.25">
      <c r="A10405" t="s">
        <v>111</v>
      </c>
      <c r="B10405" t="str">
        <f>ADDRESS(ROW(Parcels!B832),COLUMN(Parcels!B1674),4)</f>
        <v>B832</v>
      </c>
      <c r="C10405" t="str">
        <f>ADDRESS(ROW(Parcels!D832),COLUMN(Parcels!D832),4)</f>
        <v>D832</v>
      </c>
      <c r="D10405" s="46" t="b">
        <f>IF(AND(Parcels!B832="Current",'Six-Yr Rule'!B833&lt;=Year_DestinationYearID),IF((SUMIFS('Bond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405" t="s">
        <v>1641</v>
      </c>
      <c r="F10405" t="str">
        <f>INDEX(Lists!I:I,MATCH(Validation!E10405,Lists!G:G,0))</f>
        <v>Alert</v>
      </c>
      <c r="G10405" t="str">
        <f>INDEX(Lists!H:H,MATCH(Validation!E10405,Lists!G:G,0))</f>
        <v>This parcel does not appear to be pledged to an outstanding in-district obligation.</v>
      </c>
      <c r="H10405" s="25" t="str">
        <f t="shared" ca="1" si="1131"/>
        <v/>
      </c>
      <c r="I10405" s="25" t="str">
        <f t="shared" ca="1" si="1132"/>
        <v/>
      </c>
      <c r="J10405" s="26" t="str">
        <f t="shared" si="1133"/>
        <v/>
      </c>
    </row>
    <row r="10406" spans="1:10" x14ac:dyDescent="0.25">
      <c r="A10406" t="s">
        <v>111</v>
      </c>
      <c r="B10406" t="str">
        <f>ADDRESS(ROW(Parcels!B833),COLUMN(Parcels!B1675),4)</f>
        <v>B833</v>
      </c>
      <c r="C10406" t="str">
        <f>ADDRESS(ROW(Parcels!D833),COLUMN(Parcels!D833),4)</f>
        <v>D833</v>
      </c>
      <c r="D10406" s="46" t="b">
        <f>IF(AND(Parcels!B833="Current",'Six-Yr Rule'!B834&lt;=Year_DestinationYearID),IF((SUMIFS('Bond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406" t="s">
        <v>1641</v>
      </c>
      <c r="F10406" t="str">
        <f>INDEX(Lists!I:I,MATCH(Validation!E10406,Lists!G:G,0))</f>
        <v>Alert</v>
      </c>
      <c r="G10406" t="str">
        <f>INDEX(Lists!H:H,MATCH(Validation!E10406,Lists!G:G,0))</f>
        <v>This parcel does not appear to be pledged to an outstanding in-district obligation.</v>
      </c>
      <c r="H10406" s="25" t="str">
        <f t="shared" ca="1" si="1131"/>
        <v/>
      </c>
      <c r="I10406" s="25" t="str">
        <f t="shared" ca="1" si="1132"/>
        <v/>
      </c>
      <c r="J10406" s="26" t="str">
        <f t="shared" si="1133"/>
        <v/>
      </c>
    </row>
    <row r="10407" spans="1:10" x14ac:dyDescent="0.25">
      <c r="A10407" t="s">
        <v>111</v>
      </c>
      <c r="B10407" t="str">
        <f>ADDRESS(ROW(Parcels!B834),COLUMN(Parcels!B1676),4)</f>
        <v>B834</v>
      </c>
      <c r="C10407" t="str">
        <f>ADDRESS(ROW(Parcels!D834),COLUMN(Parcels!D834),4)</f>
        <v>D834</v>
      </c>
      <c r="D10407" s="46" t="b">
        <f>IF(AND(Parcels!B834="Current",'Six-Yr Rule'!B835&lt;=Year_DestinationYearID),IF((SUMIFS('Bond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407" t="s">
        <v>1641</v>
      </c>
      <c r="F10407" t="str">
        <f>INDEX(Lists!I:I,MATCH(Validation!E10407,Lists!G:G,0))</f>
        <v>Alert</v>
      </c>
      <c r="G10407" t="str">
        <f>INDEX(Lists!H:H,MATCH(Validation!E10407,Lists!G:G,0))</f>
        <v>This parcel does not appear to be pledged to an outstanding in-district obligation.</v>
      </c>
      <c r="H10407" s="25" t="str">
        <f t="shared" ca="1" si="1131"/>
        <v/>
      </c>
      <c r="I10407" s="25" t="str">
        <f t="shared" ca="1" si="1132"/>
        <v/>
      </c>
      <c r="J10407" s="26" t="str">
        <f t="shared" si="1133"/>
        <v/>
      </c>
    </row>
    <row r="10408" spans="1:10" x14ac:dyDescent="0.25">
      <c r="A10408" t="s">
        <v>111</v>
      </c>
      <c r="B10408" t="str">
        <f>ADDRESS(ROW(Parcels!B835),COLUMN(Parcels!B1677),4)</f>
        <v>B835</v>
      </c>
      <c r="C10408" t="str">
        <f>ADDRESS(ROW(Parcels!D835),COLUMN(Parcels!D835),4)</f>
        <v>D835</v>
      </c>
      <c r="D10408" s="46" t="b">
        <f>IF(AND(Parcels!B835="Current",'Six-Yr Rule'!B836&lt;=Year_DestinationYearID),IF((SUMIFS('Bond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408" t="s">
        <v>1641</v>
      </c>
      <c r="F10408" t="str">
        <f>INDEX(Lists!I:I,MATCH(Validation!E10408,Lists!G:G,0))</f>
        <v>Alert</v>
      </c>
      <c r="G10408" t="str">
        <f>INDEX(Lists!H:H,MATCH(Validation!E10408,Lists!G:G,0))</f>
        <v>This parcel does not appear to be pledged to an outstanding in-district obligation.</v>
      </c>
      <c r="H10408" s="25" t="str">
        <f t="shared" ca="1" si="1131"/>
        <v/>
      </c>
      <c r="I10408" s="25" t="str">
        <f t="shared" ca="1" si="1132"/>
        <v/>
      </c>
      <c r="J10408" s="26" t="str">
        <f t="shared" si="1133"/>
        <v/>
      </c>
    </row>
    <row r="10409" spans="1:10" x14ac:dyDescent="0.25">
      <c r="A10409" t="s">
        <v>111</v>
      </c>
      <c r="B10409" t="str">
        <f>ADDRESS(ROW(Parcels!B836),COLUMN(Parcels!B1678),4)</f>
        <v>B836</v>
      </c>
      <c r="C10409" t="str">
        <f>ADDRESS(ROW(Parcels!D836),COLUMN(Parcels!D836),4)</f>
        <v>D836</v>
      </c>
      <c r="D10409" s="46" t="b">
        <f>IF(AND(Parcels!B836="Current",'Six-Yr Rule'!B837&lt;=Year_DestinationYearID),IF((SUMIFS('Bond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409" t="s">
        <v>1641</v>
      </c>
      <c r="F10409" t="str">
        <f>INDEX(Lists!I:I,MATCH(Validation!E10409,Lists!G:G,0))</f>
        <v>Alert</v>
      </c>
      <c r="G10409" t="str">
        <f>INDEX(Lists!H:H,MATCH(Validation!E10409,Lists!G:G,0))</f>
        <v>This parcel does not appear to be pledged to an outstanding in-district obligation.</v>
      </c>
      <c r="H10409" s="25" t="str">
        <f t="shared" ca="1" si="1131"/>
        <v/>
      </c>
      <c r="I10409" s="25" t="str">
        <f t="shared" ca="1" si="1132"/>
        <v/>
      </c>
      <c r="J10409" s="26" t="str">
        <f t="shared" si="1133"/>
        <v/>
      </c>
    </row>
    <row r="10410" spans="1:10" x14ac:dyDescent="0.25">
      <c r="A10410" t="s">
        <v>111</v>
      </c>
      <c r="B10410" t="str">
        <f>ADDRESS(ROW(Parcels!B837),COLUMN(Parcels!B1679),4)</f>
        <v>B837</v>
      </c>
      <c r="C10410" t="str">
        <f>ADDRESS(ROW(Parcels!D837),COLUMN(Parcels!D837),4)</f>
        <v>D837</v>
      </c>
      <c r="D10410" s="46" t="b">
        <f>IF(AND(Parcels!B837="Current",'Six-Yr Rule'!B838&lt;=Year_DestinationYearID),IF((SUMIFS('Bond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410" t="s">
        <v>1641</v>
      </c>
      <c r="F10410" t="str">
        <f>INDEX(Lists!I:I,MATCH(Validation!E10410,Lists!G:G,0))</f>
        <v>Alert</v>
      </c>
      <c r="G10410" t="str">
        <f>INDEX(Lists!H:H,MATCH(Validation!E10410,Lists!G:G,0))</f>
        <v>This parcel does not appear to be pledged to an outstanding in-district obligation.</v>
      </c>
      <c r="H10410" s="25" t="str">
        <f t="shared" ca="1" si="1131"/>
        <v/>
      </c>
      <c r="I10410" s="25" t="str">
        <f t="shared" ca="1" si="1132"/>
        <v/>
      </c>
      <c r="J10410" s="26" t="str">
        <f t="shared" si="1133"/>
        <v/>
      </c>
    </row>
    <row r="10411" spans="1:10" x14ac:dyDescent="0.25">
      <c r="A10411" t="s">
        <v>111</v>
      </c>
      <c r="B10411" t="str">
        <f>ADDRESS(ROW(Parcels!B838),COLUMN(Parcels!B1680),4)</f>
        <v>B838</v>
      </c>
      <c r="C10411" t="str">
        <f>ADDRESS(ROW(Parcels!D838),COLUMN(Parcels!D838),4)</f>
        <v>D838</v>
      </c>
      <c r="D10411" s="46" t="b">
        <f>IF(AND(Parcels!B838="Current",'Six-Yr Rule'!B839&lt;=Year_DestinationYearID),IF((SUMIFS('Bond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411" t="s">
        <v>1641</v>
      </c>
      <c r="F10411" t="str">
        <f>INDEX(Lists!I:I,MATCH(Validation!E10411,Lists!G:G,0))</f>
        <v>Alert</v>
      </c>
      <c r="G10411" t="str">
        <f>INDEX(Lists!H:H,MATCH(Validation!E10411,Lists!G:G,0))</f>
        <v>This parcel does not appear to be pledged to an outstanding in-district obligation.</v>
      </c>
      <c r="H10411" s="25" t="str">
        <f t="shared" ca="1" si="1131"/>
        <v/>
      </c>
      <c r="I10411" s="25" t="str">
        <f t="shared" ca="1" si="1132"/>
        <v/>
      </c>
      <c r="J10411" s="26" t="str">
        <f t="shared" si="1133"/>
        <v/>
      </c>
    </row>
    <row r="10412" spans="1:10" x14ac:dyDescent="0.25">
      <c r="A10412" t="s">
        <v>111</v>
      </c>
      <c r="B10412" t="str">
        <f>ADDRESS(ROW(Parcels!B839),COLUMN(Parcels!B1681),4)</f>
        <v>B839</v>
      </c>
      <c r="C10412" t="str">
        <f>ADDRESS(ROW(Parcels!D839),COLUMN(Parcels!D839),4)</f>
        <v>D839</v>
      </c>
      <c r="D10412" s="46" t="b">
        <f>IF(AND(Parcels!B839="Current",'Six-Yr Rule'!B840&lt;=Year_DestinationYearID),IF((SUMIFS('Bond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412" t="s">
        <v>1641</v>
      </c>
      <c r="F10412" t="str">
        <f>INDEX(Lists!I:I,MATCH(Validation!E10412,Lists!G:G,0))</f>
        <v>Alert</v>
      </c>
      <c r="G10412" t="str">
        <f>INDEX(Lists!H:H,MATCH(Validation!E10412,Lists!G:G,0))</f>
        <v>This parcel does not appear to be pledged to an outstanding in-district obligation.</v>
      </c>
      <c r="H10412" s="25" t="str">
        <f t="shared" ca="1" si="1131"/>
        <v/>
      </c>
      <c r="I10412" s="25" t="str">
        <f t="shared" ca="1" si="1132"/>
        <v/>
      </c>
      <c r="J10412" s="26" t="str">
        <f t="shared" si="1133"/>
        <v/>
      </c>
    </row>
    <row r="10413" spans="1:10" x14ac:dyDescent="0.25">
      <c r="A10413" t="s">
        <v>111</v>
      </c>
      <c r="B10413" t="str">
        <f>ADDRESS(ROW(Parcels!B840),COLUMN(Parcels!B1682),4)</f>
        <v>B840</v>
      </c>
      <c r="C10413" t="str">
        <f>ADDRESS(ROW(Parcels!D840),COLUMN(Parcels!D840),4)</f>
        <v>D840</v>
      </c>
      <c r="D10413" s="46" t="b">
        <f>IF(AND(Parcels!B840="Current",'Six-Yr Rule'!B841&lt;=Year_DestinationYearID),IF((SUMIFS('Bond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413" t="s">
        <v>1641</v>
      </c>
      <c r="F10413" t="str">
        <f>INDEX(Lists!I:I,MATCH(Validation!E10413,Lists!G:G,0))</f>
        <v>Alert</v>
      </c>
      <c r="G10413" t="str">
        <f>INDEX(Lists!H:H,MATCH(Validation!E10413,Lists!G:G,0))</f>
        <v>This parcel does not appear to be pledged to an outstanding in-district obligation.</v>
      </c>
      <c r="H10413" s="25" t="str">
        <f t="shared" ca="1" si="1131"/>
        <v/>
      </c>
      <c r="I10413" s="25" t="str">
        <f t="shared" ca="1" si="1132"/>
        <v/>
      </c>
      <c r="J10413" s="26" t="str">
        <f t="shared" si="1133"/>
        <v/>
      </c>
    </row>
    <row r="10414" spans="1:10" x14ac:dyDescent="0.25">
      <c r="A10414" t="s">
        <v>111</v>
      </c>
      <c r="B10414" t="str">
        <f>ADDRESS(ROW(Parcels!B841),COLUMN(Parcels!B1683),4)</f>
        <v>B841</v>
      </c>
      <c r="C10414" t="str">
        <f>ADDRESS(ROW(Parcels!D841),COLUMN(Parcels!D841),4)</f>
        <v>D841</v>
      </c>
      <c r="D10414" s="46" t="b">
        <f>IF(AND(Parcels!B841="Current",'Six-Yr Rule'!B842&lt;=Year_DestinationYearID),IF((SUMIFS('Bond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414" t="s">
        <v>1641</v>
      </c>
      <c r="F10414" t="str">
        <f>INDEX(Lists!I:I,MATCH(Validation!E10414,Lists!G:G,0))</f>
        <v>Alert</v>
      </c>
      <c r="G10414" t="str">
        <f>INDEX(Lists!H:H,MATCH(Validation!E10414,Lists!G:G,0))</f>
        <v>This parcel does not appear to be pledged to an outstanding in-district obligation.</v>
      </c>
      <c r="H10414" s="25" t="str">
        <f t="shared" ca="1" si="1131"/>
        <v/>
      </c>
      <c r="I10414" s="25" t="str">
        <f t="shared" ca="1" si="1132"/>
        <v/>
      </c>
      <c r="J10414" s="26" t="str">
        <f t="shared" si="1133"/>
        <v/>
      </c>
    </row>
    <row r="10415" spans="1:10" x14ac:dyDescent="0.25">
      <c r="A10415" t="s">
        <v>111</v>
      </c>
      <c r="B10415" t="str">
        <f>ADDRESS(ROW(Parcels!B842),COLUMN(Parcels!B1684),4)</f>
        <v>B842</v>
      </c>
      <c r="C10415" t="str">
        <f>ADDRESS(ROW(Parcels!D842),COLUMN(Parcels!D842),4)</f>
        <v>D842</v>
      </c>
      <c r="D10415" s="46" t="b">
        <f>IF(AND(Parcels!B842="Current",'Six-Yr Rule'!B843&lt;=Year_DestinationYearID),IF((SUMIFS('Bond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415" t="s">
        <v>1641</v>
      </c>
      <c r="F10415" t="str">
        <f>INDEX(Lists!I:I,MATCH(Validation!E10415,Lists!G:G,0))</f>
        <v>Alert</v>
      </c>
      <c r="G10415" t="str">
        <f>INDEX(Lists!H:H,MATCH(Validation!E10415,Lists!G:G,0))</f>
        <v>This parcel does not appear to be pledged to an outstanding in-district obligation.</v>
      </c>
      <c r="H10415" s="25" t="str">
        <f t="shared" ca="1" si="1131"/>
        <v/>
      </c>
      <c r="I10415" s="25" t="str">
        <f t="shared" ca="1" si="1132"/>
        <v/>
      </c>
      <c r="J10415" s="26" t="str">
        <f t="shared" si="1133"/>
        <v/>
      </c>
    </row>
    <row r="10416" spans="1:10" x14ac:dyDescent="0.25">
      <c r="A10416" t="s">
        <v>111</v>
      </c>
      <c r="B10416" t="str">
        <f>ADDRESS(ROW(Parcels!B843),COLUMN(Parcels!B1685),4)</f>
        <v>B843</v>
      </c>
      <c r="C10416" t="str">
        <f>ADDRESS(ROW(Parcels!D843),COLUMN(Parcels!D843),4)</f>
        <v>D843</v>
      </c>
      <c r="D10416" s="46" t="b">
        <f>IF(AND(Parcels!B843="Current",'Six-Yr Rule'!B844&lt;=Year_DestinationYearID),IF((SUMIFS('Bond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416" t="s">
        <v>1641</v>
      </c>
      <c r="F10416" t="str">
        <f>INDEX(Lists!I:I,MATCH(Validation!E10416,Lists!G:G,0))</f>
        <v>Alert</v>
      </c>
      <c r="G10416" t="str">
        <f>INDEX(Lists!H:H,MATCH(Validation!E10416,Lists!G:G,0))</f>
        <v>This parcel does not appear to be pledged to an outstanding in-district obligation.</v>
      </c>
      <c r="H10416" s="25" t="str">
        <f t="shared" ca="1" si="1131"/>
        <v/>
      </c>
      <c r="I10416" s="25" t="str">
        <f t="shared" ca="1" si="1132"/>
        <v/>
      </c>
      <c r="J10416" s="26" t="str">
        <f t="shared" si="1133"/>
        <v/>
      </c>
    </row>
    <row r="10417" spans="1:10" x14ac:dyDescent="0.25">
      <c r="A10417" t="s">
        <v>111</v>
      </c>
      <c r="B10417" t="str">
        <f>ADDRESS(ROW(Parcels!B844),COLUMN(Parcels!B1686),4)</f>
        <v>B844</v>
      </c>
      <c r="C10417" t="str">
        <f>ADDRESS(ROW(Parcels!D844),COLUMN(Parcels!D844),4)</f>
        <v>D844</v>
      </c>
      <c r="D10417" s="46" t="b">
        <f>IF(AND(Parcels!B844="Current",'Six-Yr Rule'!B845&lt;=Year_DestinationYearID),IF((SUMIFS('Bond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417" t="s">
        <v>1641</v>
      </c>
      <c r="F10417" t="str">
        <f>INDEX(Lists!I:I,MATCH(Validation!E10417,Lists!G:G,0))</f>
        <v>Alert</v>
      </c>
      <c r="G10417" t="str">
        <f>INDEX(Lists!H:H,MATCH(Validation!E10417,Lists!G:G,0))</f>
        <v>This parcel does not appear to be pledged to an outstanding in-district obligation.</v>
      </c>
      <c r="H10417" s="25" t="str">
        <f t="shared" ca="1" si="1131"/>
        <v/>
      </c>
      <c r="I10417" s="25" t="str">
        <f t="shared" ca="1" si="1132"/>
        <v/>
      </c>
      <c r="J10417" s="26" t="str">
        <f t="shared" si="1133"/>
        <v/>
      </c>
    </row>
    <row r="10418" spans="1:10" x14ac:dyDescent="0.25">
      <c r="A10418" t="s">
        <v>111</v>
      </c>
      <c r="B10418" t="str">
        <f>ADDRESS(ROW(Parcels!B845),COLUMN(Parcels!B1687),4)</f>
        <v>B845</v>
      </c>
      <c r="C10418" t="str">
        <f>ADDRESS(ROW(Parcels!D845),COLUMN(Parcels!D845),4)</f>
        <v>D845</v>
      </c>
      <c r="D10418" s="46" t="b">
        <f>IF(AND(Parcels!B845="Current",'Six-Yr Rule'!B846&lt;=Year_DestinationYearID),IF((SUMIFS('Bond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418" t="s">
        <v>1641</v>
      </c>
      <c r="F10418" t="str">
        <f>INDEX(Lists!I:I,MATCH(Validation!E10418,Lists!G:G,0))</f>
        <v>Alert</v>
      </c>
      <c r="G10418" t="str">
        <f>INDEX(Lists!H:H,MATCH(Validation!E10418,Lists!G:G,0))</f>
        <v>This parcel does not appear to be pledged to an outstanding in-district obligation.</v>
      </c>
      <c r="H10418" s="25" t="str">
        <f t="shared" ca="1" si="1131"/>
        <v/>
      </c>
      <c r="I10418" s="25" t="str">
        <f t="shared" ca="1" si="1132"/>
        <v/>
      </c>
      <c r="J10418" s="26" t="str">
        <f t="shared" si="1133"/>
        <v/>
      </c>
    </row>
    <row r="10419" spans="1:10" x14ac:dyDescent="0.25">
      <c r="A10419" t="s">
        <v>111</v>
      </c>
      <c r="B10419" t="str">
        <f>ADDRESS(ROW(Parcels!B846),COLUMN(Parcels!B1688),4)</f>
        <v>B846</v>
      </c>
      <c r="C10419" t="str">
        <f>ADDRESS(ROW(Parcels!D846),COLUMN(Parcels!D846),4)</f>
        <v>D846</v>
      </c>
      <c r="D10419" s="46" t="b">
        <f>IF(AND(Parcels!B846="Current",'Six-Yr Rule'!B847&lt;=Year_DestinationYearID),IF((SUMIFS('Bond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419" t="s">
        <v>1641</v>
      </c>
      <c r="F10419" t="str">
        <f>INDEX(Lists!I:I,MATCH(Validation!E10419,Lists!G:G,0))</f>
        <v>Alert</v>
      </c>
      <c r="G10419" t="str">
        <f>INDEX(Lists!H:H,MATCH(Validation!E10419,Lists!G:G,0))</f>
        <v>This parcel does not appear to be pledged to an outstanding in-district obligation.</v>
      </c>
      <c r="H10419" s="25" t="str">
        <f t="shared" ref="H10419:H10423" ca="1" si="1134">IFERROR(IF(OR(NOT(D10419),F10419&lt;&gt;"Error"),"",A10419&amp;CELL("address",INDIRECT(B10419))),"")</f>
        <v/>
      </c>
      <c r="I10419" s="25" t="str">
        <f t="shared" ref="I10419:I10423" ca="1" si="1135">IFERROR(IF(NOT(D10419),"",A10419&amp;CELL("address",INDIRECT(C10419))),"")</f>
        <v/>
      </c>
      <c r="J10419" s="26" t="str">
        <f t="shared" ref="J10419:J10423" si="1136">IFERROR(IF(NOT(D10419),"",A10419),"")</f>
        <v/>
      </c>
    </row>
    <row r="10420" spans="1:10" x14ac:dyDescent="0.25">
      <c r="A10420" t="s">
        <v>111</v>
      </c>
      <c r="B10420" t="str">
        <f>ADDRESS(ROW(Parcels!B847),COLUMN(Parcels!B1689),4)</f>
        <v>B847</v>
      </c>
      <c r="C10420" t="str">
        <f>ADDRESS(ROW(Parcels!D847),COLUMN(Parcels!D847),4)</f>
        <v>D847</v>
      </c>
      <c r="D10420" s="46" t="b">
        <f>IF(AND(Parcels!B847="Current",'Six-Yr Rule'!B848&lt;=Year_DestinationYearID),IF((SUMIFS('Bond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420" t="s">
        <v>1641</v>
      </c>
      <c r="F10420" t="str">
        <f>INDEX(Lists!I:I,MATCH(Validation!E10420,Lists!G:G,0))</f>
        <v>Alert</v>
      </c>
      <c r="G10420" t="str">
        <f>INDEX(Lists!H:H,MATCH(Validation!E10420,Lists!G:G,0))</f>
        <v>This parcel does not appear to be pledged to an outstanding in-district obligation.</v>
      </c>
      <c r="H10420" s="25" t="str">
        <f t="shared" ca="1" si="1134"/>
        <v/>
      </c>
      <c r="I10420" s="25" t="str">
        <f t="shared" ca="1" si="1135"/>
        <v/>
      </c>
      <c r="J10420" s="26" t="str">
        <f t="shared" si="1136"/>
        <v/>
      </c>
    </row>
    <row r="10421" spans="1:10" x14ac:dyDescent="0.25">
      <c r="A10421" t="s">
        <v>111</v>
      </c>
      <c r="B10421" t="str">
        <f>ADDRESS(ROW(Parcels!B848),COLUMN(Parcels!B1690),4)</f>
        <v>B848</v>
      </c>
      <c r="C10421" t="str">
        <f>ADDRESS(ROW(Parcels!D848),COLUMN(Parcels!D848),4)</f>
        <v>D848</v>
      </c>
      <c r="D10421" s="46" t="b">
        <f>IF(AND(Parcels!B848="Current",'Six-Yr Rule'!B849&lt;=Year_DestinationYearID),IF((SUMIFS('Bond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421" t="s">
        <v>1641</v>
      </c>
      <c r="F10421" t="str">
        <f>INDEX(Lists!I:I,MATCH(Validation!E10421,Lists!G:G,0))</f>
        <v>Alert</v>
      </c>
      <c r="G10421" t="str">
        <f>INDEX(Lists!H:H,MATCH(Validation!E10421,Lists!G:G,0))</f>
        <v>This parcel does not appear to be pledged to an outstanding in-district obligation.</v>
      </c>
      <c r="H10421" s="25" t="str">
        <f t="shared" ca="1" si="1134"/>
        <v/>
      </c>
      <c r="I10421" s="25" t="str">
        <f t="shared" ca="1" si="1135"/>
        <v/>
      </c>
      <c r="J10421" s="26" t="str">
        <f t="shared" si="1136"/>
        <v/>
      </c>
    </row>
    <row r="10422" spans="1:10" x14ac:dyDescent="0.25">
      <c r="A10422" t="s">
        <v>111</v>
      </c>
      <c r="B10422" t="str">
        <f>ADDRESS(ROW(Parcels!B849),COLUMN(Parcels!B1691),4)</f>
        <v>B849</v>
      </c>
      <c r="C10422" t="str">
        <f>ADDRESS(ROW(Parcels!D849),COLUMN(Parcels!D849),4)</f>
        <v>D849</v>
      </c>
      <c r="D10422" s="46" t="b">
        <f>IF(AND(Parcels!B849="Current",'Six-Yr Rule'!B850&lt;=Year_DestinationYearID),IF((SUMIFS('Bond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422" t="s">
        <v>1641</v>
      </c>
      <c r="F10422" t="str">
        <f>INDEX(Lists!I:I,MATCH(Validation!E10422,Lists!G:G,0))</f>
        <v>Alert</v>
      </c>
      <c r="G10422" t="str">
        <f>INDEX(Lists!H:H,MATCH(Validation!E10422,Lists!G:G,0))</f>
        <v>This parcel does not appear to be pledged to an outstanding in-district obligation.</v>
      </c>
      <c r="H10422" s="25" t="str">
        <f t="shared" ca="1" si="1134"/>
        <v/>
      </c>
      <c r="I10422" s="25" t="str">
        <f t="shared" ca="1" si="1135"/>
        <v/>
      </c>
      <c r="J10422" s="26" t="str">
        <f t="shared" si="1136"/>
        <v/>
      </c>
    </row>
    <row r="10423" spans="1:10" x14ac:dyDescent="0.25">
      <c r="A10423" t="s">
        <v>111</v>
      </c>
      <c r="B10423" t="str">
        <f>ADDRESS(ROW(Parcels!B850),COLUMN(Parcels!B1692),4)</f>
        <v>B850</v>
      </c>
      <c r="C10423" t="str">
        <f>ADDRESS(ROW(Parcels!D850),COLUMN(Parcels!D850),4)</f>
        <v>D850</v>
      </c>
      <c r="D10423" s="46" t="b">
        <f>IF(AND(Parcels!B850="Current",'Six-Yr Rule'!B851&lt;=Year_DestinationYearID),IF((SUMIFS('Bond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Ouput'!TIF_InterfundLoan_MeetsFiveYrRuleInd_Output,TRUE))&lt;=0,TRUE,FALSE),FALSE)</f>
        <v>0</v>
      </c>
      <c r="E10423" t="s">
        <v>1641</v>
      </c>
      <c r="F10423" t="str">
        <f>INDEX(Lists!I:I,MATCH(Validation!E10423,Lists!G:G,0))</f>
        <v>Alert</v>
      </c>
      <c r="G10423" t="str">
        <f>INDEX(Lists!H:H,MATCH(Validation!E10423,Lists!G:G,0))</f>
        <v>This parcel does not appear to be pledged to an outstanding in-district obligation.</v>
      </c>
      <c r="H10423" s="25" t="str">
        <f t="shared" ca="1" si="1134"/>
        <v/>
      </c>
      <c r="I10423" s="25" t="str">
        <f t="shared" ca="1" si="1135"/>
        <v/>
      </c>
      <c r="J10423" s="26" t="str">
        <f t="shared" si="1136"/>
        <v/>
      </c>
    </row>
    <row r="10424" spans="1:10" x14ac:dyDescent="0.25">
      <c r="A10424" t="s">
        <v>1073</v>
      </c>
      <c r="B10424" t="str">
        <f>ADDRESS(ROW('Six-Yr Rule'!B6),COLUMN('Six-Yr Rule'!B6),4)</f>
        <v>B6</v>
      </c>
      <c r="C10424" t="str">
        <f>ADDRESS(ROW('Six-Yr Rule'!C6),COLUMN('Six-Yr Rule'!C6),4)</f>
        <v>C6</v>
      </c>
      <c r="D10424" t="b">
        <f>IF(TIF_District_ActualDecertificationDateInd_Output=TRUE,TRUE,FALSE)</f>
        <v>0</v>
      </c>
      <c r="E10424" t="s">
        <v>1148</v>
      </c>
      <c r="F10424" t="str">
        <f>INDEX(Lists!I:I,MATCH(Validation!E10424,Lists!G:G,0))</f>
        <v>Information</v>
      </c>
      <c r="G10424" t="str">
        <f>INDEX(Lists!H:H,MATCH(Validation!E10424,Lists!G:G,0))</f>
        <v>This district is decertified so this tab no longer applies. Skip this tab.</v>
      </c>
      <c r="H10424" s="16" t="str">
        <f ca="1">IFERROR(IF(OR(NOT(D10424),F10424&lt;&gt;"Error"),"",A10424&amp;CELL("address",INDIRECT(B10424))),"")</f>
        <v/>
      </c>
      <c r="I10424" s="16" t="str">
        <f ca="1">IFERROR(IF(NOT(D10424),"",A10424&amp;CELL("address",INDIRECT(C10424))),"")</f>
        <v/>
      </c>
      <c r="J10424" s="17" t="str">
        <f>IFERROR(IF(NOT(D10424),"",A10424),"")</f>
        <v/>
      </c>
    </row>
    <row r="10425" spans="1:10" x14ac:dyDescent="0.25">
      <c r="A10425" t="s">
        <v>1073</v>
      </c>
      <c r="B10425" t="str">
        <f>ADDRESS(ROW('Six-Yr Rule'!B7),COLUMN('Six-Yr Rule'!B7),4)</f>
        <v>B7</v>
      </c>
      <c r="C10425" t="str">
        <f>ADDRESS(ROW('Six-Yr Rule'!C7),COLUMN('Six-Yr Rule'!C7),4)</f>
        <v>C7</v>
      </c>
      <c r="D10425" t="b">
        <f>IF('Six-Yr Rule'!B7="Housing",TRUE,FALSE)</f>
        <v>0</v>
      </c>
      <c r="E10425" t="s">
        <v>1074</v>
      </c>
      <c r="F10425" t="str">
        <f>INDEX(Lists!I:I,MATCH(Validation!E10425,Lists!G:G,0))</f>
        <v>Information</v>
      </c>
      <c r="G10425" t="str">
        <f>INDEX(Lists!H:H,MATCH(Validation!E10425,Lists!G:G,0))</f>
        <v>The Six-Year Rule does not apply to housing districts. Tracking not needed. Skip this tab.</v>
      </c>
      <c r="H10425" s="16" t="str">
        <f t="shared" ref="H10425:H10445" ca="1" si="1137">IFERROR(IF(OR(NOT(D10425),F10425&lt;&gt;"Error"),"",A10425&amp;CELL("address",INDIRECT(B10425))),"")</f>
        <v/>
      </c>
      <c r="I10425" s="16" t="str">
        <f t="shared" ref="I10425:I10445" ca="1" si="1138">IFERROR(IF(NOT(D10425),"",A10425&amp;CELL("address",INDIRECT(C10425))),"")</f>
        <v/>
      </c>
      <c r="J10425" s="17" t="str">
        <f t="shared" ref="J10425:J10445" si="1139">IFERROR(IF(NOT(D10425),"",A10425),"")</f>
        <v/>
      </c>
    </row>
    <row r="10426" spans="1:10" x14ac:dyDescent="0.25">
      <c r="A10426" t="s">
        <v>1073</v>
      </c>
      <c r="B10426" t="str">
        <f>ADDRESS(ROW('Six-Yr Rule'!B9),COLUMN('Six-Yr Rule'!B9),4)</f>
        <v>B9</v>
      </c>
      <c r="C10426" t="str">
        <f>ADDRESS(ROW('Six-Yr Rule'!C9),COLUMN('Six-Yr Rule'!C9),4)</f>
        <v>C9</v>
      </c>
      <c r="D10426" t="b">
        <f>IF('Six-Yr Rule'!B9&gt;Year_DestinationYearID,TRUE,FALSE)</f>
        <v>0</v>
      </c>
      <c r="E10426" t="s">
        <v>1076</v>
      </c>
      <c r="F10426" t="str">
        <f>INDEX(Lists!I:I,MATCH(Validation!E10426,Lists!G:G,0))</f>
        <v>Information</v>
      </c>
      <c r="G10426" t="str">
        <f>INDEX(Lists!H:H,MATCH(Validation!E10426,Lists!G:G,0))</f>
        <v>Year Six has not yet been reached. Tracking not yet needed. Skip this tab.</v>
      </c>
      <c r="H10426" s="16" t="str">
        <f t="shared" ca="1" si="1137"/>
        <v/>
      </c>
      <c r="I10426" s="16" t="str">
        <f t="shared" ca="1" si="1138"/>
        <v/>
      </c>
      <c r="J10426" s="17" t="str">
        <f t="shared" si="1139"/>
        <v/>
      </c>
    </row>
    <row r="10427" spans="1:10" x14ac:dyDescent="0.25">
      <c r="A10427" t="s">
        <v>1073</v>
      </c>
      <c r="B10427" t="str">
        <f>ADDRESS(ROW('Six-Yr Rule'!B$12),COLUMN('Six-Yr Rule'!B$12),4)</f>
        <v>B12</v>
      </c>
      <c r="C10427" t="str">
        <f>ADDRESS(ROW('Six-Yr Rule'!C$12),COLUMN('Six-Yr Rule'!C$12),4)</f>
        <v>C12</v>
      </c>
      <c r="D10427" t="b">
        <f>IF(AND(TIF_District_PoolingElectionForHousingInd="No",'Six-Yr Rule'!B12&lt;&gt;0),TRUE,FALSE)</f>
        <v>0</v>
      </c>
      <c r="E10427" t="s">
        <v>1088</v>
      </c>
      <c r="F10427" t="str">
        <f>INDEX(Lists!I:I,MATCH(Validation!E10427,Lists!G:G,0))</f>
        <v>Error</v>
      </c>
      <c r="G10427" t="str">
        <f>INDEX(Lists!H:H,MATCH(Validation!E10427,Lists!G:G,0))</f>
        <v>This line does not apply to this district. Delete entry or enter $0.</v>
      </c>
      <c r="H10427" s="16" t="str">
        <f ca="1">IFERROR(IF(OR(NOT(D10427),F10427&lt;&gt;"Error"),"",A10427&amp;CELL("address",INDIRECT(B10427))),"")</f>
        <v/>
      </c>
      <c r="I10427" s="16" t="str">
        <f ca="1">IFERROR(IF(NOT(D10427),"",A10427&amp;CELL("address",INDIRECT(C10427))),"")</f>
        <v/>
      </c>
      <c r="J10427" s="17" t="str">
        <f>IFERROR(IF(NOT(D10427),"",A10427),"")</f>
        <v/>
      </c>
    </row>
    <row r="10428" spans="1:10" x14ac:dyDescent="0.25">
      <c r="A10428" t="s">
        <v>1073</v>
      </c>
      <c r="B10428" t="str">
        <f>ADDRESS(ROW('Six-Yr Rule'!B$12),COLUMN('Six-Yr Rule'!B$12),4)</f>
        <v>B12</v>
      </c>
      <c r="C10428" t="str">
        <f>ADDRESS(ROW('Six-Yr Rule'!C$12),COLUMN('Six-Yr Rule'!C$12),4)</f>
        <v>C12</v>
      </c>
      <c r="D10428" t="b">
        <f>IF(TIF_District_PoolingElectionForHousingInd="No",TRUE,FALSE)</f>
        <v>1</v>
      </c>
      <c r="E10428" t="s">
        <v>1085</v>
      </c>
      <c r="F10428" t="str">
        <f>INDEX(Lists!I:I,MATCH(Validation!E10428,Lists!G:G,0))</f>
        <v>Information</v>
      </c>
      <c r="G10428" t="str">
        <f>INDEX(Lists!H:H,MATCH(Validation!E10428,Lists!G:G,0))</f>
        <v>Skip this line. (It only applies if plan contained election for 2d housing.)</v>
      </c>
      <c r="H10428" s="16" t="str">
        <f ca="1">IFERROR(IF(OR(NOT(D10428),F10428&lt;&gt;"Error"),"",A10428&amp;CELL("address",INDIRECT(B10428))),"")</f>
        <v/>
      </c>
      <c r="I10428" s="16" t="str">
        <f ca="1">IFERROR(IF(NOT(D10428),"",A10428&amp;CELL("address",INDIRECT(C10428))),"")</f>
        <v>Six-Yr Rule$C$12</v>
      </c>
      <c r="J10428" s="17" t="str">
        <f>IFERROR(IF(NOT(D10428),"",A10428),"")</f>
        <v>Six-Yr Rule</v>
      </c>
    </row>
    <row r="10429" spans="1:10" x14ac:dyDescent="0.25">
      <c r="A10429" t="s">
        <v>1073</v>
      </c>
      <c r="B10429" t="str">
        <f>ADDRESS(ROW('Six-Yr Rule'!B$12),COLUMN('Six-Yr Rule'!B$12),4)</f>
        <v>B12</v>
      </c>
      <c r="C10429" t="str">
        <f>ADDRESS(ROW('Six-Yr Rule'!C$12),COLUMN('Six-Yr Rule'!C$12),4)</f>
        <v>C12</v>
      </c>
      <c r="D10429" t="b">
        <f>IF(AND(D10424=FALSE,D10425=FALSE,D10426=FALSE,ISBLANK('Six-Yr Rule'!B12)),TRUE,FALSE)</f>
        <v>0</v>
      </c>
      <c r="E10429" t="s">
        <v>1087</v>
      </c>
      <c r="F10429" t="str">
        <f>INDEX(Lists!I:I,MATCH(Validation!E10429,Lists!G:G,0))</f>
        <v>Error</v>
      </c>
      <c r="G10429" t="str">
        <f>INDEX(Lists!H:H,MATCH(Validation!E10429,Lists!G:G,0))</f>
        <v>If all pooling is for 2d housing, enter admin costs (Expenditures D13) here. Else enter $0.</v>
      </c>
      <c r="H10429" s="16" t="str">
        <f ca="1">IFERROR(IF(OR(NOT(D10429),F10429&lt;&gt;"Error"),"",A10429&amp;CELL("address",INDIRECT(B10429))),"")</f>
        <v/>
      </c>
      <c r="I10429" s="16" t="str">
        <f ca="1">IFERROR(IF(NOT(D10429),"",A10429&amp;CELL("address",INDIRECT(C10429))),"")</f>
        <v/>
      </c>
      <c r="J10429" s="17" t="str">
        <f>IFERROR(IF(NOT(D10429),"",A10429),"")</f>
        <v/>
      </c>
    </row>
    <row r="10430" spans="1:10" x14ac:dyDescent="0.25">
      <c r="A10430" t="s">
        <v>1073</v>
      </c>
      <c r="B10430" t="str">
        <f>ADDRESS(ROW('Six-Yr Rule'!B$12),COLUMN('Six-Yr Rule'!B$12),4)</f>
        <v>B12</v>
      </c>
      <c r="C10430" t="str">
        <f>ADDRESS(ROW('Six-Yr Rule'!C$12),COLUMN('Six-Yr Rule'!C$12),4)</f>
        <v>C12</v>
      </c>
      <c r="D10430" t="b">
        <f>IF(AND('Six-Yr Rule'!B12&gt;0,'Six-Yr Rule'!B12&lt;&gt;Expenditures!D13),TRUE,FALSE)</f>
        <v>0</v>
      </c>
      <c r="E10430" t="s">
        <v>1594</v>
      </c>
      <c r="F10430" t="str">
        <f>INDEX(Lists!I:I,MATCH(Validation!E10430,Lists!G:G,0))</f>
        <v>Error</v>
      </c>
      <c r="G10430" t="str">
        <f>INDEX(Lists!H:H,MATCH(Validation!E10430,Lists!G:G,0))</f>
        <v>Amount does not match admin costs (Expenditures D13). Correct entry.</v>
      </c>
      <c r="H10430" s="16" t="str">
        <f ca="1">IFERROR(IF(OR(NOT(D10430),F10430&lt;&gt;"Error"),"",A10430&amp;CELL("address",INDIRECT(B10430))),"")</f>
        <v/>
      </c>
      <c r="I10430" s="16" t="str">
        <f ca="1">IFERROR(IF(NOT(D10430),"",A10430&amp;CELL("address",INDIRECT(C10430))),"")</f>
        <v/>
      </c>
      <c r="J10430" s="17" t="str">
        <f>IFERROR(IF(NOT(D10430),"",A10430),"")</f>
        <v/>
      </c>
    </row>
    <row r="10431" spans="1:10" x14ac:dyDescent="0.25">
      <c r="A10431" t="s">
        <v>1073</v>
      </c>
      <c r="B10431" t="str">
        <f>ADDRESS(ROW('Six-Yr Rule'!B$16),COLUMN('Six-Yr Rule'!B$16),4)</f>
        <v>B16</v>
      </c>
      <c r="C10431" t="str">
        <f>ADDRESS(ROW('Six-Yr Rule'!C$16),COLUMN('Six-Yr Rule'!C$16),4)</f>
        <v>C16</v>
      </c>
      <c r="D10431" s="46" t="b">
        <f>IF(AND(D10424=FALSE,D10425=FALSE,D10426=FALSE,ISBLANK('Six-Yr Rule'!B16)),TRUE,FALSE)</f>
        <v>1</v>
      </c>
      <c r="E10431" t="s">
        <v>1636</v>
      </c>
      <c r="F10431" t="str">
        <f>INDEX(Lists!I:I,MATCH(Validation!E10431,Lists!G:G,0))</f>
        <v>Error</v>
      </c>
      <c r="G10431" t="str">
        <f>INDEX(Lists!H:H,MATCH(Validation!E10431,Lists!G:G,0))</f>
        <v>Enter amount of other increment used to pay in-district obligations here. Enter $0 if none.</v>
      </c>
      <c r="H10431" s="16" t="str">
        <f t="shared" ref="H10431" ca="1" si="1140">IFERROR(IF(OR(NOT(D10431),F10431&lt;&gt;"Error"),"",A10431&amp;CELL("address",INDIRECT(B10431))),"")</f>
        <v>Six-Yr Rule$B$16</v>
      </c>
      <c r="I10431" s="16" t="str">
        <f t="shared" ref="I10431" ca="1" si="1141">IFERROR(IF(NOT(D10431),"",A10431&amp;CELL("address",INDIRECT(C10431))),"")</f>
        <v>Six-Yr Rule$C$16</v>
      </c>
      <c r="J10431" s="17" t="str">
        <f t="shared" ref="J10431" si="1142">IFERROR(IF(NOT(D10431),"",A10431),"")</f>
        <v>Six-Yr Rule</v>
      </c>
    </row>
    <row r="10432" spans="1:10" x14ac:dyDescent="0.25">
      <c r="A10432" t="s">
        <v>1073</v>
      </c>
      <c r="B10432" t="str">
        <f>ADDRESS(ROW('Six-Yr Rule'!B$16),COLUMN('Six-Yr Rule'!B$16),4)</f>
        <v>B16</v>
      </c>
      <c r="C10432" t="str">
        <f>ADDRESS(ROW('Six-Yr Rule'!C$16),COLUMN('Six-Yr Rule'!C$16),4)</f>
        <v>C16</v>
      </c>
      <c r="D10432" t="b" cm="1">
        <f t="array" aca="1" ref="D10432" ca="1">IF(INDIRECT("'"&amp;A10432&amp;"'!"&amp;B10432)="",FALSE,IF(NOT(ISNUMBER(INDIRECT("'"&amp;A10432&amp;"'!"&amp;B10432))),TRUE,FALSE))</f>
        <v>0</v>
      </c>
      <c r="E10432" t="s">
        <v>435</v>
      </c>
      <c r="F10432" t="str">
        <f>INDEX(Lists!I:I,MATCH(Validation!E10432,Lists!G:G,0))</f>
        <v>Error</v>
      </c>
      <c r="G10432" t="str">
        <f>INDEX(Lists!H:H,MATCH(Validation!E10432,Lists!G:G,0))</f>
        <v>Enter an amount only. Do not enter text or spaces.</v>
      </c>
      <c r="H10432" s="16" t="str">
        <f t="shared" ref="H10432:H10434" ca="1" si="1143">IFERROR(IF(OR(NOT(D10432),F10432&lt;&gt;"Error"),"",A10432&amp;CELL("address",INDIRECT(B10432))),"")</f>
        <v/>
      </c>
      <c r="I10432" s="16" t="str">
        <f t="shared" ref="I10432:I10434" ca="1" si="1144">IFERROR(IF(NOT(D10432),"",A10432&amp;CELL("address",INDIRECT(C10432))),"")</f>
        <v/>
      </c>
      <c r="J10432" s="17" t="str">
        <f t="shared" ref="J10432:J10434" ca="1" si="1145">IFERROR(IF(NOT(D10432),"",A10432),"")</f>
        <v/>
      </c>
    </row>
    <row r="10433" spans="1:10" x14ac:dyDescent="0.25">
      <c r="A10433" t="s">
        <v>1073</v>
      </c>
      <c r="B10433" t="str">
        <f>ADDRESS(ROW('Six-Yr Rule'!B$16),COLUMN('Six-Yr Rule'!B$16),4)</f>
        <v>B16</v>
      </c>
      <c r="C10433" t="str">
        <f>ADDRESS(ROW('Six-Yr Rule'!C$16),COLUMN('Six-Yr Rule'!C$16),4)</f>
        <v>C16</v>
      </c>
      <c r="D10433" t="b" cm="1">
        <f t="array" aca="1" ref="D10433" ca="1">IF(INDIRECT("'"&amp;A10433&amp;"'!"&amp;B10433)="",FALSE,IF(INDIRECT("'"&amp;A10433&amp;"'!"&amp;B10433)&lt;0,TRUE,FALSE))</f>
        <v>0</v>
      </c>
      <c r="E10433" t="s">
        <v>434</v>
      </c>
      <c r="F10433" t="str">
        <f>INDEX(Lists!I:I,MATCH(Validation!E10433,Lists!G:G,0))</f>
        <v>Error</v>
      </c>
      <c r="G10433" t="str">
        <f>INDEX(Lists!H:H,MATCH(Validation!E10433,Lists!G:G,0))</f>
        <v>Amount may not be negative. Enter an amount greater than or equal to zero.</v>
      </c>
      <c r="H10433" s="16" t="str">
        <f t="shared" ca="1" si="1143"/>
        <v/>
      </c>
      <c r="I10433" s="16" t="str">
        <f t="shared" ca="1" si="1144"/>
        <v/>
      </c>
      <c r="J10433" s="17" t="str">
        <f t="shared" ca="1" si="1145"/>
        <v/>
      </c>
    </row>
    <row r="10434" spans="1:10" x14ac:dyDescent="0.25">
      <c r="A10434" t="s">
        <v>1073</v>
      </c>
      <c r="B10434" t="str">
        <f>ADDRESS(ROW('Six-Yr Rule'!B$16),COLUMN('Six-Yr Rule'!B$16),4)</f>
        <v>B16</v>
      </c>
      <c r="C10434" t="str">
        <f>ADDRESS(ROW('Six-Yr Rule'!C$16),COLUMN('Six-Yr Rule'!C$16),4)</f>
        <v>C16</v>
      </c>
      <c r="D10434" t="b" cm="1">
        <f t="array" aca="1" ref="D10434" ca="1">IF(INDIRECT("'"&amp;A10434&amp;"'!"&amp;B10434)="",FALSE,IF(TRUNC(INDIRECT("'"&amp;A10434&amp;"'!"&amp;B10434))=INDIRECT("'"&amp;A10434&amp;"'!"&amp;B10434),FALSE,TRUE))</f>
        <v>0</v>
      </c>
      <c r="E10434" t="s">
        <v>436</v>
      </c>
      <c r="F10434" t="str">
        <f>INDEX(Lists!I:I,MATCH(Validation!E10434,Lists!G:G,0))</f>
        <v>Error</v>
      </c>
      <c r="G10434" t="str">
        <f>INDEX(Lists!H:H,MATCH(Validation!E10434,Lists!G:G,0))</f>
        <v>Amount must be rounded to the nearest dollar.</v>
      </c>
      <c r="H10434" s="16" t="str">
        <f t="shared" ca="1" si="1143"/>
        <v/>
      </c>
      <c r="I10434" s="16" t="str">
        <f t="shared" ca="1" si="1144"/>
        <v/>
      </c>
      <c r="J10434" s="17" t="str">
        <f t="shared" ca="1" si="1145"/>
        <v/>
      </c>
    </row>
    <row r="10435" spans="1:10" x14ac:dyDescent="0.25">
      <c r="A10435" t="s">
        <v>1073</v>
      </c>
      <c r="B10435" t="str">
        <f>ADDRESS(ROW('Six-Yr Rule'!B$16),COLUMN('Six-Yr Rule'!B$16),4)</f>
        <v>B16</v>
      </c>
      <c r="C10435" t="str">
        <f>ADDRESS(ROW('Six-Yr Rule'!C$16),COLUMN('Six-Yr Rule'!C$16),4)</f>
        <v>C16</v>
      </c>
      <c r="D10435" t="b">
        <f>IF(AND(D10431=FALSE,'Six-Yr Rule'!B16&gt;(Revenues!D15-Revenues!D9)),TRUE,FALSE)</f>
        <v>0</v>
      </c>
      <c r="E10435" t="s">
        <v>1637</v>
      </c>
      <c r="F10435" t="str">
        <f>INDEX(Lists!I:I,MATCH(Validation!E10435,Lists!G:G,0))</f>
        <v>Error</v>
      </c>
      <c r="G10435" t="str">
        <f>INDEX(Lists!H:H,MATCH(Validation!E10435,Lists!G:G,0))</f>
        <v>Amount exceeds the total of reported other increment.</v>
      </c>
      <c r="H10435" s="16" t="str">
        <f ca="1">IFERROR(IF(OR(NOT(D10435),F10435&lt;&gt;"Error"),"",A10435&amp;CELL("address",INDIRECT(B10435))),"")</f>
        <v/>
      </c>
      <c r="I10435" s="16" t="str">
        <f ca="1">IFERROR(IF(NOT(D10435),"",A10435&amp;CELL("address",INDIRECT(C10435))),"")</f>
        <v/>
      </c>
      <c r="J10435" s="17" t="str">
        <f>IFERROR(IF(NOT(D10435),"",A10435),"")</f>
        <v/>
      </c>
    </row>
    <row r="10436" spans="1:10" x14ac:dyDescent="0.25">
      <c r="A10436" t="s">
        <v>1073</v>
      </c>
      <c r="B10436" t="str">
        <f>ADDRESS(ROW('Six-Yr Rule'!B21),COLUMN('Six-Yr Rule'!B21),4)</f>
        <v>B21</v>
      </c>
      <c r="C10436" t="str">
        <f>ADDRESS(ROW('Six-Yr Rule'!C21),COLUMN('Six-Yr Rule'!C21),4)</f>
        <v>C21</v>
      </c>
      <c r="D10436" t="b">
        <f>IF(AND(D10424=FALSE,D10425=FALSE,D10426=FALSE,OR(ISBLANK('Six-Yr Rule'!B21),'Six-Yr Rule'!B21="")),TRUE,FALSE)</f>
        <v>1</v>
      </c>
      <c r="E10436" t="s">
        <v>1078</v>
      </c>
      <c r="F10436" t="str">
        <f>INDEX(Lists!I:I,MATCH(Validation!E10436,Lists!G:G,0))</f>
        <v>Error</v>
      </c>
      <c r="G10436" t="str">
        <f>INDEX(Lists!H:H,MATCH(Validation!E10436,Lists!G:G,0))</f>
        <v>If special law increased allowable pooling, enter additional %. Otherwise enter 0.</v>
      </c>
      <c r="H10436" s="16" t="str">
        <f t="shared" ca="1" si="1137"/>
        <v>Six-Yr Rule$B$21</v>
      </c>
      <c r="I10436" s="16" t="str">
        <f t="shared" ca="1" si="1138"/>
        <v>Six-Yr Rule$C$21</v>
      </c>
      <c r="J10436" s="17" t="str">
        <f t="shared" si="1139"/>
        <v>Six-Yr Rule</v>
      </c>
    </row>
    <row r="10437" spans="1:10" x14ac:dyDescent="0.25">
      <c r="A10437" t="s">
        <v>1073</v>
      </c>
      <c r="B10437" t="str">
        <f>ADDRESS(ROW('Six-Yr Rule'!B21),COLUMN('Six-Yr Rule'!B21),4)</f>
        <v>B21</v>
      </c>
      <c r="C10437" t="str">
        <f>ADDRESS(ROW('Six-Yr Rule'!C21),COLUMN('Six-Yr Rule'!C21),4)</f>
        <v>C21</v>
      </c>
      <c r="D10437" t="b">
        <f>IF('Six-Yr Rule'!B22&gt;100%,TRUE,FALSE)</f>
        <v>0</v>
      </c>
      <c r="E10437" t="s">
        <v>1080</v>
      </c>
      <c r="F10437" t="str">
        <f>INDEX(Lists!I:I,MATCH(Validation!E10437,Lists!G:G,0))</f>
        <v>Error</v>
      </c>
      <c r="G10437" t="str">
        <f>INDEX(Lists!H:H,MATCH(Validation!E10437,Lists!G:G,0))</f>
        <v>Total pooling cannot exceed 100%. Correct entry.</v>
      </c>
      <c r="H10437" s="16" t="str">
        <f t="shared" ca="1" si="1137"/>
        <v/>
      </c>
      <c r="I10437" s="16" t="str">
        <f t="shared" ca="1" si="1138"/>
        <v/>
      </c>
      <c r="J10437" s="17" t="str">
        <f t="shared" si="1139"/>
        <v/>
      </c>
    </row>
    <row r="10438" spans="1:10" x14ac:dyDescent="0.25">
      <c r="A10438" t="s">
        <v>1073</v>
      </c>
      <c r="B10438" t="str">
        <f>ADDRESS(ROW('Six-Yr Rule'!B21),COLUMN('Six-Yr Rule'!B21),4)</f>
        <v>B21</v>
      </c>
      <c r="C10438" t="str">
        <f>ADDRESS(ROW('Six-Yr Rule'!C21),COLUMN('Six-Yr Rule'!C21),4)</f>
        <v>C21</v>
      </c>
      <c r="D10438" t="b">
        <f>IF(AND('Six-Yr Rule'!B21&gt;0,TIF_SpecialLegislation_SpecialLegislationInd_Entry="No"),TRUE,FALSE)</f>
        <v>0</v>
      </c>
      <c r="E10438" t="s">
        <v>1082</v>
      </c>
      <c r="F10438" t="str">
        <f>INDEX(Lists!I:I,MATCH(Validation!E10438,Lists!G:G,0))</f>
        <v>Error</v>
      </c>
      <c r="G10438" t="str">
        <f>INDEX(Lists!H:H,MATCH(Validation!E10438,Lists!G:G,0))</f>
        <v>No special law was reported on the Spec Leg Tab. Correct entry here or report special law.</v>
      </c>
      <c r="H10438" s="16" t="str">
        <f t="shared" ca="1" si="1137"/>
        <v/>
      </c>
      <c r="I10438" s="16" t="str">
        <f t="shared" ca="1" si="1138"/>
        <v/>
      </c>
      <c r="J10438" s="17" t="str">
        <f t="shared" si="1139"/>
        <v/>
      </c>
    </row>
    <row r="10439" spans="1:10" x14ac:dyDescent="0.25">
      <c r="A10439" t="s">
        <v>1073</v>
      </c>
      <c r="B10439" t="str">
        <f>ADDRESS(ROW('Six-Yr Rule'!B35),COLUMN('Six-Yr Rule'!B35),4)</f>
        <v>B35</v>
      </c>
      <c r="C10439" t="str">
        <f>ADDRESS(ROW('Six-Yr Rule'!C35),COLUMN('Six-Yr Rule'!C35),4)</f>
        <v>C35</v>
      </c>
      <c r="D10439" t="b">
        <f ca="1">IF('Six-Yr Rule'!B35="Yes",TRUE,FALSE)</f>
        <v>1</v>
      </c>
      <c r="E10439" t="s">
        <v>1152</v>
      </c>
      <c r="F10439" t="str">
        <f>INDEX(Lists!I:I,MATCH(Validation!E10439,Lists!G:G,0))</f>
        <v>Alert</v>
      </c>
      <c r="G10439" t="str">
        <f>INDEX(Lists!H:H,MATCH(Validation!E10439,Lists!G:G,0))</f>
        <v>Decertification was likely required in 2024 unless a deferral applied. (See instructions)</v>
      </c>
      <c r="H10439" s="16" t="str">
        <f t="shared" ca="1" si="1137"/>
        <v/>
      </c>
      <c r="I10439" s="16" t="str">
        <f t="shared" ca="1" si="1138"/>
        <v>Six-Yr Rule$C$35</v>
      </c>
      <c r="J10439" s="17" t="str">
        <f t="shared" ca="1" si="1139"/>
        <v>Six-Yr Rule</v>
      </c>
    </row>
    <row r="10440" spans="1:10" x14ac:dyDescent="0.25">
      <c r="A10440" t="s">
        <v>1073</v>
      </c>
      <c r="B10440" t="str">
        <f>ADDRESS(ROW('Six-Yr Rule'!B36),COLUMN('Six-Yr Rule'!B36),4)</f>
        <v>B36</v>
      </c>
      <c r="C10440" t="str">
        <f>ADDRESS(ROW('Six-Yr Rule'!C36),COLUMN('Six-Yr Rule'!C36),4)</f>
        <v>C36</v>
      </c>
      <c r="D10440" t="b">
        <f ca="1">IF('Six-Yr Rule'!B35="No",TRUE,FALSE)</f>
        <v>0</v>
      </c>
      <c r="E10440" t="s">
        <v>1150</v>
      </c>
      <c r="F10440" t="str">
        <f>INDEX(Lists!I:I,MATCH(Validation!E10440,Lists!G:G,0))</f>
        <v>Information</v>
      </c>
      <c r="G10440" t="str">
        <f>INDEX(Lists!H:H,MATCH(Validation!E10440,Lists!G:G,0))</f>
        <v>Initial decertification trigger has not been reached; deferral section does not yet apply.</v>
      </c>
      <c r="H10440" s="16" t="str">
        <f t="shared" ref="H10440" ca="1" si="1146">IFERROR(IF(OR(NOT(D10440),F10440&lt;&gt;"Error"),"",A10440&amp;CELL("address",INDIRECT(B10440))),"")</f>
        <v/>
      </c>
      <c r="I10440" s="16" t="str">
        <f t="shared" ref="I10440" ca="1" si="1147">IFERROR(IF(NOT(D10440),"",A10440&amp;CELL("address",INDIRECT(C10440))),"")</f>
        <v/>
      </c>
      <c r="J10440" s="17" t="str">
        <f t="shared" ref="J10440" ca="1" si="1148">IFERROR(IF(NOT(D10440),"",A10440),"")</f>
        <v/>
      </c>
    </row>
    <row r="10441" spans="1:10" x14ac:dyDescent="0.25">
      <c r="A10441" t="s">
        <v>1073</v>
      </c>
      <c r="B10441" t="str">
        <f>ADDRESS(ROW('Six-Yr Rule'!B36),COLUMN('Six-Yr Rule'!B36),4)</f>
        <v>B36</v>
      </c>
      <c r="C10441" t="str">
        <f>ADDRESS(ROW('Six-Yr Rule'!C36),COLUMN('Six-Yr Rule'!C36),4)</f>
        <v>C36</v>
      </c>
      <c r="D10441" t="b">
        <f>IF(TIF_PAYG_PAYGInd_Entry="No",TRUE,FALSE)</f>
        <v>0</v>
      </c>
      <c r="E10441" t="s">
        <v>1144</v>
      </c>
      <c r="F10441" t="str">
        <f>INDEX(Lists!I:I,MATCH(Validation!E10441,Lists!G:G,0))</f>
        <v>Information</v>
      </c>
      <c r="G10441" t="str">
        <f>INDEX(Lists!H:H,MATCH(Validation!E10441,Lists!G:G,0))</f>
        <v xml:space="preserve">This district has no PAYG obligations so this section does not apply. </v>
      </c>
      <c r="H10441" s="16" t="str">
        <f t="shared" ca="1" si="1137"/>
        <v/>
      </c>
      <c r="I10441" s="16" t="str">
        <f t="shared" ca="1" si="1138"/>
        <v/>
      </c>
      <c r="J10441" s="17" t="str">
        <f t="shared" si="1139"/>
        <v/>
      </c>
    </row>
    <row r="10442" spans="1:10" x14ac:dyDescent="0.25">
      <c r="A10442" t="s">
        <v>1073</v>
      </c>
      <c r="B10442" t="str">
        <f>ADDRESS(ROW('Six-Yr Rule'!B37),COLUMN('Six-Yr Rule'!B37),4)</f>
        <v>B37</v>
      </c>
      <c r="C10442" t="str">
        <f>ADDRESS(ROW('Six-Yr Rule'!C37),COLUMN('Six-Yr Rule'!C37),4)</f>
        <v>C37</v>
      </c>
      <c r="D10442" t="b">
        <f ca="1">IF('Six-Yr Rule'!B35&lt;&gt;"Yes","",IF('Six-Yr Rule'!B37="Yes",TRUE,FALSE))</f>
        <v>1</v>
      </c>
      <c r="E10442" t="s">
        <v>1622</v>
      </c>
      <c r="F10442" t="str">
        <f>INDEX(Lists!I:I,MATCH(Validation!E10442,Lists!G:G,0))</f>
        <v>Information</v>
      </c>
      <c r="G10442" t="str">
        <f>INDEX(Lists!H:H,MATCH(Validation!E10442,Lists!G:G,0))</f>
        <v xml:space="preserve">Reporting of an outstanding PAYG signals that a deferral applies. Skip to parcel removal. </v>
      </c>
      <c r="H10442" s="16" t="str">
        <f t="shared" ca="1" si="1137"/>
        <v/>
      </c>
      <c r="I10442" s="16" t="str">
        <f t="shared" ca="1" si="1138"/>
        <v>Six-Yr Rule$C$37</v>
      </c>
      <c r="J10442" s="17" t="str">
        <f t="shared" ca="1" si="1139"/>
        <v>Six-Yr Rule</v>
      </c>
    </row>
    <row r="10443" spans="1:10" x14ac:dyDescent="0.25">
      <c r="A10443" t="s">
        <v>1073</v>
      </c>
      <c r="B10443" t="str">
        <f>ADDRESS(ROW('Six-Yr Rule'!B37),COLUMN('Six-Yr Rule'!B37),4)</f>
        <v>B37</v>
      </c>
      <c r="C10443" t="str">
        <f>ADDRESS(ROW('Six-Yr Rule'!C37),COLUMN('Six-Yr Rule'!C37),4)</f>
        <v>C37</v>
      </c>
      <c r="D10443" t="b">
        <f ca="1">IF('Six-Yr Rule'!B35&lt;&gt;"Yes","",IF('Six-Yr Rule'!B37="No",TRUE,FALSE))</f>
        <v>0</v>
      </c>
      <c r="E10443" t="s">
        <v>1621</v>
      </c>
      <c r="F10443" t="str">
        <f>INDEX(Lists!I:I,MATCH(Validation!E10443,Lists!G:G,0))</f>
        <v>Information</v>
      </c>
      <c r="G10443" t="str">
        <f>INDEX(Lists!H:H,MATCH(Validation!E10443,Lists!G:G,0))</f>
        <v xml:space="preserve">No remaining PAYG signals no deferral but a prior deferral might continue. See next. </v>
      </c>
      <c r="H10443" s="16" t="str">
        <f t="shared" ref="H10443" ca="1" si="1149">IFERROR(IF(OR(NOT(D10443),F10443&lt;&gt;"Error"),"",A10443&amp;CELL("address",INDIRECT(B10443))),"")</f>
        <v/>
      </c>
      <c r="I10443" s="16" t="str">
        <f t="shared" ref="I10443" ca="1" si="1150">IFERROR(IF(NOT(D10443),"",A10443&amp;CELL("address",INDIRECT(C10443))),"")</f>
        <v/>
      </c>
      <c r="J10443" s="17" t="str">
        <f t="shared" ref="J10443" ca="1" si="1151">IFERROR(IF(NOT(D10443),"",A10443),"")</f>
        <v/>
      </c>
    </row>
    <row r="10444" spans="1:10" x14ac:dyDescent="0.25">
      <c r="A10444" t="s">
        <v>1073</v>
      </c>
      <c r="B10444" t="str">
        <f>ADDRESS(ROW('Six-Yr Rule'!B38),COLUMN('Six-Yr Rule'!B38),4)</f>
        <v>B38</v>
      </c>
      <c r="C10444" t="str">
        <f>ADDRESS(ROW('Six-Yr Rule'!C38),COLUMN('Six-Yr Rule'!C38),4)</f>
        <v>C38</v>
      </c>
      <c r="D10444" t="str">
        <f>IF('Six-Yr Rule'!B37&lt;&gt;"No","",IF('Six-Yr Rule'!B38="Yes",TRUE,FALSE))</f>
        <v/>
      </c>
      <c r="E10444" t="s">
        <v>1623</v>
      </c>
      <c r="F10444" t="str">
        <f>INDEX(Lists!I:I,MATCH(Validation!E10444,Lists!G:G,0))</f>
        <v>Information</v>
      </c>
      <c r="G10444" t="str">
        <f>INDEX(Lists!H:H,MATCH(Validation!E10444,Lists!G:G,0))</f>
        <v>Reporting implies a prior deferral applied but verify and see next.</v>
      </c>
      <c r="H10444" s="16" t="str">
        <f t="shared" ref="H10444" ca="1" si="1152">IFERROR(IF(OR(NOT(D10444),F10444&lt;&gt;"Error"),"",A10444&amp;CELL("address",INDIRECT(B10444))),"")</f>
        <v/>
      </c>
      <c r="I10444" s="16" t="str">
        <f t="shared" ref="I10444" ca="1" si="1153">IFERROR(IF(NOT(D10444),"",A10444&amp;CELL("address",INDIRECT(C10444))),"")</f>
        <v/>
      </c>
      <c r="J10444" s="17" t="str">
        <f t="shared" ref="J10444" si="1154">IFERROR(IF(NOT(D10444),"",A10444),"")</f>
        <v/>
      </c>
    </row>
    <row r="10445" spans="1:10" x14ac:dyDescent="0.25">
      <c r="A10445" t="s">
        <v>1073</v>
      </c>
      <c r="B10445" t="str">
        <f>ADDRESS(ROW('Six-Yr Rule'!B38),COLUMN('Six-Yr Rule'!B38),4)</f>
        <v>B38</v>
      </c>
      <c r="C10445" t="str">
        <f>ADDRESS(ROW('Six-Yr Rule'!C38),COLUMN('Six-Yr Rule'!C38),4)</f>
        <v>C38</v>
      </c>
      <c r="D10445" t="str">
        <f>IF('Six-Yr Rule'!B37&lt;&gt;"No","",IF('Six-Yr Rule'!B38="No",TRUE,FALSE))</f>
        <v/>
      </c>
      <c r="E10445" t="s">
        <v>1624</v>
      </c>
      <c r="F10445" t="str">
        <f>INDEX(Lists!I:I,MATCH(Validation!E10445,Lists!G:G,0))</f>
        <v>Alert</v>
      </c>
      <c r="G10445" t="str">
        <f>INDEX(Lists!H:H,MATCH(Validation!E10445,Lists!G:G,0))</f>
        <v xml:space="preserve">No remaining PAYG and no prior deferral suggest no deferral and decertification applies. </v>
      </c>
      <c r="H10445" s="16" t="str">
        <f t="shared" ca="1" si="1137"/>
        <v/>
      </c>
      <c r="I10445" s="16" t="str">
        <f t="shared" ca="1" si="1138"/>
        <v/>
      </c>
      <c r="J10445" s="17" t="str">
        <f t="shared" si="1139"/>
        <v/>
      </c>
    </row>
    <row r="10446" spans="1:10" x14ac:dyDescent="0.25">
      <c r="A10446" t="s">
        <v>1073</v>
      </c>
      <c r="B10446" t="str">
        <f>ADDRESS(ROW('Six-Yr Rule'!B39),COLUMN('Six-Yr Rule'!B39),4)</f>
        <v>B39</v>
      </c>
      <c r="C10446" t="str">
        <f>ADDRESS(ROW('Six-Yr Rule'!C39),COLUMN('Six-Yr Rule'!C39),4)</f>
        <v>C39</v>
      </c>
      <c r="D10446" t="b">
        <f>IF('Six-Yr Rule'!B38&lt;&gt;"Yes",FALSE,IF('Six-Yr Rule'!B39="Yes",TRUE,FALSE))</f>
        <v>0</v>
      </c>
      <c r="E10446" t="s">
        <v>1627</v>
      </c>
      <c r="F10446" t="str">
        <f>INDEX(Lists!I:I,MATCH(Validation!E10446,Lists!G:G,0))</f>
        <v>Information</v>
      </c>
      <c r="G10446" t="str">
        <f>INDEX(Lists!H:H,MATCH(Validation!E10446,Lists!G:G,0))</f>
        <v>Reporting implies remaining in-dist debt and continued deferral but verify and see next.</v>
      </c>
      <c r="H10446" s="16" t="str">
        <f t="shared" ref="H10446:H10448" ca="1" si="1155">IFERROR(IF(OR(NOT(D10446),F10446&lt;&gt;"Error"),"",A10446&amp;CELL("address",INDIRECT(B10446))),"")</f>
        <v/>
      </c>
      <c r="I10446" s="16" t="str">
        <f t="shared" ref="I10446:I10448" ca="1" si="1156">IFERROR(IF(NOT(D10446),"",A10446&amp;CELL("address",INDIRECT(C10446))),"")</f>
        <v/>
      </c>
      <c r="J10446" s="17" t="str">
        <f t="shared" ref="J10446:J10448" si="1157">IFERROR(IF(NOT(D10446),"",A10446),"")</f>
        <v/>
      </c>
    </row>
    <row r="10447" spans="1:10" x14ac:dyDescent="0.25">
      <c r="A10447" t="s">
        <v>1073</v>
      </c>
      <c r="B10447" t="str">
        <f>ADDRESS(ROW('Six-Yr Rule'!B39),COLUMN('Six-Yr Rule'!B39),4)</f>
        <v>B39</v>
      </c>
      <c r="C10447" t="str">
        <f>ADDRESS(ROW('Six-Yr Rule'!C39),COLUMN('Six-Yr Rule'!C39),4)</f>
        <v>C39</v>
      </c>
      <c r="D10447" t="b">
        <f>IF('Six-Yr Rule'!B38&lt;&gt;"Yes",FALSE,IF('Six-Yr Rule'!B39="No",TRUE,FALSE))</f>
        <v>0</v>
      </c>
      <c r="E10447" t="s">
        <v>1628</v>
      </c>
      <c r="F10447" t="str">
        <f>INDEX(Lists!I:I,MATCH(Validation!E10447,Lists!G:G,0))</f>
        <v>Alert</v>
      </c>
      <c r="G10447" t="str">
        <f>INDEX(Lists!H:H,MATCH(Validation!E10447,Lists!G:G,0))</f>
        <v>No remaining in-district debt suggests deferral has ended and decertification applies.</v>
      </c>
      <c r="H10447" s="16" t="str">
        <f t="shared" ref="H10447" ca="1" si="1158">IFERROR(IF(OR(NOT(D10447),F10447&lt;&gt;"Error"),"",A10447&amp;CELL("address",INDIRECT(B10447))),"")</f>
        <v/>
      </c>
      <c r="I10447" s="16" t="str">
        <f t="shared" ref="I10447" ca="1" si="1159">IFERROR(IF(NOT(D10447),"",A10447&amp;CELL("address",INDIRECT(C10447))),"")</f>
        <v/>
      </c>
      <c r="J10447" s="17" t="str">
        <f t="shared" ref="J10447" si="1160">IFERROR(IF(NOT(D10447),"",A10447),"")</f>
        <v/>
      </c>
    </row>
    <row r="10448" spans="1:10" x14ac:dyDescent="0.25">
      <c r="A10448" t="s">
        <v>1073</v>
      </c>
      <c r="B10448" t="str">
        <f>ADDRESS(ROW('Six-Yr Rule'!B40),COLUMN('Six-Yr Rule'!B40),4)</f>
        <v>B40</v>
      </c>
      <c r="C10448" t="str">
        <f>ADDRESS(ROW('Six-Yr Rule'!C40),COLUMN('Six-Yr Rule'!C40),4)</f>
        <v>C40</v>
      </c>
      <c r="D10448" t="b">
        <f>IF('Six-Yr Rule'!B39&lt;&gt;"Yes",FALSE,IF('Six-Yr Rule'!B40="Yes",TRUE,FALSE))</f>
        <v>0</v>
      </c>
      <c r="E10448" t="s">
        <v>1632</v>
      </c>
      <c r="F10448" t="str">
        <f>INDEX(Lists!I:I,MATCH(Validation!E10448,Lists!G:G,0))</f>
        <v>Alert</v>
      </c>
      <c r="G10448" t="str">
        <f>INDEX(Lists!H:H,MATCH(Validation!E10448,Lists!G:G,0))</f>
        <v>Reporting suggests sufficient revenue to end deferral and decertification applies.</v>
      </c>
      <c r="H10448" s="16" t="str">
        <f t="shared" ca="1" si="1155"/>
        <v/>
      </c>
      <c r="I10448" s="16" t="str">
        <f t="shared" ca="1" si="1156"/>
        <v/>
      </c>
      <c r="J10448" s="17" t="str">
        <f t="shared" si="1157"/>
        <v/>
      </c>
    </row>
    <row r="10449" spans="1:10" x14ac:dyDescent="0.25">
      <c r="A10449" t="s">
        <v>1073</v>
      </c>
      <c r="B10449" t="str">
        <f>ADDRESS(ROW('Six-Yr Rule'!B40),COLUMN('Six-Yr Rule'!B40),4)</f>
        <v>B40</v>
      </c>
      <c r="C10449" t="str">
        <f>ADDRESS(ROW('Six-Yr Rule'!C40),COLUMN('Six-Yr Rule'!C40),4)</f>
        <v>C40</v>
      </c>
      <c r="D10449" t="b">
        <f>IF('Six-Yr Rule'!B39&lt;&gt;"Yes",FALSE,IF('Six-Yr Rule'!B40="No",TRUE,FALSE))</f>
        <v>0</v>
      </c>
      <c r="E10449" t="s">
        <v>1633</v>
      </c>
      <c r="F10449" t="str">
        <f>INDEX(Lists!I:I,MATCH(Validation!E10449,Lists!G:G,0))</f>
        <v>Information</v>
      </c>
      <c r="G10449" t="str">
        <f>INDEX(Lists!H:H,MATCH(Validation!E10449,Lists!G:G,0))</f>
        <v>Reporting suggests revenues insufficient and continued deferral but verify.</v>
      </c>
      <c r="H10449" s="16" t="str">
        <f t="shared" ref="H10449" ca="1" si="1161">IFERROR(IF(OR(NOT(D10449),F10449&lt;&gt;"Error"),"",A10449&amp;CELL("address",INDIRECT(B10449))),"")</f>
        <v/>
      </c>
      <c r="I10449" s="16" t="str">
        <f t="shared" ref="I10449" ca="1" si="1162">IFERROR(IF(NOT(D10449),"",A10449&amp;CELL("address",INDIRECT(C10449))),"")</f>
        <v/>
      </c>
      <c r="J10449" s="17" t="str">
        <f t="shared" ref="J10449" si="1163">IFERROR(IF(NOT(D10449),"",A10449),"")</f>
        <v/>
      </c>
    </row>
    <row r="10450" spans="1:10" x14ac:dyDescent="0.25">
      <c r="A10450" t="s">
        <v>1073</v>
      </c>
      <c r="B10450" t="str">
        <f>ADDRESS(ROW('Six-Yr Rule'!B42),COLUMN('Six-Yr Rule'!B42),4)</f>
        <v>B42</v>
      </c>
      <c r="C10450" t="str">
        <f>ADDRESS(ROW('Six-Yr Rule'!C42),COLUMN('Six-Yr Rule'!C42),4)</f>
        <v>C42</v>
      </c>
      <c r="D10450" t="b">
        <f>IF(AND('Six-Yr Rule'!B42="Select One",'Six-Yr Rule'!B9&lt;=Year_DestinationYearID),TRUE,FALSE)</f>
        <v>1</v>
      </c>
      <c r="E10450" t="s">
        <v>73</v>
      </c>
      <c r="F10450" t="str">
        <f>INDEX(Lists!I:I,MATCH(Validation!E10450,Lists!G:G,0))</f>
        <v>Error</v>
      </c>
      <c r="G10450" t="str">
        <f>INDEX(Lists!H:H,MATCH(Validation!E10450,Lists!G:G,0))</f>
        <v>You must select Yes or No.</v>
      </c>
      <c r="H10450" s="16" t="str">
        <f t="shared" ref="H10450:H10452" ca="1" si="1164">IFERROR(IF(OR(NOT(D10450),F10450&lt;&gt;"Error"),"",A10450&amp;CELL("address",INDIRECT(B10450))),"")</f>
        <v>Six-Yr Rule$B$42</v>
      </c>
      <c r="I10450" s="16" t="str">
        <f t="shared" ref="I10450:I10452" ca="1" si="1165">IFERROR(IF(NOT(D10450),"",A10450&amp;CELL("address",INDIRECT(C10450))),"")</f>
        <v>Six-Yr Rule$C$42</v>
      </c>
      <c r="J10450" s="17" t="str">
        <f t="shared" ref="J10450:J10452" si="1166">IFERROR(IF(NOT(D10450),"",A10450),"")</f>
        <v>Six-Yr Rule</v>
      </c>
    </row>
    <row r="10451" spans="1:10" x14ac:dyDescent="0.25">
      <c r="A10451" t="s">
        <v>1073</v>
      </c>
      <c r="B10451" t="str">
        <f>ADDRESS(ROW('Six-Yr Rule'!B42),COLUMN('Six-Yr Rule'!B42),4)</f>
        <v>B42</v>
      </c>
      <c r="C10451" t="str">
        <f>ADDRESS(ROW('Six-Yr Rule'!C42),COLUMN('Six-Yr Rule'!C42),4)</f>
        <v>C42</v>
      </c>
      <c r="D10451" t="b">
        <f>IF('Six-Yr Rule'!B42="Yes",TRUE,FALSE)</f>
        <v>0</v>
      </c>
      <c r="E10451" t="s">
        <v>1643</v>
      </c>
      <c r="F10451" t="str">
        <f>INDEX(Lists!I:I,MATCH(Validation!E10451,Lists!G:G,0))</f>
        <v>Alert</v>
      </c>
      <c r="G10451" t="str">
        <f>INDEX(Lists!H:H,MATCH(Validation!E10451,Lists!G:G,0))</f>
        <v>Parcel removal may be required. (See instructions)</v>
      </c>
      <c r="H10451" s="16" t="str">
        <f t="shared" ref="H10451" ca="1" si="1167">IFERROR(IF(OR(NOT(D10451),F10451&lt;&gt;"Error"),"",A10451&amp;CELL("address",INDIRECT(B10451))),"")</f>
        <v/>
      </c>
      <c r="I10451" s="16" t="str">
        <f t="shared" ref="I10451" ca="1" si="1168">IFERROR(IF(NOT(D10451),"",A10451&amp;CELL("address",INDIRECT(C10451))),"")</f>
        <v/>
      </c>
      <c r="J10451" s="17" t="str">
        <f t="shared" ref="J10451" si="1169">IFERROR(IF(NOT(D10451),"",A10451),"")</f>
        <v/>
      </c>
    </row>
    <row r="10452" spans="1:10" x14ac:dyDescent="0.25">
      <c r="A10452" t="s">
        <v>1073</v>
      </c>
      <c r="B10452" t="str">
        <f>ADDRESS(ROW('Six-Yr Rule'!B42),COLUMN('Six-Yr Rule'!B42),4)</f>
        <v>B42</v>
      </c>
      <c r="C10452" t="str">
        <f>ADDRESS(ROW('Six-Yr Rule'!C42),COLUMN('Six-Yr Rule'!C42),4)</f>
        <v>C42</v>
      </c>
      <c r="D10452" t="b">
        <f>IF('Six-Yr Rule'!B42="No",TRUE,FALSE)</f>
        <v>0</v>
      </c>
      <c r="E10452" t="s">
        <v>1644</v>
      </c>
      <c r="F10452" t="str">
        <f>INDEX(Lists!I:I,MATCH(Validation!E10452,Lists!G:G,0))</f>
        <v>Information</v>
      </c>
      <c r="G10452" t="str">
        <f>INDEX(Lists!H:H,MATCH(Validation!E10452,Lists!G:G,0))</f>
        <v>If correct, no parcel removals expected. (Note any alerts on the Parcel Tab and verify.)</v>
      </c>
      <c r="H10452" s="16" t="str">
        <f t="shared" ca="1" si="1164"/>
        <v/>
      </c>
      <c r="I10452" s="16" t="str">
        <f t="shared" ca="1" si="1165"/>
        <v/>
      </c>
      <c r="J10452" s="17" t="str">
        <f t="shared" si="1166"/>
        <v/>
      </c>
    </row>
    <row r="10453" spans="1:10" x14ac:dyDescent="0.25">
      <c r="A10453" t="s">
        <v>1073</v>
      </c>
      <c r="B10453" t="str">
        <f>ADDRESS(ROW(TIF_DistrictYear_UserCommentsSixYrRule),COLUMN(TIF_DistrictYear_UserCommentsSixYrRule),4)</f>
        <v>A44</v>
      </c>
      <c r="C10453" t="str">
        <f>ADDRESS(ROW('Six-Yr Rule'!C$43),COLUMN('Six-Yr Rule'!C$43),4)</f>
        <v>C43</v>
      </c>
      <c r="D10453" t="b" cm="1">
        <f t="array" aca="1" ref="D10453" ca="1">IF(ISBLANK(INDIRECT("'"&amp;A10453&amp;"'!"&amp;B10453)),FALSE,IF(LEN(TRIM(CLEAN(INDIRECT("'"&amp;A10453&amp;"'!"&amp;B10453))))&lt;15,TRUE,FALSE))</f>
        <v>0</v>
      </c>
      <c r="E10453" t="s">
        <v>635</v>
      </c>
      <c r="F10453" t="str">
        <f>INDEX(Lists!I:I,MATCH(Validation!E10453,Lists!G:G,0))</f>
        <v>Error</v>
      </c>
      <c r="G10453" t="str">
        <f>INDEX(Lists!H:H,MATCH(Validation!E10453,Lists!G:G,0))</f>
        <v>Insufficient information. Please provide a longer comment.</v>
      </c>
      <c r="H10453" s="16" t="str">
        <f ca="1">IFERROR(IF(OR(NOT(D10453),F10453&lt;&gt;"Error"),"",A10453&amp;CELL("address",INDIRECT(B10453))),"")</f>
        <v/>
      </c>
      <c r="I10453" s="16" t="str">
        <f ca="1">IFERROR(IF(NOT(D10453),"",A10453&amp;CELL("address",INDIRECT(C10453))),"")</f>
        <v/>
      </c>
      <c r="J10453" s="17" t="str">
        <f ca="1">IFERROR(IF(NOT(D10453),"",A10453),"")</f>
        <v/>
      </c>
    </row>
    <row r="10454" spans="1:10" x14ac:dyDescent="0.25">
      <c r="A10454" t="s">
        <v>1073</v>
      </c>
      <c r="B10454" t="str">
        <f>ADDRESS(ROW(TIF_DistrictYear_UserCommentsSixYrRule),COLUMN(TIF_DistrictYear_UserCommentsSixYrRule),4)</f>
        <v>A44</v>
      </c>
      <c r="C10454" t="str">
        <f>ADDRESS(ROW('Six-Yr Rule'!C$43),COLUMN('Six-Yr Rule'!C$43),4)</f>
        <v>C43</v>
      </c>
      <c r="D10454" t="b" cm="1">
        <f t="array" aca="1" ref="D10454" ca="1">IF(LEN(INDIRECT("'"&amp;A10454&amp;"'!"&amp;B10454))&gt;500,TRUE,FALSE)</f>
        <v>0</v>
      </c>
      <c r="E10454" t="s">
        <v>636</v>
      </c>
      <c r="F10454" t="str">
        <f>INDEX(Lists!I:I,MATCH(Validation!E10454,Lists!G:G,0))</f>
        <v>Error</v>
      </c>
      <c r="G10454" t="str">
        <f>INDEX(Lists!H:H,MATCH(Validation!E10454,Lists!G:G,0))</f>
        <v>Comments cannot exceed 500 characters. (Limit length. Send email to further explain.)</v>
      </c>
      <c r="H10454" s="16" t="str">
        <f ca="1">IFERROR(IF(OR(NOT(D10454),F10454&lt;&gt;"Error"),"",A10454&amp;CELL("address",INDIRECT(B10454))),"")</f>
        <v/>
      </c>
      <c r="I10454" s="16" t="str">
        <f ca="1">IFERROR(IF(NOT(D10454),"",A10454&amp;CELL("address",INDIRECT(C10454))),"")</f>
        <v/>
      </c>
      <c r="J10454" s="17" t="str">
        <f ca="1">IFERROR(IF(NOT(D10454),"",A10454),"")</f>
        <v/>
      </c>
    </row>
  </sheetData>
  <autoFilter ref="A1:A8553" xr:uid="{484C9712-F7BE-4C03-9210-5EF30302EE22}"/>
  <sortState xmlns:xlrd2="http://schemas.microsoft.com/office/spreadsheetml/2017/richdata2" ref="A8488:C8514">
    <sortCondition ref="B8488:B8514"/>
  </sortState>
  <phoneticPr fontId="7" type="noConversion"/>
  <pageMargins left="0.7" right="0.7" top="0.75" bottom="0.75" header="0.3" footer="0.3"/>
  <pageSetup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ED474E-D239-4532-B63D-F868959CB1C4}">
  <sheetPr>
    <pageSetUpPr fitToPage="1"/>
  </sheetPr>
  <dimension ref="A1:G21"/>
  <sheetViews>
    <sheetView showGridLines="0" tabSelected="1" workbookViewId="0"/>
  </sheetViews>
  <sheetFormatPr defaultColWidth="0" defaultRowHeight="15" x14ac:dyDescent="0.25"/>
  <cols>
    <col min="1" max="1" width="150.7109375" style="136" customWidth="1"/>
    <col min="2" max="2" width="14.7109375" style="136" hidden="1" customWidth="1"/>
    <col min="3" max="3" width="80.85546875" style="136" hidden="1" customWidth="1"/>
    <col min="4" max="4" width="14.7109375" style="136" hidden="1" customWidth="1"/>
    <col min="5" max="7" width="9.140625" style="78" hidden="1" customWidth="1"/>
    <col min="8" max="16384" width="9.140625" style="136" hidden="1"/>
  </cols>
  <sheetData>
    <row r="1" spans="1:7" s="59" customFormat="1" ht="24.95" customHeight="1" x14ac:dyDescent="0.25">
      <c r="A1" s="59" t="str">
        <f>_xlfn.CONCAT("Office of the State Auditor  -  TIF Annual Reporting Form  -  ",Year_DestinationYearID)</f>
        <v>Office of the State Auditor  -  TIF Annual Reporting Form  -  2024</v>
      </c>
      <c r="C1" s="60"/>
      <c r="E1" s="78"/>
      <c r="F1" s="78"/>
      <c r="G1" s="78"/>
    </row>
    <row r="2" spans="1:7" s="62" customFormat="1" ht="20.100000000000001" customHeight="1" x14ac:dyDescent="0.25">
      <c r="A2" s="58" t="str">
        <f>_xlfn.CONCAT(GovEntity_GovEntityName_Parent,"  -  ",GovEntity_GovEntityName)</f>
        <v>Spruce City  -  TIF 1-1 Downtown Redev</v>
      </c>
      <c r="C2" s="63"/>
      <c r="E2" s="78"/>
      <c r="F2" s="78"/>
      <c r="G2" s="78"/>
    </row>
    <row r="3" spans="1:7" s="68" customFormat="1" ht="24.95" customHeight="1" x14ac:dyDescent="0.3">
      <c r="A3" s="65" t="s">
        <v>296</v>
      </c>
      <c r="B3" s="66"/>
      <c r="C3" s="67"/>
      <c r="E3" s="78"/>
      <c r="F3" s="78"/>
      <c r="G3" s="78"/>
    </row>
    <row r="4" spans="1:7" s="134" customFormat="1" x14ac:dyDescent="0.25">
      <c r="A4" s="133" t="s">
        <v>1175</v>
      </c>
      <c r="E4" s="78"/>
      <c r="F4" s="78"/>
      <c r="G4" s="78"/>
    </row>
    <row r="5" spans="1:7" ht="20.100000000000001" customHeight="1" x14ac:dyDescent="0.25">
      <c r="A5" s="135" t="s">
        <v>991</v>
      </c>
    </row>
    <row r="6" spans="1:7" ht="15" customHeight="1" x14ac:dyDescent="0.25">
      <c r="A6" s="137" t="s">
        <v>995</v>
      </c>
    </row>
    <row r="7" spans="1:7" ht="15" customHeight="1" x14ac:dyDescent="0.25">
      <c r="A7" s="138" t="s">
        <v>992</v>
      </c>
      <c r="B7" s="139"/>
      <c r="C7" s="139"/>
      <c r="D7" s="139"/>
    </row>
    <row r="8" spans="1:7" ht="15" customHeight="1" x14ac:dyDescent="0.25">
      <c r="A8" s="140" t="s">
        <v>581</v>
      </c>
      <c r="B8" s="139"/>
      <c r="C8" s="139"/>
      <c r="D8" s="139"/>
    </row>
    <row r="9" spans="1:7" ht="15" customHeight="1" x14ac:dyDescent="0.25">
      <c r="A9" s="138" t="s">
        <v>580</v>
      </c>
      <c r="B9" s="139"/>
      <c r="C9" s="139"/>
      <c r="D9" s="139"/>
    </row>
    <row r="10" spans="1:7" ht="20.100000000000001" customHeight="1" x14ac:dyDescent="0.25">
      <c r="A10" s="135" t="s">
        <v>579</v>
      </c>
    </row>
    <row r="11" spans="1:7" ht="15" customHeight="1" x14ac:dyDescent="0.25">
      <c r="A11" s="141" t="str">
        <f>"The TIF Annual Reporting Form for the reporting year "&amp;Year_DestinationYearID&amp;" and is due by August 1, "&amp; Year_DestinationYearID+1&amp;"."</f>
        <v>The TIF Annual Reporting Form for the reporting year 2024 and is due by August 1, 2025.</v>
      </c>
      <c r="B11" s="139"/>
      <c r="C11" s="139"/>
      <c r="D11" s="139"/>
    </row>
    <row r="12" spans="1:7" ht="75" customHeight="1" x14ac:dyDescent="0.25">
      <c r="A12" s="140" t="s">
        <v>996</v>
      </c>
      <c r="B12" s="139"/>
      <c r="C12" s="139"/>
      <c r="D12" s="139"/>
    </row>
    <row r="13" spans="1:7" s="66" customFormat="1" ht="20.100000000000001" customHeight="1" x14ac:dyDescent="0.25">
      <c r="A13" s="74" t="s">
        <v>990</v>
      </c>
      <c r="B13" s="81"/>
      <c r="C13" s="77"/>
      <c r="E13" s="78"/>
      <c r="F13" s="78"/>
      <c r="G13" s="78"/>
    </row>
    <row r="14" spans="1:7" ht="75" customHeight="1" x14ac:dyDescent="0.25">
      <c r="A14" s="140" t="s">
        <v>1176</v>
      </c>
      <c r="B14" s="139"/>
      <c r="C14" s="139"/>
      <c r="D14" s="139"/>
    </row>
    <row r="15" spans="1:7" ht="20.100000000000001" customHeight="1" x14ac:dyDescent="0.25">
      <c r="A15" s="135" t="s">
        <v>1173</v>
      </c>
    </row>
    <row r="16" spans="1:7" ht="90" customHeight="1" x14ac:dyDescent="0.25">
      <c r="A16" s="140" t="s">
        <v>1174</v>
      </c>
      <c r="B16" s="139"/>
      <c r="C16" s="139"/>
      <c r="D16" s="139"/>
    </row>
    <row r="17" spans="1:4" ht="20.100000000000001" customHeight="1" x14ac:dyDescent="0.25">
      <c r="A17" s="135" t="s">
        <v>582</v>
      </c>
    </row>
    <row r="18" spans="1:4" ht="45" customHeight="1" x14ac:dyDescent="0.25">
      <c r="A18" s="140" t="s">
        <v>1681</v>
      </c>
      <c r="B18" s="139"/>
      <c r="C18" s="139"/>
      <c r="D18" s="139"/>
    </row>
    <row r="19" spans="1:4" x14ac:dyDescent="0.25">
      <c r="A19" s="140" t="s">
        <v>994</v>
      </c>
      <c r="B19" s="139"/>
      <c r="C19" s="139"/>
      <c r="D19" s="139"/>
    </row>
    <row r="20" spans="1:4" ht="15" customHeight="1" x14ac:dyDescent="0.25">
      <c r="A20" s="138" t="s">
        <v>993</v>
      </c>
      <c r="B20" s="139"/>
      <c r="C20" s="139"/>
      <c r="D20" s="139"/>
    </row>
    <row r="21" spans="1:4" ht="15" customHeight="1" x14ac:dyDescent="0.25">
      <c r="A21" s="142" t="str">
        <f>HYPERLINK("#'Dist Info'!A7","Click here to continue to the Dist Info Tab")</f>
        <v>Click here to continue to the Dist Info Tab</v>
      </c>
    </row>
  </sheetData>
  <sheetProtection algorithmName="SHA-512" hashValue="YchZnA9lhDcWor0bygWHcnUp4MNZG3FzzE4RZTr61k04dVJ6+hypo+9dwux5h4I698w5n5NvHTxwM3K5q6eXCg==" saltValue="oPZJivPDOLGd00OpbmX8MA==" spinCount="100000" sheet="1" objects="1" scenarios="1"/>
  <conditionalFormatting sqref="A2">
    <cfRule type="expression" dxfId="711" priority="35">
      <formula>$D2="Error"</formula>
    </cfRule>
    <cfRule type="expression" dxfId="710" priority="37">
      <formula>$D2="Exclude"</formula>
    </cfRule>
  </conditionalFormatting>
  <conditionalFormatting sqref="A7">
    <cfRule type="expression" dxfId="709" priority="329">
      <formula>$D1048576="Exclude"</formula>
    </cfRule>
    <cfRule type="expression" dxfId="708" priority="330">
      <formula>$D1048576="Error"</formula>
    </cfRule>
  </conditionalFormatting>
  <conditionalFormatting sqref="A8">
    <cfRule type="expression" dxfId="707" priority="16">
      <formula>$D1048572="Exclude"</formula>
    </cfRule>
    <cfRule type="expression" dxfId="706" priority="17">
      <formula>$D1048572="Error"</formula>
    </cfRule>
  </conditionalFormatting>
  <conditionalFormatting sqref="A9">
    <cfRule type="expression" dxfId="705" priority="327">
      <formula>#REF!="Exclude"</formula>
    </cfRule>
    <cfRule type="expression" dxfId="704" priority="328">
      <formula>#REF!="Error"</formula>
    </cfRule>
  </conditionalFormatting>
  <conditionalFormatting sqref="A11">
    <cfRule type="expression" dxfId="703" priority="243">
      <formula>$D4="Error"</formula>
    </cfRule>
    <cfRule type="expression" dxfId="702" priority="241">
      <formula>$D4="Exclude"</formula>
    </cfRule>
  </conditionalFormatting>
  <conditionalFormatting sqref="A12">
    <cfRule type="expression" dxfId="701" priority="222">
      <formula>#REF!="Error"</formula>
    </cfRule>
    <cfRule type="expression" dxfId="700" priority="219">
      <formula>#REF!="Exclude"</formula>
    </cfRule>
  </conditionalFormatting>
  <conditionalFormatting sqref="A14">
    <cfRule type="expression" dxfId="699" priority="321">
      <formula>$D3="Exclude"</formula>
    </cfRule>
    <cfRule type="expression" dxfId="698" priority="323">
      <formula>$D3="Error"</formula>
    </cfRule>
  </conditionalFormatting>
  <conditionalFormatting sqref="A19">
    <cfRule type="expression" dxfId="697" priority="21">
      <formula>$D1048574="Exclude"</formula>
    </cfRule>
    <cfRule type="expression" dxfId="696" priority="22">
      <formula>$D1048574="Error"</formula>
    </cfRule>
  </conditionalFormatting>
  <conditionalFormatting sqref="A20">
    <cfRule type="expression" dxfId="695" priority="9">
      <formula>$D2="Exclude"</formula>
    </cfRule>
    <cfRule type="expression" dxfId="694" priority="10">
      <formula>$D2="Error"</formula>
    </cfRule>
  </conditionalFormatting>
  <conditionalFormatting sqref="B5:B6">
    <cfRule type="expression" dxfId="693" priority="26">
      <formula>$B5&lt;&gt;TRUNC($B5,0)</formula>
    </cfRule>
    <cfRule type="expression" dxfId="692" priority="27">
      <formula>$D5="Error"</formula>
    </cfRule>
  </conditionalFormatting>
  <conditionalFormatting sqref="B10 B17 B21 A22:B1048576">
    <cfRule type="expression" dxfId="691" priority="47">
      <formula>$D10="Error"</formula>
    </cfRule>
  </conditionalFormatting>
  <conditionalFormatting sqref="B10 B17 B21:B1048576">
    <cfRule type="expression" dxfId="690" priority="45">
      <formula>$B10&lt;&gt;TRUNC($B10,0)</formula>
    </cfRule>
  </conditionalFormatting>
  <conditionalFormatting sqref="B15">
    <cfRule type="expression" dxfId="687" priority="1">
      <formula>$B15&lt;&gt;TRUNC($B15,0)</formula>
    </cfRule>
    <cfRule type="expression" dxfId="686" priority="3">
      <formula>$D15="Error"</formula>
    </cfRule>
  </conditionalFormatting>
  <conditionalFormatting sqref="B5:D6 B10:D10 B17:D17 B21:D21 A22:D1048576 C4:D4">
    <cfRule type="expression" dxfId="685" priority="51">
      <formula>$D4="Exclude"</formula>
    </cfRule>
  </conditionalFormatting>
  <conditionalFormatting sqref="B15:D15">
    <cfRule type="expression" dxfId="684" priority="7">
      <formula>$D15="Exclude"</formula>
    </cfRule>
  </conditionalFormatting>
  <conditionalFormatting sqref="C4:D6 C10:D10 C17:D17 C21:D1048576">
    <cfRule type="expression" dxfId="683" priority="46">
      <formula>$D4="Information"</formula>
    </cfRule>
    <cfRule type="expression" dxfId="682" priority="48">
      <formula>$D4="Error"</formula>
    </cfRule>
    <cfRule type="expression" dxfId="681" priority="49">
      <formula>$D4="Alert"</formula>
    </cfRule>
  </conditionalFormatting>
  <conditionalFormatting sqref="C13:D13">
    <cfRule type="expression" dxfId="680" priority="32">
      <formula>$D13="Error"</formula>
    </cfRule>
    <cfRule type="expression" dxfId="679" priority="31">
      <formula>$D13="Information"</formula>
    </cfRule>
    <cfRule type="expression" dxfId="678" priority="33">
      <formula>$D13="Alert"</formula>
    </cfRule>
    <cfRule type="expression" dxfId="677" priority="34">
      <formula>$D13="Exclude"</formula>
    </cfRule>
  </conditionalFormatting>
  <conditionalFormatting sqref="C15:D15">
    <cfRule type="expression" dxfId="676" priority="5">
      <formula>$D15="Alert"</formula>
    </cfRule>
    <cfRule type="expression" dxfId="675" priority="4">
      <formula>$D15="Error"</formula>
    </cfRule>
    <cfRule type="expression" dxfId="674" priority="2">
      <formula>$D15="Information"</formula>
    </cfRule>
  </conditionalFormatting>
  <hyperlinks>
    <hyperlink ref="A7" r:id="rId1" location="penRCF" display="Click here for form Instructions" xr:uid="{2CDFCE09-8D95-4D27-A351-4D2B3FFA6176}"/>
    <hyperlink ref="A20" r:id="rId2" xr:uid="{F4BE102C-90D3-4D61-9BA5-1F97CFFB441F}"/>
    <hyperlink ref="A9" r:id="rId3" xr:uid="{5E00749E-AD33-4A53-86A8-5291B29A7C72}"/>
  </hyperlinks>
  <pageMargins left="0.7" right="0.7" top="0.75" bottom="0.75" header="0.3" footer="0.3"/>
  <pageSetup scale="52" fitToHeight="0" orientation="portrait" r:id="rId4"/>
  <extLst>
    <ext xmlns:x14="http://schemas.microsoft.com/office/spreadsheetml/2009/9/main" uri="{78C0D931-6437-407d-A8EE-F0AAD7539E65}">
      <x14:conditionalFormattings>
        <x14:conditionalFormatting xmlns:xm="http://schemas.microsoft.com/office/excel/2006/main">
          <x14:cfRule type="expression" priority="50" id="{C88BA844-5A98-449C-B901-66260FFDFE3D}">
            <xm:f>COUNTIFS(Validation!$H:$H,MID(CELL("filename",A2),FIND("]",CELL("filename",A2))+1,255)&amp;CELL("address",A2))&gt;0</xm:f>
            <x14:dxf>
              <font>
                <b/>
                <i val="0"/>
                <color rgb="FFC00000"/>
              </font>
              <numFmt numFmtId="172" formatCode="_(\!* #,##0_);_(\!* \(#,##0\);_(\!* \-??_);_(\!\ @_)"/>
            </x14:dxf>
          </x14:cfRule>
          <xm:sqref>B10:B11 B17 B21 A22:B1048576 A2 B5:B6 A19:A20 A7:A9 A11:A12 A14</xm:sqref>
        </x14:conditionalFormatting>
        <x14:conditionalFormatting xmlns:xm="http://schemas.microsoft.com/office/excel/2006/main">
          <x14:cfRule type="expression" priority="6" id="{9ABCCA4A-79FA-40F7-AAC6-44AD0B5A1D3B}">
            <xm:f>COUNTIFS(Validation!$H:$H,MID(CELL("filename",B15),FIND("]",CELL("filename",B15))+1,255)&amp;CELL("address",B15))&gt;0</xm:f>
            <x14:dxf>
              <font>
                <b/>
                <i val="0"/>
                <color rgb="FFC00000"/>
              </font>
              <numFmt numFmtId="172" formatCode="_(\!* #,##0_);_(\!* \(#,##0\);_(\!* \-??_);_(\!\ @_)"/>
            </x14:dxf>
          </x14:cfRule>
          <xm:sqref>B15</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2B0A71-DA84-4845-9E88-8F3A2B1DC33B}">
  <sheetPr codeName="Sheet4"/>
  <dimension ref="A1:G72"/>
  <sheetViews>
    <sheetView showGridLines="0" workbookViewId="0"/>
  </sheetViews>
  <sheetFormatPr defaultRowHeight="15" x14ac:dyDescent="0.25"/>
  <cols>
    <col min="1" max="1" width="55.7109375" style="66" customWidth="1"/>
    <col min="2" max="2" width="21.7109375" style="66" customWidth="1"/>
    <col min="3" max="3" width="80.85546875" style="77" customWidth="1"/>
    <col min="4" max="4" width="14.7109375" style="66" customWidth="1"/>
    <col min="5" max="6" width="10.7109375" style="78" hidden="1" customWidth="1"/>
    <col min="7" max="7" width="20.7109375" style="78" hidden="1" customWidth="1"/>
    <col min="8" max="16384" width="9.140625" style="66"/>
  </cols>
  <sheetData>
    <row r="1" spans="1:7" s="59" customFormat="1" ht="24.95" customHeight="1" x14ac:dyDescent="0.25">
      <c r="A1" s="59" t="str">
        <f>_xlfn.CONCAT("Office of the State Auditor  -  TIF Annual Reporting Form  -  ",Year_DestinationYearID)</f>
        <v>Office of the State Auditor  -  TIF Annual Reporting Form  -  2024</v>
      </c>
      <c r="C1" s="60"/>
      <c r="E1" s="61"/>
      <c r="F1" s="61"/>
      <c r="G1" s="61"/>
    </row>
    <row r="2" spans="1:7" s="62" customFormat="1" ht="20.100000000000001" customHeight="1" x14ac:dyDescent="0.25">
      <c r="A2" s="58" t="str">
        <f>_xlfn.CONCAT(GovEntity_GovEntityName_Parent,"  -  ",GovEntity_GovEntityName)</f>
        <v>Spruce City  -  TIF 1-1 Downtown Redev</v>
      </c>
      <c r="C2" s="63"/>
      <c r="E2" s="64"/>
      <c r="F2" s="64"/>
      <c r="G2" s="64"/>
    </row>
    <row r="3" spans="1:7" s="68" customFormat="1" ht="24.95" customHeight="1" x14ac:dyDescent="0.3">
      <c r="A3" s="65" t="s">
        <v>117</v>
      </c>
      <c r="B3" s="66"/>
      <c r="C3" s="67"/>
      <c r="E3" s="69"/>
      <c r="F3" s="69"/>
      <c r="G3" s="69"/>
    </row>
    <row r="4" spans="1:7" s="71" customFormat="1" x14ac:dyDescent="0.25">
      <c r="A4" s="215" t="s">
        <v>118</v>
      </c>
      <c r="B4" s="215"/>
      <c r="C4" s="215"/>
      <c r="E4" s="72" t="s">
        <v>119</v>
      </c>
      <c r="F4" s="72" t="s">
        <v>119</v>
      </c>
      <c r="G4" s="72" t="s">
        <v>119</v>
      </c>
    </row>
    <row r="5" spans="1:7" s="74" customFormat="1" ht="20.100000000000001" customHeight="1" x14ac:dyDescent="0.25">
      <c r="A5" s="73" t="str">
        <f>HYPERLINK("#'spec leg'!A7","Click here to continue to the Special Legislation Tab")</f>
        <v>Click here to continue to the Special Legislation Tab</v>
      </c>
      <c r="B5" s="74" t="s">
        <v>120</v>
      </c>
      <c r="C5" s="75" t="s">
        <v>121</v>
      </c>
      <c r="D5" s="74" t="s">
        <v>102</v>
      </c>
      <c r="E5" s="76" t="s">
        <v>475</v>
      </c>
      <c r="F5" s="76" t="s">
        <v>476</v>
      </c>
      <c r="G5" s="76" t="s">
        <v>484</v>
      </c>
    </row>
    <row r="6" spans="1:7" ht="20.100000000000001" customHeight="1" x14ac:dyDescent="0.25">
      <c r="A6" s="74" t="s">
        <v>122</v>
      </c>
    </row>
    <row r="7" spans="1:7" x14ac:dyDescent="0.25">
      <c r="A7" s="79" t="s">
        <v>123</v>
      </c>
      <c r="B7" s="80" t="str">
        <f>GovEntity_GovEntityName</f>
        <v>TIF 1-1 Downtown Redev</v>
      </c>
      <c r="C7" s="77" t="str">
        <f ca="1">IFERROR(INDEX(Validation!G:G,MATCH("Dist Info"&amp;CELL("address",C7),Validation!I:I,0)),"")</f>
        <v/>
      </c>
      <c r="D7" s="66" t="str">
        <f ca="1">IFERROR(INDEX(Validation!F:F,MATCH("Dist Info"&amp;CELL("address",C7),Validation!I:I,0)),"")</f>
        <v/>
      </c>
    </row>
    <row r="8" spans="1:7" x14ac:dyDescent="0.25">
      <c r="A8" s="79" t="s">
        <v>124</v>
      </c>
      <c r="B8" s="80">
        <f>GovEntity_GovEntityID</f>
        <v>18194</v>
      </c>
      <c r="C8" s="77" t="str">
        <f ca="1">IFERROR(INDEX(Validation!G:G,MATCH("Dist Info"&amp;CELL("address",C8),Validation!I:I,0)),"")</f>
        <v/>
      </c>
      <c r="D8" s="66" t="str">
        <f ca="1">IFERROR(INDEX(Validation!F:F,MATCH("Dist Info"&amp;CELL("address",C8),Validation!I:I,0)),"")</f>
        <v/>
      </c>
    </row>
    <row r="9" spans="1:7" x14ac:dyDescent="0.25">
      <c r="A9" s="79" t="s">
        <v>125</v>
      </c>
      <c r="B9" s="80">
        <v>1314</v>
      </c>
      <c r="C9" s="77" t="str">
        <f ca="1">IFERROR(INDEX(Validation!G:G,MATCH("Dist Info"&amp;CELL("address",C9),Validation!I:I,0)),"")</f>
        <v/>
      </c>
      <c r="D9" s="66" t="str">
        <f ca="1">IFERROR(INDEX(Validation!F:F,MATCH("Dist Info"&amp;CELL("address",C9),Validation!I:I,0)),"")</f>
        <v/>
      </c>
    </row>
    <row r="10" spans="1:7" ht="20.100000000000001" customHeight="1" x14ac:dyDescent="0.25">
      <c r="A10" s="74" t="s">
        <v>126</v>
      </c>
      <c r="B10" s="81"/>
      <c r="C10" s="77" t="str">
        <f ca="1">IFERROR(INDEX(Validation!G:G,MATCH("Dist Info"&amp;CELL("address",C10),Validation!I:I,0)),"")</f>
        <v/>
      </c>
      <c r="D10" s="66" t="str">
        <f ca="1">IFERROR(INDEX(Validation!F:F,MATCH("Dist Info"&amp;CELL("address",C10),Validation!I:I,0)),"")</f>
        <v/>
      </c>
    </row>
    <row r="11" spans="1:7" ht="15" customHeight="1" x14ac:dyDescent="0.25">
      <c r="A11" s="79" t="s">
        <v>127</v>
      </c>
      <c r="B11" s="80" t="str">
        <f>GovEntity_GovEntityName_Parent</f>
        <v>Spruce City</v>
      </c>
      <c r="C11" s="77" t="str">
        <f ca="1">IFERROR(INDEX(Validation!G:G,MATCH("Dist Info"&amp;CELL("address",C11),Validation!I:I,0)),"")</f>
        <v/>
      </c>
      <c r="D11" s="66" t="str">
        <f ca="1">IFERROR(INDEX(Validation!F:F,MATCH("Dist Info"&amp;CELL("address",C11),Validation!I:I,0)),"")</f>
        <v/>
      </c>
    </row>
    <row r="12" spans="1:7" x14ac:dyDescent="0.25">
      <c r="A12" s="79" t="s">
        <v>128</v>
      </c>
      <c r="B12" s="80">
        <v>18188</v>
      </c>
      <c r="C12" s="77" t="str">
        <f ca="1">IFERROR(INDEX(Validation!G:G,MATCH("Dist Info"&amp;CELL("address",C12),Validation!I:I,0)),"")</f>
        <v/>
      </c>
      <c r="D12" s="66" t="str">
        <f ca="1">IFERROR(INDEX(Validation!F:F,MATCH("Dist Info"&amp;CELL("address",C12),Validation!I:I,0)),"")</f>
        <v/>
      </c>
    </row>
    <row r="13" spans="1:7" x14ac:dyDescent="0.25">
      <c r="A13" s="79" t="s">
        <v>129</v>
      </c>
      <c r="B13" s="80" t="s">
        <v>9</v>
      </c>
      <c r="C13" s="77" t="str">
        <f ca="1">IFERROR(INDEX(Validation!G:G,MATCH("Dist Info"&amp;CELL("address",C13),Validation!I:I,0)),"")</f>
        <v/>
      </c>
      <c r="D13" s="66" t="str">
        <f ca="1">IFERROR(INDEX(Validation!F:F,MATCH("Dist Info"&amp;CELL("address",C13),Validation!I:I,0)),"")</f>
        <v/>
      </c>
    </row>
    <row r="14" spans="1:7" x14ac:dyDescent="0.25">
      <c r="A14" s="79" t="s">
        <v>130</v>
      </c>
      <c r="B14" s="80" t="s">
        <v>1679</v>
      </c>
      <c r="C14" s="77" t="str">
        <f ca="1">IFERROR(INDEX(Validation!G:G,MATCH("Dist Info"&amp;CELL("address",C14),Validation!I:I,0)),"")</f>
        <v/>
      </c>
      <c r="D14" s="66" t="str">
        <f ca="1">IFERROR(INDEX(Validation!F:F,MATCH("Dist Info"&amp;CELL("address",C14),Validation!I:I,0)),"")</f>
        <v/>
      </c>
    </row>
    <row r="15" spans="1:7" ht="20.100000000000001" customHeight="1" x14ac:dyDescent="0.25">
      <c r="A15" s="74" t="s">
        <v>131</v>
      </c>
      <c r="B15" s="81"/>
      <c r="C15" s="77" t="str">
        <f ca="1">IFERROR(INDEX(Validation!G:G,MATCH("Dist Info"&amp;CELL("address",C15),Validation!I:I,0)),"")</f>
        <v/>
      </c>
      <c r="D15" s="66" t="str">
        <f ca="1">IFERROR(INDEX(Validation!F:F,MATCH("Dist Info"&amp;CELL("address",C15),Validation!I:I,0)),"")</f>
        <v/>
      </c>
    </row>
    <row r="16" spans="1:7" x14ac:dyDescent="0.25">
      <c r="A16" s="79" t="s">
        <v>91</v>
      </c>
      <c r="B16" s="80" t="s">
        <v>44</v>
      </c>
      <c r="C16" s="77" t="str">
        <f ca="1">IFERROR(INDEX(Validation!G:G,MATCH("Dist Info"&amp;CELL("address",C16),Validation!I:I,0)),"")</f>
        <v/>
      </c>
      <c r="D16" s="66" t="str">
        <f ca="1">IFERROR(INDEX(Validation!F:F,MATCH("Dist Info"&amp;CELL("address",C16),Validation!I:I,0)),"")</f>
        <v/>
      </c>
    </row>
    <row r="17" spans="1:7" x14ac:dyDescent="0.25">
      <c r="A17" s="79" t="s">
        <v>132</v>
      </c>
      <c r="B17" s="80" t="str">
        <f>IF(TIF_DistrictType_DistrictTypeName="Economic Development",IF(OR(TIF_District_SmallCityExceptionInd=1,TIF_District_SmallCityExceptionInd=TRUE),"Yes",IF(OR(TIF_District_SmallCityExceptionInd=2,TIF_District_SmallCityExceptionInd=FALSE),"No","ERROR")),IF(OR(TIF_District_SmallCityExceptionInd=3,TIF_District_SmallCityExceptionInd=FALSE),"Not Applicable","ERROR"))</f>
        <v>Not Applicable</v>
      </c>
      <c r="C17" s="77" t="str">
        <f ca="1">IFERROR(INDEX(Validation!G:G,MATCH("Dist Info"&amp;CELL("address",C17),Validation!I:I,0)),"")</f>
        <v/>
      </c>
      <c r="D17" s="66" t="str">
        <f ca="1">IFERROR(INDEX(Validation!F:F,MATCH("Dist Info"&amp;CELL("address",C17),Validation!I:I,0)),"")</f>
        <v/>
      </c>
    </row>
    <row r="18" spans="1:7" x14ac:dyDescent="0.25">
      <c r="A18" s="79" t="s">
        <v>133</v>
      </c>
      <c r="B18" s="80" t="str">
        <f>IF(OR(ISERROR(TIF_DistrictType_DistrictTypeName),ISERROR(TIF_District_WorkforceHousingInd)),"ERROR",IF(TIF_DistrictType_DistrictTypeName="Economic Development",IF(OR(TIF_District_WorkforceHousingInd=1,TIF_District_WorkforceHousingInd=TRUE),"Yes",IF(OR(TIF_District_WorkforceHousingInd=0,TIF_District_WorkforceHousingInd=FALSE),"No","ERROR")),IF(OR(TIF_District_WorkforceHousingInd=0,TIF_District_WorkforceHousingInd=FALSE),"Not Applicable","ERROR")))</f>
        <v>Not Applicable</v>
      </c>
      <c r="C18" s="77" t="str">
        <f ca="1">IFERROR(INDEX(Validation!G:G,MATCH("Dist Info"&amp;CELL("address",C18),Validation!I:I,0)),"")</f>
        <v/>
      </c>
      <c r="D18" s="66" t="str">
        <f ca="1">IFERROR(INDEX(Validation!F:F,MATCH("Dist Info"&amp;CELL("address",C18),Validation!I:I,0)),"")</f>
        <v/>
      </c>
    </row>
    <row r="19" spans="1:7" x14ac:dyDescent="0.25">
      <c r="A19" s="79" t="s">
        <v>134</v>
      </c>
      <c r="B19" s="80" t="str">
        <f>IF(TIF_FiscalDisparityOption_OptionId="a","Yes",IF(TIF_FiscalDisparityOption_OptionId="b","Yes","No"))</f>
        <v>No</v>
      </c>
      <c r="C19" s="77" t="str">
        <f ca="1">IFERROR(INDEX(Validation!G:G,MATCH("Dist Info"&amp;CELL("address",C19),Validation!I:I,0)),"")</f>
        <v/>
      </c>
      <c r="D19" s="66" t="str">
        <f ca="1">IFERROR(INDEX(Validation!F:F,MATCH("Dist Info"&amp;CELL("address",C19),Validation!I:I,0)),"")</f>
        <v/>
      </c>
    </row>
    <row r="20" spans="1:7" x14ac:dyDescent="0.25">
      <c r="A20" s="79" t="s">
        <v>135</v>
      </c>
      <c r="B20" s="80" t="str">
        <f>IF(TIF_FiscalDisparityOption_OptionId="a","Option A",IF(TIF_FiscalDisparityOption_OptionId="b","Option B","Not Applicable"))</f>
        <v>Not Applicable</v>
      </c>
      <c r="C20" s="77" t="str">
        <f ca="1">IFERROR(INDEX(Validation!G:G,MATCH("Dist Info"&amp;CELL("address",C20),Validation!I:I,0)),"")</f>
        <v/>
      </c>
      <c r="D20" s="66" t="str">
        <f ca="1">IFERROR(INDEX(Validation!F:F,MATCH("Dist Info"&amp;CELL("address",C20),Validation!I:I,0)),"")</f>
        <v/>
      </c>
    </row>
    <row r="21" spans="1:7" x14ac:dyDescent="0.25">
      <c r="A21" s="79" t="s">
        <v>136</v>
      </c>
      <c r="B21" s="101"/>
      <c r="C21" s="77" t="str">
        <f ca="1">IFERROR(INDEX(Validation!G:G,MATCH("Dist Info"&amp;CELL("address",C21),Validation!I:I,0)),"")</f>
        <v>Skip this line. Fiscal Disparities Option A does not apply to this district.</v>
      </c>
      <c r="D21" s="66" t="str">
        <f ca="1">IFERROR(INDEX(Validation!F:F,MATCH("Dist Info"&amp;CELL("address",C21),Validation!I:I,0)),"")</f>
        <v>Information</v>
      </c>
    </row>
    <row r="22" spans="1:7" x14ac:dyDescent="0.25">
      <c r="A22" s="79" t="s">
        <v>137</v>
      </c>
      <c r="B22" s="80" t="s">
        <v>57</v>
      </c>
      <c r="C22" s="77" t="str">
        <f ca="1">IFERROR(INDEX(Validation!G:G,MATCH("Dist Info"&amp;CELL("address",C22),Validation!I:I,0)),"")</f>
        <v/>
      </c>
      <c r="D22" s="66" t="str">
        <f ca="1">IFERROR(INDEX(Validation!F:F,MATCH("Dist Info"&amp;CELL("address",C22),Validation!I:I,0)),"")</f>
        <v/>
      </c>
    </row>
    <row r="23" spans="1:7" x14ac:dyDescent="0.25">
      <c r="A23" s="79" t="s">
        <v>138</v>
      </c>
      <c r="B23" s="80" t="s">
        <v>57</v>
      </c>
      <c r="C23" s="77" t="str">
        <f ca="1">IFERROR(INDEX(Validation!G:G,MATCH("Dist Info"&amp;CELL("address",C23),Validation!I:I,0)),"")</f>
        <v/>
      </c>
      <c r="D23" s="66" t="str">
        <f ca="1">IFERROR(INDEX(Validation!F:F,MATCH("Dist Info"&amp;CELL("address",C23),Validation!I:I,0)),"")</f>
        <v/>
      </c>
    </row>
    <row r="24" spans="1:7" x14ac:dyDescent="0.25">
      <c r="A24" s="79" t="s">
        <v>139</v>
      </c>
      <c r="B24" s="80" t="s">
        <v>57</v>
      </c>
      <c r="C24" s="77" t="str">
        <f ca="1">IFERROR(INDEX(Validation!G:G,MATCH("Dist Info"&amp;CELL("address",C24),Validation!I:I,0)),"")</f>
        <v/>
      </c>
      <c r="D24" s="66" t="str">
        <f ca="1">IFERROR(INDEX(Validation!F:F,MATCH("Dist Info"&amp;CELL("address",C24),Validation!I:I,0)),"")</f>
        <v/>
      </c>
    </row>
    <row r="25" spans="1:7" x14ac:dyDescent="0.25">
      <c r="A25" s="79" t="s">
        <v>140</v>
      </c>
      <c r="B25" s="83" t="str">
        <f>IF(TIF_District_ActualDecertificationDateInd_Input=TRUE,"Yes","Select One")</f>
        <v>Select One</v>
      </c>
      <c r="C25" s="77" t="str">
        <f ca="1">IFERROR(INDEX(Validation!G:G,MATCH("Dist Info"&amp;CELL("address",C25),Validation!I:I,0)),"")</f>
        <v>You must select Yes or No.</v>
      </c>
      <c r="D25" s="66" t="str">
        <f ca="1">IFERROR(INDEX(Validation!F:F,MATCH("Dist Info"&amp;CELL("address",C25),Validation!I:I,0)),"")</f>
        <v>Error</v>
      </c>
      <c r="E25" s="84" t="b">
        <v>0</v>
      </c>
      <c r="F25" s="85" t="b">
        <f>IF(TIF_District_ActualDecertificationDateInd_Entry="Yes",TRUE,FALSE)</f>
        <v>0</v>
      </c>
      <c r="G25" s="86" t="s">
        <v>483</v>
      </c>
    </row>
    <row r="26" spans="1:7" ht="20.100000000000001" customHeight="1" x14ac:dyDescent="0.25">
      <c r="A26" s="74" t="s">
        <v>141</v>
      </c>
      <c r="B26" s="81"/>
      <c r="C26" s="77" t="str">
        <f ca="1">IFERROR(INDEX(Validation!G:G,MATCH("Dist Info"&amp;CELL("address",C26),Validation!I:I,0)),"")</f>
        <v/>
      </c>
      <c r="D26" s="66" t="str">
        <f ca="1">IFERROR(INDEX(Validation!F:F,MATCH("Dist Info"&amp;CELL("address",C26),Validation!I:I,0)),"")</f>
        <v/>
      </c>
    </row>
    <row r="27" spans="1:7" x14ac:dyDescent="0.25">
      <c r="A27" s="79" t="s">
        <v>142</v>
      </c>
      <c r="B27" s="87">
        <v>41092</v>
      </c>
      <c r="C27" s="77" t="str">
        <f ca="1">IFERROR(INDEX(Validation!G:G,MATCH("Dist Info"&amp;CELL("address",C27),Validation!I:I,0)),"")</f>
        <v/>
      </c>
      <c r="D27" s="66" t="str">
        <f ca="1">IFERROR(INDEX(Validation!F:F,MATCH("Dist Info"&amp;CELL("address",C27),Validation!I:I,0)),"")</f>
        <v/>
      </c>
    </row>
    <row r="28" spans="1:7" x14ac:dyDescent="0.25">
      <c r="A28" s="79" t="s">
        <v>143</v>
      </c>
      <c r="B28" s="87">
        <v>41151</v>
      </c>
      <c r="C28" s="77" t="str">
        <f ca="1">IFERROR(INDEX(Validation!G:G,MATCH("Dist Info"&amp;CELL("address",C28),Validation!I:I,0)),"")</f>
        <v/>
      </c>
      <c r="D28" s="66" t="str">
        <f ca="1">IFERROR(INDEX(Validation!F:F,MATCH("Dist Info"&amp;CELL("address",C28),Validation!I:I,0)),"")</f>
        <v/>
      </c>
    </row>
    <row r="29" spans="1:7" x14ac:dyDescent="0.25">
      <c r="A29" s="79" t="s">
        <v>144</v>
      </c>
      <c r="B29" s="87">
        <v>41151</v>
      </c>
      <c r="C29" s="77" t="str">
        <f ca="1">IFERROR(INDEX(Validation!G:G,MATCH("Dist Info"&amp;CELL("address",C29),Validation!I:I,0)),"")</f>
        <v/>
      </c>
      <c r="D29" s="66" t="str">
        <f ca="1">IFERROR(INDEX(Validation!F:F,MATCH("Dist Info"&amp;CELL("address",C29),Validation!I:I,0)),"")</f>
        <v/>
      </c>
    </row>
    <row r="30" spans="1:7" x14ac:dyDescent="0.25">
      <c r="A30" s="79" t="s">
        <v>145</v>
      </c>
      <c r="B30" s="87">
        <v>42612</v>
      </c>
      <c r="C30" s="77" t="str">
        <f ca="1">IFERROR(INDEX(Validation!G:G,MATCH("Dist Info"&amp;CELL("address",C30),Validation!I:I,0)),"")</f>
        <v/>
      </c>
      <c r="D30" s="66" t="str">
        <f ca="1">IFERROR(INDEX(Validation!F:F,MATCH("Dist Info"&amp;CELL("address",C30),Validation!I:I,0)),"")</f>
        <v/>
      </c>
    </row>
    <row r="31" spans="1:7" x14ac:dyDescent="0.25">
      <c r="A31" s="79" t="s">
        <v>146</v>
      </c>
      <c r="B31" s="88">
        <f>(DATE(YEAR(B30)+1,2,1))</f>
        <v>42767</v>
      </c>
      <c r="C31" s="77" t="str">
        <f ca="1">IFERROR(INDEX(Validation!G:G,MATCH("Dist Info"&amp;CELL("address",C31),Validation!I:I,0)),"")</f>
        <v/>
      </c>
      <c r="D31" s="66" t="str">
        <f ca="1">IFERROR(INDEX(Validation!F:F,MATCH("Dist Info"&amp;CELL("address",C31),Validation!I:I,0)),"")</f>
        <v/>
      </c>
    </row>
    <row r="32" spans="1:7" x14ac:dyDescent="0.25">
      <c r="A32" s="79" t="s">
        <v>147</v>
      </c>
      <c r="B32" s="87">
        <v>42977</v>
      </c>
      <c r="C32" s="77" t="str">
        <f ca="1">IFERROR(INDEX(Validation!G:G,MATCH("Dist Info"&amp;CELL("address",C32),Validation!I:I,0)),"")</f>
        <v/>
      </c>
      <c r="D32" s="66" t="str">
        <f ca="1">IFERROR(INDEX(Validation!F:F,MATCH("Dist Info"&amp;CELL("address",C32),Validation!I:I,0)),"")</f>
        <v/>
      </c>
    </row>
    <row r="33" spans="1:4" x14ac:dyDescent="0.25">
      <c r="A33" s="79" t="s">
        <v>421</v>
      </c>
      <c r="B33" s="89">
        <f>YEAR(B32)+1</f>
        <v>2018</v>
      </c>
      <c r="C33" s="77" t="str">
        <f ca="1">IFERROR(INDEX(Validation!G:G,MATCH("Dist Info"&amp;CELL("address",C33),Validation!I:I,0)),"")</f>
        <v>Year Six has been reached. See Six-Yr Rule Tab for alerts and tracking.</v>
      </c>
      <c r="D33" s="66" t="str">
        <f ca="1">IFERROR(INDEX(Validation!F:F,MATCH("Dist Info"&amp;CELL("address",C33),Validation!I:I,0)),"")</f>
        <v>Information</v>
      </c>
    </row>
    <row r="34" spans="1:4" x14ac:dyDescent="0.25">
      <c r="A34" s="79" t="s">
        <v>492</v>
      </c>
      <c r="B34" s="90">
        <v>2014</v>
      </c>
      <c r="C34" s="77" t="str">
        <f ca="1">IFERROR(INDEX(Validation!G:G,MATCH("Dist Info"&amp;CELL("address",C34),Validation!I:I,0)),"")</f>
        <v/>
      </c>
      <c r="D34" s="66" t="str">
        <f ca="1">IFERROR(INDEX(Validation!F:F,MATCH("Dist Info"&amp;CELL("address",C34),Validation!I:I,0)),"")</f>
        <v/>
      </c>
    </row>
    <row r="35" spans="1:4" x14ac:dyDescent="0.25">
      <c r="A35" s="79" t="s">
        <v>493</v>
      </c>
      <c r="B35" s="90">
        <v>2014</v>
      </c>
      <c r="C35" s="77" t="str">
        <f ca="1">IFERROR(INDEX(Validation!G:G,MATCH("Dist Info"&amp;CELL("address",C35),Validation!I:I,0)),"")</f>
        <v/>
      </c>
      <c r="D35" s="66" t="str">
        <f ca="1">IFERROR(INDEX(Validation!F:F,MATCH("Dist Info"&amp;CELL("address",C35),Validation!I:I,0)),"")</f>
        <v/>
      </c>
    </row>
    <row r="36" spans="1:4" x14ac:dyDescent="0.25">
      <c r="A36" s="79" t="s">
        <v>148</v>
      </c>
      <c r="B36" s="87">
        <v>51135</v>
      </c>
      <c r="C36" s="77" t="str">
        <f ca="1">IFERROR(INDEX(Validation!G:G,MATCH("Dist Info"&amp;CELL("address",C36),Validation!I:I,0)),"")</f>
        <v/>
      </c>
      <c r="D36" s="66" t="str">
        <f ca="1">IFERROR(INDEX(Validation!F:F,MATCH("Dist Info"&amp;CELL("address",C36),Validation!I:I,0)),"")</f>
        <v/>
      </c>
    </row>
    <row r="37" spans="1:4" x14ac:dyDescent="0.25">
      <c r="A37" s="79" t="s">
        <v>149</v>
      </c>
      <c r="B37" s="91"/>
      <c r="C37" s="77" t="str">
        <f ca="1">IFERROR(INDEX(Validation!G:G,MATCH("Dist Info"&amp;CELL("address",C37),Validation!I:I,0)),"")</f>
        <v>Enter a date only (MM/DD/YYYY). Do not enter text, spaces, or amounts.</v>
      </c>
      <c r="D37" s="66" t="str">
        <f ca="1">IFERROR(INDEX(Validation!F:F,MATCH("Dist Info"&amp;CELL("address",C37),Validation!I:I,0)),"")</f>
        <v>Error</v>
      </c>
    </row>
    <row r="38" spans="1:4" ht="20.100000000000001" customHeight="1" x14ac:dyDescent="0.25">
      <c r="A38" s="74" t="s">
        <v>150</v>
      </c>
      <c r="B38" s="81"/>
      <c r="C38" s="77" t="str">
        <f ca="1">IFERROR(INDEX(Validation!G:G,MATCH("Dist Info"&amp;CELL("address",C38),Validation!I:I,0)),"")</f>
        <v/>
      </c>
      <c r="D38" s="66" t="str">
        <f ca="1">IFERROR(INDEX(Validation!F:F,MATCH("Dist Info"&amp;CELL("address",C38),Validation!I:I,0)),"")</f>
        <v/>
      </c>
    </row>
    <row r="39" spans="1:4" x14ac:dyDescent="0.25">
      <c r="A39" s="79" t="s">
        <v>151</v>
      </c>
      <c r="B39" s="82">
        <v>98631</v>
      </c>
      <c r="C39" s="77" t="str">
        <f ca="1">IFERROR(INDEX(Validation!G:G,MATCH("Dist Info"&amp;CELL("address",C39),Validation!I:I,0)),"")</f>
        <v/>
      </c>
      <c r="D39" s="66" t="str">
        <f ca="1">IFERROR(INDEX(Validation!F:F,MATCH("Dist Info"&amp;CELL("address",C39),Validation!I:I,0)),"")</f>
        <v/>
      </c>
    </row>
    <row r="40" spans="1:4" x14ac:dyDescent="0.25">
      <c r="A40" s="79" t="s">
        <v>152</v>
      </c>
      <c r="B40" s="92">
        <v>41379</v>
      </c>
      <c r="C40" s="77" t="str">
        <f ca="1">IFERROR(INDEX(Validation!G:G,MATCH("Dist Info"&amp;CELL("address",C40),Validation!I:I,0)),"")</f>
        <v/>
      </c>
      <c r="D40" s="66" t="str">
        <f ca="1">IFERROR(INDEX(Validation!F:F,MATCH("Dist Info"&amp;CELL("address",C40),Validation!I:I,0)),"")</f>
        <v/>
      </c>
    </row>
    <row r="41" spans="1:4" x14ac:dyDescent="0.25">
      <c r="A41" s="79" t="s">
        <v>153</v>
      </c>
      <c r="B41" s="30">
        <f>MAX(B39-B40,0)</f>
        <v>57252</v>
      </c>
      <c r="C41" s="77" t="str">
        <f ca="1">IFERROR(INDEX(Validation!G:G,MATCH("Dist Info"&amp;CELL("address",C41),Validation!I:I,0)),"")</f>
        <v/>
      </c>
      <c r="D41" s="66" t="str">
        <f ca="1">IFERROR(INDEX(Validation!F:F,MATCH("Dist Info"&amp;CELL("address",C41),Validation!I:I,0)),"")</f>
        <v/>
      </c>
    </row>
    <row r="42" spans="1:4" x14ac:dyDescent="0.25">
      <c r="A42" s="79" t="s">
        <v>432</v>
      </c>
      <c r="B42" s="92">
        <v>0</v>
      </c>
      <c r="C42" s="77" t="str">
        <f ca="1">IFERROR(INDEX(Validation!G:G,MATCH("Dist Info"&amp;CELL("address",C42),Validation!I:I,0)),"")</f>
        <v/>
      </c>
      <c r="D42" s="66" t="str">
        <f ca="1">IFERROR(INDEX(Validation!F:F,MATCH("Dist Info"&amp;CELL("address",C42),Validation!I:I,0)),"")</f>
        <v/>
      </c>
    </row>
    <row r="43" spans="1:4" x14ac:dyDescent="0.25">
      <c r="A43" s="79" t="s">
        <v>154</v>
      </c>
      <c r="B43" s="92">
        <v>0</v>
      </c>
      <c r="C43" s="77" t="str">
        <f ca="1">IFERROR(INDEX(Validation!G:G,MATCH("Dist Info"&amp;CELL("address",C43),Validation!I:I,0)),"")</f>
        <v/>
      </c>
      <c r="D43" s="66" t="str">
        <f ca="1">IFERROR(INDEX(Validation!F:F,MATCH("Dist Info"&amp;CELL("address",C43),Validation!I:I,0)),"")</f>
        <v/>
      </c>
    </row>
    <row r="44" spans="1:4" x14ac:dyDescent="0.25">
      <c r="A44" s="79" t="s">
        <v>155</v>
      </c>
      <c r="B44" s="30">
        <f>B41-B42-B43</f>
        <v>57252</v>
      </c>
      <c r="C44" s="77" t="str">
        <f ca="1">IFERROR(INDEX(Validation!G:G,MATCH("Dist Info"&amp;CELL("address",C44),Validation!I:I,0)),"")</f>
        <v/>
      </c>
      <c r="D44" s="66" t="str">
        <f ca="1">IFERROR(INDEX(Validation!F:F,MATCH("Dist Info"&amp;CELL("address",C44),Validation!I:I,0)),"")</f>
        <v/>
      </c>
    </row>
    <row r="45" spans="1:4" ht="20.100000000000001" customHeight="1" x14ac:dyDescent="0.25">
      <c r="A45" s="74" t="s">
        <v>156</v>
      </c>
      <c r="B45" s="81"/>
      <c r="C45" s="77" t="str">
        <f ca="1">IFERROR(INDEX(Validation!G:G,MATCH("Dist Info"&amp;CELL("address",C45),Validation!I:I,0)),"")</f>
        <v/>
      </c>
      <c r="D45" s="66" t="str">
        <f ca="1">IFERROR(INDEX(Validation!F:F,MATCH("Dist Info"&amp;CELL("address",C45),Validation!I:I,0)),"")</f>
        <v/>
      </c>
    </row>
    <row r="46" spans="1:4" x14ac:dyDescent="0.25">
      <c r="A46" s="79" t="s">
        <v>157</v>
      </c>
      <c r="B46" s="93">
        <v>1166428</v>
      </c>
      <c r="C46" s="77" t="str">
        <f ca="1">IFERROR(INDEX(Validation!G:G,MATCH("Dist Info"&amp;CELL("address",C46),Validation!I:I,0)),"")</f>
        <v/>
      </c>
      <c r="D46" s="66" t="str">
        <f ca="1">IFERROR(INDEX(Validation!F:F,MATCH("Dist Info"&amp;CELL("address",C46),Validation!I:I,0)),"")</f>
        <v/>
      </c>
    </row>
    <row r="47" spans="1:4" x14ac:dyDescent="0.25">
      <c r="A47" s="79" t="s">
        <v>158</v>
      </c>
      <c r="B47" s="93">
        <v>0</v>
      </c>
      <c r="C47" s="77" t="str">
        <f ca="1">IFERROR(INDEX(Validation!G:G,MATCH("Dist Info"&amp;CELL("address",C47),Validation!I:I,0)),"")</f>
        <v/>
      </c>
      <c r="D47" s="66" t="str">
        <f ca="1">IFERROR(INDEX(Validation!F:F,MATCH("Dist Info"&amp;CELL("address",C47),Validation!I:I,0)),"")</f>
        <v/>
      </c>
    </row>
    <row r="48" spans="1:4" x14ac:dyDescent="0.25">
      <c r="A48" s="79" t="s">
        <v>159</v>
      </c>
      <c r="B48" s="93">
        <v>100000</v>
      </c>
      <c r="C48" s="77" t="str">
        <f ca="1">IFERROR(INDEX(Validation!G:G,MATCH("Dist Info"&amp;CELL("address",C48),Validation!I:I,0)),"")</f>
        <v/>
      </c>
      <c r="D48" s="66" t="str">
        <f ca="1">IFERROR(INDEX(Validation!F:F,MATCH("Dist Info"&amp;CELL("address",C48),Validation!I:I,0)),"")</f>
        <v/>
      </c>
    </row>
    <row r="49" spans="1:7" x14ac:dyDescent="0.25">
      <c r="A49" s="79" t="s">
        <v>160</v>
      </c>
      <c r="B49" s="93">
        <v>0</v>
      </c>
      <c r="C49" s="77" t="str">
        <f ca="1">IFERROR(INDEX(Validation!G:G,MATCH("Dist Info"&amp;CELL("address",C49),Validation!I:I,0)),"")</f>
        <v/>
      </c>
      <c r="D49" s="66" t="str">
        <f ca="1">IFERROR(INDEX(Validation!F:F,MATCH("Dist Info"&amp;CELL("address",C49),Validation!I:I,0)),"")</f>
        <v/>
      </c>
    </row>
    <row r="50" spans="1:7" x14ac:dyDescent="0.25">
      <c r="A50" s="79" t="s">
        <v>161</v>
      </c>
      <c r="B50" s="93">
        <v>0</v>
      </c>
      <c r="C50" s="77" t="str">
        <f ca="1">IFERROR(INDEX(Validation!G:G,MATCH("Dist Info"&amp;CELL("address",C50),Validation!I:I,0)),"")</f>
        <v/>
      </c>
      <c r="D50" s="66" t="str">
        <f ca="1">IFERROR(INDEX(Validation!F:F,MATCH("Dist Info"&amp;CELL("address",C50),Validation!I:I,0)),"")</f>
        <v/>
      </c>
    </row>
    <row r="51" spans="1:7" x14ac:dyDescent="0.25">
      <c r="A51" s="79" t="s">
        <v>162</v>
      </c>
      <c r="B51" s="31">
        <f>SUM(B46:B50)</f>
        <v>1266428</v>
      </c>
      <c r="C51" s="77" t="str">
        <f ca="1">IFERROR(INDEX(Validation!G:G,MATCH("Dist Info"&amp;CELL("address",C51),Validation!I:I,0)),"")</f>
        <v/>
      </c>
      <c r="D51" s="66" t="str">
        <f ca="1">IFERROR(INDEX(Validation!F:F,MATCH("Dist Info"&amp;CELL("address",C51),Validation!I:I,0)),"")</f>
        <v/>
      </c>
    </row>
    <row r="52" spans="1:7" x14ac:dyDescent="0.25">
      <c r="A52" s="79" t="s">
        <v>163</v>
      </c>
      <c r="B52" s="93">
        <v>100000</v>
      </c>
      <c r="C52" s="77" t="str">
        <f ca="1">IFERROR(INDEX(Validation!G:G,MATCH("Dist Info"&amp;CELL("address",C52),Validation!I:I,0)),"")</f>
        <v/>
      </c>
      <c r="D52" s="66" t="str">
        <f ca="1">IFERROR(INDEX(Validation!F:F,MATCH("Dist Info"&amp;CELL("address",C52),Validation!I:I,0)),"")</f>
        <v/>
      </c>
    </row>
    <row r="53" spans="1:7" x14ac:dyDescent="0.25">
      <c r="A53" s="79" t="s">
        <v>164</v>
      </c>
      <c r="B53" s="94">
        <v>415000</v>
      </c>
      <c r="C53" s="77" t="str">
        <f ca="1">IFERROR(INDEX(Validation!G:G,MATCH("Dist Info"&amp;CELL("address",C53),Validation!I:I,0)),"")</f>
        <v/>
      </c>
      <c r="D53" s="66" t="str">
        <f ca="1">IFERROR(INDEX(Validation!F:F,MATCH("Dist Info"&amp;CELL("address",C53),Validation!I:I,0)),"")</f>
        <v/>
      </c>
    </row>
    <row r="54" spans="1:7" x14ac:dyDescent="0.25">
      <c r="A54" s="79" t="s">
        <v>165</v>
      </c>
      <c r="B54" s="93">
        <v>100000</v>
      </c>
      <c r="C54" s="77" t="str">
        <f ca="1">IFERROR(INDEX(Validation!G:G,MATCH("Dist Info"&amp;CELL("address",C54),Validation!I:I,0)),"")</f>
        <v/>
      </c>
      <c r="D54" s="66" t="str">
        <f ca="1">IFERROR(INDEX(Validation!F:F,MATCH("Dist Info"&amp;CELL("address",C54),Validation!I:I,0)),"")</f>
        <v/>
      </c>
    </row>
    <row r="55" spans="1:7" x14ac:dyDescent="0.25">
      <c r="A55" s="79" t="s">
        <v>166</v>
      </c>
      <c r="B55" s="93">
        <v>0</v>
      </c>
      <c r="C55" s="77" t="str">
        <f ca="1">IFERROR(INDEX(Validation!G:G,MATCH("Dist Info"&amp;CELL("address",C55),Validation!I:I,0)),"")</f>
        <v/>
      </c>
      <c r="D55" s="66" t="str">
        <f ca="1">IFERROR(INDEX(Validation!F:F,MATCH("Dist Info"&amp;CELL("address",C55),Validation!I:I,0)),"")</f>
        <v/>
      </c>
    </row>
    <row r="56" spans="1:7" x14ac:dyDescent="0.25">
      <c r="A56" s="79" t="s">
        <v>167</v>
      </c>
      <c r="B56" s="93">
        <v>100000</v>
      </c>
      <c r="C56" s="77" t="str">
        <f ca="1">IFERROR(INDEX(Validation!G:G,MATCH("Dist Info"&amp;CELL("address",C56),Validation!I:I,0)),"")</f>
        <v/>
      </c>
      <c r="D56" s="66" t="str">
        <f ca="1">IFERROR(INDEX(Validation!F:F,MATCH("Dist Info"&amp;CELL("address",C56),Validation!I:I,0)),"")</f>
        <v/>
      </c>
    </row>
    <row r="57" spans="1:7" x14ac:dyDescent="0.25">
      <c r="A57" s="79" t="s">
        <v>168</v>
      </c>
      <c r="B57" s="93">
        <v>51428</v>
      </c>
      <c r="C57" s="77" t="str">
        <f ca="1">IFERROR(INDEX(Validation!G:G,MATCH("Dist Info"&amp;CELL("address",C57),Validation!I:I,0)),"")</f>
        <v/>
      </c>
      <c r="D57" s="66" t="str">
        <f ca="1">IFERROR(INDEX(Validation!F:F,MATCH("Dist Info"&amp;CELL("address",C57),Validation!I:I,0)),"")</f>
        <v/>
      </c>
    </row>
    <row r="58" spans="1:7" x14ac:dyDescent="0.25">
      <c r="A58" s="79" t="s">
        <v>169</v>
      </c>
      <c r="B58" s="30">
        <f>SUM(B52:B57)</f>
        <v>766428</v>
      </c>
      <c r="C58" s="77" t="str">
        <f ca="1">IFERROR(INDEX(Validation!G:G,MATCH("Dist Info"&amp;CELL("address",C58),Validation!I:I,0)),"")</f>
        <v/>
      </c>
      <c r="D58" s="66" t="str">
        <f ca="1">IFERROR(INDEX(Validation!F:F,MATCH("Dist Info"&amp;CELL("address",C58),Validation!I:I,0)),"")</f>
        <v/>
      </c>
    </row>
    <row r="59" spans="1:7" x14ac:dyDescent="0.25">
      <c r="A59" s="79" t="s">
        <v>170</v>
      </c>
      <c r="B59" s="93">
        <v>500000</v>
      </c>
      <c r="C59" s="77" t="str">
        <f ca="1">IFERROR(INDEX(Validation!G:G,MATCH("Dist Info"&amp;CELL("address",C59),Validation!I:I,0)),"")</f>
        <v/>
      </c>
      <c r="D59" s="66" t="str">
        <f ca="1">IFERROR(INDEX(Validation!F:F,MATCH("Dist Info"&amp;CELL("address",C59),Validation!I:I,0)),"")</f>
        <v/>
      </c>
    </row>
    <row r="60" spans="1:7" x14ac:dyDescent="0.25">
      <c r="A60" s="79" t="s">
        <v>171</v>
      </c>
      <c r="B60" s="30">
        <f>B58+B59</f>
        <v>1266428</v>
      </c>
      <c r="C60" s="77" t="str">
        <f ca="1">IFERROR(INDEX(Validation!G:G,MATCH("Dist Info"&amp;CELL("address",C60),Validation!I:I,0)),"")</f>
        <v/>
      </c>
      <c r="D60" s="66" t="str">
        <f ca="1">IFERROR(INDEX(Validation!F:F,MATCH("Dist Info"&amp;CELL("address",C60),Validation!I:I,0)),"")</f>
        <v/>
      </c>
    </row>
    <row r="61" spans="1:7" x14ac:dyDescent="0.25">
      <c r="A61" s="79" t="s">
        <v>172</v>
      </c>
      <c r="B61" s="95" t="str" cm="1">
        <f t="array" ref="B61">IF(B51&gt;B60,"Unbalanced",IF(B60&gt;B51,"Non-Compliant",IF(B51=B60,"Balanced",ERROR)))</f>
        <v>Balanced</v>
      </c>
      <c r="C61" s="77" t="str">
        <f ca="1">IFERROR(INDEX(Validation!G:G,MATCH("Dist Info"&amp;CELL("address",C61),Validation!I:I,0)),"")</f>
        <v/>
      </c>
      <c r="D61" s="66" t="str">
        <f ca="1">IFERROR(INDEX(Validation!F:F,MATCH("Dist Info"&amp;CELL("address",C61),Validation!I:I,0)),"")</f>
        <v/>
      </c>
    </row>
    <row r="62" spans="1:7" x14ac:dyDescent="0.25">
      <c r="A62" s="79" t="s">
        <v>173</v>
      </c>
      <c r="B62" s="93">
        <v>1000000</v>
      </c>
      <c r="C62" s="77" t="str">
        <f ca="1">IFERROR(INDEX(Validation!G:G,MATCH("Dist Info"&amp;CELL("address",C62),Validation!I:I,0)),"")</f>
        <v/>
      </c>
      <c r="D62" s="66" t="str">
        <f ca="1">IFERROR(INDEX(Validation!F:F,MATCH("Dist Info"&amp;CELL("address",C62),Validation!I:I,0)),"")</f>
        <v/>
      </c>
    </row>
    <row r="63" spans="1:7" ht="20.100000000000001" customHeight="1" x14ac:dyDescent="0.25">
      <c r="A63" s="74" t="s">
        <v>174</v>
      </c>
      <c r="B63" s="81"/>
      <c r="C63" s="77" t="str">
        <f ca="1">IFERROR(INDEX(Validation!G:G,MATCH("Dist Info"&amp;CELL("address",C63),Validation!I:I,0)),"")</f>
        <v/>
      </c>
      <c r="D63" s="66" t="str">
        <f ca="1">IFERROR(INDEX(Validation!F:F,MATCH("Dist Info"&amp;CELL("address",C63),Validation!I:I,0)),"")</f>
        <v/>
      </c>
    </row>
    <row r="64" spans="1:7" x14ac:dyDescent="0.25">
      <c r="A64" s="96" t="str">
        <f>"Did the County Auditor Correct an Error in "&amp;Year_DestinationYearID&amp;"?"</f>
        <v>Did the County Auditor Correct an Error in 2024?</v>
      </c>
      <c r="B64" s="83" t="str">
        <f>IF(TIF_ErrorCorrection_Year_Input=TRUE,"Yes","Select One")</f>
        <v>Select One</v>
      </c>
      <c r="C64" s="77" t="str">
        <f ca="1">IFERROR(INDEX(Validation!G:G,MATCH("Dist Info"&amp;CELL("address",C64),Validation!I:I,0)),"")</f>
        <v>You must select Yes or No.</v>
      </c>
      <c r="D64" s="66" t="str">
        <f ca="1">IFERROR(INDEX(Validation!F:F,MATCH("Dist Info"&amp;CELL("address",C64),Validation!I:I,0)),"")</f>
        <v>Error</v>
      </c>
      <c r="E64" s="85" t="b">
        <v>0</v>
      </c>
      <c r="F64" s="85" t="b">
        <f>IF(TIF_ErrorCorrection_Year_Entry="Yes",TRUE,FALSE)</f>
        <v>0</v>
      </c>
      <c r="G64" s="86" t="s">
        <v>504</v>
      </c>
    </row>
    <row r="65" spans="1:4" ht="20.100000000000001" customHeight="1" x14ac:dyDescent="0.25">
      <c r="A65" s="74" t="s">
        <v>409</v>
      </c>
      <c r="B65" s="81"/>
      <c r="C65" s="77" t="str">
        <f ca="1">IFERROR(INDEX(Validation!G:G,MATCH("Dist Info"&amp;CELL("address",C65),Validation!I:I,0)),"")</f>
        <v/>
      </c>
      <c r="D65" s="66" t="str">
        <f ca="1">IFERROR(INDEX(Validation!F:F,MATCH("Dist Info"&amp;CELL("address",C65),Validation!I:I,0)),"")</f>
        <v/>
      </c>
    </row>
    <row r="66" spans="1:4" x14ac:dyDescent="0.25">
      <c r="A66" s="79" t="s">
        <v>410</v>
      </c>
      <c r="B66" s="83" t="s">
        <v>41</v>
      </c>
      <c r="C66" s="77" t="str">
        <f ca="1">IFERROR(INDEX(Validation!G:G,MATCH("Dist Info"&amp;CELL("address",C66),Validation!I:I,0)),"")</f>
        <v>You must be able to answer Yes before form can be submitted.</v>
      </c>
      <c r="D66" s="66" t="str">
        <f ca="1">IFERROR(INDEX(Validation!F:F,MATCH("Dist Info"&amp;CELL("address",C66),Validation!I:I,0)),"")</f>
        <v>Error</v>
      </c>
    </row>
    <row r="67" spans="1:4" ht="20.100000000000001" customHeight="1" x14ac:dyDescent="0.25">
      <c r="A67" s="97" t="s">
        <v>176</v>
      </c>
      <c r="C67" s="77" t="str">
        <f ca="1">IFERROR(INDEX(Validation!G:G,MATCH("Dist Info"&amp;CELL("address",C67),Validation!I:I,0)),"")</f>
        <v/>
      </c>
      <c r="D67" s="66" t="str">
        <f ca="1">IFERROR(INDEX(Validation!F:F,MATCH("Dist Info"&amp;CELL("address",C67),Validation!I:I,0)),"")</f>
        <v/>
      </c>
    </row>
    <row r="68" spans="1:4" ht="150" customHeight="1" x14ac:dyDescent="0.25">
      <c r="A68" s="99"/>
      <c r="B68" s="100" t="str">
        <f>HYPERLINK("#'spec leg'!A7","Click here to continue to the Special Legislation Tab")</f>
        <v>Click here to continue to the Special Legislation Tab</v>
      </c>
    </row>
    <row r="69" spans="1:4" x14ac:dyDescent="0.25">
      <c r="A69" s="98"/>
      <c r="B69" s="98"/>
    </row>
    <row r="70" spans="1:4" x14ac:dyDescent="0.25">
      <c r="A70" s="98"/>
      <c r="B70" s="98"/>
    </row>
    <row r="71" spans="1:4" x14ac:dyDescent="0.25">
      <c r="A71" s="96"/>
      <c r="B71" s="98"/>
    </row>
    <row r="72" spans="1:4" x14ac:dyDescent="0.25">
      <c r="A72" s="98"/>
      <c r="B72" s="98"/>
    </row>
  </sheetData>
  <sheetProtection algorithmName="SHA-512" hashValue="kSl+SDxY1tIr6D7vDxUJyB0dHrdmdOs6HjERXOT//mkZwJYGTJqLk/HOZxft3UJBF/OHJpAmGcQUAWSiAw192g==" saltValue="x3RIzg+41pDelRM/vRirbw==" spinCount="100000" sheet="1" objects="1" scenarios="1"/>
  <mergeCells count="1">
    <mergeCell ref="A4:C4"/>
  </mergeCells>
  <conditionalFormatting sqref="A2">
    <cfRule type="expression" dxfId="673" priority="9">
      <formula>$D2="Error"</formula>
    </cfRule>
    <cfRule type="expression" dxfId="671" priority="11">
      <formula>$D2="Exclude"</formula>
    </cfRule>
  </conditionalFormatting>
  <conditionalFormatting sqref="A20:B21">
    <cfRule type="expression" dxfId="670" priority="8">
      <formula>$B$19="No"</formula>
    </cfRule>
  </conditionalFormatting>
  <conditionalFormatting sqref="A21:B21">
    <cfRule type="expression" dxfId="669" priority="26">
      <formula>OR($B$20="Option B",$B$20="Not Applicable")</formula>
    </cfRule>
  </conditionalFormatting>
  <conditionalFormatting sqref="A37:B37">
    <cfRule type="expression" dxfId="668" priority="7">
      <formula>$B$25="No"</formula>
    </cfRule>
  </conditionalFormatting>
  <conditionalFormatting sqref="B17">
    <cfRule type="cellIs" dxfId="667" priority="29" operator="equal">
      <formula>"Select One"</formula>
    </cfRule>
  </conditionalFormatting>
  <conditionalFormatting sqref="B21">
    <cfRule type="expression" dxfId="666" priority="1">
      <formula>$B$21&lt;&gt;TRUNC($B$21,0)</formula>
    </cfRule>
  </conditionalFormatting>
  <conditionalFormatting sqref="B25">
    <cfRule type="expression" dxfId="665" priority="6">
      <formula>CELL("PROTECT",B25)=1</formula>
    </cfRule>
  </conditionalFormatting>
  <conditionalFormatting sqref="B31">
    <cfRule type="expression" dxfId="664" priority="15">
      <formula>$B$5="Housing"</formula>
    </cfRule>
    <cfRule type="expression" dxfId="663" priority="16">
      <formula>$B$9="Yes"</formula>
    </cfRule>
  </conditionalFormatting>
  <conditionalFormatting sqref="B37">
    <cfRule type="expression" dxfId="662" priority="13">
      <formula>CELL("PROTECT",$B$37)=1</formula>
    </cfRule>
  </conditionalFormatting>
  <conditionalFormatting sqref="B39">
    <cfRule type="expression" dxfId="661" priority="5">
      <formula>$B$39&lt;&gt;TRUNC($B$39,0)</formula>
    </cfRule>
  </conditionalFormatting>
  <conditionalFormatting sqref="B40">
    <cfRule type="expression" dxfId="660" priority="4">
      <formula>$B$40&lt;&gt;TRUNC($B$40,0)</formula>
    </cfRule>
  </conditionalFormatting>
  <conditionalFormatting sqref="B42">
    <cfRule type="expression" dxfId="659" priority="3">
      <formula>$B$42&lt;&gt;TRUNC($B$42,0)</formula>
    </cfRule>
  </conditionalFormatting>
  <conditionalFormatting sqref="B43">
    <cfRule type="expression" dxfId="658" priority="2">
      <formula>$B$43&lt;&gt;TRUNC($B$43,0)</formula>
    </cfRule>
  </conditionalFormatting>
  <conditionalFormatting sqref="C1:D1048576">
    <cfRule type="expression" dxfId="657" priority="22">
      <formula>$D1="Information"</formula>
    </cfRule>
    <cfRule type="expression" dxfId="656" priority="23">
      <formula>$D1="Error"</formula>
    </cfRule>
    <cfRule type="expression" dxfId="655" priority="24">
      <formula>$D1="Alert"</formula>
    </cfRule>
    <cfRule type="expression" dxfId="654" priority="25">
      <formula>$D1="Exclude"</formula>
    </cfRule>
  </conditionalFormatting>
  <dataValidations count="1">
    <dataValidation type="list" allowBlank="1" showInputMessage="1" showErrorMessage="1" sqref="B25 B66 B64" xr:uid="{14DDEAC5-4D40-4940-BC6C-E7E329179726}">
      <formula1>SelOneYesNo</formula1>
    </dataValidation>
  </dataValidations>
  <pageMargins left="0.7" right="0.7" top="0.75" bottom="0.75" header="0.3" footer="0.3"/>
  <pageSetup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10" id="{A78343D2-D0B6-4C3D-B3E6-FA798D35D317}">
            <xm:f>COUNTIFS(Validation!$H:$H,MID(CELL("filename",A2),FIND("]",CELL("filename",A2))+1,255)&amp;CELL("address",A2))&gt;0</xm:f>
            <x14:dxf>
              <font>
                <b/>
                <i val="0"/>
                <color rgb="FFC00000"/>
              </font>
              <numFmt numFmtId="172" formatCode="_(\!* #,##0_);_(\!* \(#,##0\);_(\!* \-??_);_(\!\ @_)"/>
            </x14:dxf>
          </x14:cfRule>
          <xm:sqref>A2</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5C1A9-C388-4CE7-91A5-E9F20DAF10C1}">
  <sheetPr codeName="Sheet5"/>
  <dimension ref="A1:K23"/>
  <sheetViews>
    <sheetView showGridLines="0" workbookViewId="0">
      <selection activeCell="B6" sqref="B6"/>
    </sheetView>
  </sheetViews>
  <sheetFormatPr defaultRowHeight="15" x14ac:dyDescent="0.25"/>
  <cols>
    <col min="1" max="1" width="55.7109375" style="66" customWidth="1"/>
    <col min="2" max="2" width="12.5703125" style="66" customWidth="1"/>
    <col min="3" max="3" width="17.7109375" style="66" customWidth="1"/>
    <col min="4" max="6" width="8.7109375" style="66" customWidth="1"/>
    <col min="7" max="7" width="80.7109375" style="66" customWidth="1"/>
    <col min="8" max="8" width="14.7109375" style="66" customWidth="1"/>
    <col min="9" max="10" width="10.7109375" style="78" hidden="1" customWidth="1"/>
    <col min="11" max="11" width="20.7109375" style="78" hidden="1" customWidth="1"/>
    <col min="12" max="16384" width="9.140625" style="66"/>
  </cols>
  <sheetData>
    <row r="1" spans="1:11" s="59" customFormat="1" ht="24.95" customHeight="1" x14ac:dyDescent="0.25">
      <c r="A1" s="59" t="str">
        <f>_xlfn.CONCAT("Office of the State Auditor  -  TIF Annual Reporting Form  -  ",Year_DestinationYearID)</f>
        <v>Office of the State Auditor  -  TIF Annual Reporting Form  -  2024</v>
      </c>
      <c r="I1" s="61"/>
      <c r="J1" s="61"/>
      <c r="K1" s="61"/>
    </row>
    <row r="2" spans="1:11" s="68" customFormat="1" ht="20.100000000000001" customHeight="1" x14ac:dyDescent="0.3">
      <c r="A2" s="58" t="str">
        <f>_xlfn.CONCAT(GovEntity_GovEntityName_Parent,"  -  ",GovEntity_GovEntityName)</f>
        <v>Spruce City  -  TIF 1-1 Downtown Redev</v>
      </c>
      <c r="I2" s="64"/>
      <c r="J2" s="64"/>
      <c r="K2" s="64"/>
    </row>
    <row r="3" spans="1:11" s="68" customFormat="1" ht="24.95" customHeight="1" x14ac:dyDescent="0.3">
      <c r="A3" s="65" t="s">
        <v>175</v>
      </c>
      <c r="C3" s="66"/>
      <c r="D3" s="66"/>
      <c r="E3" s="66"/>
      <c r="F3" s="66"/>
      <c r="I3" s="69"/>
      <c r="J3" s="69"/>
      <c r="K3" s="69"/>
    </row>
    <row r="4" spans="1:11" ht="15" customHeight="1" x14ac:dyDescent="0.25">
      <c r="A4" s="216" t="s">
        <v>177</v>
      </c>
      <c r="B4" s="216"/>
      <c r="C4" s="216"/>
      <c r="D4" s="216"/>
      <c r="E4" s="216"/>
      <c r="F4" s="216"/>
      <c r="I4" s="72" t="s">
        <v>119</v>
      </c>
      <c r="J4" s="72" t="s">
        <v>119</v>
      </c>
      <c r="K4" s="72" t="s">
        <v>119</v>
      </c>
    </row>
    <row r="5" spans="1:11" s="74" customFormat="1" ht="19.5" customHeight="1" x14ac:dyDescent="0.25">
      <c r="A5" s="73" t="str">
        <f>HYPERLINK("#'Bonds'!A7","Click here to continue to the Bonds Tab")</f>
        <v>Click here to continue to the Bonds Tab</v>
      </c>
      <c r="G5" s="74" t="s">
        <v>178</v>
      </c>
      <c r="H5" s="74" t="s">
        <v>102</v>
      </c>
      <c r="I5" s="76" t="s">
        <v>475</v>
      </c>
      <c r="J5" s="76" t="s">
        <v>476</v>
      </c>
      <c r="K5" s="76" t="s">
        <v>484</v>
      </c>
    </row>
    <row r="6" spans="1:11" s="74" customFormat="1" ht="15" customHeight="1" x14ac:dyDescent="0.25">
      <c r="A6" s="81" t="s">
        <v>179</v>
      </c>
      <c r="B6" s="103" t="str">
        <f>IF(TIF_SpecialLegislation_SpecialLegislationInd_Input=TRUE,"Yes","Select One")</f>
        <v>Select One</v>
      </c>
      <c r="G6" s="77" t="str">
        <f ca="1">IFERROR(INDEX(Validation!G:G,MATCH("spec leg"&amp;CELL("address",G6),Validation!I:I,0)),"")</f>
        <v>You must select Yes or No.</v>
      </c>
      <c r="H6" s="66" t="str">
        <f ca="1">IFERROR(INDEX(Validation!F:F,MATCH("spec leg"&amp;CELL("address",G6),Validation!I:I,0)),"")</f>
        <v>Error</v>
      </c>
      <c r="I6" s="85" t="b">
        <v>0</v>
      </c>
      <c r="J6" s="85" t="b">
        <f>IF(TIF_SpecialLegislation_SpecialLegislationInd_Entry="Yes",TRUE,FALSE)</f>
        <v>0</v>
      </c>
      <c r="K6" s="86" t="s">
        <v>533</v>
      </c>
    </row>
    <row r="7" spans="1:11" ht="20.100000000000001" customHeight="1" x14ac:dyDescent="0.25">
      <c r="A7" s="74" t="s">
        <v>180</v>
      </c>
      <c r="B7" s="74" t="s">
        <v>181</v>
      </c>
      <c r="C7" s="74" t="s">
        <v>182</v>
      </c>
      <c r="D7" s="74" t="s">
        <v>183</v>
      </c>
      <c r="E7" s="74" t="s">
        <v>184</v>
      </c>
      <c r="F7" s="74" t="s">
        <v>185</v>
      </c>
      <c r="G7" s="77"/>
      <c r="I7" s="78" t="s">
        <v>534</v>
      </c>
    </row>
    <row r="8" spans="1:11" x14ac:dyDescent="0.25">
      <c r="A8" s="79" t="s">
        <v>186</v>
      </c>
      <c r="B8" s="103"/>
      <c r="C8" s="103"/>
      <c r="D8" s="103"/>
      <c r="E8" s="103"/>
      <c r="F8" s="103"/>
      <c r="G8" s="77" t="str">
        <f ca="1">IFERROR(INDEX(Validation!G:G,MATCH("spec leg"&amp;CELL("address",G8),Validation!I:I,0)),"")</f>
        <v/>
      </c>
      <c r="H8" s="66" t="str">
        <f ca="1">IFERROR(INDEX(Validation!F:F,MATCH("spec leg"&amp;CELL("address",G8),Validation!I:I,0)),"")</f>
        <v/>
      </c>
      <c r="I8" s="85"/>
    </row>
    <row r="9" spans="1:11" x14ac:dyDescent="0.25">
      <c r="A9" s="79" t="s">
        <v>187</v>
      </c>
      <c r="B9" s="103"/>
      <c r="C9" s="103"/>
      <c r="D9" s="103"/>
      <c r="E9" s="103"/>
      <c r="F9" s="103"/>
      <c r="G9" s="77" t="str">
        <f ca="1">IFERROR(INDEX(Validation!G:G,MATCH("spec leg"&amp;CELL("address",G9),Validation!I:I,0)),"")</f>
        <v/>
      </c>
      <c r="H9" s="66" t="str">
        <f ca="1">IFERROR(INDEX(Validation!F:F,MATCH("spec leg"&amp;CELL("address",G9),Validation!I:I,0)),"")</f>
        <v/>
      </c>
      <c r="I9" s="85"/>
    </row>
    <row r="10" spans="1:11" x14ac:dyDescent="0.25">
      <c r="A10" s="79" t="s">
        <v>188</v>
      </c>
      <c r="B10" s="103"/>
      <c r="C10" s="103"/>
      <c r="D10" s="103"/>
      <c r="E10" s="103"/>
      <c r="F10" s="103"/>
      <c r="G10" s="77" t="str">
        <f ca="1">IFERROR(INDEX(Validation!G:G,MATCH("spec leg"&amp;CELL("address",G10),Validation!I:I,0)),"")</f>
        <v/>
      </c>
      <c r="H10" s="66" t="str">
        <f ca="1">IFERROR(INDEX(Validation!F:F,MATCH("spec leg"&amp;CELL("address",G10),Validation!I:I,0)),"")</f>
        <v/>
      </c>
      <c r="I10" s="85"/>
    </row>
    <row r="11" spans="1:11" x14ac:dyDescent="0.25">
      <c r="A11" s="79" t="s">
        <v>189</v>
      </c>
      <c r="B11" s="103"/>
      <c r="C11" s="103"/>
      <c r="D11" s="103"/>
      <c r="E11" s="103"/>
      <c r="F11" s="103"/>
      <c r="G11" s="77" t="str">
        <f ca="1">IFERROR(INDEX(Validation!G:G,MATCH("spec leg"&amp;CELL("address",G11),Validation!I:I,0)),"")</f>
        <v/>
      </c>
      <c r="H11" s="66" t="str">
        <f ca="1">IFERROR(INDEX(Validation!F:F,MATCH("spec leg"&amp;CELL("address",G11),Validation!I:I,0)),"")</f>
        <v/>
      </c>
      <c r="I11" s="85"/>
    </row>
    <row r="12" spans="1:11" x14ac:dyDescent="0.25">
      <c r="A12" s="79" t="s">
        <v>190</v>
      </c>
      <c r="B12" s="103"/>
      <c r="C12" s="103"/>
      <c r="D12" s="103"/>
      <c r="E12" s="103"/>
      <c r="F12" s="103"/>
      <c r="G12" s="77" t="str">
        <f ca="1">IFERROR(INDEX(Validation!G:G,MATCH("spec leg"&amp;CELL("address",G12),Validation!I:I,0)),"")</f>
        <v/>
      </c>
      <c r="H12" s="66" t="str">
        <f ca="1">IFERROR(INDEX(Validation!F:F,MATCH("spec leg"&amp;CELL("address",G12),Validation!I:I,0)),"")</f>
        <v/>
      </c>
      <c r="I12" s="85"/>
    </row>
    <row r="13" spans="1:11" x14ac:dyDescent="0.25">
      <c r="A13" s="79" t="s">
        <v>191</v>
      </c>
      <c r="B13" s="103"/>
      <c r="C13" s="103"/>
      <c r="D13" s="103"/>
      <c r="E13" s="103"/>
      <c r="F13" s="103"/>
      <c r="G13" s="77" t="str">
        <f ca="1">IFERROR(INDEX(Validation!G:G,MATCH("spec leg"&amp;CELL("address",G13),Validation!I:I,0)),"")</f>
        <v/>
      </c>
      <c r="H13" s="66" t="str">
        <f ca="1">IFERROR(INDEX(Validation!F:F,MATCH("spec leg"&amp;CELL("address",G13),Validation!I:I,0)),"")</f>
        <v/>
      </c>
      <c r="I13" s="85"/>
    </row>
    <row r="14" spans="1:11" x14ac:dyDescent="0.25">
      <c r="A14" s="79" t="s">
        <v>192</v>
      </c>
      <c r="B14" s="103"/>
      <c r="C14" s="103"/>
      <c r="D14" s="103"/>
      <c r="E14" s="103"/>
      <c r="F14" s="103"/>
      <c r="G14" s="77" t="str">
        <f ca="1">IFERROR(INDEX(Validation!G:G,MATCH("spec leg"&amp;CELL("address",G14),Validation!I:I,0)),"")</f>
        <v/>
      </c>
      <c r="H14" s="66" t="str">
        <f ca="1">IFERROR(INDEX(Validation!F:F,MATCH("spec leg"&amp;CELL("address",G14),Validation!I:I,0)),"")</f>
        <v/>
      </c>
      <c r="I14" s="85"/>
    </row>
    <row r="15" spans="1:11" x14ac:dyDescent="0.25">
      <c r="A15" s="79" t="s">
        <v>193</v>
      </c>
      <c r="B15" s="103"/>
      <c r="C15" s="103"/>
      <c r="D15" s="103"/>
      <c r="E15" s="103"/>
      <c r="F15" s="103"/>
      <c r="G15" s="77" t="str">
        <f ca="1">IFERROR(INDEX(Validation!G:G,MATCH("spec leg"&amp;CELL("address",G15),Validation!I:I,0)),"")</f>
        <v/>
      </c>
      <c r="H15" s="66" t="str">
        <f ca="1">IFERROR(INDEX(Validation!F:F,MATCH("spec leg"&amp;CELL("address",G15),Validation!I:I,0)),"")</f>
        <v/>
      </c>
      <c r="I15" s="85"/>
    </row>
    <row r="16" spans="1:11" x14ac:dyDescent="0.25">
      <c r="A16" s="79" t="s">
        <v>194</v>
      </c>
      <c r="B16" s="103"/>
      <c r="C16" s="103"/>
      <c r="D16" s="103"/>
      <c r="E16" s="103"/>
      <c r="F16" s="103"/>
      <c r="G16" s="77" t="str">
        <f ca="1">IFERROR(INDEX(Validation!G:G,MATCH("spec leg"&amp;CELL("address",G16),Validation!I:I,0)),"")</f>
        <v/>
      </c>
      <c r="H16" s="66" t="str">
        <f ca="1">IFERROR(INDEX(Validation!F:F,MATCH("spec leg"&amp;CELL("address",G16),Validation!I:I,0)),"")</f>
        <v/>
      </c>
      <c r="I16" s="85"/>
    </row>
    <row r="17" spans="1:9" x14ac:dyDescent="0.25">
      <c r="A17" s="79" t="s">
        <v>195</v>
      </c>
      <c r="B17" s="103"/>
      <c r="C17" s="103"/>
      <c r="D17" s="103"/>
      <c r="E17" s="103"/>
      <c r="F17" s="103"/>
      <c r="G17" s="77" t="str">
        <f ca="1">IFERROR(INDEX(Validation!G:G,MATCH("spec leg"&amp;CELL("address",G17),Validation!I:I,0)),"")</f>
        <v/>
      </c>
      <c r="H17" s="66" t="str">
        <f ca="1">IFERROR(INDEX(Validation!F:F,MATCH("spec leg"&amp;CELL("address",G17),Validation!I:I,0)),"")</f>
        <v/>
      </c>
      <c r="I17" s="85"/>
    </row>
    <row r="18" spans="1:9" ht="20.100000000000001" customHeight="1" x14ac:dyDescent="0.25">
      <c r="A18" s="97" t="s">
        <v>176</v>
      </c>
      <c r="G18" s="77" t="str">
        <f ca="1">IFERROR(INDEX(Validation!G:G,MATCH("spec leg"&amp;CELL("address",G18),Validation!I:I,0)),"")</f>
        <v/>
      </c>
      <c r="H18" s="66" t="str">
        <f ca="1">IFERROR(INDEX(Validation!F:F,MATCH("spec leg"&amp;CELL("address",G18),Validation!I:I,0)),"")</f>
        <v/>
      </c>
    </row>
    <row r="19" spans="1:9" ht="150" customHeight="1" x14ac:dyDescent="0.25">
      <c r="A19" s="99"/>
      <c r="B19" s="143" t="str">
        <f>HYPERLINK("#'Bonds'!A7","Click here to continue to the Bonds Tab")</f>
        <v>Click here to continue to the Bonds Tab</v>
      </c>
      <c r="C19" s="98"/>
      <c r="D19" s="98"/>
      <c r="E19" s="98"/>
      <c r="F19" s="98"/>
    </row>
    <row r="20" spans="1:9" x14ac:dyDescent="0.25">
      <c r="A20" s="98"/>
      <c r="B20" s="98"/>
      <c r="C20" s="98"/>
      <c r="D20" s="98"/>
      <c r="E20" s="98"/>
      <c r="F20" s="98"/>
    </row>
    <row r="21" spans="1:9" x14ac:dyDescent="0.25">
      <c r="A21" s="98"/>
      <c r="B21" s="98"/>
      <c r="C21" s="98"/>
      <c r="D21" s="98"/>
      <c r="E21" s="98"/>
      <c r="F21" s="98"/>
    </row>
    <row r="22" spans="1:9" x14ac:dyDescent="0.25">
      <c r="A22" s="98"/>
      <c r="B22" s="98"/>
      <c r="C22" s="98"/>
      <c r="D22" s="98"/>
      <c r="E22" s="98"/>
      <c r="F22" s="98"/>
    </row>
    <row r="23" spans="1:9" x14ac:dyDescent="0.25">
      <c r="A23" s="98"/>
      <c r="B23" s="98"/>
      <c r="C23" s="98"/>
      <c r="D23" s="98"/>
      <c r="E23" s="98"/>
      <c r="F23" s="98"/>
    </row>
  </sheetData>
  <sheetProtection algorithmName="SHA-512" hashValue="Zvh1URDuWluSGh3UpwNSuq4cTMtFzQeV7QjTgu+v2OtKDv0I1o26IYqoC4rv1fD7kUYgBA9ipOERfRd495OTbQ==" saltValue="r60ids11x1/zxwX1EciJ4w==" spinCount="100000" sheet="1" objects="1" scenarios="1"/>
  <mergeCells count="1">
    <mergeCell ref="A4:F4"/>
  </mergeCells>
  <phoneticPr fontId="7" type="noConversion"/>
  <conditionalFormatting sqref="G1:H1048576">
    <cfRule type="expression" dxfId="652" priority="3">
      <formula>$H1="Information"</formula>
    </cfRule>
    <cfRule type="expression" dxfId="651" priority="4">
      <formula>$H1="Error"</formula>
    </cfRule>
    <cfRule type="expression" dxfId="650" priority="5">
      <formula>$H1="Alert"</formula>
    </cfRule>
    <cfRule type="expression" dxfId="649" priority="6">
      <formula>$H1="Exclude"</formula>
    </cfRule>
  </conditionalFormatting>
  <dataValidations count="2">
    <dataValidation type="list" allowBlank="1" showInputMessage="1" sqref="C8:C17" xr:uid="{031B950C-6090-47BD-87A0-565F59C0F32B}">
      <formula1>SessionLabel</formula1>
    </dataValidation>
    <dataValidation type="list" allowBlank="1" showInputMessage="1" showErrorMessage="1" sqref="B6" xr:uid="{F24C106D-B5B8-4E8B-A217-8C8F7286116A}">
      <formula1>SelOneYesNo</formula1>
    </dataValidation>
  </dataValidations>
  <pageMargins left="0.7" right="0.7" top="0.75" bottom="0.75" header="0.3" footer="0.3"/>
  <pageSetup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1" id="{AE5F6A29-0381-4A6E-B337-6DA65F907AE6}">
            <xm:f>COUNTIFS(Validation!$H:$H,MID(CELL("filename",B8),FIND("]",CELL("filename",B8))+1,255)&amp;CELL("address",B8))&gt;0</xm:f>
            <x14:dxf>
              <font>
                <b/>
                <i val="0"/>
                <color rgb="FFC00000"/>
              </font>
              <numFmt numFmtId="173" formatCode="_(\!_$* #,##0_);_(\!_$* \(#,##0\);_(\!_$* \-??_);_(\!\ @_)"/>
            </x14:dxf>
          </x14:cfRule>
          <xm:sqref>B8:F17</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F21A2-A1F6-44F7-B9EB-5E634E7D5361}">
  <dimension ref="A1:G65"/>
  <sheetViews>
    <sheetView showGridLines="0" workbookViewId="0">
      <selection activeCell="B6" sqref="B6"/>
    </sheetView>
  </sheetViews>
  <sheetFormatPr defaultRowHeight="15" x14ac:dyDescent="0.25"/>
  <cols>
    <col min="1" max="1" width="55.7109375" style="66" customWidth="1"/>
    <col min="2" max="2" width="45.7109375" style="66" customWidth="1"/>
    <col min="3" max="3" width="80.85546875" style="66" customWidth="1"/>
    <col min="4" max="4" width="14.7109375" style="66" customWidth="1"/>
    <col min="5" max="6" width="10.7109375" style="78" hidden="1" customWidth="1"/>
    <col min="7" max="7" width="20.7109375" style="78" hidden="1" customWidth="1"/>
    <col min="8" max="16384" width="9.140625" style="66"/>
  </cols>
  <sheetData>
    <row r="1" spans="1:7" s="59" customFormat="1" ht="24.95" customHeight="1" x14ac:dyDescent="0.25">
      <c r="A1" s="59" t="str">
        <f>_xlfn.CONCAT("Office of the State Auditor  -  TIF Annual Reporting Form  -  ",Year_DestinationYearID)</f>
        <v>Office of the State Auditor  -  TIF Annual Reporting Form  -  2024</v>
      </c>
      <c r="E1" s="61"/>
      <c r="F1" s="61"/>
      <c r="G1" s="61"/>
    </row>
    <row r="2" spans="1:7" s="62" customFormat="1" ht="20.100000000000001" customHeight="1" x14ac:dyDescent="0.25">
      <c r="A2" s="58" t="str">
        <f>_xlfn.CONCAT(GovEntity_GovEntityName_Parent,"  -  ",GovEntity_GovEntityName)</f>
        <v>Spruce City  -  TIF 1-1 Downtown Redev</v>
      </c>
      <c r="E2" s="64"/>
      <c r="F2" s="64"/>
      <c r="G2" s="64"/>
    </row>
    <row r="3" spans="1:7" s="68" customFormat="1" ht="24.95" customHeight="1" x14ac:dyDescent="0.3">
      <c r="A3" s="65" t="s">
        <v>108</v>
      </c>
      <c r="B3" s="66"/>
      <c r="E3" s="69"/>
      <c r="F3" s="69"/>
      <c r="G3" s="69"/>
    </row>
    <row r="4" spans="1:7" s="71" customFormat="1" ht="75" customHeight="1" x14ac:dyDescent="0.25">
      <c r="A4" s="217" t="s">
        <v>481</v>
      </c>
      <c r="B4" s="217"/>
      <c r="C4" s="217"/>
      <c r="D4" s="217"/>
      <c r="E4" s="72" t="s">
        <v>119</v>
      </c>
      <c r="F4" s="72" t="s">
        <v>119</v>
      </c>
      <c r="G4" s="72" t="s">
        <v>119</v>
      </c>
    </row>
    <row r="5" spans="1:7" s="74" customFormat="1" ht="20.100000000000001" customHeight="1" x14ac:dyDescent="0.25">
      <c r="A5" s="73" t="str">
        <f>HYPERLINK("#'PAYGs'!A7","Click here to continue to the PAYGs Tab")</f>
        <v>Click here to continue to the PAYGs Tab</v>
      </c>
      <c r="C5" s="74" t="s">
        <v>121</v>
      </c>
      <c r="D5" s="74" t="s">
        <v>102</v>
      </c>
      <c r="E5" s="76" t="s">
        <v>475</v>
      </c>
      <c r="F5" s="76" t="s">
        <v>476</v>
      </c>
      <c r="G5" s="76" t="s">
        <v>484</v>
      </c>
    </row>
    <row r="6" spans="1:7" s="74" customFormat="1" ht="15" customHeight="1" x14ac:dyDescent="0.25">
      <c r="A6" s="81" t="s">
        <v>197</v>
      </c>
      <c r="B6" s="103" t="s">
        <v>49</v>
      </c>
      <c r="C6" s="77" t="str">
        <f ca="1">IFERROR(INDEX(Validation!G:G,MATCH("Bonds"&amp;CELL("address",C6),Validation!I:I,0)),"")</f>
        <v/>
      </c>
      <c r="D6" s="66" t="str">
        <f ca="1">IFERROR(INDEX(Validation!F:F,MATCH("Bonds"&amp;CELL("address",C6),Validation!I:I,0)),"")</f>
        <v/>
      </c>
      <c r="E6" s="85" t="b">
        <v>1</v>
      </c>
      <c r="F6" s="85" t="b">
        <f>IF(TIF_Debt_DebtInd_Entry="Yes",TRUE,FALSE)</f>
        <v>1</v>
      </c>
      <c r="G6" s="86" t="s">
        <v>570</v>
      </c>
    </row>
    <row r="7" spans="1:7" ht="20.100000000000001" customHeight="1" x14ac:dyDescent="0.25">
      <c r="A7" s="74" t="s">
        <v>108</v>
      </c>
      <c r="B7" s="74" t="s">
        <v>196</v>
      </c>
      <c r="C7" s="77"/>
    </row>
    <row r="8" spans="1:7" x14ac:dyDescent="0.25">
      <c r="A8" s="77" t="s">
        <v>198</v>
      </c>
      <c r="B8" s="102" t="str">
        <f t="shared" ref="B8:B22" ca="1" si="0">IF(A8="","",HYPERLINK("#'"&amp;A8&amp;"'!B7",IFERROR(IF(INDIRECT("'"&amp;A8&amp;"'"&amp;"!$B$7")="","Click here to enter a new bond",INDIRECT("'"&amp;A8&amp;"'"&amp;"!$B$7")),"")))</f>
        <v>2017 GO TIF Bond</v>
      </c>
      <c r="C8" s="77" t="str">
        <f ca="1">IF(COUNTIF('Bond 1'!E:E,"Error")=1,"There is "&amp;COUNTIF('Bond 1'!E:E,"Error")&amp;" unresolved error on the entry screen. Click link to return and resolve it.",IF(COUNTIF('Bond 1'!E:E,"Error")&gt;0,"There are "&amp;COUNTIF('Bond 1'!E:E,"Error")&amp;" unresolved errors on the entry screen. Click link to return and resolve them.",""))</f>
        <v>There is 1 unresolved error on the entry screen. Click link to return and resolve it.</v>
      </c>
      <c r="D8" s="66" t="str">
        <f ca="1">IF(COUNTIF('Bond 1'!E:E,"Error")&gt;0,"Error","")</f>
        <v>Error</v>
      </c>
    </row>
    <row r="9" spans="1:7" x14ac:dyDescent="0.25">
      <c r="A9" s="77" t="str" cm="1">
        <f t="array" aca="1" ref="A9" ca="1">IF(OR(B8="",B8="Click here to enter a new bond"),"","Bond "&amp;(CELL("row",A9)-7))</f>
        <v>Bond 2</v>
      </c>
      <c r="B9" s="102" t="str">
        <f t="shared" ca="1" si="0"/>
        <v>Click here to enter a new bond</v>
      </c>
      <c r="C9" s="77" t="str">
        <f ca="1">IF(COUNTIF('Bond 2'!E:E,"Error")=1,"There is "&amp;COUNTIF('Bond 2'!E:E,"Error")&amp;" unresolved error on the entry screen. Click link to return and resolve it.",IF(COUNTIF('Bond 2'!E:E,"Error")&gt;0,"There are "&amp;COUNTIF('Bond 2'!E:E,"Error")&amp;" unresolved errors on the entry screen. Click link to return and resolve them.",""))</f>
        <v/>
      </c>
      <c r="D9" s="66" t="str">
        <f ca="1">IF(COUNTIF('Bond 2'!E:E,"Error")&gt;0,"Error","")</f>
        <v/>
      </c>
    </row>
    <row r="10" spans="1:7" x14ac:dyDescent="0.25">
      <c r="A10" s="77" t="str" cm="1">
        <f t="array" aca="1" ref="A10" ca="1">IF(OR(B9="",B9="Click here to enter a new bond"),"","Bond "&amp;(CELL("row",A10)-7))</f>
        <v/>
      </c>
      <c r="B10" s="102" t="str">
        <f t="shared" ca="1" si="0"/>
        <v/>
      </c>
      <c r="C10" s="77" t="str">
        <f ca="1">IF(COUNTIF('Bond 3'!E:E,"Error")=1,"There is "&amp;COUNTIF('Bond 3'!E:E,"Error")&amp;" unresolved error on the entry screen. Click link to return and resolve it.",IF(COUNTIF('Bond 3'!E:E,"Error")&gt;0,"There are "&amp;COUNTIF('Bond 3'!E:E,"Error")&amp;" unresolved errors on the entry screen. Click link to return and resolve them.",""))</f>
        <v/>
      </c>
      <c r="D10" s="66" t="str">
        <f ca="1">IF(COUNTIF('Bond 3'!E:E,"Error")&gt;0,"Error","")</f>
        <v/>
      </c>
    </row>
    <row r="11" spans="1:7" x14ac:dyDescent="0.25">
      <c r="A11" s="77" t="str" cm="1">
        <f t="array" aca="1" ref="A11" ca="1">IF(OR(B10="",B10="Click here to enter a new bond"),"","Bond "&amp;(CELL("row",A11)-7))</f>
        <v/>
      </c>
      <c r="B11" s="102" t="str">
        <f t="shared" ca="1" si="0"/>
        <v/>
      </c>
      <c r="C11" s="77" t="str">
        <f ca="1">IF(COUNTIF('Bond 4'!E:E,"Error")=1,"There is "&amp;COUNTIF('Bond 4'!E:E,"Error")&amp;" unresolved error on the entry screen. Click link to return and resolve it.",IF(COUNTIF('Bond 4'!E:E,"Error")&gt;0,"There are "&amp;COUNTIF('Bond 4'!E:E,"Error")&amp;" unresolved errors on the entry screen. Click link to return and resolve them.",""))</f>
        <v/>
      </c>
      <c r="D11" s="66" t="str">
        <f ca="1">IF(COUNTIF('Bond 4'!E:E,"Error")&gt;0,"Error","")</f>
        <v/>
      </c>
    </row>
    <row r="12" spans="1:7" x14ac:dyDescent="0.25">
      <c r="A12" s="77" t="str" cm="1">
        <f t="array" aca="1" ref="A12" ca="1">IF(OR(B11="",B11="Click here to enter a new bond"),"","Bond "&amp;(CELL("row",A12)-7))</f>
        <v/>
      </c>
      <c r="B12" s="102" t="str">
        <f t="shared" ca="1" si="0"/>
        <v/>
      </c>
      <c r="C12" s="77" t="str">
        <f ca="1">IF(COUNTIF('Bond 5'!E:E,"Error")=1,"There is "&amp;COUNTIF('Bond 5'!E:E,"Error")&amp;" unresolved error on the entry screen. Click link to return and resolve it.",IF(COUNTIF('Bond 5'!E:E,"Error")&gt;0,"There are "&amp;COUNTIF('Bond 5'!E:E,"Error")&amp;" unresolved errors on the entry screen. Click link to return and resolve them.",""))</f>
        <v/>
      </c>
      <c r="D12" s="66" t="str">
        <f ca="1">IF(COUNTIF('Bond 5'!E:E,"Error")&gt;0,"Error","")</f>
        <v/>
      </c>
    </row>
    <row r="13" spans="1:7" x14ac:dyDescent="0.25">
      <c r="A13" s="77" t="str" cm="1">
        <f t="array" aca="1" ref="A13" ca="1">IF(OR(B12="",B12="Click here to enter a new bond"),"","Bond "&amp;(CELL("row",A13)-7))</f>
        <v/>
      </c>
      <c r="B13" s="102" t="str">
        <f t="shared" ca="1" si="0"/>
        <v/>
      </c>
      <c r="C13" s="77" t="str">
        <f ca="1">IF(COUNTIF('Bond 6'!E:E,"Error")=1,"There is "&amp;COUNTIF('Bond 6'!E:E,"Error")&amp;" unresolved error on the entry screen. Click link to return and resolve it.",IF(COUNTIF('Bond 6'!E:E,"Error")&gt;0,"There are "&amp;COUNTIF('Bond 6'!E:E,"Error")&amp;" unresolved errors on the entry screen. Click link to return and resolve them.",""))</f>
        <v/>
      </c>
      <c r="D13" s="66" t="str">
        <f ca="1">IF(COUNTIF('Bond 6'!E:E,"Error")&gt;0,"Error","")</f>
        <v/>
      </c>
    </row>
    <row r="14" spans="1:7" x14ac:dyDescent="0.25">
      <c r="A14" s="77" t="str" cm="1">
        <f t="array" aca="1" ref="A14" ca="1">IF(OR(B13="",B13="Click here to enter a new bond"),"","Bond "&amp;(CELL("row",A14)-7))</f>
        <v/>
      </c>
      <c r="B14" s="102" t="str">
        <f t="shared" ca="1" si="0"/>
        <v/>
      </c>
      <c r="C14" s="77" t="str">
        <f ca="1">IF(COUNTIF('Bond 7'!E:E,"Error")=1,"There is "&amp;COUNTIF('Bond 7'!E:E,"Error")&amp;" unresolved error on the entry screen. Click link to return and resolve it.",IF(COUNTIF('Bond 7'!E:E,"Error")&gt;0,"There are "&amp;COUNTIF('Bond 7'!E:E,"Error")&amp;" unresolved errors on the entry screen. Click link to return and resolve them.",""))</f>
        <v/>
      </c>
      <c r="D14" s="66" t="str">
        <f ca="1">IF(COUNTIF('Bond 7'!E:E,"Error")&gt;0,"Error","")</f>
        <v/>
      </c>
    </row>
    <row r="15" spans="1:7" x14ac:dyDescent="0.25">
      <c r="A15" s="77" t="str" cm="1">
        <f t="array" aca="1" ref="A15" ca="1">IF(OR(B14="",B14="Click here to enter a new bond"),"","Bond "&amp;(CELL("row",A15)-7))</f>
        <v/>
      </c>
      <c r="B15" s="102" t="str">
        <f t="shared" ca="1" si="0"/>
        <v/>
      </c>
      <c r="C15" s="77" t="str">
        <f ca="1">IF(COUNTIF('Bond 8'!E:E,"Error")=1,"There is "&amp;COUNTIF('Bond 8'!E:E,"Error")&amp;" unresolved error on the entry screen. Click link to return and resolve it.",IF(COUNTIF('Bond 8'!E:E,"Error")&gt;0,"There are "&amp;COUNTIF('Bond 8'!E:E,"Error")&amp;" unresolved errors on the entry screen. Click link to return and resolve them.",""))</f>
        <v/>
      </c>
      <c r="D15" s="66" t="str">
        <f ca="1">IF(COUNTIF('Bond 8'!E:E,"Error")&gt;0,"Error","")</f>
        <v/>
      </c>
    </row>
    <row r="16" spans="1:7" x14ac:dyDescent="0.25">
      <c r="A16" s="77" t="str" cm="1">
        <f t="array" aca="1" ref="A16" ca="1">IF(OR(B15="",B15="Click here to enter a new bond"),"","Bond "&amp;(CELL("row",A16)-7))</f>
        <v/>
      </c>
      <c r="B16" s="102" t="str">
        <f t="shared" ca="1" si="0"/>
        <v/>
      </c>
      <c r="C16" s="77" t="str">
        <f ca="1">IF(COUNTIF('Bond 9'!E:E,"Error")=1,"There is "&amp;COUNTIF('Bond 9'!E:E,"Error")&amp;" unresolved error on the entry screen. Click link to return and resolve it.",IF(COUNTIF('Bond 9'!E:E,"Error")&gt;0,"There are "&amp;COUNTIF('Bond 9'!E:E,"Error")&amp;" unresolved errors on the entry screen. Click link to return and resolve them.",""))</f>
        <v/>
      </c>
      <c r="D16" s="66" t="str">
        <f ca="1">IF(COUNTIF('Bond 9'!E:E,"Error")&gt;0,"Error","")</f>
        <v/>
      </c>
    </row>
    <row r="17" spans="1:7" x14ac:dyDescent="0.25">
      <c r="A17" s="77" t="str" cm="1">
        <f t="array" aca="1" ref="A17" ca="1">IF(OR(B16="",B16="Click here to enter a new bond"),"","Bond "&amp;(CELL("row",A17)-7))</f>
        <v/>
      </c>
      <c r="B17" s="102" t="str">
        <f t="shared" ca="1" si="0"/>
        <v/>
      </c>
      <c r="C17" s="77" t="str">
        <f ca="1">IF(COUNTIF('Bond 10'!E:E,"Error")=1,"There is "&amp;COUNTIF('Bond 10'!E:E,"Error")&amp;" unresolved error on the entry screen. Click link to return and resolve it.",IF(COUNTIF('Bond 10'!E:E,"Error")&gt;0,"There are "&amp;COUNTIF('Bond 10'!E:E,"Error")&amp;" unresolved errors on the entry screen. Click link to return and resolve them.",""))</f>
        <v/>
      </c>
      <c r="D17" s="66" t="str">
        <f ca="1">IF(COUNTIF('Bond 10'!E:E,"Error")&gt;0,"Error","")</f>
        <v/>
      </c>
    </row>
    <row r="18" spans="1:7" x14ac:dyDescent="0.25">
      <c r="A18" s="77" t="str" cm="1">
        <f t="array" aca="1" ref="A18" ca="1">IF(OR(B17="",B17="Click here to enter a new bond"),"","Bond "&amp;(CELL("row",A18)-7))</f>
        <v/>
      </c>
      <c r="B18" s="102" t="str">
        <f t="shared" ca="1" si="0"/>
        <v/>
      </c>
      <c r="C18" s="77" t="str">
        <f ca="1">IF(COUNTIF('Bond 11'!E:E,"Error")=1,"There is "&amp;COUNTIF('Bond 11'!E:E,"Error")&amp;" unresolved error on the entry screen. Click link to return and resolve it.",IF(COUNTIF('Bond 11'!E:E,"Error")&gt;0,"There are "&amp;COUNTIF('Bond 11'!E:E,"Error")&amp;" unresolved errors on the entry screen. Click link to return and resolve them.",""))</f>
        <v/>
      </c>
      <c r="D18" s="66" t="str">
        <f ca="1">IF(COUNTIF('Bond 11'!E:E,"Error")&gt;0,"Error","")</f>
        <v/>
      </c>
    </row>
    <row r="19" spans="1:7" x14ac:dyDescent="0.25">
      <c r="A19" s="77" t="str" cm="1">
        <f t="array" aca="1" ref="A19" ca="1">IF(OR(B18="",B18="Click here to enter a new bond"),"","Bond "&amp;(CELL("row",A19)-7))</f>
        <v/>
      </c>
      <c r="B19" s="102" t="str">
        <f t="shared" ca="1" si="0"/>
        <v/>
      </c>
      <c r="C19" s="77" t="str">
        <f ca="1">IF(COUNTIF('Bond 12'!E:E,"Error")=1,"There is "&amp;COUNTIF('Bond 12'!E:E,"Error")&amp;" unresolved error on the entry screen. Click link to return and resolve it.",IF(COUNTIF('Bond 12'!E:E,"Error")&gt;0,"There are "&amp;COUNTIF('Bond 12'!E:E,"Error")&amp;" unresolved errors on the entry screen. Click link to return and resolve them.",""))</f>
        <v/>
      </c>
      <c r="D19" s="66" t="str">
        <f ca="1">IF(COUNTIF('Bond 12'!E:E,"Error")&gt;0,"Error","")</f>
        <v/>
      </c>
    </row>
    <row r="20" spans="1:7" x14ac:dyDescent="0.25">
      <c r="A20" s="77" t="str" cm="1">
        <f t="array" aca="1" ref="A20" ca="1">IF(OR(B19="",B19="Click here to enter a new bond"),"","Bond "&amp;(CELL("row",A20)-7))</f>
        <v/>
      </c>
      <c r="B20" s="102" t="str">
        <f t="shared" ca="1" si="0"/>
        <v/>
      </c>
      <c r="C20" s="77" t="str">
        <f ca="1">IF(COUNTIF('Bond 13'!E:E,"Error")=1,"There is "&amp;COUNTIF('Bond 13'!E:E,"Error")&amp;" unresolved error on the entry screen. Click link to return and resolve it.",IF(COUNTIF('Bond 13'!E:E,"Error")&gt;0,"There are "&amp;COUNTIF('Bond 13'!E:E,"Error")&amp;" unresolved errors on the entry screen. Click link to return and resolve them.",""))</f>
        <v/>
      </c>
      <c r="D20" s="66" t="str">
        <f ca="1">IF(COUNTIF('Bond 13'!E:E,"Error")&gt;0,"Error","")</f>
        <v/>
      </c>
    </row>
    <row r="21" spans="1:7" x14ac:dyDescent="0.25">
      <c r="A21" s="77" t="str" cm="1">
        <f t="array" aca="1" ref="A21" ca="1">IF(OR(B20="",B20="Click here to enter a new bond"),"","Bond "&amp;(CELL("row",A21)-7))</f>
        <v/>
      </c>
      <c r="B21" s="102" t="str">
        <f t="shared" ca="1" si="0"/>
        <v/>
      </c>
      <c r="C21" s="77" t="str">
        <f ca="1">IF(COUNTIF('Bond 14'!E:E,"Error")=1,"There is "&amp;COUNTIF('Bond 14'!E:E,"Error")&amp;" unresolved error on the entry screen. Click link to return and resolve it.",IF(COUNTIF('Bond 14'!E:E,"Error")&gt;0,"There are "&amp;COUNTIF('Bond 14'!E:E,"Error")&amp;" unresolved errors on the entry screen. Click link to return and resolve them.",""))</f>
        <v/>
      </c>
      <c r="D21" s="66" t="str">
        <f ca="1">IF(COUNTIF('Bond 14'!E:E,"Error")&gt;0,"Error","")</f>
        <v/>
      </c>
    </row>
    <row r="22" spans="1:7" x14ac:dyDescent="0.25">
      <c r="A22" s="77" t="str" cm="1">
        <f t="array" aca="1" ref="A22" ca="1">IF(OR(B21="",B21="Click here to enter a new bond"),"","Bond "&amp;(CELL("row",A22)-7))</f>
        <v/>
      </c>
      <c r="B22" s="102" t="str">
        <f t="shared" ca="1" si="0"/>
        <v/>
      </c>
      <c r="C22" s="77" t="str">
        <f ca="1">IF(COUNTIF('Bond 15'!E:E,"Error")=1,"There is "&amp;COUNTIF('Bond 15'!E:E,"Error")&amp;" unresolved error on the entry screen. Click link to return and resolve it.",IF(COUNTIF('Bond 15'!E:E,"Error")&gt;0,"There are "&amp;COUNTIF('Bond 15'!E:E,"Error")&amp;" unresolved errors on the entry screen. Click link to return and resolve them.",""))</f>
        <v/>
      </c>
      <c r="D22" s="66" t="str">
        <f ca="1">IF(COUNTIF('Bond 15'!E:E,"Error")&gt;0,"Error","")</f>
        <v/>
      </c>
    </row>
    <row r="23" spans="1:7" ht="20.100000000000001" customHeight="1" x14ac:dyDescent="0.25">
      <c r="A23" s="97" t="s">
        <v>176</v>
      </c>
      <c r="C23" s="66" t="str">
        <f ca="1">IFERROR(INDEX(Validation!G:G,MATCH("Bonds"&amp;CELL("address",C23),Validation!I:I,0)),"")</f>
        <v/>
      </c>
      <c r="D23" s="66" t="str">
        <f ca="1">IFERROR(INDEX(Validation!F:F,MATCH("Bonds"&amp;CELL("address",C23),Validation!I:I,0)),"")</f>
        <v/>
      </c>
    </row>
    <row r="24" spans="1:7" ht="150" customHeight="1" x14ac:dyDescent="0.25">
      <c r="A24" s="99"/>
      <c r="B24" s="143" t="str">
        <f>HYPERLINK("#'PAYGs'!A7","Click here to continue to the PAYGs Tab")</f>
        <v>Click here to continue to the PAYGs Tab</v>
      </c>
    </row>
    <row r="25" spans="1:7" x14ac:dyDescent="0.25">
      <c r="A25" s="124"/>
      <c r="B25" s="98"/>
    </row>
    <row r="26" spans="1:7" x14ac:dyDescent="0.25">
      <c r="A26" s="98"/>
      <c r="B26" s="98"/>
      <c r="E26" s="126"/>
      <c r="G26" s="86"/>
    </row>
    <row r="27" spans="1:7" x14ac:dyDescent="0.25">
      <c r="A27" s="98"/>
      <c r="B27" s="98"/>
    </row>
    <row r="28" spans="1:7" x14ac:dyDescent="0.25">
      <c r="A28" s="98"/>
      <c r="B28" s="98"/>
    </row>
    <row r="65" spans="7:7" x14ac:dyDescent="0.25">
      <c r="G65" s="86"/>
    </row>
  </sheetData>
  <sheetProtection algorithmName="SHA-512" hashValue="qxb9/sf7mc5EfkRT2CntwWQ0viANM7p2CQQeGZN4PZAAwPcorf3BKd639R14srF679NxHOQ11WSdZb+B050PgQ==" saltValue="AmfBxFNEmv0Ue65hSSyIMQ==" spinCount="100000" sheet="1" objects="1" scenarios="1"/>
  <mergeCells count="1">
    <mergeCell ref="A4:D4"/>
  </mergeCells>
  <phoneticPr fontId="7" type="noConversion"/>
  <conditionalFormatting sqref="A2">
    <cfRule type="expression" dxfId="648" priority="3">
      <formula>$D2="Error"</formula>
    </cfRule>
    <cfRule type="expression" dxfId="646" priority="5">
      <formula>$D2="Exclude"</formula>
    </cfRule>
  </conditionalFormatting>
  <conditionalFormatting sqref="A8:A22">
    <cfRule type="containsText" dxfId="645" priority="6" operator="containsText" text="Bond">
      <formula>NOT(ISERROR(SEARCH("Bond",A8)))</formula>
    </cfRule>
  </conditionalFormatting>
  <conditionalFormatting sqref="A7:B22">
    <cfRule type="expression" dxfId="643" priority="10">
      <formula>NOT($B$6="Yes")</formula>
    </cfRule>
  </conditionalFormatting>
  <conditionalFormatting sqref="C1:D3 C6:D23">
    <cfRule type="expression" dxfId="642" priority="1">
      <formula>$D1="Alert"</formula>
    </cfRule>
    <cfRule type="expression" dxfId="641" priority="2">
      <formula>$D1="Error"</formula>
    </cfRule>
    <cfRule type="expression" dxfId="640" priority="12">
      <formula>$D1="Information"</formula>
    </cfRule>
  </conditionalFormatting>
  <dataValidations count="1">
    <dataValidation type="list" allowBlank="1" showInputMessage="1" showErrorMessage="1" sqref="B6" xr:uid="{38C9EBB5-597C-4E42-8449-818FD4797EB2}">
      <formula1>SelOneYesNo</formula1>
    </dataValidation>
  </dataValidations>
  <pageMargins left="0.7" right="0.7" top="0.75" bottom="0.75" header="0.3" footer="0.3"/>
  <pageSetup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4" id="{B91A192B-4741-4D5C-8144-55D2377BF133}">
            <xm:f>COUNTIFS(Validation!$H:$H,MID(CELL("filename",A2),FIND("]",CELL("filename",A2))+1,255)&amp;CELL("address",A2))&gt;0</xm:f>
            <x14:dxf>
              <font>
                <b/>
                <i val="0"/>
                <color rgb="FFC00000"/>
              </font>
              <numFmt numFmtId="172" formatCode="_(\!* #,##0_);_(\!* \(#,##0\);_(\!* \-??_);_(\!\ @_)"/>
            </x14:dxf>
          </x14:cfRule>
          <xm:sqref>A2</xm:sqref>
        </x14:conditionalFormatting>
        <x14:conditionalFormatting xmlns:xm="http://schemas.microsoft.com/office/excel/2006/main">
          <x14:cfRule type="expression" priority="13" id="{51CF17C9-6AC2-4CE9-B7BC-3D6FDDABFB54}">
            <xm:f>COUNTIFS(Validation!$H:$H,MID(CELL("filename",A6),FIND("]",CELL("filename",A6))+1,255)&amp;CELL("address",A6))&gt;0</xm:f>
            <x14:dxf>
              <font>
                <b/>
                <i val="0"/>
                <color rgb="FFC00000"/>
              </font>
              <numFmt numFmtId="175" formatCode="_(\!* ###0_);_(\!* \(###0\);_(\!* \-??_);_(\!\ @_)"/>
            </x14:dxf>
          </x14:cfRule>
          <xm:sqref>A6:B6</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A79CD-5110-4EC1-96CA-910B6397C373}">
  <dimension ref="A1:G65"/>
  <sheetViews>
    <sheetView showGridLines="0" workbookViewId="0">
      <selection activeCell="B6" sqref="B6"/>
    </sheetView>
  </sheetViews>
  <sheetFormatPr defaultRowHeight="15" x14ac:dyDescent="0.25"/>
  <cols>
    <col min="1" max="1" width="55.7109375" style="66" customWidth="1"/>
    <col min="2" max="2" width="45.7109375" style="66" customWidth="1"/>
    <col min="3" max="3" width="80.85546875" style="66" customWidth="1"/>
    <col min="4" max="4" width="14.7109375" style="66" customWidth="1"/>
    <col min="5" max="6" width="10.7109375" style="78" hidden="1" customWidth="1"/>
    <col min="7" max="7" width="20.7109375" style="78" hidden="1" customWidth="1"/>
    <col min="8" max="16384" width="9.140625" style="66"/>
  </cols>
  <sheetData>
    <row r="1" spans="1:7" s="59" customFormat="1" ht="24.95" customHeight="1" x14ac:dyDescent="0.25">
      <c r="A1" s="59" t="str">
        <f>_xlfn.CONCAT("Office of the State Auditor  -  TIF Annual Reporting Form  -  ",Year_DestinationYearID)</f>
        <v>Office of the State Auditor  -  TIF Annual Reporting Form  -  2024</v>
      </c>
      <c r="E1" s="61"/>
      <c r="F1" s="61"/>
      <c r="G1" s="61"/>
    </row>
    <row r="2" spans="1:7" s="62" customFormat="1" ht="20.100000000000001" customHeight="1" x14ac:dyDescent="0.25">
      <c r="A2" s="58" t="str">
        <f>_xlfn.CONCAT(GovEntity_GovEntityName_Parent,"  -  ",GovEntity_GovEntityName)</f>
        <v>Spruce City  -  TIF 1-1 Downtown Redev</v>
      </c>
      <c r="E2" s="64"/>
      <c r="F2" s="64"/>
      <c r="G2" s="64"/>
    </row>
    <row r="3" spans="1:7" s="68" customFormat="1" ht="24.95" customHeight="1" x14ac:dyDescent="0.3">
      <c r="A3" s="65" t="s">
        <v>199</v>
      </c>
      <c r="B3" s="66"/>
      <c r="E3" s="69"/>
      <c r="F3" s="69"/>
      <c r="G3" s="69"/>
    </row>
    <row r="4" spans="1:7" s="71" customFormat="1" ht="60" customHeight="1" x14ac:dyDescent="0.25">
      <c r="A4" s="217" t="s">
        <v>200</v>
      </c>
      <c r="B4" s="217"/>
      <c r="C4" s="217"/>
      <c r="D4" s="217"/>
      <c r="E4" s="72" t="s">
        <v>119</v>
      </c>
      <c r="F4" s="72" t="s">
        <v>119</v>
      </c>
      <c r="G4" s="72" t="s">
        <v>119</v>
      </c>
    </row>
    <row r="5" spans="1:7" s="74" customFormat="1" ht="20.100000000000001" customHeight="1" x14ac:dyDescent="0.25">
      <c r="A5" s="73" t="str">
        <f>HYPERLINK("#'Loans'!A7","Click here to continue to the Loans Tab")</f>
        <v>Click here to continue to the Loans Tab</v>
      </c>
      <c r="C5" s="74" t="s">
        <v>121</v>
      </c>
      <c r="D5" s="74" t="s">
        <v>102</v>
      </c>
      <c r="E5" s="76" t="s">
        <v>475</v>
      </c>
      <c r="F5" s="76" t="s">
        <v>476</v>
      </c>
      <c r="G5" s="76" t="s">
        <v>484</v>
      </c>
    </row>
    <row r="6" spans="1:7" s="74" customFormat="1" x14ac:dyDescent="0.25">
      <c r="A6" s="81" t="s">
        <v>201</v>
      </c>
      <c r="B6" s="103" t="s">
        <v>49</v>
      </c>
      <c r="C6" s="66" t="str">
        <f ca="1">IFERROR(INDEX(Validation!G:G,MATCH("PAYGs"&amp;CELL("address",C6),Validation!I:I,0)),"")</f>
        <v/>
      </c>
      <c r="D6" s="66" t="str">
        <f ca="1">IFERROR(INDEX(Validation!F:F,MATCH("PAYGs"&amp;CELL("address",C6),Validation!I:I,0)),"")</f>
        <v/>
      </c>
      <c r="E6" s="85" t="b">
        <v>1</v>
      </c>
      <c r="F6" s="85" t="b">
        <f>IF(TIF_PAYG_PAYGInd_Entry="Yes",TRUE,FALSE)</f>
        <v>1</v>
      </c>
      <c r="G6" s="86" t="s">
        <v>696</v>
      </c>
    </row>
    <row r="7" spans="1:7" ht="20.100000000000001" customHeight="1" x14ac:dyDescent="0.25">
      <c r="A7" s="74" t="s">
        <v>202</v>
      </c>
      <c r="B7" s="74" t="s">
        <v>196</v>
      </c>
    </row>
    <row r="8" spans="1:7" x14ac:dyDescent="0.25">
      <c r="A8" s="77" t="s">
        <v>203</v>
      </c>
      <c r="B8" s="102" t="str">
        <f ca="1">IF(A8="","",HYPERLINK("#'"&amp;A8&amp;"'!B7",IFERROR(IF(INDIRECT("'"&amp;A8&amp;"'"&amp;"!$B$7")="","Click here to enter a new PAYG",INDIRECT("'"&amp;A8&amp;"'"&amp;"!$B$7")),"")))</f>
        <v>Elevator Inc</v>
      </c>
      <c r="C8" s="66" t="str">
        <f ca="1">IF(COUNTIF('PAYG 1'!E:E,"Error")=1,"There is "&amp;COUNTIF('PAYG 1'!E:E,"Error")&amp;" unresolved error on the entry screen. Click link to return and resolve it.",IF(COUNTIF('PAYG 1'!E:E,"Error")&gt;0,"There are "&amp;COUNTIF('PAYG 1'!E:E,"Error")&amp;" unresolved errors on the entry screen. Click link to return and resolve them.",""))</f>
        <v>There is 1 unresolved error on the entry screen. Click link to return and resolve it.</v>
      </c>
      <c r="D8" s="66" t="str">
        <f ca="1">IF(COUNTIF('PAYG 1'!E:E,"Error")&gt;0,"Error","")</f>
        <v>Error</v>
      </c>
    </row>
    <row r="9" spans="1:7" x14ac:dyDescent="0.25">
      <c r="A9" s="77" t="str" cm="1">
        <f t="array" aca="1" ref="A9" ca="1">IF(OR(B8="",B8="Click here to enter a new PAYG"),"","PAYG "&amp;(CELL("row",A9)-7))</f>
        <v>PAYG 2</v>
      </c>
      <c r="B9" s="102" t="str">
        <f ca="1">IF(A9="","",HYPERLINK("#'"&amp;A9&amp;"'!B7",IFERROR(IF(INDIRECT("'"&amp;A9&amp;"'"&amp;"!$B$7")="","Click here to enter a new PAYG",INDIRECT("'"&amp;A9&amp;"'"&amp;"!$B$7")),"")))</f>
        <v>Ricks Lumber</v>
      </c>
      <c r="C9" s="66" t="str">
        <f ca="1">IF(COUNTIF('PAYG 2'!E:E,"Error")=1,"There is "&amp;COUNTIF('PAYG 2'!E:E,"Error")&amp;" unresolved error on the entry screen. Click link to return and resolve it.",IF(COUNTIF('PAYG 2'!E:E,"Error")&gt;0,"There are "&amp;COUNTIF('PAYG 2'!E:E,"Error")&amp;" unresolved errors on the entry screen. Click link to return and resolve them.",""))</f>
        <v>There is 1 unresolved error on the entry screen. Click link to return and resolve it.</v>
      </c>
      <c r="D9" s="66" t="str">
        <f ca="1">IF(COUNTIF('PAYG 2'!E:E,"Error")&gt;0,"Error","")</f>
        <v>Error</v>
      </c>
    </row>
    <row r="10" spans="1:7" x14ac:dyDescent="0.25">
      <c r="A10" s="77" t="str" cm="1">
        <f t="array" aca="1" ref="A10" ca="1">IF(OR(B9="",B9="Click here to enter a new PAYG"),"","PAYG "&amp;(CELL("row",A10)-7))</f>
        <v>PAYG 3</v>
      </c>
      <c r="B10" s="102" t="str">
        <f t="shared" ref="B10:B22" ca="1" si="0">IF(A10="","",HYPERLINK("#'"&amp;A10&amp;"'!B7",IFERROR(IF(INDIRECT("'"&amp;A10&amp;"'"&amp;"!$B$7")="","Click here to enter a new PAYG",INDIRECT("'"&amp;A10&amp;"'"&amp;"!$B$7")),"")))</f>
        <v>Click here to enter a new PAYG</v>
      </c>
      <c r="C10" s="66" t="str">
        <f ca="1">IF(COUNTIF('PAYG 3'!E:E,"Error")=1,"There is "&amp;COUNTIF('PAYG 3'!E:E,"Error")&amp;" unresolved error on the entry screen. Click link to return and resolve it.",IF(COUNTIF('PAYG 3'!E:E,"Error")&gt;0,"There are "&amp;COUNTIF('PAYG 3'!E:E,"Error")&amp;" unresolved errors on the entry screen. Click link to return and resolve them.",""))</f>
        <v/>
      </c>
      <c r="D10" s="66" t="str">
        <f ca="1">IF(COUNTIF('PAYG 3'!E:E,"Error")&gt;0,"Error","")</f>
        <v/>
      </c>
    </row>
    <row r="11" spans="1:7" x14ac:dyDescent="0.25">
      <c r="A11" s="77" t="str" cm="1">
        <f t="array" aca="1" ref="A11" ca="1">IF(OR(B10="",B10="Click here to enter a new PAYG"),"","PAYG "&amp;(CELL("row",A11)-7))</f>
        <v/>
      </c>
      <c r="B11" s="102" t="str">
        <f t="shared" ca="1" si="0"/>
        <v/>
      </c>
      <c r="C11" s="66" t="str">
        <f ca="1">IF(COUNTIF('PAYG 4'!E:E,"Error")=1,"There is "&amp;COUNTIF('PAYG 4'!E:E,"Error")&amp;" unresolved error on the entry screen. Click link to return and resolve it.",IF(COUNTIF('PAYG 4'!E:E,"Error")&gt;0,"There are "&amp;COUNTIF('PAYG 4'!E:E,"Error")&amp;" unresolved errors on the entry screen. Click link to return and resolve them.",""))</f>
        <v/>
      </c>
      <c r="D11" s="66" t="str">
        <f ca="1">IF(COUNTIF('PAYG 4'!E:E,"Error")&gt;0,"Error","")</f>
        <v/>
      </c>
    </row>
    <row r="12" spans="1:7" x14ac:dyDescent="0.25">
      <c r="A12" s="77" t="str" cm="1">
        <f t="array" aca="1" ref="A12" ca="1">IF(OR(B11="",B11="Click here to enter a new PAYG"),"","PAYG "&amp;(CELL("row",A12)-7))</f>
        <v/>
      </c>
      <c r="B12" s="102" t="str">
        <f t="shared" ca="1" si="0"/>
        <v/>
      </c>
      <c r="C12" s="66" t="str">
        <f ca="1">IF(COUNTIF('PAYG 5'!E:E,"Error")=1,"There is "&amp;COUNTIF('PAYG 5'!E:E,"Error")&amp;" unresolved error on the entry screen. Click link to return and resolve it.",IF(COUNTIF('PAYG 5'!E:E,"Error")&gt;0,"There are "&amp;COUNTIF('PAYG 5'!E:E,"Error")&amp;" unresolved errors on the entry screen. Click link to return and resolve them.",""))</f>
        <v/>
      </c>
      <c r="D12" s="66" t="str">
        <f ca="1">IF(COUNTIF('PAYG 5'!E:E,"Error")&gt;0,"Error","")</f>
        <v/>
      </c>
    </row>
    <row r="13" spans="1:7" x14ac:dyDescent="0.25">
      <c r="A13" s="77" t="str" cm="1">
        <f t="array" aca="1" ref="A13" ca="1">IF(OR(B12="",B12="Click here to enter a new PAYG"),"","PAYG "&amp;(CELL("row",A13)-7))</f>
        <v/>
      </c>
      <c r="B13" s="102" t="str">
        <f t="shared" ca="1" si="0"/>
        <v/>
      </c>
      <c r="C13" s="66" t="str">
        <f ca="1">IF(COUNTIF('PAYG 6'!E:E,"Error")=1,"There is "&amp;COUNTIF('PAYG 6'!E:E,"Error")&amp;" unresolved error on the entry screen. Click link to return and resolve it.",IF(COUNTIF('PAYG 6'!E:E,"Error")&gt;0,"There are "&amp;COUNTIF('PAYG 6'!E:E,"Error")&amp;" unresolved errors on the entry screen. Click link to return and resolve them.",""))</f>
        <v/>
      </c>
      <c r="D13" s="66" t="str">
        <f ca="1">IF(COUNTIF('PAYG 6'!E:E,"Error")&gt;0,"Error","")</f>
        <v/>
      </c>
    </row>
    <row r="14" spans="1:7" x14ac:dyDescent="0.25">
      <c r="A14" s="77" t="str" cm="1">
        <f t="array" aca="1" ref="A14" ca="1">IF(OR(B13="",B13="Click here to enter a new PAYG"),"","PAYG "&amp;(CELL("row",A14)-7))</f>
        <v/>
      </c>
      <c r="B14" s="102" t="str">
        <f t="shared" ca="1" si="0"/>
        <v/>
      </c>
      <c r="C14" s="66" t="str">
        <f ca="1">IF(COUNTIF('PAYG 7'!E:E,"Error")=1,"There is "&amp;COUNTIF('PAYG 7'!E:E,"Error")&amp;" unresolved error on the entry screen. Click link to return and resolve it.",IF(COUNTIF('PAYG 7'!E:E,"Error")&gt;0,"There are "&amp;COUNTIF('PAYG 7'!E:E,"Error")&amp;" unresolved errors on the entry screen. Click link to return and resolve them.",""))</f>
        <v/>
      </c>
      <c r="D14" s="66" t="str">
        <f ca="1">IF(COUNTIF('PAYG 7'!E:E,"Error")&gt;0,"Error","")</f>
        <v/>
      </c>
    </row>
    <row r="15" spans="1:7" x14ac:dyDescent="0.25">
      <c r="A15" s="77" t="str" cm="1">
        <f t="array" aca="1" ref="A15" ca="1">IF(OR(B14="",B14="Click here to enter a new PAYG"),"","PAYG "&amp;(CELL("row",A15)-7))</f>
        <v/>
      </c>
      <c r="B15" s="102" t="str">
        <f t="shared" ca="1" si="0"/>
        <v/>
      </c>
      <c r="C15" s="66" t="str">
        <f ca="1">IF(COUNTIF('PAYG 8'!E:E,"Error")=1,"There is "&amp;COUNTIF('PAYG 8'!E:E,"Error")&amp;" unresolved error on the entry screen. Click link to return and resolve it.",IF(COUNTIF('PAYG 8'!E:E,"Error")&gt;0,"There are "&amp;COUNTIF('PAYG 8'!E:E,"Error")&amp;" unresolved errors on the entry screen. Click link to return and resolve them.",""))</f>
        <v/>
      </c>
      <c r="D15" s="66" t="str">
        <f ca="1">IF(COUNTIF('PAYG 8'!E:E,"Error")&gt;0,"Error","")</f>
        <v/>
      </c>
    </row>
    <row r="16" spans="1:7" x14ac:dyDescent="0.25">
      <c r="A16" s="77" t="str" cm="1">
        <f t="array" aca="1" ref="A16" ca="1">IF(OR(B15="",B15="Click here to enter a new PAYG"),"","PAYG "&amp;(CELL("row",A16)-7))</f>
        <v/>
      </c>
      <c r="B16" s="102" t="str">
        <f t="shared" ca="1" si="0"/>
        <v/>
      </c>
      <c r="C16" s="66" t="str">
        <f ca="1">IF(COUNTIF('PAYG 9'!E:E,"Error")=1,"There is "&amp;COUNTIF('PAYG 9'!E:E,"Error")&amp;" unresolved error on the entry screen. Click link to return and resolve it.",IF(COUNTIF('PAYG 9'!E:E,"Error")&gt;0,"There are "&amp;COUNTIF('PAYG 9'!E:E,"Error")&amp;" unresolved errors on the entry screen. Click link to return and resolve them.",""))</f>
        <v/>
      </c>
      <c r="D16" s="66" t="str">
        <f ca="1">IF(COUNTIF('PAYG 9'!E:E,"Error")&gt;0,"Error","")</f>
        <v/>
      </c>
    </row>
    <row r="17" spans="1:7" x14ac:dyDescent="0.25">
      <c r="A17" s="77" t="str" cm="1">
        <f t="array" aca="1" ref="A17" ca="1">IF(OR(B16="",B16="Click here to enter a new PAYG"),"","PAYG "&amp;(CELL("row",A17)-7))</f>
        <v/>
      </c>
      <c r="B17" s="102" t="str">
        <f t="shared" ca="1" si="0"/>
        <v/>
      </c>
      <c r="C17" s="66" t="str">
        <f ca="1">IF(COUNTIF('PAYG 10'!E:E,"Error")=1,"There is "&amp;COUNTIF('PAYG 10'!E:E,"Error")&amp;" unresolved error on the entry screen. Click link to return and resolve it.",IF(COUNTIF('PAYG 10'!E:E,"Error")&gt;0,"There are "&amp;COUNTIF('PAYG 10'!E:E,"Error")&amp;" unresolved errors on the entry screen. Click link to return and resolve them.",""))</f>
        <v/>
      </c>
      <c r="D17" s="66" t="str">
        <f ca="1">IF(COUNTIF('PAYG 10'!E:E,"Error")&gt;0,"Error","")</f>
        <v/>
      </c>
    </row>
    <row r="18" spans="1:7" x14ac:dyDescent="0.25">
      <c r="A18" s="77" t="str" cm="1">
        <f t="array" aca="1" ref="A18" ca="1">IF(OR(B17="",B17="Click here to enter a new PAYG"),"","PAYG "&amp;(CELL("row",A18)-7))</f>
        <v/>
      </c>
      <c r="B18" s="102" t="str">
        <f t="shared" ca="1" si="0"/>
        <v/>
      </c>
      <c r="C18" s="66" t="str">
        <f ca="1">IF(COUNTIF('PAYG 11'!E:E,"Error")=1,"There is "&amp;COUNTIF('PAYG 11'!E:E,"Error")&amp;" unresolved error on the entry screen. Click link to return and resolve it.",IF(COUNTIF('PAYG 11'!E:E,"Error")&gt;0,"There are "&amp;COUNTIF('PAYG 11'!E:E,"Error")&amp;" unresolved errors on the entry screen. Click link to return and resolve them.",""))</f>
        <v/>
      </c>
      <c r="D18" s="66" t="str">
        <f ca="1">IF(COUNTIF('PAYG 11'!E:E,"Error")&gt;0,"Error","")</f>
        <v/>
      </c>
    </row>
    <row r="19" spans="1:7" x14ac:dyDescent="0.25">
      <c r="A19" s="77" t="str" cm="1">
        <f t="array" aca="1" ref="A19" ca="1">IF(OR(B18="",B18="Click here to enter a new PAYG"),"","PAYG "&amp;(CELL("row",A19)-7))</f>
        <v/>
      </c>
      <c r="B19" s="102" t="str">
        <f t="shared" ca="1" si="0"/>
        <v/>
      </c>
      <c r="C19" s="66" t="str">
        <f ca="1">IF(COUNTIF('PAYG 12'!E:E,"Error")=1,"There is "&amp;COUNTIF('PAYG 12'!E:E,"Error")&amp;" unresolved error on the entry screen. Click link to return and resolve it.",IF(COUNTIF('PAYG 12'!E:E,"Error")&gt;0,"There are "&amp;COUNTIF('PAYG 12'!E:E,"Error")&amp;" unresolved errors on the entry screen. Click link to return and resolve them.",""))</f>
        <v/>
      </c>
      <c r="D19" s="66" t="str">
        <f ca="1">IF(COUNTIF('PAYG 12'!E:E,"Error")&gt;0,"Error","")</f>
        <v/>
      </c>
    </row>
    <row r="20" spans="1:7" x14ac:dyDescent="0.25">
      <c r="A20" s="77" t="str" cm="1">
        <f t="array" aca="1" ref="A20" ca="1">IF(OR(B19="",B19="Click here to enter a new PAYG"),"","PAYG "&amp;(CELL("row",A20)-7))</f>
        <v/>
      </c>
      <c r="B20" s="102" t="str">
        <f t="shared" ca="1" si="0"/>
        <v/>
      </c>
      <c r="C20" s="66" t="str">
        <f ca="1">IF(COUNTIF('PAYG 13'!E:E,"Error")=1,"There is "&amp;COUNTIF('PAYG 13'!E:E,"Error")&amp;" unresolved error on the entry screen. Click link to return and resolve it.",IF(COUNTIF('PAYG 13'!E:E,"Error")&gt;0,"There are "&amp;COUNTIF('PAYG 13'!E:E,"Error")&amp;" unresolved errors on the entry screen. Click link to return and resolve them.",""))</f>
        <v/>
      </c>
      <c r="D20" s="66" t="str">
        <f ca="1">IF(COUNTIF('PAYG 13'!E:E,"Error")&gt;0,"Error","")</f>
        <v/>
      </c>
    </row>
    <row r="21" spans="1:7" x14ac:dyDescent="0.25">
      <c r="A21" s="77" t="str" cm="1">
        <f t="array" aca="1" ref="A21" ca="1">IF(OR(B20="",B20="Click here to enter a new PAYG"),"","PAYG "&amp;(CELL("row",A21)-7))</f>
        <v/>
      </c>
      <c r="B21" s="102" t="str">
        <f t="shared" ca="1" si="0"/>
        <v/>
      </c>
      <c r="C21" s="66" t="str">
        <f ca="1">IF(COUNTIF('PAYG 14'!E:E,"Error")=1,"There is "&amp;COUNTIF('PAYG 14'!E:E,"Error")&amp;" unresolved error on the entry screen. Click link to return and resolve it.",IF(COUNTIF('PAYG 14'!E:E,"Error")&gt;0,"There are "&amp;COUNTIF('PAYG 14'!E:E,"Error")&amp;" unresolved errors on the entry screen. Click link to return and resolve them.",""))</f>
        <v/>
      </c>
      <c r="D21" s="66" t="str">
        <f ca="1">IF(COUNTIF('PAYG 14'!E:E,"Error")&gt;0,"Error","")</f>
        <v/>
      </c>
    </row>
    <row r="22" spans="1:7" x14ac:dyDescent="0.25">
      <c r="A22" s="77" t="str" cm="1">
        <f t="array" aca="1" ref="A22" ca="1">IF(OR(B21="",B21="Click here to enter a new PAYG"),"","PAYG "&amp;(CELL("row",A22)-7))</f>
        <v/>
      </c>
      <c r="B22" s="102" t="str">
        <f t="shared" ca="1" si="0"/>
        <v/>
      </c>
      <c r="C22" s="66" t="str">
        <f ca="1">IF(COUNTIF('PAYG 15'!E:E,"Error")=1,"There is "&amp;COUNTIF('PAYG 15'!E:E,"Error")&amp;" unresolved error on the entry screen. Click link to return and resolve it.",IF(COUNTIF('PAYG 15'!E:E,"Error")&gt;0,"There are "&amp;COUNTIF('PAYG 15'!E:E,"Error")&amp;" unresolved errors on the entry screen. Click link to return and resolve them.",""))</f>
        <v/>
      </c>
      <c r="D22" s="66" t="str">
        <f ca="1">IF(COUNTIF('PAYG 15'!E:E,"Error")&gt;0,"Error","")</f>
        <v/>
      </c>
    </row>
    <row r="23" spans="1:7" ht="20.100000000000001" customHeight="1" x14ac:dyDescent="0.25">
      <c r="A23" s="97" t="s">
        <v>176</v>
      </c>
      <c r="C23" s="66" t="str">
        <f ca="1">IFERROR(INDEX(Validation!G:G,MATCH("PAYGs"&amp;CELL("address",C23),Validation!I:I,0)),"")</f>
        <v/>
      </c>
      <c r="D23" s="66" t="str">
        <f ca="1">IFERROR(INDEX(Validation!F:F,MATCH("PAYGs"&amp;CELL("address",C23),Validation!I:I,0)),"")</f>
        <v/>
      </c>
    </row>
    <row r="24" spans="1:7" ht="150" customHeight="1" x14ac:dyDescent="0.25">
      <c r="A24" s="144"/>
      <c r="B24" s="143" t="str">
        <f>HYPERLINK("#'Loans'!A7","Click here to continue to the Loans Tab")</f>
        <v>Click here to continue to the Loans Tab</v>
      </c>
    </row>
    <row r="25" spans="1:7" x14ac:dyDescent="0.25">
      <c r="A25" s="124"/>
      <c r="B25" s="98"/>
    </row>
    <row r="26" spans="1:7" x14ac:dyDescent="0.25">
      <c r="A26" s="98"/>
      <c r="B26" s="98"/>
      <c r="E26" s="126"/>
      <c r="G26" s="86"/>
    </row>
    <row r="27" spans="1:7" x14ac:dyDescent="0.25">
      <c r="A27" s="98"/>
      <c r="B27" s="98"/>
    </row>
    <row r="28" spans="1:7" x14ac:dyDescent="0.25">
      <c r="A28" s="98"/>
      <c r="B28" s="98"/>
    </row>
    <row r="65" spans="7:7" x14ac:dyDescent="0.25">
      <c r="G65" s="86"/>
    </row>
  </sheetData>
  <sheetProtection algorithmName="SHA-512" hashValue="RzT4mbFpjfO4lj9EzQsX+o7KKaTkDaTgGpKNLAZD3WXgiExQzN/62juV5VpPxltEvThTlrabwOSt+TJnPergbw==" saltValue="jWGU6qIohjZ7ru+wcmXONg==" spinCount="100000" sheet="1" objects="1" scenarios="1"/>
  <mergeCells count="1">
    <mergeCell ref="A4:D4"/>
  </mergeCells>
  <phoneticPr fontId="7" type="noConversion"/>
  <conditionalFormatting sqref="A2">
    <cfRule type="expression" dxfId="639" priority="4">
      <formula>$D2="Error"</formula>
    </cfRule>
    <cfRule type="expression" dxfId="637" priority="6">
      <formula>$D2="Exclude"</formula>
    </cfRule>
  </conditionalFormatting>
  <conditionalFormatting sqref="A8:A22">
    <cfRule type="containsText" dxfId="636" priority="7" operator="containsText" text="PAYG">
      <formula>NOT(ISERROR(SEARCH("PAYG",A8)))</formula>
    </cfRule>
  </conditionalFormatting>
  <conditionalFormatting sqref="A8:B22">
    <cfRule type="expression" dxfId="635" priority="8">
      <formula>NOT($B$6="Yes")</formula>
    </cfRule>
  </conditionalFormatting>
  <conditionalFormatting sqref="C1:D7 C8:C22 C23:D1048576">
    <cfRule type="expression" dxfId="633" priority="12">
      <formula>$D1="Error"</formula>
    </cfRule>
  </conditionalFormatting>
  <conditionalFormatting sqref="D8:D22">
    <cfRule type="expression" dxfId="632" priority="1">
      <formula>$D8="Alert"</formula>
    </cfRule>
    <cfRule type="expression" dxfId="631" priority="2">
      <formula>$D8="Error"</formula>
    </cfRule>
    <cfRule type="expression" dxfId="630" priority="3">
      <formula>$D8="Information"</formula>
    </cfRule>
  </conditionalFormatting>
  <dataValidations count="1">
    <dataValidation type="list" allowBlank="1" showInputMessage="1" showErrorMessage="1" sqref="B6" xr:uid="{A56B5ADB-68A0-4166-B4CA-048891FB26D4}">
      <formula1>SelOneYesNo</formula1>
    </dataValidation>
  </dataValidations>
  <pageMargins left="0.7" right="0.7" top="0.75" bottom="0.75" header="0.3" footer="0.3"/>
  <pageSetup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5" id="{01A60947-330E-4A49-9A52-7514BEB40374}">
            <xm:f>COUNTIFS(Validation!$H:$H,MID(CELL("filename",A2),FIND("]",CELL("filename",A2))+1,255)&amp;CELL("address",A2))&gt;0</xm:f>
            <x14:dxf>
              <font>
                <b/>
                <i val="0"/>
                <color rgb="FFC00000"/>
              </font>
              <numFmt numFmtId="172" formatCode="_(\!* #,##0_);_(\!* \(#,##0\);_(\!* \-??_);_(\!\ @_)"/>
            </x14:dxf>
          </x14:cfRule>
          <xm:sqref>A2</xm:sqref>
        </x14:conditionalFormatting>
        <x14:conditionalFormatting xmlns:xm="http://schemas.microsoft.com/office/excel/2006/main">
          <x14:cfRule type="expression" priority="9" id="{F968AC39-D13A-4DFF-9DC6-3170F516DB17}">
            <xm:f>COUNTIFS(Validation!$H:$H,MID(CELL("filename",B6),FIND("]",CELL("filename",B6))+1,255)&amp;CELL("address",B6))&gt;0</xm:f>
            <x14:dxf>
              <font>
                <b/>
                <i val="0"/>
                <color rgb="FFC00000"/>
              </font>
              <numFmt numFmtId="175" formatCode="_(\!* ###0_);_(\!* \(###0\);_(\!* \-??_);_(\!\ @_)"/>
            </x14:dxf>
          </x14:cfRule>
          <xm:sqref>B6</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0FA59-EBDF-4A14-A0AE-5C85D1029DF8}">
  <dimension ref="A1:G65"/>
  <sheetViews>
    <sheetView showGridLines="0" workbookViewId="0">
      <selection activeCell="B6" sqref="B6"/>
    </sheetView>
  </sheetViews>
  <sheetFormatPr defaultRowHeight="15" x14ac:dyDescent="0.25"/>
  <cols>
    <col min="1" max="1" width="55.7109375" style="66" customWidth="1"/>
    <col min="2" max="2" width="45.7109375" style="66" customWidth="1"/>
    <col min="3" max="3" width="80.85546875" style="66" customWidth="1"/>
    <col min="4" max="4" width="14.7109375" style="66" customWidth="1"/>
    <col min="5" max="6" width="10.7109375" style="78" hidden="1" customWidth="1"/>
    <col min="7" max="7" width="20.7109375" style="78" hidden="1" customWidth="1"/>
    <col min="8" max="16384" width="9.140625" style="66"/>
  </cols>
  <sheetData>
    <row r="1" spans="1:7" s="59" customFormat="1" ht="24.95" customHeight="1" x14ac:dyDescent="0.25">
      <c r="A1" s="59" t="str">
        <f>_xlfn.CONCAT("Office of the State Auditor  -  TIF Annual Reporting Form  -  ",Year_DestinationYearID)</f>
        <v>Office of the State Auditor  -  TIF Annual Reporting Form  -  2024</v>
      </c>
      <c r="E1" s="61"/>
      <c r="F1" s="61"/>
      <c r="G1" s="61"/>
    </row>
    <row r="2" spans="1:7" s="62" customFormat="1" ht="20.100000000000001" customHeight="1" x14ac:dyDescent="0.25">
      <c r="A2" s="58" t="str">
        <f>_xlfn.CONCAT(GovEntity_GovEntityName_Parent,"  -  ",GovEntity_GovEntityName)</f>
        <v>Spruce City  -  TIF 1-1 Downtown Redev</v>
      </c>
      <c r="E2" s="64"/>
      <c r="F2" s="64"/>
      <c r="G2" s="64"/>
    </row>
    <row r="3" spans="1:7" s="68" customFormat="1" ht="24.95" customHeight="1" x14ac:dyDescent="0.3">
      <c r="A3" s="65" t="s">
        <v>204</v>
      </c>
      <c r="B3" s="66"/>
      <c r="E3" s="69"/>
      <c r="F3" s="69"/>
      <c r="G3" s="69"/>
    </row>
    <row r="4" spans="1:7" s="71" customFormat="1" ht="75" customHeight="1" x14ac:dyDescent="0.25">
      <c r="A4" s="217" t="s">
        <v>482</v>
      </c>
      <c r="B4" s="217"/>
      <c r="C4" s="217"/>
      <c r="D4" s="217"/>
      <c r="E4" s="72" t="s">
        <v>119</v>
      </c>
      <c r="F4" s="72" t="s">
        <v>119</v>
      </c>
      <c r="G4" s="72" t="s">
        <v>119</v>
      </c>
    </row>
    <row r="5" spans="1:7" s="74" customFormat="1" ht="20.100000000000001" customHeight="1" x14ac:dyDescent="0.25">
      <c r="A5" s="73" t="str">
        <f>HYPERLINK("#'Debt Summary'!A7","Click here to continue to the Debt Summary Tab")</f>
        <v>Click here to continue to the Debt Summary Tab</v>
      </c>
      <c r="C5" s="74" t="s">
        <v>121</v>
      </c>
      <c r="D5" s="74" t="s">
        <v>102</v>
      </c>
      <c r="E5" s="76" t="s">
        <v>475</v>
      </c>
      <c r="F5" s="76" t="s">
        <v>476</v>
      </c>
      <c r="G5" s="76" t="s">
        <v>484</v>
      </c>
    </row>
    <row r="6" spans="1:7" s="74" customFormat="1" x14ac:dyDescent="0.25">
      <c r="A6" s="81" t="s">
        <v>755</v>
      </c>
      <c r="B6" s="103" t="s">
        <v>49</v>
      </c>
      <c r="C6" s="66" t="str">
        <f ca="1">IFERROR(INDEX(Validation!G:G,MATCH("Loans"&amp;CELL("address",C6),Validation!I:I,0)),"")</f>
        <v/>
      </c>
      <c r="D6" s="66" t="str">
        <f ca="1">IFERROR(INDEX(Validation!F:F,MATCH("loans"&amp;CELL("address",C6),Validation!I:I,0)),"")</f>
        <v/>
      </c>
      <c r="E6" s="85" t="b">
        <v>1</v>
      </c>
      <c r="F6" s="85" t="b">
        <f>IF(TIF_InterfundLoan_InterfundLoanInd_Entry="Yes",TRUE,FALSE)</f>
        <v>1</v>
      </c>
      <c r="G6" s="86" t="s">
        <v>911</v>
      </c>
    </row>
    <row r="7" spans="1:7" ht="20.100000000000001" customHeight="1" x14ac:dyDescent="0.25">
      <c r="A7" s="74" t="s">
        <v>204</v>
      </c>
      <c r="B7" s="74" t="s">
        <v>196</v>
      </c>
    </row>
    <row r="8" spans="1:7" x14ac:dyDescent="0.25">
      <c r="A8" s="77" t="s">
        <v>205</v>
      </c>
      <c r="B8" s="145" t="str" cm="1">
        <f t="array" aca="1" ref="B8" ca="1">IF(A8="","",IF(INDIRECT("'"&amp;A8&amp;"'!B$7")=Lists!$AH$2,HYPERLINK("#'"&amp;A8&amp;"'!B$7",INDIRECT("'"&amp;A8&amp;"'!B$8")),IF(INDIRECT("'"&amp;A8&amp;"'!B$7")=Lists!$AH$3,HYPERLINK("#'"&amp;A8&amp;"'!B$7",INDIRECT("'"&amp;A8&amp;"'!B$9")),HYPERLINK("#'"&amp;A8&amp;"'!B$7","Click here to enter a new loan"))))</f>
        <v>General Fund</v>
      </c>
      <c r="C8" s="66" t="str">
        <f ca="1">IF(COUNTIF('Loan 1'!E:E,"Error")=1,"There is "&amp;COUNTIF('Loan 1'!E:E,"Error")&amp;" unresolved error on the entry screen. Click link to return and resolve it.",IF(COUNTIF('Loan 1'!E:E,"Error")&gt;0,"There are "&amp;COUNTIF('Loan 1'!E:E,"Error")&amp;" unresolved errors on the entry screen. Click link to return and resolve them.",""))</f>
        <v>There are 3 unresolved errors on the entry screen. Click link to return and resolve them.</v>
      </c>
      <c r="D8" s="66" t="str">
        <f ca="1">IF(COUNTIF('Loan 1'!E:E,"Error")&gt;0,"Error","")</f>
        <v>Error</v>
      </c>
    </row>
    <row r="9" spans="1:7" x14ac:dyDescent="0.25">
      <c r="A9" s="77" t="str" cm="1">
        <f t="array" aca="1" ref="A9" ca="1">IF(OR(B8="",B8="Click here to enter a new Loan"),"","Loan "&amp;(CELL("row",A9)-7))</f>
        <v>Loan 2</v>
      </c>
      <c r="B9" s="145" t="str" cm="1">
        <f t="array" aca="1" ref="B9" ca="1">IF(A9="","",IF(INDIRECT("'"&amp;A9&amp;"'!B$7")=Lists!$AH$2,HYPERLINK("#'"&amp;A9&amp;"'!B$7",INDIRECT("'"&amp;A9&amp;"'!B$8")),IF(INDIRECT("'"&amp;A9&amp;"'!B$7")=Lists!$AH$3,HYPERLINK("#'"&amp;A9&amp;"'!B$7",INDIRECT("'"&amp;A9&amp;"'!B$9")),HYPERLINK("#'"&amp;A9&amp;"'!B$7","Click here to enter a new loan"))))</f>
        <v>Click here to enter a new loan</v>
      </c>
      <c r="C9" s="66" t="str">
        <f ca="1">IF(COUNTIF('Loan 2'!E:E,"Error")=1,"There is "&amp;COUNTIF('Loan 2'!E:E,"Error")&amp;" unresolved error on the entry screen. Click link to return and resolve it.",IF(COUNTIF('Loan 2'!E:E,"Error")&gt;0,"There are "&amp;COUNTIF('Loan 2'!E:E,"Error")&amp;" unresolved errors on the entry screen. Click link to return and resolve them.",""))</f>
        <v/>
      </c>
      <c r="D9" s="66" t="str">
        <f ca="1">IF(COUNTIF('Loan 2'!E:E,"Error")&gt;0,"Error","")</f>
        <v/>
      </c>
    </row>
    <row r="10" spans="1:7" x14ac:dyDescent="0.25">
      <c r="A10" s="77" t="str" cm="1">
        <f t="array" aca="1" ref="A10" ca="1">IF(OR(B9="",B9="Click here to enter a new Loan"),"","Loan "&amp;(CELL("row",A10)-7))</f>
        <v/>
      </c>
      <c r="B10" s="145" t="str" cm="1">
        <f t="array" aca="1" ref="B10" ca="1">IF(A10="","",IF(INDIRECT("'"&amp;A10&amp;"'!B$7")=Lists!$AH$2,HYPERLINK("#'"&amp;A10&amp;"'!B$7",INDIRECT("'"&amp;A10&amp;"'!B$8")),IF(INDIRECT("'"&amp;A10&amp;"'!B$7")=Lists!$AH$3,HYPERLINK("#'"&amp;A10&amp;"'!B$7",INDIRECT("'"&amp;A10&amp;"'!B$9")),HYPERLINK("#'"&amp;A10&amp;"'!B$7","Click here to enter a new loan"))))</f>
        <v/>
      </c>
      <c r="C10" s="66" t="str">
        <f ca="1">IF(COUNTIF('Loan 3'!E:E,"Error")=1,"There is "&amp;COUNTIF('Loan 3'!E:E,"Error")&amp;" unresolved error on the entry screen. Click link to return and resolve it.",IF(COUNTIF('Loan 3'!E:E,"Error")&gt;0,"There are "&amp;COUNTIF('Loan 3'!E:E,"Error")&amp;" unresolved errors on the entry screen. Click link to return and resolve them.",""))</f>
        <v/>
      </c>
      <c r="D10" s="66" t="str">
        <f ca="1">IF(COUNTIF('Loan 3'!E:E,"Error")&gt;0,"Error","")</f>
        <v/>
      </c>
    </row>
    <row r="11" spans="1:7" x14ac:dyDescent="0.25">
      <c r="A11" s="77" t="str" cm="1">
        <f t="array" aca="1" ref="A11" ca="1">IF(OR(B10="",B10="Click here to enter a new Loan"),"","Loan "&amp;(CELL("row",A11)-7))</f>
        <v/>
      </c>
      <c r="B11" s="145" t="str" cm="1">
        <f t="array" aca="1" ref="B11" ca="1">IF(A11="","",IF(INDIRECT("'"&amp;A11&amp;"'!B$7")=Lists!$AH$2,HYPERLINK("#'"&amp;A11&amp;"'!B$7",INDIRECT("'"&amp;A11&amp;"'!B$8")),IF(INDIRECT("'"&amp;A11&amp;"'!B$7")=Lists!$AH$3,HYPERLINK("#'"&amp;A11&amp;"'!B$7",INDIRECT("'"&amp;A11&amp;"'!B$9")),HYPERLINK("#'"&amp;A11&amp;"'!B$7","Click here to enter a new loan"))))</f>
        <v/>
      </c>
      <c r="C11" s="66" t="str">
        <f ca="1">IF(COUNTIF('Loan 4'!E:E,"Error")=1,"There is "&amp;COUNTIF('Loan 4'!E:E,"Error")&amp;" unresolved error on the entry screen. Click link to return and resolve it.",IF(COUNTIF('Loan 4'!E:E,"Error")&gt;0,"There are "&amp;COUNTIF('Loan 4'!E:E,"Error")&amp;" unresolved errors on the entry screen. Click link to return and resolve them.",""))</f>
        <v/>
      </c>
      <c r="D11" s="66" t="str">
        <f ca="1">IF(COUNTIF('Loan 4'!E:E,"Error")&gt;0,"Error","")</f>
        <v/>
      </c>
    </row>
    <row r="12" spans="1:7" x14ac:dyDescent="0.25">
      <c r="A12" s="77" t="str" cm="1">
        <f t="array" aca="1" ref="A12" ca="1">IF(OR(B11="",B11="Click here to enter a new Loan"),"","Loan "&amp;(CELL("row",A12)-7))</f>
        <v/>
      </c>
      <c r="B12" s="145" t="str" cm="1">
        <f t="array" aca="1" ref="B12" ca="1">IF(A12="","",IF(INDIRECT("'"&amp;A12&amp;"'!B$7")=Lists!$AH$2,HYPERLINK("#'"&amp;A12&amp;"'!B$7",INDIRECT("'"&amp;A12&amp;"'!B$8")),IF(INDIRECT("'"&amp;A12&amp;"'!B$7")=Lists!$AH$3,HYPERLINK("#'"&amp;A12&amp;"'!B$7",INDIRECT("'"&amp;A12&amp;"'!B$9")),HYPERLINK("#'"&amp;A12&amp;"'!B$7","Click here to enter a new loan"))))</f>
        <v/>
      </c>
      <c r="C12" s="66" t="str">
        <f ca="1">IF(COUNTIF('Loan 5'!E:E,"Error")=1,"There is "&amp;COUNTIF('Loan 5'!E:E,"Error")&amp;" unresolved error on the entry screen. Click link to return and resolve it.",IF(COUNTIF('Loan 5'!E:E,"Error")&gt;0,"There are "&amp;COUNTIF('Loan 5'!E:E,"Error")&amp;" unresolved errors on the entry screen. Click link to return and resolve them.",""))</f>
        <v/>
      </c>
      <c r="D12" s="66" t="str">
        <f ca="1">IF(COUNTIF('Loan 5'!E:E,"Error")&gt;0,"Error","")</f>
        <v/>
      </c>
    </row>
    <row r="13" spans="1:7" x14ac:dyDescent="0.25">
      <c r="A13" s="77" t="str" cm="1">
        <f t="array" aca="1" ref="A13" ca="1">IF(OR(B12="",B12="Click here to enter a new Loan"),"","Loan "&amp;(CELL("row",A13)-7))</f>
        <v/>
      </c>
      <c r="B13" s="145" t="str" cm="1">
        <f t="array" aca="1" ref="B13" ca="1">IF(A13="","",IF(INDIRECT("'"&amp;A13&amp;"'!B$7")=Lists!$AH$2,HYPERLINK("#'"&amp;A13&amp;"'!B$7",INDIRECT("'"&amp;A13&amp;"'!B$8")),IF(INDIRECT("'"&amp;A13&amp;"'!B$7")=Lists!$AH$3,HYPERLINK("#'"&amp;A13&amp;"'!B$7",INDIRECT("'"&amp;A13&amp;"'!B$9")),HYPERLINK("#'"&amp;A13&amp;"'!B$7","Click here to enter a new loan"))))</f>
        <v/>
      </c>
      <c r="C13" s="66" t="str">
        <f ca="1">IF(COUNTIF('Loan 6'!E:E,"Error")=1,"There is "&amp;COUNTIF('Loan 6'!E:E,"Error")&amp;" unresolved error on the entry screen. Click link to return and resolve it.",IF(COUNTIF('Loan 6'!E:E,"Error")&gt;0,"There are "&amp;COUNTIF('Loan 6'!E:E,"Error")&amp;" unresolved errors on the entry screen. Click link to return and resolve them.",""))</f>
        <v/>
      </c>
      <c r="D13" s="66" t="str">
        <f ca="1">IF(COUNTIF('Loan 6'!E:E,"Error")&gt;0,"Error","")</f>
        <v/>
      </c>
    </row>
    <row r="14" spans="1:7" x14ac:dyDescent="0.25">
      <c r="A14" s="77" t="str" cm="1">
        <f t="array" aca="1" ref="A14" ca="1">IF(OR(B13="",B13="Click here to enter a new Loan"),"","Loan "&amp;(CELL("row",A14)-7))</f>
        <v/>
      </c>
      <c r="B14" s="145" t="str" cm="1">
        <f t="array" aca="1" ref="B14" ca="1">IF(A14="","",IF(INDIRECT("'"&amp;A14&amp;"'!B$7")=Lists!$AH$2,HYPERLINK("#'"&amp;A14&amp;"'!B$7",INDIRECT("'"&amp;A14&amp;"'!B$8")),IF(INDIRECT("'"&amp;A14&amp;"'!B$7")=Lists!$AH$3,HYPERLINK("#'"&amp;A14&amp;"'!B$7",INDIRECT("'"&amp;A14&amp;"'!B$9")),HYPERLINK("#'"&amp;A14&amp;"'!B$7","Click here to enter a new loan"))))</f>
        <v/>
      </c>
      <c r="C14" s="66" t="str">
        <f ca="1">IF(COUNTIF('Loan 7'!E:E,"Error")=1,"There is "&amp;COUNTIF('Loan 7'!E:E,"Error")&amp;" unresolved error on the entry screen. Click link to return and resolve it.",IF(COUNTIF('Loan 7'!E:E,"Error")&gt;0,"There are "&amp;COUNTIF('Loan 7'!E:E,"Error")&amp;" unresolved errors on the entry screen. Click link to return and resolve them.",""))</f>
        <v/>
      </c>
      <c r="D14" s="66" t="str">
        <f ca="1">IF(COUNTIF('Loan 7'!E:E,"Error")&gt;0,"Error","")</f>
        <v/>
      </c>
    </row>
    <row r="15" spans="1:7" x14ac:dyDescent="0.25">
      <c r="A15" s="77" t="str" cm="1">
        <f t="array" aca="1" ref="A15" ca="1">IF(OR(B14="",B14="Click here to enter a new Loan"),"","Loan "&amp;(CELL("row",A15)-7))</f>
        <v/>
      </c>
      <c r="B15" s="145" t="str" cm="1">
        <f t="array" aca="1" ref="B15" ca="1">IF(A15="","",IF(INDIRECT("'"&amp;A15&amp;"'!B$7")=Lists!$AH$2,HYPERLINK("#'"&amp;A15&amp;"'!B$7",INDIRECT("'"&amp;A15&amp;"'!B$8")),IF(INDIRECT("'"&amp;A15&amp;"'!B$7")=Lists!$AH$3,HYPERLINK("#'"&amp;A15&amp;"'!B$7",INDIRECT("'"&amp;A15&amp;"'!B$9")),HYPERLINK("#'"&amp;A15&amp;"'!B$7","Click here to enter a new loan"))))</f>
        <v/>
      </c>
      <c r="C15" s="66" t="str">
        <f ca="1">IF(COUNTIF('Loan 8'!E:E,"Error")=1,"There is "&amp;COUNTIF('Loan 8'!E:E,"Error")&amp;" unresolved error on the entry screen. Click link to return and resolve it.",IF(COUNTIF('Loan 8'!E:E,"Error")&gt;0,"There are "&amp;COUNTIF('Loan 8'!E:E,"Error")&amp;" unresolved errors on the entry screen. Click link to return and resolve them.",""))</f>
        <v/>
      </c>
      <c r="D15" s="66" t="str">
        <f ca="1">IF(COUNTIF('Loan 8'!E:E,"Error")&gt;0,"Error","")</f>
        <v/>
      </c>
    </row>
    <row r="16" spans="1:7" x14ac:dyDescent="0.25">
      <c r="A16" s="77" t="str" cm="1">
        <f t="array" aca="1" ref="A16" ca="1">IF(OR(B15="",B15="Click here to enter a new Loan"),"","Loan "&amp;(CELL("row",A16)-7))</f>
        <v/>
      </c>
      <c r="B16" s="145" t="str" cm="1">
        <f t="array" aca="1" ref="B16" ca="1">IF(A16="","",IF(INDIRECT("'"&amp;A16&amp;"'!B$7")=Lists!$AH$2,HYPERLINK("#'"&amp;A16&amp;"'!B$7",INDIRECT("'"&amp;A16&amp;"'!B$8")),IF(INDIRECT("'"&amp;A16&amp;"'!B$7")=Lists!$AH$3,HYPERLINK("#'"&amp;A16&amp;"'!B$7",INDIRECT("'"&amp;A16&amp;"'!B$9")),HYPERLINK("#'"&amp;A16&amp;"'!B$7","Click here to enter a new loan"))))</f>
        <v/>
      </c>
      <c r="C16" s="66" t="str">
        <f ca="1">IF(COUNTIF('Loan 9'!E:E,"Error")=1,"There is "&amp;COUNTIF('Loan 9'!E:E,"Error")&amp;" unresolved error on the entry screen. Click link to return and resolve it.",IF(COUNTIF('Loan 9'!E:E,"Error")&gt;0,"There are "&amp;COUNTIF('Loan 9'!E:E,"Error")&amp;" unresolved errors on the entry screen. Click link to return and resolve them.",""))</f>
        <v/>
      </c>
      <c r="D16" s="66" t="str">
        <f ca="1">IF(COUNTIF('Loan 9'!E:E,"Error")&gt;0,"Error","")</f>
        <v/>
      </c>
    </row>
    <row r="17" spans="1:7" x14ac:dyDescent="0.25">
      <c r="A17" s="77" t="str" cm="1">
        <f t="array" aca="1" ref="A17" ca="1">IF(OR(B16="",B16="Click here to enter a new Loan"),"","Loan "&amp;(CELL("row",A17)-7))</f>
        <v/>
      </c>
      <c r="B17" s="145" t="str" cm="1">
        <f t="array" aca="1" ref="B17" ca="1">IF(A17="","",IF(INDIRECT("'"&amp;A17&amp;"'!B$7")=Lists!$AH$2,HYPERLINK("#'"&amp;A17&amp;"'!B$7",INDIRECT("'"&amp;A17&amp;"'!B$8")),IF(INDIRECT("'"&amp;A17&amp;"'!B$7")=Lists!$AH$3,HYPERLINK("#'"&amp;A17&amp;"'!B$7",INDIRECT("'"&amp;A17&amp;"'!B$9")),HYPERLINK("#'"&amp;A17&amp;"'!B$7","Click here to enter a new loan"))))</f>
        <v/>
      </c>
      <c r="C17" s="66" t="str">
        <f ca="1">IF(COUNTIF('Loan 10'!E:E,"Error")=1,"There is "&amp;COUNTIF('Loan 10'!E:E,"Error")&amp;" unresolved error on the entry screen. Click link to return and resolve it.",IF(COUNTIF('Loan 10'!E:E,"Error")&gt;0,"There are "&amp;COUNTIF('Loan 10'!E:E,"Error")&amp;" unresolved errors on the entry screen. Click link to return and resolve them.",""))</f>
        <v/>
      </c>
      <c r="D17" s="66" t="str">
        <f ca="1">IF(COUNTIF('Loan 10'!E:E,"Error")&gt;0,"Error","")</f>
        <v/>
      </c>
    </row>
    <row r="18" spans="1:7" x14ac:dyDescent="0.25">
      <c r="A18" s="77" t="str" cm="1">
        <f t="array" aca="1" ref="A18" ca="1">IF(OR(B17="",B17="Click here to enter a new Loan"),"","Loan "&amp;(CELL("row",A18)-7))</f>
        <v/>
      </c>
      <c r="B18" s="145" t="str" cm="1">
        <f t="array" aca="1" ref="B18" ca="1">IF(A18="","",IF(INDIRECT("'"&amp;A18&amp;"'!B$7")=Lists!$AH$2,HYPERLINK("#'"&amp;A18&amp;"'!B$7",INDIRECT("'"&amp;A18&amp;"'!B$8")),IF(INDIRECT("'"&amp;A18&amp;"'!B$7")=Lists!$AH$3,HYPERLINK("#'"&amp;A18&amp;"'!B$7",INDIRECT("'"&amp;A18&amp;"'!B$9")),HYPERLINK("#'"&amp;A18&amp;"'!B$7","Click here to enter a new loan"))))</f>
        <v/>
      </c>
      <c r="C18" s="66" t="str">
        <f ca="1">IF(COUNTIF('Loan 11'!E:E,"Error")=1,"There is "&amp;COUNTIF('Loan 11'!E:E,"Error")&amp;" unresolved error on the entry screen. Click link to return and resolve it.",IF(COUNTIF('Loan 11'!E:E,"Error")&gt;0,"There are "&amp;COUNTIF('Loan 11'!E:E,"Error")&amp;" unresolved errors on the entry screen. Click link to return and resolve them.",""))</f>
        <v/>
      </c>
      <c r="D18" s="66" t="str">
        <f ca="1">IF(COUNTIF('Loan 11'!E:E,"Error")&gt;0,"Error","")</f>
        <v/>
      </c>
    </row>
    <row r="19" spans="1:7" x14ac:dyDescent="0.25">
      <c r="A19" s="77" t="str" cm="1">
        <f t="array" aca="1" ref="A19" ca="1">IF(OR(B18="",B18="Click here to enter a new Loan"),"","Loan "&amp;(CELL("row",A19)-7))</f>
        <v/>
      </c>
      <c r="B19" s="145" t="str" cm="1">
        <f t="array" aca="1" ref="B19" ca="1">IF(A19="","",IF(INDIRECT("'"&amp;A19&amp;"'!B$7")=Lists!$AH$2,HYPERLINK("#'"&amp;A19&amp;"'!B$7",INDIRECT("'"&amp;A19&amp;"'!B$8")),IF(INDIRECT("'"&amp;A19&amp;"'!B$7")=Lists!$AH$3,HYPERLINK("#'"&amp;A19&amp;"'!B$7",INDIRECT("'"&amp;A19&amp;"'!B$9")),HYPERLINK("#'"&amp;A19&amp;"'!B$7","Click here to enter a new loan"))))</f>
        <v/>
      </c>
      <c r="C19" s="66" t="str">
        <f ca="1">IF(COUNTIF('Loan 12'!E:E,"Error")=1,"There is "&amp;COUNTIF('Loan 12'!E:E,"Error")&amp;" unresolved error on the entry screen. Click link to return and resolve it.",IF(COUNTIF('Loan 12'!E:E,"Error")&gt;0,"There are "&amp;COUNTIF('Loan 12'!E:E,"Error")&amp;" unresolved errors on the entry screen. Click link to return and resolve them.",""))</f>
        <v/>
      </c>
      <c r="D19" s="66" t="str">
        <f ca="1">IF(COUNTIF('Loan 12'!E:E,"Error")&gt;0,"Error","")</f>
        <v/>
      </c>
    </row>
    <row r="20" spans="1:7" x14ac:dyDescent="0.25">
      <c r="A20" s="77" t="str" cm="1">
        <f t="array" aca="1" ref="A20" ca="1">IF(OR(B19="",B19="Click here to enter a new Loan"),"","Loan "&amp;(CELL("row",A20)-7))</f>
        <v/>
      </c>
      <c r="B20" s="145" t="str" cm="1">
        <f t="array" aca="1" ref="B20" ca="1">IF(A20="","",IF(INDIRECT("'"&amp;A20&amp;"'!B$7")=Lists!$AH$2,HYPERLINK("#'"&amp;A20&amp;"'!B$7",INDIRECT("'"&amp;A20&amp;"'!B$8")),IF(INDIRECT("'"&amp;A20&amp;"'!B$7")=Lists!$AH$3,HYPERLINK("#'"&amp;A20&amp;"'!B$7",INDIRECT("'"&amp;A20&amp;"'!B$9")),HYPERLINK("#'"&amp;A20&amp;"'!B$7","Click here to enter a new loan"))))</f>
        <v/>
      </c>
      <c r="C20" s="66" t="str">
        <f ca="1">IF(COUNTIF('Loan 13'!E:E,"Error")=1,"There is "&amp;COUNTIF('Loan 13'!E:E,"Error")&amp;" unresolved error on the entry screen. Click link to return and resolve it.",IF(COUNTIF('Loan 13'!E:E,"Error")&gt;0,"There are "&amp;COUNTIF('Loan 13'!E:E,"Error")&amp;" unresolved errors on the entry screen. Click link to return and resolve them.",""))</f>
        <v/>
      </c>
      <c r="D20" s="66" t="str">
        <f ca="1">IF(COUNTIF('Loan 13'!E:E,"Error")&gt;0,"Error","")</f>
        <v/>
      </c>
    </row>
    <row r="21" spans="1:7" x14ac:dyDescent="0.25">
      <c r="A21" s="77" t="str" cm="1">
        <f t="array" aca="1" ref="A21" ca="1">IF(OR(B20="",B20="Click here to enter a new Loan"),"","Loan "&amp;(CELL("row",A21)-7))</f>
        <v/>
      </c>
      <c r="B21" s="145" t="str" cm="1">
        <f t="array" aca="1" ref="B21" ca="1">IF(A21="","",IF(INDIRECT("'"&amp;A21&amp;"'!B$7")=Lists!$AH$2,HYPERLINK("#'"&amp;A21&amp;"'!B$7",INDIRECT("'"&amp;A21&amp;"'!B$8")),IF(INDIRECT("'"&amp;A21&amp;"'!B$7")=Lists!$AH$3,HYPERLINK("#'"&amp;A21&amp;"'!B$7",INDIRECT("'"&amp;A21&amp;"'!B$9")),HYPERLINK("#'"&amp;A21&amp;"'!B$7","Click here to enter a new loan"))))</f>
        <v/>
      </c>
      <c r="C21" s="66" t="str">
        <f ca="1">IF(COUNTIF('Loan 14'!E:E,"Error")=1,"There is "&amp;COUNTIF('Loan 14'!E:E,"Error")&amp;" unresolved error on the entry screen. Click link to return and resolve it.",IF(COUNTIF('Loan 14'!E:E,"Error")&gt;0,"There are "&amp;COUNTIF('Loan 14'!E:E,"Error")&amp;" unresolved errors on the entry screen. Click link to return and resolve them.",""))</f>
        <v/>
      </c>
      <c r="D21" s="66" t="str">
        <f ca="1">IF(COUNTIF('Loan 14'!E:E,"Error")&gt;0,"Error","")</f>
        <v/>
      </c>
    </row>
    <row r="22" spans="1:7" x14ac:dyDescent="0.25">
      <c r="A22" s="77" t="str" cm="1">
        <f t="array" aca="1" ref="A22" ca="1">IF(OR(B21="",B21="Click here to enter a new Loan"),"","Loan "&amp;(CELL("row",A22)-7))</f>
        <v/>
      </c>
      <c r="B22" s="145" t="str" cm="1">
        <f t="array" aca="1" ref="B22" ca="1">IF(A22="","",IF(INDIRECT("'"&amp;A22&amp;"'!B$7")=Lists!$AH$2,HYPERLINK("#'"&amp;A22&amp;"'!B$7",INDIRECT("'"&amp;A22&amp;"'!B$8")),IF(INDIRECT("'"&amp;A22&amp;"'!B$7")=Lists!$AH$3,HYPERLINK("#'"&amp;A22&amp;"'!B$7",INDIRECT("'"&amp;A22&amp;"'!B$9")),HYPERLINK("#'"&amp;A22&amp;"'!B$7","Click here to enter a new loan"))))</f>
        <v/>
      </c>
      <c r="C22" s="66" t="str">
        <f ca="1">IF(COUNTIF('Loan 15'!E:E,"Error")=1,"There is "&amp;COUNTIF('Loan 15'!E:E,"Error")&amp;" unresolved error on the entry screen. Click link to return and resolve it.",IF(COUNTIF('Loan 15'!E:E,"Error")&gt;0,"There are "&amp;COUNTIF('Loan 15'!E:E,"Error")&amp;" unresolved errors on the entry screen. Click link to return and resolve them.",""))</f>
        <v/>
      </c>
      <c r="D22" s="66" t="str">
        <f ca="1">IF(COUNTIF('Loan 15'!E:E,"Error")&gt;0,"Error","")</f>
        <v/>
      </c>
    </row>
    <row r="23" spans="1:7" ht="20.100000000000001" customHeight="1" x14ac:dyDescent="0.25">
      <c r="A23" s="97" t="s">
        <v>176</v>
      </c>
      <c r="C23" s="66" t="str">
        <f ca="1">IFERROR(INDEX(Validation!G:G,MATCH("Loans"&amp;CELL("address",C23),Validation!I:I,0)),"")</f>
        <v/>
      </c>
      <c r="D23" s="66" t="str">
        <f ca="1">IFERROR(INDEX(Validation!F:F,MATCH("Loans"&amp;CELL("address",C23),Validation!I:I,0)),"")</f>
        <v/>
      </c>
    </row>
    <row r="24" spans="1:7" ht="150" customHeight="1" x14ac:dyDescent="0.25">
      <c r="A24" s="123"/>
      <c r="B24" s="143" t="str">
        <f>HYPERLINK("#'Debt Summary'!A7","Click here to continue to the Debt Summary Tab")</f>
        <v>Click here to continue to the Debt Summary Tab</v>
      </c>
    </row>
    <row r="25" spans="1:7" x14ac:dyDescent="0.25">
      <c r="A25" s="124"/>
      <c r="B25" s="98"/>
    </row>
    <row r="26" spans="1:7" x14ac:dyDescent="0.25">
      <c r="A26" s="98"/>
      <c r="B26" s="98"/>
      <c r="E26" s="126"/>
      <c r="G26" s="86"/>
    </row>
    <row r="27" spans="1:7" x14ac:dyDescent="0.25">
      <c r="A27" s="98"/>
      <c r="B27" s="98"/>
    </row>
    <row r="28" spans="1:7" x14ac:dyDescent="0.25">
      <c r="A28" s="98"/>
      <c r="B28" s="98"/>
    </row>
    <row r="65" spans="7:7" x14ac:dyDescent="0.25">
      <c r="G65" s="86"/>
    </row>
  </sheetData>
  <sheetProtection algorithmName="SHA-512" hashValue="NZnh5IfPM5+Qu1YwwgoxDkS85XiDzgtc2jM7+kXmK7p/C4yby9uV2W/FeTXAj3PsrMAfSBOdV6pliG9fhAXpNw==" saltValue="2f5CIcYE+SdEp7L7txGD2g==" spinCount="100000" sheet="1" objects="1" scenarios="1"/>
  <mergeCells count="1">
    <mergeCell ref="A4:D4"/>
  </mergeCells>
  <conditionalFormatting sqref="A2">
    <cfRule type="expression" dxfId="629" priority="7">
      <formula>$D2="Error"</formula>
    </cfRule>
    <cfRule type="expression" dxfId="627" priority="9">
      <formula>$D2="Exclude"</formula>
    </cfRule>
  </conditionalFormatting>
  <conditionalFormatting sqref="A8:A22">
    <cfRule type="containsText" dxfId="626" priority="10" operator="containsText" text="Loan">
      <formula>NOT(ISERROR(SEARCH("Loan",A8)))</formula>
    </cfRule>
  </conditionalFormatting>
  <conditionalFormatting sqref="A7:B7">
    <cfRule type="expression" dxfId="625" priority="14">
      <formula>NOT($B$6="Yes")</formula>
    </cfRule>
  </conditionalFormatting>
  <conditionalFormatting sqref="A8:B22">
    <cfRule type="expression" dxfId="624" priority="6">
      <formula>NOT($B$6="Yes")</formula>
    </cfRule>
  </conditionalFormatting>
  <conditionalFormatting sqref="C8:C22">
    <cfRule type="expression" dxfId="620" priority="5">
      <formula>$D8="Error"</formula>
    </cfRule>
  </conditionalFormatting>
  <conditionalFormatting sqref="C1:D7">
    <cfRule type="expression" dxfId="619" priority="16">
      <formula>$D1="Error"</formula>
    </cfRule>
  </conditionalFormatting>
  <conditionalFormatting sqref="C23:D1048576">
    <cfRule type="expression" dxfId="618" priority="1">
      <formula>$D23="Error"</formula>
    </cfRule>
  </conditionalFormatting>
  <conditionalFormatting sqref="D8:D22">
    <cfRule type="expression" dxfId="617" priority="2">
      <formula>$D8="Alert"</formula>
    </cfRule>
    <cfRule type="expression" dxfId="616" priority="3">
      <formula>$D8="Error"</formula>
    </cfRule>
    <cfRule type="expression" dxfId="615" priority="4">
      <formula>$D8="Information"</formula>
    </cfRule>
  </conditionalFormatting>
  <dataValidations count="1">
    <dataValidation type="list" allowBlank="1" showInputMessage="1" showErrorMessage="1" sqref="B6" xr:uid="{92D629F7-7BF7-493C-91D6-3E57266A55AE}">
      <formula1>SelOneYesNo</formula1>
    </dataValidation>
  </dataValidations>
  <pageMargins left="0.7" right="0.7" top="0.75" bottom="0.75" header="0.3" footer="0.3"/>
  <pageSetup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8" id="{0F92096F-9A72-40AF-94B6-D4F8FEDEDD82}">
            <xm:f>COUNTIFS(Validation!$H:$H,MID(CELL("filename",A2),FIND("]",CELL("filename",A2))+1,255)&amp;CELL("address",A2))&gt;0</xm:f>
            <x14:dxf>
              <font>
                <b/>
                <i val="0"/>
                <color rgb="FFC00000"/>
              </font>
              <numFmt numFmtId="172" formatCode="_(\!* #,##0_);_(\!* \(#,##0\);_(\!* \-??_);_(\!\ @_)"/>
            </x14:dxf>
          </x14:cfRule>
          <xm:sqref>A2</xm:sqref>
        </x14:conditionalFormatting>
        <x14:conditionalFormatting xmlns:xm="http://schemas.microsoft.com/office/excel/2006/main">
          <x14:cfRule type="expression" priority="13" id="{CDD0D9A9-E275-44D2-AB78-0C15ECBF5836}">
            <xm:f>COUNTIFS(Validation!$H:$H,MID(CELL("filename",XFD1),FIND("]",CELL("filename",XFD1))+1,255)&amp;CELL("address",XFD1))&gt;0</xm:f>
            <x14:dxf>
              <font>
                <b/>
                <i val="0"/>
                <color rgb="FFC00000"/>
              </font>
              <fill>
                <patternFill patternType="solid">
                  <bgColor rgb="FFFFFFFF"/>
                </patternFill>
              </fill>
            </x14:dxf>
          </x14:cfRule>
          <xm:sqref>B1:B2 A3:B4 A5:A7 A23:B23 A24 A25:B1048576</xm:sqref>
        </x14:conditionalFormatting>
        <x14:conditionalFormatting xmlns:xm="http://schemas.microsoft.com/office/excel/2006/main">
          <x14:cfRule type="expression" priority="12" id="{AF37A17D-3732-4013-980B-B9379B8FD0E6}">
            <xm:f>COUNTIFS(Validation!$H:$H,MID(CELL("filename",B6),FIND("]",CELL("filename",B6))+1,255)&amp;CELL("address",B6))&gt;0</xm:f>
            <x14:dxf>
              <font>
                <b/>
                <i val="0"/>
                <color rgb="FFC00000"/>
              </font>
              <numFmt numFmtId="175" formatCode="_(\!* ###0_);_(\!* \(###0\);_(\!* \-??_);_(\!\ @_)"/>
            </x14:dxf>
          </x14:cfRule>
          <xm:sqref>B6</xm:sqref>
        </x14:conditionalFormatting>
        <x14:conditionalFormatting xmlns:xm="http://schemas.microsoft.com/office/excel/2006/main">
          <x14:cfRule type="expression" priority="363" id="{CDD0D9A9-E275-44D2-AB78-0C15ECBF5836}">
            <xm:f>COUNTIFS(Validation!$H:$H,MID(CELL("filename",A5),FIND("]",CELL("filename",A5))+1,255)&amp;CELL("address",A5))&gt;0</xm:f>
            <x14:dxf>
              <font>
                <b/>
                <i val="0"/>
                <color rgb="FFC00000"/>
              </font>
              <fill>
                <patternFill patternType="solid">
                  <bgColor rgb="FFFFFFFF"/>
                </patternFill>
              </fill>
            </x14:dxf>
          </x14:cfRule>
          <xm:sqref>B7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6992FF-1C29-475F-9A0F-6B452F8BFE80}">
  <sheetPr codeName="Sheet10">
    <tabColor theme="8" tint="0.59999389629810485"/>
  </sheetPr>
  <dimension ref="A1:AT76"/>
  <sheetViews>
    <sheetView showGridLines="0" workbookViewId="0"/>
  </sheetViews>
  <sheetFormatPr defaultRowHeight="15" x14ac:dyDescent="0.25"/>
  <cols>
    <col min="1" max="1" width="55.7109375" style="66" customWidth="1"/>
    <col min="2" max="46" width="22.7109375" style="66" customWidth="1"/>
    <col min="47" max="16384" width="9.140625" style="66"/>
  </cols>
  <sheetData>
    <row r="1" spans="1:46" s="59" customFormat="1" ht="24.95" customHeight="1" x14ac:dyDescent="0.25">
      <c r="A1" s="59" t="str">
        <f>_xlfn.CONCAT("Office of the State Auditor  -  TIF Annual Reporting Form  -  ",Year_DestinationYearID)</f>
        <v>Office of the State Auditor  -  TIF Annual Reporting Form  -  2024</v>
      </c>
    </row>
    <row r="2" spans="1:46" s="62" customFormat="1" ht="20.100000000000001" customHeight="1" x14ac:dyDescent="0.25">
      <c r="A2" s="58" t="str">
        <f>_xlfn.CONCAT(GovEntity_GovEntityName_Parent,"  -  ",GovEntity_GovEntityName)</f>
        <v>Spruce City  -  TIF 1-1 Downtown Redev</v>
      </c>
    </row>
    <row r="3" spans="1:46" s="68" customFormat="1" ht="24.95" customHeight="1" x14ac:dyDescent="0.3">
      <c r="A3" s="65" t="s">
        <v>246</v>
      </c>
      <c r="B3" s="66"/>
      <c r="C3" s="66"/>
      <c r="D3" s="66"/>
      <c r="E3" s="66"/>
      <c r="F3" s="66"/>
      <c r="G3" s="66"/>
      <c r="H3" s="66"/>
    </row>
    <row r="4" spans="1:46" s="71" customFormat="1" ht="15" customHeight="1" x14ac:dyDescent="0.25">
      <c r="A4" s="217" t="s">
        <v>247</v>
      </c>
      <c r="B4" s="217"/>
      <c r="C4" s="217"/>
      <c r="D4" s="217"/>
      <c r="E4" s="217"/>
      <c r="F4" s="217"/>
      <c r="G4" s="217"/>
      <c r="H4" s="217"/>
    </row>
    <row r="5" spans="1:46" s="74" customFormat="1" ht="20.100000000000001" customHeight="1" x14ac:dyDescent="0.25">
      <c r="A5" s="73" t="str">
        <f>HYPERLINK("#'Lent Funds'!A7","Click here to continue to the Lent Funds Tab")</f>
        <v>Click here to continue to the Lent Funds Tab</v>
      </c>
      <c r="B5" s="146">
        <v>1</v>
      </c>
      <c r="C5" s="146">
        <v>2</v>
      </c>
      <c r="D5" s="146">
        <v>3</v>
      </c>
      <c r="E5" s="146">
        <v>4</v>
      </c>
      <c r="F5" s="146">
        <v>5</v>
      </c>
      <c r="G5" s="146">
        <v>6</v>
      </c>
      <c r="H5" s="146">
        <v>7</v>
      </c>
      <c r="I5" s="146">
        <v>8</v>
      </c>
      <c r="J5" s="146">
        <v>9</v>
      </c>
      <c r="K5" s="146">
        <v>10</v>
      </c>
      <c r="L5" s="146">
        <v>11</v>
      </c>
      <c r="M5" s="146">
        <v>12</v>
      </c>
      <c r="N5" s="146">
        <v>13</v>
      </c>
      <c r="O5" s="146">
        <v>14</v>
      </c>
      <c r="P5" s="146">
        <v>15</v>
      </c>
      <c r="Q5" s="146">
        <v>16</v>
      </c>
      <c r="R5" s="146">
        <v>17</v>
      </c>
      <c r="S5" s="146">
        <v>18</v>
      </c>
      <c r="T5" s="146">
        <v>19</v>
      </c>
      <c r="U5" s="146">
        <v>20</v>
      </c>
      <c r="V5" s="146">
        <v>21</v>
      </c>
      <c r="W5" s="146">
        <v>22</v>
      </c>
      <c r="X5" s="146">
        <v>23</v>
      </c>
      <c r="Y5" s="146">
        <v>24</v>
      </c>
      <c r="Z5" s="146">
        <v>25</v>
      </c>
      <c r="AA5" s="146">
        <v>26</v>
      </c>
      <c r="AB5" s="146">
        <v>27</v>
      </c>
      <c r="AC5" s="146">
        <v>28</v>
      </c>
      <c r="AD5" s="146">
        <v>29</v>
      </c>
      <c r="AE5" s="146">
        <v>30</v>
      </c>
      <c r="AF5" s="146">
        <v>31</v>
      </c>
      <c r="AG5" s="146">
        <v>32</v>
      </c>
      <c r="AH5" s="146">
        <v>33</v>
      </c>
      <c r="AI5" s="146">
        <v>34</v>
      </c>
      <c r="AJ5" s="146">
        <v>35</v>
      </c>
      <c r="AK5" s="146">
        <v>36</v>
      </c>
      <c r="AL5" s="146">
        <v>37</v>
      </c>
      <c r="AM5" s="146">
        <v>38</v>
      </c>
      <c r="AN5" s="146">
        <v>39</v>
      </c>
      <c r="AO5" s="146">
        <v>40</v>
      </c>
      <c r="AP5" s="146">
        <v>41</v>
      </c>
      <c r="AQ5" s="146">
        <v>42</v>
      </c>
      <c r="AR5" s="146">
        <v>43</v>
      </c>
      <c r="AS5" s="146">
        <v>44</v>
      </c>
      <c r="AT5" s="146">
        <v>45</v>
      </c>
    </row>
    <row r="6" spans="1:46" ht="20.100000000000001" customHeight="1" x14ac:dyDescent="0.25">
      <c r="A6" s="74" t="s">
        <v>248</v>
      </c>
      <c r="B6" s="147" t="str">
        <f>IF(Variables!$A36&gt;=B5,_xlfn.CONCAT("Bond "&amp;B5),IF(Variables!$A36+Variables!$A37&gt;=B5,_xlfn.CONCAT("PAYG "&amp;(B5-Variables!$A36)),IF(Variables!$A36+Variables!$A37+Variables!$A38&gt;=B5,_xlfn.CONCAT("Loan "&amp;(B5-Variables!$A36-Variables!$A37)),"")))</f>
        <v>Bond 1</v>
      </c>
      <c r="C6" s="147" t="str">
        <f>IF(Variables!$A36&gt;=C5,_xlfn.CONCAT("Bond "&amp;C5),IF(Variables!$A36+Variables!$A37&gt;=C5,_xlfn.CONCAT("PAYG "&amp;(C5-Variables!$A36)),IF(Variables!$A36+Variables!$A37+Variables!$A38&gt;=C5,_xlfn.CONCAT("Loan "&amp;(C5-Variables!$A36-Variables!$A37)),"")))</f>
        <v>PAYG 1</v>
      </c>
      <c r="D6" s="147" t="str">
        <f>IF(Variables!$A36&gt;=D5,_xlfn.CONCAT("Bond "&amp;D5),IF(Variables!$A36+Variables!$A37&gt;=D5,_xlfn.CONCAT("PAYG "&amp;(D5-Variables!$A36)),IF(Variables!$A36+Variables!$A37+Variables!$A38&gt;=D5,_xlfn.CONCAT("Loan "&amp;(D5-Variables!$A36-Variables!$A37)),"")))</f>
        <v>PAYG 2</v>
      </c>
      <c r="E6" s="147" t="str">
        <f ca="1">IF(Variables!$A36&gt;=E5,_xlfn.CONCAT("Bond "&amp;E5),IF(Variables!$A36+Variables!$A37&gt;=E5,_xlfn.CONCAT("PAYG "&amp;(E5-Variables!$A36)),IF(Variables!$A36+Variables!$A37+Variables!$A38&gt;=E5,_xlfn.CONCAT("Loan "&amp;(E5-Variables!$A36-Variables!$A37)),"")))</f>
        <v>Loan 1</v>
      </c>
      <c r="F6" s="147" t="str">
        <f ca="1">IF(Variables!$A36&gt;=F5,_xlfn.CONCAT("Bond "&amp;F5),IF(Variables!$A36+Variables!$A37&gt;=F5,_xlfn.CONCAT("PAYG "&amp;(F5-Variables!$A36)),IF(Variables!$A36+Variables!$A37+Variables!$A38&gt;=F5,_xlfn.CONCAT("Loan "&amp;(F5-Variables!$A36-Variables!$A37)),"")))</f>
        <v/>
      </c>
      <c r="G6" s="147" t="str">
        <f ca="1">IF(Variables!$A36&gt;=G5,_xlfn.CONCAT("Bond "&amp;G5),IF(Variables!$A36+Variables!$A37&gt;=G5,_xlfn.CONCAT("PAYG "&amp;(G5-Variables!$A36)),IF(Variables!$A36+Variables!$A37+Variables!$A38&gt;=G5,_xlfn.CONCAT("Loan "&amp;(G5-Variables!$A36-Variables!$A37)),"")))</f>
        <v/>
      </c>
      <c r="H6" s="147" t="str">
        <f ca="1">IF(Variables!$A36&gt;=H5,_xlfn.CONCAT("Bond "&amp;H5),IF(Variables!$A36+Variables!$A37&gt;=H5,_xlfn.CONCAT("PAYG "&amp;(H5-Variables!$A36)),IF(Variables!$A36+Variables!$A37+Variables!$A38&gt;=H5,_xlfn.CONCAT("Loan "&amp;(H5-Variables!$A36-Variables!$A37)),"")))</f>
        <v/>
      </c>
      <c r="I6" s="147" t="str">
        <f ca="1">IF(Variables!$A36&gt;=I5,_xlfn.CONCAT("Bond "&amp;I5),IF(Variables!$A36+Variables!$A37&gt;=I5,_xlfn.CONCAT("PAYG "&amp;(I5-Variables!$A36)),IF(Variables!$A36+Variables!$A37+Variables!$A38&gt;=I5,_xlfn.CONCAT("Loan "&amp;(I5-Variables!$A36-Variables!$A37)),"")))</f>
        <v/>
      </c>
      <c r="J6" s="147" t="str">
        <f ca="1">IF(Variables!$A36&gt;=J5,_xlfn.CONCAT("Bond "&amp;J5),IF(Variables!$A36+Variables!$A37&gt;=J5,_xlfn.CONCAT("PAYG "&amp;(J5-Variables!$A36)),IF(Variables!$A36+Variables!$A37+Variables!$A38&gt;=J5,_xlfn.CONCAT("Loan "&amp;(J5-Variables!$A36-Variables!$A37)),"")))</f>
        <v/>
      </c>
      <c r="K6" s="147" t="str">
        <f ca="1">IF(Variables!$A36&gt;=K5,_xlfn.CONCAT("Bond "&amp;K5),IF(Variables!$A36+Variables!$A37&gt;=K5,_xlfn.CONCAT("PAYG "&amp;(K5-Variables!$A36)),IF(Variables!$A36+Variables!$A37+Variables!$A38&gt;=K5,_xlfn.CONCAT("Loan "&amp;(K5-Variables!$A36-Variables!$A37)),"")))</f>
        <v/>
      </c>
      <c r="L6" s="147" t="str">
        <f ca="1">IF(Variables!$A36&gt;=L5,_xlfn.CONCAT("Bond "&amp;L5),IF(Variables!$A36+Variables!$A37&gt;=L5,_xlfn.CONCAT("PAYG "&amp;(L5-Variables!$A36)),IF(Variables!$A36+Variables!$A37+Variables!$A38&gt;=L5,_xlfn.CONCAT("Loan "&amp;(L5-Variables!$A36-Variables!$A37)),"")))</f>
        <v/>
      </c>
      <c r="M6" s="147" t="str">
        <f ca="1">IF(Variables!$A36&gt;=M5,_xlfn.CONCAT("Bond "&amp;M5),IF(Variables!$A36+Variables!$A37&gt;=M5,_xlfn.CONCAT("PAYG "&amp;(M5-Variables!$A36)),IF(Variables!$A36+Variables!$A37+Variables!$A38&gt;=M5,_xlfn.CONCAT("Loan "&amp;(M5-Variables!$A36-Variables!$A37)),"")))</f>
        <v/>
      </c>
      <c r="N6" s="147" t="str">
        <f ca="1">IF(Variables!$A36&gt;=N5,_xlfn.CONCAT("Bond "&amp;N5),IF(Variables!$A36+Variables!$A37&gt;=N5,_xlfn.CONCAT("PAYG "&amp;(N5-Variables!$A36)),IF(Variables!$A36+Variables!$A37+Variables!$A38&gt;=N5,_xlfn.CONCAT("Loan "&amp;(N5-Variables!$A36-Variables!$A37)),"")))</f>
        <v/>
      </c>
      <c r="O6" s="147" t="str">
        <f ca="1">IF(Variables!$A36&gt;=O5,_xlfn.CONCAT("Bond "&amp;O5),IF(Variables!$A36+Variables!$A37&gt;=O5,_xlfn.CONCAT("PAYG "&amp;(O5-Variables!$A36)),IF(Variables!$A36+Variables!$A37+Variables!$A38&gt;=O5,_xlfn.CONCAT("Loan "&amp;(O5-Variables!$A36-Variables!$A37)),"")))</f>
        <v/>
      </c>
      <c r="P6" s="147" t="str">
        <f ca="1">IF(Variables!$A36&gt;=P5,_xlfn.CONCAT("Bond "&amp;P5),IF(Variables!$A36+Variables!$A37&gt;=P5,_xlfn.CONCAT("PAYG "&amp;(P5-Variables!$A36)),IF(Variables!$A36+Variables!$A37+Variables!$A38&gt;=P5,_xlfn.CONCAT("Loan "&amp;(P5-Variables!$A36-Variables!$A37)),"")))</f>
        <v/>
      </c>
      <c r="Q6" s="147" t="str">
        <f ca="1">IF(Variables!$A36&gt;=Q5,_xlfn.CONCAT("Bond "&amp;Q5),IF(Variables!$A36+Variables!$A37&gt;=Q5,_xlfn.CONCAT("PAYG "&amp;(Q5-Variables!$A36)),IF(Variables!$A36+Variables!$A37+Variables!$A38&gt;=Q5,_xlfn.CONCAT("Loan "&amp;(Q5-Variables!$A36-Variables!$A37)),"")))</f>
        <v/>
      </c>
      <c r="R6" s="147" t="str">
        <f ca="1">IF(Variables!$A36&gt;=R5,_xlfn.CONCAT("Bond "&amp;R5),IF(Variables!$A36+Variables!$A37&gt;=R5,_xlfn.CONCAT("PAYG "&amp;(R5-Variables!$A36)),IF(Variables!$A36+Variables!$A37+Variables!$A38&gt;=R5,_xlfn.CONCAT("Loan "&amp;(R5-Variables!$A36-Variables!$A37)),"")))</f>
        <v/>
      </c>
      <c r="S6" s="147" t="str">
        <f ca="1">IF(Variables!$A36&gt;=S5,_xlfn.CONCAT("Bond "&amp;S5),IF(Variables!$A36+Variables!$A37&gt;=S5,_xlfn.CONCAT("PAYG "&amp;(S5-Variables!$A36)),IF(Variables!$A36+Variables!$A37+Variables!$A38&gt;=S5,_xlfn.CONCAT("Loan "&amp;(S5-Variables!$A36-Variables!$A37)),"")))</f>
        <v/>
      </c>
      <c r="T6" s="147" t="str">
        <f ca="1">IF(Variables!$A36&gt;=T5,_xlfn.CONCAT("Bond "&amp;T5),IF(Variables!$A36+Variables!$A37&gt;=T5,_xlfn.CONCAT("PAYG "&amp;(T5-Variables!$A36)),IF(Variables!$A36+Variables!$A37+Variables!$A38&gt;=T5,_xlfn.CONCAT("Loan "&amp;(T5-Variables!$A36-Variables!$A37)),"")))</f>
        <v/>
      </c>
      <c r="U6" s="147" t="str">
        <f ca="1">IF(Variables!$A36&gt;=U5,_xlfn.CONCAT("Bond "&amp;U5),IF(Variables!$A36+Variables!$A37&gt;=U5,_xlfn.CONCAT("PAYG "&amp;(U5-Variables!$A36)),IF(Variables!$A36+Variables!$A37+Variables!$A38&gt;=U5,_xlfn.CONCAT("Loan "&amp;(U5-Variables!$A36-Variables!$A37)),"")))</f>
        <v/>
      </c>
      <c r="V6" s="147" t="str">
        <f ca="1">IF(Variables!$A36&gt;=V5,_xlfn.CONCAT("Bond "&amp;V5),IF(Variables!$A36+Variables!$A37&gt;=V5,_xlfn.CONCAT("PAYG "&amp;(V5-Variables!$A36)),IF(Variables!$A36+Variables!$A37+Variables!$A38&gt;=V5,_xlfn.CONCAT("Loan "&amp;(V5-Variables!$A36-Variables!$A37)),"")))</f>
        <v/>
      </c>
      <c r="W6" s="147" t="str">
        <f ca="1">IF(Variables!$A36&gt;=W5,_xlfn.CONCAT("Bond "&amp;W5),IF(Variables!$A36+Variables!$A37&gt;=W5,_xlfn.CONCAT("PAYG "&amp;(W5-Variables!$A36)),IF(Variables!$A36+Variables!$A37+Variables!$A38&gt;=W5,_xlfn.CONCAT("Loan "&amp;(W5-Variables!$A36-Variables!$A37)),"")))</f>
        <v/>
      </c>
      <c r="X6" s="147" t="str">
        <f ca="1">IF(Variables!$A36&gt;=X5,_xlfn.CONCAT("Bond "&amp;X5),IF(Variables!$A36+Variables!$A37&gt;=X5,_xlfn.CONCAT("PAYG "&amp;(X5-Variables!$A36)),IF(Variables!$A36+Variables!$A37+Variables!$A38&gt;=X5,_xlfn.CONCAT("Loan "&amp;(X5-Variables!$A36-Variables!$A37)),"")))</f>
        <v/>
      </c>
      <c r="Y6" s="147" t="str">
        <f ca="1">IF(Variables!$A36&gt;=Y5,_xlfn.CONCAT("Bond "&amp;Y5),IF(Variables!$A36+Variables!$A37&gt;=Y5,_xlfn.CONCAT("PAYG "&amp;(Y5-Variables!$A36)),IF(Variables!$A36+Variables!$A37+Variables!$A38&gt;=Y5,_xlfn.CONCAT("Loan "&amp;(Y5-Variables!$A36-Variables!$A37)),"")))</f>
        <v/>
      </c>
      <c r="Z6" s="147" t="str">
        <f ca="1">IF(Variables!$A36&gt;=Z5,_xlfn.CONCAT("Bond "&amp;Z5),IF(Variables!$A36+Variables!$A37&gt;=Z5,_xlfn.CONCAT("PAYG "&amp;(Z5-Variables!$A36)),IF(Variables!$A36+Variables!$A37+Variables!$A38&gt;=Z5,_xlfn.CONCAT("Loan "&amp;(Z5-Variables!$A36-Variables!$A37)),"")))</f>
        <v/>
      </c>
      <c r="AA6" s="147" t="str">
        <f ca="1">IF(Variables!$A36&gt;=AA5,_xlfn.CONCAT("Bond "&amp;AA5),IF(Variables!$A36+Variables!$A37&gt;=AA5,_xlfn.CONCAT("PAYG "&amp;(AA5-Variables!$A36)),IF(Variables!$A36+Variables!$A37+Variables!$A38&gt;=AA5,_xlfn.CONCAT("Loan "&amp;(AA5-Variables!$A36-Variables!$A37)),"")))</f>
        <v/>
      </c>
      <c r="AB6" s="147" t="str">
        <f ca="1">IF(Variables!$A36&gt;=AB5,_xlfn.CONCAT("Bond "&amp;AB5),IF(Variables!$A36+Variables!$A37&gt;=AB5,_xlfn.CONCAT("PAYG "&amp;(AB5-Variables!$A36)),IF(Variables!$A36+Variables!$A37+Variables!$A38&gt;=AB5,_xlfn.CONCAT("Loan "&amp;(AB5-Variables!$A36-Variables!$A37)),"")))</f>
        <v/>
      </c>
      <c r="AC6" s="147" t="str">
        <f ca="1">IF(Variables!$A36&gt;=AC5,_xlfn.CONCAT("Bond "&amp;AC5),IF(Variables!$A36+Variables!$A37&gt;=AC5,_xlfn.CONCAT("PAYG "&amp;(AC5-Variables!$A36)),IF(Variables!$A36+Variables!$A37+Variables!$A38&gt;=AC5,_xlfn.CONCAT("Loan "&amp;(AC5-Variables!$A36-Variables!$A37)),"")))</f>
        <v/>
      </c>
      <c r="AD6" s="147" t="str">
        <f ca="1">IF(Variables!$A36&gt;=AD5,_xlfn.CONCAT("Bond "&amp;AD5),IF(Variables!$A36+Variables!$A37&gt;=AD5,_xlfn.CONCAT("PAYG "&amp;(AD5-Variables!$A36)),IF(Variables!$A36+Variables!$A37+Variables!$A38&gt;=AD5,_xlfn.CONCAT("Loan "&amp;(AD5-Variables!$A36-Variables!$A37)),"")))</f>
        <v/>
      </c>
      <c r="AE6" s="147" t="str">
        <f ca="1">IF(Variables!$A36&gt;=AE5,_xlfn.CONCAT("Bond "&amp;AE5),IF(Variables!$A36+Variables!$A37&gt;=AE5,_xlfn.CONCAT("PAYG "&amp;(AE5-Variables!$A36)),IF(Variables!$A36+Variables!$A37+Variables!$A38&gt;=AE5,_xlfn.CONCAT("Loan "&amp;(AE5-Variables!$A36-Variables!$A37)),"")))</f>
        <v/>
      </c>
      <c r="AF6" s="147" t="str">
        <f ca="1">IF(Variables!$A36&gt;=AF5,_xlfn.CONCAT("Bond "&amp;AF5),IF(Variables!$A36+Variables!$A37&gt;=AF5,_xlfn.CONCAT("PAYG "&amp;(AF5-Variables!$A36)),IF(Variables!$A36+Variables!$A37+Variables!$A38&gt;=AF5,_xlfn.CONCAT("Loan "&amp;(AF5-Variables!$A36-Variables!$A37)),"")))</f>
        <v/>
      </c>
      <c r="AG6" s="147" t="str">
        <f ca="1">IF(Variables!$A36&gt;=AG5,_xlfn.CONCAT("Bond "&amp;AG5),IF(Variables!$A36+Variables!$A37&gt;=AG5,_xlfn.CONCAT("PAYG "&amp;(AG5-Variables!$A36)),IF(Variables!$A36+Variables!$A37+Variables!$A38&gt;=AG5,_xlfn.CONCAT("Loan "&amp;(AG5-Variables!$A36-Variables!$A37)),"")))</f>
        <v/>
      </c>
      <c r="AH6" s="147" t="str">
        <f ca="1">IF(Variables!$A36&gt;=AH5,_xlfn.CONCAT("Bond "&amp;AH5),IF(Variables!$A36+Variables!$A37&gt;=AH5,_xlfn.CONCAT("PAYG "&amp;(AH5-Variables!$A36)),IF(Variables!$A36+Variables!$A37+Variables!$A38&gt;=AH5,_xlfn.CONCAT("Loan "&amp;(AH5-Variables!$A36-Variables!$A37)),"")))</f>
        <v/>
      </c>
      <c r="AI6" s="147" t="str">
        <f ca="1">IF(Variables!$A36&gt;=AI5,_xlfn.CONCAT("Bond "&amp;AI5),IF(Variables!$A36+Variables!$A37&gt;=AI5,_xlfn.CONCAT("PAYG "&amp;(AI5-Variables!$A36)),IF(Variables!$A36+Variables!$A37+Variables!$A38&gt;=AI5,_xlfn.CONCAT("Loan "&amp;(AI5-Variables!$A36-Variables!$A37)),"")))</f>
        <v/>
      </c>
      <c r="AJ6" s="147" t="str">
        <f ca="1">IF(Variables!$A36&gt;=AJ5,_xlfn.CONCAT("Bond "&amp;AJ5),IF(Variables!$A36+Variables!$A37&gt;=AJ5,_xlfn.CONCAT("PAYG "&amp;(AJ5-Variables!$A36)),IF(Variables!$A36+Variables!$A37+Variables!$A38&gt;=AJ5,_xlfn.CONCAT("Loan "&amp;(AJ5-Variables!$A36-Variables!$A37)),"")))</f>
        <v/>
      </c>
      <c r="AK6" s="147" t="str">
        <f ca="1">IF(Variables!$A36&gt;=AK5,_xlfn.CONCAT("Bond "&amp;AK5),IF(Variables!$A36+Variables!$A37&gt;=AK5,_xlfn.CONCAT("PAYG "&amp;(AK5-Variables!$A36)),IF(Variables!$A36+Variables!$A37+Variables!$A38&gt;=AK5,_xlfn.CONCAT("Loan "&amp;(AK5-Variables!$A36-Variables!$A37)),"")))</f>
        <v/>
      </c>
      <c r="AL6" s="147" t="str">
        <f ca="1">IF(Variables!$A36&gt;=AL5,_xlfn.CONCAT("Bond "&amp;AL5),IF(Variables!$A36+Variables!$A37&gt;=AL5,_xlfn.CONCAT("PAYG "&amp;(AL5-Variables!$A36)),IF(Variables!$A36+Variables!$A37+Variables!$A38&gt;=AL5,_xlfn.CONCAT("Loan "&amp;(AL5-Variables!$A36-Variables!$A37)),"")))</f>
        <v/>
      </c>
      <c r="AM6" s="147" t="str">
        <f ca="1">IF(Variables!$A36&gt;=AM5,_xlfn.CONCAT("Bond "&amp;AM5),IF(Variables!$A36+Variables!$A37&gt;=AM5,_xlfn.CONCAT("PAYG "&amp;(AM5-Variables!$A36)),IF(Variables!$A36+Variables!$A37+Variables!$A38&gt;=AM5,_xlfn.CONCAT("Loan "&amp;(AM5-Variables!$A36-Variables!$A37)),"")))</f>
        <v/>
      </c>
      <c r="AN6" s="147" t="str">
        <f ca="1">IF(Variables!$A36&gt;=AN5,_xlfn.CONCAT("Bond "&amp;AN5),IF(Variables!$A36+Variables!$A37&gt;=AN5,_xlfn.CONCAT("PAYG "&amp;(AN5-Variables!$A36)),IF(Variables!$A36+Variables!$A37+Variables!$A38&gt;=AN5,_xlfn.CONCAT("Loan "&amp;(AN5-Variables!$A36-Variables!$A37)),"")))</f>
        <v/>
      </c>
      <c r="AO6" s="147" t="str">
        <f ca="1">IF(Variables!$A36&gt;=AO5,_xlfn.CONCAT("Bond "&amp;AO5),IF(Variables!$A36+Variables!$A37&gt;=AO5,_xlfn.CONCAT("PAYG "&amp;(AO5-Variables!$A36)),IF(Variables!$A36+Variables!$A37+Variables!$A38&gt;=AO5,_xlfn.CONCAT("Loan "&amp;(AO5-Variables!$A36-Variables!$A37)),"")))</f>
        <v/>
      </c>
      <c r="AP6" s="147" t="str">
        <f ca="1">IF(Variables!$A36&gt;=AP5,_xlfn.CONCAT("Bond "&amp;AP5),IF(Variables!$A36+Variables!$A37&gt;=AP5,_xlfn.CONCAT("PAYG "&amp;(AP5-Variables!$A36)),IF(Variables!$A36+Variables!$A37+Variables!$A38&gt;=AP5,_xlfn.CONCAT("Loan "&amp;(AP5-Variables!$A36-Variables!$A37)),"")))</f>
        <v/>
      </c>
      <c r="AQ6" s="147" t="str">
        <f ca="1">IF(Variables!$A36&gt;=AQ5,_xlfn.CONCAT("Bond "&amp;AQ5),IF(Variables!$A36+Variables!$A37&gt;=AQ5,_xlfn.CONCAT("PAYG "&amp;(AQ5-Variables!$A36)),IF(Variables!$A36+Variables!$A37+Variables!$A38&gt;=AQ5,_xlfn.CONCAT("Loan "&amp;(AQ5-Variables!$A36-Variables!$A37)),"")))</f>
        <v/>
      </c>
      <c r="AR6" s="147" t="str">
        <f ca="1">IF(Variables!$A36&gt;=AR5,_xlfn.CONCAT("Bond "&amp;AR5),IF(Variables!$A36+Variables!$A37&gt;=AR5,_xlfn.CONCAT("PAYG "&amp;(AR5-Variables!$A36)),IF(Variables!$A36+Variables!$A37+Variables!$A38&gt;=AR5,_xlfn.CONCAT("Loan "&amp;(AR5-Variables!$A36-Variables!$A37)),"")))</f>
        <v/>
      </c>
      <c r="AS6" s="147" t="str">
        <f ca="1">IF(Variables!$A36&gt;=AS5,_xlfn.CONCAT("Bond "&amp;AS5),IF(Variables!$A36+Variables!$A37&gt;=AS5,_xlfn.CONCAT("PAYG "&amp;(AS5-Variables!$A36)),IF(Variables!$A36+Variables!$A37+Variables!$A38&gt;=AS5,_xlfn.CONCAT("Loan "&amp;(AS5-Variables!$A36-Variables!$A37)),"")))</f>
        <v/>
      </c>
      <c r="AT6" s="147" t="str">
        <f ca="1">IF(Variables!$A36&gt;=AT5,_xlfn.CONCAT("Bond "&amp;AT5),IF(Variables!$A36+Variables!$A37&gt;=AT5,_xlfn.CONCAT("PAYG "&amp;(AT5-Variables!$A36)),IF(Variables!$A36+Variables!$A37+Variables!$A38&gt;=AT5,_xlfn.CONCAT("Loan "&amp;(AT5-Variables!$A36-Variables!$A37)),"")))</f>
        <v/>
      </c>
    </row>
    <row r="7" spans="1:46" x14ac:dyDescent="0.25">
      <c r="A7" s="79" t="s">
        <v>209</v>
      </c>
      <c r="B7" s="148" t="str" cm="1">
        <f t="array" aca="1" ref="B7" ca="1">IF(LEFT(B$6,4)="Bond",INDIRECT("'"&amp;B$6&amp;"'!$B$8"),IF(LEFT(B$6,4)="PAYG","PAYG Note",IF(LEFT(B$6,4)="Loan",INDIRECT("'"&amp;B$6&amp;"'!$B$7"),"")))</f>
        <v>General Obligation TIF Bond</v>
      </c>
      <c r="C7" s="148" t="str" cm="1">
        <f t="array" aca="1" ref="C7" ca="1">IF(LEFT(C$6,4)="Bond",INDIRECT("'"&amp;C$6&amp;"'!$B$8"),IF(LEFT(C$6,4)="PAYG","PAYG Note",IF(LEFT(C$6,4)="Loan",INDIRECT("'"&amp;C$6&amp;"'!$B$7"),"")))</f>
        <v>PAYG Note</v>
      </c>
      <c r="D7" s="148" t="str" cm="1">
        <f t="array" aca="1" ref="D7" ca="1">IF(LEFT(D$6,4)="Bond",INDIRECT("'"&amp;D$6&amp;"'!$B$8"),IF(LEFT(D$6,4)="PAYG","PAYG Note",IF(LEFT(D$6,4)="Loan",INDIRECT("'"&amp;D$6&amp;"'!$B$7"),"")))</f>
        <v>PAYG Note</v>
      </c>
      <c r="E7" s="148" t="str" cm="1">
        <f t="array" aca="1" ref="E7" ca="1">IF(LEFT(E$6,4)="Bond",INDIRECT("'"&amp;E$6&amp;"'!$B$8"),IF(LEFT(E$6,4)="PAYG","PAYG Note",IF(LEFT(E$6,4)="Loan",INDIRECT("'"&amp;E$6&amp;"'!$B$7"),"")))</f>
        <v>Due To Non-TIF Fund</v>
      </c>
      <c r="F7" s="148" t="str" cm="1">
        <f t="array" aca="1" ref="F7" ca="1">IF(LEFT(F$6,4)="Bond",INDIRECT("'"&amp;F$6&amp;"'!$B$8"),IF(LEFT(F$6,4)="PAYG","PAYG Note",IF(LEFT(F$6,4)="Loan",INDIRECT("'"&amp;F$6&amp;"'!$B$7"),"")))</f>
        <v/>
      </c>
      <c r="G7" s="148" t="str" cm="1">
        <f t="array" aca="1" ref="G7" ca="1">IF(LEFT(G$6,4)="Bond",INDIRECT("'"&amp;G$6&amp;"'!$B$8"),IF(LEFT(G$6,4)="PAYG","PAYG Note",IF(LEFT(G$6,4)="Loan",INDIRECT("'"&amp;G$6&amp;"'!$B$7"),"")))</f>
        <v/>
      </c>
      <c r="H7" s="148" t="str" cm="1">
        <f t="array" aca="1" ref="H7" ca="1">IF(LEFT(H$6,4)="Bond",INDIRECT("'"&amp;H$6&amp;"'!$B$8"),IF(LEFT(H$6,4)="PAYG","PAYG Note",IF(LEFT(H$6,4)="Loan",INDIRECT("'"&amp;H$6&amp;"'!$B$7"),"")))</f>
        <v/>
      </c>
      <c r="I7" s="148" t="str" cm="1">
        <f t="array" aca="1" ref="I7" ca="1">IF(LEFT(I$6,4)="Bond",INDIRECT("'"&amp;I$6&amp;"'!$B$8"),IF(LEFT(I$6,4)="PAYG","PAYG Note",IF(LEFT(I$6,4)="Loan",INDIRECT("'"&amp;I$6&amp;"'!$B$7"),"")))</f>
        <v/>
      </c>
      <c r="J7" s="148" t="str" cm="1">
        <f t="array" aca="1" ref="J7" ca="1">IF(LEFT(J$6,4)="Bond",INDIRECT("'"&amp;J$6&amp;"'!$B$8"),IF(LEFT(J$6,4)="PAYG","PAYG Note",IF(LEFT(J$6,4)="Loan",INDIRECT("'"&amp;J$6&amp;"'!$B$7"),"")))</f>
        <v/>
      </c>
      <c r="K7" s="148" t="str" cm="1">
        <f t="array" aca="1" ref="K7" ca="1">IF(LEFT(K$6,4)="Bond",INDIRECT("'"&amp;K$6&amp;"'!$B$8"),IF(LEFT(K$6,4)="PAYG","PAYG Note",IF(LEFT(K$6,4)="Loan",INDIRECT("'"&amp;K$6&amp;"'!$B$7"),"")))</f>
        <v/>
      </c>
      <c r="L7" s="148" t="str" cm="1">
        <f t="array" aca="1" ref="L7" ca="1">IF(LEFT(L$6,4)="Bond",INDIRECT("'"&amp;L$6&amp;"'!$B$8"),IF(LEFT(L$6,4)="PAYG","PAYG Note",IF(LEFT(L$6,4)="Loan",INDIRECT("'"&amp;L$6&amp;"'!$B$7"),"")))</f>
        <v/>
      </c>
      <c r="M7" s="148" t="str" cm="1">
        <f t="array" aca="1" ref="M7" ca="1">IF(LEFT(M$6,4)="Bond",INDIRECT("'"&amp;M$6&amp;"'!$B$8"),IF(LEFT(M$6,4)="PAYG","PAYG Note",IF(LEFT(M$6,4)="Loan",INDIRECT("'"&amp;M$6&amp;"'!$B$7"),"")))</f>
        <v/>
      </c>
      <c r="N7" s="148" t="str" cm="1">
        <f t="array" aca="1" ref="N7" ca="1">IF(LEFT(N$6,4)="Bond",INDIRECT("'"&amp;N$6&amp;"'!$B$8"),IF(LEFT(N$6,4)="PAYG","PAYG Note",IF(LEFT(N$6,4)="Loan",INDIRECT("'"&amp;N$6&amp;"'!$B$7"),"")))</f>
        <v/>
      </c>
      <c r="O7" s="148" t="str" cm="1">
        <f t="array" aca="1" ref="O7" ca="1">IF(LEFT(O$6,4)="Bond",INDIRECT("'"&amp;O$6&amp;"'!$B$8"),IF(LEFT(O$6,4)="PAYG","PAYG Note",IF(LEFT(O$6,4)="Loan",INDIRECT("'"&amp;O$6&amp;"'!$B$7"),"")))</f>
        <v/>
      </c>
      <c r="P7" s="148" t="str" cm="1">
        <f t="array" aca="1" ref="P7" ca="1">IF(LEFT(P$6,4)="Bond",INDIRECT("'"&amp;P$6&amp;"'!$B$8"),IF(LEFT(P$6,4)="PAYG","PAYG Note",IF(LEFT(P$6,4)="Loan",INDIRECT("'"&amp;P$6&amp;"'!$B$7"),"")))</f>
        <v/>
      </c>
      <c r="Q7" s="148" t="str" cm="1">
        <f t="array" aca="1" ref="Q7" ca="1">IF(LEFT(Q$6,4)="Bond",INDIRECT("'"&amp;Q$6&amp;"'!$B$8"),IF(LEFT(Q$6,4)="PAYG","PAYG Note",IF(LEFT(Q$6,4)="Loan",INDIRECT("'"&amp;Q$6&amp;"'!$B$7"),"")))</f>
        <v/>
      </c>
      <c r="R7" s="148" t="str" cm="1">
        <f t="array" aca="1" ref="R7" ca="1">IF(LEFT(R$6,4)="Bond",INDIRECT("'"&amp;R$6&amp;"'!$B$8"),IF(LEFT(R$6,4)="PAYG","PAYG Note",IF(LEFT(R$6,4)="Loan",INDIRECT("'"&amp;R$6&amp;"'!$B$7"),"")))</f>
        <v/>
      </c>
      <c r="S7" s="148" t="str" cm="1">
        <f t="array" aca="1" ref="S7" ca="1">IF(LEFT(S$6,4)="Bond",INDIRECT("'"&amp;S$6&amp;"'!$B$8"),IF(LEFT(S$6,4)="PAYG","PAYG Note",IF(LEFT(S$6,4)="Loan",INDIRECT("'"&amp;S$6&amp;"'!$B$7"),"")))</f>
        <v/>
      </c>
      <c r="T7" s="148" t="str" cm="1">
        <f t="array" aca="1" ref="T7" ca="1">IF(LEFT(T$6,4)="Bond",INDIRECT("'"&amp;T$6&amp;"'!$B$8"),IF(LEFT(T$6,4)="PAYG","PAYG Note",IF(LEFT(T$6,4)="Loan",INDIRECT("'"&amp;T$6&amp;"'!$B$7"),"")))</f>
        <v/>
      </c>
      <c r="U7" s="148" t="str" cm="1">
        <f t="array" aca="1" ref="U7" ca="1">IF(LEFT(U$6,4)="Bond",INDIRECT("'"&amp;U$6&amp;"'!$B$8"),IF(LEFT(U$6,4)="PAYG","PAYG Note",IF(LEFT(U$6,4)="Loan",INDIRECT("'"&amp;U$6&amp;"'!$B$7"),"")))</f>
        <v/>
      </c>
      <c r="V7" s="148" t="str" cm="1">
        <f t="array" aca="1" ref="V7" ca="1">IF(LEFT(V$6,4)="Bond",INDIRECT("'"&amp;V$6&amp;"'!$B$8"),IF(LEFT(V$6,4)="PAYG","PAYG Note",IF(LEFT(V$6,4)="Loan",INDIRECT("'"&amp;V$6&amp;"'!$B$7"),"")))</f>
        <v/>
      </c>
      <c r="W7" s="148" t="str" cm="1">
        <f t="array" aca="1" ref="W7" ca="1">IF(LEFT(W$6,4)="Bond",INDIRECT("'"&amp;W$6&amp;"'!$B$8"),IF(LEFT(W$6,4)="PAYG","PAYG Note",IF(LEFT(W$6,4)="Loan",INDIRECT("'"&amp;W$6&amp;"'!$B$7"),"")))</f>
        <v/>
      </c>
      <c r="X7" s="148" t="str" cm="1">
        <f t="array" aca="1" ref="X7" ca="1">IF(LEFT(X$6,4)="Bond",INDIRECT("'"&amp;X$6&amp;"'!$B$8"),IF(LEFT(X$6,4)="PAYG","PAYG Note",IF(LEFT(X$6,4)="Loan",INDIRECT("'"&amp;X$6&amp;"'!$B$7"),"")))</f>
        <v/>
      </c>
      <c r="Y7" s="148" t="str" cm="1">
        <f t="array" aca="1" ref="Y7" ca="1">IF(LEFT(Y$6,4)="Bond",INDIRECT("'"&amp;Y$6&amp;"'!$B$8"),IF(LEFT(Y$6,4)="PAYG","PAYG Note",IF(LEFT(Y$6,4)="Loan",INDIRECT("'"&amp;Y$6&amp;"'!$B$7"),"")))</f>
        <v/>
      </c>
      <c r="Z7" s="148" t="str" cm="1">
        <f t="array" aca="1" ref="Z7" ca="1">IF(LEFT(Z$6,4)="Bond",INDIRECT("'"&amp;Z$6&amp;"'!$B$8"),IF(LEFT(Z$6,4)="PAYG","PAYG Note",IF(LEFT(Z$6,4)="Loan",INDIRECT("'"&amp;Z$6&amp;"'!$B$7"),"")))</f>
        <v/>
      </c>
      <c r="AA7" s="148" t="str" cm="1">
        <f t="array" aca="1" ref="AA7" ca="1">IF(LEFT(AA$6,4)="Bond",INDIRECT("'"&amp;AA$6&amp;"'!$B$8"),IF(LEFT(AA$6,4)="PAYG","PAYG Note",IF(LEFT(AA$6,4)="Loan",INDIRECT("'"&amp;AA$6&amp;"'!$B$7"),"")))</f>
        <v/>
      </c>
      <c r="AB7" s="148" t="str" cm="1">
        <f t="array" aca="1" ref="AB7" ca="1">IF(LEFT(AB$6,4)="Bond",INDIRECT("'"&amp;AB$6&amp;"'!$B$8"),IF(LEFT(AB$6,4)="PAYG","PAYG Note",IF(LEFT(AB$6,4)="Loan",INDIRECT("'"&amp;AB$6&amp;"'!$B$7"),"")))</f>
        <v/>
      </c>
      <c r="AC7" s="148" t="str" cm="1">
        <f t="array" aca="1" ref="AC7" ca="1">IF(LEFT(AC$6,4)="Bond",INDIRECT("'"&amp;AC$6&amp;"'!$B$8"),IF(LEFT(AC$6,4)="PAYG","PAYG Note",IF(LEFT(AC$6,4)="Loan",INDIRECT("'"&amp;AC$6&amp;"'!$B$7"),"")))</f>
        <v/>
      </c>
      <c r="AD7" s="148" t="str" cm="1">
        <f t="array" aca="1" ref="AD7" ca="1">IF(LEFT(AD$6,4)="Bond",INDIRECT("'"&amp;AD$6&amp;"'!$B$8"),IF(LEFT(AD$6,4)="PAYG","PAYG Note",IF(LEFT(AD$6,4)="Loan",INDIRECT("'"&amp;AD$6&amp;"'!$B$7"),"")))</f>
        <v/>
      </c>
      <c r="AE7" s="148" t="str" cm="1">
        <f t="array" aca="1" ref="AE7" ca="1">IF(LEFT(AE$6,4)="Bond",INDIRECT("'"&amp;AE$6&amp;"'!$B$8"),IF(LEFT(AE$6,4)="PAYG","PAYG Note",IF(LEFT(AE$6,4)="Loan",INDIRECT("'"&amp;AE$6&amp;"'!$B$7"),"")))</f>
        <v/>
      </c>
      <c r="AF7" s="148" t="str" cm="1">
        <f t="array" aca="1" ref="AF7" ca="1">IF(LEFT(AF$6,4)="Bond",INDIRECT("'"&amp;AF$6&amp;"'!$B$8"),IF(LEFT(AF$6,4)="PAYG","PAYG Note",IF(LEFT(AF$6,4)="Loan",INDIRECT("'"&amp;AF$6&amp;"'!$B$7"),"")))</f>
        <v/>
      </c>
      <c r="AG7" s="148" t="str" cm="1">
        <f t="array" aca="1" ref="AG7" ca="1">IF(LEFT(AG$6,4)="Bond",INDIRECT("'"&amp;AG$6&amp;"'!$B$8"),IF(LEFT(AG$6,4)="PAYG","PAYG Note",IF(LEFT(AG$6,4)="Loan",INDIRECT("'"&amp;AG$6&amp;"'!$B$7"),"")))</f>
        <v/>
      </c>
      <c r="AH7" s="148" t="str" cm="1">
        <f t="array" aca="1" ref="AH7" ca="1">IF(LEFT(AH$6,4)="Bond",INDIRECT("'"&amp;AH$6&amp;"'!$B$8"),IF(LEFT(AH$6,4)="PAYG","PAYG Note",IF(LEFT(AH$6,4)="Loan",INDIRECT("'"&amp;AH$6&amp;"'!$B$7"),"")))</f>
        <v/>
      </c>
      <c r="AI7" s="148" t="str" cm="1">
        <f t="array" aca="1" ref="AI7" ca="1">IF(LEFT(AI$6,4)="Bond",INDIRECT("'"&amp;AI$6&amp;"'!$B$8"),IF(LEFT(AI$6,4)="PAYG","PAYG Note",IF(LEFT(AI$6,4)="Loan",INDIRECT("'"&amp;AI$6&amp;"'!$B$7"),"")))</f>
        <v/>
      </c>
      <c r="AJ7" s="148" t="str" cm="1">
        <f t="array" aca="1" ref="AJ7" ca="1">IF(LEFT(AJ$6,4)="Bond",INDIRECT("'"&amp;AJ$6&amp;"'!$B$8"),IF(LEFT(AJ$6,4)="PAYG","PAYG Note",IF(LEFT(AJ$6,4)="Loan",INDIRECT("'"&amp;AJ$6&amp;"'!$B$7"),"")))</f>
        <v/>
      </c>
      <c r="AK7" s="148" t="str" cm="1">
        <f t="array" aca="1" ref="AK7" ca="1">IF(LEFT(AK$6,4)="Bond",INDIRECT("'"&amp;AK$6&amp;"'!$B$8"),IF(LEFT(AK$6,4)="PAYG","PAYG Note",IF(LEFT(AK$6,4)="Loan",INDIRECT("'"&amp;AK$6&amp;"'!$B$7"),"")))</f>
        <v/>
      </c>
      <c r="AL7" s="148" t="str" cm="1">
        <f t="array" aca="1" ref="AL7" ca="1">IF(LEFT(AL$6,4)="Bond",INDIRECT("'"&amp;AL$6&amp;"'!$B$8"),IF(LEFT(AL$6,4)="PAYG","PAYG Note",IF(LEFT(AL$6,4)="Loan",INDIRECT("'"&amp;AL$6&amp;"'!$B$7"),"")))</f>
        <v/>
      </c>
      <c r="AM7" s="148" t="str" cm="1">
        <f t="array" aca="1" ref="AM7" ca="1">IF(LEFT(AM$6,4)="Bond",INDIRECT("'"&amp;AM$6&amp;"'!$B$8"),IF(LEFT(AM$6,4)="PAYG","PAYG Note",IF(LEFT(AM$6,4)="Loan",INDIRECT("'"&amp;AM$6&amp;"'!$B$7"),"")))</f>
        <v/>
      </c>
      <c r="AN7" s="148" t="str" cm="1">
        <f t="array" aca="1" ref="AN7" ca="1">IF(LEFT(AN$6,4)="Bond",INDIRECT("'"&amp;AN$6&amp;"'!$B$8"),IF(LEFT(AN$6,4)="PAYG","PAYG Note",IF(LEFT(AN$6,4)="Loan",INDIRECT("'"&amp;AN$6&amp;"'!$B$7"),"")))</f>
        <v/>
      </c>
      <c r="AO7" s="148" t="str" cm="1">
        <f t="array" aca="1" ref="AO7" ca="1">IF(LEFT(AO$6,4)="Bond",INDIRECT("'"&amp;AO$6&amp;"'!$B$8"),IF(LEFT(AO$6,4)="PAYG","PAYG Note",IF(LEFT(AO$6,4)="Loan",INDIRECT("'"&amp;AO$6&amp;"'!$B$7"),"")))</f>
        <v/>
      </c>
      <c r="AP7" s="148" t="str" cm="1">
        <f t="array" aca="1" ref="AP7" ca="1">IF(LEFT(AP$6,4)="Bond",INDIRECT("'"&amp;AP$6&amp;"'!$B$8"),IF(LEFT(AP$6,4)="PAYG","PAYG Note",IF(LEFT(AP$6,4)="Loan",INDIRECT("'"&amp;AP$6&amp;"'!$B$7"),"")))</f>
        <v/>
      </c>
      <c r="AQ7" s="148" t="str" cm="1">
        <f t="array" aca="1" ref="AQ7" ca="1">IF(LEFT(AQ$6,4)="Bond",INDIRECT("'"&amp;AQ$6&amp;"'!$B$8"),IF(LEFT(AQ$6,4)="PAYG","PAYG Note",IF(LEFT(AQ$6,4)="Loan",INDIRECT("'"&amp;AQ$6&amp;"'!$B$7"),"")))</f>
        <v/>
      </c>
      <c r="AR7" s="148" t="str" cm="1">
        <f t="array" aca="1" ref="AR7" ca="1">IF(LEFT(AR$6,4)="Bond",INDIRECT("'"&amp;AR$6&amp;"'!$B$8"),IF(LEFT(AR$6,4)="PAYG","PAYG Note",IF(LEFT(AR$6,4)="Loan",INDIRECT("'"&amp;AR$6&amp;"'!$B$7"),"")))</f>
        <v/>
      </c>
      <c r="AS7" s="148" t="str" cm="1">
        <f t="array" aca="1" ref="AS7" ca="1">IF(LEFT(AS$6,4)="Bond",INDIRECT("'"&amp;AS$6&amp;"'!$B$8"),IF(LEFT(AS$6,4)="PAYG","PAYG Note",IF(LEFT(AS$6,4)="Loan",INDIRECT("'"&amp;AS$6&amp;"'!$B$7"),"")))</f>
        <v/>
      </c>
      <c r="AT7" s="148" t="str" cm="1">
        <f t="array" aca="1" ref="AT7" ca="1">IF(LEFT(AT$6,4)="Bond",INDIRECT("'"&amp;AT$6&amp;"'!$B$8"),IF(LEFT(AT$6,4)="PAYG","PAYG Note",IF(LEFT(AT$6,4)="Loan",INDIRECT("'"&amp;AT$6&amp;"'!$B$7"),"")))</f>
        <v/>
      </c>
    </row>
    <row r="8" spans="1:46" x14ac:dyDescent="0.25">
      <c r="A8" s="79" t="s">
        <v>210</v>
      </c>
      <c r="B8" s="148" t="str" cm="1">
        <f t="array" aca="1" ref="B8" ca="1">IF(LEFT(B$6,4)="Bond",INDIRECT("'"&amp;B$6&amp;"'!$B$7"),IF(LEFT(B$6,4)="PAYG",INDIRECT("'"&amp;B$6&amp;"'!$B$7"),IF(LEFT(B$6,4)="Loan",IF(INDIRECT("'"&amp;B$6&amp;"'!$B$7")=Lists!$AH$2,INDIRECT("'"&amp;B$6&amp;"'!$B$8"),INDIRECT("'"&amp;B$6&amp;"'!$B$9")),"")))</f>
        <v>2017 GO TIF Bond</v>
      </c>
      <c r="C8" s="148" t="str" cm="1">
        <f t="array" aca="1" ref="C8" ca="1">IF(LEFT(C$6,4)="Bond",INDIRECT("'"&amp;C$6&amp;"'!$B$7"),IF(LEFT(C$6,4)="PAYG",INDIRECT("'"&amp;C$6&amp;"'!$B$7"),IF(LEFT(C$6,4)="Loan",IF(INDIRECT("'"&amp;C$6&amp;"'!$B$7")=Lists!$AH$2,INDIRECT("'"&amp;C$6&amp;"'!$B$8"),INDIRECT("'"&amp;C$6&amp;"'!$B$9")),"")))</f>
        <v>Elevator Inc</v>
      </c>
      <c r="D8" s="148" t="str" cm="1">
        <f t="array" aca="1" ref="D8" ca="1">IF(LEFT(D$6,4)="Bond",INDIRECT("'"&amp;D$6&amp;"'!$B$7"),IF(LEFT(D$6,4)="PAYG",INDIRECT("'"&amp;D$6&amp;"'!$B$7"),IF(LEFT(D$6,4)="Loan",IF(INDIRECT("'"&amp;D$6&amp;"'!$B$7")=Lists!$AH$2,INDIRECT("'"&amp;D$6&amp;"'!$B$8"),INDIRECT("'"&amp;D$6&amp;"'!$B$9")),"")))</f>
        <v>Ricks Lumber</v>
      </c>
      <c r="E8" s="148" t="str" cm="1">
        <f t="array" aca="1" ref="E8" ca="1">IF(LEFT(E$6,4)="Bond",INDIRECT("'"&amp;E$6&amp;"'!$B$7"),IF(LEFT(E$6,4)="PAYG",INDIRECT("'"&amp;E$6&amp;"'!$B$7"),IF(LEFT(E$6,4)="Loan",IF(INDIRECT("'"&amp;E$6&amp;"'!$B$7")=Lists!$AH$2,INDIRECT("'"&amp;E$6&amp;"'!$B$8"),INDIRECT("'"&amp;E$6&amp;"'!$B$9")),"")))</f>
        <v>General Fund</v>
      </c>
      <c r="F8" s="148" t="str" cm="1">
        <f t="array" aca="1" ref="F8" ca="1">IF(LEFT(F$6,4)="Bond",INDIRECT("'"&amp;F$6&amp;"'!$B$7"),IF(LEFT(F$6,4)="PAYG",INDIRECT("'"&amp;F$6&amp;"'!$B$7"),IF(LEFT(F$6,4)="Loan",IF(INDIRECT("'"&amp;F$6&amp;"'!$B$7")=Lists!$AH$2,INDIRECT("'"&amp;F$6&amp;"'!$B$8"),INDIRECT("'"&amp;F$6&amp;"'!$B$9")),"")))</f>
        <v/>
      </c>
      <c r="G8" s="148" t="str" cm="1">
        <f t="array" aca="1" ref="G8" ca="1">IF(LEFT(G$6,4)="Bond",INDIRECT("'"&amp;G$6&amp;"'!$B$7"),IF(LEFT(G$6,4)="PAYG",INDIRECT("'"&amp;G$6&amp;"'!$B$7"),IF(LEFT(G$6,4)="Loan",IF(INDIRECT("'"&amp;G$6&amp;"'!$B$7")=Lists!$AH$2,INDIRECT("'"&amp;G$6&amp;"'!$B$8"),INDIRECT("'"&amp;G$6&amp;"'!$B$9")),"")))</f>
        <v/>
      </c>
      <c r="H8" s="148" t="str" cm="1">
        <f t="array" aca="1" ref="H8" ca="1">IF(LEFT(H$6,4)="Bond",INDIRECT("'"&amp;H$6&amp;"'!$B$7"),IF(LEFT(H$6,4)="PAYG",INDIRECT("'"&amp;H$6&amp;"'!$B$7"),IF(LEFT(H$6,4)="Loan",IF(INDIRECT("'"&amp;H$6&amp;"'!$B$7")=Lists!$AH$2,INDIRECT("'"&amp;H$6&amp;"'!$B$8"),INDIRECT("'"&amp;H$6&amp;"'!$B$9")),"")))</f>
        <v/>
      </c>
      <c r="I8" s="148" t="str" cm="1">
        <f t="array" aca="1" ref="I8" ca="1">IF(LEFT(I$6,4)="Bond",INDIRECT("'"&amp;I$6&amp;"'!$B$7"),IF(LEFT(I$6,4)="PAYG",INDIRECT("'"&amp;I$6&amp;"'!$B$7"),IF(LEFT(I$6,4)="Loan",IF(INDIRECT("'"&amp;I$6&amp;"'!$B$7")=Lists!$AH$2,INDIRECT("'"&amp;I$6&amp;"'!$B$8"),INDIRECT("'"&amp;I$6&amp;"'!$B$9")),"")))</f>
        <v/>
      </c>
      <c r="J8" s="148" t="str" cm="1">
        <f t="array" aca="1" ref="J8" ca="1">IF(LEFT(J$6,4)="Bond",INDIRECT("'"&amp;J$6&amp;"'!$B$7"),IF(LEFT(J$6,4)="PAYG",INDIRECT("'"&amp;J$6&amp;"'!$B$7"),IF(LEFT(J$6,4)="Loan",IF(INDIRECT("'"&amp;J$6&amp;"'!$B$7")=Lists!$AH$2,INDIRECT("'"&amp;J$6&amp;"'!$B$8"),INDIRECT("'"&amp;J$6&amp;"'!$B$9")),"")))</f>
        <v/>
      </c>
      <c r="K8" s="148" t="str" cm="1">
        <f t="array" aca="1" ref="K8" ca="1">IF(LEFT(K$6,4)="Bond",INDIRECT("'"&amp;K$6&amp;"'!$B$7"),IF(LEFT(K$6,4)="PAYG",INDIRECT("'"&amp;K$6&amp;"'!$B$7"),IF(LEFT(K$6,4)="Loan",IF(INDIRECT("'"&amp;K$6&amp;"'!$B$7")=Lists!$AH$2,INDIRECT("'"&amp;K$6&amp;"'!$B$8"),INDIRECT("'"&amp;K$6&amp;"'!$B$9")),"")))</f>
        <v/>
      </c>
      <c r="L8" s="148" t="str" cm="1">
        <f t="array" aca="1" ref="L8" ca="1">IF(LEFT(L$6,4)="Bond",INDIRECT("'"&amp;L$6&amp;"'!$B$7"),IF(LEFT(L$6,4)="PAYG",INDIRECT("'"&amp;L$6&amp;"'!$B$7"),IF(LEFT(L$6,4)="Loan",IF(INDIRECT("'"&amp;L$6&amp;"'!$B$7")=Lists!$AH$2,INDIRECT("'"&amp;L$6&amp;"'!$B$8"),INDIRECT("'"&amp;L$6&amp;"'!$B$9")),"")))</f>
        <v/>
      </c>
      <c r="M8" s="148" t="str" cm="1">
        <f t="array" aca="1" ref="M8" ca="1">IF(LEFT(M$6,4)="Bond",INDIRECT("'"&amp;M$6&amp;"'!$B$7"),IF(LEFT(M$6,4)="PAYG",INDIRECT("'"&amp;M$6&amp;"'!$B$7"),IF(LEFT(M$6,4)="Loan",IF(INDIRECT("'"&amp;M$6&amp;"'!$B$7")=Lists!$AH$2,INDIRECT("'"&amp;M$6&amp;"'!$B$8"),INDIRECT("'"&amp;M$6&amp;"'!$B$9")),"")))</f>
        <v/>
      </c>
      <c r="N8" s="148" t="str" cm="1">
        <f t="array" aca="1" ref="N8" ca="1">IF(LEFT(N$6,4)="Bond",INDIRECT("'"&amp;N$6&amp;"'!$B$7"),IF(LEFT(N$6,4)="PAYG",INDIRECT("'"&amp;N$6&amp;"'!$B$7"),IF(LEFT(N$6,4)="Loan",IF(INDIRECT("'"&amp;N$6&amp;"'!$B$7")=Lists!$AH$2,INDIRECT("'"&amp;N$6&amp;"'!$B$8"),INDIRECT("'"&amp;N$6&amp;"'!$B$9")),"")))</f>
        <v/>
      </c>
      <c r="O8" s="148" t="str" cm="1">
        <f t="array" aca="1" ref="O8" ca="1">IF(LEFT(O$6,4)="Bond",INDIRECT("'"&amp;O$6&amp;"'!$B$7"),IF(LEFT(O$6,4)="PAYG",INDIRECT("'"&amp;O$6&amp;"'!$B$7"),IF(LEFT(O$6,4)="Loan",IF(INDIRECT("'"&amp;O$6&amp;"'!$B$7")=Lists!$AH$2,INDIRECT("'"&amp;O$6&amp;"'!$B$8"),INDIRECT("'"&amp;O$6&amp;"'!$B$9")),"")))</f>
        <v/>
      </c>
      <c r="P8" s="148" t="str" cm="1">
        <f t="array" aca="1" ref="P8" ca="1">IF(LEFT(P$6,4)="Bond",INDIRECT("'"&amp;P$6&amp;"'!$B$7"),IF(LEFT(P$6,4)="PAYG",INDIRECT("'"&amp;P$6&amp;"'!$B$7"),IF(LEFT(P$6,4)="Loan",IF(INDIRECT("'"&amp;P$6&amp;"'!$B$7")=Lists!$AH$2,INDIRECT("'"&amp;P$6&amp;"'!$B$8"),INDIRECT("'"&amp;P$6&amp;"'!$B$9")),"")))</f>
        <v/>
      </c>
      <c r="Q8" s="148" t="str" cm="1">
        <f t="array" aca="1" ref="Q8" ca="1">IF(LEFT(Q$6,4)="Bond",INDIRECT("'"&amp;Q$6&amp;"'!$B$7"),IF(LEFT(Q$6,4)="PAYG",INDIRECT("'"&amp;Q$6&amp;"'!$B$7"),IF(LEFT(Q$6,4)="Loan",IF(INDIRECT("'"&amp;Q$6&amp;"'!$B$7")=Lists!$AH$2,INDIRECT("'"&amp;Q$6&amp;"'!$B$8"),INDIRECT("'"&amp;Q$6&amp;"'!$B$9")),"")))</f>
        <v/>
      </c>
      <c r="R8" s="148" t="str" cm="1">
        <f t="array" aca="1" ref="R8" ca="1">IF(LEFT(R$6,4)="Bond",INDIRECT("'"&amp;R$6&amp;"'!$B$7"),IF(LEFT(R$6,4)="PAYG",INDIRECT("'"&amp;R$6&amp;"'!$B$7"),IF(LEFT(R$6,4)="Loan",IF(INDIRECT("'"&amp;R$6&amp;"'!$B$7")=Lists!$AH$2,INDIRECT("'"&amp;R$6&amp;"'!$B$8"),INDIRECT("'"&amp;R$6&amp;"'!$B$9")),"")))</f>
        <v/>
      </c>
      <c r="S8" s="148" t="str" cm="1">
        <f t="array" aca="1" ref="S8" ca="1">IF(LEFT(S$6,4)="Bond",INDIRECT("'"&amp;S$6&amp;"'!$B$7"),IF(LEFT(S$6,4)="PAYG",INDIRECT("'"&amp;S$6&amp;"'!$B$7"),IF(LEFT(S$6,4)="Loan",IF(INDIRECT("'"&amp;S$6&amp;"'!$B$7")=Lists!$AH$2,INDIRECT("'"&amp;S$6&amp;"'!$B$8"),INDIRECT("'"&amp;S$6&amp;"'!$B$9")),"")))</f>
        <v/>
      </c>
      <c r="T8" s="148" t="str" cm="1">
        <f t="array" aca="1" ref="T8" ca="1">IF(LEFT(T$6,4)="Bond",INDIRECT("'"&amp;T$6&amp;"'!$B$7"),IF(LEFT(T$6,4)="PAYG",INDIRECT("'"&amp;T$6&amp;"'!$B$7"),IF(LEFT(T$6,4)="Loan",IF(INDIRECT("'"&amp;T$6&amp;"'!$B$7")=Lists!$AH$2,INDIRECT("'"&amp;T$6&amp;"'!$B$8"),INDIRECT("'"&amp;T$6&amp;"'!$B$9")),"")))</f>
        <v/>
      </c>
      <c r="U8" s="148" t="str" cm="1">
        <f t="array" aca="1" ref="U8" ca="1">IF(LEFT(U$6,4)="Bond",INDIRECT("'"&amp;U$6&amp;"'!$B$7"),IF(LEFT(U$6,4)="PAYG",INDIRECT("'"&amp;U$6&amp;"'!$B$7"),IF(LEFT(U$6,4)="Loan",IF(INDIRECT("'"&amp;U$6&amp;"'!$B$7")=Lists!$AH$2,INDIRECT("'"&amp;U$6&amp;"'!$B$8"),INDIRECT("'"&amp;U$6&amp;"'!$B$9")),"")))</f>
        <v/>
      </c>
      <c r="V8" s="148" t="str" cm="1">
        <f t="array" aca="1" ref="V8" ca="1">IF(LEFT(V$6,4)="Bond",INDIRECT("'"&amp;V$6&amp;"'!$B$7"),IF(LEFT(V$6,4)="PAYG",INDIRECT("'"&amp;V$6&amp;"'!$B$7"),IF(LEFT(V$6,4)="Loan",IF(INDIRECT("'"&amp;V$6&amp;"'!$B$7")=Lists!$AH$2,INDIRECT("'"&amp;V$6&amp;"'!$B$8"),INDIRECT("'"&amp;V$6&amp;"'!$B$9")),"")))</f>
        <v/>
      </c>
      <c r="W8" s="148" t="str" cm="1">
        <f t="array" aca="1" ref="W8" ca="1">IF(LEFT(W$6,4)="Bond",INDIRECT("'"&amp;W$6&amp;"'!$B$7"),IF(LEFT(W$6,4)="PAYG",INDIRECT("'"&amp;W$6&amp;"'!$B$7"),IF(LEFT(W$6,4)="Loan",IF(INDIRECT("'"&amp;W$6&amp;"'!$B$7")=Lists!$AH$2,INDIRECT("'"&amp;W$6&amp;"'!$B$8"),INDIRECT("'"&amp;W$6&amp;"'!$B$9")),"")))</f>
        <v/>
      </c>
      <c r="X8" s="148" t="str" cm="1">
        <f t="array" aca="1" ref="X8" ca="1">IF(LEFT(X$6,4)="Bond",INDIRECT("'"&amp;X$6&amp;"'!$B$7"),IF(LEFT(X$6,4)="PAYG",INDIRECT("'"&amp;X$6&amp;"'!$B$7"),IF(LEFT(X$6,4)="Loan",IF(INDIRECT("'"&amp;X$6&amp;"'!$B$7")=Lists!$AH$2,INDIRECT("'"&amp;X$6&amp;"'!$B$8"),INDIRECT("'"&amp;X$6&amp;"'!$B$9")),"")))</f>
        <v/>
      </c>
      <c r="Y8" s="148" t="str" cm="1">
        <f t="array" aca="1" ref="Y8" ca="1">IF(LEFT(Y$6,4)="Bond",INDIRECT("'"&amp;Y$6&amp;"'!$B$7"),IF(LEFT(Y$6,4)="PAYG",INDIRECT("'"&amp;Y$6&amp;"'!$B$7"),IF(LEFT(Y$6,4)="Loan",IF(INDIRECT("'"&amp;Y$6&amp;"'!$B$7")=Lists!$AH$2,INDIRECT("'"&amp;Y$6&amp;"'!$B$8"),INDIRECT("'"&amp;Y$6&amp;"'!$B$9")),"")))</f>
        <v/>
      </c>
      <c r="Z8" s="148" t="str" cm="1">
        <f t="array" aca="1" ref="Z8" ca="1">IF(LEFT(Z$6,4)="Bond",INDIRECT("'"&amp;Z$6&amp;"'!$B$7"),IF(LEFT(Z$6,4)="PAYG",INDIRECT("'"&amp;Z$6&amp;"'!$B$7"),IF(LEFT(Z$6,4)="Loan",IF(INDIRECT("'"&amp;Z$6&amp;"'!$B$7")=Lists!$AH$2,INDIRECT("'"&amp;Z$6&amp;"'!$B$8"),INDIRECT("'"&amp;Z$6&amp;"'!$B$9")),"")))</f>
        <v/>
      </c>
      <c r="AA8" s="148" t="str" cm="1">
        <f t="array" aca="1" ref="AA8" ca="1">IF(LEFT(AA$6,4)="Bond",INDIRECT("'"&amp;AA$6&amp;"'!$B$7"),IF(LEFT(AA$6,4)="PAYG",INDIRECT("'"&amp;AA$6&amp;"'!$B$7"),IF(LEFT(AA$6,4)="Loan",IF(INDIRECT("'"&amp;AA$6&amp;"'!$B$7")=Lists!$AH$2,INDIRECT("'"&amp;AA$6&amp;"'!$B$8"),INDIRECT("'"&amp;AA$6&amp;"'!$B$9")),"")))</f>
        <v/>
      </c>
      <c r="AB8" s="148" t="str" cm="1">
        <f t="array" aca="1" ref="AB8" ca="1">IF(LEFT(AB$6,4)="Bond",INDIRECT("'"&amp;AB$6&amp;"'!$B$7"),IF(LEFT(AB$6,4)="PAYG",INDIRECT("'"&amp;AB$6&amp;"'!$B$7"),IF(LEFT(AB$6,4)="Loan",IF(INDIRECT("'"&amp;AB$6&amp;"'!$B$7")=Lists!$AH$2,INDIRECT("'"&amp;AB$6&amp;"'!$B$8"),INDIRECT("'"&amp;AB$6&amp;"'!$B$9")),"")))</f>
        <v/>
      </c>
      <c r="AC8" s="148" t="str" cm="1">
        <f t="array" aca="1" ref="AC8" ca="1">IF(LEFT(AC$6,4)="Bond",INDIRECT("'"&amp;AC$6&amp;"'!$B$7"),IF(LEFT(AC$6,4)="PAYG",INDIRECT("'"&amp;AC$6&amp;"'!$B$7"),IF(LEFT(AC$6,4)="Loan",IF(INDIRECT("'"&amp;AC$6&amp;"'!$B$7")=Lists!$AH$2,INDIRECT("'"&amp;AC$6&amp;"'!$B$8"),INDIRECT("'"&amp;AC$6&amp;"'!$B$9")),"")))</f>
        <v/>
      </c>
      <c r="AD8" s="148" t="str" cm="1">
        <f t="array" aca="1" ref="AD8" ca="1">IF(LEFT(AD$6,4)="Bond",INDIRECT("'"&amp;AD$6&amp;"'!$B$7"),IF(LEFT(AD$6,4)="PAYG",INDIRECT("'"&amp;AD$6&amp;"'!$B$7"),IF(LEFT(AD$6,4)="Loan",IF(INDIRECT("'"&amp;AD$6&amp;"'!$B$7")=Lists!$AH$2,INDIRECT("'"&amp;AD$6&amp;"'!$B$8"),INDIRECT("'"&amp;AD$6&amp;"'!$B$9")),"")))</f>
        <v/>
      </c>
      <c r="AE8" s="148" t="str" cm="1">
        <f t="array" aca="1" ref="AE8" ca="1">IF(LEFT(AE$6,4)="Bond",INDIRECT("'"&amp;AE$6&amp;"'!$B$7"),IF(LEFT(AE$6,4)="PAYG",INDIRECT("'"&amp;AE$6&amp;"'!$B$7"),IF(LEFT(AE$6,4)="Loan",IF(INDIRECT("'"&amp;AE$6&amp;"'!$B$7")=Lists!$AH$2,INDIRECT("'"&amp;AE$6&amp;"'!$B$8"),INDIRECT("'"&amp;AE$6&amp;"'!$B$9")),"")))</f>
        <v/>
      </c>
      <c r="AF8" s="148" t="str" cm="1">
        <f t="array" aca="1" ref="AF8" ca="1">IF(LEFT(AF$6,4)="Bond",INDIRECT("'"&amp;AF$6&amp;"'!$B$7"),IF(LEFT(AF$6,4)="PAYG",INDIRECT("'"&amp;AF$6&amp;"'!$B$7"),IF(LEFT(AF$6,4)="Loan",IF(INDIRECT("'"&amp;AF$6&amp;"'!$B$7")=Lists!$AH$2,INDIRECT("'"&amp;AF$6&amp;"'!$B$8"),INDIRECT("'"&amp;AF$6&amp;"'!$B$9")),"")))</f>
        <v/>
      </c>
      <c r="AG8" s="148" t="str" cm="1">
        <f t="array" aca="1" ref="AG8" ca="1">IF(LEFT(AG$6,4)="Bond",INDIRECT("'"&amp;AG$6&amp;"'!$B$7"),IF(LEFT(AG$6,4)="PAYG",INDIRECT("'"&amp;AG$6&amp;"'!$B$7"),IF(LEFT(AG$6,4)="Loan",IF(INDIRECT("'"&amp;AG$6&amp;"'!$B$7")=Lists!$AH$2,INDIRECT("'"&amp;AG$6&amp;"'!$B$8"),INDIRECT("'"&amp;AG$6&amp;"'!$B$9")),"")))</f>
        <v/>
      </c>
      <c r="AH8" s="148" t="str" cm="1">
        <f t="array" aca="1" ref="AH8" ca="1">IF(LEFT(AH$6,4)="Bond",INDIRECT("'"&amp;AH$6&amp;"'!$B$7"),IF(LEFT(AH$6,4)="PAYG",INDIRECT("'"&amp;AH$6&amp;"'!$B$7"),IF(LEFT(AH$6,4)="Loan",IF(INDIRECT("'"&amp;AH$6&amp;"'!$B$7")=Lists!$AH$2,INDIRECT("'"&amp;AH$6&amp;"'!$B$8"),INDIRECT("'"&amp;AH$6&amp;"'!$B$9")),"")))</f>
        <v/>
      </c>
      <c r="AI8" s="148" t="str" cm="1">
        <f t="array" aca="1" ref="AI8" ca="1">IF(LEFT(AI$6,4)="Bond",INDIRECT("'"&amp;AI$6&amp;"'!$B$7"),IF(LEFT(AI$6,4)="PAYG",INDIRECT("'"&amp;AI$6&amp;"'!$B$7"),IF(LEFT(AI$6,4)="Loan",IF(INDIRECT("'"&amp;AI$6&amp;"'!$B$7")=Lists!$AH$2,INDIRECT("'"&amp;AI$6&amp;"'!$B$8"),INDIRECT("'"&amp;AI$6&amp;"'!$B$9")),"")))</f>
        <v/>
      </c>
      <c r="AJ8" s="148" t="str" cm="1">
        <f t="array" aca="1" ref="AJ8" ca="1">IF(LEFT(AJ$6,4)="Bond",INDIRECT("'"&amp;AJ$6&amp;"'!$B$7"),IF(LEFT(AJ$6,4)="PAYG",INDIRECT("'"&amp;AJ$6&amp;"'!$B$7"),IF(LEFT(AJ$6,4)="Loan",IF(INDIRECT("'"&amp;AJ$6&amp;"'!$B$7")=Lists!$AH$2,INDIRECT("'"&amp;AJ$6&amp;"'!$B$8"),INDIRECT("'"&amp;AJ$6&amp;"'!$B$9")),"")))</f>
        <v/>
      </c>
      <c r="AK8" s="148" t="str" cm="1">
        <f t="array" aca="1" ref="AK8" ca="1">IF(LEFT(AK$6,4)="Bond",INDIRECT("'"&amp;AK$6&amp;"'!$B$7"),IF(LEFT(AK$6,4)="PAYG",INDIRECT("'"&amp;AK$6&amp;"'!$B$7"),IF(LEFT(AK$6,4)="Loan",IF(INDIRECT("'"&amp;AK$6&amp;"'!$B$7")=Lists!$AH$2,INDIRECT("'"&amp;AK$6&amp;"'!$B$8"),INDIRECT("'"&amp;AK$6&amp;"'!$B$9")),"")))</f>
        <v/>
      </c>
      <c r="AL8" s="148" t="str" cm="1">
        <f t="array" aca="1" ref="AL8" ca="1">IF(LEFT(AL$6,4)="Bond",INDIRECT("'"&amp;AL$6&amp;"'!$B$7"),IF(LEFT(AL$6,4)="PAYG",INDIRECT("'"&amp;AL$6&amp;"'!$B$7"),IF(LEFT(AL$6,4)="Loan",IF(INDIRECT("'"&amp;AL$6&amp;"'!$B$7")=Lists!$AH$2,INDIRECT("'"&amp;AL$6&amp;"'!$B$8"),INDIRECT("'"&amp;AL$6&amp;"'!$B$9")),"")))</f>
        <v/>
      </c>
      <c r="AM8" s="148" t="str" cm="1">
        <f t="array" aca="1" ref="AM8" ca="1">IF(LEFT(AM$6,4)="Bond",INDIRECT("'"&amp;AM$6&amp;"'!$B$7"),IF(LEFT(AM$6,4)="PAYG",INDIRECT("'"&amp;AM$6&amp;"'!$B$7"),IF(LEFT(AM$6,4)="Loan",IF(INDIRECT("'"&amp;AM$6&amp;"'!$B$7")=Lists!$AH$2,INDIRECT("'"&amp;AM$6&amp;"'!$B$8"),INDIRECT("'"&amp;AM$6&amp;"'!$B$9")),"")))</f>
        <v/>
      </c>
      <c r="AN8" s="148" t="str" cm="1">
        <f t="array" aca="1" ref="AN8" ca="1">IF(LEFT(AN$6,4)="Bond",INDIRECT("'"&amp;AN$6&amp;"'!$B$7"),IF(LEFT(AN$6,4)="PAYG",INDIRECT("'"&amp;AN$6&amp;"'!$B$7"),IF(LEFT(AN$6,4)="Loan",IF(INDIRECT("'"&amp;AN$6&amp;"'!$B$7")=Lists!$AH$2,INDIRECT("'"&amp;AN$6&amp;"'!$B$8"),INDIRECT("'"&amp;AN$6&amp;"'!$B$9")),"")))</f>
        <v/>
      </c>
      <c r="AO8" s="148" t="str" cm="1">
        <f t="array" aca="1" ref="AO8" ca="1">IF(LEFT(AO$6,4)="Bond",INDIRECT("'"&amp;AO$6&amp;"'!$B$7"),IF(LEFT(AO$6,4)="PAYG",INDIRECT("'"&amp;AO$6&amp;"'!$B$7"),IF(LEFT(AO$6,4)="Loan",IF(INDIRECT("'"&amp;AO$6&amp;"'!$B$7")=Lists!$AH$2,INDIRECT("'"&amp;AO$6&amp;"'!$B$8"),INDIRECT("'"&amp;AO$6&amp;"'!$B$9")),"")))</f>
        <v/>
      </c>
      <c r="AP8" s="148" t="str" cm="1">
        <f t="array" aca="1" ref="AP8" ca="1">IF(LEFT(AP$6,4)="Bond",INDIRECT("'"&amp;AP$6&amp;"'!$B$7"),IF(LEFT(AP$6,4)="PAYG",INDIRECT("'"&amp;AP$6&amp;"'!$B$7"),IF(LEFT(AP$6,4)="Loan",IF(INDIRECT("'"&amp;AP$6&amp;"'!$B$7")=Lists!$AH$2,INDIRECT("'"&amp;AP$6&amp;"'!$B$8"),INDIRECT("'"&amp;AP$6&amp;"'!$B$9")),"")))</f>
        <v/>
      </c>
      <c r="AQ8" s="148" t="str" cm="1">
        <f t="array" aca="1" ref="AQ8" ca="1">IF(LEFT(AQ$6,4)="Bond",INDIRECT("'"&amp;AQ$6&amp;"'!$B$7"),IF(LEFT(AQ$6,4)="PAYG",INDIRECT("'"&amp;AQ$6&amp;"'!$B$7"),IF(LEFT(AQ$6,4)="Loan",IF(INDIRECT("'"&amp;AQ$6&amp;"'!$B$7")=Lists!$AH$2,INDIRECT("'"&amp;AQ$6&amp;"'!$B$8"),INDIRECT("'"&amp;AQ$6&amp;"'!$B$9")),"")))</f>
        <v/>
      </c>
      <c r="AR8" s="148" t="str" cm="1">
        <f t="array" aca="1" ref="AR8" ca="1">IF(LEFT(AR$6,4)="Bond",INDIRECT("'"&amp;AR$6&amp;"'!$B$7"),IF(LEFT(AR$6,4)="PAYG",INDIRECT("'"&amp;AR$6&amp;"'!$B$7"),IF(LEFT(AR$6,4)="Loan",IF(INDIRECT("'"&amp;AR$6&amp;"'!$B$7")=Lists!$AH$2,INDIRECT("'"&amp;AR$6&amp;"'!$B$8"),INDIRECT("'"&amp;AR$6&amp;"'!$B$9")),"")))</f>
        <v/>
      </c>
      <c r="AS8" s="148" t="str" cm="1">
        <f t="array" aca="1" ref="AS8" ca="1">IF(LEFT(AS$6,4)="Bond",INDIRECT("'"&amp;AS$6&amp;"'!$B$7"),IF(LEFT(AS$6,4)="PAYG",INDIRECT("'"&amp;AS$6&amp;"'!$B$7"),IF(LEFT(AS$6,4)="Loan",IF(INDIRECT("'"&amp;AS$6&amp;"'!$B$7")=Lists!$AH$2,INDIRECT("'"&amp;AS$6&amp;"'!$B$8"),INDIRECT("'"&amp;AS$6&amp;"'!$B$9")),"")))</f>
        <v/>
      </c>
      <c r="AT8" s="148" t="str" cm="1">
        <f t="array" aca="1" ref="AT8" ca="1">IF(LEFT(AT$6,4)="Bond",INDIRECT("'"&amp;AT$6&amp;"'!$B$7"),IF(LEFT(AT$6,4)="PAYG",INDIRECT("'"&amp;AT$6&amp;"'!$B$7"),IF(LEFT(AT$6,4)="Loan",IF(INDIRECT("'"&amp;AT$6&amp;"'!$B$7")=Lists!$AH$2,INDIRECT("'"&amp;AT$6&amp;"'!$B$8"),INDIRECT("'"&amp;AT$6&amp;"'!$B$9")),"")))</f>
        <v/>
      </c>
    </row>
    <row r="9" spans="1:46" x14ac:dyDescent="0.25">
      <c r="A9" s="79" t="s">
        <v>972</v>
      </c>
      <c r="B9" s="148" t="str" cm="1">
        <f t="array" aca="1" ref="B9" ca="1">IF(LEFT(B$6,4)="Bond",INDIRECT("'"&amp;B$6&amp;"'!$B$9"),IF(LEFT(B$6,4)="PAYG","N/A",IF(LEFT(B$6,4)="Loan","N/A","")))</f>
        <v>No</v>
      </c>
      <c r="C9" s="148" t="str" cm="1">
        <f t="array" aca="1" ref="C9" ca="1">IF(LEFT(C$6,4)="Bond",INDIRECT("'"&amp;C$6&amp;"'!$B$9"),IF(LEFT(C$6,4)="PAYG","N/A",IF(LEFT(C$6,4)="Loan","N/A","")))</f>
        <v>N/A</v>
      </c>
      <c r="D9" s="148" t="str" cm="1">
        <f t="array" aca="1" ref="D9" ca="1">IF(LEFT(D$6,4)="Bond",INDIRECT("'"&amp;D$6&amp;"'!$B$9"),IF(LEFT(D$6,4)="PAYG","N/A",IF(LEFT(D$6,4)="Loan","N/A","")))</f>
        <v>N/A</v>
      </c>
      <c r="E9" s="148" t="str" cm="1">
        <f t="array" aca="1" ref="E9" ca="1">IF(LEFT(E$6,4)="Bond",INDIRECT("'"&amp;E$6&amp;"'!$B$9"),IF(LEFT(E$6,4)="PAYG","N/A",IF(LEFT(E$6,4)="Loan","N/A","")))</f>
        <v>N/A</v>
      </c>
      <c r="F9" s="148" t="str" cm="1">
        <f t="array" aca="1" ref="F9" ca="1">IF(LEFT(F$6,4)="Bond",INDIRECT("'"&amp;F$6&amp;"'!$B$9"),IF(LEFT(F$6,4)="PAYG","N/A",IF(LEFT(F$6,4)="Loan","N/A","")))</f>
        <v/>
      </c>
      <c r="G9" s="148" t="str" cm="1">
        <f t="array" aca="1" ref="G9" ca="1">IF(LEFT(G$6,4)="Bond",INDIRECT("'"&amp;G$6&amp;"'!$B$9"),IF(LEFT(G$6,4)="PAYG","N/A",IF(LEFT(G$6,4)="Loan","N/A","")))</f>
        <v/>
      </c>
      <c r="H9" s="148" t="str" cm="1">
        <f t="array" aca="1" ref="H9" ca="1">IF(LEFT(H$6,4)="Bond",INDIRECT("'"&amp;H$6&amp;"'!$B$9"),IF(LEFT(H$6,4)="PAYG","N/A",IF(LEFT(H$6,4)="Loan","N/A","")))</f>
        <v/>
      </c>
      <c r="I9" s="148" t="str" cm="1">
        <f t="array" aca="1" ref="I9" ca="1">IF(LEFT(I$6,4)="Bond",INDIRECT("'"&amp;I$6&amp;"'!$B$9"),IF(LEFT(I$6,4)="PAYG","N/A",IF(LEFT(I$6,4)="Loan","N/A","")))</f>
        <v/>
      </c>
      <c r="J9" s="148" t="str" cm="1">
        <f t="array" aca="1" ref="J9" ca="1">IF(LEFT(J$6,4)="Bond",INDIRECT("'"&amp;J$6&amp;"'!$B$9"),IF(LEFT(J$6,4)="PAYG","N/A",IF(LEFT(J$6,4)="Loan","N/A","")))</f>
        <v/>
      </c>
      <c r="K9" s="148" t="str" cm="1">
        <f t="array" aca="1" ref="K9" ca="1">IF(LEFT(K$6,4)="Bond",INDIRECT("'"&amp;K$6&amp;"'!$B$9"),IF(LEFT(K$6,4)="PAYG","N/A",IF(LEFT(K$6,4)="Loan","N/A","")))</f>
        <v/>
      </c>
      <c r="L9" s="148" t="str" cm="1">
        <f t="array" aca="1" ref="L9" ca="1">IF(LEFT(L$6,4)="Bond",INDIRECT("'"&amp;L$6&amp;"'!$B$9"),IF(LEFT(L$6,4)="PAYG","N/A",IF(LEFT(L$6,4)="Loan","N/A","")))</f>
        <v/>
      </c>
      <c r="M9" s="148" t="str" cm="1">
        <f t="array" aca="1" ref="M9" ca="1">IF(LEFT(M$6,4)="Bond",INDIRECT("'"&amp;M$6&amp;"'!$B$9"),IF(LEFT(M$6,4)="PAYG","N/A",IF(LEFT(M$6,4)="Loan","N/A","")))</f>
        <v/>
      </c>
      <c r="N9" s="148" t="str" cm="1">
        <f t="array" aca="1" ref="N9" ca="1">IF(LEFT(N$6,4)="Bond",INDIRECT("'"&amp;N$6&amp;"'!$B$9"),IF(LEFT(N$6,4)="PAYG","N/A",IF(LEFT(N$6,4)="Loan","N/A","")))</f>
        <v/>
      </c>
      <c r="O9" s="148" t="str" cm="1">
        <f t="array" aca="1" ref="O9" ca="1">IF(LEFT(O$6,4)="Bond",INDIRECT("'"&amp;O$6&amp;"'!$B$9"),IF(LEFT(O$6,4)="PAYG","N/A",IF(LEFT(O$6,4)="Loan","N/A","")))</f>
        <v/>
      </c>
      <c r="P9" s="148" t="str" cm="1">
        <f t="array" aca="1" ref="P9" ca="1">IF(LEFT(P$6,4)="Bond",INDIRECT("'"&amp;P$6&amp;"'!$B$9"),IF(LEFT(P$6,4)="PAYG","N/A",IF(LEFT(P$6,4)="Loan","N/A","")))</f>
        <v/>
      </c>
      <c r="Q9" s="148" t="str" cm="1">
        <f t="array" aca="1" ref="Q9" ca="1">IF(LEFT(Q$6,4)="Bond",INDIRECT("'"&amp;Q$6&amp;"'!$B$9"),IF(LEFT(Q$6,4)="PAYG","N/A",IF(LEFT(Q$6,4)="Loan","N/A","")))</f>
        <v/>
      </c>
      <c r="R9" s="148" t="str" cm="1">
        <f t="array" aca="1" ref="R9" ca="1">IF(LEFT(R$6,4)="Bond",INDIRECT("'"&amp;R$6&amp;"'!$B$9"),IF(LEFT(R$6,4)="PAYG","N/A",IF(LEFT(R$6,4)="Loan","N/A","")))</f>
        <v/>
      </c>
      <c r="S9" s="148" t="str" cm="1">
        <f t="array" aca="1" ref="S9" ca="1">IF(LEFT(S$6,4)="Bond",INDIRECT("'"&amp;S$6&amp;"'!$B$9"),IF(LEFT(S$6,4)="PAYG","N/A",IF(LEFT(S$6,4)="Loan","N/A","")))</f>
        <v/>
      </c>
      <c r="T9" s="148" t="str" cm="1">
        <f t="array" aca="1" ref="T9" ca="1">IF(LEFT(T$6,4)="Bond",INDIRECT("'"&amp;T$6&amp;"'!$B$9"),IF(LEFT(T$6,4)="PAYG","N/A",IF(LEFT(T$6,4)="Loan","N/A","")))</f>
        <v/>
      </c>
      <c r="U9" s="148" t="str" cm="1">
        <f t="array" aca="1" ref="U9" ca="1">IF(LEFT(U$6,4)="Bond",INDIRECT("'"&amp;U$6&amp;"'!$B$9"),IF(LEFT(U$6,4)="PAYG","N/A",IF(LEFT(U$6,4)="Loan","N/A","")))</f>
        <v/>
      </c>
      <c r="V9" s="148" t="str" cm="1">
        <f t="array" aca="1" ref="V9" ca="1">IF(LEFT(V$6,4)="Bond",INDIRECT("'"&amp;V$6&amp;"'!$B$9"),IF(LEFT(V$6,4)="PAYG","N/A",IF(LEFT(V$6,4)="Loan","N/A","")))</f>
        <v/>
      </c>
      <c r="W9" s="148" t="str" cm="1">
        <f t="array" aca="1" ref="W9" ca="1">IF(LEFT(W$6,4)="Bond",INDIRECT("'"&amp;W$6&amp;"'!$B$9"),IF(LEFT(W$6,4)="PAYG","N/A",IF(LEFT(W$6,4)="Loan","N/A","")))</f>
        <v/>
      </c>
      <c r="X9" s="148" t="str" cm="1">
        <f t="array" aca="1" ref="X9" ca="1">IF(LEFT(X$6,4)="Bond",INDIRECT("'"&amp;X$6&amp;"'!$B$9"),IF(LEFT(X$6,4)="PAYG","N/A",IF(LEFT(X$6,4)="Loan","N/A","")))</f>
        <v/>
      </c>
      <c r="Y9" s="148" t="str" cm="1">
        <f t="array" aca="1" ref="Y9" ca="1">IF(LEFT(Y$6,4)="Bond",INDIRECT("'"&amp;Y$6&amp;"'!$B$9"),IF(LEFT(Y$6,4)="PAYG","N/A",IF(LEFT(Y$6,4)="Loan","N/A","")))</f>
        <v/>
      </c>
      <c r="Z9" s="148" t="str" cm="1">
        <f t="array" aca="1" ref="Z9" ca="1">IF(LEFT(Z$6,4)="Bond",INDIRECT("'"&amp;Z$6&amp;"'!$B$9"),IF(LEFT(Z$6,4)="PAYG","N/A",IF(LEFT(Z$6,4)="Loan","N/A","")))</f>
        <v/>
      </c>
      <c r="AA9" s="148" t="str" cm="1">
        <f t="array" aca="1" ref="AA9" ca="1">IF(LEFT(AA$6,4)="Bond",INDIRECT("'"&amp;AA$6&amp;"'!$B$9"),IF(LEFT(AA$6,4)="PAYG","N/A",IF(LEFT(AA$6,4)="Loan","N/A","")))</f>
        <v/>
      </c>
      <c r="AB9" s="148" t="str" cm="1">
        <f t="array" aca="1" ref="AB9" ca="1">IF(LEFT(AB$6,4)="Bond",INDIRECT("'"&amp;AB$6&amp;"'!$B$9"),IF(LEFT(AB$6,4)="PAYG","N/A",IF(LEFT(AB$6,4)="Loan","N/A","")))</f>
        <v/>
      </c>
      <c r="AC9" s="148" t="str" cm="1">
        <f t="array" aca="1" ref="AC9" ca="1">IF(LEFT(AC$6,4)="Bond",INDIRECT("'"&amp;AC$6&amp;"'!$B$9"),IF(LEFT(AC$6,4)="PAYG","N/A",IF(LEFT(AC$6,4)="Loan","N/A","")))</f>
        <v/>
      </c>
      <c r="AD9" s="148" t="str" cm="1">
        <f t="array" aca="1" ref="AD9" ca="1">IF(LEFT(AD$6,4)="Bond",INDIRECT("'"&amp;AD$6&amp;"'!$B$9"),IF(LEFT(AD$6,4)="PAYG","N/A",IF(LEFT(AD$6,4)="Loan","N/A","")))</f>
        <v/>
      </c>
      <c r="AE9" s="148" t="str" cm="1">
        <f t="array" aca="1" ref="AE9" ca="1">IF(LEFT(AE$6,4)="Bond",INDIRECT("'"&amp;AE$6&amp;"'!$B$9"),IF(LEFT(AE$6,4)="PAYG","N/A",IF(LEFT(AE$6,4)="Loan","N/A","")))</f>
        <v/>
      </c>
      <c r="AF9" s="148" t="str" cm="1">
        <f t="array" aca="1" ref="AF9" ca="1">IF(LEFT(AF$6,4)="Bond",INDIRECT("'"&amp;AF$6&amp;"'!$B$9"),IF(LEFT(AF$6,4)="PAYG","N/A",IF(LEFT(AF$6,4)="Loan","N/A","")))</f>
        <v/>
      </c>
      <c r="AG9" s="148" t="str" cm="1">
        <f t="array" aca="1" ref="AG9" ca="1">IF(LEFT(AG$6,4)="Bond",INDIRECT("'"&amp;AG$6&amp;"'!$B$9"),IF(LEFT(AG$6,4)="PAYG","N/A",IF(LEFT(AG$6,4)="Loan","N/A","")))</f>
        <v/>
      </c>
      <c r="AH9" s="148" t="str" cm="1">
        <f t="array" aca="1" ref="AH9" ca="1">IF(LEFT(AH$6,4)="Bond",INDIRECT("'"&amp;AH$6&amp;"'!$B$9"),IF(LEFT(AH$6,4)="PAYG","N/A",IF(LEFT(AH$6,4)="Loan","N/A","")))</f>
        <v/>
      </c>
      <c r="AI9" s="148" t="str" cm="1">
        <f t="array" aca="1" ref="AI9" ca="1">IF(LEFT(AI$6,4)="Bond",INDIRECT("'"&amp;AI$6&amp;"'!$B$9"),IF(LEFT(AI$6,4)="PAYG","N/A",IF(LEFT(AI$6,4)="Loan","N/A","")))</f>
        <v/>
      </c>
      <c r="AJ9" s="148" t="str" cm="1">
        <f t="array" aca="1" ref="AJ9" ca="1">IF(LEFT(AJ$6,4)="Bond",INDIRECT("'"&amp;AJ$6&amp;"'!$B$9"),IF(LEFT(AJ$6,4)="PAYG","N/A",IF(LEFT(AJ$6,4)="Loan","N/A","")))</f>
        <v/>
      </c>
      <c r="AK9" s="148" t="str" cm="1">
        <f t="array" aca="1" ref="AK9" ca="1">IF(LEFT(AK$6,4)="Bond",INDIRECT("'"&amp;AK$6&amp;"'!$B$9"),IF(LEFT(AK$6,4)="PAYG","N/A",IF(LEFT(AK$6,4)="Loan","N/A","")))</f>
        <v/>
      </c>
      <c r="AL9" s="148" t="str" cm="1">
        <f t="array" aca="1" ref="AL9" ca="1">IF(LEFT(AL$6,4)="Bond",INDIRECT("'"&amp;AL$6&amp;"'!$B$9"),IF(LEFT(AL$6,4)="PAYG","N/A",IF(LEFT(AL$6,4)="Loan","N/A","")))</f>
        <v/>
      </c>
      <c r="AM9" s="148" t="str" cm="1">
        <f t="array" aca="1" ref="AM9" ca="1">IF(LEFT(AM$6,4)="Bond",INDIRECT("'"&amp;AM$6&amp;"'!$B$9"),IF(LEFT(AM$6,4)="PAYG","N/A",IF(LEFT(AM$6,4)="Loan","N/A","")))</f>
        <v/>
      </c>
      <c r="AN9" s="148" t="str" cm="1">
        <f t="array" aca="1" ref="AN9" ca="1">IF(LEFT(AN$6,4)="Bond",INDIRECT("'"&amp;AN$6&amp;"'!$B$9"),IF(LEFT(AN$6,4)="PAYG","N/A",IF(LEFT(AN$6,4)="Loan","N/A","")))</f>
        <v/>
      </c>
      <c r="AO9" s="148" t="str" cm="1">
        <f t="array" aca="1" ref="AO9" ca="1">IF(LEFT(AO$6,4)="Bond",INDIRECT("'"&amp;AO$6&amp;"'!$B$9"),IF(LEFT(AO$6,4)="PAYG","N/A",IF(LEFT(AO$6,4)="Loan","N/A","")))</f>
        <v/>
      </c>
      <c r="AP9" s="148" t="str" cm="1">
        <f t="array" aca="1" ref="AP9" ca="1">IF(LEFT(AP$6,4)="Bond",INDIRECT("'"&amp;AP$6&amp;"'!$B$9"),IF(LEFT(AP$6,4)="PAYG","N/A",IF(LEFT(AP$6,4)="Loan","N/A","")))</f>
        <v/>
      </c>
      <c r="AQ9" s="148" t="str" cm="1">
        <f t="array" aca="1" ref="AQ9" ca="1">IF(LEFT(AQ$6,4)="Bond",INDIRECT("'"&amp;AQ$6&amp;"'!$B$9"),IF(LEFT(AQ$6,4)="PAYG","N/A",IF(LEFT(AQ$6,4)="Loan","N/A","")))</f>
        <v/>
      </c>
      <c r="AR9" s="148" t="str" cm="1">
        <f t="array" aca="1" ref="AR9" ca="1">IF(LEFT(AR$6,4)="Bond",INDIRECT("'"&amp;AR$6&amp;"'!$B$9"),IF(LEFT(AR$6,4)="PAYG","N/A",IF(LEFT(AR$6,4)="Loan","N/A","")))</f>
        <v/>
      </c>
      <c r="AS9" s="148" t="str" cm="1">
        <f t="array" aca="1" ref="AS9" ca="1">IF(LEFT(AS$6,4)="Bond",INDIRECT("'"&amp;AS$6&amp;"'!$B$9"),IF(LEFT(AS$6,4)="PAYG","N/A",IF(LEFT(AS$6,4)="Loan","N/A","")))</f>
        <v/>
      </c>
      <c r="AT9" s="148" t="str" cm="1">
        <f t="array" aca="1" ref="AT9" ca="1">IF(LEFT(AT$6,4)="Bond",INDIRECT("'"&amp;AT$6&amp;"'!$B$9"),IF(LEFT(AT$6,4)="PAYG","N/A",IF(LEFT(AT$6,4)="Loan","N/A","")))</f>
        <v/>
      </c>
    </row>
    <row r="10" spans="1:46" x14ac:dyDescent="0.25">
      <c r="A10" s="79" t="s">
        <v>997</v>
      </c>
      <c r="B10" s="148" t="str" cm="1">
        <f t="array" aca="1" ref="B10" ca="1">IF(LEFT(B$6,4)="Bond",INDIRECT("'"&amp;B$6&amp;"'!$B$10"),IF(LEFT(B$6,4)="PAYG","N/A",IF(LEFT(B$6,4)="Loan","N/A","")))</f>
        <v>No</v>
      </c>
      <c r="C10" s="148" t="str" cm="1">
        <f t="array" aca="1" ref="C10" ca="1">IF(LEFT(C$6,4)="Bond",INDIRECT("'"&amp;C$6&amp;"'!$B$10"),IF(LEFT(C$6,4)="PAYG","N/A",IF(LEFT(C$6,4)="Loan","N/A","")))</f>
        <v>N/A</v>
      </c>
      <c r="D10" s="148" t="str" cm="1">
        <f t="array" aca="1" ref="D10" ca="1">IF(LEFT(D$6,4)="Bond",INDIRECT("'"&amp;D$6&amp;"'!$B$10"),IF(LEFT(D$6,4)="PAYG","N/A",IF(LEFT(D$6,4)="Loan","N/A","")))</f>
        <v>N/A</v>
      </c>
      <c r="E10" s="148" t="str" cm="1">
        <f t="array" aca="1" ref="E10" ca="1">IF(LEFT(E$6,4)="Bond",INDIRECT("'"&amp;E$6&amp;"'!$B$10"),IF(LEFT(E$6,4)="PAYG","N/A",IF(LEFT(E$6,4)="Loan","N/A","")))</f>
        <v>N/A</v>
      </c>
      <c r="F10" s="148" t="str" cm="1">
        <f t="array" aca="1" ref="F10" ca="1">IF(LEFT(F$6,4)="Bond",INDIRECT("'"&amp;F$6&amp;"'!$B$10"),IF(LEFT(F$6,4)="PAYG","N/A",IF(LEFT(F$6,4)="Loan","N/A","")))</f>
        <v/>
      </c>
      <c r="G10" s="148" t="str" cm="1">
        <f t="array" aca="1" ref="G10" ca="1">IF(LEFT(G$6,4)="Bond",INDIRECT("'"&amp;G$6&amp;"'!$B$10"),IF(LEFT(G$6,4)="PAYG","N/A",IF(LEFT(G$6,4)="Loan","N/A","")))</f>
        <v/>
      </c>
      <c r="H10" s="148" t="str" cm="1">
        <f t="array" aca="1" ref="H10" ca="1">IF(LEFT(H$6,4)="Bond",INDIRECT("'"&amp;H$6&amp;"'!$B$10"),IF(LEFT(H$6,4)="PAYG","N/A",IF(LEFT(H$6,4)="Loan","N/A","")))</f>
        <v/>
      </c>
      <c r="I10" s="148" t="str" cm="1">
        <f t="array" aca="1" ref="I10" ca="1">IF(LEFT(I$6,4)="Bond",INDIRECT("'"&amp;I$6&amp;"'!$B$10"),IF(LEFT(I$6,4)="PAYG","N/A",IF(LEFT(I$6,4)="Loan","N/A","")))</f>
        <v/>
      </c>
      <c r="J10" s="148" t="str" cm="1">
        <f t="array" aca="1" ref="J10" ca="1">IF(LEFT(J$6,4)="Bond",INDIRECT("'"&amp;J$6&amp;"'!$B$10"),IF(LEFT(J$6,4)="PAYG","N/A",IF(LEFT(J$6,4)="Loan","N/A","")))</f>
        <v/>
      </c>
      <c r="K10" s="148" t="str" cm="1">
        <f t="array" aca="1" ref="K10" ca="1">IF(LEFT(K$6,4)="Bond",INDIRECT("'"&amp;K$6&amp;"'!$B$10"),IF(LEFT(K$6,4)="PAYG","N/A",IF(LEFT(K$6,4)="Loan","N/A","")))</f>
        <v/>
      </c>
      <c r="L10" s="148" t="str" cm="1">
        <f t="array" aca="1" ref="L10" ca="1">IF(LEFT(L$6,4)="Bond",INDIRECT("'"&amp;L$6&amp;"'!$B$10"),IF(LEFT(L$6,4)="PAYG","N/A",IF(LEFT(L$6,4)="Loan","N/A","")))</f>
        <v/>
      </c>
      <c r="M10" s="148" t="str" cm="1">
        <f t="array" aca="1" ref="M10" ca="1">IF(LEFT(M$6,4)="Bond",INDIRECT("'"&amp;M$6&amp;"'!$B$10"),IF(LEFT(M$6,4)="PAYG","N/A",IF(LEFT(M$6,4)="Loan","N/A","")))</f>
        <v/>
      </c>
      <c r="N10" s="148" t="str" cm="1">
        <f t="array" aca="1" ref="N10" ca="1">IF(LEFT(N$6,4)="Bond",INDIRECT("'"&amp;N$6&amp;"'!$B$10"),IF(LEFT(N$6,4)="PAYG","N/A",IF(LEFT(N$6,4)="Loan","N/A","")))</f>
        <v/>
      </c>
      <c r="O10" s="148" t="str" cm="1">
        <f t="array" aca="1" ref="O10" ca="1">IF(LEFT(O$6,4)="Bond",INDIRECT("'"&amp;O$6&amp;"'!$B$10"),IF(LEFT(O$6,4)="PAYG","N/A",IF(LEFT(O$6,4)="Loan","N/A","")))</f>
        <v/>
      </c>
      <c r="P10" s="148" t="str" cm="1">
        <f t="array" aca="1" ref="P10" ca="1">IF(LEFT(P$6,4)="Bond",INDIRECT("'"&amp;P$6&amp;"'!$B$10"),IF(LEFT(P$6,4)="PAYG","N/A",IF(LEFT(P$6,4)="Loan","N/A","")))</f>
        <v/>
      </c>
      <c r="Q10" s="148" t="str" cm="1">
        <f t="array" aca="1" ref="Q10" ca="1">IF(LEFT(Q$6,4)="Bond",INDIRECT("'"&amp;Q$6&amp;"'!$B$10"),IF(LEFT(Q$6,4)="PAYG","N/A",IF(LEFT(Q$6,4)="Loan","N/A","")))</f>
        <v/>
      </c>
      <c r="R10" s="148" t="str" cm="1">
        <f t="array" aca="1" ref="R10" ca="1">IF(LEFT(R$6,4)="Bond",INDIRECT("'"&amp;R$6&amp;"'!$B$10"),IF(LEFT(R$6,4)="PAYG","N/A",IF(LEFT(R$6,4)="Loan","N/A","")))</f>
        <v/>
      </c>
      <c r="S10" s="148" t="str" cm="1">
        <f t="array" aca="1" ref="S10" ca="1">IF(LEFT(S$6,4)="Bond",INDIRECT("'"&amp;S$6&amp;"'!$B$10"),IF(LEFT(S$6,4)="PAYG","N/A",IF(LEFT(S$6,4)="Loan","N/A","")))</f>
        <v/>
      </c>
      <c r="T10" s="148" t="str" cm="1">
        <f t="array" aca="1" ref="T10" ca="1">IF(LEFT(T$6,4)="Bond",INDIRECT("'"&amp;T$6&amp;"'!$B$10"),IF(LEFT(T$6,4)="PAYG","N/A",IF(LEFT(T$6,4)="Loan","N/A","")))</f>
        <v/>
      </c>
      <c r="U10" s="148" t="str" cm="1">
        <f t="array" aca="1" ref="U10" ca="1">IF(LEFT(U$6,4)="Bond",INDIRECT("'"&amp;U$6&amp;"'!$B$10"),IF(LEFT(U$6,4)="PAYG","N/A",IF(LEFT(U$6,4)="Loan","N/A","")))</f>
        <v/>
      </c>
      <c r="V10" s="148" t="str" cm="1">
        <f t="array" aca="1" ref="V10" ca="1">IF(LEFT(V$6,4)="Bond",INDIRECT("'"&amp;V$6&amp;"'!$B$10"),IF(LEFT(V$6,4)="PAYG","N/A",IF(LEFT(V$6,4)="Loan","N/A","")))</f>
        <v/>
      </c>
      <c r="W10" s="148" t="str" cm="1">
        <f t="array" aca="1" ref="W10" ca="1">IF(LEFT(W$6,4)="Bond",INDIRECT("'"&amp;W$6&amp;"'!$B$10"),IF(LEFT(W$6,4)="PAYG","N/A",IF(LEFT(W$6,4)="Loan","N/A","")))</f>
        <v/>
      </c>
      <c r="X10" s="148" t="str" cm="1">
        <f t="array" aca="1" ref="X10" ca="1">IF(LEFT(X$6,4)="Bond",INDIRECT("'"&amp;X$6&amp;"'!$B$10"),IF(LEFT(X$6,4)="PAYG","N/A",IF(LEFT(X$6,4)="Loan","N/A","")))</f>
        <v/>
      </c>
      <c r="Y10" s="148" t="str" cm="1">
        <f t="array" aca="1" ref="Y10" ca="1">IF(LEFT(Y$6,4)="Bond",INDIRECT("'"&amp;Y$6&amp;"'!$B$10"),IF(LEFT(Y$6,4)="PAYG","N/A",IF(LEFT(Y$6,4)="Loan","N/A","")))</f>
        <v/>
      </c>
      <c r="Z10" s="148" t="str" cm="1">
        <f t="array" aca="1" ref="Z10" ca="1">IF(LEFT(Z$6,4)="Bond",INDIRECT("'"&amp;Z$6&amp;"'!$B$10"),IF(LEFT(Z$6,4)="PAYG","N/A",IF(LEFT(Z$6,4)="Loan","N/A","")))</f>
        <v/>
      </c>
      <c r="AA10" s="148" t="str" cm="1">
        <f t="array" aca="1" ref="AA10" ca="1">IF(LEFT(AA$6,4)="Bond",INDIRECT("'"&amp;AA$6&amp;"'!$B$10"),IF(LEFT(AA$6,4)="PAYG","N/A",IF(LEFT(AA$6,4)="Loan","N/A","")))</f>
        <v/>
      </c>
      <c r="AB10" s="148" t="str" cm="1">
        <f t="array" aca="1" ref="AB10" ca="1">IF(LEFT(AB$6,4)="Bond",INDIRECT("'"&amp;AB$6&amp;"'!$B$10"),IF(LEFT(AB$6,4)="PAYG","N/A",IF(LEFT(AB$6,4)="Loan","N/A","")))</f>
        <v/>
      </c>
      <c r="AC10" s="148" t="str" cm="1">
        <f t="array" aca="1" ref="AC10" ca="1">IF(LEFT(AC$6,4)="Bond",INDIRECT("'"&amp;AC$6&amp;"'!$B$10"),IF(LEFT(AC$6,4)="PAYG","N/A",IF(LEFT(AC$6,4)="Loan","N/A","")))</f>
        <v/>
      </c>
      <c r="AD10" s="148" t="str" cm="1">
        <f t="array" aca="1" ref="AD10" ca="1">IF(LEFT(AD$6,4)="Bond",INDIRECT("'"&amp;AD$6&amp;"'!$B$10"),IF(LEFT(AD$6,4)="PAYG","N/A",IF(LEFT(AD$6,4)="Loan","N/A","")))</f>
        <v/>
      </c>
      <c r="AE10" s="148" t="str" cm="1">
        <f t="array" aca="1" ref="AE10" ca="1">IF(LEFT(AE$6,4)="Bond",INDIRECT("'"&amp;AE$6&amp;"'!$B$10"),IF(LEFT(AE$6,4)="PAYG","N/A",IF(LEFT(AE$6,4)="Loan","N/A","")))</f>
        <v/>
      </c>
      <c r="AF10" s="148" t="str" cm="1">
        <f t="array" aca="1" ref="AF10" ca="1">IF(LEFT(AF$6,4)="Bond",INDIRECT("'"&amp;AF$6&amp;"'!$B$10"),IF(LEFT(AF$6,4)="PAYG","N/A",IF(LEFT(AF$6,4)="Loan","N/A","")))</f>
        <v/>
      </c>
      <c r="AG10" s="148" t="str" cm="1">
        <f t="array" aca="1" ref="AG10" ca="1">IF(LEFT(AG$6,4)="Bond",INDIRECT("'"&amp;AG$6&amp;"'!$B$10"),IF(LEFT(AG$6,4)="PAYG","N/A",IF(LEFT(AG$6,4)="Loan","N/A","")))</f>
        <v/>
      </c>
      <c r="AH10" s="148" t="str" cm="1">
        <f t="array" aca="1" ref="AH10" ca="1">IF(LEFT(AH$6,4)="Bond",INDIRECT("'"&amp;AH$6&amp;"'!$B$10"),IF(LEFT(AH$6,4)="PAYG","N/A",IF(LEFT(AH$6,4)="Loan","N/A","")))</f>
        <v/>
      </c>
      <c r="AI10" s="148" t="str" cm="1">
        <f t="array" aca="1" ref="AI10" ca="1">IF(LEFT(AI$6,4)="Bond",INDIRECT("'"&amp;AI$6&amp;"'!$B$10"),IF(LEFT(AI$6,4)="PAYG","N/A",IF(LEFT(AI$6,4)="Loan","N/A","")))</f>
        <v/>
      </c>
      <c r="AJ10" s="148" t="str" cm="1">
        <f t="array" aca="1" ref="AJ10" ca="1">IF(LEFT(AJ$6,4)="Bond",INDIRECT("'"&amp;AJ$6&amp;"'!$B$10"),IF(LEFT(AJ$6,4)="PAYG","N/A",IF(LEFT(AJ$6,4)="Loan","N/A","")))</f>
        <v/>
      </c>
      <c r="AK10" s="148" t="str" cm="1">
        <f t="array" aca="1" ref="AK10" ca="1">IF(LEFT(AK$6,4)="Bond",INDIRECT("'"&amp;AK$6&amp;"'!$B$10"),IF(LEFT(AK$6,4)="PAYG","N/A",IF(LEFT(AK$6,4)="Loan","N/A","")))</f>
        <v/>
      </c>
      <c r="AL10" s="148" t="str" cm="1">
        <f t="array" aca="1" ref="AL10" ca="1">IF(LEFT(AL$6,4)="Bond",INDIRECT("'"&amp;AL$6&amp;"'!$B$10"),IF(LEFT(AL$6,4)="PAYG","N/A",IF(LEFT(AL$6,4)="Loan","N/A","")))</f>
        <v/>
      </c>
      <c r="AM10" s="148" t="str" cm="1">
        <f t="array" aca="1" ref="AM10" ca="1">IF(LEFT(AM$6,4)="Bond",INDIRECT("'"&amp;AM$6&amp;"'!$B$10"),IF(LEFT(AM$6,4)="PAYG","N/A",IF(LEFT(AM$6,4)="Loan","N/A","")))</f>
        <v/>
      </c>
      <c r="AN10" s="148" t="str" cm="1">
        <f t="array" aca="1" ref="AN10" ca="1">IF(LEFT(AN$6,4)="Bond",INDIRECT("'"&amp;AN$6&amp;"'!$B$10"),IF(LEFT(AN$6,4)="PAYG","N/A",IF(LEFT(AN$6,4)="Loan","N/A","")))</f>
        <v/>
      </c>
      <c r="AO10" s="148" t="str" cm="1">
        <f t="array" aca="1" ref="AO10" ca="1">IF(LEFT(AO$6,4)="Bond",INDIRECT("'"&amp;AO$6&amp;"'!$B$10"),IF(LEFT(AO$6,4)="PAYG","N/A",IF(LEFT(AO$6,4)="Loan","N/A","")))</f>
        <v/>
      </c>
      <c r="AP10" s="148" t="str" cm="1">
        <f t="array" aca="1" ref="AP10" ca="1">IF(LEFT(AP$6,4)="Bond",INDIRECT("'"&amp;AP$6&amp;"'!$B$10"),IF(LEFT(AP$6,4)="PAYG","N/A",IF(LEFT(AP$6,4)="Loan","N/A","")))</f>
        <v/>
      </c>
      <c r="AQ10" s="148" t="str" cm="1">
        <f t="array" aca="1" ref="AQ10" ca="1">IF(LEFT(AQ$6,4)="Bond",INDIRECT("'"&amp;AQ$6&amp;"'!$B$10"),IF(LEFT(AQ$6,4)="PAYG","N/A",IF(LEFT(AQ$6,4)="Loan","N/A","")))</f>
        <v/>
      </c>
      <c r="AR10" s="148" t="str" cm="1">
        <f t="array" aca="1" ref="AR10" ca="1">IF(LEFT(AR$6,4)="Bond",INDIRECT("'"&amp;AR$6&amp;"'!$B$10"),IF(LEFT(AR$6,4)="PAYG","N/A",IF(LEFT(AR$6,4)="Loan","N/A","")))</f>
        <v/>
      </c>
      <c r="AS10" s="148" t="str" cm="1">
        <f t="array" aca="1" ref="AS10" ca="1">IF(LEFT(AS$6,4)="Bond",INDIRECT("'"&amp;AS$6&amp;"'!$B$10"),IF(LEFT(AS$6,4)="PAYG","N/A",IF(LEFT(AS$6,4)="Loan","N/A","")))</f>
        <v/>
      </c>
      <c r="AT10" s="148" t="str" cm="1">
        <f t="array" aca="1" ref="AT10" ca="1">IF(LEFT(AT$6,4)="Bond",INDIRECT("'"&amp;AT$6&amp;"'!$B$10"),IF(LEFT(AT$6,4)="PAYG","N/A",IF(LEFT(AT$6,4)="Loan","N/A","")))</f>
        <v/>
      </c>
    </row>
    <row r="11" spans="1:46" x14ac:dyDescent="0.25">
      <c r="A11" s="79" t="s">
        <v>973</v>
      </c>
      <c r="B11" s="148" t="str" cm="1">
        <f t="array" aca="1" ref="B11" ca="1">IF(LEFT(B$6,4)="Bond",INDIRECT("'"&amp;B$6&amp;"'!$B$11"),IF(LEFT(B$6,4)="PAYG","N/A",IF(LEFT(B$6,4)="Loan","N/A","")))</f>
        <v>No</v>
      </c>
      <c r="C11" s="148" t="str" cm="1">
        <f t="array" aca="1" ref="C11" ca="1">IF(LEFT(C$6,4)="Bond",INDIRECT("'"&amp;C$6&amp;"'!$B$11"),IF(LEFT(C$6,4)="PAYG","N/A",IF(LEFT(C$6,4)="Loan","N/A","")))</f>
        <v>N/A</v>
      </c>
      <c r="D11" s="148" t="str" cm="1">
        <f t="array" aca="1" ref="D11" ca="1">IF(LEFT(D$6,4)="Bond",INDIRECT("'"&amp;D$6&amp;"'!$B$11"),IF(LEFT(D$6,4)="PAYG","N/A",IF(LEFT(D$6,4)="Loan","N/A","")))</f>
        <v>N/A</v>
      </c>
      <c r="E11" s="148" t="str" cm="1">
        <f t="array" aca="1" ref="E11" ca="1">IF(LEFT(E$6,4)="Bond",INDIRECT("'"&amp;E$6&amp;"'!$B$11"),IF(LEFT(E$6,4)="PAYG","N/A",IF(LEFT(E$6,4)="Loan","N/A","")))</f>
        <v>N/A</v>
      </c>
      <c r="F11" s="148" t="str" cm="1">
        <f t="array" aca="1" ref="F11" ca="1">IF(LEFT(F$6,4)="Bond",INDIRECT("'"&amp;F$6&amp;"'!$B$11"),IF(LEFT(F$6,4)="PAYG","N/A",IF(LEFT(F$6,4)="Loan","N/A","")))</f>
        <v/>
      </c>
      <c r="G11" s="148" t="str" cm="1">
        <f t="array" aca="1" ref="G11" ca="1">IF(LEFT(G$6,4)="Bond",INDIRECT("'"&amp;G$6&amp;"'!$B$11"),IF(LEFT(G$6,4)="PAYG","N/A",IF(LEFT(G$6,4)="Loan","N/A","")))</f>
        <v/>
      </c>
      <c r="H11" s="148" t="str" cm="1">
        <f t="array" aca="1" ref="H11" ca="1">IF(LEFT(H$6,4)="Bond",INDIRECT("'"&amp;H$6&amp;"'!$B$11"),IF(LEFT(H$6,4)="PAYG","N/A",IF(LEFT(H$6,4)="Loan","N/A","")))</f>
        <v/>
      </c>
      <c r="I11" s="148" t="str" cm="1">
        <f t="array" aca="1" ref="I11" ca="1">IF(LEFT(I$6,4)="Bond",INDIRECT("'"&amp;I$6&amp;"'!$B$11"),IF(LEFT(I$6,4)="PAYG","N/A",IF(LEFT(I$6,4)="Loan","N/A","")))</f>
        <v/>
      </c>
      <c r="J11" s="148" t="str" cm="1">
        <f t="array" aca="1" ref="J11" ca="1">IF(LEFT(J$6,4)="Bond",INDIRECT("'"&amp;J$6&amp;"'!$B$11"),IF(LEFT(J$6,4)="PAYG","N/A",IF(LEFT(J$6,4)="Loan","N/A","")))</f>
        <v/>
      </c>
      <c r="K11" s="148" t="str" cm="1">
        <f t="array" aca="1" ref="K11" ca="1">IF(LEFT(K$6,4)="Bond",INDIRECT("'"&amp;K$6&amp;"'!$B$11"),IF(LEFT(K$6,4)="PAYG","N/A",IF(LEFT(K$6,4)="Loan","N/A","")))</f>
        <v/>
      </c>
      <c r="L11" s="148" t="str" cm="1">
        <f t="array" aca="1" ref="L11" ca="1">IF(LEFT(L$6,4)="Bond",INDIRECT("'"&amp;L$6&amp;"'!$B$11"),IF(LEFT(L$6,4)="PAYG","N/A",IF(LEFT(L$6,4)="Loan","N/A","")))</f>
        <v/>
      </c>
      <c r="M11" s="148" t="str" cm="1">
        <f t="array" aca="1" ref="M11" ca="1">IF(LEFT(M$6,4)="Bond",INDIRECT("'"&amp;M$6&amp;"'!$B$11"),IF(LEFT(M$6,4)="PAYG","N/A",IF(LEFT(M$6,4)="Loan","N/A","")))</f>
        <v/>
      </c>
      <c r="N11" s="148" t="str" cm="1">
        <f t="array" aca="1" ref="N11" ca="1">IF(LEFT(N$6,4)="Bond",INDIRECT("'"&amp;N$6&amp;"'!$B$11"),IF(LEFT(N$6,4)="PAYG","N/A",IF(LEFT(N$6,4)="Loan","N/A","")))</f>
        <v/>
      </c>
      <c r="O11" s="148" t="str" cm="1">
        <f t="array" aca="1" ref="O11" ca="1">IF(LEFT(O$6,4)="Bond",INDIRECT("'"&amp;O$6&amp;"'!$B$11"),IF(LEFT(O$6,4)="PAYG","N/A",IF(LEFT(O$6,4)="Loan","N/A","")))</f>
        <v/>
      </c>
      <c r="P11" s="148" t="str" cm="1">
        <f t="array" aca="1" ref="P11" ca="1">IF(LEFT(P$6,4)="Bond",INDIRECT("'"&amp;P$6&amp;"'!$B$11"),IF(LEFT(P$6,4)="PAYG","N/A",IF(LEFT(P$6,4)="Loan","N/A","")))</f>
        <v/>
      </c>
      <c r="Q11" s="148" t="str" cm="1">
        <f t="array" aca="1" ref="Q11" ca="1">IF(LEFT(Q$6,4)="Bond",INDIRECT("'"&amp;Q$6&amp;"'!$B$11"),IF(LEFT(Q$6,4)="PAYG","N/A",IF(LEFT(Q$6,4)="Loan","N/A","")))</f>
        <v/>
      </c>
      <c r="R11" s="148" t="str" cm="1">
        <f t="array" aca="1" ref="R11" ca="1">IF(LEFT(R$6,4)="Bond",INDIRECT("'"&amp;R$6&amp;"'!$B$11"),IF(LEFT(R$6,4)="PAYG","N/A",IF(LEFT(R$6,4)="Loan","N/A","")))</f>
        <v/>
      </c>
      <c r="S11" s="148" t="str" cm="1">
        <f t="array" aca="1" ref="S11" ca="1">IF(LEFT(S$6,4)="Bond",INDIRECT("'"&amp;S$6&amp;"'!$B$11"),IF(LEFT(S$6,4)="PAYG","N/A",IF(LEFT(S$6,4)="Loan","N/A","")))</f>
        <v/>
      </c>
      <c r="T11" s="148" t="str" cm="1">
        <f t="array" aca="1" ref="T11" ca="1">IF(LEFT(T$6,4)="Bond",INDIRECT("'"&amp;T$6&amp;"'!$B$11"),IF(LEFT(T$6,4)="PAYG","N/A",IF(LEFT(T$6,4)="Loan","N/A","")))</f>
        <v/>
      </c>
      <c r="U11" s="148" t="str" cm="1">
        <f t="array" aca="1" ref="U11" ca="1">IF(LEFT(U$6,4)="Bond",INDIRECT("'"&amp;U$6&amp;"'!$B$11"),IF(LEFT(U$6,4)="PAYG","N/A",IF(LEFT(U$6,4)="Loan","N/A","")))</f>
        <v/>
      </c>
      <c r="V11" s="148" t="str" cm="1">
        <f t="array" aca="1" ref="V11" ca="1">IF(LEFT(V$6,4)="Bond",INDIRECT("'"&amp;V$6&amp;"'!$B$11"),IF(LEFT(V$6,4)="PAYG","N/A",IF(LEFT(V$6,4)="Loan","N/A","")))</f>
        <v/>
      </c>
      <c r="W11" s="148" t="str" cm="1">
        <f t="array" aca="1" ref="W11" ca="1">IF(LEFT(W$6,4)="Bond",INDIRECT("'"&amp;W$6&amp;"'!$B$11"),IF(LEFT(W$6,4)="PAYG","N/A",IF(LEFT(W$6,4)="Loan","N/A","")))</f>
        <v/>
      </c>
      <c r="X11" s="148" t="str" cm="1">
        <f t="array" aca="1" ref="X11" ca="1">IF(LEFT(X$6,4)="Bond",INDIRECT("'"&amp;X$6&amp;"'!$B$11"),IF(LEFT(X$6,4)="PAYG","N/A",IF(LEFT(X$6,4)="Loan","N/A","")))</f>
        <v/>
      </c>
      <c r="Y11" s="148" t="str" cm="1">
        <f t="array" aca="1" ref="Y11" ca="1">IF(LEFT(Y$6,4)="Bond",INDIRECT("'"&amp;Y$6&amp;"'!$B$11"),IF(LEFT(Y$6,4)="PAYG","N/A",IF(LEFT(Y$6,4)="Loan","N/A","")))</f>
        <v/>
      </c>
      <c r="Z11" s="148" t="str" cm="1">
        <f t="array" aca="1" ref="Z11" ca="1">IF(LEFT(Z$6,4)="Bond",INDIRECT("'"&amp;Z$6&amp;"'!$B$11"),IF(LEFT(Z$6,4)="PAYG","N/A",IF(LEFT(Z$6,4)="Loan","N/A","")))</f>
        <v/>
      </c>
      <c r="AA11" s="148" t="str" cm="1">
        <f t="array" aca="1" ref="AA11" ca="1">IF(LEFT(AA$6,4)="Bond",INDIRECT("'"&amp;AA$6&amp;"'!$B$11"),IF(LEFT(AA$6,4)="PAYG","N/A",IF(LEFT(AA$6,4)="Loan","N/A","")))</f>
        <v/>
      </c>
      <c r="AB11" s="148" t="str" cm="1">
        <f t="array" aca="1" ref="AB11" ca="1">IF(LEFT(AB$6,4)="Bond",INDIRECT("'"&amp;AB$6&amp;"'!$B$11"),IF(LEFT(AB$6,4)="PAYG","N/A",IF(LEFT(AB$6,4)="Loan","N/A","")))</f>
        <v/>
      </c>
      <c r="AC11" s="148" t="str" cm="1">
        <f t="array" aca="1" ref="AC11" ca="1">IF(LEFT(AC$6,4)="Bond",INDIRECT("'"&amp;AC$6&amp;"'!$B$11"),IF(LEFT(AC$6,4)="PAYG","N/A",IF(LEFT(AC$6,4)="Loan","N/A","")))</f>
        <v/>
      </c>
      <c r="AD11" s="148" t="str" cm="1">
        <f t="array" aca="1" ref="AD11" ca="1">IF(LEFT(AD$6,4)="Bond",INDIRECT("'"&amp;AD$6&amp;"'!$B$11"),IF(LEFT(AD$6,4)="PAYG","N/A",IF(LEFT(AD$6,4)="Loan","N/A","")))</f>
        <v/>
      </c>
      <c r="AE11" s="148" t="str" cm="1">
        <f t="array" aca="1" ref="AE11" ca="1">IF(LEFT(AE$6,4)="Bond",INDIRECT("'"&amp;AE$6&amp;"'!$B$11"),IF(LEFT(AE$6,4)="PAYG","N/A",IF(LEFT(AE$6,4)="Loan","N/A","")))</f>
        <v/>
      </c>
      <c r="AF11" s="148" t="str" cm="1">
        <f t="array" aca="1" ref="AF11" ca="1">IF(LEFT(AF$6,4)="Bond",INDIRECT("'"&amp;AF$6&amp;"'!$B$11"),IF(LEFT(AF$6,4)="PAYG","N/A",IF(LEFT(AF$6,4)="Loan","N/A","")))</f>
        <v/>
      </c>
      <c r="AG11" s="148" t="str" cm="1">
        <f t="array" aca="1" ref="AG11" ca="1">IF(LEFT(AG$6,4)="Bond",INDIRECT("'"&amp;AG$6&amp;"'!$B$11"),IF(LEFT(AG$6,4)="PAYG","N/A",IF(LEFT(AG$6,4)="Loan","N/A","")))</f>
        <v/>
      </c>
      <c r="AH11" s="148" t="str" cm="1">
        <f t="array" aca="1" ref="AH11" ca="1">IF(LEFT(AH$6,4)="Bond",INDIRECT("'"&amp;AH$6&amp;"'!$B$11"),IF(LEFT(AH$6,4)="PAYG","N/A",IF(LEFT(AH$6,4)="Loan","N/A","")))</f>
        <v/>
      </c>
      <c r="AI11" s="148" t="str" cm="1">
        <f t="array" aca="1" ref="AI11" ca="1">IF(LEFT(AI$6,4)="Bond",INDIRECT("'"&amp;AI$6&amp;"'!$B$11"),IF(LEFT(AI$6,4)="PAYG","N/A",IF(LEFT(AI$6,4)="Loan","N/A","")))</f>
        <v/>
      </c>
      <c r="AJ11" s="148" t="str" cm="1">
        <f t="array" aca="1" ref="AJ11" ca="1">IF(LEFT(AJ$6,4)="Bond",INDIRECT("'"&amp;AJ$6&amp;"'!$B$11"),IF(LEFT(AJ$6,4)="PAYG","N/A",IF(LEFT(AJ$6,4)="Loan","N/A","")))</f>
        <v/>
      </c>
      <c r="AK11" s="148" t="str" cm="1">
        <f t="array" aca="1" ref="AK11" ca="1">IF(LEFT(AK$6,4)="Bond",INDIRECT("'"&amp;AK$6&amp;"'!$B$11"),IF(LEFT(AK$6,4)="PAYG","N/A",IF(LEFT(AK$6,4)="Loan","N/A","")))</f>
        <v/>
      </c>
      <c r="AL11" s="148" t="str" cm="1">
        <f t="array" aca="1" ref="AL11" ca="1">IF(LEFT(AL$6,4)="Bond",INDIRECT("'"&amp;AL$6&amp;"'!$B$11"),IF(LEFT(AL$6,4)="PAYG","N/A",IF(LEFT(AL$6,4)="Loan","N/A","")))</f>
        <v/>
      </c>
      <c r="AM11" s="148" t="str" cm="1">
        <f t="array" aca="1" ref="AM11" ca="1">IF(LEFT(AM$6,4)="Bond",INDIRECT("'"&amp;AM$6&amp;"'!$B$11"),IF(LEFT(AM$6,4)="PAYG","N/A",IF(LEFT(AM$6,4)="Loan","N/A","")))</f>
        <v/>
      </c>
      <c r="AN11" s="148" t="str" cm="1">
        <f t="array" aca="1" ref="AN11" ca="1">IF(LEFT(AN$6,4)="Bond",INDIRECT("'"&amp;AN$6&amp;"'!$B$11"),IF(LEFT(AN$6,4)="PAYG","N/A",IF(LEFT(AN$6,4)="Loan","N/A","")))</f>
        <v/>
      </c>
      <c r="AO11" s="148" t="str" cm="1">
        <f t="array" aca="1" ref="AO11" ca="1">IF(LEFT(AO$6,4)="Bond",INDIRECT("'"&amp;AO$6&amp;"'!$B$11"),IF(LEFT(AO$6,4)="PAYG","N/A",IF(LEFT(AO$6,4)="Loan","N/A","")))</f>
        <v/>
      </c>
      <c r="AP11" s="148" t="str" cm="1">
        <f t="array" aca="1" ref="AP11" ca="1">IF(LEFT(AP$6,4)="Bond",INDIRECT("'"&amp;AP$6&amp;"'!$B$11"),IF(LEFT(AP$6,4)="PAYG","N/A",IF(LEFT(AP$6,4)="Loan","N/A","")))</f>
        <v/>
      </c>
      <c r="AQ11" s="148" t="str" cm="1">
        <f t="array" aca="1" ref="AQ11" ca="1">IF(LEFT(AQ$6,4)="Bond",INDIRECT("'"&amp;AQ$6&amp;"'!$B$11"),IF(LEFT(AQ$6,4)="PAYG","N/A",IF(LEFT(AQ$6,4)="Loan","N/A","")))</f>
        <v/>
      </c>
      <c r="AR11" s="148" t="str" cm="1">
        <f t="array" aca="1" ref="AR11" ca="1">IF(LEFT(AR$6,4)="Bond",INDIRECT("'"&amp;AR$6&amp;"'!$B$11"),IF(LEFT(AR$6,4)="PAYG","N/A",IF(LEFT(AR$6,4)="Loan","N/A","")))</f>
        <v/>
      </c>
      <c r="AS11" s="148" t="str" cm="1">
        <f t="array" aca="1" ref="AS11" ca="1">IF(LEFT(AS$6,4)="Bond",INDIRECT("'"&amp;AS$6&amp;"'!$B$11"),IF(LEFT(AS$6,4)="PAYG","N/A",IF(LEFT(AS$6,4)="Loan","N/A","")))</f>
        <v/>
      </c>
      <c r="AT11" s="148" t="str" cm="1">
        <f t="array" aca="1" ref="AT11" ca="1">IF(LEFT(AT$6,4)="Bond",INDIRECT("'"&amp;AT$6&amp;"'!$B$11"),IF(LEFT(AT$6,4)="PAYG","N/A",IF(LEFT(AT$6,4)="Loan","N/A","")))</f>
        <v/>
      </c>
    </row>
    <row r="12" spans="1:46" x14ac:dyDescent="0.25">
      <c r="A12" s="79" t="s">
        <v>240</v>
      </c>
      <c r="B12" s="149" cm="1">
        <f t="array" aca="1" ref="B12" ca="1">IF(LEFT(B$6,4)="Bond",INDIRECT("'"&amp;B$6&amp;"'!$B$12"),IF(LEFT(B$6,4)="PAYG",INDIRECT("'"&amp;B$6&amp;"'!$B$8"),IF(LEFT(B$6,4)="Loan",INDIRECT("'"&amp;B$6&amp;"'!$B$10"),"")))</f>
        <v>42887</v>
      </c>
      <c r="C12" s="149" cm="1">
        <f t="array" aca="1" ref="C12" ca="1">IF(LEFT(C$6,4)="Bond",INDIRECT("'"&amp;C$6&amp;"'!$B$12"),IF(LEFT(C$6,4)="PAYG",INDIRECT("'"&amp;C$6&amp;"'!$B$8"),IF(LEFT(C$6,4)="Loan",INDIRECT("'"&amp;C$6&amp;"'!$B$10"),"")))</f>
        <v>42870</v>
      </c>
      <c r="D12" s="149" cm="1">
        <f t="array" aca="1" ref="D12" ca="1">IF(LEFT(D$6,4)="Bond",INDIRECT("'"&amp;D$6&amp;"'!$B$12"),IF(LEFT(D$6,4)="PAYG",INDIRECT("'"&amp;D$6&amp;"'!$B$8"),IF(LEFT(D$6,4)="Loan",INDIRECT("'"&amp;D$6&amp;"'!$B$10"),"")))</f>
        <v>42968</v>
      </c>
      <c r="E12" s="149" cm="1">
        <f t="array" aca="1" ref="E12" ca="1">IF(LEFT(E$6,4)="Bond",INDIRECT("'"&amp;E$6&amp;"'!$B$12"),IF(LEFT(E$6,4)="PAYG",INDIRECT("'"&amp;E$6&amp;"'!$B$8"),IF(LEFT(E$6,4)="Loan",INDIRECT("'"&amp;E$6&amp;"'!$B$10"),"")))</f>
        <v>41092</v>
      </c>
      <c r="F12" s="149" t="str" cm="1">
        <f t="array" aca="1" ref="F12" ca="1">IF(LEFT(F$6,4)="Bond",INDIRECT("'"&amp;F$6&amp;"'!$B$12"),IF(LEFT(F$6,4)="PAYG",INDIRECT("'"&amp;F$6&amp;"'!$B$8"),IF(LEFT(F$6,4)="Loan",INDIRECT("'"&amp;F$6&amp;"'!$B$10"),"")))</f>
        <v/>
      </c>
      <c r="G12" s="149" t="str" cm="1">
        <f t="array" aca="1" ref="G12" ca="1">IF(LEFT(G$6,4)="Bond",INDIRECT("'"&amp;G$6&amp;"'!$B$12"),IF(LEFT(G$6,4)="PAYG",INDIRECT("'"&amp;G$6&amp;"'!$B$8"),IF(LEFT(G$6,4)="Loan",INDIRECT("'"&amp;G$6&amp;"'!$B$10"),"")))</f>
        <v/>
      </c>
      <c r="H12" s="149" t="str" cm="1">
        <f t="array" aca="1" ref="H12" ca="1">IF(LEFT(H$6,4)="Bond",INDIRECT("'"&amp;H$6&amp;"'!$B$12"),IF(LEFT(H$6,4)="PAYG",INDIRECT("'"&amp;H$6&amp;"'!$B$8"),IF(LEFT(H$6,4)="Loan",INDIRECT("'"&amp;H$6&amp;"'!$B$10"),"")))</f>
        <v/>
      </c>
      <c r="I12" s="149" t="str" cm="1">
        <f t="array" aca="1" ref="I12" ca="1">IF(LEFT(I$6,4)="Bond",INDIRECT("'"&amp;I$6&amp;"'!$B$12"),IF(LEFT(I$6,4)="PAYG",INDIRECT("'"&amp;I$6&amp;"'!$B$8"),IF(LEFT(I$6,4)="Loan",INDIRECT("'"&amp;I$6&amp;"'!$B$10"),"")))</f>
        <v/>
      </c>
      <c r="J12" s="149" t="str" cm="1">
        <f t="array" aca="1" ref="J12" ca="1">IF(LEFT(J$6,4)="Bond",INDIRECT("'"&amp;J$6&amp;"'!$B$12"),IF(LEFT(J$6,4)="PAYG",INDIRECT("'"&amp;J$6&amp;"'!$B$8"),IF(LEFT(J$6,4)="Loan",INDIRECT("'"&amp;J$6&amp;"'!$B$10"),"")))</f>
        <v/>
      </c>
      <c r="K12" s="149" t="str" cm="1">
        <f t="array" aca="1" ref="K12" ca="1">IF(LEFT(K$6,4)="Bond",INDIRECT("'"&amp;K$6&amp;"'!$B$12"),IF(LEFT(K$6,4)="PAYG",INDIRECT("'"&amp;K$6&amp;"'!$B$8"),IF(LEFT(K$6,4)="Loan",INDIRECT("'"&amp;K$6&amp;"'!$B$10"),"")))</f>
        <v/>
      </c>
      <c r="L12" s="149" t="str" cm="1">
        <f t="array" aca="1" ref="L12" ca="1">IF(LEFT(L$6,4)="Bond",INDIRECT("'"&amp;L$6&amp;"'!$B$12"),IF(LEFT(L$6,4)="PAYG",INDIRECT("'"&amp;L$6&amp;"'!$B$8"),IF(LEFT(L$6,4)="Loan",INDIRECT("'"&amp;L$6&amp;"'!$B$10"),"")))</f>
        <v/>
      </c>
      <c r="M12" s="149" t="str" cm="1">
        <f t="array" aca="1" ref="M12" ca="1">IF(LEFT(M$6,4)="Bond",INDIRECT("'"&amp;M$6&amp;"'!$B$12"),IF(LEFT(M$6,4)="PAYG",INDIRECT("'"&amp;M$6&amp;"'!$B$8"),IF(LEFT(M$6,4)="Loan",INDIRECT("'"&amp;M$6&amp;"'!$B$10"),"")))</f>
        <v/>
      </c>
      <c r="N12" s="149" t="str" cm="1">
        <f t="array" aca="1" ref="N12" ca="1">IF(LEFT(N$6,4)="Bond",INDIRECT("'"&amp;N$6&amp;"'!$B$12"),IF(LEFT(N$6,4)="PAYG",INDIRECT("'"&amp;N$6&amp;"'!$B$8"),IF(LEFT(N$6,4)="Loan",INDIRECT("'"&amp;N$6&amp;"'!$B$10"),"")))</f>
        <v/>
      </c>
      <c r="O12" s="149" t="str" cm="1">
        <f t="array" aca="1" ref="O12" ca="1">IF(LEFT(O$6,4)="Bond",INDIRECT("'"&amp;O$6&amp;"'!$B$12"),IF(LEFT(O$6,4)="PAYG",INDIRECT("'"&amp;O$6&amp;"'!$B$8"),IF(LEFT(O$6,4)="Loan",INDIRECT("'"&amp;O$6&amp;"'!$B$10"),"")))</f>
        <v/>
      </c>
      <c r="P12" s="149" t="str" cm="1">
        <f t="array" aca="1" ref="P12" ca="1">IF(LEFT(P$6,4)="Bond",INDIRECT("'"&amp;P$6&amp;"'!$B$12"),IF(LEFT(P$6,4)="PAYG",INDIRECT("'"&amp;P$6&amp;"'!$B$8"),IF(LEFT(P$6,4)="Loan",INDIRECT("'"&amp;P$6&amp;"'!$B$10"),"")))</f>
        <v/>
      </c>
      <c r="Q12" s="149" t="str" cm="1">
        <f t="array" aca="1" ref="Q12" ca="1">IF(LEFT(Q$6,4)="Bond",INDIRECT("'"&amp;Q$6&amp;"'!$B$12"),IF(LEFT(Q$6,4)="PAYG",INDIRECT("'"&amp;Q$6&amp;"'!$B$8"),IF(LEFT(Q$6,4)="Loan",INDIRECT("'"&amp;Q$6&amp;"'!$B$10"),"")))</f>
        <v/>
      </c>
      <c r="R12" s="149" t="str" cm="1">
        <f t="array" aca="1" ref="R12" ca="1">IF(LEFT(R$6,4)="Bond",INDIRECT("'"&amp;R$6&amp;"'!$B$12"),IF(LEFT(R$6,4)="PAYG",INDIRECT("'"&amp;R$6&amp;"'!$B$8"),IF(LEFT(R$6,4)="Loan",INDIRECT("'"&amp;R$6&amp;"'!$B$10"),"")))</f>
        <v/>
      </c>
      <c r="S12" s="149" t="str" cm="1">
        <f t="array" aca="1" ref="S12" ca="1">IF(LEFT(S$6,4)="Bond",INDIRECT("'"&amp;S$6&amp;"'!$B$12"),IF(LEFT(S$6,4)="PAYG",INDIRECT("'"&amp;S$6&amp;"'!$B$8"),IF(LEFT(S$6,4)="Loan",INDIRECT("'"&amp;S$6&amp;"'!$B$10"),"")))</f>
        <v/>
      </c>
      <c r="T12" s="149" t="str" cm="1">
        <f t="array" aca="1" ref="T12" ca="1">IF(LEFT(T$6,4)="Bond",INDIRECT("'"&amp;T$6&amp;"'!$B$12"),IF(LEFT(T$6,4)="PAYG",INDIRECT("'"&amp;T$6&amp;"'!$B$8"),IF(LEFT(T$6,4)="Loan",INDIRECT("'"&amp;T$6&amp;"'!$B$10"),"")))</f>
        <v/>
      </c>
      <c r="U12" s="149" t="str" cm="1">
        <f t="array" aca="1" ref="U12" ca="1">IF(LEFT(U$6,4)="Bond",INDIRECT("'"&amp;U$6&amp;"'!$B$12"),IF(LEFT(U$6,4)="PAYG",INDIRECT("'"&amp;U$6&amp;"'!$B$8"),IF(LEFT(U$6,4)="Loan",INDIRECT("'"&amp;U$6&amp;"'!$B$10"),"")))</f>
        <v/>
      </c>
      <c r="V12" s="149" t="str" cm="1">
        <f t="array" aca="1" ref="V12" ca="1">IF(LEFT(V$6,4)="Bond",INDIRECT("'"&amp;V$6&amp;"'!$B$12"),IF(LEFT(V$6,4)="PAYG",INDIRECT("'"&amp;V$6&amp;"'!$B$8"),IF(LEFT(V$6,4)="Loan",INDIRECT("'"&amp;V$6&amp;"'!$B$10"),"")))</f>
        <v/>
      </c>
      <c r="W12" s="149" t="str" cm="1">
        <f t="array" aca="1" ref="W12" ca="1">IF(LEFT(W$6,4)="Bond",INDIRECT("'"&amp;W$6&amp;"'!$B$12"),IF(LEFT(W$6,4)="PAYG",INDIRECT("'"&amp;W$6&amp;"'!$B$8"),IF(LEFT(W$6,4)="Loan",INDIRECT("'"&amp;W$6&amp;"'!$B$10"),"")))</f>
        <v/>
      </c>
      <c r="X12" s="149" t="str" cm="1">
        <f t="array" aca="1" ref="X12" ca="1">IF(LEFT(X$6,4)="Bond",INDIRECT("'"&amp;X$6&amp;"'!$B$12"),IF(LEFT(X$6,4)="PAYG",INDIRECT("'"&amp;X$6&amp;"'!$B$8"),IF(LEFT(X$6,4)="Loan",INDIRECT("'"&amp;X$6&amp;"'!$B$10"),"")))</f>
        <v/>
      </c>
      <c r="Y12" s="149" t="str" cm="1">
        <f t="array" aca="1" ref="Y12" ca="1">IF(LEFT(Y$6,4)="Bond",INDIRECT("'"&amp;Y$6&amp;"'!$B$12"),IF(LEFT(Y$6,4)="PAYG",INDIRECT("'"&amp;Y$6&amp;"'!$B$8"),IF(LEFT(Y$6,4)="Loan",INDIRECT("'"&amp;Y$6&amp;"'!$B$10"),"")))</f>
        <v/>
      </c>
      <c r="Z12" s="149" t="str" cm="1">
        <f t="array" aca="1" ref="Z12" ca="1">IF(LEFT(Z$6,4)="Bond",INDIRECT("'"&amp;Z$6&amp;"'!$B$12"),IF(LEFT(Z$6,4)="PAYG",INDIRECT("'"&amp;Z$6&amp;"'!$B$8"),IF(LEFT(Z$6,4)="Loan",INDIRECT("'"&amp;Z$6&amp;"'!$B$10"),"")))</f>
        <v/>
      </c>
      <c r="AA12" s="149" t="str" cm="1">
        <f t="array" aca="1" ref="AA12" ca="1">IF(LEFT(AA$6,4)="Bond",INDIRECT("'"&amp;AA$6&amp;"'!$B$12"),IF(LEFT(AA$6,4)="PAYG",INDIRECT("'"&amp;AA$6&amp;"'!$B$8"),IF(LEFT(AA$6,4)="Loan",INDIRECT("'"&amp;AA$6&amp;"'!$B$10"),"")))</f>
        <v/>
      </c>
      <c r="AB12" s="149" t="str" cm="1">
        <f t="array" aca="1" ref="AB12" ca="1">IF(LEFT(AB$6,4)="Bond",INDIRECT("'"&amp;AB$6&amp;"'!$B$12"),IF(LEFT(AB$6,4)="PAYG",INDIRECT("'"&amp;AB$6&amp;"'!$B$8"),IF(LEFT(AB$6,4)="Loan",INDIRECT("'"&amp;AB$6&amp;"'!$B$10"),"")))</f>
        <v/>
      </c>
      <c r="AC12" s="149" t="str" cm="1">
        <f t="array" aca="1" ref="AC12" ca="1">IF(LEFT(AC$6,4)="Bond",INDIRECT("'"&amp;AC$6&amp;"'!$B$12"),IF(LEFT(AC$6,4)="PAYG",INDIRECT("'"&amp;AC$6&amp;"'!$B$8"),IF(LEFT(AC$6,4)="Loan",INDIRECT("'"&amp;AC$6&amp;"'!$B$10"),"")))</f>
        <v/>
      </c>
      <c r="AD12" s="149" t="str" cm="1">
        <f t="array" aca="1" ref="AD12" ca="1">IF(LEFT(AD$6,4)="Bond",INDIRECT("'"&amp;AD$6&amp;"'!$B$12"),IF(LEFT(AD$6,4)="PAYG",INDIRECT("'"&amp;AD$6&amp;"'!$B$8"),IF(LEFT(AD$6,4)="Loan",INDIRECT("'"&amp;AD$6&amp;"'!$B$10"),"")))</f>
        <v/>
      </c>
      <c r="AE12" s="149" t="str" cm="1">
        <f t="array" aca="1" ref="AE12" ca="1">IF(LEFT(AE$6,4)="Bond",INDIRECT("'"&amp;AE$6&amp;"'!$B$12"),IF(LEFT(AE$6,4)="PAYG",INDIRECT("'"&amp;AE$6&amp;"'!$B$8"),IF(LEFT(AE$6,4)="Loan",INDIRECT("'"&amp;AE$6&amp;"'!$B$10"),"")))</f>
        <v/>
      </c>
      <c r="AF12" s="149" t="str" cm="1">
        <f t="array" aca="1" ref="AF12" ca="1">IF(LEFT(AF$6,4)="Bond",INDIRECT("'"&amp;AF$6&amp;"'!$B$12"),IF(LEFT(AF$6,4)="PAYG",INDIRECT("'"&amp;AF$6&amp;"'!$B$8"),IF(LEFT(AF$6,4)="Loan",INDIRECT("'"&amp;AF$6&amp;"'!$B$10"),"")))</f>
        <v/>
      </c>
      <c r="AG12" s="149" t="str" cm="1">
        <f t="array" aca="1" ref="AG12" ca="1">IF(LEFT(AG$6,4)="Bond",INDIRECT("'"&amp;AG$6&amp;"'!$B$12"),IF(LEFT(AG$6,4)="PAYG",INDIRECT("'"&amp;AG$6&amp;"'!$B$8"),IF(LEFT(AG$6,4)="Loan",INDIRECT("'"&amp;AG$6&amp;"'!$B$10"),"")))</f>
        <v/>
      </c>
      <c r="AH12" s="149" t="str" cm="1">
        <f t="array" aca="1" ref="AH12" ca="1">IF(LEFT(AH$6,4)="Bond",INDIRECT("'"&amp;AH$6&amp;"'!$B$12"),IF(LEFT(AH$6,4)="PAYG",INDIRECT("'"&amp;AH$6&amp;"'!$B$8"),IF(LEFT(AH$6,4)="Loan",INDIRECT("'"&amp;AH$6&amp;"'!$B$10"),"")))</f>
        <v/>
      </c>
      <c r="AI12" s="149" t="str" cm="1">
        <f t="array" aca="1" ref="AI12" ca="1">IF(LEFT(AI$6,4)="Bond",INDIRECT("'"&amp;AI$6&amp;"'!$B$12"),IF(LEFT(AI$6,4)="PAYG",INDIRECT("'"&amp;AI$6&amp;"'!$B$8"),IF(LEFT(AI$6,4)="Loan",INDIRECT("'"&amp;AI$6&amp;"'!$B$10"),"")))</f>
        <v/>
      </c>
      <c r="AJ12" s="149" t="str" cm="1">
        <f t="array" aca="1" ref="AJ12" ca="1">IF(LEFT(AJ$6,4)="Bond",INDIRECT("'"&amp;AJ$6&amp;"'!$B$12"),IF(LEFT(AJ$6,4)="PAYG",INDIRECT("'"&amp;AJ$6&amp;"'!$B$8"),IF(LEFT(AJ$6,4)="Loan",INDIRECT("'"&amp;AJ$6&amp;"'!$B$10"),"")))</f>
        <v/>
      </c>
      <c r="AK12" s="149" t="str" cm="1">
        <f t="array" aca="1" ref="AK12" ca="1">IF(LEFT(AK$6,4)="Bond",INDIRECT("'"&amp;AK$6&amp;"'!$B$12"),IF(LEFT(AK$6,4)="PAYG",INDIRECT("'"&amp;AK$6&amp;"'!$B$8"),IF(LEFT(AK$6,4)="Loan",INDIRECT("'"&amp;AK$6&amp;"'!$B$10"),"")))</f>
        <v/>
      </c>
      <c r="AL12" s="149" t="str" cm="1">
        <f t="array" aca="1" ref="AL12" ca="1">IF(LEFT(AL$6,4)="Bond",INDIRECT("'"&amp;AL$6&amp;"'!$B$12"),IF(LEFT(AL$6,4)="PAYG",INDIRECT("'"&amp;AL$6&amp;"'!$B$8"),IF(LEFT(AL$6,4)="Loan",INDIRECT("'"&amp;AL$6&amp;"'!$B$10"),"")))</f>
        <v/>
      </c>
      <c r="AM12" s="149" t="str" cm="1">
        <f t="array" aca="1" ref="AM12" ca="1">IF(LEFT(AM$6,4)="Bond",INDIRECT("'"&amp;AM$6&amp;"'!$B$12"),IF(LEFT(AM$6,4)="PAYG",INDIRECT("'"&amp;AM$6&amp;"'!$B$8"),IF(LEFT(AM$6,4)="Loan",INDIRECT("'"&amp;AM$6&amp;"'!$B$10"),"")))</f>
        <v/>
      </c>
      <c r="AN12" s="149" t="str" cm="1">
        <f t="array" aca="1" ref="AN12" ca="1">IF(LEFT(AN$6,4)="Bond",INDIRECT("'"&amp;AN$6&amp;"'!$B$12"),IF(LEFT(AN$6,4)="PAYG",INDIRECT("'"&amp;AN$6&amp;"'!$B$8"),IF(LEFT(AN$6,4)="Loan",INDIRECT("'"&amp;AN$6&amp;"'!$B$10"),"")))</f>
        <v/>
      </c>
      <c r="AO12" s="149" t="str" cm="1">
        <f t="array" aca="1" ref="AO12" ca="1">IF(LEFT(AO$6,4)="Bond",INDIRECT("'"&amp;AO$6&amp;"'!$B$12"),IF(LEFT(AO$6,4)="PAYG",INDIRECT("'"&amp;AO$6&amp;"'!$B$8"),IF(LEFT(AO$6,4)="Loan",INDIRECT("'"&amp;AO$6&amp;"'!$B$10"),"")))</f>
        <v/>
      </c>
      <c r="AP12" s="149" t="str" cm="1">
        <f t="array" aca="1" ref="AP12" ca="1">IF(LEFT(AP$6,4)="Bond",INDIRECT("'"&amp;AP$6&amp;"'!$B$12"),IF(LEFT(AP$6,4)="PAYG",INDIRECT("'"&amp;AP$6&amp;"'!$B$8"),IF(LEFT(AP$6,4)="Loan",INDIRECT("'"&amp;AP$6&amp;"'!$B$10"),"")))</f>
        <v/>
      </c>
      <c r="AQ12" s="149" t="str" cm="1">
        <f t="array" aca="1" ref="AQ12" ca="1">IF(LEFT(AQ$6,4)="Bond",INDIRECT("'"&amp;AQ$6&amp;"'!$B$12"),IF(LEFT(AQ$6,4)="PAYG",INDIRECT("'"&amp;AQ$6&amp;"'!$B$8"),IF(LEFT(AQ$6,4)="Loan",INDIRECT("'"&amp;AQ$6&amp;"'!$B$10"),"")))</f>
        <v/>
      </c>
      <c r="AR12" s="149" t="str" cm="1">
        <f t="array" aca="1" ref="AR12" ca="1">IF(LEFT(AR$6,4)="Bond",INDIRECT("'"&amp;AR$6&amp;"'!$B$12"),IF(LEFT(AR$6,4)="PAYG",INDIRECT("'"&amp;AR$6&amp;"'!$B$8"),IF(LEFT(AR$6,4)="Loan",INDIRECT("'"&amp;AR$6&amp;"'!$B$10"),"")))</f>
        <v/>
      </c>
      <c r="AS12" s="149" t="str" cm="1">
        <f t="array" aca="1" ref="AS12" ca="1">IF(LEFT(AS$6,4)="Bond",INDIRECT("'"&amp;AS$6&amp;"'!$B$12"),IF(LEFT(AS$6,4)="PAYG",INDIRECT("'"&amp;AS$6&amp;"'!$B$8"),IF(LEFT(AS$6,4)="Loan",INDIRECT("'"&amp;AS$6&amp;"'!$B$10"),"")))</f>
        <v/>
      </c>
      <c r="AT12" s="149" t="str" cm="1">
        <f t="array" aca="1" ref="AT12" ca="1">IF(LEFT(AT$6,4)="Bond",INDIRECT("'"&amp;AT$6&amp;"'!$B$12"),IF(LEFT(AT$6,4)="PAYG",INDIRECT("'"&amp;AT$6&amp;"'!$B$8"),IF(LEFT(AT$6,4)="Loan",INDIRECT("'"&amp;AT$6&amp;"'!$B$10"),"")))</f>
        <v/>
      </c>
    </row>
    <row r="13" spans="1:46" x14ac:dyDescent="0.25">
      <c r="A13" s="79" t="s">
        <v>212</v>
      </c>
      <c r="B13" s="149" cm="1">
        <f t="array" aca="1" ref="B13" ca="1">IF(LEFT(B$6,4)="Bond",INDIRECT("'"&amp;B$6&amp;"'!$B$13"),IF(LEFT(B$6,4)="PAYG",INDIRECT("'"&amp;B$6&amp;"'!$B$9"),IF(LEFT(B$6,4)="Loan",INDIRECT("'"&amp;B$6&amp;"'!$B$11"),"")))</f>
        <v>50437</v>
      </c>
      <c r="C13" s="149" cm="1">
        <f t="array" aca="1" ref="C13" ca="1">IF(LEFT(C$6,4)="Bond",INDIRECT("'"&amp;C$6&amp;"'!$B$13"),IF(LEFT(C$6,4)="PAYG",INDIRECT("'"&amp;C$6&amp;"'!$B$9"),IF(LEFT(C$6,4)="Loan",INDIRECT("'"&amp;C$6&amp;"'!$B$11"),"")))</f>
        <v>47118</v>
      </c>
      <c r="D13" s="149" cm="1">
        <f t="array" aca="1" ref="D13" ca="1">IF(LEFT(D$6,4)="Bond",INDIRECT("'"&amp;D$6&amp;"'!$B$13"),IF(LEFT(D$6,4)="PAYG",INDIRECT("'"&amp;D$6&amp;"'!$B$9"),IF(LEFT(D$6,4)="Loan",INDIRECT("'"&amp;D$6&amp;"'!$B$11"),"")))</f>
        <v>47483</v>
      </c>
      <c r="E13" s="149" cm="1">
        <f t="array" aca="1" ref="E13" ca="1">IF(LEFT(E$6,4)="Bond",INDIRECT("'"&amp;E$6&amp;"'!$B$13"),IF(LEFT(E$6,4)="PAYG",INDIRECT("'"&amp;E$6&amp;"'!$B$9"),IF(LEFT(E$6,4)="Loan",INDIRECT("'"&amp;E$6&amp;"'!$B$11"),"")))</f>
        <v>51135</v>
      </c>
      <c r="F13" s="149" t="str" cm="1">
        <f t="array" aca="1" ref="F13" ca="1">IF(LEFT(F$6,4)="Bond",INDIRECT("'"&amp;F$6&amp;"'!$B$13"),IF(LEFT(F$6,4)="PAYG",INDIRECT("'"&amp;F$6&amp;"'!$B$9"),IF(LEFT(F$6,4)="Loan",INDIRECT("'"&amp;F$6&amp;"'!$B$11"),"")))</f>
        <v/>
      </c>
      <c r="G13" s="149" t="str" cm="1">
        <f t="array" aca="1" ref="G13" ca="1">IF(LEFT(G$6,4)="Bond",INDIRECT("'"&amp;G$6&amp;"'!$B$13"),IF(LEFT(G$6,4)="PAYG",INDIRECT("'"&amp;G$6&amp;"'!$B$9"),IF(LEFT(G$6,4)="Loan",INDIRECT("'"&amp;G$6&amp;"'!$B$11"),"")))</f>
        <v/>
      </c>
      <c r="H13" s="149" t="str" cm="1">
        <f t="array" aca="1" ref="H13" ca="1">IF(LEFT(H$6,4)="Bond",INDIRECT("'"&amp;H$6&amp;"'!$B$13"),IF(LEFT(H$6,4)="PAYG",INDIRECT("'"&amp;H$6&amp;"'!$B$9"),IF(LEFT(H$6,4)="Loan",INDIRECT("'"&amp;H$6&amp;"'!$B$11"),"")))</f>
        <v/>
      </c>
      <c r="I13" s="149" t="str" cm="1">
        <f t="array" aca="1" ref="I13" ca="1">IF(LEFT(I$6,4)="Bond",INDIRECT("'"&amp;I$6&amp;"'!$B$13"),IF(LEFT(I$6,4)="PAYG",INDIRECT("'"&amp;I$6&amp;"'!$B$9"),IF(LEFT(I$6,4)="Loan",INDIRECT("'"&amp;I$6&amp;"'!$B$11"),"")))</f>
        <v/>
      </c>
      <c r="J13" s="149" t="str" cm="1">
        <f t="array" aca="1" ref="J13" ca="1">IF(LEFT(J$6,4)="Bond",INDIRECT("'"&amp;J$6&amp;"'!$B$13"),IF(LEFT(J$6,4)="PAYG",INDIRECT("'"&amp;J$6&amp;"'!$B$9"),IF(LEFT(J$6,4)="Loan",INDIRECT("'"&amp;J$6&amp;"'!$B$11"),"")))</f>
        <v/>
      </c>
      <c r="K13" s="149" t="str" cm="1">
        <f t="array" aca="1" ref="K13" ca="1">IF(LEFT(K$6,4)="Bond",INDIRECT("'"&amp;K$6&amp;"'!$B$13"),IF(LEFT(K$6,4)="PAYG",INDIRECT("'"&amp;K$6&amp;"'!$B$9"),IF(LEFT(K$6,4)="Loan",INDIRECT("'"&amp;K$6&amp;"'!$B$11"),"")))</f>
        <v/>
      </c>
      <c r="L13" s="149" t="str" cm="1">
        <f t="array" aca="1" ref="L13" ca="1">IF(LEFT(L$6,4)="Bond",INDIRECT("'"&amp;L$6&amp;"'!$B$13"),IF(LEFT(L$6,4)="PAYG",INDIRECT("'"&amp;L$6&amp;"'!$B$9"),IF(LEFT(L$6,4)="Loan",INDIRECT("'"&amp;L$6&amp;"'!$B$11"),"")))</f>
        <v/>
      </c>
      <c r="M13" s="149" t="str" cm="1">
        <f t="array" aca="1" ref="M13" ca="1">IF(LEFT(M$6,4)="Bond",INDIRECT("'"&amp;M$6&amp;"'!$B$13"),IF(LEFT(M$6,4)="PAYG",INDIRECT("'"&amp;M$6&amp;"'!$B$9"),IF(LEFT(M$6,4)="Loan",INDIRECT("'"&amp;M$6&amp;"'!$B$11"),"")))</f>
        <v/>
      </c>
      <c r="N13" s="149" t="str" cm="1">
        <f t="array" aca="1" ref="N13" ca="1">IF(LEFT(N$6,4)="Bond",INDIRECT("'"&amp;N$6&amp;"'!$B$13"),IF(LEFT(N$6,4)="PAYG",INDIRECT("'"&amp;N$6&amp;"'!$B$9"),IF(LEFT(N$6,4)="Loan",INDIRECT("'"&amp;N$6&amp;"'!$B$11"),"")))</f>
        <v/>
      </c>
      <c r="O13" s="149" t="str" cm="1">
        <f t="array" aca="1" ref="O13" ca="1">IF(LEFT(O$6,4)="Bond",INDIRECT("'"&amp;O$6&amp;"'!$B$13"),IF(LEFT(O$6,4)="PAYG",INDIRECT("'"&amp;O$6&amp;"'!$B$9"),IF(LEFT(O$6,4)="Loan",INDIRECT("'"&amp;O$6&amp;"'!$B$11"),"")))</f>
        <v/>
      </c>
      <c r="P13" s="149" t="str" cm="1">
        <f t="array" aca="1" ref="P13" ca="1">IF(LEFT(P$6,4)="Bond",INDIRECT("'"&amp;P$6&amp;"'!$B$13"),IF(LEFT(P$6,4)="PAYG",INDIRECT("'"&amp;P$6&amp;"'!$B$9"),IF(LEFT(P$6,4)="Loan",INDIRECT("'"&amp;P$6&amp;"'!$B$11"),"")))</f>
        <v/>
      </c>
      <c r="Q13" s="149" t="str" cm="1">
        <f t="array" aca="1" ref="Q13" ca="1">IF(LEFT(Q$6,4)="Bond",INDIRECT("'"&amp;Q$6&amp;"'!$B$13"),IF(LEFT(Q$6,4)="PAYG",INDIRECT("'"&amp;Q$6&amp;"'!$B$9"),IF(LEFT(Q$6,4)="Loan",INDIRECT("'"&amp;Q$6&amp;"'!$B$11"),"")))</f>
        <v/>
      </c>
      <c r="R13" s="149" t="str" cm="1">
        <f t="array" aca="1" ref="R13" ca="1">IF(LEFT(R$6,4)="Bond",INDIRECT("'"&amp;R$6&amp;"'!$B$13"),IF(LEFT(R$6,4)="PAYG",INDIRECT("'"&amp;R$6&amp;"'!$B$9"),IF(LEFT(R$6,4)="Loan",INDIRECT("'"&amp;R$6&amp;"'!$B$11"),"")))</f>
        <v/>
      </c>
      <c r="S13" s="149" t="str" cm="1">
        <f t="array" aca="1" ref="S13" ca="1">IF(LEFT(S$6,4)="Bond",INDIRECT("'"&amp;S$6&amp;"'!$B$13"),IF(LEFT(S$6,4)="PAYG",INDIRECT("'"&amp;S$6&amp;"'!$B$9"),IF(LEFT(S$6,4)="Loan",INDIRECT("'"&amp;S$6&amp;"'!$B$11"),"")))</f>
        <v/>
      </c>
      <c r="T13" s="149" t="str" cm="1">
        <f t="array" aca="1" ref="T13" ca="1">IF(LEFT(T$6,4)="Bond",INDIRECT("'"&amp;T$6&amp;"'!$B$13"),IF(LEFT(T$6,4)="PAYG",INDIRECT("'"&amp;T$6&amp;"'!$B$9"),IF(LEFT(T$6,4)="Loan",INDIRECT("'"&amp;T$6&amp;"'!$B$11"),"")))</f>
        <v/>
      </c>
      <c r="U13" s="149" t="str" cm="1">
        <f t="array" aca="1" ref="U13" ca="1">IF(LEFT(U$6,4)="Bond",INDIRECT("'"&amp;U$6&amp;"'!$B$13"),IF(LEFT(U$6,4)="PAYG",INDIRECT("'"&amp;U$6&amp;"'!$B$9"),IF(LEFT(U$6,4)="Loan",INDIRECT("'"&amp;U$6&amp;"'!$B$11"),"")))</f>
        <v/>
      </c>
      <c r="V13" s="149" t="str" cm="1">
        <f t="array" aca="1" ref="V13" ca="1">IF(LEFT(V$6,4)="Bond",INDIRECT("'"&amp;V$6&amp;"'!$B$13"),IF(LEFT(V$6,4)="PAYG",INDIRECT("'"&amp;V$6&amp;"'!$B$9"),IF(LEFT(V$6,4)="Loan",INDIRECT("'"&amp;V$6&amp;"'!$B$11"),"")))</f>
        <v/>
      </c>
      <c r="W13" s="149" t="str" cm="1">
        <f t="array" aca="1" ref="W13" ca="1">IF(LEFT(W$6,4)="Bond",INDIRECT("'"&amp;W$6&amp;"'!$B$13"),IF(LEFT(W$6,4)="PAYG",INDIRECT("'"&amp;W$6&amp;"'!$B$9"),IF(LEFT(W$6,4)="Loan",INDIRECT("'"&amp;W$6&amp;"'!$B$11"),"")))</f>
        <v/>
      </c>
      <c r="X13" s="149" t="str" cm="1">
        <f t="array" aca="1" ref="X13" ca="1">IF(LEFT(X$6,4)="Bond",INDIRECT("'"&amp;X$6&amp;"'!$B$13"),IF(LEFT(X$6,4)="PAYG",INDIRECT("'"&amp;X$6&amp;"'!$B$9"),IF(LEFT(X$6,4)="Loan",INDIRECT("'"&amp;X$6&amp;"'!$B$11"),"")))</f>
        <v/>
      </c>
      <c r="Y13" s="149" t="str" cm="1">
        <f t="array" aca="1" ref="Y13" ca="1">IF(LEFT(Y$6,4)="Bond",INDIRECT("'"&amp;Y$6&amp;"'!$B$13"),IF(LEFT(Y$6,4)="PAYG",INDIRECT("'"&amp;Y$6&amp;"'!$B$9"),IF(LEFT(Y$6,4)="Loan",INDIRECT("'"&amp;Y$6&amp;"'!$B$11"),"")))</f>
        <v/>
      </c>
      <c r="Z13" s="149" t="str" cm="1">
        <f t="array" aca="1" ref="Z13" ca="1">IF(LEFT(Z$6,4)="Bond",INDIRECT("'"&amp;Z$6&amp;"'!$B$13"),IF(LEFT(Z$6,4)="PAYG",INDIRECT("'"&amp;Z$6&amp;"'!$B$9"),IF(LEFT(Z$6,4)="Loan",INDIRECT("'"&amp;Z$6&amp;"'!$B$11"),"")))</f>
        <v/>
      </c>
      <c r="AA13" s="149" t="str" cm="1">
        <f t="array" aca="1" ref="AA13" ca="1">IF(LEFT(AA$6,4)="Bond",INDIRECT("'"&amp;AA$6&amp;"'!$B$13"),IF(LEFT(AA$6,4)="PAYG",INDIRECT("'"&amp;AA$6&amp;"'!$B$9"),IF(LEFT(AA$6,4)="Loan",INDIRECT("'"&amp;AA$6&amp;"'!$B$11"),"")))</f>
        <v/>
      </c>
      <c r="AB13" s="149" t="str" cm="1">
        <f t="array" aca="1" ref="AB13" ca="1">IF(LEFT(AB$6,4)="Bond",INDIRECT("'"&amp;AB$6&amp;"'!$B$13"),IF(LEFT(AB$6,4)="PAYG",INDIRECT("'"&amp;AB$6&amp;"'!$B$9"),IF(LEFT(AB$6,4)="Loan",INDIRECT("'"&amp;AB$6&amp;"'!$B$11"),"")))</f>
        <v/>
      </c>
      <c r="AC13" s="149" t="str" cm="1">
        <f t="array" aca="1" ref="AC13" ca="1">IF(LEFT(AC$6,4)="Bond",INDIRECT("'"&amp;AC$6&amp;"'!$B$13"),IF(LEFT(AC$6,4)="PAYG",INDIRECT("'"&amp;AC$6&amp;"'!$B$9"),IF(LEFT(AC$6,4)="Loan",INDIRECT("'"&amp;AC$6&amp;"'!$B$11"),"")))</f>
        <v/>
      </c>
      <c r="AD13" s="149" t="str" cm="1">
        <f t="array" aca="1" ref="AD13" ca="1">IF(LEFT(AD$6,4)="Bond",INDIRECT("'"&amp;AD$6&amp;"'!$B$13"),IF(LEFT(AD$6,4)="PAYG",INDIRECT("'"&amp;AD$6&amp;"'!$B$9"),IF(LEFT(AD$6,4)="Loan",INDIRECT("'"&amp;AD$6&amp;"'!$B$11"),"")))</f>
        <v/>
      </c>
      <c r="AE13" s="149" t="str" cm="1">
        <f t="array" aca="1" ref="AE13" ca="1">IF(LEFT(AE$6,4)="Bond",INDIRECT("'"&amp;AE$6&amp;"'!$B$13"),IF(LEFT(AE$6,4)="PAYG",INDIRECT("'"&amp;AE$6&amp;"'!$B$9"),IF(LEFT(AE$6,4)="Loan",INDIRECT("'"&amp;AE$6&amp;"'!$B$11"),"")))</f>
        <v/>
      </c>
      <c r="AF13" s="149" t="str" cm="1">
        <f t="array" aca="1" ref="AF13" ca="1">IF(LEFT(AF$6,4)="Bond",INDIRECT("'"&amp;AF$6&amp;"'!$B$13"),IF(LEFT(AF$6,4)="PAYG",INDIRECT("'"&amp;AF$6&amp;"'!$B$9"),IF(LEFT(AF$6,4)="Loan",INDIRECT("'"&amp;AF$6&amp;"'!$B$11"),"")))</f>
        <v/>
      </c>
      <c r="AG13" s="149" t="str" cm="1">
        <f t="array" aca="1" ref="AG13" ca="1">IF(LEFT(AG$6,4)="Bond",INDIRECT("'"&amp;AG$6&amp;"'!$B$13"),IF(LEFT(AG$6,4)="PAYG",INDIRECT("'"&amp;AG$6&amp;"'!$B$9"),IF(LEFT(AG$6,4)="Loan",INDIRECT("'"&amp;AG$6&amp;"'!$B$11"),"")))</f>
        <v/>
      </c>
      <c r="AH13" s="149" t="str" cm="1">
        <f t="array" aca="1" ref="AH13" ca="1">IF(LEFT(AH$6,4)="Bond",INDIRECT("'"&amp;AH$6&amp;"'!$B$13"),IF(LEFT(AH$6,4)="PAYG",INDIRECT("'"&amp;AH$6&amp;"'!$B$9"),IF(LEFT(AH$6,4)="Loan",INDIRECT("'"&amp;AH$6&amp;"'!$B$11"),"")))</f>
        <v/>
      </c>
      <c r="AI13" s="149" t="str" cm="1">
        <f t="array" aca="1" ref="AI13" ca="1">IF(LEFT(AI$6,4)="Bond",INDIRECT("'"&amp;AI$6&amp;"'!$B$13"),IF(LEFT(AI$6,4)="PAYG",INDIRECT("'"&amp;AI$6&amp;"'!$B$9"),IF(LEFT(AI$6,4)="Loan",INDIRECT("'"&amp;AI$6&amp;"'!$B$11"),"")))</f>
        <v/>
      </c>
      <c r="AJ13" s="149" t="str" cm="1">
        <f t="array" aca="1" ref="AJ13" ca="1">IF(LEFT(AJ$6,4)="Bond",INDIRECT("'"&amp;AJ$6&amp;"'!$B$13"),IF(LEFT(AJ$6,4)="PAYG",INDIRECT("'"&amp;AJ$6&amp;"'!$B$9"),IF(LEFT(AJ$6,4)="Loan",INDIRECT("'"&amp;AJ$6&amp;"'!$B$11"),"")))</f>
        <v/>
      </c>
      <c r="AK13" s="149" t="str" cm="1">
        <f t="array" aca="1" ref="AK13" ca="1">IF(LEFT(AK$6,4)="Bond",INDIRECT("'"&amp;AK$6&amp;"'!$B$13"),IF(LEFT(AK$6,4)="PAYG",INDIRECT("'"&amp;AK$6&amp;"'!$B$9"),IF(LEFT(AK$6,4)="Loan",INDIRECT("'"&amp;AK$6&amp;"'!$B$11"),"")))</f>
        <v/>
      </c>
      <c r="AL13" s="149" t="str" cm="1">
        <f t="array" aca="1" ref="AL13" ca="1">IF(LEFT(AL$6,4)="Bond",INDIRECT("'"&amp;AL$6&amp;"'!$B$13"),IF(LEFT(AL$6,4)="PAYG",INDIRECT("'"&amp;AL$6&amp;"'!$B$9"),IF(LEFT(AL$6,4)="Loan",INDIRECT("'"&amp;AL$6&amp;"'!$B$11"),"")))</f>
        <v/>
      </c>
      <c r="AM13" s="149" t="str" cm="1">
        <f t="array" aca="1" ref="AM13" ca="1">IF(LEFT(AM$6,4)="Bond",INDIRECT("'"&amp;AM$6&amp;"'!$B$13"),IF(LEFT(AM$6,4)="PAYG",INDIRECT("'"&amp;AM$6&amp;"'!$B$9"),IF(LEFT(AM$6,4)="Loan",INDIRECT("'"&amp;AM$6&amp;"'!$B$11"),"")))</f>
        <v/>
      </c>
      <c r="AN13" s="149" t="str" cm="1">
        <f t="array" aca="1" ref="AN13" ca="1">IF(LEFT(AN$6,4)="Bond",INDIRECT("'"&amp;AN$6&amp;"'!$B$13"),IF(LEFT(AN$6,4)="PAYG",INDIRECT("'"&amp;AN$6&amp;"'!$B$9"),IF(LEFT(AN$6,4)="Loan",INDIRECT("'"&amp;AN$6&amp;"'!$B$11"),"")))</f>
        <v/>
      </c>
      <c r="AO13" s="149" t="str" cm="1">
        <f t="array" aca="1" ref="AO13" ca="1">IF(LEFT(AO$6,4)="Bond",INDIRECT("'"&amp;AO$6&amp;"'!$B$13"),IF(LEFT(AO$6,4)="PAYG",INDIRECT("'"&amp;AO$6&amp;"'!$B$9"),IF(LEFT(AO$6,4)="Loan",INDIRECT("'"&amp;AO$6&amp;"'!$B$11"),"")))</f>
        <v/>
      </c>
      <c r="AP13" s="149" t="str" cm="1">
        <f t="array" aca="1" ref="AP13" ca="1">IF(LEFT(AP$6,4)="Bond",INDIRECT("'"&amp;AP$6&amp;"'!$B$13"),IF(LEFT(AP$6,4)="PAYG",INDIRECT("'"&amp;AP$6&amp;"'!$B$9"),IF(LEFT(AP$6,4)="Loan",INDIRECT("'"&amp;AP$6&amp;"'!$B$11"),"")))</f>
        <v/>
      </c>
      <c r="AQ13" s="149" t="str" cm="1">
        <f t="array" aca="1" ref="AQ13" ca="1">IF(LEFT(AQ$6,4)="Bond",INDIRECT("'"&amp;AQ$6&amp;"'!$B$13"),IF(LEFT(AQ$6,4)="PAYG",INDIRECT("'"&amp;AQ$6&amp;"'!$B$9"),IF(LEFT(AQ$6,4)="Loan",INDIRECT("'"&amp;AQ$6&amp;"'!$B$11"),"")))</f>
        <v/>
      </c>
      <c r="AR13" s="149" t="str" cm="1">
        <f t="array" aca="1" ref="AR13" ca="1">IF(LEFT(AR$6,4)="Bond",INDIRECT("'"&amp;AR$6&amp;"'!$B$13"),IF(LEFT(AR$6,4)="PAYG",INDIRECT("'"&amp;AR$6&amp;"'!$B$9"),IF(LEFT(AR$6,4)="Loan",INDIRECT("'"&amp;AR$6&amp;"'!$B$11"),"")))</f>
        <v/>
      </c>
      <c r="AS13" s="149" t="str" cm="1">
        <f t="array" aca="1" ref="AS13" ca="1">IF(LEFT(AS$6,4)="Bond",INDIRECT("'"&amp;AS$6&amp;"'!$B$13"),IF(LEFT(AS$6,4)="PAYG",INDIRECT("'"&amp;AS$6&amp;"'!$B$9"),IF(LEFT(AS$6,4)="Loan",INDIRECT("'"&amp;AS$6&amp;"'!$B$11"),"")))</f>
        <v/>
      </c>
      <c r="AT13" s="149" t="str" cm="1">
        <f t="array" aca="1" ref="AT13" ca="1">IF(LEFT(AT$6,4)="Bond",INDIRECT("'"&amp;AT$6&amp;"'!$B$13"),IF(LEFT(AT$6,4)="PAYG",INDIRECT("'"&amp;AT$6&amp;"'!$B$9"),IF(LEFT(AT$6,4)="Loan",INDIRECT("'"&amp;AT$6&amp;"'!$B$11"),"")))</f>
        <v/>
      </c>
    </row>
    <row r="14" spans="1:46" x14ac:dyDescent="0.25">
      <c r="A14" s="79" t="s">
        <v>213</v>
      </c>
      <c r="B14" s="150" cm="1">
        <f t="array" aca="1" ref="B14" ca="1">IF(LEFT(B$6,4)="Bond",INDIRECT("'"&amp;B$6&amp;"'!$B$14"),IF(LEFT(B$6,4)="PAYG",INDIRECT("'"&amp;B$6&amp;"'!$B$10"),IF(LEFT(B$6,4)="Loan",INDIRECT("'"&amp;B$6&amp;"'!$B$12"),"")))</f>
        <v>2.15</v>
      </c>
      <c r="C14" s="150" cm="1">
        <f t="array" aca="1" ref="C14" ca="1">IF(LEFT(C$6,4)="Bond",INDIRECT("'"&amp;C$6&amp;"'!$B$14"),IF(LEFT(C$6,4)="PAYG",INDIRECT("'"&amp;C$6&amp;"'!$B$10"),IF(LEFT(C$6,4)="Loan",INDIRECT("'"&amp;C$6&amp;"'!$B$12"),"")))</f>
        <v>0</v>
      </c>
      <c r="D14" s="150" cm="1">
        <f t="array" aca="1" ref="D14" ca="1">IF(LEFT(D$6,4)="Bond",INDIRECT("'"&amp;D$6&amp;"'!$B$14"),IF(LEFT(D$6,4)="PAYG",INDIRECT("'"&amp;D$6&amp;"'!$B$10"),IF(LEFT(D$6,4)="Loan",INDIRECT("'"&amp;D$6&amp;"'!$B$12"),"")))</f>
        <v>0</v>
      </c>
      <c r="E14" s="150" cm="1">
        <f t="array" aca="1" ref="E14" ca="1">IF(LEFT(E$6,4)="Bond",INDIRECT("'"&amp;E$6&amp;"'!$B$14"),IF(LEFT(E$6,4)="PAYG",INDIRECT("'"&amp;E$6&amp;"'!$B$10"),IF(LEFT(E$6,4)="Loan",INDIRECT("'"&amp;E$6&amp;"'!$B$12"),"")))</f>
        <v>4</v>
      </c>
      <c r="F14" s="150" t="str" cm="1">
        <f t="array" aca="1" ref="F14" ca="1">IF(LEFT(F$6,4)="Bond",INDIRECT("'"&amp;F$6&amp;"'!$B$14"),IF(LEFT(F$6,4)="PAYG",INDIRECT("'"&amp;F$6&amp;"'!$B$10"),IF(LEFT(F$6,4)="Loan",INDIRECT("'"&amp;F$6&amp;"'!$B$12"),"")))</f>
        <v/>
      </c>
      <c r="G14" s="150" t="str" cm="1">
        <f t="array" aca="1" ref="G14" ca="1">IF(LEFT(G$6,4)="Bond",INDIRECT("'"&amp;G$6&amp;"'!$B$14"),IF(LEFT(G$6,4)="PAYG",INDIRECT("'"&amp;G$6&amp;"'!$B$10"),IF(LEFT(G$6,4)="Loan",INDIRECT("'"&amp;G$6&amp;"'!$B$12"),"")))</f>
        <v/>
      </c>
      <c r="H14" s="150" t="str" cm="1">
        <f t="array" aca="1" ref="H14" ca="1">IF(LEFT(H$6,4)="Bond",INDIRECT("'"&amp;H$6&amp;"'!$B$14"),IF(LEFT(H$6,4)="PAYG",INDIRECT("'"&amp;H$6&amp;"'!$B$10"),IF(LEFT(H$6,4)="Loan",INDIRECT("'"&amp;H$6&amp;"'!$B$12"),"")))</f>
        <v/>
      </c>
      <c r="I14" s="150" t="str" cm="1">
        <f t="array" aca="1" ref="I14" ca="1">IF(LEFT(I$6,4)="Bond",INDIRECT("'"&amp;I$6&amp;"'!$B$14"),IF(LEFT(I$6,4)="PAYG",INDIRECT("'"&amp;I$6&amp;"'!$B$10"),IF(LEFT(I$6,4)="Loan",INDIRECT("'"&amp;I$6&amp;"'!$B$12"),"")))</f>
        <v/>
      </c>
      <c r="J14" s="150" t="str" cm="1">
        <f t="array" aca="1" ref="J14" ca="1">IF(LEFT(J$6,4)="Bond",INDIRECT("'"&amp;J$6&amp;"'!$B$14"),IF(LEFT(J$6,4)="PAYG",INDIRECT("'"&amp;J$6&amp;"'!$B$10"),IF(LEFT(J$6,4)="Loan",INDIRECT("'"&amp;J$6&amp;"'!$B$12"),"")))</f>
        <v/>
      </c>
      <c r="K14" s="150" t="str" cm="1">
        <f t="array" aca="1" ref="K14" ca="1">IF(LEFT(K$6,4)="Bond",INDIRECT("'"&amp;K$6&amp;"'!$B$14"),IF(LEFT(K$6,4)="PAYG",INDIRECT("'"&amp;K$6&amp;"'!$B$10"),IF(LEFT(K$6,4)="Loan",INDIRECT("'"&amp;K$6&amp;"'!$B$12"),"")))</f>
        <v/>
      </c>
      <c r="L14" s="150" t="str" cm="1">
        <f t="array" aca="1" ref="L14" ca="1">IF(LEFT(L$6,4)="Bond",INDIRECT("'"&amp;L$6&amp;"'!$B$14"),IF(LEFT(L$6,4)="PAYG",INDIRECT("'"&amp;L$6&amp;"'!$B$10"),IF(LEFT(L$6,4)="Loan",INDIRECT("'"&amp;L$6&amp;"'!$B$12"),"")))</f>
        <v/>
      </c>
      <c r="M14" s="150" t="str" cm="1">
        <f t="array" aca="1" ref="M14" ca="1">IF(LEFT(M$6,4)="Bond",INDIRECT("'"&amp;M$6&amp;"'!$B$14"),IF(LEFT(M$6,4)="PAYG",INDIRECT("'"&amp;M$6&amp;"'!$B$10"),IF(LEFT(M$6,4)="Loan",INDIRECT("'"&amp;M$6&amp;"'!$B$12"),"")))</f>
        <v/>
      </c>
      <c r="N14" s="150" t="str" cm="1">
        <f t="array" aca="1" ref="N14" ca="1">IF(LEFT(N$6,4)="Bond",INDIRECT("'"&amp;N$6&amp;"'!$B$14"),IF(LEFT(N$6,4)="PAYG",INDIRECT("'"&amp;N$6&amp;"'!$B$10"),IF(LEFT(N$6,4)="Loan",INDIRECT("'"&amp;N$6&amp;"'!$B$12"),"")))</f>
        <v/>
      </c>
      <c r="O14" s="150" t="str" cm="1">
        <f t="array" aca="1" ref="O14" ca="1">IF(LEFT(O$6,4)="Bond",INDIRECT("'"&amp;O$6&amp;"'!$B$14"),IF(LEFT(O$6,4)="PAYG",INDIRECT("'"&amp;O$6&amp;"'!$B$10"),IF(LEFT(O$6,4)="Loan",INDIRECT("'"&amp;O$6&amp;"'!$B$12"),"")))</f>
        <v/>
      </c>
      <c r="P14" s="150" t="str" cm="1">
        <f t="array" aca="1" ref="P14" ca="1">IF(LEFT(P$6,4)="Bond",INDIRECT("'"&amp;P$6&amp;"'!$B$14"),IF(LEFT(P$6,4)="PAYG",INDIRECT("'"&amp;P$6&amp;"'!$B$10"),IF(LEFT(P$6,4)="Loan",INDIRECT("'"&amp;P$6&amp;"'!$B$12"),"")))</f>
        <v/>
      </c>
      <c r="Q14" s="150" t="str" cm="1">
        <f t="array" aca="1" ref="Q14" ca="1">IF(LEFT(Q$6,4)="Bond",INDIRECT("'"&amp;Q$6&amp;"'!$B$14"),IF(LEFT(Q$6,4)="PAYG",INDIRECT("'"&amp;Q$6&amp;"'!$B$10"),IF(LEFT(Q$6,4)="Loan",INDIRECT("'"&amp;Q$6&amp;"'!$B$12"),"")))</f>
        <v/>
      </c>
      <c r="R14" s="150" t="str" cm="1">
        <f t="array" aca="1" ref="R14" ca="1">IF(LEFT(R$6,4)="Bond",INDIRECT("'"&amp;R$6&amp;"'!$B$14"),IF(LEFT(R$6,4)="PAYG",INDIRECT("'"&amp;R$6&amp;"'!$B$10"),IF(LEFT(R$6,4)="Loan",INDIRECT("'"&amp;R$6&amp;"'!$B$12"),"")))</f>
        <v/>
      </c>
      <c r="S14" s="150" t="str" cm="1">
        <f t="array" aca="1" ref="S14" ca="1">IF(LEFT(S$6,4)="Bond",INDIRECT("'"&amp;S$6&amp;"'!$B$14"),IF(LEFT(S$6,4)="PAYG",INDIRECT("'"&amp;S$6&amp;"'!$B$10"),IF(LEFT(S$6,4)="Loan",INDIRECT("'"&amp;S$6&amp;"'!$B$12"),"")))</f>
        <v/>
      </c>
      <c r="T14" s="150" t="str" cm="1">
        <f t="array" aca="1" ref="T14" ca="1">IF(LEFT(T$6,4)="Bond",INDIRECT("'"&amp;T$6&amp;"'!$B$14"),IF(LEFT(T$6,4)="PAYG",INDIRECT("'"&amp;T$6&amp;"'!$B$10"),IF(LEFT(T$6,4)="Loan",INDIRECT("'"&amp;T$6&amp;"'!$B$12"),"")))</f>
        <v/>
      </c>
      <c r="U14" s="150" t="str" cm="1">
        <f t="array" aca="1" ref="U14" ca="1">IF(LEFT(U$6,4)="Bond",INDIRECT("'"&amp;U$6&amp;"'!$B$14"),IF(LEFT(U$6,4)="PAYG",INDIRECT("'"&amp;U$6&amp;"'!$B$10"),IF(LEFT(U$6,4)="Loan",INDIRECT("'"&amp;U$6&amp;"'!$B$12"),"")))</f>
        <v/>
      </c>
      <c r="V14" s="150" t="str" cm="1">
        <f t="array" aca="1" ref="V14" ca="1">IF(LEFT(V$6,4)="Bond",INDIRECT("'"&amp;V$6&amp;"'!$B$14"),IF(LEFT(V$6,4)="PAYG",INDIRECT("'"&amp;V$6&amp;"'!$B$10"),IF(LEFT(V$6,4)="Loan",INDIRECT("'"&amp;V$6&amp;"'!$B$12"),"")))</f>
        <v/>
      </c>
      <c r="W14" s="150" t="str" cm="1">
        <f t="array" aca="1" ref="W14" ca="1">IF(LEFT(W$6,4)="Bond",INDIRECT("'"&amp;W$6&amp;"'!$B$14"),IF(LEFT(W$6,4)="PAYG",INDIRECT("'"&amp;W$6&amp;"'!$B$10"),IF(LEFT(W$6,4)="Loan",INDIRECT("'"&amp;W$6&amp;"'!$B$12"),"")))</f>
        <v/>
      </c>
      <c r="X14" s="150" t="str" cm="1">
        <f t="array" aca="1" ref="X14" ca="1">IF(LEFT(X$6,4)="Bond",INDIRECT("'"&amp;X$6&amp;"'!$B$14"),IF(LEFT(X$6,4)="PAYG",INDIRECT("'"&amp;X$6&amp;"'!$B$10"),IF(LEFT(X$6,4)="Loan",INDIRECT("'"&amp;X$6&amp;"'!$B$12"),"")))</f>
        <v/>
      </c>
      <c r="Y14" s="150" t="str" cm="1">
        <f t="array" aca="1" ref="Y14" ca="1">IF(LEFT(Y$6,4)="Bond",INDIRECT("'"&amp;Y$6&amp;"'!$B$14"),IF(LEFT(Y$6,4)="PAYG",INDIRECT("'"&amp;Y$6&amp;"'!$B$10"),IF(LEFT(Y$6,4)="Loan",INDIRECT("'"&amp;Y$6&amp;"'!$B$12"),"")))</f>
        <v/>
      </c>
      <c r="Z14" s="150" t="str" cm="1">
        <f t="array" aca="1" ref="Z14" ca="1">IF(LEFT(Z$6,4)="Bond",INDIRECT("'"&amp;Z$6&amp;"'!$B$14"),IF(LEFT(Z$6,4)="PAYG",INDIRECT("'"&amp;Z$6&amp;"'!$B$10"),IF(LEFT(Z$6,4)="Loan",INDIRECT("'"&amp;Z$6&amp;"'!$B$12"),"")))</f>
        <v/>
      </c>
      <c r="AA14" s="150" t="str" cm="1">
        <f t="array" aca="1" ref="AA14" ca="1">IF(LEFT(AA$6,4)="Bond",INDIRECT("'"&amp;AA$6&amp;"'!$B$14"),IF(LEFT(AA$6,4)="PAYG",INDIRECT("'"&amp;AA$6&amp;"'!$B$10"),IF(LEFT(AA$6,4)="Loan",INDIRECT("'"&amp;AA$6&amp;"'!$B$12"),"")))</f>
        <v/>
      </c>
      <c r="AB14" s="150" t="str" cm="1">
        <f t="array" aca="1" ref="AB14" ca="1">IF(LEFT(AB$6,4)="Bond",INDIRECT("'"&amp;AB$6&amp;"'!$B$14"),IF(LEFT(AB$6,4)="PAYG",INDIRECT("'"&amp;AB$6&amp;"'!$B$10"),IF(LEFT(AB$6,4)="Loan",INDIRECT("'"&amp;AB$6&amp;"'!$B$12"),"")))</f>
        <v/>
      </c>
      <c r="AC14" s="150" t="str" cm="1">
        <f t="array" aca="1" ref="AC14" ca="1">IF(LEFT(AC$6,4)="Bond",INDIRECT("'"&amp;AC$6&amp;"'!$B$14"),IF(LEFT(AC$6,4)="PAYG",INDIRECT("'"&amp;AC$6&amp;"'!$B$10"),IF(LEFT(AC$6,4)="Loan",INDIRECT("'"&amp;AC$6&amp;"'!$B$12"),"")))</f>
        <v/>
      </c>
      <c r="AD14" s="150" t="str" cm="1">
        <f t="array" aca="1" ref="AD14" ca="1">IF(LEFT(AD$6,4)="Bond",INDIRECT("'"&amp;AD$6&amp;"'!$B$14"),IF(LEFT(AD$6,4)="PAYG",INDIRECT("'"&amp;AD$6&amp;"'!$B$10"),IF(LEFT(AD$6,4)="Loan",INDIRECT("'"&amp;AD$6&amp;"'!$B$12"),"")))</f>
        <v/>
      </c>
      <c r="AE14" s="150" t="str" cm="1">
        <f t="array" aca="1" ref="AE14" ca="1">IF(LEFT(AE$6,4)="Bond",INDIRECT("'"&amp;AE$6&amp;"'!$B$14"),IF(LEFT(AE$6,4)="PAYG",INDIRECT("'"&amp;AE$6&amp;"'!$B$10"),IF(LEFT(AE$6,4)="Loan",INDIRECT("'"&amp;AE$6&amp;"'!$B$12"),"")))</f>
        <v/>
      </c>
      <c r="AF14" s="150" t="str" cm="1">
        <f t="array" aca="1" ref="AF14" ca="1">IF(LEFT(AF$6,4)="Bond",INDIRECT("'"&amp;AF$6&amp;"'!$B$14"),IF(LEFT(AF$6,4)="PAYG",INDIRECT("'"&amp;AF$6&amp;"'!$B$10"),IF(LEFT(AF$6,4)="Loan",INDIRECT("'"&amp;AF$6&amp;"'!$B$12"),"")))</f>
        <v/>
      </c>
      <c r="AG14" s="150" t="str" cm="1">
        <f t="array" aca="1" ref="AG14" ca="1">IF(LEFT(AG$6,4)="Bond",INDIRECT("'"&amp;AG$6&amp;"'!$B$14"),IF(LEFT(AG$6,4)="PAYG",INDIRECT("'"&amp;AG$6&amp;"'!$B$10"),IF(LEFT(AG$6,4)="Loan",INDIRECT("'"&amp;AG$6&amp;"'!$B$12"),"")))</f>
        <v/>
      </c>
      <c r="AH14" s="150" t="str" cm="1">
        <f t="array" aca="1" ref="AH14" ca="1">IF(LEFT(AH$6,4)="Bond",INDIRECT("'"&amp;AH$6&amp;"'!$B$14"),IF(LEFT(AH$6,4)="PAYG",INDIRECT("'"&amp;AH$6&amp;"'!$B$10"),IF(LEFT(AH$6,4)="Loan",INDIRECT("'"&amp;AH$6&amp;"'!$B$12"),"")))</f>
        <v/>
      </c>
      <c r="AI14" s="150" t="str" cm="1">
        <f t="array" aca="1" ref="AI14" ca="1">IF(LEFT(AI$6,4)="Bond",INDIRECT("'"&amp;AI$6&amp;"'!$B$14"),IF(LEFT(AI$6,4)="PAYG",INDIRECT("'"&amp;AI$6&amp;"'!$B$10"),IF(LEFT(AI$6,4)="Loan",INDIRECT("'"&amp;AI$6&amp;"'!$B$12"),"")))</f>
        <v/>
      </c>
      <c r="AJ14" s="150" t="str" cm="1">
        <f t="array" aca="1" ref="AJ14" ca="1">IF(LEFT(AJ$6,4)="Bond",INDIRECT("'"&amp;AJ$6&amp;"'!$B$14"),IF(LEFT(AJ$6,4)="PAYG",INDIRECT("'"&amp;AJ$6&amp;"'!$B$10"),IF(LEFT(AJ$6,4)="Loan",INDIRECT("'"&amp;AJ$6&amp;"'!$B$12"),"")))</f>
        <v/>
      </c>
      <c r="AK14" s="150" t="str" cm="1">
        <f t="array" aca="1" ref="AK14" ca="1">IF(LEFT(AK$6,4)="Bond",INDIRECT("'"&amp;AK$6&amp;"'!$B$14"),IF(LEFT(AK$6,4)="PAYG",INDIRECT("'"&amp;AK$6&amp;"'!$B$10"),IF(LEFT(AK$6,4)="Loan",INDIRECT("'"&amp;AK$6&amp;"'!$B$12"),"")))</f>
        <v/>
      </c>
      <c r="AL14" s="150" t="str" cm="1">
        <f t="array" aca="1" ref="AL14" ca="1">IF(LEFT(AL$6,4)="Bond",INDIRECT("'"&amp;AL$6&amp;"'!$B$14"),IF(LEFT(AL$6,4)="PAYG",INDIRECT("'"&amp;AL$6&amp;"'!$B$10"),IF(LEFT(AL$6,4)="Loan",INDIRECT("'"&amp;AL$6&amp;"'!$B$12"),"")))</f>
        <v/>
      </c>
      <c r="AM14" s="150" t="str" cm="1">
        <f t="array" aca="1" ref="AM14" ca="1">IF(LEFT(AM$6,4)="Bond",INDIRECT("'"&amp;AM$6&amp;"'!$B$14"),IF(LEFT(AM$6,4)="PAYG",INDIRECT("'"&amp;AM$6&amp;"'!$B$10"),IF(LEFT(AM$6,4)="Loan",INDIRECT("'"&amp;AM$6&amp;"'!$B$12"),"")))</f>
        <v/>
      </c>
      <c r="AN14" s="150" t="str" cm="1">
        <f t="array" aca="1" ref="AN14" ca="1">IF(LEFT(AN$6,4)="Bond",INDIRECT("'"&amp;AN$6&amp;"'!$B$14"),IF(LEFT(AN$6,4)="PAYG",INDIRECT("'"&amp;AN$6&amp;"'!$B$10"),IF(LEFT(AN$6,4)="Loan",INDIRECT("'"&amp;AN$6&amp;"'!$B$12"),"")))</f>
        <v/>
      </c>
      <c r="AO14" s="150" t="str" cm="1">
        <f t="array" aca="1" ref="AO14" ca="1">IF(LEFT(AO$6,4)="Bond",INDIRECT("'"&amp;AO$6&amp;"'!$B$14"),IF(LEFT(AO$6,4)="PAYG",INDIRECT("'"&amp;AO$6&amp;"'!$B$10"),IF(LEFT(AO$6,4)="Loan",INDIRECT("'"&amp;AO$6&amp;"'!$B$12"),"")))</f>
        <v/>
      </c>
      <c r="AP14" s="150" t="str" cm="1">
        <f t="array" aca="1" ref="AP14" ca="1">IF(LEFT(AP$6,4)="Bond",INDIRECT("'"&amp;AP$6&amp;"'!$B$14"),IF(LEFT(AP$6,4)="PAYG",INDIRECT("'"&amp;AP$6&amp;"'!$B$10"),IF(LEFT(AP$6,4)="Loan",INDIRECT("'"&amp;AP$6&amp;"'!$B$12"),"")))</f>
        <v/>
      </c>
      <c r="AQ14" s="150" t="str" cm="1">
        <f t="array" aca="1" ref="AQ14" ca="1">IF(LEFT(AQ$6,4)="Bond",INDIRECT("'"&amp;AQ$6&amp;"'!$B$14"),IF(LEFT(AQ$6,4)="PAYG",INDIRECT("'"&amp;AQ$6&amp;"'!$B$10"),IF(LEFT(AQ$6,4)="Loan",INDIRECT("'"&amp;AQ$6&amp;"'!$B$12"),"")))</f>
        <v/>
      </c>
      <c r="AR14" s="150" t="str" cm="1">
        <f t="array" aca="1" ref="AR14" ca="1">IF(LEFT(AR$6,4)="Bond",INDIRECT("'"&amp;AR$6&amp;"'!$B$14"),IF(LEFT(AR$6,4)="PAYG",INDIRECT("'"&amp;AR$6&amp;"'!$B$10"),IF(LEFT(AR$6,4)="Loan",INDIRECT("'"&amp;AR$6&amp;"'!$B$12"),"")))</f>
        <v/>
      </c>
      <c r="AS14" s="150" t="str" cm="1">
        <f t="array" aca="1" ref="AS14" ca="1">IF(LEFT(AS$6,4)="Bond",INDIRECT("'"&amp;AS$6&amp;"'!$B$14"),IF(LEFT(AS$6,4)="PAYG",INDIRECT("'"&amp;AS$6&amp;"'!$B$10"),IF(LEFT(AS$6,4)="Loan",INDIRECT("'"&amp;AS$6&amp;"'!$B$12"),"")))</f>
        <v/>
      </c>
      <c r="AT14" s="150" t="str" cm="1">
        <f t="array" aca="1" ref="AT14" ca="1">IF(LEFT(AT$6,4)="Bond",INDIRECT("'"&amp;AT$6&amp;"'!$B$14"),IF(LEFT(AT$6,4)="PAYG",INDIRECT("'"&amp;AT$6&amp;"'!$B$10"),IF(LEFT(AT$6,4)="Loan",INDIRECT("'"&amp;AT$6&amp;"'!$B$12"),"")))</f>
        <v/>
      </c>
    </row>
    <row r="15" spans="1:46" x14ac:dyDescent="0.25">
      <c r="A15" s="79" t="s">
        <v>214</v>
      </c>
      <c r="B15" s="150" cm="1">
        <f t="array" aca="1" ref="B15" ca="1">IF(LEFT(B$6,4)="Bond",INDIRECT("'"&amp;B$6&amp;"'!$B$15"),IF(LEFT(B$6,4)="PAYG",INDIRECT("'"&amp;B$6&amp;"'!$B$11"),IF(LEFT(B$6,4)="Loan",INDIRECT("'"&amp;B$6&amp;"'!$B$13"),"")))</f>
        <v>3.9</v>
      </c>
      <c r="C15" s="150" cm="1">
        <f t="array" aca="1" ref="C15" ca="1">IF(LEFT(C$6,4)="Bond",INDIRECT("'"&amp;C$6&amp;"'!$B$15"),IF(LEFT(C$6,4)="PAYG",INDIRECT("'"&amp;C$6&amp;"'!$B$11"),IF(LEFT(C$6,4)="Loan",INDIRECT("'"&amp;C$6&amp;"'!$B$13"),"")))</f>
        <v>0</v>
      </c>
      <c r="D15" s="150" cm="1">
        <f t="array" aca="1" ref="D15" ca="1">IF(LEFT(D$6,4)="Bond",INDIRECT("'"&amp;D$6&amp;"'!$B$15"),IF(LEFT(D$6,4)="PAYG",INDIRECT("'"&amp;D$6&amp;"'!$B$11"),IF(LEFT(D$6,4)="Loan",INDIRECT("'"&amp;D$6&amp;"'!$B$13"),"")))</f>
        <v>0</v>
      </c>
      <c r="E15" s="150" cm="1">
        <f t="array" aca="1" ref="E15" ca="1">IF(LEFT(E$6,4)="Bond",INDIRECT("'"&amp;E$6&amp;"'!$B$15"),IF(LEFT(E$6,4)="PAYG",INDIRECT("'"&amp;E$6&amp;"'!$B$11"),IF(LEFT(E$6,4)="Loan",INDIRECT("'"&amp;E$6&amp;"'!$B$13"),"")))</f>
        <v>4</v>
      </c>
      <c r="F15" s="150" t="str" cm="1">
        <f t="array" aca="1" ref="F15" ca="1">IF(LEFT(F$6,4)="Bond",INDIRECT("'"&amp;F$6&amp;"'!$B$15"),IF(LEFT(F$6,4)="PAYG",INDIRECT("'"&amp;F$6&amp;"'!$B$11"),IF(LEFT(F$6,4)="Loan",INDIRECT("'"&amp;F$6&amp;"'!$B$13"),"")))</f>
        <v/>
      </c>
      <c r="G15" s="150" t="str" cm="1">
        <f t="array" aca="1" ref="G15" ca="1">IF(LEFT(G$6,4)="Bond",INDIRECT("'"&amp;G$6&amp;"'!$B$15"),IF(LEFT(G$6,4)="PAYG",INDIRECT("'"&amp;G$6&amp;"'!$B$11"),IF(LEFT(G$6,4)="Loan",INDIRECT("'"&amp;G$6&amp;"'!$B$13"),"")))</f>
        <v/>
      </c>
      <c r="H15" s="150" t="str" cm="1">
        <f t="array" aca="1" ref="H15" ca="1">IF(LEFT(H$6,4)="Bond",INDIRECT("'"&amp;H$6&amp;"'!$B$15"),IF(LEFT(H$6,4)="PAYG",INDIRECT("'"&amp;H$6&amp;"'!$B$11"),IF(LEFT(H$6,4)="Loan",INDIRECT("'"&amp;H$6&amp;"'!$B$13"),"")))</f>
        <v/>
      </c>
      <c r="I15" s="150" t="str" cm="1">
        <f t="array" aca="1" ref="I15" ca="1">IF(LEFT(I$6,4)="Bond",INDIRECT("'"&amp;I$6&amp;"'!$B$15"),IF(LEFT(I$6,4)="PAYG",INDIRECT("'"&amp;I$6&amp;"'!$B$11"),IF(LEFT(I$6,4)="Loan",INDIRECT("'"&amp;I$6&amp;"'!$B$13"),"")))</f>
        <v/>
      </c>
      <c r="J15" s="150" t="str" cm="1">
        <f t="array" aca="1" ref="J15" ca="1">IF(LEFT(J$6,4)="Bond",INDIRECT("'"&amp;J$6&amp;"'!$B$15"),IF(LEFT(J$6,4)="PAYG",INDIRECT("'"&amp;J$6&amp;"'!$B$11"),IF(LEFT(J$6,4)="Loan",INDIRECT("'"&amp;J$6&amp;"'!$B$13"),"")))</f>
        <v/>
      </c>
      <c r="K15" s="150" t="str" cm="1">
        <f t="array" aca="1" ref="K15" ca="1">IF(LEFT(K$6,4)="Bond",INDIRECT("'"&amp;K$6&amp;"'!$B$15"),IF(LEFT(K$6,4)="PAYG",INDIRECT("'"&amp;K$6&amp;"'!$B$11"),IF(LEFT(K$6,4)="Loan",INDIRECT("'"&amp;K$6&amp;"'!$B$13"),"")))</f>
        <v/>
      </c>
      <c r="L15" s="150" t="str" cm="1">
        <f t="array" aca="1" ref="L15" ca="1">IF(LEFT(L$6,4)="Bond",INDIRECT("'"&amp;L$6&amp;"'!$B$15"),IF(LEFT(L$6,4)="PAYG",INDIRECT("'"&amp;L$6&amp;"'!$B$11"),IF(LEFT(L$6,4)="Loan",INDIRECT("'"&amp;L$6&amp;"'!$B$13"),"")))</f>
        <v/>
      </c>
      <c r="M15" s="150" t="str" cm="1">
        <f t="array" aca="1" ref="M15" ca="1">IF(LEFT(M$6,4)="Bond",INDIRECT("'"&amp;M$6&amp;"'!$B$15"),IF(LEFT(M$6,4)="PAYG",INDIRECT("'"&amp;M$6&amp;"'!$B$11"),IF(LEFT(M$6,4)="Loan",INDIRECT("'"&amp;M$6&amp;"'!$B$13"),"")))</f>
        <v/>
      </c>
      <c r="N15" s="150" t="str" cm="1">
        <f t="array" aca="1" ref="N15" ca="1">IF(LEFT(N$6,4)="Bond",INDIRECT("'"&amp;N$6&amp;"'!$B$15"),IF(LEFT(N$6,4)="PAYG",INDIRECT("'"&amp;N$6&amp;"'!$B$11"),IF(LEFT(N$6,4)="Loan",INDIRECT("'"&amp;N$6&amp;"'!$B$13"),"")))</f>
        <v/>
      </c>
      <c r="O15" s="150" t="str" cm="1">
        <f t="array" aca="1" ref="O15" ca="1">IF(LEFT(O$6,4)="Bond",INDIRECT("'"&amp;O$6&amp;"'!$B$15"),IF(LEFT(O$6,4)="PAYG",INDIRECT("'"&amp;O$6&amp;"'!$B$11"),IF(LEFT(O$6,4)="Loan",INDIRECT("'"&amp;O$6&amp;"'!$B$13"),"")))</f>
        <v/>
      </c>
      <c r="P15" s="150" t="str" cm="1">
        <f t="array" aca="1" ref="P15" ca="1">IF(LEFT(P$6,4)="Bond",INDIRECT("'"&amp;P$6&amp;"'!$B$15"),IF(LEFT(P$6,4)="PAYG",INDIRECT("'"&amp;P$6&amp;"'!$B$11"),IF(LEFT(P$6,4)="Loan",INDIRECT("'"&amp;P$6&amp;"'!$B$13"),"")))</f>
        <v/>
      </c>
      <c r="Q15" s="150" t="str" cm="1">
        <f t="array" aca="1" ref="Q15" ca="1">IF(LEFT(Q$6,4)="Bond",INDIRECT("'"&amp;Q$6&amp;"'!$B$15"),IF(LEFT(Q$6,4)="PAYG",INDIRECT("'"&amp;Q$6&amp;"'!$B$11"),IF(LEFT(Q$6,4)="Loan",INDIRECT("'"&amp;Q$6&amp;"'!$B$13"),"")))</f>
        <v/>
      </c>
      <c r="R15" s="150" t="str" cm="1">
        <f t="array" aca="1" ref="R15" ca="1">IF(LEFT(R$6,4)="Bond",INDIRECT("'"&amp;R$6&amp;"'!$B$15"),IF(LEFT(R$6,4)="PAYG",INDIRECT("'"&amp;R$6&amp;"'!$B$11"),IF(LEFT(R$6,4)="Loan",INDIRECT("'"&amp;R$6&amp;"'!$B$13"),"")))</f>
        <v/>
      </c>
      <c r="S15" s="150" t="str" cm="1">
        <f t="array" aca="1" ref="S15" ca="1">IF(LEFT(S$6,4)="Bond",INDIRECT("'"&amp;S$6&amp;"'!$B$15"),IF(LEFT(S$6,4)="PAYG",INDIRECT("'"&amp;S$6&amp;"'!$B$11"),IF(LEFT(S$6,4)="Loan",INDIRECT("'"&amp;S$6&amp;"'!$B$13"),"")))</f>
        <v/>
      </c>
      <c r="T15" s="150" t="str" cm="1">
        <f t="array" aca="1" ref="T15" ca="1">IF(LEFT(T$6,4)="Bond",INDIRECT("'"&amp;T$6&amp;"'!$B$15"),IF(LEFT(T$6,4)="PAYG",INDIRECT("'"&amp;T$6&amp;"'!$B$11"),IF(LEFT(T$6,4)="Loan",INDIRECT("'"&amp;T$6&amp;"'!$B$13"),"")))</f>
        <v/>
      </c>
      <c r="U15" s="150" t="str" cm="1">
        <f t="array" aca="1" ref="U15" ca="1">IF(LEFT(U$6,4)="Bond",INDIRECT("'"&amp;U$6&amp;"'!$B$15"),IF(LEFT(U$6,4)="PAYG",INDIRECT("'"&amp;U$6&amp;"'!$B$11"),IF(LEFT(U$6,4)="Loan",INDIRECT("'"&amp;U$6&amp;"'!$B$13"),"")))</f>
        <v/>
      </c>
      <c r="V15" s="150" t="str" cm="1">
        <f t="array" aca="1" ref="V15" ca="1">IF(LEFT(V$6,4)="Bond",INDIRECT("'"&amp;V$6&amp;"'!$B$15"),IF(LEFT(V$6,4)="PAYG",INDIRECT("'"&amp;V$6&amp;"'!$B$11"),IF(LEFT(V$6,4)="Loan",INDIRECT("'"&amp;V$6&amp;"'!$B$13"),"")))</f>
        <v/>
      </c>
      <c r="W15" s="150" t="str" cm="1">
        <f t="array" aca="1" ref="W15" ca="1">IF(LEFT(W$6,4)="Bond",INDIRECT("'"&amp;W$6&amp;"'!$B$15"),IF(LEFT(W$6,4)="PAYG",INDIRECT("'"&amp;W$6&amp;"'!$B$11"),IF(LEFT(W$6,4)="Loan",INDIRECT("'"&amp;W$6&amp;"'!$B$13"),"")))</f>
        <v/>
      </c>
      <c r="X15" s="150" t="str" cm="1">
        <f t="array" aca="1" ref="X15" ca="1">IF(LEFT(X$6,4)="Bond",INDIRECT("'"&amp;X$6&amp;"'!$B$15"),IF(LEFT(X$6,4)="PAYG",INDIRECT("'"&amp;X$6&amp;"'!$B$11"),IF(LEFT(X$6,4)="Loan",INDIRECT("'"&amp;X$6&amp;"'!$B$13"),"")))</f>
        <v/>
      </c>
      <c r="Y15" s="150" t="str" cm="1">
        <f t="array" aca="1" ref="Y15" ca="1">IF(LEFT(Y$6,4)="Bond",INDIRECT("'"&amp;Y$6&amp;"'!$B$15"),IF(LEFT(Y$6,4)="PAYG",INDIRECT("'"&amp;Y$6&amp;"'!$B$11"),IF(LEFT(Y$6,4)="Loan",INDIRECT("'"&amp;Y$6&amp;"'!$B$13"),"")))</f>
        <v/>
      </c>
      <c r="Z15" s="150" t="str" cm="1">
        <f t="array" aca="1" ref="Z15" ca="1">IF(LEFT(Z$6,4)="Bond",INDIRECT("'"&amp;Z$6&amp;"'!$B$15"),IF(LEFT(Z$6,4)="PAYG",INDIRECT("'"&amp;Z$6&amp;"'!$B$11"),IF(LEFT(Z$6,4)="Loan",INDIRECT("'"&amp;Z$6&amp;"'!$B$13"),"")))</f>
        <v/>
      </c>
      <c r="AA15" s="150" t="str" cm="1">
        <f t="array" aca="1" ref="AA15" ca="1">IF(LEFT(AA$6,4)="Bond",INDIRECT("'"&amp;AA$6&amp;"'!$B$15"),IF(LEFT(AA$6,4)="PAYG",INDIRECT("'"&amp;AA$6&amp;"'!$B$11"),IF(LEFT(AA$6,4)="Loan",INDIRECT("'"&amp;AA$6&amp;"'!$B$13"),"")))</f>
        <v/>
      </c>
      <c r="AB15" s="150" t="str" cm="1">
        <f t="array" aca="1" ref="AB15" ca="1">IF(LEFT(AB$6,4)="Bond",INDIRECT("'"&amp;AB$6&amp;"'!$B$15"),IF(LEFT(AB$6,4)="PAYG",INDIRECT("'"&amp;AB$6&amp;"'!$B$11"),IF(LEFT(AB$6,4)="Loan",INDIRECT("'"&amp;AB$6&amp;"'!$B$13"),"")))</f>
        <v/>
      </c>
      <c r="AC15" s="150" t="str" cm="1">
        <f t="array" aca="1" ref="AC15" ca="1">IF(LEFT(AC$6,4)="Bond",INDIRECT("'"&amp;AC$6&amp;"'!$B$15"),IF(LEFT(AC$6,4)="PAYG",INDIRECT("'"&amp;AC$6&amp;"'!$B$11"),IF(LEFT(AC$6,4)="Loan",INDIRECT("'"&amp;AC$6&amp;"'!$B$13"),"")))</f>
        <v/>
      </c>
      <c r="AD15" s="150" t="str" cm="1">
        <f t="array" aca="1" ref="AD15" ca="1">IF(LEFT(AD$6,4)="Bond",INDIRECT("'"&amp;AD$6&amp;"'!$B$15"),IF(LEFT(AD$6,4)="PAYG",INDIRECT("'"&amp;AD$6&amp;"'!$B$11"),IF(LEFT(AD$6,4)="Loan",INDIRECT("'"&amp;AD$6&amp;"'!$B$13"),"")))</f>
        <v/>
      </c>
      <c r="AE15" s="150" t="str" cm="1">
        <f t="array" aca="1" ref="AE15" ca="1">IF(LEFT(AE$6,4)="Bond",INDIRECT("'"&amp;AE$6&amp;"'!$B$15"),IF(LEFT(AE$6,4)="PAYG",INDIRECT("'"&amp;AE$6&amp;"'!$B$11"),IF(LEFT(AE$6,4)="Loan",INDIRECT("'"&amp;AE$6&amp;"'!$B$13"),"")))</f>
        <v/>
      </c>
      <c r="AF15" s="150" t="str" cm="1">
        <f t="array" aca="1" ref="AF15" ca="1">IF(LEFT(AF$6,4)="Bond",INDIRECT("'"&amp;AF$6&amp;"'!$B$15"),IF(LEFT(AF$6,4)="PAYG",INDIRECT("'"&amp;AF$6&amp;"'!$B$11"),IF(LEFT(AF$6,4)="Loan",INDIRECT("'"&amp;AF$6&amp;"'!$B$13"),"")))</f>
        <v/>
      </c>
      <c r="AG15" s="150" t="str" cm="1">
        <f t="array" aca="1" ref="AG15" ca="1">IF(LEFT(AG$6,4)="Bond",INDIRECT("'"&amp;AG$6&amp;"'!$B$15"),IF(LEFT(AG$6,4)="PAYG",INDIRECT("'"&amp;AG$6&amp;"'!$B$11"),IF(LEFT(AG$6,4)="Loan",INDIRECT("'"&amp;AG$6&amp;"'!$B$13"),"")))</f>
        <v/>
      </c>
      <c r="AH15" s="150" t="str" cm="1">
        <f t="array" aca="1" ref="AH15" ca="1">IF(LEFT(AH$6,4)="Bond",INDIRECT("'"&amp;AH$6&amp;"'!$B$15"),IF(LEFT(AH$6,4)="PAYG",INDIRECT("'"&amp;AH$6&amp;"'!$B$11"),IF(LEFT(AH$6,4)="Loan",INDIRECT("'"&amp;AH$6&amp;"'!$B$13"),"")))</f>
        <v/>
      </c>
      <c r="AI15" s="150" t="str" cm="1">
        <f t="array" aca="1" ref="AI15" ca="1">IF(LEFT(AI$6,4)="Bond",INDIRECT("'"&amp;AI$6&amp;"'!$B$15"),IF(LEFT(AI$6,4)="PAYG",INDIRECT("'"&amp;AI$6&amp;"'!$B$11"),IF(LEFT(AI$6,4)="Loan",INDIRECT("'"&amp;AI$6&amp;"'!$B$13"),"")))</f>
        <v/>
      </c>
      <c r="AJ15" s="150" t="str" cm="1">
        <f t="array" aca="1" ref="AJ15" ca="1">IF(LEFT(AJ$6,4)="Bond",INDIRECT("'"&amp;AJ$6&amp;"'!$B$15"),IF(LEFT(AJ$6,4)="PAYG",INDIRECT("'"&amp;AJ$6&amp;"'!$B$11"),IF(LEFT(AJ$6,4)="Loan",INDIRECT("'"&amp;AJ$6&amp;"'!$B$13"),"")))</f>
        <v/>
      </c>
      <c r="AK15" s="150" t="str" cm="1">
        <f t="array" aca="1" ref="AK15" ca="1">IF(LEFT(AK$6,4)="Bond",INDIRECT("'"&amp;AK$6&amp;"'!$B$15"),IF(LEFT(AK$6,4)="PAYG",INDIRECT("'"&amp;AK$6&amp;"'!$B$11"),IF(LEFT(AK$6,4)="Loan",INDIRECT("'"&amp;AK$6&amp;"'!$B$13"),"")))</f>
        <v/>
      </c>
      <c r="AL15" s="150" t="str" cm="1">
        <f t="array" aca="1" ref="AL15" ca="1">IF(LEFT(AL$6,4)="Bond",INDIRECT("'"&amp;AL$6&amp;"'!$B$15"),IF(LEFT(AL$6,4)="PAYG",INDIRECT("'"&amp;AL$6&amp;"'!$B$11"),IF(LEFT(AL$6,4)="Loan",INDIRECT("'"&amp;AL$6&amp;"'!$B$13"),"")))</f>
        <v/>
      </c>
      <c r="AM15" s="150" t="str" cm="1">
        <f t="array" aca="1" ref="AM15" ca="1">IF(LEFT(AM$6,4)="Bond",INDIRECT("'"&amp;AM$6&amp;"'!$B$15"),IF(LEFT(AM$6,4)="PAYG",INDIRECT("'"&amp;AM$6&amp;"'!$B$11"),IF(LEFT(AM$6,4)="Loan",INDIRECT("'"&amp;AM$6&amp;"'!$B$13"),"")))</f>
        <v/>
      </c>
      <c r="AN15" s="150" t="str" cm="1">
        <f t="array" aca="1" ref="AN15" ca="1">IF(LEFT(AN$6,4)="Bond",INDIRECT("'"&amp;AN$6&amp;"'!$B$15"),IF(LEFT(AN$6,4)="PAYG",INDIRECT("'"&amp;AN$6&amp;"'!$B$11"),IF(LEFT(AN$6,4)="Loan",INDIRECT("'"&amp;AN$6&amp;"'!$B$13"),"")))</f>
        <v/>
      </c>
      <c r="AO15" s="150" t="str" cm="1">
        <f t="array" aca="1" ref="AO15" ca="1">IF(LEFT(AO$6,4)="Bond",INDIRECT("'"&amp;AO$6&amp;"'!$B$15"),IF(LEFT(AO$6,4)="PAYG",INDIRECT("'"&amp;AO$6&amp;"'!$B$11"),IF(LEFT(AO$6,4)="Loan",INDIRECT("'"&amp;AO$6&amp;"'!$B$13"),"")))</f>
        <v/>
      </c>
      <c r="AP15" s="150" t="str" cm="1">
        <f t="array" aca="1" ref="AP15" ca="1">IF(LEFT(AP$6,4)="Bond",INDIRECT("'"&amp;AP$6&amp;"'!$B$15"),IF(LEFT(AP$6,4)="PAYG",INDIRECT("'"&amp;AP$6&amp;"'!$B$11"),IF(LEFT(AP$6,4)="Loan",INDIRECT("'"&amp;AP$6&amp;"'!$B$13"),"")))</f>
        <v/>
      </c>
      <c r="AQ15" s="150" t="str" cm="1">
        <f t="array" aca="1" ref="AQ15" ca="1">IF(LEFT(AQ$6,4)="Bond",INDIRECT("'"&amp;AQ$6&amp;"'!$B$15"),IF(LEFT(AQ$6,4)="PAYG",INDIRECT("'"&amp;AQ$6&amp;"'!$B$11"),IF(LEFT(AQ$6,4)="Loan",INDIRECT("'"&amp;AQ$6&amp;"'!$B$13"),"")))</f>
        <v/>
      </c>
      <c r="AR15" s="150" t="str" cm="1">
        <f t="array" aca="1" ref="AR15" ca="1">IF(LEFT(AR$6,4)="Bond",INDIRECT("'"&amp;AR$6&amp;"'!$B$15"),IF(LEFT(AR$6,4)="PAYG",INDIRECT("'"&amp;AR$6&amp;"'!$B$11"),IF(LEFT(AR$6,4)="Loan",INDIRECT("'"&amp;AR$6&amp;"'!$B$13"),"")))</f>
        <v/>
      </c>
      <c r="AS15" s="150" t="str" cm="1">
        <f t="array" aca="1" ref="AS15" ca="1">IF(LEFT(AS$6,4)="Bond",INDIRECT("'"&amp;AS$6&amp;"'!$B$15"),IF(LEFT(AS$6,4)="PAYG",INDIRECT("'"&amp;AS$6&amp;"'!$B$11"),IF(LEFT(AS$6,4)="Loan",INDIRECT("'"&amp;AS$6&amp;"'!$B$13"),"")))</f>
        <v/>
      </c>
      <c r="AT15" s="150" t="str" cm="1">
        <f t="array" aca="1" ref="AT15" ca="1">IF(LEFT(AT$6,4)="Bond",INDIRECT("'"&amp;AT$6&amp;"'!$B$15"),IF(LEFT(AT$6,4)="PAYG",INDIRECT("'"&amp;AT$6&amp;"'!$B$11"),IF(LEFT(AT$6,4)="Loan",INDIRECT("'"&amp;AT$6&amp;"'!$B$13"),"")))</f>
        <v/>
      </c>
    </row>
    <row r="16" spans="1:46" x14ac:dyDescent="0.25">
      <c r="A16" s="79" t="s">
        <v>249</v>
      </c>
      <c r="B16" s="151" t="str" cm="1">
        <f t="array" aca="1" ref="B16" ca="1">IF(LEFT(B$6,4)="Bond","N/A",IF(LEFT(B$6,4)="PAYG","N/A",IF(LEFT(B$6,4)="Loan",INDIRECT("'"&amp;B$6&amp;"'!$B$14"),"")))</f>
        <v>N/A</v>
      </c>
      <c r="C16" s="151" t="str" cm="1">
        <f t="array" aca="1" ref="C16" ca="1">IF(LEFT(C$6,4)="Bond","N/A",IF(LEFT(C$6,4)="PAYG","N/A",IF(LEFT(C$6,4)="Loan",INDIRECT("'"&amp;C$6&amp;"'!$B$14"),"")))</f>
        <v>N/A</v>
      </c>
      <c r="D16" s="151" t="str" cm="1">
        <f t="array" aca="1" ref="D16" ca="1">IF(LEFT(D$6,4)="Bond","N/A",IF(LEFT(D$6,4)="PAYG","N/A",IF(LEFT(D$6,4)="Loan",INDIRECT("'"&amp;D$6&amp;"'!$B$14"),"")))</f>
        <v>N/A</v>
      </c>
      <c r="E16" s="151" t="str" cm="1">
        <f t="array" aca="1" ref="E16" ca="1">IF(LEFT(E$6,4)="Bond","N/A",IF(LEFT(E$6,4)="PAYG","N/A",IF(LEFT(E$6,4)="Loan",INDIRECT("'"&amp;E$6&amp;"'!$B$14"),"")))</f>
        <v>Fixed</v>
      </c>
      <c r="F16" s="151" t="str" cm="1">
        <f t="array" aca="1" ref="F16" ca="1">IF(LEFT(F$6,4)="Bond","N/A",IF(LEFT(F$6,4)="PAYG","N/A",IF(LEFT(F$6,4)="Loan",INDIRECT("'"&amp;F$6&amp;"'!$B$14"),"")))</f>
        <v/>
      </c>
      <c r="G16" s="151" t="str" cm="1">
        <f t="array" aca="1" ref="G16" ca="1">IF(LEFT(G$6,4)="Bond","N/A",IF(LEFT(G$6,4)="PAYG","N/A",IF(LEFT(G$6,4)="Loan",INDIRECT("'"&amp;G$6&amp;"'!$B$14"),"")))</f>
        <v/>
      </c>
      <c r="H16" s="151" t="str" cm="1">
        <f t="array" aca="1" ref="H16" ca="1">IF(LEFT(H$6,4)="Bond","N/A",IF(LEFT(H$6,4)="PAYG","N/A",IF(LEFT(H$6,4)="Loan",INDIRECT("'"&amp;H$6&amp;"'!$B$14"),"")))</f>
        <v/>
      </c>
      <c r="I16" s="151" t="str" cm="1">
        <f t="array" aca="1" ref="I16" ca="1">IF(LEFT(I$6,4)="Bond","N/A",IF(LEFT(I$6,4)="PAYG","N/A",IF(LEFT(I$6,4)="Loan",INDIRECT("'"&amp;I$6&amp;"'!$B$14"),"")))</f>
        <v/>
      </c>
      <c r="J16" s="151" t="str" cm="1">
        <f t="array" aca="1" ref="J16" ca="1">IF(LEFT(J$6,4)="Bond","N/A",IF(LEFT(J$6,4)="PAYG","N/A",IF(LEFT(J$6,4)="Loan",INDIRECT("'"&amp;J$6&amp;"'!$B$14"),"")))</f>
        <v/>
      </c>
      <c r="K16" s="151" t="str" cm="1">
        <f t="array" aca="1" ref="K16" ca="1">IF(LEFT(K$6,4)="Bond","N/A",IF(LEFT(K$6,4)="PAYG","N/A",IF(LEFT(K$6,4)="Loan",INDIRECT("'"&amp;K$6&amp;"'!$B$14"),"")))</f>
        <v/>
      </c>
      <c r="L16" s="151" t="str" cm="1">
        <f t="array" aca="1" ref="L16" ca="1">IF(LEFT(L$6,4)="Bond","N/A",IF(LEFT(L$6,4)="PAYG","N/A",IF(LEFT(L$6,4)="Loan",INDIRECT("'"&amp;L$6&amp;"'!$B$14"),"")))</f>
        <v/>
      </c>
      <c r="M16" s="151" t="str" cm="1">
        <f t="array" aca="1" ref="M16" ca="1">IF(LEFT(M$6,4)="Bond","N/A",IF(LEFT(M$6,4)="PAYG","N/A",IF(LEFT(M$6,4)="Loan",INDIRECT("'"&amp;M$6&amp;"'!$B$14"),"")))</f>
        <v/>
      </c>
      <c r="N16" s="151" t="str" cm="1">
        <f t="array" aca="1" ref="N16" ca="1">IF(LEFT(N$6,4)="Bond","N/A",IF(LEFT(N$6,4)="PAYG","N/A",IF(LEFT(N$6,4)="Loan",INDIRECT("'"&amp;N$6&amp;"'!$B$14"),"")))</f>
        <v/>
      </c>
      <c r="O16" s="151" t="str" cm="1">
        <f t="array" aca="1" ref="O16" ca="1">IF(LEFT(O$6,4)="Bond","N/A",IF(LEFT(O$6,4)="PAYG","N/A",IF(LEFT(O$6,4)="Loan",INDIRECT("'"&amp;O$6&amp;"'!$B$14"),"")))</f>
        <v/>
      </c>
      <c r="P16" s="151" t="str" cm="1">
        <f t="array" aca="1" ref="P16" ca="1">IF(LEFT(P$6,4)="Bond","N/A",IF(LEFT(P$6,4)="PAYG","N/A",IF(LEFT(P$6,4)="Loan",INDIRECT("'"&amp;P$6&amp;"'!$B$14"),"")))</f>
        <v/>
      </c>
      <c r="Q16" s="151" t="str" cm="1">
        <f t="array" aca="1" ref="Q16" ca="1">IF(LEFT(Q$6,4)="Bond","N/A",IF(LEFT(Q$6,4)="PAYG","N/A",IF(LEFT(Q$6,4)="Loan",INDIRECT("'"&amp;Q$6&amp;"'!$B$14"),"")))</f>
        <v/>
      </c>
      <c r="R16" s="151" t="str" cm="1">
        <f t="array" aca="1" ref="R16" ca="1">IF(LEFT(R$6,4)="Bond","N/A",IF(LEFT(R$6,4)="PAYG","N/A",IF(LEFT(R$6,4)="Loan",INDIRECT("'"&amp;R$6&amp;"'!$B$14"),"")))</f>
        <v/>
      </c>
      <c r="S16" s="151" t="str" cm="1">
        <f t="array" aca="1" ref="S16" ca="1">IF(LEFT(S$6,4)="Bond","N/A",IF(LEFT(S$6,4)="PAYG","N/A",IF(LEFT(S$6,4)="Loan",INDIRECT("'"&amp;S$6&amp;"'!$B$14"),"")))</f>
        <v/>
      </c>
      <c r="T16" s="151" t="str" cm="1">
        <f t="array" aca="1" ref="T16" ca="1">IF(LEFT(T$6,4)="Bond","N/A",IF(LEFT(T$6,4)="PAYG","N/A",IF(LEFT(T$6,4)="Loan",INDIRECT("'"&amp;T$6&amp;"'!$B$14"),"")))</f>
        <v/>
      </c>
      <c r="U16" s="151" t="str" cm="1">
        <f t="array" aca="1" ref="U16" ca="1">IF(LEFT(U$6,4)="Bond","N/A",IF(LEFT(U$6,4)="PAYG","N/A",IF(LEFT(U$6,4)="Loan",INDIRECT("'"&amp;U$6&amp;"'!$B$14"),"")))</f>
        <v/>
      </c>
      <c r="V16" s="151" t="str" cm="1">
        <f t="array" aca="1" ref="V16" ca="1">IF(LEFT(V$6,4)="Bond","N/A",IF(LEFT(V$6,4)="PAYG","N/A",IF(LEFT(V$6,4)="Loan",INDIRECT("'"&amp;V$6&amp;"'!$B$14"),"")))</f>
        <v/>
      </c>
      <c r="W16" s="151" t="str" cm="1">
        <f t="array" aca="1" ref="W16" ca="1">IF(LEFT(W$6,4)="Bond","N/A",IF(LEFT(W$6,4)="PAYG","N/A",IF(LEFT(W$6,4)="Loan",INDIRECT("'"&amp;W$6&amp;"'!$B$14"),"")))</f>
        <v/>
      </c>
      <c r="X16" s="151" t="str" cm="1">
        <f t="array" aca="1" ref="X16" ca="1">IF(LEFT(X$6,4)="Bond","N/A",IF(LEFT(X$6,4)="PAYG","N/A",IF(LEFT(X$6,4)="Loan",INDIRECT("'"&amp;X$6&amp;"'!$B$14"),"")))</f>
        <v/>
      </c>
      <c r="Y16" s="151" t="str" cm="1">
        <f t="array" aca="1" ref="Y16" ca="1">IF(LEFT(Y$6,4)="Bond","N/A",IF(LEFT(Y$6,4)="PAYG","N/A",IF(LEFT(Y$6,4)="Loan",INDIRECT("'"&amp;Y$6&amp;"'!$B$14"),"")))</f>
        <v/>
      </c>
      <c r="Z16" s="151" t="str" cm="1">
        <f t="array" aca="1" ref="Z16" ca="1">IF(LEFT(Z$6,4)="Bond","N/A",IF(LEFT(Z$6,4)="PAYG","N/A",IF(LEFT(Z$6,4)="Loan",INDIRECT("'"&amp;Z$6&amp;"'!$B$14"),"")))</f>
        <v/>
      </c>
      <c r="AA16" s="151" t="str" cm="1">
        <f t="array" aca="1" ref="AA16" ca="1">IF(LEFT(AA$6,4)="Bond","N/A",IF(LEFT(AA$6,4)="PAYG","N/A",IF(LEFT(AA$6,4)="Loan",INDIRECT("'"&amp;AA$6&amp;"'!$B$14"),"")))</f>
        <v/>
      </c>
      <c r="AB16" s="151" t="str" cm="1">
        <f t="array" aca="1" ref="AB16" ca="1">IF(LEFT(AB$6,4)="Bond","N/A",IF(LEFT(AB$6,4)="PAYG","N/A",IF(LEFT(AB$6,4)="Loan",INDIRECT("'"&amp;AB$6&amp;"'!$B$14"),"")))</f>
        <v/>
      </c>
      <c r="AC16" s="151" t="str" cm="1">
        <f t="array" aca="1" ref="AC16" ca="1">IF(LEFT(AC$6,4)="Bond","N/A",IF(LEFT(AC$6,4)="PAYG","N/A",IF(LEFT(AC$6,4)="Loan",INDIRECT("'"&amp;AC$6&amp;"'!$B$14"),"")))</f>
        <v/>
      </c>
      <c r="AD16" s="151" t="str" cm="1">
        <f t="array" aca="1" ref="AD16" ca="1">IF(LEFT(AD$6,4)="Bond","N/A",IF(LEFT(AD$6,4)="PAYG","N/A",IF(LEFT(AD$6,4)="Loan",INDIRECT("'"&amp;AD$6&amp;"'!$B$14"),"")))</f>
        <v/>
      </c>
      <c r="AE16" s="151" t="str" cm="1">
        <f t="array" aca="1" ref="AE16" ca="1">IF(LEFT(AE$6,4)="Bond","N/A",IF(LEFT(AE$6,4)="PAYG","N/A",IF(LEFT(AE$6,4)="Loan",INDIRECT("'"&amp;AE$6&amp;"'!$B$14"),"")))</f>
        <v/>
      </c>
      <c r="AF16" s="151" t="str" cm="1">
        <f t="array" aca="1" ref="AF16" ca="1">IF(LEFT(AF$6,4)="Bond","N/A",IF(LEFT(AF$6,4)="PAYG","N/A",IF(LEFT(AF$6,4)="Loan",INDIRECT("'"&amp;AF$6&amp;"'!$B$14"),"")))</f>
        <v/>
      </c>
      <c r="AG16" s="151" t="str" cm="1">
        <f t="array" aca="1" ref="AG16" ca="1">IF(LEFT(AG$6,4)="Bond","N/A",IF(LEFT(AG$6,4)="PAYG","N/A",IF(LEFT(AG$6,4)="Loan",INDIRECT("'"&amp;AG$6&amp;"'!$B$14"),"")))</f>
        <v/>
      </c>
      <c r="AH16" s="151" t="str" cm="1">
        <f t="array" aca="1" ref="AH16" ca="1">IF(LEFT(AH$6,4)="Bond","N/A",IF(LEFT(AH$6,4)="PAYG","N/A",IF(LEFT(AH$6,4)="Loan",INDIRECT("'"&amp;AH$6&amp;"'!$B$14"),"")))</f>
        <v/>
      </c>
      <c r="AI16" s="151" t="str" cm="1">
        <f t="array" aca="1" ref="AI16" ca="1">IF(LEFT(AI$6,4)="Bond","N/A",IF(LEFT(AI$6,4)="PAYG","N/A",IF(LEFT(AI$6,4)="Loan",INDIRECT("'"&amp;AI$6&amp;"'!$B$14"),"")))</f>
        <v/>
      </c>
      <c r="AJ16" s="151" t="str" cm="1">
        <f t="array" aca="1" ref="AJ16" ca="1">IF(LEFT(AJ$6,4)="Bond","N/A",IF(LEFT(AJ$6,4)="PAYG","N/A",IF(LEFT(AJ$6,4)="Loan",INDIRECT("'"&amp;AJ$6&amp;"'!$B$14"),"")))</f>
        <v/>
      </c>
      <c r="AK16" s="151" t="str" cm="1">
        <f t="array" aca="1" ref="AK16" ca="1">IF(LEFT(AK$6,4)="Bond","N/A",IF(LEFT(AK$6,4)="PAYG","N/A",IF(LEFT(AK$6,4)="Loan",INDIRECT("'"&amp;AK$6&amp;"'!$B$14"),"")))</f>
        <v/>
      </c>
      <c r="AL16" s="151" t="str" cm="1">
        <f t="array" aca="1" ref="AL16" ca="1">IF(LEFT(AL$6,4)="Bond","N/A",IF(LEFT(AL$6,4)="PAYG","N/A",IF(LEFT(AL$6,4)="Loan",INDIRECT("'"&amp;AL$6&amp;"'!$B$14"),"")))</f>
        <v/>
      </c>
      <c r="AM16" s="151" t="str" cm="1">
        <f t="array" aca="1" ref="AM16" ca="1">IF(LEFT(AM$6,4)="Bond","N/A",IF(LEFT(AM$6,4)="PAYG","N/A",IF(LEFT(AM$6,4)="Loan",INDIRECT("'"&amp;AM$6&amp;"'!$B$14"),"")))</f>
        <v/>
      </c>
      <c r="AN16" s="151" t="str" cm="1">
        <f t="array" aca="1" ref="AN16" ca="1">IF(LEFT(AN$6,4)="Bond","N/A",IF(LEFT(AN$6,4)="PAYG","N/A",IF(LEFT(AN$6,4)="Loan",INDIRECT("'"&amp;AN$6&amp;"'!$B$14"),"")))</f>
        <v/>
      </c>
      <c r="AO16" s="151" t="str" cm="1">
        <f t="array" aca="1" ref="AO16" ca="1">IF(LEFT(AO$6,4)="Bond","N/A",IF(LEFT(AO$6,4)="PAYG","N/A",IF(LEFT(AO$6,4)="Loan",INDIRECT("'"&amp;AO$6&amp;"'!$B$14"),"")))</f>
        <v/>
      </c>
      <c r="AP16" s="151" t="str" cm="1">
        <f t="array" aca="1" ref="AP16" ca="1">IF(LEFT(AP$6,4)="Bond","N/A",IF(LEFT(AP$6,4)="PAYG","N/A",IF(LEFT(AP$6,4)="Loan",INDIRECT("'"&amp;AP$6&amp;"'!$B$14"),"")))</f>
        <v/>
      </c>
      <c r="AQ16" s="151" t="str" cm="1">
        <f t="array" aca="1" ref="AQ16" ca="1">IF(LEFT(AQ$6,4)="Bond","N/A",IF(LEFT(AQ$6,4)="PAYG","N/A",IF(LEFT(AQ$6,4)="Loan",INDIRECT("'"&amp;AQ$6&amp;"'!$B$14"),"")))</f>
        <v/>
      </c>
      <c r="AR16" s="151" t="str" cm="1">
        <f t="array" aca="1" ref="AR16" ca="1">IF(LEFT(AR$6,4)="Bond","N/A",IF(LEFT(AR$6,4)="PAYG","N/A",IF(LEFT(AR$6,4)="Loan",INDIRECT("'"&amp;AR$6&amp;"'!$B$14"),"")))</f>
        <v/>
      </c>
      <c r="AS16" s="151" t="str" cm="1">
        <f t="array" aca="1" ref="AS16" ca="1">IF(LEFT(AS$6,4)="Bond","N/A",IF(LEFT(AS$6,4)="PAYG","N/A",IF(LEFT(AS$6,4)="Loan",INDIRECT("'"&amp;AS$6&amp;"'!$B$14"),"")))</f>
        <v/>
      </c>
      <c r="AT16" s="151" t="str" cm="1">
        <f t="array" aca="1" ref="AT16" ca="1">IF(LEFT(AT$6,4)="Bond","N/A",IF(LEFT(AT$6,4)="PAYG","N/A",IF(LEFT(AT$6,4)="Loan",INDIRECT("'"&amp;AT$6&amp;"'!$B$14"),"")))</f>
        <v/>
      </c>
    </row>
    <row r="17" spans="1:46" x14ac:dyDescent="0.25">
      <c r="A17" s="79" t="s">
        <v>250</v>
      </c>
      <c r="B17" s="151" t="str" cm="1">
        <f t="array" aca="1" ref="B17" ca="1">IF(LEFT(B$6,4)="Bond","N/A",IF(LEFT(B$6,4)="PAYG",INDIRECT("'"&amp;B$6&amp;"'!$B$12"),IF(LEFT(B$6,4)="Loan",INDIRECT("'"&amp;B$6&amp;"'!$B$15"),"")))</f>
        <v>N/A</v>
      </c>
      <c r="C17" s="151" cm="1">
        <f t="array" aca="1" ref="C17" ca="1">IF(LEFT(C$6,4)="Bond","N/A",IF(LEFT(C$6,4)="PAYG",INDIRECT("'"&amp;C$6&amp;"'!$B$12"),IF(LEFT(C$6,4)="Loan",INDIRECT("'"&amp;C$6&amp;"'!$B$15"),"")))</f>
        <v>268643</v>
      </c>
      <c r="D17" s="151" cm="1">
        <f t="array" aca="1" ref="D17" ca="1">IF(LEFT(D$6,4)="Bond","N/A",IF(LEFT(D$6,4)="PAYG",INDIRECT("'"&amp;D$6&amp;"'!$B$12"),IF(LEFT(D$6,4)="Loan",INDIRECT("'"&amp;D$6&amp;"'!$B$15"),"")))</f>
        <v>73125</v>
      </c>
      <c r="E17" s="151" cm="1">
        <f t="array" aca="1" ref="E17" ca="1">IF(LEFT(E$6,4)="Bond","N/A",IF(LEFT(E$6,4)="PAYG",INDIRECT("'"&amp;E$6&amp;"'!$B$12"),IF(LEFT(E$6,4)="Loan",INDIRECT("'"&amp;E$6&amp;"'!$B$15"),"")))</f>
        <v>1572222</v>
      </c>
      <c r="F17" s="151" t="str" cm="1">
        <f t="array" aca="1" ref="F17" ca="1">IF(LEFT(F$6,4)="Bond","N/A",IF(LEFT(F$6,4)="PAYG",INDIRECT("'"&amp;F$6&amp;"'!$B$12"),IF(LEFT(F$6,4)="Loan",INDIRECT("'"&amp;F$6&amp;"'!$B$15"),"")))</f>
        <v/>
      </c>
      <c r="G17" s="151" t="str" cm="1">
        <f t="array" aca="1" ref="G17" ca="1">IF(LEFT(G$6,4)="Bond","N/A",IF(LEFT(G$6,4)="PAYG",INDIRECT("'"&amp;G$6&amp;"'!$B$12"),IF(LEFT(G$6,4)="Loan",INDIRECT("'"&amp;G$6&amp;"'!$B$15"),"")))</f>
        <v/>
      </c>
      <c r="H17" s="151" t="str" cm="1">
        <f t="array" aca="1" ref="H17" ca="1">IF(LEFT(H$6,4)="Bond","N/A",IF(LEFT(H$6,4)="PAYG",INDIRECT("'"&amp;H$6&amp;"'!$B$12"),IF(LEFT(H$6,4)="Loan",INDIRECT("'"&amp;H$6&amp;"'!$B$15"),"")))</f>
        <v/>
      </c>
      <c r="I17" s="151" t="str" cm="1">
        <f t="array" aca="1" ref="I17" ca="1">IF(LEFT(I$6,4)="Bond","N/A",IF(LEFT(I$6,4)="PAYG",INDIRECT("'"&amp;I$6&amp;"'!$B$12"),IF(LEFT(I$6,4)="Loan",INDIRECT("'"&amp;I$6&amp;"'!$B$15"),"")))</f>
        <v/>
      </c>
      <c r="J17" s="151" t="str" cm="1">
        <f t="array" aca="1" ref="J17" ca="1">IF(LEFT(J$6,4)="Bond","N/A",IF(LEFT(J$6,4)="PAYG",INDIRECT("'"&amp;J$6&amp;"'!$B$12"),IF(LEFT(J$6,4)="Loan",INDIRECT("'"&amp;J$6&amp;"'!$B$15"),"")))</f>
        <v/>
      </c>
      <c r="K17" s="151" t="str" cm="1">
        <f t="array" aca="1" ref="K17" ca="1">IF(LEFT(K$6,4)="Bond","N/A",IF(LEFT(K$6,4)="PAYG",INDIRECT("'"&amp;K$6&amp;"'!$B$12"),IF(LEFT(K$6,4)="Loan",INDIRECT("'"&amp;K$6&amp;"'!$B$15"),"")))</f>
        <v/>
      </c>
      <c r="L17" s="151" t="str" cm="1">
        <f t="array" aca="1" ref="L17" ca="1">IF(LEFT(L$6,4)="Bond","N/A",IF(LEFT(L$6,4)="PAYG",INDIRECT("'"&amp;L$6&amp;"'!$B$12"),IF(LEFT(L$6,4)="Loan",INDIRECT("'"&amp;L$6&amp;"'!$B$15"),"")))</f>
        <v/>
      </c>
      <c r="M17" s="151" t="str" cm="1">
        <f t="array" aca="1" ref="M17" ca="1">IF(LEFT(M$6,4)="Bond","N/A",IF(LEFT(M$6,4)="PAYG",INDIRECT("'"&amp;M$6&amp;"'!$B$12"),IF(LEFT(M$6,4)="Loan",INDIRECT("'"&amp;M$6&amp;"'!$B$15"),"")))</f>
        <v/>
      </c>
      <c r="N17" s="151" t="str" cm="1">
        <f t="array" aca="1" ref="N17" ca="1">IF(LEFT(N$6,4)="Bond","N/A",IF(LEFT(N$6,4)="PAYG",INDIRECT("'"&amp;N$6&amp;"'!$B$12"),IF(LEFT(N$6,4)="Loan",INDIRECT("'"&amp;N$6&amp;"'!$B$15"),"")))</f>
        <v/>
      </c>
      <c r="O17" s="151" t="str" cm="1">
        <f t="array" aca="1" ref="O17" ca="1">IF(LEFT(O$6,4)="Bond","N/A",IF(LEFT(O$6,4)="PAYG",INDIRECT("'"&amp;O$6&amp;"'!$B$12"),IF(LEFT(O$6,4)="Loan",INDIRECT("'"&amp;O$6&amp;"'!$B$15"),"")))</f>
        <v/>
      </c>
      <c r="P17" s="151" t="str" cm="1">
        <f t="array" aca="1" ref="P17" ca="1">IF(LEFT(P$6,4)="Bond","N/A",IF(LEFT(P$6,4)="PAYG",INDIRECT("'"&amp;P$6&amp;"'!$B$12"),IF(LEFT(P$6,4)="Loan",INDIRECT("'"&amp;P$6&amp;"'!$B$15"),"")))</f>
        <v/>
      </c>
      <c r="Q17" s="151" t="str" cm="1">
        <f t="array" aca="1" ref="Q17" ca="1">IF(LEFT(Q$6,4)="Bond","N/A",IF(LEFT(Q$6,4)="PAYG",INDIRECT("'"&amp;Q$6&amp;"'!$B$12"),IF(LEFT(Q$6,4)="Loan",INDIRECT("'"&amp;Q$6&amp;"'!$B$15"),"")))</f>
        <v/>
      </c>
      <c r="R17" s="151" t="str" cm="1">
        <f t="array" aca="1" ref="R17" ca="1">IF(LEFT(R$6,4)="Bond","N/A",IF(LEFT(R$6,4)="PAYG",INDIRECT("'"&amp;R$6&amp;"'!$B$12"),IF(LEFT(R$6,4)="Loan",INDIRECT("'"&amp;R$6&amp;"'!$B$15"),"")))</f>
        <v/>
      </c>
      <c r="S17" s="151" t="str" cm="1">
        <f t="array" aca="1" ref="S17" ca="1">IF(LEFT(S$6,4)="Bond","N/A",IF(LEFT(S$6,4)="PAYG",INDIRECT("'"&amp;S$6&amp;"'!$B$12"),IF(LEFT(S$6,4)="Loan",INDIRECT("'"&amp;S$6&amp;"'!$B$15"),"")))</f>
        <v/>
      </c>
      <c r="T17" s="151" t="str" cm="1">
        <f t="array" aca="1" ref="T17" ca="1">IF(LEFT(T$6,4)="Bond","N/A",IF(LEFT(T$6,4)="PAYG",INDIRECT("'"&amp;T$6&amp;"'!$B$12"),IF(LEFT(T$6,4)="Loan",INDIRECT("'"&amp;T$6&amp;"'!$B$15"),"")))</f>
        <v/>
      </c>
      <c r="U17" s="151" t="str" cm="1">
        <f t="array" aca="1" ref="U17" ca="1">IF(LEFT(U$6,4)="Bond","N/A",IF(LEFT(U$6,4)="PAYG",INDIRECT("'"&amp;U$6&amp;"'!$B$12"),IF(LEFT(U$6,4)="Loan",INDIRECT("'"&amp;U$6&amp;"'!$B$15"),"")))</f>
        <v/>
      </c>
      <c r="V17" s="151" t="str" cm="1">
        <f t="array" aca="1" ref="V17" ca="1">IF(LEFT(V$6,4)="Bond","N/A",IF(LEFT(V$6,4)="PAYG",INDIRECT("'"&amp;V$6&amp;"'!$B$12"),IF(LEFT(V$6,4)="Loan",INDIRECT("'"&amp;V$6&amp;"'!$B$15"),"")))</f>
        <v/>
      </c>
      <c r="W17" s="151" t="str" cm="1">
        <f t="array" aca="1" ref="W17" ca="1">IF(LEFT(W$6,4)="Bond","N/A",IF(LEFT(W$6,4)="PAYG",INDIRECT("'"&amp;W$6&amp;"'!$B$12"),IF(LEFT(W$6,4)="Loan",INDIRECT("'"&amp;W$6&amp;"'!$B$15"),"")))</f>
        <v/>
      </c>
      <c r="X17" s="151" t="str" cm="1">
        <f t="array" aca="1" ref="X17" ca="1">IF(LEFT(X$6,4)="Bond","N/A",IF(LEFT(X$6,4)="PAYG",INDIRECT("'"&amp;X$6&amp;"'!$B$12"),IF(LEFT(X$6,4)="Loan",INDIRECT("'"&amp;X$6&amp;"'!$B$15"),"")))</f>
        <v/>
      </c>
      <c r="Y17" s="151" t="str" cm="1">
        <f t="array" aca="1" ref="Y17" ca="1">IF(LEFT(Y$6,4)="Bond","N/A",IF(LEFT(Y$6,4)="PAYG",INDIRECT("'"&amp;Y$6&amp;"'!$B$12"),IF(LEFT(Y$6,4)="Loan",INDIRECT("'"&amp;Y$6&amp;"'!$B$15"),"")))</f>
        <v/>
      </c>
      <c r="Z17" s="151" t="str" cm="1">
        <f t="array" aca="1" ref="Z17" ca="1">IF(LEFT(Z$6,4)="Bond","N/A",IF(LEFT(Z$6,4)="PAYG",INDIRECT("'"&amp;Z$6&amp;"'!$B$12"),IF(LEFT(Z$6,4)="Loan",INDIRECT("'"&amp;Z$6&amp;"'!$B$15"),"")))</f>
        <v/>
      </c>
      <c r="AA17" s="151" t="str" cm="1">
        <f t="array" aca="1" ref="AA17" ca="1">IF(LEFT(AA$6,4)="Bond","N/A",IF(LEFT(AA$6,4)="PAYG",INDIRECT("'"&amp;AA$6&amp;"'!$B$12"),IF(LEFT(AA$6,4)="Loan",INDIRECT("'"&amp;AA$6&amp;"'!$B$15"),"")))</f>
        <v/>
      </c>
      <c r="AB17" s="151" t="str" cm="1">
        <f t="array" aca="1" ref="AB17" ca="1">IF(LEFT(AB$6,4)="Bond","N/A",IF(LEFT(AB$6,4)="PAYG",INDIRECT("'"&amp;AB$6&amp;"'!$B$12"),IF(LEFT(AB$6,4)="Loan",INDIRECT("'"&amp;AB$6&amp;"'!$B$15"),"")))</f>
        <v/>
      </c>
      <c r="AC17" s="151" t="str" cm="1">
        <f t="array" aca="1" ref="AC17" ca="1">IF(LEFT(AC$6,4)="Bond","N/A",IF(LEFT(AC$6,4)="PAYG",INDIRECT("'"&amp;AC$6&amp;"'!$B$12"),IF(LEFT(AC$6,4)="Loan",INDIRECT("'"&amp;AC$6&amp;"'!$B$15"),"")))</f>
        <v/>
      </c>
      <c r="AD17" s="151" t="str" cm="1">
        <f t="array" aca="1" ref="AD17" ca="1">IF(LEFT(AD$6,4)="Bond","N/A",IF(LEFT(AD$6,4)="PAYG",INDIRECT("'"&amp;AD$6&amp;"'!$B$12"),IF(LEFT(AD$6,4)="Loan",INDIRECT("'"&amp;AD$6&amp;"'!$B$15"),"")))</f>
        <v/>
      </c>
      <c r="AE17" s="151" t="str" cm="1">
        <f t="array" aca="1" ref="AE17" ca="1">IF(LEFT(AE$6,4)="Bond","N/A",IF(LEFT(AE$6,4)="PAYG",INDIRECT("'"&amp;AE$6&amp;"'!$B$12"),IF(LEFT(AE$6,4)="Loan",INDIRECT("'"&amp;AE$6&amp;"'!$B$15"),"")))</f>
        <v/>
      </c>
      <c r="AF17" s="151" t="str" cm="1">
        <f t="array" aca="1" ref="AF17" ca="1">IF(LEFT(AF$6,4)="Bond","N/A",IF(LEFT(AF$6,4)="PAYG",INDIRECT("'"&amp;AF$6&amp;"'!$B$12"),IF(LEFT(AF$6,4)="Loan",INDIRECT("'"&amp;AF$6&amp;"'!$B$15"),"")))</f>
        <v/>
      </c>
      <c r="AG17" s="151" t="str" cm="1">
        <f t="array" aca="1" ref="AG17" ca="1">IF(LEFT(AG$6,4)="Bond","N/A",IF(LEFT(AG$6,4)="PAYG",INDIRECT("'"&amp;AG$6&amp;"'!$B$12"),IF(LEFT(AG$6,4)="Loan",INDIRECT("'"&amp;AG$6&amp;"'!$B$15"),"")))</f>
        <v/>
      </c>
      <c r="AH17" s="151" t="str" cm="1">
        <f t="array" aca="1" ref="AH17" ca="1">IF(LEFT(AH$6,4)="Bond","N/A",IF(LEFT(AH$6,4)="PAYG",INDIRECT("'"&amp;AH$6&amp;"'!$B$12"),IF(LEFT(AH$6,4)="Loan",INDIRECT("'"&amp;AH$6&amp;"'!$B$15"),"")))</f>
        <v/>
      </c>
      <c r="AI17" s="151" t="str" cm="1">
        <f t="array" aca="1" ref="AI17" ca="1">IF(LEFT(AI$6,4)="Bond","N/A",IF(LEFT(AI$6,4)="PAYG",INDIRECT("'"&amp;AI$6&amp;"'!$B$12"),IF(LEFT(AI$6,4)="Loan",INDIRECT("'"&amp;AI$6&amp;"'!$B$15"),"")))</f>
        <v/>
      </c>
      <c r="AJ17" s="151" t="str" cm="1">
        <f t="array" aca="1" ref="AJ17" ca="1">IF(LEFT(AJ$6,4)="Bond","N/A",IF(LEFT(AJ$6,4)="PAYG",INDIRECT("'"&amp;AJ$6&amp;"'!$B$12"),IF(LEFT(AJ$6,4)="Loan",INDIRECT("'"&amp;AJ$6&amp;"'!$B$15"),"")))</f>
        <v/>
      </c>
      <c r="AK17" s="151" t="str" cm="1">
        <f t="array" aca="1" ref="AK17" ca="1">IF(LEFT(AK$6,4)="Bond","N/A",IF(LEFT(AK$6,4)="PAYG",INDIRECT("'"&amp;AK$6&amp;"'!$B$12"),IF(LEFT(AK$6,4)="Loan",INDIRECT("'"&amp;AK$6&amp;"'!$B$15"),"")))</f>
        <v/>
      </c>
      <c r="AL17" s="151" t="str" cm="1">
        <f t="array" aca="1" ref="AL17" ca="1">IF(LEFT(AL$6,4)="Bond","N/A",IF(LEFT(AL$6,4)="PAYG",INDIRECT("'"&amp;AL$6&amp;"'!$B$12"),IF(LEFT(AL$6,4)="Loan",INDIRECT("'"&amp;AL$6&amp;"'!$B$15"),"")))</f>
        <v/>
      </c>
      <c r="AM17" s="151" t="str" cm="1">
        <f t="array" aca="1" ref="AM17" ca="1">IF(LEFT(AM$6,4)="Bond","N/A",IF(LEFT(AM$6,4)="PAYG",INDIRECT("'"&amp;AM$6&amp;"'!$B$12"),IF(LEFT(AM$6,4)="Loan",INDIRECT("'"&amp;AM$6&amp;"'!$B$15"),"")))</f>
        <v/>
      </c>
      <c r="AN17" s="151" t="str" cm="1">
        <f t="array" aca="1" ref="AN17" ca="1">IF(LEFT(AN$6,4)="Bond","N/A",IF(LEFT(AN$6,4)="PAYG",INDIRECT("'"&amp;AN$6&amp;"'!$B$12"),IF(LEFT(AN$6,4)="Loan",INDIRECT("'"&amp;AN$6&amp;"'!$B$15"),"")))</f>
        <v/>
      </c>
      <c r="AO17" s="151" t="str" cm="1">
        <f t="array" aca="1" ref="AO17" ca="1">IF(LEFT(AO$6,4)="Bond","N/A",IF(LEFT(AO$6,4)="PAYG",INDIRECT("'"&amp;AO$6&amp;"'!$B$12"),IF(LEFT(AO$6,4)="Loan",INDIRECT("'"&amp;AO$6&amp;"'!$B$15"),"")))</f>
        <v/>
      </c>
      <c r="AP17" s="151" t="str" cm="1">
        <f t="array" aca="1" ref="AP17" ca="1">IF(LEFT(AP$6,4)="Bond","N/A",IF(LEFT(AP$6,4)="PAYG",INDIRECT("'"&amp;AP$6&amp;"'!$B$12"),IF(LEFT(AP$6,4)="Loan",INDIRECT("'"&amp;AP$6&amp;"'!$B$15"),"")))</f>
        <v/>
      </c>
      <c r="AQ17" s="151" t="str" cm="1">
        <f t="array" aca="1" ref="AQ17" ca="1">IF(LEFT(AQ$6,4)="Bond","N/A",IF(LEFT(AQ$6,4)="PAYG",INDIRECT("'"&amp;AQ$6&amp;"'!$B$12"),IF(LEFT(AQ$6,4)="Loan",INDIRECT("'"&amp;AQ$6&amp;"'!$B$15"),"")))</f>
        <v/>
      </c>
      <c r="AR17" s="151" t="str" cm="1">
        <f t="array" aca="1" ref="AR17" ca="1">IF(LEFT(AR$6,4)="Bond","N/A",IF(LEFT(AR$6,4)="PAYG",INDIRECT("'"&amp;AR$6&amp;"'!$B$12"),IF(LEFT(AR$6,4)="Loan",INDIRECT("'"&amp;AR$6&amp;"'!$B$15"),"")))</f>
        <v/>
      </c>
      <c r="AS17" s="151" t="str" cm="1">
        <f t="array" aca="1" ref="AS17" ca="1">IF(LEFT(AS$6,4)="Bond","N/A",IF(LEFT(AS$6,4)="PAYG",INDIRECT("'"&amp;AS$6&amp;"'!$B$12"),IF(LEFT(AS$6,4)="Loan",INDIRECT("'"&amp;AS$6&amp;"'!$B$15"),"")))</f>
        <v/>
      </c>
      <c r="AT17" s="151" t="str" cm="1">
        <f t="array" aca="1" ref="AT17" ca="1">IF(LEFT(AT$6,4)="Bond","N/A",IF(LEFT(AT$6,4)="PAYG",INDIRECT("'"&amp;AT$6&amp;"'!$B$12"),IF(LEFT(AT$6,4)="Loan",INDIRECT("'"&amp;AT$6&amp;"'!$B$15"),"")))</f>
        <v/>
      </c>
    </row>
    <row r="18" spans="1:46" x14ac:dyDescent="0.25">
      <c r="A18" s="79" t="s">
        <v>998</v>
      </c>
      <c r="B18" s="151" t="str" cm="1">
        <f t="array" aca="1" ref="B18" ca="1">IF(LEFT(B$6,4)="Bond","N/A",IF(LEFT(B$6,4)="PAYG","N/A",IF(LEFT(B$6,4)="Loan",INDIRECT("'"&amp;B$6&amp;"'!$B$18"),"")))</f>
        <v>N/A</v>
      </c>
      <c r="C18" s="151" t="str" cm="1">
        <f t="array" aca="1" ref="C18" ca="1">IF(LEFT(C$6,4)="Bond","N/A",IF(LEFT(C$6,4)="PAYG","N/A",IF(LEFT(C$6,4)="Loan",INDIRECT("'"&amp;C$6&amp;"'!$B$18"),"")))</f>
        <v>N/A</v>
      </c>
      <c r="D18" s="151" t="str" cm="1">
        <f t="array" aca="1" ref="D18" ca="1">IF(LEFT(D$6,4)="Bond","N/A",IF(LEFT(D$6,4)="PAYG","N/A",IF(LEFT(D$6,4)="Loan",INDIRECT("'"&amp;D$6&amp;"'!$B$18"),"")))</f>
        <v>N/A</v>
      </c>
      <c r="E18" s="151" t="str" cm="1">
        <f t="array" aca="1" ref="E18" ca="1">IF(LEFT(E$6,4)="Bond","N/A",IF(LEFT(E$6,4)="PAYG","N/A",IF(LEFT(E$6,4)="Loan",INDIRECT("'"&amp;E$6&amp;"'!$B$18"),"")))</f>
        <v>Prior Years</v>
      </c>
      <c r="F18" s="151" t="str" cm="1">
        <f t="array" aca="1" ref="F18" ca="1">IF(LEFT(F$6,4)="Bond","N/A",IF(LEFT(F$6,4)="PAYG","N/A",IF(LEFT(F$6,4)="Loan",INDIRECT("'"&amp;F$6&amp;"'!$B$18"),"")))</f>
        <v/>
      </c>
      <c r="G18" s="151" t="str" cm="1">
        <f t="array" aca="1" ref="G18" ca="1">IF(LEFT(G$6,4)="Bond","N/A",IF(LEFT(G$6,4)="PAYG","N/A",IF(LEFT(G$6,4)="Loan",INDIRECT("'"&amp;G$6&amp;"'!$B$18"),"")))</f>
        <v/>
      </c>
      <c r="H18" s="151" t="str" cm="1">
        <f t="array" aca="1" ref="H18" ca="1">IF(LEFT(H$6,4)="Bond","N/A",IF(LEFT(H$6,4)="PAYG","N/A",IF(LEFT(H$6,4)="Loan",INDIRECT("'"&amp;H$6&amp;"'!$B$18"),"")))</f>
        <v/>
      </c>
      <c r="I18" s="151" t="str" cm="1">
        <f t="array" aca="1" ref="I18" ca="1">IF(LEFT(I$6,4)="Bond","N/A",IF(LEFT(I$6,4)="PAYG","N/A",IF(LEFT(I$6,4)="Loan",INDIRECT("'"&amp;I$6&amp;"'!$B$18"),"")))</f>
        <v/>
      </c>
      <c r="J18" s="151" t="str" cm="1">
        <f t="array" aca="1" ref="J18" ca="1">IF(LEFT(J$6,4)="Bond","N/A",IF(LEFT(J$6,4)="PAYG","N/A",IF(LEFT(J$6,4)="Loan",INDIRECT("'"&amp;J$6&amp;"'!$B$18"),"")))</f>
        <v/>
      </c>
      <c r="K18" s="151" t="str" cm="1">
        <f t="array" aca="1" ref="K18" ca="1">IF(LEFT(K$6,4)="Bond","N/A",IF(LEFT(K$6,4)="PAYG","N/A",IF(LEFT(K$6,4)="Loan",INDIRECT("'"&amp;K$6&amp;"'!$B$18"),"")))</f>
        <v/>
      </c>
      <c r="L18" s="151" t="str" cm="1">
        <f t="array" aca="1" ref="L18" ca="1">IF(LEFT(L$6,4)="Bond","N/A",IF(LEFT(L$6,4)="PAYG","N/A",IF(LEFT(L$6,4)="Loan",INDIRECT("'"&amp;L$6&amp;"'!$B$18"),"")))</f>
        <v/>
      </c>
      <c r="M18" s="151" t="str" cm="1">
        <f t="array" aca="1" ref="M18" ca="1">IF(LEFT(M$6,4)="Bond","N/A",IF(LEFT(M$6,4)="PAYG","N/A",IF(LEFT(M$6,4)="Loan",INDIRECT("'"&amp;M$6&amp;"'!$B$18"),"")))</f>
        <v/>
      </c>
      <c r="N18" s="151" t="str" cm="1">
        <f t="array" aca="1" ref="N18" ca="1">IF(LEFT(N$6,4)="Bond","N/A",IF(LEFT(N$6,4)="PAYG","N/A",IF(LEFT(N$6,4)="Loan",INDIRECT("'"&amp;N$6&amp;"'!$B$18"),"")))</f>
        <v/>
      </c>
      <c r="O18" s="151" t="str" cm="1">
        <f t="array" aca="1" ref="O18" ca="1">IF(LEFT(O$6,4)="Bond","N/A",IF(LEFT(O$6,4)="PAYG","N/A",IF(LEFT(O$6,4)="Loan",INDIRECT("'"&amp;O$6&amp;"'!$B$18"),"")))</f>
        <v/>
      </c>
      <c r="P18" s="151" t="str" cm="1">
        <f t="array" aca="1" ref="P18" ca="1">IF(LEFT(P$6,4)="Bond","N/A",IF(LEFT(P$6,4)="PAYG","N/A",IF(LEFT(P$6,4)="Loan",INDIRECT("'"&amp;P$6&amp;"'!$B$18"),"")))</f>
        <v/>
      </c>
      <c r="Q18" s="151" t="str" cm="1">
        <f t="array" aca="1" ref="Q18" ca="1">IF(LEFT(Q$6,4)="Bond","N/A",IF(LEFT(Q$6,4)="PAYG","N/A",IF(LEFT(Q$6,4)="Loan",INDIRECT("'"&amp;Q$6&amp;"'!$B$18"),"")))</f>
        <v/>
      </c>
      <c r="R18" s="151" t="str" cm="1">
        <f t="array" aca="1" ref="R18" ca="1">IF(LEFT(R$6,4)="Bond","N/A",IF(LEFT(R$6,4)="PAYG","N/A",IF(LEFT(R$6,4)="Loan",INDIRECT("'"&amp;R$6&amp;"'!$B$18"),"")))</f>
        <v/>
      </c>
      <c r="S18" s="151" t="str" cm="1">
        <f t="array" aca="1" ref="S18" ca="1">IF(LEFT(S$6,4)="Bond","N/A",IF(LEFT(S$6,4)="PAYG","N/A",IF(LEFT(S$6,4)="Loan",INDIRECT("'"&amp;S$6&amp;"'!$B$18"),"")))</f>
        <v/>
      </c>
      <c r="T18" s="151" t="str" cm="1">
        <f t="array" aca="1" ref="T18" ca="1">IF(LEFT(T$6,4)="Bond","N/A",IF(LEFT(T$6,4)="PAYG","N/A",IF(LEFT(T$6,4)="Loan",INDIRECT("'"&amp;T$6&amp;"'!$B$18"),"")))</f>
        <v/>
      </c>
      <c r="U18" s="151" t="str" cm="1">
        <f t="array" aca="1" ref="U18" ca="1">IF(LEFT(U$6,4)="Bond","N/A",IF(LEFT(U$6,4)="PAYG","N/A",IF(LEFT(U$6,4)="Loan",INDIRECT("'"&amp;U$6&amp;"'!$B$18"),"")))</f>
        <v/>
      </c>
      <c r="V18" s="151" t="str" cm="1">
        <f t="array" aca="1" ref="V18" ca="1">IF(LEFT(V$6,4)="Bond","N/A",IF(LEFT(V$6,4)="PAYG","N/A",IF(LEFT(V$6,4)="Loan",INDIRECT("'"&amp;V$6&amp;"'!$B$18"),"")))</f>
        <v/>
      </c>
      <c r="W18" s="151" t="str" cm="1">
        <f t="array" aca="1" ref="W18" ca="1">IF(LEFT(W$6,4)="Bond","N/A",IF(LEFT(W$6,4)="PAYG","N/A",IF(LEFT(W$6,4)="Loan",INDIRECT("'"&amp;W$6&amp;"'!$B$18"),"")))</f>
        <v/>
      </c>
      <c r="X18" s="151" t="str" cm="1">
        <f t="array" aca="1" ref="X18" ca="1">IF(LEFT(X$6,4)="Bond","N/A",IF(LEFT(X$6,4)="PAYG","N/A",IF(LEFT(X$6,4)="Loan",INDIRECT("'"&amp;X$6&amp;"'!$B$18"),"")))</f>
        <v/>
      </c>
      <c r="Y18" s="151" t="str" cm="1">
        <f t="array" aca="1" ref="Y18" ca="1">IF(LEFT(Y$6,4)="Bond","N/A",IF(LEFT(Y$6,4)="PAYG","N/A",IF(LEFT(Y$6,4)="Loan",INDIRECT("'"&amp;Y$6&amp;"'!$B$18"),"")))</f>
        <v/>
      </c>
      <c r="Z18" s="151" t="str" cm="1">
        <f t="array" aca="1" ref="Z18" ca="1">IF(LEFT(Z$6,4)="Bond","N/A",IF(LEFT(Z$6,4)="PAYG","N/A",IF(LEFT(Z$6,4)="Loan",INDIRECT("'"&amp;Z$6&amp;"'!$B$18"),"")))</f>
        <v/>
      </c>
      <c r="AA18" s="151" t="str" cm="1">
        <f t="array" aca="1" ref="AA18" ca="1">IF(LEFT(AA$6,4)="Bond","N/A",IF(LEFT(AA$6,4)="PAYG","N/A",IF(LEFT(AA$6,4)="Loan",INDIRECT("'"&amp;AA$6&amp;"'!$B$18"),"")))</f>
        <v/>
      </c>
      <c r="AB18" s="151" t="str" cm="1">
        <f t="array" aca="1" ref="AB18" ca="1">IF(LEFT(AB$6,4)="Bond","N/A",IF(LEFT(AB$6,4)="PAYG","N/A",IF(LEFT(AB$6,4)="Loan",INDIRECT("'"&amp;AB$6&amp;"'!$B$18"),"")))</f>
        <v/>
      </c>
      <c r="AC18" s="151" t="str" cm="1">
        <f t="array" aca="1" ref="AC18" ca="1">IF(LEFT(AC$6,4)="Bond","N/A",IF(LEFT(AC$6,4)="PAYG","N/A",IF(LEFT(AC$6,4)="Loan",INDIRECT("'"&amp;AC$6&amp;"'!$B$18"),"")))</f>
        <v/>
      </c>
      <c r="AD18" s="151" t="str" cm="1">
        <f t="array" aca="1" ref="AD18" ca="1">IF(LEFT(AD$6,4)="Bond","N/A",IF(LEFT(AD$6,4)="PAYG","N/A",IF(LEFT(AD$6,4)="Loan",INDIRECT("'"&amp;AD$6&amp;"'!$B$18"),"")))</f>
        <v/>
      </c>
      <c r="AE18" s="151" t="str" cm="1">
        <f t="array" aca="1" ref="AE18" ca="1">IF(LEFT(AE$6,4)="Bond","N/A",IF(LEFT(AE$6,4)="PAYG","N/A",IF(LEFT(AE$6,4)="Loan",INDIRECT("'"&amp;AE$6&amp;"'!$B$18"),"")))</f>
        <v/>
      </c>
      <c r="AF18" s="151" t="str" cm="1">
        <f t="array" aca="1" ref="AF18" ca="1">IF(LEFT(AF$6,4)="Bond","N/A",IF(LEFT(AF$6,4)="PAYG","N/A",IF(LEFT(AF$6,4)="Loan",INDIRECT("'"&amp;AF$6&amp;"'!$B$18"),"")))</f>
        <v/>
      </c>
      <c r="AG18" s="151" t="str" cm="1">
        <f t="array" aca="1" ref="AG18" ca="1">IF(LEFT(AG$6,4)="Bond","N/A",IF(LEFT(AG$6,4)="PAYG","N/A",IF(LEFT(AG$6,4)="Loan",INDIRECT("'"&amp;AG$6&amp;"'!$B$18"),"")))</f>
        <v/>
      </c>
      <c r="AH18" s="151" t="str" cm="1">
        <f t="array" aca="1" ref="AH18" ca="1">IF(LEFT(AH$6,4)="Bond","N/A",IF(LEFT(AH$6,4)="PAYG","N/A",IF(LEFT(AH$6,4)="Loan",INDIRECT("'"&amp;AH$6&amp;"'!$B$18"),"")))</f>
        <v/>
      </c>
      <c r="AI18" s="151" t="str" cm="1">
        <f t="array" aca="1" ref="AI18" ca="1">IF(LEFT(AI$6,4)="Bond","N/A",IF(LEFT(AI$6,4)="PAYG","N/A",IF(LEFT(AI$6,4)="Loan",INDIRECT("'"&amp;AI$6&amp;"'!$B$18"),"")))</f>
        <v/>
      </c>
      <c r="AJ18" s="151" t="str" cm="1">
        <f t="array" aca="1" ref="AJ18" ca="1">IF(LEFT(AJ$6,4)="Bond","N/A",IF(LEFT(AJ$6,4)="PAYG","N/A",IF(LEFT(AJ$6,4)="Loan",INDIRECT("'"&amp;AJ$6&amp;"'!$B$18"),"")))</f>
        <v/>
      </c>
      <c r="AK18" s="151" t="str" cm="1">
        <f t="array" aca="1" ref="AK18" ca="1">IF(LEFT(AK$6,4)="Bond","N/A",IF(LEFT(AK$6,4)="PAYG","N/A",IF(LEFT(AK$6,4)="Loan",INDIRECT("'"&amp;AK$6&amp;"'!$B$18"),"")))</f>
        <v/>
      </c>
      <c r="AL18" s="151" t="str" cm="1">
        <f t="array" aca="1" ref="AL18" ca="1">IF(LEFT(AL$6,4)="Bond","N/A",IF(LEFT(AL$6,4)="PAYG","N/A",IF(LEFT(AL$6,4)="Loan",INDIRECT("'"&amp;AL$6&amp;"'!$B$18"),"")))</f>
        <v/>
      </c>
      <c r="AM18" s="151" t="str" cm="1">
        <f t="array" aca="1" ref="AM18" ca="1">IF(LEFT(AM$6,4)="Bond","N/A",IF(LEFT(AM$6,4)="PAYG","N/A",IF(LEFT(AM$6,4)="Loan",INDIRECT("'"&amp;AM$6&amp;"'!$B$18"),"")))</f>
        <v/>
      </c>
      <c r="AN18" s="151" t="str" cm="1">
        <f t="array" aca="1" ref="AN18" ca="1">IF(LEFT(AN$6,4)="Bond","N/A",IF(LEFT(AN$6,4)="PAYG","N/A",IF(LEFT(AN$6,4)="Loan",INDIRECT("'"&amp;AN$6&amp;"'!$B$18"),"")))</f>
        <v/>
      </c>
      <c r="AO18" s="151" t="str" cm="1">
        <f t="array" aca="1" ref="AO18" ca="1">IF(LEFT(AO$6,4)="Bond","N/A",IF(LEFT(AO$6,4)="PAYG","N/A",IF(LEFT(AO$6,4)="Loan",INDIRECT("'"&amp;AO$6&amp;"'!$B$18"),"")))</f>
        <v/>
      </c>
      <c r="AP18" s="151" t="str" cm="1">
        <f t="array" aca="1" ref="AP18" ca="1">IF(LEFT(AP$6,4)="Bond","N/A",IF(LEFT(AP$6,4)="PAYG","N/A",IF(LEFT(AP$6,4)="Loan",INDIRECT("'"&amp;AP$6&amp;"'!$B$18"),"")))</f>
        <v/>
      </c>
      <c r="AQ18" s="151" t="str" cm="1">
        <f t="array" aca="1" ref="AQ18" ca="1">IF(LEFT(AQ$6,4)="Bond","N/A",IF(LEFT(AQ$6,4)="PAYG","N/A",IF(LEFT(AQ$6,4)="Loan",INDIRECT("'"&amp;AQ$6&amp;"'!$B$18"),"")))</f>
        <v/>
      </c>
      <c r="AR18" s="151" t="str" cm="1">
        <f t="array" aca="1" ref="AR18" ca="1">IF(LEFT(AR$6,4)="Bond","N/A",IF(LEFT(AR$6,4)="PAYG","N/A",IF(LEFT(AR$6,4)="Loan",INDIRECT("'"&amp;AR$6&amp;"'!$B$18"),"")))</f>
        <v/>
      </c>
      <c r="AS18" s="151" t="str" cm="1">
        <f t="array" aca="1" ref="AS18" ca="1">IF(LEFT(AS$6,4)="Bond","N/A",IF(LEFT(AS$6,4)="PAYG","N/A",IF(LEFT(AS$6,4)="Loan",INDIRECT("'"&amp;AS$6&amp;"'!$B$18"),"")))</f>
        <v/>
      </c>
      <c r="AT18" s="151" t="str" cm="1">
        <f t="array" aca="1" ref="AT18" ca="1">IF(LEFT(AT$6,4)="Bond","N/A",IF(LEFT(AT$6,4)="PAYG","N/A",IF(LEFT(AT$6,4)="Loan",INDIRECT("'"&amp;AT$6&amp;"'!$B$18"),"")))</f>
        <v/>
      </c>
    </row>
    <row r="19" spans="1:46" x14ac:dyDescent="0.25">
      <c r="A19" s="79" t="str">
        <f>"Amount Drawn in "&amp;Year_DestinationYearID&amp;" (Loans only)"</f>
        <v>Amount Drawn in 2024 (Loans only)</v>
      </c>
      <c r="B19" s="151" t="str" cm="1">
        <f t="array" aca="1" ref="B19" ca="1">IF(LEFT(B$6,4)="Bond","N/A",IF(LEFT(B$6,4)="PAYG","N/A",IF(LEFT(B$6,4)="Loan",INDIRECT("'"&amp;B$6&amp;"'!$B$19"),"")))</f>
        <v>N/A</v>
      </c>
      <c r="C19" s="151" t="str" cm="1">
        <f t="array" aca="1" ref="C19" ca="1">IF(LEFT(C$6,4)="Bond","N/A",IF(LEFT(C$6,4)="PAYG","N/A",IF(LEFT(C$6,4)="Loan",INDIRECT("'"&amp;C$6&amp;"'!$B$19"),"")))</f>
        <v>N/A</v>
      </c>
      <c r="D19" s="151" t="str" cm="1">
        <f t="array" aca="1" ref="D19" ca="1">IF(LEFT(D$6,4)="Bond","N/A",IF(LEFT(D$6,4)="PAYG","N/A",IF(LEFT(D$6,4)="Loan",INDIRECT("'"&amp;D$6&amp;"'!$B$19"),"")))</f>
        <v>N/A</v>
      </c>
      <c r="E19" s="151" cm="1">
        <f t="array" aca="1" ref="E19" ca="1">IF(LEFT(E$6,4)="Bond","N/A",IF(LEFT(E$6,4)="PAYG","N/A",IF(LEFT(E$6,4)="Loan",INDIRECT("'"&amp;E$6&amp;"'!$B$19"),"")))</f>
        <v>0</v>
      </c>
      <c r="F19" s="151" t="str" cm="1">
        <f t="array" aca="1" ref="F19" ca="1">IF(LEFT(F$6,4)="Bond","N/A",IF(LEFT(F$6,4)="PAYG","N/A",IF(LEFT(F$6,4)="Loan",INDIRECT("'"&amp;F$6&amp;"'!$B$19"),"")))</f>
        <v/>
      </c>
      <c r="G19" s="151" t="str" cm="1">
        <f t="array" aca="1" ref="G19" ca="1">IF(LEFT(G$6,4)="Bond","N/A",IF(LEFT(G$6,4)="PAYG","N/A",IF(LEFT(G$6,4)="Loan",INDIRECT("'"&amp;G$6&amp;"'!$B$19"),"")))</f>
        <v/>
      </c>
      <c r="H19" s="151" t="str" cm="1">
        <f t="array" aca="1" ref="H19" ca="1">IF(LEFT(H$6,4)="Bond","N/A",IF(LEFT(H$6,4)="PAYG","N/A",IF(LEFT(H$6,4)="Loan",INDIRECT("'"&amp;H$6&amp;"'!$B$19"),"")))</f>
        <v/>
      </c>
      <c r="I19" s="151" t="str" cm="1">
        <f t="array" aca="1" ref="I19" ca="1">IF(LEFT(I$6,4)="Bond","N/A",IF(LEFT(I$6,4)="PAYG","N/A",IF(LEFT(I$6,4)="Loan",INDIRECT("'"&amp;I$6&amp;"'!$B$19"),"")))</f>
        <v/>
      </c>
      <c r="J19" s="151" t="str" cm="1">
        <f t="array" aca="1" ref="J19" ca="1">IF(LEFT(J$6,4)="Bond","N/A",IF(LEFT(J$6,4)="PAYG","N/A",IF(LEFT(J$6,4)="Loan",INDIRECT("'"&amp;J$6&amp;"'!$B$19"),"")))</f>
        <v/>
      </c>
      <c r="K19" s="151" t="str" cm="1">
        <f t="array" aca="1" ref="K19" ca="1">IF(LEFT(K$6,4)="Bond","N/A",IF(LEFT(K$6,4)="PAYG","N/A",IF(LEFT(K$6,4)="Loan",INDIRECT("'"&amp;K$6&amp;"'!$B$19"),"")))</f>
        <v/>
      </c>
      <c r="L19" s="151" t="str" cm="1">
        <f t="array" aca="1" ref="L19" ca="1">IF(LEFT(L$6,4)="Bond","N/A",IF(LEFT(L$6,4)="PAYG","N/A",IF(LEFT(L$6,4)="Loan",INDIRECT("'"&amp;L$6&amp;"'!$B$19"),"")))</f>
        <v/>
      </c>
      <c r="M19" s="151" t="str" cm="1">
        <f t="array" aca="1" ref="M19" ca="1">IF(LEFT(M$6,4)="Bond","N/A",IF(LEFT(M$6,4)="PAYG","N/A",IF(LEFT(M$6,4)="Loan",INDIRECT("'"&amp;M$6&amp;"'!$B$19"),"")))</f>
        <v/>
      </c>
      <c r="N19" s="151" t="str" cm="1">
        <f t="array" aca="1" ref="N19" ca="1">IF(LEFT(N$6,4)="Bond","N/A",IF(LEFT(N$6,4)="PAYG","N/A",IF(LEFT(N$6,4)="Loan",INDIRECT("'"&amp;N$6&amp;"'!$B$19"),"")))</f>
        <v/>
      </c>
      <c r="O19" s="151" t="str" cm="1">
        <f t="array" aca="1" ref="O19" ca="1">IF(LEFT(O$6,4)="Bond","N/A",IF(LEFT(O$6,4)="PAYG","N/A",IF(LEFT(O$6,4)="Loan",INDIRECT("'"&amp;O$6&amp;"'!$B$19"),"")))</f>
        <v/>
      </c>
      <c r="P19" s="151" t="str" cm="1">
        <f t="array" aca="1" ref="P19" ca="1">IF(LEFT(P$6,4)="Bond","N/A",IF(LEFT(P$6,4)="PAYG","N/A",IF(LEFT(P$6,4)="Loan",INDIRECT("'"&amp;P$6&amp;"'!$B$19"),"")))</f>
        <v/>
      </c>
      <c r="Q19" s="151" t="str" cm="1">
        <f t="array" aca="1" ref="Q19" ca="1">IF(LEFT(Q$6,4)="Bond","N/A",IF(LEFT(Q$6,4)="PAYG","N/A",IF(LEFT(Q$6,4)="Loan",INDIRECT("'"&amp;Q$6&amp;"'!$B$19"),"")))</f>
        <v/>
      </c>
      <c r="R19" s="151" t="str" cm="1">
        <f t="array" aca="1" ref="R19" ca="1">IF(LEFT(R$6,4)="Bond","N/A",IF(LEFT(R$6,4)="PAYG","N/A",IF(LEFT(R$6,4)="Loan",INDIRECT("'"&amp;R$6&amp;"'!$B$19"),"")))</f>
        <v/>
      </c>
      <c r="S19" s="151" t="str" cm="1">
        <f t="array" aca="1" ref="S19" ca="1">IF(LEFT(S$6,4)="Bond","N/A",IF(LEFT(S$6,4)="PAYG","N/A",IF(LEFT(S$6,4)="Loan",INDIRECT("'"&amp;S$6&amp;"'!$B$19"),"")))</f>
        <v/>
      </c>
      <c r="T19" s="151" t="str" cm="1">
        <f t="array" aca="1" ref="T19" ca="1">IF(LEFT(T$6,4)="Bond","N/A",IF(LEFT(T$6,4)="PAYG","N/A",IF(LEFT(T$6,4)="Loan",INDIRECT("'"&amp;T$6&amp;"'!$B$19"),"")))</f>
        <v/>
      </c>
      <c r="U19" s="151" t="str" cm="1">
        <f t="array" aca="1" ref="U19" ca="1">IF(LEFT(U$6,4)="Bond","N/A",IF(LEFT(U$6,4)="PAYG","N/A",IF(LEFT(U$6,4)="Loan",INDIRECT("'"&amp;U$6&amp;"'!$B$19"),"")))</f>
        <v/>
      </c>
      <c r="V19" s="151" t="str" cm="1">
        <f t="array" aca="1" ref="V19" ca="1">IF(LEFT(V$6,4)="Bond","N/A",IF(LEFT(V$6,4)="PAYG","N/A",IF(LEFT(V$6,4)="Loan",INDIRECT("'"&amp;V$6&amp;"'!$B$19"),"")))</f>
        <v/>
      </c>
      <c r="W19" s="151" t="str" cm="1">
        <f t="array" aca="1" ref="W19" ca="1">IF(LEFT(W$6,4)="Bond","N/A",IF(LEFT(W$6,4)="PAYG","N/A",IF(LEFT(W$6,4)="Loan",INDIRECT("'"&amp;W$6&amp;"'!$B$19"),"")))</f>
        <v/>
      </c>
      <c r="X19" s="151" t="str" cm="1">
        <f t="array" aca="1" ref="X19" ca="1">IF(LEFT(X$6,4)="Bond","N/A",IF(LEFT(X$6,4)="PAYG","N/A",IF(LEFT(X$6,4)="Loan",INDIRECT("'"&amp;X$6&amp;"'!$B$19"),"")))</f>
        <v/>
      </c>
      <c r="Y19" s="151" t="str" cm="1">
        <f t="array" aca="1" ref="Y19" ca="1">IF(LEFT(Y$6,4)="Bond","N/A",IF(LEFT(Y$6,4)="PAYG","N/A",IF(LEFT(Y$6,4)="Loan",INDIRECT("'"&amp;Y$6&amp;"'!$B$19"),"")))</f>
        <v/>
      </c>
      <c r="Z19" s="151" t="str" cm="1">
        <f t="array" aca="1" ref="Z19" ca="1">IF(LEFT(Z$6,4)="Bond","N/A",IF(LEFT(Z$6,4)="PAYG","N/A",IF(LEFT(Z$6,4)="Loan",INDIRECT("'"&amp;Z$6&amp;"'!$B$19"),"")))</f>
        <v/>
      </c>
      <c r="AA19" s="151" t="str" cm="1">
        <f t="array" aca="1" ref="AA19" ca="1">IF(LEFT(AA$6,4)="Bond","N/A",IF(LEFT(AA$6,4)="PAYG","N/A",IF(LEFT(AA$6,4)="Loan",INDIRECT("'"&amp;AA$6&amp;"'!$B$19"),"")))</f>
        <v/>
      </c>
      <c r="AB19" s="151" t="str" cm="1">
        <f t="array" aca="1" ref="AB19" ca="1">IF(LEFT(AB$6,4)="Bond","N/A",IF(LEFT(AB$6,4)="PAYG","N/A",IF(LEFT(AB$6,4)="Loan",INDIRECT("'"&amp;AB$6&amp;"'!$B$19"),"")))</f>
        <v/>
      </c>
      <c r="AC19" s="151" t="str" cm="1">
        <f t="array" aca="1" ref="AC19" ca="1">IF(LEFT(AC$6,4)="Bond","N/A",IF(LEFT(AC$6,4)="PAYG","N/A",IF(LEFT(AC$6,4)="Loan",INDIRECT("'"&amp;AC$6&amp;"'!$B$19"),"")))</f>
        <v/>
      </c>
      <c r="AD19" s="151" t="str" cm="1">
        <f t="array" aca="1" ref="AD19" ca="1">IF(LEFT(AD$6,4)="Bond","N/A",IF(LEFT(AD$6,4)="PAYG","N/A",IF(LEFT(AD$6,4)="Loan",INDIRECT("'"&amp;AD$6&amp;"'!$B$19"),"")))</f>
        <v/>
      </c>
      <c r="AE19" s="151" t="str" cm="1">
        <f t="array" aca="1" ref="AE19" ca="1">IF(LEFT(AE$6,4)="Bond","N/A",IF(LEFT(AE$6,4)="PAYG","N/A",IF(LEFT(AE$6,4)="Loan",INDIRECT("'"&amp;AE$6&amp;"'!$B$19"),"")))</f>
        <v/>
      </c>
      <c r="AF19" s="151" t="str" cm="1">
        <f t="array" aca="1" ref="AF19" ca="1">IF(LEFT(AF$6,4)="Bond","N/A",IF(LEFT(AF$6,4)="PAYG","N/A",IF(LEFT(AF$6,4)="Loan",INDIRECT("'"&amp;AF$6&amp;"'!$B$19"),"")))</f>
        <v/>
      </c>
      <c r="AG19" s="151" t="str" cm="1">
        <f t="array" aca="1" ref="AG19" ca="1">IF(LEFT(AG$6,4)="Bond","N/A",IF(LEFT(AG$6,4)="PAYG","N/A",IF(LEFT(AG$6,4)="Loan",INDIRECT("'"&amp;AG$6&amp;"'!$B$19"),"")))</f>
        <v/>
      </c>
      <c r="AH19" s="151" t="str" cm="1">
        <f t="array" aca="1" ref="AH19" ca="1">IF(LEFT(AH$6,4)="Bond","N/A",IF(LEFT(AH$6,4)="PAYG","N/A",IF(LEFT(AH$6,4)="Loan",INDIRECT("'"&amp;AH$6&amp;"'!$B$19"),"")))</f>
        <v/>
      </c>
      <c r="AI19" s="151" t="str" cm="1">
        <f t="array" aca="1" ref="AI19" ca="1">IF(LEFT(AI$6,4)="Bond","N/A",IF(LEFT(AI$6,4)="PAYG","N/A",IF(LEFT(AI$6,4)="Loan",INDIRECT("'"&amp;AI$6&amp;"'!$B$19"),"")))</f>
        <v/>
      </c>
      <c r="AJ19" s="151" t="str" cm="1">
        <f t="array" aca="1" ref="AJ19" ca="1">IF(LEFT(AJ$6,4)="Bond","N/A",IF(LEFT(AJ$6,4)="PAYG","N/A",IF(LEFT(AJ$6,4)="Loan",INDIRECT("'"&amp;AJ$6&amp;"'!$B$19"),"")))</f>
        <v/>
      </c>
      <c r="AK19" s="151" t="str" cm="1">
        <f t="array" aca="1" ref="AK19" ca="1">IF(LEFT(AK$6,4)="Bond","N/A",IF(LEFT(AK$6,4)="PAYG","N/A",IF(LEFT(AK$6,4)="Loan",INDIRECT("'"&amp;AK$6&amp;"'!$B$19"),"")))</f>
        <v/>
      </c>
      <c r="AL19" s="151" t="str" cm="1">
        <f t="array" aca="1" ref="AL19" ca="1">IF(LEFT(AL$6,4)="Bond","N/A",IF(LEFT(AL$6,4)="PAYG","N/A",IF(LEFT(AL$6,4)="Loan",INDIRECT("'"&amp;AL$6&amp;"'!$B$19"),"")))</f>
        <v/>
      </c>
      <c r="AM19" s="151" t="str" cm="1">
        <f t="array" aca="1" ref="AM19" ca="1">IF(LEFT(AM$6,4)="Bond","N/A",IF(LEFT(AM$6,4)="PAYG","N/A",IF(LEFT(AM$6,4)="Loan",INDIRECT("'"&amp;AM$6&amp;"'!$B$19"),"")))</f>
        <v/>
      </c>
      <c r="AN19" s="151" t="str" cm="1">
        <f t="array" aca="1" ref="AN19" ca="1">IF(LEFT(AN$6,4)="Bond","N/A",IF(LEFT(AN$6,4)="PAYG","N/A",IF(LEFT(AN$6,4)="Loan",INDIRECT("'"&amp;AN$6&amp;"'!$B$19"),"")))</f>
        <v/>
      </c>
      <c r="AO19" s="151" t="str" cm="1">
        <f t="array" aca="1" ref="AO19" ca="1">IF(LEFT(AO$6,4)="Bond","N/A",IF(LEFT(AO$6,4)="PAYG","N/A",IF(LEFT(AO$6,4)="Loan",INDIRECT("'"&amp;AO$6&amp;"'!$B$19"),"")))</f>
        <v/>
      </c>
      <c r="AP19" s="151" t="str" cm="1">
        <f t="array" aca="1" ref="AP19" ca="1">IF(LEFT(AP$6,4)="Bond","N/A",IF(LEFT(AP$6,4)="PAYG","N/A",IF(LEFT(AP$6,4)="Loan",INDIRECT("'"&amp;AP$6&amp;"'!$B$19"),"")))</f>
        <v/>
      </c>
      <c r="AQ19" s="151" t="str" cm="1">
        <f t="array" aca="1" ref="AQ19" ca="1">IF(LEFT(AQ$6,4)="Bond","N/A",IF(LEFT(AQ$6,4)="PAYG","N/A",IF(LEFT(AQ$6,4)="Loan",INDIRECT("'"&amp;AQ$6&amp;"'!$B$19"),"")))</f>
        <v/>
      </c>
      <c r="AR19" s="151" t="str" cm="1">
        <f t="array" aca="1" ref="AR19" ca="1">IF(LEFT(AR$6,4)="Bond","N/A",IF(LEFT(AR$6,4)="PAYG","N/A",IF(LEFT(AR$6,4)="Loan",INDIRECT("'"&amp;AR$6&amp;"'!$B$19"),"")))</f>
        <v/>
      </c>
      <c r="AS19" s="151" t="str" cm="1">
        <f t="array" aca="1" ref="AS19" ca="1">IF(LEFT(AS$6,4)="Bond","N/A",IF(LEFT(AS$6,4)="PAYG","N/A",IF(LEFT(AS$6,4)="Loan",INDIRECT("'"&amp;AS$6&amp;"'!$B$19"),"")))</f>
        <v/>
      </c>
      <c r="AT19" s="151" t="str" cm="1">
        <f t="array" aca="1" ref="AT19" ca="1">IF(LEFT(AT$6,4)="Bond","N/A",IF(LEFT(AT$6,4)="PAYG","N/A",IF(LEFT(AT$6,4)="Loan",INDIRECT("'"&amp;AT$6&amp;"'!$B$19"),"")))</f>
        <v/>
      </c>
    </row>
    <row r="20" spans="1:46" x14ac:dyDescent="0.25">
      <c r="A20" s="79" t="s">
        <v>977</v>
      </c>
      <c r="B20" s="151" cm="1">
        <f t="array" aca="1" ref="B20" ca="1">IF(LEFT(B$6,4)="Bond",INDIRECT("'"&amp;B$6&amp;"'!$B$16"),IF(LEFT(B$6,4)="PAYG",INDIRECT("'"&amp;B$6&amp;"'!$B$21"),IF(LEFT(B$6,4)="Loan",INDIRECT("'"&amp;B$6&amp;"'!$B$20"),"")))</f>
        <v>350000</v>
      </c>
      <c r="C20" s="151" cm="1">
        <f t="array" aca="1" ref="C20" ca="1">IF(LEFT(C$6,4)="Bond",INDIRECT("'"&amp;C$6&amp;"'!$B$16"),IF(LEFT(C$6,4)="PAYG",INDIRECT("'"&amp;C$6&amp;"'!$B$21"),IF(LEFT(C$6,4)="Loan",INDIRECT("'"&amp;C$6&amp;"'!$B$20"),"")))</f>
        <v>268643</v>
      </c>
      <c r="D20" s="151" cm="1">
        <f t="array" aca="1" ref="D20" ca="1">IF(LEFT(D$6,4)="Bond",INDIRECT("'"&amp;D$6&amp;"'!$B$16"),IF(LEFT(D$6,4)="PAYG",INDIRECT("'"&amp;D$6&amp;"'!$B$21"),IF(LEFT(D$6,4)="Loan",INDIRECT("'"&amp;D$6&amp;"'!$B$20"),"")))</f>
        <v>73125</v>
      </c>
      <c r="E20" s="151" cm="1">
        <f t="array" aca="1" ref="E20" ca="1">IF(LEFT(E$6,4)="Bond",INDIRECT("'"&amp;E$6&amp;"'!$B$16"),IF(LEFT(E$6,4)="PAYG",INDIRECT("'"&amp;E$6&amp;"'!$B$21"),IF(LEFT(E$6,4)="Loan",INDIRECT("'"&amp;E$6&amp;"'!$B$20"),"")))</f>
        <v>0</v>
      </c>
      <c r="F20" s="151" t="str" cm="1">
        <f t="array" aca="1" ref="F20" ca="1">IF(LEFT(F$6,4)="Bond",INDIRECT("'"&amp;F$6&amp;"'!$B$16"),IF(LEFT(F$6,4)="PAYG",INDIRECT("'"&amp;F$6&amp;"'!$B$21"),IF(LEFT(F$6,4)="Loan",INDIRECT("'"&amp;F$6&amp;"'!$B$20"),"")))</f>
        <v/>
      </c>
      <c r="G20" s="151" t="str" cm="1">
        <f t="array" aca="1" ref="G20" ca="1">IF(LEFT(G$6,4)="Bond",INDIRECT("'"&amp;G$6&amp;"'!$B$16"),IF(LEFT(G$6,4)="PAYG",INDIRECT("'"&amp;G$6&amp;"'!$B$21"),IF(LEFT(G$6,4)="Loan",INDIRECT("'"&amp;G$6&amp;"'!$B$20"),"")))</f>
        <v/>
      </c>
      <c r="H20" s="151" t="str" cm="1">
        <f t="array" aca="1" ref="H20" ca="1">IF(LEFT(H$6,4)="Bond",INDIRECT("'"&amp;H$6&amp;"'!$B$16"),IF(LEFT(H$6,4)="PAYG",INDIRECT("'"&amp;H$6&amp;"'!$B$21"),IF(LEFT(H$6,4)="Loan",INDIRECT("'"&amp;H$6&amp;"'!$B$20"),"")))</f>
        <v/>
      </c>
      <c r="I20" s="151" t="str" cm="1">
        <f t="array" aca="1" ref="I20" ca="1">IF(LEFT(I$6,4)="Bond",INDIRECT("'"&amp;I$6&amp;"'!$B$16"),IF(LEFT(I$6,4)="PAYG",INDIRECT("'"&amp;I$6&amp;"'!$B$21"),IF(LEFT(I$6,4)="Loan",INDIRECT("'"&amp;I$6&amp;"'!$B$20"),"")))</f>
        <v/>
      </c>
      <c r="J20" s="151" t="str" cm="1">
        <f t="array" aca="1" ref="J20" ca="1">IF(LEFT(J$6,4)="Bond",INDIRECT("'"&amp;J$6&amp;"'!$B$16"),IF(LEFT(J$6,4)="PAYG",INDIRECT("'"&amp;J$6&amp;"'!$B$21"),IF(LEFT(J$6,4)="Loan",INDIRECT("'"&amp;J$6&amp;"'!$B$20"),"")))</f>
        <v/>
      </c>
      <c r="K20" s="151" t="str" cm="1">
        <f t="array" aca="1" ref="K20" ca="1">IF(LEFT(K$6,4)="Bond",INDIRECT("'"&amp;K$6&amp;"'!$B$16"),IF(LEFT(K$6,4)="PAYG",INDIRECT("'"&amp;K$6&amp;"'!$B$21"),IF(LEFT(K$6,4)="Loan",INDIRECT("'"&amp;K$6&amp;"'!$B$20"),"")))</f>
        <v/>
      </c>
      <c r="L20" s="151" t="str" cm="1">
        <f t="array" aca="1" ref="L20" ca="1">IF(LEFT(L$6,4)="Bond",INDIRECT("'"&amp;L$6&amp;"'!$B$16"),IF(LEFT(L$6,4)="PAYG",INDIRECT("'"&amp;L$6&amp;"'!$B$21"),IF(LEFT(L$6,4)="Loan",INDIRECT("'"&amp;L$6&amp;"'!$B$20"),"")))</f>
        <v/>
      </c>
      <c r="M20" s="151" t="str" cm="1">
        <f t="array" aca="1" ref="M20" ca="1">IF(LEFT(M$6,4)="Bond",INDIRECT("'"&amp;M$6&amp;"'!$B$16"),IF(LEFT(M$6,4)="PAYG",INDIRECT("'"&amp;M$6&amp;"'!$B$21"),IF(LEFT(M$6,4)="Loan",INDIRECT("'"&amp;M$6&amp;"'!$B$20"),"")))</f>
        <v/>
      </c>
      <c r="N20" s="151" t="str" cm="1">
        <f t="array" aca="1" ref="N20" ca="1">IF(LEFT(N$6,4)="Bond",INDIRECT("'"&amp;N$6&amp;"'!$B$16"),IF(LEFT(N$6,4)="PAYG",INDIRECT("'"&amp;N$6&amp;"'!$B$21"),IF(LEFT(N$6,4)="Loan",INDIRECT("'"&amp;N$6&amp;"'!$B$20"),"")))</f>
        <v/>
      </c>
      <c r="O20" s="151" t="str" cm="1">
        <f t="array" aca="1" ref="O20" ca="1">IF(LEFT(O$6,4)="Bond",INDIRECT("'"&amp;O$6&amp;"'!$B$16"),IF(LEFT(O$6,4)="PAYG",INDIRECT("'"&amp;O$6&amp;"'!$B$21"),IF(LEFT(O$6,4)="Loan",INDIRECT("'"&amp;O$6&amp;"'!$B$20"),"")))</f>
        <v/>
      </c>
      <c r="P20" s="151" t="str" cm="1">
        <f t="array" aca="1" ref="P20" ca="1">IF(LEFT(P$6,4)="Bond",INDIRECT("'"&amp;P$6&amp;"'!$B$16"),IF(LEFT(P$6,4)="PAYG",INDIRECT("'"&amp;P$6&amp;"'!$B$21"),IF(LEFT(P$6,4)="Loan",INDIRECT("'"&amp;P$6&amp;"'!$B$20"),"")))</f>
        <v/>
      </c>
      <c r="Q20" s="151" t="str" cm="1">
        <f t="array" aca="1" ref="Q20" ca="1">IF(LEFT(Q$6,4)="Bond",INDIRECT("'"&amp;Q$6&amp;"'!$B$16"),IF(LEFT(Q$6,4)="PAYG",INDIRECT("'"&amp;Q$6&amp;"'!$B$21"),IF(LEFT(Q$6,4)="Loan",INDIRECT("'"&amp;Q$6&amp;"'!$B$20"),"")))</f>
        <v/>
      </c>
      <c r="R20" s="151" t="str" cm="1">
        <f t="array" aca="1" ref="R20" ca="1">IF(LEFT(R$6,4)="Bond",INDIRECT("'"&amp;R$6&amp;"'!$B$16"),IF(LEFT(R$6,4)="PAYG",INDIRECT("'"&amp;R$6&amp;"'!$B$21"),IF(LEFT(R$6,4)="Loan",INDIRECT("'"&amp;R$6&amp;"'!$B$20"),"")))</f>
        <v/>
      </c>
      <c r="S20" s="151" t="str" cm="1">
        <f t="array" aca="1" ref="S20" ca="1">IF(LEFT(S$6,4)="Bond",INDIRECT("'"&amp;S$6&amp;"'!$B$16"),IF(LEFT(S$6,4)="PAYG",INDIRECT("'"&amp;S$6&amp;"'!$B$21"),IF(LEFT(S$6,4)="Loan",INDIRECT("'"&amp;S$6&amp;"'!$B$20"),"")))</f>
        <v/>
      </c>
      <c r="T20" s="151" t="str" cm="1">
        <f t="array" aca="1" ref="T20" ca="1">IF(LEFT(T$6,4)="Bond",INDIRECT("'"&amp;T$6&amp;"'!$B$16"),IF(LEFT(T$6,4)="PAYG",INDIRECT("'"&amp;T$6&amp;"'!$B$21"),IF(LEFT(T$6,4)="Loan",INDIRECT("'"&amp;T$6&amp;"'!$B$20"),"")))</f>
        <v/>
      </c>
      <c r="U20" s="151" t="str" cm="1">
        <f t="array" aca="1" ref="U20" ca="1">IF(LEFT(U$6,4)="Bond",INDIRECT("'"&amp;U$6&amp;"'!$B$16"),IF(LEFT(U$6,4)="PAYG",INDIRECT("'"&amp;U$6&amp;"'!$B$21"),IF(LEFT(U$6,4)="Loan",INDIRECT("'"&amp;U$6&amp;"'!$B$20"),"")))</f>
        <v/>
      </c>
      <c r="V20" s="151" t="str" cm="1">
        <f t="array" aca="1" ref="V20" ca="1">IF(LEFT(V$6,4)="Bond",INDIRECT("'"&amp;V$6&amp;"'!$B$16"),IF(LEFT(V$6,4)="PAYG",INDIRECT("'"&amp;V$6&amp;"'!$B$21"),IF(LEFT(V$6,4)="Loan",INDIRECT("'"&amp;V$6&amp;"'!$B$20"),"")))</f>
        <v/>
      </c>
      <c r="W20" s="151" t="str" cm="1">
        <f t="array" aca="1" ref="W20" ca="1">IF(LEFT(W$6,4)="Bond",INDIRECT("'"&amp;W$6&amp;"'!$B$16"),IF(LEFT(W$6,4)="PAYG",INDIRECT("'"&amp;W$6&amp;"'!$B$21"),IF(LEFT(W$6,4)="Loan",INDIRECT("'"&amp;W$6&amp;"'!$B$20"),"")))</f>
        <v/>
      </c>
      <c r="X20" s="151" t="str" cm="1">
        <f t="array" aca="1" ref="X20" ca="1">IF(LEFT(X$6,4)="Bond",INDIRECT("'"&amp;X$6&amp;"'!$B$16"),IF(LEFT(X$6,4)="PAYG",INDIRECT("'"&amp;X$6&amp;"'!$B$21"),IF(LEFT(X$6,4)="Loan",INDIRECT("'"&amp;X$6&amp;"'!$B$20"),"")))</f>
        <v/>
      </c>
      <c r="Y20" s="151" t="str" cm="1">
        <f t="array" aca="1" ref="Y20" ca="1">IF(LEFT(Y$6,4)="Bond",INDIRECT("'"&amp;Y$6&amp;"'!$B$16"),IF(LEFT(Y$6,4)="PAYG",INDIRECT("'"&amp;Y$6&amp;"'!$B$21"),IF(LEFT(Y$6,4)="Loan",INDIRECT("'"&amp;Y$6&amp;"'!$B$20"),"")))</f>
        <v/>
      </c>
      <c r="Z20" s="151" t="str" cm="1">
        <f t="array" aca="1" ref="Z20" ca="1">IF(LEFT(Z$6,4)="Bond",INDIRECT("'"&amp;Z$6&amp;"'!$B$16"),IF(LEFT(Z$6,4)="PAYG",INDIRECT("'"&amp;Z$6&amp;"'!$B$21"),IF(LEFT(Z$6,4)="Loan",INDIRECT("'"&amp;Z$6&amp;"'!$B$20"),"")))</f>
        <v/>
      </c>
      <c r="AA20" s="151" t="str" cm="1">
        <f t="array" aca="1" ref="AA20" ca="1">IF(LEFT(AA$6,4)="Bond",INDIRECT("'"&amp;AA$6&amp;"'!$B$16"),IF(LEFT(AA$6,4)="PAYG",INDIRECT("'"&amp;AA$6&amp;"'!$B$21"),IF(LEFT(AA$6,4)="Loan",INDIRECT("'"&amp;AA$6&amp;"'!$B$20"),"")))</f>
        <v/>
      </c>
      <c r="AB20" s="151" t="str" cm="1">
        <f t="array" aca="1" ref="AB20" ca="1">IF(LEFT(AB$6,4)="Bond",INDIRECT("'"&amp;AB$6&amp;"'!$B$16"),IF(LEFT(AB$6,4)="PAYG",INDIRECT("'"&amp;AB$6&amp;"'!$B$21"),IF(LEFT(AB$6,4)="Loan",INDIRECT("'"&amp;AB$6&amp;"'!$B$20"),"")))</f>
        <v/>
      </c>
      <c r="AC20" s="151" t="str" cm="1">
        <f t="array" aca="1" ref="AC20" ca="1">IF(LEFT(AC$6,4)="Bond",INDIRECT("'"&amp;AC$6&amp;"'!$B$16"),IF(LEFT(AC$6,4)="PAYG",INDIRECT("'"&amp;AC$6&amp;"'!$B$21"),IF(LEFT(AC$6,4)="Loan",INDIRECT("'"&amp;AC$6&amp;"'!$B$20"),"")))</f>
        <v/>
      </c>
      <c r="AD20" s="151" t="str" cm="1">
        <f t="array" aca="1" ref="AD20" ca="1">IF(LEFT(AD$6,4)="Bond",INDIRECT("'"&amp;AD$6&amp;"'!$B$16"),IF(LEFT(AD$6,4)="PAYG",INDIRECT("'"&amp;AD$6&amp;"'!$B$21"),IF(LEFT(AD$6,4)="Loan",INDIRECT("'"&amp;AD$6&amp;"'!$B$20"),"")))</f>
        <v/>
      </c>
      <c r="AE20" s="151" t="str" cm="1">
        <f t="array" aca="1" ref="AE20" ca="1">IF(LEFT(AE$6,4)="Bond",INDIRECT("'"&amp;AE$6&amp;"'!$B$16"),IF(LEFT(AE$6,4)="PAYG",INDIRECT("'"&amp;AE$6&amp;"'!$B$21"),IF(LEFT(AE$6,4)="Loan",INDIRECT("'"&amp;AE$6&amp;"'!$B$20"),"")))</f>
        <v/>
      </c>
      <c r="AF20" s="151" t="str" cm="1">
        <f t="array" aca="1" ref="AF20" ca="1">IF(LEFT(AF$6,4)="Bond",INDIRECT("'"&amp;AF$6&amp;"'!$B$16"),IF(LEFT(AF$6,4)="PAYG",INDIRECT("'"&amp;AF$6&amp;"'!$B$21"),IF(LEFT(AF$6,4)="Loan",INDIRECT("'"&amp;AF$6&amp;"'!$B$20"),"")))</f>
        <v/>
      </c>
      <c r="AG20" s="151" t="str" cm="1">
        <f t="array" aca="1" ref="AG20" ca="1">IF(LEFT(AG$6,4)="Bond",INDIRECT("'"&amp;AG$6&amp;"'!$B$16"),IF(LEFT(AG$6,4)="PAYG",INDIRECT("'"&amp;AG$6&amp;"'!$B$21"),IF(LEFT(AG$6,4)="Loan",INDIRECT("'"&amp;AG$6&amp;"'!$B$20"),"")))</f>
        <v/>
      </c>
      <c r="AH20" s="151" t="str" cm="1">
        <f t="array" aca="1" ref="AH20" ca="1">IF(LEFT(AH$6,4)="Bond",INDIRECT("'"&amp;AH$6&amp;"'!$B$16"),IF(LEFT(AH$6,4)="PAYG",INDIRECT("'"&amp;AH$6&amp;"'!$B$21"),IF(LEFT(AH$6,4)="Loan",INDIRECT("'"&amp;AH$6&amp;"'!$B$20"),"")))</f>
        <v/>
      </c>
      <c r="AI20" s="151" t="str" cm="1">
        <f t="array" aca="1" ref="AI20" ca="1">IF(LEFT(AI$6,4)="Bond",INDIRECT("'"&amp;AI$6&amp;"'!$B$16"),IF(LEFT(AI$6,4)="PAYG",INDIRECT("'"&amp;AI$6&amp;"'!$B$21"),IF(LEFT(AI$6,4)="Loan",INDIRECT("'"&amp;AI$6&amp;"'!$B$20"),"")))</f>
        <v/>
      </c>
      <c r="AJ20" s="151" t="str" cm="1">
        <f t="array" aca="1" ref="AJ20" ca="1">IF(LEFT(AJ$6,4)="Bond",INDIRECT("'"&amp;AJ$6&amp;"'!$B$16"),IF(LEFT(AJ$6,4)="PAYG",INDIRECT("'"&amp;AJ$6&amp;"'!$B$21"),IF(LEFT(AJ$6,4)="Loan",INDIRECT("'"&amp;AJ$6&amp;"'!$B$20"),"")))</f>
        <v/>
      </c>
      <c r="AK20" s="151" t="str" cm="1">
        <f t="array" aca="1" ref="AK20" ca="1">IF(LEFT(AK$6,4)="Bond",INDIRECT("'"&amp;AK$6&amp;"'!$B$16"),IF(LEFT(AK$6,4)="PAYG",INDIRECT("'"&amp;AK$6&amp;"'!$B$21"),IF(LEFT(AK$6,4)="Loan",INDIRECT("'"&amp;AK$6&amp;"'!$B$20"),"")))</f>
        <v/>
      </c>
      <c r="AL20" s="151" t="str" cm="1">
        <f t="array" aca="1" ref="AL20" ca="1">IF(LEFT(AL$6,4)="Bond",INDIRECT("'"&amp;AL$6&amp;"'!$B$16"),IF(LEFT(AL$6,4)="PAYG",INDIRECT("'"&amp;AL$6&amp;"'!$B$21"),IF(LEFT(AL$6,4)="Loan",INDIRECT("'"&amp;AL$6&amp;"'!$B$20"),"")))</f>
        <v/>
      </c>
      <c r="AM20" s="151" t="str" cm="1">
        <f t="array" aca="1" ref="AM20" ca="1">IF(LEFT(AM$6,4)="Bond",INDIRECT("'"&amp;AM$6&amp;"'!$B$16"),IF(LEFT(AM$6,4)="PAYG",INDIRECT("'"&amp;AM$6&amp;"'!$B$21"),IF(LEFT(AM$6,4)="Loan",INDIRECT("'"&amp;AM$6&amp;"'!$B$20"),"")))</f>
        <v/>
      </c>
      <c r="AN20" s="151" t="str" cm="1">
        <f t="array" aca="1" ref="AN20" ca="1">IF(LEFT(AN$6,4)="Bond",INDIRECT("'"&amp;AN$6&amp;"'!$B$16"),IF(LEFT(AN$6,4)="PAYG",INDIRECT("'"&amp;AN$6&amp;"'!$B$21"),IF(LEFT(AN$6,4)="Loan",INDIRECT("'"&amp;AN$6&amp;"'!$B$20"),"")))</f>
        <v/>
      </c>
      <c r="AO20" s="151" t="str" cm="1">
        <f t="array" aca="1" ref="AO20" ca="1">IF(LEFT(AO$6,4)="Bond",INDIRECT("'"&amp;AO$6&amp;"'!$B$16"),IF(LEFT(AO$6,4)="PAYG",INDIRECT("'"&amp;AO$6&amp;"'!$B$21"),IF(LEFT(AO$6,4)="Loan",INDIRECT("'"&amp;AO$6&amp;"'!$B$20"),"")))</f>
        <v/>
      </c>
      <c r="AP20" s="151" t="str" cm="1">
        <f t="array" aca="1" ref="AP20" ca="1">IF(LEFT(AP$6,4)="Bond",INDIRECT("'"&amp;AP$6&amp;"'!$B$16"),IF(LEFT(AP$6,4)="PAYG",INDIRECT("'"&amp;AP$6&amp;"'!$B$21"),IF(LEFT(AP$6,4)="Loan",INDIRECT("'"&amp;AP$6&amp;"'!$B$20"),"")))</f>
        <v/>
      </c>
      <c r="AQ20" s="151" t="str" cm="1">
        <f t="array" aca="1" ref="AQ20" ca="1">IF(LEFT(AQ$6,4)="Bond",INDIRECT("'"&amp;AQ$6&amp;"'!$B$16"),IF(LEFT(AQ$6,4)="PAYG",INDIRECT("'"&amp;AQ$6&amp;"'!$B$21"),IF(LEFT(AQ$6,4)="Loan",INDIRECT("'"&amp;AQ$6&amp;"'!$B$20"),"")))</f>
        <v/>
      </c>
      <c r="AR20" s="151" t="str" cm="1">
        <f t="array" aca="1" ref="AR20" ca="1">IF(LEFT(AR$6,4)="Bond",INDIRECT("'"&amp;AR$6&amp;"'!$B$16"),IF(LEFT(AR$6,4)="PAYG",INDIRECT("'"&amp;AR$6&amp;"'!$B$21"),IF(LEFT(AR$6,4)="Loan",INDIRECT("'"&amp;AR$6&amp;"'!$B$20"),"")))</f>
        <v/>
      </c>
      <c r="AS20" s="151" t="str" cm="1">
        <f t="array" aca="1" ref="AS20" ca="1">IF(LEFT(AS$6,4)="Bond",INDIRECT("'"&amp;AS$6&amp;"'!$B$16"),IF(LEFT(AS$6,4)="PAYG",INDIRECT("'"&amp;AS$6&amp;"'!$B$21"),IF(LEFT(AS$6,4)="Loan",INDIRECT("'"&amp;AS$6&amp;"'!$B$20"),"")))</f>
        <v/>
      </c>
      <c r="AT20" s="151" t="str" cm="1">
        <f t="array" aca="1" ref="AT20" ca="1">IF(LEFT(AT$6,4)="Bond",INDIRECT("'"&amp;AT$6&amp;"'!$B$16"),IF(LEFT(AT$6,4)="PAYG",INDIRECT("'"&amp;AT$6&amp;"'!$B$21"),IF(LEFT(AT$6,4)="Loan",INDIRECT("'"&amp;AT$6&amp;"'!$B$20"),"")))</f>
        <v/>
      </c>
    </row>
    <row r="21" spans="1:46" x14ac:dyDescent="0.25">
      <c r="A21" s="79" t="s">
        <v>974</v>
      </c>
      <c r="B21" s="151" cm="1">
        <f t="array" aca="1" ref="B21" ca="1">IF(LEFT(B$6,4)="Bond",INDIRECT("'"&amp;B$6&amp;"'!$B$17"),IF(LEFT(B$6,4)="PAYG","N/A",IF(LEFT(B$6,4)="Loan","N/A","")))</f>
        <v>0</v>
      </c>
      <c r="C21" s="151" t="str" cm="1">
        <f t="array" aca="1" ref="C21" ca="1">IF(LEFT(C$6,4)="Bond",INDIRECT("'"&amp;C$6&amp;"'!$B$17"),IF(LEFT(C$6,4)="PAYG","N/A",IF(LEFT(C$6,4)="Loan","N/A","")))</f>
        <v>N/A</v>
      </c>
      <c r="D21" s="151" t="str" cm="1">
        <f t="array" aca="1" ref="D21" ca="1">IF(LEFT(D$6,4)="Bond",INDIRECT("'"&amp;D$6&amp;"'!$B$17"),IF(LEFT(D$6,4)="PAYG","N/A",IF(LEFT(D$6,4)="Loan","N/A","")))</f>
        <v>N/A</v>
      </c>
      <c r="E21" s="151" t="str" cm="1">
        <f t="array" aca="1" ref="E21" ca="1">IF(LEFT(E$6,4)="Bond",INDIRECT("'"&amp;E$6&amp;"'!$B$17"),IF(LEFT(E$6,4)="PAYG","N/A",IF(LEFT(E$6,4)="Loan","N/A","")))</f>
        <v>N/A</v>
      </c>
      <c r="F21" s="151" t="str" cm="1">
        <f t="array" aca="1" ref="F21" ca="1">IF(LEFT(F$6,4)="Bond",INDIRECT("'"&amp;F$6&amp;"'!$B$17"),IF(LEFT(F$6,4)="PAYG","N/A",IF(LEFT(F$6,4)="Loan","N/A","")))</f>
        <v/>
      </c>
      <c r="G21" s="151" t="str" cm="1">
        <f t="array" aca="1" ref="G21" ca="1">IF(LEFT(G$6,4)="Bond",INDIRECT("'"&amp;G$6&amp;"'!$B$17"),IF(LEFT(G$6,4)="PAYG","N/A",IF(LEFT(G$6,4)="Loan","N/A","")))</f>
        <v/>
      </c>
      <c r="H21" s="151" t="str" cm="1">
        <f t="array" aca="1" ref="H21" ca="1">IF(LEFT(H$6,4)="Bond",INDIRECT("'"&amp;H$6&amp;"'!$B$17"),IF(LEFT(H$6,4)="PAYG","N/A",IF(LEFT(H$6,4)="Loan","N/A","")))</f>
        <v/>
      </c>
      <c r="I21" s="151" t="str" cm="1">
        <f t="array" aca="1" ref="I21" ca="1">IF(LEFT(I$6,4)="Bond",INDIRECT("'"&amp;I$6&amp;"'!$B$17"),IF(LEFT(I$6,4)="PAYG","N/A",IF(LEFT(I$6,4)="Loan","N/A","")))</f>
        <v/>
      </c>
      <c r="J21" s="151" t="str" cm="1">
        <f t="array" aca="1" ref="J21" ca="1">IF(LEFT(J$6,4)="Bond",INDIRECT("'"&amp;J$6&amp;"'!$B$17"),IF(LEFT(J$6,4)="PAYG","N/A",IF(LEFT(J$6,4)="Loan","N/A","")))</f>
        <v/>
      </c>
      <c r="K21" s="151" t="str" cm="1">
        <f t="array" aca="1" ref="K21" ca="1">IF(LEFT(K$6,4)="Bond",INDIRECT("'"&amp;K$6&amp;"'!$B$17"),IF(LEFT(K$6,4)="PAYG","N/A",IF(LEFT(K$6,4)="Loan","N/A","")))</f>
        <v/>
      </c>
      <c r="L21" s="151" t="str" cm="1">
        <f t="array" aca="1" ref="L21" ca="1">IF(LEFT(L$6,4)="Bond",INDIRECT("'"&amp;L$6&amp;"'!$B$17"),IF(LEFT(L$6,4)="PAYG","N/A",IF(LEFT(L$6,4)="Loan","N/A","")))</f>
        <v/>
      </c>
      <c r="M21" s="151" t="str" cm="1">
        <f t="array" aca="1" ref="M21" ca="1">IF(LEFT(M$6,4)="Bond",INDIRECT("'"&amp;M$6&amp;"'!$B$17"),IF(LEFT(M$6,4)="PAYG","N/A",IF(LEFT(M$6,4)="Loan","N/A","")))</f>
        <v/>
      </c>
      <c r="N21" s="151" t="str" cm="1">
        <f t="array" aca="1" ref="N21" ca="1">IF(LEFT(N$6,4)="Bond",INDIRECT("'"&amp;N$6&amp;"'!$B$17"),IF(LEFT(N$6,4)="PAYG","N/A",IF(LEFT(N$6,4)="Loan","N/A","")))</f>
        <v/>
      </c>
      <c r="O21" s="151" t="str" cm="1">
        <f t="array" aca="1" ref="O21" ca="1">IF(LEFT(O$6,4)="Bond",INDIRECT("'"&amp;O$6&amp;"'!$B$17"),IF(LEFT(O$6,4)="PAYG","N/A",IF(LEFT(O$6,4)="Loan","N/A","")))</f>
        <v/>
      </c>
      <c r="P21" s="151" t="str" cm="1">
        <f t="array" aca="1" ref="P21" ca="1">IF(LEFT(P$6,4)="Bond",INDIRECT("'"&amp;P$6&amp;"'!$B$17"),IF(LEFT(P$6,4)="PAYG","N/A",IF(LEFT(P$6,4)="Loan","N/A","")))</f>
        <v/>
      </c>
      <c r="Q21" s="151" t="str" cm="1">
        <f t="array" aca="1" ref="Q21" ca="1">IF(LEFT(Q$6,4)="Bond",INDIRECT("'"&amp;Q$6&amp;"'!$B$17"),IF(LEFT(Q$6,4)="PAYG","N/A",IF(LEFT(Q$6,4)="Loan","N/A","")))</f>
        <v/>
      </c>
      <c r="R21" s="151" t="str" cm="1">
        <f t="array" aca="1" ref="R21" ca="1">IF(LEFT(R$6,4)="Bond",INDIRECT("'"&amp;R$6&amp;"'!$B$17"),IF(LEFT(R$6,4)="PAYG","N/A",IF(LEFT(R$6,4)="Loan","N/A","")))</f>
        <v/>
      </c>
      <c r="S21" s="151" t="str" cm="1">
        <f t="array" aca="1" ref="S21" ca="1">IF(LEFT(S$6,4)="Bond",INDIRECT("'"&amp;S$6&amp;"'!$B$17"),IF(LEFT(S$6,4)="PAYG","N/A",IF(LEFT(S$6,4)="Loan","N/A","")))</f>
        <v/>
      </c>
      <c r="T21" s="151" t="str" cm="1">
        <f t="array" aca="1" ref="T21" ca="1">IF(LEFT(T$6,4)="Bond",INDIRECT("'"&amp;T$6&amp;"'!$B$17"),IF(LEFT(T$6,4)="PAYG","N/A",IF(LEFT(T$6,4)="Loan","N/A","")))</f>
        <v/>
      </c>
      <c r="U21" s="151" t="str" cm="1">
        <f t="array" aca="1" ref="U21" ca="1">IF(LEFT(U$6,4)="Bond",INDIRECT("'"&amp;U$6&amp;"'!$B$17"),IF(LEFT(U$6,4)="PAYG","N/A",IF(LEFT(U$6,4)="Loan","N/A","")))</f>
        <v/>
      </c>
      <c r="V21" s="151" t="str" cm="1">
        <f t="array" aca="1" ref="V21" ca="1">IF(LEFT(V$6,4)="Bond",INDIRECT("'"&amp;V$6&amp;"'!$B$17"),IF(LEFT(V$6,4)="PAYG","N/A",IF(LEFT(V$6,4)="Loan","N/A","")))</f>
        <v/>
      </c>
      <c r="W21" s="151" t="str" cm="1">
        <f t="array" aca="1" ref="W21" ca="1">IF(LEFT(W$6,4)="Bond",INDIRECT("'"&amp;W$6&amp;"'!$B$17"),IF(LEFT(W$6,4)="PAYG","N/A",IF(LEFT(W$6,4)="Loan","N/A","")))</f>
        <v/>
      </c>
      <c r="X21" s="151" t="str" cm="1">
        <f t="array" aca="1" ref="X21" ca="1">IF(LEFT(X$6,4)="Bond",INDIRECT("'"&amp;X$6&amp;"'!$B$17"),IF(LEFT(X$6,4)="PAYG","N/A",IF(LEFT(X$6,4)="Loan","N/A","")))</f>
        <v/>
      </c>
      <c r="Y21" s="151" t="str" cm="1">
        <f t="array" aca="1" ref="Y21" ca="1">IF(LEFT(Y$6,4)="Bond",INDIRECT("'"&amp;Y$6&amp;"'!$B$17"),IF(LEFT(Y$6,4)="PAYG","N/A",IF(LEFT(Y$6,4)="Loan","N/A","")))</f>
        <v/>
      </c>
      <c r="Z21" s="151" t="str" cm="1">
        <f t="array" aca="1" ref="Z21" ca="1">IF(LEFT(Z$6,4)="Bond",INDIRECT("'"&amp;Z$6&amp;"'!$B$17"),IF(LEFT(Z$6,4)="PAYG","N/A",IF(LEFT(Z$6,4)="Loan","N/A","")))</f>
        <v/>
      </c>
      <c r="AA21" s="151" t="str" cm="1">
        <f t="array" aca="1" ref="AA21" ca="1">IF(LEFT(AA$6,4)="Bond",INDIRECT("'"&amp;AA$6&amp;"'!$B$17"),IF(LEFT(AA$6,4)="PAYG","N/A",IF(LEFT(AA$6,4)="Loan","N/A","")))</f>
        <v/>
      </c>
      <c r="AB21" s="151" t="str" cm="1">
        <f t="array" aca="1" ref="AB21" ca="1">IF(LEFT(AB$6,4)="Bond",INDIRECT("'"&amp;AB$6&amp;"'!$B$17"),IF(LEFT(AB$6,4)="PAYG","N/A",IF(LEFT(AB$6,4)="Loan","N/A","")))</f>
        <v/>
      </c>
      <c r="AC21" s="151" t="str" cm="1">
        <f t="array" aca="1" ref="AC21" ca="1">IF(LEFT(AC$6,4)="Bond",INDIRECT("'"&amp;AC$6&amp;"'!$B$17"),IF(LEFT(AC$6,4)="PAYG","N/A",IF(LEFT(AC$6,4)="Loan","N/A","")))</f>
        <v/>
      </c>
      <c r="AD21" s="151" t="str" cm="1">
        <f t="array" aca="1" ref="AD21" ca="1">IF(LEFT(AD$6,4)="Bond",INDIRECT("'"&amp;AD$6&amp;"'!$B$17"),IF(LEFT(AD$6,4)="PAYG","N/A",IF(LEFT(AD$6,4)="Loan","N/A","")))</f>
        <v/>
      </c>
      <c r="AE21" s="151" t="str" cm="1">
        <f t="array" aca="1" ref="AE21" ca="1">IF(LEFT(AE$6,4)="Bond",INDIRECT("'"&amp;AE$6&amp;"'!$B$17"),IF(LEFT(AE$6,4)="PAYG","N/A",IF(LEFT(AE$6,4)="Loan","N/A","")))</f>
        <v/>
      </c>
      <c r="AF21" s="151" t="str" cm="1">
        <f t="array" aca="1" ref="AF21" ca="1">IF(LEFT(AF$6,4)="Bond",INDIRECT("'"&amp;AF$6&amp;"'!$B$17"),IF(LEFT(AF$6,4)="PAYG","N/A",IF(LEFT(AF$6,4)="Loan","N/A","")))</f>
        <v/>
      </c>
      <c r="AG21" s="151" t="str" cm="1">
        <f t="array" aca="1" ref="AG21" ca="1">IF(LEFT(AG$6,4)="Bond",INDIRECT("'"&amp;AG$6&amp;"'!$B$17"),IF(LEFT(AG$6,4)="PAYG","N/A",IF(LEFT(AG$6,4)="Loan","N/A","")))</f>
        <v/>
      </c>
      <c r="AH21" s="151" t="str" cm="1">
        <f t="array" aca="1" ref="AH21" ca="1">IF(LEFT(AH$6,4)="Bond",INDIRECT("'"&amp;AH$6&amp;"'!$B$17"),IF(LEFT(AH$6,4)="PAYG","N/A",IF(LEFT(AH$6,4)="Loan","N/A","")))</f>
        <v/>
      </c>
      <c r="AI21" s="151" t="str" cm="1">
        <f t="array" aca="1" ref="AI21" ca="1">IF(LEFT(AI$6,4)="Bond",INDIRECT("'"&amp;AI$6&amp;"'!$B$17"),IF(LEFT(AI$6,4)="PAYG","N/A",IF(LEFT(AI$6,4)="Loan","N/A","")))</f>
        <v/>
      </c>
      <c r="AJ21" s="151" t="str" cm="1">
        <f t="array" aca="1" ref="AJ21" ca="1">IF(LEFT(AJ$6,4)="Bond",INDIRECT("'"&amp;AJ$6&amp;"'!$B$17"),IF(LEFT(AJ$6,4)="PAYG","N/A",IF(LEFT(AJ$6,4)="Loan","N/A","")))</f>
        <v/>
      </c>
      <c r="AK21" s="151" t="str" cm="1">
        <f t="array" aca="1" ref="AK21" ca="1">IF(LEFT(AK$6,4)="Bond",INDIRECT("'"&amp;AK$6&amp;"'!$B$17"),IF(LEFT(AK$6,4)="PAYG","N/A",IF(LEFT(AK$6,4)="Loan","N/A","")))</f>
        <v/>
      </c>
      <c r="AL21" s="151" t="str" cm="1">
        <f t="array" aca="1" ref="AL21" ca="1">IF(LEFT(AL$6,4)="Bond",INDIRECT("'"&amp;AL$6&amp;"'!$B$17"),IF(LEFT(AL$6,4)="PAYG","N/A",IF(LEFT(AL$6,4)="Loan","N/A","")))</f>
        <v/>
      </c>
      <c r="AM21" s="151" t="str" cm="1">
        <f t="array" aca="1" ref="AM21" ca="1">IF(LEFT(AM$6,4)="Bond",INDIRECT("'"&amp;AM$6&amp;"'!$B$17"),IF(LEFT(AM$6,4)="PAYG","N/A",IF(LEFT(AM$6,4)="Loan","N/A","")))</f>
        <v/>
      </c>
      <c r="AN21" s="151" t="str" cm="1">
        <f t="array" aca="1" ref="AN21" ca="1">IF(LEFT(AN$6,4)="Bond",INDIRECT("'"&amp;AN$6&amp;"'!$B$17"),IF(LEFT(AN$6,4)="PAYG","N/A",IF(LEFT(AN$6,4)="Loan","N/A","")))</f>
        <v/>
      </c>
      <c r="AO21" s="151" t="str" cm="1">
        <f t="array" aca="1" ref="AO21" ca="1">IF(LEFT(AO$6,4)="Bond",INDIRECT("'"&amp;AO$6&amp;"'!$B$17"),IF(LEFT(AO$6,4)="PAYG","N/A",IF(LEFT(AO$6,4)="Loan","N/A","")))</f>
        <v/>
      </c>
      <c r="AP21" s="151" t="str" cm="1">
        <f t="array" aca="1" ref="AP21" ca="1">IF(LEFT(AP$6,4)="Bond",INDIRECT("'"&amp;AP$6&amp;"'!$B$17"),IF(LEFT(AP$6,4)="PAYG","N/A",IF(LEFT(AP$6,4)="Loan","N/A","")))</f>
        <v/>
      </c>
      <c r="AQ21" s="151" t="str" cm="1">
        <f t="array" aca="1" ref="AQ21" ca="1">IF(LEFT(AQ$6,4)="Bond",INDIRECT("'"&amp;AQ$6&amp;"'!$B$17"),IF(LEFT(AQ$6,4)="PAYG","N/A",IF(LEFT(AQ$6,4)="Loan","N/A","")))</f>
        <v/>
      </c>
      <c r="AR21" s="151" t="str" cm="1">
        <f t="array" aca="1" ref="AR21" ca="1">IF(LEFT(AR$6,4)="Bond",INDIRECT("'"&amp;AR$6&amp;"'!$B$17"),IF(LEFT(AR$6,4)="PAYG","N/A",IF(LEFT(AR$6,4)="Loan","N/A","")))</f>
        <v/>
      </c>
      <c r="AS21" s="151" t="str" cm="1">
        <f t="array" aca="1" ref="AS21" ca="1">IF(LEFT(AS$6,4)="Bond",INDIRECT("'"&amp;AS$6&amp;"'!$B$17"),IF(LEFT(AS$6,4)="PAYG","N/A",IF(LEFT(AS$6,4)="Loan","N/A","")))</f>
        <v/>
      </c>
      <c r="AT21" s="151" t="str" cm="1">
        <f t="array" aca="1" ref="AT21" ca="1">IF(LEFT(AT$6,4)="Bond",INDIRECT("'"&amp;AT$6&amp;"'!$B$17"),IF(LEFT(AT$6,4)="PAYG","N/A",IF(LEFT(AT$6,4)="Loan","N/A","")))</f>
        <v/>
      </c>
    </row>
    <row r="22" spans="1:46" x14ac:dyDescent="0.25">
      <c r="A22" s="79" t="s">
        <v>975</v>
      </c>
      <c r="B22" s="151" cm="1">
        <f t="array" aca="1" ref="B22" ca="1">IF(LEFT(B$6,4)="Bond",INDIRECT("'"&amp;B$6&amp;"'!$B$18"),IF(LEFT(B$6,4)="PAYG","N/A",IF(LEFT(B$6,4)="Loan","N/A","")))</f>
        <v>0</v>
      </c>
      <c r="C22" s="151" t="str" cm="1">
        <f t="array" aca="1" ref="C22" ca="1">IF(LEFT(C$6,4)="Bond",INDIRECT("'"&amp;C$6&amp;"'!$B$18"),IF(LEFT(C$6,4)="PAYG","N/A",IF(LEFT(C$6,4)="Loan","N/A","")))</f>
        <v>N/A</v>
      </c>
      <c r="D22" s="151" t="str" cm="1">
        <f t="array" aca="1" ref="D22" ca="1">IF(LEFT(D$6,4)="Bond",INDIRECT("'"&amp;D$6&amp;"'!$B$18"),IF(LEFT(D$6,4)="PAYG","N/A",IF(LEFT(D$6,4)="Loan","N/A","")))</f>
        <v>N/A</v>
      </c>
      <c r="E22" s="151" t="str" cm="1">
        <f t="array" aca="1" ref="E22" ca="1">IF(LEFT(E$6,4)="Bond",INDIRECT("'"&amp;E$6&amp;"'!$B$18"),IF(LEFT(E$6,4)="PAYG","N/A",IF(LEFT(E$6,4)="Loan","N/A","")))</f>
        <v>N/A</v>
      </c>
      <c r="F22" s="151" t="str" cm="1">
        <f t="array" aca="1" ref="F22" ca="1">IF(LEFT(F$6,4)="Bond",INDIRECT("'"&amp;F$6&amp;"'!$B$18"),IF(LEFT(F$6,4)="PAYG","N/A",IF(LEFT(F$6,4)="Loan","N/A","")))</f>
        <v/>
      </c>
      <c r="G22" s="151" t="str" cm="1">
        <f t="array" aca="1" ref="G22" ca="1">IF(LEFT(G$6,4)="Bond",INDIRECT("'"&amp;G$6&amp;"'!$B$18"),IF(LEFT(G$6,4)="PAYG","N/A",IF(LEFT(G$6,4)="Loan","N/A","")))</f>
        <v/>
      </c>
      <c r="H22" s="151" t="str" cm="1">
        <f t="array" aca="1" ref="H22" ca="1">IF(LEFT(H$6,4)="Bond",INDIRECT("'"&amp;H$6&amp;"'!$B$18"),IF(LEFT(H$6,4)="PAYG","N/A",IF(LEFT(H$6,4)="Loan","N/A","")))</f>
        <v/>
      </c>
      <c r="I22" s="151" t="str" cm="1">
        <f t="array" aca="1" ref="I22" ca="1">IF(LEFT(I$6,4)="Bond",INDIRECT("'"&amp;I$6&amp;"'!$B$18"),IF(LEFT(I$6,4)="PAYG","N/A",IF(LEFT(I$6,4)="Loan","N/A","")))</f>
        <v/>
      </c>
      <c r="J22" s="151" t="str" cm="1">
        <f t="array" aca="1" ref="J22" ca="1">IF(LEFT(J$6,4)="Bond",INDIRECT("'"&amp;J$6&amp;"'!$B$18"),IF(LEFT(J$6,4)="PAYG","N/A",IF(LEFT(J$6,4)="Loan","N/A","")))</f>
        <v/>
      </c>
      <c r="K22" s="151" t="str" cm="1">
        <f t="array" aca="1" ref="K22" ca="1">IF(LEFT(K$6,4)="Bond",INDIRECT("'"&amp;K$6&amp;"'!$B$18"),IF(LEFT(K$6,4)="PAYG","N/A",IF(LEFT(K$6,4)="Loan","N/A","")))</f>
        <v/>
      </c>
      <c r="L22" s="151" t="str" cm="1">
        <f t="array" aca="1" ref="L22" ca="1">IF(LEFT(L$6,4)="Bond",INDIRECT("'"&amp;L$6&amp;"'!$B$18"),IF(LEFT(L$6,4)="PAYG","N/A",IF(LEFT(L$6,4)="Loan","N/A","")))</f>
        <v/>
      </c>
      <c r="M22" s="151" t="str" cm="1">
        <f t="array" aca="1" ref="M22" ca="1">IF(LEFT(M$6,4)="Bond",INDIRECT("'"&amp;M$6&amp;"'!$B$18"),IF(LEFT(M$6,4)="PAYG","N/A",IF(LEFT(M$6,4)="Loan","N/A","")))</f>
        <v/>
      </c>
      <c r="N22" s="151" t="str" cm="1">
        <f t="array" aca="1" ref="N22" ca="1">IF(LEFT(N$6,4)="Bond",INDIRECT("'"&amp;N$6&amp;"'!$B$18"),IF(LEFT(N$6,4)="PAYG","N/A",IF(LEFT(N$6,4)="Loan","N/A","")))</f>
        <v/>
      </c>
      <c r="O22" s="151" t="str" cm="1">
        <f t="array" aca="1" ref="O22" ca="1">IF(LEFT(O$6,4)="Bond",INDIRECT("'"&amp;O$6&amp;"'!$B$18"),IF(LEFT(O$6,4)="PAYG","N/A",IF(LEFT(O$6,4)="Loan","N/A","")))</f>
        <v/>
      </c>
      <c r="P22" s="151" t="str" cm="1">
        <f t="array" aca="1" ref="P22" ca="1">IF(LEFT(P$6,4)="Bond",INDIRECT("'"&amp;P$6&amp;"'!$B$18"),IF(LEFT(P$6,4)="PAYG","N/A",IF(LEFT(P$6,4)="Loan","N/A","")))</f>
        <v/>
      </c>
      <c r="Q22" s="151" t="str" cm="1">
        <f t="array" aca="1" ref="Q22" ca="1">IF(LEFT(Q$6,4)="Bond",INDIRECT("'"&amp;Q$6&amp;"'!$B$18"),IF(LEFT(Q$6,4)="PAYG","N/A",IF(LEFT(Q$6,4)="Loan","N/A","")))</f>
        <v/>
      </c>
      <c r="R22" s="151" t="str" cm="1">
        <f t="array" aca="1" ref="R22" ca="1">IF(LEFT(R$6,4)="Bond",INDIRECT("'"&amp;R$6&amp;"'!$B$18"),IF(LEFT(R$6,4)="PAYG","N/A",IF(LEFT(R$6,4)="Loan","N/A","")))</f>
        <v/>
      </c>
      <c r="S22" s="151" t="str" cm="1">
        <f t="array" aca="1" ref="S22" ca="1">IF(LEFT(S$6,4)="Bond",INDIRECT("'"&amp;S$6&amp;"'!$B$18"),IF(LEFT(S$6,4)="PAYG","N/A",IF(LEFT(S$6,4)="Loan","N/A","")))</f>
        <v/>
      </c>
      <c r="T22" s="151" t="str" cm="1">
        <f t="array" aca="1" ref="T22" ca="1">IF(LEFT(T$6,4)="Bond",INDIRECT("'"&amp;T$6&amp;"'!$B$18"),IF(LEFT(T$6,4)="PAYG","N/A",IF(LEFT(T$6,4)="Loan","N/A","")))</f>
        <v/>
      </c>
      <c r="U22" s="151" t="str" cm="1">
        <f t="array" aca="1" ref="U22" ca="1">IF(LEFT(U$6,4)="Bond",INDIRECT("'"&amp;U$6&amp;"'!$B$18"),IF(LEFT(U$6,4)="PAYG","N/A",IF(LEFT(U$6,4)="Loan","N/A","")))</f>
        <v/>
      </c>
      <c r="V22" s="151" t="str" cm="1">
        <f t="array" aca="1" ref="V22" ca="1">IF(LEFT(V$6,4)="Bond",INDIRECT("'"&amp;V$6&amp;"'!$B$18"),IF(LEFT(V$6,4)="PAYG","N/A",IF(LEFT(V$6,4)="Loan","N/A","")))</f>
        <v/>
      </c>
      <c r="W22" s="151" t="str" cm="1">
        <f t="array" aca="1" ref="W22" ca="1">IF(LEFT(W$6,4)="Bond",INDIRECT("'"&amp;W$6&amp;"'!$B$18"),IF(LEFT(W$6,4)="PAYG","N/A",IF(LEFT(W$6,4)="Loan","N/A","")))</f>
        <v/>
      </c>
      <c r="X22" s="151" t="str" cm="1">
        <f t="array" aca="1" ref="X22" ca="1">IF(LEFT(X$6,4)="Bond",INDIRECT("'"&amp;X$6&amp;"'!$B$18"),IF(LEFT(X$6,4)="PAYG","N/A",IF(LEFT(X$6,4)="Loan","N/A","")))</f>
        <v/>
      </c>
      <c r="Y22" s="151" t="str" cm="1">
        <f t="array" aca="1" ref="Y22" ca="1">IF(LEFT(Y$6,4)="Bond",INDIRECT("'"&amp;Y$6&amp;"'!$B$18"),IF(LEFT(Y$6,4)="PAYG","N/A",IF(LEFT(Y$6,4)="Loan","N/A","")))</f>
        <v/>
      </c>
      <c r="Z22" s="151" t="str" cm="1">
        <f t="array" aca="1" ref="Z22" ca="1">IF(LEFT(Z$6,4)="Bond",INDIRECT("'"&amp;Z$6&amp;"'!$B$18"),IF(LEFT(Z$6,4)="PAYG","N/A",IF(LEFT(Z$6,4)="Loan","N/A","")))</f>
        <v/>
      </c>
      <c r="AA22" s="151" t="str" cm="1">
        <f t="array" aca="1" ref="AA22" ca="1">IF(LEFT(AA$6,4)="Bond",INDIRECT("'"&amp;AA$6&amp;"'!$B$18"),IF(LEFT(AA$6,4)="PAYG","N/A",IF(LEFT(AA$6,4)="Loan","N/A","")))</f>
        <v/>
      </c>
      <c r="AB22" s="151" t="str" cm="1">
        <f t="array" aca="1" ref="AB22" ca="1">IF(LEFT(AB$6,4)="Bond",INDIRECT("'"&amp;AB$6&amp;"'!$B$18"),IF(LEFT(AB$6,4)="PAYG","N/A",IF(LEFT(AB$6,4)="Loan","N/A","")))</f>
        <v/>
      </c>
      <c r="AC22" s="151" t="str" cm="1">
        <f t="array" aca="1" ref="AC22" ca="1">IF(LEFT(AC$6,4)="Bond",INDIRECT("'"&amp;AC$6&amp;"'!$B$18"),IF(LEFT(AC$6,4)="PAYG","N/A",IF(LEFT(AC$6,4)="Loan","N/A","")))</f>
        <v/>
      </c>
      <c r="AD22" s="151" t="str" cm="1">
        <f t="array" aca="1" ref="AD22" ca="1">IF(LEFT(AD$6,4)="Bond",INDIRECT("'"&amp;AD$6&amp;"'!$B$18"),IF(LEFT(AD$6,4)="PAYG","N/A",IF(LEFT(AD$6,4)="Loan","N/A","")))</f>
        <v/>
      </c>
      <c r="AE22" s="151" t="str" cm="1">
        <f t="array" aca="1" ref="AE22" ca="1">IF(LEFT(AE$6,4)="Bond",INDIRECT("'"&amp;AE$6&amp;"'!$B$18"),IF(LEFT(AE$6,4)="PAYG","N/A",IF(LEFT(AE$6,4)="Loan","N/A","")))</f>
        <v/>
      </c>
      <c r="AF22" s="151" t="str" cm="1">
        <f t="array" aca="1" ref="AF22" ca="1">IF(LEFT(AF$6,4)="Bond",INDIRECT("'"&amp;AF$6&amp;"'!$B$18"),IF(LEFT(AF$6,4)="PAYG","N/A",IF(LEFT(AF$6,4)="Loan","N/A","")))</f>
        <v/>
      </c>
      <c r="AG22" s="151" t="str" cm="1">
        <f t="array" aca="1" ref="AG22" ca="1">IF(LEFT(AG$6,4)="Bond",INDIRECT("'"&amp;AG$6&amp;"'!$B$18"),IF(LEFT(AG$6,4)="PAYG","N/A",IF(LEFT(AG$6,4)="Loan","N/A","")))</f>
        <v/>
      </c>
      <c r="AH22" s="151" t="str" cm="1">
        <f t="array" aca="1" ref="AH22" ca="1">IF(LEFT(AH$6,4)="Bond",INDIRECT("'"&amp;AH$6&amp;"'!$B$18"),IF(LEFT(AH$6,4)="PAYG","N/A",IF(LEFT(AH$6,4)="Loan","N/A","")))</f>
        <v/>
      </c>
      <c r="AI22" s="151" t="str" cm="1">
        <f t="array" aca="1" ref="AI22" ca="1">IF(LEFT(AI$6,4)="Bond",INDIRECT("'"&amp;AI$6&amp;"'!$B$18"),IF(LEFT(AI$6,4)="PAYG","N/A",IF(LEFT(AI$6,4)="Loan","N/A","")))</f>
        <v/>
      </c>
      <c r="AJ22" s="151" t="str" cm="1">
        <f t="array" aca="1" ref="AJ22" ca="1">IF(LEFT(AJ$6,4)="Bond",INDIRECT("'"&amp;AJ$6&amp;"'!$B$18"),IF(LEFT(AJ$6,4)="PAYG","N/A",IF(LEFT(AJ$6,4)="Loan","N/A","")))</f>
        <v/>
      </c>
      <c r="AK22" s="151" t="str" cm="1">
        <f t="array" aca="1" ref="AK22" ca="1">IF(LEFT(AK$6,4)="Bond",INDIRECT("'"&amp;AK$6&amp;"'!$B$18"),IF(LEFT(AK$6,4)="PAYG","N/A",IF(LEFT(AK$6,4)="Loan","N/A","")))</f>
        <v/>
      </c>
      <c r="AL22" s="151" t="str" cm="1">
        <f t="array" aca="1" ref="AL22" ca="1">IF(LEFT(AL$6,4)="Bond",INDIRECT("'"&amp;AL$6&amp;"'!$B$18"),IF(LEFT(AL$6,4)="PAYG","N/A",IF(LEFT(AL$6,4)="Loan","N/A","")))</f>
        <v/>
      </c>
      <c r="AM22" s="151" t="str" cm="1">
        <f t="array" aca="1" ref="AM22" ca="1">IF(LEFT(AM$6,4)="Bond",INDIRECT("'"&amp;AM$6&amp;"'!$B$18"),IF(LEFT(AM$6,4)="PAYG","N/A",IF(LEFT(AM$6,4)="Loan","N/A","")))</f>
        <v/>
      </c>
      <c r="AN22" s="151" t="str" cm="1">
        <f t="array" aca="1" ref="AN22" ca="1">IF(LEFT(AN$6,4)="Bond",INDIRECT("'"&amp;AN$6&amp;"'!$B$18"),IF(LEFT(AN$6,4)="PAYG","N/A",IF(LEFT(AN$6,4)="Loan","N/A","")))</f>
        <v/>
      </c>
      <c r="AO22" s="151" t="str" cm="1">
        <f t="array" aca="1" ref="AO22" ca="1">IF(LEFT(AO$6,4)="Bond",INDIRECT("'"&amp;AO$6&amp;"'!$B$18"),IF(LEFT(AO$6,4)="PAYG","N/A",IF(LEFT(AO$6,4)="Loan","N/A","")))</f>
        <v/>
      </c>
      <c r="AP22" s="151" t="str" cm="1">
        <f t="array" aca="1" ref="AP22" ca="1">IF(LEFT(AP$6,4)="Bond",INDIRECT("'"&amp;AP$6&amp;"'!$B$18"),IF(LEFT(AP$6,4)="PAYG","N/A",IF(LEFT(AP$6,4)="Loan","N/A","")))</f>
        <v/>
      </c>
      <c r="AQ22" s="151" t="str" cm="1">
        <f t="array" aca="1" ref="AQ22" ca="1">IF(LEFT(AQ$6,4)="Bond",INDIRECT("'"&amp;AQ$6&amp;"'!$B$18"),IF(LEFT(AQ$6,4)="PAYG","N/A",IF(LEFT(AQ$6,4)="Loan","N/A","")))</f>
        <v/>
      </c>
      <c r="AR22" s="151" t="str" cm="1">
        <f t="array" aca="1" ref="AR22" ca="1">IF(LEFT(AR$6,4)="Bond",INDIRECT("'"&amp;AR$6&amp;"'!$B$18"),IF(LEFT(AR$6,4)="PAYG","N/A",IF(LEFT(AR$6,4)="Loan","N/A","")))</f>
        <v/>
      </c>
      <c r="AS22" s="151" t="str" cm="1">
        <f t="array" aca="1" ref="AS22" ca="1">IF(LEFT(AS$6,4)="Bond",INDIRECT("'"&amp;AS$6&amp;"'!$B$18"),IF(LEFT(AS$6,4)="PAYG","N/A",IF(LEFT(AS$6,4)="Loan","N/A","")))</f>
        <v/>
      </c>
      <c r="AT22" s="151" t="str" cm="1">
        <f t="array" aca="1" ref="AT22" ca="1">IF(LEFT(AT$6,4)="Bond",INDIRECT("'"&amp;AT$6&amp;"'!$B$18"),IF(LEFT(AT$6,4)="PAYG","N/A",IF(LEFT(AT$6,4)="Loan","N/A","")))</f>
        <v/>
      </c>
    </row>
    <row r="23" spans="1:46" x14ac:dyDescent="0.25">
      <c r="A23" s="79" t="s">
        <v>232</v>
      </c>
      <c r="B23" s="148" t="str" cm="1">
        <f t="array" aca="1" ref="B23" ca="1">IF(LEFT(B$6,4)="Bond",INDIRECT("'"&amp;B$6&amp;"'!$B$20"),IF(LEFT(B$6,4)="PAYG",INDIRECT("'"&amp;B$6&amp;"'!$B$13"),IF(LEFT(B$6,4)="Loan",INDIRECT("'"&amp;B$6&amp;"'!$B$16"),"")))</f>
        <v>Yes</v>
      </c>
      <c r="C23" s="148" t="str" cm="1">
        <f t="array" aca="1" ref="C23" ca="1">IF(LEFT(C$6,4)="Bond",INDIRECT("'"&amp;C$6&amp;"'!$B$19"),IF(LEFT(C$6,4)="PAYG",INDIRECT("'"&amp;C$6&amp;"'!$B$13"),IF(LEFT(C$6,4)="Loan",INDIRECT("'"&amp;C$6&amp;"'!$B$16"),"")))</f>
        <v>Yes</v>
      </c>
      <c r="D23" s="148" t="str" cm="1">
        <f t="array" aca="1" ref="D23" ca="1">IF(LEFT(D$6,4)="Bond",INDIRECT("'"&amp;D$6&amp;"'!$B$19"),IF(LEFT(D$6,4)="PAYG",INDIRECT("'"&amp;D$6&amp;"'!$B$13"),IF(LEFT(D$6,4)="Loan",INDIRECT("'"&amp;D$6&amp;"'!$B$16"),"")))</f>
        <v>Yes</v>
      </c>
      <c r="E23" s="148" t="str" cm="1">
        <f t="array" aca="1" ref="E23" ca="1">IF(LEFT(E$6,4)="Bond",INDIRECT("'"&amp;E$6&amp;"'!$B$19"),IF(LEFT(E$6,4)="PAYG",INDIRECT("'"&amp;E$6&amp;"'!$B$13"),IF(LEFT(E$6,4)="Loan",INDIRECT("'"&amp;E$6&amp;"'!$B$16"),"")))</f>
        <v>Yes</v>
      </c>
      <c r="F23" s="148" t="str" cm="1">
        <f t="array" aca="1" ref="F23" ca="1">IF(LEFT(F$6,4)="Bond",INDIRECT("'"&amp;F$6&amp;"'!$B$19"),IF(LEFT(F$6,4)="PAYG",INDIRECT("'"&amp;F$6&amp;"'!$B$13"),IF(LEFT(F$6,4)="Loan",INDIRECT("'"&amp;F$6&amp;"'!$B$16"),"")))</f>
        <v/>
      </c>
      <c r="G23" s="148" t="str" cm="1">
        <f t="array" aca="1" ref="G23" ca="1">IF(LEFT(G$6,4)="Bond",INDIRECT("'"&amp;G$6&amp;"'!$B$19"),IF(LEFT(G$6,4)="PAYG",INDIRECT("'"&amp;G$6&amp;"'!$B$13"),IF(LEFT(G$6,4)="Loan",INDIRECT("'"&amp;G$6&amp;"'!$B$16"),"")))</f>
        <v/>
      </c>
      <c r="H23" s="148" t="str" cm="1">
        <f t="array" aca="1" ref="H23" ca="1">IF(LEFT(H$6,4)="Bond",INDIRECT("'"&amp;H$6&amp;"'!$B$19"),IF(LEFT(H$6,4)="PAYG",INDIRECT("'"&amp;H$6&amp;"'!$B$13"),IF(LEFT(H$6,4)="Loan",INDIRECT("'"&amp;H$6&amp;"'!$B$16"),"")))</f>
        <v/>
      </c>
      <c r="I23" s="148" t="str" cm="1">
        <f t="array" aca="1" ref="I23" ca="1">IF(LEFT(I$6,4)="Bond",INDIRECT("'"&amp;I$6&amp;"'!$B$19"),IF(LEFT(I$6,4)="PAYG",INDIRECT("'"&amp;I$6&amp;"'!$B$13"),IF(LEFT(I$6,4)="Loan",INDIRECT("'"&amp;I$6&amp;"'!$B$16"),"")))</f>
        <v/>
      </c>
      <c r="J23" s="148" t="str" cm="1">
        <f t="array" aca="1" ref="J23" ca="1">IF(LEFT(J$6,4)="Bond",INDIRECT("'"&amp;J$6&amp;"'!$B$19"),IF(LEFT(J$6,4)="PAYG",INDIRECT("'"&amp;J$6&amp;"'!$B$13"),IF(LEFT(J$6,4)="Loan",INDIRECT("'"&amp;J$6&amp;"'!$B$16"),"")))</f>
        <v/>
      </c>
      <c r="K23" s="148" t="str" cm="1">
        <f t="array" aca="1" ref="K23" ca="1">IF(LEFT(K$6,4)="Bond",INDIRECT("'"&amp;K$6&amp;"'!$B$19"),IF(LEFT(K$6,4)="PAYG",INDIRECT("'"&amp;K$6&amp;"'!$B$13"),IF(LEFT(K$6,4)="Loan",INDIRECT("'"&amp;K$6&amp;"'!$B$16"),"")))</f>
        <v/>
      </c>
      <c r="L23" s="148" t="str" cm="1">
        <f t="array" aca="1" ref="L23" ca="1">IF(LEFT(L$6,4)="Bond",INDIRECT("'"&amp;L$6&amp;"'!$B$19"),IF(LEFT(L$6,4)="PAYG",INDIRECT("'"&amp;L$6&amp;"'!$B$13"),IF(LEFT(L$6,4)="Loan",INDIRECT("'"&amp;L$6&amp;"'!$B$16"),"")))</f>
        <v/>
      </c>
      <c r="M23" s="148" t="str" cm="1">
        <f t="array" aca="1" ref="M23" ca="1">IF(LEFT(M$6,4)="Bond",INDIRECT("'"&amp;M$6&amp;"'!$B$19"),IF(LEFT(M$6,4)="PAYG",INDIRECT("'"&amp;M$6&amp;"'!$B$13"),IF(LEFT(M$6,4)="Loan",INDIRECT("'"&amp;M$6&amp;"'!$B$16"),"")))</f>
        <v/>
      </c>
      <c r="N23" s="148" t="str" cm="1">
        <f t="array" aca="1" ref="N23" ca="1">IF(LEFT(N$6,4)="Bond",INDIRECT("'"&amp;N$6&amp;"'!$B$19"),IF(LEFT(N$6,4)="PAYG",INDIRECT("'"&amp;N$6&amp;"'!$B$13"),IF(LEFT(N$6,4)="Loan",INDIRECT("'"&amp;N$6&amp;"'!$B$16"),"")))</f>
        <v/>
      </c>
      <c r="O23" s="148" t="str" cm="1">
        <f t="array" aca="1" ref="O23" ca="1">IF(LEFT(O$6,4)="Bond",INDIRECT("'"&amp;O$6&amp;"'!$B$19"),IF(LEFT(O$6,4)="PAYG",INDIRECT("'"&amp;O$6&amp;"'!$B$13"),IF(LEFT(O$6,4)="Loan",INDIRECT("'"&amp;O$6&amp;"'!$B$16"),"")))</f>
        <v/>
      </c>
      <c r="P23" s="148" t="str" cm="1">
        <f t="array" aca="1" ref="P23" ca="1">IF(LEFT(P$6,4)="Bond",INDIRECT("'"&amp;P$6&amp;"'!$B$19"),IF(LEFT(P$6,4)="PAYG",INDIRECT("'"&amp;P$6&amp;"'!$B$13"),IF(LEFT(P$6,4)="Loan",INDIRECT("'"&amp;P$6&amp;"'!$B$16"),"")))</f>
        <v/>
      </c>
      <c r="Q23" s="148" t="str" cm="1">
        <f t="array" aca="1" ref="Q23" ca="1">IF(LEFT(Q$6,4)="Bond",INDIRECT("'"&amp;Q$6&amp;"'!$B$19"),IF(LEFT(Q$6,4)="PAYG",INDIRECT("'"&amp;Q$6&amp;"'!$B$13"),IF(LEFT(Q$6,4)="Loan",INDIRECT("'"&amp;Q$6&amp;"'!$B$16"),"")))</f>
        <v/>
      </c>
      <c r="R23" s="148" t="str" cm="1">
        <f t="array" aca="1" ref="R23" ca="1">IF(LEFT(R$6,4)="Bond",INDIRECT("'"&amp;R$6&amp;"'!$B$19"),IF(LEFT(R$6,4)="PAYG",INDIRECT("'"&amp;R$6&amp;"'!$B$13"),IF(LEFT(R$6,4)="Loan",INDIRECT("'"&amp;R$6&amp;"'!$B$16"),"")))</f>
        <v/>
      </c>
      <c r="S23" s="148" t="str" cm="1">
        <f t="array" aca="1" ref="S23" ca="1">IF(LEFT(S$6,4)="Bond",INDIRECT("'"&amp;S$6&amp;"'!$B$19"),IF(LEFT(S$6,4)="PAYG",INDIRECT("'"&amp;S$6&amp;"'!$B$13"),IF(LEFT(S$6,4)="Loan",INDIRECT("'"&amp;S$6&amp;"'!$B$16"),"")))</f>
        <v/>
      </c>
      <c r="T23" s="148" t="str" cm="1">
        <f t="array" aca="1" ref="T23" ca="1">IF(LEFT(T$6,4)="Bond",INDIRECT("'"&amp;T$6&amp;"'!$B$19"),IF(LEFT(T$6,4)="PAYG",INDIRECT("'"&amp;T$6&amp;"'!$B$13"),IF(LEFT(T$6,4)="Loan",INDIRECT("'"&amp;T$6&amp;"'!$B$16"),"")))</f>
        <v/>
      </c>
      <c r="U23" s="148" t="str" cm="1">
        <f t="array" aca="1" ref="U23" ca="1">IF(LEFT(U$6,4)="Bond",INDIRECT("'"&amp;U$6&amp;"'!$B$19"),IF(LEFT(U$6,4)="PAYG",INDIRECT("'"&amp;U$6&amp;"'!$B$13"),IF(LEFT(U$6,4)="Loan",INDIRECT("'"&amp;U$6&amp;"'!$B$16"),"")))</f>
        <v/>
      </c>
      <c r="V23" s="148" t="str" cm="1">
        <f t="array" aca="1" ref="V23" ca="1">IF(LEFT(V$6,4)="Bond",INDIRECT("'"&amp;V$6&amp;"'!$B$19"),IF(LEFT(V$6,4)="PAYG",INDIRECT("'"&amp;V$6&amp;"'!$B$13"),IF(LEFT(V$6,4)="Loan",INDIRECT("'"&amp;V$6&amp;"'!$B$16"),"")))</f>
        <v/>
      </c>
      <c r="W23" s="148" t="str" cm="1">
        <f t="array" aca="1" ref="W23" ca="1">IF(LEFT(W$6,4)="Bond",INDIRECT("'"&amp;W$6&amp;"'!$B$19"),IF(LEFT(W$6,4)="PAYG",INDIRECT("'"&amp;W$6&amp;"'!$B$13"),IF(LEFT(W$6,4)="Loan",INDIRECT("'"&amp;W$6&amp;"'!$B$16"),"")))</f>
        <v/>
      </c>
      <c r="X23" s="148" t="str" cm="1">
        <f t="array" aca="1" ref="X23" ca="1">IF(LEFT(X$6,4)="Bond",INDIRECT("'"&amp;X$6&amp;"'!$B$19"),IF(LEFT(X$6,4)="PAYG",INDIRECT("'"&amp;X$6&amp;"'!$B$13"),IF(LEFT(X$6,4)="Loan",INDIRECT("'"&amp;X$6&amp;"'!$B$16"),"")))</f>
        <v/>
      </c>
      <c r="Y23" s="148" t="str" cm="1">
        <f t="array" aca="1" ref="Y23" ca="1">IF(LEFT(Y$6,4)="Bond",INDIRECT("'"&amp;Y$6&amp;"'!$B$19"),IF(LEFT(Y$6,4)="PAYG",INDIRECT("'"&amp;Y$6&amp;"'!$B$13"),IF(LEFT(Y$6,4)="Loan",INDIRECT("'"&amp;Y$6&amp;"'!$B$16"),"")))</f>
        <v/>
      </c>
      <c r="Z23" s="148" t="str" cm="1">
        <f t="array" aca="1" ref="Z23" ca="1">IF(LEFT(Z$6,4)="Bond",INDIRECT("'"&amp;Z$6&amp;"'!$B$19"),IF(LEFT(Z$6,4)="PAYG",INDIRECT("'"&amp;Z$6&amp;"'!$B$13"),IF(LEFT(Z$6,4)="Loan",INDIRECT("'"&amp;Z$6&amp;"'!$B$16"),"")))</f>
        <v/>
      </c>
      <c r="AA23" s="148" t="str" cm="1">
        <f t="array" aca="1" ref="AA23" ca="1">IF(LEFT(AA$6,4)="Bond",INDIRECT("'"&amp;AA$6&amp;"'!$B$19"),IF(LEFT(AA$6,4)="PAYG",INDIRECT("'"&amp;AA$6&amp;"'!$B$13"),IF(LEFT(AA$6,4)="Loan",INDIRECT("'"&amp;AA$6&amp;"'!$B$16"),"")))</f>
        <v/>
      </c>
      <c r="AB23" s="148" t="str" cm="1">
        <f t="array" aca="1" ref="AB23" ca="1">IF(LEFT(AB$6,4)="Bond",INDIRECT("'"&amp;AB$6&amp;"'!$B$19"),IF(LEFT(AB$6,4)="PAYG",INDIRECT("'"&amp;AB$6&amp;"'!$B$13"),IF(LEFT(AB$6,4)="Loan",INDIRECT("'"&amp;AB$6&amp;"'!$B$16"),"")))</f>
        <v/>
      </c>
      <c r="AC23" s="148" t="str" cm="1">
        <f t="array" aca="1" ref="AC23" ca="1">IF(LEFT(AC$6,4)="Bond",INDIRECT("'"&amp;AC$6&amp;"'!$B$19"),IF(LEFT(AC$6,4)="PAYG",INDIRECT("'"&amp;AC$6&amp;"'!$B$13"),IF(LEFT(AC$6,4)="Loan",INDIRECT("'"&amp;AC$6&amp;"'!$B$16"),"")))</f>
        <v/>
      </c>
      <c r="AD23" s="148" t="str" cm="1">
        <f t="array" aca="1" ref="AD23" ca="1">IF(LEFT(AD$6,4)="Bond",INDIRECT("'"&amp;AD$6&amp;"'!$B$19"),IF(LEFT(AD$6,4)="PAYG",INDIRECT("'"&amp;AD$6&amp;"'!$B$13"),IF(LEFT(AD$6,4)="Loan",INDIRECT("'"&amp;AD$6&amp;"'!$B$16"),"")))</f>
        <v/>
      </c>
      <c r="AE23" s="148" t="str" cm="1">
        <f t="array" aca="1" ref="AE23" ca="1">IF(LEFT(AE$6,4)="Bond",INDIRECT("'"&amp;AE$6&amp;"'!$B$19"),IF(LEFT(AE$6,4)="PAYG",INDIRECT("'"&amp;AE$6&amp;"'!$B$13"),IF(LEFT(AE$6,4)="Loan",INDIRECT("'"&amp;AE$6&amp;"'!$B$16"),"")))</f>
        <v/>
      </c>
      <c r="AF23" s="148" t="str" cm="1">
        <f t="array" aca="1" ref="AF23" ca="1">IF(LEFT(AF$6,4)="Bond",INDIRECT("'"&amp;AF$6&amp;"'!$B$19"),IF(LEFT(AF$6,4)="PAYG",INDIRECT("'"&amp;AF$6&amp;"'!$B$13"),IF(LEFT(AF$6,4)="Loan",INDIRECT("'"&amp;AF$6&amp;"'!$B$16"),"")))</f>
        <v/>
      </c>
      <c r="AG23" s="148" t="str" cm="1">
        <f t="array" aca="1" ref="AG23" ca="1">IF(LEFT(AG$6,4)="Bond",INDIRECT("'"&amp;AG$6&amp;"'!$B$19"),IF(LEFT(AG$6,4)="PAYG",INDIRECT("'"&amp;AG$6&amp;"'!$B$13"),IF(LEFT(AG$6,4)="Loan",INDIRECT("'"&amp;AG$6&amp;"'!$B$16"),"")))</f>
        <v/>
      </c>
      <c r="AH23" s="148" t="str" cm="1">
        <f t="array" aca="1" ref="AH23" ca="1">IF(LEFT(AH$6,4)="Bond",INDIRECT("'"&amp;AH$6&amp;"'!$B$19"),IF(LEFT(AH$6,4)="PAYG",INDIRECT("'"&amp;AH$6&amp;"'!$B$13"),IF(LEFT(AH$6,4)="Loan",INDIRECT("'"&amp;AH$6&amp;"'!$B$16"),"")))</f>
        <v/>
      </c>
      <c r="AI23" s="148" t="str" cm="1">
        <f t="array" aca="1" ref="AI23" ca="1">IF(LEFT(AI$6,4)="Bond",INDIRECT("'"&amp;AI$6&amp;"'!$B$19"),IF(LEFT(AI$6,4)="PAYG",INDIRECT("'"&amp;AI$6&amp;"'!$B$13"),IF(LEFT(AI$6,4)="Loan",INDIRECT("'"&amp;AI$6&amp;"'!$B$16"),"")))</f>
        <v/>
      </c>
      <c r="AJ23" s="148" t="str" cm="1">
        <f t="array" aca="1" ref="AJ23" ca="1">IF(LEFT(AJ$6,4)="Bond",INDIRECT("'"&amp;AJ$6&amp;"'!$B$19"),IF(LEFT(AJ$6,4)="PAYG",INDIRECT("'"&amp;AJ$6&amp;"'!$B$13"),IF(LEFT(AJ$6,4)="Loan",INDIRECT("'"&amp;AJ$6&amp;"'!$B$16"),"")))</f>
        <v/>
      </c>
      <c r="AK23" s="148" t="str" cm="1">
        <f t="array" aca="1" ref="AK23" ca="1">IF(LEFT(AK$6,4)="Bond",INDIRECT("'"&amp;AK$6&amp;"'!$B$19"),IF(LEFT(AK$6,4)="PAYG",INDIRECT("'"&amp;AK$6&amp;"'!$B$13"),IF(LEFT(AK$6,4)="Loan",INDIRECT("'"&amp;AK$6&amp;"'!$B$16"),"")))</f>
        <v/>
      </c>
      <c r="AL23" s="148" t="str" cm="1">
        <f t="array" aca="1" ref="AL23" ca="1">IF(LEFT(AL$6,4)="Bond",INDIRECT("'"&amp;AL$6&amp;"'!$B$19"),IF(LEFT(AL$6,4)="PAYG",INDIRECT("'"&amp;AL$6&amp;"'!$B$13"),IF(LEFT(AL$6,4)="Loan",INDIRECT("'"&amp;AL$6&amp;"'!$B$16"),"")))</f>
        <v/>
      </c>
      <c r="AM23" s="148" t="str" cm="1">
        <f t="array" aca="1" ref="AM23" ca="1">IF(LEFT(AM$6,4)="Bond",INDIRECT("'"&amp;AM$6&amp;"'!$B$19"),IF(LEFT(AM$6,4)="PAYG",INDIRECT("'"&amp;AM$6&amp;"'!$B$13"),IF(LEFT(AM$6,4)="Loan",INDIRECT("'"&amp;AM$6&amp;"'!$B$16"),"")))</f>
        <v/>
      </c>
      <c r="AN23" s="148" t="str" cm="1">
        <f t="array" aca="1" ref="AN23" ca="1">IF(LEFT(AN$6,4)="Bond",INDIRECT("'"&amp;AN$6&amp;"'!$B$19"),IF(LEFT(AN$6,4)="PAYG",INDIRECT("'"&amp;AN$6&amp;"'!$B$13"),IF(LEFT(AN$6,4)="Loan",INDIRECT("'"&amp;AN$6&amp;"'!$B$16"),"")))</f>
        <v/>
      </c>
      <c r="AO23" s="148" t="str" cm="1">
        <f t="array" aca="1" ref="AO23" ca="1">IF(LEFT(AO$6,4)="Bond",INDIRECT("'"&amp;AO$6&amp;"'!$B$19"),IF(LEFT(AO$6,4)="PAYG",INDIRECT("'"&amp;AO$6&amp;"'!$B$13"),IF(LEFT(AO$6,4)="Loan",INDIRECT("'"&amp;AO$6&amp;"'!$B$16"),"")))</f>
        <v/>
      </c>
      <c r="AP23" s="148" t="str" cm="1">
        <f t="array" aca="1" ref="AP23" ca="1">IF(LEFT(AP$6,4)="Bond",INDIRECT("'"&amp;AP$6&amp;"'!$B$19"),IF(LEFT(AP$6,4)="PAYG",INDIRECT("'"&amp;AP$6&amp;"'!$B$13"),IF(LEFT(AP$6,4)="Loan",INDIRECT("'"&amp;AP$6&amp;"'!$B$16"),"")))</f>
        <v/>
      </c>
      <c r="AQ23" s="148" t="str" cm="1">
        <f t="array" aca="1" ref="AQ23" ca="1">IF(LEFT(AQ$6,4)="Bond",INDIRECT("'"&amp;AQ$6&amp;"'!$B$19"),IF(LEFT(AQ$6,4)="PAYG",INDIRECT("'"&amp;AQ$6&amp;"'!$B$13"),IF(LEFT(AQ$6,4)="Loan",INDIRECT("'"&amp;AQ$6&amp;"'!$B$16"),"")))</f>
        <v/>
      </c>
      <c r="AR23" s="148" t="str" cm="1">
        <f t="array" aca="1" ref="AR23" ca="1">IF(LEFT(AR$6,4)="Bond",INDIRECT("'"&amp;AR$6&amp;"'!$B$19"),IF(LEFT(AR$6,4)="PAYG",INDIRECT("'"&amp;AR$6&amp;"'!$B$13"),IF(LEFT(AR$6,4)="Loan",INDIRECT("'"&amp;AR$6&amp;"'!$B$16"),"")))</f>
        <v/>
      </c>
      <c r="AS23" s="148" t="str" cm="1">
        <f t="array" aca="1" ref="AS23" ca="1">IF(LEFT(AS$6,4)="Bond",INDIRECT("'"&amp;AS$6&amp;"'!$B$19"),IF(LEFT(AS$6,4)="PAYG",INDIRECT("'"&amp;AS$6&amp;"'!$B$13"),IF(LEFT(AS$6,4)="Loan",INDIRECT("'"&amp;AS$6&amp;"'!$B$16"),"")))</f>
        <v/>
      </c>
      <c r="AT23" s="148" t="str" cm="1">
        <f t="array" aca="1" ref="AT23" ca="1">IF(LEFT(AT$6,4)="Bond",INDIRECT("'"&amp;AT$6&amp;"'!$B$19"),IF(LEFT(AT$6,4)="PAYG",INDIRECT("'"&amp;AT$6&amp;"'!$B$13"),IF(LEFT(AT$6,4)="Loan",INDIRECT("'"&amp;AT$6&amp;"'!$B$16"),"")))</f>
        <v/>
      </c>
    </row>
    <row r="24" spans="1:46" x14ac:dyDescent="0.25">
      <c r="A24" s="79" t="s">
        <v>976</v>
      </c>
      <c r="B24" s="151" cm="1">
        <f t="array" aca="1" ref="B24" ca="1">IF(LEFT(B$6,4)="Bond",INDIRECT("'"&amp;B$6&amp;"'!$B$19"),IF(LEFT(B$6,4)="PAYG","N/A",IF(LEFT(B$6,4)="Loan","N/A","")))</f>
        <v>0</v>
      </c>
      <c r="C24" s="151" t="str" cm="1">
        <f t="array" aca="1" ref="C24" ca="1">IF(LEFT(C$6,4)="Bond",INDIRECT("'"&amp;C$6&amp;"'!$B$21"),IF(LEFT(C$6,4)="PAYG","N/A",IF(LEFT(C$6,4)="Loan","N/A","")))</f>
        <v>N/A</v>
      </c>
      <c r="D24" s="151" t="str" cm="1">
        <f t="array" aca="1" ref="D24" ca="1">IF(LEFT(D$6,4)="Bond",INDIRECT("'"&amp;D$6&amp;"'!$B$21"),IF(LEFT(D$6,4)="PAYG","N/A",IF(LEFT(D$6,4)="Loan","N/A","")))</f>
        <v>N/A</v>
      </c>
      <c r="E24" s="151" t="str" cm="1">
        <f t="array" aca="1" ref="E24" ca="1">IF(LEFT(E$6,4)="Bond",INDIRECT("'"&amp;E$6&amp;"'!$B$21"),IF(LEFT(E$6,4)="PAYG","N/A",IF(LEFT(E$6,4)="Loan","N/A","")))</f>
        <v>N/A</v>
      </c>
      <c r="F24" s="151" t="str" cm="1">
        <f t="array" aca="1" ref="F24" ca="1">IF(LEFT(F$6,4)="Bond",INDIRECT("'"&amp;F$6&amp;"'!$B$21"),IF(LEFT(F$6,4)="PAYG","N/A",IF(LEFT(F$6,4)="Loan","N/A","")))</f>
        <v/>
      </c>
      <c r="G24" s="151" t="str" cm="1">
        <f t="array" aca="1" ref="G24" ca="1">IF(LEFT(G$6,4)="Bond",INDIRECT("'"&amp;G$6&amp;"'!$B$21"),IF(LEFT(G$6,4)="PAYG","N/A",IF(LEFT(G$6,4)="Loan","N/A","")))</f>
        <v/>
      </c>
      <c r="H24" s="151" t="str" cm="1">
        <f t="array" aca="1" ref="H24" ca="1">IF(LEFT(H$6,4)="Bond",INDIRECT("'"&amp;H$6&amp;"'!$B$21"),IF(LEFT(H$6,4)="PAYG","N/A",IF(LEFT(H$6,4)="Loan","N/A","")))</f>
        <v/>
      </c>
      <c r="I24" s="151" t="str" cm="1">
        <f t="array" aca="1" ref="I24" ca="1">IF(LEFT(I$6,4)="Bond",INDIRECT("'"&amp;I$6&amp;"'!$B$21"),IF(LEFT(I$6,4)="PAYG","N/A",IF(LEFT(I$6,4)="Loan","N/A","")))</f>
        <v/>
      </c>
      <c r="J24" s="151" t="str" cm="1">
        <f t="array" aca="1" ref="J24" ca="1">IF(LEFT(J$6,4)="Bond",INDIRECT("'"&amp;J$6&amp;"'!$B$21"),IF(LEFT(J$6,4)="PAYG","N/A",IF(LEFT(J$6,4)="Loan","N/A","")))</f>
        <v/>
      </c>
      <c r="K24" s="151" t="str" cm="1">
        <f t="array" aca="1" ref="K24" ca="1">IF(LEFT(K$6,4)="Bond",INDIRECT("'"&amp;K$6&amp;"'!$B$21"),IF(LEFT(K$6,4)="PAYG","N/A",IF(LEFT(K$6,4)="Loan","N/A","")))</f>
        <v/>
      </c>
      <c r="L24" s="151" t="str" cm="1">
        <f t="array" aca="1" ref="L24" ca="1">IF(LEFT(L$6,4)="Bond",INDIRECT("'"&amp;L$6&amp;"'!$B$21"),IF(LEFT(L$6,4)="PAYG","N/A",IF(LEFT(L$6,4)="Loan","N/A","")))</f>
        <v/>
      </c>
      <c r="M24" s="151" t="str" cm="1">
        <f t="array" aca="1" ref="M24" ca="1">IF(LEFT(M$6,4)="Bond",INDIRECT("'"&amp;M$6&amp;"'!$B$21"),IF(LEFT(M$6,4)="PAYG","N/A",IF(LEFT(M$6,4)="Loan","N/A","")))</f>
        <v/>
      </c>
      <c r="N24" s="151" t="str" cm="1">
        <f t="array" aca="1" ref="N24" ca="1">IF(LEFT(N$6,4)="Bond",INDIRECT("'"&amp;N$6&amp;"'!$B$21"),IF(LEFT(N$6,4)="PAYG","N/A",IF(LEFT(N$6,4)="Loan","N/A","")))</f>
        <v/>
      </c>
      <c r="O24" s="151" t="str" cm="1">
        <f t="array" aca="1" ref="O24" ca="1">IF(LEFT(O$6,4)="Bond",INDIRECT("'"&amp;O$6&amp;"'!$B$21"),IF(LEFT(O$6,4)="PAYG","N/A",IF(LEFT(O$6,4)="Loan","N/A","")))</f>
        <v/>
      </c>
      <c r="P24" s="151" t="str" cm="1">
        <f t="array" aca="1" ref="P24" ca="1">IF(LEFT(P$6,4)="Bond",INDIRECT("'"&amp;P$6&amp;"'!$B$21"),IF(LEFT(P$6,4)="PAYG","N/A",IF(LEFT(P$6,4)="Loan","N/A","")))</f>
        <v/>
      </c>
      <c r="Q24" s="151" t="str" cm="1">
        <f t="array" aca="1" ref="Q24" ca="1">IF(LEFT(Q$6,4)="Bond",INDIRECT("'"&amp;Q$6&amp;"'!$B$21"),IF(LEFT(Q$6,4)="PAYG","N/A",IF(LEFT(Q$6,4)="Loan","N/A","")))</f>
        <v/>
      </c>
      <c r="R24" s="151" t="str" cm="1">
        <f t="array" aca="1" ref="R24" ca="1">IF(LEFT(R$6,4)="Bond",INDIRECT("'"&amp;R$6&amp;"'!$B$21"),IF(LEFT(R$6,4)="PAYG","N/A",IF(LEFT(R$6,4)="Loan","N/A","")))</f>
        <v/>
      </c>
      <c r="S24" s="151" t="str" cm="1">
        <f t="array" aca="1" ref="S24" ca="1">IF(LEFT(S$6,4)="Bond",INDIRECT("'"&amp;S$6&amp;"'!$B$21"),IF(LEFT(S$6,4)="PAYG","N/A",IF(LEFT(S$6,4)="Loan","N/A","")))</f>
        <v/>
      </c>
      <c r="T24" s="151" t="str" cm="1">
        <f t="array" aca="1" ref="T24" ca="1">IF(LEFT(T$6,4)="Bond",INDIRECT("'"&amp;T$6&amp;"'!$B$21"),IF(LEFT(T$6,4)="PAYG","N/A",IF(LEFT(T$6,4)="Loan","N/A","")))</f>
        <v/>
      </c>
      <c r="U24" s="151" t="str" cm="1">
        <f t="array" aca="1" ref="U24" ca="1">IF(LEFT(U$6,4)="Bond",INDIRECT("'"&amp;U$6&amp;"'!$B$21"),IF(LEFT(U$6,4)="PAYG","N/A",IF(LEFT(U$6,4)="Loan","N/A","")))</f>
        <v/>
      </c>
      <c r="V24" s="151" t="str" cm="1">
        <f t="array" aca="1" ref="V24" ca="1">IF(LEFT(V$6,4)="Bond",INDIRECT("'"&amp;V$6&amp;"'!$B$21"),IF(LEFT(V$6,4)="PAYG","N/A",IF(LEFT(V$6,4)="Loan","N/A","")))</f>
        <v/>
      </c>
      <c r="W24" s="151" t="str" cm="1">
        <f t="array" aca="1" ref="W24" ca="1">IF(LEFT(W$6,4)="Bond",INDIRECT("'"&amp;W$6&amp;"'!$B$21"),IF(LEFT(W$6,4)="PAYG","N/A",IF(LEFT(W$6,4)="Loan","N/A","")))</f>
        <v/>
      </c>
      <c r="X24" s="151" t="str" cm="1">
        <f t="array" aca="1" ref="X24" ca="1">IF(LEFT(X$6,4)="Bond",INDIRECT("'"&amp;X$6&amp;"'!$B$21"),IF(LEFT(X$6,4)="PAYG","N/A",IF(LEFT(X$6,4)="Loan","N/A","")))</f>
        <v/>
      </c>
      <c r="Y24" s="151" t="str" cm="1">
        <f t="array" aca="1" ref="Y24" ca="1">IF(LEFT(Y$6,4)="Bond",INDIRECT("'"&amp;Y$6&amp;"'!$B$21"),IF(LEFT(Y$6,4)="PAYG","N/A",IF(LEFT(Y$6,4)="Loan","N/A","")))</f>
        <v/>
      </c>
      <c r="Z24" s="151" t="str" cm="1">
        <f t="array" aca="1" ref="Z24" ca="1">IF(LEFT(Z$6,4)="Bond",INDIRECT("'"&amp;Z$6&amp;"'!$B$21"),IF(LEFT(Z$6,4)="PAYG","N/A",IF(LEFT(Z$6,4)="Loan","N/A","")))</f>
        <v/>
      </c>
      <c r="AA24" s="151" t="str" cm="1">
        <f t="array" aca="1" ref="AA24" ca="1">IF(LEFT(AA$6,4)="Bond",INDIRECT("'"&amp;AA$6&amp;"'!$B$21"),IF(LEFT(AA$6,4)="PAYG","N/A",IF(LEFT(AA$6,4)="Loan","N/A","")))</f>
        <v/>
      </c>
      <c r="AB24" s="151" t="str" cm="1">
        <f t="array" aca="1" ref="AB24" ca="1">IF(LEFT(AB$6,4)="Bond",INDIRECT("'"&amp;AB$6&amp;"'!$B$21"),IF(LEFT(AB$6,4)="PAYG","N/A",IF(LEFT(AB$6,4)="Loan","N/A","")))</f>
        <v/>
      </c>
      <c r="AC24" s="151" t="str" cm="1">
        <f t="array" aca="1" ref="AC24" ca="1">IF(LEFT(AC$6,4)="Bond",INDIRECT("'"&amp;AC$6&amp;"'!$B$21"),IF(LEFT(AC$6,4)="PAYG","N/A",IF(LEFT(AC$6,4)="Loan","N/A","")))</f>
        <v/>
      </c>
      <c r="AD24" s="151" t="str" cm="1">
        <f t="array" aca="1" ref="AD24" ca="1">IF(LEFT(AD$6,4)="Bond",INDIRECT("'"&amp;AD$6&amp;"'!$B$21"),IF(LEFT(AD$6,4)="PAYG","N/A",IF(LEFT(AD$6,4)="Loan","N/A","")))</f>
        <v/>
      </c>
      <c r="AE24" s="151" t="str" cm="1">
        <f t="array" aca="1" ref="AE24" ca="1">IF(LEFT(AE$6,4)="Bond",INDIRECT("'"&amp;AE$6&amp;"'!$B$21"),IF(LEFT(AE$6,4)="PAYG","N/A",IF(LEFT(AE$6,4)="Loan","N/A","")))</f>
        <v/>
      </c>
      <c r="AF24" s="151" t="str" cm="1">
        <f t="array" aca="1" ref="AF24" ca="1">IF(LEFT(AF$6,4)="Bond",INDIRECT("'"&amp;AF$6&amp;"'!$B$21"),IF(LEFT(AF$6,4)="PAYG","N/A",IF(LEFT(AF$6,4)="Loan","N/A","")))</f>
        <v/>
      </c>
      <c r="AG24" s="151" t="str" cm="1">
        <f t="array" aca="1" ref="AG24" ca="1">IF(LEFT(AG$6,4)="Bond",INDIRECT("'"&amp;AG$6&amp;"'!$B$21"),IF(LEFT(AG$6,4)="PAYG","N/A",IF(LEFT(AG$6,4)="Loan","N/A","")))</f>
        <v/>
      </c>
      <c r="AH24" s="151" t="str" cm="1">
        <f t="array" aca="1" ref="AH24" ca="1">IF(LEFT(AH$6,4)="Bond",INDIRECT("'"&amp;AH$6&amp;"'!$B$21"),IF(LEFT(AH$6,4)="PAYG","N/A",IF(LEFT(AH$6,4)="Loan","N/A","")))</f>
        <v/>
      </c>
      <c r="AI24" s="151" t="str" cm="1">
        <f t="array" aca="1" ref="AI24" ca="1">IF(LEFT(AI$6,4)="Bond",INDIRECT("'"&amp;AI$6&amp;"'!$B$21"),IF(LEFT(AI$6,4)="PAYG","N/A",IF(LEFT(AI$6,4)="Loan","N/A","")))</f>
        <v/>
      </c>
      <c r="AJ24" s="151" t="str" cm="1">
        <f t="array" aca="1" ref="AJ24" ca="1">IF(LEFT(AJ$6,4)="Bond",INDIRECT("'"&amp;AJ$6&amp;"'!$B$21"),IF(LEFT(AJ$6,4)="PAYG","N/A",IF(LEFT(AJ$6,4)="Loan","N/A","")))</f>
        <v/>
      </c>
      <c r="AK24" s="151" t="str" cm="1">
        <f t="array" aca="1" ref="AK24" ca="1">IF(LEFT(AK$6,4)="Bond",INDIRECT("'"&amp;AK$6&amp;"'!$B$21"),IF(LEFT(AK$6,4)="PAYG","N/A",IF(LEFT(AK$6,4)="Loan","N/A","")))</f>
        <v/>
      </c>
      <c r="AL24" s="151" t="str" cm="1">
        <f t="array" aca="1" ref="AL24" ca="1">IF(LEFT(AL$6,4)="Bond",INDIRECT("'"&amp;AL$6&amp;"'!$B$21"),IF(LEFT(AL$6,4)="PAYG","N/A",IF(LEFT(AL$6,4)="Loan","N/A","")))</f>
        <v/>
      </c>
      <c r="AM24" s="151" t="str" cm="1">
        <f t="array" aca="1" ref="AM24" ca="1">IF(LEFT(AM$6,4)="Bond",INDIRECT("'"&amp;AM$6&amp;"'!$B$21"),IF(LEFT(AM$6,4)="PAYG","N/A",IF(LEFT(AM$6,4)="Loan","N/A","")))</f>
        <v/>
      </c>
      <c r="AN24" s="151" t="str" cm="1">
        <f t="array" aca="1" ref="AN24" ca="1">IF(LEFT(AN$6,4)="Bond",INDIRECT("'"&amp;AN$6&amp;"'!$B$21"),IF(LEFT(AN$6,4)="PAYG","N/A",IF(LEFT(AN$6,4)="Loan","N/A","")))</f>
        <v/>
      </c>
      <c r="AO24" s="151" t="str" cm="1">
        <f t="array" aca="1" ref="AO24" ca="1">IF(LEFT(AO$6,4)="Bond",INDIRECT("'"&amp;AO$6&amp;"'!$B$21"),IF(LEFT(AO$6,4)="PAYG","N/A",IF(LEFT(AO$6,4)="Loan","N/A","")))</f>
        <v/>
      </c>
      <c r="AP24" s="151" t="str" cm="1">
        <f t="array" aca="1" ref="AP24" ca="1">IF(LEFT(AP$6,4)="Bond",INDIRECT("'"&amp;AP$6&amp;"'!$B$21"),IF(LEFT(AP$6,4)="PAYG","N/A",IF(LEFT(AP$6,4)="Loan","N/A","")))</f>
        <v/>
      </c>
      <c r="AQ24" s="151" t="str" cm="1">
        <f t="array" aca="1" ref="AQ24" ca="1">IF(LEFT(AQ$6,4)="Bond",INDIRECT("'"&amp;AQ$6&amp;"'!$B$21"),IF(LEFT(AQ$6,4)="PAYG","N/A",IF(LEFT(AQ$6,4)="Loan","N/A","")))</f>
        <v/>
      </c>
      <c r="AR24" s="151" t="str" cm="1">
        <f t="array" aca="1" ref="AR24" ca="1">IF(LEFT(AR$6,4)="Bond",INDIRECT("'"&amp;AR$6&amp;"'!$B$21"),IF(LEFT(AR$6,4)="PAYG","N/A",IF(LEFT(AR$6,4)="Loan","N/A","")))</f>
        <v/>
      </c>
      <c r="AS24" s="151" t="str" cm="1">
        <f t="array" aca="1" ref="AS24" ca="1">IF(LEFT(AS$6,4)="Bond",INDIRECT("'"&amp;AS$6&amp;"'!$B$21"),IF(LEFT(AS$6,4)="PAYG","N/A",IF(LEFT(AS$6,4)="Loan","N/A","")))</f>
        <v/>
      </c>
      <c r="AT24" s="151" t="str" cm="1">
        <f t="array" aca="1" ref="AT24" ca="1">IF(LEFT(AT$6,4)="Bond",INDIRECT("'"&amp;AT$6&amp;"'!$B$21"),IF(LEFT(AT$6,4)="PAYG","N/A",IF(LEFT(AT$6,4)="Loan","N/A","")))</f>
        <v/>
      </c>
    </row>
    <row r="25" spans="1:46" x14ac:dyDescent="0.25">
      <c r="A25" s="66" t="str">
        <f>"Were the terms of this obligation modified in "&amp;Year_DestinationYearID&amp;"?"</f>
        <v>Were the terms of this obligation modified in 2024?</v>
      </c>
      <c r="B25" s="148" t="str" cm="1">
        <f t="array" aca="1" ref="B25" ca="1">IF(LEFT(B$6,4)="Bond","N/A",IF(LEFT(B$6,4)="PAYG","N/A",IF(LEFT(B$6,4)="Loan",INDIRECT("'"&amp;B$6&amp;"'!$B$17"),"")))</f>
        <v>N/A</v>
      </c>
      <c r="C25" s="148" t="str" cm="1">
        <f t="array" aca="1" ref="C25" ca="1">IF(LEFT(C$6,4)="Bond","N/A",IF(LEFT(C$6,4)="PAYG","N/A",IF(LEFT(C$6,4)="Loan",INDIRECT("'"&amp;C$6&amp;"'!$B$35"),"")))</f>
        <v>N/A</v>
      </c>
      <c r="D25" s="148" t="str" cm="1">
        <f t="array" aca="1" ref="D25" ca="1">IF(LEFT(D$6,4)="Bond","N/A",IF(LEFT(D$6,4)="PAYG","N/A",IF(LEFT(D$6,4)="Loan",INDIRECT("'"&amp;D$6&amp;"'!$B$35"),"")))</f>
        <v>N/A</v>
      </c>
      <c r="E25" s="148" t="str" cm="1">
        <f t="array" aca="1" ref="E25" ca="1">IF(LEFT(E$6,4)="Bond","N/A",IF(LEFT(E$6,4)="PAYG","N/A",IF(LEFT(E$6,4)="Loan",INDIRECT("'"&amp;E$6&amp;"'!$B$17"),"")))</f>
        <v>Select One</v>
      </c>
      <c r="F25" s="148" t="str" cm="1">
        <f t="array" aca="1" ref="F25" ca="1">IF(LEFT(F$6,4)="Bond","N/A",IF(LEFT(F$6,4)="PAYG","N/A",IF(LEFT(F$6,4)="Loan",INDIRECT("'"&amp;F$6&amp;"'!$B$35"),"")))</f>
        <v/>
      </c>
      <c r="G25" s="148" t="str" cm="1">
        <f t="array" aca="1" ref="G25" ca="1">IF(LEFT(G$6,4)="Bond","N/A",IF(LEFT(G$6,4)="PAYG","N/A",IF(LEFT(G$6,4)="Loan",INDIRECT("'"&amp;G$6&amp;"'!$B$35"),"")))</f>
        <v/>
      </c>
      <c r="H25" s="148" t="str" cm="1">
        <f t="array" aca="1" ref="H25" ca="1">IF(LEFT(H$6,4)="Bond","N/A",IF(LEFT(H$6,4)="PAYG","N/A",IF(LEFT(H$6,4)="Loan",INDIRECT("'"&amp;H$6&amp;"'!$B$35"),"")))</f>
        <v/>
      </c>
      <c r="I25" s="148" t="str" cm="1">
        <f t="array" aca="1" ref="I25" ca="1">IF(LEFT(I$6,4)="Bond","N/A",IF(LEFT(I$6,4)="PAYG","N/A",IF(LEFT(I$6,4)="Loan",INDIRECT("'"&amp;I$6&amp;"'!$B$35"),"")))</f>
        <v/>
      </c>
      <c r="J25" s="148" t="str" cm="1">
        <f t="array" aca="1" ref="J25" ca="1">IF(LEFT(J$6,4)="Bond","N/A",IF(LEFT(J$6,4)="PAYG","N/A",IF(LEFT(J$6,4)="Loan",INDIRECT("'"&amp;J$6&amp;"'!$B$35"),"")))</f>
        <v/>
      </c>
      <c r="K25" s="148" t="str" cm="1">
        <f t="array" aca="1" ref="K25" ca="1">IF(LEFT(K$6,4)="Bond","N/A",IF(LEFT(K$6,4)="PAYG","N/A",IF(LEFT(K$6,4)="Loan",INDIRECT("'"&amp;K$6&amp;"'!$B$35"),"")))</f>
        <v/>
      </c>
      <c r="L25" s="148" t="str" cm="1">
        <f t="array" aca="1" ref="L25" ca="1">IF(LEFT(L$6,4)="Bond","N/A",IF(LEFT(L$6,4)="PAYG","N/A",IF(LEFT(L$6,4)="Loan",INDIRECT("'"&amp;L$6&amp;"'!$B$35"),"")))</f>
        <v/>
      </c>
      <c r="M25" s="148" t="str" cm="1">
        <f t="array" aca="1" ref="M25" ca="1">IF(LEFT(M$6,4)="Bond","N/A",IF(LEFT(M$6,4)="PAYG","N/A",IF(LEFT(M$6,4)="Loan",INDIRECT("'"&amp;M$6&amp;"'!$B$35"),"")))</f>
        <v/>
      </c>
      <c r="N25" s="148" t="str" cm="1">
        <f t="array" aca="1" ref="N25" ca="1">IF(LEFT(N$6,4)="Bond","N/A",IF(LEFT(N$6,4)="PAYG","N/A",IF(LEFT(N$6,4)="Loan",INDIRECT("'"&amp;N$6&amp;"'!$B$35"),"")))</f>
        <v/>
      </c>
      <c r="O25" s="148" t="str" cm="1">
        <f t="array" aca="1" ref="O25" ca="1">IF(LEFT(O$6,4)="Bond","N/A",IF(LEFT(O$6,4)="PAYG","N/A",IF(LEFT(O$6,4)="Loan",INDIRECT("'"&amp;O$6&amp;"'!$B$35"),"")))</f>
        <v/>
      </c>
      <c r="P25" s="148" t="str" cm="1">
        <f t="array" aca="1" ref="P25" ca="1">IF(LEFT(P$6,4)="Bond","N/A",IF(LEFT(P$6,4)="PAYG","N/A",IF(LEFT(P$6,4)="Loan",INDIRECT("'"&amp;P$6&amp;"'!$B$35"),"")))</f>
        <v/>
      </c>
      <c r="Q25" s="148" t="str" cm="1">
        <f t="array" aca="1" ref="Q25" ca="1">IF(LEFT(Q$6,4)="Bond","N/A",IF(LEFT(Q$6,4)="PAYG","N/A",IF(LEFT(Q$6,4)="Loan",INDIRECT("'"&amp;Q$6&amp;"'!$B$35"),"")))</f>
        <v/>
      </c>
      <c r="R25" s="148" t="str" cm="1">
        <f t="array" aca="1" ref="R25" ca="1">IF(LEFT(R$6,4)="Bond","N/A",IF(LEFT(R$6,4)="PAYG","N/A",IF(LEFT(R$6,4)="Loan",INDIRECT("'"&amp;R$6&amp;"'!$B$35"),"")))</f>
        <v/>
      </c>
      <c r="S25" s="148" t="str" cm="1">
        <f t="array" aca="1" ref="S25" ca="1">IF(LEFT(S$6,4)="Bond","N/A",IF(LEFT(S$6,4)="PAYG","N/A",IF(LEFT(S$6,4)="Loan",INDIRECT("'"&amp;S$6&amp;"'!$B$35"),"")))</f>
        <v/>
      </c>
      <c r="T25" s="148" t="str" cm="1">
        <f t="array" aca="1" ref="T25" ca="1">IF(LEFT(T$6,4)="Bond","N/A",IF(LEFT(T$6,4)="PAYG","N/A",IF(LEFT(T$6,4)="Loan",INDIRECT("'"&amp;T$6&amp;"'!$B$35"),"")))</f>
        <v/>
      </c>
      <c r="U25" s="148" t="str" cm="1">
        <f t="array" aca="1" ref="U25" ca="1">IF(LEFT(U$6,4)="Bond","N/A",IF(LEFT(U$6,4)="PAYG","N/A",IF(LEFT(U$6,4)="Loan",INDIRECT("'"&amp;U$6&amp;"'!$B$35"),"")))</f>
        <v/>
      </c>
      <c r="V25" s="148" t="str" cm="1">
        <f t="array" aca="1" ref="V25" ca="1">IF(LEFT(V$6,4)="Bond","N/A",IF(LEFT(V$6,4)="PAYG","N/A",IF(LEFT(V$6,4)="Loan",INDIRECT("'"&amp;V$6&amp;"'!$B$35"),"")))</f>
        <v/>
      </c>
      <c r="W25" s="148" t="str" cm="1">
        <f t="array" aca="1" ref="W25" ca="1">IF(LEFT(W$6,4)="Bond","N/A",IF(LEFT(W$6,4)="PAYG","N/A",IF(LEFT(W$6,4)="Loan",INDIRECT("'"&amp;W$6&amp;"'!$B$35"),"")))</f>
        <v/>
      </c>
      <c r="X25" s="148" t="str" cm="1">
        <f t="array" aca="1" ref="X25" ca="1">IF(LEFT(X$6,4)="Bond","N/A",IF(LEFT(X$6,4)="PAYG","N/A",IF(LEFT(X$6,4)="Loan",INDIRECT("'"&amp;X$6&amp;"'!$B$35"),"")))</f>
        <v/>
      </c>
      <c r="Y25" s="148" t="str" cm="1">
        <f t="array" aca="1" ref="Y25" ca="1">IF(LEFT(Y$6,4)="Bond","N/A",IF(LEFT(Y$6,4)="PAYG","N/A",IF(LEFT(Y$6,4)="Loan",INDIRECT("'"&amp;Y$6&amp;"'!$B$35"),"")))</f>
        <v/>
      </c>
      <c r="Z25" s="148" t="str" cm="1">
        <f t="array" aca="1" ref="Z25" ca="1">IF(LEFT(Z$6,4)="Bond","N/A",IF(LEFT(Z$6,4)="PAYG","N/A",IF(LEFT(Z$6,4)="Loan",INDIRECT("'"&amp;Z$6&amp;"'!$B$35"),"")))</f>
        <v/>
      </c>
      <c r="AA25" s="148" t="str" cm="1">
        <f t="array" aca="1" ref="AA25" ca="1">IF(LEFT(AA$6,4)="Bond","N/A",IF(LEFT(AA$6,4)="PAYG","N/A",IF(LEFT(AA$6,4)="Loan",INDIRECT("'"&amp;AA$6&amp;"'!$B$35"),"")))</f>
        <v/>
      </c>
      <c r="AB25" s="148" t="str" cm="1">
        <f t="array" aca="1" ref="AB25" ca="1">IF(LEFT(AB$6,4)="Bond","N/A",IF(LEFT(AB$6,4)="PAYG","N/A",IF(LEFT(AB$6,4)="Loan",INDIRECT("'"&amp;AB$6&amp;"'!$B$35"),"")))</f>
        <v/>
      </c>
      <c r="AC25" s="148" t="str" cm="1">
        <f t="array" aca="1" ref="AC25" ca="1">IF(LEFT(AC$6,4)="Bond","N/A",IF(LEFT(AC$6,4)="PAYG","N/A",IF(LEFT(AC$6,4)="Loan",INDIRECT("'"&amp;AC$6&amp;"'!$B$35"),"")))</f>
        <v/>
      </c>
      <c r="AD25" s="148" t="str" cm="1">
        <f t="array" aca="1" ref="AD25" ca="1">IF(LEFT(AD$6,4)="Bond","N/A",IF(LEFT(AD$6,4)="PAYG","N/A",IF(LEFT(AD$6,4)="Loan",INDIRECT("'"&amp;AD$6&amp;"'!$B$35"),"")))</f>
        <v/>
      </c>
      <c r="AE25" s="148" t="str" cm="1">
        <f t="array" aca="1" ref="AE25" ca="1">IF(LEFT(AE$6,4)="Bond","N/A",IF(LEFT(AE$6,4)="PAYG","N/A",IF(LEFT(AE$6,4)="Loan",INDIRECT("'"&amp;AE$6&amp;"'!$B$35"),"")))</f>
        <v/>
      </c>
      <c r="AF25" s="148" t="str" cm="1">
        <f t="array" aca="1" ref="AF25" ca="1">IF(LEFT(AF$6,4)="Bond","N/A",IF(LEFT(AF$6,4)="PAYG","N/A",IF(LEFT(AF$6,4)="Loan",INDIRECT("'"&amp;AF$6&amp;"'!$B$35"),"")))</f>
        <v/>
      </c>
      <c r="AG25" s="148" t="str" cm="1">
        <f t="array" aca="1" ref="AG25" ca="1">IF(LEFT(AG$6,4)="Bond","N/A",IF(LEFT(AG$6,4)="PAYG","N/A",IF(LEFT(AG$6,4)="Loan",INDIRECT("'"&amp;AG$6&amp;"'!$B$35"),"")))</f>
        <v/>
      </c>
      <c r="AH25" s="148" t="str" cm="1">
        <f t="array" aca="1" ref="AH25" ca="1">IF(LEFT(AH$6,4)="Bond","N/A",IF(LEFT(AH$6,4)="PAYG","N/A",IF(LEFT(AH$6,4)="Loan",INDIRECT("'"&amp;AH$6&amp;"'!$B$35"),"")))</f>
        <v/>
      </c>
      <c r="AI25" s="148" t="str" cm="1">
        <f t="array" aca="1" ref="AI25" ca="1">IF(LEFT(AI$6,4)="Bond","N/A",IF(LEFT(AI$6,4)="PAYG","N/A",IF(LEFT(AI$6,4)="Loan",INDIRECT("'"&amp;AI$6&amp;"'!$B$35"),"")))</f>
        <v/>
      </c>
      <c r="AJ25" s="148" t="str" cm="1">
        <f t="array" aca="1" ref="AJ25" ca="1">IF(LEFT(AJ$6,4)="Bond","N/A",IF(LEFT(AJ$6,4)="PAYG","N/A",IF(LEFT(AJ$6,4)="Loan",INDIRECT("'"&amp;AJ$6&amp;"'!$B$35"),"")))</f>
        <v/>
      </c>
      <c r="AK25" s="148" t="str" cm="1">
        <f t="array" aca="1" ref="AK25" ca="1">IF(LEFT(AK$6,4)="Bond","N/A",IF(LEFT(AK$6,4)="PAYG","N/A",IF(LEFT(AK$6,4)="Loan",INDIRECT("'"&amp;AK$6&amp;"'!$B$35"),"")))</f>
        <v/>
      </c>
      <c r="AL25" s="148" t="str" cm="1">
        <f t="array" aca="1" ref="AL25" ca="1">IF(LEFT(AL$6,4)="Bond","N/A",IF(LEFT(AL$6,4)="PAYG","N/A",IF(LEFT(AL$6,4)="Loan",INDIRECT("'"&amp;AL$6&amp;"'!$B$35"),"")))</f>
        <v/>
      </c>
      <c r="AM25" s="148" t="str" cm="1">
        <f t="array" aca="1" ref="AM25" ca="1">IF(LEFT(AM$6,4)="Bond","N/A",IF(LEFT(AM$6,4)="PAYG","N/A",IF(LEFT(AM$6,4)="Loan",INDIRECT("'"&amp;AM$6&amp;"'!$B$35"),"")))</f>
        <v/>
      </c>
      <c r="AN25" s="148" t="str" cm="1">
        <f t="array" aca="1" ref="AN25" ca="1">IF(LEFT(AN$6,4)="Bond","N/A",IF(LEFT(AN$6,4)="PAYG","N/A",IF(LEFT(AN$6,4)="Loan",INDIRECT("'"&amp;AN$6&amp;"'!$B$35"),"")))</f>
        <v/>
      </c>
      <c r="AO25" s="148" t="str" cm="1">
        <f t="array" aca="1" ref="AO25" ca="1">IF(LEFT(AO$6,4)="Bond","N/A",IF(LEFT(AO$6,4)="PAYG","N/A",IF(LEFT(AO$6,4)="Loan",INDIRECT("'"&amp;AO$6&amp;"'!$B$35"),"")))</f>
        <v/>
      </c>
      <c r="AP25" s="148" t="str" cm="1">
        <f t="array" aca="1" ref="AP25" ca="1">IF(LEFT(AP$6,4)="Bond","N/A",IF(LEFT(AP$6,4)="PAYG","N/A",IF(LEFT(AP$6,4)="Loan",INDIRECT("'"&amp;AP$6&amp;"'!$B$35"),"")))</f>
        <v/>
      </c>
      <c r="AQ25" s="148" t="str" cm="1">
        <f t="array" aca="1" ref="AQ25" ca="1">IF(LEFT(AQ$6,4)="Bond","N/A",IF(LEFT(AQ$6,4)="PAYG","N/A",IF(LEFT(AQ$6,4)="Loan",INDIRECT("'"&amp;AQ$6&amp;"'!$B$35"),"")))</f>
        <v/>
      </c>
      <c r="AR25" s="148" t="str" cm="1">
        <f t="array" aca="1" ref="AR25" ca="1">IF(LEFT(AR$6,4)="Bond","N/A",IF(LEFT(AR$6,4)="PAYG","N/A",IF(LEFT(AR$6,4)="Loan",INDIRECT("'"&amp;AR$6&amp;"'!$B$35"),"")))</f>
        <v/>
      </c>
      <c r="AS25" s="148" t="str" cm="1">
        <f t="array" aca="1" ref="AS25" ca="1">IF(LEFT(AS$6,4)="Bond","N/A",IF(LEFT(AS$6,4)="PAYG","N/A",IF(LEFT(AS$6,4)="Loan",INDIRECT("'"&amp;AS$6&amp;"'!$B$35"),"")))</f>
        <v/>
      </c>
      <c r="AT25" s="148" t="str" cm="1">
        <f t="array" aca="1" ref="AT25" ca="1">IF(LEFT(AT$6,4)="Bond","N/A",IF(LEFT(AT$6,4)="PAYG","N/A",IF(LEFT(AT$6,4)="Loan",INDIRECT("'"&amp;AT$6&amp;"'!$B$35"),"")))</f>
        <v/>
      </c>
    </row>
    <row r="26" spans="1:46" ht="15" customHeight="1" x14ac:dyDescent="0.25">
      <c r="A26" s="75" t="s">
        <v>1001</v>
      </c>
    </row>
    <row r="27" spans="1:46" x14ac:dyDescent="0.25">
      <c r="A27" s="79" t="s">
        <v>217</v>
      </c>
      <c r="B27" s="151" t="s">
        <v>1682</v>
      </c>
      <c r="C27" s="151"/>
      <c r="D27" s="151"/>
      <c r="E27" s="151"/>
      <c r="F27" s="151"/>
      <c r="G27" s="151"/>
      <c r="H27" s="151"/>
      <c r="I27" s="151"/>
      <c r="J27" s="151"/>
      <c r="K27" s="151"/>
      <c r="L27" s="151"/>
      <c r="M27" s="151"/>
      <c r="N27" s="151"/>
      <c r="O27" s="151"/>
      <c r="P27" s="151"/>
      <c r="Q27" s="151"/>
      <c r="R27" s="151"/>
      <c r="S27" s="151"/>
      <c r="T27" s="151"/>
      <c r="U27" s="151"/>
      <c r="V27" s="151"/>
      <c r="W27" s="151"/>
      <c r="X27" s="151"/>
      <c r="Y27" s="151"/>
      <c r="Z27" s="151"/>
      <c r="AA27" s="151"/>
      <c r="AB27" s="151"/>
      <c r="AC27" s="151"/>
      <c r="AD27" s="151"/>
      <c r="AE27" s="151"/>
      <c r="AF27" s="151"/>
      <c r="AG27" s="151"/>
      <c r="AH27" s="151"/>
      <c r="AI27" s="151"/>
      <c r="AJ27" s="151"/>
      <c r="AK27" s="151"/>
      <c r="AL27" s="151"/>
      <c r="AM27" s="151"/>
      <c r="AN27" s="151"/>
      <c r="AO27" s="151"/>
      <c r="AP27" s="151"/>
      <c r="AQ27" s="151"/>
      <c r="AR27" s="151"/>
      <c r="AS27" s="151"/>
      <c r="AT27" s="151"/>
    </row>
    <row r="28" spans="1:46" x14ac:dyDescent="0.25">
      <c r="A28" s="79" t="s">
        <v>218</v>
      </c>
      <c r="B28" s="151"/>
      <c r="C28" s="151"/>
      <c r="D28" s="151"/>
      <c r="E28" s="151"/>
      <c r="F28" s="151"/>
      <c r="G28" s="151"/>
      <c r="H28" s="151"/>
      <c r="I28" s="151"/>
      <c r="J28" s="151"/>
      <c r="K28" s="151"/>
      <c r="L28" s="151"/>
      <c r="M28" s="151"/>
      <c r="N28" s="151"/>
      <c r="O28" s="151"/>
      <c r="P28" s="151"/>
      <c r="Q28" s="151"/>
      <c r="R28" s="151"/>
      <c r="S28" s="151"/>
      <c r="T28" s="151"/>
      <c r="U28" s="151"/>
      <c r="V28" s="151"/>
      <c r="W28" s="151"/>
      <c r="X28" s="151"/>
      <c r="Y28" s="151"/>
      <c r="Z28" s="151"/>
      <c r="AA28" s="151"/>
      <c r="AB28" s="151"/>
      <c r="AC28" s="151"/>
      <c r="AD28" s="151"/>
      <c r="AE28" s="151"/>
      <c r="AF28" s="151"/>
      <c r="AG28" s="151"/>
      <c r="AH28" s="151"/>
      <c r="AI28" s="151"/>
      <c r="AJ28" s="151"/>
      <c r="AK28" s="151"/>
      <c r="AL28" s="151"/>
      <c r="AM28" s="151"/>
      <c r="AN28" s="151"/>
      <c r="AO28" s="151"/>
      <c r="AP28" s="151"/>
      <c r="AQ28" s="151"/>
      <c r="AR28" s="151"/>
      <c r="AS28" s="151"/>
      <c r="AT28" s="151"/>
    </row>
    <row r="29" spans="1:46" x14ac:dyDescent="0.25">
      <c r="A29" s="79" t="str">
        <f>"Principal Paid in "&amp;Year_DestinationYearID&amp;" from This District's Increment"</f>
        <v>Principal Paid in 2024 from This District's Increment</v>
      </c>
      <c r="B29" s="151"/>
      <c r="C29" s="151"/>
      <c r="D29" s="151"/>
      <c r="E29" s="151"/>
      <c r="F29" s="151"/>
      <c r="G29" s="151"/>
      <c r="H29" s="151"/>
      <c r="I29" s="151"/>
      <c r="J29" s="151"/>
      <c r="K29" s="151"/>
      <c r="L29" s="151"/>
      <c r="M29" s="151"/>
      <c r="N29" s="151"/>
      <c r="O29" s="151"/>
      <c r="P29" s="151"/>
      <c r="Q29" s="151"/>
      <c r="R29" s="151"/>
      <c r="S29" s="151"/>
      <c r="T29" s="151"/>
      <c r="U29" s="151"/>
      <c r="V29" s="151"/>
      <c r="W29" s="151"/>
      <c r="X29" s="151"/>
      <c r="Y29" s="151"/>
      <c r="Z29" s="151"/>
      <c r="AA29" s="151"/>
      <c r="AB29" s="151"/>
      <c r="AC29" s="151"/>
      <c r="AD29" s="151"/>
      <c r="AE29" s="151"/>
      <c r="AF29" s="151"/>
      <c r="AG29" s="151"/>
      <c r="AH29" s="151"/>
      <c r="AI29" s="151"/>
      <c r="AJ29" s="151"/>
      <c r="AK29" s="151"/>
      <c r="AL29" s="151"/>
      <c r="AM29" s="151"/>
      <c r="AN29" s="151"/>
      <c r="AO29" s="151"/>
      <c r="AP29" s="151"/>
      <c r="AQ29" s="151"/>
      <c r="AR29" s="151"/>
      <c r="AS29" s="151"/>
      <c r="AT29" s="151"/>
    </row>
    <row r="30" spans="1:46" x14ac:dyDescent="0.25">
      <c r="A30" s="79" t="str">
        <f>"Principal Paid in "&amp;Year_DestinationYearID&amp;" from Other Sources or Districts"</f>
        <v>Principal Paid in 2024 from Other Sources or Districts</v>
      </c>
      <c r="B30" s="151"/>
      <c r="C30" s="151"/>
      <c r="D30" s="151"/>
      <c r="E30" s="151"/>
      <c r="F30" s="151"/>
      <c r="G30" s="151"/>
      <c r="H30" s="151"/>
      <c r="I30" s="151"/>
      <c r="J30" s="151"/>
      <c r="K30" s="151"/>
      <c r="L30" s="151"/>
      <c r="M30" s="151"/>
      <c r="N30" s="151"/>
      <c r="O30" s="151"/>
      <c r="P30" s="151"/>
      <c r="Q30" s="151"/>
      <c r="R30" s="151"/>
      <c r="S30" s="151"/>
      <c r="T30" s="151"/>
      <c r="U30" s="151"/>
      <c r="V30" s="151"/>
      <c r="W30" s="151"/>
      <c r="X30" s="151"/>
      <c r="Y30" s="151"/>
      <c r="Z30" s="151"/>
      <c r="AA30" s="151"/>
      <c r="AB30" s="151"/>
      <c r="AC30" s="151"/>
      <c r="AD30" s="151"/>
      <c r="AE30" s="151"/>
      <c r="AF30" s="151"/>
      <c r="AG30" s="151"/>
      <c r="AH30" s="151"/>
      <c r="AI30" s="151"/>
      <c r="AJ30" s="151"/>
      <c r="AK30" s="151"/>
      <c r="AL30" s="151"/>
      <c r="AM30" s="151"/>
      <c r="AN30" s="151"/>
      <c r="AO30" s="151"/>
      <c r="AP30" s="151"/>
      <c r="AQ30" s="151"/>
      <c r="AR30" s="151"/>
      <c r="AS30" s="151"/>
      <c r="AT30" s="151"/>
    </row>
    <row r="31" spans="1:46" x14ac:dyDescent="0.25">
      <c r="A31" s="79" t="s">
        <v>219</v>
      </c>
      <c r="B31" s="151"/>
      <c r="C31" s="151"/>
      <c r="D31" s="151"/>
      <c r="E31" s="151"/>
      <c r="F31" s="151"/>
      <c r="G31" s="151"/>
      <c r="H31" s="151"/>
      <c r="I31" s="151"/>
      <c r="J31" s="151"/>
      <c r="K31" s="151"/>
      <c r="L31" s="151"/>
      <c r="M31" s="151"/>
      <c r="N31" s="151"/>
      <c r="O31" s="151"/>
      <c r="P31" s="151"/>
      <c r="Q31" s="151"/>
      <c r="R31" s="151"/>
      <c r="S31" s="151"/>
      <c r="T31" s="151"/>
      <c r="U31" s="151"/>
      <c r="V31" s="151"/>
      <c r="W31" s="151"/>
      <c r="X31" s="151"/>
      <c r="Y31" s="151"/>
      <c r="Z31" s="151"/>
      <c r="AA31" s="151"/>
      <c r="AB31" s="151"/>
      <c r="AC31" s="151"/>
      <c r="AD31" s="151"/>
      <c r="AE31" s="151"/>
      <c r="AF31" s="151"/>
      <c r="AG31" s="151"/>
      <c r="AH31" s="151"/>
      <c r="AI31" s="151"/>
      <c r="AJ31" s="151"/>
      <c r="AK31" s="151"/>
      <c r="AL31" s="151"/>
      <c r="AM31" s="151"/>
      <c r="AN31" s="151"/>
      <c r="AO31" s="151"/>
      <c r="AP31" s="151"/>
      <c r="AQ31" s="151"/>
      <c r="AR31" s="151"/>
      <c r="AS31" s="151"/>
      <c r="AT31" s="151"/>
    </row>
    <row r="32" spans="1:46" x14ac:dyDescent="0.25">
      <c r="A32" s="79" t="str">
        <f>"Principal Additions/Reductions in "&amp;Year_DestinationYearID</f>
        <v>Principal Additions/Reductions in 2024</v>
      </c>
      <c r="B32" s="151"/>
      <c r="C32" s="151"/>
      <c r="D32" s="151"/>
      <c r="E32" s="151"/>
      <c r="F32" s="151"/>
      <c r="G32" s="151"/>
      <c r="H32" s="151"/>
      <c r="I32" s="151"/>
      <c r="J32" s="151"/>
      <c r="K32" s="151"/>
      <c r="L32" s="151"/>
      <c r="M32" s="151"/>
      <c r="N32" s="151"/>
      <c r="O32" s="151"/>
      <c r="P32" s="151"/>
      <c r="Q32" s="151"/>
      <c r="R32" s="151"/>
      <c r="S32" s="151"/>
      <c r="T32" s="151"/>
      <c r="U32" s="151"/>
      <c r="V32" s="151"/>
      <c r="W32" s="151"/>
      <c r="X32" s="151"/>
      <c r="Y32" s="151"/>
      <c r="Z32" s="151"/>
      <c r="AA32" s="151"/>
      <c r="AB32" s="151"/>
      <c r="AC32" s="151"/>
      <c r="AD32" s="151"/>
      <c r="AE32" s="151"/>
      <c r="AF32" s="151"/>
      <c r="AG32" s="151"/>
      <c r="AH32" s="151"/>
      <c r="AI32" s="151"/>
      <c r="AJ32" s="151"/>
      <c r="AK32" s="151"/>
      <c r="AL32" s="151"/>
      <c r="AM32" s="151"/>
      <c r="AN32" s="151"/>
      <c r="AO32" s="151"/>
      <c r="AP32" s="151"/>
      <c r="AQ32" s="151"/>
      <c r="AR32" s="151"/>
      <c r="AS32" s="151"/>
      <c r="AT32" s="151"/>
    </row>
    <row r="33" spans="1:46" x14ac:dyDescent="0.25">
      <c r="A33" s="79" t="s">
        <v>221</v>
      </c>
      <c r="B33" s="151"/>
      <c r="C33" s="151"/>
      <c r="D33" s="151"/>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E33" s="151"/>
      <c r="AF33" s="151"/>
      <c r="AG33" s="151"/>
      <c r="AH33" s="151"/>
      <c r="AI33" s="151"/>
      <c r="AJ33" s="151"/>
      <c r="AK33" s="151"/>
      <c r="AL33" s="151"/>
      <c r="AM33" s="151"/>
      <c r="AN33" s="151"/>
      <c r="AO33" s="151"/>
      <c r="AP33" s="151"/>
      <c r="AQ33" s="151"/>
      <c r="AR33" s="151"/>
      <c r="AS33" s="151"/>
      <c r="AT33" s="151"/>
    </row>
    <row r="34" spans="1:46" x14ac:dyDescent="0.25">
      <c r="A34" s="79" t="str">
        <f>"Principal Due in "&amp;Year_DestinationYearID+1</f>
        <v>Principal Due in 2025</v>
      </c>
      <c r="B34" s="151"/>
      <c r="C34" s="151"/>
      <c r="D34" s="151"/>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c r="AH34" s="151"/>
      <c r="AI34" s="151"/>
      <c r="AJ34" s="151"/>
      <c r="AK34" s="151"/>
      <c r="AL34" s="151"/>
      <c r="AM34" s="151"/>
      <c r="AN34" s="151"/>
      <c r="AO34" s="151"/>
      <c r="AP34" s="151"/>
      <c r="AQ34" s="151"/>
      <c r="AR34" s="151"/>
      <c r="AS34" s="151"/>
      <c r="AT34" s="151"/>
    </row>
    <row r="35" spans="1:46" ht="15" customHeight="1" x14ac:dyDescent="0.25">
      <c r="A35" s="75" t="s">
        <v>1002</v>
      </c>
    </row>
    <row r="36" spans="1:46" x14ac:dyDescent="0.25">
      <c r="A36" s="79" t="s">
        <v>223</v>
      </c>
      <c r="B36" s="151" t="s">
        <v>1682</v>
      </c>
      <c r="C36" s="151"/>
      <c r="D36" s="151"/>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c r="AH36" s="151"/>
      <c r="AI36" s="151"/>
      <c r="AJ36" s="151"/>
      <c r="AK36" s="151"/>
      <c r="AL36" s="151"/>
      <c r="AM36" s="151"/>
      <c r="AN36" s="151"/>
      <c r="AO36" s="151"/>
      <c r="AP36" s="151"/>
      <c r="AQ36" s="151"/>
      <c r="AR36" s="151"/>
      <c r="AS36" s="151"/>
      <c r="AT36" s="151"/>
    </row>
    <row r="37" spans="1:46" x14ac:dyDescent="0.25">
      <c r="A37" s="79" t="s">
        <v>224</v>
      </c>
      <c r="B37" s="151"/>
      <c r="C37" s="151"/>
      <c r="D37" s="151"/>
      <c r="E37" s="151"/>
      <c r="F37" s="151"/>
      <c r="G37" s="151"/>
      <c r="H37" s="151"/>
      <c r="I37" s="151"/>
      <c r="J37" s="151"/>
      <c r="K37" s="151"/>
      <c r="L37" s="151"/>
      <c r="M37" s="151"/>
      <c r="N37" s="151"/>
      <c r="O37" s="151"/>
      <c r="P37" s="151"/>
      <c r="Q37" s="151"/>
      <c r="R37" s="151"/>
      <c r="S37" s="151"/>
      <c r="T37" s="151"/>
      <c r="U37" s="151"/>
      <c r="V37" s="151"/>
      <c r="W37" s="151"/>
      <c r="X37" s="151"/>
      <c r="Y37" s="151"/>
      <c r="Z37" s="151"/>
      <c r="AA37" s="151"/>
      <c r="AB37" s="151"/>
      <c r="AC37" s="151"/>
      <c r="AD37" s="151"/>
      <c r="AE37" s="151"/>
      <c r="AF37" s="151"/>
      <c r="AG37" s="151"/>
      <c r="AH37" s="151"/>
      <c r="AI37" s="151"/>
      <c r="AJ37" s="151"/>
      <c r="AK37" s="151"/>
      <c r="AL37" s="151"/>
      <c r="AM37" s="151"/>
      <c r="AN37" s="151"/>
      <c r="AO37" s="151"/>
      <c r="AP37" s="151"/>
      <c r="AQ37" s="151"/>
      <c r="AR37" s="151"/>
      <c r="AS37" s="151"/>
      <c r="AT37" s="151"/>
    </row>
    <row r="38" spans="1:46" x14ac:dyDescent="0.25">
      <c r="A38" s="79" t="s">
        <v>225</v>
      </c>
      <c r="B38" s="151"/>
      <c r="C38" s="151"/>
      <c r="D38" s="151"/>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c r="AH38" s="151"/>
      <c r="AI38" s="151"/>
      <c r="AJ38" s="151"/>
      <c r="AK38" s="151"/>
      <c r="AL38" s="151"/>
      <c r="AM38" s="151"/>
      <c r="AN38" s="151"/>
      <c r="AO38" s="151"/>
      <c r="AP38" s="151"/>
      <c r="AQ38" s="151"/>
      <c r="AR38" s="151"/>
      <c r="AS38" s="151"/>
      <c r="AT38" s="151"/>
    </row>
    <row r="39" spans="1:46" x14ac:dyDescent="0.25">
      <c r="A39" s="79" t="str">
        <f>"Interest Paid in "&amp;Year_DestinationYearID&amp;" from This District's Increment"</f>
        <v>Interest Paid in 2024 from This District's Increment</v>
      </c>
      <c r="B39" s="151"/>
      <c r="C39" s="151"/>
      <c r="D39" s="151"/>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c r="AH39" s="151"/>
      <c r="AI39" s="151"/>
      <c r="AJ39" s="151"/>
      <c r="AK39" s="151"/>
      <c r="AL39" s="151"/>
      <c r="AM39" s="151"/>
      <c r="AN39" s="151"/>
      <c r="AO39" s="151"/>
      <c r="AP39" s="151"/>
      <c r="AQ39" s="151"/>
      <c r="AR39" s="151"/>
      <c r="AS39" s="151"/>
      <c r="AT39" s="151"/>
    </row>
    <row r="40" spans="1:46" x14ac:dyDescent="0.25">
      <c r="A40" s="79" t="str">
        <f>"Interest Paid in "&amp;Year_DestinationYearID&amp;" from Other Sources or Districts"</f>
        <v>Interest Paid in 2024 from Other Sources or Districts</v>
      </c>
      <c r="B40" s="151"/>
      <c r="C40" s="151"/>
      <c r="D40" s="151"/>
      <c r="E40" s="151"/>
      <c r="F40" s="151"/>
      <c r="G40" s="151"/>
      <c r="H40" s="151"/>
      <c r="I40" s="151"/>
      <c r="J40" s="151"/>
      <c r="K40" s="151"/>
      <c r="L40" s="151"/>
      <c r="M40" s="151"/>
      <c r="N40" s="151"/>
      <c r="O40" s="151"/>
      <c r="P40" s="151"/>
      <c r="Q40" s="151"/>
      <c r="R40" s="151"/>
      <c r="S40" s="151"/>
      <c r="T40" s="151"/>
      <c r="U40" s="151"/>
      <c r="V40" s="151"/>
      <c r="W40" s="151"/>
      <c r="X40" s="151"/>
      <c r="Y40" s="151"/>
      <c r="Z40" s="151"/>
      <c r="AA40" s="151"/>
      <c r="AB40" s="151"/>
      <c r="AC40" s="151"/>
      <c r="AD40" s="151"/>
      <c r="AE40" s="151"/>
      <c r="AF40" s="151"/>
      <c r="AG40" s="151"/>
      <c r="AH40" s="151"/>
      <c r="AI40" s="151"/>
      <c r="AJ40" s="151"/>
      <c r="AK40" s="151"/>
      <c r="AL40" s="151"/>
      <c r="AM40" s="151"/>
      <c r="AN40" s="151"/>
      <c r="AO40" s="151"/>
      <c r="AP40" s="151"/>
      <c r="AQ40" s="151"/>
      <c r="AR40" s="151"/>
      <c r="AS40" s="151"/>
      <c r="AT40" s="151"/>
    </row>
    <row r="41" spans="1:46" x14ac:dyDescent="0.25">
      <c r="A41" s="79" t="str">
        <f>"Interest Due in "&amp;Year_DestinationYearID+1</f>
        <v>Interest Due in 2025</v>
      </c>
      <c r="B41" s="151"/>
      <c r="C41" s="151"/>
      <c r="D41" s="151"/>
      <c r="E41" s="151"/>
      <c r="F41" s="151"/>
      <c r="G41" s="151"/>
      <c r="H41" s="151"/>
      <c r="I41" s="151"/>
      <c r="J41" s="151"/>
      <c r="K41" s="151"/>
      <c r="L41" s="151"/>
      <c r="M41" s="151"/>
      <c r="N41" s="151"/>
      <c r="O41" s="151"/>
      <c r="P41" s="151"/>
      <c r="Q41" s="151"/>
      <c r="R41" s="151"/>
      <c r="S41" s="151"/>
      <c r="T41" s="151"/>
      <c r="U41" s="151"/>
      <c r="V41" s="151"/>
      <c r="W41" s="151"/>
      <c r="X41" s="151"/>
      <c r="Y41" s="151"/>
      <c r="Z41" s="151"/>
      <c r="AA41" s="151"/>
      <c r="AB41" s="151"/>
      <c r="AC41" s="151"/>
      <c r="AD41" s="151"/>
      <c r="AE41" s="151"/>
      <c r="AF41" s="151"/>
      <c r="AG41" s="151"/>
      <c r="AH41" s="151"/>
      <c r="AI41" s="151"/>
      <c r="AJ41" s="151"/>
      <c r="AK41" s="151"/>
      <c r="AL41" s="151"/>
      <c r="AM41" s="151"/>
      <c r="AN41" s="151"/>
      <c r="AO41" s="151"/>
      <c r="AP41" s="151"/>
      <c r="AQ41" s="151"/>
      <c r="AR41" s="151"/>
      <c r="AS41" s="151"/>
      <c r="AT41" s="151"/>
    </row>
    <row r="42" spans="1:46" ht="20.100000000000001" customHeight="1" x14ac:dyDescent="0.25">
      <c r="A42" s="74" t="s">
        <v>252</v>
      </c>
      <c r="B42" s="74" t="s">
        <v>253</v>
      </c>
      <c r="C42" s="74" t="s">
        <v>109</v>
      </c>
      <c r="D42" s="74" t="s">
        <v>255</v>
      </c>
      <c r="E42" s="74" t="s">
        <v>1000</v>
      </c>
      <c r="F42" s="74" t="s">
        <v>254</v>
      </c>
      <c r="G42" s="74" t="s">
        <v>256</v>
      </c>
    </row>
    <row r="43" spans="1:46" x14ac:dyDescent="0.25">
      <c r="A43" s="79" t="s">
        <v>257</v>
      </c>
      <c r="B43" s="152">
        <f ca="1">IF(MAX(_xlfn.MAXIFS(B13:AT13,B7:AT7,Lists!W2),_xlfn.MAXIFS(B13:AT13,B7:AT7,Lists!W3),_xlfn.MAXIFS(B13:AT13,B7:AT7,Lists!W4))=0,"",MAX(_xlfn.MAXIFS(B13:AT13,B7:AT7,Lists!W2),_xlfn.MAXIFS(B13:AT13,B7:AT7,Lists!W3),_xlfn.MAXIFS(B13:AT13,B7:AT7,Lists!W4)))</f>
        <v>50437</v>
      </c>
      <c r="C43" s="152">
        <f ca="1">IF(_xlfn.MAXIFS(B13:AT13,B7:AT7,"PAYG Note")=0,"",_xlfn.MAXIFS(B13:AT13,B7:AT7,"PAYG Note"))</f>
        <v>47483</v>
      </c>
      <c r="D43" s="152">
        <f ca="1">IF(MAX(_xlfn.MAXIFS(B13:AT13,B7:AT7,Lists!AH2),_xlfn.MAXIFS(B13:AT13,B7:AT7,Lists!AH3))=0,"",MAX(_xlfn.MAXIFS(B13:AT13,B7:AT7,Lists!AH2),_xlfn.MAXIFS(B13:AT13,B7:AT7,Lists!AH3)))</f>
        <v>51135</v>
      </c>
      <c r="E43" s="152">
        <f ca="1">MAX(B43,C43,D43)</f>
        <v>51135</v>
      </c>
      <c r="F43" s="152" t="str">
        <f ca="1">IF(_xlfn.MAXIFS(B13:AT13,B7:AT7,Lists!W5)=0,"",_xlfn.MAXIFS(B13:AT13,B7:AT7,Lists!W5))</f>
        <v/>
      </c>
      <c r="G43" s="152">
        <f ca="1">MAX(E43,F43)</f>
        <v>51135</v>
      </c>
    </row>
    <row r="44" spans="1:46" x14ac:dyDescent="0.25">
      <c r="A44" s="79" t="s">
        <v>250</v>
      </c>
      <c r="B44" s="153"/>
      <c r="C44" s="154">
        <f ca="1">SUMIFS(B17:AT17,B7:AT7,"PAYG Note")</f>
        <v>341768</v>
      </c>
      <c r="D44" s="154">
        <f ca="1">SUMIFS(B17:AT17,B$7:AT$7,Lists!AH$2)+SUMIFS(B17:AT17,B$7:AT$7,Lists!AH$3)</f>
        <v>1572222</v>
      </c>
      <c r="E44" s="154">
        <f ca="1">B44+C44+D44</f>
        <v>1913990</v>
      </c>
      <c r="F44" s="153"/>
      <c r="G44" s="154">
        <f ca="1">E44+F44</f>
        <v>1913990</v>
      </c>
    </row>
    <row r="45" spans="1:46" x14ac:dyDescent="0.25">
      <c r="A45" s="79" t="s">
        <v>999</v>
      </c>
      <c r="B45" s="153"/>
      <c r="C45" s="153"/>
      <c r="D45" s="154">
        <f ca="1">SUMIFS(B18:AT18,B$7:AT$7,Lists!AH$2)+SUMIFS(B18:AT18,B$7:AT$7,Lists!AH$3)</f>
        <v>0</v>
      </c>
      <c r="E45" s="154">
        <f t="shared" ref="E45:E64" ca="1" si="0">B45+C45+D45</f>
        <v>0</v>
      </c>
      <c r="F45" s="153"/>
      <c r="G45" s="154">
        <f t="shared" ref="G45:G64" ca="1" si="1">E45+F45</f>
        <v>0</v>
      </c>
    </row>
    <row r="46" spans="1:46" x14ac:dyDescent="0.25">
      <c r="A46" s="79" t="str">
        <f>"Amount Drawn in "&amp;Year_DestinationYearID&amp;" (Loans only)"</f>
        <v>Amount Drawn in 2024 (Loans only)</v>
      </c>
      <c r="B46" s="153"/>
      <c r="C46" s="153"/>
      <c r="D46" s="154">
        <f ca="1">SUMIFS(B19:AT19,B$7:AT$7,Lists!AH$2)+SUMIFS(B19:AT19,B$7:AT$7,Lists!AH$3)</f>
        <v>0</v>
      </c>
      <c r="E46" s="154">
        <f t="shared" ca="1" si="0"/>
        <v>0</v>
      </c>
      <c r="F46" s="153"/>
      <c r="G46" s="154">
        <f t="shared" ca="1" si="1"/>
        <v>0</v>
      </c>
    </row>
    <row r="47" spans="1:46" x14ac:dyDescent="0.25">
      <c r="A47" s="79" t="s">
        <v>251</v>
      </c>
      <c r="B47" s="154">
        <f ca="1">SUMIFS(B20:AT20,B7:AT7,Lists!W2)+SUMIFS(B20:AT20,B7:AT7,Lists!W3)+SUMIFS(B20:AT20,B7:AT7,Lists!W4)</f>
        <v>350000</v>
      </c>
      <c r="C47" s="154">
        <f ca="1">SUMIFS(B20:AT20,B7:AT7,"PAYG Note")</f>
        <v>341768</v>
      </c>
      <c r="D47" s="154">
        <f ca="1">SUMIFS(B20:AT20,B$7:AT$7,Lists!AH$2)+SUMIFS(B20:AT20,B$7:AT$7,Lists!AH$3)</f>
        <v>0</v>
      </c>
      <c r="E47" s="154">
        <f t="shared" ca="1" si="0"/>
        <v>691768</v>
      </c>
      <c r="F47" s="154">
        <f ca="1">SUMIFS(B20:AT20,B7:AT7,Lists!W5)</f>
        <v>0</v>
      </c>
      <c r="G47" s="154">
        <f t="shared" ca="1" si="1"/>
        <v>691768</v>
      </c>
    </row>
    <row r="48" spans="1:46" x14ac:dyDescent="0.25">
      <c r="A48" s="79" t="s">
        <v>216</v>
      </c>
      <c r="B48" s="154">
        <f ca="1">SUMIFS(B24:AT24,B7:AT7,Lists!W2)+SUMIFS(B24:AT24,B7:AT7,Lists!W3)+SUMIFS(B24:AT24,B7:AT7,Lists!W4)</f>
        <v>0</v>
      </c>
      <c r="C48" s="153"/>
      <c r="D48" s="153"/>
      <c r="E48" s="154">
        <f t="shared" ca="1" si="0"/>
        <v>0</v>
      </c>
      <c r="F48" s="154">
        <f ca="1">SUMIFS(B24:AT24,B7:AT7,Lists!W5)</f>
        <v>0</v>
      </c>
      <c r="G48" s="154">
        <f t="shared" ca="1" si="1"/>
        <v>0</v>
      </c>
    </row>
    <row r="49" spans="1:7" x14ac:dyDescent="0.25">
      <c r="A49" s="79" t="s">
        <v>217</v>
      </c>
      <c r="B49" s="154">
        <f ca="1">SUMIFS(B27:AT27,B7:AT7,Lists!W2)+SUMIFS(B27:AT27,B7:AT7,Lists!W3)+SUMIFS(B27:AT27,B7:AT7,Lists!W4)</f>
        <v>0</v>
      </c>
      <c r="C49" s="154">
        <f ca="1">SUMIFS(B27:AT27,B7:AT7,"PAYG Note")</f>
        <v>0</v>
      </c>
      <c r="D49" s="154">
        <f ca="1">SUMIFS(B27:AT27,B$7:AT$7,Lists!AH$2)+SUMIFS(B27:AT27,B$7:AT$7,Lists!AH$3)</f>
        <v>0</v>
      </c>
      <c r="E49" s="154">
        <f t="shared" ca="1" si="0"/>
        <v>0</v>
      </c>
      <c r="F49" s="154">
        <f ca="1">SUMIFS(B27:AT27,B7:AT7,Lists!W5)</f>
        <v>0</v>
      </c>
      <c r="G49" s="154">
        <f t="shared" ca="1" si="1"/>
        <v>0</v>
      </c>
    </row>
    <row r="50" spans="1:7" x14ac:dyDescent="0.25">
      <c r="A50" s="79" t="s">
        <v>218</v>
      </c>
      <c r="B50" s="154">
        <f ca="1">SUMIFS(B28:AT28,B7:AT7,Lists!W2)+SUMIFS(B28:AT28,B7:AT7,Lists!W3)+SUMIFS(B28:AT28,B7:AT7,Lists!W4)</f>
        <v>0</v>
      </c>
      <c r="C50" s="153"/>
      <c r="D50" s="154">
        <f ca="1">SUMIFS(B28:AT28,B$7:AT$7,Lists!AH$2)+SUMIFS(B28:AT28,B$7:AT$7,Lists!AH$3)</f>
        <v>0</v>
      </c>
      <c r="E50" s="154">
        <f t="shared" ca="1" si="0"/>
        <v>0</v>
      </c>
      <c r="F50" s="154">
        <f ca="1">SUMIFS(B28:AT28,B7:AT7,Lists!W5)</f>
        <v>0</v>
      </c>
      <c r="G50" s="154">
        <f t="shared" ca="1" si="1"/>
        <v>0</v>
      </c>
    </row>
    <row r="51" spans="1:7" x14ac:dyDescent="0.25">
      <c r="A51" s="79" t="str">
        <f>"Principal Paid in "&amp;Year_DestinationYearID&amp;" from This District's Increment"</f>
        <v>Principal Paid in 2024 from This District's Increment</v>
      </c>
      <c r="B51" s="154">
        <f ca="1">SUMIFS(B29:AT29,B7:AT7,Lists!W2)+SUMIFS(B29:AT29,B7:AT7,Lists!W3)+SUMIFS(B29:AT29,B7:AT7,Lists!W4)</f>
        <v>0</v>
      </c>
      <c r="C51" s="154">
        <f ca="1">SUMIFS(B29:AT29,B7:AT7,"PAYG Note")</f>
        <v>0</v>
      </c>
      <c r="D51" s="154">
        <f ca="1">SUMIFS(B29:AT29,B$7:AT$7,Lists!AH$2)+SUMIFS(B29:AT29,B$7:AT$7,Lists!AH$3)</f>
        <v>0</v>
      </c>
      <c r="E51" s="154">
        <f t="shared" ca="1" si="0"/>
        <v>0</v>
      </c>
      <c r="F51" s="154">
        <f ca="1">SUMIFS(B29:AT29,B7:AT7,Lists!W5)</f>
        <v>0</v>
      </c>
      <c r="G51" s="154">
        <f t="shared" ca="1" si="1"/>
        <v>0</v>
      </c>
    </row>
    <row r="52" spans="1:7" x14ac:dyDescent="0.25">
      <c r="A52" s="79" t="str">
        <f>"Principal Paid in "&amp;Year_DestinationYearID&amp;" from Other Sources or Districts"</f>
        <v>Principal Paid in 2024 from Other Sources or Districts</v>
      </c>
      <c r="B52" s="154">
        <f ca="1">SUMIFS(B30:AT30,B7:AT7,Lists!W2)+SUMIFS(B30:AT30,B7:AT7,Lists!W3)+SUMIFS(B30:AT30,B7:AT7,Lists!W4)</f>
        <v>0</v>
      </c>
      <c r="C52" s="153"/>
      <c r="D52" s="154">
        <f ca="1">SUMIFS(B30:AT30,B$7:AT$7,Lists!AH$2)+SUMIFS(B30:AT30,B$7:AT$7,Lists!AH$3)</f>
        <v>0</v>
      </c>
      <c r="E52" s="154">
        <f t="shared" ca="1" si="0"/>
        <v>0</v>
      </c>
      <c r="F52" s="154">
        <f ca="1">SUMIFS(B30:AT30,B7:AT7,Lists!W5)</f>
        <v>0</v>
      </c>
      <c r="G52" s="154">
        <f t="shared" ca="1" si="1"/>
        <v>0</v>
      </c>
    </row>
    <row r="53" spans="1:7" x14ac:dyDescent="0.25">
      <c r="A53" s="79" t="s">
        <v>219</v>
      </c>
      <c r="B53" s="154">
        <f ca="1">SUMIFS(B31:AT31,B7:AT7,Lists!W2)+SUMIFS(B31:AT31,B7:AT7,Lists!W3)+SUMIFS(B31:AT31,B7:AT7,Lists!W4)</f>
        <v>0</v>
      </c>
      <c r="C53" s="154">
        <f ca="1">SUMIFS(B31:AT31,B7:AT7,"PAYG Note")</f>
        <v>0</v>
      </c>
      <c r="D53" s="154">
        <f ca="1">SUMIFS(B31:AT31,B$7:AT$7,Lists!AH$2)+SUMIFS(B31:AT31,B$7:AT$7,Lists!AH$3)</f>
        <v>0</v>
      </c>
      <c r="E53" s="154">
        <f t="shared" ca="1" si="0"/>
        <v>0</v>
      </c>
      <c r="F53" s="154">
        <f ca="1">SUMIFS(B31:AT31,B7:AT7,Lists!W5)</f>
        <v>0</v>
      </c>
      <c r="G53" s="154">
        <f t="shared" ca="1" si="1"/>
        <v>0</v>
      </c>
    </row>
    <row r="54" spans="1:7" x14ac:dyDescent="0.25">
      <c r="A54" s="79" t="str">
        <f>"Principal Additions/Reductions in "&amp;Year_DestinationYearID</f>
        <v>Principal Additions/Reductions in 2024</v>
      </c>
      <c r="B54" s="154">
        <f ca="1">SUMIFS(B32:AT32,B7:AT7,Lists!W2)+SUMIFS(B32:AT32,B7:AT7,Lists!W3)+SUMIFS(B32:AT32,B7:AT7,Lists!W4)</f>
        <v>0</v>
      </c>
      <c r="C54" s="154">
        <f ca="1">SUMIFS(B32:AT32,B7:AT7,"PAYG Note")</f>
        <v>0</v>
      </c>
      <c r="D54" s="154">
        <f ca="1">SUMIFS(B32:AT32,B$7:AT$7,Lists!AH$2)+SUMIFS(B32:AT32,B$7:AT$7,Lists!AH$3)</f>
        <v>0</v>
      </c>
      <c r="E54" s="154">
        <f t="shared" ca="1" si="0"/>
        <v>0</v>
      </c>
      <c r="F54" s="154">
        <f ca="1">SUMIFS(B32:AT32,B7:AT7,Lists!W5)</f>
        <v>0</v>
      </c>
      <c r="G54" s="154">
        <f t="shared" ca="1" si="1"/>
        <v>0</v>
      </c>
    </row>
    <row r="55" spans="1:7" x14ac:dyDescent="0.25">
      <c r="A55" s="79" t="s">
        <v>221</v>
      </c>
      <c r="B55" s="154">
        <f ca="1">SUMIFS(B33:AT33,B7:AT7,Lists!W2)+SUMIFS(B33:AT33,B7:AT7,Lists!W3)+SUMIFS(B33:AT33,B7:AT7,Lists!W4)</f>
        <v>0</v>
      </c>
      <c r="C55" s="154">
        <f ca="1">SUMIFS(B33:AT33,B7:AT7,"PAYG Note")</f>
        <v>0</v>
      </c>
      <c r="D55" s="154">
        <f ca="1">SUMIFS(B33:AT33,B$7:AT$7,Lists!AH$2)+SUMIFS(B33:AT33,B$7:AT$7,Lists!AH$3)</f>
        <v>0</v>
      </c>
      <c r="E55" s="154">
        <f t="shared" ca="1" si="0"/>
        <v>0</v>
      </c>
      <c r="F55" s="154">
        <f ca="1">SUMIFS(B33:AT33,B7:AT7,Lists!W5)</f>
        <v>0</v>
      </c>
      <c r="G55" s="154">
        <f t="shared" ca="1" si="1"/>
        <v>0</v>
      </c>
    </row>
    <row r="56" spans="1:7" x14ac:dyDescent="0.25">
      <c r="A56" s="79" t="str">
        <f>"Principal Due in "&amp;Year_DestinationYearID+1</f>
        <v>Principal Due in 2025</v>
      </c>
      <c r="B56" s="154">
        <f ca="1">SUMIFS(B34:AT34,B7:AT7,Lists!W2)+SUMIFS(B34:AT34,B7:AT7,Lists!W3)+SUMIFS(B34:AT34,B7:AT7,Lists!W4)</f>
        <v>0</v>
      </c>
      <c r="C56" s="154">
        <f ca="1">SUMIFS(B34:AT34,B7:AT7,"PAYG Note")</f>
        <v>0</v>
      </c>
      <c r="D56" s="154">
        <f ca="1">SUMIFS(B34:AT34,B$7:AT$7,Lists!AH$2)+SUMIFS(B34:AT34,B$7:AT$7,Lists!AH$3)</f>
        <v>0</v>
      </c>
      <c r="E56" s="154">
        <f t="shared" ca="1" si="0"/>
        <v>0</v>
      </c>
      <c r="F56" s="154">
        <f ca="1">SUMIFS(B34:AT34,B7:AT7,Lists!W5)</f>
        <v>0</v>
      </c>
      <c r="G56" s="154">
        <f t="shared" ca="1" si="1"/>
        <v>0</v>
      </c>
    </row>
    <row r="57" spans="1:7" x14ac:dyDescent="0.25">
      <c r="A57" s="79" t="s">
        <v>223</v>
      </c>
      <c r="B57" s="154">
        <f ca="1">SUMIFS(B36:AT36,B7:AT7,Lists!W2)+SUMIFS(B36:AT36,B7:AT7,Lists!W3)+SUMIFS(B36:AT36,B7:AT7,Lists!W4)</f>
        <v>0</v>
      </c>
      <c r="C57" s="154">
        <f ca="1">SUMIFS(B36:AT36,B7:AT7,"PAYG Note")</f>
        <v>0</v>
      </c>
      <c r="D57" s="154">
        <f ca="1">SUMIFS(B36:AT36,B$7:AT$7,Lists!AH$2)+SUMIFS(B36:AT36,B$7:AT$7,Lists!AH$3)</f>
        <v>0</v>
      </c>
      <c r="E57" s="154">
        <f t="shared" ca="1" si="0"/>
        <v>0</v>
      </c>
      <c r="F57" s="154">
        <f ca="1">SUMIFS(B36:AT36,B7:AT7,Lists!W5)</f>
        <v>0</v>
      </c>
      <c r="G57" s="154">
        <f t="shared" ca="1" si="1"/>
        <v>0</v>
      </c>
    </row>
    <row r="58" spans="1:7" x14ac:dyDescent="0.25">
      <c r="A58" s="79" t="s">
        <v>224</v>
      </c>
      <c r="B58" s="154">
        <f ca="1">SUMIFS(B37:AT37,B7:AT7,Lists!W2)+SUMIFS(B37:AT37,B7:AT7,Lists!W3)+SUMIFS(B37:AT37,B7:AT7,Lists!W4)</f>
        <v>0</v>
      </c>
      <c r="C58" s="154">
        <f ca="1">SUMIFS(B37:AT37,B7:AT7,"PAYG Note")</f>
        <v>0</v>
      </c>
      <c r="D58" s="154">
        <f ca="1">SUMIFS(B37:AT37,B$7:AT$7,Lists!AH$2)+SUMIFS(B37:AT37,B$7:AT$7,Lists!AH$3)</f>
        <v>0</v>
      </c>
      <c r="E58" s="154">
        <f t="shared" ca="1" si="0"/>
        <v>0</v>
      </c>
      <c r="F58" s="154">
        <f ca="1">SUMIFS(B37:AT37,B7:AT7,Lists!W5)</f>
        <v>0</v>
      </c>
      <c r="G58" s="154">
        <f t="shared" ca="1" si="1"/>
        <v>0</v>
      </c>
    </row>
    <row r="59" spans="1:7" x14ac:dyDescent="0.25">
      <c r="A59" s="79" t="s">
        <v>225</v>
      </c>
      <c r="B59" s="154">
        <f ca="1">SUMIFS(B38:AT38,B7:AT7,Lists!W2)+SUMIFS(B38:AT38,B7:AT7,Lists!W3)+SUMIFS(B38:AT38,B7:AT7,Lists!W4)</f>
        <v>0</v>
      </c>
      <c r="C59" s="153"/>
      <c r="D59" s="154">
        <f ca="1">SUMIFS(B38:AT38,B$7:AT$7,Lists!AH$2)+SUMIFS(B38:AT38,B$7:AT$7,Lists!AH$3)</f>
        <v>0</v>
      </c>
      <c r="E59" s="154">
        <f t="shared" ca="1" si="0"/>
        <v>0</v>
      </c>
      <c r="F59" s="154">
        <f ca="1">SUMIFS(B38:AT38,B7:AT7,Lists!W5)</f>
        <v>0</v>
      </c>
      <c r="G59" s="154">
        <f t="shared" ca="1" si="1"/>
        <v>0</v>
      </c>
    </row>
    <row r="60" spans="1:7" x14ac:dyDescent="0.25">
      <c r="A60" s="79" t="str">
        <f>"Interest Paid in "&amp;Year_DestinationYearID&amp;" from This District's Increment"</f>
        <v>Interest Paid in 2024 from This District's Increment</v>
      </c>
      <c r="B60" s="154">
        <f ca="1">SUMIFS(B39:AT39,B7:AT7,Lists!W2)+SUMIFS(B39:AT39,B7:AT7,Lists!W3)+SUMIFS(B39:AT39,B7:AT7,Lists!W4)</f>
        <v>0</v>
      </c>
      <c r="C60" s="154">
        <f ca="1">SUMIFS(B39:AT39,B7:AT7,"PAYG Note")</f>
        <v>0</v>
      </c>
      <c r="D60" s="154">
        <f ca="1">SUMIFS(B39:AT39,B$7:AT$7,Lists!AH$2)+SUMIFS(B39:AT39,B$7:AT$7,Lists!AH$3)</f>
        <v>0</v>
      </c>
      <c r="E60" s="154">
        <f t="shared" ca="1" si="0"/>
        <v>0</v>
      </c>
      <c r="F60" s="154">
        <f ca="1">SUMIFS(B39:AT39,B7:AT7,Lists!W5)</f>
        <v>0</v>
      </c>
      <c r="G60" s="154">
        <f t="shared" ca="1" si="1"/>
        <v>0</v>
      </c>
    </row>
    <row r="61" spans="1:7" x14ac:dyDescent="0.25">
      <c r="A61" s="79" t="str">
        <f>"Interest Paid in "&amp;Year_DestinationYearID&amp;" from Other Sources or Districts"</f>
        <v>Interest Paid in 2024 from Other Sources or Districts</v>
      </c>
      <c r="B61" s="154">
        <f ca="1">SUMIFS(B40:AT40,B7:AT7,Lists!W2)+SUMIFS(B40:AT40,B7:AT7,Lists!W3)+SUMIFS(B40:AT40,B7:AT7,Lists!W4)</f>
        <v>0</v>
      </c>
      <c r="C61" s="153"/>
      <c r="D61" s="154">
        <f ca="1">SUMIFS(B40:AT40,B$7:AT$7,Lists!AH$2)+SUMIFS(B40:AT40,B$7:AT$7,Lists!AH$3)</f>
        <v>0</v>
      </c>
      <c r="E61" s="154">
        <f t="shared" ca="1" si="0"/>
        <v>0</v>
      </c>
      <c r="F61" s="154">
        <f ca="1">SUMIFS(B40:AT40,B7:AT7,Lists!W5)</f>
        <v>0</v>
      </c>
      <c r="G61" s="154">
        <f t="shared" ca="1" si="1"/>
        <v>0</v>
      </c>
    </row>
    <row r="62" spans="1:7" x14ac:dyDescent="0.25">
      <c r="A62" s="79" t="str">
        <f>"Interest Due in "&amp;Year_DestinationYearID+1</f>
        <v>Interest Due in 2025</v>
      </c>
      <c r="B62" s="154">
        <f ca="1">SUMIFS(B41:AT41,B7:AT7,Lists!W2)+SUMIFS(B41:AT41,B7:AT7,Lists!W3)+SUMIFS(B41:AT41,B7:AT7,Lists!W4)</f>
        <v>0</v>
      </c>
      <c r="C62" s="154">
        <f ca="1">SUMIFS(B41:AT41,B7:AT7,"PAYG Note")</f>
        <v>0</v>
      </c>
      <c r="D62" s="154">
        <f ca="1">SUMIFS(B41:AT41,B$7:AT$7,Lists!AH$2)+SUMIFS(B41:AT41,B$7:AT$7,Lists!AH$3)</f>
        <v>0</v>
      </c>
      <c r="E62" s="154">
        <f t="shared" ca="1" si="0"/>
        <v>0</v>
      </c>
      <c r="F62" s="154">
        <f ca="1">SUMIFS(B41:AT41,B7:AT7,Lists!W5)</f>
        <v>0</v>
      </c>
      <c r="G62" s="154">
        <f t="shared" ca="1" si="1"/>
        <v>0</v>
      </c>
    </row>
    <row r="63" spans="1:7" x14ac:dyDescent="0.25">
      <c r="A63" s="79" t="s">
        <v>230</v>
      </c>
      <c r="B63" s="154">
        <f ca="1">SUMIFS(B21:AT21,B7:AT7,Lists!W2)+SUMIFS(B21:AT21,B7:AT7,Lists!W3)+SUMIFS(B21:AT21,B7:AT7,Lists!W4)</f>
        <v>0</v>
      </c>
      <c r="C63" s="153"/>
      <c r="D63" s="153"/>
      <c r="E63" s="154">
        <f t="shared" ca="1" si="0"/>
        <v>0</v>
      </c>
      <c r="F63" s="154">
        <f ca="1">SUMIFS(B21:AT21,B7:AT7,Lists!W5)</f>
        <v>0</v>
      </c>
      <c r="G63" s="154">
        <f t="shared" ca="1" si="1"/>
        <v>0</v>
      </c>
    </row>
    <row r="64" spans="1:7" x14ac:dyDescent="0.25">
      <c r="A64" s="79" t="s">
        <v>231</v>
      </c>
      <c r="B64" s="154">
        <f ca="1">SUMIFS(B22:AT22,B7:AT7,Lists!W2)+SUMIFS(B22:AT22,B7:AT7,Lists!W3)+SUMIFS(B22:AT22,B7:AT7,Lists!W4)</f>
        <v>0</v>
      </c>
      <c r="C64" s="153"/>
      <c r="D64" s="153"/>
      <c r="E64" s="154">
        <f t="shared" ca="1" si="0"/>
        <v>0</v>
      </c>
      <c r="F64" s="154">
        <f ca="1">SUMIFS(B22:AT22,B7:AT7,Lists!W5)</f>
        <v>0</v>
      </c>
      <c r="G64" s="154">
        <f t="shared" ca="1" si="1"/>
        <v>0</v>
      </c>
    </row>
    <row r="65" spans="1:8" ht="20.100000000000001" customHeight="1" x14ac:dyDescent="0.25">
      <c r="A65" s="74" t="s">
        <v>258</v>
      </c>
      <c r="B65" s="74" t="s">
        <v>259</v>
      </c>
    </row>
    <row r="66" spans="1:8" x14ac:dyDescent="0.25">
      <c r="A66" s="79" t="s">
        <v>260</v>
      </c>
      <c r="B66" s="155"/>
    </row>
    <row r="67" spans="1:8" x14ac:dyDescent="0.25">
      <c r="A67" s="79" t="s">
        <v>261</v>
      </c>
      <c r="B67" s="155"/>
    </row>
    <row r="68" spans="1:8" x14ac:dyDescent="0.25">
      <c r="A68" s="79" t="s">
        <v>262</v>
      </c>
      <c r="B68" s="155"/>
    </row>
    <row r="69" spans="1:8" x14ac:dyDescent="0.25">
      <c r="A69" s="79" t="s">
        <v>263</v>
      </c>
      <c r="B69" s="155"/>
    </row>
    <row r="70" spans="1:8" x14ac:dyDescent="0.25">
      <c r="A70" s="79" t="s">
        <v>264</v>
      </c>
      <c r="B70" s="155"/>
    </row>
    <row r="71" spans="1:8" ht="20.100000000000001" customHeight="1" x14ac:dyDescent="0.25">
      <c r="A71" s="97" t="s">
        <v>176</v>
      </c>
      <c r="D71" s="135"/>
      <c r="E71" s="74"/>
    </row>
    <row r="72" spans="1:8" ht="150" customHeight="1" x14ac:dyDescent="0.25">
      <c r="A72" s="123"/>
      <c r="B72" s="143" t="str">
        <f>HYPERLINK("#'Lent Funds'!A7","Click here to continue to the Lent Funds Tab")</f>
        <v>Click here to continue to the Lent Funds Tab</v>
      </c>
      <c r="C72" s="156"/>
      <c r="D72" s="157"/>
      <c r="E72" s="158"/>
      <c r="F72" s="156"/>
      <c r="G72" s="156"/>
      <c r="H72" s="156"/>
    </row>
    <row r="73" spans="1:8" x14ac:dyDescent="0.25">
      <c r="A73" s="98"/>
      <c r="B73" s="98"/>
      <c r="C73" s="98"/>
      <c r="D73" s="98"/>
      <c r="E73" s="98"/>
      <c r="F73" s="98"/>
      <c r="G73" s="98"/>
      <c r="H73" s="98"/>
    </row>
    <row r="74" spans="1:8" x14ac:dyDescent="0.25">
      <c r="A74" s="98"/>
      <c r="B74" s="98"/>
      <c r="C74" s="98"/>
      <c r="D74" s="98"/>
      <c r="E74" s="98"/>
      <c r="F74" s="98"/>
      <c r="G74" s="98"/>
      <c r="H74" s="98"/>
    </row>
    <row r="75" spans="1:8" x14ac:dyDescent="0.25">
      <c r="A75" s="98"/>
      <c r="B75" s="98"/>
      <c r="C75" s="98"/>
      <c r="D75" s="98"/>
      <c r="E75" s="98"/>
      <c r="F75" s="98"/>
      <c r="G75" s="98"/>
      <c r="H75" s="98"/>
    </row>
    <row r="76" spans="1:8" x14ac:dyDescent="0.25">
      <c r="A76" s="98"/>
      <c r="B76" s="98"/>
      <c r="C76" s="98"/>
      <c r="D76" s="98"/>
      <c r="E76" s="98"/>
      <c r="F76" s="98"/>
      <c r="G76" s="98"/>
      <c r="H76" s="98"/>
    </row>
  </sheetData>
  <sheetProtection algorithmName="SHA-512" hashValue="z4bwUSagHUSYl1y6GnyaVMNXZOx8YU60Zut+3Q5ocLEJkGUuAc9XCfkDxYat/AT5qf4BBPEf+xEf3ET7zFlYug==" saltValue="O02xOfiWjdvGTHPU9a10zA==" spinCount="100000" sheet="1" objects="1" scenarios="1"/>
  <mergeCells count="1">
    <mergeCell ref="A4:H4"/>
  </mergeCells>
  <phoneticPr fontId="7" type="noConversion"/>
  <conditionalFormatting sqref="A2">
    <cfRule type="expression" dxfId="614" priority="9">
      <formula>$D2="Error"</formula>
    </cfRule>
    <cfRule type="expression" dxfId="612" priority="11">
      <formula>$D2="Exclude"</formula>
    </cfRule>
  </conditionalFormatting>
  <conditionalFormatting sqref="B7:AT25">
    <cfRule type="expression" dxfId="611" priority="6">
      <formula>AND(B$6&lt;&gt;"",B7="")</formula>
    </cfRule>
    <cfRule type="cellIs" dxfId="610" priority="8" operator="equal">
      <formula>"N/A"</formula>
    </cfRule>
    <cfRule type="notContainsBlanks" dxfId="609" priority="12">
      <formula>LEN(TRIM(B7))&gt;0</formula>
    </cfRule>
  </conditionalFormatting>
  <conditionalFormatting sqref="D71:E71">
    <cfRule type="expression" dxfId="608" priority="1">
      <formula>$D71="Error"</formula>
    </cfRule>
  </conditionalFormatting>
  <conditionalFormatting sqref="D72:E72">
    <cfRule type="expression" dxfId="607" priority="2">
      <formula>$E72="Error"</formula>
    </cfRule>
  </conditionalFormatting>
  <conditionalFormatting sqref="G71">
    <cfRule type="expression" dxfId="606" priority="4">
      <formula>$D71="Error"</formula>
    </cfRule>
  </conditionalFormatting>
  <conditionalFormatting sqref="H21">
    <cfRule type="expression" dxfId="605" priority="5">
      <formula>AND(H$6&lt;&gt;"",H21="")</formula>
    </cfRule>
  </conditionalFormatting>
  <pageMargins left="0.7" right="0.7" top="0.75" bottom="0.75" header="0.3" footer="0.3"/>
  <pageSetup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10" id="{084B9C2C-6BF8-42AE-A28F-A01859B8D983}">
            <xm:f>COUNTIFS(Validation!$H:$H,MID(CELL("filename",A2),FIND("]",CELL("filename",A2))+1,255)&amp;CELL("address",A2))&gt;0</xm:f>
            <x14:dxf>
              <font>
                <b/>
                <i val="0"/>
                <color rgb="FFC00000"/>
              </font>
              <numFmt numFmtId="172" formatCode="_(\!* #,##0_);_(\!* \(#,##0\);_(\!* \-??_);_(\!\ @_)"/>
            </x14:dxf>
          </x14:cfRule>
          <xm:sqref>A2</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3DB43-359C-450C-8FB9-47A4BCD8451D}">
  <sheetPr codeName="Sheet12"/>
  <dimension ref="A1:G66"/>
  <sheetViews>
    <sheetView showGridLines="0" workbookViewId="0">
      <selection activeCell="B6" sqref="B6"/>
    </sheetView>
  </sheetViews>
  <sheetFormatPr defaultRowHeight="15" x14ac:dyDescent="0.25"/>
  <cols>
    <col min="1" max="1" width="55.7109375" style="66" customWidth="1"/>
    <col min="2" max="2" width="45.7109375" style="66" customWidth="1"/>
    <col min="3" max="3" width="80.85546875" style="66" customWidth="1"/>
    <col min="4" max="4" width="14.7109375" style="66" customWidth="1"/>
    <col min="5" max="6" width="10.7109375" style="78" hidden="1" customWidth="1"/>
    <col min="7" max="7" width="20.7109375" style="78" hidden="1" customWidth="1"/>
    <col min="8" max="16384" width="9.140625" style="66"/>
  </cols>
  <sheetData>
    <row r="1" spans="1:7" s="59" customFormat="1" ht="24.95" customHeight="1" x14ac:dyDescent="0.25">
      <c r="A1" s="59" t="str">
        <f>_xlfn.CONCAT("Office of the State Auditor  -  TIF Annual Reporting Form  -  ",Year_DestinationYearID)</f>
        <v>Office of the State Auditor  -  TIF Annual Reporting Form  -  2024</v>
      </c>
      <c r="E1" s="61"/>
      <c r="F1" s="61"/>
      <c r="G1" s="61"/>
    </row>
    <row r="2" spans="1:7" s="62" customFormat="1" ht="20.100000000000001" customHeight="1" x14ac:dyDescent="0.25">
      <c r="A2" s="58" t="str">
        <f>_xlfn.CONCAT(GovEntity_GovEntityName_Parent,"  -  ",GovEntity_GovEntityName)</f>
        <v>Spruce City  -  TIF 1-1 Downtown Redev</v>
      </c>
      <c r="E2" s="64"/>
      <c r="F2" s="64"/>
      <c r="G2" s="64"/>
    </row>
    <row r="3" spans="1:7" s="68" customFormat="1" ht="24.95" customHeight="1" x14ac:dyDescent="0.3">
      <c r="A3" s="65" t="s">
        <v>277</v>
      </c>
      <c r="B3" s="66"/>
      <c r="E3" s="69"/>
      <c r="F3" s="69"/>
      <c r="G3" s="69"/>
    </row>
    <row r="4" spans="1:7" s="71" customFormat="1" ht="60" customHeight="1" x14ac:dyDescent="0.25">
      <c r="A4" s="217" t="s">
        <v>1673</v>
      </c>
      <c r="B4" s="217"/>
      <c r="C4" s="217"/>
      <c r="D4" s="217"/>
      <c r="E4" s="72" t="s">
        <v>119</v>
      </c>
      <c r="F4" s="72" t="s">
        <v>119</v>
      </c>
      <c r="G4" s="72" t="s">
        <v>119</v>
      </c>
    </row>
    <row r="5" spans="1:7" s="74" customFormat="1" ht="20.100000000000001" customHeight="1" x14ac:dyDescent="0.25">
      <c r="A5" s="73" t="str">
        <f>HYPERLINK("#'Revenues'!B7","Click here to continue to the Revenues Tab")</f>
        <v>Click here to continue to the Revenues Tab</v>
      </c>
      <c r="C5" s="74" t="s">
        <v>121</v>
      </c>
      <c r="D5" s="74" t="s">
        <v>102</v>
      </c>
      <c r="E5" s="76" t="s">
        <v>475</v>
      </c>
      <c r="F5" s="76" t="s">
        <v>476</v>
      </c>
      <c r="G5" s="76" t="s">
        <v>484</v>
      </c>
    </row>
    <row r="6" spans="1:7" s="74" customFormat="1" x14ac:dyDescent="0.25">
      <c r="A6" s="81" t="s">
        <v>868</v>
      </c>
      <c r="B6" s="103" t="str">
        <f>IF(TIF_InterfundLoan_InterfundLentInd_Input=TRUE,"Yes","Select One")</f>
        <v>Select One</v>
      </c>
      <c r="C6" s="66" t="str">
        <f ca="1">IFERROR(INDEX(Validation!G:G,MATCH("Lent Funds"&amp;CELL("address",C6),Validation!I:I,0)),"")</f>
        <v>You must select Yes or No.</v>
      </c>
      <c r="D6" s="66" t="str">
        <f ca="1">IFERROR(INDEX(Validation!F:F,MATCH("Lent Funds"&amp;CELL("address",C6),Validation!I:I,0)),"")</f>
        <v>Error</v>
      </c>
      <c r="E6" s="85" t="b">
        <v>0</v>
      </c>
      <c r="F6" s="85"/>
      <c r="G6" s="86" t="s">
        <v>952</v>
      </c>
    </row>
    <row r="7" spans="1:7" ht="20.100000000000001" customHeight="1" x14ac:dyDescent="0.25">
      <c r="A7" s="74" t="s">
        <v>278</v>
      </c>
      <c r="B7" s="74" t="s">
        <v>196</v>
      </c>
    </row>
    <row r="8" spans="1:7" x14ac:dyDescent="0.25">
      <c r="A8" s="77" t="s">
        <v>881</v>
      </c>
      <c r="B8" s="145" t="str" cm="1">
        <f t="array" aca="1" ref="B8" ca="1">IF(A8="","",IF(INDIRECT("'"&amp;A8&amp;"'!B$7")=Lists!$AH$4,HYPERLINK("#'"&amp;A8&amp;"'!B$7",INDIRECT("'"&amp;A8&amp;"'!B$8")),IF(INDIRECT("'"&amp;A8&amp;"'!B$7")=Lists!$AH$5,HYPERLINK("#'"&amp;A8&amp;"'!B$7",INDIRECT("'"&amp;A8&amp;"'!B$9")),HYPERLINK("#'"&amp;A8&amp;"'!B$7","Click here to enter a new loan"))))</f>
        <v>Click here to enter a new loan</v>
      </c>
      <c r="C8" s="66" t="str">
        <f ca="1">IF(COUNTIF(DFLoan1!D:D,"Error")=1,"There is "&amp;COUNTIF(DFLoan1!D:D,"Error")&amp;" unresolved error on the entry screen. Click link to return and resolve it.",IF(COUNTIF(DFLoan1!D:D,"Error")&gt;0,"There are "&amp;COUNTIF(DFLoan1!D:D,"Error")&amp;" unresolved errors on the entry screen. Click link to return and resolve them.",""))</f>
        <v/>
      </c>
      <c r="D8" s="66" t="str">
        <f ca="1">IF(COUNTIF(DFLoan1!D:D,"Error")&gt;0,"Error","")</f>
        <v/>
      </c>
    </row>
    <row r="9" spans="1:7" x14ac:dyDescent="0.25">
      <c r="A9" s="77" t="str" cm="1">
        <f t="array" aca="1" ref="A9" ca="1">IF(OR(B8="",B8="Click here to enter a new Loan"),"","DFLoan"&amp;(CELL("row",A9)-7))</f>
        <v/>
      </c>
      <c r="B9" s="145" t="str" cm="1">
        <f t="array" aca="1" ref="B9" ca="1">IF(A9="","",IF(INDIRECT("'"&amp;A9&amp;"'!B$7")=Lists!$AH$4,HYPERLINK("#'"&amp;A9&amp;"'!B$7",INDIRECT("'"&amp;A9&amp;"'!B$8")),IF(INDIRECT("'"&amp;A9&amp;"'!B$7")=Lists!$AH$5,HYPERLINK("#'"&amp;A9&amp;"'!B$7",INDIRECT("'"&amp;A9&amp;"'!B$9")),HYPERLINK("#'"&amp;A9&amp;"'!B$7","Click here to enter a new loan"))))</f>
        <v/>
      </c>
      <c r="C9" s="66" t="str">
        <f ca="1">IF(COUNTIF(DFLoan2!D:D,"Error")=1,"There is "&amp;COUNTIF(DFLoan2!D:D,"Error")&amp;" unresolved error on the entry screen. Click link to return and resolve it.",IF(COUNTIF(DFLoan2!D:D,"Error")&gt;0,"There are "&amp;COUNTIF(DFLoan2!D:D,"Error")&amp;" unresolved errors on the entry screen. Click link to return and resolve them.",""))</f>
        <v/>
      </c>
      <c r="D9" s="66" t="str">
        <f ca="1">IF(COUNTIF(DFLoan2!D:D,"Error")&gt;0,"Error","")</f>
        <v/>
      </c>
    </row>
    <row r="10" spans="1:7" x14ac:dyDescent="0.25">
      <c r="A10" s="77" t="str" cm="1">
        <f t="array" aca="1" ref="A10" ca="1">IF(OR(B9="",B9="Click here to enter a new Loan"),"","DFLoan"&amp;(CELL("row",A10)-7))</f>
        <v/>
      </c>
      <c r="B10" s="145" t="str" cm="1">
        <f t="array" aca="1" ref="B10" ca="1">IF(A10="","",IF(INDIRECT("'"&amp;A10&amp;"'!B$7")=Lists!$AH$4,HYPERLINK("#'"&amp;A10&amp;"'!B$7",INDIRECT("'"&amp;A10&amp;"'!B$8")),IF(INDIRECT("'"&amp;A10&amp;"'!B$7")=Lists!$AH$5,HYPERLINK("#'"&amp;A10&amp;"'!B$7",INDIRECT("'"&amp;A10&amp;"'!B$9")),HYPERLINK("#'"&amp;A10&amp;"'!B$7","Click here to enter a new loan"))))</f>
        <v/>
      </c>
      <c r="C10" s="66" t="str">
        <f ca="1">IF(COUNTIF(DFLoan3!D:D,"Error")=1,"There is "&amp;COUNTIF(DFLoan3!D:D,"Error")&amp;" unresolved error on the entry screen. Click link to return and resolve it.",IF(COUNTIF(DFLoan3!D:D,"Error")&gt;0,"There are "&amp;COUNTIF(DFLoan3!D:D,"Error")&amp;" unresolved errors on the entry screen. Click link to return and resolve them.",""))</f>
        <v/>
      </c>
      <c r="D10" s="66" t="str">
        <f ca="1">IF(COUNTIF(DFLoan3!D:D,"Error")&gt;0,"Error","")</f>
        <v/>
      </c>
    </row>
    <row r="11" spans="1:7" x14ac:dyDescent="0.25">
      <c r="A11" s="77" t="str" cm="1">
        <f t="array" aca="1" ref="A11" ca="1">IF(OR(B10="",B10="Click here to enter a new Loan"),"","DFLoan"&amp;(CELL("row",A11)-7))</f>
        <v/>
      </c>
      <c r="B11" s="145" t="str" cm="1">
        <f t="array" aca="1" ref="B11" ca="1">IF(A11="","",IF(INDIRECT("'"&amp;A11&amp;"'!B$7")=Lists!$AH$4,HYPERLINK("#'"&amp;A11&amp;"'!B$7",INDIRECT("'"&amp;A11&amp;"'!B$8")),IF(INDIRECT("'"&amp;A11&amp;"'!B$7")=Lists!$AH$5,HYPERLINK("#'"&amp;A11&amp;"'!B$7",INDIRECT("'"&amp;A11&amp;"'!B$9")),HYPERLINK("#'"&amp;A11&amp;"'!B$7","Click here to enter a new loan"))))</f>
        <v/>
      </c>
      <c r="C11" s="66" t="str">
        <f ca="1">IF(COUNTIF(DFLoan4!D:D,"Error")=1,"There is "&amp;COUNTIF(DFLoan4!D:D,"Error")&amp;" unresolved error on the entry screen. Click link to return and resolve it.",IF(COUNTIF(DFLoan4!D:D,"Error")&gt;0,"There are "&amp;COUNTIF(DFLoan4!D:D,"Error")&amp;" unresolved errors on the entry screen. Click link to return and resolve them.",""))</f>
        <v/>
      </c>
      <c r="D11" s="66" t="str">
        <f ca="1">IF(COUNTIF(DFLoan4!D:D,"Error")&gt;0,"Error","")</f>
        <v/>
      </c>
    </row>
    <row r="12" spans="1:7" x14ac:dyDescent="0.25">
      <c r="A12" s="77" t="str" cm="1">
        <f t="array" aca="1" ref="A12" ca="1">IF(OR(B11="",B11="Click here to enter a new Loan"),"","DFLoan"&amp;(CELL("row",A12)-7))</f>
        <v/>
      </c>
      <c r="B12" s="145" t="str" cm="1">
        <f t="array" aca="1" ref="B12" ca="1">IF(A12="","",IF(INDIRECT("'"&amp;A12&amp;"'!B$7")=Lists!$AH$4,HYPERLINK("#'"&amp;A12&amp;"'!B$7",INDIRECT("'"&amp;A12&amp;"'!B$8")),IF(INDIRECT("'"&amp;A12&amp;"'!B$7")=Lists!$AH$5,HYPERLINK("#'"&amp;A12&amp;"'!B$7",INDIRECT("'"&amp;A12&amp;"'!B$9")),HYPERLINK("#'"&amp;A12&amp;"'!B$7","Click here to enter a new loan"))))</f>
        <v/>
      </c>
      <c r="C12" s="66" t="str">
        <f ca="1">IF(COUNTIF(DFLoan5!D:D,"Error")=1,"There is "&amp;COUNTIF(DFLoan5!D:D,"Error")&amp;" unresolved error on the entry screen. Click link to return and resolve it.",IF(COUNTIF(DFLoan5!D:D,"Error")&gt;0,"There are "&amp;COUNTIF(DFLoan5!D:D,"Error")&amp;" unresolved errors on the entry screen. Click link to return and resolve them.",""))</f>
        <v/>
      </c>
      <c r="D12" s="66" t="str">
        <f ca="1">IF(COUNTIF(DFLoan5!D:D,"Error")&gt;0,"Error","")</f>
        <v/>
      </c>
    </row>
    <row r="13" spans="1:7" x14ac:dyDescent="0.25">
      <c r="A13" s="77" t="str" cm="1">
        <f t="array" aca="1" ref="A13" ca="1">IF(OR(B12="",B12="Click here to enter a new Loan"),"","DFLoan"&amp;(CELL("row",A13)-7))</f>
        <v/>
      </c>
      <c r="B13" s="145" t="str" cm="1">
        <f t="array" aca="1" ref="B13" ca="1">IF(A13="","",IF(INDIRECT("'"&amp;A13&amp;"'!B$7")=Lists!$AH$4,HYPERLINK("#'"&amp;A13&amp;"'!B$7",INDIRECT("'"&amp;A13&amp;"'!B$8")),IF(INDIRECT("'"&amp;A13&amp;"'!B$7")=Lists!$AH$5,HYPERLINK("#'"&amp;A13&amp;"'!B$7",INDIRECT("'"&amp;A13&amp;"'!B$9")),HYPERLINK("#'"&amp;A13&amp;"'!B$7","Click here to enter a new loan"))))</f>
        <v/>
      </c>
      <c r="C13" s="66" t="str">
        <f ca="1">IF(COUNTIF(DFLoan6!D:D,"Error")=1,"There is "&amp;COUNTIF(DFLoan6!D:D,"Error")&amp;" unresolved error on the entry screen. Click link to return and resolve it.",IF(COUNTIF(DFLoan6!D:D,"Error")&gt;0,"There are "&amp;COUNTIF(DFLoan6!D:D,"Error")&amp;" unresolved errors on the entry screen. Click link to return and resolve them.",""))</f>
        <v/>
      </c>
      <c r="D13" s="66" t="str">
        <f ca="1">IF(COUNTIF(DFLoan6!D:D,"Error")&gt;0,"Error","")</f>
        <v/>
      </c>
    </row>
    <row r="14" spans="1:7" x14ac:dyDescent="0.25">
      <c r="A14" s="77" t="str" cm="1">
        <f t="array" aca="1" ref="A14" ca="1">IF(OR(B13="",B13="Click here to enter a new Loan"),"","DFLoan"&amp;(CELL("row",A14)-7))</f>
        <v/>
      </c>
      <c r="B14" s="145" t="str" cm="1">
        <f t="array" aca="1" ref="B14" ca="1">IF(A14="","",IF(INDIRECT("'"&amp;A14&amp;"'!B$7")=Lists!$AH$4,HYPERLINK("#'"&amp;A14&amp;"'!B$7",INDIRECT("'"&amp;A14&amp;"'!B$8")),IF(INDIRECT("'"&amp;A14&amp;"'!B$7")=Lists!$AH$5,HYPERLINK("#'"&amp;A14&amp;"'!B$7",INDIRECT("'"&amp;A14&amp;"'!B$9")),HYPERLINK("#'"&amp;A14&amp;"'!B$7","Click here to enter a new loan"))))</f>
        <v/>
      </c>
      <c r="C14" s="66" t="str">
        <f ca="1">IF(COUNTIF(DFLoan7!D:D,"Error")=1,"There is "&amp;COUNTIF(DFLoan7!D:D,"Error")&amp;" unresolved error on the entry screen. Click link to return and resolve it.",IF(COUNTIF(DFLoan7!D:D,"Error")&gt;0,"There are "&amp;COUNTIF(DFLoan7!D:D,"Error")&amp;" unresolved errors on the entry screen. Click link to return and resolve them.",""))</f>
        <v/>
      </c>
      <c r="D14" s="66" t="str">
        <f ca="1">IF(COUNTIF(DFLoan7!D:D,"Error")&gt;0,"Error","")</f>
        <v/>
      </c>
    </row>
    <row r="15" spans="1:7" x14ac:dyDescent="0.25">
      <c r="A15" s="77" t="str" cm="1">
        <f t="array" aca="1" ref="A15" ca="1">IF(OR(B14="",B14="Click here to enter a new Loan"),"","DFLoan"&amp;(CELL("row",A15)-7))</f>
        <v/>
      </c>
      <c r="B15" s="145" t="str" cm="1">
        <f t="array" aca="1" ref="B15" ca="1">IF(A15="","",IF(INDIRECT("'"&amp;A15&amp;"'!B$7")=Lists!$AH$4,HYPERLINK("#'"&amp;A15&amp;"'!B$7",INDIRECT("'"&amp;A15&amp;"'!B$8")),IF(INDIRECT("'"&amp;A15&amp;"'!B$7")=Lists!$AH$5,HYPERLINK("#'"&amp;A15&amp;"'!B$7",INDIRECT("'"&amp;A15&amp;"'!B$9")),HYPERLINK("#'"&amp;A15&amp;"'!B$7","Click here to enter a new loan"))))</f>
        <v/>
      </c>
      <c r="C15" s="66" t="str">
        <f ca="1">IF(COUNTIF(DFLoan8!D:D,"Error")=1,"There is "&amp;COUNTIF(DFLoan8!D:D,"Error")&amp;" unresolved error on the entry screen. Click link to return and resolve it.",IF(COUNTIF(DFLoan8!D:D,"Error")&gt;0,"There are "&amp;COUNTIF(DFLoan8!D:D,"Error")&amp;" unresolved errors on the entry screen. Click link to return and resolve them.",""))</f>
        <v/>
      </c>
      <c r="D15" s="66" t="str">
        <f ca="1">IF(COUNTIF(DFLoan8!D:D,"Error")&gt;0,"Error","")</f>
        <v/>
      </c>
    </row>
    <row r="16" spans="1:7" x14ac:dyDescent="0.25">
      <c r="A16" s="77" t="str" cm="1">
        <f t="array" aca="1" ref="A16" ca="1">IF(OR(B15="",B15="Click here to enter a new Loan"),"","DFLoan"&amp;(CELL("row",A16)-7))</f>
        <v/>
      </c>
      <c r="B16" s="145" t="str" cm="1">
        <f t="array" aca="1" ref="B16" ca="1">IF(A16="","",IF(INDIRECT("'"&amp;A16&amp;"'!B$7")=Lists!$AH$4,HYPERLINK("#'"&amp;A16&amp;"'!B$7",INDIRECT("'"&amp;A16&amp;"'!B$8")),IF(INDIRECT("'"&amp;A16&amp;"'!B$7")=Lists!$AH$5,HYPERLINK("#'"&amp;A16&amp;"'!B$7",INDIRECT("'"&amp;A16&amp;"'!B$9")),HYPERLINK("#'"&amp;A16&amp;"'!B$7","Click here to enter a new loan"))))</f>
        <v/>
      </c>
      <c r="C16" s="66" t="str">
        <f ca="1">IF(COUNTIF(DFLoan9!D:D,"Error")=1,"There is "&amp;COUNTIF(DFLoan9!D:D,"Error")&amp;" unresolved error on the entry screen. Click link to return and resolve it.",IF(COUNTIF(DFLoan9!D:D,"Error")&gt;0,"There are "&amp;COUNTIF(DFLoan9!D:D,"Error")&amp;" unresolved errors on the entry screen. Click link to return and resolve them.",""))</f>
        <v/>
      </c>
      <c r="D16" s="66" t="str">
        <f ca="1">IF(COUNTIF(DFLoan9!D:D,"Error")&gt;0,"Error","")</f>
        <v/>
      </c>
    </row>
    <row r="17" spans="1:7" x14ac:dyDescent="0.25">
      <c r="A17" s="77" t="str" cm="1">
        <f t="array" aca="1" ref="A17" ca="1">IF(OR(B16="",B16="Click here to enter a new Loan"),"","DFLoan"&amp;(CELL("row",A17)-7))</f>
        <v/>
      </c>
      <c r="B17" s="145" t="str" cm="1">
        <f t="array" aca="1" ref="B17" ca="1">IF(A17="","",IF(INDIRECT("'"&amp;A17&amp;"'!B$7")=Lists!$AH$4,HYPERLINK("#'"&amp;A17&amp;"'!B$7",INDIRECT("'"&amp;A17&amp;"'!B$8")),IF(INDIRECT("'"&amp;A17&amp;"'!B$7")=Lists!$AH$5,HYPERLINK("#'"&amp;A17&amp;"'!B$7",INDIRECT("'"&amp;A17&amp;"'!B$9")),HYPERLINK("#'"&amp;A17&amp;"'!B$7","Click here to enter a new loan"))))</f>
        <v/>
      </c>
      <c r="C17" s="66" t="str">
        <f ca="1">IF(COUNTIF(DFLoan10!D:D,"Error")=1,"There is "&amp;COUNTIF(DFLoan10!D:D,"Error")&amp;" unresolved error on the entry screen. Click link to return and resolve it.",IF(COUNTIF(DFLoan10!D:D,"Error")&gt;0,"There are "&amp;COUNTIF(DFLoan10!D:D,"Error")&amp;" unresolved errors on the entry screen. Click link to return and resolve them.",""))</f>
        <v/>
      </c>
      <c r="D17" s="66" t="str">
        <f ca="1">IF(COUNTIF(DFLoan10!D:D,"Error")&gt;0,"Error","")</f>
        <v/>
      </c>
    </row>
    <row r="18" spans="1:7" x14ac:dyDescent="0.25">
      <c r="A18" s="77" t="str" cm="1">
        <f t="array" aca="1" ref="A18" ca="1">IF(OR(B17="",B17="Click here to enter a new Loan"),"","DFLoan"&amp;(CELL("row",A18)-7))</f>
        <v/>
      </c>
      <c r="B18" s="145" t="str" cm="1">
        <f t="array" aca="1" ref="B18" ca="1">IF(A18="","",IF(INDIRECT("'"&amp;A18&amp;"'!B$7")=Lists!$AH$4,HYPERLINK("#'"&amp;A18&amp;"'!B$7",INDIRECT("'"&amp;A18&amp;"'!B$8")),IF(INDIRECT("'"&amp;A18&amp;"'!B$7")=Lists!$AH$5,HYPERLINK("#'"&amp;A18&amp;"'!B$7",INDIRECT("'"&amp;A18&amp;"'!B$9")),HYPERLINK("#'"&amp;A18&amp;"'!B$7","Click here to enter a new loan"))))</f>
        <v/>
      </c>
      <c r="C18" s="66" t="str">
        <f ca="1">IF(COUNTIF(DFLoan11!D:D,"Error")=1,"There is "&amp;COUNTIF(DFLoan11!D:D,"Error")&amp;" unresolved error on the entry screen. Click link to return and resolve it.",IF(COUNTIF(DFLoan11!D:D,"Error")&gt;0,"There are "&amp;COUNTIF(DFLoan11!D:D,"Error")&amp;" unresolved errors on the entry screen. Click link to return and resolve them.",""))</f>
        <v/>
      </c>
      <c r="D18" s="66" t="str">
        <f ca="1">IF(COUNTIF(DFLoan11!D:D,"Error")&gt;0,"Error","")</f>
        <v/>
      </c>
    </row>
    <row r="19" spans="1:7" x14ac:dyDescent="0.25">
      <c r="A19" s="77" t="str" cm="1">
        <f t="array" aca="1" ref="A19" ca="1">IF(OR(B18="",B18="Click here to enter a new Loan"),"","DFLoan"&amp;(CELL("row",A19)-7))</f>
        <v/>
      </c>
      <c r="B19" s="145" t="str" cm="1">
        <f t="array" aca="1" ref="B19" ca="1">IF(A19="","",IF(INDIRECT("'"&amp;A19&amp;"'!B$7")=Lists!$AH$4,HYPERLINK("#'"&amp;A19&amp;"'!B$7",INDIRECT("'"&amp;A19&amp;"'!B$8")),IF(INDIRECT("'"&amp;A19&amp;"'!B$7")=Lists!$AH$5,HYPERLINK("#'"&amp;A19&amp;"'!B$7",INDIRECT("'"&amp;A19&amp;"'!B$9")),HYPERLINK("#'"&amp;A19&amp;"'!B$7","Click here to enter a new loan"))))</f>
        <v/>
      </c>
      <c r="C19" s="66" t="str">
        <f ca="1">IF(COUNTIF(DFLoan12!D:D,"Error")=1,"There is "&amp;COUNTIF(DFLoan12!D:D,"Error")&amp;" unresolved error on the entry screen. Click link to return and resolve it.",IF(COUNTIF(DFLoan12!D:D,"Error")&gt;0,"There are "&amp;COUNTIF(DFLoan12!D:D,"Error")&amp;" unresolved errors on the entry screen. Click link to return and resolve them.",""))</f>
        <v/>
      </c>
      <c r="D19" s="66" t="str">
        <f ca="1">IF(COUNTIF(DFLoan12!D:D,"Error")&gt;0,"Error","")</f>
        <v/>
      </c>
    </row>
    <row r="20" spans="1:7" x14ac:dyDescent="0.25">
      <c r="A20" s="77" t="str" cm="1">
        <f t="array" aca="1" ref="A20" ca="1">IF(OR(B19="",B19="Click here to enter a new Loan"),"","DFLoan"&amp;(CELL("row",A20)-7))</f>
        <v/>
      </c>
      <c r="B20" s="145" t="str" cm="1">
        <f t="array" aca="1" ref="B20" ca="1">IF(A20="","",IF(INDIRECT("'"&amp;A20&amp;"'!B$7")=Lists!$AH$4,HYPERLINK("#'"&amp;A20&amp;"'!B$7",INDIRECT("'"&amp;A20&amp;"'!B$8")),IF(INDIRECT("'"&amp;A20&amp;"'!B$7")=Lists!$AH$5,HYPERLINK("#'"&amp;A20&amp;"'!B$7",INDIRECT("'"&amp;A20&amp;"'!B$9")),HYPERLINK("#'"&amp;A20&amp;"'!B$7","Click here to enter a new loan"))))</f>
        <v/>
      </c>
      <c r="C20" s="66" t="str">
        <f ca="1">IF(COUNTIF(DFLoan13!D:D,"Error")=1,"There is "&amp;COUNTIF(DFLoan13!D:D,"Error")&amp;" unresolved error on the entry screen. Click link to return and resolve it.",IF(COUNTIF(DFLoan13!D:D,"Error")&gt;0,"There are "&amp;COUNTIF(DFLoan13!D:D,"Error")&amp;" unresolved errors on the entry screen. Click link to return and resolve them.",""))</f>
        <v/>
      </c>
      <c r="D20" s="66" t="str">
        <f ca="1">IF(COUNTIF(DFLoan13!D:D,"Error")&gt;0,"Error","")</f>
        <v/>
      </c>
    </row>
    <row r="21" spans="1:7" x14ac:dyDescent="0.25">
      <c r="A21" s="77" t="str" cm="1">
        <f t="array" aca="1" ref="A21" ca="1">IF(OR(B20="",B20="Click here to enter a new Loan"),"","DFLoan"&amp;(CELL("row",A21)-7))</f>
        <v/>
      </c>
      <c r="B21" s="145" t="str" cm="1">
        <f t="array" aca="1" ref="B21" ca="1">IF(A21="","",IF(INDIRECT("'"&amp;A21&amp;"'!B$7")=Lists!$AH$4,HYPERLINK("#'"&amp;A21&amp;"'!B$7",INDIRECT("'"&amp;A21&amp;"'!B$8")),IF(INDIRECT("'"&amp;A21&amp;"'!B$7")=Lists!$AH$5,HYPERLINK("#'"&amp;A21&amp;"'!B$7",INDIRECT("'"&amp;A21&amp;"'!B$9")),HYPERLINK("#'"&amp;A21&amp;"'!B$7","Click here to enter a new loan"))))</f>
        <v/>
      </c>
      <c r="C21" s="66" t="str">
        <f ca="1">IF(COUNTIF(DFLoan14!D:D,"Error")=1,"There is "&amp;COUNTIF(DFLoan14!D:D,"Error")&amp;" unresolved error on the entry screen. Click link to return and resolve it.",IF(COUNTIF(DFLoan14!D:D,"Error")&gt;0,"There are "&amp;COUNTIF(DFLoan14!D:D,"Error")&amp;" unresolved errors on the entry screen. Click link to return and resolve them.",""))</f>
        <v/>
      </c>
      <c r="D21" s="66" t="str">
        <f ca="1">IF(COUNTIF(DFLoan14!D:D,"Error")&gt;0,"Error","")</f>
        <v/>
      </c>
    </row>
    <row r="22" spans="1:7" x14ac:dyDescent="0.25">
      <c r="A22" s="77" t="str" cm="1">
        <f t="array" aca="1" ref="A22" ca="1">IF(OR(B21="",B21="Click here to enter a new Loan"),"","DFLoan"&amp;(CELL("row",A22)-7))</f>
        <v/>
      </c>
      <c r="B22" s="145" t="str" cm="1">
        <f t="array" aca="1" ref="B22" ca="1">IF(A22="","",IF(INDIRECT("'"&amp;A22&amp;"'!B$7")=Lists!$AH$4,HYPERLINK("#'"&amp;A22&amp;"'!B$7",INDIRECT("'"&amp;A22&amp;"'!B$8")),IF(INDIRECT("'"&amp;A22&amp;"'!B$7")=Lists!$AH$5,HYPERLINK("#'"&amp;A22&amp;"'!B$7",INDIRECT("'"&amp;A22&amp;"'!B$9")),HYPERLINK("#'"&amp;A22&amp;"'!B$7","Click here to enter a new loan"))))</f>
        <v/>
      </c>
      <c r="C22" s="66" t="str">
        <f ca="1">IF(COUNTIF(DFLoan15!D:D,"Error")=1,"There is "&amp;COUNTIF(DFLoan15!D:D,"Error")&amp;" unresolved error on the entry screen. Click link to return and resolve it.",IF(COUNTIF(DFLoan15!D:D,"Error")&gt;0,"There are "&amp;COUNTIF(DFLoan15!D:D,"Error")&amp;" unresolved errors on the entry screen. Click link to return and resolve them.",""))</f>
        <v/>
      </c>
      <c r="D22" s="66" t="str">
        <f ca="1">IF(COUNTIF(DFLoan15!D:D,"Error")&gt;0,"Error","")</f>
        <v/>
      </c>
    </row>
    <row r="23" spans="1:7" ht="20.100000000000001" customHeight="1" x14ac:dyDescent="0.25">
      <c r="A23" s="97" t="s">
        <v>176</v>
      </c>
      <c r="C23" s="66" t="str">
        <f ca="1">IFERROR(INDEX(Validation!G:G,MATCH("Lent Funds"&amp;CELL("address",C23),Validation!I:I,0)),"")</f>
        <v/>
      </c>
      <c r="D23" s="66" t="str">
        <f ca="1">IFERROR(INDEX(Validation!F:F,MATCH("Lent Funds"&amp;CELL("address",C23),Validation!I:I,0)),"")</f>
        <v/>
      </c>
    </row>
    <row r="24" spans="1:7" ht="150" customHeight="1" x14ac:dyDescent="0.25">
      <c r="A24" s="123"/>
      <c r="B24" s="100" t="str">
        <f>HYPERLINK("#'Revenues'!B7","Click here to continue to the Revenues Tab")</f>
        <v>Click here to continue to the Revenues Tab</v>
      </c>
    </row>
    <row r="25" spans="1:7" x14ac:dyDescent="0.25">
      <c r="A25" s="98"/>
      <c r="B25" s="98"/>
    </row>
    <row r="26" spans="1:7" x14ac:dyDescent="0.25">
      <c r="A26" s="98"/>
      <c r="B26" s="98"/>
    </row>
    <row r="27" spans="1:7" x14ac:dyDescent="0.25">
      <c r="A27" s="98"/>
      <c r="B27" s="98"/>
      <c r="E27" s="126"/>
      <c r="G27" s="86"/>
    </row>
    <row r="28" spans="1:7" x14ac:dyDescent="0.25">
      <c r="A28" s="98"/>
      <c r="B28" s="98"/>
    </row>
    <row r="66" spans="7:7" x14ac:dyDescent="0.25">
      <c r="G66" s="86"/>
    </row>
  </sheetData>
  <sheetProtection algorithmName="SHA-512" hashValue="xOJ1Br0+2rpePSfxfwgf9rvKotJtpXTd9IrQFqT2O5nokfSMdYqjN5xPbIyZb24Lol/TLhHxv8D7D4Wyo2hruQ==" saltValue="xp8bkIyXQjy5kx5MX5pRxg==" spinCount="100000" sheet="1" objects="1" scenarios="1"/>
  <mergeCells count="1">
    <mergeCell ref="A4:D4"/>
  </mergeCells>
  <phoneticPr fontId="7" type="noConversion"/>
  <conditionalFormatting sqref="A2">
    <cfRule type="expression" dxfId="604" priority="13">
      <formula>$D2="Error"</formula>
    </cfRule>
    <cfRule type="expression" dxfId="602" priority="15">
      <formula>$D2="Exclude"</formula>
    </cfRule>
  </conditionalFormatting>
  <conditionalFormatting sqref="A8:A22">
    <cfRule type="containsText" dxfId="600" priority="10" operator="containsText" text="Loan">
      <formula>NOT(ISERROR(SEARCH("Loan",A8)))</formula>
    </cfRule>
  </conditionalFormatting>
  <conditionalFormatting sqref="A8:B22">
    <cfRule type="expression" dxfId="599" priority="361">
      <formula>NOT(#REF!="Yes")</formula>
    </cfRule>
  </conditionalFormatting>
  <conditionalFormatting sqref="C8:C22">
    <cfRule type="expression" dxfId="597" priority="5">
      <formula>$D8="Error"</formula>
    </cfRule>
  </conditionalFormatting>
  <conditionalFormatting sqref="C6:D6">
    <cfRule type="expression" dxfId="596" priority="8">
      <formula>$D6="Error"</formula>
    </cfRule>
  </conditionalFormatting>
  <conditionalFormatting sqref="C23:D23">
    <cfRule type="expression" dxfId="595" priority="1">
      <formula>$D23="Error"</formula>
    </cfRule>
  </conditionalFormatting>
  <conditionalFormatting sqref="D8:D22">
    <cfRule type="expression" dxfId="594" priority="2">
      <formula>$D8="Alert"</formula>
    </cfRule>
    <cfRule type="expression" dxfId="593" priority="3">
      <formula>$D8="Error"</formula>
    </cfRule>
    <cfRule type="expression" dxfId="592" priority="4">
      <formula>$D8="Information"</formula>
    </cfRule>
  </conditionalFormatting>
  <dataValidations count="1">
    <dataValidation type="list" allowBlank="1" showInputMessage="1" showErrorMessage="1" sqref="B6" xr:uid="{E73E9C12-1E04-4A31-B704-AD57164431A2}">
      <formula1>SelOneYesNo</formula1>
    </dataValidation>
  </dataValidations>
  <pageMargins left="0.7" right="0.7" top="0.75" bottom="0.75" header="0.3" footer="0.3"/>
  <pageSetup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14" id="{4A8BA0A2-42F7-4EE6-836F-1ECA12790C04}">
            <xm:f>COUNTIFS(Validation!$H:$H,MID(CELL("filename",A2),FIND("]",CELL("filename",A2))+1,255)&amp;CELL("address",A2))&gt;0</xm:f>
            <x14:dxf>
              <font>
                <b/>
                <i val="0"/>
                <color rgb="FFC00000"/>
              </font>
              <numFmt numFmtId="172" formatCode="_(\!* #,##0_);_(\!* \(#,##0\);_(\!* \-??_);_(\!\ @_)"/>
            </x14:dxf>
          </x14:cfRule>
          <xm:sqref>A2</xm:sqref>
        </x14:conditionalFormatting>
        <x14:conditionalFormatting xmlns:xm="http://schemas.microsoft.com/office/excel/2006/main">
          <x14:cfRule type="expression" priority="7" id="{90730BC3-AE6B-41E7-8D5F-070FC7626D87}">
            <xm:f>COUNTIFS(Validation!$H:$H,MID(CELL("filename",XFD6),FIND("]",CELL("filename",XFD6))+1,255)&amp;CELL("address",XFD6))&gt;0</xm:f>
            <x14:dxf>
              <font>
                <b/>
                <i val="0"/>
                <color rgb="FFC00000"/>
              </font>
              <fill>
                <patternFill patternType="solid">
                  <bgColor rgb="FFFFFFFF"/>
                </patternFill>
              </fill>
            </x14:dxf>
          </x14:cfRule>
          <xm:sqref>A6</xm:sqref>
        </x14:conditionalFormatting>
        <x14:conditionalFormatting xmlns:xm="http://schemas.microsoft.com/office/excel/2006/main">
          <x14:cfRule type="expression" priority="6" id="{9D42F882-9A69-4D9E-9166-CE23869C147D}">
            <xm:f>COUNTIFS(Validation!$H:$H,MID(CELL("filename",B6),FIND("]",CELL("filename",B6))+1,255)&amp;CELL("address",B6))&gt;0</xm:f>
            <x14:dxf>
              <font>
                <b/>
                <i val="0"/>
                <color rgb="FFC00000"/>
              </font>
              <numFmt numFmtId="175" formatCode="_(\!* ###0_);_(\!* \(###0\);_(\!* \-??_);_(\!\ @_)"/>
            </x14:dxf>
          </x14:cfRule>
          <xm:sqref>B6</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4058B-3B56-436A-AE5B-52810471FDF8}">
  <sheetPr>
    <tabColor rgb="FFFFC000"/>
  </sheetPr>
  <dimension ref="A1:Q61"/>
  <sheetViews>
    <sheetView topLeftCell="A7" workbookViewId="0">
      <selection activeCell="C17" sqref="C17"/>
    </sheetView>
  </sheetViews>
  <sheetFormatPr defaultRowHeight="15" x14ac:dyDescent="0.25"/>
  <cols>
    <col min="1" max="1" width="55.7109375" customWidth="1"/>
    <col min="2" max="2" width="52.85546875" customWidth="1"/>
    <col min="3" max="3" width="14" customWidth="1"/>
    <col min="4" max="17" width="10" customWidth="1"/>
  </cols>
  <sheetData>
    <row r="1" spans="1:17" s="4" customFormat="1" ht="24.95" customHeight="1" x14ac:dyDescent="0.3">
      <c r="A1" s="29" t="s">
        <v>565</v>
      </c>
    </row>
    <row r="2" spans="1:17" s="9" customFormat="1" ht="45" customHeight="1" x14ac:dyDescent="0.25">
      <c r="A2" s="9" t="s">
        <v>566</v>
      </c>
    </row>
    <row r="3" spans="1:17" x14ac:dyDescent="0.25">
      <c r="B3" t="s">
        <v>506</v>
      </c>
      <c r="C3" t="s">
        <v>198</v>
      </c>
      <c r="D3" t="s">
        <v>302</v>
      </c>
      <c r="E3" t="s">
        <v>303</v>
      </c>
      <c r="F3" t="s">
        <v>304</v>
      </c>
      <c r="G3" t="s">
        <v>305</v>
      </c>
      <c r="H3" t="s">
        <v>306</v>
      </c>
      <c r="I3" t="s">
        <v>307</v>
      </c>
      <c r="J3" t="s">
        <v>308</v>
      </c>
      <c r="K3" t="s">
        <v>309</v>
      </c>
      <c r="L3" t="s">
        <v>310</v>
      </c>
      <c r="M3" t="s">
        <v>311</v>
      </c>
      <c r="N3" t="s">
        <v>312</v>
      </c>
      <c r="O3" t="s">
        <v>313</v>
      </c>
      <c r="P3" t="s">
        <v>314</v>
      </c>
      <c r="Q3" t="s">
        <v>315</v>
      </c>
    </row>
    <row r="4" spans="1:17" x14ac:dyDescent="0.25">
      <c r="A4" s="7" t="s">
        <v>1008</v>
      </c>
      <c r="B4" t="s">
        <v>1009</v>
      </c>
      <c r="C4" s="28" cm="1">
        <f t="array" aca="1" ref="C4" ca="1">INDIRECT("'"&amp;C3&amp;"'!F7")</f>
        <v>1233</v>
      </c>
      <c r="D4" s="28" t="str" cm="1">
        <f t="array" aca="1" ref="D4" ca="1">INDIRECT("'"&amp;D3&amp;"'!F7")</f>
        <v/>
      </c>
      <c r="E4" s="28" t="str" cm="1">
        <f t="array" aca="1" ref="E4" ca="1">INDIRECT("'"&amp;E3&amp;"'!F7")</f>
        <v/>
      </c>
      <c r="F4" s="28" t="str" cm="1">
        <f t="array" aca="1" ref="F4" ca="1">INDIRECT("'"&amp;F3&amp;"'!F7")</f>
        <v/>
      </c>
      <c r="G4" s="28" t="str" cm="1">
        <f t="array" aca="1" ref="G4" ca="1">INDIRECT("'"&amp;G3&amp;"'!F7")</f>
        <v/>
      </c>
      <c r="H4" s="28" t="str" cm="1">
        <f t="array" aca="1" ref="H4" ca="1">INDIRECT("'"&amp;H3&amp;"'!F7")</f>
        <v/>
      </c>
      <c r="I4" s="28" t="str" cm="1">
        <f t="array" aca="1" ref="I4" ca="1">INDIRECT("'"&amp;I3&amp;"'!F7")</f>
        <v/>
      </c>
      <c r="J4" s="28" t="str" cm="1">
        <f t="array" aca="1" ref="J4" ca="1">INDIRECT("'"&amp;J3&amp;"'!F7")</f>
        <v/>
      </c>
      <c r="K4" s="28" t="str" cm="1">
        <f t="array" aca="1" ref="K4" ca="1">INDIRECT("'"&amp;K3&amp;"'!F7")</f>
        <v/>
      </c>
      <c r="L4" s="28" t="str" cm="1">
        <f t="array" aca="1" ref="L4" ca="1">INDIRECT("'"&amp;L3&amp;"'!F7")</f>
        <v/>
      </c>
      <c r="M4" s="28" t="str" cm="1">
        <f t="array" aca="1" ref="M4" ca="1">INDIRECT("'"&amp;M3&amp;"'!F7")</f>
        <v/>
      </c>
      <c r="N4" s="28" t="str" cm="1">
        <f t="array" aca="1" ref="N4" ca="1">INDIRECT("'"&amp;N3&amp;"'!F7")</f>
        <v/>
      </c>
      <c r="O4" s="28" t="str" cm="1">
        <f t="array" aca="1" ref="O4" ca="1">INDIRECT("'"&amp;O3&amp;"'!F7")</f>
        <v/>
      </c>
      <c r="P4" s="28" t="str" cm="1">
        <f t="array" aca="1" ref="P4" ca="1">INDIRECT("'"&amp;P3&amp;"'!F7")</f>
        <v/>
      </c>
      <c r="Q4" s="28" t="str" cm="1">
        <f t="array" aca="1" ref="Q4" ca="1">INDIRECT("'"&amp;Q3&amp;"'!F7")</f>
        <v/>
      </c>
    </row>
    <row r="5" spans="1:17" x14ac:dyDescent="0.25">
      <c r="A5" s="7" t="s">
        <v>210</v>
      </c>
      <c r="B5" t="s">
        <v>539</v>
      </c>
      <c r="C5" s="28" t="str">
        <f>'Bond 1'!$B7</f>
        <v>2017 GO TIF Bond</v>
      </c>
      <c r="D5" s="28" t="str">
        <f>'Bond 2'!$B7</f>
        <v/>
      </c>
      <c r="E5" s="28" t="str">
        <f>'Bond 3'!$B7</f>
        <v/>
      </c>
      <c r="F5" s="28" t="str">
        <f>'Bond 4'!$B7</f>
        <v/>
      </c>
      <c r="G5" s="28" t="str">
        <f>'Bond 5'!$B7</f>
        <v/>
      </c>
      <c r="H5" s="28" t="str">
        <f>'Bond 6'!$B7</f>
        <v/>
      </c>
      <c r="I5" s="28" t="str">
        <f>'Bond 7'!$B7</f>
        <v/>
      </c>
      <c r="J5" s="28" t="str">
        <f>'Bond 8'!$B7</f>
        <v/>
      </c>
      <c r="K5" s="28" t="str">
        <f>'Bond 9'!$B7</f>
        <v/>
      </c>
      <c r="L5" s="28" t="str">
        <f>'Bond 10'!$B7</f>
        <v/>
      </c>
      <c r="M5" s="28" t="str">
        <f>'Bond 11'!$B7</f>
        <v/>
      </c>
      <c r="N5" s="28" t="str">
        <f>'Bond 12'!$B7</f>
        <v/>
      </c>
      <c r="O5" s="28" t="str">
        <f>'Bond 13'!$B7</f>
        <v/>
      </c>
      <c r="P5" s="28" t="str">
        <f>'Bond 14'!$B7</f>
        <v/>
      </c>
      <c r="Q5" s="28" t="str">
        <f>'Bond 15'!$B7</f>
        <v/>
      </c>
    </row>
    <row r="6" spans="1:17" x14ac:dyDescent="0.25">
      <c r="A6" s="7" t="s">
        <v>209</v>
      </c>
      <c r="B6" t="s">
        <v>538</v>
      </c>
      <c r="C6" s="28" t="str">
        <f>'Bond 1'!$B8</f>
        <v>General Obligation TIF Bond</v>
      </c>
      <c r="D6" s="28" t="str">
        <f>'Bond 2'!$B8</f>
        <v>Select One</v>
      </c>
      <c r="E6" s="28" t="str">
        <f>'Bond 3'!$B8</f>
        <v>Select One</v>
      </c>
      <c r="F6" s="28" t="str">
        <f>'Bond 4'!$B8</f>
        <v>Select One</v>
      </c>
      <c r="G6" s="28" t="str">
        <f>'Bond 5'!$B8</f>
        <v>Select One</v>
      </c>
      <c r="H6" s="28" t="str">
        <f>'Bond 6'!$B8</f>
        <v>Select One</v>
      </c>
      <c r="I6" s="28" t="str">
        <f>'Bond 7'!$B8</f>
        <v>Select One</v>
      </c>
      <c r="J6" s="28" t="str">
        <f>'Bond 8'!$B8</f>
        <v>Select One</v>
      </c>
      <c r="K6" s="28" t="str">
        <f>'Bond 9'!$B8</f>
        <v>Select One</v>
      </c>
      <c r="L6" s="28" t="str">
        <f>'Bond 10'!$B8</f>
        <v>Select One</v>
      </c>
      <c r="M6" s="28" t="str">
        <f>'Bond 11'!$B8</f>
        <v>Select One</v>
      </c>
      <c r="N6" s="28" t="str">
        <f>'Bond 12'!$B8</f>
        <v>Select One</v>
      </c>
      <c r="O6" s="28" t="str">
        <f>'Bond 13'!$B8</f>
        <v>Select One</v>
      </c>
      <c r="P6" s="28" t="str">
        <f>'Bond 14'!$B8</f>
        <v>Select One</v>
      </c>
      <c r="Q6" s="28" t="str">
        <f>'Bond 15'!$B8</f>
        <v>Select One</v>
      </c>
    </row>
    <row r="7" spans="1:17" x14ac:dyDescent="0.25">
      <c r="A7" s="7" t="s">
        <v>227</v>
      </c>
      <c r="B7" t="s">
        <v>540</v>
      </c>
      <c r="C7" s="28" t="str">
        <f>'Bond 1'!$B9</f>
        <v>No</v>
      </c>
      <c r="D7" s="28" t="str">
        <f>'Bond 2'!$B9</f>
        <v>Select One</v>
      </c>
      <c r="E7" s="28" t="str">
        <f>'Bond 3'!$B9</f>
        <v>Select One</v>
      </c>
      <c r="F7" s="28" t="str">
        <f>'Bond 4'!$B9</f>
        <v>Select One</v>
      </c>
      <c r="G7" s="28" t="str">
        <f>'Bond 5'!$B9</f>
        <v>Select One</v>
      </c>
      <c r="H7" s="28" t="str">
        <f>'Bond 6'!$B9</f>
        <v>Select One</v>
      </c>
      <c r="I7" s="28" t="str">
        <f>'Bond 7'!$B9</f>
        <v>Select One</v>
      </c>
      <c r="J7" s="28" t="str">
        <f>'Bond 8'!$B9</f>
        <v>Select One</v>
      </c>
      <c r="K7" s="28" t="str">
        <f>'Bond 9'!$B9</f>
        <v>Select One</v>
      </c>
      <c r="L7" s="28" t="str">
        <f>'Bond 10'!$B9</f>
        <v>Select One</v>
      </c>
      <c r="M7" s="28" t="str">
        <f>'Bond 11'!$B9</f>
        <v>Select One</v>
      </c>
      <c r="N7" s="28" t="str">
        <f>'Bond 12'!$B9</f>
        <v>Select One</v>
      </c>
      <c r="O7" s="28" t="str">
        <f>'Bond 13'!$B9</f>
        <v>Select One</v>
      </c>
      <c r="P7" s="28" t="str">
        <f>'Bond 14'!$B9</f>
        <v>Select One</v>
      </c>
      <c r="Q7" s="28" t="str">
        <f>'Bond 15'!$B9</f>
        <v>Select One</v>
      </c>
    </row>
    <row r="8" spans="1:17" x14ac:dyDescent="0.25">
      <c r="A8" s="7" t="s">
        <v>228</v>
      </c>
      <c r="B8" t="s">
        <v>541</v>
      </c>
      <c r="C8" s="28" t="str">
        <f>'Bond 1'!$B10</f>
        <v>No</v>
      </c>
      <c r="D8" s="28" t="str">
        <f>'Bond 2'!$B10</f>
        <v>Select One</v>
      </c>
      <c r="E8" s="28" t="str">
        <f>'Bond 3'!$B10</f>
        <v>Select One</v>
      </c>
      <c r="F8" s="28" t="str">
        <f>'Bond 4'!$B10</f>
        <v>Select One</v>
      </c>
      <c r="G8" s="28" t="str">
        <f>'Bond 5'!$B10</f>
        <v>Select One</v>
      </c>
      <c r="H8" s="28" t="str">
        <f>'Bond 6'!$B10</f>
        <v>Select One</v>
      </c>
      <c r="I8" s="28" t="str">
        <f>'Bond 7'!$B10</f>
        <v>Select One</v>
      </c>
      <c r="J8" s="28" t="str">
        <f>'Bond 8'!$B10</f>
        <v>Select One</v>
      </c>
      <c r="K8" s="28" t="str">
        <f>'Bond 9'!$B10</f>
        <v>Select One</v>
      </c>
      <c r="L8" s="28" t="str">
        <f>'Bond 10'!$B10</f>
        <v>Select One</v>
      </c>
      <c r="M8" s="28" t="str">
        <f>'Bond 11'!$B10</f>
        <v>Select One</v>
      </c>
      <c r="N8" s="28" t="str">
        <f>'Bond 12'!$B10</f>
        <v>Select One</v>
      </c>
      <c r="O8" s="28" t="str">
        <f>'Bond 13'!$B10</f>
        <v>Select One</v>
      </c>
      <c r="P8" s="28" t="str">
        <f>'Bond 14'!$B10</f>
        <v>Select One</v>
      </c>
      <c r="Q8" s="28" t="str">
        <f>'Bond 15'!$B10</f>
        <v>Select One</v>
      </c>
    </row>
    <row r="9" spans="1:17" x14ac:dyDescent="0.25">
      <c r="A9" s="7" t="s">
        <v>229</v>
      </c>
      <c r="B9" t="s">
        <v>542</v>
      </c>
      <c r="C9" s="28" t="str">
        <f>'Bond 1'!$B11</f>
        <v>No</v>
      </c>
      <c r="D9" s="28" t="str">
        <f>'Bond 2'!$B11</f>
        <v>Select One</v>
      </c>
      <c r="E9" s="28" t="str">
        <f>'Bond 3'!$B11</f>
        <v>Select One</v>
      </c>
      <c r="F9" s="28" t="str">
        <f>'Bond 4'!$B11</f>
        <v>Select One</v>
      </c>
      <c r="G9" s="28" t="str">
        <f>'Bond 5'!$B11</f>
        <v>Select One</v>
      </c>
      <c r="H9" s="28" t="str">
        <f>'Bond 6'!$B11</f>
        <v>Select One</v>
      </c>
      <c r="I9" s="28" t="str">
        <f>'Bond 7'!$B11</f>
        <v>Select One</v>
      </c>
      <c r="J9" s="28" t="str">
        <f>'Bond 8'!$B11</f>
        <v>Select One</v>
      </c>
      <c r="K9" s="28" t="str">
        <f>'Bond 9'!$B11</f>
        <v>Select One</v>
      </c>
      <c r="L9" s="28" t="str">
        <f>'Bond 10'!$B11</f>
        <v>Select One</v>
      </c>
      <c r="M9" s="28" t="str">
        <f>'Bond 11'!$B11</f>
        <v>Select One</v>
      </c>
      <c r="N9" s="28" t="str">
        <f>'Bond 12'!$B11</f>
        <v>Select One</v>
      </c>
      <c r="O9" s="28" t="str">
        <f>'Bond 13'!$B11</f>
        <v>Select One</v>
      </c>
      <c r="P9" s="28" t="str">
        <f>'Bond 14'!$B11</f>
        <v>Select One</v>
      </c>
      <c r="Q9" s="28" t="str">
        <f>'Bond 15'!$B11</f>
        <v>Select One</v>
      </c>
    </row>
    <row r="10" spans="1:17" x14ac:dyDescent="0.25">
      <c r="A10" s="7" t="s">
        <v>211</v>
      </c>
      <c r="B10" t="s">
        <v>543</v>
      </c>
      <c r="C10" s="37">
        <f>'Bond 1'!$B12</f>
        <v>42887</v>
      </c>
      <c r="D10" s="37" t="str">
        <f>'Bond 2'!$B12</f>
        <v/>
      </c>
      <c r="E10" s="37" t="str">
        <f>'Bond 3'!$B12</f>
        <v/>
      </c>
      <c r="F10" s="37" t="str">
        <f>'Bond 4'!$B12</f>
        <v/>
      </c>
      <c r="G10" s="37" t="str">
        <f>'Bond 5'!$B12</f>
        <v/>
      </c>
      <c r="H10" s="37" t="str">
        <f>'Bond 6'!$B12</f>
        <v/>
      </c>
      <c r="I10" s="37" t="str">
        <f>'Bond 7'!$B12</f>
        <v/>
      </c>
      <c r="J10" s="37" t="str">
        <f>'Bond 8'!$B12</f>
        <v/>
      </c>
      <c r="K10" s="37" t="str">
        <f>'Bond 9'!$B12</f>
        <v/>
      </c>
      <c r="L10" s="37" t="str">
        <f>'Bond 10'!$B12</f>
        <v/>
      </c>
      <c r="M10" s="37" t="str">
        <f>'Bond 11'!$B12</f>
        <v/>
      </c>
      <c r="N10" s="37" t="str">
        <f>'Bond 12'!$B12</f>
        <v/>
      </c>
      <c r="O10" s="37" t="str">
        <f>'Bond 13'!$B12</f>
        <v/>
      </c>
      <c r="P10" s="37" t="str">
        <f>'Bond 14'!$B12</f>
        <v/>
      </c>
      <c r="Q10" s="37" t="str">
        <f>'Bond 15'!$B12</f>
        <v/>
      </c>
    </row>
    <row r="11" spans="1:17" x14ac:dyDescent="0.25">
      <c r="A11" s="7" t="s">
        <v>212</v>
      </c>
      <c r="B11" t="s">
        <v>544</v>
      </c>
      <c r="C11" s="37">
        <f>'Bond 1'!$B13</f>
        <v>50437</v>
      </c>
      <c r="D11" s="37" t="str">
        <f>'Bond 2'!$B13</f>
        <v/>
      </c>
      <c r="E11" s="37" t="str">
        <f>'Bond 3'!$B13</f>
        <v/>
      </c>
      <c r="F11" s="37" t="str">
        <f>'Bond 4'!$B13</f>
        <v/>
      </c>
      <c r="G11" s="37" t="str">
        <f>'Bond 5'!$B13</f>
        <v/>
      </c>
      <c r="H11" s="37" t="str">
        <f>'Bond 6'!$B13</f>
        <v/>
      </c>
      <c r="I11" s="37" t="str">
        <f>'Bond 7'!$B13</f>
        <v/>
      </c>
      <c r="J11" s="37" t="str">
        <f>'Bond 8'!$B13</f>
        <v/>
      </c>
      <c r="K11" s="37" t="str">
        <f>'Bond 9'!$B13</f>
        <v/>
      </c>
      <c r="L11" s="37" t="str">
        <f>'Bond 10'!$B13</f>
        <v/>
      </c>
      <c r="M11" s="37" t="str">
        <f>'Bond 11'!$B13</f>
        <v/>
      </c>
      <c r="N11" s="37" t="str">
        <f>'Bond 12'!$B13</f>
        <v/>
      </c>
      <c r="O11" s="37" t="str">
        <f>'Bond 13'!$B13</f>
        <v/>
      </c>
      <c r="P11" s="37" t="str">
        <f>'Bond 14'!$B13</f>
        <v/>
      </c>
      <c r="Q11" s="37" t="str">
        <f>'Bond 15'!$B13</f>
        <v/>
      </c>
    </row>
    <row r="12" spans="1:17" x14ac:dyDescent="0.25">
      <c r="A12" s="7" t="s">
        <v>213</v>
      </c>
      <c r="B12" t="s">
        <v>545</v>
      </c>
      <c r="C12" s="28">
        <f>'Bond 1'!$B14</f>
        <v>2.15</v>
      </c>
      <c r="D12" s="28" t="str">
        <f>'Bond 2'!$B14</f>
        <v/>
      </c>
      <c r="E12" s="28" t="str">
        <f>'Bond 3'!$B14</f>
        <v/>
      </c>
      <c r="F12" s="28" t="str">
        <f>'Bond 4'!$B14</f>
        <v/>
      </c>
      <c r="G12" s="28" t="str">
        <f>'Bond 5'!$B14</f>
        <v/>
      </c>
      <c r="H12" s="28" t="str">
        <f>'Bond 6'!$B14</f>
        <v/>
      </c>
      <c r="I12" s="28" t="str">
        <f>'Bond 7'!$B14</f>
        <v/>
      </c>
      <c r="J12" s="28" t="str">
        <f>'Bond 8'!$B14</f>
        <v/>
      </c>
      <c r="K12" s="28" t="str">
        <f>'Bond 9'!$B14</f>
        <v/>
      </c>
      <c r="L12" s="28" t="str">
        <f>'Bond 10'!$B14</f>
        <v/>
      </c>
      <c r="M12" s="28" t="str">
        <f>'Bond 11'!$B14</f>
        <v/>
      </c>
      <c r="N12" s="28" t="str">
        <f>'Bond 12'!$B14</f>
        <v/>
      </c>
      <c r="O12" s="28" t="str">
        <f>'Bond 13'!$B14</f>
        <v/>
      </c>
      <c r="P12" s="28" t="str">
        <f>'Bond 14'!$B14</f>
        <v/>
      </c>
      <c r="Q12" s="28" t="str">
        <f>'Bond 15'!$B14</f>
        <v/>
      </c>
    </row>
    <row r="13" spans="1:17" x14ac:dyDescent="0.25">
      <c r="A13" s="7" t="s">
        <v>214</v>
      </c>
      <c r="B13" t="s">
        <v>546</v>
      </c>
      <c r="C13" s="28">
        <f>'Bond 1'!$B15</f>
        <v>3.9</v>
      </c>
      <c r="D13" s="28" t="str">
        <f>'Bond 2'!$B15</f>
        <v/>
      </c>
      <c r="E13" s="28" t="str">
        <f>'Bond 3'!$B15</f>
        <v/>
      </c>
      <c r="F13" s="28" t="str">
        <f>'Bond 4'!$B15</f>
        <v/>
      </c>
      <c r="G13" s="28" t="str">
        <f>'Bond 5'!$B15</f>
        <v/>
      </c>
      <c r="H13" s="28" t="str">
        <f>'Bond 6'!$B15</f>
        <v/>
      </c>
      <c r="I13" s="28" t="str">
        <f>'Bond 7'!$B15</f>
        <v/>
      </c>
      <c r="J13" s="28" t="str">
        <f>'Bond 8'!$B15</f>
        <v/>
      </c>
      <c r="K13" s="28" t="str">
        <f>'Bond 9'!$B15</f>
        <v/>
      </c>
      <c r="L13" s="28" t="str">
        <f>'Bond 10'!$B15</f>
        <v/>
      </c>
      <c r="M13" s="28" t="str">
        <f>'Bond 11'!$B15</f>
        <v/>
      </c>
      <c r="N13" s="28" t="str">
        <f>'Bond 12'!$B15</f>
        <v/>
      </c>
      <c r="O13" s="28" t="str">
        <f>'Bond 13'!$B15</f>
        <v/>
      </c>
      <c r="P13" s="28" t="str">
        <f>'Bond 14'!$B15</f>
        <v/>
      </c>
      <c r="Q13" s="28" t="str">
        <f>'Bond 15'!$B15</f>
        <v/>
      </c>
    </row>
    <row r="14" spans="1:17" x14ac:dyDescent="0.25">
      <c r="A14" s="7" t="s">
        <v>215</v>
      </c>
      <c r="B14" t="s">
        <v>547</v>
      </c>
      <c r="C14" s="28">
        <f>'Bond 1'!$B16</f>
        <v>350000</v>
      </c>
      <c r="D14" s="28" t="str">
        <f>'Bond 2'!$B16</f>
        <v/>
      </c>
      <c r="E14" s="28" t="str">
        <f>'Bond 3'!$B16</f>
        <v/>
      </c>
      <c r="F14" s="28" t="str">
        <f>'Bond 4'!$B16</f>
        <v/>
      </c>
      <c r="G14" s="28" t="str">
        <f>'Bond 5'!$B16</f>
        <v/>
      </c>
      <c r="H14" s="28" t="str">
        <f>'Bond 6'!$B16</f>
        <v/>
      </c>
      <c r="I14" s="28" t="str">
        <f>'Bond 7'!$B16</f>
        <v/>
      </c>
      <c r="J14" s="28" t="str">
        <f>'Bond 8'!$B16</f>
        <v/>
      </c>
      <c r="K14" s="28" t="str">
        <f>'Bond 9'!$B16</f>
        <v/>
      </c>
      <c r="L14" s="28" t="str">
        <f>'Bond 10'!$B16</f>
        <v/>
      </c>
      <c r="M14" s="28" t="str">
        <f>'Bond 11'!$B16</f>
        <v/>
      </c>
      <c r="N14" s="28" t="str">
        <f>'Bond 12'!$B16</f>
        <v/>
      </c>
      <c r="O14" s="28" t="str">
        <f>'Bond 13'!$B16</f>
        <v/>
      </c>
      <c r="P14" s="28" t="str">
        <f>'Bond 14'!$B16</f>
        <v/>
      </c>
      <c r="Q14" s="28" t="str">
        <f>'Bond 15'!$B16</f>
        <v/>
      </c>
    </row>
    <row r="15" spans="1:17" x14ac:dyDescent="0.25">
      <c r="A15" s="7" t="s">
        <v>230</v>
      </c>
      <c r="B15" s="32" t="s">
        <v>548</v>
      </c>
      <c r="C15" s="28">
        <f>'Bond 1'!$B17</f>
        <v>0</v>
      </c>
      <c r="D15" s="28" t="str">
        <f>'Bond 2'!$B17</f>
        <v/>
      </c>
      <c r="E15" s="28" t="str">
        <f>'Bond 3'!$B17</f>
        <v/>
      </c>
      <c r="F15" s="28" t="str">
        <f>'Bond 4'!$B17</f>
        <v/>
      </c>
      <c r="G15" s="28" t="str">
        <f>'Bond 5'!$B17</f>
        <v/>
      </c>
      <c r="H15" s="28" t="str">
        <f>'Bond 6'!$B17</f>
        <v/>
      </c>
      <c r="I15" s="28" t="str">
        <f>'Bond 7'!$B17</f>
        <v/>
      </c>
      <c r="J15" s="28" t="str">
        <f>'Bond 8'!$B17</f>
        <v/>
      </c>
      <c r="K15" s="28" t="str">
        <f>'Bond 9'!$B17</f>
        <v/>
      </c>
      <c r="L15" s="28" t="str">
        <f>'Bond 10'!$B17</f>
        <v/>
      </c>
      <c r="M15" s="28" t="str">
        <f>'Bond 11'!$B17</f>
        <v/>
      </c>
      <c r="N15" s="28" t="str">
        <f>'Bond 12'!$B17</f>
        <v/>
      </c>
      <c r="O15" s="28" t="str">
        <f>'Bond 13'!$B17</f>
        <v/>
      </c>
      <c r="P15" s="28" t="str">
        <f>'Bond 14'!$B17</f>
        <v/>
      </c>
      <c r="Q15" s="28" t="str">
        <f>'Bond 15'!$B17</f>
        <v/>
      </c>
    </row>
    <row r="16" spans="1:17" x14ac:dyDescent="0.25">
      <c r="A16" s="7" t="s">
        <v>231</v>
      </c>
      <c r="B16" s="32" t="s">
        <v>549</v>
      </c>
      <c r="C16" s="28">
        <f>'Bond 1'!$B18</f>
        <v>0</v>
      </c>
      <c r="D16" s="28" t="str">
        <f>'Bond 2'!$B18</f>
        <v/>
      </c>
      <c r="E16" s="28" t="str">
        <f>'Bond 3'!$B18</f>
        <v/>
      </c>
      <c r="F16" s="28" t="str">
        <f>'Bond 4'!$B18</f>
        <v/>
      </c>
      <c r="G16" s="28" t="str">
        <f>'Bond 5'!$B18</f>
        <v/>
      </c>
      <c r="H16" s="28" t="str">
        <f>'Bond 6'!$B18</f>
        <v/>
      </c>
      <c r="I16" s="28" t="str">
        <f>'Bond 7'!$B18</f>
        <v/>
      </c>
      <c r="J16" s="28" t="str">
        <f>'Bond 8'!$B18</f>
        <v/>
      </c>
      <c r="K16" s="28" t="str">
        <f>'Bond 9'!$B18</f>
        <v/>
      </c>
      <c r="L16" s="28" t="str">
        <f>'Bond 10'!$B18</f>
        <v/>
      </c>
      <c r="M16" s="28" t="str">
        <f>'Bond 11'!$B18</f>
        <v/>
      </c>
      <c r="N16" s="28" t="str">
        <f>'Bond 12'!$B18</f>
        <v/>
      </c>
      <c r="O16" s="28" t="str">
        <f>'Bond 13'!$B18</f>
        <v/>
      </c>
      <c r="P16" s="28" t="str">
        <f>'Bond 14'!$B18</f>
        <v/>
      </c>
      <c r="Q16" s="28" t="str">
        <f>'Bond 15'!$B18</f>
        <v/>
      </c>
    </row>
    <row r="17" spans="1:17" x14ac:dyDescent="0.25">
      <c r="A17" s="7" t="s">
        <v>216</v>
      </c>
      <c r="B17" t="s">
        <v>550</v>
      </c>
      <c r="C17" s="28">
        <f>'Bond 1'!$B19</f>
        <v>0</v>
      </c>
      <c r="D17" s="28" t="str">
        <f>'Bond 2'!$B19</f>
        <v/>
      </c>
      <c r="E17" s="28" t="str">
        <f>'Bond 3'!$B19</f>
        <v/>
      </c>
      <c r="F17" s="28" t="str">
        <f>'Bond 4'!$B19</f>
        <v/>
      </c>
      <c r="G17" s="28" t="str">
        <f>'Bond 5'!$B19</f>
        <v/>
      </c>
      <c r="H17" s="28" t="str">
        <f>'Bond 6'!$B19</f>
        <v/>
      </c>
      <c r="I17" s="28" t="str">
        <f>'Bond 7'!$B19</f>
        <v/>
      </c>
      <c r="J17" s="28" t="str">
        <f>'Bond 8'!$B19</f>
        <v/>
      </c>
      <c r="K17" s="28" t="str">
        <f>'Bond 9'!$B19</f>
        <v/>
      </c>
      <c r="L17" s="28" t="str">
        <f>'Bond 10'!$B19</f>
        <v/>
      </c>
      <c r="M17" s="28" t="str">
        <f>'Bond 11'!$B19</f>
        <v/>
      </c>
      <c r="N17" s="28" t="str">
        <f>'Bond 12'!$B19</f>
        <v/>
      </c>
      <c r="O17" s="28" t="str">
        <f>'Bond 13'!$B19</f>
        <v/>
      </c>
      <c r="P17" s="28" t="str">
        <f>'Bond 14'!$B19</f>
        <v/>
      </c>
      <c r="Q17" s="28" t="str">
        <f>'Bond 15'!$B19</f>
        <v/>
      </c>
    </row>
    <row r="18" spans="1:17" x14ac:dyDescent="0.25">
      <c r="A18" s="7" t="s">
        <v>232</v>
      </c>
      <c r="B18" s="32" t="s">
        <v>567</v>
      </c>
      <c r="C18" s="28" t="b">
        <f>IF('Bond 1'!$B20="Yes",TRUE,IF('Bond 1'!$B20="No",FALSE,""))</f>
        <v>1</v>
      </c>
      <c r="D18" s="28" t="str">
        <f>IF('Bond 2'!$B20="Yes",TRUE,IF('Bond 2'!$B20="No",FALSE,""))</f>
        <v/>
      </c>
      <c r="E18" s="28" t="str">
        <f>IF('Bond 3'!$B20="Yes",TRUE,IF('Bond 3'!$B20="No",FALSE,""))</f>
        <v/>
      </c>
      <c r="F18" s="28" t="str">
        <f>IF('Bond 4'!$B20="Yes",TRUE,IF('Bond 4'!$B20="No",FALSE,""))</f>
        <v/>
      </c>
      <c r="G18" s="28" t="str">
        <f>IF('Bond 5'!$B20="Yes",TRUE,IF('Bond 5'!$B20="No",FALSE,""))</f>
        <v/>
      </c>
      <c r="H18" s="28" t="str">
        <f>IF('Bond 6'!$B20="Yes",TRUE,IF('Bond 6'!$B20="No",FALSE,""))</f>
        <v/>
      </c>
      <c r="I18" s="28" t="str">
        <f>IF('Bond 7'!$B20="Yes",TRUE,IF('Bond 7'!$B20="No",FALSE,""))</f>
        <v/>
      </c>
      <c r="J18" s="28" t="str">
        <f>IF('Bond 8'!$B20="Yes",TRUE,IF('Bond 8'!$B20="No",FALSE,""))</f>
        <v/>
      </c>
      <c r="K18" s="28" t="str">
        <f>IF('Bond 9'!$B20="Yes",TRUE,IF('Bond 9'!$B20="No",FALSE,""))</f>
        <v/>
      </c>
      <c r="L18" s="28" t="str">
        <f>IF('Bond 10'!$B20="Yes",TRUE,IF('Bond 10'!$B20="No",FALSE,""))</f>
        <v/>
      </c>
      <c r="M18" s="28" t="str">
        <f>IF('Bond 11'!$B20="Yes",TRUE,IF('Bond 11'!$B20="No",FALSE,""))</f>
        <v/>
      </c>
      <c r="N18" s="28" t="str">
        <f>IF('Bond 12'!$B20="Yes",TRUE,IF('Bond 12'!$B20="No",FALSE,""))</f>
        <v/>
      </c>
      <c r="O18" s="28" t="str">
        <f>IF('Bond 13'!$B20="Yes",TRUE,IF('Bond 13'!$B20="No",FALSE,""))</f>
        <v/>
      </c>
      <c r="P18" s="28" t="str">
        <f>IF('Bond 14'!$B20="Yes",TRUE,IF('Bond 14'!$B20="No",FALSE,""))</f>
        <v/>
      </c>
      <c r="Q18" s="28" t="str">
        <f>IF('Bond 15'!$B20="Yes",TRUE,IF('Bond 15'!$B20="No",FALSE,""))</f>
        <v/>
      </c>
    </row>
    <row r="19" spans="1:17" x14ac:dyDescent="0.25">
      <c r="A19" s="7" t="s">
        <v>1193</v>
      </c>
      <c r="B19" s="32" t="s">
        <v>1261</v>
      </c>
      <c r="C19" s="28" t="str">
        <f>'Bond 1'!$B22</f>
        <v/>
      </c>
      <c r="D19" s="28" t="str">
        <f>'Bond 2'!$B22</f>
        <v/>
      </c>
      <c r="E19" s="28" t="str">
        <f>'Bond 3'!$B22</f>
        <v/>
      </c>
      <c r="F19" s="28" t="str">
        <f>'Bond 4'!$B22</f>
        <v/>
      </c>
      <c r="G19" s="28" t="str">
        <f>'Bond 5'!$B22</f>
        <v/>
      </c>
      <c r="H19" s="28" t="str">
        <f>'Bond 6'!$B22</f>
        <v/>
      </c>
      <c r="I19" s="28" t="str">
        <f>'Bond 7'!$B22</f>
        <v/>
      </c>
      <c r="J19" s="28" t="str">
        <f>'Bond 8'!$B22</f>
        <v/>
      </c>
      <c r="K19" s="28" t="str">
        <f>'Bond 9'!$B22</f>
        <v/>
      </c>
      <c r="L19" s="28" t="str">
        <f>'Bond 10'!$B22</f>
        <v/>
      </c>
      <c r="M19" s="28" t="str">
        <f>'Bond 11'!$B22</f>
        <v/>
      </c>
      <c r="N19" s="28" t="str">
        <f>'Bond 12'!$B22</f>
        <v/>
      </c>
      <c r="O19" s="28" t="str">
        <f>'Bond 13'!$B22</f>
        <v/>
      </c>
      <c r="P19" s="28" t="str">
        <f>'Bond 14'!$B22</f>
        <v/>
      </c>
      <c r="Q19" s="28" t="str">
        <f>'Bond 15'!$B22</f>
        <v/>
      </c>
    </row>
    <row r="20" spans="1:17" x14ac:dyDescent="0.25">
      <c r="A20" s="7" t="s">
        <v>1195</v>
      </c>
      <c r="B20" s="32" t="s">
        <v>1262</v>
      </c>
      <c r="C20" s="28">
        <f>'Bond 1'!$C22</f>
        <v>0</v>
      </c>
      <c r="D20" s="28">
        <f>'Bond 2'!$C22</f>
        <v>0</v>
      </c>
      <c r="E20" s="28">
        <f>'Bond 3'!$C22</f>
        <v>0</v>
      </c>
      <c r="F20" s="28">
        <f>'Bond 4'!$C22</f>
        <v>0</v>
      </c>
      <c r="G20" s="28">
        <f>'Bond 5'!$C22</f>
        <v>0</v>
      </c>
      <c r="H20" s="28">
        <f>'Bond 6'!$C22</f>
        <v>0</v>
      </c>
      <c r="I20" s="28">
        <f>'Bond 7'!$C22</f>
        <v>0</v>
      </c>
      <c r="J20" s="28">
        <f>'Bond 8'!$C22</f>
        <v>0</v>
      </c>
      <c r="K20" s="28">
        <f>'Bond 9'!$C22</f>
        <v>0</v>
      </c>
      <c r="L20" s="28">
        <f>'Bond 10'!$C22</f>
        <v>0</v>
      </c>
      <c r="M20" s="28">
        <f>'Bond 11'!$C22</f>
        <v>0</v>
      </c>
      <c r="N20" s="28">
        <f>'Bond 12'!$C22</f>
        <v>0</v>
      </c>
      <c r="O20" s="28">
        <f>'Bond 13'!$C22</f>
        <v>0</v>
      </c>
      <c r="P20" s="28">
        <f>'Bond 14'!$C22</f>
        <v>0</v>
      </c>
      <c r="Q20" s="28">
        <f>'Bond 15'!$C22</f>
        <v>0</v>
      </c>
    </row>
    <row r="21" spans="1:17" x14ac:dyDescent="0.25">
      <c r="A21" s="7" t="s">
        <v>1197</v>
      </c>
      <c r="B21" s="32" t="s">
        <v>1263</v>
      </c>
      <c r="C21" s="28" t="str">
        <f>'Bond 1'!$B23</f>
        <v/>
      </c>
      <c r="D21" s="28" t="str">
        <f>'Bond 2'!$B23</f>
        <v/>
      </c>
      <c r="E21" s="28" t="str">
        <f>'Bond 3'!$B23</f>
        <v/>
      </c>
      <c r="F21" s="28" t="str">
        <f>'Bond 4'!$B23</f>
        <v/>
      </c>
      <c r="G21" s="28" t="str">
        <f>'Bond 5'!$B23</f>
        <v/>
      </c>
      <c r="H21" s="28" t="str">
        <f>'Bond 6'!$B23</f>
        <v/>
      </c>
      <c r="I21" s="28" t="str">
        <f>'Bond 7'!$B23</f>
        <v/>
      </c>
      <c r="J21" s="28" t="str">
        <f>'Bond 8'!$B23</f>
        <v/>
      </c>
      <c r="K21" s="28" t="str">
        <f>'Bond 9'!$B23</f>
        <v/>
      </c>
      <c r="L21" s="28" t="str">
        <f>'Bond 10'!$B23</f>
        <v/>
      </c>
      <c r="M21" s="28" t="str">
        <f>'Bond 11'!$B23</f>
        <v/>
      </c>
      <c r="N21" s="28" t="str">
        <f>'Bond 12'!$B23</f>
        <v/>
      </c>
      <c r="O21" s="28" t="str">
        <f>'Bond 13'!$B23</f>
        <v/>
      </c>
      <c r="P21" s="28" t="str">
        <f>'Bond 14'!$B23</f>
        <v/>
      </c>
      <c r="Q21" s="28" t="str">
        <f>'Bond 15'!$B23</f>
        <v/>
      </c>
    </row>
    <row r="22" spans="1:17" x14ac:dyDescent="0.25">
      <c r="A22" s="7" t="s">
        <v>1199</v>
      </c>
      <c r="B22" s="32" t="s">
        <v>1264</v>
      </c>
      <c r="C22" s="28">
        <f>'Bond 1'!$C23</f>
        <v>0</v>
      </c>
      <c r="D22" s="28">
        <f>'Bond 2'!$C23</f>
        <v>0</v>
      </c>
      <c r="E22" s="28">
        <f>'Bond 3'!$C23</f>
        <v>0</v>
      </c>
      <c r="F22" s="28">
        <f>'Bond 4'!$C23</f>
        <v>0</v>
      </c>
      <c r="G22" s="28">
        <f>'Bond 5'!$C23</f>
        <v>0</v>
      </c>
      <c r="H22" s="28">
        <f>'Bond 6'!$C23</f>
        <v>0</v>
      </c>
      <c r="I22" s="28">
        <f>'Bond 7'!$C23</f>
        <v>0</v>
      </c>
      <c r="J22" s="28">
        <f>'Bond 8'!$C23</f>
        <v>0</v>
      </c>
      <c r="K22" s="28">
        <f>'Bond 9'!$C23</f>
        <v>0</v>
      </c>
      <c r="L22" s="28">
        <f>'Bond 10'!$C23</f>
        <v>0</v>
      </c>
      <c r="M22" s="28">
        <f>'Bond 11'!$C23</f>
        <v>0</v>
      </c>
      <c r="N22" s="28">
        <f>'Bond 12'!$C23</f>
        <v>0</v>
      </c>
      <c r="O22" s="28">
        <f>'Bond 13'!$C23</f>
        <v>0</v>
      </c>
      <c r="P22" s="28">
        <f>'Bond 14'!$C23</f>
        <v>0</v>
      </c>
      <c r="Q22" s="28">
        <f>'Bond 15'!$C23</f>
        <v>0</v>
      </c>
    </row>
    <row r="23" spans="1:17" x14ac:dyDescent="0.25">
      <c r="A23" s="7" t="s">
        <v>1201</v>
      </c>
      <c r="B23" s="32" t="s">
        <v>1265</v>
      </c>
      <c r="C23" s="28" t="str">
        <f>'Bond 1'!$B24</f>
        <v/>
      </c>
      <c r="D23" s="28" t="str">
        <f>'Bond 2'!$B24</f>
        <v/>
      </c>
      <c r="E23" s="28" t="str">
        <f>'Bond 3'!$B24</f>
        <v/>
      </c>
      <c r="F23" s="28" t="str">
        <f>'Bond 4'!$B24</f>
        <v/>
      </c>
      <c r="G23" s="28" t="str">
        <f>'Bond 5'!$B24</f>
        <v/>
      </c>
      <c r="H23" s="28" t="str">
        <f>'Bond 6'!$B24</f>
        <v/>
      </c>
      <c r="I23" s="28" t="str">
        <f>'Bond 7'!$B24</f>
        <v/>
      </c>
      <c r="J23" s="28" t="str">
        <f>'Bond 8'!$B24</f>
        <v/>
      </c>
      <c r="K23" s="28" t="str">
        <f>'Bond 9'!$B24</f>
        <v/>
      </c>
      <c r="L23" s="28" t="str">
        <f>'Bond 10'!$B24</f>
        <v/>
      </c>
      <c r="M23" s="28" t="str">
        <f>'Bond 11'!$B24</f>
        <v/>
      </c>
      <c r="N23" s="28" t="str">
        <f>'Bond 12'!$B24</f>
        <v/>
      </c>
      <c r="O23" s="28" t="str">
        <f>'Bond 13'!$B24</f>
        <v/>
      </c>
      <c r="P23" s="28" t="str">
        <f>'Bond 14'!$B24</f>
        <v/>
      </c>
      <c r="Q23" s="28" t="str">
        <f>'Bond 15'!$B24</f>
        <v/>
      </c>
    </row>
    <row r="24" spans="1:17" x14ac:dyDescent="0.25">
      <c r="A24" s="7" t="s">
        <v>1203</v>
      </c>
      <c r="B24" s="32" t="s">
        <v>1266</v>
      </c>
      <c r="C24" s="28">
        <f>'Bond 1'!$C24</f>
        <v>0</v>
      </c>
      <c r="D24" s="28">
        <f>'Bond 2'!$C24</f>
        <v>0</v>
      </c>
      <c r="E24" s="28">
        <f>'Bond 3'!$C24</f>
        <v>0</v>
      </c>
      <c r="F24" s="28">
        <f>'Bond 4'!$C24</f>
        <v>0</v>
      </c>
      <c r="G24" s="28">
        <f>'Bond 5'!$C24</f>
        <v>0</v>
      </c>
      <c r="H24" s="28">
        <f>'Bond 6'!$C24</f>
        <v>0</v>
      </c>
      <c r="I24" s="28">
        <f>'Bond 7'!$C24</f>
        <v>0</v>
      </c>
      <c r="J24" s="28">
        <f>'Bond 8'!$C24</f>
        <v>0</v>
      </c>
      <c r="K24" s="28">
        <f>'Bond 9'!$C24</f>
        <v>0</v>
      </c>
      <c r="L24" s="28">
        <f>'Bond 10'!$C24</f>
        <v>0</v>
      </c>
      <c r="M24" s="28">
        <f>'Bond 11'!$C24</f>
        <v>0</v>
      </c>
      <c r="N24" s="28">
        <f>'Bond 12'!$C24</f>
        <v>0</v>
      </c>
      <c r="O24" s="28">
        <f>'Bond 13'!$C24</f>
        <v>0</v>
      </c>
      <c r="P24" s="28">
        <f>'Bond 14'!$C24</f>
        <v>0</v>
      </c>
      <c r="Q24" s="28">
        <f>'Bond 15'!$C24</f>
        <v>0</v>
      </c>
    </row>
    <row r="25" spans="1:17" x14ac:dyDescent="0.25">
      <c r="A25" s="7" t="s">
        <v>1205</v>
      </c>
      <c r="B25" s="32" t="s">
        <v>1267</v>
      </c>
      <c r="C25" s="28" t="str">
        <f>'Bond 1'!$B25</f>
        <v/>
      </c>
      <c r="D25" s="28" t="str">
        <f>'Bond 2'!$B25</f>
        <v/>
      </c>
      <c r="E25" s="28" t="str">
        <f>'Bond 3'!$B25</f>
        <v/>
      </c>
      <c r="F25" s="28" t="str">
        <f>'Bond 4'!$B25</f>
        <v/>
      </c>
      <c r="G25" s="28" t="str">
        <f>'Bond 5'!$B25</f>
        <v/>
      </c>
      <c r="H25" s="28" t="str">
        <f>'Bond 6'!$B25</f>
        <v/>
      </c>
      <c r="I25" s="28" t="str">
        <f>'Bond 7'!$B25</f>
        <v/>
      </c>
      <c r="J25" s="28" t="str">
        <f>'Bond 8'!$B25</f>
        <v/>
      </c>
      <c r="K25" s="28" t="str">
        <f>'Bond 9'!$B25</f>
        <v/>
      </c>
      <c r="L25" s="28" t="str">
        <f>'Bond 10'!$B25</f>
        <v/>
      </c>
      <c r="M25" s="28" t="str">
        <f>'Bond 11'!$B25</f>
        <v/>
      </c>
      <c r="N25" s="28" t="str">
        <f>'Bond 12'!$B25</f>
        <v/>
      </c>
      <c r="O25" s="28" t="str">
        <f>'Bond 13'!$B25</f>
        <v/>
      </c>
      <c r="P25" s="28" t="str">
        <f>'Bond 14'!$B25</f>
        <v/>
      </c>
      <c r="Q25" s="28" t="str">
        <f>'Bond 15'!$B25</f>
        <v/>
      </c>
    </row>
    <row r="26" spans="1:17" x14ac:dyDescent="0.25">
      <c r="A26" s="7" t="s">
        <v>1207</v>
      </c>
      <c r="B26" s="32" t="s">
        <v>1268</v>
      </c>
      <c r="C26" s="28">
        <f>'Bond 1'!$C25</f>
        <v>0</v>
      </c>
      <c r="D26" s="28">
        <f>'Bond 2'!$C25</f>
        <v>0</v>
      </c>
      <c r="E26" s="28">
        <f>'Bond 3'!$C25</f>
        <v>0</v>
      </c>
      <c r="F26" s="28">
        <f>'Bond 4'!$C25</f>
        <v>0</v>
      </c>
      <c r="G26" s="28">
        <f>'Bond 5'!$C25</f>
        <v>0</v>
      </c>
      <c r="H26" s="28">
        <f>'Bond 6'!$C25</f>
        <v>0</v>
      </c>
      <c r="I26" s="28">
        <f>'Bond 7'!$C25</f>
        <v>0</v>
      </c>
      <c r="J26" s="28">
        <f>'Bond 8'!$C25</f>
        <v>0</v>
      </c>
      <c r="K26" s="28">
        <f>'Bond 9'!$C25</f>
        <v>0</v>
      </c>
      <c r="L26" s="28">
        <f>'Bond 10'!$C25</f>
        <v>0</v>
      </c>
      <c r="M26" s="28">
        <f>'Bond 11'!$C25</f>
        <v>0</v>
      </c>
      <c r="N26" s="28">
        <f>'Bond 12'!$C25</f>
        <v>0</v>
      </c>
      <c r="O26" s="28">
        <f>'Bond 13'!$C25</f>
        <v>0</v>
      </c>
      <c r="P26" s="28">
        <f>'Bond 14'!$C25</f>
        <v>0</v>
      </c>
      <c r="Q26" s="28">
        <f>'Bond 15'!$C25</f>
        <v>0</v>
      </c>
    </row>
    <row r="27" spans="1:17" x14ac:dyDescent="0.25">
      <c r="A27" s="7" t="s">
        <v>1209</v>
      </c>
      <c r="B27" s="32" t="s">
        <v>1287</v>
      </c>
      <c r="C27" s="28" t="str">
        <f>'Bond 1'!$B26</f>
        <v/>
      </c>
      <c r="D27" s="28" t="str">
        <f>'Bond 2'!$B26</f>
        <v/>
      </c>
      <c r="E27" s="28" t="str">
        <f>'Bond 3'!$B26</f>
        <v/>
      </c>
      <c r="F27" s="28" t="str">
        <f>'Bond 4'!$B26</f>
        <v/>
      </c>
      <c r="G27" s="28" t="str">
        <f>'Bond 5'!$B26</f>
        <v/>
      </c>
      <c r="H27" s="28" t="str">
        <f>'Bond 6'!$B26</f>
        <v/>
      </c>
      <c r="I27" s="28" t="str">
        <f>'Bond 7'!$B26</f>
        <v/>
      </c>
      <c r="J27" s="28" t="str">
        <f>'Bond 8'!$B26</f>
        <v/>
      </c>
      <c r="K27" s="28" t="str">
        <f>'Bond 9'!$B26</f>
        <v/>
      </c>
      <c r="L27" s="28" t="str">
        <f>'Bond 10'!$B26</f>
        <v/>
      </c>
      <c r="M27" s="28" t="str">
        <f>'Bond 11'!$B26</f>
        <v/>
      </c>
      <c r="N27" s="28" t="str">
        <f>'Bond 12'!$B26</f>
        <v/>
      </c>
      <c r="O27" s="28" t="str">
        <f>'Bond 13'!$B26</f>
        <v/>
      </c>
      <c r="P27" s="28" t="str">
        <f>'Bond 14'!$B26</f>
        <v/>
      </c>
      <c r="Q27" s="28" t="str">
        <f>'Bond 15'!$B26</f>
        <v/>
      </c>
    </row>
    <row r="28" spans="1:17" x14ac:dyDescent="0.25">
      <c r="A28" s="7" t="s">
        <v>1210</v>
      </c>
      <c r="B28" s="32" t="s">
        <v>1288</v>
      </c>
      <c r="C28" s="28">
        <f>'Bond 1'!$C26</f>
        <v>0</v>
      </c>
      <c r="D28" s="28">
        <f>'Bond 2'!$C26</f>
        <v>0</v>
      </c>
      <c r="E28" s="28">
        <f>'Bond 3'!$C26</f>
        <v>0</v>
      </c>
      <c r="F28" s="28">
        <f>'Bond 4'!$C26</f>
        <v>0</v>
      </c>
      <c r="G28" s="28">
        <f>'Bond 5'!$C26</f>
        <v>0</v>
      </c>
      <c r="H28" s="28">
        <f>'Bond 6'!$C26</f>
        <v>0</v>
      </c>
      <c r="I28" s="28">
        <f>'Bond 7'!$C26</f>
        <v>0</v>
      </c>
      <c r="J28" s="28">
        <f>'Bond 8'!$C26</f>
        <v>0</v>
      </c>
      <c r="K28" s="28">
        <f>'Bond 9'!$C26</f>
        <v>0</v>
      </c>
      <c r="L28" s="28">
        <f>'Bond 10'!$C26</f>
        <v>0</v>
      </c>
      <c r="M28" s="28">
        <f>'Bond 11'!$C26</f>
        <v>0</v>
      </c>
      <c r="N28" s="28">
        <f>'Bond 12'!$C26</f>
        <v>0</v>
      </c>
      <c r="O28" s="28">
        <f>'Bond 13'!$C26</f>
        <v>0</v>
      </c>
      <c r="P28" s="28">
        <f>'Bond 14'!$C26</f>
        <v>0</v>
      </c>
      <c r="Q28" s="28">
        <f>'Bond 15'!$C26</f>
        <v>0</v>
      </c>
    </row>
    <row r="29" spans="1:17" x14ac:dyDescent="0.25">
      <c r="A29" s="7" t="s">
        <v>1211</v>
      </c>
      <c r="B29" s="32" t="s">
        <v>1269</v>
      </c>
      <c r="C29" s="28" t="str">
        <f>'Bond 1'!$B27</f>
        <v/>
      </c>
      <c r="D29" s="28" t="str">
        <f>'Bond 2'!$B27</f>
        <v/>
      </c>
      <c r="E29" s="28" t="str">
        <f>'Bond 3'!$B27</f>
        <v/>
      </c>
      <c r="F29" s="28" t="str">
        <f>'Bond 4'!$B27</f>
        <v/>
      </c>
      <c r="G29" s="28" t="str">
        <f>'Bond 5'!$B27</f>
        <v/>
      </c>
      <c r="H29" s="28" t="str">
        <f>'Bond 6'!$B27</f>
        <v/>
      </c>
      <c r="I29" s="28" t="str">
        <f>'Bond 7'!$B27</f>
        <v/>
      </c>
      <c r="J29" s="28" t="str">
        <f>'Bond 8'!$B27</f>
        <v/>
      </c>
      <c r="K29" s="28" t="str">
        <f>'Bond 9'!$B27</f>
        <v/>
      </c>
      <c r="L29" s="28" t="str">
        <f>'Bond 10'!$B27</f>
        <v/>
      </c>
      <c r="M29" s="28" t="str">
        <f>'Bond 11'!$B27</f>
        <v/>
      </c>
      <c r="N29" s="28" t="str">
        <f>'Bond 12'!$B27</f>
        <v/>
      </c>
      <c r="O29" s="28" t="str">
        <f>'Bond 13'!$B27</f>
        <v/>
      </c>
      <c r="P29" s="28" t="str">
        <f>'Bond 14'!$B27</f>
        <v/>
      </c>
      <c r="Q29" s="28" t="str">
        <f>'Bond 15'!$B27</f>
        <v/>
      </c>
    </row>
    <row r="30" spans="1:17" x14ac:dyDescent="0.25">
      <c r="A30" s="7" t="s">
        <v>1213</v>
      </c>
      <c r="B30" s="32" t="s">
        <v>1270</v>
      </c>
      <c r="C30" s="28">
        <f>'Bond 1'!$C27</f>
        <v>0</v>
      </c>
      <c r="D30" s="28">
        <f>'Bond 2'!$C27</f>
        <v>0</v>
      </c>
      <c r="E30" s="28">
        <f>'Bond 3'!$C27</f>
        <v>0</v>
      </c>
      <c r="F30" s="28">
        <f>'Bond 4'!$C27</f>
        <v>0</v>
      </c>
      <c r="G30" s="28">
        <f>'Bond 5'!$C27</f>
        <v>0</v>
      </c>
      <c r="H30" s="28">
        <f>'Bond 6'!$C27</f>
        <v>0</v>
      </c>
      <c r="I30" s="28">
        <f>'Bond 7'!$C27</f>
        <v>0</v>
      </c>
      <c r="J30" s="28">
        <f>'Bond 8'!$C27</f>
        <v>0</v>
      </c>
      <c r="K30" s="28">
        <f>'Bond 9'!$C27</f>
        <v>0</v>
      </c>
      <c r="L30" s="28">
        <f>'Bond 10'!$C27</f>
        <v>0</v>
      </c>
      <c r="M30" s="28">
        <f>'Bond 11'!$C27</f>
        <v>0</v>
      </c>
      <c r="N30" s="28">
        <f>'Bond 12'!$C27</f>
        <v>0</v>
      </c>
      <c r="O30" s="28">
        <f>'Bond 13'!$C27</f>
        <v>0</v>
      </c>
      <c r="P30" s="28">
        <f>'Bond 14'!$C27</f>
        <v>0</v>
      </c>
      <c r="Q30" s="28">
        <f>'Bond 15'!$C27</f>
        <v>0</v>
      </c>
    </row>
    <row r="31" spans="1:17" x14ac:dyDescent="0.25">
      <c r="A31" s="7" t="s">
        <v>1215</v>
      </c>
      <c r="B31" s="32" t="s">
        <v>1271</v>
      </c>
      <c r="C31" s="28" t="str">
        <f>'Bond 1'!$B28</f>
        <v/>
      </c>
      <c r="D31" s="28" t="str">
        <f>'Bond 2'!$B28</f>
        <v/>
      </c>
      <c r="E31" s="28" t="str">
        <f>'Bond 3'!$B28</f>
        <v/>
      </c>
      <c r="F31" s="28" t="str">
        <f>'Bond 4'!$B28</f>
        <v/>
      </c>
      <c r="G31" s="28" t="str">
        <f>'Bond 5'!$B28</f>
        <v/>
      </c>
      <c r="H31" s="28" t="str">
        <f>'Bond 6'!$B28</f>
        <v/>
      </c>
      <c r="I31" s="28" t="str">
        <f>'Bond 7'!$B28</f>
        <v/>
      </c>
      <c r="J31" s="28" t="str">
        <f>'Bond 8'!$B28</f>
        <v/>
      </c>
      <c r="K31" s="28" t="str">
        <f>'Bond 9'!$B28</f>
        <v/>
      </c>
      <c r="L31" s="28" t="str">
        <f>'Bond 10'!$B28</f>
        <v/>
      </c>
      <c r="M31" s="28" t="str">
        <f>'Bond 11'!$B28</f>
        <v/>
      </c>
      <c r="N31" s="28" t="str">
        <f>'Bond 12'!$B28</f>
        <v/>
      </c>
      <c r="O31" s="28" t="str">
        <f>'Bond 13'!$B28</f>
        <v/>
      </c>
      <c r="P31" s="28" t="str">
        <f>'Bond 14'!$B28</f>
        <v/>
      </c>
      <c r="Q31" s="28" t="str">
        <f>'Bond 15'!$B28</f>
        <v/>
      </c>
    </row>
    <row r="32" spans="1:17" x14ac:dyDescent="0.25">
      <c r="A32" s="7" t="s">
        <v>1217</v>
      </c>
      <c r="B32" s="32" t="s">
        <v>1272</v>
      </c>
      <c r="C32" s="28">
        <f>'Bond 1'!$C28</f>
        <v>0</v>
      </c>
      <c r="D32" s="28">
        <f>'Bond 2'!$C28</f>
        <v>0</v>
      </c>
      <c r="E32" s="28">
        <f>'Bond 3'!$C28</f>
        <v>0</v>
      </c>
      <c r="F32" s="28">
        <f>'Bond 4'!$C28</f>
        <v>0</v>
      </c>
      <c r="G32" s="28">
        <f>'Bond 5'!$C28</f>
        <v>0</v>
      </c>
      <c r="H32" s="28">
        <f>'Bond 6'!$C28</f>
        <v>0</v>
      </c>
      <c r="I32" s="28">
        <f>'Bond 7'!$C28</f>
        <v>0</v>
      </c>
      <c r="J32" s="28">
        <f>'Bond 8'!$C28</f>
        <v>0</v>
      </c>
      <c r="K32" s="28">
        <f>'Bond 9'!$C28</f>
        <v>0</v>
      </c>
      <c r="L32" s="28">
        <f>'Bond 10'!$C28</f>
        <v>0</v>
      </c>
      <c r="M32" s="28">
        <f>'Bond 11'!$C28</f>
        <v>0</v>
      </c>
      <c r="N32" s="28">
        <f>'Bond 12'!$C28</f>
        <v>0</v>
      </c>
      <c r="O32" s="28">
        <f>'Bond 13'!$C28</f>
        <v>0</v>
      </c>
      <c r="P32" s="28">
        <f>'Bond 14'!$C28</f>
        <v>0</v>
      </c>
      <c r="Q32" s="28">
        <f>'Bond 15'!$C28</f>
        <v>0</v>
      </c>
    </row>
    <row r="33" spans="1:17" x14ac:dyDescent="0.25">
      <c r="A33" s="7" t="s">
        <v>1219</v>
      </c>
      <c r="B33" s="32" t="s">
        <v>1273</v>
      </c>
      <c r="C33" s="28" t="str">
        <f>'Bond 1'!$B29</f>
        <v/>
      </c>
      <c r="D33" s="28" t="str">
        <f>'Bond 2'!$B29</f>
        <v/>
      </c>
      <c r="E33" s="28" t="str">
        <f>'Bond 3'!$B29</f>
        <v/>
      </c>
      <c r="F33" s="28" t="str">
        <f>'Bond 4'!$B29</f>
        <v/>
      </c>
      <c r="G33" s="28" t="str">
        <f>'Bond 5'!$B29</f>
        <v/>
      </c>
      <c r="H33" s="28" t="str">
        <f>'Bond 6'!$B29</f>
        <v/>
      </c>
      <c r="I33" s="28" t="str">
        <f>'Bond 7'!$B29</f>
        <v/>
      </c>
      <c r="J33" s="28" t="str">
        <f>'Bond 8'!$B29</f>
        <v/>
      </c>
      <c r="K33" s="28" t="str">
        <f>'Bond 9'!$B29</f>
        <v/>
      </c>
      <c r="L33" s="28" t="str">
        <f>'Bond 10'!$B29</f>
        <v/>
      </c>
      <c r="M33" s="28" t="str">
        <f>'Bond 11'!$B29</f>
        <v/>
      </c>
      <c r="N33" s="28" t="str">
        <f>'Bond 12'!$B29</f>
        <v/>
      </c>
      <c r="O33" s="28" t="str">
        <f>'Bond 13'!$B29</f>
        <v/>
      </c>
      <c r="P33" s="28" t="str">
        <f>'Bond 14'!$B29</f>
        <v/>
      </c>
      <c r="Q33" s="28" t="str">
        <f>'Bond 15'!$B29</f>
        <v/>
      </c>
    </row>
    <row r="34" spans="1:17" x14ac:dyDescent="0.25">
      <c r="A34" s="7" t="s">
        <v>1221</v>
      </c>
      <c r="B34" s="32" t="s">
        <v>1274</v>
      </c>
      <c r="C34" s="28">
        <f>'Bond 1'!$C29</f>
        <v>0</v>
      </c>
      <c r="D34" s="28">
        <f>'Bond 2'!$C29</f>
        <v>0</v>
      </c>
      <c r="E34" s="28">
        <f>'Bond 3'!$C29</f>
        <v>0</v>
      </c>
      <c r="F34" s="28">
        <f>'Bond 4'!$C29</f>
        <v>0</v>
      </c>
      <c r="G34" s="28">
        <f>'Bond 5'!$C29</f>
        <v>0</v>
      </c>
      <c r="H34" s="28">
        <f>'Bond 6'!$C29</f>
        <v>0</v>
      </c>
      <c r="I34" s="28">
        <f>'Bond 7'!$C29</f>
        <v>0</v>
      </c>
      <c r="J34" s="28">
        <f>'Bond 8'!$C29</f>
        <v>0</v>
      </c>
      <c r="K34" s="28">
        <f>'Bond 9'!$C29</f>
        <v>0</v>
      </c>
      <c r="L34" s="28">
        <f>'Bond 10'!$C29</f>
        <v>0</v>
      </c>
      <c r="M34" s="28">
        <f>'Bond 11'!$C29</f>
        <v>0</v>
      </c>
      <c r="N34" s="28">
        <f>'Bond 12'!$C29</f>
        <v>0</v>
      </c>
      <c r="O34" s="28">
        <f>'Bond 13'!$C29</f>
        <v>0</v>
      </c>
      <c r="P34" s="28">
        <f>'Bond 14'!$C29</f>
        <v>0</v>
      </c>
      <c r="Q34" s="28">
        <f>'Bond 15'!$C29</f>
        <v>0</v>
      </c>
    </row>
    <row r="35" spans="1:17" x14ac:dyDescent="0.25">
      <c r="A35" s="7" t="s">
        <v>1223</v>
      </c>
      <c r="B35" s="32" t="s">
        <v>1275</v>
      </c>
      <c r="C35" s="28" t="str">
        <f>'Bond 1'!$B30</f>
        <v/>
      </c>
      <c r="D35" s="28" t="str">
        <f>'Bond 2'!$B30</f>
        <v/>
      </c>
      <c r="E35" s="28" t="str">
        <f>'Bond 3'!$B30</f>
        <v/>
      </c>
      <c r="F35" s="28" t="str">
        <f>'Bond 4'!$B30</f>
        <v/>
      </c>
      <c r="G35" s="28" t="str">
        <f>'Bond 5'!$B30</f>
        <v/>
      </c>
      <c r="H35" s="28" t="str">
        <f>'Bond 6'!$B30</f>
        <v/>
      </c>
      <c r="I35" s="28" t="str">
        <f>'Bond 7'!$B30</f>
        <v/>
      </c>
      <c r="J35" s="28" t="str">
        <f>'Bond 8'!$B30</f>
        <v/>
      </c>
      <c r="K35" s="28" t="str">
        <f>'Bond 9'!$B30</f>
        <v/>
      </c>
      <c r="L35" s="28" t="str">
        <f>'Bond 10'!$B30</f>
        <v/>
      </c>
      <c r="M35" s="28" t="str">
        <f>'Bond 11'!$B30</f>
        <v/>
      </c>
      <c r="N35" s="28" t="str">
        <f>'Bond 12'!$B30</f>
        <v/>
      </c>
      <c r="O35" s="28" t="str">
        <f>'Bond 13'!$B30</f>
        <v/>
      </c>
      <c r="P35" s="28" t="str">
        <f>'Bond 14'!$B30</f>
        <v/>
      </c>
      <c r="Q35" s="28" t="str">
        <f>'Bond 15'!$B30</f>
        <v/>
      </c>
    </row>
    <row r="36" spans="1:17" x14ac:dyDescent="0.25">
      <c r="A36" s="7" t="s">
        <v>1225</v>
      </c>
      <c r="B36" s="32" t="s">
        <v>1276</v>
      </c>
      <c r="C36" s="28">
        <f>'Bond 1'!$C30</f>
        <v>0</v>
      </c>
      <c r="D36" s="28">
        <f>'Bond 2'!$C30</f>
        <v>0</v>
      </c>
      <c r="E36" s="28">
        <f>'Bond 3'!$C30</f>
        <v>0</v>
      </c>
      <c r="F36" s="28">
        <f>'Bond 4'!$C30</f>
        <v>0</v>
      </c>
      <c r="G36" s="28">
        <f>'Bond 5'!$C30</f>
        <v>0</v>
      </c>
      <c r="H36" s="28">
        <f>'Bond 6'!$C30</f>
        <v>0</v>
      </c>
      <c r="I36" s="28">
        <f>'Bond 7'!$C30</f>
        <v>0</v>
      </c>
      <c r="J36" s="28">
        <f>'Bond 8'!$C30</f>
        <v>0</v>
      </c>
      <c r="K36" s="28">
        <f>'Bond 9'!$C30</f>
        <v>0</v>
      </c>
      <c r="L36" s="28">
        <f>'Bond 10'!$C30</f>
        <v>0</v>
      </c>
      <c r="M36" s="28">
        <f>'Bond 11'!$C30</f>
        <v>0</v>
      </c>
      <c r="N36" s="28">
        <f>'Bond 12'!$C30</f>
        <v>0</v>
      </c>
      <c r="O36" s="28">
        <f>'Bond 13'!$C30</f>
        <v>0</v>
      </c>
      <c r="P36" s="28">
        <f>'Bond 14'!$C30</f>
        <v>0</v>
      </c>
      <c r="Q36" s="28">
        <f>'Bond 15'!$C30</f>
        <v>0</v>
      </c>
    </row>
    <row r="37" spans="1:17" x14ac:dyDescent="0.25">
      <c r="A37" s="33" t="s">
        <v>1229</v>
      </c>
      <c r="B37" s="36" t="s">
        <v>1277</v>
      </c>
      <c r="C37" s="35">
        <f>'Bond 1'!$B31</f>
        <v>0</v>
      </c>
      <c r="D37" s="35">
        <f>'Bond 2'!$B31</f>
        <v>0</v>
      </c>
      <c r="E37" s="35">
        <f>'Bond 3'!$B31</f>
        <v>0</v>
      </c>
      <c r="F37" s="35">
        <f>'Bond 4'!$B31</f>
        <v>0</v>
      </c>
      <c r="G37" s="35">
        <f>'Bond 5'!$B31</f>
        <v>0</v>
      </c>
      <c r="H37" s="35">
        <f>'Bond 6'!$B31</f>
        <v>0</v>
      </c>
      <c r="I37" s="35">
        <f>'Bond 7'!$B31</f>
        <v>0</v>
      </c>
      <c r="J37" s="35">
        <f>'Bond 8'!$B31</f>
        <v>0</v>
      </c>
      <c r="K37" s="35">
        <f>'Bond 9'!$B31</f>
        <v>0</v>
      </c>
      <c r="L37" s="35">
        <f>'Bond 10'!$B31</f>
        <v>0</v>
      </c>
      <c r="M37" s="35">
        <f>'Bond 11'!$B31</f>
        <v>0</v>
      </c>
      <c r="N37" s="35">
        <f>'Bond 12'!$B31</f>
        <v>0</v>
      </c>
      <c r="O37" s="35">
        <f>'Bond 13'!$B31</f>
        <v>0</v>
      </c>
      <c r="P37" s="35">
        <f>'Bond 14'!$B31</f>
        <v>0</v>
      </c>
      <c r="Q37" s="35">
        <f>'Bond 15'!$B31</f>
        <v>0</v>
      </c>
    </row>
    <row r="38" spans="1:17" x14ac:dyDescent="0.25">
      <c r="A38" s="33" t="s">
        <v>1227</v>
      </c>
      <c r="B38" s="36" t="s">
        <v>1278</v>
      </c>
      <c r="C38" s="35">
        <f>'Bond 1'!$C31</f>
        <v>0</v>
      </c>
      <c r="D38" s="35">
        <f>'Bond 2'!$C31</f>
        <v>0</v>
      </c>
      <c r="E38" s="35">
        <f>'Bond 3'!$C31</f>
        <v>0</v>
      </c>
      <c r="F38" s="35">
        <f>'Bond 4'!$C31</f>
        <v>0</v>
      </c>
      <c r="G38" s="35">
        <f>'Bond 5'!$C31</f>
        <v>0</v>
      </c>
      <c r="H38" s="35">
        <f>'Bond 6'!$C31</f>
        <v>0</v>
      </c>
      <c r="I38" s="35">
        <f>'Bond 7'!$C31</f>
        <v>0</v>
      </c>
      <c r="J38" s="35">
        <f>'Bond 8'!$C31</f>
        <v>0</v>
      </c>
      <c r="K38" s="35">
        <f>'Bond 9'!$C31</f>
        <v>0</v>
      </c>
      <c r="L38" s="35">
        <f>'Bond 10'!$C31</f>
        <v>0</v>
      </c>
      <c r="M38" s="35">
        <f>'Bond 11'!$C31</f>
        <v>0</v>
      </c>
      <c r="N38" s="35">
        <f>'Bond 12'!$C31</f>
        <v>0</v>
      </c>
      <c r="O38" s="35">
        <f>'Bond 13'!$C31</f>
        <v>0</v>
      </c>
      <c r="P38" s="35">
        <f>'Bond 14'!$C31</f>
        <v>0</v>
      </c>
      <c r="Q38" s="35">
        <f>'Bond 15'!$C31</f>
        <v>0</v>
      </c>
    </row>
    <row r="39" spans="1:17" x14ac:dyDescent="0.25">
      <c r="A39" s="33" t="s">
        <v>1233</v>
      </c>
      <c r="B39" s="36" t="s">
        <v>1279</v>
      </c>
      <c r="C39" s="35">
        <f>'Bond 1'!$B32</f>
        <v>350000</v>
      </c>
      <c r="D39" s="35">
        <f>'Bond 2'!$B32</f>
        <v>0</v>
      </c>
      <c r="E39" s="35">
        <f>'Bond 3'!$B32</f>
        <v>0</v>
      </c>
      <c r="F39" s="35">
        <f>'Bond 4'!$B32</f>
        <v>0</v>
      </c>
      <c r="G39" s="35">
        <f>'Bond 5'!$B32</f>
        <v>0</v>
      </c>
      <c r="H39" s="35">
        <f>'Bond 6'!$B32</f>
        <v>0</v>
      </c>
      <c r="I39" s="35">
        <f>'Bond 7'!$B32</f>
        <v>0</v>
      </c>
      <c r="J39" s="35">
        <f>'Bond 8'!$B32</f>
        <v>0</v>
      </c>
      <c r="K39" s="35">
        <f>'Bond 9'!$B32</f>
        <v>0</v>
      </c>
      <c r="L39" s="35">
        <f>'Bond 10'!$B32</f>
        <v>0</v>
      </c>
      <c r="M39" s="35">
        <f>'Bond 11'!$B32</f>
        <v>0</v>
      </c>
      <c r="N39" s="35">
        <f>'Bond 12'!$B32</f>
        <v>0</v>
      </c>
      <c r="O39" s="35">
        <f>'Bond 13'!$B32</f>
        <v>0</v>
      </c>
      <c r="P39" s="35">
        <f>'Bond 14'!$B32</f>
        <v>0</v>
      </c>
      <c r="Q39" s="35">
        <f>'Bond 15'!$B32</f>
        <v>0</v>
      </c>
    </row>
    <row r="40" spans="1:17" x14ac:dyDescent="0.25">
      <c r="A40" s="33" t="s">
        <v>1231</v>
      </c>
      <c r="B40" s="36" t="s">
        <v>1280</v>
      </c>
      <c r="C40" s="35">
        <f>'Bond 1'!$C32</f>
        <v>350000</v>
      </c>
      <c r="D40" s="35">
        <f>'Bond 2'!$C32</f>
        <v>0</v>
      </c>
      <c r="E40" s="35">
        <f>'Bond 3'!$C32</f>
        <v>0</v>
      </c>
      <c r="F40" s="35">
        <f>'Bond 4'!$C32</f>
        <v>0</v>
      </c>
      <c r="G40" s="35">
        <f>'Bond 5'!$C32</f>
        <v>0</v>
      </c>
      <c r="H40" s="35">
        <f>'Bond 6'!$C32</f>
        <v>0</v>
      </c>
      <c r="I40" s="35">
        <f>'Bond 7'!$C32</f>
        <v>0</v>
      </c>
      <c r="J40" s="35">
        <f>'Bond 8'!$C32</f>
        <v>0</v>
      </c>
      <c r="K40" s="35">
        <f>'Bond 9'!$C32</f>
        <v>0</v>
      </c>
      <c r="L40" s="35">
        <f>'Bond 10'!$C32</f>
        <v>0</v>
      </c>
      <c r="M40" s="35">
        <f>'Bond 11'!$C32</f>
        <v>0</v>
      </c>
      <c r="N40" s="35">
        <f>'Bond 12'!$C32</f>
        <v>0</v>
      </c>
      <c r="O40" s="35">
        <f>'Bond 13'!$C32</f>
        <v>0</v>
      </c>
      <c r="P40" s="35">
        <f>'Bond 14'!$C32</f>
        <v>0</v>
      </c>
      <c r="Q40" s="35">
        <f>'Bond 15'!$C32</f>
        <v>0</v>
      </c>
    </row>
    <row r="41" spans="1:17" x14ac:dyDescent="0.25">
      <c r="A41" s="7" t="s">
        <v>1237</v>
      </c>
      <c r="B41" s="32" t="s">
        <v>1281</v>
      </c>
      <c r="C41" s="28" t="str">
        <f>'Bond 1'!$B33</f>
        <v/>
      </c>
      <c r="D41" s="28" t="str">
        <f>'Bond 2'!$B33</f>
        <v/>
      </c>
      <c r="E41" s="28" t="str">
        <f>'Bond 3'!$B33</f>
        <v/>
      </c>
      <c r="F41" s="28" t="str">
        <f>'Bond 4'!$B33</f>
        <v/>
      </c>
      <c r="G41" s="28" t="str">
        <f>'Bond 5'!$B33</f>
        <v/>
      </c>
      <c r="H41" s="28" t="str">
        <f>'Bond 6'!$B33</f>
        <v/>
      </c>
      <c r="I41" s="28" t="str">
        <f>'Bond 7'!$B33</f>
        <v/>
      </c>
      <c r="J41" s="28" t="str">
        <f>'Bond 8'!$B33</f>
        <v/>
      </c>
      <c r="K41" s="28" t="str">
        <f>'Bond 9'!$B33</f>
        <v/>
      </c>
      <c r="L41" s="28" t="str">
        <f>'Bond 10'!$B33</f>
        <v/>
      </c>
      <c r="M41" s="28" t="str">
        <f>'Bond 11'!$B33</f>
        <v/>
      </c>
      <c r="N41" s="28" t="str">
        <f>'Bond 12'!$B33</f>
        <v/>
      </c>
      <c r="O41" s="28" t="str">
        <f>'Bond 13'!$B33</f>
        <v/>
      </c>
      <c r="P41" s="28" t="str">
        <f>'Bond 14'!$B33</f>
        <v/>
      </c>
      <c r="Q41" s="28" t="str">
        <f>'Bond 15'!$B33</f>
        <v/>
      </c>
    </row>
    <row r="42" spans="1:17" x14ac:dyDescent="0.25">
      <c r="A42" s="7" t="s">
        <v>1235</v>
      </c>
      <c r="B42" s="32" t="s">
        <v>1282</v>
      </c>
      <c r="C42" s="28">
        <f>'Bond 1'!$C33</f>
        <v>0</v>
      </c>
      <c r="D42" s="28">
        <f>'Bond 2'!$C33</f>
        <v>0</v>
      </c>
      <c r="E42" s="28">
        <f>'Bond 3'!$C33</f>
        <v>0</v>
      </c>
      <c r="F42" s="28">
        <f>'Bond 4'!$C33</f>
        <v>0</v>
      </c>
      <c r="G42" s="28">
        <f>'Bond 5'!$C33</f>
        <v>0</v>
      </c>
      <c r="H42" s="28">
        <f>'Bond 6'!$C33</f>
        <v>0</v>
      </c>
      <c r="I42" s="28">
        <f>'Bond 7'!$C33</f>
        <v>0</v>
      </c>
      <c r="J42" s="28">
        <f>'Bond 8'!$C33</f>
        <v>0</v>
      </c>
      <c r="K42" s="28">
        <f>'Bond 9'!$C33</f>
        <v>0</v>
      </c>
      <c r="L42" s="28">
        <f>'Bond 10'!$C33</f>
        <v>0</v>
      </c>
      <c r="M42" s="28">
        <f>'Bond 11'!$C33</f>
        <v>0</v>
      </c>
      <c r="N42" s="28">
        <f>'Bond 12'!$C33</f>
        <v>0</v>
      </c>
      <c r="O42" s="28">
        <f>'Bond 13'!$C33</f>
        <v>0</v>
      </c>
      <c r="P42" s="28">
        <f>'Bond 14'!$C33</f>
        <v>0</v>
      </c>
      <c r="Q42" s="28">
        <f>'Bond 15'!$C33</f>
        <v>0</v>
      </c>
    </row>
    <row r="43" spans="1:17" x14ac:dyDescent="0.25">
      <c r="A43" s="7" t="s">
        <v>1241</v>
      </c>
      <c r="B43" s="32" t="s">
        <v>1283</v>
      </c>
      <c r="C43" s="28" t="str">
        <f>'Bond 1'!$B34</f>
        <v/>
      </c>
      <c r="D43" s="28" t="str">
        <f>'Bond 2'!$B34</f>
        <v/>
      </c>
      <c r="E43" s="28" t="str">
        <f>'Bond 3'!$B34</f>
        <v/>
      </c>
      <c r="F43" s="28" t="str">
        <f>'Bond 4'!$B34</f>
        <v/>
      </c>
      <c r="G43" s="28" t="str">
        <f>'Bond 5'!$B34</f>
        <v/>
      </c>
      <c r="H43" s="28" t="str">
        <f>'Bond 6'!$B34</f>
        <v/>
      </c>
      <c r="I43" s="28" t="str">
        <f>'Bond 7'!$B34</f>
        <v/>
      </c>
      <c r="J43" s="28" t="str">
        <f>'Bond 8'!$B34</f>
        <v/>
      </c>
      <c r="K43" s="28" t="str">
        <f>'Bond 9'!$B34</f>
        <v/>
      </c>
      <c r="L43" s="28" t="str">
        <f>'Bond 10'!$B34</f>
        <v/>
      </c>
      <c r="M43" s="28" t="str">
        <f>'Bond 11'!$B34</f>
        <v/>
      </c>
      <c r="N43" s="28" t="str">
        <f>'Bond 12'!$B34</f>
        <v/>
      </c>
      <c r="O43" s="28" t="str">
        <f>'Bond 13'!$B34</f>
        <v/>
      </c>
      <c r="P43" s="28" t="str">
        <f>'Bond 14'!$B34</f>
        <v/>
      </c>
      <c r="Q43" s="28" t="str">
        <f>'Bond 15'!$B34</f>
        <v/>
      </c>
    </row>
    <row r="44" spans="1:17" x14ac:dyDescent="0.25">
      <c r="A44" s="7" t="s">
        <v>1239</v>
      </c>
      <c r="B44" s="32" t="s">
        <v>1284</v>
      </c>
      <c r="C44" s="28">
        <f>'Bond 1'!$C34</f>
        <v>0</v>
      </c>
      <c r="D44" s="28">
        <f>'Bond 2'!$C34</f>
        <v>0</v>
      </c>
      <c r="E44" s="28">
        <f>'Bond 3'!$C34</f>
        <v>0</v>
      </c>
      <c r="F44" s="28">
        <f>'Bond 4'!$C34</f>
        <v>0</v>
      </c>
      <c r="G44" s="28">
        <f>'Bond 5'!$C34</f>
        <v>0</v>
      </c>
      <c r="H44" s="28">
        <f>'Bond 6'!$C34</f>
        <v>0</v>
      </c>
      <c r="I44" s="28">
        <f>'Bond 7'!$C34</f>
        <v>0</v>
      </c>
      <c r="J44" s="28">
        <f>'Bond 8'!$C34</f>
        <v>0</v>
      </c>
      <c r="K44" s="28">
        <f>'Bond 9'!$C34</f>
        <v>0</v>
      </c>
      <c r="L44" s="28">
        <f>'Bond 10'!$C34</f>
        <v>0</v>
      </c>
      <c r="M44" s="28">
        <f>'Bond 11'!$C34</f>
        <v>0</v>
      </c>
      <c r="N44" s="28">
        <f>'Bond 12'!$C34</f>
        <v>0</v>
      </c>
      <c r="O44" s="28">
        <f>'Bond 13'!$C34</f>
        <v>0</v>
      </c>
      <c r="P44" s="28">
        <f>'Bond 14'!$C34</f>
        <v>0</v>
      </c>
      <c r="Q44" s="28">
        <f>'Bond 15'!$C34</f>
        <v>0</v>
      </c>
    </row>
    <row r="45" spans="1:17" x14ac:dyDescent="0.25">
      <c r="A45" s="7" t="s">
        <v>1243</v>
      </c>
      <c r="B45" t="s">
        <v>551</v>
      </c>
      <c r="C45" s="28">
        <f>'Bond 1'!$B36</f>
        <v>38220</v>
      </c>
      <c r="D45" s="28" t="str">
        <f>'Bond 2'!$B36</f>
        <v/>
      </c>
      <c r="E45" s="28" t="str">
        <f>'Bond 3'!$B36</f>
        <v/>
      </c>
      <c r="F45" s="28" t="str">
        <f>'Bond 4'!$B36</f>
        <v/>
      </c>
      <c r="G45" s="28" t="str">
        <f>'Bond 5'!$B36</f>
        <v/>
      </c>
      <c r="H45" s="28" t="str">
        <f>'Bond 6'!$B36</f>
        <v/>
      </c>
      <c r="I45" s="28" t="str">
        <f>'Bond 7'!$B36</f>
        <v/>
      </c>
      <c r="J45" s="28" t="str">
        <f>'Bond 8'!$B36</f>
        <v/>
      </c>
      <c r="K45" s="28" t="str">
        <f>'Bond 9'!$B36</f>
        <v/>
      </c>
      <c r="L45" s="28" t="str">
        <f>'Bond 10'!$B36</f>
        <v/>
      </c>
      <c r="M45" s="28" t="str">
        <f>'Bond 11'!$B36</f>
        <v/>
      </c>
      <c r="N45" s="28" t="str">
        <f>'Bond 12'!$B36</f>
        <v/>
      </c>
      <c r="O45" s="28" t="str">
        <f>'Bond 13'!$B36</f>
        <v/>
      </c>
      <c r="P45" s="28" t="str">
        <f>'Bond 14'!$B36</f>
        <v/>
      </c>
      <c r="Q45" s="28" t="str">
        <f>'Bond 15'!$B36</f>
        <v/>
      </c>
    </row>
    <row r="46" spans="1:17" x14ac:dyDescent="0.25">
      <c r="A46" s="7" t="s">
        <v>1244</v>
      </c>
      <c r="B46" t="s">
        <v>553</v>
      </c>
      <c r="C46" s="28">
        <f>'Bond 1'!$C36</f>
        <v>0</v>
      </c>
      <c r="D46" s="28">
        <f>'Bond 2'!$C36</f>
        <v>0</v>
      </c>
      <c r="E46" s="28">
        <f>'Bond 3'!$C36</f>
        <v>0</v>
      </c>
      <c r="F46" s="28">
        <f>'Bond 4'!$C36</f>
        <v>0</v>
      </c>
      <c r="G46" s="28">
        <f>'Bond 5'!$C36</f>
        <v>0</v>
      </c>
      <c r="H46" s="28">
        <f>'Bond 6'!$C36</f>
        <v>0</v>
      </c>
      <c r="I46" s="28">
        <f>'Bond 7'!$C36</f>
        <v>0</v>
      </c>
      <c r="J46" s="28">
        <f>'Bond 8'!$C36</f>
        <v>0</v>
      </c>
      <c r="K46" s="28">
        <f>'Bond 9'!$C36</f>
        <v>0</v>
      </c>
      <c r="L46" s="28">
        <f>'Bond 10'!$C36</f>
        <v>0</v>
      </c>
      <c r="M46" s="28">
        <f>'Bond 11'!$C36</f>
        <v>0</v>
      </c>
      <c r="N46" s="28">
        <f>'Bond 12'!$C36</f>
        <v>0</v>
      </c>
      <c r="O46" s="28">
        <f>'Bond 13'!$C36</f>
        <v>0</v>
      </c>
      <c r="P46" s="28">
        <f>'Bond 14'!$C36</f>
        <v>0</v>
      </c>
      <c r="Q46" s="28">
        <f>'Bond 15'!$C36</f>
        <v>0</v>
      </c>
    </row>
    <row r="47" spans="1:17" x14ac:dyDescent="0.25">
      <c r="A47" s="7" t="s">
        <v>1245</v>
      </c>
      <c r="B47" t="s">
        <v>552</v>
      </c>
      <c r="C47" s="28">
        <f>'Bond 1'!$B37</f>
        <v>0</v>
      </c>
      <c r="D47" s="28" t="str">
        <f>'Bond 2'!$B37</f>
        <v/>
      </c>
      <c r="E47" s="28" t="str">
        <f>'Bond 3'!$B37</f>
        <v/>
      </c>
      <c r="F47" s="28" t="str">
        <f>'Bond 4'!$B37</f>
        <v/>
      </c>
      <c r="G47" s="28" t="str">
        <f>'Bond 5'!$B37</f>
        <v/>
      </c>
      <c r="H47" s="28" t="str">
        <f>'Bond 6'!$B37</f>
        <v/>
      </c>
      <c r="I47" s="28" t="str">
        <f>'Bond 7'!$B37</f>
        <v/>
      </c>
      <c r="J47" s="28" t="str">
        <f>'Bond 8'!$B37</f>
        <v/>
      </c>
      <c r="K47" s="28" t="str">
        <f>'Bond 9'!$B37</f>
        <v/>
      </c>
      <c r="L47" s="28" t="str">
        <f>'Bond 10'!$B37</f>
        <v/>
      </c>
      <c r="M47" s="28" t="str">
        <f>'Bond 11'!$B37</f>
        <v/>
      </c>
      <c r="N47" s="28" t="str">
        <f>'Bond 12'!$B37</f>
        <v/>
      </c>
      <c r="O47" s="28" t="str">
        <f>'Bond 13'!$B37</f>
        <v/>
      </c>
      <c r="P47" s="28" t="str">
        <f>'Bond 14'!$B37</f>
        <v/>
      </c>
      <c r="Q47" s="28" t="str">
        <f>'Bond 15'!$B37</f>
        <v/>
      </c>
    </row>
    <row r="48" spans="1:17" x14ac:dyDescent="0.25">
      <c r="A48" s="7" t="s">
        <v>1246</v>
      </c>
      <c r="B48" t="s">
        <v>554</v>
      </c>
      <c r="C48" s="28">
        <f>'Bond 1'!$C37</f>
        <v>0</v>
      </c>
      <c r="D48" s="28">
        <f>'Bond 2'!$C37</f>
        <v>0</v>
      </c>
      <c r="E48" s="28">
        <f>'Bond 3'!$C37</f>
        <v>0</v>
      </c>
      <c r="F48" s="28">
        <f>'Bond 4'!$C37</f>
        <v>0</v>
      </c>
      <c r="G48" s="28">
        <f>'Bond 5'!$C37</f>
        <v>0</v>
      </c>
      <c r="H48" s="28">
        <f>'Bond 6'!$C37</f>
        <v>0</v>
      </c>
      <c r="I48" s="28">
        <f>'Bond 7'!$C37</f>
        <v>0</v>
      </c>
      <c r="J48" s="28">
        <f>'Bond 8'!$C37</f>
        <v>0</v>
      </c>
      <c r="K48" s="28">
        <f>'Bond 9'!$C37</f>
        <v>0</v>
      </c>
      <c r="L48" s="28">
        <f>'Bond 10'!$C37</f>
        <v>0</v>
      </c>
      <c r="M48" s="28">
        <f>'Bond 11'!$C37</f>
        <v>0</v>
      </c>
      <c r="N48" s="28">
        <f>'Bond 12'!$C37</f>
        <v>0</v>
      </c>
      <c r="O48" s="28">
        <f>'Bond 13'!$C37</f>
        <v>0</v>
      </c>
      <c r="P48" s="28">
        <f>'Bond 14'!$C37</f>
        <v>0</v>
      </c>
      <c r="Q48" s="28">
        <f>'Bond 15'!$C37</f>
        <v>0</v>
      </c>
    </row>
    <row r="49" spans="1:17" x14ac:dyDescent="0.25">
      <c r="A49" s="7" t="s">
        <v>1247</v>
      </c>
      <c r="B49" t="s">
        <v>555</v>
      </c>
      <c r="C49" s="28">
        <f>'Bond 1'!$B38</f>
        <v>0</v>
      </c>
      <c r="D49" s="28" t="str">
        <f>'Bond 2'!$B38</f>
        <v/>
      </c>
      <c r="E49" s="28" t="str">
        <f>'Bond 3'!$B38</f>
        <v/>
      </c>
      <c r="F49" s="28" t="str">
        <f>'Bond 4'!$B38</f>
        <v/>
      </c>
      <c r="G49" s="28" t="str">
        <f>'Bond 5'!$B38</f>
        <v/>
      </c>
      <c r="H49" s="28" t="str">
        <f>'Bond 6'!$B38</f>
        <v/>
      </c>
      <c r="I49" s="28" t="str">
        <f>'Bond 7'!$B38</f>
        <v/>
      </c>
      <c r="J49" s="28" t="str">
        <f>'Bond 8'!$B38</f>
        <v/>
      </c>
      <c r="K49" s="28" t="str">
        <f>'Bond 9'!$B38</f>
        <v/>
      </c>
      <c r="L49" s="28" t="str">
        <f>'Bond 10'!$B38</f>
        <v/>
      </c>
      <c r="M49" s="28" t="str">
        <f>'Bond 11'!$B38</f>
        <v/>
      </c>
      <c r="N49" s="28" t="str">
        <f>'Bond 12'!$B38</f>
        <v/>
      </c>
      <c r="O49" s="28" t="str">
        <f>'Bond 13'!$B38</f>
        <v/>
      </c>
      <c r="P49" s="28" t="str">
        <f>'Bond 14'!$B38</f>
        <v/>
      </c>
      <c r="Q49" s="28" t="str">
        <f>'Bond 15'!$B38</f>
        <v/>
      </c>
    </row>
    <row r="50" spans="1:17" x14ac:dyDescent="0.25">
      <c r="A50" s="7" t="s">
        <v>1248</v>
      </c>
      <c r="B50" t="s">
        <v>556</v>
      </c>
      <c r="C50" s="28">
        <f>'Bond 1'!$C38</f>
        <v>0</v>
      </c>
      <c r="D50" s="28">
        <f>'Bond 2'!$C38</f>
        <v>0</v>
      </c>
      <c r="E50" s="28">
        <f>'Bond 3'!$C38</f>
        <v>0</v>
      </c>
      <c r="F50" s="28">
        <f>'Bond 4'!$C38</f>
        <v>0</v>
      </c>
      <c r="G50" s="28">
        <f>'Bond 5'!$C38</f>
        <v>0</v>
      </c>
      <c r="H50" s="28">
        <f>'Bond 6'!$C38</f>
        <v>0</v>
      </c>
      <c r="I50" s="28">
        <f>'Bond 7'!$C38</f>
        <v>0</v>
      </c>
      <c r="J50" s="28">
        <f>'Bond 8'!$C38</f>
        <v>0</v>
      </c>
      <c r="K50" s="28">
        <f>'Bond 9'!$C38</f>
        <v>0</v>
      </c>
      <c r="L50" s="28">
        <f>'Bond 10'!$C38</f>
        <v>0</v>
      </c>
      <c r="M50" s="28">
        <f>'Bond 11'!$C38</f>
        <v>0</v>
      </c>
      <c r="N50" s="28">
        <f>'Bond 12'!$C38</f>
        <v>0</v>
      </c>
      <c r="O50" s="28">
        <f>'Bond 13'!$C38</f>
        <v>0</v>
      </c>
      <c r="P50" s="28">
        <f>'Bond 14'!$C38</f>
        <v>0</v>
      </c>
      <c r="Q50" s="28">
        <f>'Bond 15'!$C38</f>
        <v>0</v>
      </c>
    </row>
    <row r="51" spans="1:17" x14ac:dyDescent="0.25">
      <c r="A51" s="33" t="s">
        <v>1249</v>
      </c>
      <c r="B51" s="36" t="s">
        <v>1285</v>
      </c>
      <c r="C51" s="35">
        <f>IF(ISNUMBER('Bond 1'!$B39),'Bond 1'!$B39,"")</f>
        <v>311780</v>
      </c>
      <c r="D51" s="35" t="str">
        <f>IF(ISNUMBER('Bond 2'!$B39),'Bond 2'!$B39,"")</f>
        <v/>
      </c>
      <c r="E51" s="35" t="str">
        <f>IF(ISNUMBER('Bond 3'!$B39),'Bond 3'!$B39,"")</f>
        <v/>
      </c>
      <c r="F51" s="35" t="str">
        <f>IF(ISNUMBER('Bond 4'!$B39),'Bond 4'!$B39,"")</f>
        <v/>
      </c>
      <c r="G51" s="35" t="str">
        <f>IF(ISNUMBER('Bond 5'!$B39),'Bond 5'!$B39,"")</f>
        <v/>
      </c>
      <c r="H51" s="35" t="str">
        <f>IF(ISNUMBER('Bond 6'!$B39),'Bond 6'!$B39,"")</f>
        <v/>
      </c>
      <c r="I51" s="35" t="str">
        <f>IF(ISNUMBER('Bond 7'!$B39),'Bond 7'!$B39,"")</f>
        <v/>
      </c>
      <c r="J51" s="35" t="str">
        <f>IF(ISNUMBER('Bond 8'!$B39),'Bond 8'!$B39,"")</f>
        <v/>
      </c>
      <c r="K51" s="35" t="str">
        <f>IF(ISNUMBER('Bond 9'!$B39),'Bond 9'!$B39,"")</f>
        <v/>
      </c>
      <c r="L51" s="35" t="str">
        <f>IF(ISNUMBER('Bond 10'!$B39),'Bond 10'!$B39,"")</f>
        <v/>
      </c>
      <c r="M51" s="35" t="str">
        <f>IF(ISNUMBER('Bond 11'!$B39),'Bond 11'!$B39,"")</f>
        <v/>
      </c>
      <c r="N51" s="35" t="str">
        <f>IF(ISNUMBER('Bond 12'!$B39),'Bond 12'!$B39,"")</f>
        <v/>
      </c>
      <c r="O51" s="35" t="str">
        <f>IF(ISNUMBER('Bond 13'!$B39),'Bond 13'!$B39,"")</f>
        <v/>
      </c>
      <c r="P51" s="35" t="str">
        <f>IF(ISNUMBER('Bond 14'!$B39),'Bond 14'!$B39,"")</f>
        <v/>
      </c>
      <c r="Q51" s="35" t="str">
        <f>IF(ISNUMBER('Bond 15'!$B39),'Bond 15'!$B39,"")</f>
        <v/>
      </c>
    </row>
    <row r="52" spans="1:17" x14ac:dyDescent="0.25">
      <c r="A52" s="33" t="s">
        <v>1251</v>
      </c>
      <c r="B52" s="34" t="s">
        <v>557</v>
      </c>
      <c r="C52" s="35">
        <f>IF(ISNUMBER('Bond 1'!$C39),'Bond 1'!$C39,"")</f>
        <v>311780</v>
      </c>
      <c r="D52" s="35" t="str">
        <f>IF(ISNUMBER('Bond 2'!$C39),'Bond 2'!$C39,"")</f>
        <v/>
      </c>
      <c r="E52" s="35" t="str">
        <f>IF(ISNUMBER('Bond 3'!$C39),'Bond 3'!$C39,"")</f>
        <v/>
      </c>
      <c r="F52" s="35" t="str">
        <f>IF(ISNUMBER('Bond 4'!$C39),'Bond 4'!$C39,"")</f>
        <v/>
      </c>
      <c r="G52" s="35" t="str">
        <f>IF(ISNUMBER('Bond 5'!$C39),'Bond 5'!$C39,"")</f>
        <v/>
      </c>
      <c r="H52" s="35" t="str">
        <f>IF(ISNUMBER('Bond 6'!$C39),'Bond 6'!$C39,"")</f>
        <v/>
      </c>
      <c r="I52" s="35" t="str">
        <f>IF(ISNUMBER('Bond 7'!$C39),'Bond 7'!$C39,"")</f>
        <v/>
      </c>
      <c r="J52" s="35" t="str">
        <f>IF(ISNUMBER('Bond 8'!$C39),'Bond 8'!$C39,"")</f>
        <v/>
      </c>
      <c r="K52" s="35" t="str">
        <f>IF(ISNUMBER('Bond 9'!$C39),'Bond 9'!$C39,"")</f>
        <v/>
      </c>
      <c r="L52" s="35" t="str">
        <f>IF(ISNUMBER('Bond 10'!$C39),'Bond 10'!$C39,"")</f>
        <v/>
      </c>
      <c r="M52" s="35" t="str">
        <f>IF(ISNUMBER('Bond 11'!$C39),'Bond 11'!$C39,"")</f>
        <v/>
      </c>
      <c r="N52" s="35" t="str">
        <f>IF(ISNUMBER('Bond 12'!$C39),'Bond 12'!$C39,"")</f>
        <v/>
      </c>
      <c r="O52" s="35" t="str">
        <f>IF(ISNUMBER('Bond 13'!$C39),'Bond 13'!$C39,"")</f>
        <v/>
      </c>
      <c r="P52" s="35" t="str">
        <f>IF(ISNUMBER('Bond 14'!$C39),'Bond 14'!$C39,"")</f>
        <v/>
      </c>
      <c r="Q52" s="35" t="str">
        <f>IF(ISNUMBER('Bond 15'!$C39),'Bond 15'!$C39,"")</f>
        <v/>
      </c>
    </row>
    <row r="53" spans="1:17" x14ac:dyDescent="0.25">
      <c r="A53" s="7" t="s">
        <v>1252</v>
      </c>
      <c r="B53" s="32" t="s">
        <v>1286</v>
      </c>
      <c r="C53" s="28">
        <f>'Bond 1'!$B40</f>
        <v>0</v>
      </c>
      <c r="D53" s="28" t="str">
        <f>'Bond 2'!$B40</f>
        <v/>
      </c>
      <c r="E53" s="28" t="str">
        <f>'Bond 3'!$B40</f>
        <v/>
      </c>
      <c r="F53" s="28" t="str">
        <f>'Bond 4'!$B40</f>
        <v/>
      </c>
      <c r="G53" s="28" t="str">
        <f>'Bond 5'!$B40</f>
        <v/>
      </c>
      <c r="H53" s="28" t="str">
        <f>'Bond 6'!$B40</f>
        <v/>
      </c>
      <c r="I53" s="28" t="str">
        <f>'Bond 7'!$B40</f>
        <v/>
      </c>
      <c r="J53" s="28" t="str">
        <f>'Bond 8'!$B40</f>
        <v/>
      </c>
      <c r="K53" s="28" t="str">
        <f>'Bond 9'!$B40</f>
        <v/>
      </c>
      <c r="L53" s="28" t="str">
        <f>'Bond 10'!$B40</f>
        <v/>
      </c>
      <c r="M53" s="28" t="str">
        <f>'Bond 11'!$B40</f>
        <v/>
      </c>
      <c r="N53" s="28" t="str">
        <f>'Bond 12'!$B40</f>
        <v/>
      </c>
      <c r="O53" s="28" t="str">
        <f>'Bond 13'!$B40</f>
        <v/>
      </c>
      <c r="P53" s="28" t="str">
        <f>'Bond 14'!$B40</f>
        <v/>
      </c>
      <c r="Q53" s="28" t="str">
        <f>'Bond 15'!$B40</f>
        <v/>
      </c>
    </row>
    <row r="54" spans="1:17" x14ac:dyDescent="0.25">
      <c r="A54" s="7" t="s">
        <v>1254</v>
      </c>
      <c r="B54" s="32" t="s">
        <v>559</v>
      </c>
      <c r="C54" s="28">
        <f>'Bond 1'!$C40</f>
        <v>0</v>
      </c>
      <c r="D54" s="28">
        <f>'Bond 2'!$C40</f>
        <v>0</v>
      </c>
      <c r="E54" s="28">
        <f>'Bond 3'!$C40</f>
        <v>0</v>
      </c>
      <c r="F54" s="28">
        <f>'Bond 4'!$C40</f>
        <v>0</v>
      </c>
      <c r="G54" s="28">
        <f>'Bond 5'!$C40</f>
        <v>0</v>
      </c>
      <c r="H54" s="28">
        <f>'Bond 6'!$C40</f>
        <v>0</v>
      </c>
      <c r="I54" s="28">
        <f>'Bond 7'!$C40</f>
        <v>0</v>
      </c>
      <c r="J54" s="28">
        <f>'Bond 8'!$C40</f>
        <v>0</v>
      </c>
      <c r="K54" s="28">
        <f>'Bond 9'!$C40</f>
        <v>0</v>
      </c>
      <c r="L54" s="28">
        <f>'Bond 10'!$C40</f>
        <v>0</v>
      </c>
      <c r="M54" s="28">
        <f>'Bond 11'!$C40</f>
        <v>0</v>
      </c>
      <c r="N54" s="28">
        <f>'Bond 12'!$C40</f>
        <v>0</v>
      </c>
      <c r="O54" s="28">
        <f>'Bond 13'!$C40</f>
        <v>0</v>
      </c>
      <c r="P54" s="28">
        <f>'Bond 14'!$C40</f>
        <v>0</v>
      </c>
      <c r="Q54" s="28">
        <f>'Bond 15'!$C40</f>
        <v>0</v>
      </c>
    </row>
    <row r="55" spans="1:17" x14ac:dyDescent="0.25">
      <c r="A55" s="7" t="s">
        <v>1255</v>
      </c>
      <c r="B55" t="s">
        <v>560</v>
      </c>
      <c r="C55" s="28">
        <f>'Bond 1'!$B41</f>
        <v>81045</v>
      </c>
      <c r="D55" s="28" t="str">
        <f>'Bond 2'!$B41</f>
        <v/>
      </c>
      <c r="E55" s="28" t="str">
        <f>'Bond 3'!$B41</f>
        <v/>
      </c>
      <c r="F55" s="28" t="str">
        <f>'Bond 4'!$B41</f>
        <v/>
      </c>
      <c r="G55" s="28" t="str">
        <f>'Bond 5'!$B41</f>
        <v/>
      </c>
      <c r="H55" s="28" t="str">
        <f>'Bond 6'!$B41</f>
        <v/>
      </c>
      <c r="I55" s="28" t="str">
        <f>'Bond 7'!$B41</f>
        <v/>
      </c>
      <c r="J55" s="28" t="str">
        <f>'Bond 8'!$B41</f>
        <v/>
      </c>
      <c r="K55" s="28" t="str">
        <f>'Bond 9'!$B41</f>
        <v/>
      </c>
      <c r="L55" s="28" t="str">
        <f>'Bond 10'!$B41</f>
        <v/>
      </c>
      <c r="M55" s="28" t="str">
        <f>'Bond 11'!$B41</f>
        <v/>
      </c>
      <c r="N55" s="28" t="str">
        <f>'Bond 12'!$B41</f>
        <v/>
      </c>
      <c r="O55" s="28" t="str">
        <f>'Bond 13'!$B41</f>
        <v/>
      </c>
      <c r="P55" s="28" t="str">
        <f>'Bond 14'!$B41</f>
        <v/>
      </c>
      <c r="Q55" s="28" t="str">
        <f>'Bond 15'!$B41</f>
        <v/>
      </c>
    </row>
    <row r="56" spans="1:17" x14ac:dyDescent="0.25">
      <c r="A56" s="7" t="s">
        <v>1256</v>
      </c>
      <c r="B56" t="s">
        <v>562</v>
      </c>
      <c r="C56" s="28">
        <f>'Bond 1'!$C41</f>
        <v>0</v>
      </c>
      <c r="D56" s="28">
        <f>'Bond 2'!$C41</f>
        <v>0</v>
      </c>
      <c r="E56" s="28">
        <f>'Bond 3'!$C41</f>
        <v>0</v>
      </c>
      <c r="F56" s="28">
        <f>'Bond 4'!$C41</f>
        <v>0</v>
      </c>
      <c r="G56" s="28">
        <f>'Bond 5'!$C41</f>
        <v>0</v>
      </c>
      <c r="H56" s="28">
        <f>'Bond 6'!$C41</f>
        <v>0</v>
      </c>
      <c r="I56" s="28">
        <f>'Bond 7'!$C41</f>
        <v>0</v>
      </c>
      <c r="J56" s="28">
        <f>'Bond 8'!$C41</f>
        <v>0</v>
      </c>
      <c r="K56" s="28">
        <f>'Bond 9'!$C41</f>
        <v>0</v>
      </c>
      <c r="L56" s="28">
        <f>'Bond 10'!$C41</f>
        <v>0</v>
      </c>
      <c r="M56" s="28">
        <f>'Bond 11'!$C41</f>
        <v>0</v>
      </c>
      <c r="N56" s="28">
        <f>'Bond 12'!$C41</f>
        <v>0</v>
      </c>
      <c r="O56" s="28">
        <f>'Bond 13'!$C41</f>
        <v>0</v>
      </c>
      <c r="P56" s="28">
        <f>'Bond 14'!$C41</f>
        <v>0</v>
      </c>
      <c r="Q56" s="28">
        <f>'Bond 15'!$C41</f>
        <v>0</v>
      </c>
    </row>
    <row r="57" spans="1:17" x14ac:dyDescent="0.25">
      <c r="A57" s="7" t="s">
        <v>1257</v>
      </c>
      <c r="B57" t="s">
        <v>561</v>
      </c>
      <c r="C57" s="28">
        <f>'Bond 1'!$B42</f>
        <v>0</v>
      </c>
      <c r="D57" s="28" t="str">
        <f>'Bond 2'!$B42</f>
        <v/>
      </c>
      <c r="E57" s="28" t="str">
        <f>'Bond 3'!$B42</f>
        <v/>
      </c>
      <c r="F57" s="28" t="str">
        <f>'Bond 4'!$B42</f>
        <v/>
      </c>
      <c r="G57" s="28" t="str">
        <f>'Bond 5'!$B42</f>
        <v/>
      </c>
      <c r="H57" s="28" t="str">
        <f>'Bond 6'!$B42</f>
        <v/>
      </c>
      <c r="I57" s="28" t="str">
        <f>'Bond 7'!$B42</f>
        <v/>
      </c>
      <c r="J57" s="28" t="str">
        <f>'Bond 8'!$B42</f>
        <v/>
      </c>
      <c r="K57" s="28" t="str">
        <f>'Bond 9'!$B42</f>
        <v/>
      </c>
      <c r="L57" s="28" t="str">
        <f>'Bond 10'!$B42</f>
        <v/>
      </c>
      <c r="M57" s="28" t="str">
        <f>'Bond 11'!$B42</f>
        <v/>
      </c>
      <c r="N57" s="28" t="str">
        <f>'Bond 12'!$B42</f>
        <v/>
      </c>
      <c r="O57" s="28" t="str">
        <f>'Bond 13'!$B42</f>
        <v/>
      </c>
      <c r="P57" s="28" t="str">
        <f>'Bond 14'!$B42</f>
        <v/>
      </c>
      <c r="Q57" s="28" t="str">
        <f>'Bond 15'!$B42</f>
        <v/>
      </c>
    </row>
    <row r="58" spans="1:17" x14ac:dyDescent="0.25">
      <c r="A58" s="7" t="s">
        <v>1258</v>
      </c>
      <c r="B58" t="s">
        <v>563</v>
      </c>
      <c r="C58" s="28">
        <f>'Bond 1'!$C42</f>
        <v>0</v>
      </c>
      <c r="D58" s="28">
        <f>'Bond 2'!$C42</f>
        <v>0</v>
      </c>
      <c r="E58" s="28">
        <f>'Bond 3'!$C42</f>
        <v>0</v>
      </c>
      <c r="F58" s="28">
        <f>'Bond 4'!$C42</f>
        <v>0</v>
      </c>
      <c r="G58" s="28">
        <f>'Bond 5'!$C42</f>
        <v>0</v>
      </c>
      <c r="H58" s="28">
        <f>'Bond 6'!$C42</f>
        <v>0</v>
      </c>
      <c r="I58" s="28">
        <f>'Bond 7'!$C42</f>
        <v>0</v>
      </c>
      <c r="J58" s="28">
        <f>'Bond 8'!$C42</f>
        <v>0</v>
      </c>
      <c r="K58" s="28">
        <f>'Bond 9'!$C42</f>
        <v>0</v>
      </c>
      <c r="L58" s="28">
        <f>'Bond 10'!$C42</f>
        <v>0</v>
      </c>
      <c r="M58" s="28">
        <f>'Bond 11'!$C42</f>
        <v>0</v>
      </c>
      <c r="N58" s="28">
        <f>'Bond 12'!$C42</f>
        <v>0</v>
      </c>
      <c r="O58" s="28">
        <f>'Bond 13'!$C42</f>
        <v>0</v>
      </c>
      <c r="P58" s="28">
        <f>'Bond 14'!$C42</f>
        <v>0</v>
      </c>
      <c r="Q58" s="28">
        <f>'Bond 15'!$C42</f>
        <v>0</v>
      </c>
    </row>
    <row r="59" spans="1:17" x14ac:dyDescent="0.25">
      <c r="A59" s="7" t="str">
        <f>"Principal Due in "&amp;Year_DestinationYearID+1</f>
        <v>Principal Due in 2025</v>
      </c>
      <c r="B59" t="s">
        <v>558</v>
      </c>
      <c r="C59" s="28">
        <f>'Bond 1'!$B44</f>
        <v>0</v>
      </c>
      <c r="D59" s="28">
        <f>'Bond 2'!$B44</f>
        <v>0</v>
      </c>
      <c r="E59" s="28">
        <f>'Bond 3'!$B44</f>
        <v>0</v>
      </c>
      <c r="F59" s="28">
        <f>'Bond 4'!$B44</f>
        <v>0</v>
      </c>
      <c r="G59" s="28">
        <f>'Bond 5'!$B44</f>
        <v>0</v>
      </c>
      <c r="H59" s="28">
        <f>'Bond 6'!$B44</f>
        <v>0</v>
      </c>
      <c r="I59" s="28">
        <f>'Bond 7'!$B44</f>
        <v>0</v>
      </c>
      <c r="J59" s="28">
        <f>'Bond 8'!$B44</f>
        <v>0</v>
      </c>
      <c r="K59" s="28">
        <f>'Bond 9'!$B44</f>
        <v>0</v>
      </c>
      <c r="L59" s="28">
        <f>'Bond 10'!$B44</f>
        <v>0</v>
      </c>
      <c r="M59" s="28">
        <f>'Bond 11'!$B44</f>
        <v>0</v>
      </c>
      <c r="N59" s="28">
        <f>'Bond 12'!$B44</f>
        <v>0</v>
      </c>
      <c r="O59" s="28">
        <f>'Bond 13'!$B44</f>
        <v>0</v>
      </c>
      <c r="P59" s="28">
        <f>'Bond 14'!$B44</f>
        <v>0</v>
      </c>
      <c r="Q59" s="28">
        <f>'Bond 15'!$B44</f>
        <v>0</v>
      </c>
    </row>
    <row r="60" spans="1:17" x14ac:dyDescent="0.25">
      <c r="A60" s="7" t="str">
        <f>"Interest Due in "&amp;Year_DestinationYearID+1</f>
        <v>Interest Due in 2025</v>
      </c>
      <c r="B60" t="s">
        <v>564</v>
      </c>
      <c r="C60" s="28">
        <f>'Bond 1'!$B45</f>
        <v>0</v>
      </c>
      <c r="D60" s="28">
        <f>'Bond 2'!$B45</f>
        <v>0</v>
      </c>
      <c r="E60" s="28">
        <f>'Bond 3'!$B45</f>
        <v>0</v>
      </c>
      <c r="F60" s="28">
        <f>'Bond 4'!$B45</f>
        <v>0</v>
      </c>
      <c r="G60" s="28">
        <f>'Bond 5'!$B45</f>
        <v>0</v>
      </c>
      <c r="H60" s="28">
        <f>'Bond 6'!$B45</f>
        <v>0</v>
      </c>
      <c r="I60" s="28">
        <f>'Bond 7'!$B45</f>
        <v>0</v>
      </c>
      <c r="J60" s="28">
        <f>'Bond 8'!$B45</f>
        <v>0</v>
      </c>
      <c r="K60" s="28">
        <f>'Bond 9'!$B45</f>
        <v>0</v>
      </c>
      <c r="L60" s="28">
        <f>'Bond 10'!$B45</f>
        <v>0</v>
      </c>
      <c r="M60" s="28">
        <f>'Bond 11'!$B45</f>
        <v>0</v>
      </c>
      <c r="N60" s="28">
        <f>'Bond 12'!$B45</f>
        <v>0</v>
      </c>
      <c r="O60" s="28">
        <f>'Bond 13'!$B45</f>
        <v>0</v>
      </c>
      <c r="P60" s="28">
        <f>'Bond 14'!$B45</f>
        <v>0</v>
      </c>
      <c r="Q60" s="28">
        <f>'Bond 15'!$B45</f>
        <v>0</v>
      </c>
    </row>
    <row r="61" spans="1:17" x14ac:dyDescent="0.25">
      <c r="A61" s="7" t="s">
        <v>176</v>
      </c>
      <c r="B61" s="32" t="s">
        <v>568</v>
      </c>
      <c r="C61" s="28">
        <f>'Bond 1'!$A47</f>
        <v>0</v>
      </c>
      <c r="D61" s="28">
        <f>'Bond 2'!$A47</f>
        <v>0</v>
      </c>
      <c r="E61" s="28">
        <f>'Bond 3'!$A47</f>
        <v>0</v>
      </c>
      <c r="F61" s="28">
        <f>'Bond 4'!$A47</f>
        <v>0</v>
      </c>
      <c r="G61" s="28">
        <f>'Bond 5'!$A47</f>
        <v>0</v>
      </c>
      <c r="H61" s="28">
        <f>'Bond 6'!$A47</f>
        <v>0</v>
      </c>
      <c r="I61" s="28">
        <f>'Bond 7'!$A47</f>
        <v>0</v>
      </c>
      <c r="J61" s="28">
        <f>'Bond 8'!$A47</f>
        <v>0</v>
      </c>
      <c r="K61" s="28">
        <f>'Bond 9'!$A47</f>
        <v>0</v>
      </c>
      <c r="L61" s="28">
        <f>'Bond 10'!$A47</f>
        <v>0</v>
      </c>
      <c r="M61" s="28">
        <f>'Bond 11'!$A47</f>
        <v>0</v>
      </c>
      <c r="N61" s="28">
        <f>'Bond 12'!$A47</f>
        <v>0</v>
      </c>
      <c r="O61" s="28">
        <f>'Bond 13'!$A47</f>
        <v>0</v>
      </c>
      <c r="P61" s="28">
        <f>'Bond 14'!$A47</f>
        <v>0</v>
      </c>
      <c r="Q61" s="28">
        <f>'Bond 15'!$A47</f>
        <v>0</v>
      </c>
    </row>
  </sheetData>
  <conditionalFormatting sqref="A1:A5 A62:A1048576">
    <cfRule type="expression" dxfId="747" priority="2">
      <formula>#REF!="Exclude"</formula>
    </cfRule>
    <cfRule type="expression" dxfId="746" priority="3">
      <formula>#REF!="Error"</formula>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 id="{A490611B-8992-4AD4-9F33-8ABD9C2C96D7}">
            <xm:f>COUNTIFS(Validation!$H:$H,MID(CELL("filename",A1),FIND("]",CELL("filename",A1))+1,255)&amp;CELL("address",A1))&gt;0</xm:f>
            <x14:dxf>
              <font>
                <b/>
                <i val="0"/>
                <color rgb="FFC00000"/>
              </font>
              <numFmt numFmtId="172" formatCode="_(\!* #,##0_);_(\!* \(#,##0\);_(\!* \-??_);_(\!\ @_)"/>
            </x14:dxf>
          </x14:cfRule>
          <xm:sqref>A1:A5 A62:A1048576</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948C11-A462-4CCB-8398-44E36EC86232}">
  <dimension ref="A1:I17"/>
  <sheetViews>
    <sheetView showGridLines="0" workbookViewId="0">
      <selection activeCell="B7" sqref="B7"/>
    </sheetView>
  </sheetViews>
  <sheetFormatPr defaultRowHeight="15" x14ac:dyDescent="0.25"/>
  <cols>
    <col min="1" max="1" width="55.7109375" style="66" customWidth="1"/>
    <col min="2" max="4" width="20.7109375" style="66" customWidth="1"/>
    <col min="5" max="5" width="80.85546875" style="66" customWidth="1"/>
    <col min="6" max="6" width="14.7109375" style="66" customWidth="1"/>
    <col min="7" max="9" width="0" style="66" hidden="1" customWidth="1"/>
    <col min="10" max="16384" width="9.140625" style="66"/>
  </cols>
  <sheetData>
    <row r="1" spans="1:9" s="59" customFormat="1" ht="21" x14ac:dyDescent="0.25">
      <c r="A1" s="59" t="str">
        <f>_xlfn.CONCAT("Office of the State Auditor  -  TIF Annual Reporting Form  -  ",Year_DestinationYearID)</f>
        <v>Office of the State Auditor  -  TIF Annual Reporting Form  -  2024</v>
      </c>
    </row>
    <row r="2" spans="1:9" s="62" customFormat="1" ht="20.100000000000001" customHeight="1" x14ac:dyDescent="0.25">
      <c r="A2" s="58" t="str">
        <f>_xlfn.CONCAT(GovEntity_GovEntityName_Parent,"  -  ",GovEntity_GovEntityName)</f>
        <v>Spruce City  -  TIF 1-1 Downtown Redev</v>
      </c>
    </row>
    <row r="3" spans="1:9" s="68" customFormat="1" ht="24.95" customHeight="1" x14ac:dyDescent="0.3">
      <c r="A3" s="65" t="s">
        <v>282</v>
      </c>
      <c r="B3" s="66"/>
    </row>
    <row r="4" spans="1:9" s="71" customFormat="1" ht="15" customHeight="1" x14ac:dyDescent="0.25">
      <c r="A4" s="71" t="s">
        <v>1465</v>
      </c>
    </row>
    <row r="5" spans="1:9" s="74" customFormat="1" x14ac:dyDescent="0.25">
      <c r="A5" s="73" t="str">
        <f>HYPERLINK("#'Expenditures'!A7","Click here to continue to the Expenditures Tab")</f>
        <v>Click here to continue to the Expenditures Tab</v>
      </c>
      <c r="E5" s="74" t="s">
        <v>121</v>
      </c>
      <c r="F5" s="74" t="s">
        <v>102</v>
      </c>
    </row>
    <row r="6" spans="1:9" ht="20.100000000000001" customHeight="1" x14ac:dyDescent="0.25">
      <c r="A6" s="74" t="s">
        <v>282</v>
      </c>
      <c r="B6" s="74" t="s">
        <v>283</v>
      </c>
      <c r="C6" s="74" t="str">
        <f>Year_DestinationYearID&amp;" Amount"</f>
        <v>2024 Amount</v>
      </c>
      <c r="D6" s="74" t="str">
        <f>"Total Thru "&amp;Year_DestinationYearID</f>
        <v>Total Thru 2024</v>
      </c>
      <c r="E6" s="77" t="str">
        <f ca="1">IFERROR(INDEX(Validation!G:G,MATCH("Revenues"&amp;CELL("address",E6),Validation!I:I,0)),"")</f>
        <v xml:space="preserve">Complete entry of all rows on this tab. (Enter zero when appropriate.) </v>
      </c>
      <c r="F6" s="66" t="str">
        <f ca="1">IFERROR(INDEX(Validation!F:F,MATCH("Revenues"&amp;CELL("address",E6),Validation!I:I,0)),"")</f>
        <v>Error</v>
      </c>
      <c r="G6" s="78"/>
      <c r="H6" s="78"/>
      <c r="I6" s="78"/>
    </row>
    <row r="7" spans="1:9" x14ac:dyDescent="0.25">
      <c r="A7" s="79" t="s">
        <v>284</v>
      </c>
      <c r="B7" s="104">
        <f>TIF_DistrictYear_TaxIncRevPriorAdj_Input</f>
        <v>595003</v>
      </c>
      <c r="C7" s="104"/>
      <c r="D7" s="159">
        <f>IFERROR(SUM(B7:C7),"")</f>
        <v>595003</v>
      </c>
      <c r="E7" s="77" t="str">
        <f ca="1">IFERROR(INDEX(Validation!G:G,MATCH("Revenues"&amp;CELL("address",E7),Validation!I:I,0)),"")</f>
        <v/>
      </c>
      <c r="F7" s="66" t="str">
        <f ca="1">IFERROR(INDEX(Validation!F:F,MATCH("Revenues"&amp;CELL("address",E7),Validation!I:I,0)),"")</f>
        <v/>
      </c>
      <c r="G7" s="85">
        <v>595003</v>
      </c>
      <c r="H7" s="160">
        <f>TIF_DistrictYear_TaxIncRevPriorAdj_Entry</f>
        <v>595003</v>
      </c>
      <c r="I7" s="161" t="s">
        <v>1155</v>
      </c>
    </row>
    <row r="8" spans="1:9" x14ac:dyDescent="0.25">
      <c r="A8" s="79" t="s">
        <v>285</v>
      </c>
      <c r="B8" s="104">
        <f>TIF_DistrictYear_MVHCPriorAdj_Input</f>
        <v>0</v>
      </c>
      <c r="C8" s="104"/>
      <c r="D8" s="159">
        <f t="shared" ref="D8:D15" si="0">IFERROR(SUM(B8:C8),"")</f>
        <v>0</v>
      </c>
      <c r="E8" s="77" t="str">
        <f ca="1">IFERROR(INDEX(Validation!G:G,MATCH("Revenues"&amp;CELL("address",E8),Validation!I:I,0)),"")</f>
        <v/>
      </c>
      <c r="F8" s="66" t="str">
        <f ca="1">IFERROR(INDEX(Validation!F:F,MATCH("Revenues"&amp;CELL("address",E8),Validation!I:I,0)),"")</f>
        <v/>
      </c>
      <c r="G8" s="85">
        <v>0</v>
      </c>
      <c r="H8" s="160">
        <f>TIF_DistrictYear_MVHCPriorAdj_Entry</f>
        <v>0</v>
      </c>
      <c r="I8" s="161" t="s">
        <v>1156</v>
      </c>
    </row>
    <row r="9" spans="1:9" x14ac:dyDescent="0.25">
      <c r="A9" s="79" t="s">
        <v>332</v>
      </c>
      <c r="B9" s="162">
        <f>IFERROR(TIF_DistrictYear_TaxIncRevPriorAdj_Entry+TIF_DistrictYear_MVHCPriorAdj_Entry,"")</f>
        <v>595003</v>
      </c>
      <c r="C9" s="162">
        <f>IFERROR(TIF_DistrictYear_TaxIncRevAmt+TIF_DistrictYear_MVHCAmt,"")</f>
        <v>0</v>
      </c>
      <c r="D9" s="159">
        <f t="shared" si="0"/>
        <v>595003</v>
      </c>
      <c r="E9" s="77" t="str">
        <f ca="1">IFERROR(INDEX(Validation!G:G,MATCH("Revenues"&amp;CELL("address",E9),Validation!I:I,0)),"")</f>
        <v/>
      </c>
      <c r="F9" s="66" t="str">
        <f ca="1">IFERROR(INDEX(Validation!F:F,MATCH("Revenues"&amp;CELL("address",E9),Validation!I:I,0)),"")</f>
        <v/>
      </c>
      <c r="G9" s="78"/>
      <c r="H9" s="78"/>
      <c r="I9" s="78"/>
    </row>
    <row r="10" spans="1:9" x14ac:dyDescent="0.25">
      <c r="A10" s="79" t="s">
        <v>286</v>
      </c>
      <c r="B10" s="104">
        <f>TIF_DistrictYear_InvestmentEarningsPriorAdj_Input</f>
        <v>5117</v>
      </c>
      <c r="C10" s="104"/>
      <c r="D10" s="159">
        <f t="shared" si="0"/>
        <v>5117</v>
      </c>
      <c r="E10" s="77" t="str">
        <f ca="1">IFERROR(INDEX(Validation!G:G,MATCH("Revenues"&amp;CELL("address",E10),Validation!I:I,0)),"")</f>
        <v/>
      </c>
      <c r="F10" s="66" t="str">
        <f ca="1">IFERROR(INDEX(Validation!F:F,MATCH("Revenues"&amp;CELL("address",E10),Validation!I:I,0)),"")</f>
        <v/>
      </c>
      <c r="G10" s="85">
        <v>5117</v>
      </c>
      <c r="H10" s="160">
        <f>TIF_DistrictYear_InvestmentEarningsPriorAdj_Entry</f>
        <v>5117</v>
      </c>
      <c r="I10" s="161" t="s">
        <v>1157</v>
      </c>
    </row>
    <row r="11" spans="1:9" x14ac:dyDescent="0.25">
      <c r="A11" s="79" t="s">
        <v>287</v>
      </c>
      <c r="B11" s="104">
        <f>TIF_DistrictYear_PropertySalesPriorAdj_Input</f>
        <v>0</v>
      </c>
      <c r="C11" s="104"/>
      <c r="D11" s="159">
        <f t="shared" si="0"/>
        <v>0</v>
      </c>
      <c r="E11" s="77" t="str">
        <f ca="1">IFERROR(INDEX(Validation!G:G,MATCH("Revenues"&amp;CELL("address",E11),Validation!I:I,0)),"")</f>
        <v/>
      </c>
      <c r="F11" s="66" t="str">
        <f ca="1">IFERROR(INDEX(Validation!F:F,MATCH("Revenues"&amp;CELL("address",E11),Validation!I:I,0)),"")</f>
        <v/>
      </c>
      <c r="G11" s="85">
        <v>0</v>
      </c>
      <c r="H11" s="160">
        <f>TIF_DistrictYear_PropertySalesPriorAdj_Entry</f>
        <v>0</v>
      </c>
      <c r="I11" s="161" t="s">
        <v>1158</v>
      </c>
    </row>
    <row r="12" spans="1:9" x14ac:dyDescent="0.25">
      <c r="A12" s="79" t="s">
        <v>161</v>
      </c>
      <c r="B12" s="104">
        <f>TIF_DistrictYear_LeaseProceedsPriorAdj_Input</f>
        <v>0</v>
      </c>
      <c r="C12" s="104"/>
      <c r="D12" s="159">
        <f t="shared" si="0"/>
        <v>0</v>
      </c>
      <c r="E12" s="77" t="str">
        <f ca="1">IFERROR(INDEX(Validation!G:G,MATCH("Revenues"&amp;CELL("address",E12),Validation!I:I,0)),"")</f>
        <v/>
      </c>
      <c r="F12" s="66" t="str">
        <f ca="1">IFERROR(INDEX(Validation!F:F,MATCH("Revenues"&amp;CELL("address",E12),Validation!I:I,0)),"")</f>
        <v/>
      </c>
      <c r="G12" s="85">
        <v>0</v>
      </c>
      <c r="H12" s="160">
        <f>TIF_DistrictYear_LeaseProceedsPriorAdj_Entry</f>
        <v>0</v>
      </c>
      <c r="I12" s="161" t="s">
        <v>1159</v>
      </c>
    </row>
    <row r="13" spans="1:9" x14ac:dyDescent="0.25">
      <c r="A13" s="79" t="s">
        <v>288</v>
      </c>
      <c r="B13" s="104">
        <f>TIF_DistrictYear_LoanAdvanceRepaymentsPriorAdj_Input</f>
        <v>0</v>
      </c>
      <c r="C13" s="104"/>
      <c r="D13" s="159">
        <f t="shared" si="0"/>
        <v>0</v>
      </c>
      <c r="E13" s="77" t="str">
        <f ca="1">IFERROR(INDEX(Validation!G:G,MATCH("Revenues"&amp;CELL("address",E13),Validation!I:I,0)),"")</f>
        <v/>
      </c>
      <c r="F13" s="66" t="str">
        <f ca="1">IFERROR(INDEX(Validation!F:F,MATCH("Revenues"&amp;CELL("address",E13),Validation!I:I,0)),"")</f>
        <v/>
      </c>
      <c r="G13" s="85">
        <v>0</v>
      </c>
      <c r="H13" s="160">
        <f>TIF_DistrictYear_LoanAdvanceRepaymentsPriorAdj_Entry</f>
        <v>0</v>
      </c>
      <c r="I13" s="161" t="s">
        <v>1160</v>
      </c>
    </row>
    <row r="14" spans="1:9" x14ac:dyDescent="0.25">
      <c r="A14" s="79" t="s">
        <v>289</v>
      </c>
      <c r="B14" s="104">
        <f>TIF_DistrictYear_AgreementRepaymentPriorAdj_Input</f>
        <v>0</v>
      </c>
      <c r="C14" s="104"/>
      <c r="D14" s="159">
        <f t="shared" si="0"/>
        <v>0</v>
      </c>
      <c r="E14" s="77" t="str">
        <f ca="1">IFERROR(INDEX(Validation!G:G,MATCH("Revenues"&amp;CELL("address",E14),Validation!I:I,0)),"")</f>
        <v/>
      </c>
      <c r="F14" s="66" t="str">
        <f ca="1">IFERROR(INDEX(Validation!F:F,MATCH("Revenues"&amp;CELL("address",E14),Validation!I:I,0)),"")</f>
        <v/>
      </c>
      <c r="G14" s="85">
        <v>0</v>
      </c>
      <c r="H14" s="160">
        <f>TIF_DistrictYear_AgreementRepaymentPriorAdj_Entry</f>
        <v>0</v>
      </c>
      <c r="I14" s="161" t="s">
        <v>1161</v>
      </c>
    </row>
    <row r="15" spans="1:9" x14ac:dyDescent="0.25">
      <c r="A15" s="163" t="s">
        <v>290</v>
      </c>
      <c r="B15" s="159">
        <f>IFERROR(SUM(B7:B8,B10:B14),"")</f>
        <v>600120</v>
      </c>
      <c r="C15" s="159">
        <f>IFERROR(SUM(C7:C8,C10:C14),"")</f>
        <v>0</v>
      </c>
      <c r="D15" s="159">
        <f t="shared" si="0"/>
        <v>600120</v>
      </c>
      <c r="E15" s="77" t="str">
        <f ca="1">IFERROR(INDEX(Validation!G:G,MATCH("Revenues"&amp;CELL("address",E15),Validation!I:I,0)),"")</f>
        <v/>
      </c>
      <c r="F15" s="66" t="str">
        <f ca="1">IFERROR(INDEX(Validation!F:F,MATCH("Revenues"&amp;CELL("address",E15),Validation!I:I,0)),"")</f>
        <v/>
      </c>
      <c r="G15" s="78"/>
      <c r="H15" s="78"/>
      <c r="I15" s="78"/>
    </row>
    <row r="16" spans="1:9" ht="20.100000000000001" customHeight="1" x14ac:dyDescent="0.25">
      <c r="A16" s="97" t="s">
        <v>176</v>
      </c>
      <c r="E16" s="77" t="str">
        <f ca="1">IFERROR(INDEX(Validation!G:G,MATCH("Revenues"&amp;CELL("address",E16),Validation!I:I,0)),"")</f>
        <v/>
      </c>
      <c r="F16" s="66" t="str">
        <f ca="1">IFERROR(INDEX(Validation!F:F,MATCH("Revenues"&amp;CELL("address",E16),Validation!I:I,0)),"")</f>
        <v/>
      </c>
    </row>
    <row r="17" spans="1:2" ht="150" customHeight="1" x14ac:dyDescent="0.25">
      <c r="A17" s="164"/>
      <c r="B17" s="100" t="str">
        <f>HYPERLINK("#'Expenditures'!A7","Click here to continue to the Expenditures Tab")</f>
        <v>Click here to continue to the Expenditures Tab</v>
      </c>
    </row>
  </sheetData>
  <sheetProtection algorithmName="SHA-512" hashValue="YPcc4jqwaB/YWe0YYtWYI3QHWMh7x/bk/6+ks6ULeX/kttaCNTj0cAZO4RRPZ+xmw5rLNO5zEtNbQLGyAcNi/A==" saltValue="6Keyz+hKTHTFfzXMjgAVTw==" spinCount="100000" sheet="1" objects="1" scenarios="1"/>
  <conditionalFormatting sqref="A2">
    <cfRule type="expression" dxfId="591" priority="6">
      <formula>$D2="Error"</formula>
    </cfRule>
    <cfRule type="expression" dxfId="590" priority="7">
      <formula>$D2="Exclude"</formula>
    </cfRule>
  </conditionalFormatting>
  <conditionalFormatting sqref="B1:B2 A3:B4 B16 A17 A18:B1048576">
    <cfRule type="expression" dxfId="587" priority="10">
      <formula>$D1="Error"</formula>
    </cfRule>
  </conditionalFormatting>
  <conditionalFormatting sqref="B1:B5 B16 B18:B1048576">
    <cfRule type="expression" dxfId="586" priority="8">
      <formula>$B1&lt;&gt;TRUNC($B1,0)</formula>
    </cfRule>
  </conditionalFormatting>
  <conditionalFormatting sqref="B5">
    <cfRule type="expression" dxfId="585" priority="347">
      <formula>$F5="Error"</formula>
    </cfRule>
    <cfRule type="expression" dxfId="584" priority="349">
      <formula>$F5="Exclude"</formula>
    </cfRule>
  </conditionalFormatting>
  <conditionalFormatting sqref="B1:D2 A3:D4 B16:D16 A17 A18:D1048576 C17:D17">
    <cfRule type="expression" dxfId="583" priority="14">
      <formula>$D1="Exclude"</formula>
    </cfRule>
  </conditionalFormatting>
  <conditionalFormatting sqref="C1:D4 C16:D1048576">
    <cfRule type="expression" dxfId="582" priority="9">
      <formula>$D1="Information"</formula>
    </cfRule>
    <cfRule type="expression" dxfId="581" priority="11">
      <formula>$D1="Error"</formula>
    </cfRule>
    <cfRule type="expression" dxfId="580" priority="12">
      <formula>$D1="Alert"</formula>
    </cfRule>
  </conditionalFormatting>
  <conditionalFormatting sqref="E5:F5">
    <cfRule type="expression" dxfId="579" priority="354">
      <formula>$F5="Information"</formula>
    </cfRule>
    <cfRule type="expression" dxfId="578" priority="355">
      <formula>$F5="Error"</formula>
    </cfRule>
    <cfRule type="expression" dxfId="577" priority="356">
      <formula>$F5="Alert"</formula>
    </cfRule>
  </conditionalFormatting>
  <conditionalFormatting sqref="E5:F16">
    <cfRule type="expression" dxfId="576" priority="5">
      <formula>$F5="Exclude"</formula>
    </cfRule>
  </conditionalFormatting>
  <conditionalFormatting sqref="E6:F16">
    <cfRule type="expression" dxfId="575" priority="2">
      <formula>$F6="Information"</formula>
    </cfRule>
    <cfRule type="expression" dxfId="574" priority="3">
      <formula>$F6="Error"</formula>
    </cfRule>
    <cfRule type="expression" dxfId="573" priority="4">
      <formula>$F6="Alert"</formula>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 id="{3256ACC7-325D-450B-A2F0-21D7BECDECBF}">
            <xm:f>COUNTIFS(Validation!$H:$H,MID(CELL("filename",A6),FIND("]",CELL("filename",A6))+1,255)&amp;CELL("address",A6))&gt;0</xm:f>
            <x14:dxf>
              <font>
                <b/>
                <i val="0"/>
                <color rgb="FFC00000"/>
              </font>
              <numFmt numFmtId="173" formatCode="_(\!_$* #,##0_);_(\!_$* \(#,##0\);_(\!_$* \-??_);_(\!\ @_)"/>
            </x14:dxf>
          </x14:cfRule>
          <xm:sqref>A6:D15</xm:sqref>
        </x14:conditionalFormatting>
        <x14:conditionalFormatting xmlns:xm="http://schemas.microsoft.com/office/excel/2006/main">
          <x14:cfRule type="expression" priority="13" id="{9BD51DEC-05E6-41B4-82D2-E28452F33030}">
            <xm:f>COUNTIFS(Validation!$H:$H,MID(CELL("filename",A1),FIND("]",CELL("filename",A1))+1,255)&amp;CELL("address",A1))&gt;0</xm:f>
            <x14:dxf>
              <font>
                <b/>
                <i val="0"/>
                <color rgb="FFC00000"/>
              </font>
              <numFmt numFmtId="172" formatCode="_(\!* #,##0_);_(\!* \(#,##0\);_(\!* \-??_);_(\!\ @_)"/>
            </x14:dxf>
          </x14:cfRule>
          <xm:sqref>B1:B2 A3:B4 B5 B16 A18:B1048576 A2 A17</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9D734-C6B7-4C0F-8D17-6CACD462F20D}">
  <sheetPr codeName="Sheet11"/>
  <dimension ref="A1:J28"/>
  <sheetViews>
    <sheetView showGridLines="0" workbookViewId="0">
      <selection activeCell="B7" sqref="B7"/>
    </sheetView>
  </sheetViews>
  <sheetFormatPr defaultRowHeight="15" x14ac:dyDescent="0.25"/>
  <cols>
    <col min="1" max="1" width="55.7109375" style="66" customWidth="1"/>
    <col min="2" max="4" width="16.7109375" style="66" customWidth="1"/>
    <col min="5" max="5" width="80.85546875" style="66" customWidth="1"/>
    <col min="6" max="6" width="14.7109375" style="66" customWidth="1"/>
    <col min="7" max="7" width="8" style="78" hidden="1" customWidth="1"/>
    <col min="8" max="8" width="7.28515625" style="78" hidden="1" customWidth="1"/>
    <col min="9" max="9" width="14" style="78" hidden="1" customWidth="1"/>
    <col min="10" max="16" width="16.7109375" style="66" customWidth="1"/>
    <col min="17" max="16384" width="9.140625" style="66"/>
  </cols>
  <sheetData>
    <row r="1" spans="1:10" s="59" customFormat="1" ht="24.95" customHeight="1" x14ac:dyDescent="0.25">
      <c r="A1" s="59" t="str">
        <f>_xlfn.CONCAT("Office of the State Auditor  -  TIF Annual Reporting Form  -  ",Year_DestinationYearID)</f>
        <v>Office of the State Auditor  -  TIF Annual Reporting Form  -  2024</v>
      </c>
      <c r="G1" s="61"/>
      <c r="H1" s="61"/>
      <c r="I1" s="61"/>
    </row>
    <row r="2" spans="1:10" s="62" customFormat="1" ht="20.100000000000001" customHeight="1" x14ac:dyDescent="0.25">
      <c r="A2" s="58" t="str">
        <f>_xlfn.CONCAT(GovEntity_GovEntityName_Parent,"  -  ",GovEntity_GovEntityName)</f>
        <v>Spruce City  -  TIF 1-1 Downtown Redev</v>
      </c>
      <c r="G2" s="64"/>
      <c r="H2" s="64"/>
      <c r="I2" s="64"/>
    </row>
    <row r="3" spans="1:10" s="68" customFormat="1" ht="24.95" customHeight="1" x14ac:dyDescent="0.3">
      <c r="A3" s="65" t="s">
        <v>265</v>
      </c>
      <c r="B3" s="66"/>
      <c r="C3" s="66"/>
      <c r="D3" s="66"/>
      <c r="G3" s="78"/>
      <c r="H3" s="78"/>
      <c r="I3" s="78"/>
      <c r="J3" s="66"/>
    </row>
    <row r="4" spans="1:10" s="71" customFormat="1" ht="30" customHeight="1" x14ac:dyDescent="0.25">
      <c r="A4" s="217" t="s">
        <v>1422</v>
      </c>
      <c r="B4" s="217"/>
      <c r="C4" s="217"/>
      <c r="D4" s="217"/>
      <c r="E4" s="217"/>
      <c r="F4" s="217"/>
      <c r="G4" s="72" t="s">
        <v>119</v>
      </c>
      <c r="H4" s="72" t="s">
        <v>119</v>
      </c>
      <c r="I4" s="72" t="s">
        <v>119</v>
      </c>
    </row>
    <row r="5" spans="1:10" s="74" customFormat="1" ht="20.100000000000001" customHeight="1" x14ac:dyDescent="0.25">
      <c r="A5" s="73" t="str">
        <f>HYPERLINK("#'Transfers'!A7","Click here to continue to the Transfers Tab")</f>
        <v>Click here to continue to the Transfers Tab</v>
      </c>
      <c r="E5" s="74" t="s">
        <v>121</v>
      </c>
      <c r="F5" s="74" t="s">
        <v>102</v>
      </c>
      <c r="G5" s="76" t="s">
        <v>475</v>
      </c>
      <c r="H5" s="76" t="s">
        <v>476</v>
      </c>
      <c r="I5" s="76" t="s">
        <v>484</v>
      </c>
    </row>
    <row r="6" spans="1:10" ht="20.100000000000001" customHeight="1" x14ac:dyDescent="0.25">
      <c r="A6" s="74" t="s">
        <v>1418</v>
      </c>
      <c r="B6" s="165" t="s">
        <v>275</v>
      </c>
      <c r="C6" s="165" t="str">
        <f>_xlfn.CONCAT("Paid in "&amp;Year_DestinationYearID)</f>
        <v>Paid in 2024</v>
      </c>
      <c r="D6" s="165" t="s">
        <v>274</v>
      </c>
      <c r="E6" s="77" t="str">
        <f ca="1">IFERROR(INDEX(Validation!G:G,MATCH("Expenditures"&amp;CELL("address",E6),Validation!I:I,0)),"")</f>
        <v xml:space="preserve">Complete entry of all rows on this tab. (Enter zero when appropriate.) </v>
      </c>
      <c r="F6" s="66" t="str">
        <f ca="1">IFERROR(INDEX(Validation!F:F,MATCH("Expenditures"&amp;CELL("address",E6),Validation!I:I,0)),"")</f>
        <v>Error</v>
      </c>
      <c r="G6" s="166"/>
      <c r="H6" s="166"/>
      <c r="I6" s="166"/>
      <c r="J6" s="74"/>
    </row>
    <row r="7" spans="1:10" x14ac:dyDescent="0.25">
      <c r="A7" s="79" t="s">
        <v>266</v>
      </c>
      <c r="B7" s="105">
        <f t="shared" ref="B7" si="0">TIF_DistrictYear_LandBldgAcquisitionCostPriorAdj_Input</f>
        <v>0</v>
      </c>
      <c r="C7" s="104"/>
      <c r="D7" s="162">
        <f>IFERROR(SUM(B7:C7),"")</f>
        <v>0</v>
      </c>
      <c r="E7" s="77" t="str">
        <f ca="1">IFERROR(INDEX(Validation!G:G,MATCH("Expenditures"&amp;CELL("address",E7),Validation!I:I,0)),"")</f>
        <v/>
      </c>
      <c r="F7" s="66" t="str">
        <f ca="1">IFERROR(INDEX(Validation!F:F,MATCH("Expenditures"&amp;CELL("address",E7),Validation!I:I,0)),"")</f>
        <v/>
      </c>
      <c r="G7" s="85"/>
      <c r="H7" s="85">
        <f t="shared" ref="H7" si="1">TIF_DistrictYear_LandBldgAcquisitionCostPriorAdj_Entry</f>
        <v>0</v>
      </c>
      <c r="I7" s="167" t="s">
        <v>1472</v>
      </c>
    </row>
    <row r="8" spans="1:10" x14ac:dyDescent="0.25">
      <c r="A8" s="79" t="s">
        <v>267</v>
      </c>
      <c r="B8" s="105">
        <f>TIF_DistrictYear_SiteImprovementsCostPriorAdj_Input</f>
        <v>0</v>
      </c>
      <c r="C8" s="104"/>
      <c r="D8" s="162">
        <f t="shared" ref="D8:D17" si="2">IFERROR(SUM(B8:C8),"")</f>
        <v>0</v>
      </c>
      <c r="E8" s="77" t="str">
        <f ca="1">IFERROR(INDEX(Validation!G:G,MATCH("Expenditures"&amp;CELL("address",E8),Validation!I:I,0)),"")</f>
        <v/>
      </c>
      <c r="F8" s="66" t="str">
        <f ca="1">IFERROR(INDEX(Validation!F:F,MATCH("Expenditures"&amp;CELL("address",E8),Validation!I:I,0)),"")</f>
        <v/>
      </c>
      <c r="G8" s="85"/>
      <c r="H8" s="85">
        <f>TIF_DistrictYear_SiteImprovementsCostPriorAdj_Entry</f>
        <v>0</v>
      </c>
      <c r="I8" s="167" t="s">
        <v>1473</v>
      </c>
    </row>
    <row r="9" spans="1:10" x14ac:dyDescent="0.25">
      <c r="A9" s="79" t="s">
        <v>268</v>
      </c>
      <c r="B9" s="105">
        <f>TIF_DistrictYear_UtilitiesCostPriorAdj_Input</f>
        <v>0</v>
      </c>
      <c r="C9" s="104"/>
      <c r="D9" s="162">
        <f t="shared" si="2"/>
        <v>0</v>
      </c>
      <c r="E9" s="77" t="str">
        <f ca="1">IFERROR(INDEX(Validation!G:G,MATCH("Expenditures"&amp;CELL("address",E9),Validation!I:I,0)),"")</f>
        <v/>
      </c>
      <c r="F9" s="66" t="str">
        <f ca="1">IFERROR(INDEX(Validation!F:F,MATCH("Expenditures"&amp;CELL("address",E9),Validation!I:I,0)),"")</f>
        <v/>
      </c>
      <c r="G9" s="85"/>
      <c r="H9" s="85">
        <f>TIF_DistrictYear_UtilitiesCostPriorAdj_Entry</f>
        <v>0</v>
      </c>
      <c r="I9" s="167" t="s">
        <v>1474</v>
      </c>
    </row>
    <row r="10" spans="1:10" x14ac:dyDescent="0.25">
      <c r="A10" s="79" t="s">
        <v>269</v>
      </c>
      <c r="B10" s="105">
        <f>TIF_DistrictYear_AffordableHsgCostPriorAdj_Input</f>
        <v>0</v>
      </c>
      <c r="C10" s="104"/>
      <c r="D10" s="162">
        <f>IFERROR(SUM(B10:C10),"")</f>
        <v>0</v>
      </c>
      <c r="E10" s="77" t="str">
        <f ca="1">IFERROR(INDEX(Validation!G:G,MATCH("Expenditures"&amp;CELL("address",E10),Validation!I:I,0)),"")</f>
        <v/>
      </c>
      <c r="F10" s="66" t="str">
        <f ca="1">IFERROR(INDEX(Validation!F:F,MATCH("Expenditures"&amp;CELL("address",E10),Validation!I:I,0)),"")</f>
        <v/>
      </c>
      <c r="G10" s="85"/>
      <c r="H10" s="85">
        <f>TIF_DistrictYear_AffordableHsgCostPriorAdj_Entry</f>
        <v>0</v>
      </c>
      <c r="I10" s="167" t="s">
        <v>1475</v>
      </c>
    </row>
    <row r="11" spans="1:10" x14ac:dyDescent="0.25">
      <c r="A11" s="79" t="s">
        <v>1101</v>
      </c>
      <c r="B11" s="105">
        <f>TIF_DistrictYear_OutDistrictElectedHousingPriorAdj_Input</f>
        <v>0</v>
      </c>
      <c r="C11" s="104"/>
      <c r="D11" s="162">
        <f>IFERROR(SUM(B11:C11),"")</f>
        <v>0</v>
      </c>
      <c r="E11" s="77" t="str">
        <f ca="1">IFERROR(INDEX(Validation!G:G,MATCH("Expenditures"&amp;CELL("address",E11),Validation!I:I,0)),"")</f>
        <v/>
      </c>
      <c r="F11" s="66" t="str">
        <f ca="1">IFERROR(INDEX(Validation!F:F,MATCH("Expenditures"&amp;CELL("address",E11),Validation!I:I,0)),"")</f>
        <v/>
      </c>
      <c r="G11" s="85"/>
      <c r="H11" s="85">
        <f>TIF_DistrictYear_OutDistrictElectedHousingPriorAdj_Entry</f>
        <v>0</v>
      </c>
      <c r="I11" s="167" t="s">
        <v>1476</v>
      </c>
    </row>
    <row r="12" spans="1:10" x14ac:dyDescent="0.25">
      <c r="A12" s="79" t="s">
        <v>270</v>
      </c>
      <c r="B12" s="105">
        <f>TIF_DistrictYear_OtherPublicCostPriorAdj_Input</f>
        <v>0</v>
      </c>
      <c r="C12" s="104"/>
      <c r="D12" s="162">
        <f t="shared" si="2"/>
        <v>0</v>
      </c>
      <c r="E12" s="77" t="str">
        <f ca="1">IFERROR(INDEX(Validation!G:G,MATCH("Expenditures"&amp;CELL("address",E12),Validation!I:I,0)),"")</f>
        <v/>
      </c>
      <c r="F12" s="66" t="str">
        <f ca="1">IFERROR(INDEX(Validation!F:F,MATCH("Expenditures"&amp;CELL("address",E12),Validation!I:I,0)),"")</f>
        <v/>
      </c>
      <c r="G12" s="85"/>
      <c r="H12" s="85">
        <f>TIF_DistrictYear_OtherPublicCostPriorAdj_Entry</f>
        <v>0</v>
      </c>
      <c r="I12" s="167" t="s">
        <v>1477</v>
      </c>
    </row>
    <row r="13" spans="1:10" x14ac:dyDescent="0.25">
      <c r="A13" s="79" t="s">
        <v>271</v>
      </c>
      <c r="B13" s="105">
        <f>TIF_DistrictYear_AuthorityAdminCostPriorAdj_Input</f>
        <v>0</v>
      </c>
      <c r="C13" s="104"/>
      <c r="D13" s="162">
        <f t="shared" si="2"/>
        <v>0</v>
      </c>
      <c r="E13" s="77" t="str">
        <f ca="1">IFERROR(INDEX(Validation!G:G,MATCH("Expenditures"&amp;CELL("address",E13),Validation!I:I,0)),"")</f>
        <v/>
      </c>
      <c r="F13" s="66" t="str">
        <f ca="1">IFERROR(INDEX(Validation!F:F,MATCH("Expenditures"&amp;CELL("address",E13),Validation!I:I,0)),"")</f>
        <v/>
      </c>
      <c r="G13" s="85"/>
      <c r="H13" s="85">
        <f>TIF_DistrictYear_AuthorityAdminCostPriorAdj_Entry</f>
        <v>0</v>
      </c>
      <c r="I13" s="167" t="s">
        <v>1478</v>
      </c>
    </row>
    <row r="14" spans="1:10" x14ac:dyDescent="0.25">
      <c r="A14" s="79" t="s">
        <v>276</v>
      </c>
      <c r="B14" s="104">
        <f>TIF_DistrictYear_CountyAdminCostPriorAdj_Input</f>
        <v>0</v>
      </c>
      <c r="C14" s="104"/>
      <c r="D14" s="162">
        <f>IFERROR(SUM(B14:C14),"")</f>
        <v>0</v>
      </c>
      <c r="E14" s="77" t="str">
        <f ca="1">IFERROR(INDEX(Validation!G:G,MATCH("Expenditures"&amp;CELL("address",E14),Validation!I:I,0)),"")</f>
        <v/>
      </c>
      <c r="F14" s="66" t="str">
        <f ca="1">IFERROR(INDEX(Validation!F:F,MATCH("Expenditures"&amp;CELL("address",E14),Validation!I:I,0)),"")</f>
        <v/>
      </c>
      <c r="G14" s="85"/>
      <c r="H14" s="85">
        <f>TIF_DistrictYear_CountyAdminCostPriorAdj_Entry</f>
        <v>0</v>
      </c>
      <c r="I14" s="168" t="s">
        <v>1485</v>
      </c>
    </row>
    <row r="15" spans="1:10" x14ac:dyDescent="0.25">
      <c r="A15" s="79" t="s">
        <v>272</v>
      </c>
      <c r="B15" s="105">
        <f>TIF_DistrictYear_JobsBillCostPriorAdj_Input</f>
        <v>0</v>
      </c>
      <c r="C15" s="104"/>
      <c r="D15" s="162">
        <f t="shared" si="2"/>
        <v>0</v>
      </c>
      <c r="E15" s="77" t="str">
        <f ca="1">IFERROR(INDEX(Validation!G:G,MATCH("Expenditures"&amp;CELL("address",E15),Validation!I:I,0)),"")</f>
        <v/>
      </c>
      <c r="F15" s="66" t="str">
        <f ca="1">IFERROR(INDEX(Validation!F:F,MATCH("Expenditures"&amp;CELL("address",E15),Validation!I:I,0)),"")</f>
        <v/>
      </c>
      <c r="G15" s="85"/>
      <c r="H15" s="85">
        <f>TIF_DistrictYear_JobsBillCostPriorAdj_Entry</f>
        <v>0</v>
      </c>
      <c r="I15" s="167" t="s">
        <v>1479</v>
      </c>
    </row>
    <row r="16" spans="1:10" x14ac:dyDescent="0.25">
      <c r="A16" s="79" t="s">
        <v>273</v>
      </c>
      <c r="B16" s="105">
        <f>TIF_DistrictYear_TempTransferAuthorityPriorAdj_Input</f>
        <v>0</v>
      </c>
      <c r="C16" s="104"/>
      <c r="D16" s="162">
        <f t="shared" si="2"/>
        <v>0</v>
      </c>
      <c r="E16" s="77" t="str">
        <f ca="1">IFERROR(INDEX(Validation!G:G,MATCH("Expenditures"&amp;CELL("address",E16),Validation!I:I,0)),"")</f>
        <v/>
      </c>
      <c r="F16" s="66" t="str">
        <f ca="1">IFERROR(INDEX(Validation!F:F,MATCH("Expenditures"&amp;CELL("address",E16),Validation!I:I,0)),"")</f>
        <v/>
      </c>
      <c r="G16" s="85"/>
      <c r="H16" s="85">
        <f>TIF_DistrictYear_TempTransferAuthorityPriorAdj_Entry</f>
        <v>0</v>
      </c>
      <c r="I16" s="167" t="s">
        <v>1480</v>
      </c>
    </row>
    <row r="17" spans="1:10" x14ac:dyDescent="0.25">
      <c r="A17" s="130" t="s">
        <v>1184</v>
      </c>
      <c r="B17" s="162">
        <f>IFERROR(SUM(B7:B16),"")</f>
        <v>0</v>
      </c>
      <c r="C17" s="162">
        <f>IFERROR(SUM(C7:C16),"")</f>
        <v>0</v>
      </c>
      <c r="D17" s="162">
        <f t="shared" si="2"/>
        <v>0</v>
      </c>
      <c r="E17" s="77" t="str">
        <f ca="1">IFERROR(INDEX(Validation!G:G,MATCH("Expenditures"&amp;CELL("address",E17),Validation!I:I,0)),"")</f>
        <v/>
      </c>
      <c r="F17" s="66" t="str">
        <f ca="1">IFERROR(INDEX(Validation!F:F,MATCH("Expenditures"&amp;CELL("address",E17),Validation!I:I,0)),"")</f>
        <v/>
      </c>
    </row>
    <row r="18" spans="1:10" x14ac:dyDescent="0.25">
      <c r="A18" s="131" t="s">
        <v>1186</v>
      </c>
      <c r="B18" s="104">
        <f>TIF_DistrictYear_InDistProjCostsIncPriorAdj_Input</f>
        <v>0</v>
      </c>
      <c r="C18" s="104"/>
      <c r="D18" s="162">
        <f>IFERROR(SUM(B18:C18),"")</f>
        <v>0</v>
      </c>
      <c r="E18" s="77" t="str">
        <f ca="1">IFERROR(INDEX(Validation!G:G,MATCH("Expenditures"&amp;CELL("address",E18),Validation!I:I,0)),"")</f>
        <v/>
      </c>
      <c r="F18" s="66" t="str">
        <f ca="1">IFERROR(INDEX(Validation!F:F,MATCH("Expenditures"&amp;CELL("address",E18),Validation!I:I,0)),"")</f>
        <v/>
      </c>
      <c r="G18" s="85"/>
      <c r="H18" s="85">
        <f>TIF_DistrictYear_InDistProjCostsIncPriorAdj_Entry</f>
        <v>0</v>
      </c>
      <c r="I18" s="168" t="s">
        <v>1481</v>
      </c>
    </row>
    <row r="19" spans="1:10" x14ac:dyDescent="0.25">
      <c r="A19" s="131" t="s">
        <v>1187</v>
      </c>
      <c r="B19" s="104">
        <f>TIF_DistrictYear_OutDistProjCostsIncPriorAdj_Input</f>
        <v>0</v>
      </c>
      <c r="C19" s="104"/>
      <c r="D19" s="162">
        <f>IFERROR(SUM(B19:C19),"")</f>
        <v>0</v>
      </c>
      <c r="E19" s="77" t="str">
        <f ca="1">IFERROR(INDEX(Validation!G:G,MATCH("Expenditures"&amp;CELL("address",E19),Validation!I:I,0)),"")</f>
        <v/>
      </c>
      <c r="F19" s="66" t="str">
        <f ca="1">IFERROR(INDEX(Validation!F:F,MATCH("Expenditures"&amp;CELL("address",E19),Validation!I:I,0)),"")</f>
        <v/>
      </c>
      <c r="G19" s="85"/>
      <c r="H19" s="85">
        <f>TIF_DistrictYear_OutDistProjCostsIncPriorAdj_Entry</f>
        <v>0</v>
      </c>
      <c r="I19" s="168" t="s">
        <v>1482</v>
      </c>
    </row>
    <row r="20" spans="1:10" ht="20.100000000000001" customHeight="1" x14ac:dyDescent="0.25">
      <c r="A20" s="74" t="s">
        <v>1421</v>
      </c>
      <c r="B20" s="74" t="s">
        <v>275</v>
      </c>
      <c r="C20" s="165" t="str">
        <f>_xlfn.CONCAT("Paid in "&amp;Year_DestinationYearID)</f>
        <v>Paid in 2024</v>
      </c>
      <c r="D20" s="74" t="s">
        <v>274</v>
      </c>
      <c r="E20" s="77" t="str">
        <f ca="1">IFERROR(INDEX(Validation!G:G,MATCH("Expenditures"&amp;CELL("address",E20),Validation!I:I,0)),"")</f>
        <v/>
      </c>
      <c r="F20" s="66" t="str">
        <f ca="1">IFERROR(INDEX(Validation!F:F,MATCH("Expenditures"&amp;CELL("address",E20),Validation!I:I,0)),"")</f>
        <v/>
      </c>
    </row>
    <row r="21" spans="1:10" x14ac:dyDescent="0.25">
      <c r="A21" s="131" t="s">
        <v>1419</v>
      </c>
      <c r="B21" s="105">
        <f>TIF_DistrictYear_AuthorityAdminOperCostPriorAdj_Input</f>
        <v>0</v>
      </c>
      <c r="C21" s="104"/>
      <c r="D21" s="162">
        <f>IFERROR(SUM(B21:C21),"")</f>
        <v>0</v>
      </c>
      <c r="E21" s="77" t="str">
        <f ca="1">IFERROR(INDEX(Validation!G:G,MATCH("Expenditures"&amp;CELL("address",E21),Validation!I:I,0)),"")</f>
        <v/>
      </c>
      <c r="F21" s="66" t="str">
        <f ca="1">IFERROR(INDEX(Validation!F:F,MATCH("Expenditures"&amp;CELL("address",E21),Validation!I:I,0)),"")</f>
        <v/>
      </c>
      <c r="G21" s="85">
        <v>0</v>
      </c>
      <c r="H21" s="85">
        <f>TIF_DistrictYear_AuthorityAdminOperCostPriorAdj_Entry</f>
        <v>0</v>
      </c>
      <c r="I21" s="167" t="s">
        <v>1483</v>
      </c>
    </row>
    <row r="22" spans="1:10" x14ac:dyDescent="0.25">
      <c r="A22" s="131" t="s">
        <v>1420</v>
      </c>
      <c r="B22" s="105">
        <f>TIF_DistrictYear_AuthorityAdminOperCostLeaseProceedTIPriorAdj_Input</f>
        <v>0</v>
      </c>
      <c r="C22" s="104"/>
      <c r="D22" s="162">
        <f>IFERROR(SUM(B22:C22),"")</f>
        <v>0</v>
      </c>
      <c r="E22" s="77" t="str">
        <f ca="1">IFERROR(INDEX(Validation!G:G,MATCH("Expenditures"&amp;CELL("address",E22),Validation!I:I,0)),"")</f>
        <v/>
      </c>
      <c r="F22" s="66" t="str">
        <f ca="1">IFERROR(INDEX(Validation!F:F,MATCH("Expenditures"&amp;CELL("address",E22),Validation!I:I,0)),"")</f>
        <v/>
      </c>
      <c r="G22" s="85">
        <v>0</v>
      </c>
      <c r="H22" s="85">
        <f>TIF_DistrictYear_AuthorityAdminOperCostLeaseProceedTIPriorAdj_Entry</f>
        <v>0</v>
      </c>
      <c r="I22" s="167" t="s">
        <v>1484</v>
      </c>
    </row>
    <row r="23" spans="1:10" ht="20.100000000000001" customHeight="1" x14ac:dyDescent="0.25">
      <c r="A23" s="97" t="s">
        <v>176</v>
      </c>
      <c r="E23" s="77" t="str">
        <f ca="1">IFERROR(INDEX(Validation!G:G,MATCH("Expenditures"&amp;CELL("address",E23),Validation!I:I,0)),"")</f>
        <v/>
      </c>
      <c r="F23" s="66" t="str">
        <f ca="1">IFERROR(INDEX(Validation!F:F,MATCH("Expenditures"&amp;CELL("address",E23),Validation!I:I,0)),"")</f>
        <v/>
      </c>
    </row>
    <row r="24" spans="1:10" ht="150" customHeight="1" x14ac:dyDescent="0.25">
      <c r="A24" s="123"/>
      <c r="B24" s="143" t="str">
        <f>HYPERLINK("#'Transfers'!A7","Click here to continue to the Transfers Tab")</f>
        <v>Click here to continue to the Transfers Tab</v>
      </c>
      <c r="C24" s="156"/>
      <c r="D24" s="156"/>
      <c r="E24" s="77" t="str">
        <f ca="1">IFERROR(INDEX(Validation!G:G,MATCH("Rev Exp Bal"&amp;CELL("address",E24),Validation!I:I,0)),"")</f>
        <v/>
      </c>
      <c r="F24" s="66" t="str">
        <f ca="1">IFERROR(INDEX(Validation!F:F,MATCH("Rev Exp Bal"&amp;CELL("address",E24),Validation!I:I,0)),"")</f>
        <v/>
      </c>
      <c r="G24" s="169"/>
      <c r="H24" s="169"/>
      <c r="I24" s="169"/>
      <c r="J24" s="156"/>
    </row>
    <row r="25" spans="1:10" x14ac:dyDescent="0.25">
      <c r="A25" s="98"/>
      <c r="B25" s="98"/>
      <c r="C25" s="98"/>
      <c r="D25" s="98"/>
      <c r="G25" s="170"/>
      <c r="H25" s="170"/>
      <c r="I25" s="170"/>
      <c r="J25" s="98"/>
    </row>
    <row r="26" spans="1:10" x14ac:dyDescent="0.25">
      <c r="A26" s="98"/>
      <c r="B26" s="98"/>
      <c r="C26" s="98"/>
      <c r="D26" s="98"/>
      <c r="G26" s="170"/>
      <c r="H26" s="170"/>
      <c r="I26" s="170"/>
      <c r="J26" s="98"/>
    </row>
    <row r="27" spans="1:10" x14ac:dyDescent="0.25">
      <c r="A27" s="98"/>
      <c r="B27" s="98"/>
      <c r="C27" s="98"/>
      <c r="D27" s="98"/>
      <c r="G27" s="170"/>
      <c r="H27" s="170"/>
      <c r="I27" s="170"/>
      <c r="J27" s="98"/>
    </row>
    <row r="28" spans="1:10" x14ac:dyDescent="0.25">
      <c r="A28" s="98"/>
      <c r="B28" s="98"/>
      <c r="C28" s="98"/>
      <c r="D28" s="98"/>
      <c r="G28" s="170"/>
      <c r="H28" s="170"/>
      <c r="I28" s="170"/>
      <c r="J28" s="98"/>
    </row>
  </sheetData>
  <sheetProtection algorithmName="SHA-512" hashValue="f9FQctXbNp0VGwiRsjkG9x5fjU+FZ4nvGEYLyfxEfPLndap2GbRLQ2+X2zU9gXbVgRiwKbVK2+cBu/+pSEmZSA==" saltValue="XyIkXL/OW9X0Uwz9SH7GuQ==" spinCount="100000" sheet="1" objects="1" scenarios="1"/>
  <mergeCells count="1">
    <mergeCell ref="A4:F4"/>
  </mergeCells>
  <phoneticPr fontId="7" type="noConversion"/>
  <conditionalFormatting sqref="E1:F1048576">
    <cfRule type="expression" dxfId="572" priority="1">
      <formula>$F1="Information"</formula>
    </cfRule>
    <cfRule type="expression" dxfId="571" priority="2">
      <formula>$F1="Error"</formula>
    </cfRule>
    <cfRule type="expression" dxfId="570" priority="3">
      <formula>$F1="Alert"</formula>
    </cfRule>
    <cfRule type="expression" dxfId="569" priority="4">
      <formula>$F1="Exclude"</formula>
    </cfRule>
  </conditionalFormatting>
  <pageMargins left="0.7" right="0.7" top="0.75" bottom="0.75" header="0.3" footer="0.3"/>
  <pageSetup orientation="portrait" horizontalDpi="1200" verticalDpi="12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4E80B0-B4F1-4195-8758-CAD1D899B189}">
  <sheetPr>
    <tabColor theme="8" tint="0.59999389629810485"/>
  </sheetPr>
  <dimension ref="A1:R38"/>
  <sheetViews>
    <sheetView showGridLines="0" zoomScaleNormal="100" workbookViewId="0"/>
  </sheetViews>
  <sheetFormatPr defaultRowHeight="15" x14ac:dyDescent="0.25"/>
  <cols>
    <col min="1" max="1" width="55.7109375" style="66" customWidth="1"/>
    <col min="2" max="13" width="15.7109375" style="66" customWidth="1"/>
    <col min="14" max="14" width="80.85546875" style="66" customWidth="1"/>
    <col min="15" max="15" width="14.7109375" style="66" customWidth="1"/>
    <col min="16" max="18" width="0" style="78" hidden="1" customWidth="1"/>
    <col min="19" max="16384" width="9.140625" style="66"/>
  </cols>
  <sheetData>
    <row r="1" spans="1:18" s="59" customFormat="1" ht="21" x14ac:dyDescent="0.25">
      <c r="A1" s="59" t="str">
        <f>_xlfn.CONCAT("Office of the State Auditor  -  TIF Annual Reporting Form  -  ",Year_DestinationYearID)</f>
        <v>Office of the State Auditor  -  TIF Annual Reporting Form  -  2024</v>
      </c>
      <c r="P1" s="61"/>
      <c r="Q1" s="61"/>
      <c r="R1" s="61"/>
    </row>
    <row r="2" spans="1:18" s="62" customFormat="1" ht="20.100000000000001" customHeight="1" x14ac:dyDescent="0.25">
      <c r="A2" s="58" t="str">
        <f>_xlfn.CONCAT(GovEntity_GovEntityName_Parent,"  -  ",GovEntity_GovEntityName)</f>
        <v>Spruce City  -  TIF 1-1 Downtown Redev</v>
      </c>
      <c r="P2" s="64"/>
      <c r="Q2" s="64"/>
      <c r="R2" s="64"/>
    </row>
    <row r="3" spans="1:18" s="68" customFormat="1" ht="24.95" customHeight="1" x14ac:dyDescent="0.3">
      <c r="A3" s="65" t="s">
        <v>1672</v>
      </c>
      <c r="B3" s="66"/>
      <c r="C3" s="66"/>
      <c r="D3" s="66"/>
      <c r="E3" s="66"/>
      <c r="F3" s="66"/>
      <c r="G3" s="66"/>
      <c r="H3" s="66"/>
      <c r="I3" s="66"/>
      <c r="J3" s="66"/>
      <c r="K3" s="66"/>
      <c r="L3" s="66"/>
      <c r="M3" s="66"/>
      <c r="P3" s="69"/>
      <c r="Q3" s="69"/>
      <c r="R3" s="69"/>
    </row>
    <row r="4" spans="1:18" s="71" customFormat="1" ht="15" customHeight="1" x14ac:dyDescent="0.25">
      <c r="A4" s="218" t="s">
        <v>1680</v>
      </c>
      <c r="B4" s="218"/>
      <c r="C4" s="218"/>
      <c r="D4" s="218"/>
      <c r="E4" s="218"/>
      <c r="F4" s="218"/>
      <c r="G4" s="218"/>
      <c r="H4" s="218"/>
      <c r="I4" s="218"/>
      <c r="J4" s="218"/>
      <c r="K4" s="218"/>
      <c r="L4" s="218"/>
      <c r="M4" s="218"/>
      <c r="P4" s="72"/>
      <c r="Q4" s="72"/>
      <c r="R4" s="72"/>
    </row>
    <row r="5" spans="1:18" s="74" customFormat="1" x14ac:dyDescent="0.25">
      <c r="A5" s="73" t="str">
        <f>HYPERLINK("#'Transfers'!A6","Click here to continue to the Transfers Tab")</f>
        <v>Click here to continue to the Transfers Tab</v>
      </c>
      <c r="N5" s="74" t="s">
        <v>121</v>
      </c>
      <c r="O5" s="74" t="s">
        <v>102</v>
      </c>
      <c r="P5" s="76" t="s">
        <v>475</v>
      </c>
      <c r="Q5" s="76" t="s">
        <v>476</v>
      </c>
      <c r="R5" s="76" t="s">
        <v>484</v>
      </c>
    </row>
    <row r="6" spans="1:18" ht="60" x14ac:dyDescent="0.25">
      <c r="A6" s="74" t="s">
        <v>1423</v>
      </c>
      <c r="B6" s="165" t="s">
        <v>1424</v>
      </c>
      <c r="C6" s="165" t="s">
        <v>1425</v>
      </c>
      <c r="D6" s="165" t="s">
        <v>1426</v>
      </c>
      <c r="E6" s="165" t="s">
        <v>1427</v>
      </c>
      <c r="F6" s="165" t="s">
        <v>1428</v>
      </c>
      <c r="G6" s="165" t="s">
        <v>1429</v>
      </c>
      <c r="H6" s="165" t="s">
        <v>1430</v>
      </c>
      <c r="I6" s="165" t="s">
        <v>1431</v>
      </c>
      <c r="J6" s="165" t="s">
        <v>1432</v>
      </c>
      <c r="K6" s="165" t="s">
        <v>1433</v>
      </c>
      <c r="L6" s="165" t="s">
        <v>1434</v>
      </c>
      <c r="M6" s="165" t="s">
        <v>1435</v>
      </c>
      <c r="N6" s="66" t="str">
        <f ca="1">IFERROR(INDEX(Validation!G:G,MATCH("Blank"&amp;CELL("address",N6),Validation!I:I,0)),"")</f>
        <v/>
      </c>
      <c r="O6" s="66" t="str">
        <f ca="1">IFERROR(INDEX(Validation!F:F,MATCH("Blank"&amp;CELL("address",N6),Validation!I:I,0)),"")</f>
        <v/>
      </c>
    </row>
    <row r="7" spans="1:18" x14ac:dyDescent="0.25">
      <c r="A7" s="79" t="s">
        <v>266</v>
      </c>
      <c r="B7" s="171">
        <f>TIF_DistrictYear_LandBldgAcquisitionCostPriorAdj_Entry</f>
        <v>0</v>
      </c>
      <c r="C7" s="171">
        <f>TIF_DistrictYear_LandBldgAcquisitionCost_Entry</f>
        <v>0</v>
      </c>
      <c r="D7" s="159">
        <f>IFERROR(SUM(B7:C7),"")</f>
        <v>0</v>
      </c>
      <c r="E7" s="171">
        <f>SUM(TIF_DebtAnnual_LandBldgAcquisitionCostPriorAdj_Output)</f>
        <v>0</v>
      </c>
      <c r="F7" s="171">
        <f>SUM(TIF_DebtAnnual_LandBldgAcquisitionCost_Output)</f>
        <v>0</v>
      </c>
      <c r="G7" s="172">
        <f>IFERROR(SUM(E7:F7),"")</f>
        <v>0</v>
      </c>
      <c r="H7" s="171">
        <f ca="1">SUM(TIF_InterfundLoanAnnual_LandBldgAcquisitionCostPriorAdj_Output)</f>
        <v>0</v>
      </c>
      <c r="I7" s="171">
        <f ca="1">SUM(TIF_InterfundLoanAnnual_LandBldgAcquisitionCost_Output)</f>
        <v>0</v>
      </c>
      <c r="J7" s="159">
        <f ca="1">IFERROR(SUM(H7:I7),"")</f>
        <v>0</v>
      </c>
      <c r="K7" s="159">
        <f ca="1">B7+E7+H7</f>
        <v>0</v>
      </c>
      <c r="L7" s="159">
        <f ca="1">C7+F7+I7</f>
        <v>0</v>
      </c>
      <c r="M7" s="159">
        <f ca="1">IFERROR(K7+L7,"")</f>
        <v>0</v>
      </c>
    </row>
    <row r="8" spans="1:18" x14ac:dyDescent="0.25">
      <c r="A8" s="79" t="s">
        <v>267</v>
      </c>
      <c r="B8" s="171">
        <f>TIF_DistrictYear_SiteImprovementsCostPriorAdj_Entry</f>
        <v>0</v>
      </c>
      <c r="C8" s="171">
        <f>TIF_DistrictYear_SiteImprovementsCost</f>
        <v>0</v>
      </c>
      <c r="D8" s="159">
        <f t="shared" ref="D8:D21" si="0">IFERROR(SUM(B8:C8),"")</f>
        <v>0</v>
      </c>
      <c r="E8" s="171">
        <f>SUM(TIF_DebtAnnual_SiteImprovementsCostPriorAdj_Output)</f>
        <v>0</v>
      </c>
      <c r="F8" s="171">
        <f>SUM(TIF_DebtAnnual_SiteImprovementsCost_Output)</f>
        <v>0</v>
      </c>
      <c r="G8" s="172">
        <f t="shared" ref="G8:G21" si="1">IFERROR(SUM(E8:F8),"")</f>
        <v>0</v>
      </c>
      <c r="H8" s="171">
        <f ca="1">SUM(TIF_InterfundLoanAnnual_SiteImprovementsCostPriorAdj_Output)</f>
        <v>0</v>
      </c>
      <c r="I8" s="171">
        <f ca="1">SUM(TIF_InterfundLoanAnnual_SiteImprovementsCost_Output)</f>
        <v>0</v>
      </c>
      <c r="J8" s="159">
        <f t="shared" ref="J8:J21" ca="1" si="2">IFERROR(SUM(H8:I8),"")</f>
        <v>0</v>
      </c>
      <c r="K8" s="159">
        <f t="shared" ref="K8:L21" ca="1" si="3">B8+E8+H8</f>
        <v>0</v>
      </c>
      <c r="L8" s="159">
        <f t="shared" ref="L8:L16" ca="1" si="4">C8+F8+I8</f>
        <v>0</v>
      </c>
      <c r="M8" s="159">
        <f t="shared" ref="M8:M21" ca="1" si="5">IFERROR(K8+L8,"")</f>
        <v>0</v>
      </c>
    </row>
    <row r="9" spans="1:18" x14ac:dyDescent="0.25">
      <c r="A9" s="79" t="s">
        <v>268</v>
      </c>
      <c r="B9" s="171">
        <f>TIF_DistrictYear_UtilitiesCostPriorAdj_Entry</f>
        <v>0</v>
      </c>
      <c r="C9" s="171">
        <f>TIF_DistrictYear_UtilitiesCost</f>
        <v>0</v>
      </c>
      <c r="D9" s="159">
        <f t="shared" si="0"/>
        <v>0</v>
      </c>
      <c r="E9" s="171">
        <f>SUM(TIF_DebtAnnual_UtilitiesCostPriorAdj_Output)</f>
        <v>0</v>
      </c>
      <c r="F9" s="171">
        <f>SUM(TIF_DebtAnnual_UtilitiesCost_Output)</f>
        <v>0</v>
      </c>
      <c r="G9" s="172">
        <f t="shared" si="1"/>
        <v>0</v>
      </c>
      <c r="H9" s="171">
        <f ca="1">SUM(TIF_InterfundLoanAnnual_UtilitiesCostPriorAdj_Output)</f>
        <v>0</v>
      </c>
      <c r="I9" s="171">
        <f ca="1">SUM(TIF_InterfundLoanAnnual_UtilitiesCost_Output)</f>
        <v>0</v>
      </c>
      <c r="J9" s="159">
        <f t="shared" ca="1" si="2"/>
        <v>0</v>
      </c>
      <c r="K9" s="159">
        <f t="shared" ca="1" si="3"/>
        <v>0</v>
      </c>
      <c r="L9" s="159">
        <f t="shared" ca="1" si="4"/>
        <v>0</v>
      </c>
      <c r="M9" s="159">
        <f t="shared" ca="1" si="5"/>
        <v>0</v>
      </c>
    </row>
    <row r="10" spans="1:18" x14ac:dyDescent="0.25">
      <c r="A10" s="79" t="s">
        <v>269</v>
      </c>
      <c r="B10" s="171">
        <f>TIF_DistrictYear_AffordableHsgCostPriorAdj_Entry</f>
        <v>0</v>
      </c>
      <c r="C10" s="171">
        <f>TIF_DistrictYear_AffordableHsgCost</f>
        <v>0</v>
      </c>
      <c r="D10" s="159">
        <f t="shared" si="0"/>
        <v>0</v>
      </c>
      <c r="E10" s="171">
        <f>SUM(TIF_DebtAnnual_AffordableHsgCostPriorAdj_Output)</f>
        <v>0</v>
      </c>
      <c r="F10" s="171">
        <f>SUM(TIF_DebtAnnual_AffordableHsgCost_Output)</f>
        <v>0</v>
      </c>
      <c r="G10" s="172">
        <f t="shared" si="1"/>
        <v>0</v>
      </c>
      <c r="H10" s="171">
        <f ca="1">SUM(TIF_InterfundLoanAnnual_AffordableHsgCostPriorAdj_Output)</f>
        <v>0</v>
      </c>
      <c r="I10" s="171">
        <f ca="1">SUM(TIF_InterfundLoanAnnual_AffordableHsgCost_Output)</f>
        <v>0</v>
      </c>
      <c r="J10" s="159">
        <f t="shared" ca="1" si="2"/>
        <v>0</v>
      </c>
      <c r="K10" s="159">
        <f t="shared" ca="1" si="3"/>
        <v>0</v>
      </c>
      <c r="L10" s="159">
        <f t="shared" ca="1" si="4"/>
        <v>0</v>
      </c>
      <c r="M10" s="159">
        <f t="shared" ca="1" si="5"/>
        <v>0</v>
      </c>
    </row>
    <row r="11" spans="1:18" x14ac:dyDescent="0.25">
      <c r="A11" s="79" t="s">
        <v>1101</v>
      </c>
      <c r="B11" s="171">
        <f>TIF_DistrictYear_OutDistrictElectedHousingPriorAdj_Entry</f>
        <v>0</v>
      </c>
      <c r="C11" s="171">
        <f>TIF_DistrictYear_OutDistrictElectedHousing</f>
        <v>0</v>
      </c>
      <c r="D11" s="159">
        <f t="shared" si="0"/>
        <v>0</v>
      </c>
      <c r="E11" s="171">
        <f>SUM(TIF_DebtAnnual_ElectedHsgCostPriorAdj_Output)</f>
        <v>0</v>
      </c>
      <c r="F11" s="171">
        <f>SUM(TIF_DebtAnnual_ElectedHsgCost_Output)</f>
        <v>0</v>
      </c>
      <c r="G11" s="172">
        <f t="shared" si="1"/>
        <v>0</v>
      </c>
      <c r="H11" s="171">
        <f ca="1">SUM(TIF_InterfundLoanAnnual_ElectedHsgCostPriorAdj_Output)</f>
        <v>0</v>
      </c>
      <c r="I11" s="171">
        <f ca="1">SUM(TIF_InterfundLoanAnnual_ElectedHsgCost_Output)</f>
        <v>0</v>
      </c>
      <c r="J11" s="159">
        <f t="shared" ca="1" si="2"/>
        <v>0</v>
      </c>
      <c r="K11" s="159">
        <f t="shared" ca="1" si="3"/>
        <v>0</v>
      </c>
      <c r="L11" s="159">
        <f t="shared" ca="1" si="4"/>
        <v>0</v>
      </c>
      <c r="M11" s="159">
        <f t="shared" ca="1" si="5"/>
        <v>0</v>
      </c>
    </row>
    <row r="12" spans="1:18" x14ac:dyDescent="0.25">
      <c r="A12" s="79" t="s">
        <v>270</v>
      </c>
      <c r="B12" s="171">
        <f>TIF_DistrictYear_OtherPublicCostPriorAdj_Entry</f>
        <v>0</v>
      </c>
      <c r="C12" s="171">
        <f>TIF_DistrictYear_OtherPublicCost</f>
        <v>0</v>
      </c>
      <c r="D12" s="159">
        <f t="shared" si="0"/>
        <v>0</v>
      </c>
      <c r="E12" s="171">
        <f>SUM(TIF_DebtAnnual_OtherPublicCostPriorAdj_Output)</f>
        <v>0</v>
      </c>
      <c r="F12" s="171">
        <f>SUM(TIF_DebtAnnual_OtherPublicCost_Output)</f>
        <v>0</v>
      </c>
      <c r="G12" s="172">
        <f t="shared" si="1"/>
        <v>0</v>
      </c>
      <c r="H12" s="171">
        <f ca="1">SUM(TIF_InterfundLoanAnnual_OtherPublicCostPriorAdj_Output)</f>
        <v>0</v>
      </c>
      <c r="I12" s="171">
        <f ca="1">SUM(TIF_InterfundLoanAnnual_OtherPublicCost_Output)</f>
        <v>0</v>
      </c>
      <c r="J12" s="159">
        <f t="shared" ca="1" si="2"/>
        <v>0</v>
      </c>
      <c r="K12" s="159">
        <f t="shared" ca="1" si="3"/>
        <v>0</v>
      </c>
      <c r="L12" s="159">
        <f t="shared" ca="1" si="4"/>
        <v>0</v>
      </c>
      <c r="M12" s="159">
        <f t="shared" ca="1" si="5"/>
        <v>0</v>
      </c>
    </row>
    <row r="13" spans="1:18" x14ac:dyDescent="0.25">
      <c r="A13" s="79" t="s">
        <v>271</v>
      </c>
      <c r="B13" s="171">
        <f>TIF_DistrictYear_AuthorityAdminCostPriorAdj_Entry</f>
        <v>0</v>
      </c>
      <c r="C13" s="171">
        <f>TIF_DistrictYear_AuthorityAdminCost</f>
        <v>0</v>
      </c>
      <c r="D13" s="159">
        <f t="shared" si="0"/>
        <v>0</v>
      </c>
      <c r="E13" s="171">
        <f>SUM(TIF_DebtAnnual_AuthorityAdminCostPriorAdj_Output)</f>
        <v>0</v>
      </c>
      <c r="F13" s="171">
        <f>SUM(TIF_DebtAnnual_AuthorityAdminCost_Output)</f>
        <v>0</v>
      </c>
      <c r="G13" s="172">
        <f t="shared" si="1"/>
        <v>0</v>
      </c>
      <c r="H13" s="171">
        <f ca="1">SUM(TIF_InterfundLoanAnnual_AuthorityAdminCostPriorAdj_Output)</f>
        <v>0</v>
      </c>
      <c r="I13" s="171">
        <f ca="1">SUM(TIF_InterfundLoanAnnual_AuthorityAdminCost_Output)</f>
        <v>0</v>
      </c>
      <c r="J13" s="159">
        <f t="shared" ca="1" si="2"/>
        <v>0</v>
      </c>
      <c r="K13" s="159">
        <f t="shared" ca="1" si="3"/>
        <v>0</v>
      </c>
      <c r="L13" s="159">
        <f t="shared" ca="1" si="4"/>
        <v>0</v>
      </c>
      <c r="M13" s="159">
        <f t="shared" ca="1" si="5"/>
        <v>0</v>
      </c>
    </row>
    <row r="14" spans="1:18" x14ac:dyDescent="0.25">
      <c r="A14" s="79" t="s">
        <v>276</v>
      </c>
      <c r="B14" s="94">
        <f>TIF_DistrictYear_CountyAdminCostPriorAdj_Entry</f>
        <v>0</v>
      </c>
      <c r="C14" s="94">
        <f>TIF_DistrictYear_CountyAdminCost</f>
        <v>0</v>
      </c>
      <c r="D14" s="162">
        <f>IFERROR(SUM(B14:C14),"")</f>
        <v>0</v>
      </c>
      <c r="E14" s="171"/>
      <c r="F14" s="171"/>
      <c r="G14" s="172">
        <f t="shared" si="1"/>
        <v>0</v>
      </c>
      <c r="H14" s="171">
        <f ca="1">SUM(TIF_InterfundLoanAnnual_CountyAdminCostPriorAdj_Output)</f>
        <v>0</v>
      </c>
      <c r="I14" s="171">
        <f ca="1">SUM(TIF_InterfundLoanAnnual_CountyAdminCost_Output)</f>
        <v>0</v>
      </c>
      <c r="J14" s="159">
        <f t="shared" ca="1" si="2"/>
        <v>0</v>
      </c>
      <c r="K14" s="159">
        <f t="shared" ref="K14" ca="1" si="6">B14+E14+H14</f>
        <v>0</v>
      </c>
      <c r="L14" s="159">
        <f t="shared" ref="L14" ca="1" si="7">C14+F14+I14</f>
        <v>0</v>
      </c>
      <c r="M14" s="159">
        <f t="shared" ref="M14" ca="1" si="8">IFERROR(K14+L14,"")</f>
        <v>0</v>
      </c>
    </row>
    <row r="15" spans="1:18" x14ac:dyDescent="0.25">
      <c r="A15" s="79" t="s">
        <v>272</v>
      </c>
      <c r="B15" s="171">
        <f>TIF_DistrictYear_JobsBillCostPriorAdj_Entry</f>
        <v>0</v>
      </c>
      <c r="C15" s="171">
        <f>TIF_DistrictYear_JobsBillCost</f>
        <v>0</v>
      </c>
      <c r="D15" s="159">
        <f t="shared" si="0"/>
        <v>0</v>
      </c>
      <c r="E15" s="171">
        <f>SUM(TIF_DebtAnnual_JobsBillCostPriorAdj_Output)</f>
        <v>0</v>
      </c>
      <c r="F15" s="171">
        <f>SUM(TIF_DebtAnnual_JobsBillCost_Output)</f>
        <v>0</v>
      </c>
      <c r="G15" s="172">
        <f t="shared" si="1"/>
        <v>0</v>
      </c>
      <c r="H15" s="171">
        <f ca="1">SUM(TIF_InterfundLoanAnnual_JobsBillCostPriorAdj_Output)</f>
        <v>0</v>
      </c>
      <c r="I15" s="171">
        <f ca="1">SUM(TIF_InterfundLoanAnnual_JobsBillCost_Output)</f>
        <v>0</v>
      </c>
      <c r="J15" s="159">
        <f t="shared" ca="1" si="2"/>
        <v>0</v>
      </c>
      <c r="K15" s="159">
        <f t="shared" ca="1" si="3"/>
        <v>0</v>
      </c>
      <c r="L15" s="159">
        <f t="shared" ca="1" si="4"/>
        <v>0</v>
      </c>
      <c r="M15" s="159">
        <f t="shared" ca="1" si="5"/>
        <v>0</v>
      </c>
    </row>
    <row r="16" spans="1:18" x14ac:dyDescent="0.25">
      <c r="A16" s="79" t="s">
        <v>273</v>
      </c>
      <c r="B16" s="171">
        <f>TIF_DistrictYear_TempTransferAuthorityPriorAdj_Entry</f>
        <v>0</v>
      </c>
      <c r="C16" s="171">
        <f>TIF_DistrictYear_TempTransferAuthority</f>
        <v>0</v>
      </c>
      <c r="D16" s="159">
        <f t="shared" si="0"/>
        <v>0</v>
      </c>
      <c r="E16" s="171">
        <f>SUM(TIF_DebtAnnual_TempTransferAuthorityPriorAdj_Output)</f>
        <v>0</v>
      </c>
      <c r="F16" s="171">
        <f>SUM(TIF_DebtAnnual_TempTransferAuthority_Output)</f>
        <v>0</v>
      </c>
      <c r="G16" s="172">
        <f t="shared" si="1"/>
        <v>0</v>
      </c>
      <c r="H16" s="171">
        <f ca="1">SUM(TIF_InterfundLoanAnnual_TempTransferAuthorityPriorAdj_Output)</f>
        <v>0</v>
      </c>
      <c r="I16" s="171">
        <f ca="1">SUM(TIF_InterfundLoanAnnual_TempTransferAuthority_Output)</f>
        <v>0</v>
      </c>
      <c r="J16" s="159">
        <f t="shared" ca="1" si="2"/>
        <v>0</v>
      </c>
      <c r="K16" s="159">
        <f t="shared" ca="1" si="3"/>
        <v>0</v>
      </c>
      <c r="L16" s="159">
        <f t="shared" ca="1" si="4"/>
        <v>0</v>
      </c>
      <c r="M16" s="159">
        <f t="shared" ca="1" si="5"/>
        <v>0</v>
      </c>
    </row>
    <row r="17" spans="1:13" x14ac:dyDescent="0.25">
      <c r="A17" s="79" t="s">
        <v>1436</v>
      </c>
      <c r="B17" s="173"/>
      <c r="C17" s="173"/>
      <c r="D17" s="173"/>
      <c r="E17" s="173"/>
      <c r="F17" s="173"/>
      <c r="G17" s="173"/>
      <c r="H17" s="173"/>
      <c r="I17" s="173"/>
      <c r="J17" s="173"/>
      <c r="K17" s="171"/>
      <c r="L17" s="174"/>
      <c r="M17" s="159">
        <f t="shared" si="5"/>
        <v>0</v>
      </c>
    </row>
    <row r="18" spans="1:13" x14ac:dyDescent="0.25">
      <c r="A18" s="130" t="s">
        <v>1184</v>
      </c>
      <c r="B18" s="171">
        <f>Expenditures!B17</f>
        <v>0</v>
      </c>
      <c r="C18" s="171">
        <f>Expenditures!C17</f>
        <v>0</v>
      </c>
      <c r="D18" s="159">
        <f t="shared" si="0"/>
        <v>0</v>
      </c>
      <c r="E18" s="171">
        <f>SUM(TIF_DebtAnnual_TotalUsesPriorAdj_Output)</f>
        <v>0</v>
      </c>
      <c r="F18" s="171">
        <f>SUM(TIF_DebtAnnual_TotalUses_Output)</f>
        <v>0</v>
      </c>
      <c r="G18" s="172">
        <f t="shared" si="1"/>
        <v>0</v>
      </c>
      <c r="H18" s="171">
        <f ca="1">SUM(TIF_InterfundLoanAnnual_TotalUsesPriorAdj_Output)</f>
        <v>0</v>
      </c>
      <c r="I18" s="171">
        <f ca="1">SUM(TIF_InterfundLoanAnnual_TotalUses_Output)</f>
        <v>0</v>
      </c>
      <c r="J18" s="159">
        <f t="shared" ca="1" si="2"/>
        <v>0</v>
      </c>
      <c r="K18" s="159">
        <f t="shared" ca="1" si="3"/>
        <v>0</v>
      </c>
      <c r="L18" s="159">
        <f t="shared" ca="1" si="3"/>
        <v>0</v>
      </c>
      <c r="M18" s="159">
        <f t="shared" ca="1" si="5"/>
        <v>0</v>
      </c>
    </row>
    <row r="19" spans="1:13" x14ac:dyDescent="0.25">
      <c r="A19" s="130" t="s">
        <v>1185</v>
      </c>
      <c r="B19" s="173"/>
      <c r="C19" s="173"/>
      <c r="D19" s="173"/>
      <c r="E19" s="171">
        <f>SUM(TIF_DebtAnnual_RemainingProceedsPriorAdj_Output)</f>
        <v>350000</v>
      </c>
      <c r="F19" s="171">
        <f>SUM(TIF_DebtAnnual_RemainingProceeds_Output)</f>
        <v>350000</v>
      </c>
      <c r="G19" s="172">
        <f t="shared" si="1"/>
        <v>700000</v>
      </c>
      <c r="H19" s="171">
        <f ca="1">SUM(TIF_InterfundLoanAnnual_RemainingProceedsPriorAdj_Output)</f>
        <v>40173</v>
      </c>
      <c r="I19" s="171">
        <f ca="1">SUM(TIF_InterfundLoanAnnual_RemainingProceeds_Output)</f>
        <v>40173</v>
      </c>
      <c r="J19" s="159">
        <f t="shared" ca="1" si="2"/>
        <v>80346</v>
      </c>
      <c r="K19" s="159">
        <f t="shared" ca="1" si="3"/>
        <v>390173</v>
      </c>
      <c r="L19" s="159">
        <f t="shared" ca="1" si="3"/>
        <v>390173</v>
      </c>
      <c r="M19" s="159">
        <f t="shared" ca="1" si="5"/>
        <v>780346</v>
      </c>
    </row>
    <row r="20" spans="1:13" x14ac:dyDescent="0.25">
      <c r="A20" s="79" t="s">
        <v>1186</v>
      </c>
      <c r="B20" s="171">
        <f>TIF_DistrictYear_InDistProjCostsIncPriorAdj_Entry</f>
        <v>0</v>
      </c>
      <c r="C20" s="171">
        <f>TIF_DistrictYear_InDistProjCostsInc</f>
        <v>0</v>
      </c>
      <c r="D20" s="159">
        <f t="shared" si="0"/>
        <v>0</v>
      </c>
      <c r="E20" s="171">
        <f>SUM(TIF_DebtAnnual_InDistrictCostPriorAdj_Output)</f>
        <v>0</v>
      </c>
      <c r="F20" s="171">
        <f>SUM(TIF_DebtAnnual_InDistrictCost_Output)</f>
        <v>0</v>
      </c>
      <c r="G20" s="172">
        <f t="shared" si="1"/>
        <v>0</v>
      </c>
      <c r="H20" s="171">
        <f ca="1">SUM(TIF_InterfundLoanAnnual_InDistrictCostPriorAdj_Output)</f>
        <v>0</v>
      </c>
      <c r="I20" s="171">
        <f ca="1">SUM(TIF_InterfundLoanAnnual_InDistrictCost_Output)</f>
        <v>0</v>
      </c>
      <c r="J20" s="159">
        <f t="shared" ca="1" si="2"/>
        <v>0</v>
      </c>
      <c r="K20" s="159">
        <f t="shared" ca="1" si="3"/>
        <v>0</v>
      </c>
      <c r="L20" s="159">
        <f t="shared" ca="1" si="3"/>
        <v>0</v>
      </c>
      <c r="M20" s="159">
        <f t="shared" ca="1" si="5"/>
        <v>0</v>
      </c>
    </row>
    <row r="21" spans="1:13" x14ac:dyDescent="0.25">
      <c r="A21" s="79" t="s">
        <v>1187</v>
      </c>
      <c r="B21" s="171">
        <f>TIF_DistrictYear_OutDistProjCostsIncPriorAdj_Entry</f>
        <v>0</v>
      </c>
      <c r="C21" s="171">
        <f>TIF_DistrictYear_OutDistProjCostsInc</f>
        <v>0</v>
      </c>
      <c r="D21" s="159">
        <f t="shared" si="0"/>
        <v>0</v>
      </c>
      <c r="E21" s="171">
        <f>SUM(TIF_DebtAnnual_OutDistrictCostPriorAdj_Output)</f>
        <v>0</v>
      </c>
      <c r="F21" s="171">
        <f>SUM(TIF_DebtAnnual_OutDistrictCost_Output)</f>
        <v>0</v>
      </c>
      <c r="G21" s="172">
        <f t="shared" si="1"/>
        <v>0</v>
      </c>
      <c r="H21" s="171">
        <f ca="1">SUM(TIF_InterfundLoanAnnual_OutDistrictCostPriorAdj_Output)</f>
        <v>0</v>
      </c>
      <c r="I21" s="171">
        <f ca="1">SUM(TIF_InterfundLoanAnnual_OutDistrictCost_Output)</f>
        <v>0</v>
      </c>
      <c r="J21" s="159">
        <f t="shared" ca="1" si="2"/>
        <v>0</v>
      </c>
      <c r="K21" s="159">
        <f t="shared" ca="1" si="3"/>
        <v>0</v>
      </c>
      <c r="L21" s="159">
        <f t="shared" ca="1" si="3"/>
        <v>0</v>
      </c>
      <c r="M21" s="159">
        <f t="shared" ca="1" si="5"/>
        <v>0</v>
      </c>
    </row>
    <row r="22" spans="1:13" ht="50.1" customHeight="1" x14ac:dyDescent="0.25">
      <c r="A22" s="74" t="s">
        <v>1437</v>
      </c>
      <c r="B22" s="165" t="s">
        <v>1438</v>
      </c>
      <c r="C22" s="165" t="s">
        <v>1439</v>
      </c>
      <c r="D22" s="165" t="s">
        <v>1440</v>
      </c>
      <c r="E22" s="165" t="s">
        <v>1441</v>
      </c>
      <c r="F22" s="165" t="s">
        <v>1442</v>
      </c>
      <c r="G22" s="165" t="s">
        <v>1443</v>
      </c>
      <c r="H22" s="165"/>
      <c r="I22" s="165"/>
      <c r="J22" s="165"/>
      <c r="K22" s="175"/>
      <c r="L22" s="175"/>
      <c r="M22" s="175"/>
    </row>
    <row r="23" spans="1:13" x14ac:dyDescent="0.25">
      <c r="A23" s="79" t="s">
        <v>266</v>
      </c>
      <c r="B23" s="94">
        <f>SUM(TIF_PaygAnnual_LandBldgAcquisitionCostPriorAdj_Output)</f>
        <v>0</v>
      </c>
      <c r="C23" s="94">
        <f>SUM(TIF_PaygAnnual_LandBldgAcquisitionCost_Output)</f>
        <v>0</v>
      </c>
      <c r="D23" s="159">
        <f>IFERROR(SUM(B23:C23),"")</f>
        <v>0</v>
      </c>
      <c r="E23" s="159">
        <f t="shared" ref="E23:F29" ca="1" si="9">B23+K7</f>
        <v>0</v>
      </c>
      <c r="F23" s="159">
        <f t="shared" ca="1" si="9"/>
        <v>0</v>
      </c>
      <c r="G23" s="159">
        <f ca="1">IFERROR(E23+F23,"")</f>
        <v>0</v>
      </c>
      <c r="H23" s="175"/>
      <c r="I23" s="175"/>
      <c r="J23" s="175"/>
      <c r="K23" s="175"/>
      <c r="L23" s="175"/>
      <c r="M23" s="175"/>
    </row>
    <row r="24" spans="1:13" x14ac:dyDescent="0.25">
      <c r="A24" s="79" t="s">
        <v>267</v>
      </c>
      <c r="B24" s="94">
        <f>SUM(TIF_PaygAnnual_SiteImprovementsCostPriorAdj_Output)</f>
        <v>341768</v>
      </c>
      <c r="C24" s="94">
        <f>SUM(TIF_PaygAnnual_SiteImprovementsCost_Output)</f>
        <v>0</v>
      </c>
      <c r="D24" s="159">
        <f t="shared" ref="D24:D30" si="10">IFERROR(SUM(B24:C24),"")</f>
        <v>341768</v>
      </c>
      <c r="E24" s="159">
        <f t="shared" ca="1" si="9"/>
        <v>341768</v>
      </c>
      <c r="F24" s="159">
        <f t="shared" ca="1" si="9"/>
        <v>0</v>
      </c>
      <c r="G24" s="159">
        <f t="shared" ref="G24:G36" ca="1" si="11">IFERROR(E24+F24,"")</f>
        <v>341768</v>
      </c>
      <c r="H24" s="175"/>
      <c r="I24" s="175"/>
      <c r="J24" s="175"/>
      <c r="K24" s="175"/>
      <c r="L24" s="175"/>
      <c r="M24" s="175"/>
    </row>
    <row r="25" spans="1:13" x14ac:dyDescent="0.25">
      <c r="A25" s="79" t="s">
        <v>268</v>
      </c>
      <c r="B25" s="94">
        <f>SUM(TIF_PaygAnnual_UtilitiesCostPriorAdj_Output)</f>
        <v>0</v>
      </c>
      <c r="C25" s="94">
        <f>SUM(TIF_PaygAnnual_UtilitiesCost_Output)</f>
        <v>0</v>
      </c>
      <c r="D25" s="159">
        <f t="shared" si="10"/>
        <v>0</v>
      </c>
      <c r="E25" s="159">
        <f t="shared" ca="1" si="9"/>
        <v>0</v>
      </c>
      <c r="F25" s="159">
        <f t="shared" ca="1" si="9"/>
        <v>0</v>
      </c>
      <c r="G25" s="159">
        <f t="shared" ca="1" si="11"/>
        <v>0</v>
      </c>
      <c r="H25" s="175"/>
      <c r="I25" s="175"/>
      <c r="J25" s="175"/>
      <c r="K25" s="175"/>
      <c r="L25" s="175"/>
      <c r="M25" s="175"/>
    </row>
    <row r="26" spans="1:13" x14ac:dyDescent="0.25">
      <c r="A26" s="79" t="s">
        <v>269</v>
      </c>
      <c r="B26" s="94">
        <f>SUM(TIF_PaygAnnual_AffordableHsgCostPriorAdj_Output)</f>
        <v>0</v>
      </c>
      <c r="C26" s="94">
        <f>SUM(TIF_PaygAnnual_AffordableHsgCost_Output)</f>
        <v>0</v>
      </c>
      <c r="D26" s="159">
        <f t="shared" si="10"/>
        <v>0</v>
      </c>
      <c r="E26" s="159">
        <f t="shared" ca="1" si="9"/>
        <v>0</v>
      </c>
      <c r="F26" s="159">
        <f t="shared" ca="1" si="9"/>
        <v>0</v>
      </c>
      <c r="G26" s="159">
        <f t="shared" ca="1" si="11"/>
        <v>0</v>
      </c>
      <c r="H26" s="175"/>
      <c r="I26" s="175"/>
      <c r="J26" s="175"/>
      <c r="K26" s="175"/>
      <c r="L26" s="175"/>
      <c r="M26" s="175"/>
    </row>
    <row r="27" spans="1:13" x14ac:dyDescent="0.25">
      <c r="A27" s="79" t="s">
        <v>1101</v>
      </c>
      <c r="B27" s="176"/>
      <c r="C27" s="176"/>
      <c r="D27" s="176"/>
      <c r="E27" s="159">
        <f t="shared" ca="1" si="9"/>
        <v>0</v>
      </c>
      <c r="F27" s="159">
        <f t="shared" ca="1" si="9"/>
        <v>0</v>
      </c>
      <c r="G27" s="159">
        <f t="shared" ca="1" si="11"/>
        <v>0</v>
      </c>
      <c r="H27" s="175"/>
      <c r="I27" s="175"/>
      <c r="J27" s="175"/>
      <c r="K27" s="175"/>
      <c r="L27" s="175"/>
      <c r="M27" s="175"/>
    </row>
    <row r="28" spans="1:13" x14ac:dyDescent="0.25">
      <c r="A28" s="79" t="s">
        <v>270</v>
      </c>
      <c r="B28" s="94">
        <f>SUM(TIF_PaygAnnual_OtherPublicCostPriorAdj_Output)</f>
        <v>0</v>
      </c>
      <c r="C28" s="94">
        <f>SUM(TIF_PaygAnnual_OtherPublicCost_Output)</f>
        <v>0</v>
      </c>
      <c r="D28" s="159">
        <f t="shared" si="10"/>
        <v>0</v>
      </c>
      <c r="E28" s="159">
        <f t="shared" ca="1" si="9"/>
        <v>0</v>
      </c>
      <c r="F28" s="159">
        <f t="shared" ca="1" si="9"/>
        <v>0</v>
      </c>
      <c r="G28" s="159">
        <f t="shared" ca="1" si="11"/>
        <v>0</v>
      </c>
      <c r="H28" s="175"/>
      <c r="I28" s="175"/>
      <c r="J28" s="175"/>
      <c r="K28" s="175"/>
      <c r="L28" s="175"/>
      <c r="M28" s="175"/>
    </row>
    <row r="29" spans="1:13" x14ac:dyDescent="0.25">
      <c r="A29" s="79" t="s">
        <v>271</v>
      </c>
      <c r="B29" s="176"/>
      <c r="C29" s="176"/>
      <c r="D29" s="176"/>
      <c r="E29" s="159">
        <f t="shared" ca="1" si="9"/>
        <v>0</v>
      </c>
      <c r="F29" s="159">
        <f t="shared" ca="1" si="9"/>
        <v>0</v>
      </c>
      <c r="G29" s="159">
        <f t="shared" ca="1" si="11"/>
        <v>0</v>
      </c>
      <c r="H29" s="175"/>
      <c r="I29" s="175"/>
      <c r="J29" s="175"/>
      <c r="K29" s="175"/>
      <c r="L29" s="175"/>
      <c r="M29" s="175"/>
    </row>
    <row r="30" spans="1:13" x14ac:dyDescent="0.25">
      <c r="A30" s="79" t="s">
        <v>272</v>
      </c>
      <c r="B30" s="94">
        <f>SUM(TIF_PaygAnnual_JobsBillCostPriorAdj_Output)</f>
        <v>0</v>
      </c>
      <c r="C30" s="94">
        <f>SUM(TIF_PaygAnnual_JobsBillCost_Output)</f>
        <v>0</v>
      </c>
      <c r="D30" s="159">
        <f t="shared" si="10"/>
        <v>0</v>
      </c>
      <c r="E30" s="159">
        <f t="shared" ref="E30:E36" ca="1" si="12">B30+K15</f>
        <v>0</v>
      </c>
      <c r="F30" s="159">
        <f t="shared" ref="F30:F36" ca="1" si="13">C30+L15</f>
        <v>0</v>
      </c>
      <c r="G30" s="159">
        <f t="shared" ca="1" si="11"/>
        <v>0</v>
      </c>
      <c r="H30" s="175"/>
      <c r="I30" s="175"/>
      <c r="J30" s="175"/>
      <c r="K30" s="175"/>
      <c r="L30" s="175"/>
      <c r="M30" s="175"/>
    </row>
    <row r="31" spans="1:13" x14ac:dyDescent="0.25">
      <c r="A31" s="79" t="s">
        <v>273</v>
      </c>
      <c r="B31" s="176"/>
      <c r="C31" s="176"/>
      <c r="D31" s="176"/>
      <c r="E31" s="159">
        <f t="shared" ca="1" si="12"/>
        <v>0</v>
      </c>
      <c r="F31" s="159">
        <f t="shared" ca="1" si="13"/>
        <v>0</v>
      </c>
      <c r="G31" s="159">
        <f t="shared" ca="1" si="11"/>
        <v>0</v>
      </c>
      <c r="H31" s="175"/>
      <c r="I31" s="175"/>
      <c r="J31" s="175"/>
      <c r="K31" s="175"/>
      <c r="L31" s="175"/>
      <c r="M31" s="175"/>
    </row>
    <row r="32" spans="1:13" x14ac:dyDescent="0.25">
      <c r="A32" s="79" t="s">
        <v>1436</v>
      </c>
      <c r="B32" s="176"/>
      <c r="C32" s="176"/>
      <c r="D32" s="176"/>
      <c r="E32" s="159">
        <f t="shared" si="12"/>
        <v>0</v>
      </c>
      <c r="F32" s="174"/>
      <c r="G32" s="159">
        <f t="shared" si="11"/>
        <v>0</v>
      </c>
      <c r="H32" s="175"/>
      <c r="I32" s="175"/>
      <c r="J32" s="175"/>
      <c r="K32" s="175"/>
      <c r="L32" s="175"/>
      <c r="M32" s="175"/>
    </row>
    <row r="33" spans="1:13" x14ac:dyDescent="0.25">
      <c r="A33" s="130" t="s">
        <v>1184</v>
      </c>
      <c r="B33" s="94">
        <f>SUM(TIF_PaygAnnual_TotalDocumentedCostPriorAdj_Output)</f>
        <v>341768</v>
      </c>
      <c r="C33" s="94">
        <f>SUM(TIF_PaygAnnual_TotalDocumentedCost_Output)</f>
        <v>0</v>
      </c>
      <c r="D33" s="159">
        <f t="shared" ref="D33" si="14">IFERROR(SUM(B33:C33),"")</f>
        <v>341768</v>
      </c>
      <c r="E33" s="159">
        <f t="shared" ca="1" si="12"/>
        <v>341768</v>
      </c>
      <c r="F33" s="159">
        <f t="shared" ca="1" si="13"/>
        <v>0</v>
      </c>
      <c r="G33" s="159">
        <f t="shared" ca="1" si="11"/>
        <v>341768</v>
      </c>
      <c r="H33" s="175"/>
      <c r="I33" s="175"/>
      <c r="J33" s="175"/>
      <c r="K33" s="175"/>
      <c r="L33" s="175"/>
      <c r="M33" s="175"/>
    </row>
    <row r="34" spans="1:13" x14ac:dyDescent="0.25">
      <c r="A34" s="130" t="s">
        <v>1185</v>
      </c>
      <c r="B34" s="176"/>
      <c r="C34" s="176"/>
      <c r="D34" s="176"/>
      <c r="E34" s="159">
        <f t="shared" ca="1" si="12"/>
        <v>390173</v>
      </c>
      <c r="F34" s="159">
        <f t="shared" ca="1" si="13"/>
        <v>390173</v>
      </c>
      <c r="G34" s="159">
        <f t="shared" ca="1" si="11"/>
        <v>780346</v>
      </c>
      <c r="H34" s="175"/>
      <c r="I34" s="175"/>
      <c r="J34" s="175"/>
      <c r="K34" s="175"/>
      <c r="L34" s="175"/>
      <c r="M34" s="175"/>
    </row>
    <row r="35" spans="1:13" x14ac:dyDescent="0.25">
      <c r="A35" s="79" t="s">
        <v>1186</v>
      </c>
      <c r="B35" s="94">
        <f>SUM(TIF_PaygAnnual_InDistrictCostPriorAdj_Output)</f>
        <v>0</v>
      </c>
      <c r="C35" s="94">
        <f>SUM(TIF_PaygAnnual_InDistrictCost_Output)</f>
        <v>0</v>
      </c>
      <c r="D35" s="159">
        <f t="shared" ref="D35:D36" si="15">IFERROR(SUM(B35:C35),"")</f>
        <v>0</v>
      </c>
      <c r="E35" s="159">
        <f t="shared" ca="1" si="12"/>
        <v>0</v>
      </c>
      <c r="F35" s="159">
        <f t="shared" ca="1" si="13"/>
        <v>0</v>
      </c>
      <c r="G35" s="159">
        <f t="shared" ca="1" si="11"/>
        <v>0</v>
      </c>
      <c r="H35" s="175"/>
      <c r="I35" s="175"/>
      <c r="J35" s="175"/>
      <c r="K35" s="175"/>
      <c r="L35" s="175"/>
      <c r="M35" s="175"/>
    </row>
    <row r="36" spans="1:13" x14ac:dyDescent="0.25">
      <c r="A36" s="79" t="s">
        <v>1187</v>
      </c>
      <c r="B36" s="94">
        <f>SUM(TIF_PaygAnnual_OutDistrictCostPriorAdj_Output)</f>
        <v>0</v>
      </c>
      <c r="C36" s="94">
        <f>SUM(TIF_PaygAnnual_OutDistrictCost_Output)</f>
        <v>0</v>
      </c>
      <c r="D36" s="159">
        <f t="shared" si="15"/>
        <v>0</v>
      </c>
      <c r="E36" s="159">
        <f t="shared" ca="1" si="12"/>
        <v>0</v>
      </c>
      <c r="F36" s="159">
        <f t="shared" ca="1" si="13"/>
        <v>0</v>
      </c>
      <c r="G36" s="159">
        <f t="shared" ca="1" si="11"/>
        <v>0</v>
      </c>
      <c r="H36" s="175"/>
      <c r="I36" s="175"/>
      <c r="J36" s="175"/>
      <c r="K36" s="175"/>
      <c r="L36" s="175"/>
      <c r="M36" s="175"/>
    </row>
    <row r="37" spans="1:13" ht="20.100000000000001" customHeight="1" x14ac:dyDescent="0.25">
      <c r="A37" s="97" t="s">
        <v>176</v>
      </c>
      <c r="D37" s="135"/>
      <c r="E37" s="74"/>
    </row>
    <row r="38" spans="1:13" ht="150" customHeight="1" x14ac:dyDescent="0.25">
      <c r="A38" s="123"/>
      <c r="B38" s="143" t="str">
        <f>HYPERLINK("#'Transfers'!A6","Click here to continue to the Transfers Tab")</f>
        <v>Click here to continue to the Transfers Tab</v>
      </c>
      <c r="C38" s="156"/>
      <c r="D38" s="157"/>
      <c r="E38" s="158"/>
      <c r="F38" s="156"/>
      <c r="G38" s="156"/>
      <c r="H38" s="156"/>
      <c r="I38" s="156"/>
      <c r="J38" s="156"/>
      <c r="K38" s="156"/>
      <c r="L38" s="156"/>
      <c r="M38" s="156"/>
    </row>
  </sheetData>
  <sheetProtection algorithmName="SHA-512" hashValue="giBJxhxqbuvUAITNlNUIhCFIBAfn5Zi5VPACwHA87OZWT2DuFUPuHqRMZGBKhZIrZi4VvfUXujCKAoA0xIpehA==" saltValue="1mMZDzIMiwGnHgPG5gr/8g==" spinCount="100000" sheet="1" objects="1" scenarios="1"/>
  <mergeCells count="1">
    <mergeCell ref="A4:M4"/>
  </mergeCells>
  <conditionalFormatting sqref="A2">
    <cfRule type="expression" dxfId="568" priority="3">
      <formula>$O2="Error"</formula>
    </cfRule>
    <cfRule type="expression" dxfId="567" priority="4">
      <formula>$O2="Exclude"</formula>
    </cfRule>
  </conditionalFormatting>
  <conditionalFormatting sqref="B1:M2 A3:M3 A4 A5:M5 A39:M1048576">
    <cfRule type="expression" dxfId="566" priority="7">
      <formula>$O1="Error"</formula>
    </cfRule>
  </conditionalFormatting>
  <conditionalFormatting sqref="B1:M3 B5:M5 B39:M1048576">
    <cfRule type="expression" dxfId="564" priority="5">
      <formula>$B1&lt;&gt;TRUNC($B1,0)</formula>
    </cfRule>
  </conditionalFormatting>
  <conditionalFormatting sqref="B1:O2 A3:O3 A4 A5:O5 A39:O1048576 N4:O4 N6:O38">
    <cfRule type="expression" dxfId="563" priority="11">
      <formula>$O1="Exclude"</formula>
    </cfRule>
  </conditionalFormatting>
  <conditionalFormatting sqref="D37:E37">
    <cfRule type="expression" dxfId="562" priority="1">
      <formula>$D37="Error"</formula>
    </cfRule>
  </conditionalFormatting>
  <conditionalFormatting sqref="D38:E38">
    <cfRule type="expression" dxfId="561" priority="2">
      <formula>$E38="Error"</formula>
    </cfRule>
  </conditionalFormatting>
  <conditionalFormatting sqref="N1:O1048576">
    <cfRule type="expression" dxfId="560" priority="6">
      <formula>$O1="Information"</formula>
    </cfRule>
    <cfRule type="expression" dxfId="559" priority="8">
      <formula>$O1="Error"</formula>
    </cfRule>
    <cfRule type="expression" dxfId="558" priority="9">
      <formula>$O1="Alert"</formula>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0" id="{3628DD25-8313-4702-AF58-490F3F04A454}">
            <xm:f>COUNTIFS(Validation!$H:$H,MID(CELL("filename",A1),FIND("]",CELL("filename",A1))+1,255)&amp;CELL("address",A1))&gt;0</xm:f>
            <x14:dxf>
              <font>
                <b/>
                <i val="0"/>
                <color rgb="FFC00000"/>
              </font>
              <numFmt numFmtId="172" formatCode="_(\!* #,##0_);_(\!* \(#,##0\);_(\!* \-??_);_(\!\ @_)"/>
            </x14:dxf>
          </x14:cfRule>
          <xm:sqref>B1:M2 A3:M3 A5:M5 A39:M1048576 A2 A4</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C1F9F-C125-42E5-8A87-AB98DD036FD7}">
  <dimension ref="A1:M36"/>
  <sheetViews>
    <sheetView showGridLines="0" workbookViewId="0">
      <selection activeCell="B6" sqref="B6"/>
    </sheetView>
  </sheetViews>
  <sheetFormatPr defaultRowHeight="15" x14ac:dyDescent="0.25"/>
  <cols>
    <col min="1" max="1" width="55.7109375" style="66" customWidth="1"/>
    <col min="2" max="7" width="17.28515625" style="66" customWidth="1"/>
    <col min="8" max="8" width="80.7109375" style="66" customWidth="1"/>
    <col min="9" max="9" width="14.7109375" style="66" customWidth="1"/>
    <col min="10" max="11" width="15.7109375" style="78" hidden="1" customWidth="1"/>
    <col min="12" max="12" width="11.7109375" style="78" hidden="1" customWidth="1"/>
    <col min="13" max="16384" width="9.140625" style="66"/>
  </cols>
  <sheetData>
    <row r="1" spans="1:12" s="59" customFormat="1" ht="21" x14ac:dyDescent="0.25">
      <c r="A1" s="59" t="str">
        <f>_xlfn.CONCAT("Office of the State Auditor  -  TIF Annual Reporting Form  -  ",Year_DestinationYearID)</f>
        <v>Office of the State Auditor  -  TIF Annual Reporting Form  -  2024</v>
      </c>
      <c r="J1" s="61"/>
      <c r="K1" s="61"/>
      <c r="L1" s="61"/>
    </row>
    <row r="2" spans="1:12" s="62" customFormat="1" ht="20.100000000000001" customHeight="1" x14ac:dyDescent="0.25">
      <c r="A2" s="58" t="str">
        <f>_xlfn.CONCAT(GovEntity_GovEntityName_Parent,"  -  ",GovEntity_GovEntityName)</f>
        <v>Spruce City  -  TIF 1-1 Downtown Redev</v>
      </c>
      <c r="J2" s="64"/>
      <c r="K2" s="64"/>
      <c r="L2" s="64"/>
    </row>
    <row r="3" spans="1:12" s="68" customFormat="1" ht="24.95" customHeight="1" x14ac:dyDescent="0.3">
      <c r="A3" s="65" t="s">
        <v>320</v>
      </c>
      <c r="B3" s="66"/>
      <c r="J3" s="69"/>
      <c r="K3" s="69"/>
      <c r="L3" s="69"/>
    </row>
    <row r="4" spans="1:12" s="71" customFormat="1" ht="20.100000000000001" customHeight="1" x14ac:dyDescent="0.25">
      <c r="A4" s="71" t="s">
        <v>1022</v>
      </c>
      <c r="J4" s="72" t="s">
        <v>119</v>
      </c>
      <c r="K4" s="72" t="s">
        <v>119</v>
      </c>
      <c r="L4" s="72" t="s">
        <v>119</v>
      </c>
    </row>
    <row r="5" spans="1:12" s="74" customFormat="1" ht="19.5" customHeight="1" x14ac:dyDescent="0.25">
      <c r="A5" s="73" t="str">
        <f>HYPERLINK("#'Returned'!B7","Click here to continue to the Returned Tab")</f>
        <v>Click here to continue to the Returned Tab</v>
      </c>
      <c r="B5" s="74" t="s">
        <v>120</v>
      </c>
      <c r="H5" s="74" t="s">
        <v>121</v>
      </c>
      <c r="I5" s="74" t="s">
        <v>102</v>
      </c>
      <c r="J5" s="76" t="s">
        <v>475</v>
      </c>
      <c r="K5" s="76" t="s">
        <v>476</v>
      </c>
      <c r="L5" s="76" t="s">
        <v>484</v>
      </c>
    </row>
    <row r="6" spans="1:12" x14ac:dyDescent="0.25">
      <c r="A6" s="81" t="s">
        <v>319</v>
      </c>
      <c r="B6" s="103" t="str">
        <f>IF(TIF_Transfer_TransferInd_Input=TRUE,"Yes","Select One")</f>
        <v>Select One</v>
      </c>
      <c r="E6" s="74"/>
      <c r="F6" s="74"/>
      <c r="H6" s="77" t="str">
        <f ca="1">IFERROR(INDEX(Validation!G:G,MATCH("Transfers"&amp;CELL("address",H6),Validation!I:I,0)),"")</f>
        <v>You must select Yes or No.</v>
      </c>
      <c r="I6" s="66" t="str">
        <f ca="1">IFERROR(INDEX(Validation!F:F,MATCH("Transfers"&amp;CELL("address",H6),Validation!I:I,0)),"")</f>
        <v>Error</v>
      </c>
      <c r="J6" s="85" t="b">
        <v>0</v>
      </c>
      <c r="K6" s="85" t="b">
        <f>IF(TIF_Transfer_TransferInd_Entry="Yes",TRUE,FALSE)</f>
        <v>0</v>
      </c>
      <c r="L6" s="86" t="s">
        <v>1021</v>
      </c>
    </row>
    <row r="7" spans="1:12" ht="35.1" customHeight="1" x14ac:dyDescent="0.25">
      <c r="A7" s="136" t="s">
        <v>321</v>
      </c>
      <c r="H7" s="77" t="str">
        <f ca="1">IFERROR(INDEX(Validation!G:G,MATCH("Transfers"&amp;CELL("address",H7),Validation!I:I,0)),"")</f>
        <v/>
      </c>
      <c r="I7" s="66" t="str">
        <f ca="1">IFERROR(INDEX(Validation!F:F,MATCH("Transfers"&amp;CELL("address",H7),Validation!I:I,0)),"")</f>
        <v/>
      </c>
    </row>
    <row r="8" spans="1:12" ht="47.25" customHeight="1" x14ac:dyDescent="0.25">
      <c r="A8" s="165" t="s">
        <v>327</v>
      </c>
      <c r="B8" s="165" t="s">
        <v>328</v>
      </c>
      <c r="C8" s="165" t="str">
        <f>_xlfn.CONCAT(Year_DestinationYearID&amp;"                            Transfers IN                                  from other district")</f>
        <v>2024                            Transfers IN                                  from other district</v>
      </c>
      <c r="D8" s="165" t="s">
        <v>329</v>
      </c>
      <c r="E8" s="165" t="s">
        <v>330</v>
      </c>
      <c r="F8" s="165" t="str">
        <f>_xlfn.CONCAT(Year_DestinationYearID&amp;"                            Transfers OUT                                  to other district")</f>
        <v>2024                            Transfers OUT                                  to other district</v>
      </c>
      <c r="G8" s="165" t="s">
        <v>331</v>
      </c>
      <c r="H8" s="77" t="str">
        <f ca="1">IFERROR(INDEX(Validation!G:G,MATCH("Transfers"&amp;CELL("address",H8),Validation!I:I,0)),"")</f>
        <v/>
      </c>
      <c r="I8" s="66" t="str">
        <f ca="1">IFERROR(INDEX(Validation!F:F,MATCH("Transfers"&amp;CELL("address",H8),Validation!I:I,0)),"")</f>
        <v/>
      </c>
      <c r="J8" s="78" t="s">
        <v>1029</v>
      </c>
    </row>
    <row r="9" spans="1:12" x14ac:dyDescent="0.25">
      <c r="A9" s="103"/>
      <c r="B9" s="105"/>
      <c r="C9" s="105"/>
      <c r="D9" s="172">
        <f>SUM(B9:C9)</f>
        <v>0</v>
      </c>
      <c r="E9" s="105"/>
      <c r="F9" s="105"/>
      <c r="G9" s="172">
        <f>SUM(E9:F9)</f>
        <v>0</v>
      </c>
      <c r="H9" s="77" t="str">
        <f ca="1">IFERROR(INDEX(Validation!G:G,MATCH("Transfers"&amp;CELL("address",H9),Validation!I:I,0)),"")</f>
        <v/>
      </c>
      <c r="I9" s="66" t="str">
        <f ca="1">IFERROR(INDEX(Validation!F:F,MATCH("Transfers"&amp;CELL("address",H9),Validation!I:I,0)),"")</f>
        <v/>
      </c>
      <c r="J9" s="85"/>
    </row>
    <row r="10" spans="1:12" x14ac:dyDescent="0.25">
      <c r="A10" s="103"/>
      <c r="B10" s="105"/>
      <c r="C10" s="105"/>
      <c r="D10" s="172">
        <f t="shared" ref="D10:D30" si="0">SUM(B10:C10)</f>
        <v>0</v>
      </c>
      <c r="E10" s="105"/>
      <c r="F10" s="105"/>
      <c r="G10" s="172">
        <f t="shared" ref="G10:G30" si="1">SUM(E10:F10)</f>
        <v>0</v>
      </c>
      <c r="H10" s="77" t="str">
        <f ca="1">IFERROR(INDEX(Validation!G:G,MATCH("Transfers"&amp;CELL("address",H10),Validation!I:I,0)),"")</f>
        <v/>
      </c>
      <c r="I10" s="66" t="str">
        <f ca="1">IFERROR(INDEX(Validation!F:F,MATCH("Transfers"&amp;CELL("address",H10),Validation!I:I,0)),"")</f>
        <v/>
      </c>
      <c r="J10" s="85"/>
    </row>
    <row r="11" spans="1:12" x14ac:dyDescent="0.25">
      <c r="A11" s="103"/>
      <c r="B11" s="105"/>
      <c r="C11" s="105"/>
      <c r="D11" s="172">
        <f t="shared" si="0"/>
        <v>0</v>
      </c>
      <c r="E11" s="105"/>
      <c r="F11" s="105"/>
      <c r="G11" s="172">
        <f t="shared" si="1"/>
        <v>0</v>
      </c>
      <c r="H11" s="77" t="str">
        <f ca="1">IFERROR(INDEX(Validation!G:G,MATCH("Transfers"&amp;CELL("address",H11),Validation!I:I,0)),"")</f>
        <v/>
      </c>
      <c r="I11" s="66" t="str">
        <f ca="1">IFERROR(INDEX(Validation!F:F,MATCH("Transfers"&amp;CELL("address",H11),Validation!I:I,0)),"")</f>
        <v/>
      </c>
      <c r="J11" s="85"/>
    </row>
    <row r="12" spans="1:12" x14ac:dyDescent="0.25">
      <c r="A12" s="103"/>
      <c r="B12" s="105"/>
      <c r="C12" s="105"/>
      <c r="D12" s="172">
        <f t="shared" si="0"/>
        <v>0</v>
      </c>
      <c r="E12" s="105"/>
      <c r="F12" s="105"/>
      <c r="G12" s="172">
        <f t="shared" si="1"/>
        <v>0</v>
      </c>
      <c r="H12" s="77" t="str">
        <f ca="1">IFERROR(INDEX(Validation!G:G,MATCH("Transfers"&amp;CELL("address",H12),Validation!I:I,0)),"")</f>
        <v/>
      </c>
      <c r="I12" s="66" t="str">
        <f ca="1">IFERROR(INDEX(Validation!F:F,MATCH("Transfers"&amp;CELL("address",H12),Validation!I:I,0)),"")</f>
        <v/>
      </c>
      <c r="J12" s="85"/>
    </row>
    <row r="13" spans="1:12" x14ac:dyDescent="0.25">
      <c r="A13" s="103"/>
      <c r="B13" s="105"/>
      <c r="C13" s="105"/>
      <c r="D13" s="172">
        <f t="shared" si="0"/>
        <v>0</v>
      </c>
      <c r="E13" s="105"/>
      <c r="F13" s="105"/>
      <c r="G13" s="172">
        <f t="shared" si="1"/>
        <v>0</v>
      </c>
      <c r="H13" s="77" t="str">
        <f ca="1">IFERROR(INDEX(Validation!G:G,MATCH("Transfers"&amp;CELL("address",H13),Validation!I:I,0)),"")</f>
        <v/>
      </c>
      <c r="I13" s="66" t="str">
        <f ca="1">IFERROR(INDEX(Validation!F:F,MATCH("Transfers"&amp;CELL("address",H13),Validation!I:I,0)),"")</f>
        <v/>
      </c>
      <c r="J13" s="85"/>
    </row>
    <row r="14" spans="1:12" x14ac:dyDescent="0.25">
      <c r="A14" s="103"/>
      <c r="B14" s="105"/>
      <c r="C14" s="105"/>
      <c r="D14" s="172">
        <f t="shared" si="0"/>
        <v>0</v>
      </c>
      <c r="E14" s="105"/>
      <c r="F14" s="105"/>
      <c r="G14" s="172">
        <f t="shared" si="1"/>
        <v>0</v>
      </c>
      <c r="H14" s="77" t="str">
        <f ca="1">IFERROR(INDEX(Validation!G:G,MATCH("Transfers"&amp;CELL("address",H14),Validation!I:I,0)),"")</f>
        <v/>
      </c>
      <c r="I14" s="66" t="str">
        <f ca="1">IFERROR(INDEX(Validation!F:F,MATCH("Transfers"&amp;CELL("address",H14),Validation!I:I,0)),"")</f>
        <v/>
      </c>
      <c r="J14" s="85"/>
    </row>
    <row r="15" spans="1:12" x14ac:dyDescent="0.25">
      <c r="A15" s="103"/>
      <c r="B15" s="105"/>
      <c r="C15" s="105"/>
      <c r="D15" s="172">
        <f t="shared" si="0"/>
        <v>0</v>
      </c>
      <c r="E15" s="105"/>
      <c r="F15" s="105"/>
      <c r="G15" s="172">
        <f t="shared" si="1"/>
        <v>0</v>
      </c>
      <c r="H15" s="77" t="str">
        <f ca="1">IFERROR(INDEX(Validation!G:G,MATCH("Transfers"&amp;CELL("address",H15),Validation!I:I,0)),"")</f>
        <v/>
      </c>
      <c r="I15" s="66" t="str">
        <f ca="1">IFERROR(INDEX(Validation!F:F,MATCH("Transfers"&amp;CELL("address",H15),Validation!I:I,0)),"")</f>
        <v/>
      </c>
      <c r="J15" s="85"/>
    </row>
    <row r="16" spans="1:12" x14ac:dyDescent="0.25">
      <c r="A16" s="103"/>
      <c r="B16" s="105"/>
      <c r="C16" s="105"/>
      <c r="D16" s="172">
        <f t="shared" si="0"/>
        <v>0</v>
      </c>
      <c r="E16" s="105"/>
      <c r="F16" s="105"/>
      <c r="G16" s="172">
        <f t="shared" si="1"/>
        <v>0</v>
      </c>
      <c r="H16" s="77" t="str">
        <f ca="1">IFERROR(INDEX(Validation!G:G,MATCH("Transfers"&amp;CELL("address",H16),Validation!I:I,0)),"")</f>
        <v/>
      </c>
      <c r="I16" s="66" t="str">
        <f ca="1">IFERROR(INDEX(Validation!F:F,MATCH("Transfers"&amp;CELL("address",H16),Validation!I:I,0)),"")</f>
        <v/>
      </c>
      <c r="J16" s="85"/>
    </row>
    <row r="17" spans="1:11" x14ac:dyDescent="0.25">
      <c r="A17" s="103"/>
      <c r="B17" s="105"/>
      <c r="C17" s="105"/>
      <c r="D17" s="172">
        <f t="shared" si="0"/>
        <v>0</v>
      </c>
      <c r="E17" s="105"/>
      <c r="F17" s="105"/>
      <c r="G17" s="172">
        <f t="shared" si="1"/>
        <v>0</v>
      </c>
      <c r="H17" s="77" t="str">
        <f ca="1">IFERROR(INDEX(Validation!G:G,MATCH("Transfers"&amp;CELL("address",H17),Validation!I:I,0)),"")</f>
        <v/>
      </c>
      <c r="I17" s="66" t="str">
        <f ca="1">IFERROR(INDEX(Validation!F:F,MATCH("Transfers"&amp;CELL("address",H17),Validation!I:I,0)),"")</f>
        <v/>
      </c>
      <c r="J17" s="85"/>
    </row>
    <row r="18" spans="1:11" x14ac:dyDescent="0.25">
      <c r="A18" s="103"/>
      <c r="B18" s="105"/>
      <c r="C18" s="105"/>
      <c r="D18" s="172">
        <f t="shared" si="0"/>
        <v>0</v>
      </c>
      <c r="E18" s="105"/>
      <c r="F18" s="105"/>
      <c r="G18" s="172">
        <f t="shared" si="1"/>
        <v>0</v>
      </c>
      <c r="H18" s="77" t="str">
        <f ca="1">IFERROR(INDEX(Validation!G:G,MATCH("Transfers"&amp;CELL("address",H18),Validation!I:I,0)),"")</f>
        <v/>
      </c>
      <c r="I18" s="66" t="str">
        <f ca="1">IFERROR(INDEX(Validation!F:F,MATCH("Transfers"&amp;CELL("address",H18),Validation!I:I,0)),"")</f>
        <v/>
      </c>
      <c r="J18" s="85"/>
    </row>
    <row r="19" spans="1:11" x14ac:dyDescent="0.25">
      <c r="A19" s="103"/>
      <c r="B19" s="105"/>
      <c r="C19" s="105"/>
      <c r="D19" s="172">
        <f t="shared" si="0"/>
        <v>0</v>
      </c>
      <c r="E19" s="105"/>
      <c r="F19" s="105"/>
      <c r="G19" s="172">
        <f t="shared" si="1"/>
        <v>0</v>
      </c>
      <c r="H19" s="77" t="str">
        <f ca="1">IFERROR(INDEX(Validation!G:G,MATCH("Transfers"&amp;CELL("address",H19),Validation!I:I,0)),"")</f>
        <v/>
      </c>
      <c r="I19" s="66" t="str">
        <f ca="1">IFERROR(INDEX(Validation!F:F,MATCH("Transfers"&amp;CELL("address",H19),Validation!I:I,0)),"")</f>
        <v/>
      </c>
      <c r="J19" s="85"/>
    </row>
    <row r="20" spans="1:11" x14ac:dyDescent="0.25">
      <c r="A20" s="103"/>
      <c r="B20" s="105"/>
      <c r="C20" s="105"/>
      <c r="D20" s="172">
        <f t="shared" si="0"/>
        <v>0</v>
      </c>
      <c r="E20" s="105"/>
      <c r="F20" s="105"/>
      <c r="G20" s="172">
        <f t="shared" si="1"/>
        <v>0</v>
      </c>
      <c r="H20" s="77" t="str">
        <f ca="1">IFERROR(INDEX(Validation!G:G,MATCH("Transfers"&amp;CELL("address",H20),Validation!I:I,0)),"")</f>
        <v/>
      </c>
      <c r="I20" s="66" t="str">
        <f ca="1">IFERROR(INDEX(Validation!F:F,MATCH("Transfers"&amp;CELL("address",H20),Validation!I:I,0)),"")</f>
        <v/>
      </c>
      <c r="J20" s="85"/>
    </row>
    <row r="21" spans="1:11" x14ac:dyDescent="0.25">
      <c r="A21" s="103"/>
      <c r="B21" s="105"/>
      <c r="C21" s="105"/>
      <c r="D21" s="172">
        <f t="shared" si="0"/>
        <v>0</v>
      </c>
      <c r="E21" s="105"/>
      <c r="F21" s="105"/>
      <c r="G21" s="172">
        <f t="shared" si="1"/>
        <v>0</v>
      </c>
      <c r="H21" s="77" t="str">
        <f ca="1">IFERROR(INDEX(Validation!G:G,MATCH("Transfers"&amp;CELL("address",H21),Validation!I:I,0)),"")</f>
        <v/>
      </c>
      <c r="I21" s="66" t="str">
        <f ca="1">IFERROR(INDEX(Validation!F:F,MATCH("Transfers"&amp;CELL("address",H21),Validation!I:I,0)),"")</f>
        <v/>
      </c>
      <c r="J21" s="85"/>
    </row>
    <row r="22" spans="1:11" x14ac:dyDescent="0.25">
      <c r="A22" s="103"/>
      <c r="B22" s="105"/>
      <c r="C22" s="105"/>
      <c r="D22" s="172">
        <f t="shared" si="0"/>
        <v>0</v>
      </c>
      <c r="E22" s="105"/>
      <c r="F22" s="105"/>
      <c r="G22" s="172">
        <f t="shared" si="1"/>
        <v>0</v>
      </c>
      <c r="H22" s="77" t="str">
        <f ca="1">IFERROR(INDEX(Validation!G:G,MATCH("Transfers"&amp;CELL("address",H22),Validation!I:I,0)),"")</f>
        <v/>
      </c>
      <c r="I22" s="66" t="str">
        <f ca="1">IFERROR(INDEX(Validation!F:F,MATCH("Transfers"&amp;CELL("address",H22),Validation!I:I,0)),"")</f>
        <v/>
      </c>
      <c r="J22" s="85"/>
    </row>
    <row r="23" spans="1:11" x14ac:dyDescent="0.25">
      <c r="A23" s="103"/>
      <c r="B23" s="105"/>
      <c r="C23" s="105"/>
      <c r="D23" s="172">
        <f t="shared" si="0"/>
        <v>0</v>
      </c>
      <c r="E23" s="105"/>
      <c r="F23" s="105"/>
      <c r="G23" s="172">
        <f t="shared" si="1"/>
        <v>0</v>
      </c>
      <c r="H23" s="77" t="str">
        <f ca="1">IFERROR(INDEX(Validation!G:G,MATCH("Transfers"&amp;CELL("address",H23),Validation!I:I,0)),"")</f>
        <v/>
      </c>
      <c r="I23" s="66" t="str">
        <f ca="1">IFERROR(INDEX(Validation!F:F,MATCH("Transfers"&amp;CELL("address",H23),Validation!I:I,0)),"")</f>
        <v/>
      </c>
      <c r="J23" s="85"/>
    </row>
    <row r="24" spans="1:11" x14ac:dyDescent="0.25">
      <c r="A24" s="103"/>
      <c r="B24" s="105"/>
      <c r="C24" s="105"/>
      <c r="D24" s="172">
        <f t="shared" si="0"/>
        <v>0</v>
      </c>
      <c r="E24" s="105"/>
      <c r="F24" s="105"/>
      <c r="G24" s="172">
        <f t="shared" si="1"/>
        <v>0</v>
      </c>
      <c r="H24" s="77" t="str">
        <f ca="1">IFERROR(INDEX(Validation!G:G,MATCH("Transfers"&amp;CELL("address",H24),Validation!I:I,0)),"")</f>
        <v/>
      </c>
      <c r="I24" s="66" t="str">
        <f ca="1">IFERROR(INDEX(Validation!F:F,MATCH("Transfers"&amp;CELL("address",H24),Validation!I:I,0)),"")</f>
        <v/>
      </c>
      <c r="J24" s="85"/>
    </row>
    <row r="25" spans="1:11" x14ac:dyDescent="0.25">
      <c r="A25" s="103"/>
      <c r="B25" s="105"/>
      <c r="C25" s="105"/>
      <c r="D25" s="172">
        <f t="shared" si="0"/>
        <v>0</v>
      </c>
      <c r="E25" s="105"/>
      <c r="F25" s="105"/>
      <c r="G25" s="172">
        <f t="shared" si="1"/>
        <v>0</v>
      </c>
      <c r="H25" s="77" t="str">
        <f ca="1">IFERROR(INDEX(Validation!G:G,MATCH("Transfers"&amp;CELL("address",H25),Validation!I:I,0)),"")</f>
        <v/>
      </c>
      <c r="I25" s="66" t="str">
        <f ca="1">IFERROR(INDEX(Validation!F:F,MATCH("Transfers"&amp;CELL("address",H25),Validation!I:I,0)),"")</f>
        <v/>
      </c>
      <c r="J25" s="85"/>
    </row>
    <row r="26" spans="1:11" x14ac:dyDescent="0.25">
      <c r="A26" s="103"/>
      <c r="B26" s="105"/>
      <c r="C26" s="105"/>
      <c r="D26" s="172">
        <f t="shared" si="0"/>
        <v>0</v>
      </c>
      <c r="E26" s="105"/>
      <c r="F26" s="105"/>
      <c r="G26" s="172">
        <f t="shared" si="1"/>
        <v>0</v>
      </c>
      <c r="H26" s="77" t="str">
        <f ca="1">IFERROR(INDEX(Validation!G:G,MATCH("Transfers"&amp;CELL("address",H26),Validation!I:I,0)),"")</f>
        <v/>
      </c>
      <c r="I26" s="66" t="str">
        <f ca="1">IFERROR(INDEX(Validation!F:F,MATCH("Transfers"&amp;CELL("address",H26),Validation!I:I,0)),"")</f>
        <v/>
      </c>
      <c r="J26" s="85"/>
    </row>
    <row r="27" spans="1:11" x14ac:dyDescent="0.25">
      <c r="A27" s="103"/>
      <c r="B27" s="105"/>
      <c r="C27" s="105"/>
      <c r="D27" s="172">
        <f t="shared" si="0"/>
        <v>0</v>
      </c>
      <c r="E27" s="105"/>
      <c r="F27" s="105"/>
      <c r="G27" s="172">
        <f t="shared" si="1"/>
        <v>0</v>
      </c>
      <c r="H27" s="77" t="str">
        <f ca="1">IFERROR(INDEX(Validation!G:G,MATCH("Transfers"&amp;CELL("address",H27),Validation!I:I,0)),"")</f>
        <v/>
      </c>
      <c r="I27" s="66" t="str">
        <f ca="1">IFERROR(INDEX(Validation!F:F,MATCH("Transfers"&amp;CELL("address",H27),Validation!I:I,0)),"")</f>
        <v/>
      </c>
      <c r="J27" s="85"/>
    </row>
    <row r="28" spans="1:11" x14ac:dyDescent="0.25">
      <c r="A28" s="103"/>
      <c r="B28" s="105"/>
      <c r="C28" s="105"/>
      <c r="D28" s="172">
        <f t="shared" si="0"/>
        <v>0</v>
      </c>
      <c r="E28" s="105"/>
      <c r="F28" s="105"/>
      <c r="G28" s="172">
        <f t="shared" si="1"/>
        <v>0</v>
      </c>
      <c r="H28" s="77" t="str">
        <f ca="1">IFERROR(INDEX(Validation!G:G,MATCH("Transfers"&amp;CELL("address",H28),Validation!I:I,0)),"")</f>
        <v/>
      </c>
      <c r="I28" s="66" t="str">
        <f ca="1">IFERROR(INDEX(Validation!F:F,MATCH("Transfers"&amp;CELL("address",H28),Validation!I:I,0)),"")</f>
        <v/>
      </c>
      <c r="J28" s="85"/>
    </row>
    <row r="29" spans="1:11" x14ac:dyDescent="0.25">
      <c r="A29" s="103"/>
      <c r="B29" s="105"/>
      <c r="C29" s="105"/>
      <c r="D29" s="172">
        <f t="shared" si="0"/>
        <v>0</v>
      </c>
      <c r="E29" s="105"/>
      <c r="F29" s="105"/>
      <c r="G29" s="172">
        <f t="shared" si="1"/>
        <v>0</v>
      </c>
      <c r="H29" s="77" t="str">
        <f ca="1">IFERROR(INDEX(Validation!G:G,MATCH("Transfers"&amp;CELL("address",H29),Validation!I:I,0)),"")</f>
        <v/>
      </c>
      <c r="I29" s="66" t="str">
        <f ca="1">IFERROR(INDEX(Validation!F:F,MATCH("Transfers"&amp;CELL("address",H29),Validation!I:I,0)),"")</f>
        <v/>
      </c>
      <c r="J29" s="85"/>
    </row>
    <row r="30" spans="1:11" x14ac:dyDescent="0.25">
      <c r="A30" s="103"/>
      <c r="B30" s="105"/>
      <c r="C30" s="105"/>
      <c r="D30" s="172">
        <f t="shared" si="0"/>
        <v>0</v>
      </c>
      <c r="E30" s="105"/>
      <c r="F30" s="105"/>
      <c r="G30" s="172">
        <f t="shared" si="1"/>
        <v>0</v>
      </c>
      <c r="H30" s="77" t="str">
        <f ca="1">IFERROR(INDEX(Validation!G:G,MATCH("Transfers"&amp;CELL("address",H30),Validation!I:I,0)),"")</f>
        <v/>
      </c>
      <c r="I30" s="66" t="str">
        <f ca="1">IFERROR(INDEX(Validation!F:F,MATCH("Transfers"&amp;CELL("address",H30),Validation!I:I,0)),"")</f>
        <v/>
      </c>
      <c r="J30" s="85"/>
    </row>
    <row r="31" spans="1:11" x14ac:dyDescent="0.25">
      <c r="A31" s="66" t="s">
        <v>259</v>
      </c>
      <c r="B31" s="159">
        <f>SUM(B9:B30)</f>
        <v>0</v>
      </c>
      <c r="C31" s="159">
        <f t="shared" ref="C31:G31" si="2">SUM(C9:C30)</f>
        <v>0</v>
      </c>
      <c r="D31" s="159">
        <f t="shared" si="2"/>
        <v>0</v>
      </c>
      <c r="E31" s="159">
        <f t="shared" si="2"/>
        <v>0</v>
      </c>
      <c r="F31" s="159">
        <f t="shared" si="2"/>
        <v>0</v>
      </c>
      <c r="G31" s="159">
        <f t="shared" si="2"/>
        <v>0</v>
      </c>
      <c r="H31" s="77" t="str">
        <f ca="1">IFERROR(INDEX(Validation!G:G,MATCH("Transfers"&amp;CELL("address",H31),Validation!I:I,0)),"")</f>
        <v/>
      </c>
      <c r="I31" s="66" t="str">
        <f ca="1">IFERROR(INDEX(Validation!F:F,MATCH("Transfers"&amp;CELL("address",H31),Validation!I:I,0)),"")</f>
        <v/>
      </c>
    </row>
    <row r="32" spans="1:11" ht="35.1" customHeight="1" x14ac:dyDescent="0.25">
      <c r="A32" s="136" t="s">
        <v>326</v>
      </c>
      <c r="H32" s="77" t="str">
        <f ca="1">IFERROR(INDEX(Validation!G:G,MATCH("Transfers"&amp;CELL("address",H32),Validation!I:I,0)),"")</f>
        <v>This section does not apply to this district. Skip to next tab.</v>
      </c>
      <c r="I32" s="66" t="str">
        <f ca="1">IFERROR(INDEX(Validation!F:F,MATCH("Transfers"&amp;CELL("address",H32),Validation!I:I,0)),"")</f>
        <v>Information</v>
      </c>
      <c r="J32" s="85" t="b">
        <v>0</v>
      </c>
      <c r="K32" s="177" t="s">
        <v>1018</v>
      </c>
    </row>
    <row r="33" spans="1:13" ht="75" x14ac:dyDescent="0.25">
      <c r="A33" s="165" t="s">
        <v>322</v>
      </c>
      <c r="B33" s="165" t="s">
        <v>1017</v>
      </c>
      <c r="C33" s="165" t="s">
        <v>323</v>
      </c>
      <c r="D33" s="165" t="str">
        <f>_xlfn.CONCAT("Expenditures in "&amp;Year_DestinationYearID&amp;" of Transferred Amounts")</f>
        <v>Expenditures in 2024 of Transferred Amounts</v>
      </c>
      <c r="E33" s="165" t="str">
        <f>_xlfn.CONCAT("Total Expenditures of Transferred Amounts Thru "&amp;Year_DestinationYearID)</f>
        <v>Total Expenditures of Transferred Amounts Thru 2024</v>
      </c>
      <c r="F33" s="165" t="s">
        <v>324</v>
      </c>
      <c r="G33" s="165" t="s">
        <v>325</v>
      </c>
      <c r="H33" s="77" t="str">
        <f ca="1">IFERROR(INDEX(Validation!G:G,MATCH("Transfers"&amp;CELL("address",H33),Validation!I:I,0)),"")</f>
        <v/>
      </c>
      <c r="I33" s="66" t="str">
        <f ca="1">IFERROR(INDEX(Validation!F:F,MATCH("Transfers"&amp;CELL("address",H33),Validation!I:I,0)),"")</f>
        <v/>
      </c>
      <c r="J33" s="178" t="s">
        <v>1014</v>
      </c>
      <c r="K33" s="178" t="s">
        <v>1015</v>
      </c>
      <c r="L33" s="78" t="s">
        <v>1016</v>
      </c>
    </row>
    <row r="34" spans="1:13" x14ac:dyDescent="0.25">
      <c r="A34" s="155"/>
      <c r="B34" s="94">
        <f>J34+K34</f>
        <v>0</v>
      </c>
      <c r="C34" s="179">
        <v>0</v>
      </c>
      <c r="D34" s="179">
        <v>0</v>
      </c>
      <c r="E34" s="172">
        <f t="shared" ref="E34" si="3">SUM(C34:D34)</f>
        <v>0</v>
      </c>
      <c r="F34" s="179"/>
      <c r="G34" s="172" cm="1">
        <f t="array" ref="G34">B34-E34-TIF_TemporaryTransfer_TransfersIn</f>
        <v>0</v>
      </c>
      <c r="H34" s="77" t="str">
        <f ca="1">IFERROR(INDEX(Validation!G:G,MATCH("Transfers"&amp;CELL("address",H34),Validation!I:I,0)),"")</f>
        <v/>
      </c>
      <c r="I34" s="66" t="str">
        <f ca="1">IFERROR(INDEX(Validation!F:F,MATCH("Transfers"&amp;CELL("address",H34),Validation!I:I,0)),"")</f>
        <v/>
      </c>
      <c r="J34" s="85"/>
      <c r="K34" s="85"/>
      <c r="L34" s="85"/>
      <c r="M34" s="66" t="s">
        <v>1044</v>
      </c>
    </row>
    <row r="35" spans="1:13" ht="20.100000000000001" customHeight="1" x14ac:dyDescent="0.25">
      <c r="A35" s="97" t="s">
        <v>176</v>
      </c>
      <c r="H35" s="77" t="str">
        <f ca="1">IFERROR(INDEX(Validation!G:G,MATCH("Transfers"&amp;CELL("address",H35),Validation!I:I,0)),"")</f>
        <v/>
      </c>
      <c r="I35" s="66" t="str">
        <f ca="1">IFERROR(INDEX(Validation!F:F,MATCH("Transfers"&amp;CELL("address",H35),Validation!I:I,0)),"")</f>
        <v/>
      </c>
    </row>
    <row r="36" spans="1:13" ht="150" customHeight="1" x14ac:dyDescent="0.25">
      <c r="A36" s="164"/>
      <c r="B36" s="143" t="str">
        <f>HYPERLINK("#'Returned'!B7","Click here to continue to the Returned Tab")</f>
        <v>Click here to continue to the Returned Tab</v>
      </c>
    </row>
  </sheetData>
  <sheetProtection algorithmName="SHA-512" hashValue="U2q5h5wahXpKoSo81A3q5HhjXFtrUw4e741dNwf9usJuL/wTvDW03iC1KDl2DqAD84QBHahYmmqSA3uBbAp7rA==" saltValue="6Bb90VAQFY+KxJpB6kZUYw==" spinCount="100000" sheet="1" objects="1" scenarios="1"/>
  <conditionalFormatting sqref="A7:G31">
    <cfRule type="expression" dxfId="557" priority="1">
      <formula>$B$6="No"</formula>
    </cfRule>
  </conditionalFormatting>
  <conditionalFormatting sqref="A32:G34">
    <cfRule type="expression" dxfId="556" priority="2">
      <formula>$J$32=FALSE</formula>
    </cfRule>
  </conditionalFormatting>
  <conditionalFormatting sqref="H1:I1048576">
    <cfRule type="expression" dxfId="555" priority="3">
      <formula>$I1="Information"</formula>
    </cfRule>
    <cfRule type="expression" dxfId="554" priority="4">
      <formula>$I1="Error"</formula>
    </cfRule>
    <cfRule type="expression" dxfId="553" priority="5">
      <formula>$I1="Alert"</formula>
    </cfRule>
    <cfRule type="expression" dxfId="552" priority="6">
      <formula>$I1="Exclude"</formula>
    </cfRule>
  </conditionalFormatting>
  <dataValidations count="2">
    <dataValidation type="list" allowBlank="1" showInputMessage="1" showErrorMessage="1" sqref="B6" xr:uid="{9FF481D2-EB2E-49C0-82E7-C264F523E95E}">
      <formula1>SelOneYesNo</formula1>
    </dataValidation>
    <dataValidation type="list" allowBlank="1" showInputMessage="1" showErrorMessage="1" sqref="A9:A30" xr:uid="{CD5E6DCB-426E-4833-B837-C80E66588CFD}">
      <formula1>DistrictDropDown</formula1>
    </dataValidation>
  </dataValidation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7A1E6-A01B-4257-B7DD-A8AFE402AB7D}">
  <dimension ref="A1:F13"/>
  <sheetViews>
    <sheetView showGridLines="0" workbookViewId="0">
      <selection activeCell="B7" sqref="B7"/>
    </sheetView>
  </sheetViews>
  <sheetFormatPr defaultRowHeight="15" x14ac:dyDescent="0.25"/>
  <cols>
    <col min="1" max="1" width="55.7109375" style="66" customWidth="1"/>
    <col min="2" max="4" width="20.7109375" style="66" customWidth="1"/>
    <col min="5" max="5" width="80.85546875" style="66" customWidth="1"/>
    <col min="6" max="6" width="14.7109375" style="66" customWidth="1"/>
    <col min="7" max="16384" width="9.140625" style="66"/>
  </cols>
  <sheetData>
    <row r="1" spans="1:6" s="59" customFormat="1" ht="21" x14ac:dyDescent="0.25">
      <c r="A1" s="59" t="str">
        <f>_xlfn.CONCAT("Office of the State Auditor  -  TIF Annual Reporting Form  -  ",Year_DestinationYearID)</f>
        <v>Office of the State Auditor  -  TIF Annual Reporting Form  -  2024</v>
      </c>
    </row>
    <row r="2" spans="1:6" s="62" customFormat="1" ht="20.100000000000001" customHeight="1" x14ac:dyDescent="0.25">
      <c r="A2" s="58" t="str">
        <f>_xlfn.CONCAT(GovEntity_GovEntityName_Parent,"  -  ",GovEntity_GovEntityName)</f>
        <v>Spruce City  -  TIF 1-1 Downtown Redev</v>
      </c>
    </row>
    <row r="3" spans="1:6" s="68" customFormat="1" ht="24.95" customHeight="1" x14ac:dyDescent="0.3">
      <c r="A3" s="65" t="s">
        <v>1049</v>
      </c>
      <c r="B3" s="66"/>
      <c r="C3" s="66"/>
      <c r="D3" s="66"/>
    </row>
    <row r="4" spans="1:6" s="71" customFormat="1" ht="15" customHeight="1" x14ac:dyDescent="0.25">
      <c r="A4" s="71" t="s">
        <v>1050</v>
      </c>
    </row>
    <row r="5" spans="1:6" s="74" customFormat="1" ht="19.5" customHeight="1" x14ac:dyDescent="0.25">
      <c r="A5" s="73" t="str">
        <f>HYPERLINK("#'Rev Exp Bal'!C7","Click here to continue to the Rev Exp Bal Tab")</f>
        <v>Click here to continue to the Rev Exp Bal Tab</v>
      </c>
      <c r="E5" s="74" t="s">
        <v>121</v>
      </c>
      <c r="F5" s="74" t="s">
        <v>102</v>
      </c>
    </row>
    <row r="6" spans="1:6" ht="20.100000000000001" customHeight="1" x14ac:dyDescent="0.25">
      <c r="A6" s="74" t="s">
        <v>1051</v>
      </c>
      <c r="B6" s="74" t="s">
        <v>283</v>
      </c>
      <c r="C6" s="74" t="str">
        <f>Year_DestinationYearID&amp;" Amount"</f>
        <v>2024 Amount</v>
      </c>
      <c r="D6" s="74" t="str">
        <f>"Total Thru "&amp;Year_DestinationYearID</f>
        <v>Total Thru 2024</v>
      </c>
      <c r="E6" s="66" t="str">
        <f ca="1">IFERROR(INDEX(Validation!G:G,MATCH("Blank"&amp;CELL("address",E6),Validation!I:I,0)),"")</f>
        <v/>
      </c>
      <c r="F6" s="66" t="str">
        <f ca="1">IFERROR(INDEX(Validation!F:F,MATCH("Blank"&amp;CELL("address",E6),Validation!I:I,0)),"")</f>
        <v/>
      </c>
    </row>
    <row r="7" spans="1:6" x14ac:dyDescent="0.25">
      <c r="A7" s="79" t="s">
        <v>1059</v>
      </c>
      <c r="B7" s="104">
        <v>0</v>
      </c>
      <c r="C7" s="104"/>
      <c r="D7" s="159">
        <f>IFERROR(SUM(B7:C7),"")</f>
        <v>0</v>
      </c>
      <c r="E7" s="77" t="str">
        <f ca="1">IFERROR(INDEX(Validation!G:G,MATCH("Returned"&amp;CELL("address",E7),Validation!I:I,0)),"")</f>
        <v>Entry required in 2024 Amount column. Enter $0 if applicable.</v>
      </c>
      <c r="F7" s="66" t="str">
        <f ca="1">IFERROR(INDEX(Validation!F:F,MATCH("Returned"&amp;CELL("address",E7),Validation!I:I,0)),"")</f>
        <v>Error</v>
      </c>
    </row>
    <row r="8" spans="1:6" x14ac:dyDescent="0.25">
      <c r="A8" s="79" t="s">
        <v>1060</v>
      </c>
      <c r="B8" s="104">
        <v>0</v>
      </c>
      <c r="C8" s="104"/>
      <c r="D8" s="159">
        <f>IFERROR(SUM(B8:C8),"")</f>
        <v>0</v>
      </c>
      <c r="E8" s="77" t="str">
        <f ca="1">IFERROR(INDEX(Validation!G:G,MATCH("Returned"&amp;CELL("address",E8),Validation!I:I,0)),"")</f>
        <v>Entry required in 2024 Amount column. Enter $0 if applicable.</v>
      </c>
      <c r="F8" s="66" t="str">
        <f ca="1">IFERROR(INDEX(Validation!F:F,MATCH("Returned"&amp;CELL("address",E8),Validation!I:I,0)),"")</f>
        <v>Error</v>
      </c>
    </row>
    <row r="9" spans="1:6" x14ac:dyDescent="0.25">
      <c r="A9" s="79" t="s">
        <v>1061</v>
      </c>
      <c r="B9" s="104">
        <v>0</v>
      </c>
      <c r="C9" s="104"/>
      <c r="D9" s="159">
        <f>IFERROR(SUM(B9:C9),"")</f>
        <v>0</v>
      </c>
      <c r="E9" s="77" t="str">
        <f ca="1">IFERROR(INDEX(Validation!G:G,MATCH("Returned"&amp;CELL("address",E9),Validation!I:I,0)),"")</f>
        <v>Entry required in 2024 Amount column. Enter $0 if applicable.</v>
      </c>
      <c r="F9" s="66" t="str">
        <f ca="1">IFERROR(INDEX(Validation!F:F,MATCH("Returned"&amp;CELL("address",E9),Validation!I:I,0)),"")</f>
        <v>Error</v>
      </c>
    </row>
    <row r="10" spans="1:6" x14ac:dyDescent="0.25">
      <c r="A10" s="79" t="s">
        <v>1062</v>
      </c>
      <c r="B10" s="104">
        <v>0</v>
      </c>
      <c r="C10" s="104"/>
      <c r="D10" s="159">
        <f>IFERROR(SUM(B10:C10),"")</f>
        <v>0</v>
      </c>
      <c r="E10" s="77" t="str">
        <f ca="1">IFERROR(INDEX(Validation!G:G,MATCH("Returned"&amp;CELL("address",E10),Validation!I:I,0)),"")</f>
        <v>Entry required in 2024 Amount column. Enter $0 if applicable.</v>
      </c>
      <c r="F10" s="66" t="str">
        <f ca="1">IFERROR(INDEX(Validation!F:F,MATCH("Returned"&amp;CELL("address",E10),Validation!I:I,0)),"")</f>
        <v>Error</v>
      </c>
    </row>
    <row r="11" spans="1:6" x14ac:dyDescent="0.25">
      <c r="A11" s="130" t="s">
        <v>1063</v>
      </c>
      <c r="B11" s="159">
        <f>IFERROR(SUM(B7:B10),"")</f>
        <v>0</v>
      </c>
      <c r="C11" s="159">
        <f t="shared" ref="C11" si="0">SUM(C7:C10)</f>
        <v>0</v>
      </c>
      <c r="D11" s="159">
        <f>SUM(D7:D10)</f>
        <v>0</v>
      </c>
      <c r="E11" s="77" t="str">
        <f ca="1">IFERROR(INDEX(Validation!G:G,MATCH("Returned"&amp;CELL("address",E11),Validation!I:I,0)),"")</f>
        <v/>
      </c>
      <c r="F11" s="66" t="str">
        <f ca="1">IFERROR(INDEX(Validation!F:F,MATCH("Returned"&amp;CELL("address",E11),Validation!I:I,0)),"")</f>
        <v/>
      </c>
    </row>
    <row r="12" spans="1:6" ht="20.100000000000001" customHeight="1" x14ac:dyDescent="0.25">
      <c r="A12" s="97" t="s">
        <v>176</v>
      </c>
      <c r="E12" s="77" t="str">
        <f ca="1">IFERROR(INDEX(Validation!G:G,MATCH("Returned"&amp;CELL("address",E12),Validation!I:I,0)),"")</f>
        <v/>
      </c>
      <c r="F12" s="66" t="str">
        <f ca="1">IFERROR(INDEX(Validation!F:F,MATCH("Returned"&amp;CELL("address",E12),Validation!I:I,0)),"")</f>
        <v/>
      </c>
    </row>
    <row r="13" spans="1:6" ht="150" customHeight="1" x14ac:dyDescent="0.25">
      <c r="A13" s="164"/>
      <c r="B13" s="100" t="str">
        <f>HYPERLINK("#'Rev Exp Bal'!C7","Click here to continue to the Rev Exp Bal Tab")</f>
        <v>Click here to continue to the Rev Exp Bal Tab</v>
      </c>
      <c r="C13" s="100"/>
      <c r="D13" s="100"/>
    </row>
  </sheetData>
  <sheetProtection algorithmName="SHA-512" hashValue="/fNO+LQ+/gtHM9tdnsnPdFc/ZQlD6F/1zqHIQyiU0wPg+qiFLrmkHE8QeKKNeIdzv0E0GkSSt3A/4nw4p4KEYQ==" saltValue="6XPwLN8eFPJJXf0IAUPwvw==" spinCount="100000" sheet="1" objects="1" scenarios="1"/>
  <conditionalFormatting sqref="E1:F1048576">
    <cfRule type="expression" dxfId="549" priority="1">
      <formula>$F1="Information"</formula>
    </cfRule>
    <cfRule type="expression" dxfId="548" priority="2">
      <formula>$F1="Error"</formula>
    </cfRule>
    <cfRule type="expression" dxfId="547" priority="3">
      <formula>$F1="Alert"</formula>
    </cfRule>
    <cfRule type="expression" dxfId="546" priority="4">
      <formula>$F1="Exclude"</formula>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4" id="{0EAF3CFB-B7D1-4B0B-BACE-0F7BA7DBF140}">
            <xm:f>COUNTIFS(Validation!$H:$H,MID(CELL("filename",B1),FIND("]",CELL("filename",B1))+1,255)&amp;CELL("address",B1))&gt;0</xm:f>
            <x14:dxf>
              <font>
                <b/>
                <i val="0"/>
                <color rgb="FFC00000"/>
              </font>
              <numFmt numFmtId="172" formatCode="_(\!* #,##0_);_(\!* \(#,##0\);_(\!* \-??_);_(\!\ @_)"/>
            </x14:dxf>
          </x14:cfRule>
          <xm:sqref>B1:D4 B7:C11 B11:D12 B14:D1048576</xm:sqref>
        </x14:conditionalFormatting>
        <x14:conditionalFormatting xmlns:xm="http://schemas.microsoft.com/office/excel/2006/main">
          <x14:cfRule type="expression" priority="10" id="{A0766666-D0B3-49BE-ADAC-D8F1A8587248}">
            <xm:f>COUNTIFS(Validation!$H:$H,MID(CELL("filename",B6),FIND("]",CELL("filename",B6))+1,255)&amp;CELL("address",B6))&gt;0</xm:f>
            <x14:dxf>
              <font>
                <b/>
                <i val="0"/>
                <color rgb="FFC00000"/>
              </font>
              <numFmt numFmtId="173" formatCode="_(\!_$* #,##0_);_(\!_$* \(#,##0\);_(\!_$* \-??_);_(\!\ @_)"/>
            </x14:dxf>
          </x14:cfRule>
          <xm:sqref>B6:D6 D7:D10</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16515-FAAD-45FC-81D3-2F7216B91822}">
  <dimension ref="A1:K84"/>
  <sheetViews>
    <sheetView showGridLines="0" zoomScaleNormal="100" workbookViewId="0"/>
  </sheetViews>
  <sheetFormatPr defaultRowHeight="15" x14ac:dyDescent="0.25"/>
  <cols>
    <col min="1" max="1" width="55.7109375" style="66" customWidth="1"/>
    <col min="2" max="4" width="20.7109375" style="66" customWidth="1"/>
    <col min="5" max="5" width="80.85546875" style="66" customWidth="1"/>
    <col min="6" max="6" width="14.7109375" style="66" customWidth="1"/>
    <col min="7" max="9" width="0" style="78" hidden="1" customWidth="1"/>
    <col min="10" max="16384" width="9.140625" style="66"/>
  </cols>
  <sheetData>
    <row r="1" spans="1:9" s="59" customFormat="1" ht="21" x14ac:dyDescent="0.25">
      <c r="A1" s="59" t="str">
        <f>_xlfn.CONCAT("Office of the State Auditor  -  TIF Annual Reporting Form  -  ",Year_DestinationYearID)</f>
        <v>Office of the State Auditor  -  TIF Annual Reporting Form  -  2024</v>
      </c>
      <c r="G1" s="61"/>
      <c r="H1" s="61"/>
      <c r="I1" s="61"/>
    </row>
    <row r="2" spans="1:9" s="62" customFormat="1" ht="20.100000000000001" customHeight="1" x14ac:dyDescent="0.25">
      <c r="A2" s="58" t="str">
        <f>_xlfn.CONCAT(GovEntity_GovEntityName_Parent,"  -  ",GovEntity_GovEntityName)</f>
        <v>Spruce City  -  TIF 1-1 Downtown Redev</v>
      </c>
      <c r="G2" s="64"/>
      <c r="H2" s="64"/>
      <c r="I2" s="64"/>
    </row>
    <row r="3" spans="1:9" s="68" customFormat="1" ht="24.95" customHeight="1" x14ac:dyDescent="0.3">
      <c r="A3" s="65" t="s">
        <v>376</v>
      </c>
      <c r="B3" s="66"/>
      <c r="C3" s="66"/>
      <c r="D3" s="66"/>
      <c r="G3" s="69"/>
      <c r="H3" s="69"/>
      <c r="I3" s="69"/>
    </row>
    <row r="4" spans="1:9" s="71" customFormat="1" x14ac:dyDescent="0.25">
      <c r="A4" s="215" t="s">
        <v>1146</v>
      </c>
      <c r="B4" s="215"/>
      <c r="C4" s="215"/>
      <c r="D4" s="215"/>
      <c r="E4" s="215"/>
      <c r="F4" s="215"/>
      <c r="G4" s="72" t="s">
        <v>119</v>
      </c>
      <c r="H4" s="72" t="s">
        <v>119</v>
      </c>
      <c r="I4" s="72" t="s">
        <v>119</v>
      </c>
    </row>
    <row r="5" spans="1:9" s="74" customFormat="1" ht="19.5" customHeight="1" x14ac:dyDescent="0.25">
      <c r="A5" s="73" t="str">
        <f>HYPERLINK("#'Bal Sheet'!A7","Click here to continue to the Bal Sheet Tab")</f>
        <v>Click here to continue to the Bal Sheet Tab</v>
      </c>
      <c r="E5" s="74" t="s">
        <v>121</v>
      </c>
      <c r="F5" s="74" t="s">
        <v>102</v>
      </c>
      <c r="G5" s="76" t="s">
        <v>475</v>
      </c>
      <c r="H5" s="76" t="s">
        <v>476</v>
      </c>
      <c r="I5" s="76" t="s">
        <v>484</v>
      </c>
    </row>
    <row r="6" spans="1:9" ht="20.100000000000001" customHeight="1" x14ac:dyDescent="0.25">
      <c r="A6" s="74" t="s">
        <v>282</v>
      </c>
      <c r="B6" s="74" t="s">
        <v>283</v>
      </c>
      <c r="C6" s="74" t="str">
        <f>Year_DestinationYearID&amp;" Amount"</f>
        <v>2024 Amount</v>
      </c>
      <c r="D6" s="74" t="str">
        <f>"Total Thru "&amp;Year_DestinationYearID</f>
        <v>Total Thru 2024</v>
      </c>
      <c r="E6" s="77" t="str">
        <f ca="1">IFERROR(INDEX(Validation!G:G,MATCH("Rev Exp Bal"&amp;CELL("address",E6),Validation!I:I,0)),"")</f>
        <v/>
      </c>
      <c r="F6" s="66" t="str">
        <f ca="1">IFERROR(INDEX(Validation!F:F,MATCH("Rev Exp Bal"&amp;CELL("address",E6),Validation!I:I,0)),"")</f>
        <v/>
      </c>
    </row>
    <row r="7" spans="1:9" x14ac:dyDescent="0.25">
      <c r="A7" s="79" t="s">
        <v>284</v>
      </c>
      <c r="B7" s="94">
        <f>TIF_DistrictYear_TaxIncRevPriorAdj_Entry</f>
        <v>595003</v>
      </c>
      <c r="C7" s="94">
        <f>TIF_DistrictYear_TaxIncRevAmt</f>
        <v>0</v>
      </c>
      <c r="D7" s="159">
        <f>IFERROR(SUM(B7:C7),"")</f>
        <v>595003</v>
      </c>
      <c r="E7" s="77" t="str">
        <f ca="1">IFERROR(INDEX(Validation!G:G,MATCH("Rev Exp Bal"&amp;CELL("address",E7),Validation!I:I,0)),"")</f>
        <v/>
      </c>
      <c r="F7" s="66" t="str">
        <f ca="1">IFERROR(INDEX(Validation!F:F,MATCH("Rev Exp Bal"&amp;CELL("address",E7),Validation!I:I,0)),"")</f>
        <v/>
      </c>
      <c r="I7" s="86"/>
    </row>
    <row r="8" spans="1:9" x14ac:dyDescent="0.25">
      <c r="A8" s="79" t="s">
        <v>285</v>
      </c>
      <c r="B8" s="94">
        <f>TIF_DistrictYear_MVHCPriorAdj_Entry</f>
        <v>0</v>
      </c>
      <c r="C8" s="94">
        <f>TIF_DistrictYear_MVHCAmt</f>
        <v>0</v>
      </c>
      <c r="D8" s="159">
        <f t="shared" ref="D8:D15" si="0">IFERROR(SUM(B8:C8),"")</f>
        <v>0</v>
      </c>
      <c r="E8" s="77" t="str">
        <f ca="1">IFERROR(INDEX(Validation!G:G,MATCH("Rev Exp Bal"&amp;CELL("address",E8),Validation!I:I,0)),"")</f>
        <v/>
      </c>
      <c r="F8" s="66" t="str">
        <f ca="1">IFERROR(INDEX(Validation!F:F,MATCH("Rev Exp Bal"&amp;CELL("address",E8),Validation!I:I,0)),"")</f>
        <v/>
      </c>
      <c r="I8" s="86"/>
    </row>
    <row r="9" spans="1:9" x14ac:dyDescent="0.25">
      <c r="A9" s="79" t="s">
        <v>332</v>
      </c>
      <c r="B9" s="162">
        <f>IFERROR(TIF_DistrictYear_TaxIncRevPriorAdj_Entry+TIF_DistrictYear_MVHCPriorAdj_Entry,"")</f>
        <v>595003</v>
      </c>
      <c r="C9" s="162">
        <f>IFERROR(TIF_DistrictYear_TaxIncRevAmt+TIF_DistrictYear_MVHCAmt,"")</f>
        <v>0</v>
      </c>
      <c r="D9" s="159">
        <f t="shared" si="0"/>
        <v>595003</v>
      </c>
      <c r="E9" s="77" t="str">
        <f ca="1">IFERROR(INDEX(Validation!G:G,MATCH("Rev Exp Bal"&amp;CELL("address",E9),Validation!I:I,0)),"")</f>
        <v/>
      </c>
      <c r="F9" s="66" t="str">
        <f ca="1">IFERROR(INDEX(Validation!F:F,MATCH("Rev Exp Bal"&amp;CELL("address",E9),Validation!I:I,0)),"")</f>
        <v/>
      </c>
    </row>
    <row r="10" spans="1:9" x14ac:dyDescent="0.25">
      <c r="A10" s="79" t="s">
        <v>286</v>
      </c>
      <c r="B10" s="94">
        <f>TIF_DistrictYear_InvestmentEarningsPriorAdj_Entry</f>
        <v>5117</v>
      </c>
      <c r="C10" s="94">
        <f>TIF_DistrictYear_InvestmentEarningsAmt</f>
        <v>0</v>
      </c>
      <c r="D10" s="159">
        <f t="shared" si="0"/>
        <v>5117</v>
      </c>
      <c r="E10" s="77" t="str">
        <f ca="1">IFERROR(INDEX(Validation!G:G,MATCH("Rev Exp Bal"&amp;CELL("address",E10),Validation!I:I,0)),"")</f>
        <v/>
      </c>
      <c r="F10" s="66" t="str">
        <f ca="1">IFERROR(INDEX(Validation!F:F,MATCH("Rev Exp Bal"&amp;CELL("address",E10),Validation!I:I,0)),"")</f>
        <v/>
      </c>
      <c r="I10" s="86"/>
    </row>
    <row r="11" spans="1:9" x14ac:dyDescent="0.25">
      <c r="A11" s="79" t="s">
        <v>287</v>
      </c>
      <c r="B11" s="94">
        <f>TIF_DistrictYear_PropertySalesPriorAdj_Entry</f>
        <v>0</v>
      </c>
      <c r="C11" s="94">
        <f>TIF_DistrictYear_PropertySalesAmt</f>
        <v>0</v>
      </c>
      <c r="D11" s="159">
        <f t="shared" si="0"/>
        <v>0</v>
      </c>
      <c r="E11" s="77" t="str">
        <f ca="1">IFERROR(INDEX(Validation!G:G,MATCH("Rev Exp Bal"&amp;CELL("address",E11),Validation!I:I,0)),"")</f>
        <v/>
      </c>
      <c r="F11" s="66" t="str">
        <f ca="1">IFERROR(INDEX(Validation!F:F,MATCH("Rev Exp Bal"&amp;CELL("address",E11),Validation!I:I,0)),"")</f>
        <v/>
      </c>
      <c r="I11" s="86"/>
    </row>
    <row r="12" spans="1:9" x14ac:dyDescent="0.25">
      <c r="A12" s="79" t="s">
        <v>161</v>
      </c>
      <c r="B12" s="94">
        <f>TIF_DistrictYear_LeaseProceedsPriorAdj_Entry</f>
        <v>0</v>
      </c>
      <c r="C12" s="94">
        <f>TIF_DistrictYear_LeaseProceedsAmt</f>
        <v>0</v>
      </c>
      <c r="D12" s="159">
        <f t="shared" si="0"/>
        <v>0</v>
      </c>
      <c r="E12" s="77" t="str">
        <f ca="1">IFERROR(INDEX(Validation!G:G,MATCH("Rev Exp Bal"&amp;CELL("address",E12),Validation!I:I,0)),"")</f>
        <v/>
      </c>
      <c r="F12" s="66" t="str">
        <f ca="1">IFERROR(INDEX(Validation!F:F,MATCH("Rev Exp Bal"&amp;CELL("address",E12),Validation!I:I,0)),"")</f>
        <v/>
      </c>
      <c r="I12" s="86"/>
    </row>
    <row r="13" spans="1:9" x14ac:dyDescent="0.25">
      <c r="A13" s="79" t="s">
        <v>288</v>
      </c>
      <c r="B13" s="94">
        <f>TIF_DistrictYear_LoanAdvanceRepaymentsPriorAdj_Entry</f>
        <v>0</v>
      </c>
      <c r="C13" s="94">
        <f>TIF_DistrictYear_LoanAdvanceRepaymentsAmt</f>
        <v>0</v>
      </c>
      <c r="D13" s="159">
        <f t="shared" si="0"/>
        <v>0</v>
      </c>
      <c r="E13" s="77" t="str">
        <f ca="1">IFERROR(INDEX(Validation!G:G,MATCH("Rev Exp Bal"&amp;CELL("address",E13),Validation!I:I,0)),"")</f>
        <v/>
      </c>
      <c r="F13" s="66" t="str">
        <f ca="1">IFERROR(INDEX(Validation!F:F,MATCH("Rev Exp Bal"&amp;CELL("address",E13),Validation!I:I,0)),"")</f>
        <v/>
      </c>
      <c r="I13" s="86"/>
    </row>
    <row r="14" spans="1:9" x14ac:dyDescent="0.25">
      <c r="A14" s="79" t="s">
        <v>289</v>
      </c>
      <c r="B14" s="94">
        <f>TIF_DistrictYear_AgreementRepaymentPriorAdj_Entry</f>
        <v>0</v>
      </c>
      <c r="C14" s="94">
        <f>TIF_DistrictYear_AgreementRepaymentAmt</f>
        <v>0</v>
      </c>
      <c r="D14" s="159">
        <f t="shared" si="0"/>
        <v>0</v>
      </c>
      <c r="E14" s="77" t="str">
        <f ca="1">IFERROR(INDEX(Validation!G:G,MATCH("Rev Exp Bal"&amp;CELL("address",E14),Validation!I:I,0)),"")</f>
        <v/>
      </c>
      <c r="F14" s="66" t="str">
        <f ca="1">IFERROR(INDEX(Validation!F:F,MATCH("Rev Exp Bal"&amp;CELL("address",E14),Validation!I:I,0)),"")</f>
        <v/>
      </c>
      <c r="I14" s="86"/>
    </row>
    <row r="15" spans="1:9" x14ac:dyDescent="0.25">
      <c r="A15" s="163" t="s">
        <v>290</v>
      </c>
      <c r="B15" s="159">
        <f>IFERROR(SUM(B7:B8,B10:B14),"")</f>
        <v>600120</v>
      </c>
      <c r="C15" s="159">
        <f>IFERROR(SUM(C7:C8,C10:C14),"")</f>
        <v>0</v>
      </c>
      <c r="D15" s="159">
        <f t="shared" si="0"/>
        <v>600120</v>
      </c>
      <c r="E15" s="77" t="str">
        <f ca="1">IFERROR(INDEX(Validation!G:G,MATCH("Rev Exp Bal"&amp;CELL("address",E15),Validation!I:I,0)),"")</f>
        <v/>
      </c>
      <c r="F15" s="66" t="str">
        <f ca="1">IFERROR(INDEX(Validation!F:F,MATCH("Rev Exp Bal"&amp;CELL("address",E15),Validation!I:I,0)),"")</f>
        <v/>
      </c>
    </row>
    <row r="16" spans="1:9" ht="20.100000000000001" customHeight="1" x14ac:dyDescent="0.25">
      <c r="A16" s="74" t="s">
        <v>265</v>
      </c>
      <c r="B16" s="175"/>
      <c r="C16" s="175"/>
      <c r="D16" s="175"/>
      <c r="E16" s="77" t="str">
        <f ca="1">IFERROR(INDEX(Validation!G:G,MATCH("Rev Exp Bal"&amp;CELL("address",E16),Validation!I:I,0)),"")</f>
        <v/>
      </c>
      <c r="F16" s="66" t="str">
        <f ca="1">IFERROR(INDEX(Validation!F:F,MATCH("Rev Exp Bal"&amp;CELL("address",E16),Validation!I:I,0)),"")</f>
        <v/>
      </c>
    </row>
    <row r="17" spans="1:6" x14ac:dyDescent="0.25">
      <c r="A17" s="77" t="s">
        <v>333</v>
      </c>
      <c r="B17" s="175"/>
      <c r="C17" s="175"/>
      <c r="D17" s="175"/>
      <c r="E17" s="77" t="str">
        <f ca="1">IFERROR(INDEX(Validation!G:G,MATCH("Rev Exp Bal"&amp;CELL("address",E17),Validation!I:I,0)),"")</f>
        <v/>
      </c>
      <c r="F17" s="66" t="str">
        <f ca="1">IFERROR(INDEX(Validation!F:F,MATCH("Rev Exp Bal"&amp;CELL("address",E17),Validation!I:I,0)),"")</f>
        <v/>
      </c>
    </row>
    <row r="18" spans="1:6" x14ac:dyDescent="0.25">
      <c r="A18" s="79" t="s">
        <v>335</v>
      </c>
      <c r="B18" s="94">
        <f ca="1">'Expenditure Summary'!K18</f>
        <v>0</v>
      </c>
      <c r="C18" s="94">
        <f ca="1">'Expenditure Summary'!L18</f>
        <v>0</v>
      </c>
      <c r="D18" s="159">
        <f ca="1">IFERROR(SUM(B18:C18),"")</f>
        <v>0</v>
      </c>
      <c r="E18" s="77" t="str">
        <f ca="1">IFERROR(INDEX(Validation!G:G,MATCH("Rev Exp Bal"&amp;CELL("address",E18),Validation!I:I,0)),"")</f>
        <v/>
      </c>
      <c r="F18" s="66" t="str">
        <f ca="1">IFERROR(INDEX(Validation!F:F,MATCH("Rev Exp Bal"&amp;CELL("address",E18),Validation!I:I,0)),"")</f>
        <v/>
      </c>
    </row>
    <row r="19" spans="1:6" x14ac:dyDescent="0.25">
      <c r="A19" s="77" t="s">
        <v>334</v>
      </c>
      <c r="B19" s="175"/>
      <c r="C19" s="175"/>
      <c r="D19" s="175"/>
      <c r="E19" s="77" t="str">
        <f ca="1">IFERROR(INDEX(Validation!G:G,MATCH("Rev Exp Bal"&amp;CELL("address",E19),Validation!I:I,0)),"")</f>
        <v/>
      </c>
      <c r="F19" s="66" t="str">
        <f ca="1">IFERROR(INDEX(Validation!F:F,MATCH("Rev Exp Bal"&amp;CELL("address",E19),Validation!I:I,0)),"")</f>
        <v/>
      </c>
    </row>
    <row r="20" spans="1:6" x14ac:dyDescent="0.25">
      <c r="A20" s="79" t="s">
        <v>336</v>
      </c>
      <c r="B20" s="94">
        <f>SUM(TIF_PaygAnnual_PrincipalPaidPriorAdj_Output)</f>
        <v>60888</v>
      </c>
      <c r="C20" s="94">
        <f>SUM(TIF_PaygAnnual_PrincipalPaid_Output)</f>
        <v>0</v>
      </c>
      <c r="D20" s="159">
        <f t="shared" ref="D20:D25" si="1">IFERROR(SUM(B20:C20),"")</f>
        <v>60888</v>
      </c>
      <c r="E20" s="77" t="str">
        <f ca="1">IFERROR(INDEX(Validation!G:G,MATCH("Rev Exp Bal"&amp;CELL("address",E20),Validation!I:I,0)),"")</f>
        <v/>
      </c>
      <c r="F20" s="66" t="str">
        <f ca="1">IFERROR(INDEX(Validation!F:F,MATCH("Rev Exp Bal"&amp;CELL("address",E20),Validation!I:I,0)),"")</f>
        <v/>
      </c>
    </row>
    <row r="21" spans="1:6" x14ac:dyDescent="0.25">
      <c r="A21" s="79" t="s">
        <v>337</v>
      </c>
      <c r="B21" s="94">
        <f>SUM('Bond Output'!TIF_DebtAnnual_PrincipalPaidTiPriorAdj_Output)</f>
        <v>38220</v>
      </c>
      <c r="C21" s="94">
        <f>SUM('Bond Output'!TIF_DebtAnnual_PrincipalPaidTI_Output)</f>
        <v>0</v>
      </c>
      <c r="D21" s="159">
        <f t="shared" si="1"/>
        <v>38220</v>
      </c>
      <c r="E21" s="77" t="str">
        <f ca="1">IFERROR(INDEX(Validation!G:G,MATCH("Rev Exp Bal"&amp;CELL("address",E21),Validation!I:I,0)),"")</f>
        <v/>
      </c>
      <c r="F21" s="66" t="str">
        <f ca="1">IFERROR(INDEX(Validation!F:F,MATCH("Rev Exp Bal"&amp;CELL("address",E21),Validation!I:I,0)),"")</f>
        <v/>
      </c>
    </row>
    <row r="22" spans="1:6" x14ac:dyDescent="0.25">
      <c r="A22" s="79" t="s">
        <v>338</v>
      </c>
      <c r="B22" s="94">
        <f>SUM(TIF_PaygAnnual_InterestPaidPriorAdj_Output)</f>
        <v>0</v>
      </c>
      <c r="C22" s="94">
        <f>SUM(TIF_PaygAnnual_InterestPaid_Output)</f>
        <v>0</v>
      </c>
      <c r="D22" s="159">
        <f t="shared" si="1"/>
        <v>0</v>
      </c>
      <c r="E22" s="77" t="str">
        <f ca="1">IFERROR(INDEX(Validation!G:G,MATCH("Rev Exp Bal"&amp;CELL("address",E22),Validation!I:I,0)),"")</f>
        <v/>
      </c>
      <c r="F22" s="66" t="str">
        <f ca="1">IFERROR(INDEX(Validation!F:F,MATCH("Rev Exp Bal"&amp;CELL("address",E22),Validation!I:I,0)),"")</f>
        <v/>
      </c>
    </row>
    <row r="23" spans="1:6" x14ac:dyDescent="0.25">
      <c r="A23" s="79" t="s">
        <v>339</v>
      </c>
      <c r="B23" s="94">
        <f>SUM('Bond Output'!TIF_DebtAnnual_InterestPaidTiPriorAdj_Output)</f>
        <v>81045</v>
      </c>
      <c r="C23" s="94">
        <f>SUM('Bond Output'!TIF_DebtAnnual_InterestPaidTI_Output)</f>
        <v>0</v>
      </c>
      <c r="D23" s="159">
        <f t="shared" si="1"/>
        <v>81045</v>
      </c>
      <c r="E23" s="77" t="str">
        <f ca="1">IFERROR(INDEX(Validation!G:G,MATCH("Rev Exp Bal"&amp;CELL("address",E23),Validation!I:I,0)),"")</f>
        <v/>
      </c>
      <c r="F23" s="66" t="str">
        <f ca="1">IFERROR(INDEX(Validation!F:F,MATCH("Rev Exp Bal"&amp;CELL("address",E23),Validation!I:I,0)),"")</f>
        <v/>
      </c>
    </row>
    <row r="24" spans="1:6" x14ac:dyDescent="0.25">
      <c r="A24" s="79" t="s">
        <v>340</v>
      </c>
      <c r="B24" s="94">
        <f ca="1">SUM('IFL Ouput'!TIF_InterfundLoanAnnual_InterestPaidPriorAdj_Output)</f>
        <v>11940</v>
      </c>
      <c r="C24" s="94">
        <f ca="1">SUM(TIF_InterfundLoanAnnual_InterestPaid_Ouput)</f>
        <v>0</v>
      </c>
      <c r="D24" s="159">
        <f t="shared" ca="1" si="1"/>
        <v>11940</v>
      </c>
      <c r="E24" s="77" t="str">
        <f ca="1">IFERROR(INDEX(Validation!G:G,MATCH("Rev Exp Bal"&amp;CELL("address",E24),Validation!I:I,0)),"")</f>
        <v/>
      </c>
      <c r="F24" s="66" t="str">
        <f ca="1">IFERROR(INDEX(Validation!F:F,MATCH("Rev Exp Bal"&amp;CELL("address",E24),Validation!I:I,0)),"")</f>
        <v/>
      </c>
    </row>
    <row r="25" spans="1:6" x14ac:dyDescent="0.25">
      <c r="A25" s="163" t="s">
        <v>341</v>
      </c>
      <c r="B25" s="159">
        <f ca="1">IFERROR(SUM(B18,B20:B24),"")</f>
        <v>192093</v>
      </c>
      <c r="C25" s="159">
        <f ca="1">IFERROR(SUM(C18,C20:C24),"")</f>
        <v>0</v>
      </c>
      <c r="D25" s="159">
        <f t="shared" ca="1" si="1"/>
        <v>192093</v>
      </c>
      <c r="E25" s="77" t="str">
        <f ca="1">IFERROR(INDEX(Validation!G:G,MATCH("Rev Exp Bal"&amp;CELL("address",E25),Validation!I:I,0)),"")</f>
        <v/>
      </c>
      <c r="F25" s="66" t="str">
        <f ca="1">IFERROR(INDEX(Validation!F:F,MATCH("Rev Exp Bal"&amp;CELL("address",E25),Validation!I:I,0)),"")</f>
        <v/>
      </c>
    </row>
    <row r="26" spans="1:6" ht="20.100000000000001" customHeight="1" x14ac:dyDescent="0.25">
      <c r="A26" s="74" t="s">
        <v>342</v>
      </c>
      <c r="B26" s="159">
        <f ca="1">IFERROR(B15-B25,"")</f>
        <v>408027</v>
      </c>
      <c r="C26" s="159">
        <f ca="1">IFERROR(C15-C25,"")</f>
        <v>0</v>
      </c>
      <c r="D26" s="159">
        <f ca="1">IFERROR(SUM(B26:C26),"")</f>
        <v>408027</v>
      </c>
      <c r="E26" s="77" t="str">
        <f ca="1">IFERROR(INDEX(Validation!G:G,MATCH("Rev Exp Bal"&amp;CELL("address",E26),Validation!I:I,0)),"")</f>
        <v/>
      </c>
      <c r="F26" s="66" t="str">
        <f ca="1">IFERROR(INDEX(Validation!F:F,MATCH("Rev Exp Bal"&amp;CELL("address",E26),Validation!I:I,0)),"")</f>
        <v/>
      </c>
    </row>
    <row r="27" spans="1:6" ht="20.100000000000001" customHeight="1" x14ac:dyDescent="0.25">
      <c r="A27" s="74" t="s">
        <v>343</v>
      </c>
      <c r="B27" s="175"/>
      <c r="C27" s="175"/>
      <c r="D27" s="175"/>
      <c r="E27" s="77" t="str">
        <f ca="1">IFERROR(INDEX(Validation!G:G,MATCH("Rev Exp Bal"&amp;CELL("address",E27),Validation!I:I,0)),"")</f>
        <v/>
      </c>
      <c r="F27" s="66" t="str">
        <f ca="1">IFERROR(INDEX(Validation!F:F,MATCH("Rev Exp Bal"&amp;CELL("address",E27),Validation!I:I,0)),"")</f>
        <v/>
      </c>
    </row>
    <row r="28" spans="1:6" x14ac:dyDescent="0.25">
      <c r="A28" s="79" t="s">
        <v>344</v>
      </c>
      <c r="B28" s="94">
        <f>Transfers!B31</f>
        <v>0</v>
      </c>
      <c r="C28" s="94">
        <f>Transfers!C31</f>
        <v>0</v>
      </c>
      <c r="D28" s="159">
        <f t="shared" ref="D28:D37" si="2">IFERROR(SUM(B28:C28),"")</f>
        <v>0</v>
      </c>
      <c r="E28" s="77" t="str">
        <f ca="1">IFERROR(INDEX(Validation!G:G,MATCH("Rev Exp Bal"&amp;CELL("address",E28),Validation!I:I,0)),"")</f>
        <v/>
      </c>
      <c r="F28" s="66" t="str">
        <f ca="1">IFERROR(INDEX(Validation!F:F,MATCH("Rev Exp Bal"&amp;CELL("address",E28),Validation!I:I,0)),"")</f>
        <v/>
      </c>
    </row>
    <row r="29" spans="1:6" x14ac:dyDescent="0.25">
      <c r="A29" s="79" t="s">
        <v>345</v>
      </c>
      <c r="B29" s="94">
        <f>Transfers!E31</f>
        <v>0</v>
      </c>
      <c r="C29" s="94">
        <f>Transfers!F31</f>
        <v>0</v>
      </c>
      <c r="D29" s="159">
        <f t="shared" si="2"/>
        <v>0</v>
      </c>
      <c r="E29" s="77" t="str">
        <f ca="1">IFERROR(INDEX(Validation!G:G,MATCH("Rev Exp Bal"&amp;CELL("address",E29),Validation!I:I,0)),"")</f>
        <v/>
      </c>
      <c r="F29" s="66" t="str">
        <f ca="1">IFERROR(INDEX(Validation!F:F,MATCH("Rev Exp Bal"&amp;CELL("address",E29),Validation!I:I,0)),"")</f>
        <v/>
      </c>
    </row>
    <row r="30" spans="1:6" ht="15" customHeight="1" x14ac:dyDescent="0.25">
      <c r="A30" s="79" t="s">
        <v>346</v>
      </c>
      <c r="B30" s="94">
        <f>SUMIFS('Bond Output'!TIF_Debt_IssueAmt_Output,'Bond Output'!TIF_Debt_RefundingInd_Output,"No",'Bond Output'!TIF_Debt_IssueDate_Output,"&lt;"&amp;DATE(Year_DestinationYearID,1,1),'Bond Output'!TIF_DebtType_TypeName_Output,"&lt;&gt;Non-TIF Bond")+TIF_Adjustments2010_DebtNonRefBondsIssued</f>
        <v>350000</v>
      </c>
      <c r="C30" s="94">
        <f>SUMIFS('Bond Output'!TIF_Debt_IssueAmt_Output,'Bond Output'!TIF_Debt_RefundingInd_Output,"No",'Bond Output'!TIF_Debt_IssueDate_Output,"&gt;="&amp;DATE(Year_DestinationYearID,1,1),'Bond Output'!TIF_DebtType_TypeName_Output,"&lt;&gt;Non-TIF Bond")</f>
        <v>0</v>
      </c>
      <c r="D30" s="159">
        <f t="shared" si="2"/>
        <v>350000</v>
      </c>
      <c r="E30" s="77" t="str">
        <f ca="1">IFERROR(INDEX(Validation!G:G,MATCH("Rev Exp Bal"&amp;CELL("address",E30),Validation!I:I,0)),"")</f>
        <v/>
      </c>
      <c r="F30" s="66" t="str">
        <f ca="1">IFERROR(INDEX(Validation!F:F,MATCH("Rev Exp Bal"&amp;CELL("address",E30),Validation!I:I,0)),"")</f>
        <v/>
      </c>
    </row>
    <row r="31" spans="1:6" x14ac:dyDescent="0.25">
      <c r="A31" s="79" t="s">
        <v>261</v>
      </c>
      <c r="B31" s="94">
        <f>SUMIFS('Bond Output'!TIF_Debt_IssueAmt_Output,'Bond Output'!TIF_Debt_RefundingInd_Output,"Yes",'Bond Output'!TIF_Debt_IssueDate_Output,"&lt;"&amp;DATE(Year_DestinationYearID,1,1),'Bond Output'!TIF_DebtType_TypeName_Output,"&lt;&gt;Non-TIF Bond")+TIF_Adjustments2010_DebtRefBondsIssued</f>
        <v>0</v>
      </c>
      <c r="C31" s="94">
        <f>SUMIFS('Bond Output'!TIF_Debt_IssueAmt_Output,'Bond Output'!TIF_Debt_RefundingInd_Output,"Yes",'Bond Output'!TIF_Debt_IssueDate_Output,"&gt;="&amp;DATE(Year_DestinationYearID,1,1),'Bond Output'!TIF_DebtType_TypeName_Output,"&lt;&gt;Non-TIF Bond")</f>
        <v>0</v>
      </c>
      <c r="D31" s="159">
        <f t="shared" si="2"/>
        <v>0</v>
      </c>
      <c r="E31" s="77" t="str">
        <f ca="1">IFERROR(INDEX(Validation!G:G,MATCH("Rev Exp Bal"&amp;CELL("address",E31),Validation!I:I,0)),"")</f>
        <v/>
      </c>
      <c r="F31" s="66" t="str">
        <f ca="1">IFERROR(INDEX(Validation!F:F,MATCH("Rev Exp Bal"&amp;CELL("address",E31),Validation!I:I,0)),"")</f>
        <v/>
      </c>
    </row>
    <row r="32" spans="1:6" x14ac:dyDescent="0.25">
      <c r="A32" s="79" t="s">
        <v>351</v>
      </c>
      <c r="B32" s="94">
        <f>SUMIFS('Bond Output'!TIF_DebtAnnual_RefundedAmt_Output,'Bond Output'!TIF_Debt_IssueDate_Output,"&lt;"&amp;DATE(Year_DestinationYearID,1,1),'Bond Output'!TIF_DebtType_TypeName_Output,"&lt;&gt;Non-TIF Bond")</f>
        <v>0</v>
      </c>
      <c r="C32" s="94">
        <f>SUMIFS('Bond Output'!TIF_DebtAnnual_RefundedAmt_Output,'Bond Output'!TIF_Debt_IssueDate_Output,"&gt;="&amp;DATE(Year_DestinationYearID,1,1),'Bond Output'!TIF_DebtType_TypeName_Output,"&lt;&gt;Non-TIF Bond")</f>
        <v>0</v>
      </c>
      <c r="D32" s="159">
        <f t="shared" si="2"/>
        <v>0</v>
      </c>
      <c r="E32" s="77" t="str">
        <f ca="1">IFERROR(INDEX(Validation!G:G,MATCH("Rev Exp Bal"&amp;CELL("address",E32),Validation!I:I,0)),"")</f>
        <v/>
      </c>
      <c r="F32" s="66" t="str">
        <f ca="1">IFERROR(INDEX(Validation!F:F,MATCH("Rev Exp Bal"&amp;CELL("address",E32),Validation!I:I,0)),"")</f>
        <v/>
      </c>
    </row>
    <row r="33" spans="1:9" x14ac:dyDescent="0.25">
      <c r="A33" s="79" t="s">
        <v>350</v>
      </c>
      <c r="B33" s="94">
        <f>SUMIFS(TIF_Debt_BondDiscount_Output,'Bond Output'!TIF_Debt_IssueDate_Output,"&lt;"&amp;DATE(Year_DestinationYearID,1,1),'Bond Output'!TIF_DebtType_TypeName_Output,"&lt;&gt;Non-TIF Bond")</f>
        <v>0</v>
      </c>
      <c r="C33" s="94">
        <f>SUMIFS(TIF_Debt_BondDiscount_Output,'Bond Output'!TIF_Debt_IssueDate_Output,"&gt;="&amp;DATE(Year_DestinationYearID,1,1),'Bond Output'!TIF_DebtType_TypeName_Output,"&lt;&gt;Non-TIF Bond")</f>
        <v>0</v>
      </c>
      <c r="D33" s="159">
        <f t="shared" si="2"/>
        <v>0</v>
      </c>
      <c r="E33" s="77" t="str">
        <f ca="1">IFERROR(INDEX(Validation!G:G,MATCH("Rev Exp Bal"&amp;CELL("address",E33),Validation!I:I,0)),"")</f>
        <v/>
      </c>
      <c r="F33" s="66" t="str">
        <f ca="1">IFERROR(INDEX(Validation!F:F,MATCH("Rev Exp Bal"&amp;CELL("address",E33),Validation!I:I,0)),"")</f>
        <v/>
      </c>
    </row>
    <row r="34" spans="1:9" x14ac:dyDescent="0.25">
      <c r="A34" s="79" t="s">
        <v>347</v>
      </c>
      <c r="B34" s="94">
        <f>SUMIFS(TIF_Debt_BondPremium_Output,'Bond Output'!TIF_Debt_IssueDate_Output,"&lt;"&amp;DATE(Year_DestinationYearID,1,1),'Bond Output'!TIF_DebtType_TypeName_Output,"&lt;&gt;Non-TIF Bond")</f>
        <v>0</v>
      </c>
      <c r="C34" s="94">
        <f>SUMIFS(TIF_Debt_BondPremium_Output,'Bond Output'!TIF_Debt_IssueDate_Output,"&gt;="&amp;DATE(Year_DestinationYearID,1,1),'Bond Output'!TIF_DebtType_TypeName_Output,"&lt;&gt;Non-TIF Bond")</f>
        <v>0</v>
      </c>
      <c r="D34" s="159">
        <f t="shared" si="2"/>
        <v>0</v>
      </c>
      <c r="E34" s="77" t="str">
        <f ca="1">IFERROR(INDEX(Validation!G:G,MATCH("Rev Exp Bal"&amp;CELL("address",E34),Validation!I:I,0)),"")</f>
        <v/>
      </c>
      <c r="F34" s="66" t="str">
        <f ca="1">IFERROR(INDEX(Validation!F:F,MATCH("Rev Exp Bal"&amp;CELL("address",E34),Validation!I:I,0)),"")</f>
        <v/>
      </c>
    </row>
    <row r="35" spans="1:9" x14ac:dyDescent="0.25">
      <c r="A35" s="79" t="s">
        <v>349</v>
      </c>
      <c r="B35" s="94">
        <f>Returned!B11</f>
        <v>0</v>
      </c>
      <c r="C35" s="94">
        <f>Returned!C11</f>
        <v>0</v>
      </c>
      <c r="D35" s="159">
        <f t="shared" si="2"/>
        <v>0</v>
      </c>
      <c r="E35" s="77" t="str">
        <f ca="1">IFERROR(INDEX(Validation!G:G,MATCH("Rev Exp Bal"&amp;CELL("address",E35),Validation!I:I,0)),"")</f>
        <v/>
      </c>
      <c r="F35" s="66" t="str">
        <f ca="1">IFERROR(INDEX(Validation!F:F,MATCH("Rev Exp Bal"&amp;CELL("address",E35),Validation!I:I,0)),"")</f>
        <v/>
      </c>
    </row>
    <row r="36" spans="1:9" x14ac:dyDescent="0.25">
      <c r="A36" s="79" t="s">
        <v>348</v>
      </c>
      <c r="B36" s="104">
        <f>TIF_DistrictYear_OtherSourcesUsesPriorAdj_Input</f>
        <v>0</v>
      </c>
      <c r="C36" s="104"/>
      <c r="D36" s="159">
        <f t="shared" si="2"/>
        <v>0</v>
      </c>
      <c r="E36" s="77" t="str">
        <f ca="1">IFERROR(INDEX(Validation!G:G,MATCH("Rev Exp Bal"&amp;CELL("address",E36),Validation!I:I,0)),"")</f>
        <v>Entry required.</v>
      </c>
      <c r="F36" s="66" t="str">
        <f ca="1">IFERROR(INDEX(Validation!F:F,MATCH("Rev Exp Bal"&amp;CELL("address",E36),Validation!I:I,0)),"")</f>
        <v>Error</v>
      </c>
      <c r="G36" s="85"/>
      <c r="H36" s="160">
        <f>TIF_DistrictYear_OtherSourcesUsesPriorAdj_Entry</f>
        <v>0</v>
      </c>
      <c r="I36" s="161" t="s">
        <v>1162</v>
      </c>
    </row>
    <row r="37" spans="1:9" x14ac:dyDescent="0.25">
      <c r="A37" s="163" t="s">
        <v>352</v>
      </c>
      <c r="B37" s="159">
        <f>IFERROR(SUM(B28:B36),"")</f>
        <v>350000</v>
      </c>
      <c r="C37" s="159">
        <f>IFERROR(SUM(C28:C36),"")</f>
        <v>0</v>
      </c>
      <c r="D37" s="159">
        <f t="shared" si="2"/>
        <v>350000</v>
      </c>
      <c r="E37" s="77" t="str">
        <f ca="1">IFERROR(INDEX(Validation!G:G,MATCH("Rev Exp Bal"&amp;CELL("address",E37),Validation!I:I,0)),"")</f>
        <v/>
      </c>
      <c r="F37" s="66" t="str">
        <f ca="1">IFERROR(INDEX(Validation!F:F,MATCH("Rev Exp Bal"&amp;CELL("address",E37),Validation!I:I,0)),"")</f>
        <v/>
      </c>
    </row>
    <row r="38" spans="1:9" ht="20.100000000000001" customHeight="1" x14ac:dyDescent="0.25">
      <c r="A38" s="74" t="s">
        <v>353</v>
      </c>
      <c r="B38" s="159">
        <f ca="1">IFERROR(SUM(B26,B37),"")</f>
        <v>758027</v>
      </c>
      <c r="C38" s="159">
        <f ca="1">IFERROR(SUM(C26,C37),"")</f>
        <v>0</v>
      </c>
      <c r="D38" s="159">
        <f ca="1">IFERROR(SUM(D26,D37),"")</f>
        <v>758027</v>
      </c>
      <c r="E38" s="77" t="str">
        <f ca="1">IFERROR(INDEX(Validation!G:G,MATCH("Rev Exp Bal"&amp;CELL("address",E38),Validation!I:I,0)),"")</f>
        <v/>
      </c>
      <c r="F38" s="66" t="str">
        <f ca="1">IFERROR(INDEX(Validation!F:F,MATCH("Rev Exp Bal"&amp;CELL("address",E38),Validation!I:I,0)),"")</f>
        <v/>
      </c>
    </row>
    <row r="39" spans="1:9" ht="20.100000000000001" customHeight="1" x14ac:dyDescent="0.25">
      <c r="A39" s="74" t="s">
        <v>354</v>
      </c>
      <c r="C39" s="159">
        <f ca="1">B38</f>
        <v>758027</v>
      </c>
      <c r="E39" s="77" t="str">
        <f ca="1">IFERROR(INDEX(Validation!G:G,MATCH("Rev Exp Bal"&amp;CELL("address",E39),Validation!I:I,0)),"")</f>
        <v/>
      </c>
      <c r="F39" s="66" t="str">
        <f ca="1">IFERROR(INDEX(Validation!F:F,MATCH("Rev Exp Bal"&amp;CELL("address",E39),Validation!I:I,0)),"")</f>
        <v/>
      </c>
    </row>
    <row r="40" spans="1:9" ht="20.100000000000001" customHeight="1" x14ac:dyDescent="0.25">
      <c r="A40" s="74" t="s">
        <v>355</v>
      </c>
      <c r="C40" s="159">
        <f ca="1">C38+C39</f>
        <v>758027</v>
      </c>
      <c r="E40" s="77" t="str">
        <f ca="1">IFERROR(INDEX(Validation!G:G,MATCH("Rev Exp Bal"&amp;CELL("address",E40),Validation!I:I,0)),"")</f>
        <v/>
      </c>
      <c r="F40" s="66" t="str">
        <f ca="1">IFERROR(INDEX(Validation!F:F,MATCH("Rev Exp Bal"&amp;CELL("address",E40),Validation!I:I,0)),"")</f>
        <v/>
      </c>
    </row>
    <row r="41" spans="1:9" ht="20.100000000000001" customHeight="1" x14ac:dyDescent="0.25">
      <c r="A41" s="97" t="s">
        <v>176</v>
      </c>
      <c r="E41" s="77" t="str">
        <f ca="1">IFERROR(INDEX(Validation!G:G,MATCH("Rev Exp Bal"&amp;CELL("address",E41),Validation!I:I,0)),"")</f>
        <v/>
      </c>
      <c r="F41" s="66" t="str">
        <f ca="1">IFERROR(INDEX(Validation!F:F,MATCH("Rev Exp Bal"&amp;CELL("address",E41),Validation!I:I,0)),"")</f>
        <v/>
      </c>
    </row>
    <row r="42" spans="1:9" ht="150" customHeight="1" x14ac:dyDescent="0.25">
      <c r="A42" s="164"/>
      <c r="B42" s="143" t="str">
        <f>HYPERLINK("#'Bal Sheet'!A7","Click here to continue to the Bal Sheet Tab")</f>
        <v>Click here to continue to the Bal Sheet Tab</v>
      </c>
      <c r="E42" s="77" t="str">
        <f ca="1">IFERROR(INDEX(Validation!G:G,MATCH("Rev Exp Bal"&amp;CELL("address",E42),Validation!I:I,0)),"")</f>
        <v/>
      </c>
      <c r="F42" s="66" t="str">
        <f ca="1">IFERROR(INDEX(Validation!F:F,MATCH("Rev Exp Bal"&amp;CELL("address",E42),Validation!I:I,0)),"")</f>
        <v/>
      </c>
    </row>
    <row r="84" spans="11:11" x14ac:dyDescent="0.25">
      <c r="K84" s="148"/>
    </row>
  </sheetData>
  <sheetProtection algorithmName="SHA-512" hashValue="zcAvv5znqCYjX3KG0OVi8+/d2xD2kpeZo4IPvAOnTEazQq/xba5tIp+DcWuLYfnXhDdejjJzkeGuSA7h+CcZ6A==" saltValue="RsErb4sDF0ZO5Cfir8RRug==" spinCount="100000" sheet="1" objects="1" scenarios="1"/>
  <mergeCells count="1">
    <mergeCell ref="A4:F4"/>
  </mergeCells>
  <phoneticPr fontId="7" type="noConversion"/>
  <conditionalFormatting sqref="E1:F3 E5:F1048576">
    <cfRule type="expression" dxfId="544" priority="4">
      <formula>$F1="Information"</formula>
    </cfRule>
    <cfRule type="expression" dxfId="543" priority="5">
      <formula>$F1="Error"</formula>
    </cfRule>
    <cfRule type="expression" dxfId="542" priority="6">
      <formula>$F1="Alert"</formula>
    </cfRule>
    <cfRule type="expression" dxfId="541" priority="7">
      <formula>$F1="Exclude"</formula>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3" id="{200A5EB7-593F-4173-83FF-84358BECEE48}">
            <xm:f>COUNTIFS(Validation!$H:$H,MID(CELL("filename",A1),FIND("]",CELL("filename",A1))+1,255)&amp;CELL("address",A1))&gt;0</xm:f>
            <x14:dxf>
              <font>
                <b/>
                <i val="0"/>
                <color rgb="FFC00000"/>
              </font>
              <numFmt numFmtId="173" formatCode="_(\!_$* #,##0_);_(\!_$* \(#,##0\);_(\!_$* \-??_);_(\!\ @_)"/>
            </x14:dxf>
          </x14:cfRule>
          <xm:sqref>A1:D3 A4 A5:D1048576</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A089FC-44FD-4E7D-B666-B7C0BA846728}">
  <dimension ref="A1:H38"/>
  <sheetViews>
    <sheetView showGridLines="0" workbookViewId="0">
      <selection activeCell="B7" sqref="B7"/>
    </sheetView>
  </sheetViews>
  <sheetFormatPr defaultRowHeight="15" x14ac:dyDescent="0.25"/>
  <cols>
    <col min="1" max="1" width="55.7109375" style="66" customWidth="1"/>
    <col min="2" max="3" width="20.7109375" style="66" customWidth="1"/>
    <col min="4" max="4" width="80.85546875" style="66" customWidth="1"/>
    <col min="5" max="5" width="14.7109375" style="66" customWidth="1"/>
    <col min="6" max="8" width="0" style="78" hidden="1" customWidth="1"/>
    <col min="9" max="16384" width="9.140625" style="66"/>
  </cols>
  <sheetData>
    <row r="1" spans="1:8" s="59" customFormat="1" ht="21" x14ac:dyDescent="0.25">
      <c r="A1" s="59" t="str">
        <f>_xlfn.CONCAT("Office of the State Auditor  -  TIF Annual Reporting Form  -  ",Year_DestinationYearID)</f>
        <v>Office of the State Auditor  -  TIF Annual Reporting Form  -  2024</v>
      </c>
      <c r="F1" s="61"/>
      <c r="G1" s="61"/>
      <c r="H1" s="61"/>
    </row>
    <row r="2" spans="1:8" s="62" customFormat="1" ht="20.100000000000001" customHeight="1" x14ac:dyDescent="0.25">
      <c r="A2" s="58" t="str">
        <f>_xlfn.CONCAT(GovEntity_GovEntityName_Parent,"  -  ",GovEntity_GovEntityName)</f>
        <v>Spruce City  -  TIF 1-1 Downtown Redev</v>
      </c>
      <c r="F2" s="64"/>
      <c r="G2" s="64"/>
      <c r="H2" s="64"/>
    </row>
    <row r="3" spans="1:8" s="68" customFormat="1" ht="24.95" customHeight="1" x14ac:dyDescent="0.3">
      <c r="A3" s="65" t="s">
        <v>375</v>
      </c>
      <c r="B3" s="66"/>
      <c r="C3" s="66"/>
      <c r="F3" s="69"/>
      <c r="G3" s="69"/>
      <c r="H3" s="69"/>
    </row>
    <row r="4" spans="1:8" s="71" customFormat="1" x14ac:dyDescent="0.25">
      <c r="A4" s="217" t="s">
        <v>1147</v>
      </c>
      <c r="B4" s="215"/>
      <c r="C4" s="215"/>
      <c r="D4" s="215"/>
      <c r="E4" s="215"/>
      <c r="F4" s="72" t="s">
        <v>119</v>
      </c>
      <c r="G4" s="72" t="s">
        <v>119</v>
      </c>
      <c r="H4" s="72" t="s">
        <v>119</v>
      </c>
    </row>
    <row r="5" spans="1:8" s="74" customFormat="1" ht="19.5" customHeight="1" x14ac:dyDescent="0.25">
      <c r="A5" s="73" t="str">
        <f>HYPERLINK("#'EIC'!A7","Click here to continue to the EIC Tab")</f>
        <v>Click here to continue to the EIC Tab</v>
      </c>
      <c r="B5" s="180" t="str">
        <f>"12/31/"&amp;Year_DestinationYearID-1</f>
        <v>12/31/2023</v>
      </c>
      <c r="C5" s="180" t="str">
        <f>"12/31/"&amp;Year_DestinationYearID</f>
        <v>12/31/2024</v>
      </c>
      <c r="D5" s="74" t="s">
        <v>121</v>
      </c>
      <c r="E5" s="74" t="s">
        <v>102</v>
      </c>
      <c r="F5" s="76" t="s">
        <v>475</v>
      </c>
      <c r="G5" s="76" t="s">
        <v>476</v>
      </c>
      <c r="H5" s="76" t="s">
        <v>484</v>
      </c>
    </row>
    <row r="6" spans="1:8" ht="20.100000000000001" customHeight="1" x14ac:dyDescent="0.25">
      <c r="A6" s="74" t="s">
        <v>356</v>
      </c>
      <c r="D6" s="77" t="str">
        <f ca="1">IFERROR(INDEX(Validation!G:G,MATCH("Bal Sheet"&amp;CELL("address",D6),Validation!I:I,0)),"")</f>
        <v xml:space="preserve">Complete entry of all rows on this tab. (Enter zero when appropriate.) </v>
      </c>
      <c r="E6" s="66" t="str">
        <f ca="1">IFERROR(INDEX(Validation!F:F,MATCH("Bal Sheet"&amp;CELL("address",D6),Validation!I:I,0)),"")</f>
        <v>Error</v>
      </c>
    </row>
    <row r="7" spans="1:8" x14ac:dyDescent="0.25">
      <c r="A7" s="79" t="s">
        <v>357</v>
      </c>
      <c r="B7" s="104">
        <f>TIF_DistrictYear_AssetsCashPriorAdj_Input</f>
        <v>331596</v>
      </c>
      <c r="C7" s="104"/>
      <c r="D7" s="77" t="str">
        <f ca="1">IFERROR(INDEX(Validation!G:G,MATCH("Bal Sheet"&amp;CELL("address",D7),Validation!I:I,0)),"")</f>
        <v/>
      </c>
      <c r="E7" s="66" t="str">
        <f ca="1">IFERROR(INDEX(Validation!F:F,MATCH("Bal Sheet"&amp;CELL("address",D7),Validation!I:I,0)),"")</f>
        <v/>
      </c>
      <c r="F7" s="85">
        <v>331596</v>
      </c>
      <c r="G7" s="85">
        <f>TIF_DistrictYear_AssetsCashPriorAdj_Entry</f>
        <v>331596</v>
      </c>
      <c r="H7" s="86" t="s">
        <v>1520</v>
      </c>
    </row>
    <row r="8" spans="1:8" x14ac:dyDescent="0.25">
      <c r="A8" s="79" t="s">
        <v>358</v>
      </c>
      <c r="B8" s="104">
        <f>TIF_DistrictYear_AssetsInvestmentsPriorAdj_Input</f>
        <v>0</v>
      </c>
      <c r="C8" s="104"/>
      <c r="D8" s="77" t="str">
        <f ca="1">IFERROR(INDEX(Validation!G:G,MATCH("Bal Sheet"&amp;CELL("address",D8),Validation!I:I,0)),"")</f>
        <v/>
      </c>
      <c r="E8" s="66" t="str">
        <f ca="1">IFERROR(INDEX(Validation!F:F,MATCH("Bal Sheet"&amp;CELL("address",D8),Validation!I:I,0)),"")</f>
        <v/>
      </c>
      <c r="F8" s="85">
        <v>0</v>
      </c>
      <c r="G8" s="85">
        <f>TIF_DistrictYear_AssetsInvestmentsPriorAdj_Entry</f>
        <v>0</v>
      </c>
      <c r="H8" s="86" t="s">
        <v>1521</v>
      </c>
    </row>
    <row r="9" spans="1:8" x14ac:dyDescent="0.25">
      <c r="A9" s="79" t="s">
        <v>359</v>
      </c>
      <c r="B9" s="94">
        <f ca="1">SUMIF(TIF_InterfundLoanType_TypeName_Output,"tod",TIF_InterfundLoanAnnual_PrincipalOutstandingPriorAdj_Ouput)</f>
        <v>0</v>
      </c>
      <c r="C9" s="94">
        <f ca="1">SUMIF(TIF_InterfundLoanType_TypeName_Output,"tod",TIF_InterfundLoanAnnual_PrincipalOutstanding_Ouput)</f>
        <v>0</v>
      </c>
      <c r="D9" s="77" t="str">
        <f ca="1">IFERROR(INDEX(Validation!G:G,MATCH("Bal Sheet"&amp;CELL("address",D9),Validation!I:I,0)),"")</f>
        <v/>
      </c>
      <c r="E9" s="66" t="str">
        <f ca="1">IFERROR(INDEX(Validation!F:F,MATCH("Bal Sheet"&amp;CELL("address",D9),Validation!I:I,0)),"")</f>
        <v/>
      </c>
    </row>
    <row r="10" spans="1:8" x14ac:dyDescent="0.25">
      <c r="A10" s="79" t="s">
        <v>368</v>
      </c>
      <c r="B10" s="94">
        <f ca="1">SUMIF(TIF_InterfundLoanType_TypeName_Output,"toa",TIF_InterfundLoanAnnual_PrincipalOutstandingPriorAdj_Ouput)</f>
        <v>0</v>
      </c>
      <c r="C10" s="94">
        <f ca="1">SUMIF(TIF_InterfundLoanType_TypeName_Output,"toa",TIF_InterfundLoanAnnual_PrincipalOutstanding_Ouput)</f>
        <v>0</v>
      </c>
      <c r="D10" s="77" t="str">
        <f ca="1">IFERROR(INDEX(Validation!G:G,MATCH("Bal Sheet"&amp;CELL("address",D10),Validation!I:I,0)),"")</f>
        <v/>
      </c>
      <c r="E10" s="66" t="str">
        <f ca="1">IFERROR(INDEX(Validation!F:F,MATCH("Bal Sheet"&amp;CELL("address",D10),Validation!I:I,0)),"")</f>
        <v/>
      </c>
    </row>
    <row r="11" spans="1:8" x14ac:dyDescent="0.25">
      <c r="A11" s="79" t="s">
        <v>360</v>
      </c>
      <c r="B11" s="104">
        <f>TIF_DistrictYear_AssetsInterestPriorAdj_Input</f>
        <v>0</v>
      </c>
      <c r="C11" s="104"/>
      <c r="D11" s="77" t="str">
        <f ca="1">IFERROR(INDEX(Validation!G:G,MATCH("Bal Sheet"&amp;CELL("address",D11),Validation!I:I,0)),"")</f>
        <v/>
      </c>
      <c r="E11" s="66" t="str">
        <f ca="1">IFERROR(INDEX(Validation!F:F,MATCH("Bal Sheet"&amp;CELL("address",D11),Validation!I:I,0)),"")</f>
        <v/>
      </c>
      <c r="F11" s="85">
        <v>0</v>
      </c>
      <c r="G11" s="85">
        <f>TIF_DistrictYear_AssetsInterestPriorAdj_Entry</f>
        <v>0</v>
      </c>
      <c r="H11" s="86" t="s">
        <v>1522</v>
      </c>
    </row>
    <row r="12" spans="1:8" x14ac:dyDescent="0.25">
      <c r="A12" s="79" t="s">
        <v>361</v>
      </c>
      <c r="B12" s="104">
        <f>TIF_DistrictYear_AssetsTaxesPriorAdj_Input</f>
        <v>0</v>
      </c>
      <c r="C12" s="104"/>
      <c r="D12" s="77" t="str">
        <f ca="1">IFERROR(INDEX(Validation!G:G,MATCH("Bal Sheet"&amp;CELL("address",D12),Validation!I:I,0)),"")</f>
        <v/>
      </c>
      <c r="E12" s="66" t="str">
        <f ca="1">IFERROR(INDEX(Validation!F:F,MATCH("Bal Sheet"&amp;CELL("address",D12),Validation!I:I,0)),"")</f>
        <v/>
      </c>
      <c r="F12" s="85">
        <v>0</v>
      </c>
      <c r="G12" s="85">
        <f>TIF_DistrictYear_AssetsTaxesPriorAdj_Entry</f>
        <v>0</v>
      </c>
      <c r="H12" s="86" t="s">
        <v>1523</v>
      </c>
    </row>
    <row r="13" spans="1:8" x14ac:dyDescent="0.25">
      <c r="A13" s="79" t="s">
        <v>362</v>
      </c>
      <c r="B13" s="104">
        <f>TIF_DistrictYear_AssetsOtherPriorAdj_Input</f>
        <v>0</v>
      </c>
      <c r="C13" s="104"/>
      <c r="D13" s="77" t="str">
        <f ca="1">IFERROR(INDEX(Validation!G:G,MATCH("Bal Sheet"&amp;CELL("address",D13),Validation!I:I,0)),"")</f>
        <v/>
      </c>
      <c r="E13" s="66" t="str">
        <f ca="1">IFERROR(INDEX(Validation!F:F,MATCH("Bal Sheet"&amp;CELL("address",D13),Validation!I:I,0)),"")</f>
        <v/>
      </c>
      <c r="F13" s="85">
        <v>0</v>
      </c>
      <c r="G13" s="85">
        <f>TIF_DistrictYear_AssetsOtherPriorAdj_Entry</f>
        <v>0</v>
      </c>
      <c r="H13" s="86" t="s">
        <v>1524</v>
      </c>
    </row>
    <row r="14" spans="1:8" x14ac:dyDescent="0.25">
      <c r="A14" s="79" t="s">
        <v>363</v>
      </c>
      <c r="B14" s="104">
        <f>TIF_DistrictYear_AssetsPropertyPriorAdj_Input</f>
        <v>0</v>
      </c>
      <c r="C14" s="104"/>
      <c r="D14" s="77" t="str">
        <f ca="1">IFERROR(INDEX(Validation!G:G,MATCH("Bal Sheet"&amp;CELL("address",D14),Validation!I:I,0)),"")</f>
        <v/>
      </c>
      <c r="E14" s="66" t="str">
        <f ca="1">IFERROR(INDEX(Validation!F:F,MATCH("Bal Sheet"&amp;CELL("address",D14),Validation!I:I,0)),"")</f>
        <v/>
      </c>
      <c r="F14" s="181">
        <v>0</v>
      </c>
      <c r="G14" s="181">
        <f>TIF_DistrictYear_AssetsPropertyPriorAdj_Entry</f>
        <v>0</v>
      </c>
      <c r="H14" s="86" t="s">
        <v>1525</v>
      </c>
    </row>
    <row r="15" spans="1:8" x14ac:dyDescent="0.25">
      <c r="A15" s="163" t="s">
        <v>364</v>
      </c>
      <c r="B15" s="159">
        <f ca="1">SUM(B7:B14)</f>
        <v>331596</v>
      </c>
      <c r="C15" s="159">
        <f ca="1">SUM(C7:C14)</f>
        <v>0</v>
      </c>
      <c r="D15" s="77" t="str">
        <f ca="1">IFERROR(INDEX(Validation!G:G,MATCH("Bal Sheet"&amp;CELL("address",D15),Validation!I:I,0)),"")</f>
        <v/>
      </c>
      <c r="E15" s="66" t="str">
        <f ca="1">IFERROR(INDEX(Validation!F:F,MATCH("Bal Sheet"&amp;CELL("address",D15),Validation!I:I,0)),"")</f>
        <v/>
      </c>
      <c r="F15" s="182"/>
      <c r="G15" s="182"/>
    </row>
    <row r="16" spans="1:8" ht="20.100000000000001" customHeight="1" x14ac:dyDescent="0.25">
      <c r="A16" s="74" t="s">
        <v>365</v>
      </c>
      <c r="D16" s="77" t="str">
        <f ca="1">IFERROR(INDEX(Validation!G:G,MATCH("Bal Sheet"&amp;CELL("address",D16),Validation!I:I,0)),"")</f>
        <v/>
      </c>
      <c r="E16" s="66" t="str">
        <f ca="1">IFERROR(INDEX(Validation!F:F,MATCH("Bal Sheet"&amp;CELL("address",D16),Validation!I:I,0)),"")</f>
        <v/>
      </c>
    </row>
    <row r="17" spans="1:8" x14ac:dyDescent="0.25">
      <c r="A17" s="79" t="s">
        <v>366</v>
      </c>
      <c r="B17" s="94">
        <f ca="1">SUMIF(TIF_InterfundLoanType_TypeName_Output,"fmd",TIF_InterfundLoanAnnual_PrincipalOutstandingPriorAdj_Ouput)</f>
        <v>0</v>
      </c>
      <c r="C17" s="94">
        <f ca="1">SUMIF(TIF_InterfundLoanType_TypeName_Output,"fmd",TIF_InterfundLoanAnnual_PrincipalOutstanding_Ouput)</f>
        <v>0</v>
      </c>
      <c r="D17" s="77" t="str">
        <f ca="1">IFERROR(INDEX(Validation!G:G,MATCH("Bal Sheet"&amp;CELL("address",D17),Validation!I:I,0)),"")</f>
        <v/>
      </c>
      <c r="E17" s="66" t="str">
        <f ca="1">IFERROR(INDEX(Validation!F:F,MATCH("Bal Sheet"&amp;CELL("address",D17),Validation!I:I,0)),"")</f>
        <v/>
      </c>
    </row>
    <row r="18" spans="1:8" x14ac:dyDescent="0.25">
      <c r="A18" s="79" t="s">
        <v>367</v>
      </c>
      <c r="B18" s="94">
        <f ca="1">SUMIF(TIF_InterfundLoanType_TypeName_Output,"fma",TIF_InterfundLoanAnnual_PrincipalOutstandingPriorAdj_Ouput)</f>
        <v>31841</v>
      </c>
      <c r="C18" s="94">
        <f ca="1">SUMIF(TIF_InterfundLoanType_TypeName_Output,"fma",TIF_InterfundLoanAnnual_PrincipalOutstanding_Ouput)</f>
        <v>31841</v>
      </c>
      <c r="D18" s="77" t="str">
        <f ca="1">IFERROR(INDEX(Validation!G:G,MATCH("Bal Sheet"&amp;CELL("address",D18),Validation!I:I,0)),"")</f>
        <v/>
      </c>
      <c r="E18" s="66" t="str">
        <f ca="1">IFERROR(INDEX(Validation!F:F,MATCH("Bal Sheet"&amp;CELL("address",D18),Validation!I:I,0)),"")</f>
        <v/>
      </c>
    </row>
    <row r="19" spans="1:8" x14ac:dyDescent="0.25">
      <c r="A19" s="79" t="s">
        <v>369</v>
      </c>
      <c r="B19" s="104">
        <f>TIF_DistrictYear_LiabilitiesAccountsPayablePriorAdj_Input</f>
        <v>0</v>
      </c>
      <c r="C19" s="104"/>
      <c r="D19" s="77" t="str">
        <f ca="1">IFERROR(INDEX(Validation!G:G,MATCH("Bal Sheet"&amp;CELL("address",D19),Validation!I:I,0)),"")</f>
        <v/>
      </c>
      <c r="E19" s="66" t="str">
        <f ca="1">IFERROR(INDEX(Validation!F:F,MATCH("Bal Sheet"&amp;CELL("address",D19),Validation!I:I,0)),"")</f>
        <v/>
      </c>
      <c r="F19" s="85">
        <v>0</v>
      </c>
      <c r="G19" s="85">
        <f>TIF_DistrictYear_LiabilitiesAccountsPayablePriorAdj_Entry</f>
        <v>0</v>
      </c>
      <c r="H19" s="86" t="s">
        <v>1526</v>
      </c>
    </row>
    <row r="20" spans="1:8" x14ac:dyDescent="0.25">
      <c r="A20" s="79" t="s">
        <v>370</v>
      </c>
      <c r="B20" s="104">
        <f>TIF_DistrictYear_LiabilitiesUnearnedRevenuePriorAdj_Input</f>
        <v>0</v>
      </c>
      <c r="C20" s="104"/>
      <c r="D20" s="77" t="str">
        <f ca="1">IFERROR(INDEX(Validation!G:G,MATCH("Bal Sheet"&amp;CELL("address",D20),Validation!I:I,0)),"")</f>
        <v/>
      </c>
      <c r="E20" s="66" t="str">
        <f ca="1">IFERROR(INDEX(Validation!F:F,MATCH("Bal Sheet"&amp;CELL("address",D20),Validation!I:I,0)),"")</f>
        <v/>
      </c>
      <c r="F20" s="85">
        <v>0</v>
      </c>
      <c r="G20" s="85">
        <f>TIF_DistrictYear_LiabilitiesUnearnedRevenuePriorAdj_Entry</f>
        <v>0</v>
      </c>
      <c r="H20" s="86" t="s">
        <v>1527</v>
      </c>
    </row>
    <row r="21" spans="1:8" x14ac:dyDescent="0.25">
      <c r="A21" s="163" t="s">
        <v>371</v>
      </c>
      <c r="B21" s="159">
        <f ca="1">SUM(B17:B20)</f>
        <v>31841</v>
      </c>
      <c r="C21" s="159">
        <f ca="1">SUM(C17:C20)</f>
        <v>31841</v>
      </c>
      <c r="D21" s="77" t="str">
        <f ca="1">IFERROR(INDEX(Validation!G:G,MATCH("Bal Sheet"&amp;CELL("address",D21),Validation!I:I,0)),"")</f>
        <v/>
      </c>
      <c r="E21" s="66" t="str">
        <f ca="1">IFERROR(INDEX(Validation!F:F,MATCH("Bal Sheet"&amp;CELL("address",D21),Validation!I:I,0)),"")</f>
        <v/>
      </c>
    </row>
    <row r="22" spans="1:8" ht="20.100000000000001" customHeight="1" x14ac:dyDescent="0.25">
      <c r="A22" s="74" t="s">
        <v>372</v>
      </c>
      <c r="D22" s="77" t="str">
        <f ca="1">IFERROR(INDEX(Validation!G:G,MATCH("Bal Sheet"&amp;CELL("address",D22),Validation!I:I,0)),"")</f>
        <v/>
      </c>
      <c r="E22" s="66" t="str">
        <f ca="1">IFERROR(INDEX(Validation!F:F,MATCH("Bal Sheet"&amp;CELL("address",D22),Validation!I:I,0)),"")</f>
        <v/>
      </c>
    </row>
    <row r="23" spans="1:8" ht="15" customHeight="1" x14ac:dyDescent="0.25">
      <c r="A23" s="79" t="s">
        <v>372</v>
      </c>
      <c r="B23" s="104">
        <f>TIF_DistrictYear_DeferredInflowsPriorAdj_Input</f>
        <v>0</v>
      </c>
      <c r="C23" s="104"/>
      <c r="D23" s="77" t="str">
        <f ca="1">IFERROR(INDEX(Validation!G:G,MATCH("Bal Sheet"&amp;CELL("address",D23),Validation!I:I,0)),"")</f>
        <v/>
      </c>
      <c r="E23" s="66" t="str">
        <f ca="1">IFERROR(INDEX(Validation!F:F,MATCH("Bal Sheet"&amp;CELL("address",D23),Validation!I:I,0)),"")</f>
        <v/>
      </c>
      <c r="F23" s="85">
        <v>0</v>
      </c>
      <c r="G23" s="85">
        <f>TIF_DistrictYear_DeferredInflowsPriorAdj_Entry</f>
        <v>0</v>
      </c>
      <c r="H23" s="86" t="s">
        <v>1528</v>
      </c>
    </row>
    <row r="24" spans="1:8" ht="15" customHeight="1" x14ac:dyDescent="0.25">
      <c r="A24" s="163" t="s">
        <v>1529</v>
      </c>
      <c r="B24" s="159">
        <f ca="1">B21+TIF_DistrictYear_DeferredInflowsPriorAdj_Entry</f>
        <v>31841</v>
      </c>
      <c r="C24" s="159">
        <f ca="1">C21+TIF_DistrictYear_DeferredInflowsPriorAdj_Entry</f>
        <v>31841</v>
      </c>
      <c r="D24" s="77" t="str">
        <f ca="1">IFERROR(INDEX(Validation!G:G,MATCH("Bal Sheet"&amp;CELL("address",D24),Validation!I:I,0)),"")</f>
        <v/>
      </c>
      <c r="E24" s="66" t="str">
        <f ca="1">IFERROR(INDEX(Validation!F:F,MATCH("Bal Sheet"&amp;CELL("address",D24),Validation!I:I,0)),"")</f>
        <v/>
      </c>
      <c r="H24" s="86"/>
    </row>
    <row r="25" spans="1:8" ht="20.100000000000001" customHeight="1" x14ac:dyDescent="0.25">
      <c r="A25" s="74" t="s">
        <v>373</v>
      </c>
      <c r="B25" s="94">
        <f ca="1">'Rev Exp Bal'!C39</f>
        <v>758027</v>
      </c>
      <c r="C25" s="94">
        <f ca="1">'Rev Exp Bal'!C40</f>
        <v>758027</v>
      </c>
      <c r="D25" s="77" t="str">
        <f ca="1">IFERROR(INDEX(Validation!G:G,MATCH("Bal Sheet"&amp;CELL("address",D25),Validation!I:I,0)),"")</f>
        <v/>
      </c>
      <c r="E25" s="66" t="str">
        <f ca="1">IFERROR(INDEX(Validation!F:F,MATCH("Bal Sheet"&amp;CELL("address",D25),Validation!I:I,0)),"")</f>
        <v/>
      </c>
    </row>
    <row r="26" spans="1:8" ht="20.100000000000001" customHeight="1" x14ac:dyDescent="0.25">
      <c r="A26" s="74" t="s">
        <v>374</v>
      </c>
      <c r="B26" s="159">
        <f ca="1">B24+B25</f>
        <v>789868</v>
      </c>
      <c r="C26" s="159">
        <f ca="1">C24+C25</f>
        <v>789868</v>
      </c>
      <c r="D26" s="77" t="str">
        <f ca="1">IFERROR(INDEX(Validation!G:G,MATCH("Bal Sheet"&amp;CELL("address",D26),Validation!I:I,0)),"")</f>
        <v>Total Assets must equal the Total Liab, Def. Infl., and Tax Incr. Balance for each year.</v>
      </c>
      <c r="E26" s="66" t="str">
        <f ca="1">IFERROR(INDEX(Validation!F:F,MATCH("Bal Sheet"&amp;CELL("address",D26),Validation!I:I,0)),"")</f>
        <v>Error</v>
      </c>
    </row>
    <row r="27" spans="1:8" ht="20.100000000000001" customHeight="1" x14ac:dyDescent="0.25">
      <c r="A27" s="97" t="s">
        <v>176</v>
      </c>
      <c r="D27" s="77" t="str">
        <f ca="1">IFERROR(INDEX(Validation!G:G,MATCH("Bal Sheet"&amp;CELL("address",D27),Validation!I:I,0)),"")</f>
        <v/>
      </c>
      <c r="E27" s="66" t="str">
        <f ca="1">IFERROR(INDEX(Validation!F:F,MATCH("Bal Sheet"&amp;CELL("address",D27),Validation!I:I,0)),"")</f>
        <v/>
      </c>
    </row>
    <row r="28" spans="1:8" ht="150" customHeight="1" x14ac:dyDescent="0.25">
      <c r="A28" s="164"/>
      <c r="B28" s="143" t="str">
        <f>HYPERLINK("#'EIC'!A7","Click here to continue to the EIC Tab")</f>
        <v>Click here to continue to the EIC Tab</v>
      </c>
      <c r="D28" s="77" t="str">
        <f ca="1">IFERROR(INDEX(Validation!G:G,MATCH("Bal Sheet"&amp;CELL("address",D28),Validation!I:I,0)),"")</f>
        <v/>
      </c>
      <c r="E28" s="66" t="str">
        <f ca="1">IFERROR(INDEX(Validation!F:F,MATCH("Bal Sheet"&amp;CELL("address",D28),Validation!I:I,0)),"")</f>
        <v/>
      </c>
    </row>
    <row r="38" spans="6:7" x14ac:dyDescent="0.25">
      <c r="F38" s="85"/>
      <c r="G38" s="85">
        <f>TIF_DistrictYear_OtherSourcesUsesPriorAdj_Entry</f>
        <v>0</v>
      </c>
    </row>
  </sheetData>
  <sheetProtection algorithmName="SHA-512" hashValue="j7RWRG+mM42dv8Sgw3A1uzyBDOgHoGDzHXegK9b6ZUFhOC1GXluIJu3Z6CIqsI5IkCml9EdTtnRkibqDyNsUow==" saltValue="PW38A+trrXzQjyrtDncyLw==" spinCount="100000" sheet="1" objects="1" scenarios="1"/>
  <mergeCells count="1">
    <mergeCell ref="A4:E4"/>
  </mergeCells>
  <conditionalFormatting sqref="D1:E3">
    <cfRule type="expression" dxfId="539" priority="29">
      <formula>$E1="Information"</formula>
    </cfRule>
    <cfRule type="expression" dxfId="538" priority="30">
      <formula>$E1="Error"</formula>
    </cfRule>
    <cfRule type="expression" dxfId="537" priority="31">
      <formula>$E1="Alert"</formula>
    </cfRule>
    <cfRule type="expression" dxfId="536" priority="32">
      <formula>$E1="Exclude"</formula>
    </cfRule>
  </conditionalFormatting>
  <conditionalFormatting sqref="D5:E1048576">
    <cfRule type="expression" dxfId="535" priority="1">
      <formula>$E5="Information"</formula>
    </cfRule>
    <cfRule type="expression" dxfId="534" priority="2">
      <formula>$E5="Error"</formula>
    </cfRule>
    <cfRule type="expression" dxfId="533" priority="3">
      <formula>$E5="Alert"</formula>
    </cfRule>
    <cfRule type="expression" dxfId="532" priority="4">
      <formula>$E5="Exclude"</formula>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0" id="{788E856C-4B11-4E4D-AC5D-E20D0A88E890}">
            <xm:f>COUNTIFS(Validation!$H:$H,MID(CELL("filename",B7),FIND("]",CELL("filename",B7))+1,255)&amp;CELL("address",B7))&gt;0</xm:f>
            <x14:dxf>
              <font>
                <b/>
                <i val="0"/>
                <color rgb="FFC00000"/>
              </font>
              <numFmt numFmtId="173" formatCode="_(\!_$* #,##0_);_(\!_$* \(#,##0\);_(\!_$* \-??_);_(\!\ @_)"/>
            </x14:dxf>
          </x14:cfRule>
          <xm:sqref>B7:C14 B17:C20 B23:C23 B25:C25</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CB19EA-EDD2-4FB2-AD75-6922BA65E8BA}">
  <dimension ref="A1:D29"/>
  <sheetViews>
    <sheetView showGridLines="0" zoomScaleNormal="100" workbookViewId="0"/>
  </sheetViews>
  <sheetFormatPr defaultRowHeight="15" x14ac:dyDescent="0.25"/>
  <cols>
    <col min="1" max="1" width="55.7109375" style="66" customWidth="1"/>
    <col min="2" max="2" width="20.7109375" style="66" customWidth="1"/>
    <col min="3" max="3" width="80.85546875" style="66" customWidth="1"/>
    <col min="4" max="4" width="14.7109375" style="66" customWidth="1"/>
    <col min="5" max="16384" width="9.140625" style="66"/>
  </cols>
  <sheetData>
    <row r="1" spans="1:4" s="59" customFormat="1" ht="21" x14ac:dyDescent="0.25">
      <c r="A1" s="59" t="str">
        <f>_xlfn.CONCAT("Office of the State Auditor  -  TIF Annual Reporting Form  -  ",Year_DestinationYearID)</f>
        <v>Office of the State Auditor  -  TIF Annual Reporting Form  -  2024</v>
      </c>
    </row>
    <row r="2" spans="1:4" s="62" customFormat="1" ht="20.100000000000001" customHeight="1" x14ac:dyDescent="0.25">
      <c r="A2" s="58" t="str">
        <f>_xlfn.CONCAT(GovEntity_GovEntityName_Parent,"  -  ",GovEntity_GovEntityName)</f>
        <v>Spruce City  -  TIF 1-1 Downtown Redev</v>
      </c>
    </row>
    <row r="3" spans="1:4" s="68" customFormat="1" ht="24.95" customHeight="1" x14ac:dyDescent="0.3">
      <c r="A3" s="65" t="s">
        <v>384</v>
      </c>
      <c r="B3" s="66"/>
    </row>
    <row r="4" spans="1:4" s="71" customFormat="1" ht="30" customHeight="1" x14ac:dyDescent="0.25">
      <c r="A4" s="217" t="s">
        <v>1099</v>
      </c>
      <c r="B4" s="217"/>
      <c r="C4" s="217"/>
      <c r="D4" s="217"/>
    </row>
    <row r="5" spans="1:4" s="74" customFormat="1" ht="19.5" customHeight="1" x14ac:dyDescent="0.25">
      <c r="A5" s="73" t="str">
        <f>HYPERLINK("#'ADS'!A7","Click here to continue to the ADS Tab")</f>
        <v>Click here to continue to the ADS Tab</v>
      </c>
      <c r="B5" s="74" t="s">
        <v>120</v>
      </c>
      <c r="C5" s="74" t="s">
        <v>121</v>
      </c>
      <c r="D5" s="74" t="s">
        <v>102</v>
      </c>
    </row>
    <row r="6" spans="1:4" ht="20.100000000000001" customHeight="1" x14ac:dyDescent="0.25">
      <c r="A6" s="74" t="s">
        <v>385</v>
      </c>
      <c r="C6" s="66" t="str">
        <f ca="1">IFERROR(INDEX(Validation!G:G,MATCH("Blank"&amp;CELL("address",C6),Validation!I:I,0)),"")</f>
        <v/>
      </c>
      <c r="D6" s="66" t="str">
        <f ca="1">IFERROR(INDEX(Validation!F:F,MATCH("Blank"&amp;CELL("address",C6),Validation!I:I,0)),"")</f>
        <v/>
      </c>
    </row>
    <row r="7" spans="1:4" x14ac:dyDescent="0.25">
      <c r="A7" s="79" t="s">
        <v>386</v>
      </c>
      <c r="B7" s="171">
        <f>'Rev Exp Bal'!D15</f>
        <v>600120</v>
      </c>
      <c r="C7" s="77" t="str">
        <f ca="1">IFERROR(INDEX(Validation!G:G,MATCH("EIC"&amp;CELL("address",C7),Validation!I:I,0)),"")</f>
        <v/>
      </c>
      <c r="D7" s="66" t="str">
        <f ca="1">IFERROR(INDEX(Validation!F:F,MATCH("EIC"&amp;CELL("address",C7),Validation!I:I,0)),"")</f>
        <v/>
      </c>
    </row>
    <row r="8" spans="1:4" x14ac:dyDescent="0.25">
      <c r="A8" s="79" t="s">
        <v>387</v>
      </c>
      <c r="B8" s="183">
        <f>B7*1.2</f>
        <v>720144</v>
      </c>
      <c r="C8" s="77" t="str">
        <f ca="1">IFERROR(INDEX(Validation!G:G,MATCH("EIC"&amp;CELL("address",C8),Validation!I:I,0)),"")</f>
        <v/>
      </c>
      <c r="D8" s="66" t="str">
        <f ca="1">IFERROR(INDEX(Validation!F:F,MATCH("EIC"&amp;CELL("address",C8),Validation!I:I,0)),"")</f>
        <v/>
      </c>
    </row>
    <row r="9" spans="1:4" x14ac:dyDescent="0.25">
      <c r="A9" s="79" t="s">
        <v>389</v>
      </c>
      <c r="B9" s="171">
        <f>'Dist Info'!B60</f>
        <v>1266428</v>
      </c>
      <c r="C9" s="77" t="str">
        <f ca="1">IFERROR(INDEX(Validation!G:G,MATCH("EIC"&amp;CELL("address",C9),Validation!I:I,0)),"")</f>
        <v/>
      </c>
      <c r="D9" s="66" t="str">
        <f ca="1">IFERROR(INDEX(Validation!F:F,MATCH("EIC"&amp;CELL("address",C9),Validation!I:I,0)),"")</f>
        <v/>
      </c>
    </row>
    <row r="10" spans="1:4" x14ac:dyDescent="0.25">
      <c r="A10" s="79" t="s">
        <v>388</v>
      </c>
      <c r="B10" s="184" t="str">
        <f>IF(OR(B9&gt;B8,B7=0),"NOT REQUIRED","REQUIRED")</f>
        <v>NOT REQUIRED</v>
      </c>
      <c r="C10" s="77" t="str">
        <f ca="1">IFERROR(INDEX(Validation!G:G,MATCH("EIC"&amp;CELL("address",C10),Validation!I:I,0)),"")</f>
        <v/>
      </c>
      <c r="D10" s="66" t="str">
        <f ca="1">IFERROR(INDEX(Validation!F:F,MATCH("EIC"&amp;CELL("address",C10),Validation!I:I,0)),"")</f>
        <v/>
      </c>
    </row>
    <row r="11" spans="1:4" ht="20.100000000000001" customHeight="1" x14ac:dyDescent="0.25">
      <c r="A11" s="74" t="s">
        <v>384</v>
      </c>
      <c r="C11" s="77" t="str">
        <f ca="1">IFERROR(INDEX(Validation!G:G,MATCH("EIC"&amp;CELL("address",C11),Validation!I:I,0)),"")</f>
        <v/>
      </c>
      <c r="D11" s="66" t="str">
        <f ca="1">IFERROR(INDEX(Validation!F:F,MATCH("EIC"&amp;CELL("address",C11),Validation!I:I,0)),"")</f>
        <v/>
      </c>
    </row>
    <row r="12" spans="1:4" x14ac:dyDescent="0.25">
      <c r="A12" s="79" t="s">
        <v>386</v>
      </c>
      <c r="B12" s="94">
        <f>B7</f>
        <v>600120</v>
      </c>
      <c r="C12" s="77" t="str">
        <f ca="1">IFERROR(INDEX(Validation!G:G,MATCH("EIC"&amp;CELL("address",C12),Validation!I:I,0)),"")</f>
        <v/>
      </c>
      <c r="D12" s="66" t="str">
        <f ca="1">IFERROR(INDEX(Validation!F:F,MATCH("EIC"&amp;CELL("address",C12),Validation!I:I,0)),"")</f>
        <v/>
      </c>
    </row>
    <row r="13" spans="1:4" x14ac:dyDescent="0.25">
      <c r="A13" s="79" t="s">
        <v>390</v>
      </c>
      <c r="B13" s="94">
        <f>Returned!D11</f>
        <v>0</v>
      </c>
      <c r="C13" s="77" t="str">
        <f ca="1">IFERROR(INDEX(Validation!G:G,MATCH("EIC"&amp;CELL("address",C13),Validation!I:I,0)),"")</f>
        <v/>
      </c>
      <c r="D13" s="66" t="str">
        <f ca="1">IFERROR(INDEX(Validation!F:F,MATCH("EIC"&amp;CELL("address",C13),Validation!I:I,0)),"")</f>
        <v/>
      </c>
    </row>
    <row r="14" spans="1:4" x14ac:dyDescent="0.25">
      <c r="A14" s="185" t="s">
        <v>391</v>
      </c>
      <c r="B14" s="159">
        <f>B12-B13</f>
        <v>600120</v>
      </c>
      <c r="C14" s="77" t="str">
        <f ca="1">IFERROR(INDEX(Validation!G:G,MATCH("EIC"&amp;CELL("address",C14),Validation!I:I,0)),"")</f>
        <v/>
      </c>
      <c r="D14" s="66" t="str">
        <f ca="1">IFERROR(INDEX(Validation!F:F,MATCH("EIC"&amp;CELL("address",C14),Validation!I:I,0)),"")</f>
        <v/>
      </c>
    </row>
    <row r="15" spans="1:4" x14ac:dyDescent="0.25">
      <c r="A15" s="79" t="s">
        <v>389</v>
      </c>
      <c r="B15" s="94">
        <f>B9</f>
        <v>1266428</v>
      </c>
      <c r="C15" s="77" t="str">
        <f ca="1">IFERROR(INDEX(Validation!G:G,MATCH("EIC"&amp;CELL("address",C15),Validation!I:I,0)),"")</f>
        <v/>
      </c>
      <c r="D15" s="66" t="str">
        <f ca="1">IFERROR(INDEX(Validation!F:F,MATCH("EIC"&amp;CELL("address",C15),Validation!I:I,0)),"")</f>
        <v/>
      </c>
    </row>
    <row r="16" spans="1:4" x14ac:dyDescent="0.25">
      <c r="A16" s="79" t="s">
        <v>392</v>
      </c>
      <c r="B16" s="94"/>
      <c r="C16" s="77" t="str">
        <f ca="1">IFERROR(INDEX(Validation!G:G,MATCH("EIC"&amp;CELL("address",C16),Validation!I:I,0)),"")</f>
        <v/>
      </c>
      <c r="D16" s="66" t="str">
        <f ca="1">IFERROR(INDEX(Validation!F:F,MATCH("EIC"&amp;CELL("address",C16),Validation!I:I,0)),"")</f>
        <v/>
      </c>
    </row>
    <row r="17" spans="1:4" x14ac:dyDescent="0.25">
      <c r="A17" s="79" t="s">
        <v>393</v>
      </c>
      <c r="B17" s="94"/>
      <c r="C17" s="77" t="str">
        <f ca="1">IFERROR(INDEX(Validation!G:G,MATCH("EIC"&amp;CELL("address",C17),Validation!I:I,0)),"")</f>
        <v/>
      </c>
      <c r="D17" s="66" t="str">
        <f ca="1">IFERROR(INDEX(Validation!F:F,MATCH("EIC"&amp;CELL("address",C17),Validation!I:I,0)),"")</f>
        <v/>
      </c>
    </row>
    <row r="18" spans="1:4" x14ac:dyDescent="0.25">
      <c r="A18" s="79" t="s">
        <v>394</v>
      </c>
      <c r="B18" s="94"/>
      <c r="C18" s="77" t="str">
        <f ca="1">IFERROR(INDEX(Validation!G:G,MATCH("EIC"&amp;CELL("address",C18),Validation!I:I,0)),"")</f>
        <v/>
      </c>
      <c r="D18" s="66" t="str">
        <f ca="1">IFERROR(INDEX(Validation!F:F,MATCH("EIC"&amp;CELL("address",C18),Validation!I:I,0)),"")</f>
        <v/>
      </c>
    </row>
    <row r="19" spans="1:4" x14ac:dyDescent="0.25">
      <c r="A19" s="185" t="s">
        <v>395</v>
      </c>
      <c r="B19" s="159">
        <f>B15-B16-B17+B18</f>
        <v>1266428</v>
      </c>
      <c r="C19" s="77" t="str">
        <f ca="1">IFERROR(INDEX(Validation!G:G,MATCH("EIC"&amp;CELL("address",C19),Validation!I:I,0)),"")</f>
        <v/>
      </c>
      <c r="D19" s="66" t="str">
        <f ca="1">IFERROR(INDEX(Validation!F:F,MATCH("EIC"&amp;CELL("address",C19),Validation!I:I,0)),"")</f>
        <v/>
      </c>
    </row>
    <row r="20" spans="1:4" x14ac:dyDescent="0.25">
      <c r="A20" s="185" t="s">
        <v>396</v>
      </c>
      <c r="B20" s="159">
        <f>B14-B19</f>
        <v>-666308</v>
      </c>
      <c r="C20" s="77" t="str">
        <f ca="1">IFERROR(INDEX(Validation!G:G,MATCH("EIC"&amp;CELL("address",C20),Validation!I:I,0)),"")</f>
        <v/>
      </c>
      <c r="D20" s="66" t="str">
        <f ca="1">IFERROR(INDEX(Validation!F:F,MATCH("EIC"&amp;CELL("address",C20),Validation!I:I,0)),"")</f>
        <v/>
      </c>
    </row>
    <row r="21" spans="1:4" ht="20.100000000000001" customHeight="1" x14ac:dyDescent="0.25">
      <c r="A21" s="74" t="str">
        <f>"Disposition of "&amp;Year_DestinationYearID-1&amp;" Excess Increment"</f>
        <v>Disposition of 2023 Excess Increment</v>
      </c>
      <c r="C21" s="77" t="str">
        <f ca="1">IFERROR(INDEX(Validation!G:G,MATCH("EIC"&amp;CELL("address",C21),Validation!I:I,0)),"")</f>
        <v/>
      </c>
      <c r="D21" s="66" t="str">
        <f ca="1">IFERROR(INDEX(Validation!F:F,MATCH("EIC"&amp;CELL("address",C21),Validation!I:I,0)),"")</f>
        <v/>
      </c>
    </row>
    <row r="22" spans="1:4" x14ac:dyDescent="0.25">
      <c r="A22" s="79" t="str">
        <f>"Excess Increment as of 12/31/"&amp;Year_DestinationYearID-1</f>
        <v>Excess Increment as of 12/31/2023</v>
      </c>
      <c r="B22" s="94"/>
      <c r="C22" s="77" t="str">
        <f ca="1">IFERROR(INDEX(Validation!G:G,MATCH("EIC"&amp;CELL("address",C22),Validation!I:I,0)),"")</f>
        <v/>
      </c>
      <c r="D22" s="66" t="str">
        <f ca="1">IFERROR(INDEX(Validation!F:F,MATCH("EIC"&amp;CELL("address",C22),Validation!I:I,0)),"")</f>
        <v/>
      </c>
    </row>
    <row r="23" spans="1:4" x14ac:dyDescent="0.25">
      <c r="A23" s="79" t="str">
        <f>"Used by Sept. 30, "&amp;Year_DestinationYearID&amp;", to prepay outstdg bonds"</f>
        <v>Used by Sept. 30, 2024, to prepay outstdg bonds</v>
      </c>
      <c r="B23" s="159"/>
      <c r="C23" s="77" t="str">
        <f ca="1">IFERROR(INDEX(Validation!G:G,MATCH("EIC"&amp;CELL("address",C23),Validation!I:I,0)),"")</f>
        <v/>
      </c>
      <c r="D23" s="66" t="str">
        <f ca="1">IFERROR(INDEX(Validation!F:F,MATCH("EIC"&amp;CELL("address",C23),Validation!I:I,0)),"")</f>
        <v/>
      </c>
    </row>
    <row r="24" spans="1:4" x14ac:dyDescent="0.25">
      <c r="A24" s="79" t="str">
        <f>"Used by Sept. 30, "&amp;Year_DestinationYearID&amp;", to discharge pledge of outstdg bonds"</f>
        <v>Used by Sept. 30, 2024, to discharge pledge of outstdg bonds</v>
      </c>
      <c r="B24" s="159"/>
      <c r="C24" s="77" t="str">
        <f ca="1">IFERROR(INDEX(Validation!G:G,MATCH("EIC"&amp;CELL("address",C24),Validation!I:I,0)),"")</f>
        <v/>
      </c>
      <c r="D24" s="66" t="str">
        <f ca="1">IFERROR(INDEX(Validation!F:F,MATCH("EIC"&amp;CELL("address",C24),Validation!I:I,0)),"")</f>
        <v/>
      </c>
    </row>
    <row r="25" spans="1:4" x14ac:dyDescent="0.25">
      <c r="A25" s="79" t="str">
        <f>"Used by Sept. 30, "&amp;Year_DestinationYearID&amp;", to pay into escrow for outstdg bonds"</f>
        <v>Used by Sept. 30, 2024, to pay into escrow for outstdg bonds</v>
      </c>
      <c r="B25" s="159"/>
      <c r="C25" s="77" t="str">
        <f ca="1">IFERROR(INDEX(Validation!G:G,MATCH("EIC"&amp;CELL("address",C25),Validation!I:I,0)),"")</f>
        <v/>
      </c>
      <c r="D25" s="66" t="str">
        <f ca="1">IFERROR(INDEX(Validation!F:F,MATCH("EIC"&amp;CELL("address",C25),Validation!I:I,0)),"")</f>
        <v/>
      </c>
    </row>
    <row r="26" spans="1:4" x14ac:dyDescent="0.25">
      <c r="A26" s="79" t="str">
        <f>"Returned to county auditor by Sept. 30, "&amp;Year_DestinationYearID</f>
        <v>Returned to county auditor by Sept. 30, 2024</v>
      </c>
      <c r="B26" s="159"/>
      <c r="C26" s="77" t="str">
        <f ca="1">IFERROR(INDEX(Validation!G:G,MATCH("EIC"&amp;CELL("address",C26),Validation!I:I,0)),"")</f>
        <v/>
      </c>
      <c r="D26" s="66" t="str">
        <f ca="1">IFERROR(INDEX(Validation!F:F,MATCH("EIC"&amp;CELL("address",C26),Validation!I:I,0)),"")</f>
        <v/>
      </c>
    </row>
    <row r="27" spans="1:4" x14ac:dyDescent="0.25">
      <c r="A27" s="130" t="s">
        <v>1508</v>
      </c>
      <c r="B27" s="159">
        <f>B22-B23-B24-B25-B26</f>
        <v>0</v>
      </c>
      <c r="C27" s="77" t="str">
        <f ca="1">IFERROR(INDEX(Validation!G:G,MATCH("EIC"&amp;CELL("address",C27),Validation!I:I,0)),"")</f>
        <v/>
      </c>
      <c r="D27" s="66" t="str">
        <f ca="1">IFERROR(INDEX(Validation!F:F,MATCH("EIC"&amp;CELL("address",C27),Validation!I:I,0)),"")</f>
        <v/>
      </c>
    </row>
    <row r="28" spans="1:4" ht="20.100000000000001" customHeight="1" x14ac:dyDescent="0.25">
      <c r="A28" s="97" t="s">
        <v>176</v>
      </c>
      <c r="C28" s="77" t="str">
        <f ca="1">IFERROR(INDEX(Validation!G:G,MATCH("EIC"&amp;CELL("address",C28),Validation!I:I,0)),"")</f>
        <v/>
      </c>
      <c r="D28" s="66" t="str">
        <f ca="1">IFERROR(INDEX(Validation!F:F,MATCH("EIC"&amp;CELL("address",C28),Validation!I:I,0)),"")</f>
        <v/>
      </c>
    </row>
    <row r="29" spans="1:4" ht="150" customHeight="1" x14ac:dyDescent="0.25">
      <c r="A29" s="164"/>
      <c r="B29" s="143" t="str">
        <f>HYPERLINK("#'ADS'!A7","Click here to continue to the ADS Tab")</f>
        <v>Click here to continue to the ADS Tab</v>
      </c>
    </row>
  </sheetData>
  <sheetProtection algorithmName="SHA-512" hashValue="vS7hi0CyDOsqeoLi8mpZUWAtp3L3m7XgK0tx7AlWuBjzWXrdM2L2qcxg0nCgsFUDxndIMYdgTTRC/UPOvYK7Xw==" saltValue="4zdlO8dRy10Wj8M/PzOu5Q==" spinCount="100000" sheet="1" objects="1" scenarios="1"/>
  <mergeCells count="1">
    <mergeCell ref="A4:D4"/>
  </mergeCells>
  <conditionalFormatting sqref="A11:B27">
    <cfRule type="expression" dxfId="531" priority="6">
      <formula>$B$10="NOT REQUIRED"</formula>
    </cfRule>
  </conditionalFormatting>
  <conditionalFormatting sqref="C1:D3 C5:D1048576">
    <cfRule type="expression" dxfId="529" priority="93">
      <formula>$D1="Information"</formula>
    </cfRule>
    <cfRule type="expression" dxfId="528" priority="95">
      <formula>$D1="Error"</formula>
    </cfRule>
    <cfRule type="expression" dxfId="527" priority="96">
      <formula>$D1="Alert"</formula>
    </cfRule>
    <cfRule type="expression" dxfId="526" priority="98">
      <formula>$D1="Exclude"</formula>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97" id="{F37CEB82-522D-4652-9FB3-3FCC16DB85BE}">
            <xm:f>COUNTIFS(Validation!$H:$H,MID(CELL("filename",A1),FIND("]",CELL("filename",A1))+1,255)&amp;CELL("address",A1))&gt;0</xm:f>
            <x14:dxf>
              <font>
                <b/>
                <i val="0"/>
                <color rgb="FFC00000"/>
              </font>
              <numFmt numFmtId="172" formatCode="_(\!* #,##0_);_(\!* \(#,##0\);_(\!* \-??_);_(\!\ @_)"/>
            </x14:dxf>
          </x14:cfRule>
          <xm:sqref>B1:B3 B5:B1048576 A22:A26</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AA1AEF-9459-4FD0-AF80-DD1747337D15}">
  <dimension ref="A1:D23"/>
  <sheetViews>
    <sheetView showGridLines="0" workbookViewId="0"/>
  </sheetViews>
  <sheetFormatPr defaultRowHeight="15" x14ac:dyDescent="0.25"/>
  <cols>
    <col min="1" max="1" width="55.7109375" style="66" customWidth="1"/>
    <col min="2" max="2" width="20.7109375" style="66" customWidth="1"/>
    <col min="3" max="3" width="80.85546875" style="66" customWidth="1"/>
    <col min="4" max="4" width="14.7109375" style="66" customWidth="1"/>
    <col min="5" max="16384" width="9.140625" style="66"/>
  </cols>
  <sheetData>
    <row r="1" spans="1:4" s="59" customFormat="1" ht="21" x14ac:dyDescent="0.25">
      <c r="A1" s="59" t="str">
        <f>_xlfn.CONCAT("Office of the State Auditor  -  TIF Annual Reporting Form  -  ",Year_DestinationYearID)</f>
        <v>Office of the State Auditor  -  TIF Annual Reporting Form  -  2024</v>
      </c>
    </row>
    <row r="2" spans="1:4" s="62" customFormat="1" ht="20.100000000000001" customHeight="1" x14ac:dyDescent="0.25">
      <c r="A2" s="58" t="str">
        <f>_xlfn.CONCAT(GovEntity_GovEntityName_Parent,"  -  ",GovEntity_GovEntityName)</f>
        <v>Spruce City  -  TIF 1-1 Downtown Redev</v>
      </c>
    </row>
    <row r="3" spans="1:4" s="68" customFormat="1" ht="24.95" customHeight="1" x14ac:dyDescent="0.3">
      <c r="A3" s="65" t="s">
        <v>397</v>
      </c>
      <c r="B3" s="66"/>
    </row>
    <row r="4" spans="1:4" s="71" customFormat="1" ht="60" customHeight="1" x14ac:dyDescent="0.25">
      <c r="A4" s="217" t="s">
        <v>1091</v>
      </c>
      <c r="B4" s="217"/>
      <c r="C4" s="217"/>
      <c r="D4" s="217"/>
    </row>
    <row r="5" spans="1:4" s="74" customFormat="1" ht="19.5" customHeight="1" x14ac:dyDescent="0.25">
      <c r="A5" s="73" t="str">
        <f>HYPERLINK("#'HSS'!B6","Click here to continue to the HSS Tab")</f>
        <v>Click here to continue to the HSS Tab</v>
      </c>
      <c r="B5" s="74" t="s">
        <v>120</v>
      </c>
      <c r="C5" s="74" t="s">
        <v>121</v>
      </c>
      <c r="D5" s="74" t="s">
        <v>102</v>
      </c>
    </row>
    <row r="6" spans="1:4" ht="20.100000000000001" customHeight="1" x14ac:dyDescent="0.25">
      <c r="A6" s="74" t="s">
        <v>398</v>
      </c>
      <c r="C6" s="66" t="str">
        <f ca="1">IFERROR(INDEX(Validation!G:G,MATCH("Blank"&amp;CELL("address",C6),Validation!I:I,0)),"")</f>
        <v/>
      </c>
      <c r="D6" s="66" t="str">
        <f ca="1">IFERROR(INDEX(Validation!F:F,MATCH("Blank"&amp;CELL("address",C6),Validation!I:I,0)),"")</f>
        <v/>
      </c>
    </row>
    <row r="7" spans="1:4" x14ac:dyDescent="0.25">
      <c r="A7" s="79" t="s">
        <v>399</v>
      </c>
      <c r="B7" s="103"/>
      <c r="C7" s="77" t="str">
        <f ca="1">IFERROR(INDEX(Validation!G:G,MATCH("ADS"&amp;CELL("address",C7),Validation!I:I,0)),"")</f>
        <v>Entry required.</v>
      </c>
      <c r="D7" s="66" t="str">
        <f ca="1">IFERROR(INDEX(Validation!F:F,MATCH("ADS"&amp;CELL("address",C7),Validation!I:I,0)),"")</f>
        <v>Error</v>
      </c>
    </row>
    <row r="8" spans="1:4" x14ac:dyDescent="0.25">
      <c r="A8" s="79" t="s">
        <v>400</v>
      </c>
      <c r="B8" s="120"/>
      <c r="C8" s="77" t="str">
        <f ca="1">IFERROR(INDEX(Validation!G:G,MATCH("ADS"&amp;CELL("address",C8),Validation!I:I,0)),"")</f>
        <v>Entry required.</v>
      </c>
      <c r="D8" s="66" t="str">
        <f ca="1">IFERROR(INDEX(Validation!F:F,MATCH("ADS"&amp;CELL("address",C8),Validation!I:I,0)),"")</f>
        <v>Error</v>
      </c>
    </row>
    <row r="9" spans="1:4" ht="20.100000000000001" customHeight="1" x14ac:dyDescent="0.25">
      <c r="A9" s="74" t="s">
        <v>401</v>
      </c>
      <c r="C9" s="77" t="str">
        <f ca="1">IFERROR(INDEX(Validation!G:G,MATCH("ADS"&amp;CELL("address",C9),Validation!I:I,0)),"")</f>
        <v/>
      </c>
      <c r="D9" s="66" t="str">
        <f ca="1">IFERROR(INDEX(Validation!F:F,MATCH("ADS"&amp;CELL("address",C9),Validation!I:I,0)),"")</f>
        <v/>
      </c>
    </row>
    <row r="10" spans="1:4" x14ac:dyDescent="0.25">
      <c r="A10" s="79" t="s">
        <v>151</v>
      </c>
      <c r="B10" s="171">
        <f>TIF_DistrictYear_TaxCapacityCurrent</f>
        <v>98631</v>
      </c>
      <c r="C10" s="77" t="str">
        <f ca="1">IFERROR(INDEX(Validation!G:G,MATCH("ADS"&amp;CELL("address",C10),Validation!I:I,0)),"")</f>
        <v/>
      </c>
      <c r="D10" s="66" t="str">
        <f ca="1">IFERROR(INDEX(Validation!F:F,MATCH("ADS"&amp;CELL("address",C10),Validation!I:I,0)),"")</f>
        <v/>
      </c>
    </row>
    <row r="11" spans="1:4" x14ac:dyDescent="0.25">
      <c r="A11" s="79" t="s">
        <v>152</v>
      </c>
      <c r="B11" s="171">
        <f>TIF_DistrictYear_TaxCapacityOriginal</f>
        <v>41379</v>
      </c>
      <c r="C11" s="77" t="str">
        <f ca="1">IFERROR(INDEX(Validation!G:G,MATCH("ADS"&amp;CELL("address",C11),Validation!I:I,0)),"")</f>
        <v/>
      </c>
      <c r="D11" s="66" t="str">
        <f ca="1">IFERROR(INDEX(Validation!F:F,MATCH("ADS"&amp;CELL("address",C11),Validation!I:I,0)),"")</f>
        <v/>
      </c>
    </row>
    <row r="12" spans="1:4" x14ac:dyDescent="0.25">
      <c r="A12" s="79" t="s">
        <v>153</v>
      </c>
      <c r="B12" s="171">
        <f>'Dist Info'!B41</f>
        <v>57252</v>
      </c>
      <c r="C12" s="77" t="str">
        <f ca="1">IFERROR(INDEX(Validation!G:G,MATCH("ADS"&amp;CELL("address",C12),Validation!I:I,0)),"")</f>
        <v/>
      </c>
      <c r="D12" s="66" t="str">
        <f ca="1">IFERROR(INDEX(Validation!F:F,MATCH("ADS"&amp;CELL("address",C12),Validation!I:I,0)),"")</f>
        <v/>
      </c>
    </row>
    <row r="13" spans="1:4" x14ac:dyDescent="0.25">
      <c r="A13" s="79" t="str">
        <f>_xlfn.CONCAT("Principal and Interest Payments Due In ",Year_DestinationYearID+1)</f>
        <v>Principal and Interest Payments Due In 2025</v>
      </c>
      <c r="B13" s="171">
        <f ca="1">'Debt Summary'!E56+'Debt Summary'!E62</f>
        <v>0</v>
      </c>
      <c r="C13" s="77" t="str">
        <f ca="1">IFERROR(INDEX(Validation!G:G,MATCH("ADS"&amp;CELL("address",C13),Validation!I:I,0)),"")</f>
        <v/>
      </c>
      <c r="D13" s="66" t="str">
        <f ca="1">IFERROR(INDEX(Validation!F:F,MATCH("ADS"&amp;CELL("address",C13),Validation!I:I,0)),"")</f>
        <v/>
      </c>
    </row>
    <row r="14" spans="1:4" x14ac:dyDescent="0.25">
      <c r="A14" s="79" t="str">
        <f>_xlfn.CONCAT("Tax Increment Received In ",Year_DestinationYearID)</f>
        <v>Tax Increment Received In 2024</v>
      </c>
      <c r="B14" s="171">
        <f>'Rev Exp Bal'!C15</f>
        <v>0</v>
      </c>
      <c r="C14" s="77" t="str">
        <f ca="1">IFERROR(INDEX(Validation!G:G,MATCH("ADS"&amp;CELL("address",C14),Validation!I:I,0)),"")</f>
        <v/>
      </c>
      <c r="D14" s="66" t="str">
        <f ca="1">IFERROR(INDEX(Validation!F:F,MATCH("ADS"&amp;CELL("address",C14),Validation!I:I,0)),"")</f>
        <v/>
      </c>
    </row>
    <row r="15" spans="1:4" x14ac:dyDescent="0.25">
      <c r="A15" s="79" t="str">
        <f>_xlfn.CONCAT("Tax Increment Expended In ",Year_DestinationYearID)</f>
        <v>Tax Increment Expended In 2024</v>
      </c>
      <c r="B15" s="171">
        <f ca="1">'Rev Exp Bal'!C25</f>
        <v>0</v>
      </c>
      <c r="C15" s="77" t="str">
        <f ca="1">IFERROR(INDEX(Validation!G:G,MATCH("ADS"&amp;CELL("address",C15),Validation!I:I,0)),"")</f>
        <v/>
      </c>
      <c r="D15" s="66" t="str">
        <f ca="1">IFERROR(INDEX(Validation!F:F,MATCH("ADS"&amp;CELL("address",C15),Validation!I:I,0)),"")</f>
        <v/>
      </c>
    </row>
    <row r="16" spans="1:4" x14ac:dyDescent="0.25">
      <c r="A16" s="79" t="s">
        <v>402</v>
      </c>
      <c r="B16" s="155">
        <f>IF(OR(ISBLANK(TIF_District_FirstReceiptYear),TIF_District_FirstReceiptYear=""),TIF_Plan_AnticipatedFirstReceiptYear,TIF_District_FirstReceiptYear)</f>
        <v>2014</v>
      </c>
      <c r="C16" s="77" t="str">
        <f ca="1">IFERROR(INDEX(Validation!G:G,MATCH("ADS"&amp;CELL("address",C16),Validation!I:I,0)),"")</f>
        <v/>
      </c>
      <c r="D16" s="66" t="str">
        <f ca="1">IFERROR(INDEX(Validation!F:F,MATCH("ADS"&amp;CELL("address",C16),Validation!I:I,0)),"")</f>
        <v/>
      </c>
    </row>
    <row r="17" spans="1:4" x14ac:dyDescent="0.25">
      <c r="A17" s="79" t="s">
        <v>403</v>
      </c>
      <c r="B17" s="186">
        <f>IF(OR(ISBLANK(TIF_District_ActualDecertificationDate),TIF_District_ActualDecertificationDate=""),TIF_District_RequiredDecertificationDate,TIF_District_ActualDecertificationDate)</f>
        <v>51135</v>
      </c>
      <c r="C17" s="77" t="str">
        <f ca="1">IFERROR(INDEX(Validation!G:G,MATCH("ADS"&amp;CELL("address",C17),Validation!I:I,0)),"")</f>
        <v/>
      </c>
      <c r="D17" s="66" t="str">
        <f ca="1">IFERROR(INDEX(Validation!F:F,MATCH("ADS"&amp;CELL("address",C17),Validation!I:I,0)),"")</f>
        <v/>
      </c>
    </row>
    <row r="18" spans="1:4" ht="30" x14ac:dyDescent="0.25">
      <c r="A18" s="187" t="s">
        <v>404</v>
      </c>
      <c r="B18" s="171">
        <f>TIF_DistrictYear_FiscalDisparitiesIncrease</f>
        <v>0</v>
      </c>
      <c r="C18" s="77" t="str">
        <f ca="1">IFERROR(INDEX(Validation!G:G,MATCH("ADS"&amp;CELL("address",C18),Validation!I:I,0)),"")</f>
        <v/>
      </c>
      <c r="D18" s="66" t="str">
        <f ca="1">IFERROR(INDEX(Validation!F:F,MATCH("ADS"&amp;CELL("address",C18),Validation!I:I,0)),"")</f>
        <v/>
      </c>
    </row>
    <row r="19" spans="1:4" ht="75" customHeight="1" x14ac:dyDescent="0.25">
      <c r="A19" s="219" t="s">
        <v>1092</v>
      </c>
      <c r="B19" s="219"/>
      <c r="C19" s="77" t="str">
        <f ca="1">IFERROR(INDEX(Validation!G:G,MATCH("ADS"&amp;CELL("address",C19),Validation!I:I,0)),"")</f>
        <v/>
      </c>
      <c r="D19" s="66" t="str">
        <f ca="1">IFERROR(INDEX(Validation!F:F,MATCH("ADS"&amp;CELL("address",C19),Validation!I:I,0)),"")</f>
        <v/>
      </c>
    </row>
    <row r="20" spans="1:4" ht="20.100000000000001" customHeight="1" x14ac:dyDescent="0.25">
      <c r="A20" s="74" t="s">
        <v>405</v>
      </c>
      <c r="C20" s="77" t="str">
        <f ca="1">IFERROR(INDEX(Validation!G:G,MATCH("ADS"&amp;CELL("address",C20),Validation!I:I,0)),"")</f>
        <v>Entry required.</v>
      </c>
      <c r="D20" s="66" t="str">
        <f ca="1">IFERROR(INDEX(Validation!F:F,MATCH("ADS"&amp;CELL("address",C20),Validation!I:I,0)),"")</f>
        <v>Error</v>
      </c>
    </row>
    <row r="21" spans="1:4" ht="150" customHeight="1" x14ac:dyDescent="0.25">
      <c r="A21" s="164"/>
      <c r="C21" s="77" t="str">
        <f ca="1">IFERROR(INDEX(Validation!G:G,MATCH("ADS"&amp;CELL("address",C21),Validation!I:I,0)),"")</f>
        <v/>
      </c>
      <c r="D21" s="66" t="str">
        <f ca="1">IFERROR(INDEX(Validation!F:F,MATCH("ADS"&amp;CELL("address",C21),Validation!I:I,0)),"")</f>
        <v/>
      </c>
    </row>
    <row r="22" spans="1:4" ht="20.100000000000001" customHeight="1" x14ac:dyDescent="0.25">
      <c r="A22" s="97" t="s">
        <v>176</v>
      </c>
      <c r="C22" s="77" t="str">
        <f ca="1">IF(AND(ISBLANK(TIF_DistrictYear_UserCommentsADS),COUNTIF(D6:D21,"Alert")&gt;0),"Comment(s) required for remaining alert(s).",IFERROR(INDEX(Validation!G:G,MATCH("ADS"&amp;CELL("address",C22),Validation!I:I,0)),""))</f>
        <v/>
      </c>
      <c r="D22" s="66" t="str">
        <f ca="1">IF(AND(ISBLANK(TIF_DistrictYear_UserCommentsADS),COUNTIF(D6:D21,"Alert")&gt;0),"Error",IFERROR(INDEX(Validation!F:F,MATCH("ADS"&amp;CELL("address",C22),Validation!I:I,0)),""))</f>
        <v/>
      </c>
    </row>
    <row r="23" spans="1:4" ht="150" customHeight="1" x14ac:dyDescent="0.25">
      <c r="A23" s="164"/>
      <c r="B23" s="100" t="str">
        <f>HYPERLINK("#'HSS'!B6","Click here to continue to the HSS Tab")</f>
        <v>Click here to continue to the HSS Tab</v>
      </c>
    </row>
  </sheetData>
  <sheetProtection algorithmName="SHA-512" hashValue="yDbLCG6gDcNb8pvOWkDE5UtkBK6Kwj3Knf5iqcevBaGQMq6W6hgkNWE0Xnf0DDzHoRbkEVupAt5ohYjBAjfyDw==" saltValue="lgISZQbSjM26O8bX6c7bcA==" spinCount="100000" sheet="1" objects="1" scenarios="1"/>
  <mergeCells count="2">
    <mergeCell ref="A19:B19"/>
    <mergeCell ref="A4:D4"/>
  </mergeCells>
  <conditionalFormatting sqref="C1:D3 C5:D1048576">
    <cfRule type="expression" dxfId="525" priority="1">
      <formula>$D1="Information"</formula>
    </cfRule>
    <cfRule type="expression" dxfId="524" priority="2">
      <formula>$D1="Error"</formula>
    </cfRule>
    <cfRule type="expression" dxfId="523" priority="3">
      <formula>$D1="Alert"</formula>
    </cfRule>
    <cfRule type="expression" dxfId="522" priority="4">
      <formula>$D1="Exclude"</formula>
    </cfRule>
  </conditionalFormatting>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931E3-20EE-414A-89D8-1D829755C01D}">
  <dimension ref="A1:H33"/>
  <sheetViews>
    <sheetView showGridLines="0" zoomScaleNormal="100" workbookViewId="0">
      <selection activeCell="B6" sqref="B6"/>
    </sheetView>
  </sheetViews>
  <sheetFormatPr defaultRowHeight="15" x14ac:dyDescent="0.25"/>
  <cols>
    <col min="1" max="1" width="55.7109375" style="66" customWidth="1"/>
    <col min="2" max="3" width="20.7109375" style="66" customWidth="1"/>
    <col min="4" max="4" width="80.85546875" style="66" customWidth="1"/>
    <col min="5" max="5" width="14.7109375" style="66" customWidth="1"/>
    <col min="6" max="6" width="9.7109375" style="78" hidden="1" customWidth="1"/>
    <col min="7" max="8" width="0" style="78" hidden="1" customWidth="1"/>
    <col min="9" max="16384" width="9.140625" style="66"/>
  </cols>
  <sheetData>
    <row r="1" spans="1:8" s="59" customFormat="1" ht="21" x14ac:dyDescent="0.25">
      <c r="A1" s="59" t="str">
        <f>_xlfn.CONCAT("Office of the State Auditor  -  TIF Annual Reporting Form  -  ",Year_DestinationYearID)</f>
        <v>Office of the State Auditor  -  TIF Annual Reporting Form  -  2024</v>
      </c>
      <c r="F1" s="61"/>
      <c r="G1" s="61"/>
      <c r="H1" s="61"/>
    </row>
    <row r="2" spans="1:8" s="62" customFormat="1" ht="20.100000000000001" customHeight="1" x14ac:dyDescent="0.25">
      <c r="A2" s="58" t="str">
        <f>_xlfn.CONCAT(GovEntity_GovEntityName_Parent,"  -  ",GovEntity_GovEntityName)</f>
        <v>Spruce City  -  TIF 1-1 Downtown Redev</v>
      </c>
      <c r="F2" s="64"/>
      <c r="G2" s="64"/>
      <c r="H2" s="64"/>
    </row>
    <row r="3" spans="1:8" s="68" customFormat="1" ht="24.95" customHeight="1" x14ac:dyDescent="0.3">
      <c r="A3" s="65" t="s">
        <v>1449</v>
      </c>
      <c r="B3" s="66"/>
      <c r="C3" s="66"/>
      <c r="F3" s="69"/>
      <c r="G3" s="69"/>
      <c r="H3" s="69"/>
    </row>
    <row r="4" spans="1:8" s="71" customFormat="1" ht="15" customHeight="1" x14ac:dyDescent="0.25">
      <c r="A4" s="218" t="s">
        <v>1551</v>
      </c>
      <c r="B4" s="218"/>
      <c r="C4" s="218"/>
      <c r="D4" s="218"/>
      <c r="E4" s="218"/>
      <c r="F4" s="72" t="s">
        <v>119</v>
      </c>
      <c r="G4" s="72" t="s">
        <v>119</v>
      </c>
      <c r="H4" s="72" t="s">
        <v>119</v>
      </c>
    </row>
    <row r="5" spans="1:8" s="74" customFormat="1" x14ac:dyDescent="0.25">
      <c r="A5" s="73" t="str">
        <f>HYPERLINK("#'Parcels'!B6","Click here to continue to the Parcels Tab")</f>
        <v>Click here to continue to the Parcels Tab</v>
      </c>
      <c r="D5" s="74" t="s">
        <v>121</v>
      </c>
      <c r="E5" s="74" t="s">
        <v>102</v>
      </c>
      <c r="F5" s="76" t="s">
        <v>475</v>
      </c>
      <c r="G5" s="76" t="s">
        <v>476</v>
      </c>
      <c r="H5" s="76" t="s">
        <v>484</v>
      </c>
    </row>
    <row r="6" spans="1:8" x14ac:dyDescent="0.25">
      <c r="A6" s="66" t="s">
        <v>1447</v>
      </c>
      <c r="B6" s="103" t="str">
        <f>IF(TIF_Plan_HssInd_Input=TRUE,"Yes","Select One")</f>
        <v>Select One</v>
      </c>
      <c r="D6" s="77" t="str">
        <f ca="1">IFERROR(INDEX(Validation!G:G,MATCH("HSS"&amp;CELL("address",D6),Validation!I:I,0)),"")</f>
        <v>You must select Yes or No.</v>
      </c>
      <c r="E6" s="66" t="str">
        <f ca="1">IFERROR(INDEX(Validation!F:F,MATCH("HSS"&amp;CELL("address",D6),Validation!I:I,0)),"")</f>
        <v>Error</v>
      </c>
      <c r="F6" s="85" t="b">
        <v>0</v>
      </c>
      <c r="G6" s="85" t="b">
        <f>IF(TIF_Plan_HssInd_Entry="Yes",TRUE,FALSE)</f>
        <v>0</v>
      </c>
      <c r="H6" s="86" t="s">
        <v>1536</v>
      </c>
    </row>
    <row r="7" spans="1:8" ht="20.100000000000001" customHeight="1" x14ac:dyDescent="0.25">
      <c r="A7" s="74" t="s">
        <v>1448</v>
      </c>
      <c r="D7" s="77" t="str">
        <f ca="1">IFERROR(INDEX(Validation!G:G,MATCH("HSS"&amp;CELL("address",D7),Validation!I:I,0)),"")</f>
        <v/>
      </c>
      <c r="E7" s="66" t="str">
        <f ca="1">IFERROR(INDEX(Validation!F:F,MATCH("HSS"&amp;CELL("address",D7),Validation!I:I,0)),"")</f>
        <v/>
      </c>
    </row>
    <row r="8" spans="1:8" x14ac:dyDescent="0.25">
      <c r="A8" s="66" t="s">
        <v>1453</v>
      </c>
      <c r="B8" s="91" t="str">
        <f>IF(ISBLANK(TIF_HazardousSubstanceSubdistrict_ApprovalDate_Input),"",TIF_HazardousSubstanceSubdistrict_ApprovalDate_Input)</f>
        <v/>
      </c>
      <c r="D8" s="77" t="str">
        <f ca="1">IFERROR(INDEX(Validation!G:G,MATCH("HSS"&amp;CELL("address",D8),Validation!I:I,0)),"")</f>
        <v/>
      </c>
      <c r="E8" s="66" t="str">
        <f ca="1">IFERROR(INDEX(Validation!F:F,MATCH("HSS"&amp;CELL("address",D8),Validation!I:I,0)),"")</f>
        <v/>
      </c>
      <c r="F8" s="211"/>
      <c r="G8" s="85" t="str">
        <f>IF(TIF_Plan_HssInd_Entry&lt;&gt;"Yes","",TIF_HazardousSubstanceSubdistrict_ApprovalDate_Entry)</f>
        <v/>
      </c>
      <c r="H8" s="86" t="s">
        <v>1537</v>
      </c>
    </row>
    <row r="9" spans="1:8" x14ac:dyDescent="0.25">
      <c r="A9" s="66" t="s">
        <v>1450</v>
      </c>
      <c r="B9" s="91" t="str">
        <f>IF(ISBLANK(TIF_HazardousSubstanceSubdistrict_CertificationRequestDate_Input),"",TIF_HazardousSubstanceSubdistrict_CertificationRequestDate_Input)</f>
        <v/>
      </c>
      <c r="D9" s="77" t="str">
        <f ca="1">IFERROR(INDEX(Validation!G:G,MATCH("HSS"&amp;CELL("address",D9),Validation!I:I,0)),"")</f>
        <v/>
      </c>
      <c r="E9" s="66" t="str">
        <f ca="1">IFERROR(INDEX(Validation!F:F,MATCH("HSS"&amp;CELL("address",D9),Validation!I:I,0)),"")</f>
        <v/>
      </c>
      <c r="F9" s="211"/>
      <c r="G9" s="85" t="str">
        <f>IF(TIF_Plan_HssInd_Entry&lt;&gt;"Yes","",TIF_HazardousSubstanceSubdistrict_CertificationRequestDate_Entry)</f>
        <v/>
      </c>
      <c r="H9" s="86" t="s">
        <v>1538</v>
      </c>
    </row>
    <row r="10" spans="1:8" x14ac:dyDescent="0.25">
      <c r="A10" s="66" t="s">
        <v>1451</v>
      </c>
      <c r="B10" s="91" t="str">
        <f>IF(ISBLANK(TIF_HazardousSubstanceSubdistrict_CertificationDate_Input),"",TIF_HazardousSubstanceSubdistrict_CertificationDate_Input)</f>
        <v/>
      </c>
      <c r="D10" s="77" t="str">
        <f ca="1">IFERROR(INDEX(Validation!G:G,MATCH("HSS"&amp;CELL("address",D10),Validation!I:I,0)),"")</f>
        <v/>
      </c>
      <c r="E10" s="66" t="str">
        <f ca="1">IFERROR(INDEX(Validation!F:F,MATCH("HSS"&amp;CELL("address",D10),Validation!I:I,0)),"")</f>
        <v/>
      </c>
      <c r="F10" s="211"/>
      <c r="G10" s="85" t="str">
        <f>IF(TIF_Plan_HssInd_Entry&lt;&gt;"Yes","",TIF_HazardousSubstanceSubdistrict_CertificationDate_Entry)</f>
        <v/>
      </c>
      <c r="H10" s="86" t="s">
        <v>1539</v>
      </c>
    </row>
    <row r="11" spans="1:8" x14ac:dyDescent="0.25">
      <c r="A11" s="66" t="s">
        <v>1452</v>
      </c>
      <c r="B11" s="120"/>
      <c r="D11" s="77" t="str">
        <f ca="1">IFERROR(INDEX(Validation!G:G,MATCH("HSS"&amp;CELL("address",D11),Validation!I:I,0)),"")</f>
        <v/>
      </c>
      <c r="E11" s="66" t="str">
        <f ca="1">IFERROR(INDEX(Validation!F:F,MATCH("HSS"&amp;CELL("address",D11),Validation!I:I,0)),"")</f>
        <v/>
      </c>
    </row>
    <row r="12" spans="1:8" x14ac:dyDescent="0.25">
      <c r="A12" s="66" t="s">
        <v>1455</v>
      </c>
      <c r="B12" s="103"/>
      <c r="D12" s="77" t="str">
        <f ca="1">IFERROR(INDEX(Validation!G:G,MATCH("HSS"&amp;CELL("address",D12),Validation!I:I,0)),"")</f>
        <v/>
      </c>
      <c r="E12" s="66" t="str">
        <f ca="1">IFERROR(INDEX(Validation!F:F,MATCH("HSS"&amp;CELL("address",D12),Validation!I:I,0)),"")</f>
        <v/>
      </c>
    </row>
    <row r="13" spans="1:8" x14ac:dyDescent="0.25">
      <c r="A13" s="66" t="s">
        <v>1471</v>
      </c>
      <c r="B13" s="103"/>
      <c r="D13" s="77" t="str">
        <f ca="1">IFERROR(INDEX(Validation!G:G,MATCH("HSS"&amp;CELL("address",D13),Validation!I:I,0)),"")</f>
        <v/>
      </c>
      <c r="E13" s="66" t="str">
        <f ca="1">IFERROR(INDEX(Validation!F:F,MATCH("HSS"&amp;CELL("address",D13),Validation!I:I,0)),"")</f>
        <v/>
      </c>
    </row>
    <row r="14" spans="1:8" x14ac:dyDescent="0.25">
      <c r="A14" s="66" t="s">
        <v>1540</v>
      </c>
      <c r="B14" s="103" t="str">
        <f>IF(TIF_HazardousSubstanceSubdistrict_ActualDecertificationDate_Input=TRUE,"Yes",IF(TIF_Plan_HssInd_Entry="Yes","Select One",""))</f>
        <v/>
      </c>
      <c r="D14" s="77" t="str">
        <f ca="1">IFERROR(INDEX(Validation!G:G,MATCH("HSS"&amp;CELL("address",D14),Validation!I:I,0)),"")</f>
        <v/>
      </c>
      <c r="E14" s="66" t="str">
        <f ca="1">IFERROR(INDEX(Validation!F:F,MATCH("HSS"&amp;CELL("address",D14),Validation!I:I,0)),"")</f>
        <v/>
      </c>
      <c r="F14" s="85"/>
      <c r="G14" s="85" t="b">
        <f>IF(TIF_HazardousSubstanceSubdistrict_ActualDecertificationDate_Entry="Yes",TRUE,FALSE)</f>
        <v>0</v>
      </c>
      <c r="H14" s="86" t="s">
        <v>1570</v>
      </c>
    </row>
    <row r="15" spans="1:8" x14ac:dyDescent="0.25">
      <c r="A15" s="66" t="s">
        <v>149</v>
      </c>
      <c r="B15" s="91"/>
      <c r="D15" s="77" t="str">
        <f ca="1">IFERROR(INDEX(Validation!G:G,MATCH("HSS"&amp;CELL("address",D15),Validation!I:I,0)),"")</f>
        <v/>
      </c>
      <c r="E15" s="66" t="str">
        <f ca="1">IFERROR(INDEX(Validation!F:F,MATCH("HSS"&amp;CELL("address",D15),Validation!I:I,0)),"")</f>
        <v/>
      </c>
    </row>
    <row r="16" spans="1:8" ht="20.100000000000001" customHeight="1" x14ac:dyDescent="0.25">
      <c r="A16" s="74" t="s">
        <v>1458</v>
      </c>
      <c r="B16" s="74" t="s">
        <v>283</v>
      </c>
      <c r="C16" s="74" t="str">
        <f>Year_DestinationYearID&amp;" Amount"</f>
        <v>2024 Amount</v>
      </c>
      <c r="D16" s="77" t="str">
        <f ca="1">IFERROR(INDEX(Validation!G:G,MATCH("HSS"&amp;CELL("address",D16),Validation!I:I,0)),"")</f>
        <v/>
      </c>
      <c r="E16" s="66" t="str">
        <f ca="1">IFERROR(INDEX(Validation!F:F,MATCH("HSS"&amp;CELL("address",D16),Validation!I:I,0)),"")</f>
        <v/>
      </c>
    </row>
    <row r="17" spans="1:8" x14ac:dyDescent="0.25">
      <c r="A17" s="66" t="s">
        <v>1470</v>
      </c>
      <c r="B17" s="104" t="str">
        <f>IF(ISBLANK(TIF_DistrictAnnual_HssIncrementPriorAdj_Input),"",TIF_DistrictAnnual_HssIncrementPriorAdj_Input)</f>
        <v/>
      </c>
      <c r="C17" s="104"/>
      <c r="D17" s="77" t="str">
        <f ca="1">IFERROR(INDEX(Validation!G:G,MATCH("HSS"&amp;CELL("address",D17),Validation!I:I,0)),"")</f>
        <v/>
      </c>
      <c r="E17" s="66" t="str">
        <f ca="1">IFERROR(INDEX(Validation!F:F,MATCH("HSS"&amp;CELL("address",D17),Validation!I:I,0)),"")</f>
        <v/>
      </c>
      <c r="F17" s="85"/>
      <c r="G17" s="85" t="str">
        <f>TIF_DistrictAnnual_HssIncrementPriorAdj_Entry</f>
        <v/>
      </c>
      <c r="H17" s="86" t="s">
        <v>1541</v>
      </c>
    </row>
    <row r="18" spans="1:8" ht="20.100000000000001" customHeight="1" x14ac:dyDescent="0.25">
      <c r="A18" s="74" t="s">
        <v>1454</v>
      </c>
      <c r="B18" s="74" t="s">
        <v>283</v>
      </c>
      <c r="C18" s="74" t="str">
        <f>Year_DestinationYearID&amp;" Amount"</f>
        <v>2024 Amount</v>
      </c>
      <c r="D18" s="77" t="str">
        <f ca="1">IFERROR(INDEX(Validation!G:G,MATCH("HSS"&amp;CELL("address",D18),Validation!I:I,0)),"")</f>
        <v/>
      </c>
      <c r="E18" s="66" t="str">
        <f ca="1">IFERROR(INDEX(Validation!F:F,MATCH("HSS"&amp;CELL("address",D18),Validation!I:I,0)),"")</f>
        <v/>
      </c>
    </row>
    <row r="19" spans="1:8" x14ac:dyDescent="0.25">
      <c r="A19" s="66" t="s">
        <v>1456</v>
      </c>
      <c r="B19" s="104" t="str">
        <f>IF(ISBLANK(TIF_DistrictAnnual_HssRemedialCostPriorAdj_Input),"",TIF_DistrictAnnual_HssRemedialCostPriorAdj_Input)</f>
        <v/>
      </c>
      <c r="C19" s="104"/>
      <c r="D19" s="77" t="str">
        <f ca="1">IFERROR(INDEX(Validation!G:G,MATCH("HSS"&amp;CELL("address",D19),Validation!I:I,0)),"")</f>
        <v/>
      </c>
      <c r="E19" s="66" t="str">
        <f ca="1">IFERROR(INDEX(Validation!F:F,MATCH("HSS"&amp;CELL("address",D19),Validation!I:I,0)),"")</f>
        <v/>
      </c>
      <c r="F19" s="85"/>
      <c r="G19" s="85" t="str">
        <f>TIF_DistrictAnnual_HssRemedialCostPriorAdj_Entry</f>
        <v/>
      </c>
      <c r="H19" s="86" t="s">
        <v>1542</v>
      </c>
    </row>
    <row r="20" spans="1:8" x14ac:dyDescent="0.25">
      <c r="A20" s="66" t="s">
        <v>1457</v>
      </c>
      <c r="B20" s="104" t="str">
        <f>IF(ISBLANK(TIF_DistrictAnnual_HssTestDemoSoilCostPriorAdj_Input),"",TIF_DistrictAnnual_HssTestDemoSoilCostPriorAdj_Input)</f>
        <v/>
      </c>
      <c r="C20" s="104"/>
      <c r="D20" s="77" t="str">
        <f ca="1">IFERROR(INDEX(Validation!G:G,MATCH("HSS"&amp;CELL("address",D20),Validation!I:I,0)),"")</f>
        <v/>
      </c>
      <c r="E20" s="66" t="str">
        <f ca="1">IFERROR(INDEX(Validation!F:F,MATCH("HSS"&amp;CELL("address",D20),Validation!I:I,0)),"")</f>
        <v/>
      </c>
      <c r="F20" s="85"/>
      <c r="G20" s="85" t="str">
        <f>TIF_DistrictAnnual_HssTestDemoSoilCostPriorAdj_Entry</f>
        <v/>
      </c>
      <c r="H20" s="86" t="s">
        <v>1543</v>
      </c>
    </row>
    <row r="21" spans="1:8" x14ac:dyDescent="0.25">
      <c r="A21" s="66" t="s">
        <v>1459</v>
      </c>
      <c r="B21" s="104" t="str">
        <f>IF(ISBLANK(TIF_DistrictAnnual_HssInsurGuarantyCostPriorAdj_Input),"",TIF_DistrictAnnual_HssInsurGuarantyCostPriorAdj_Input)</f>
        <v/>
      </c>
      <c r="C21" s="104"/>
      <c r="D21" s="77" t="str">
        <f ca="1">IFERROR(INDEX(Validation!G:G,MATCH("HSS"&amp;CELL("address",D21),Validation!I:I,0)),"")</f>
        <v/>
      </c>
      <c r="E21" s="66" t="str">
        <f ca="1">IFERROR(INDEX(Validation!F:F,MATCH("HSS"&amp;CELL("address",D21),Validation!I:I,0)),"")</f>
        <v/>
      </c>
      <c r="F21" s="85"/>
      <c r="G21" s="85" t="str">
        <f>TIF_DistrictAnnual_HssInsurGuarantyCostPriorAdj_Entry</f>
        <v/>
      </c>
      <c r="H21" s="86" t="s">
        <v>1544</v>
      </c>
    </row>
    <row r="22" spans="1:8" x14ac:dyDescent="0.25">
      <c r="A22" s="66" t="s">
        <v>168</v>
      </c>
      <c r="B22" s="104" t="str">
        <f>IF(ISBLANK(TIF_DistrictAnnual_HssAdminCostPriorAdj_Input),"",TIF_DistrictAnnual_HssAdminCostPriorAdj_Input)</f>
        <v/>
      </c>
      <c r="C22" s="104"/>
      <c r="D22" s="77" t="str">
        <f ca="1">IFERROR(INDEX(Validation!G:G,MATCH("HSS"&amp;CELL("address",D22),Validation!I:I,0)),"")</f>
        <v/>
      </c>
      <c r="E22" s="66" t="str">
        <f ca="1">IFERROR(INDEX(Validation!F:F,MATCH("HSS"&amp;CELL("address",D22),Validation!I:I,0)),"")</f>
        <v/>
      </c>
      <c r="F22" s="85"/>
      <c r="G22" s="85" t="str">
        <f>TIF_DistrictAnnual_HssAdminCostPriorAdj_Entry</f>
        <v/>
      </c>
      <c r="H22" s="86" t="s">
        <v>1545</v>
      </c>
    </row>
    <row r="23" spans="1:8" x14ac:dyDescent="0.25">
      <c r="A23" s="66" t="s">
        <v>1587</v>
      </c>
      <c r="B23" s="104" t="str">
        <f>IF(ISBLANK(TIF_DistrictAnnual_HssFinancingCostPriorAdj_Input),"",TIF_DistrictAnnual_HssFinancingCostPriorAdj_Input)</f>
        <v/>
      </c>
      <c r="C23" s="104"/>
      <c r="D23" s="77" t="str">
        <f ca="1">IFERROR(INDEX(Validation!G:G,MATCH("HSS"&amp;CELL("address",D23),Validation!I:I,0)),"")</f>
        <v/>
      </c>
      <c r="E23" s="66" t="str">
        <f ca="1">IFERROR(INDEX(Validation!F:F,MATCH("HSS"&amp;CELL("address",D23),Validation!I:I,0)),"")</f>
        <v/>
      </c>
      <c r="F23" s="85"/>
      <c r="G23" s="85" t="str">
        <f>TIF_DistrictAnnual_HssFinancingCostPriorAdj_Entry</f>
        <v/>
      </c>
      <c r="H23" s="86" t="s">
        <v>1546</v>
      </c>
    </row>
    <row r="24" spans="1:8" x14ac:dyDescent="0.25">
      <c r="A24" s="66" t="s">
        <v>1577</v>
      </c>
      <c r="B24" s="159">
        <f>SUM(B19:B23)</f>
        <v>0</v>
      </c>
      <c r="C24" s="159">
        <f>SUM(C19:C23)</f>
        <v>0</v>
      </c>
      <c r="D24" s="77" t="str">
        <f ca="1">IFERROR(INDEX(Validation!G:G,MATCH("HSS"&amp;CELL("address",D24),Validation!I:I,0)),"")</f>
        <v/>
      </c>
      <c r="E24" s="66" t="str">
        <f ca="1">IFERROR(INDEX(Validation!F:F,MATCH("HSS"&amp;CELL("address",D24),Validation!I:I,0)),"")</f>
        <v/>
      </c>
      <c r="H24" s="86"/>
    </row>
    <row r="25" spans="1:8" ht="20.100000000000001" customHeight="1" x14ac:dyDescent="0.25">
      <c r="A25" s="74" t="s">
        <v>1530</v>
      </c>
      <c r="B25" s="74" t="s">
        <v>274</v>
      </c>
      <c r="D25" s="77" t="str">
        <f ca="1">IFERROR(INDEX(Validation!G:G,MATCH("HSS"&amp;CELL("address",D25),Validation!I:I,0)),"")</f>
        <v/>
      </c>
      <c r="E25" s="66" t="str">
        <f ca="1">IFERROR(INDEX(Validation!F:F,MATCH("HSS"&amp;CELL("address",D25),Validation!I:I,0)),"")</f>
        <v/>
      </c>
    </row>
    <row r="26" spans="1:8" ht="15" customHeight="1" x14ac:dyDescent="0.25">
      <c r="A26" s="66" t="s">
        <v>1578</v>
      </c>
      <c r="B26" s="103" t="str">
        <f>IF(TIF_DistrictAnnual_HssRecoveredCostsInd_Input=TRUE,"Yes",IF(TIF_Plan_HssInd_Entry="Yes","Select One",""))</f>
        <v/>
      </c>
      <c r="D26" s="77" t="str">
        <f ca="1">IFERROR(INDEX(Validation!G:G,MATCH("HSS"&amp;CELL("address",D26),Validation!I:I,0)),"")</f>
        <v/>
      </c>
      <c r="E26" s="66" t="str">
        <f ca="1">IFERROR(INDEX(Validation!F:F,MATCH("HSS"&amp;CELL("address",D26),Validation!I:I,0)),"")</f>
        <v/>
      </c>
      <c r="F26" s="85"/>
      <c r="G26" s="85" t="b">
        <f>IF(TIF_DistrictAnnual_HssRecoveredCostsInd_Entry="Yes",TRUE,FALSE)</f>
        <v>0</v>
      </c>
      <c r="H26" s="86" t="s">
        <v>1579</v>
      </c>
    </row>
    <row r="27" spans="1:8" x14ac:dyDescent="0.25">
      <c r="A27" s="66" t="s">
        <v>1531</v>
      </c>
      <c r="B27" s="104" t="str">
        <f>IF(ISBLANK(TIF_DistrictAnnual_HssRecoveredCosts_Input),"",TIF_DistrictAnnual_HssRecoveredCosts_Input)</f>
        <v/>
      </c>
      <c r="D27" s="77" t="str">
        <f ca="1">IFERROR(INDEX(Validation!G:G,MATCH("HSS"&amp;CELL("address",D27),Validation!I:I,0)),"")</f>
        <v/>
      </c>
      <c r="E27" s="66" t="str">
        <f ca="1">IFERROR(INDEX(Validation!F:F,MATCH("HSS"&amp;CELL("address",D27),Validation!I:I,0)),"")</f>
        <v/>
      </c>
      <c r="F27" s="85"/>
      <c r="G27" s="85" t="str">
        <f>TIF_DistrictAnnual_HssRecoveredCosts_Entry</f>
        <v/>
      </c>
      <c r="H27" s="86" t="s">
        <v>1547</v>
      </c>
    </row>
    <row r="28" spans="1:8" x14ac:dyDescent="0.25">
      <c r="A28" s="66" t="s">
        <v>1582</v>
      </c>
      <c r="B28" s="104" t="str">
        <f>IF(ISBLANK(TIF_DistrictAnnual_HssPCAReimbursement_Input),"",TIF_DistrictAnnual_HssPCAReimbursement_Input)</f>
        <v/>
      </c>
      <c r="D28" s="77" t="str">
        <f ca="1">IFERROR(INDEX(Validation!G:G,MATCH("HSS"&amp;CELL("address",D28),Validation!I:I,0)),"")</f>
        <v/>
      </c>
      <c r="E28" s="66" t="str">
        <f ca="1">IFERROR(INDEX(Validation!F:F,MATCH("HSS"&amp;CELL("address",D28),Validation!I:I,0)),"")</f>
        <v/>
      </c>
      <c r="F28" s="85"/>
      <c r="G28" s="85" t="str">
        <f>TIF_DistrictAnnual_HssPCAReimbursement_Entry</f>
        <v/>
      </c>
      <c r="H28" s="86" t="s">
        <v>1548</v>
      </c>
    </row>
    <row r="29" spans="1:8" x14ac:dyDescent="0.25">
      <c r="A29" s="66" t="s">
        <v>1583</v>
      </c>
      <c r="B29" s="104" t="str">
        <f>IF(ISBLANK(TIF_DistrictAnnual_HssAttyGenReimbursement_Input),"",TIF_DistrictAnnual_HssAttyGenReimbursement_Input)</f>
        <v/>
      </c>
      <c r="D29" s="77" t="str">
        <f ca="1">IFERROR(INDEX(Validation!G:G,MATCH("HSS"&amp;CELL("address",D29),Validation!I:I,0)),"")</f>
        <v/>
      </c>
      <c r="E29" s="66" t="str">
        <f ca="1">IFERROR(INDEX(Validation!F:F,MATCH("HSS"&amp;CELL("address",D29),Validation!I:I,0)),"")</f>
        <v/>
      </c>
      <c r="F29" s="85"/>
      <c r="G29" s="85" t="str">
        <f>TIF_DistrictAnnual_HssAttyGenReimbursement_Entry</f>
        <v/>
      </c>
      <c r="H29" s="86" t="s">
        <v>1549</v>
      </c>
    </row>
    <row r="30" spans="1:8" x14ac:dyDescent="0.25">
      <c r="A30" s="66" t="s">
        <v>1584</v>
      </c>
      <c r="B30" s="159" t="str">
        <f>IFERROR(B27-B28-B29,"")</f>
        <v/>
      </c>
      <c r="D30" s="77" t="str">
        <f ca="1">IFERROR(INDEX(Validation!G:G,MATCH("HSS"&amp;CELL("address",D30),Validation!I:I,0)),"")</f>
        <v/>
      </c>
      <c r="E30" s="66" t="str">
        <f ca="1">IFERROR(INDEX(Validation!F:F,MATCH("HSS"&amp;CELL("address",D30),Validation!I:I,0)),"")</f>
        <v/>
      </c>
      <c r="F30" s="85"/>
      <c r="G30" s="85" t="str">
        <f>TIF_DistrictAnnual_HssNetRecoveredCost_Entry</f>
        <v/>
      </c>
      <c r="H30" s="86" t="s">
        <v>1550</v>
      </c>
    </row>
    <row r="31" spans="1:8" x14ac:dyDescent="0.25">
      <c r="A31" s="66" t="s">
        <v>1590</v>
      </c>
      <c r="B31" s="103" t="str">
        <f>IF(TIF_DistrictAnnnual_HssRecoveredCostReturnInd_Input=TRUE,IF(AND(TIF_DistrictAnnual_HssRecoveredCosts_Entry=TIF_DistrictAnnual_HssRecoveredCosts_Input,TIF_DistrictAnnual_HssPCAReimbursement_Entry=TIF_DistrictAnnual_HssPCAReimbursement_Input,TIF_DistrictAnnual_HssAttyGenReimbursement_Entry=TIF_DistrictAnnual_HssAttyGenReimbursement_Input),"Yes","Select One"),IF(TIF_DistrictAnnual_HssNetRecoveredCost_Entry&lt;=0,"","Select One"))</f>
        <v>Select One</v>
      </c>
      <c r="D31" s="77" t="str">
        <f ca="1">IFERROR(INDEX(Validation!G:G,MATCH("HSS"&amp;CELL("address",D31),Validation!I:I,0)),"")</f>
        <v>You must select Yes or No.</v>
      </c>
      <c r="E31" s="66" t="str">
        <f ca="1">IFERROR(INDEX(Validation!F:F,MATCH("HSS"&amp;CELL("address",D31),Validation!I:I,0)),"")</f>
        <v>Error</v>
      </c>
      <c r="F31" s="85"/>
      <c r="G31" s="85" t="b">
        <f>IF(TIF_DistrictAnnnual_HssRecoveredCostReturnInd_Entry="Yes",TRUE,FALSE)</f>
        <v>0</v>
      </c>
      <c r="H31" s="86" t="s">
        <v>1593</v>
      </c>
    </row>
    <row r="32" spans="1:8" ht="20.100000000000001" customHeight="1" x14ac:dyDescent="0.25">
      <c r="A32" s="97" t="s">
        <v>176</v>
      </c>
      <c r="D32" s="77" t="str">
        <f ca="1">IFERROR(INDEX(Validation!G:G,MATCH("HSS"&amp;CELL("address",D32),Validation!I:I,0)),"")</f>
        <v/>
      </c>
      <c r="E32" s="66" t="str">
        <f ca="1">IFERROR(INDEX(Validation!F:F,MATCH("HSS"&amp;CELL("address",D32),Validation!I:I,0)),"")</f>
        <v/>
      </c>
    </row>
    <row r="33" spans="1:3" ht="150" customHeight="1" x14ac:dyDescent="0.25">
      <c r="A33" s="164"/>
      <c r="B33" s="100" t="str">
        <f>HYPERLINK("#'Parcels'!B6","Click here to continue to the Parcels Tab")</f>
        <v>Click here to continue to the Parcels Tab</v>
      </c>
      <c r="C33" s="100"/>
    </row>
  </sheetData>
  <sheetProtection algorithmName="SHA-512" hashValue="HYhnVwQafsSPNDt5AP6mNfbPQwmiiaLZ6UqC6u4T5H8PpskJo7XLQIIbB0NUYcq4Qq6SDp/KIrHxnX15zSfYIw==" saltValue="Fef3uvA/w0FTCSTQYOO0GQ==" spinCount="100000" sheet="1" objects="1" scenarios="1"/>
  <mergeCells count="1">
    <mergeCell ref="A4:E4"/>
  </mergeCells>
  <conditionalFormatting sqref="A27:C31">
    <cfRule type="expression" dxfId="521" priority="1">
      <formula>AND($B$26="No",$F$26&lt;&gt;TRUE)</formula>
    </cfRule>
  </conditionalFormatting>
  <conditionalFormatting sqref="A7:E33">
    <cfRule type="expression" dxfId="520" priority="368">
      <formula>$B$6="No"</formula>
    </cfRule>
  </conditionalFormatting>
  <conditionalFormatting sqref="B6:C32">
    <cfRule type="expression" dxfId="519" priority="11">
      <formula>$B6&lt;&gt;TRUNC($B6,0)</formula>
    </cfRule>
    <cfRule type="expression" dxfId="518" priority="13">
      <formula>$E6="Error"</formula>
    </cfRule>
  </conditionalFormatting>
  <conditionalFormatting sqref="D6:E32">
    <cfRule type="expression" dxfId="517" priority="12">
      <formula>$E6="Information"</formula>
    </cfRule>
    <cfRule type="expression" dxfId="516" priority="14">
      <formula>$E6="Error"</formula>
    </cfRule>
    <cfRule type="expression" dxfId="515" priority="15">
      <formula>$E6="Alert"</formula>
    </cfRule>
  </conditionalFormatting>
  <dataValidations count="1">
    <dataValidation type="list" allowBlank="1" showInputMessage="1" showErrorMessage="1" sqref="B6 B14 B31 B26" xr:uid="{9FC57B1A-7855-453B-BE5C-6850BD6F2E56}">
      <formula1>SelOneYesNo</formula1>
    </dataValidation>
  </dataValidation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EC346-FCA7-49E5-918D-DA2BA065BA45}">
  <sheetPr>
    <tabColor rgb="FFFFC000"/>
  </sheetPr>
  <dimension ref="A1:R45"/>
  <sheetViews>
    <sheetView workbookViewId="0">
      <selection activeCell="C17" sqref="C17"/>
    </sheetView>
  </sheetViews>
  <sheetFormatPr defaultRowHeight="15" x14ac:dyDescent="0.25"/>
  <cols>
    <col min="1" max="1" width="55.7109375" customWidth="1"/>
    <col min="2" max="2" width="48.7109375" customWidth="1"/>
    <col min="3" max="3" width="14.7109375" customWidth="1"/>
    <col min="4" max="4" width="10.7109375" bestFit="1" customWidth="1"/>
  </cols>
  <sheetData>
    <row r="1" spans="1:18" s="43" customFormat="1" ht="24.95" customHeight="1" x14ac:dyDescent="0.3">
      <c r="A1" s="29" t="s">
        <v>757</v>
      </c>
    </row>
    <row r="2" spans="1:18" s="8" customFormat="1" ht="45" customHeight="1" x14ac:dyDescent="0.25">
      <c r="A2" s="9" t="s">
        <v>665</v>
      </c>
    </row>
    <row r="3" spans="1:18" s="9" customFormat="1" x14ac:dyDescent="0.25">
      <c r="A3" s="6"/>
      <c r="B3" t="s">
        <v>506</v>
      </c>
      <c r="C3" s="6" t="s">
        <v>203</v>
      </c>
      <c r="D3" s="6" t="s">
        <v>651</v>
      </c>
      <c r="E3" s="6" t="s">
        <v>652</v>
      </c>
      <c r="F3" s="6" t="s">
        <v>653</v>
      </c>
      <c r="G3" s="6" t="s">
        <v>654</v>
      </c>
      <c r="H3" s="6" t="s">
        <v>655</v>
      </c>
      <c r="I3" s="6" t="s">
        <v>656</v>
      </c>
      <c r="J3" s="6" t="s">
        <v>657</v>
      </c>
      <c r="K3" s="6" t="s">
        <v>658</v>
      </c>
      <c r="L3" s="6" t="s">
        <v>659</v>
      </c>
      <c r="M3" s="6" t="s">
        <v>660</v>
      </c>
      <c r="N3" s="6" t="s">
        <v>661</v>
      </c>
      <c r="O3" s="6" t="s">
        <v>662</v>
      </c>
      <c r="P3" s="6" t="s">
        <v>663</v>
      </c>
      <c r="Q3" s="6" t="s">
        <v>664</v>
      </c>
      <c r="R3" t="s">
        <v>739</v>
      </c>
    </row>
    <row r="4" spans="1:18" s="9" customFormat="1" x14ac:dyDescent="0.25">
      <c r="A4" s="7" t="s">
        <v>1006</v>
      </c>
      <c r="B4" t="s">
        <v>1004</v>
      </c>
      <c r="C4" s="53">
        <v>2346</v>
      </c>
      <c r="D4" s="53">
        <v>2347</v>
      </c>
      <c r="E4" s="53"/>
      <c r="F4" s="53"/>
      <c r="G4" s="53"/>
      <c r="H4" s="53"/>
      <c r="I4" s="53"/>
      <c r="J4" s="53"/>
      <c r="K4" s="53"/>
      <c r="L4" s="53"/>
      <c r="M4" s="53"/>
      <c r="N4" s="53"/>
      <c r="O4" s="53"/>
      <c r="P4" s="53"/>
      <c r="Q4" s="53"/>
      <c r="R4" s="45" t="s">
        <v>1329</v>
      </c>
    </row>
    <row r="5" spans="1:18" x14ac:dyDescent="0.25">
      <c r="A5" s="7" t="s">
        <v>210</v>
      </c>
      <c r="B5" t="s">
        <v>668</v>
      </c>
      <c r="C5" s="28" t="s">
        <v>1674</v>
      </c>
      <c r="D5" s="28" t="s">
        <v>1675</v>
      </c>
      <c r="E5" s="28"/>
      <c r="F5" s="28"/>
      <c r="G5" s="28"/>
      <c r="H5" s="28"/>
      <c r="I5" s="28"/>
      <c r="J5" s="28"/>
      <c r="K5" s="28"/>
      <c r="L5" s="28"/>
      <c r="M5" s="28"/>
      <c r="N5" s="28"/>
      <c r="O5" s="28"/>
      <c r="P5" s="28"/>
      <c r="Q5" s="28"/>
      <c r="R5" s="45" t="s">
        <v>740</v>
      </c>
    </row>
    <row r="6" spans="1:18" x14ac:dyDescent="0.25">
      <c r="A6" s="7" t="s">
        <v>211</v>
      </c>
      <c r="B6" t="s">
        <v>669</v>
      </c>
      <c r="C6" s="37">
        <v>42870</v>
      </c>
      <c r="D6" s="37">
        <v>42968</v>
      </c>
      <c r="E6" s="28"/>
      <c r="F6" s="28"/>
      <c r="G6" s="28"/>
      <c r="H6" s="28"/>
      <c r="I6" s="28"/>
      <c r="J6" s="28"/>
      <c r="K6" s="28"/>
      <c r="L6" s="28"/>
      <c r="M6" s="28"/>
      <c r="N6" s="28"/>
      <c r="O6" s="28"/>
      <c r="P6" s="28"/>
      <c r="Q6" s="28"/>
      <c r="R6" s="45" t="s">
        <v>741</v>
      </c>
    </row>
    <row r="7" spans="1:18" x14ac:dyDescent="0.25">
      <c r="A7" s="7" t="s">
        <v>212</v>
      </c>
      <c r="B7" t="s">
        <v>667</v>
      </c>
      <c r="C7" s="37">
        <v>47118</v>
      </c>
      <c r="D7" s="37">
        <v>47483</v>
      </c>
      <c r="E7" s="28"/>
      <c r="F7" s="28"/>
      <c r="G7" s="28"/>
      <c r="H7" s="28"/>
      <c r="I7" s="28"/>
      <c r="J7" s="28"/>
      <c r="K7" s="28"/>
      <c r="L7" s="28"/>
      <c r="M7" s="28"/>
      <c r="N7" s="28"/>
      <c r="O7" s="28"/>
      <c r="P7" s="28"/>
      <c r="Q7" s="28"/>
      <c r="R7" s="45" t="s">
        <v>742</v>
      </c>
    </row>
    <row r="8" spans="1:18" x14ac:dyDescent="0.25">
      <c r="A8" s="7" t="s">
        <v>213</v>
      </c>
      <c r="B8" t="s">
        <v>670</v>
      </c>
      <c r="C8" s="28">
        <v>0</v>
      </c>
      <c r="D8" s="28">
        <v>0</v>
      </c>
      <c r="E8" s="28"/>
      <c r="F8" s="28"/>
      <c r="G8" s="28"/>
      <c r="H8" s="28"/>
      <c r="I8" s="28"/>
      <c r="J8" s="28"/>
      <c r="K8" s="28"/>
      <c r="L8" s="28"/>
      <c r="M8" s="28"/>
      <c r="N8" s="28"/>
      <c r="O8" s="28"/>
      <c r="P8" s="28"/>
      <c r="Q8" s="28"/>
      <c r="R8" s="45" t="s">
        <v>743</v>
      </c>
    </row>
    <row r="9" spans="1:18" x14ac:dyDescent="0.25">
      <c r="A9" s="7" t="s">
        <v>214</v>
      </c>
      <c r="B9" t="s">
        <v>671</v>
      </c>
      <c r="C9" s="28">
        <v>0</v>
      </c>
      <c r="D9" s="28">
        <v>0</v>
      </c>
      <c r="E9" s="28"/>
      <c r="F9" s="28"/>
      <c r="G9" s="28"/>
      <c r="H9" s="28"/>
      <c r="I9" s="28"/>
      <c r="J9" s="28"/>
      <c r="K9" s="28"/>
      <c r="L9" s="28"/>
      <c r="M9" s="28"/>
      <c r="N9" s="28"/>
      <c r="O9" s="28"/>
      <c r="P9" s="28"/>
      <c r="Q9" s="28"/>
      <c r="R9" s="45" t="s">
        <v>744</v>
      </c>
    </row>
    <row r="10" spans="1:18" x14ac:dyDescent="0.25">
      <c r="A10" s="7" t="s">
        <v>235</v>
      </c>
      <c r="B10" t="s">
        <v>666</v>
      </c>
      <c r="C10" s="28">
        <v>268643</v>
      </c>
      <c r="D10" s="28">
        <v>73125</v>
      </c>
      <c r="E10" s="28"/>
      <c r="F10" s="28"/>
      <c r="G10" s="28"/>
      <c r="H10" s="28"/>
      <c r="I10" s="28"/>
      <c r="J10" s="28"/>
      <c r="K10" s="28"/>
      <c r="L10" s="28"/>
      <c r="M10" s="28"/>
      <c r="N10" s="28"/>
      <c r="O10" s="28"/>
      <c r="P10" s="28"/>
      <c r="Q10" s="28"/>
      <c r="R10" s="45" t="s">
        <v>1330</v>
      </c>
    </row>
    <row r="11" spans="1:18" x14ac:dyDescent="0.25">
      <c r="A11" s="7" t="s">
        <v>232</v>
      </c>
      <c r="B11" s="32" t="s">
        <v>690</v>
      </c>
      <c r="C11" s="28" t="b">
        <v>1</v>
      </c>
      <c r="D11" s="28" t="b">
        <v>1</v>
      </c>
      <c r="E11" s="28"/>
      <c r="F11" s="28"/>
      <c r="G11" s="28"/>
      <c r="H11" s="28"/>
      <c r="I11" s="28"/>
      <c r="J11" s="28"/>
      <c r="K11" s="28"/>
      <c r="L11" s="28"/>
      <c r="M11" s="28"/>
      <c r="N11" s="28"/>
      <c r="O11" s="28"/>
      <c r="P11" s="28"/>
      <c r="Q11" s="28"/>
      <c r="R11" s="45" t="s">
        <v>1331</v>
      </c>
    </row>
    <row r="12" spans="1:18" x14ac:dyDescent="0.25">
      <c r="A12" s="7" t="s">
        <v>1193</v>
      </c>
      <c r="B12" s="32" t="s">
        <v>1312</v>
      </c>
      <c r="C12" s="28">
        <v>0</v>
      </c>
      <c r="D12" s="28">
        <v>0</v>
      </c>
      <c r="E12" s="28"/>
      <c r="F12" s="28"/>
      <c r="G12" s="28"/>
      <c r="H12" s="28"/>
      <c r="I12" s="28"/>
      <c r="J12" s="28"/>
      <c r="K12" s="28"/>
      <c r="L12" s="28"/>
      <c r="M12" s="28"/>
      <c r="N12" s="28"/>
      <c r="O12" s="28"/>
      <c r="P12" s="28"/>
      <c r="Q12" s="28"/>
      <c r="R12" s="45" t="s">
        <v>745</v>
      </c>
    </row>
    <row r="13" spans="1:18" x14ac:dyDescent="0.25">
      <c r="A13" s="33" t="s">
        <v>1195</v>
      </c>
      <c r="B13" s="34" t="s">
        <v>685</v>
      </c>
      <c r="C13" s="35"/>
      <c r="D13" s="35"/>
      <c r="E13" s="35"/>
      <c r="F13" s="35"/>
      <c r="G13" s="35"/>
      <c r="H13" s="35"/>
      <c r="I13" s="35"/>
      <c r="J13" s="35"/>
      <c r="K13" s="35"/>
      <c r="L13" s="35"/>
      <c r="M13" s="35"/>
      <c r="N13" s="35"/>
      <c r="O13" s="35"/>
      <c r="P13" s="35"/>
      <c r="Q13" s="35"/>
      <c r="R13" s="56"/>
    </row>
    <row r="14" spans="1:18" x14ac:dyDescent="0.25">
      <c r="A14" s="7" t="s">
        <v>1197</v>
      </c>
      <c r="B14" s="32" t="s">
        <v>1313</v>
      </c>
      <c r="C14" s="28">
        <v>268643</v>
      </c>
      <c r="D14" s="28">
        <v>73125</v>
      </c>
      <c r="E14" s="28"/>
      <c r="F14" s="28"/>
      <c r="G14" s="28"/>
      <c r="H14" s="28"/>
      <c r="I14" s="28"/>
      <c r="J14" s="28"/>
      <c r="K14" s="28"/>
      <c r="L14" s="28"/>
      <c r="M14" s="28"/>
      <c r="N14" s="28"/>
      <c r="O14" s="28"/>
      <c r="P14" s="28"/>
      <c r="Q14" s="28"/>
      <c r="R14" s="45" t="s">
        <v>746</v>
      </c>
    </row>
    <row r="15" spans="1:18" x14ac:dyDescent="0.25">
      <c r="A15" s="33" t="s">
        <v>1199</v>
      </c>
      <c r="B15" s="34" t="s">
        <v>686</v>
      </c>
      <c r="C15" s="35"/>
      <c r="D15" s="35"/>
      <c r="E15" s="35"/>
      <c r="F15" s="35"/>
      <c r="G15" s="35"/>
      <c r="H15" s="35"/>
      <c r="I15" s="35"/>
      <c r="J15" s="35"/>
      <c r="K15" s="35"/>
      <c r="L15" s="35"/>
      <c r="M15" s="35"/>
      <c r="N15" s="35"/>
      <c r="O15" s="35"/>
      <c r="P15" s="35"/>
      <c r="Q15" s="35"/>
      <c r="R15" s="56"/>
    </row>
    <row r="16" spans="1:18" x14ac:dyDescent="0.25">
      <c r="A16" s="7" t="s">
        <v>1201</v>
      </c>
      <c r="B16" s="32" t="s">
        <v>1314</v>
      </c>
      <c r="C16" s="28">
        <v>0</v>
      </c>
      <c r="D16" s="28">
        <v>0</v>
      </c>
      <c r="E16" s="28"/>
      <c r="F16" s="28"/>
      <c r="G16" s="28"/>
      <c r="H16" s="28"/>
      <c r="I16" s="28"/>
      <c r="J16" s="28"/>
      <c r="K16" s="28"/>
      <c r="L16" s="28"/>
      <c r="M16" s="28"/>
      <c r="N16" s="28"/>
      <c r="O16" s="28"/>
      <c r="P16" s="28"/>
      <c r="Q16" s="28"/>
      <c r="R16" s="45" t="s">
        <v>747</v>
      </c>
    </row>
    <row r="17" spans="1:18" x14ac:dyDescent="0.25">
      <c r="A17" s="33" t="s">
        <v>1203</v>
      </c>
      <c r="B17" s="34" t="s">
        <v>687</v>
      </c>
      <c r="C17" s="35"/>
      <c r="D17" s="35"/>
      <c r="E17" s="35"/>
      <c r="F17" s="35"/>
      <c r="G17" s="35"/>
      <c r="H17" s="35"/>
      <c r="I17" s="35"/>
      <c r="J17" s="35"/>
      <c r="K17" s="35"/>
      <c r="L17" s="35"/>
      <c r="M17" s="35"/>
      <c r="N17" s="35"/>
      <c r="O17" s="35"/>
      <c r="P17" s="35"/>
      <c r="Q17" s="35"/>
      <c r="R17" s="56"/>
    </row>
    <row r="18" spans="1:18" x14ac:dyDescent="0.25">
      <c r="A18" s="7" t="s">
        <v>1205</v>
      </c>
      <c r="B18" s="32" t="s">
        <v>1315</v>
      </c>
      <c r="C18" s="28">
        <v>0</v>
      </c>
      <c r="D18" s="28">
        <v>0</v>
      </c>
      <c r="E18" s="28"/>
      <c r="F18" s="28"/>
      <c r="G18" s="28"/>
      <c r="H18" s="28"/>
      <c r="I18" s="28"/>
      <c r="J18" s="28"/>
      <c r="K18" s="28"/>
      <c r="L18" s="28"/>
      <c r="M18" s="28"/>
      <c r="N18" s="28"/>
      <c r="O18" s="28"/>
      <c r="P18" s="28"/>
      <c r="Q18" s="28"/>
      <c r="R18" s="45" t="s">
        <v>748</v>
      </c>
    </row>
    <row r="19" spans="1:18" x14ac:dyDescent="0.25">
      <c r="A19" s="33" t="s">
        <v>1207</v>
      </c>
      <c r="B19" s="34" t="s">
        <v>688</v>
      </c>
      <c r="C19" s="35"/>
      <c r="D19" s="35"/>
      <c r="E19" s="35"/>
      <c r="F19" s="35"/>
      <c r="G19" s="35"/>
      <c r="H19" s="35"/>
      <c r="I19" s="35"/>
      <c r="J19" s="35"/>
      <c r="K19" s="35"/>
      <c r="L19" s="35"/>
      <c r="M19" s="35"/>
      <c r="N19" s="35"/>
      <c r="O19" s="35"/>
      <c r="P19" s="35"/>
      <c r="Q19" s="35"/>
      <c r="R19" s="56"/>
    </row>
    <row r="20" spans="1:18" x14ac:dyDescent="0.25">
      <c r="A20" s="7" t="s">
        <v>1211</v>
      </c>
      <c r="B20" s="32" t="s">
        <v>1316</v>
      </c>
      <c r="C20" s="28">
        <v>0</v>
      </c>
      <c r="D20" s="28">
        <v>0</v>
      </c>
      <c r="E20" s="28"/>
      <c r="F20" s="28"/>
      <c r="G20" s="28"/>
      <c r="H20" s="28"/>
      <c r="I20" s="28"/>
      <c r="J20" s="28"/>
      <c r="K20" s="28"/>
      <c r="L20" s="28"/>
      <c r="M20" s="28"/>
      <c r="N20" s="28"/>
      <c r="O20" s="28"/>
      <c r="P20" s="28"/>
      <c r="Q20" s="28"/>
      <c r="R20" s="45" t="s">
        <v>749</v>
      </c>
    </row>
    <row r="21" spans="1:18" x14ac:dyDescent="0.25">
      <c r="A21" s="33" t="s">
        <v>1213</v>
      </c>
      <c r="B21" s="34" t="s">
        <v>691</v>
      </c>
      <c r="C21" s="35"/>
      <c r="D21" s="35"/>
      <c r="E21" s="35"/>
      <c r="F21" s="35"/>
      <c r="G21" s="35"/>
      <c r="H21" s="35"/>
      <c r="I21" s="35"/>
      <c r="J21" s="35"/>
      <c r="K21" s="35"/>
      <c r="L21" s="35"/>
      <c r="M21" s="35"/>
      <c r="N21" s="35"/>
      <c r="O21" s="35"/>
      <c r="P21" s="35"/>
      <c r="Q21" s="35"/>
      <c r="R21" s="56"/>
    </row>
    <row r="22" spans="1:18" x14ac:dyDescent="0.25">
      <c r="A22" s="7" t="s">
        <v>1219</v>
      </c>
      <c r="B22" s="32" t="s">
        <v>1317</v>
      </c>
      <c r="C22" s="28">
        <v>0</v>
      </c>
      <c r="D22" s="28">
        <v>0</v>
      </c>
      <c r="E22" s="28"/>
      <c r="F22" s="28"/>
      <c r="G22" s="28"/>
      <c r="H22" s="28"/>
      <c r="I22" s="28"/>
      <c r="J22" s="28"/>
      <c r="K22" s="28"/>
      <c r="L22" s="28"/>
      <c r="M22" s="28"/>
      <c r="N22" s="28"/>
      <c r="O22" s="28"/>
      <c r="P22" s="28"/>
      <c r="Q22" s="28"/>
      <c r="R22" s="45" t="s">
        <v>750</v>
      </c>
    </row>
    <row r="23" spans="1:18" x14ac:dyDescent="0.25">
      <c r="A23" s="33" t="s">
        <v>1221</v>
      </c>
      <c r="B23" s="34" t="s">
        <v>689</v>
      </c>
      <c r="C23" s="35"/>
      <c r="D23" s="35"/>
      <c r="E23" s="35"/>
      <c r="F23" s="35"/>
      <c r="G23" s="35"/>
      <c r="H23" s="35"/>
      <c r="I23" s="35"/>
      <c r="J23" s="35"/>
      <c r="K23" s="35"/>
      <c r="L23" s="35"/>
      <c r="M23" s="35"/>
      <c r="N23" s="35"/>
      <c r="O23" s="35"/>
      <c r="P23" s="35"/>
      <c r="Q23" s="35"/>
      <c r="R23" s="56"/>
    </row>
    <row r="24" spans="1:18" x14ac:dyDescent="0.25">
      <c r="A24" s="33" t="s">
        <v>1318</v>
      </c>
      <c r="B24" s="36" t="s">
        <v>1320</v>
      </c>
      <c r="C24" s="35"/>
      <c r="D24" s="35"/>
      <c r="E24" s="35"/>
      <c r="F24" s="35"/>
      <c r="G24" s="35"/>
      <c r="H24" s="35"/>
      <c r="I24" s="35"/>
      <c r="J24" s="35"/>
      <c r="K24" s="35"/>
      <c r="L24" s="35"/>
      <c r="M24" s="35"/>
      <c r="N24" s="35"/>
      <c r="O24" s="35"/>
      <c r="P24" s="35"/>
      <c r="Q24" s="35"/>
      <c r="R24" s="56"/>
    </row>
    <row r="25" spans="1:18" x14ac:dyDescent="0.25">
      <c r="A25" s="33" t="s">
        <v>1319</v>
      </c>
      <c r="B25" s="36" t="s">
        <v>751</v>
      </c>
      <c r="C25" s="35"/>
      <c r="D25" s="35"/>
      <c r="E25" s="35"/>
      <c r="F25" s="35"/>
      <c r="G25" s="35"/>
      <c r="H25" s="35"/>
      <c r="I25" s="35"/>
      <c r="J25" s="35"/>
      <c r="K25" s="35"/>
      <c r="L25" s="35"/>
      <c r="M25" s="35"/>
      <c r="N25" s="35"/>
      <c r="O25" s="35"/>
      <c r="P25" s="35"/>
      <c r="Q25" s="35"/>
      <c r="R25" s="35"/>
    </row>
    <row r="26" spans="1:18" x14ac:dyDescent="0.25">
      <c r="A26" s="7" t="s">
        <v>1321</v>
      </c>
      <c r="B26" s="32" t="s">
        <v>1325</v>
      </c>
      <c r="C26" s="28"/>
      <c r="D26" s="28"/>
      <c r="E26" s="28"/>
      <c r="F26" s="28"/>
      <c r="G26" s="28"/>
      <c r="H26" s="28"/>
      <c r="I26" s="28"/>
      <c r="J26" s="28"/>
      <c r="K26" s="28"/>
      <c r="L26" s="28"/>
      <c r="M26" s="28"/>
      <c r="N26" s="28"/>
      <c r="O26" s="28"/>
      <c r="P26" s="28"/>
      <c r="Q26" s="28"/>
      <c r="R26" s="45" t="s">
        <v>1332</v>
      </c>
    </row>
    <row r="27" spans="1:18" x14ac:dyDescent="0.25">
      <c r="A27" s="33" t="s">
        <v>1322</v>
      </c>
      <c r="B27" s="36" t="s">
        <v>693</v>
      </c>
      <c r="C27" s="35"/>
      <c r="D27" s="35"/>
      <c r="E27" s="35"/>
      <c r="F27" s="35"/>
      <c r="G27" s="35"/>
      <c r="H27" s="35"/>
      <c r="I27" s="35"/>
      <c r="J27" s="35"/>
      <c r="K27" s="35"/>
      <c r="L27" s="35"/>
      <c r="M27" s="35"/>
      <c r="N27" s="35"/>
      <c r="O27" s="35"/>
      <c r="P27" s="35"/>
      <c r="Q27" s="35"/>
      <c r="R27" s="56"/>
    </row>
    <row r="28" spans="1:18" x14ac:dyDescent="0.25">
      <c r="A28" s="7" t="s">
        <v>1323</v>
      </c>
      <c r="B28" s="32" t="s">
        <v>1326</v>
      </c>
      <c r="C28" s="28"/>
      <c r="D28" s="28"/>
      <c r="E28" s="28"/>
      <c r="F28" s="28"/>
      <c r="G28" s="28"/>
      <c r="H28" s="28"/>
      <c r="I28" s="28"/>
      <c r="J28" s="28"/>
      <c r="K28" s="28"/>
      <c r="L28" s="28"/>
      <c r="M28" s="28"/>
      <c r="N28" s="28"/>
      <c r="O28" s="28"/>
      <c r="P28" s="28"/>
      <c r="Q28" s="28"/>
      <c r="R28" s="45" t="s">
        <v>1333</v>
      </c>
    </row>
    <row r="29" spans="1:18" x14ac:dyDescent="0.25">
      <c r="A29" s="33" t="s">
        <v>1324</v>
      </c>
      <c r="B29" s="36" t="s">
        <v>694</v>
      </c>
      <c r="C29" s="35"/>
      <c r="D29" s="35"/>
      <c r="E29" s="35"/>
      <c r="F29" s="35"/>
      <c r="G29" s="35"/>
      <c r="H29" s="35"/>
      <c r="I29" s="35"/>
      <c r="J29" s="35"/>
      <c r="K29" s="35"/>
      <c r="L29" s="35"/>
      <c r="M29" s="35"/>
      <c r="N29" s="35"/>
      <c r="O29" s="35"/>
      <c r="P29" s="35"/>
      <c r="Q29" s="35"/>
      <c r="R29" s="56"/>
    </row>
    <row r="30" spans="1:18" x14ac:dyDescent="0.25">
      <c r="A30" s="7" t="s">
        <v>1243</v>
      </c>
      <c r="B30" t="s">
        <v>672</v>
      </c>
      <c r="C30" s="28">
        <f>35472+14189</f>
        <v>49661</v>
      </c>
      <c r="D30" s="28">
        <f>4452+6775</f>
        <v>11227</v>
      </c>
      <c r="E30" s="28"/>
      <c r="F30" s="28"/>
      <c r="G30" s="28"/>
      <c r="H30" s="28"/>
      <c r="I30" s="28"/>
      <c r="J30" s="28"/>
      <c r="K30" s="28"/>
      <c r="L30" s="28"/>
      <c r="M30" s="28"/>
      <c r="N30" s="28"/>
      <c r="O30" s="28"/>
      <c r="P30" s="28"/>
      <c r="Q30" s="28"/>
      <c r="R30" s="45" t="s">
        <v>1334</v>
      </c>
    </row>
    <row r="31" spans="1:18" x14ac:dyDescent="0.25">
      <c r="A31" s="33" t="s">
        <v>1244</v>
      </c>
      <c r="B31" s="34" t="s">
        <v>674</v>
      </c>
      <c r="C31" s="35"/>
      <c r="D31" s="35"/>
      <c r="E31" s="35"/>
      <c r="F31" s="35"/>
      <c r="G31" s="35"/>
      <c r="H31" s="35"/>
      <c r="I31" s="35"/>
      <c r="J31" s="35"/>
      <c r="K31" s="35"/>
      <c r="L31" s="35"/>
      <c r="M31" s="35"/>
      <c r="N31" s="35"/>
      <c r="O31" s="35"/>
      <c r="P31" s="35"/>
      <c r="Q31" s="35"/>
      <c r="R31" s="35"/>
    </row>
    <row r="32" spans="1:18" x14ac:dyDescent="0.25">
      <c r="A32" s="7" t="s">
        <v>1247</v>
      </c>
      <c r="B32" t="s">
        <v>676</v>
      </c>
      <c r="C32" s="28">
        <v>0</v>
      </c>
      <c r="D32" s="28">
        <v>0</v>
      </c>
      <c r="E32" s="28"/>
      <c r="F32" s="28"/>
      <c r="G32" s="28"/>
      <c r="H32" s="28"/>
      <c r="I32" s="28"/>
      <c r="J32" s="28"/>
      <c r="K32" s="28"/>
      <c r="L32" s="28"/>
      <c r="M32" s="28"/>
      <c r="N32" s="28"/>
      <c r="O32" s="28"/>
      <c r="P32" s="28"/>
      <c r="Q32" s="28"/>
      <c r="R32" s="45" t="s">
        <v>1335</v>
      </c>
    </row>
    <row r="33" spans="1:18" x14ac:dyDescent="0.25">
      <c r="A33" s="33" t="s">
        <v>1248</v>
      </c>
      <c r="B33" s="34" t="s">
        <v>677</v>
      </c>
      <c r="C33" s="35"/>
      <c r="D33" s="35"/>
      <c r="E33" s="35"/>
      <c r="F33" s="35"/>
      <c r="G33" s="35"/>
      <c r="H33" s="35"/>
      <c r="I33" s="35"/>
      <c r="J33" s="35"/>
      <c r="K33" s="35"/>
      <c r="L33" s="35"/>
      <c r="M33" s="35"/>
      <c r="N33" s="35"/>
      <c r="O33" s="35"/>
      <c r="P33" s="35"/>
      <c r="Q33" s="35"/>
      <c r="R33" s="35"/>
    </row>
    <row r="34" spans="1:18" x14ac:dyDescent="0.25">
      <c r="A34" s="33" t="s">
        <v>1249</v>
      </c>
      <c r="B34" s="36" t="s">
        <v>1327</v>
      </c>
      <c r="C34" s="35"/>
      <c r="D34" s="35"/>
      <c r="E34" s="35"/>
      <c r="F34" s="35"/>
      <c r="G34" s="35"/>
      <c r="H34" s="35"/>
      <c r="I34" s="35"/>
      <c r="J34" s="35"/>
      <c r="K34" s="35"/>
      <c r="L34" s="35"/>
      <c r="M34" s="35"/>
      <c r="N34" s="35"/>
      <c r="O34" s="35"/>
      <c r="P34" s="35"/>
      <c r="Q34" s="35"/>
      <c r="R34" s="35"/>
    </row>
    <row r="35" spans="1:18" x14ac:dyDescent="0.25">
      <c r="A35" s="33" t="s">
        <v>1251</v>
      </c>
      <c r="B35" s="34" t="s">
        <v>678</v>
      </c>
      <c r="C35" s="35"/>
      <c r="D35" s="35"/>
      <c r="E35" s="35"/>
      <c r="F35" s="35"/>
      <c r="G35" s="35"/>
      <c r="H35" s="35"/>
      <c r="I35" s="35"/>
      <c r="J35" s="35"/>
      <c r="K35" s="35"/>
      <c r="L35" s="35"/>
      <c r="M35" s="35"/>
      <c r="N35" s="35"/>
      <c r="O35" s="35"/>
      <c r="P35" s="35"/>
      <c r="Q35" s="35"/>
      <c r="R35" s="35"/>
    </row>
    <row r="36" spans="1:18" x14ac:dyDescent="0.25">
      <c r="A36" s="7" t="s">
        <v>1252</v>
      </c>
      <c r="B36" t="s">
        <v>1328</v>
      </c>
      <c r="C36" s="28">
        <v>0</v>
      </c>
      <c r="D36" s="28">
        <v>0</v>
      </c>
      <c r="E36" s="28"/>
      <c r="F36" s="28"/>
      <c r="G36" s="28"/>
      <c r="H36" s="28"/>
      <c r="I36" s="28"/>
      <c r="J36" s="28"/>
      <c r="K36" s="28"/>
      <c r="L36" s="28"/>
      <c r="M36" s="28"/>
      <c r="N36" s="28"/>
      <c r="O36" s="28"/>
      <c r="P36" s="28"/>
      <c r="Q36" s="28"/>
      <c r="R36" s="45" t="s">
        <v>1336</v>
      </c>
    </row>
    <row r="37" spans="1:18" x14ac:dyDescent="0.25">
      <c r="A37" s="33" t="s">
        <v>1254</v>
      </c>
      <c r="B37" s="36" t="s">
        <v>695</v>
      </c>
      <c r="C37" s="35"/>
      <c r="D37" s="35"/>
      <c r="E37" s="35"/>
      <c r="F37" s="35"/>
      <c r="G37" s="35"/>
      <c r="H37" s="35"/>
      <c r="I37" s="35"/>
      <c r="J37" s="35"/>
      <c r="K37" s="35"/>
      <c r="L37" s="35"/>
      <c r="M37" s="35"/>
      <c r="N37" s="35"/>
      <c r="O37" s="35"/>
      <c r="P37" s="35"/>
      <c r="Q37" s="35"/>
      <c r="R37" s="35"/>
    </row>
    <row r="38" spans="1:18" x14ac:dyDescent="0.25">
      <c r="A38" s="7" t="s">
        <v>1255</v>
      </c>
      <c r="B38" t="s">
        <v>673</v>
      </c>
      <c r="C38" s="28">
        <v>0</v>
      </c>
      <c r="D38" s="28">
        <v>0</v>
      </c>
      <c r="E38" s="28"/>
      <c r="F38" s="28"/>
      <c r="G38" s="28"/>
      <c r="H38" s="28"/>
      <c r="I38" s="28"/>
      <c r="J38" s="28"/>
      <c r="K38" s="28"/>
      <c r="L38" s="28"/>
      <c r="M38" s="28"/>
      <c r="N38" s="28"/>
      <c r="O38" s="28"/>
      <c r="P38" s="28"/>
      <c r="Q38" s="28"/>
      <c r="R38" s="45" t="s">
        <v>1337</v>
      </c>
    </row>
    <row r="39" spans="1:18" x14ac:dyDescent="0.25">
      <c r="A39" s="33" t="s">
        <v>1256</v>
      </c>
      <c r="B39" s="34" t="s">
        <v>675</v>
      </c>
      <c r="C39" s="35"/>
      <c r="D39" s="35"/>
      <c r="E39" s="35"/>
      <c r="F39" s="35"/>
      <c r="G39" s="35"/>
      <c r="H39" s="35"/>
      <c r="I39" s="35"/>
      <c r="J39" s="35"/>
      <c r="K39" s="35"/>
      <c r="L39" s="35"/>
      <c r="M39" s="35"/>
      <c r="N39" s="35"/>
      <c r="O39" s="35"/>
      <c r="P39" s="35"/>
      <c r="Q39" s="35"/>
      <c r="R39" s="35"/>
    </row>
    <row r="40" spans="1:18" x14ac:dyDescent="0.25">
      <c r="A40" s="33" t="str">
        <f>"Principal Due in "&amp;Year_DestinationYearID+1</f>
        <v>Principal Due in 2025</v>
      </c>
      <c r="B40" s="34" t="s">
        <v>679</v>
      </c>
      <c r="C40" s="35"/>
      <c r="D40" s="35"/>
      <c r="E40" s="35"/>
      <c r="F40" s="35"/>
      <c r="G40" s="35"/>
      <c r="H40" s="35"/>
      <c r="I40" s="35"/>
      <c r="J40" s="35"/>
      <c r="K40" s="35"/>
      <c r="L40" s="35"/>
      <c r="M40" s="35"/>
      <c r="N40" s="35"/>
      <c r="O40" s="35"/>
      <c r="P40" s="35"/>
      <c r="Q40" s="35"/>
      <c r="R40" s="35"/>
    </row>
    <row r="41" spans="1:18" x14ac:dyDescent="0.25">
      <c r="A41" s="33" t="str">
        <f>"Interest Due in "&amp;Year_DestinationYearID+1</f>
        <v>Interest Due in 2025</v>
      </c>
      <c r="B41" s="34" t="s">
        <v>680</v>
      </c>
      <c r="C41" s="35"/>
      <c r="D41" s="35"/>
      <c r="E41" s="35"/>
      <c r="F41" s="35"/>
      <c r="G41" s="35"/>
      <c r="H41" s="35"/>
      <c r="I41" s="35"/>
      <c r="J41" s="35"/>
      <c r="K41" s="35"/>
      <c r="L41" s="35"/>
      <c r="M41" s="35"/>
      <c r="N41" s="35"/>
      <c r="O41" s="35"/>
      <c r="P41" s="35"/>
      <c r="Q41" s="35"/>
      <c r="R41" s="35"/>
    </row>
    <row r="42" spans="1:18" x14ac:dyDescent="0.25">
      <c r="A42" s="6"/>
    </row>
    <row r="43" spans="1:18" x14ac:dyDescent="0.25">
      <c r="A43" s="6"/>
    </row>
    <row r="44" spans="1:18" x14ac:dyDescent="0.25">
      <c r="A44" s="6"/>
      <c r="B44" s="44" t="s">
        <v>692</v>
      </c>
    </row>
    <row r="45" spans="1:18" x14ac:dyDescent="0.25">
      <c r="A45" s="6"/>
    </row>
  </sheetData>
  <phoneticPr fontId="7" type="noConversion"/>
  <conditionalFormatting sqref="A1">
    <cfRule type="expression" dxfId="745" priority="5">
      <formula>#REF!="Exclude"</formula>
    </cfRule>
    <cfRule type="expression" dxfId="744" priority="6">
      <formula>#REF!="Error"</formula>
    </cfRule>
  </conditionalFormatting>
  <conditionalFormatting sqref="A2">
    <cfRule type="expression" dxfId="742" priority="2">
      <formula>#REF!="Exclude"</formula>
    </cfRule>
    <cfRule type="expression" dxfId="741" priority="3">
      <formula>#REF!="Error"</formula>
    </cfRule>
  </conditionalFormatting>
  <conditionalFormatting sqref="C5:C41">
    <cfRule type="expression" dxfId="740" priority="10">
      <formula>$C5="Error"</formula>
    </cfRule>
  </conditionalFormatting>
  <pageMargins left="0.7" right="0.7" top="0.75" bottom="0.75" header="0.3" footer="0.3"/>
  <pageSetup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4" id="{19C7A411-B3AF-400C-9820-9E5DBC9B83E0}">
            <xm:f>COUNTIFS(Validation!$H:$H,MID(CELL("filename",A1),FIND("]",CELL("filename",A1))+1,255)&amp;CELL("address",A1))&gt;0</xm:f>
            <x14:dxf>
              <font>
                <b/>
                <i val="0"/>
                <color rgb="FFC00000"/>
              </font>
              <numFmt numFmtId="172" formatCode="_(\!* #,##0_);_(\!* \(#,##0\);_(\!* \-??_);_(\!\ @_)"/>
            </x14:dxf>
          </x14:cfRule>
          <xm:sqref>A1:A2</xm:sqref>
        </x14:conditionalFormatting>
      </x14:conditionalFormatting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6F0CE-73EE-4CDD-8BF3-2BCC3CE9EBAE}">
  <dimension ref="A1:E852"/>
  <sheetViews>
    <sheetView showGridLines="0" workbookViewId="0">
      <selection activeCell="B6" sqref="B6"/>
    </sheetView>
  </sheetViews>
  <sheetFormatPr defaultRowHeight="15" x14ac:dyDescent="0.25"/>
  <cols>
    <col min="1" max="1" width="55.7109375" style="66" customWidth="1"/>
    <col min="2" max="2" width="20.7109375" style="66" customWidth="1"/>
    <col min="3" max="3" width="23.28515625" style="66" customWidth="1"/>
    <col min="4" max="4" width="80.85546875" style="66" customWidth="1"/>
    <col min="5" max="5" width="14.7109375" style="66" customWidth="1"/>
    <col min="6" max="16384" width="9.140625" style="66"/>
  </cols>
  <sheetData>
    <row r="1" spans="1:5" s="59" customFormat="1" ht="21" x14ac:dyDescent="0.25">
      <c r="A1" s="59" t="str">
        <f>_xlfn.CONCAT("Office of the State Auditor  -  TIF Annual Reporting Form  -  ",Year_DestinationYearID)</f>
        <v>Office of the State Auditor  -  TIF Annual Reporting Form  -  2024</v>
      </c>
    </row>
    <row r="2" spans="1:5" s="62" customFormat="1" ht="20.100000000000001" customHeight="1" x14ac:dyDescent="0.25">
      <c r="A2" s="58" t="str">
        <f>_xlfn.CONCAT(GovEntity_GovEntityName_Parent,"  -  ",GovEntity_GovEntityName)</f>
        <v>Spruce City  -  TIF 1-1 Downtown Redev</v>
      </c>
    </row>
    <row r="3" spans="1:5" s="68" customFormat="1" ht="24.95" customHeight="1" x14ac:dyDescent="0.3">
      <c r="A3" s="65" t="s">
        <v>111</v>
      </c>
      <c r="B3" s="66"/>
      <c r="C3" s="66"/>
    </row>
    <row r="4" spans="1:5" s="71" customFormat="1" ht="105" customHeight="1" x14ac:dyDescent="0.25">
      <c r="A4" s="217" t="s">
        <v>301</v>
      </c>
      <c r="B4" s="215"/>
      <c r="C4" s="215"/>
      <c r="D4" s="215"/>
      <c r="E4" s="215"/>
    </row>
    <row r="5" spans="1:5" s="74" customFormat="1" ht="19.5" customHeight="1" x14ac:dyDescent="0.25">
      <c r="A5" s="73" t="str">
        <f>HYPERLINK("#'Six-Yr Rule'!A7","Click here to continue to the Six-Yr Rule Tab")</f>
        <v>Click here to continue to the Six-Yr Rule Tab</v>
      </c>
      <c r="D5" s="74" t="s">
        <v>121</v>
      </c>
      <c r="E5" s="74" t="s">
        <v>102</v>
      </c>
    </row>
    <row r="6" spans="1:5" s="74" customFormat="1" x14ac:dyDescent="0.25">
      <c r="A6" s="81" t="s">
        <v>291</v>
      </c>
      <c r="B6" s="155" t="str">
        <f>IF(Year_DestinationYearID&gt;=YEAR('Dist Info'!B32),"Yes","No")</f>
        <v>Yes</v>
      </c>
      <c r="D6" s="74" t="str">
        <f ca="1">IFERROR(INDEX(Validation!G:G,MATCH("Parcels"&amp;CELL("address",D6),Validation!I:I,0)),"")</f>
        <v>Parcel reporting is required below.</v>
      </c>
      <c r="E6" s="74" t="str">
        <f ca="1">IFERROR(INDEX(Validation!F:F,MATCH("Parcels"&amp;CELL("address",D6),Validation!I:I,0)),"")</f>
        <v>Information</v>
      </c>
    </row>
    <row r="7" spans="1:5" ht="20.100000000000001" customHeight="1" x14ac:dyDescent="0.25">
      <c r="A7" s="74" t="s">
        <v>292</v>
      </c>
      <c r="B7" s="74" t="s">
        <v>293</v>
      </c>
      <c r="C7" s="74" t="s">
        <v>294</v>
      </c>
      <c r="D7" s="74"/>
      <c r="E7" s="74"/>
    </row>
    <row r="8" spans="1:5" x14ac:dyDescent="0.25">
      <c r="A8" s="103"/>
      <c r="B8" s="103"/>
      <c r="C8" s="103" t="s">
        <v>1460</v>
      </c>
      <c r="D8" s="77" t="str">
        <f ca="1">IFERROR(INDEX(Validation!G:G,MATCH("Parcels"&amp;CELL("address",D8),Validation!I:I,0)),"")</f>
        <v/>
      </c>
      <c r="E8" s="66" t="str">
        <f ca="1">IFERROR(INDEX(Validation!F:F,MATCH("Parcels"&amp;CELL("address",D8),Validation!I:I,0)),"")</f>
        <v/>
      </c>
    </row>
    <row r="9" spans="1:5" x14ac:dyDescent="0.25">
      <c r="A9" s="103"/>
      <c r="B9" s="103"/>
      <c r="C9" s="103"/>
      <c r="D9" s="77" t="str">
        <f ca="1">IFERROR(INDEX(Validation!G:G,MATCH("Parcels"&amp;CELL("address",D9),Validation!I:I,0)),"")</f>
        <v/>
      </c>
      <c r="E9" s="66" t="str">
        <f ca="1">IFERROR(INDEX(Validation!F:F,MATCH("Parcels"&amp;CELL("address",D9),Validation!I:I,0)),"")</f>
        <v/>
      </c>
    </row>
    <row r="10" spans="1:5" x14ac:dyDescent="0.25">
      <c r="A10" s="103"/>
      <c r="B10" s="103"/>
      <c r="C10" s="103"/>
      <c r="D10" s="77" t="str">
        <f ca="1">IFERROR(INDEX(Validation!G:G,MATCH("Parcels"&amp;CELL("address",D10),Validation!I:I,0)),"")</f>
        <v/>
      </c>
      <c r="E10" s="66" t="str">
        <f ca="1">IFERROR(INDEX(Validation!F:F,MATCH("Parcels"&amp;CELL("address",D10),Validation!I:I,0)),"")</f>
        <v/>
      </c>
    </row>
    <row r="11" spans="1:5" x14ac:dyDescent="0.25">
      <c r="A11" s="103"/>
      <c r="B11" s="103"/>
      <c r="C11" s="103"/>
      <c r="D11" s="77" t="str">
        <f ca="1">IFERROR(INDEX(Validation!G:G,MATCH("Parcels"&amp;CELL("address",D11),Validation!I:I,0)),"")</f>
        <v/>
      </c>
      <c r="E11" s="66" t="str">
        <f ca="1">IFERROR(INDEX(Validation!F:F,MATCH("Parcels"&amp;CELL("address",D11),Validation!I:I,0)),"")</f>
        <v/>
      </c>
    </row>
    <row r="12" spans="1:5" x14ac:dyDescent="0.25">
      <c r="A12" s="103"/>
      <c r="B12" s="103"/>
      <c r="C12" s="103"/>
      <c r="D12" s="77" t="str">
        <f ca="1">IFERROR(INDEX(Validation!G:G,MATCH("Parcels"&amp;CELL("address",D12),Validation!I:I,0)),"")</f>
        <v/>
      </c>
      <c r="E12" s="66" t="str">
        <f ca="1">IFERROR(INDEX(Validation!F:F,MATCH("Parcels"&amp;CELL("address",D12),Validation!I:I,0)),"")</f>
        <v/>
      </c>
    </row>
    <row r="13" spans="1:5" x14ac:dyDescent="0.25">
      <c r="A13" s="103"/>
      <c r="B13" s="103"/>
      <c r="C13" s="103"/>
      <c r="D13" s="77" t="str">
        <f ca="1">IFERROR(INDEX(Validation!G:G,MATCH("Parcels"&amp;CELL("address",D13),Validation!I:I,0)),"")</f>
        <v/>
      </c>
      <c r="E13" s="66" t="str">
        <f ca="1">IFERROR(INDEX(Validation!F:F,MATCH("Parcels"&amp;CELL("address",D13),Validation!I:I,0)),"")</f>
        <v/>
      </c>
    </row>
    <row r="14" spans="1:5" x14ac:dyDescent="0.25">
      <c r="A14" s="103"/>
      <c r="B14" s="103"/>
      <c r="C14" s="103"/>
      <c r="D14" s="77" t="str">
        <f ca="1">IFERROR(INDEX(Validation!G:G,MATCH("Parcels"&amp;CELL("address",D14),Validation!I:I,0)),"")</f>
        <v/>
      </c>
      <c r="E14" s="66" t="str">
        <f ca="1">IFERROR(INDEX(Validation!F:F,MATCH("Parcels"&amp;CELL("address",D14),Validation!I:I,0)),"")</f>
        <v/>
      </c>
    </row>
    <row r="15" spans="1:5" x14ac:dyDescent="0.25">
      <c r="A15" s="103"/>
      <c r="B15" s="103"/>
      <c r="C15" s="103"/>
      <c r="D15" s="77" t="str">
        <f ca="1">IFERROR(INDEX(Validation!G:G,MATCH("Parcels"&amp;CELL("address",D15),Validation!I:I,0)),"")</f>
        <v/>
      </c>
      <c r="E15" s="66" t="str">
        <f ca="1">IFERROR(INDEX(Validation!F:F,MATCH("Parcels"&amp;CELL("address",D15),Validation!I:I,0)),"")</f>
        <v/>
      </c>
    </row>
    <row r="16" spans="1:5" x14ac:dyDescent="0.25">
      <c r="A16" s="103"/>
      <c r="B16" s="103"/>
      <c r="C16" s="103"/>
      <c r="D16" s="77" t="str">
        <f ca="1">IFERROR(INDEX(Validation!G:G,MATCH("Parcels"&amp;CELL("address",D16),Validation!I:I,0)),"")</f>
        <v/>
      </c>
      <c r="E16" s="66" t="str">
        <f ca="1">IFERROR(INDEX(Validation!F:F,MATCH("Parcels"&amp;CELL("address",D16),Validation!I:I,0)),"")</f>
        <v/>
      </c>
    </row>
    <row r="17" spans="1:5" x14ac:dyDescent="0.25">
      <c r="A17" s="103"/>
      <c r="B17" s="103"/>
      <c r="C17" s="103"/>
      <c r="D17" s="77" t="str">
        <f ca="1">IFERROR(INDEX(Validation!G:G,MATCH("Parcels"&amp;CELL("address",D17),Validation!I:I,0)),"")</f>
        <v/>
      </c>
      <c r="E17" s="66" t="str">
        <f ca="1">IFERROR(INDEX(Validation!F:F,MATCH("Parcels"&amp;CELL("address",D17),Validation!I:I,0)),"")</f>
        <v/>
      </c>
    </row>
    <row r="18" spans="1:5" x14ac:dyDescent="0.25">
      <c r="A18" s="103"/>
      <c r="B18" s="103"/>
      <c r="C18" s="103"/>
      <c r="D18" s="77" t="str">
        <f ca="1">IFERROR(INDEX(Validation!G:G,MATCH("Parcels"&amp;CELL("address",D18),Validation!I:I,0)),"")</f>
        <v/>
      </c>
      <c r="E18" s="66" t="str">
        <f ca="1">IFERROR(INDEX(Validation!F:F,MATCH("Parcels"&amp;CELL("address",D18),Validation!I:I,0)),"")</f>
        <v/>
      </c>
    </row>
    <row r="19" spans="1:5" x14ac:dyDescent="0.25">
      <c r="A19" s="103"/>
      <c r="B19" s="103"/>
      <c r="C19" s="103"/>
      <c r="D19" s="77" t="str">
        <f ca="1">IFERROR(INDEX(Validation!G:G,MATCH("Parcels"&amp;CELL("address",D19),Validation!I:I,0)),"")</f>
        <v/>
      </c>
      <c r="E19" s="66" t="str">
        <f ca="1">IFERROR(INDEX(Validation!F:F,MATCH("Parcels"&amp;CELL("address",D19),Validation!I:I,0)),"")</f>
        <v/>
      </c>
    </row>
    <row r="20" spans="1:5" x14ac:dyDescent="0.25">
      <c r="A20" s="103"/>
      <c r="B20" s="103"/>
      <c r="C20" s="103"/>
      <c r="D20" s="77" t="str">
        <f ca="1">IFERROR(INDEX(Validation!G:G,MATCH("Parcels"&amp;CELL("address",D20),Validation!I:I,0)),"")</f>
        <v/>
      </c>
      <c r="E20" s="66" t="str">
        <f ca="1">IFERROR(INDEX(Validation!F:F,MATCH("Parcels"&amp;CELL("address",D20),Validation!I:I,0)),"")</f>
        <v/>
      </c>
    </row>
    <row r="21" spans="1:5" x14ac:dyDescent="0.25">
      <c r="A21" s="103"/>
      <c r="B21" s="103"/>
      <c r="C21" s="103"/>
      <c r="D21" s="77" t="str">
        <f ca="1">IFERROR(INDEX(Validation!G:G,MATCH("Parcels"&amp;CELL("address",D21),Validation!I:I,0)),"")</f>
        <v/>
      </c>
      <c r="E21" s="66" t="str">
        <f ca="1">IFERROR(INDEX(Validation!F:F,MATCH("Parcels"&amp;CELL("address",D21),Validation!I:I,0)),"")</f>
        <v/>
      </c>
    </row>
    <row r="22" spans="1:5" x14ac:dyDescent="0.25">
      <c r="A22" s="103"/>
      <c r="B22" s="103"/>
      <c r="C22" s="103"/>
      <c r="D22" s="77" t="str">
        <f ca="1">IFERROR(INDEX(Validation!G:G,MATCH("Parcels"&amp;CELL("address",D22),Validation!I:I,0)),"")</f>
        <v/>
      </c>
      <c r="E22" s="66" t="str">
        <f ca="1">IFERROR(INDEX(Validation!F:F,MATCH("Parcels"&amp;CELL("address",D22),Validation!I:I,0)),"")</f>
        <v/>
      </c>
    </row>
    <row r="23" spans="1:5" x14ac:dyDescent="0.25">
      <c r="A23" s="103"/>
      <c r="B23" s="103"/>
      <c r="C23" s="103"/>
      <c r="D23" s="77" t="str">
        <f ca="1">IFERROR(INDEX(Validation!G:G,MATCH("Parcels"&amp;CELL("address",D23),Validation!I:I,0)),"")</f>
        <v/>
      </c>
      <c r="E23" s="66" t="str">
        <f ca="1">IFERROR(INDEX(Validation!F:F,MATCH("Parcels"&amp;CELL("address",D23),Validation!I:I,0)),"")</f>
        <v/>
      </c>
    </row>
    <row r="24" spans="1:5" x14ac:dyDescent="0.25">
      <c r="A24" s="103"/>
      <c r="B24" s="103"/>
      <c r="C24" s="103"/>
      <c r="D24" s="77" t="str">
        <f ca="1">IFERROR(INDEX(Validation!G:G,MATCH("Parcels"&amp;CELL("address",D24),Validation!I:I,0)),"")</f>
        <v/>
      </c>
      <c r="E24" s="66" t="str">
        <f ca="1">IFERROR(INDEX(Validation!F:F,MATCH("Parcels"&amp;CELL("address",D24),Validation!I:I,0)),"")</f>
        <v/>
      </c>
    </row>
    <row r="25" spans="1:5" x14ac:dyDescent="0.25">
      <c r="A25" s="103"/>
      <c r="B25" s="103"/>
      <c r="C25" s="103"/>
      <c r="D25" s="77" t="str">
        <f ca="1">IFERROR(INDEX(Validation!G:G,MATCH("Parcels"&amp;CELL("address",D25),Validation!I:I,0)),"")</f>
        <v/>
      </c>
      <c r="E25" s="66" t="str">
        <f ca="1">IFERROR(INDEX(Validation!F:F,MATCH("Parcels"&amp;CELL("address",D25),Validation!I:I,0)),"")</f>
        <v/>
      </c>
    </row>
    <row r="26" spans="1:5" x14ac:dyDescent="0.25">
      <c r="A26" s="103"/>
      <c r="B26" s="103"/>
      <c r="C26" s="103"/>
      <c r="D26" s="77" t="str">
        <f ca="1">IFERROR(INDEX(Validation!G:G,MATCH("Parcels"&amp;CELL("address",D26),Validation!I:I,0)),"")</f>
        <v/>
      </c>
      <c r="E26" s="66" t="str">
        <f ca="1">IFERROR(INDEX(Validation!F:F,MATCH("Parcels"&amp;CELL("address",D26),Validation!I:I,0)),"")</f>
        <v/>
      </c>
    </row>
    <row r="27" spans="1:5" x14ac:dyDescent="0.25">
      <c r="A27" s="103"/>
      <c r="B27" s="103"/>
      <c r="C27" s="103"/>
      <c r="D27" s="77" t="str">
        <f ca="1">IFERROR(INDEX(Validation!G:G,MATCH("Parcels"&amp;CELL("address",D27),Validation!I:I,0)),"")</f>
        <v/>
      </c>
      <c r="E27" s="66" t="str">
        <f ca="1">IFERROR(INDEX(Validation!F:F,MATCH("Parcels"&amp;CELL("address",D27),Validation!I:I,0)),"")</f>
        <v/>
      </c>
    </row>
    <row r="28" spans="1:5" x14ac:dyDescent="0.25">
      <c r="A28" s="103"/>
      <c r="B28" s="103"/>
      <c r="C28" s="103"/>
      <c r="D28" s="77" t="str">
        <f ca="1">IFERROR(INDEX(Validation!G:G,MATCH("Parcels"&amp;CELL("address",D28),Validation!I:I,0)),"")</f>
        <v/>
      </c>
      <c r="E28" s="66" t="str">
        <f ca="1">IFERROR(INDEX(Validation!F:F,MATCH("Parcels"&amp;CELL("address",D28),Validation!I:I,0)),"")</f>
        <v/>
      </c>
    </row>
    <row r="29" spans="1:5" x14ac:dyDescent="0.25">
      <c r="A29" s="103"/>
      <c r="B29" s="103"/>
      <c r="C29" s="103"/>
      <c r="D29" s="77" t="str">
        <f ca="1">IFERROR(INDEX(Validation!G:G,MATCH("Parcels"&amp;CELL("address",D29),Validation!I:I,0)),"")</f>
        <v/>
      </c>
      <c r="E29" s="66" t="str">
        <f ca="1">IFERROR(INDEX(Validation!F:F,MATCH("Parcels"&amp;CELL("address",D29),Validation!I:I,0)),"")</f>
        <v/>
      </c>
    </row>
    <row r="30" spans="1:5" x14ac:dyDescent="0.25">
      <c r="A30" s="103"/>
      <c r="B30" s="103"/>
      <c r="C30" s="103"/>
      <c r="D30" s="77" t="str">
        <f ca="1">IFERROR(INDEX(Validation!G:G,MATCH("Parcels"&amp;CELL("address",D30),Validation!I:I,0)),"")</f>
        <v/>
      </c>
      <c r="E30" s="66" t="str">
        <f ca="1">IFERROR(INDEX(Validation!F:F,MATCH("Parcels"&amp;CELL("address",D30),Validation!I:I,0)),"")</f>
        <v/>
      </c>
    </row>
    <row r="31" spans="1:5" x14ac:dyDescent="0.25">
      <c r="A31" s="103"/>
      <c r="B31" s="103"/>
      <c r="C31" s="103"/>
      <c r="D31" s="77" t="str">
        <f ca="1">IFERROR(INDEX(Validation!G:G,MATCH("Parcels"&amp;CELL("address",D31),Validation!I:I,0)),"")</f>
        <v/>
      </c>
      <c r="E31" s="66" t="str">
        <f ca="1">IFERROR(INDEX(Validation!F:F,MATCH("Parcels"&amp;CELL("address",D31),Validation!I:I,0)),"")</f>
        <v/>
      </c>
    </row>
    <row r="32" spans="1:5" x14ac:dyDescent="0.25">
      <c r="A32" s="103"/>
      <c r="B32" s="103"/>
      <c r="C32" s="103"/>
      <c r="D32" s="77" t="str">
        <f ca="1">IFERROR(INDEX(Validation!G:G,MATCH("Parcels"&amp;CELL("address",D32),Validation!I:I,0)),"")</f>
        <v/>
      </c>
      <c r="E32" s="66" t="str">
        <f ca="1">IFERROR(INDEX(Validation!F:F,MATCH("Parcels"&amp;CELL("address",D32),Validation!I:I,0)),"")</f>
        <v/>
      </c>
    </row>
    <row r="33" spans="1:5" x14ac:dyDescent="0.25">
      <c r="A33" s="103"/>
      <c r="B33" s="103"/>
      <c r="C33" s="103"/>
      <c r="D33" s="77" t="str">
        <f ca="1">IFERROR(INDEX(Validation!G:G,MATCH("Parcels"&amp;CELL("address",D33),Validation!I:I,0)),"")</f>
        <v/>
      </c>
      <c r="E33" s="66" t="str">
        <f ca="1">IFERROR(INDEX(Validation!F:F,MATCH("Parcels"&amp;CELL("address",D33),Validation!I:I,0)),"")</f>
        <v/>
      </c>
    </row>
    <row r="34" spans="1:5" x14ac:dyDescent="0.25">
      <c r="A34" s="103"/>
      <c r="B34" s="103"/>
      <c r="C34" s="103"/>
      <c r="D34" s="77" t="str">
        <f ca="1">IFERROR(INDEX(Validation!G:G,MATCH("Parcels"&amp;CELL("address",D34),Validation!I:I,0)),"")</f>
        <v/>
      </c>
      <c r="E34" s="66" t="str">
        <f ca="1">IFERROR(INDEX(Validation!F:F,MATCH("Parcels"&amp;CELL("address",D34),Validation!I:I,0)),"")</f>
        <v/>
      </c>
    </row>
    <row r="35" spans="1:5" x14ac:dyDescent="0.25">
      <c r="A35" s="103"/>
      <c r="B35" s="103"/>
      <c r="C35" s="103"/>
      <c r="D35" s="77" t="str">
        <f ca="1">IFERROR(INDEX(Validation!G:G,MATCH("Parcels"&amp;CELL("address",D35),Validation!I:I,0)),"")</f>
        <v/>
      </c>
      <c r="E35" s="66" t="str">
        <f ca="1">IFERROR(INDEX(Validation!F:F,MATCH("Parcels"&amp;CELL("address",D35),Validation!I:I,0)),"")</f>
        <v/>
      </c>
    </row>
    <row r="36" spans="1:5" x14ac:dyDescent="0.25">
      <c r="A36" s="103"/>
      <c r="B36" s="103"/>
      <c r="C36" s="103"/>
      <c r="D36" s="77" t="str">
        <f ca="1">IFERROR(INDEX(Validation!G:G,MATCH("Parcels"&amp;CELL("address",D36),Validation!I:I,0)),"")</f>
        <v/>
      </c>
      <c r="E36" s="66" t="str">
        <f ca="1">IFERROR(INDEX(Validation!F:F,MATCH("Parcels"&amp;CELL("address",D36),Validation!I:I,0)),"")</f>
        <v/>
      </c>
    </row>
    <row r="37" spans="1:5" x14ac:dyDescent="0.25">
      <c r="A37" s="103"/>
      <c r="B37" s="103"/>
      <c r="C37" s="103"/>
      <c r="D37" s="77" t="str">
        <f ca="1">IFERROR(INDEX(Validation!G:G,MATCH("Parcels"&amp;CELL("address",D37),Validation!I:I,0)),"")</f>
        <v/>
      </c>
      <c r="E37" s="66" t="str">
        <f ca="1">IFERROR(INDEX(Validation!F:F,MATCH("Parcels"&amp;CELL("address",D37),Validation!I:I,0)),"")</f>
        <v/>
      </c>
    </row>
    <row r="38" spans="1:5" x14ac:dyDescent="0.25">
      <c r="A38" s="103"/>
      <c r="B38" s="103"/>
      <c r="C38" s="103"/>
      <c r="D38" s="77" t="str">
        <f ca="1">IFERROR(INDEX(Validation!G:G,MATCH("Parcels"&amp;CELL("address",D38),Validation!I:I,0)),"")</f>
        <v/>
      </c>
      <c r="E38" s="66" t="str">
        <f ca="1">IFERROR(INDEX(Validation!F:F,MATCH("Parcels"&amp;CELL("address",D38),Validation!I:I,0)),"")</f>
        <v/>
      </c>
    </row>
    <row r="39" spans="1:5" x14ac:dyDescent="0.25">
      <c r="A39" s="103"/>
      <c r="B39" s="103"/>
      <c r="C39" s="103"/>
      <c r="D39" s="77" t="str">
        <f ca="1">IFERROR(INDEX(Validation!G:G,MATCH("Parcels"&amp;CELL("address",D39),Validation!I:I,0)),"")</f>
        <v/>
      </c>
      <c r="E39" s="66" t="str">
        <f ca="1">IFERROR(INDEX(Validation!F:F,MATCH("Parcels"&amp;CELL("address",D39),Validation!I:I,0)),"")</f>
        <v/>
      </c>
    </row>
    <row r="40" spans="1:5" x14ac:dyDescent="0.25">
      <c r="A40" s="103"/>
      <c r="B40" s="103"/>
      <c r="C40" s="103"/>
      <c r="D40" s="77" t="str">
        <f ca="1">IFERROR(INDEX(Validation!G:G,MATCH("Parcels"&amp;CELL("address",D40),Validation!I:I,0)),"")</f>
        <v/>
      </c>
      <c r="E40" s="66" t="str">
        <f ca="1">IFERROR(INDEX(Validation!F:F,MATCH("Parcels"&amp;CELL("address",D40),Validation!I:I,0)),"")</f>
        <v/>
      </c>
    </row>
    <row r="41" spans="1:5" x14ac:dyDescent="0.25">
      <c r="A41" s="103"/>
      <c r="B41" s="103"/>
      <c r="C41" s="103"/>
      <c r="D41" s="77" t="str">
        <f ca="1">IFERROR(INDEX(Validation!G:G,MATCH("Parcels"&amp;CELL("address",D41),Validation!I:I,0)),"")</f>
        <v/>
      </c>
      <c r="E41" s="66" t="str">
        <f ca="1">IFERROR(INDEX(Validation!F:F,MATCH("Parcels"&amp;CELL("address",D41),Validation!I:I,0)),"")</f>
        <v/>
      </c>
    </row>
    <row r="42" spans="1:5" x14ac:dyDescent="0.25">
      <c r="A42" s="103"/>
      <c r="B42" s="103"/>
      <c r="C42" s="103"/>
      <c r="D42" s="77" t="str">
        <f ca="1">IFERROR(INDEX(Validation!G:G,MATCH("Parcels"&amp;CELL("address",D42),Validation!I:I,0)),"")</f>
        <v/>
      </c>
      <c r="E42" s="66" t="str">
        <f ca="1">IFERROR(INDEX(Validation!F:F,MATCH("Parcels"&amp;CELL("address",D42),Validation!I:I,0)),"")</f>
        <v/>
      </c>
    </row>
    <row r="43" spans="1:5" x14ac:dyDescent="0.25">
      <c r="A43" s="103"/>
      <c r="B43" s="103"/>
      <c r="C43" s="103"/>
      <c r="D43" s="77" t="str">
        <f ca="1">IFERROR(INDEX(Validation!G:G,MATCH("Parcels"&amp;CELL("address",D43),Validation!I:I,0)),"")</f>
        <v/>
      </c>
      <c r="E43" s="66" t="str">
        <f ca="1">IFERROR(INDEX(Validation!F:F,MATCH("Parcels"&amp;CELL("address",D43),Validation!I:I,0)),"")</f>
        <v/>
      </c>
    </row>
    <row r="44" spans="1:5" x14ac:dyDescent="0.25">
      <c r="A44" s="103"/>
      <c r="B44" s="103"/>
      <c r="C44" s="103"/>
      <c r="D44" s="77" t="str">
        <f ca="1">IFERROR(INDEX(Validation!G:G,MATCH("Parcels"&amp;CELL("address",D44),Validation!I:I,0)),"")</f>
        <v/>
      </c>
      <c r="E44" s="66" t="str">
        <f ca="1">IFERROR(INDEX(Validation!F:F,MATCH("Parcels"&amp;CELL("address",D44),Validation!I:I,0)),"")</f>
        <v/>
      </c>
    </row>
    <row r="45" spans="1:5" x14ac:dyDescent="0.25">
      <c r="A45" s="103"/>
      <c r="B45" s="103"/>
      <c r="C45" s="103"/>
      <c r="D45" s="77" t="str">
        <f ca="1">IFERROR(INDEX(Validation!G:G,MATCH("Parcels"&amp;CELL("address",D45),Validation!I:I,0)),"")</f>
        <v/>
      </c>
      <c r="E45" s="66" t="str">
        <f ca="1">IFERROR(INDEX(Validation!F:F,MATCH("Parcels"&amp;CELL("address",D45),Validation!I:I,0)),"")</f>
        <v/>
      </c>
    </row>
    <row r="46" spans="1:5" x14ac:dyDescent="0.25">
      <c r="A46" s="103"/>
      <c r="B46" s="103"/>
      <c r="C46" s="103"/>
      <c r="D46" s="77" t="str">
        <f ca="1">IFERROR(INDEX(Validation!G:G,MATCH("Parcels"&amp;CELL("address",D46),Validation!I:I,0)),"")</f>
        <v/>
      </c>
      <c r="E46" s="66" t="str">
        <f ca="1">IFERROR(INDEX(Validation!F:F,MATCH("Parcels"&amp;CELL("address",D46),Validation!I:I,0)),"")</f>
        <v/>
      </c>
    </row>
    <row r="47" spans="1:5" x14ac:dyDescent="0.25">
      <c r="A47" s="103"/>
      <c r="B47" s="103"/>
      <c r="C47" s="103"/>
      <c r="D47" s="77" t="str">
        <f ca="1">IFERROR(INDEX(Validation!G:G,MATCH("Parcels"&amp;CELL("address",D47),Validation!I:I,0)),"")</f>
        <v/>
      </c>
      <c r="E47" s="66" t="str">
        <f ca="1">IFERROR(INDEX(Validation!F:F,MATCH("Parcels"&amp;CELL("address",D47),Validation!I:I,0)),"")</f>
        <v/>
      </c>
    </row>
    <row r="48" spans="1:5" x14ac:dyDescent="0.25">
      <c r="A48" s="103"/>
      <c r="B48" s="103"/>
      <c r="C48" s="103"/>
      <c r="D48" s="77" t="str">
        <f ca="1">IFERROR(INDEX(Validation!G:G,MATCH("Parcels"&amp;CELL("address",D48),Validation!I:I,0)),"")</f>
        <v/>
      </c>
      <c r="E48" s="66" t="str">
        <f ca="1">IFERROR(INDEX(Validation!F:F,MATCH("Parcels"&amp;CELL("address",D48),Validation!I:I,0)),"")</f>
        <v/>
      </c>
    </row>
    <row r="49" spans="1:5" x14ac:dyDescent="0.25">
      <c r="A49" s="103"/>
      <c r="B49" s="103"/>
      <c r="C49" s="103"/>
      <c r="D49" s="77" t="str">
        <f ca="1">IFERROR(INDEX(Validation!G:G,MATCH("Parcels"&amp;CELL("address",D49),Validation!I:I,0)),"")</f>
        <v/>
      </c>
      <c r="E49" s="66" t="str">
        <f ca="1">IFERROR(INDEX(Validation!F:F,MATCH("Parcels"&amp;CELL("address",D49),Validation!I:I,0)),"")</f>
        <v/>
      </c>
    </row>
    <row r="50" spans="1:5" x14ac:dyDescent="0.25">
      <c r="A50" s="103"/>
      <c r="B50" s="103"/>
      <c r="C50" s="103"/>
      <c r="D50" s="77" t="str">
        <f ca="1">IFERROR(INDEX(Validation!G:G,MATCH("Parcels"&amp;CELL("address",D50),Validation!I:I,0)),"")</f>
        <v/>
      </c>
      <c r="E50" s="66" t="str">
        <f ca="1">IFERROR(INDEX(Validation!F:F,MATCH("Parcels"&amp;CELL("address",D50),Validation!I:I,0)),"")</f>
        <v/>
      </c>
    </row>
    <row r="51" spans="1:5" x14ac:dyDescent="0.25">
      <c r="A51" s="103"/>
      <c r="B51" s="103"/>
      <c r="C51" s="103"/>
      <c r="D51" s="77" t="str">
        <f ca="1">IFERROR(INDEX(Validation!G:G,MATCH("Parcels"&amp;CELL("address",D51),Validation!I:I,0)),"")</f>
        <v/>
      </c>
      <c r="E51" s="66" t="str">
        <f ca="1">IFERROR(INDEX(Validation!F:F,MATCH("Parcels"&amp;CELL("address",D51),Validation!I:I,0)),"")</f>
        <v/>
      </c>
    </row>
    <row r="52" spans="1:5" x14ac:dyDescent="0.25">
      <c r="A52" s="103"/>
      <c r="B52" s="103"/>
      <c r="C52" s="103"/>
      <c r="D52" s="77" t="str">
        <f ca="1">IFERROR(INDEX(Validation!G:G,MATCH("Parcels"&amp;CELL("address",D52),Validation!I:I,0)),"")</f>
        <v/>
      </c>
      <c r="E52" s="66" t="str">
        <f ca="1">IFERROR(INDEX(Validation!F:F,MATCH("Parcels"&amp;CELL("address",D52),Validation!I:I,0)),"")</f>
        <v/>
      </c>
    </row>
    <row r="53" spans="1:5" x14ac:dyDescent="0.25">
      <c r="A53" s="103"/>
      <c r="B53" s="103"/>
      <c r="C53" s="103"/>
      <c r="D53" s="77" t="str">
        <f ca="1">IFERROR(INDEX(Validation!G:G,MATCH("Parcels"&amp;CELL("address",D53),Validation!I:I,0)),"")</f>
        <v/>
      </c>
      <c r="E53" s="66" t="str">
        <f ca="1">IFERROR(INDEX(Validation!F:F,MATCH("Parcels"&amp;CELL("address",D53),Validation!I:I,0)),"")</f>
        <v/>
      </c>
    </row>
    <row r="54" spans="1:5" x14ac:dyDescent="0.25">
      <c r="A54" s="103"/>
      <c r="B54" s="103"/>
      <c r="C54" s="103"/>
      <c r="D54" s="77" t="str">
        <f ca="1">IFERROR(INDEX(Validation!G:G,MATCH("Parcels"&amp;CELL("address",D54),Validation!I:I,0)),"")</f>
        <v/>
      </c>
      <c r="E54" s="66" t="str">
        <f ca="1">IFERROR(INDEX(Validation!F:F,MATCH("Parcels"&amp;CELL("address",D54),Validation!I:I,0)),"")</f>
        <v/>
      </c>
    </row>
    <row r="55" spans="1:5" x14ac:dyDescent="0.25">
      <c r="A55" s="103"/>
      <c r="B55" s="103"/>
      <c r="C55" s="103"/>
      <c r="D55" s="77" t="str">
        <f ca="1">IFERROR(INDEX(Validation!G:G,MATCH("Parcels"&amp;CELL("address",D55),Validation!I:I,0)),"")</f>
        <v/>
      </c>
      <c r="E55" s="66" t="str">
        <f ca="1">IFERROR(INDEX(Validation!F:F,MATCH("Parcels"&amp;CELL("address",D55),Validation!I:I,0)),"")</f>
        <v/>
      </c>
    </row>
    <row r="56" spans="1:5" x14ac:dyDescent="0.25">
      <c r="A56" s="103"/>
      <c r="B56" s="103"/>
      <c r="C56" s="103"/>
      <c r="D56" s="77" t="str">
        <f ca="1">IFERROR(INDEX(Validation!G:G,MATCH("Parcels"&amp;CELL("address",D56),Validation!I:I,0)),"")</f>
        <v/>
      </c>
      <c r="E56" s="66" t="str">
        <f ca="1">IFERROR(INDEX(Validation!F:F,MATCH("Parcels"&amp;CELL("address",D56),Validation!I:I,0)),"")</f>
        <v/>
      </c>
    </row>
    <row r="57" spans="1:5" x14ac:dyDescent="0.25">
      <c r="A57" s="103"/>
      <c r="B57" s="103"/>
      <c r="C57" s="103"/>
      <c r="D57" s="77" t="str">
        <f ca="1">IFERROR(INDEX(Validation!G:G,MATCH("Parcels"&amp;CELL("address",D57),Validation!I:I,0)),"")</f>
        <v/>
      </c>
      <c r="E57" s="66" t="str">
        <f ca="1">IFERROR(INDEX(Validation!F:F,MATCH("Parcels"&amp;CELL("address",D57),Validation!I:I,0)),"")</f>
        <v/>
      </c>
    </row>
    <row r="58" spans="1:5" x14ac:dyDescent="0.25">
      <c r="A58" s="103"/>
      <c r="B58" s="103"/>
      <c r="C58" s="103"/>
      <c r="D58" s="77" t="str">
        <f ca="1">IFERROR(INDEX(Validation!G:G,MATCH("Parcels"&amp;CELL("address",D58),Validation!I:I,0)),"")</f>
        <v/>
      </c>
      <c r="E58" s="66" t="str">
        <f ca="1">IFERROR(INDEX(Validation!F:F,MATCH("Parcels"&amp;CELL("address",D58),Validation!I:I,0)),"")</f>
        <v/>
      </c>
    </row>
    <row r="59" spans="1:5" x14ac:dyDescent="0.25">
      <c r="A59" s="103"/>
      <c r="B59" s="103"/>
      <c r="C59" s="103"/>
      <c r="D59" s="77" t="str">
        <f ca="1">IFERROR(INDEX(Validation!G:G,MATCH("Parcels"&amp;CELL("address",D59),Validation!I:I,0)),"")</f>
        <v/>
      </c>
      <c r="E59" s="66" t="str">
        <f ca="1">IFERROR(INDEX(Validation!F:F,MATCH("Parcels"&amp;CELL("address",D59),Validation!I:I,0)),"")</f>
        <v/>
      </c>
    </row>
    <row r="60" spans="1:5" x14ac:dyDescent="0.25">
      <c r="A60" s="103"/>
      <c r="B60" s="103"/>
      <c r="C60" s="103"/>
      <c r="D60" s="77" t="str">
        <f ca="1">IFERROR(INDEX(Validation!G:G,MATCH("Parcels"&amp;CELL("address",D60),Validation!I:I,0)),"")</f>
        <v/>
      </c>
      <c r="E60" s="66" t="str">
        <f ca="1">IFERROR(INDEX(Validation!F:F,MATCH("Parcels"&amp;CELL("address",D60),Validation!I:I,0)),"")</f>
        <v/>
      </c>
    </row>
    <row r="61" spans="1:5" x14ac:dyDescent="0.25">
      <c r="A61" s="103"/>
      <c r="B61" s="103"/>
      <c r="C61" s="103"/>
      <c r="D61" s="77" t="str">
        <f ca="1">IFERROR(INDEX(Validation!G:G,MATCH("Parcels"&amp;CELL("address",D61),Validation!I:I,0)),"")</f>
        <v/>
      </c>
      <c r="E61" s="66" t="str">
        <f ca="1">IFERROR(INDEX(Validation!F:F,MATCH("Parcels"&amp;CELL("address",D61),Validation!I:I,0)),"")</f>
        <v/>
      </c>
    </row>
    <row r="62" spans="1:5" x14ac:dyDescent="0.25">
      <c r="A62" s="103"/>
      <c r="B62" s="103"/>
      <c r="C62" s="103"/>
      <c r="D62" s="77" t="str">
        <f ca="1">IFERROR(INDEX(Validation!G:G,MATCH("Parcels"&amp;CELL("address",D62),Validation!I:I,0)),"")</f>
        <v/>
      </c>
      <c r="E62" s="66" t="str">
        <f ca="1">IFERROR(INDEX(Validation!F:F,MATCH("Parcels"&amp;CELL("address",D62),Validation!I:I,0)),"")</f>
        <v/>
      </c>
    </row>
    <row r="63" spans="1:5" x14ac:dyDescent="0.25">
      <c r="A63" s="103"/>
      <c r="B63" s="103"/>
      <c r="C63" s="103"/>
      <c r="D63" s="77" t="str">
        <f ca="1">IFERROR(INDEX(Validation!G:G,MATCH("Parcels"&amp;CELL("address",D63),Validation!I:I,0)),"")</f>
        <v/>
      </c>
      <c r="E63" s="66" t="str">
        <f ca="1">IFERROR(INDEX(Validation!F:F,MATCH("Parcels"&amp;CELL("address",D63),Validation!I:I,0)),"")</f>
        <v/>
      </c>
    </row>
    <row r="64" spans="1:5" x14ac:dyDescent="0.25">
      <c r="A64" s="103"/>
      <c r="B64" s="103"/>
      <c r="C64" s="103"/>
      <c r="D64" s="77" t="str">
        <f ca="1">IFERROR(INDEX(Validation!G:G,MATCH("Parcels"&amp;CELL("address",D64),Validation!I:I,0)),"")</f>
        <v/>
      </c>
      <c r="E64" s="66" t="str">
        <f ca="1">IFERROR(INDEX(Validation!F:F,MATCH("Parcels"&amp;CELL("address",D64),Validation!I:I,0)),"")</f>
        <v/>
      </c>
    </row>
    <row r="65" spans="1:5" x14ac:dyDescent="0.25">
      <c r="A65" s="103"/>
      <c r="B65" s="103"/>
      <c r="C65" s="103"/>
      <c r="D65" s="77" t="str">
        <f ca="1">IFERROR(INDEX(Validation!G:G,MATCH("Parcels"&amp;CELL("address",D65),Validation!I:I,0)),"")</f>
        <v/>
      </c>
      <c r="E65" s="66" t="str">
        <f ca="1">IFERROR(INDEX(Validation!F:F,MATCH("Parcels"&amp;CELL("address",D65),Validation!I:I,0)),"")</f>
        <v/>
      </c>
    </row>
    <row r="66" spans="1:5" x14ac:dyDescent="0.25">
      <c r="A66" s="103"/>
      <c r="B66" s="103"/>
      <c r="C66" s="103"/>
      <c r="D66" s="77" t="str">
        <f ca="1">IFERROR(INDEX(Validation!G:G,MATCH("Parcels"&amp;CELL("address",D66),Validation!I:I,0)),"")</f>
        <v/>
      </c>
      <c r="E66" s="66" t="str">
        <f ca="1">IFERROR(INDEX(Validation!F:F,MATCH("Parcels"&amp;CELL("address",D66),Validation!I:I,0)),"")</f>
        <v/>
      </c>
    </row>
    <row r="67" spans="1:5" x14ac:dyDescent="0.25">
      <c r="A67" s="103"/>
      <c r="B67" s="103"/>
      <c r="C67" s="103"/>
      <c r="D67" s="77" t="str">
        <f ca="1">IFERROR(INDEX(Validation!G:G,MATCH("Parcels"&amp;CELL("address",D67),Validation!I:I,0)),"")</f>
        <v/>
      </c>
      <c r="E67" s="66" t="str">
        <f ca="1">IFERROR(INDEX(Validation!F:F,MATCH("Parcels"&amp;CELL("address",D67),Validation!I:I,0)),"")</f>
        <v/>
      </c>
    </row>
    <row r="68" spans="1:5" x14ac:dyDescent="0.25">
      <c r="A68" s="103"/>
      <c r="B68" s="103"/>
      <c r="C68" s="103"/>
      <c r="D68" s="77" t="str">
        <f ca="1">IFERROR(INDEX(Validation!G:G,MATCH("Parcels"&amp;CELL("address",D68),Validation!I:I,0)),"")</f>
        <v/>
      </c>
      <c r="E68" s="66" t="str">
        <f ca="1">IFERROR(INDEX(Validation!F:F,MATCH("Parcels"&amp;CELL("address",D68),Validation!I:I,0)),"")</f>
        <v/>
      </c>
    </row>
    <row r="69" spans="1:5" x14ac:dyDescent="0.25">
      <c r="A69" s="103"/>
      <c r="B69" s="103"/>
      <c r="C69" s="103"/>
      <c r="D69" s="77" t="str">
        <f ca="1">IFERROR(INDEX(Validation!G:G,MATCH("Parcels"&amp;CELL("address",D69),Validation!I:I,0)),"")</f>
        <v/>
      </c>
      <c r="E69" s="66" t="str">
        <f ca="1">IFERROR(INDEX(Validation!F:F,MATCH("Parcels"&amp;CELL("address",D69),Validation!I:I,0)),"")</f>
        <v/>
      </c>
    </row>
    <row r="70" spans="1:5" x14ac:dyDescent="0.25">
      <c r="A70" s="103"/>
      <c r="B70" s="103"/>
      <c r="C70" s="103"/>
      <c r="D70" s="77" t="str">
        <f ca="1">IFERROR(INDEX(Validation!G:G,MATCH("Parcels"&amp;CELL("address",D70),Validation!I:I,0)),"")</f>
        <v/>
      </c>
      <c r="E70" s="66" t="str">
        <f ca="1">IFERROR(INDEX(Validation!F:F,MATCH("Parcels"&amp;CELL("address",D70),Validation!I:I,0)),"")</f>
        <v/>
      </c>
    </row>
    <row r="71" spans="1:5" x14ac:dyDescent="0.25">
      <c r="A71" s="103"/>
      <c r="B71" s="103"/>
      <c r="C71" s="103"/>
      <c r="D71" s="77" t="str">
        <f ca="1">IFERROR(INDEX(Validation!G:G,MATCH("Parcels"&amp;CELL("address",D71),Validation!I:I,0)),"")</f>
        <v/>
      </c>
      <c r="E71" s="66" t="str">
        <f ca="1">IFERROR(INDEX(Validation!F:F,MATCH("Parcels"&amp;CELL("address",D71),Validation!I:I,0)),"")</f>
        <v/>
      </c>
    </row>
    <row r="72" spans="1:5" x14ac:dyDescent="0.25">
      <c r="A72" s="103"/>
      <c r="B72" s="103"/>
      <c r="C72" s="103"/>
      <c r="D72" s="77" t="str">
        <f ca="1">IFERROR(INDEX(Validation!G:G,MATCH("Parcels"&amp;CELL("address",D72),Validation!I:I,0)),"")</f>
        <v/>
      </c>
      <c r="E72" s="66" t="str">
        <f ca="1">IFERROR(INDEX(Validation!F:F,MATCH("Parcels"&amp;CELL("address",D72),Validation!I:I,0)),"")</f>
        <v/>
      </c>
    </row>
    <row r="73" spans="1:5" x14ac:dyDescent="0.25">
      <c r="A73" s="103"/>
      <c r="B73" s="103"/>
      <c r="C73" s="103"/>
      <c r="D73" s="77" t="str">
        <f ca="1">IFERROR(INDEX(Validation!G:G,MATCH("Parcels"&amp;CELL("address",D73),Validation!I:I,0)),"")</f>
        <v/>
      </c>
      <c r="E73" s="66" t="str">
        <f ca="1">IFERROR(INDEX(Validation!F:F,MATCH("Parcels"&amp;CELL("address",D73),Validation!I:I,0)),"")</f>
        <v/>
      </c>
    </row>
    <row r="74" spans="1:5" x14ac:dyDescent="0.25">
      <c r="A74" s="103"/>
      <c r="B74" s="103"/>
      <c r="C74" s="103"/>
      <c r="D74" s="77" t="str">
        <f ca="1">IFERROR(INDEX(Validation!G:G,MATCH("Parcels"&amp;CELL("address",D74),Validation!I:I,0)),"")</f>
        <v/>
      </c>
      <c r="E74" s="66" t="str">
        <f ca="1">IFERROR(INDEX(Validation!F:F,MATCH("Parcels"&amp;CELL("address",D74),Validation!I:I,0)),"")</f>
        <v/>
      </c>
    </row>
    <row r="75" spans="1:5" x14ac:dyDescent="0.25">
      <c r="A75" s="103"/>
      <c r="B75" s="103"/>
      <c r="C75" s="103"/>
      <c r="D75" s="77" t="str">
        <f ca="1">IFERROR(INDEX(Validation!G:G,MATCH("Parcels"&amp;CELL("address",D75),Validation!I:I,0)),"")</f>
        <v/>
      </c>
      <c r="E75" s="66" t="str">
        <f ca="1">IFERROR(INDEX(Validation!F:F,MATCH("Parcels"&amp;CELL("address",D75),Validation!I:I,0)),"")</f>
        <v/>
      </c>
    </row>
    <row r="76" spans="1:5" x14ac:dyDescent="0.25">
      <c r="A76" s="103"/>
      <c r="B76" s="103"/>
      <c r="C76" s="103"/>
      <c r="D76" s="77" t="str">
        <f ca="1">IFERROR(INDEX(Validation!G:G,MATCH("Parcels"&amp;CELL("address",D76),Validation!I:I,0)),"")</f>
        <v/>
      </c>
      <c r="E76" s="66" t="str">
        <f ca="1">IFERROR(INDEX(Validation!F:F,MATCH("Parcels"&amp;CELL("address",D76),Validation!I:I,0)),"")</f>
        <v/>
      </c>
    </row>
    <row r="77" spans="1:5" x14ac:dyDescent="0.25">
      <c r="A77" s="103"/>
      <c r="B77" s="103"/>
      <c r="C77" s="103"/>
      <c r="D77" s="77" t="str">
        <f ca="1">IFERROR(INDEX(Validation!G:G,MATCH("Parcels"&amp;CELL("address",D77),Validation!I:I,0)),"")</f>
        <v/>
      </c>
      <c r="E77" s="66" t="str">
        <f ca="1">IFERROR(INDEX(Validation!F:F,MATCH("Parcels"&amp;CELL("address",D77),Validation!I:I,0)),"")</f>
        <v/>
      </c>
    </row>
    <row r="78" spans="1:5" x14ac:dyDescent="0.25">
      <c r="A78" s="103"/>
      <c r="B78" s="103"/>
      <c r="C78" s="103"/>
      <c r="D78" s="77" t="str">
        <f ca="1">IFERROR(INDEX(Validation!G:G,MATCH("Parcels"&amp;CELL("address",D78),Validation!I:I,0)),"")</f>
        <v/>
      </c>
      <c r="E78" s="66" t="str">
        <f ca="1">IFERROR(INDEX(Validation!F:F,MATCH("Parcels"&amp;CELL("address",D78),Validation!I:I,0)),"")</f>
        <v/>
      </c>
    </row>
    <row r="79" spans="1:5" x14ac:dyDescent="0.25">
      <c r="A79" s="103"/>
      <c r="B79" s="103"/>
      <c r="C79" s="103"/>
      <c r="D79" s="77" t="str">
        <f ca="1">IFERROR(INDEX(Validation!G:G,MATCH("Parcels"&amp;CELL("address",D79),Validation!I:I,0)),"")</f>
        <v/>
      </c>
      <c r="E79" s="66" t="str">
        <f ca="1">IFERROR(INDEX(Validation!F:F,MATCH("Parcels"&amp;CELL("address",D79),Validation!I:I,0)),"")</f>
        <v/>
      </c>
    </row>
    <row r="80" spans="1:5" x14ac:dyDescent="0.25">
      <c r="A80" s="103"/>
      <c r="B80" s="103"/>
      <c r="C80" s="103"/>
      <c r="D80" s="77" t="str">
        <f ca="1">IFERROR(INDEX(Validation!G:G,MATCH("Parcels"&amp;CELL("address",D80),Validation!I:I,0)),"")</f>
        <v/>
      </c>
      <c r="E80" s="66" t="str">
        <f ca="1">IFERROR(INDEX(Validation!F:F,MATCH("Parcels"&amp;CELL("address",D80),Validation!I:I,0)),"")</f>
        <v/>
      </c>
    </row>
    <row r="81" spans="1:5" x14ac:dyDescent="0.25">
      <c r="A81" s="103"/>
      <c r="B81" s="103"/>
      <c r="C81" s="103"/>
      <c r="D81" s="77" t="str">
        <f ca="1">IFERROR(INDEX(Validation!G:G,MATCH("Parcels"&amp;CELL("address",D81),Validation!I:I,0)),"")</f>
        <v/>
      </c>
      <c r="E81" s="66" t="str">
        <f ca="1">IFERROR(INDEX(Validation!F:F,MATCH("Parcels"&amp;CELL("address",D81),Validation!I:I,0)),"")</f>
        <v/>
      </c>
    </row>
    <row r="82" spans="1:5" x14ac:dyDescent="0.25">
      <c r="A82" s="103"/>
      <c r="B82" s="103"/>
      <c r="C82" s="103"/>
      <c r="D82" s="77" t="str">
        <f ca="1">IFERROR(INDEX(Validation!G:G,MATCH("Parcels"&amp;CELL("address",D82),Validation!I:I,0)),"")</f>
        <v/>
      </c>
      <c r="E82" s="66" t="str">
        <f ca="1">IFERROR(INDEX(Validation!F:F,MATCH("Parcels"&amp;CELL("address",D82),Validation!I:I,0)),"")</f>
        <v/>
      </c>
    </row>
    <row r="83" spans="1:5" x14ac:dyDescent="0.25">
      <c r="A83" s="103"/>
      <c r="B83" s="103"/>
      <c r="C83" s="103"/>
      <c r="D83" s="77" t="str">
        <f ca="1">IFERROR(INDEX(Validation!G:G,MATCH("Parcels"&amp;CELL("address",D83),Validation!I:I,0)),"")</f>
        <v/>
      </c>
      <c r="E83" s="66" t="str">
        <f ca="1">IFERROR(INDEX(Validation!F:F,MATCH("Parcels"&amp;CELL("address",D83),Validation!I:I,0)),"")</f>
        <v/>
      </c>
    </row>
    <row r="84" spans="1:5" x14ac:dyDescent="0.25">
      <c r="A84" s="103"/>
      <c r="B84" s="103"/>
      <c r="C84" s="103"/>
      <c r="D84" s="77" t="str">
        <f ca="1">IFERROR(INDEX(Validation!G:G,MATCH("Parcels"&amp;CELL("address",D84),Validation!I:I,0)),"")</f>
        <v/>
      </c>
      <c r="E84" s="66" t="str">
        <f ca="1">IFERROR(INDEX(Validation!F:F,MATCH("Parcels"&amp;CELL("address",D84),Validation!I:I,0)),"")</f>
        <v/>
      </c>
    </row>
    <row r="85" spans="1:5" x14ac:dyDescent="0.25">
      <c r="A85" s="103"/>
      <c r="B85" s="103"/>
      <c r="C85" s="103"/>
      <c r="D85" s="77" t="str">
        <f ca="1">IFERROR(INDEX(Validation!G:G,MATCH("Parcels"&amp;CELL("address",D85),Validation!I:I,0)),"")</f>
        <v/>
      </c>
      <c r="E85" s="66" t="str">
        <f ca="1">IFERROR(INDEX(Validation!F:F,MATCH("Parcels"&amp;CELL("address",D85),Validation!I:I,0)),"")</f>
        <v/>
      </c>
    </row>
    <row r="86" spans="1:5" x14ac:dyDescent="0.25">
      <c r="A86" s="103"/>
      <c r="B86" s="103"/>
      <c r="C86" s="103"/>
      <c r="D86" s="77" t="str">
        <f ca="1">IFERROR(INDEX(Validation!G:G,MATCH("Parcels"&amp;CELL("address",D86),Validation!I:I,0)),"")</f>
        <v/>
      </c>
      <c r="E86" s="66" t="str">
        <f ca="1">IFERROR(INDEX(Validation!F:F,MATCH("Parcels"&amp;CELL("address",D86),Validation!I:I,0)),"")</f>
        <v/>
      </c>
    </row>
    <row r="87" spans="1:5" x14ac:dyDescent="0.25">
      <c r="A87" s="103"/>
      <c r="B87" s="103"/>
      <c r="C87" s="103"/>
      <c r="D87" s="77" t="str">
        <f ca="1">IFERROR(INDEX(Validation!G:G,MATCH("Parcels"&amp;CELL("address",D87),Validation!I:I,0)),"")</f>
        <v/>
      </c>
      <c r="E87" s="66" t="str">
        <f ca="1">IFERROR(INDEX(Validation!F:F,MATCH("Parcels"&amp;CELL("address",D87),Validation!I:I,0)),"")</f>
        <v/>
      </c>
    </row>
    <row r="88" spans="1:5" x14ac:dyDescent="0.25">
      <c r="A88" s="103"/>
      <c r="B88" s="103"/>
      <c r="C88" s="103"/>
      <c r="D88" s="77" t="str">
        <f ca="1">IFERROR(INDEX(Validation!G:G,MATCH("Parcels"&amp;CELL("address",D88),Validation!I:I,0)),"")</f>
        <v/>
      </c>
      <c r="E88" s="66" t="str">
        <f ca="1">IFERROR(INDEX(Validation!F:F,MATCH("Parcels"&amp;CELL("address",D88),Validation!I:I,0)),"")</f>
        <v/>
      </c>
    </row>
    <row r="89" spans="1:5" x14ac:dyDescent="0.25">
      <c r="A89" s="103"/>
      <c r="B89" s="103"/>
      <c r="C89" s="103"/>
      <c r="D89" s="77" t="str">
        <f ca="1">IFERROR(INDEX(Validation!G:G,MATCH("Parcels"&amp;CELL("address",D89),Validation!I:I,0)),"")</f>
        <v/>
      </c>
      <c r="E89" s="66" t="str">
        <f ca="1">IFERROR(INDEX(Validation!F:F,MATCH("Parcels"&amp;CELL("address",D89),Validation!I:I,0)),"")</f>
        <v/>
      </c>
    </row>
    <row r="90" spans="1:5" x14ac:dyDescent="0.25">
      <c r="A90" s="103"/>
      <c r="B90" s="103"/>
      <c r="C90" s="103"/>
      <c r="D90" s="77" t="str">
        <f ca="1">IFERROR(INDEX(Validation!G:G,MATCH("Parcels"&amp;CELL("address",D90),Validation!I:I,0)),"")</f>
        <v/>
      </c>
      <c r="E90" s="66" t="str">
        <f ca="1">IFERROR(INDEX(Validation!F:F,MATCH("Parcels"&amp;CELL("address",D90),Validation!I:I,0)),"")</f>
        <v/>
      </c>
    </row>
    <row r="91" spans="1:5" x14ac:dyDescent="0.25">
      <c r="A91" s="103"/>
      <c r="B91" s="103"/>
      <c r="C91" s="103"/>
      <c r="D91" s="77" t="str">
        <f ca="1">IFERROR(INDEX(Validation!G:G,MATCH("Parcels"&amp;CELL("address",D91),Validation!I:I,0)),"")</f>
        <v/>
      </c>
      <c r="E91" s="66" t="str">
        <f ca="1">IFERROR(INDEX(Validation!F:F,MATCH("Parcels"&amp;CELL("address",D91),Validation!I:I,0)),"")</f>
        <v/>
      </c>
    </row>
    <row r="92" spans="1:5" x14ac:dyDescent="0.25">
      <c r="A92" s="103"/>
      <c r="B92" s="103"/>
      <c r="C92" s="103"/>
      <c r="D92" s="77" t="str">
        <f ca="1">IFERROR(INDEX(Validation!G:G,MATCH("Parcels"&amp;CELL("address",D92),Validation!I:I,0)),"")</f>
        <v/>
      </c>
      <c r="E92" s="66" t="str">
        <f ca="1">IFERROR(INDEX(Validation!F:F,MATCH("Parcels"&amp;CELL("address",D92),Validation!I:I,0)),"")</f>
        <v/>
      </c>
    </row>
    <row r="93" spans="1:5" x14ac:dyDescent="0.25">
      <c r="A93" s="103"/>
      <c r="B93" s="103"/>
      <c r="C93" s="103"/>
      <c r="D93" s="77" t="str">
        <f ca="1">IFERROR(INDEX(Validation!G:G,MATCH("Parcels"&amp;CELL("address",D93),Validation!I:I,0)),"")</f>
        <v/>
      </c>
      <c r="E93" s="66" t="str">
        <f ca="1">IFERROR(INDEX(Validation!F:F,MATCH("Parcels"&amp;CELL("address",D93),Validation!I:I,0)),"")</f>
        <v/>
      </c>
    </row>
    <row r="94" spans="1:5" x14ac:dyDescent="0.25">
      <c r="A94" s="103"/>
      <c r="B94" s="103"/>
      <c r="C94" s="103"/>
      <c r="D94" s="77" t="str">
        <f ca="1">IFERROR(INDEX(Validation!G:G,MATCH("Parcels"&amp;CELL("address",D94),Validation!I:I,0)),"")</f>
        <v/>
      </c>
      <c r="E94" s="66" t="str">
        <f ca="1">IFERROR(INDEX(Validation!F:F,MATCH("Parcels"&amp;CELL("address",D94),Validation!I:I,0)),"")</f>
        <v/>
      </c>
    </row>
    <row r="95" spans="1:5" x14ac:dyDescent="0.25">
      <c r="A95" s="103"/>
      <c r="B95" s="103"/>
      <c r="C95" s="103"/>
      <c r="D95" s="77" t="str">
        <f ca="1">IFERROR(INDEX(Validation!G:G,MATCH("Parcels"&amp;CELL("address",D95),Validation!I:I,0)),"")</f>
        <v/>
      </c>
      <c r="E95" s="66" t="str">
        <f ca="1">IFERROR(INDEX(Validation!F:F,MATCH("Parcels"&amp;CELL("address",D95),Validation!I:I,0)),"")</f>
        <v/>
      </c>
    </row>
    <row r="96" spans="1:5" x14ac:dyDescent="0.25">
      <c r="A96" s="103"/>
      <c r="B96" s="103"/>
      <c r="C96" s="103"/>
      <c r="D96" s="77" t="str">
        <f ca="1">IFERROR(INDEX(Validation!G:G,MATCH("Parcels"&amp;CELL("address",D96),Validation!I:I,0)),"")</f>
        <v/>
      </c>
      <c r="E96" s="66" t="str">
        <f ca="1">IFERROR(INDEX(Validation!F:F,MATCH("Parcels"&amp;CELL("address",D96),Validation!I:I,0)),"")</f>
        <v/>
      </c>
    </row>
    <row r="97" spans="1:5" x14ac:dyDescent="0.25">
      <c r="A97" s="103"/>
      <c r="B97" s="103"/>
      <c r="C97" s="103"/>
      <c r="D97" s="77" t="str">
        <f ca="1">IFERROR(INDEX(Validation!G:G,MATCH("Parcels"&amp;CELL("address",D97),Validation!I:I,0)),"")</f>
        <v/>
      </c>
      <c r="E97" s="66" t="str">
        <f ca="1">IFERROR(INDEX(Validation!F:F,MATCH("Parcels"&amp;CELL("address",D97),Validation!I:I,0)),"")</f>
        <v/>
      </c>
    </row>
    <row r="98" spans="1:5" x14ac:dyDescent="0.25">
      <c r="A98" s="103"/>
      <c r="B98" s="103"/>
      <c r="C98" s="103"/>
      <c r="D98" s="77" t="str">
        <f ca="1">IFERROR(INDEX(Validation!G:G,MATCH("Parcels"&amp;CELL("address",D98),Validation!I:I,0)),"")</f>
        <v/>
      </c>
      <c r="E98" s="66" t="str">
        <f ca="1">IFERROR(INDEX(Validation!F:F,MATCH("Parcels"&amp;CELL("address",D98),Validation!I:I,0)),"")</f>
        <v/>
      </c>
    </row>
    <row r="99" spans="1:5" x14ac:dyDescent="0.25">
      <c r="A99" s="103"/>
      <c r="B99" s="103"/>
      <c r="C99" s="103"/>
      <c r="D99" s="77" t="str">
        <f ca="1">IFERROR(INDEX(Validation!G:G,MATCH("Parcels"&amp;CELL("address",D99),Validation!I:I,0)),"")</f>
        <v/>
      </c>
      <c r="E99" s="66" t="str">
        <f ca="1">IFERROR(INDEX(Validation!F:F,MATCH("Parcels"&amp;CELL("address",D99),Validation!I:I,0)),"")</f>
        <v/>
      </c>
    </row>
    <row r="100" spans="1:5" x14ac:dyDescent="0.25">
      <c r="A100" s="103"/>
      <c r="B100" s="103"/>
      <c r="C100" s="103"/>
      <c r="D100" s="77" t="str">
        <f ca="1">IFERROR(INDEX(Validation!G:G,MATCH("Parcels"&amp;CELL("address",D100),Validation!I:I,0)),"")</f>
        <v/>
      </c>
      <c r="E100" s="66" t="str">
        <f ca="1">IFERROR(INDEX(Validation!F:F,MATCH("Parcels"&amp;CELL("address",D100),Validation!I:I,0)),"")</f>
        <v/>
      </c>
    </row>
    <row r="101" spans="1:5" x14ac:dyDescent="0.25">
      <c r="A101" s="103"/>
      <c r="B101" s="103"/>
      <c r="C101" s="103"/>
      <c r="D101" s="77" t="str">
        <f ca="1">IFERROR(INDEX(Validation!G:G,MATCH("Parcels"&amp;CELL("address",D101),Validation!I:I,0)),"")</f>
        <v/>
      </c>
      <c r="E101" s="66" t="str">
        <f ca="1">IFERROR(INDEX(Validation!F:F,MATCH("Parcels"&amp;CELL("address",D101),Validation!I:I,0)),"")</f>
        <v/>
      </c>
    </row>
    <row r="102" spans="1:5" x14ac:dyDescent="0.25">
      <c r="A102" s="103"/>
      <c r="B102" s="103"/>
      <c r="C102" s="103"/>
      <c r="D102" s="77" t="str">
        <f ca="1">IFERROR(INDEX(Validation!G:G,MATCH("Parcels"&amp;CELL("address",D102),Validation!I:I,0)),"")</f>
        <v/>
      </c>
      <c r="E102" s="66" t="str">
        <f ca="1">IFERROR(INDEX(Validation!F:F,MATCH("Parcels"&amp;CELL("address",D102),Validation!I:I,0)),"")</f>
        <v/>
      </c>
    </row>
    <row r="103" spans="1:5" x14ac:dyDescent="0.25">
      <c r="A103" s="103"/>
      <c r="B103" s="103"/>
      <c r="C103" s="103"/>
      <c r="D103" s="77" t="str">
        <f ca="1">IFERROR(INDEX(Validation!G:G,MATCH("Parcels"&amp;CELL("address",D103),Validation!I:I,0)),"")</f>
        <v/>
      </c>
      <c r="E103" s="66" t="str">
        <f ca="1">IFERROR(INDEX(Validation!F:F,MATCH("Parcels"&amp;CELL("address",D103),Validation!I:I,0)),"")</f>
        <v/>
      </c>
    </row>
    <row r="104" spans="1:5" x14ac:dyDescent="0.25">
      <c r="A104" s="103"/>
      <c r="B104" s="103"/>
      <c r="C104" s="103"/>
      <c r="D104" s="77" t="str">
        <f ca="1">IFERROR(INDEX(Validation!G:G,MATCH("Parcels"&amp;CELL("address",D104),Validation!I:I,0)),"")</f>
        <v/>
      </c>
      <c r="E104" s="66" t="str">
        <f ca="1">IFERROR(INDEX(Validation!F:F,MATCH("Parcels"&amp;CELL("address",D104),Validation!I:I,0)),"")</f>
        <v/>
      </c>
    </row>
    <row r="105" spans="1:5" x14ac:dyDescent="0.25">
      <c r="A105" s="103"/>
      <c r="B105" s="103"/>
      <c r="C105" s="103"/>
      <c r="D105" s="77" t="str">
        <f ca="1">IFERROR(INDEX(Validation!G:G,MATCH("Parcels"&amp;CELL("address",D105),Validation!I:I,0)),"")</f>
        <v/>
      </c>
      <c r="E105" s="66" t="str">
        <f ca="1">IFERROR(INDEX(Validation!F:F,MATCH("Parcels"&amp;CELL("address",D105),Validation!I:I,0)),"")</f>
        <v/>
      </c>
    </row>
    <row r="106" spans="1:5" x14ac:dyDescent="0.25">
      <c r="A106" s="103"/>
      <c r="B106" s="103"/>
      <c r="C106" s="103"/>
      <c r="D106" s="77" t="str">
        <f ca="1">IFERROR(INDEX(Validation!G:G,MATCH("Parcels"&amp;CELL("address",D106),Validation!I:I,0)),"")</f>
        <v/>
      </c>
      <c r="E106" s="66" t="str">
        <f ca="1">IFERROR(INDEX(Validation!F:F,MATCH("Parcels"&amp;CELL("address",D106),Validation!I:I,0)),"")</f>
        <v/>
      </c>
    </row>
    <row r="107" spans="1:5" x14ac:dyDescent="0.25">
      <c r="A107" s="103"/>
      <c r="B107" s="103"/>
      <c r="C107" s="103"/>
      <c r="D107" s="77" t="str">
        <f ca="1">IFERROR(INDEX(Validation!G:G,MATCH("Parcels"&amp;CELL("address",D107),Validation!I:I,0)),"")</f>
        <v/>
      </c>
      <c r="E107" s="66" t="str">
        <f ca="1">IFERROR(INDEX(Validation!F:F,MATCH("Parcels"&amp;CELL("address",D107),Validation!I:I,0)),"")</f>
        <v/>
      </c>
    </row>
    <row r="108" spans="1:5" x14ac:dyDescent="0.25">
      <c r="A108" s="103"/>
      <c r="B108" s="103"/>
      <c r="C108" s="103"/>
      <c r="D108" s="77" t="str">
        <f ca="1">IFERROR(INDEX(Validation!G:G,MATCH("Parcels"&amp;CELL("address",D108),Validation!I:I,0)),"")</f>
        <v/>
      </c>
      <c r="E108" s="66" t="str">
        <f ca="1">IFERROR(INDEX(Validation!F:F,MATCH("Parcels"&amp;CELL("address",D108),Validation!I:I,0)),"")</f>
        <v/>
      </c>
    </row>
    <row r="109" spans="1:5" x14ac:dyDescent="0.25">
      <c r="A109" s="103"/>
      <c r="B109" s="103"/>
      <c r="C109" s="103"/>
      <c r="D109" s="77" t="str">
        <f ca="1">IFERROR(INDEX(Validation!G:G,MATCH("Parcels"&amp;CELL("address",D109),Validation!I:I,0)),"")</f>
        <v/>
      </c>
      <c r="E109" s="66" t="str">
        <f ca="1">IFERROR(INDEX(Validation!F:F,MATCH("Parcels"&amp;CELL("address",D109),Validation!I:I,0)),"")</f>
        <v/>
      </c>
    </row>
    <row r="110" spans="1:5" x14ac:dyDescent="0.25">
      <c r="A110" s="103"/>
      <c r="B110" s="103"/>
      <c r="C110" s="103"/>
      <c r="D110" s="77" t="str">
        <f ca="1">IFERROR(INDEX(Validation!G:G,MATCH("Parcels"&amp;CELL("address",D110),Validation!I:I,0)),"")</f>
        <v/>
      </c>
      <c r="E110" s="66" t="str">
        <f ca="1">IFERROR(INDEX(Validation!F:F,MATCH("Parcels"&amp;CELL("address",D110),Validation!I:I,0)),"")</f>
        <v/>
      </c>
    </row>
    <row r="111" spans="1:5" x14ac:dyDescent="0.25">
      <c r="A111" s="103"/>
      <c r="B111" s="103"/>
      <c r="C111" s="103"/>
      <c r="D111" s="77" t="str">
        <f ca="1">IFERROR(INDEX(Validation!G:G,MATCH("Parcels"&amp;CELL("address",D111),Validation!I:I,0)),"")</f>
        <v/>
      </c>
      <c r="E111" s="66" t="str">
        <f ca="1">IFERROR(INDEX(Validation!F:F,MATCH("Parcels"&amp;CELL("address",D111),Validation!I:I,0)),"")</f>
        <v/>
      </c>
    </row>
    <row r="112" spans="1:5" x14ac:dyDescent="0.25">
      <c r="A112" s="103"/>
      <c r="B112" s="103"/>
      <c r="C112" s="103"/>
      <c r="D112" s="77" t="str">
        <f ca="1">IFERROR(INDEX(Validation!G:G,MATCH("Parcels"&amp;CELL("address",D112),Validation!I:I,0)),"")</f>
        <v/>
      </c>
      <c r="E112" s="66" t="str">
        <f ca="1">IFERROR(INDEX(Validation!F:F,MATCH("Parcels"&amp;CELL("address",D112),Validation!I:I,0)),"")</f>
        <v/>
      </c>
    </row>
    <row r="113" spans="1:5" x14ac:dyDescent="0.25">
      <c r="A113" s="103"/>
      <c r="B113" s="103"/>
      <c r="C113" s="103"/>
      <c r="D113" s="77" t="str">
        <f ca="1">IFERROR(INDEX(Validation!G:G,MATCH("Parcels"&amp;CELL("address",D113),Validation!I:I,0)),"")</f>
        <v/>
      </c>
      <c r="E113" s="66" t="str">
        <f ca="1">IFERROR(INDEX(Validation!F:F,MATCH("Parcels"&amp;CELL("address",D113),Validation!I:I,0)),"")</f>
        <v/>
      </c>
    </row>
    <row r="114" spans="1:5" x14ac:dyDescent="0.25">
      <c r="A114" s="103"/>
      <c r="B114" s="103"/>
      <c r="C114" s="103"/>
      <c r="D114" s="77" t="str">
        <f ca="1">IFERROR(INDEX(Validation!G:G,MATCH("Parcels"&amp;CELL("address",D114),Validation!I:I,0)),"")</f>
        <v/>
      </c>
      <c r="E114" s="66" t="str">
        <f ca="1">IFERROR(INDEX(Validation!F:F,MATCH("Parcels"&amp;CELL("address",D114),Validation!I:I,0)),"")</f>
        <v/>
      </c>
    </row>
    <row r="115" spans="1:5" x14ac:dyDescent="0.25">
      <c r="A115" s="103"/>
      <c r="B115" s="103"/>
      <c r="C115" s="103"/>
      <c r="D115" s="77" t="str">
        <f ca="1">IFERROR(INDEX(Validation!G:G,MATCH("Parcels"&amp;CELL("address",D115),Validation!I:I,0)),"")</f>
        <v/>
      </c>
      <c r="E115" s="66" t="str">
        <f ca="1">IFERROR(INDEX(Validation!F:F,MATCH("Parcels"&amp;CELL("address",D115),Validation!I:I,0)),"")</f>
        <v/>
      </c>
    </row>
    <row r="116" spans="1:5" x14ac:dyDescent="0.25">
      <c r="A116" s="103"/>
      <c r="B116" s="103"/>
      <c r="C116" s="103"/>
      <c r="D116" s="77" t="str">
        <f ca="1">IFERROR(INDEX(Validation!G:G,MATCH("Parcels"&amp;CELL("address",D116),Validation!I:I,0)),"")</f>
        <v/>
      </c>
      <c r="E116" s="66" t="str">
        <f ca="1">IFERROR(INDEX(Validation!F:F,MATCH("Parcels"&amp;CELL("address",D116),Validation!I:I,0)),"")</f>
        <v/>
      </c>
    </row>
    <row r="117" spans="1:5" x14ac:dyDescent="0.25">
      <c r="A117" s="103"/>
      <c r="B117" s="103"/>
      <c r="C117" s="103"/>
      <c r="D117" s="77" t="str">
        <f ca="1">IFERROR(INDEX(Validation!G:G,MATCH("Parcels"&amp;CELL("address",D117),Validation!I:I,0)),"")</f>
        <v/>
      </c>
      <c r="E117" s="66" t="str">
        <f ca="1">IFERROR(INDEX(Validation!F:F,MATCH("Parcels"&amp;CELL("address",D117),Validation!I:I,0)),"")</f>
        <v/>
      </c>
    </row>
    <row r="118" spans="1:5" x14ac:dyDescent="0.25">
      <c r="A118" s="103"/>
      <c r="B118" s="103"/>
      <c r="C118" s="103"/>
      <c r="D118" s="77" t="str">
        <f ca="1">IFERROR(INDEX(Validation!G:G,MATCH("Parcels"&amp;CELL("address",D118),Validation!I:I,0)),"")</f>
        <v/>
      </c>
      <c r="E118" s="66" t="str">
        <f ca="1">IFERROR(INDEX(Validation!F:F,MATCH("Parcels"&amp;CELL("address",D118),Validation!I:I,0)),"")</f>
        <v/>
      </c>
    </row>
    <row r="119" spans="1:5" x14ac:dyDescent="0.25">
      <c r="A119" s="103"/>
      <c r="B119" s="103"/>
      <c r="C119" s="103"/>
      <c r="D119" s="77" t="str">
        <f ca="1">IFERROR(INDEX(Validation!G:G,MATCH("Parcels"&amp;CELL("address",D119),Validation!I:I,0)),"")</f>
        <v/>
      </c>
      <c r="E119" s="66" t="str">
        <f ca="1">IFERROR(INDEX(Validation!F:F,MATCH("Parcels"&amp;CELL("address",D119),Validation!I:I,0)),"")</f>
        <v/>
      </c>
    </row>
    <row r="120" spans="1:5" x14ac:dyDescent="0.25">
      <c r="A120" s="103"/>
      <c r="B120" s="103"/>
      <c r="C120" s="103"/>
      <c r="D120" s="77" t="str">
        <f ca="1">IFERROR(INDEX(Validation!G:G,MATCH("Parcels"&amp;CELL("address",D120),Validation!I:I,0)),"")</f>
        <v/>
      </c>
      <c r="E120" s="66" t="str">
        <f ca="1">IFERROR(INDEX(Validation!F:F,MATCH("Parcels"&amp;CELL("address",D120),Validation!I:I,0)),"")</f>
        <v/>
      </c>
    </row>
    <row r="121" spans="1:5" x14ac:dyDescent="0.25">
      <c r="A121" s="103"/>
      <c r="B121" s="103"/>
      <c r="C121" s="103"/>
      <c r="D121" s="77" t="str">
        <f ca="1">IFERROR(INDEX(Validation!G:G,MATCH("Parcels"&amp;CELL("address",D121),Validation!I:I,0)),"")</f>
        <v/>
      </c>
      <c r="E121" s="66" t="str">
        <f ca="1">IFERROR(INDEX(Validation!F:F,MATCH("Parcels"&amp;CELL("address",D121),Validation!I:I,0)),"")</f>
        <v/>
      </c>
    </row>
    <row r="122" spans="1:5" x14ac:dyDescent="0.25">
      <c r="A122" s="103"/>
      <c r="B122" s="103"/>
      <c r="C122" s="103"/>
      <c r="D122" s="77" t="str">
        <f ca="1">IFERROR(INDEX(Validation!G:G,MATCH("Parcels"&amp;CELL("address",D122),Validation!I:I,0)),"")</f>
        <v/>
      </c>
      <c r="E122" s="66" t="str">
        <f ca="1">IFERROR(INDEX(Validation!F:F,MATCH("Parcels"&amp;CELL("address",D122),Validation!I:I,0)),"")</f>
        <v/>
      </c>
    </row>
    <row r="123" spans="1:5" x14ac:dyDescent="0.25">
      <c r="A123" s="103"/>
      <c r="B123" s="103"/>
      <c r="C123" s="103"/>
      <c r="D123" s="77" t="str">
        <f ca="1">IFERROR(INDEX(Validation!G:G,MATCH("Parcels"&amp;CELL("address",D123),Validation!I:I,0)),"")</f>
        <v/>
      </c>
      <c r="E123" s="66" t="str">
        <f ca="1">IFERROR(INDEX(Validation!F:F,MATCH("Parcels"&amp;CELL("address",D123),Validation!I:I,0)),"")</f>
        <v/>
      </c>
    </row>
    <row r="124" spans="1:5" x14ac:dyDescent="0.25">
      <c r="A124" s="103"/>
      <c r="B124" s="103"/>
      <c r="C124" s="103"/>
      <c r="D124" s="77" t="str">
        <f ca="1">IFERROR(INDEX(Validation!G:G,MATCH("Parcels"&amp;CELL("address",D124),Validation!I:I,0)),"")</f>
        <v/>
      </c>
      <c r="E124" s="66" t="str">
        <f ca="1">IFERROR(INDEX(Validation!F:F,MATCH("Parcels"&amp;CELL("address",D124),Validation!I:I,0)),"")</f>
        <v/>
      </c>
    </row>
    <row r="125" spans="1:5" x14ac:dyDescent="0.25">
      <c r="A125" s="103"/>
      <c r="B125" s="103"/>
      <c r="C125" s="103"/>
      <c r="D125" s="77" t="str">
        <f ca="1">IFERROR(INDEX(Validation!G:G,MATCH("Parcels"&amp;CELL("address",D125),Validation!I:I,0)),"")</f>
        <v/>
      </c>
      <c r="E125" s="66" t="str">
        <f ca="1">IFERROR(INDEX(Validation!F:F,MATCH("Parcels"&amp;CELL("address",D125),Validation!I:I,0)),"")</f>
        <v/>
      </c>
    </row>
    <row r="126" spans="1:5" x14ac:dyDescent="0.25">
      <c r="A126" s="103"/>
      <c r="B126" s="103"/>
      <c r="C126" s="103"/>
      <c r="D126" s="77" t="str">
        <f ca="1">IFERROR(INDEX(Validation!G:G,MATCH("Parcels"&amp;CELL("address",D126),Validation!I:I,0)),"")</f>
        <v/>
      </c>
      <c r="E126" s="66" t="str">
        <f ca="1">IFERROR(INDEX(Validation!F:F,MATCH("Parcels"&amp;CELL("address",D126),Validation!I:I,0)),"")</f>
        <v/>
      </c>
    </row>
    <row r="127" spans="1:5" x14ac:dyDescent="0.25">
      <c r="A127" s="103"/>
      <c r="B127" s="103"/>
      <c r="C127" s="103"/>
      <c r="D127" s="77" t="str">
        <f ca="1">IFERROR(INDEX(Validation!G:G,MATCH("Parcels"&amp;CELL("address",D127),Validation!I:I,0)),"")</f>
        <v/>
      </c>
      <c r="E127" s="66" t="str">
        <f ca="1">IFERROR(INDEX(Validation!F:F,MATCH("Parcels"&amp;CELL("address",D127),Validation!I:I,0)),"")</f>
        <v/>
      </c>
    </row>
    <row r="128" spans="1:5" x14ac:dyDescent="0.25">
      <c r="A128" s="103"/>
      <c r="B128" s="103"/>
      <c r="C128" s="103"/>
      <c r="D128" s="77" t="str">
        <f ca="1">IFERROR(INDEX(Validation!G:G,MATCH("Parcels"&amp;CELL("address",D128),Validation!I:I,0)),"")</f>
        <v/>
      </c>
      <c r="E128" s="66" t="str">
        <f ca="1">IFERROR(INDEX(Validation!F:F,MATCH("Parcels"&amp;CELL("address",D128),Validation!I:I,0)),"")</f>
        <v/>
      </c>
    </row>
    <row r="129" spans="1:5" x14ac:dyDescent="0.25">
      <c r="A129" s="103"/>
      <c r="B129" s="103"/>
      <c r="C129" s="103"/>
      <c r="D129" s="77" t="str">
        <f ca="1">IFERROR(INDEX(Validation!G:G,MATCH("Parcels"&amp;CELL("address",D129),Validation!I:I,0)),"")</f>
        <v/>
      </c>
      <c r="E129" s="66" t="str">
        <f ca="1">IFERROR(INDEX(Validation!F:F,MATCH("Parcels"&amp;CELL("address",D129),Validation!I:I,0)),"")</f>
        <v/>
      </c>
    </row>
    <row r="130" spans="1:5" x14ac:dyDescent="0.25">
      <c r="A130" s="103"/>
      <c r="B130" s="103"/>
      <c r="C130" s="103"/>
      <c r="D130" s="77" t="str">
        <f ca="1">IFERROR(INDEX(Validation!G:G,MATCH("Parcels"&amp;CELL("address",D130),Validation!I:I,0)),"")</f>
        <v/>
      </c>
      <c r="E130" s="66" t="str">
        <f ca="1">IFERROR(INDEX(Validation!F:F,MATCH("Parcels"&amp;CELL("address",D130),Validation!I:I,0)),"")</f>
        <v/>
      </c>
    </row>
    <row r="131" spans="1:5" x14ac:dyDescent="0.25">
      <c r="A131" s="103"/>
      <c r="B131" s="103"/>
      <c r="C131" s="103"/>
      <c r="D131" s="77" t="str">
        <f ca="1">IFERROR(INDEX(Validation!G:G,MATCH("Parcels"&amp;CELL("address",D131),Validation!I:I,0)),"")</f>
        <v/>
      </c>
      <c r="E131" s="66" t="str">
        <f ca="1">IFERROR(INDEX(Validation!F:F,MATCH("Parcels"&amp;CELL("address",D131),Validation!I:I,0)),"")</f>
        <v/>
      </c>
    </row>
    <row r="132" spans="1:5" x14ac:dyDescent="0.25">
      <c r="A132" s="103"/>
      <c r="B132" s="103"/>
      <c r="C132" s="103"/>
      <c r="D132" s="77" t="str">
        <f ca="1">IFERROR(INDEX(Validation!G:G,MATCH("Parcels"&amp;CELL("address",D132),Validation!I:I,0)),"")</f>
        <v/>
      </c>
      <c r="E132" s="66" t="str">
        <f ca="1">IFERROR(INDEX(Validation!F:F,MATCH("Parcels"&amp;CELL("address",D132),Validation!I:I,0)),"")</f>
        <v/>
      </c>
    </row>
    <row r="133" spans="1:5" x14ac:dyDescent="0.25">
      <c r="A133" s="103"/>
      <c r="B133" s="103"/>
      <c r="C133" s="103"/>
      <c r="D133" s="77" t="str">
        <f ca="1">IFERROR(INDEX(Validation!G:G,MATCH("Parcels"&amp;CELL("address",D133),Validation!I:I,0)),"")</f>
        <v/>
      </c>
      <c r="E133" s="66" t="str">
        <f ca="1">IFERROR(INDEX(Validation!F:F,MATCH("Parcels"&amp;CELL("address",D133),Validation!I:I,0)),"")</f>
        <v/>
      </c>
    </row>
    <row r="134" spans="1:5" x14ac:dyDescent="0.25">
      <c r="A134" s="103"/>
      <c r="B134" s="103"/>
      <c r="C134" s="103"/>
      <c r="D134" s="77" t="str">
        <f ca="1">IFERROR(INDEX(Validation!G:G,MATCH("Parcels"&amp;CELL("address",D134),Validation!I:I,0)),"")</f>
        <v/>
      </c>
      <c r="E134" s="66" t="str">
        <f ca="1">IFERROR(INDEX(Validation!F:F,MATCH("Parcels"&amp;CELL("address",D134),Validation!I:I,0)),"")</f>
        <v/>
      </c>
    </row>
    <row r="135" spans="1:5" x14ac:dyDescent="0.25">
      <c r="A135" s="103"/>
      <c r="B135" s="103"/>
      <c r="C135" s="103"/>
      <c r="D135" s="77" t="str">
        <f ca="1">IFERROR(INDEX(Validation!G:G,MATCH("Parcels"&amp;CELL("address",D135),Validation!I:I,0)),"")</f>
        <v/>
      </c>
      <c r="E135" s="66" t="str">
        <f ca="1">IFERROR(INDEX(Validation!F:F,MATCH("Parcels"&amp;CELL("address",D135),Validation!I:I,0)),"")</f>
        <v/>
      </c>
    </row>
    <row r="136" spans="1:5" x14ac:dyDescent="0.25">
      <c r="A136" s="103"/>
      <c r="B136" s="103"/>
      <c r="C136" s="103"/>
      <c r="D136" s="77" t="str">
        <f ca="1">IFERROR(INDEX(Validation!G:G,MATCH("Parcels"&amp;CELL("address",D136),Validation!I:I,0)),"")</f>
        <v/>
      </c>
      <c r="E136" s="66" t="str">
        <f ca="1">IFERROR(INDEX(Validation!F:F,MATCH("Parcels"&amp;CELL("address",D136),Validation!I:I,0)),"")</f>
        <v/>
      </c>
    </row>
    <row r="137" spans="1:5" x14ac:dyDescent="0.25">
      <c r="A137" s="103"/>
      <c r="B137" s="103"/>
      <c r="C137" s="103"/>
      <c r="D137" s="77" t="str">
        <f ca="1">IFERROR(INDEX(Validation!G:G,MATCH("Parcels"&amp;CELL("address",D137),Validation!I:I,0)),"")</f>
        <v/>
      </c>
      <c r="E137" s="66" t="str">
        <f ca="1">IFERROR(INDEX(Validation!F:F,MATCH("Parcels"&amp;CELL("address",D137),Validation!I:I,0)),"")</f>
        <v/>
      </c>
    </row>
    <row r="138" spans="1:5" x14ac:dyDescent="0.25">
      <c r="A138" s="103"/>
      <c r="B138" s="103"/>
      <c r="C138" s="103"/>
      <c r="D138" s="77" t="str">
        <f ca="1">IFERROR(INDEX(Validation!G:G,MATCH("Parcels"&amp;CELL("address",D138),Validation!I:I,0)),"")</f>
        <v/>
      </c>
      <c r="E138" s="66" t="str">
        <f ca="1">IFERROR(INDEX(Validation!F:F,MATCH("Parcels"&amp;CELL("address",D138),Validation!I:I,0)),"")</f>
        <v/>
      </c>
    </row>
    <row r="139" spans="1:5" x14ac:dyDescent="0.25">
      <c r="A139" s="103"/>
      <c r="B139" s="103"/>
      <c r="C139" s="103"/>
      <c r="D139" s="77" t="str">
        <f ca="1">IFERROR(INDEX(Validation!G:G,MATCH("Parcels"&amp;CELL("address",D139),Validation!I:I,0)),"")</f>
        <v/>
      </c>
      <c r="E139" s="66" t="str">
        <f ca="1">IFERROR(INDEX(Validation!F:F,MATCH("Parcels"&amp;CELL("address",D139),Validation!I:I,0)),"")</f>
        <v/>
      </c>
    </row>
    <row r="140" spans="1:5" x14ac:dyDescent="0.25">
      <c r="A140" s="103"/>
      <c r="B140" s="103"/>
      <c r="C140" s="103"/>
      <c r="D140" s="77" t="str">
        <f ca="1">IFERROR(INDEX(Validation!G:G,MATCH("Parcels"&amp;CELL("address",D140),Validation!I:I,0)),"")</f>
        <v/>
      </c>
      <c r="E140" s="66" t="str">
        <f ca="1">IFERROR(INDEX(Validation!F:F,MATCH("Parcels"&amp;CELL("address",D140),Validation!I:I,0)),"")</f>
        <v/>
      </c>
    </row>
    <row r="141" spans="1:5" x14ac:dyDescent="0.25">
      <c r="A141" s="103"/>
      <c r="B141" s="103"/>
      <c r="C141" s="103"/>
      <c r="D141" s="77" t="str">
        <f ca="1">IFERROR(INDEX(Validation!G:G,MATCH("Parcels"&amp;CELL("address",D141),Validation!I:I,0)),"")</f>
        <v/>
      </c>
      <c r="E141" s="66" t="str">
        <f ca="1">IFERROR(INDEX(Validation!F:F,MATCH("Parcels"&amp;CELL("address",D141),Validation!I:I,0)),"")</f>
        <v/>
      </c>
    </row>
    <row r="142" spans="1:5" x14ac:dyDescent="0.25">
      <c r="A142" s="103"/>
      <c r="B142" s="103"/>
      <c r="C142" s="103"/>
      <c r="D142" s="77" t="str">
        <f ca="1">IFERROR(INDEX(Validation!G:G,MATCH("Parcels"&amp;CELL("address",D142),Validation!I:I,0)),"")</f>
        <v/>
      </c>
      <c r="E142" s="66" t="str">
        <f ca="1">IFERROR(INDEX(Validation!F:F,MATCH("Parcels"&amp;CELL("address",D142),Validation!I:I,0)),"")</f>
        <v/>
      </c>
    </row>
    <row r="143" spans="1:5" x14ac:dyDescent="0.25">
      <c r="A143" s="103"/>
      <c r="B143" s="103"/>
      <c r="C143" s="103"/>
      <c r="D143" s="77" t="str">
        <f ca="1">IFERROR(INDEX(Validation!G:G,MATCH("Parcels"&amp;CELL("address",D143),Validation!I:I,0)),"")</f>
        <v/>
      </c>
      <c r="E143" s="66" t="str">
        <f ca="1">IFERROR(INDEX(Validation!F:F,MATCH("Parcels"&amp;CELL("address",D143),Validation!I:I,0)),"")</f>
        <v/>
      </c>
    </row>
    <row r="144" spans="1:5" x14ac:dyDescent="0.25">
      <c r="A144" s="103"/>
      <c r="B144" s="103"/>
      <c r="C144" s="103"/>
      <c r="D144" s="77" t="str">
        <f ca="1">IFERROR(INDEX(Validation!G:G,MATCH("Parcels"&amp;CELL("address",D144),Validation!I:I,0)),"")</f>
        <v/>
      </c>
      <c r="E144" s="66" t="str">
        <f ca="1">IFERROR(INDEX(Validation!F:F,MATCH("Parcels"&amp;CELL("address",D144),Validation!I:I,0)),"")</f>
        <v/>
      </c>
    </row>
    <row r="145" spans="1:5" x14ac:dyDescent="0.25">
      <c r="A145" s="103"/>
      <c r="B145" s="103"/>
      <c r="C145" s="103"/>
      <c r="D145" s="77" t="str">
        <f ca="1">IFERROR(INDEX(Validation!G:G,MATCH("Parcels"&amp;CELL("address",D145),Validation!I:I,0)),"")</f>
        <v/>
      </c>
      <c r="E145" s="66" t="str">
        <f ca="1">IFERROR(INDEX(Validation!F:F,MATCH("Parcels"&amp;CELL("address",D145),Validation!I:I,0)),"")</f>
        <v/>
      </c>
    </row>
    <row r="146" spans="1:5" x14ac:dyDescent="0.25">
      <c r="A146" s="103"/>
      <c r="B146" s="103"/>
      <c r="C146" s="103"/>
      <c r="D146" s="77" t="str">
        <f ca="1">IFERROR(INDEX(Validation!G:G,MATCH("Parcels"&amp;CELL("address",D146),Validation!I:I,0)),"")</f>
        <v/>
      </c>
      <c r="E146" s="66" t="str">
        <f ca="1">IFERROR(INDEX(Validation!F:F,MATCH("Parcels"&amp;CELL("address",D146),Validation!I:I,0)),"")</f>
        <v/>
      </c>
    </row>
    <row r="147" spans="1:5" x14ac:dyDescent="0.25">
      <c r="A147" s="103"/>
      <c r="B147" s="103"/>
      <c r="C147" s="103"/>
      <c r="D147" s="77" t="str">
        <f ca="1">IFERROR(INDEX(Validation!G:G,MATCH("Parcels"&amp;CELL("address",D147),Validation!I:I,0)),"")</f>
        <v/>
      </c>
      <c r="E147" s="66" t="str">
        <f ca="1">IFERROR(INDEX(Validation!F:F,MATCH("Parcels"&amp;CELL("address",D147),Validation!I:I,0)),"")</f>
        <v/>
      </c>
    </row>
    <row r="148" spans="1:5" x14ac:dyDescent="0.25">
      <c r="A148" s="103"/>
      <c r="B148" s="103"/>
      <c r="C148" s="103"/>
      <c r="D148" s="77" t="str">
        <f ca="1">IFERROR(INDEX(Validation!G:G,MATCH("Parcels"&amp;CELL("address",D148),Validation!I:I,0)),"")</f>
        <v/>
      </c>
      <c r="E148" s="66" t="str">
        <f ca="1">IFERROR(INDEX(Validation!F:F,MATCH("Parcels"&amp;CELL("address",D148),Validation!I:I,0)),"")</f>
        <v/>
      </c>
    </row>
    <row r="149" spans="1:5" x14ac:dyDescent="0.25">
      <c r="A149" s="103"/>
      <c r="B149" s="103"/>
      <c r="C149" s="103"/>
      <c r="D149" s="77" t="str">
        <f ca="1">IFERROR(INDEX(Validation!G:G,MATCH("Parcels"&amp;CELL("address",D149),Validation!I:I,0)),"")</f>
        <v/>
      </c>
      <c r="E149" s="66" t="str">
        <f ca="1">IFERROR(INDEX(Validation!F:F,MATCH("Parcels"&amp;CELL("address",D149),Validation!I:I,0)),"")</f>
        <v/>
      </c>
    </row>
    <row r="150" spans="1:5" x14ac:dyDescent="0.25">
      <c r="A150" s="103"/>
      <c r="B150" s="103"/>
      <c r="C150" s="103"/>
      <c r="D150" s="77" t="str">
        <f ca="1">IFERROR(INDEX(Validation!G:G,MATCH("Parcels"&amp;CELL("address",D150),Validation!I:I,0)),"")</f>
        <v/>
      </c>
      <c r="E150" s="66" t="str">
        <f ca="1">IFERROR(INDEX(Validation!F:F,MATCH("Parcels"&amp;CELL("address",D150),Validation!I:I,0)),"")</f>
        <v/>
      </c>
    </row>
    <row r="151" spans="1:5" x14ac:dyDescent="0.25">
      <c r="A151" s="103"/>
      <c r="B151" s="103"/>
      <c r="C151" s="103"/>
      <c r="D151" s="77" t="str">
        <f ca="1">IFERROR(INDEX(Validation!G:G,MATCH("Parcels"&amp;CELL("address",D151),Validation!I:I,0)),"")</f>
        <v/>
      </c>
      <c r="E151" s="66" t="str">
        <f ca="1">IFERROR(INDEX(Validation!F:F,MATCH("Parcels"&amp;CELL("address",D151),Validation!I:I,0)),"")</f>
        <v/>
      </c>
    </row>
    <row r="152" spans="1:5" x14ac:dyDescent="0.25">
      <c r="A152" s="103"/>
      <c r="B152" s="103"/>
      <c r="C152" s="103"/>
      <c r="D152" s="77" t="str">
        <f ca="1">IFERROR(INDEX(Validation!G:G,MATCH("Parcels"&amp;CELL("address",D152),Validation!I:I,0)),"")</f>
        <v/>
      </c>
      <c r="E152" s="66" t="str">
        <f ca="1">IFERROR(INDEX(Validation!F:F,MATCH("Parcels"&amp;CELL("address",D152),Validation!I:I,0)),"")</f>
        <v/>
      </c>
    </row>
    <row r="153" spans="1:5" x14ac:dyDescent="0.25">
      <c r="A153" s="103"/>
      <c r="B153" s="103"/>
      <c r="C153" s="103"/>
      <c r="D153" s="77" t="str">
        <f ca="1">IFERROR(INDEX(Validation!G:G,MATCH("Parcels"&amp;CELL("address",D153),Validation!I:I,0)),"")</f>
        <v/>
      </c>
      <c r="E153" s="66" t="str">
        <f ca="1">IFERROR(INDEX(Validation!F:F,MATCH("Parcels"&amp;CELL("address",D153),Validation!I:I,0)),"")</f>
        <v/>
      </c>
    </row>
    <row r="154" spans="1:5" x14ac:dyDescent="0.25">
      <c r="A154" s="103"/>
      <c r="B154" s="103"/>
      <c r="C154" s="103"/>
      <c r="D154" s="77" t="str">
        <f ca="1">IFERROR(INDEX(Validation!G:G,MATCH("Parcels"&amp;CELL("address",D154),Validation!I:I,0)),"")</f>
        <v/>
      </c>
      <c r="E154" s="66" t="str">
        <f ca="1">IFERROR(INDEX(Validation!F:F,MATCH("Parcels"&amp;CELL("address",D154),Validation!I:I,0)),"")</f>
        <v/>
      </c>
    </row>
    <row r="155" spans="1:5" x14ac:dyDescent="0.25">
      <c r="A155" s="103"/>
      <c r="B155" s="103"/>
      <c r="C155" s="103"/>
      <c r="D155" s="77" t="str">
        <f ca="1">IFERROR(INDEX(Validation!G:G,MATCH("Parcels"&amp;CELL("address",D155),Validation!I:I,0)),"")</f>
        <v/>
      </c>
      <c r="E155" s="66" t="str">
        <f ca="1">IFERROR(INDEX(Validation!F:F,MATCH("Parcels"&amp;CELL("address",D155),Validation!I:I,0)),"")</f>
        <v/>
      </c>
    </row>
    <row r="156" spans="1:5" x14ac:dyDescent="0.25">
      <c r="A156" s="103"/>
      <c r="B156" s="103"/>
      <c r="C156" s="103"/>
      <c r="D156" s="77" t="str">
        <f ca="1">IFERROR(INDEX(Validation!G:G,MATCH("Parcels"&amp;CELL("address",D156),Validation!I:I,0)),"")</f>
        <v/>
      </c>
      <c r="E156" s="66" t="str">
        <f ca="1">IFERROR(INDEX(Validation!F:F,MATCH("Parcels"&amp;CELL("address",D156),Validation!I:I,0)),"")</f>
        <v/>
      </c>
    </row>
    <row r="157" spans="1:5" x14ac:dyDescent="0.25">
      <c r="A157" s="103"/>
      <c r="B157" s="103"/>
      <c r="C157" s="103"/>
      <c r="D157" s="77" t="str">
        <f ca="1">IFERROR(INDEX(Validation!G:G,MATCH("Parcels"&amp;CELL("address",D157),Validation!I:I,0)),"")</f>
        <v/>
      </c>
      <c r="E157" s="66" t="str">
        <f ca="1">IFERROR(INDEX(Validation!F:F,MATCH("Parcels"&amp;CELL("address",D157),Validation!I:I,0)),"")</f>
        <v/>
      </c>
    </row>
    <row r="158" spans="1:5" x14ac:dyDescent="0.25">
      <c r="A158" s="103"/>
      <c r="B158" s="103"/>
      <c r="C158" s="103"/>
      <c r="D158" s="77" t="str">
        <f ca="1">IFERROR(INDEX(Validation!G:G,MATCH("Parcels"&amp;CELL("address",D158),Validation!I:I,0)),"")</f>
        <v/>
      </c>
      <c r="E158" s="66" t="str">
        <f ca="1">IFERROR(INDEX(Validation!F:F,MATCH("Parcels"&amp;CELL("address",D158),Validation!I:I,0)),"")</f>
        <v/>
      </c>
    </row>
    <row r="159" spans="1:5" x14ac:dyDescent="0.25">
      <c r="A159" s="103"/>
      <c r="B159" s="103"/>
      <c r="C159" s="103"/>
      <c r="D159" s="77" t="str">
        <f ca="1">IFERROR(INDEX(Validation!G:G,MATCH("Parcels"&amp;CELL("address",D159),Validation!I:I,0)),"")</f>
        <v/>
      </c>
      <c r="E159" s="66" t="str">
        <f ca="1">IFERROR(INDEX(Validation!F:F,MATCH("Parcels"&amp;CELL("address",D159),Validation!I:I,0)),"")</f>
        <v/>
      </c>
    </row>
    <row r="160" spans="1:5" x14ac:dyDescent="0.25">
      <c r="A160" s="103"/>
      <c r="B160" s="103"/>
      <c r="C160" s="103"/>
      <c r="D160" s="77" t="str">
        <f ca="1">IFERROR(INDEX(Validation!G:G,MATCH("Parcels"&amp;CELL("address",D160),Validation!I:I,0)),"")</f>
        <v/>
      </c>
      <c r="E160" s="66" t="str">
        <f ca="1">IFERROR(INDEX(Validation!F:F,MATCH("Parcels"&amp;CELL("address",D160),Validation!I:I,0)),"")</f>
        <v/>
      </c>
    </row>
    <row r="161" spans="1:5" x14ac:dyDescent="0.25">
      <c r="A161" s="103"/>
      <c r="B161" s="103"/>
      <c r="C161" s="103"/>
      <c r="D161" s="77" t="str">
        <f ca="1">IFERROR(INDEX(Validation!G:G,MATCH("Parcels"&amp;CELL("address",D161),Validation!I:I,0)),"")</f>
        <v/>
      </c>
      <c r="E161" s="66" t="str">
        <f ca="1">IFERROR(INDEX(Validation!F:F,MATCH("Parcels"&amp;CELL("address",D161),Validation!I:I,0)),"")</f>
        <v/>
      </c>
    </row>
    <row r="162" spans="1:5" x14ac:dyDescent="0.25">
      <c r="A162" s="103"/>
      <c r="B162" s="103"/>
      <c r="C162" s="103"/>
      <c r="D162" s="77" t="str">
        <f ca="1">IFERROR(INDEX(Validation!G:G,MATCH("Parcels"&amp;CELL("address",D162),Validation!I:I,0)),"")</f>
        <v/>
      </c>
      <c r="E162" s="66" t="str">
        <f ca="1">IFERROR(INDEX(Validation!F:F,MATCH("Parcels"&amp;CELL("address",D162),Validation!I:I,0)),"")</f>
        <v/>
      </c>
    </row>
    <row r="163" spans="1:5" x14ac:dyDescent="0.25">
      <c r="A163" s="103"/>
      <c r="B163" s="103"/>
      <c r="C163" s="103"/>
      <c r="D163" s="77" t="str">
        <f ca="1">IFERROR(INDEX(Validation!G:G,MATCH("Parcels"&amp;CELL("address",D163),Validation!I:I,0)),"")</f>
        <v/>
      </c>
      <c r="E163" s="66" t="str">
        <f ca="1">IFERROR(INDEX(Validation!F:F,MATCH("Parcels"&amp;CELL("address",D163),Validation!I:I,0)),"")</f>
        <v/>
      </c>
    </row>
    <row r="164" spans="1:5" x14ac:dyDescent="0.25">
      <c r="A164" s="103"/>
      <c r="B164" s="103"/>
      <c r="C164" s="103"/>
      <c r="D164" s="77" t="str">
        <f ca="1">IFERROR(INDEX(Validation!G:G,MATCH("Parcels"&amp;CELL("address",D164),Validation!I:I,0)),"")</f>
        <v/>
      </c>
      <c r="E164" s="66" t="str">
        <f ca="1">IFERROR(INDEX(Validation!F:F,MATCH("Parcels"&amp;CELL("address",D164),Validation!I:I,0)),"")</f>
        <v/>
      </c>
    </row>
    <row r="165" spans="1:5" x14ac:dyDescent="0.25">
      <c r="A165" s="103"/>
      <c r="B165" s="103"/>
      <c r="C165" s="103"/>
      <c r="D165" s="77" t="str">
        <f ca="1">IFERROR(INDEX(Validation!G:G,MATCH("Parcels"&amp;CELL("address",D165),Validation!I:I,0)),"")</f>
        <v/>
      </c>
      <c r="E165" s="66" t="str">
        <f ca="1">IFERROR(INDEX(Validation!F:F,MATCH("Parcels"&amp;CELL("address",D165),Validation!I:I,0)),"")</f>
        <v/>
      </c>
    </row>
    <row r="166" spans="1:5" x14ac:dyDescent="0.25">
      <c r="A166" s="103"/>
      <c r="B166" s="103"/>
      <c r="C166" s="103"/>
      <c r="D166" s="77" t="str">
        <f ca="1">IFERROR(INDEX(Validation!G:G,MATCH("Parcels"&amp;CELL("address",D166),Validation!I:I,0)),"")</f>
        <v/>
      </c>
      <c r="E166" s="66" t="str">
        <f ca="1">IFERROR(INDEX(Validation!F:F,MATCH("Parcels"&amp;CELL("address",D166),Validation!I:I,0)),"")</f>
        <v/>
      </c>
    </row>
    <row r="167" spans="1:5" x14ac:dyDescent="0.25">
      <c r="A167" s="103"/>
      <c r="B167" s="103"/>
      <c r="C167" s="103"/>
      <c r="D167" s="77" t="str">
        <f ca="1">IFERROR(INDEX(Validation!G:G,MATCH("Parcels"&amp;CELL("address",D167),Validation!I:I,0)),"")</f>
        <v/>
      </c>
      <c r="E167" s="66" t="str">
        <f ca="1">IFERROR(INDEX(Validation!F:F,MATCH("Parcels"&amp;CELL("address",D167),Validation!I:I,0)),"")</f>
        <v/>
      </c>
    </row>
    <row r="168" spans="1:5" x14ac:dyDescent="0.25">
      <c r="A168" s="103"/>
      <c r="B168" s="103"/>
      <c r="C168" s="103"/>
      <c r="D168" s="77" t="str">
        <f ca="1">IFERROR(INDEX(Validation!G:G,MATCH("Parcels"&amp;CELL("address",D168),Validation!I:I,0)),"")</f>
        <v/>
      </c>
      <c r="E168" s="66" t="str">
        <f ca="1">IFERROR(INDEX(Validation!F:F,MATCH("Parcels"&amp;CELL("address",D168),Validation!I:I,0)),"")</f>
        <v/>
      </c>
    </row>
    <row r="169" spans="1:5" x14ac:dyDescent="0.25">
      <c r="A169" s="103"/>
      <c r="B169" s="103"/>
      <c r="C169" s="103"/>
      <c r="D169" s="77" t="str">
        <f ca="1">IFERROR(INDEX(Validation!G:G,MATCH("Parcels"&amp;CELL("address",D169),Validation!I:I,0)),"")</f>
        <v/>
      </c>
      <c r="E169" s="66" t="str">
        <f ca="1">IFERROR(INDEX(Validation!F:F,MATCH("Parcels"&amp;CELL("address",D169),Validation!I:I,0)),"")</f>
        <v/>
      </c>
    </row>
    <row r="170" spans="1:5" x14ac:dyDescent="0.25">
      <c r="A170" s="103"/>
      <c r="B170" s="103"/>
      <c r="C170" s="103"/>
      <c r="D170" s="77" t="str">
        <f ca="1">IFERROR(INDEX(Validation!G:G,MATCH("Parcels"&amp;CELL("address",D170),Validation!I:I,0)),"")</f>
        <v/>
      </c>
      <c r="E170" s="66" t="str">
        <f ca="1">IFERROR(INDEX(Validation!F:F,MATCH("Parcels"&amp;CELL("address",D170),Validation!I:I,0)),"")</f>
        <v/>
      </c>
    </row>
    <row r="171" spans="1:5" x14ac:dyDescent="0.25">
      <c r="A171" s="103"/>
      <c r="B171" s="103"/>
      <c r="C171" s="103"/>
      <c r="D171" s="77" t="str">
        <f ca="1">IFERROR(INDEX(Validation!G:G,MATCH("Parcels"&amp;CELL("address",D171),Validation!I:I,0)),"")</f>
        <v/>
      </c>
      <c r="E171" s="66" t="str">
        <f ca="1">IFERROR(INDEX(Validation!F:F,MATCH("Parcels"&amp;CELL("address",D171),Validation!I:I,0)),"")</f>
        <v/>
      </c>
    </row>
    <row r="172" spans="1:5" x14ac:dyDescent="0.25">
      <c r="A172" s="103"/>
      <c r="B172" s="103"/>
      <c r="C172" s="103"/>
      <c r="D172" s="77" t="str">
        <f ca="1">IFERROR(INDEX(Validation!G:G,MATCH("Parcels"&amp;CELL("address",D172),Validation!I:I,0)),"")</f>
        <v/>
      </c>
      <c r="E172" s="66" t="str">
        <f ca="1">IFERROR(INDEX(Validation!F:F,MATCH("Parcels"&amp;CELL("address",D172),Validation!I:I,0)),"")</f>
        <v/>
      </c>
    </row>
    <row r="173" spans="1:5" x14ac:dyDescent="0.25">
      <c r="A173" s="103"/>
      <c r="B173" s="103"/>
      <c r="C173" s="103"/>
      <c r="D173" s="77" t="str">
        <f ca="1">IFERROR(INDEX(Validation!G:G,MATCH("Parcels"&amp;CELL("address",D173),Validation!I:I,0)),"")</f>
        <v/>
      </c>
      <c r="E173" s="66" t="str">
        <f ca="1">IFERROR(INDEX(Validation!F:F,MATCH("Parcels"&amp;CELL("address",D173),Validation!I:I,0)),"")</f>
        <v/>
      </c>
    </row>
    <row r="174" spans="1:5" x14ac:dyDescent="0.25">
      <c r="A174" s="103"/>
      <c r="B174" s="103"/>
      <c r="C174" s="103"/>
      <c r="D174" s="77" t="str">
        <f ca="1">IFERROR(INDEX(Validation!G:G,MATCH("Parcels"&amp;CELL("address",D174),Validation!I:I,0)),"")</f>
        <v/>
      </c>
      <c r="E174" s="66" t="str">
        <f ca="1">IFERROR(INDEX(Validation!F:F,MATCH("Parcels"&amp;CELL("address",D174),Validation!I:I,0)),"")</f>
        <v/>
      </c>
    </row>
    <row r="175" spans="1:5" x14ac:dyDescent="0.25">
      <c r="A175" s="103"/>
      <c r="B175" s="103"/>
      <c r="C175" s="103"/>
      <c r="D175" s="77" t="str">
        <f ca="1">IFERROR(INDEX(Validation!G:G,MATCH("Parcels"&amp;CELL("address",D175),Validation!I:I,0)),"")</f>
        <v/>
      </c>
      <c r="E175" s="66" t="str">
        <f ca="1">IFERROR(INDEX(Validation!F:F,MATCH("Parcels"&amp;CELL("address",D175),Validation!I:I,0)),"")</f>
        <v/>
      </c>
    </row>
    <row r="176" spans="1:5" x14ac:dyDescent="0.25">
      <c r="A176" s="103"/>
      <c r="B176" s="103"/>
      <c r="C176" s="103"/>
      <c r="D176" s="77" t="str">
        <f ca="1">IFERROR(INDEX(Validation!G:G,MATCH("Parcels"&amp;CELL("address",D176),Validation!I:I,0)),"")</f>
        <v/>
      </c>
      <c r="E176" s="66" t="str">
        <f ca="1">IFERROR(INDEX(Validation!F:F,MATCH("Parcels"&amp;CELL("address",D176),Validation!I:I,0)),"")</f>
        <v/>
      </c>
    </row>
    <row r="177" spans="1:5" x14ac:dyDescent="0.25">
      <c r="A177" s="103"/>
      <c r="B177" s="103"/>
      <c r="C177" s="103"/>
      <c r="D177" s="77" t="str">
        <f ca="1">IFERROR(INDEX(Validation!G:G,MATCH("Parcels"&amp;CELL("address",D177),Validation!I:I,0)),"")</f>
        <v/>
      </c>
      <c r="E177" s="66" t="str">
        <f ca="1">IFERROR(INDEX(Validation!F:F,MATCH("Parcels"&amp;CELL("address",D177),Validation!I:I,0)),"")</f>
        <v/>
      </c>
    </row>
    <row r="178" spans="1:5" x14ac:dyDescent="0.25">
      <c r="A178" s="103"/>
      <c r="B178" s="103"/>
      <c r="C178" s="103"/>
      <c r="D178" s="77" t="str">
        <f ca="1">IFERROR(INDEX(Validation!G:G,MATCH("Parcels"&amp;CELL("address",D178),Validation!I:I,0)),"")</f>
        <v/>
      </c>
      <c r="E178" s="66" t="str">
        <f ca="1">IFERROR(INDEX(Validation!F:F,MATCH("Parcels"&amp;CELL("address",D178),Validation!I:I,0)),"")</f>
        <v/>
      </c>
    </row>
    <row r="179" spans="1:5" x14ac:dyDescent="0.25">
      <c r="A179" s="103"/>
      <c r="B179" s="103"/>
      <c r="C179" s="103"/>
      <c r="D179" s="77" t="str">
        <f ca="1">IFERROR(INDEX(Validation!G:G,MATCH("Parcels"&amp;CELL("address",D179),Validation!I:I,0)),"")</f>
        <v/>
      </c>
      <c r="E179" s="66" t="str">
        <f ca="1">IFERROR(INDEX(Validation!F:F,MATCH("Parcels"&amp;CELL("address",D179),Validation!I:I,0)),"")</f>
        <v/>
      </c>
    </row>
    <row r="180" spans="1:5" x14ac:dyDescent="0.25">
      <c r="A180" s="103"/>
      <c r="B180" s="103"/>
      <c r="C180" s="103"/>
      <c r="D180" s="77" t="str">
        <f ca="1">IFERROR(INDEX(Validation!G:G,MATCH("Parcels"&amp;CELL("address",D180),Validation!I:I,0)),"")</f>
        <v/>
      </c>
      <c r="E180" s="66" t="str">
        <f ca="1">IFERROR(INDEX(Validation!F:F,MATCH("Parcels"&amp;CELL("address",D180),Validation!I:I,0)),"")</f>
        <v/>
      </c>
    </row>
    <row r="181" spans="1:5" x14ac:dyDescent="0.25">
      <c r="A181" s="103"/>
      <c r="B181" s="103"/>
      <c r="C181" s="103"/>
      <c r="D181" s="77" t="str">
        <f ca="1">IFERROR(INDEX(Validation!G:G,MATCH("Parcels"&amp;CELL("address",D181),Validation!I:I,0)),"")</f>
        <v/>
      </c>
      <c r="E181" s="66" t="str">
        <f ca="1">IFERROR(INDEX(Validation!F:F,MATCH("Parcels"&amp;CELL("address",D181),Validation!I:I,0)),"")</f>
        <v/>
      </c>
    </row>
    <row r="182" spans="1:5" x14ac:dyDescent="0.25">
      <c r="A182" s="103"/>
      <c r="B182" s="103"/>
      <c r="C182" s="103"/>
      <c r="D182" s="77" t="str">
        <f ca="1">IFERROR(INDEX(Validation!G:G,MATCH("Parcels"&amp;CELL("address",D182),Validation!I:I,0)),"")</f>
        <v/>
      </c>
      <c r="E182" s="66" t="str">
        <f ca="1">IFERROR(INDEX(Validation!F:F,MATCH("Parcels"&amp;CELL("address",D182),Validation!I:I,0)),"")</f>
        <v/>
      </c>
    </row>
    <row r="183" spans="1:5" x14ac:dyDescent="0.25">
      <c r="A183" s="103"/>
      <c r="B183" s="103"/>
      <c r="C183" s="103"/>
      <c r="D183" s="77" t="str">
        <f ca="1">IFERROR(INDEX(Validation!G:G,MATCH("Parcels"&amp;CELL("address",D183),Validation!I:I,0)),"")</f>
        <v/>
      </c>
      <c r="E183" s="66" t="str">
        <f ca="1">IFERROR(INDEX(Validation!F:F,MATCH("Parcels"&amp;CELL("address",D183),Validation!I:I,0)),"")</f>
        <v/>
      </c>
    </row>
    <row r="184" spans="1:5" x14ac:dyDescent="0.25">
      <c r="A184" s="103"/>
      <c r="B184" s="103"/>
      <c r="C184" s="103"/>
      <c r="D184" s="77" t="str">
        <f ca="1">IFERROR(INDEX(Validation!G:G,MATCH("Parcels"&amp;CELL("address",D184),Validation!I:I,0)),"")</f>
        <v/>
      </c>
      <c r="E184" s="66" t="str">
        <f ca="1">IFERROR(INDEX(Validation!F:F,MATCH("Parcels"&amp;CELL("address",D184),Validation!I:I,0)),"")</f>
        <v/>
      </c>
    </row>
    <row r="185" spans="1:5" x14ac:dyDescent="0.25">
      <c r="A185" s="103"/>
      <c r="B185" s="103"/>
      <c r="C185" s="103"/>
      <c r="D185" s="77" t="str">
        <f ca="1">IFERROR(INDEX(Validation!G:G,MATCH("Parcels"&amp;CELL("address",D185),Validation!I:I,0)),"")</f>
        <v/>
      </c>
      <c r="E185" s="66" t="str">
        <f ca="1">IFERROR(INDEX(Validation!F:F,MATCH("Parcels"&amp;CELL("address",D185),Validation!I:I,0)),"")</f>
        <v/>
      </c>
    </row>
    <row r="186" spans="1:5" x14ac:dyDescent="0.25">
      <c r="A186" s="103"/>
      <c r="B186" s="103"/>
      <c r="C186" s="103"/>
      <c r="D186" s="77" t="str">
        <f ca="1">IFERROR(INDEX(Validation!G:G,MATCH("Parcels"&amp;CELL("address",D186),Validation!I:I,0)),"")</f>
        <v/>
      </c>
      <c r="E186" s="66" t="str">
        <f ca="1">IFERROR(INDEX(Validation!F:F,MATCH("Parcels"&amp;CELL("address",D186),Validation!I:I,0)),"")</f>
        <v/>
      </c>
    </row>
    <row r="187" spans="1:5" x14ac:dyDescent="0.25">
      <c r="A187" s="103"/>
      <c r="B187" s="103"/>
      <c r="C187" s="103"/>
      <c r="D187" s="77" t="str">
        <f ca="1">IFERROR(INDEX(Validation!G:G,MATCH("Parcels"&amp;CELL("address",D187),Validation!I:I,0)),"")</f>
        <v/>
      </c>
      <c r="E187" s="66" t="str">
        <f ca="1">IFERROR(INDEX(Validation!F:F,MATCH("Parcels"&amp;CELL("address",D187),Validation!I:I,0)),"")</f>
        <v/>
      </c>
    </row>
    <row r="188" spans="1:5" x14ac:dyDescent="0.25">
      <c r="A188" s="103"/>
      <c r="B188" s="103"/>
      <c r="C188" s="103"/>
      <c r="D188" s="77" t="str">
        <f ca="1">IFERROR(INDEX(Validation!G:G,MATCH("Parcels"&amp;CELL("address",D188),Validation!I:I,0)),"")</f>
        <v/>
      </c>
      <c r="E188" s="66" t="str">
        <f ca="1">IFERROR(INDEX(Validation!F:F,MATCH("Parcels"&amp;CELL("address",D188),Validation!I:I,0)),"")</f>
        <v/>
      </c>
    </row>
    <row r="189" spans="1:5" x14ac:dyDescent="0.25">
      <c r="A189" s="103"/>
      <c r="B189" s="103"/>
      <c r="C189" s="103"/>
      <c r="D189" s="77" t="str">
        <f ca="1">IFERROR(INDEX(Validation!G:G,MATCH("Parcels"&amp;CELL("address",D189),Validation!I:I,0)),"")</f>
        <v/>
      </c>
      <c r="E189" s="66" t="str">
        <f ca="1">IFERROR(INDEX(Validation!F:F,MATCH("Parcels"&amp;CELL("address",D189),Validation!I:I,0)),"")</f>
        <v/>
      </c>
    </row>
    <row r="190" spans="1:5" x14ac:dyDescent="0.25">
      <c r="A190" s="103"/>
      <c r="B190" s="103"/>
      <c r="C190" s="103"/>
      <c r="D190" s="77" t="str">
        <f ca="1">IFERROR(INDEX(Validation!G:G,MATCH("Parcels"&amp;CELL("address",D190),Validation!I:I,0)),"")</f>
        <v/>
      </c>
      <c r="E190" s="66" t="str">
        <f ca="1">IFERROR(INDEX(Validation!F:F,MATCH("Parcels"&amp;CELL("address",D190),Validation!I:I,0)),"")</f>
        <v/>
      </c>
    </row>
    <row r="191" spans="1:5" x14ac:dyDescent="0.25">
      <c r="A191" s="103"/>
      <c r="B191" s="103"/>
      <c r="C191" s="103"/>
      <c r="D191" s="77" t="str">
        <f ca="1">IFERROR(INDEX(Validation!G:G,MATCH("Parcels"&amp;CELL("address",D191),Validation!I:I,0)),"")</f>
        <v/>
      </c>
      <c r="E191" s="66" t="str">
        <f ca="1">IFERROR(INDEX(Validation!F:F,MATCH("Parcels"&amp;CELL("address",D191),Validation!I:I,0)),"")</f>
        <v/>
      </c>
    </row>
    <row r="192" spans="1:5" x14ac:dyDescent="0.25">
      <c r="A192" s="103"/>
      <c r="B192" s="103"/>
      <c r="C192" s="103"/>
      <c r="D192" s="77" t="str">
        <f ca="1">IFERROR(INDEX(Validation!G:G,MATCH("Parcels"&amp;CELL("address",D192),Validation!I:I,0)),"")</f>
        <v/>
      </c>
      <c r="E192" s="66" t="str">
        <f ca="1">IFERROR(INDEX(Validation!F:F,MATCH("Parcels"&amp;CELL("address",D192),Validation!I:I,0)),"")</f>
        <v/>
      </c>
    </row>
    <row r="193" spans="1:5" x14ac:dyDescent="0.25">
      <c r="A193" s="103"/>
      <c r="B193" s="103"/>
      <c r="C193" s="103"/>
      <c r="D193" s="77" t="str">
        <f ca="1">IFERROR(INDEX(Validation!G:G,MATCH("Parcels"&amp;CELL("address",D193),Validation!I:I,0)),"")</f>
        <v/>
      </c>
      <c r="E193" s="66" t="str">
        <f ca="1">IFERROR(INDEX(Validation!F:F,MATCH("Parcels"&amp;CELL("address",D193),Validation!I:I,0)),"")</f>
        <v/>
      </c>
    </row>
    <row r="194" spans="1:5" x14ac:dyDescent="0.25">
      <c r="A194" s="103"/>
      <c r="B194" s="103"/>
      <c r="C194" s="103"/>
      <c r="D194" s="77" t="str">
        <f ca="1">IFERROR(INDEX(Validation!G:G,MATCH("Parcels"&amp;CELL("address",D194),Validation!I:I,0)),"")</f>
        <v/>
      </c>
      <c r="E194" s="66" t="str">
        <f ca="1">IFERROR(INDEX(Validation!F:F,MATCH("Parcels"&amp;CELL("address",D194),Validation!I:I,0)),"")</f>
        <v/>
      </c>
    </row>
    <row r="195" spans="1:5" x14ac:dyDescent="0.25">
      <c r="A195" s="103"/>
      <c r="B195" s="103"/>
      <c r="C195" s="103"/>
      <c r="D195" s="77" t="str">
        <f ca="1">IFERROR(INDEX(Validation!G:G,MATCH("Parcels"&amp;CELL("address",D195),Validation!I:I,0)),"")</f>
        <v/>
      </c>
      <c r="E195" s="66" t="str">
        <f ca="1">IFERROR(INDEX(Validation!F:F,MATCH("Parcels"&amp;CELL("address",D195),Validation!I:I,0)),"")</f>
        <v/>
      </c>
    </row>
    <row r="196" spans="1:5" x14ac:dyDescent="0.25">
      <c r="A196" s="103"/>
      <c r="B196" s="103"/>
      <c r="C196" s="103"/>
      <c r="D196" s="77" t="str">
        <f ca="1">IFERROR(INDEX(Validation!G:G,MATCH("Parcels"&amp;CELL("address",D196),Validation!I:I,0)),"")</f>
        <v/>
      </c>
      <c r="E196" s="66" t="str">
        <f ca="1">IFERROR(INDEX(Validation!F:F,MATCH("Parcels"&amp;CELL("address",D196),Validation!I:I,0)),"")</f>
        <v/>
      </c>
    </row>
    <row r="197" spans="1:5" x14ac:dyDescent="0.25">
      <c r="A197" s="103"/>
      <c r="B197" s="103"/>
      <c r="C197" s="103"/>
      <c r="D197" s="77" t="str">
        <f ca="1">IFERROR(INDEX(Validation!G:G,MATCH("Parcels"&amp;CELL("address",D197),Validation!I:I,0)),"")</f>
        <v/>
      </c>
      <c r="E197" s="66" t="str">
        <f ca="1">IFERROR(INDEX(Validation!F:F,MATCH("Parcels"&amp;CELL("address",D197),Validation!I:I,0)),"")</f>
        <v/>
      </c>
    </row>
    <row r="198" spans="1:5" x14ac:dyDescent="0.25">
      <c r="A198" s="103"/>
      <c r="B198" s="103"/>
      <c r="C198" s="103"/>
      <c r="D198" s="77" t="str">
        <f ca="1">IFERROR(INDEX(Validation!G:G,MATCH("Parcels"&amp;CELL("address",D198),Validation!I:I,0)),"")</f>
        <v/>
      </c>
      <c r="E198" s="66" t="str">
        <f ca="1">IFERROR(INDEX(Validation!F:F,MATCH("Parcels"&amp;CELL("address",D198),Validation!I:I,0)),"")</f>
        <v/>
      </c>
    </row>
    <row r="199" spans="1:5" x14ac:dyDescent="0.25">
      <c r="A199" s="103"/>
      <c r="B199" s="103"/>
      <c r="C199" s="103"/>
      <c r="D199" s="77" t="str">
        <f ca="1">IFERROR(INDEX(Validation!G:G,MATCH("Parcels"&amp;CELL("address",D199),Validation!I:I,0)),"")</f>
        <v/>
      </c>
      <c r="E199" s="66" t="str">
        <f ca="1">IFERROR(INDEX(Validation!F:F,MATCH("Parcels"&amp;CELL("address",D199),Validation!I:I,0)),"")</f>
        <v/>
      </c>
    </row>
    <row r="200" spans="1:5" x14ac:dyDescent="0.25">
      <c r="A200" s="103"/>
      <c r="B200" s="103"/>
      <c r="C200" s="103"/>
      <c r="D200" s="77" t="str">
        <f ca="1">IFERROR(INDEX(Validation!G:G,MATCH("Parcels"&amp;CELL("address",D200),Validation!I:I,0)),"")</f>
        <v/>
      </c>
      <c r="E200" s="66" t="str">
        <f ca="1">IFERROR(INDEX(Validation!F:F,MATCH("Parcels"&amp;CELL("address",D200),Validation!I:I,0)),"")</f>
        <v/>
      </c>
    </row>
    <row r="201" spans="1:5" x14ac:dyDescent="0.25">
      <c r="A201" s="103"/>
      <c r="B201" s="103"/>
      <c r="C201" s="103"/>
      <c r="D201" s="77" t="str">
        <f ca="1">IFERROR(INDEX(Validation!G:G,MATCH("Parcels"&amp;CELL("address",D201),Validation!I:I,0)),"")</f>
        <v/>
      </c>
      <c r="E201" s="66" t="str">
        <f ca="1">IFERROR(INDEX(Validation!F:F,MATCH("Parcels"&amp;CELL("address",D201),Validation!I:I,0)),"")</f>
        <v/>
      </c>
    </row>
    <row r="202" spans="1:5" x14ac:dyDescent="0.25">
      <c r="A202" s="103"/>
      <c r="B202" s="103"/>
      <c r="C202" s="103"/>
      <c r="D202" s="77" t="str">
        <f ca="1">IFERROR(INDEX(Validation!G:G,MATCH("Parcels"&amp;CELL("address",D202),Validation!I:I,0)),"")</f>
        <v/>
      </c>
      <c r="E202" s="66" t="str">
        <f ca="1">IFERROR(INDEX(Validation!F:F,MATCH("Parcels"&amp;CELL("address",D202),Validation!I:I,0)),"")</f>
        <v/>
      </c>
    </row>
    <row r="203" spans="1:5" x14ac:dyDescent="0.25">
      <c r="A203" s="103"/>
      <c r="B203" s="103"/>
      <c r="C203" s="103"/>
      <c r="D203" s="77" t="str">
        <f ca="1">IFERROR(INDEX(Validation!G:G,MATCH("Parcels"&amp;CELL("address",D203),Validation!I:I,0)),"")</f>
        <v/>
      </c>
      <c r="E203" s="66" t="str">
        <f ca="1">IFERROR(INDEX(Validation!F:F,MATCH("Parcels"&amp;CELL("address",D203),Validation!I:I,0)),"")</f>
        <v/>
      </c>
    </row>
    <row r="204" spans="1:5" x14ac:dyDescent="0.25">
      <c r="A204" s="103"/>
      <c r="B204" s="103"/>
      <c r="C204" s="103"/>
      <c r="D204" s="77" t="str">
        <f ca="1">IFERROR(INDEX(Validation!G:G,MATCH("Parcels"&amp;CELL("address",D204),Validation!I:I,0)),"")</f>
        <v/>
      </c>
      <c r="E204" s="66" t="str">
        <f ca="1">IFERROR(INDEX(Validation!F:F,MATCH("Parcels"&amp;CELL("address",D204),Validation!I:I,0)),"")</f>
        <v/>
      </c>
    </row>
    <row r="205" spans="1:5" x14ac:dyDescent="0.25">
      <c r="A205" s="103"/>
      <c r="B205" s="103"/>
      <c r="C205" s="103"/>
      <c r="D205" s="77" t="str">
        <f ca="1">IFERROR(INDEX(Validation!G:G,MATCH("Parcels"&amp;CELL("address",D205),Validation!I:I,0)),"")</f>
        <v/>
      </c>
      <c r="E205" s="66" t="str">
        <f ca="1">IFERROR(INDEX(Validation!F:F,MATCH("Parcels"&amp;CELL("address",D205),Validation!I:I,0)),"")</f>
        <v/>
      </c>
    </row>
    <row r="206" spans="1:5" x14ac:dyDescent="0.25">
      <c r="A206" s="103"/>
      <c r="B206" s="103"/>
      <c r="C206" s="103"/>
      <c r="D206" s="77" t="str">
        <f ca="1">IFERROR(INDEX(Validation!G:G,MATCH("Parcels"&amp;CELL("address",D206),Validation!I:I,0)),"")</f>
        <v/>
      </c>
      <c r="E206" s="66" t="str">
        <f ca="1">IFERROR(INDEX(Validation!F:F,MATCH("Parcels"&amp;CELL("address",D206),Validation!I:I,0)),"")</f>
        <v/>
      </c>
    </row>
    <row r="207" spans="1:5" x14ac:dyDescent="0.25">
      <c r="A207" s="103"/>
      <c r="B207" s="103"/>
      <c r="C207" s="103"/>
      <c r="D207" s="77" t="str">
        <f ca="1">IFERROR(INDEX(Validation!G:G,MATCH("Parcels"&amp;CELL("address",D207),Validation!I:I,0)),"")</f>
        <v/>
      </c>
      <c r="E207" s="66" t="str">
        <f ca="1">IFERROR(INDEX(Validation!F:F,MATCH("Parcels"&amp;CELL("address",D207),Validation!I:I,0)),"")</f>
        <v/>
      </c>
    </row>
    <row r="208" spans="1:5" x14ac:dyDescent="0.25">
      <c r="A208" s="103"/>
      <c r="B208" s="103"/>
      <c r="C208" s="103"/>
      <c r="D208" s="77" t="str">
        <f ca="1">IFERROR(INDEX(Validation!G:G,MATCH("Parcels"&amp;CELL("address",D208),Validation!I:I,0)),"")</f>
        <v/>
      </c>
      <c r="E208" s="66" t="str">
        <f ca="1">IFERROR(INDEX(Validation!F:F,MATCH("Parcels"&amp;CELL("address",D208),Validation!I:I,0)),"")</f>
        <v/>
      </c>
    </row>
    <row r="209" spans="1:5" x14ac:dyDescent="0.25">
      <c r="A209" s="103"/>
      <c r="B209" s="103"/>
      <c r="C209" s="103"/>
      <c r="D209" s="77" t="str">
        <f ca="1">IFERROR(INDEX(Validation!G:G,MATCH("Parcels"&amp;CELL("address",D209),Validation!I:I,0)),"")</f>
        <v/>
      </c>
      <c r="E209" s="66" t="str">
        <f ca="1">IFERROR(INDEX(Validation!F:F,MATCH("Parcels"&amp;CELL("address",D209),Validation!I:I,0)),"")</f>
        <v/>
      </c>
    </row>
    <row r="210" spans="1:5" x14ac:dyDescent="0.25">
      <c r="A210" s="103"/>
      <c r="B210" s="103"/>
      <c r="C210" s="103"/>
      <c r="D210" s="77" t="str">
        <f ca="1">IFERROR(INDEX(Validation!G:G,MATCH("Parcels"&amp;CELL("address",D210),Validation!I:I,0)),"")</f>
        <v/>
      </c>
      <c r="E210" s="66" t="str">
        <f ca="1">IFERROR(INDEX(Validation!F:F,MATCH("Parcels"&amp;CELL("address",D210),Validation!I:I,0)),"")</f>
        <v/>
      </c>
    </row>
    <row r="211" spans="1:5" x14ac:dyDescent="0.25">
      <c r="A211" s="103"/>
      <c r="B211" s="103"/>
      <c r="C211" s="103"/>
      <c r="D211" s="77" t="str">
        <f ca="1">IFERROR(INDEX(Validation!G:G,MATCH("Parcels"&amp;CELL("address",D211),Validation!I:I,0)),"")</f>
        <v/>
      </c>
      <c r="E211" s="66" t="str">
        <f ca="1">IFERROR(INDEX(Validation!F:F,MATCH("Parcels"&amp;CELL("address",D211),Validation!I:I,0)),"")</f>
        <v/>
      </c>
    </row>
    <row r="212" spans="1:5" x14ac:dyDescent="0.25">
      <c r="A212" s="103"/>
      <c r="B212" s="103"/>
      <c r="C212" s="103"/>
      <c r="D212" s="77" t="str">
        <f ca="1">IFERROR(INDEX(Validation!G:G,MATCH("Parcels"&amp;CELL("address",D212),Validation!I:I,0)),"")</f>
        <v/>
      </c>
      <c r="E212" s="66" t="str">
        <f ca="1">IFERROR(INDEX(Validation!F:F,MATCH("Parcels"&amp;CELL("address",D212),Validation!I:I,0)),"")</f>
        <v/>
      </c>
    </row>
    <row r="213" spans="1:5" x14ac:dyDescent="0.25">
      <c r="A213" s="103"/>
      <c r="B213" s="103"/>
      <c r="C213" s="103"/>
      <c r="D213" s="77" t="str">
        <f ca="1">IFERROR(INDEX(Validation!G:G,MATCH("Parcels"&amp;CELL("address",D213),Validation!I:I,0)),"")</f>
        <v/>
      </c>
      <c r="E213" s="66" t="str">
        <f ca="1">IFERROR(INDEX(Validation!F:F,MATCH("Parcels"&amp;CELL("address",D213),Validation!I:I,0)),"")</f>
        <v/>
      </c>
    </row>
    <row r="214" spans="1:5" x14ac:dyDescent="0.25">
      <c r="A214" s="103"/>
      <c r="B214" s="103"/>
      <c r="C214" s="103"/>
      <c r="D214" s="77" t="str">
        <f ca="1">IFERROR(INDEX(Validation!G:G,MATCH("Parcels"&amp;CELL("address",D214),Validation!I:I,0)),"")</f>
        <v/>
      </c>
      <c r="E214" s="66" t="str">
        <f ca="1">IFERROR(INDEX(Validation!F:F,MATCH("Parcels"&amp;CELL("address",D214),Validation!I:I,0)),"")</f>
        <v/>
      </c>
    </row>
    <row r="215" spans="1:5" x14ac:dyDescent="0.25">
      <c r="A215" s="103"/>
      <c r="B215" s="103"/>
      <c r="C215" s="103"/>
      <c r="D215" s="77" t="str">
        <f ca="1">IFERROR(INDEX(Validation!G:G,MATCH("Parcels"&amp;CELL("address",D215),Validation!I:I,0)),"")</f>
        <v/>
      </c>
      <c r="E215" s="66" t="str">
        <f ca="1">IFERROR(INDEX(Validation!F:F,MATCH("Parcels"&amp;CELL("address",D215),Validation!I:I,0)),"")</f>
        <v/>
      </c>
    </row>
    <row r="216" spans="1:5" x14ac:dyDescent="0.25">
      <c r="A216" s="103"/>
      <c r="B216" s="103"/>
      <c r="C216" s="103"/>
      <c r="D216" s="77" t="str">
        <f ca="1">IFERROR(INDEX(Validation!G:G,MATCH("Parcels"&amp;CELL("address",D216),Validation!I:I,0)),"")</f>
        <v/>
      </c>
      <c r="E216" s="66" t="str">
        <f ca="1">IFERROR(INDEX(Validation!F:F,MATCH("Parcels"&amp;CELL("address",D216),Validation!I:I,0)),"")</f>
        <v/>
      </c>
    </row>
    <row r="217" spans="1:5" x14ac:dyDescent="0.25">
      <c r="A217" s="103"/>
      <c r="B217" s="103"/>
      <c r="C217" s="103"/>
      <c r="D217" s="77" t="str">
        <f ca="1">IFERROR(INDEX(Validation!G:G,MATCH("Parcels"&amp;CELL("address",D217),Validation!I:I,0)),"")</f>
        <v/>
      </c>
      <c r="E217" s="66" t="str">
        <f ca="1">IFERROR(INDEX(Validation!F:F,MATCH("Parcels"&amp;CELL("address",D217),Validation!I:I,0)),"")</f>
        <v/>
      </c>
    </row>
    <row r="218" spans="1:5" x14ac:dyDescent="0.25">
      <c r="A218" s="103"/>
      <c r="B218" s="103"/>
      <c r="C218" s="103"/>
      <c r="D218" s="77" t="str">
        <f ca="1">IFERROR(INDEX(Validation!G:G,MATCH("Parcels"&amp;CELL("address",D218),Validation!I:I,0)),"")</f>
        <v/>
      </c>
      <c r="E218" s="66" t="str">
        <f ca="1">IFERROR(INDEX(Validation!F:F,MATCH("Parcels"&amp;CELL("address",D218),Validation!I:I,0)),"")</f>
        <v/>
      </c>
    </row>
    <row r="219" spans="1:5" x14ac:dyDescent="0.25">
      <c r="A219" s="103"/>
      <c r="B219" s="103"/>
      <c r="C219" s="103"/>
      <c r="D219" s="77" t="str">
        <f ca="1">IFERROR(INDEX(Validation!G:G,MATCH("Parcels"&amp;CELL("address",D219),Validation!I:I,0)),"")</f>
        <v/>
      </c>
      <c r="E219" s="66" t="str">
        <f ca="1">IFERROR(INDEX(Validation!F:F,MATCH("Parcels"&amp;CELL("address",D219),Validation!I:I,0)),"")</f>
        <v/>
      </c>
    </row>
    <row r="220" spans="1:5" x14ac:dyDescent="0.25">
      <c r="A220" s="103"/>
      <c r="B220" s="103"/>
      <c r="C220" s="103"/>
      <c r="D220" s="77" t="str">
        <f ca="1">IFERROR(INDEX(Validation!G:G,MATCH("Parcels"&amp;CELL("address",D220),Validation!I:I,0)),"")</f>
        <v/>
      </c>
      <c r="E220" s="66" t="str">
        <f ca="1">IFERROR(INDEX(Validation!F:F,MATCH("Parcels"&amp;CELL("address",D220),Validation!I:I,0)),"")</f>
        <v/>
      </c>
    </row>
    <row r="221" spans="1:5" x14ac:dyDescent="0.25">
      <c r="A221" s="103"/>
      <c r="B221" s="103"/>
      <c r="C221" s="103"/>
      <c r="D221" s="77" t="str">
        <f ca="1">IFERROR(INDEX(Validation!G:G,MATCH("Parcels"&amp;CELL("address",D221),Validation!I:I,0)),"")</f>
        <v/>
      </c>
      <c r="E221" s="66" t="str">
        <f ca="1">IFERROR(INDEX(Validation!F:F,MATCH("Parcels"&amp;CELL("address",D221),Validation!I:I,0)),"")</f>
        <v/>
      </c>
    </row>
    <row r="222" spans="1:5" x14ac:dyDescent="0.25">
      <c r="A222" s="103"/>
      <c r="B222" s="103"/>
      <c r="C222" s="103"/>
      <c r="D222" s="77" t="str">
        <f ca="1">IFERROR(INDEX(Validation!G:G,MATCH("Parcels"&amp;CELL("address",D222),Validation!I:I,0)),"")</f>
        <v/>
      </c>
      <c r="E222" s="66" t="str">
        <f ca="1">IFERROR(INDEX(Validation!F:F,MATCH("Parcels"&amp;CELL("address",D222),Validation!I:I,0)),"")</f>
        <v/>
      </c>
    </row>
    <row r="223" spans="1:5" x14ac:dyDescent="0.25">
      <c r="A223" s="103"/>
      <c r="B223" s="103"/>
      <c r="C223" s="103"/>
      <c r="D223" s="77" t="str">
        <f ca="1">IFERROR(INDEX(Validation!G:G,MATCH("Parcels"&amp;CELL("address",D223),Validation!I:I,0)),"")</f>
        <v/>
      </c>
      <c r="E223" s="66" t="str">
        <f ca="1">IFERROR(INDEX(Validation!F:F,MATCH("Parcels"&amp;CELL("address",D223),Validation!I:I,0)),"")</f>
        <v/>
      </c>
    </row>
    <row r="224" spans="1:5" x14ac:dyDescent="0.25">
      <c r="A224" s="103"/>
      <c r="B224" s="103"/>
      <c r="C224" s="103"/>
      <c r="D224" s="77" t="str">
        <f ca="1">IFERROR(INDEX(Validation!G:G,MATCH("Parcels"&amp;CELL("address",D224),Validation!I:I,0)),"")</f>
        <v/>
      </c>
      <c r="E224" s="66" t="str">
        <f ca="1">IFERROR(INDEX(Validation!F:F,MATCH("Parcels"&amp;CELL("address",D224),Validation!I:I,0)),"")</f>
        <v/>
      </c>
    </row>
    <row r="225" spans="1:5" x14ac:dyDescent="0.25">
      <c r="A225" s="103"/>
      <c r="B225" s="103"/>
      <c r="C225" s="103"/>
      <c r="D225" s="77" t="str">
        <f ca="1">IFERROR(INDEX(Validation!G:G,MATCH("Parcels"&amp;CELL("address",D225),Validation!I:I,0)),"")</f>
        <v/>
      </c>
      <c r="E225" s="66" t="str">
        <f ca="1">IFERROR(INDEX(Validation!F:F,MATCH("Parcels"&amp;CELL("address",D225),Validation!I:I,0)),"")</f>
        <v/>
      </c>
    </row>
    <row r="226" spans="1:5" x14ac:dyDescent="0.25">
      <c r="A226" s="103"/>
      <c r="B226" s="103"/>
      <c r="C226" s="103"/>
      <c r="D226" s="77" t="str">
        <f ca="1">IFERROR(INDEX(Validation!G:G,MATCH("Parcels"&amp;CELL("address",D226),Validation!I:I,0)),"")</f>
        <v/>
      </c>
      <c r="E226" s="66" t="str">
        <f ca="1">IFERROR(INDEX(Validation!F:F,MATCH("Parcels"&amp;CELL("address",D226),Validation!I:I,0)),"")</f>
        <v/>
      </c>
    </row>
    <row r="227" spans="1:5" x14ac:dyDescent="0.25">
      <c r="A227" s="103"/>
      <c r="B227" s="103"/>
      <c r="C227" s="103"/>
      <c r="D227" s="77" t="str">
        <f ca="1">IFERROR(INDEX(Validation!G:G,MATCH("Parcels"&amp;CELL("address",D227),Validation!I:I,0)),"")</f>
        <v/>
      </c>
      <c r="E227" s="66" t="str">
        <f ca="1">IFERROR(INDEX(Validation!F:F,MATCH("Parcels"&amp;CELL("address",D227),Validation!I:I,0)),"")</f>
        <v/>
      </c>
    </row>
    <row r="228" spans="1:5" x14ac:dyDescent="0.25">
      <c r="A228" s="103"/>
      <c r="B228" s="103"/>
      <c r="C228" s="103"/>
      <c r="D228" s="77" t="str">
        <f ca="1">IFERROR(INDEX(Validation!G:G,MATCH("Parcels"&amp;CELL("address",D228),Validation!I:I,0)),"")</f>
        <v/>
      </c>
      <c r="E228" s="66" t="str">
        <f ca="1">IFERROR(INDEX(Validation!F:F,MATCH("Parcels"&amp;CELL("address",D228),Validation!I:I,0)),"")</f>
        <v/>
      </c>
    </row>
    <row r="229" spans="1:5" x14ac:dyDescent="0.25">
      <c r="A229" s="103"/>
      <c r="B229" s="103"/>
      <c r="C229" s="103"/>
      <c r="D229" s="77" t="str">
        <f ca="1">IFERROR(INDEX(Validation!G:G,MATCH("Parcels"&amp;CELL("address",D229),Validation!I:I,0)),"")</f>
        <v/>
      </c>
      <c r="E229" s="66" t="str">
        <f ca="1">IFERROR(INDEX(Validation!F:F,MATCH("Parcels"&amp;CELL("address",D229),Validation!I:I,0)),"")</f>
        <v/>
      </c>
    </row>
    <row r="230" spans="1:5" x14ac:dyDescent="0.25">
      <c r="A230" s="103"/>
      <c r="B230" s="103"/>
      <c r="C230" s="103"/>
      <c r="D230" s="77" t="str">
        <f ca="1">IFERROR(INDEX(Validation!G:G,MATCH("Parcels"&amp;CELL("address",D230),Validation!I:I,0)),"")</f>
        <v/>
      </c>
      <c r="E230" s="66" t="str">
        <f ca="1">IFERROR(INDEX(Validation!F:F,MATCH("Parcels"&amp;CELL("address",D230),Validation!I:I,0)),"")</f>
        <v/>
      </c>
    </row>
    <row r="231" spans="1:5" x14ac:dyDescent="0.25">
      <c r="A231" s="103"/>
      <c r="B231" s="103"/>
      <c r="C231" s="103"/>
      <c r="D231" s="77" t="str">
        <f ca="1">IFERROR(INDEX(Validation!G:G,MATCH("Parcels"&amp;CELL("address",D231),Validation!I:I,0)),"")</f>
        <v/>
      </c>
      <c r="E231" s="66" t="str">
        <f ca="1">IFERROR(INDEX(Validation!F:F,MATCH("Parcels"&amp;CELL("address",D231),Validation!I:I,0)),"")</f>
        <v/>
      </c>
    </row>
    <row r="232" spans="1:5" x14ac:dyDescent="0.25">
      <c r="A232" s="103"/>
      <c r="B232" s="103"/>
      <c r="C232" s="103"/>
      <c r="D232" s="77" t="str">
        <f ca="1">IFERROR(INDEX(Validation!G:G,MATCH("Parcels"&amp;CELL("address",D232),Validation!I:I,0)),"")</f>
        <v/>
      </c>
      <c r="E232" s="66" t="str">
        <f ca="1">IFERROR(INDEX(Validation!F:F,MATCH("Parcels"&amp;CELL("address",D232),Validation!I:I,0)),"")</f>
        <v/>
      </c>
    </row>
    <row r="233" spans="1:5" x14ac:dyDescent="0.25">
      <c r="A233" s="103"/>
      <c r="B233" s="103"/>
      <c r="C233" s="103"/>
      <c r="D233" s="77" t="str">
        <f ca="1">IFERROR(INDEX(Validation!G:G,MATCH("Parcels"&amp;CELL("address",D233),Validation!I:I,0)),"")</f>
        <v/>
      </c>
      <c r="E233" s="66" t="str">
        <f ca="1">IFERROR(INDEX(Validation!F:F,MATCH("Parcels"&amp;CELL("address",D233),Validation!I:I,0)),"")</f>
        <v/>
      </c>
    </row>
    <row r="234" spans="1:5" x14ac:dyDescent="0.25">
      <c r="A234" s="103"/>
      <c r="B234" s="103"/>
      <c r="C234" s="103"/>
      <c r="D234" s="77" t="str">
        <f ca="1">IFERROR(INDEX(Validation!G:G,MATCH("Parcels"&amp;CELL("address",D234),Validation!I:I,0)),"")</f>
        <v/>
      </c>
      <c r="E234" s="66" t="str">
        <f ca="1">IFERROR(INDEX(Validation!F:F,MATCH("Parcels"&amp;CELL("address",D234),Validation!I:I,0)),"")</f>
        <v/>
      </c>
    </row>
    <row r="235" spans="1:5" x14ac:dyDescent="0.25">
      <c r="A235" s="103"/>
      <c r="B235" s="103"/>
      <c r="C235" s="103"/>
      <c r="D235" s="77" t="str">
        <f ca="1">IFERROR(INDEX(Validation!G:G,MATCH("Parcels"&amp;CELL("address",D235),Validation!I:I,0)),"")</f>
        <v/>
      </c>
      <c r="E235" s="66" t="str">
        <f ca="1">IFERROR(INDEX(Validation!F:F,MATCH("Parcels"&amp;CELL("address",D235),Validation!I:I,0)),"")</f>
        <v/>
      </c>
    </row>
    <row r="236" spans="1:5" x14ac:dyDescent="0.25">
      <c r="A236" s="103"/>
      <c r="B236" s="103"/>
      <c r="C236" s="103"/>
      <c r="D236" s="77" t="str">
        <f ca="1">IFERROR(INDEX(Validation!G:G,MATCH("Parcels"&amp;CELL("address",D236),Validation!I:I,0)),"")</f>
        <v/>
      </c>
      <c r="E236" s="66" t="str">
        <f ca="1">IFERROR(INDEX(Validation!F:F,MATCH("Parcels"&amp;CELL("address",D236),Validation!I:I,0)),"")</f>
        <v/>
      </c>
    </row>
    <row r="237" spans="1:5" x14ac:dyDescent="0.25">
      <c r="A237" s="103"/>
      <c r="B237" s="103"/>
      <c r="C237" s="103"/>
      <c r="D237" s="77" t="str">
        <f ca="1">IFERROR(INDEX(Validation!G:G,MATCH("Parcels"&amp;CELL("address",D237),Validation!I:I,0)),"")</f>
        <v/>
      </c>
      <c r="E237" s="66" t="str">
        <f ca="1">IFERROR(INDEX(Validation!F:F,MATCH("Parcels"&amp;CELL("address",D237),Validation!I:I,0)),"")</f>
        <v/>
      </c>
    </row>
    <row r="238" spans="1:5" x14ac:dyDescent="0.25">
      <c r="A238" s="103"/>
      <c r="B238" s="103"/>
      <c r="C238" s="103"/>
      <c r="D238" s="77" t="str">
        <f ca="1">IFERROR(INDEX(Validation!G:G,MATCH("Parcels"&amp;CELL("address",D238),Validation!I:I,0)),"")</f>
        <v/>
      </c>
      <c r="E238" s="66" t="str">
        <f ca="1">IFERROR(INDEX(Validation!F:F,MATCH("Parcels"&amp;CELL("address",D238),Validation!I:I,0)),"")</f>
        <v/>
      </c>
    </row>
    <row r="239" spans="1:5" x14ac:dyDescent="0.25">
      <c r="A239" s="103"/>
      <c r="B239" s="103"/>
      <c r="C239" s="103"/>
      <c r="D239" s="77" t="str">
        <f ca="1">IFERROR(INDEX(Validation!G:G,MATCH("Parcels"&amp;CELL("address",D239),Validation!I:I,0)),"")</f>
        <v/>
      </c>
      <c r="E239" s="66" t="str">
        <f ca="1">IFERROR(INDEX(Validation!F:F,MATCH("Parcels"&amp;CELL("address",D239),Validation!I:I,0)),"")</f>
        <v/>
      </c>
    </row>
    <row r="240" spans="1:5" x14ac:dyDescent="0.25">
      <c r="A240" s="103"/>
      <c r="B240" s="103"/>
      <c r="C240" s="103"/>
      <c r="D240" s="77" t="str">
        <f ca="1">IFERROR(INDEX(Validation!G:G,MATCH("Parcels"&amp;CELL("address",D240),Validation!I:I,0)),"")</f>
        <v/>
      </c>
      <c r="E240" s="66" t="str">
        <f ca="1">IFERROR(INDEX(Validation!F:F,MATCH("Parcels"&amp;CELL("address",D240),Validation!I:I,0)),"")</f>
        <v/>
      </c>
    </row>
    <row r="241" spans="1:5" x14ac:dyDescent="0.25">
      <c r="A241" s="103"/>
      <c r="B241" s="103"/>
      <c r="C241" s="103"/>
      <c r="D241" s="77" t="str">
        <f ca="1">IFERROR(INDEX(Validation!G:G,MATCH("Parcels"&amp;CELL("address",D241),Validation!I:I,0)),"")</f>
        <v/>
      </c>
      <c r="E241" s="66" t="str">
        <f ca="1">IFERROR(INDEX(Validation!F:F,MATCH("Parcels"&amp;CELL("address",D241),Validation!I:I,0)),"")</f>
        <v/>
      </c>
    </row>
    <row r="242" spans="1:5" x14ac:dyDescent="0.25">
      <c r="A242" s="103"/>
      <c r="B242" s="103"/>
      <c r="C242" s="103"/>
      <c r="D242" s="77" t="str">
        <f ca="1">IFERROR(INDEX(Validation!G:G,MATCH("Parcels"&amp;CELL("address",D242),Validation!I:I,0)),"")</f>
        <v/>
      </c>
      <c r="E242" s="66" t="str">
        <f ca="1">IFERROR(INDEX(Validation!F:F,MATCH("Parcels"&amp;CELL("address",D242),Validation!I:I,0)),"")</f>
        <v/>
      </c>
    </row>
    <row r="243" spans="1:5" x14ac:dyDescent="0.25">
      <c r="A243" s="103"/>
      <c r="B243" s="103"/>
      <c r="C243" s="103"/>
      <c r="D243" s="77" t="str">
        <f ca="1">IFERROR(INDEX(Validation!G:G,MATCH("Parcels"&amp;CELL("address",D243),Validation!I:I,0)),"")</f>
        <v/>
      </c>
      <c r="E243" s="66" t="str">
        <f ca="1">IFERROR(INDEX(Validation!F:F,MATCH("Parcels"&amp;CELL("address",D243),Validation!I:I,0)),"")</f>
        <v/>
      </c>
    </row>
    <row r="244" spans="1:5" x14ac:dyDescent="0.25">
      <c r="A244" s="103"/>
      <c r="B244" s="103"/>
      <c r="C244" s="103"/>
      <c r="D244" s="77" t="str">
        <f ca="1">IFERROR(INDEX(Validation!G:G,MATCH("Parcels"&amp;CELL("address",D244),Validation!I:I,0)),"")</f>
        <v/>
      </c>
      <c r="E244" s="66" t="str">
        <f ca="1">IFERROR(INDEX(Validation!F:F,MATCH("Parcels"&amp;CELL("address",D244),Validation!I:I,0)),"")</f>
        <v/>
      </c>
    </row>
    <row r="245" spans="1:5" x14ac:dyDescent="0.25">
      <c r="A245" s="103"/>
      <c r="B245" s="103"/>
      <c r="C245" s="103"/>
      <c r="D245" s="77" t="str">
        <f ca="1">IFERROR(INDEX(Validation!G:G,MATCH("Parcels"&amp;CELL("address",D245),Validation!I:I,0)),"")</f>
        <v/>
      </c>
      <c r="E245" s="66" t="str">
        <f ca="1">IFERROR(INDEX(Validation!F:F,MATCH("Parcels"&amp;CELL("address",D245),Validation!I:I,0)),"")</f>
        <v/>
      </c>
    </row>
    <row r="246" spans="1:5" x14ac:dyDescent="0.25">
      <c r="A246" s="103"/>
      <c r="B246" s="103"/>
      <c r="C246" s="103"/>
      <c r="D246" s="77" t="str">
        <f ca="1">IFERROR(INDEX(Validation!G:G,MATCH("Parcels"&amp;CELL("address",D246),Validation!I:I,0)),"")</f>
        <v/>
      </c>
      <c r="E246" s="66" t="str">
        <f ca="1">IFERROR(INDEX(Validation!F:F,MATCH("Parcels"&amp;CELL("address",D246),Validation!I:I,0)),"")</f>
        <v/>
      </c>
    </row>
    <row r="247" spans="1:5" x14ac:dyDescent="0.25">
      <c r="A247" s="103"/>
      <c r="B247" s="103"/>
      <c r="C247" s="103"/>
      <c r="D247" s="77" t="str">
        <f ca="1">IFERROR(INDEX(Validation!G:G,MATCH("Parcels"&amp;CELL("address",D247),Validation!I:I,0)),"")</f>
        <v/>
      </c>
      <c r="E247" s="66" t="str">
        <f ca="1">IFERROR(INDEX(Validation!F:F,MATCH("Parcels"&amp;CELL("address",D247),Validation!I:I,0)),"")</f>
        <v/>
      </c>
    </row>
    <row r="248" spans="1:5" x14ac:dyDescent="0.25">
      <c r="A248" s="103"/>
      <c r="B248" s="103"/>
      <c r="C248" s="103"/>
      <c r="D248" s="77" t="str">
        <f ca="1">IFERROR(INDEX(Validation!G:G,MATCH("Parcels"&amp;CELL("address",D248),Validation!I:I,0)),"")</f>
        <v/>
      </c>
      <c r="E248" s="66" t="str">
        <f ca="1">IFERROR(INDEX(Validation!F:F,MATCH("Parcels"&amp;CELL("address",D248),Validation!I:I,0)),"")</f>
        <v/>
      </c>
    </row>
    <row r="249" spans="1:5" x14ac:dyDescent="0.25">
      <c r="A249" s="103"/>
      <c r="B249" s="103"/>
      <c r="C249" s="103"/>
      <c r="D249" s="77" t="str">
        <f ca="1">IFERROR(INDEX(Validation!G:G,MATCH("Parcels"&amp;CELL("address",D249),Validation!I:I,0)),"")</f>
        <v/>
      </c>
      <c r="E249" s="66" t="str">
        <f ca="1">IFERROR(INDEX(Validation!F:F,MATCH("Parcels"&amp;CELL("address",D249),Validation!I:I,0)),"")</f>
        <v/>
      </c>
    </row>
    <row r="250" spans="1:5" x14ac:dyDescent="0.25">
      <c r="A250" s="103"/>
      <c r="B250" s="103"/>
      <c r="C250" s="103"/>
      <c r="D250" s="77" t="str">
        <f ca="1">IFERROR(INDEX(Validation!G:G,MATCH("Parcels"&amp;CELL("address",D250),Validation!I:I,0)),"")</f>
        <v/>
      </c>
      <c r="E250" s="66" t="str">
        <f ca="1">IFERROR(INDEX(Validation!F:F,MATCH("Parcels"&amp;CELL("address",D250),Validation!I:I,0)),"")</f>
        <v/>
      </c>
    </row>
    <row r="251" spans="1:5" x14ac:dyDescent="0.25">
      <c r="A251" s="103"/>
      <c r="B251" s="103"/>
      <c r="C251" s="103"/>
      <c r="D251" s="77" t="str">
        <f ca="1">IFERROR(INDEX(Validation!G:G,MATCH("Parcels"&amp;CELL("address",D251),Validation!I:I,0)),"")</f>
        <v/>
      </c>
      <c r="E251" s="66" t="str">
        <f ca="1">IFERROR(INDEX(Validation!F:F,MATCH("Parcels"&amp;CELL("address",D251),Validation!I:I,0)),"")</f>
        <v/>
      </c>
    </row>
    <row r="252" spans="1:5" x14ac:dyDescent="0.25">
      <c r="A252" s="103"/>
      <c r="B252" s="103"/>
      <c r="C252" s="103"/>
      <c r="D252" s="77" t="str">
        <f ca="1">IFERROR(INDEX(Validation!G:G,MATCH("Parcels"&amp;CELL("address",D252),Validation!I:I,0)),"")</f>
        <v/>
      </c>
      <c r="E252" s="66" t="str">
        <f ca="1">IFERROR(INDEX(Validation!F:F,MATCH("Parcels"&amp;CELL("address",D252),Validation!I:I,0)),"")</f>
        <v/>
      </c>
    </row>
    <row r="253" spans="1:5" x14ac:dyDescent="0.25">
      <c r="A253" s="103"/>
      <c r="B253" s="103"/>
      <c r="C253" s="103"/>
      <c r="D253" s="77" t="str">
        <f ca="1">IFERROR(INDEX(Validation!G:G,MATCH("Parcels"&amp;CELL("address",D253),Validation!I:I,0)),"")</f>
        <v/>
      </c>
      <c r="E253" s="66" t="str">
        <f ca="1">IFERROR(INDEX(Validation!F:F,MATCH("Parcels"&amp;CELL("address",D253),Validation!I:I,0)),"")</f>
        <v/>
      </c>
    </row>
    <row r="254" spans="1:5" x14ac:dyDescent="0.25">
      <c r="A254" s="103"/>
      <c r="B254" s="103"/>
      <c r="C254" s="103"/>
      <c r="D254" s="77" t="str">
        <f ca="1">IFERROR(INDEX(Validation!G:G,MATCH("Parcels"&amp;CELL("address",D254),Validation!I:I,0)),"")</f>
        <v/>
      </c>
      <c r="E254" s="66" t="str">
        <f ca="1">IFERROR(INDEX(Validation!F:F,MATCH("Parcels"&amp;CELL("address",D254),Validation!I:I,0)),"")</f>
        <v/>
      </c>
    </row>
    <row r="255" spans="1:5" x14ac:dyDescent="0.25">
      <c r="A255" s="103"/>
      <c r="B255" s="103"/>
      <c r="C255" s="103"/>
      <c r="D255" s="77" t="str">
        <f ca="1">IFERROR(INDEX(Validation!G:G,MATCH("Parcels"&amp;CELL("address",D255),Validation!I:I,0)),"")</f>
        <v/>
      </c>
      <c r="E255" s="66" t="str">
        <f ca="1">IFERROR(INDEX(Validation!F:F,MATCH("Parcels"&amp;CELL("address",D255),Validation!I:I,0)),"")</f>
        <v/>
      </c>
    </row>
    <row r="256" spans="1:5" x14ac:dyDescent="0.25">
      <c r="A256" s="103"/>
      <c r="B256" s="103"/>
      <c r="C256" s="103"/>
      <c r="D256" s="77" t="str">
        <f ca="1">IFERROR(INDEX(Validation!G:G,MATCH("Parcels"&amp;CELL("address",D256),Validation!I:I,0)),"")</f>
        <v/>
      </c>
      <c r="E256" s="66" t="str">
        <f ca="1">IFERROR(INDEX(Validation!F:F,MATCH("Parcels"&amp;CELL("address",D256),Validation!I:I,0)),"")</f>
        <v/>
      </c>
    </row>
    <row r="257" spans="1:5" x14ac:dyDescent="0.25">
      <c r="A257" s="103"/>
      <c r="B257" s="103"/>
      <c r="C257" s="103"/>
      <c r="D257" s="77" t="str">
        <f ca="1">IFERROR(INDEX(Validation!G:G,MATCH("Parcels"&amp;CELL("address",D257),Validation!I:I,0)),"")</f>
        <v/>
      </c>
      <c r="E257" s="66" t="str">
        <f ca="1">IFERROR(INDEX(Validation!F:F,MATCH("Parcels"&amp;CELL("address",D257),Validation!I:I,0)),"")</f>
        <v/>
      </c>
    </row>
    <row r="258" spans="1:5" x14ac:dyDescent="0.25">
      <c r="A258" s="103"/>
      <c r="B258" s="103"/>
      <c r="C258" s="103"/>
      <c r="D258" s="77" t="str">
        <f ca="1">IFERROR(INDEX(Validation!G:G,MATCH("Parcels"&amp;CELL("address",D258),Validation!I:I,0)),"")</f>
        <v/>
      </c>
      <c r="E258" s="66" t="str">
        <f ca="1">IFERROR(INDEX(Validation!F:F,MATCH("Parcels"&amp;CELL("address",D258),Validation!I:I,0)),"")</f>
        <v/>
      </c>
    </row>
    <row r="259" spans="1:5" x14ac:dyDescent="0.25">
      <c r="A259" s="103"/>
      <c r="B259" s="103"/>
      <c r="C259" s="103"/>
      <c r="D259" s="77" t="str">
        <f ca="1">IFERROR(INDEX(Validation!G:G,MATCH("Parcels"&amp;CELL("address",D259),Validation!I:I,0)),"")</f>
        <v/>
      </c>
      <c r="E259" s="66" t="str">
        <f ca="1">IFERROR(INDEX(Validation!F:F,MATCH("Parcels"&amp;CELL("address",D259),Validation!I:I,0)),"")</f>
        <v/>
      </c>
    </row>
    <row r="260" spans="1:5" x14ac:dyDescent="0.25">
      <c r="A260" s="103"/>
      <c r="B260" s="103"/>
      <c r="C260" s="103"/>
      <c r="D260" s="77" t="str">
        <f ca="1">IFERROR(INDEX(Validation!G:G,MATCH("Parcels"&amp;CELL("address",D260),Validation!I:I,0)),"")</f>
        <v/>
      </c>
      <c r="E260" s="66" t="str">
        <f ca="1">IFERROR(INDEX(Validation!F:F,MATCH("Parcels"&amp;CELL("address",D260),Validation!I:I,0)),"")</f>
        <v/>
      </c>
    </row>
    <row r="261" spans="1:5" x14ac:dyDescent="0.25">
      <c r="A261" s="103"/>
      <c r="B261" s="103"/>
      <c r="C261" s="103"/>
      <c r="D261" s="77" t="str">
        <f ca="1">IFERROR(INDEX(Validation!G:G,MATCH("Parcels"&amp;CELL("address",D261),Validation!I:I,0)),"")</f>
        <v/>
      </c>
      <c r="E261" s="66" t="str">
        <f ca="1">IFERROR(INDEX(Validation!F:F,MATCH("Parcels"&amp;CELL("address",D261),Validation!I:I,0)),"")</f>
        <v/>
      </c>
    </row>
    <row r="262" spans="1:5" x14ac:dyDescent="0.25">
      <c r="A262" s="103"/>
      <c r="B262" s="103"/>
      <c r="C262" s="103"/>
      <c r="D262" s="77" t="str">
        <f ca="1">IFERROR(INDEX(Validation!G:G,MATCH("Parcels"&amp;CELL("address",D262),Validation!I:I,0)),"")</f>
        <v/>
      </c>
      <c r="E262" s="66" t="str">
        <f ca="1">IFERROR(INDEX(Validation!F:F,MATCH("Parcels"&amp;CELL("address",D262),Validation!I:I,0)),"")</f>
        <v/>
      </c>
    </row>
    <row r="263" spans="1:5" x14ac:dyDescent="0.25">
      <c r="A263" s="103"/>
      <c r="B263" s="103"/>
      <c r="C263" s="103"/>
      <c r="D263" s="77" t="str">
        <f ca="1">IFERROR(INDEX(Validation!G:G,MATCH("Parcels"&amp;CELL("address",D263),Validation!I:I,0)),"")</f>
        <v/>
      </c>
      <c r="E263" s="66" t="str">
        <f ca="1">IFERROR(INDEX(Validation!F:F,MATCH("Parcels"&amp;CELL("address",D263),Validation!I:I,0)),"")</f>
        <v/>
      </c>
    </row>
    <row r="264" spans="1:5" x14ac:dyDescent="0.25">
      <c r="A264" s="103"/>
      <c r="B264" s="103"/>
      <c r="C264" s="103"/>
      <c r="D264" s="77" t="str">
        <f ca="1">IFERROR(INDEX(Validation!G:G,MATCH("Parcels"&amp;CELL("address",D264),Validation!I:I,0)),"")</f>
        <v/>
      </c>
      <c r="E264" s="66" t="str">
        <f ca="1">IFERROR(INDEX(Validation!F:F,MATCH("Parcels"&amp;CELL("address",D264),Validation!I:I,0)),"")</f>
        <v/>
      </c>
    </row>
    <row r="265" spans="1:5" x14ac:dyDescent="0.25">
      <c r="A265" s="103"/>
      <c r="B265" s="103"/>
      <c r="C265" s="103"/>
      <c r="D265" s="77" t="str">
        <f ca="1">IFERROR(INDEX(Validation!G:G,MATCH("Parcels"&amp;CELL("address",D265),Validation!I:I,0)),"")</f>
        <v/>
      </c>
      <c r="E265" s="66" t="str">
        <f ca="1">IFERROR(INDEX(Validation!F:F,MATCH("Parcels"&amp;CELL("address",D265),Validation!I:I,0)),"")</f>
        <v/>
      </c>
    </row>
    <row r="266" spans="1:5" x14ac:dyDescent="0.25">
      <c r="A266" s="103"/>
      <c r="B266" s="103"/>
      <c r="C266" s="103"/>
      <c r="D266" s="77" t="str">
        <f ca="1">IFERROR(INDEX(Validation!G:G,MATCH("Parcels"&amp;CELL("address",D266),Validation!I:I,0)),"")</f>
        <v/>
      </c>
      <c r="E266" s="66" t="str">
        <f ca="1">IFERROR(INDEX(Validation!F:F,MATCH("Parcels"&amp;CELL("address",D266),Validation!I:I,0)),"")</f>
        <v/>
      </c>
    </row>
    <row r="267" spans="1:5" x14ac:dyDescent="0.25">
      <c r="A267" s="103"/>
      <c r="B267" s="103"/>
      <c r="C267" s="103"/>
      <c r="D267" s="77" t="str">
        <f ca="1">IFERROR(INDEX(Validation!G:G,MATCH("Parcels"&amp;CELL("address",D267),Validation!I:I,0)),"")</f>
        <v/>
      </c>
      <c r="E267" s="66" t="str">
        <f ca="1">IFERROR(INDEX(Validation!F:F,MATCH("Parcels"&amp;CELL("address",D267),Validation!I:I,0)),"")</f>
        <v/>
      </c>
    </row>
    <row r="268" spans="1:5" x14ac:dyDescent="0.25">
      <c r="A268" s="103"/>
      <c r="B268" s="103"/>
      <c r="C268" s="103"/>
      <c r="D268" s="77" t="str">
        <f ca="1">IFERROR(INDEX(Validation!G:G,MATCH("Parcels"&amp;CELL("address",D268),Validation!I:I,0)),"")</f>
        <v/>
      </c>
      <c r="E268" s="66" t="str">
        <f ca="1">IFERROR(INDEX(Validation!F:F,MATCH("Parcels"&amp;CELL("address",D268),Validation!I:I,0)),"")</f>
        <v/>
      </c>
    </row>
    <row r="269" spans="1:5" x14ac:dyDescent="0.25">
      <c r="A269" s="103"/>
      <c r="B269" s="103"/>
      <c r="C269" s="103"/>
      <c r="D269" s="77" t="str">
        <f ca="1">IFERROR(INDEX(Validation!G:G,MATCH("Parcels"&amp;CELL("address",D269),Validation!I:I,0)),"")</f>
        <v/>
      </c>
      <c r="E269" s="66" t="str">
        <f ca="1">IFERROR(INDEX(Validation!F:F,MATCH("Parcels"&amp;CELL("address",D269),Validation!I:I,0)),"")</f>
        <v/>
      </c>
    </row>
    <row r="270" spans="1:5" x14ac:dyDescent="0.25">
      <c r="A270" s="103"/>
      <c r="B270" s="103"/>
      <c r="C270" s="103"/>
      <c r="D270" s="77" t="str">
        <f ca="1">IFERROR(INDEX(Validation!G:G,MATCH("Parcels"&amp;CELL("address",D270),Validation!I:I,0)),"")</f>
        <v/>
      </c>
      <c r="E270" s="66" t="str">
        <f ca="1">IFERROR(INDEX(Validation!F:F,MATCH("Parcels"&amp;CELL("address",D270),Validation!I:I,0)),"")</f>
        <v/>
      </c>
    </row>
    <row r="271" spans="1:5" x14ac:dyDescent="0.25">
      <c r="A271" s="103"/>
      <c r="B271" s="103"/>
      <c r="C271" s="103"/>
      <c r="D271" s="77" t="str">
        <f ca="1">IFERROR(INDEX(Validation!G:G,MATCH("Parcels"&amp;CELL("address",D271),Validation!I:I,0)),"")</f>
        <v/>
      </c>
      <c r="E271" s="66" t="str">
        <f ca="1">IFERROR(INDEX(Validation!F:F,MATCH("Parcels"&amp;CELL("address",D271),Validation!I:I,0)),"")</f>
        <v/>
      </c>
    </row>
    <row r="272" spans="1:5" x14ac:dyDescent="0.25">
      <c r="A272" s="103"/>
      <c r="B272" s="103"/>
      <c r="C272" s="103"/>
      <c r="D272" s="77" t="str">
        <f ca="1">IFERROR(INDEX(Validation!G:G,MATCH("Parcels"&amp;CELL("address",D272),Validation!I:I,0)),"")</f>
        <v/>
      </c>
      <c r="E272" s="66" t="str">
        <f ca="1">IFERROR(INDEX(Validation!F:F,MATCH("Parcels"&amp;CELL("address",D272),Validation!I:I,0)),"")</f>
        <v/>
      </c>
    </row>
    <row r="273" spans="1:5" x14ac:dyDescent="0.25">
      <c r="A273" s="103"/>
      <c r="B273" s="103"/>
      <c r="C273" s="103"/>
      <c r="D273" s="77" t="str">
        <f ca="1">IFERROR(INDEX(Validation!G:G,MATCH("Parcels"&amp;CELL("address",D273),Validation!I:I,0)),"")</f>
        <v/>
      </c>
      <c r="E273" s="66" t="str">
        <f ca="1">IFERROR(INDEX(Validation!F:F,MATCH("Parcels"&amp;CELL("address",D273),Validation!I:I,0)),"")</f>
        <v/>
      </c>
    </row>
    <row r="274" spans="1:5" x14ac:dyDescent="0.25">
      <c r="A274" s="103"/>
      <c r="B274" s="103"/>
      <c r="C274" s="103"/>
      <c r="D274" s="77" t="str">
        <f ca="1">IFERROR(INDEX(Validation!G:G,MATCH("Parcels"&amp;CELL("address",D274),Validation!I:I,0)),"")</f>
        <v/>
      </c>
      <c r="E274" s="66" t="str">
        <f ca="1">IFERROR(INDEX(Validation!F:F,MATCH("Parcels"&amp;CELL("address",D274),Validation!I:I,0)),"")</f>
        <v/>
      </c>
    </row>
    <row r="275" spans="1:5" x14ac:dyDescent="0.25">
      <c r="A275" s="103"/>
      <c r="B275" s="103"/>
      <c r="C275" s="103"/>
      <c r="D275" s="77" t="str">
        <f ca="1">IFERROR(INDEX(Validation!G:G,MATCH("Parcels"&amp;CELL("address",D275),Validation!I:I,0)),"")</f>
        <v/>
      </c>
      <c r="E275" s="66" t="str">
        <f ca="1">IFERROR(INDEX(Validation!F:F,MATCH("Parcels"&amp;CELL("address",D275),Validation!I:I,0)),"")</f>
        <v/>
      </c>
    </row>
    <row r="276" spans="1:5" x14ac:dyDescent="0.25">
      <c r="A276" s="103"/>
      <c r="B276" s="103"/>
      <c r="C276" s="103"/>
      <c r="D276" s="77" t="str">
        <f ca="1">IFERROR(INDEX(Validation!G:G,MATCH("Parcels"&amp;CELL("address",D276),Validation!I:I,0)),"")</f>
        <v/>
      </c>
      <c r="E276" s="66" t="str">
        <f ca="1">IFERROR(INDEX(Validation!F:F,MATCH("Parcels"&amp;CELL("address",D276),Validation!I:I,0)),"")</f>
        <v/>
      </c>
    </row>
    <row r="277" spans="1:5" x14ac:dyDescent="0.25">
      <c r="A277" s="103"/>
      <c r="B277" s="103"/>
      <c r="C277" s="103"/>
      <c r="D277" s="77" t="str">
        <f ca="1">IFERROR(INDEX(Validation!G:G,MATCH("Parcels"&amp;CELL("address",D277),Validation!I:I,0)),"")</f>
        <v/>
      </c>
      <c r="E277" s="66" t="str">
        <f ca="1">IFERROR(INDEX(Validation!F:F,MATCH("Parcels"&amp;CELL("address",D277),Validation!I:I,0)),"")</f>
        <v/>
      </c>
    </row>
    <row r="278" spans="1:5" x14ac:dyDescent="0.25">
      <c r="A278" s="103"/>
      <c r="B278" s="103"/>
      <c r="C278" s="103"/>
      <c r="D278" s="77" t="str">
        <f ca="1">IFERROR(INDEX(Validation!G:G,MATCH("Parcels"&amp;CELL("address",D278),Validation!I:I,0)),"")</f>
        <v/>
      </c>
      <c r="E278" s="66" t="str">
        <f ca="1">IFERROR(INDEX(Validation!F:F,MATCH("Parcels"&amp;CELL("address",D278),Validation!I:I,0)),"")</f>
        <v/>
      </c>
    </row>
    <row r="279" spans="1:5" x14ac:dyDescent="0.25">
      <c r="A279" s="103"/>
      <c r="B279" s="103"/>
      <c r="C279" s="103"/>
      <c r="D279" s="77" t="str">
        <f ca="1">IFERROR(INDEX(Validation!G:G,MATCH("Parcels"&amp;CELL("address",D279),Validation!I:I,0)),"")</f>
        <v/>
      </c>
      <c r="E279" s="66" t="str">
        <f ca="1">IFERROR(INDEX(Validation!F:F,MATCH("Parcels"&amp;CELL("address",D279),Validation!I:I,0)),"")</f>
        <v/>
      </c>
    </row>
    <row r="280" spans="1:5" x14ac:dyDescent="0.25">
      <c r="A280" s="103"/>
      <c r="B280" s="103"/>
      <c r="C280" s="103"/>
      <c r="D280" s="77" t="str">
        <f ca="1">IFERROR(INDEX(Validation!G:G,MATCH("Parcels"&amp;CELL("address",D280),Validation!I:I,0)),"")</f>
        <v/>
      </c>
      <c r="E280" s="66" t="str">
        <f ca="1">IFERROR(INDEX(Validation!F:F,MATCH("Parcels"&amp;CELL("address",D280),Validation!I:I,0)),"")</f>
        <v/>
      </c>
    </row>
    <row r="281" spans="1:5" x14ac:dyDescent="0.25">
      <c r="A281" s="103"/>
      <c r="B281" s="103"/>
      <c r="C281" s="103"/>
      <c r="D281" s="77" t="str">
        <f ca="1">IFERROR(INDEX(Validation!G:G,MATCH("Parcels"&amp;CELL("address",D281),Validation!I:I,0)),"")</f>
        <v/>
      </c>
      <c r="E281" s="66" t="str">
        <f ca="1">IFERROR(INDEX(Validation!F:F,MATCH("Parcels"&amp;CELL("address",D281),Validation!I:I,0)),"")</f>
        <v/>
      </c>
    </row>
    <row r="282" spans="1:5" x14ac:dyDescent="0.25">
      <c r="A282" s="103"/>
      <c r="B282" s="103"/>
      <c r="C282" s="103"/>
      <c r="D282" s="77" t="str">
        <f ca="1">IFERROR(INDEX(Validation!G:G,MATCH("Parcels"&amp;CELL("address",D282),Validation!I:I,0)),"")</f>
        <v/>
      </c>
      <c r="E282" s="66" t="str">
        <f ca="1">IFERROR(INDEX(Validation!F:F,MATCH("Parcels"&amp;CELL("address",D282),Validation!I:I,0)),"")</f>
        <v/>
      </c>
    </row>
    <row r="283" spans="1:5" x14ac:dyDescent="0.25">
      <c r="A283" s="103"/>
      <c r="B283" s="103"/>
      <c r="C283" s="103"/>
      <c r="D283" s="77" t="str">
        <f ca="1">IFERROR(INDEX(Validation!G:G,MATCH("Parcels"&amp;CELL("address",D283),Validation!I:I,0)),"")</f>
        <v/>
      </c>
      <c r="E283" s="66" t="str">
        <f ca="1">IFERROR(INDEX(Validation!F:F,MATCH("Parcels"&amp;CELL("address",D283),Validation!I:I,0)),"")</f>
        <v/>
      </c>
    </row>
    <row r="284" spans="1:5" x14ac:dyDescent="0.25">
      <c r="A284" s="103"/>
      <c r="B284" s="103"/>
      <c r="C284" s="103"/>
      <c r="D284" s="77" t="str">
        <f ca="1">IFERROR(INDEX(Validation!G:G,MATCH("Parcels"&amp;CELL("address",D284),Validation!I:I,0)),"")</f>
        <v/>
      </c>
      <c r="E284" s="66" t="str">
        <f ca="1">IFERROR(INDEX(Validation!F:F,MATCH("Parcels"&amp;CELL("address",D284),Validation!I:I,0)),"")</f>
        <v/>
      </c>
    </row>
    <row r="285" spans="1:5" x14ac:dyDescent="0.25">
      <c r="A285" s="103"/>
      <c r="B285" s="103"/>
      <c r="C285" s="103"/>
      <c r="D285" s="77" t="str">
        <f ca="1">IFERROR(INDEX(Validation!G:G,MATCH("Parcels"&amp;CELL("address",D285),Validation!I:I,0)),"")</f>
        <v/>
      </c>
      <c r="E285" s="66" t="str">
        <f ca="1">IFERROR(INDEX(Validation!F:F,MATCH("Parcels"&amp;CELL("address",D285),Validation!I:I,0)),"")</f>
        <v/>
      </c>
    </row>
    <row r="286" spans="1:5" x14ac:dyDescent="0.25">
      <c r="A286" s="103"/>
      <c r="B286" s="103"/>
      <c r="C286" s="103"/>
      <c r="D286" s="77" t="str">
        <f ca="1">IFERROR(INDEX(Validation!G:G,MATCH("Parcels"&amp;CELL("address",D286),Validation!I:I,0)),"")</f>
        <v/>
      </c>
      <c r="E286" s="66" t="str">
        <f ca="1">IFERROR(INDEX(Validation!F:F,MATCH("Parcels"&amp;CELL("address",D286),Validation!I:I,0)),"")</f>
        <v/>
      </c>
    </row>
    <row r="287" spans="1:5" x14ac:dyDescent="0.25">
      <c r="A287" s="103"/>
      <c r="B287" s="103"/>
      <c r="C287" s="103"/>
      <c r="D287" s="77" t="str">
        <f ca="1">IFERROR(INDEX(Validation!G:G,MATCH("Parcels"&amp;CELL("address",D287),Validation!I:I,0)),"")</f>
        <v/>
      </c>
      <c r="E287" s="66" t="str">
        <f ca="1">IFERROR(INDEX(Validation!F:F,MATCH("Parcels"&amp;CELL("address",D287),Validation!I:I,0)),"")</f>
        <v/>
      </c>
    </row>
    <row r="288" spans="1:5" x14ac:dyDescent="0.25">
      <c r="A288" s="103"/>
      <c r="B288" s="103"/>
      <c r="C288" s="103"/>
      <c r="D288" s="77" t="str">
        <f ca="1">IFERROR(INDEX(Validation!G:G,MATCH("Parcels"&amp;CELL("address",D288),Validation!I:I,0)),"")</f>
        <v/>
      </c>
      <c r="E288" s="66" t="str">
        <f ca="1">IFERROR(INDEX(Validation!F:F,MATCH("Parcels"&amp;CELL("address",D288),Validation!I:I,0)),"")</f>
        <v/>
      </c>
    </row>
    <row r="289" spans="1:5" x14ac:dyDescent="0.25">
      <c r="A289" s="103"/>
      <c r="B289" s="103"/>
      <c r="C289" s="103"/>
      <c r="D289" s="77" t="str">
        <f ca="1">IFERROR(INDEX(Validation!G:G,MATCH("Parcels"&amp;CELL("address",D289),Validation!I:I,0)),"")</f>
        <v/>
      </c>
      <c r="E289" s="66" t="str">
        <f ca="1">IFERROR(INDEX(Validation!F:F,MATCH("Parcels"&amp;CELL("address",D289),Validation!I:I,0)),"")</f>
        <v/>
      </c>
    </row>
    <row r="290" spans="1:5" x14ac:dyDescent="0.25">
      <c r="A290" s="103"/>
      <c r="B290" s="103"/>
      <c r="C290" s="103"/>
      <c r="D290" s="77" t="str">
        <f ca="1">IFERROR(INDEX(Validation!G:G,MATCH("Parcels"&amp;CELL("address",D290),Validation!I:I,0)),"")</f>
        <v/>
      </c>
      <c r="E290" s="66" t="str">
        <f ca="1">IFERROR(INDEX(Validation!F:F,MATCH("Parcels"&amp;CELL("address",D290),Validation!I:I,0)),"")</f>
        <v/>
      </c>
    </row>
    <row r="291" spans="1:5" x14ac:dyDescent="0.25">
      <c r="A291" s="103"/>
      <c r="B291" s="103"/>
      <c r="C291" s="103"/>
      <c r="D291" s="77" t="str">
        <f ca="1">IFERROR(INDEX(Validation!G:G,MATCH("Parcels"&amp;CELL("address",D291),Validation!I:I,0)),"")</f>
        <v/>
      </c>
      <c r="E291" s="66" t="str">
        <f ca="1">IFERROR(INDEX(Validation!F:F,MATCH("Parcels"&amp;CELL("address",D291),Validation!I:I,0)),"")</f>
        <v/>
      </c>
    </row>
    <row r="292" spans="1:5" x14ac:dyDescent="0.25">
      <c r="A292" s="103"/>
      <c r="B292" s="103"/>
      <c r="C292" s="103"/>
      <c r="D292" s="77" t="str">
        <f ca="1">IFERROR(INDEX(Validation!G:G,MATCH("Parcels"&amp;CELL("address",D292),Validation!I:I,0)),"")</f>
        <v/>
      </c>
      <c r="E292" s="66" t="str">
        <f ca="1">IFERROR(INDEX(Validation!F:F,MATCH("Parcels"&amp;CELL("address",D292),Validation!I:I,0)),"")</f>
        <v/>
      </c>
    </row>
    <row r="293" spans="1:5" x14ac:dyDescent="0.25">
      <c r="A293" s="103"/>
      <c r="B293" s="103"/>
      <c r="C293" s="103"/>
      <c r="D293" s="77" t="str">
        <f ca="1">IFERROR(INDEX(Validation!G:G,MATCH("Parcels"&amp;CELL("address",D293),Validation!I:I,0)),"")</f>
        <v/>
      </c>
      <c r="E293" s="66" t="str">
        <f ca="1">IFERROR(INDEX(Validation!F:F,MATCH("Parcels"&amp;CELL("address",D293),Validation!I:I,0)),"")</f>
        <v/>
      </c>
    </row>
    <row r="294" spans="1:5" x14ac:dyDescent="0.25">
      <c r="A294" s="103"/>
      <c r="B294" s="103"/>
      <c r="C294" s="103"/>
      <c r="D294" s="77" t="str">
        <f ca="1">IFERROR(INDEX(Validation!G:G,MATCH("Parcels"&amp;CELL("address",D294),Validation!I:I,0)),"")</f>
        <v/>
      </c>
      <c r="E294" s="66" t="str">
        <f ca="1">IFERROR(INDEX(Validation!F:F,MATCH("Parcels"&amp;CELL("address",D294),Validation!I:I,0)),"")</f>
        <v/>
      </c>
    </row>
    <row r="295" spans="1:5" x14ac:dyDescent="0.25">
      <c r="A295" s="103"/>
      <c r="B295" s="103"/>
      <c r="C295" s="103"/>
      <c r="D295" s="77" t="str">
        <f ca="1">IFERROR(INDEX(Validation!G:G,MATCH("Parcels"&amp;CELL("address",D295),Validation!I:I,0)),"")</f>
        <v/>
      </c>
      <c r="E295" s="66" t="str">
        <f ca="1">IFERROR(INDEX(Validation!F:F,MATCH("Parcels"&amp;CELL("address",D295),Validation!I:I,0)),"")</f>
        <v/>
      </c>
    </row>
    <row r="296" spans="1:5" x14ac:dyDescent="0.25">
      <c r="A296" s="103"/>
      <c r="B296" s="103"/>
      <c r="C296" s="103"/>
      <c r="D296" s="77" t="str">
        <f ca="1">IFERROR(INDEX(Validation!G:G,MATCH("Parcels"&amp;CELL("address",D296),Validation!I:I,0)),"")</f>
        <v/>
      </c>
      <c r="E296" s="66" t="str">
        <f ca="1">IFERROR(INDEX(Validation!F:F,MATCH("Parcels"&amp;CELL("address",D296),Validation!I:I,0)),"")</f>
        <v/>
      </c>
    </row>
    <row r="297" spans="1:5" x14ac:dyDescent="0.25">
      <c r="A297" s="103"/>
      <c r="B297" s="103"/>
      <c r="C297" s="103"/>
      <c r="D297" s="77" t="str">
        <f ca="1">IFERROR(INDEX(Validation!G:G,MATCH("Parcels"&amp;CELL("address",D297),Validation!I:I,0)),"")</f>
        <v/>
      </c>
      <c r="E297" s="66" t="str">
        <f ca="1">IFERROR(INDEX(Validation!F:F,MATCH("Parcels"&amp;CELL("address",D297),Validation!I:I,0)),"")</f>
        <v/>
      </c>
    </row>
    <row r="298" spans="1:5" x14ac:dyDescent="0.25">
      <c r="A298" s="103"/>
      <c r="B298" s="103"/>
      <c r="C298" s="103"/>
      <c r="D298" s="77" t="str">
        <f ca="1">IFERROR(INDEX(Validation!G:G,MATCH("Parcels"&amp;CELL("address",D298),Validation!I:I,0)),"")</f>
        <v/>
      </c>
      <c r="E298" s="66" t="str">
        <f ca="1">IFERROR(INDEX(Validation!F:F,MATCH("Parcels"&amp;CELL("address",D298),Validation!I:I,0)),"")</f>
        <v/>
      </c>
    </row>
    <row r="299" spans="1:5" x14ac:dyDescent="0.25">
      <c r="A299" s="103"/>
      <c r="B299" s="103"/>
      <c r="C299" s="103"/>
      <c r="D299" s="77" t="str">
        <f ca="1">IFERROR(INDEX(Validation!G:G,MATCH("Parcels"&amp;CELL("address",D299),Validation!I:I,0)),"")</f>
        <v/>
      </c>
      <c r="E299" s="66" t="str">
        <f ca="1">IFERROR(INDEX(Validation!F:F,MATCH("Parcels"&amp;CELL("address",D299),Validation!I:I,0)),"")</f>
        <v/>
      </c>
    </row>
    <row r="300" spans="1:5" x14ac:dyDescent="0.25">
      <c r="A300" s="103"/>
      <c r="B300" s="103"/>
      <c r="C300" s="103"/>
      <c r="D300" s="77" t="str">
        <f ca="1">IFERROR(INDEX(Validation!G:G,MATCH("Parcels"&amp;CELL("address",D300),Validation!I:I,0)),"")</f>
        <v/>
      </c>
      <c r="E300" s="66" t="str">
        <f ca="1">IFERROR(INDEX(Validation!F:F,MATCH("Parcels"&amp;CELL("address",D300),Validation!I:I,0)),"")</f>
        <v/>
      </c>
    </row>
    <row r="301" spans="1:5" x14ac:dyDescent="0.25">
      <c r="A301" s="103"/>
      <c r="B301" s="103"/>
      <c r="C301" s="103"/>
      <c r="D301" s="77" t="str">
        <f ca="1">IFERROR(INDEX(Validation!G:G,MATCH("Parcels"&amp;CELL("address",D301),Validation!I:I,0)),"")</f>
        <v/>
      </c>
      <c r="E301" s="66" t="str">
        <f ca="1">IFERROR(INDEX(Validation!F:F,MATCH("Parcels"&amp;CELL("address",D301),Validation!I:I,0)),"")</f>
        <v/>
      </c>
    </row>
    <row r="302" spans="1:5" x14ac:dyDescent="0.25">
      <c r="A302" s="103"/>
      <c r="B302" s="103"/>
      <c r="C302" s="103"/>
      <c r="D302" s="77" t="str">
        <f ca="1">IFERROR(INDEX(Validation!G:G,MATCH("Parcels"&amp;CELL("address",D302),Validation!I:I,0)),"")</f>
        <v/>
      </c>
      <c r="E302" s="66" t="str">
        <f ca="1">IFERROR(INDEX(Validation!F:F,MATCH("Parcels"&amp;CELL("address",D302),Validation!I:I,0)),"")</f>
        <v/>
      </c>
    </row>
    <row r="303" spans="1:5" x14ac:dyDescent="0.25">
      <c r="A303" s="103"/>
      <c r="B303" s="103"/>
      <c r="C303" s="103"/>
      <c r="D303" s="77" t="str">
        <f ca="1">IFERROR(INDEX(Validation!G:G,MATCH("Parcels"&amp;CELL("address",D303),Validation!I:I,0)),"")</f>
        <v/>
      </c>
      <c r="E303" s="66" t="str">
        <f ca="1">IFERROR(INDEX(Validation!F:F,MATCH("Parcels"&amp;CELL("address",D303),Validation!I:I,0)),"")</f>
        <v/>
      </c>
    </row>
    <row r="304" spans="1:5" x14ac:dyDescent="0.25">
      <c r="A304" s="103"/>
      <c r="B304" s="103"/>
      <c r="C304" s="103"/>
      <c r="D304" s="77" t="str">
        <f ca="1">IFERROR(INDEX(Validation!G:G,MATCH("Parcels"&amp;CELL("address",D304),Validation!I:I,0)),"")</f>
        <v/>
      </c>
      <c r="E304" s="66" t="str">
        <f ca="1">IFERROR(INDEX(Validation!F:F,MATCH("Parcels"&amp;CELL("address",D304),Validation!I:I,0)),"")</f>
        <v/>
      </c>
    </row>
    <row r="305" spans="1:5" x14ac:dyDescent="0.25">
      <c r="A305" s="103"/>
      <c r="B305" s="103"/>
      <c r="C305" s="103"/>
      <c r="D305" s="77" t="str">
        <f ca="1">IFERROR(INDEX(Validation!G:G,MATCH("Parcels"&amp;CELL("address",D305),Validation!I:I,0)),"")</f>
        <v/>
      </c>
      <c r="E305" s="66" t="str">
        <f ca="1">IFERROR(INDEX(Validation!F:F,MATCH("Parcels"&amp;CELL("address",D305),Validation!I:I,0)),"")</f>
        <v/>
      </c>
    </row>
    <row r="306" spans="1:5" x14ac:dyDescent="0.25">
      <c r="A306" s="103"/>
      <c r="B306" s="103"/>
      <c r="C306" s="103"/>
      <c r="D306" s="77" t="str">
        <f ca="1">IFERROR(INDEX(Validation!G:G,MATCH("Parcels"&amp;CELL("address",D306),Validation!I:I,0)),"")</f>
        <v/>
      </c>
      <c r="E306" s="66" t="str">
        <f ca="1">IFERROR(INDEX(Validation!F:F,MATCH("Parcels"&amp;CELL("address",D306),Validation!I:I,0)),"")</f>
        <v/>
      </c>
    </row>
    <row r="307" spans="1:5" x14ac:dyDescent="0.25">
      <c r="A307" s="103"/>
      <c r="B307" s="103"/>
      <c r="C307" s="103"/>
      <c r="D307" s="77" t="str">
        <f ca="1">IFERROR(INDEX(Validation!G:G,MATCH("Parcels"&amp;CELL("address",D307),Validation!I:I,0)),"")</f>
        <v/>
      </c>
      <c r="E307" s="66" t="str">
        <f ca="1">IFERROR(INDEX(Validation!F:F,MATCH("Parcels"&amp;CELL("address",D307),Validation!I:I,0)),"")</f>
        <v/>
      </c>
    </row>
    <row r="308" spans="1:5" x14ac:dyDescent="0.25">
      <c r="A308" s="103"/>
      <c r="B308" s="103"/>
      <c r="C308" s="103"/>
      <c r="D308" s="77" t="str">
        <f ca="1">IFERROR(INDEX(Validation!G:G,MATCH("Parcels"&amp;CELL("address",D308),Validation!I:I,0)),"")</f>
        <v/>
      </c>
      <c r="E308" s="66" t="str">
        <f ca="1">IFERROR(INDEX(Validation!F:F,MATCH("Parcels"&amp;CELL("address",D308),Validation!I:I,0)),"")</f>
        <v/>
      </c>
    </row>
    <row r="309" spans="1:5" x14ac:dyDescent="0.25">
      <c r="A309" s="103"/>
      <c r="B309" s="103"/>
      <c r="C309" s="103"/>
      <c r="D309" s="77" t="str">
        <f ca="1">IFERROR(INDEX(Validation!G:G,MATCH("Parcels"&amp;CELL("address",D309),Validation!I:I,0)),"")</f>
        <v/>
      </c>
      <c r="E309" s="66" t="str">
        <f ca="1">IFERROR(INDEX(Validation!F:F,MATCH("Parcels"&amp;CELL("address",D309),Validation!I:I,0)),"")</f>
        <v/>
      </c>
    </row>
    <row r="310" spans="1:5" x14ac:dyDescent="0.25">
      <c r="A310" s="103"/>
      <c r="B310" s="103"/>
      <c r="C310" s="103"/>
      <c r="D310" s="77" t="str">
        <f ca="1">IFERROR(INDEX(Validation!G:G,MATCH("Parcels"&amp;CELL("address",D310),Validation!I:I,0)),"")</f>
        <v/>
      </c>
      <c r="E310" s="66" t="str">
        <f ca="1">IFERROR(INDEX(Validation!F:F,MATCH("Parcels"&amp;CELL("address",D310),Validation!I:I,0)),"")</f>
        <v/>
      </c>
    </row>
    <row r="311" spans="1:5" x14ac:dyDescent="0.25">
      <c r="A311" s="103"/>
      <c r="B311" s="103"/>
      <c r="C311" s="103"/>
      <c r="D311" s="77" t="str">
        <f ca="1">IFERROR(INDEX(Validation!G:G,MATCH("Parcels"&amp;CELL("address",D311),Validation!I:I,0)),"")</f>
        <v/>
      </c>
      <c r="E311" s="66" t="str">
        <f ca="1">IFERROR(INDEX(Validation!F:F,MATCH("Parcels"&amp;CELL("address",D311),Validation!I:I,0)),"")</f>
        <v/>
      </c>
    </row>
    <row r="312" spans="1:5" x14ac:dyDescent="0.25">
      <c r="A312" s="103"/>
      <c r="B312" s="103"/>
      <c r="C312" s="103"/>
      <c r="D312" s="77" t="str">
        <f ca="1">IFERROR(INDEX(Validation!G:G,MATCH("Parcels"&amp;CELL("address",D312),Validation!I:I,0)),"")</f>
        <v/>
      </c>
      <c r="E312" s="66" t="str">
        <f ca="1">IFERROR(INDEX(Validation!F:F,MATCH("Parcels"&amp;CELL("address",D312),Validation!I:I,0)),"")</f>
        <v/>
      </c>
    </row>
    <row r="313" spans="1:5" x14ac:dyDescent="0.25">
      <c r="A313" s="103"/>
      <c r="B313" s="103"/>
      <c r="C313" s="103"/>
      <c r="D313" s="77" t="str">
        <f ca="1">IFERROR(INDEX(Validation!G:G,MATCH("Parcels"&amp;CELL("address",D313),Validation!I:I,0)),"")</f>
        <v/>
      </c>
      <c r="E313" s="66" t="str">
        <f ca="1">IFERROR(INDEX(Validation!F:F,MATCH("Parcels"&amp;CELL("address",D313),Validation!I:I,0)),"")</f>
        <v/>
      </c>
    </row>
    <row r="314" spans="1:5" x14ac:dyDescent="0.25">
      <c r="A314" s="103"/>
      <c r="B314" s="103"/>
      <c r="C314" s="103"/>
      <c r="D314" s="77" t="str">
        <f ca="1">IFERROR(INDEX(Validation!G:G,MATCH("Parcels"&amp;CELL("address",D314),Validation!I:I,0)),"")</f>
        <v/>
      </c>
      <c r="E314" s="66" t="str">
        <f ca="1">IFERROR(INDEX(Validation!F:F,MATCH("Parcels"&amp;CELL("address",D314),Validation!I:I,0)),"")</f>
        <v/>
      </c>
    </row>
    <row r="315" spans="1:5" x14ac:dyDescent="0.25">
      <c r="A315" s="103"/>
      <c r="B315" s="103"/>
      <c r="C315" s="103"/>
      <c r="D315" s="77" t="str">
        <f ca="1">IFERROR(INDEX(Validation!G:G,MATCH("Parcels"&amp;CELL("address",D315),Validation!I:I,0)),"")</f>
        <v/>
      </c>
      <c r="E315" s="66" t="str">
        <f ca="1">IFERROR(INDEX(Validation!F:F,MATCH("Parcels"&amp;CELL("address",D315),Validation!I:I,0)),"")</f>
        <v/>
      </c>
    </row>
    <row r="316" spans="1:5" x14ac:dyDescent="0.25">
      <c r="A316" s="103"/>
      <c r="B316" s="103"/>
      <c r="C316" s="103"/>
      <c r="D316" s="77" t="str">
        <f ca="1">IFERROR(INDEX(Validation!G:G,MATCH("Parcels"&amp;CELL("address",D316),Validation!I:I,0)),"")</f>
        <v/>
      </c>
      <c r="E316" s="66" t="str">
        <f ca="1">IFERROR(INDEX(Validation!F:F,MATCH("Parcels"&amp;CELL("address",D316),Validation!I:I,0)),"")</f>
        <v/>
      </c>
    </row>
    <row r="317" spans="1:5" x14ac:dyDescent="0.25">
      <c r="A317" s="103"/>
      <c r="B317" s="103"/>
      <c r="C317" s="103"/>
      <c r="D317" s="77" t="str">
        <f ca="1">IFERROR(INDEX(Validation!G:G,MATCH("Parcels"&amp;CELL("address",D317),Validation!I:I,0)),"")</f>
        <v/>
      </c>
      <c r="E317" s="66" t="str">
        <f ca="1">IFERROR(INDEX(Validation!F:F,MATCH("Parcels"&amp;CELL("address",D317),Validation!I:I,0)),"")</f>
        <v/>
      </c>
    </row>
    <row r="318" spans="1:5" x14ac:dyDescent="0.25">
      <c r="A318" s="103"/>
      <c r="B318" s="103"/>
      <c r="C318" s="103"/>
      <c r="D318" s="77" t="str">
        <f ca="1">IFERROR(INDEX(Validation!G:G,MATCH("Parcels"&amp;CELL("address",D318),Validation!I:I,0)),"")</f>
        <v/>
      </c>
      <c r="E318" s="66" t="str">
        <f ca="1">IFERROR(INDEX(Validation!F:F,MATCH("Parcels"&amp;CELL("address",D318),Validation!I:I,0)),"")</f>
        <v/>
      </c>
    </row>
    <row r="319" spans="1:5" x14ac:dyDescent="0.25">
      <c r="A319" s="103"/>
      <c r="B319" s="103"/>
      <c r="C319" s="103"/>
      <c r="D319" s="77" t="str">
        <f ca="1">IFERROR(INDEX(Validation!G:G,MATCH("Parcels"&amp;CELL("address",D319),Validation!I:I,0)),"")</f>
        <v/>
      </c>
      <c r="E319" s="66" t="str">
        <f ca="1">IFERROR(INDEX(Validation!F:F,MATCH("Parcels"&amp;CELL("address",D319),Validation!I:I,0)),"")</f>
        <v/>
      </c>
    </row>
    <row r="320" spans="1:5" x14ac:dyDescent="0.25">
      <c r="A320" s="103"/>
      <c r="B320" s="103"/>
      <c r="C320" s="103"/>
      <c r="D320" s="77" t="str">
        <f ca="1">IFERROR(INDEX(Validation!G:G,MATCH("Parcels"&amp;CELL("address",D320),Validation!I:I,0)),"")</f>
        <v/>
      </c>
      <c r="E320" s="66" t="str">
        <f ca="1">IFERROR(INDEX(Validation!F:F,MATCH("Parcels"&amp;CELL("address",D320),Validation!I:I,0)),"")</f>
        <v/>
      </c>
    </row>
    <row r="321" spans="1:5" x14ac:dyDescent="0.25">
      <c r="A321" s="103"/>
      <c r="B321" s="103"/>
      <c r="C321" s="103"/>
      <c r="D321" s="77" t="str">
        <f ca="1">IFERROR(INDEX(Validation!G:G,MATCH("Parcels"&amp;CELL("address",D321),Validation!I:I,0)),"")</f>
        <v/>
      </c>
      <c r="E321" s="66" t="str">
        <f ca="1">IFERROR(INDEX(Validation!F:F,MATCH("Parcels"&amp;CELL("address",D321),Validation!I:I,0)),"")</f>
        <v/>
      </c>
    </row>
    <row r="322" spans="1:5" x14ac:dyDescent="0.25">
      <c r="A322" s="103"/>
      <c r="B322" s="103"/>
      <c r="C322" s="103"/>
      <c r="D322" s="77" t="str">
        <f ca="1">IFERROR(INDEX(Validation!G:G,MATCH("Parcels"&amp;CELL("address",D322),Validation!I:I,0)),"")</f>
        <v/>
      </c>
      <c r="E322" s="66" t="str">
        <f ca="1">IFERROR(INDEX(Validation!F:F,MATCH("Parcels"&amp;CELL("address",D322),Validation!I:I,0)),"")</f>
        <v/>
      </c>
    </row>
    <row r="323" spans="1:5" x14ac:dyDescent="0.25">
      <c r="A323" s="103"/>
      <c r="B323" s="103"/>
      <c r="C323" s="103"/>
      <c r="D323" s="77" t="str">
        <f ca="1">IFERROR(INDEX(Validation!G:G,MATCH("Parcels"&amp;CELL("address",D323),Validation!I:I,0)),"")</f>
        <v/>
      </c>
      <c r="E323" s="66" t="str">
        <f ca="1">IFERROR(INDEX(Validation!F:F,MATCH("Parcels"&amp;CELL("address",D323),Validation!I:I,0)),"")</f>
        <v/>
      </c>
    </row>
    <row r="324" spans="1:5" x14ac:dyDescent="0.25">
      <c r="A324" s="103"/>
      <c r="B324" s="103"/>
      <c r="C324" s="103"/>
      <c r="D324" s="77" t="str">
        <f ca="1">IFERROR(INDEX(Validation!G:G,MATCH("Parcels"&amp;CELL("address",D324),Validation!I:I,0)),"")</f>
        <v/>
      </c>
      <c r="E324" s="66" t="str">
        <f ca="1">IFERROR(INDEX(Validation!F:F,MATCH("Parcels"&amp;CELL("address",D324),Validation!I:I,0)),"")</f>
        <v/>
      </c>
    </row>
    <row r="325" spans="1:5" x14ac:dyDescent="0.25">
      <c r="A325" s="103"/>
      <c r="B325" s="103"/>
      <c r="C325" s="103"/>
      <c r="D325" s="77" t="str">
        <f ca="1">IFERROR(INDEX(Validation!G:G,MATCH("Parcels"&amp;CELL("address",D325),Validation!I:I,0)),"")</f>
        <v/>
      </c>
      <c r="E325" s="66" t="str">
        <f ca="1">IFERROR(INDEX(Validation!F:F,MATCH("Parcels"&amp;CELL("address",D325),Validation!I:I,0)),"")</f>
        <v/>
      </c>
    </row>
    <row r="326" spans="1:5" x14ac:dyDescent="0.25">
      <c r="A326" s="103"/>
      <c r="B326" s="103"/>
      <c r="C326" s="103"/>
      <c r="D326" s="77" t="str">
        <f ca="1">IFERROR(INDEX(Validation!G:G,MATCH("Parcels"&amp;CELL("address",D326),Validation!I:I,0)),"")</f>
        <v/>
      </c>
      <c r="E326" s="66" t="str">
        <f ca="1">IFERROR(INDEX(Validation!F:F,MATCH("Parcels"&amp;CELL("address",D326),Validation!I:I,0)),"")</f>
        <v/>
      </c>
    </row>
    <row r="327" spans="1:5" x14ac:dyDescent="0.25">
      <c r="A327" s="103"/>
      <c r="B327" s="103"/>
      <c r="C327" s="103"/>
      <c r="D327" s="77" t="str">
        <f ca="1">IFERROR(INDEX(Validation!G:G,MATCH("Parcels"&amp;CELL("address",D327),Validation!I:I,0)),"")</f>
        <v/>
      </c>
      <c r="E327" s="66" t="str">
        <f ca="1">IFERROR(INDEX(Validation!F:F,MATCH("Parcels"&amp;CELL("address",D327),Validation!I:I,0)),"")</f>
        <v/>
      </c>
    </row>
    <row r="328" spans="1:5" x14ac:dyDescent="0.25">
      <c r="A328" s="103"/>
      <c r="B328" s="103"/>
      <c r="C328" s="103"/>
      <c r="D328" s="77" t="str">
        <f ca="1">IFERROR(INDEX(Validation!G:G,MATCH("Parcels"&amp;CELL("address",D328),Validation!I:I,0)),"")</f>
        <v/>
      </c>
      <c r="E328" s="66" t="str">
        <f ca="1">IFERROR(INDEX(Validation!F:F,MATCH("Parcels"&amp;CELL("address",D328),Validation!I:I,0)),"")</f>
        <v/>
      </c>
    </row>
    <row r="329" spans="1:5" x14ac:dyDescent="0.25">
      <c r="A329" s="103"/>
      <c r="B329" s="103"/>
      <c r="C329" s="103"/>
      <c r="D329" s="77" t="str">
        <f ca="1">IFERROR(INDEX(Validation!G:G,MATCH("Parcels"&amp;CELL("address",D329),Validation!I:I,0)),"")</f>
        <v/>
      </c>
      <c r="E329" s="66" t="str">
        <f ca="1">IFERROR(INDEX(Validation!F:F,MATCH("Parcels"&amp;CELL("address",D329),Validation!I:I,0)),"")</f>
        <v/>
      </c>
    </row>
    <row r="330" spans="1:5" x14ac:dyDescent="0.25">
      <c r="A330" s="103"/>
      <c r="B330" s="103"/>
      <c r="C330" s="103"/>
      <c r="D330" s="77" t="str">
        <f ca="1">IFERROR(INDEX(Validation!G:G,MATCH("Parcels"&amp;CELL("address",D330),Validation!I:I,0)),"")</f>
        <v/>
      </c>
      <c r="E330" s="66" t="str">
        <f ca="1">IFERROR(INDEX(Validation!F:F,MATCH("Parcels"&amp;CELL("address",D330),Validation!I:I,0)),"")</f>
        <v/>
      </c>
    </row>
    <row r="331" spans="1:5" x14ac:dyDescent="0.25">
      <c r="A331" s="103"/>
      <c r="B331" s="103"/>
      <c r="C331" s="103"/>
      <c r="D331" s="77" t="str">
        <f ca="1">IFERROR(INDEX(Validation!G:G,MATCH("Parcels"&amp;CELL("address",D331),Validation!I:I,0)),"")</f>
        <v/>
      </c>
      <c r="E331" s="66" t="str">
        <f ca="1">IFERROR(INDEX(Validation!F:F,MATCH("Parcels"&amp;CELL("address",D331),Validation!I:I,0)),"")</f>
        <v/>
      </c>
    </row>
    <row r="332" spans="1:5" x14ac:dyDescent="0.25">
      <c r="A332" s="103"/>
      <c r="B332" s="103"/>
      <c r="C332" s="103"/>
      <c r="D332" s="77" t="str">
        <f ca="1">IFERROR(INDEX(Validation!G:G,MATCH("Parcels"&amp;CELL("address",D332),Validation!I:I,0)),"")</f>
        <v/>
      </c>
      <c r="E332" s="66" t="str">
        <f ca="1">IFERROR(INDEX(Validation!F:F,MATCH("Parcels"&amp;CELL("address",D332),Validation!I:I,0)),"")</f>
        <v/>
      </c>
    </row>
    <row r="333" spans="1:5" x14ac:dyDescent="0.25">
      <c r="A333" s="103"/>
      <c r="B333" s="103"/>
      <c r="C333" s="103"/>
      <c r="D333" s="77" t="str">
        <f ca="1">IFERROR(INDEX(Validation!G:G,MATCH("Parcels"&amp;CELL("address",D333),Validation!I:I,0)),"")</f>
        <v/>
      </c>
      <c r="E333" s="66" t="str">
        <f ca="1">IFERROR(INDEX(Validation!F:F,MATCH("Parcels"&amp;CELL("address",D333),Validation!I:I,0)),"")</f>
        <v/>
      </c>
    </row>
    <row r="334" spans="1:5" x14ac:dyDescent="0.25">
      <c r="A334" s="103"/>
      <c r="B334" s="103"/>
      <c r="C334" s="103"/>
      <c r="D334" s="77" t="str">
        <f ca="1">IFERROR(INDEX(Validation!G:G,MATCH("Parcels"&amp;CELL("address",D334),Validation!I:I,0)),"")</f>
        <v/>
      </c>
      <c r="E334" s="66" t="str">
        <f ca="1">IFERROR(INDEX(Validation!F:F,MATCH("Parcels"&amp;CELL("address",D334),Validation!I:I,0)),"")</f>
        <v/>
      </c>
    </row>
    <row r="335" spans="1:5" x14ac:dyDescent="0.25">
      <c r="A335" s="103"/>
      <c r="B335" s="103"/>
      <c r="C335" s="103"/>
      <c r="D335" s="77" t="str">
        <f ca="1">IFERROR(INDEX(Validation!G:G,MATCH("Parcels"&amp;CELL("address",D335),Validation!I:I,0)),"")</f>
        <v/>
      </c>
      <c r="E335" s="66" t="str">
        <f ca="1">IFERROR(INDEX(Validation!F:F,MATCH("Parcels"&amp;CELL("address",D335),Validation!I:I,0)),"")</f>
        <v/>
      </c>
    </row>
    <row r="336" spans="1:5" x14ac:dyDescent="0.25">
      <c r="A336" s="103"/>
      <c r="B336" s="103"/>
      <c r="C336" s="103"/>
      <c r="D336" s="77" t="str">
        <f ca="1">IFERROR(INDEX(Validation!G:G,MATCH("Parcels"&amp;CELL("address",D336),Validation!I:I,0)),"")</f>
        <v/>
      </c>
      <c r="E336" s="66" t="str">
        <f ca="1">IFERROR(INDEX(Validation!F:F,MATCH("Parcels"&amp;CELL("address",D336),Validation!I:I,0)),"")</f>
        <v/>
      </c>
    </row>
    <row r="337" spans="1:5" x14ac:dyDescent="0.25">
      <c r="A337" s="103"/>
      <c r="B337" s="103"/>
      <c r="C337" s="103"/>
      <c r="D337" s="77" t="str">
        <f ca="1">IFERROR(INDEX(Validation!G:G,MATCH("Parcels"&amp;CELL("address",D337),Validation!I:I,0)),"")</f>
        <v/>
      </c>
      <c r="E337" s="66" t="str">
        <f ca="1">IFERROR(INDEX(Validation!F:F,MATCH("Parcels"&amp;CELL("address",D337),Validation!I:I,0)),"")</f>
        <v/>
      </c>
    </row>
    <row r="338" spans="1:5" x14ac:dyDescent="0.25">
      <c r="A338" s="103"/>
      <c r="B338" s="103"/>
      <c r="C338" s="103"/>
      <c r="D338" s="77" t="str">
        <f ca="1">IFERROR(INDEX(Validation!G:G,MATCH("Parcels"&amp;CELL("address",D338),Validation!I:I,0)),"")</f>
        <v/>
      </c>
      <c r="E338" s="66" t="str">
        <f ca="1">IFERROR(INDEX(Validation!F:F,MATCH("Parcels"&amp;CELL("address",D338),Validation!I:I,0)),"")</f>
        <v/>
      </c>
    </row>
    <row r="339" spans="1:5" x14ac:dyDescent="0.25">
      <c r="A339" s="103"/>
      <c r="B339" s="103"/>
      <c r="C339" s="103"/>
      <c r="D339" s="77" t="str">
        <f ca="1">IFERROR(INDEX(Validation!G:G,MATCH("Parcels"&amp;CELL("address",D339),Validation!I:I,0)),"")</f>
        <v/>
      </c>
      <c r="E339" s="66" t="str">
        <f ca="1">IFERROR(INDEX(Validation!F:F,MATCH("Parcels"&amp;CELL("address",D339),Validation!I:I,0)),"")</f>
        <v/>
      </c>
    </row>
    <row r="340" spans="1:5" x14ac:dyDescent="0.25">
      <c r="A340" s="103"/>
      <c r="B340" s="103"/>
      <c r="C340" s="103"/>
      <c r="D340" s="77" t="str">
        <f ca="1">IFERROR(INDEX(Validation!G:G,MATCH("Parcels"&amp;CELL("address",D340),Validation!I:I,0)),"")</f>
        <v/>
      </c>
      <c r="E340" s="66" t="str">
        <f ca="1">IFERROR(INDEX(Validation!F:F,MATCH("Parcels"&amp;CELL("address",D340),Validation!I:I,0)),"")</f>
        <v/>
      </c>
    </row>
    <row r="341" spans="1:5" x14ac:dyDescent="0.25">
      <c r="A341" s="103"/>
      <c r="B341" s="103"/>
      <c r="C341" s="103"/>
      <c r="D341" s="77" t="str">
        <f ca="1">IFERROR(INDEX(Validation!G:G,MATCH("Parcels"&amp;CELL("address",D341),Validation!I:I,0)),"")</f>
        <v/>
      </c>
      <c r="E341" s="66" t="str">
        <f ca="1">IFERROR(INDEX(Validation!F:F,MATCH("Parcels"&amp;CELL("address",D341),Validation!I:I,0)),"")</f>
        <v/>
      </c>
    </row>
    <row r="342" spans="1:5" x14ac:dyDescent="0.25">
      <c r="A342" s="103"/>
      <c r="B342" s="103"/>
      <c r="C342" s="103"/>
      <c r="D342" s="77" t="str">
        <f ca="1">IFERROR(INDEX(Validation!G:G,MATCH("Parcels"&amp;CELL("address",D342),Validation!I:I,0)),"")</f>
        <v/>
      </c>
      <c r="E342" s="66" t="str">
        <f ca="1">IFERROR(INDEX(Validation!F:F,MATCH("Parcels"&amp;CELL("address",D342),Validation!I:I,0)),"")</f>
        <v/>
      </c>
    </row>
    <row r="343" spans="1:5" x14ac:dyDescent="0.25">
      <c r="A343" s="103"/>
      <c r="B343" s="103"/>
      <c r="C343" s="103"/>
      <c r="D343" s="77" t="str">
        <f ca="1">IFERROR(INDEX(Validation!G:G,MATCH("Parcels"&amp;CELL("address",D343),Validation!I:I,0)),"")</f>
        <v/>
      </c>
      <c r="E343" s="66" t="str">
        <f ca="1">IFERROR(INDEX(Validation!F:F,MATCH("Parcels"&amp;CELL("address",D343),Validation!I:I,0)),"")</f>
        <v/>
      </c>
    </row>
    <row r="344" spans="1:5" x14ac:dyDescent="0.25">
      <c r="A344" s="103"/>
      <c r="B344" s="103"/>
      <c r="C344" s="103"/>
      <c r="D344" s="77" t="str">
        <f ca="1">IFERROR(INDEX(Validation!G:G,MATCH("Parcels"&amp;CELL("address",D344),Validation!I:I,0)),"")</f>
        <v/>
      </c>
      <c r="E344" s="66" t="str">
        <f ca="1">IFERROR(INDEX(Validation!F:F,MATCH("Parcels"&amp;CELL("address",D344),Validation!I:I,0)),"")</f>
        <v/>
      </c>
    </row>
    <row r="345" spans="1:5" x14ac:dyDescent="0.25">
      <c r="A345" s="103"/>
      <c r="B345" s="103"/>
      <c r="C345" s="103"/>
      <c r="D345" s="77" t="str">
        <f ca="1">IFERROR(INDEX(Validation!G:G,MATCH("Parcels"&amp;CELL("address",D345),Validation!I:I,0)),"")</f>
        <v/>
      </c>
      <c r="E345" s="66" t="str">
        <f ca="1">IFERROR(INDEX(Validation!F:F,MATCH("Parcels"&amp;CELL("address",D345),Validation!I:I,0)),"")</f>
        <v/>
      </c>
    </row>
    <row r="346" spans="1:5" x14ac:dyDescent="0.25">
      <c r="A346" s="103"/>
      <c r="B346" s="103"/>
      <c r="C346" s="103"/>
      <c r="D346" s="77" t="str">
        <f ca="1">IFERROR(INDEX(Validation!G:G,MATCH("Parcels"&amp;CELL("address",D346),Validation!I:I,0)),"")</f>
        <v/>
      </c>
      <c r="E346" s="66" t="str">
        <f ca="1">IFERROR(INDEX(Validation!F:F,MATCH("Parcels"&amp;CELL("address",D346),Validation!I:I,0)),"")</f>
        <v/>
      </c>
    </row>
    <row r="347" spans="1:5" x14ac:dyDescent="0.25">
      <c r="A347" s="103"/>
      <c r="B347" s="103"/>
      <c r="C347" s="103"/>
      <c r="D347" s="77" t="str">
        <f ca="1">IFERROR(INDEX(Validation!G:G,MATCH("Parcels"&amp;CELL("address",D347),Validation!I:I,0)),"")</f>
        <v/>
      </c>
      <c r="E347" s="66" t="str">
        <f ca="1">IFERROR(INDEX(Validation!F:F,MATCH("Parcels"&amp;CELL("address",D347),Validation!I:I,0)),"")</f>
        <v/>
      </c>
    </row>
    <row r="348" spans="1:5" x14ac:dyDescent="0.25">
      <c r="A348" s="103"/>
      <c r="B348" s="103"/>
      <c r="C348" s="103"/>
      <c r="D348" s="77" t="str">
        <f ca="1">IFERROR(INDEX(Validation!G:G,MATCH("Parcels"&amp;CELL("address",D348),Validation!I:I,0)),"")</f>
        <v/>
      </c>
      <c r="E348" s="66" t="str">
        <f ca="1">IFERROR(INDEX(Validation!F:F,MATCH("Parcels"&amp;CELL("address",D348),Validation!I:I,0)),"")</f>
        <v/>
      </c>
    </row>
    <row r="349" spans="1:5" x14ac:dyDescent="0.25">
      <c r="A349" s="103"/>
      <c r="B349" s="103"/>
      <c r="C349" s="103"/>
      <c r="D349" s="77" t="str">
        <f ca="1">IFERROR(INDEX(Validation!G:G,MATCH("Parcels"&amp;CELL("address",D349),Validation!I:I,0)),"")</f>
        <v/>
      </c>
      <c r="E349" s="66" t="str">
        <f ca="1">IFERROR(INDEX(Validation!F:F,MATCH("Parcels"&amp;CELL("address",D349),Validation!I:I,0)),"")</f>
        <v/>
      </c>
    </row>
    <row r="350" spans="1:5" x14ac:dyDescent="0.25">
      <c r="A350" s="103"/>
      <c r="B350" s="103"/>
      <c r="C350" s="103"/>
      <c r="D350" s="77" t="str">
        <f ca="1">IFERROR(INDEX(Validation!G:G,MATCH("Parcels"&amp;CELL("address",D350),Validation!I:I,0)),"")</f>
        <v/>
      </c>
      <c r="E350" s="66" t="str">
        <f ca="1">IFERROR(INDEX(Validation!F:F,MATCH("Parcels"&amp;CELL("address",D350),Validation!I:I,0)),"")</f>
        <v/>
      </c>
    </row>
    <row r="351" spans="1:5" x14ac:dyDescent="0.25">
      <c r="A351" s="103"/>
      <c r="B351" s="103"/>
      <c r="C351" s="103"/>
      <c r="D351" s="77" t="str">
        <f ca="1">IFERROR(INDEX(Validation!G:G,MATCH("Parcels"&amp;CELL("address",D351),Validation!I:I,0)),"")</f>
        <v/>
      </c>
      <c r="E351" s="66" t="str">
        <f ca="1">IFERROR(INDEX(Validation!F:F,MATCH("Parcels"&amp;CELL("address",D351),Validation!I:I,0)),"")</f>
        <v/>
      </c>
    </row>
    <row r="352" spans="1:5" x14ac:dyDescent="0.25">
      <c r="A352" s="103"/>
      <c r="B352" s="103"/>
      <c r="C352" s="103"/>
      <c r="D352" s="77" t="str">
        <f ca="1">IFERROR(INDEX(Validation!G:G,MATCH("Parcels"&amp;CELL("address",D352),Validation!I:I,0)),"")</f>
        <v/>
      </c>
      <c r="E352" s="66" t="str">
        <f ca="1">IFERROR(INDEX(Validation!F:F,MATCH("Parcels"&amp;CELL("address",D352),Validation!I:I,0)),"")</f>
        <v/>
      </c>
    </row>
    <row r="353" spans="1:5" x14ac:dyDescent="0.25">
      <c r="A353" s="103"/>
      <c r="B353" s="103"/>
      <c r="C353" s="103"/>
      <c r="D353" s="77" t="str">
        <f ca="1">IFERROR(INDEX(Validation!G:G,MATCH("Parcels"&amp;CELL("address",D353),Validation!I:I,0)),"")</f>
        <v/>
      </c>
      <c r="E353" s="66" t="str">
        <f ca="1">IFERROR(INDEX(Validation!F:F,MATCH("Parcels"&amp;CELL("address",D353),Validation!I:I,0)),"")</f>
        <v/>
      </c>
    </row>
    <row r="354" spans="1:5" x14ac:dyDescent="0.25">
      <c r="A354" s="103"/>
      <c r="B354" s="103"/>
      <c r="C354" s="103"/>
      <c r="D354" s="77" t="str">
        <f ca="1">IFERROR(INDEX(Validation!G:G,MATCH("Parcels"&amp;CELL("address",D354),Validation!I:I,0)),"")</f>
        <v/>
      </c>
      <c r="E354" s="66" t="str">
        <f ca="1">IFERROR(INDEX(Validation!F:F,MATCH("Parcels"&amp;CELL("address",D354),Validation!I:I,0)),"")</f>
        <v/>
      </c>
    </row>
    <row r="355" spans="1:5" x14ac:dyDescent="0.25">
      <c r="A355" s="103"/>
      <c r="B355" s="103"/>
      <c r="C355" s="103"/>
      <c r="D355" s="77" t="str">
        <f ca="1">IFERROR(INDEX(Validation!G:G,MATCH("Parcels"&amp;CELL("address",D355),Validation!I:I,0)),"")</f>
        <v/>
      </c>
      <c r="E355" s="66" t="str">
        <f ca="1">IFERROR(INDEX(Validation!F:F,MATCH("Parcels"&amp;CELL("address",D355),Validation!I:I,0)),"")</f>
        <v/>
      </c>
    </row>
    <row r="356" spans="1:5" x14ac:dyDescent="0.25">
      <c r="A356" s="103"/>
      <c r="B356" s="103"/>
      <c r="C356" s="103"/>
      <c r="D356" s="77" t="str">
        <f ca="1">IFERROR(INDEX(Validation!G:G,MATCH("Parcels"&amp;CELL("address",D356),Validation!I:I,0)),"")</f>
        <v/>
      </c>
      <c r="E356" s="66" t="str">
        <f ca="1">IFERROR(INDEX(Validation!F:F,MATCH("Parcels"&amp;CELL("address",D356),Validation!I:I,0)),"")</f>
        <v/>
      </c>
    </row>
    <row r="357" spans="1:5" x14ac:dyDescent="0.25">
      <c r="A357" s="103"/>
      <c r="B357" s="103"/>
      <c r="C357" s="103"/>
      <c r="D357" s="77" t="str">
        <f ca="1">IFERROR(INDEX(Validation!G:G,MATCH("Parcels"&amp;CELL("address",D357),Validation!I:I,0)),"")</f>
        <v/>
      </c>
      <c r="E357" s="66" t="str">
        <f ca="1">IFERROR(INDEX(Validation!F:F,MATCH("Parcels"&amp;CELL("address",D357),Validation!I:I,0)),"")</f>
        <v/>
      </c>
    </row>
    <row r="358" spans="1:5" x14ac:dyDescent="0.25">
      <c r="A358" s="103"/>
      <c r="B358" s="103"/>
      <c r="C358" s="103"/>
      <c r="D358" s="77" t="str">
        <f ca="1">IFERROR(INDEX(Validation!G:G,MATCH("Parcels"&amp;CELL("address",D358),Validation!I:I,0)),"")</f>
        <v/>
      </c>
      <c r="E358" s="66" t="str">
        <f ca="1">IFERROR(INDEX(Validation!F:F,MATCH("Parcels"&amp;CELL("address",D358),Validation!I:I,0)),"")</f>
        <v/>
      </c>
    </row>
    <row r="359" spans="1:5" x14ac:dyDescent="0.25">
      <c r="A359" s="103"/>
      <c r="B359" s="103"/>
      <c r="C359" s="103"/>
      <c r="D359" s="77" t="str">
        <f ca="1">IFERROR(INDEX(Validation!G:G,MATCH("Parcels"&amp;CELL("address",D359),Validation!I:I,0)),"")</f>
        <v/>
      </c>
      <c r="E359" s="66" t="str">
        <f ca="1">IFERROR(INDEX(Validation!F:F,MATCH("Parcels"&amp;CELL("address",D359),Validation!I:I,0)),"")</f>
        <v/>
      </c>
    </row>
    <row r="360" spans="1:5" x14ac:dyDescent="0.25">
      <c r="A360" s="103"/>
      <c r="B360" s="103"/>
      <c r="C360" s="103"/>
      <c r="D360" s="77" t="str">
        <f ca="1">IFERROR(INDEX(Validation!G:G,MATCH("Parcels"&amp;CELL("address",D360),Validation!I:I,0)),"")</f>
        <v/>
      </c>
      <c r="E360" s="66" t="str">
        <f ca="1">IFERROR(INDEX(Validation!F:F,MATCH("Parcels"&amp;CELL("address",D360),Validation!I:I,0)),"")</f>
        <v/>
      </c>
    </row>
    <row r="361" spans="1:5" x14ac:dyDescent="0.25">
      <c r="A361" s="103"/>
      <c r="B361" s="103"/>
      <c r="C361" s="103"/>
      <c r="D361" s="77" t="str">
        <f ca="1">IFERROR(INDEX(Validation!G:G,MATCH("Parcels"&amp;CELL("address",D361),Validation!I:I,0)),"")</f>
        <v/>
      </c>
      <c r="E361" s="66" t="str">
        <f ca="1">IFERROR(INDEX(Validation!F:F,MATCH("Parcels"&amp;CELL("address",D361),Validation!I:I,0)),"")</f>
        <v/>
      </c>
    </row>
    <row r="362" spans="1:5" x14ac:dyDescent="0.25">
      <c r="A362" s="103"/>
      <c r="B362" s="103"/>
      <c r="C362" s="103"/>
      <c r="D362" s="77" t="str">
        <f ca="1">IFERROR(INDEX(Validation!G:G,MATCH("Parcels"&amp;CELL("address",D362),Validation!I:I,0)),"")</f>
        <v/>
      </c>
      <c r="E362" s="66" t="str">
        <f ca="1">IFERROR(INDEX(Validation!F:F,MATCH("Parcels"&amp;CELL("address",D362),Validation!I:I,0)),"")</f>
        <v/>
      </c>
    </row>
    <row r="363" spans="1:5" x14ac:dyDescent="0.25">
      <c r="A363" s="103"/>
      <c r="B363" s="103"/>
      <c r="C363" s="103"/>
      <c r="D363" s="77" t="str">
        <f ca="1">IFERROR(INDEX(Validation!G:G,MATCH("Parcels"&amp;CELL("address",D363),Validation!I:I,0)),"")</f>
        <v/>
      </c>
      <c r="E363" s="66" t="str">
        <f ca="1">IFERROR(INDEX(Validation!F:F,MATCH("Parcels"&amp;CELL("address",D363),Validation!I:I,0)),"")</f>
        <v/>
      </c>
    </row>
    <row r="364" spans="1:5" x14ac:dyDescent="0.25">
      <c r="A364" s="103"/>
      <c r="B364" s="103"/>
      <c r="C364" s="103"/>
      <c r="D364" s="77" t="str">
        <f ca="1">IFERROR(INDEX(Validation!G:G,MATCH("Parcels"&amp;CELL("address",D364),Validation!I:I,0)),"")</f>
        <v/>
      </c>
      <c r="E364" s="66" t="str">
        <f ca="1">IFERROR(INDEX(Validation!F:F,MATCH("Parcels"&amp;CELL("address",D364),Validation!I:I,0)),"")</f>
        <v/>
      </c>
    </row>
    <row r="365" spans="1:5" x14ac:dyDescent="0.25">
      <c r="A365" s="103"/>
      <c r="B365" s="103"/>
      <c r="C365" s="103"/>
      <c r="D365" s="77" t="str">
        <f ca="1">IFERROR(INDEX(Validation!G:G,MATCH("Parcels"&amp;CELL("address",D365),Validation!I:I,0)),"")</f>
        <v/>
      </c>
      <c r="E365" s="66" t="str">
        <f ca="1">IFERROR(INDEX(Validation!F:F,MATCH("Parcels"&amp;CELL("address",D365),Validation!I:I,0)),"")</f>
        <v/>
      </c>
    </row>
    <row r="366" spans="1:5" x14ac:dyDescent="0.25">
      <c r="A366" s="103"/>
      <c r="B366" s="103"/>
      <c r="C366" s="103"/>
      <c r="D366" s="77" t="str">
        <f ca="1">IFERROR(INDEX(Validation!G:G,MATCH("Parcels"&amp;CELL("address",D366),Validation!I:I,0)),"")</f>
        <v/>
      </c>
      <c r="E366" s="66" t="str">
        <f ca="1">IFERROR(INDEX(Validation!F:F,MATCH("Parcels"&amp;CELL("address",D366),Validation!I:I,0)),"")</f>
        <v/>
      </c>
    </row>
    <row r="367" spans="1:5" x14ac:dyDescent="0.25">
      <c r="A367" s="103"/>
      <c r="B367" s="103"/>
      <c r="C367" s="103"/>
      <c r="D367" s="77" t="str">
        <f ca="1">IFERROR(INDEX(Validation!G:G,MATCH("Parcels"&amp;CELL("address",D367),Validation!I:I,0)),"")</f>
        <v/>
      </c>
      <c r="E367" s="66" t="str">
        <f ca="1">IFERROR(INDEX(Validation!F:F,MATCH("Parcels"&amp;CELL("address",D367),Validation!I:I,0)),"")</f>
        <v/>
      </c>
    </row>
    <row r="368" spans="1:5" x14ac:dyDescent="0.25">
      <c r="A368" s="103"/>
      <c r="B368" s="103"/>
      <c r="C368" s="103"/>
      <c r="D368" s="77" t="str">
        <f ca="1">IFERROR(INDEX(Validation!G:G,MATCH("Parcels"&amp;CELL("address",D368),Validation!I:I,0)),"")</f>
        <v/>
      </c>
      <c r="E368" s="66" t="str">
        <f ca="1">IFERROR(INDEX(Validation!F:F,MATCH("Parcels"&amp;CELL("address",D368),Validation!I:I,0)),"")</f>
        <v/>
      </c>
    </row>
    <row r="369" spans="1:5" x14ac:dyDescent="0.25">
      <c r="A369" s="103"/>
      <c r="B369" s="103"/>
      <c r="C369" s="103"/>
      <c r="D369" s="77" t="str">
        <f ca="1">IFERROR(INDEX(Validation!G:G,MATCH("Parcels"&amp;CELL("address",D369),Validation!I:I,0)),"")</f>
        <v/>
      </c>
      <c r="E369" s="66" t="str">
        <f ca="1">IFERROR(INDEX(Validation!F:F,MATCH("Parcels"&amp;CELL("address",D369),Validation!I:I,0)),"")</f>
        <v/>
      </c>
    </row>
    <row r="370" spans="1:5" x14ac:dyDescent="0.25">
      <c r="A370" s="103"/>
      <c r="B370" s="103"/>
      <c r="C370" s="103"/>
      <c r="D370" s="77" t="str">
        <f ca="1">IFERROR(INDEX(Validation!G:G,MATCH("Parcels"&amp;CELL("address",D370),Validation!I:I,0)),"")</f>
        <v/>
      </c>
      <c r="E370" s="66" t="str">
        <f ca="1">IFERROR(INDEX(Validation!F:F,MATCH("Parcels"&amp;CELL("address",D370),Validation!I:I,0)),"")</f>
        <v/>
      </c>
    </row>
    <row r="371" spans="1:5" x14ac:dyDescent="0.25">
      <c r="A371" s="103"/>
      <c r="B371" s="103"/>
      <c r="C371" s="103"/>
      <c r="D371" s="77" t="str">
        <f ca="1">IFERROR(INDEX(Validation!G:G,MATCH("Parcels"&amp;CELL("address",D371),Validation!I:I,0)),"")</f>
        <v/>
      </c>
      <c r="E371" s="66" t="str">
        <f ca="1">IFERROR(INDEX(Validation!F:F,MATCH("Parcels"&amp;CELL("address",D371),Validation!I:I,0)),"")</f>
        <v/>
      </c>
    </row>
    <row r="372" spans="1:5" x14ac:dyDescent="0.25">
      <c r="A372" s="103"/>
      <c r="B372" s="103"/>
      <c r="C372" s="103"/>
      <c r="D372" s="77" t="str">
        <f ca="1">IFERROR(INDEX(Validation!G:G,MATCH("Parcels"&amp;CELL("address",D372),Validation!I:I,0)),"")</f>
        <v/>
      </c>
      <c r="E372" s="66" t="str">
        <f ca="1">IFERROR(INDEX(Validation!F:F,MATCH("Parcels"&amp;CELL("address",D372),Validation!I:I,0)),"")</f>
        <v/>
      </c>
    </row>
    <row r="373" spans="1:5" x14ac:dyDescent="0.25">
      <c r="A373" s="103"/>
      <c r="B373" s="103"/>
      <c r="C373" s="103"/>
      <c r="D373" s="77" t="str">
        <f ca="1">IFERROR(INDEX(Validation!G:G,MATCH("Parcels"&amp;CELL("address",D373),Validation!I:I,0)),"")</f>
        <v/>
      </c>
      <c r="E373" s="66" t="str">
        <f ca="1">IFERROR(INDEX(Validation!F:F,MATCH("Parcels"&amp;CELL("address",D373),Validation!I:I,0)),"")</f>
        <v/>
      </c>
    </row>
    <row r="374" spans="1:5" x14ac:dyDescent="0.25">
      <c r="A374" s="103"/>
      <c r="B374" s="103"/>
      <c r="C374" s="103"/>
      <c r="D374" s="77" t="str">
        <f ca="1">IFERROR(INDEX(Validation!G:G,MATCH("Parcels"&amp;CELL("address",D374),Validation!I:I,0)),"")</f>
        <v/>
      </c>
      <c r="E374" s="66" t="str">
        <f ca="1">IFERROR(INDEX(Validation!F:F,MATCH("Parcels"&amp;CELL("address",D374),Validation!I:I,0)),"")</f>
        <v/>
      </c>
    </row>
    <row r="375" spans="1:5" x14ac:dyDescent="0.25">
      <c r="A375" s="103"/>
      <c r="B375" s="103"/>
      <c r="C375" s="103"/>
      <c r="D375" s="77" t="str">
        <f ca="1">IFERROR(INDEX(Validation!G:G,MATCH("Parcels"&amp;CELL("address",D375),Validation!I:I,0)),"")</f>
        <v/>
      </c>
      <c r="E375" s="66" t="str">
        <f ca="1">IFERROR(INDEX(Validation!F:F,MATCH("Parcels"&amp;CELL("address",D375),Validation!I:I,0)),"")</f>
        <v/>
      </c>
    </row>
    <row r="376" spans="1:5" x14ac:dyDescent="0.25">
      <c r="A376" s="103"/>
      <c r="B376" s="103"/>
      <c r="C376" s="103"/>
      <c r="D376" s="77" t="str">
        <f ca="1">IFERROR(INDEX(Validation!G:G,MATCH("Parcels"&amp;CELL("address",D376),Validation!I:I,0)),"")</f>
        <v/>
      </c>
      <c r="E376" s="66" t="str">
        <f ca="1">IFERROR(INDEX(Validation!F:F,MATCH("Parcels"&amp;CELL("address",D376),Validation!I:I,0)),"")</f>
        <v/>
      </c>
    </row>
    <row r="377" spans="1:5" x14ac:dyDescent="0.25">
      <c r="A377" s="103"/>
      <c r="B377" s="103"/>
      <c r="C377" s="103"/>
      <c r="D377" s="77" t="str">
        <f ca="1">IFERROR(INDEX(Validation!G:G,MATCH("Parcels"&amp;CELL("address",D377),Validation!I:I,0)),"")</f>
        <v/>
      </c>
      <c r="E377" s="66" t="str">
        <f ca="1">IFERROR(INDEX(Validation!F:F,MATCH("Parcels"&amp;CELL("address",D377),Validation!I:I,0)),"")</f>
        <v/>
      </c>
    </row>
    <row r="378" spans="1:5" x14ac:dyDescent="0.25">
      <c r="A378" s="103"/>
      <c r="B378" s="103"/>
      <c r="C378" s="103"/>
      <c r="D378" s="77" t="str">
        <f ca="1">IFERROR(INDEX(Validation!G:G,MATCH("Parcels"&amp;CELL("address",D378),Validation!I:I,0)),"")</f>
        <v/>
      </c>
      <c r="E378" s="66" t="str">
        <f ca="1">IFERROR(INDEX(Validation!F:F,MATCH("Parcels"&amp;CELL("address",D378),Validation!I:I,0)),"")</f>
        <v/>
      </c>
    </row>
    <row r="379" spans="1:5" x14ac:dyDescent="0.25">
      <c r="A379" s="103"/>
      <c r="B379" s="103"/>
      <c r="C379" s="103"/>
      <c r="D379" s="77" t="str">
        <f ca="1">IFERROR(INDEX(Validation!G:G,MATCH("Parcels"&amp;CELL("address",D379),Validation!I:I,0)),"")</f>
        <v/>
      </c>
      <c r="E379" s="66" t="str">
        <f ca="1">IFERROR(INDEX(Validation!F:F,MATCH("Parcels"&amp;CELL("address",D379),Validation!I:I,0)),"")</f>
        <v/>
      </c>
    </row>
    <row r="380" spans="1:5" x14ac:dyDescent="0.25">
      <c r="A380" s="103"/>
      <c r="B380" s="103"/>
      <c r="C380" s="103"/>
      <c r="D380" s="77" t="str">
        <f ca="1">IFERROR(INDEX(Validation!G:G,MATCH("Parcels"&amp;CELL("address",D380),Validation!I:I,0)),"")</f>
        <v/>
      </c>
      <c r="E380" s="66" t="str">
        <f ca="1">IFERROR(INDEX(Validation!F:F,MATCH("Parcels"&amp;CELL("address",D380),Validation!I:I,0)),"")</f>
        <v/>
      </c>
    </row>
    <row r="381" spans="1:5" x14ac:dyDescent="0.25">
      <c r="A381" s="103"/>
      <c r="B381" s="103"/>
      <c r="C381" s="103"/>
      <c r="D381" s="77" t="str">
        <f ca="1">IFERROR(INDEX(Validation!G:G,MATCH("Parcels"&amp;CELL("address",D381),Validation!I:I,0)),"")</f>
        <v/>
      </c>
      <c r="E381" s="66" t="str">
        <f ca="1">IFERROR(INDEX(Validation!F:F,MATCH("Parcels"&amp;CELL("address",D381),Validation!I:I,0)),"")</f>
        <v/>
      </c>
    </row>
    <row r="382" spans="1:5" x14ac:dyDescent="0.25">
      <c r="A382" s="103"/>
      <c r="B382" s="103"/>
      <c r="C382" s="103"/>
      <c r="D382" s="77" t="str">
        <f ca="1">IFERROR(INDEX(Validation!G:G,MATCH("Parcels"&amp;CELL("address",D382),Validation!I:I,0)),"")</f>
        <v/>
      </c>
      <c r="E382" s="66" t="str">
        <f ca="1">IFERROR(INDEX(Validation!F:F,MATCH("Parcels"&amp;CELL("address",D382),Validation!I:I,0)),"")</f>
        <v/>
      </c>
    </row>
    <row r="383" spans="1:5" x14ac:dyDescent="0.25">
      <c r="A383" s="103"/>
      <c r="B383" s="103"/>
      <c r="C383" s="103"/>
      <c r="D383" s="77" t="str">
        <f ca="1">IFERROR(INDEX(Validation!G:G,MATCH("Parcels"&amp;CELL("address",D383),Validation!I:I,0)),"")</f>
        <v/>
      </c>
      <c r="E383" s="66" t="str">
        <f ca="1">IFERROR(INDEX(Validation!F:F,MATCH("Parcels"&amp;CELL("address",D383),Validation!I:I,0)),"")</f>
        <v/>
      </c>
    </row>
    <row r="384" spans="1:5" x14ac:dyDescent="0.25">
      <c r="A384" s="103"/>
      <c r="B384" s="103"/>
      <c r="C384" s="103"/>
      <c r="D384" s="77" t="str">
        <f ca="1">IFERROR(INDEX(Validation!G:G,MATCH("Parcels"&amp;CELL("address",D384),Validation!I:I,0)),"")</f>
        <v/>
      </c>
      <c r="E384" s="66" t="str">
        <f ca="1">IFERROR(INDEX(Validation!F:F,MATCH("Parcels"&amp;CELL("address",D384),Validation!I:I,0)),"")</f>
        <v/>
      </c>
    </row>
    <row r="385" spans="1:5" x14ac:dyDescent="0.25">
      <c r="A385" s="103"/>
      <c r="B385" s="103"/>
      <c r="C385" s="103"/>
      <c r="D385" s="77" t="str">
        <f ca="1">IFERROR(INDEX(Validation!G:G,MATCH("Parcels"&amp;CELL("address",D385),Validation!I:I,0)),"")</f>
        <v/>
      </c>
      <c r="E385" s="66" t="str">
        <f ca="1">IFERROR(INDEX(Validation!F:F,MATCH("Parcels"&amp;CELL("address",D385),Validation!I:I,0)),"")</f>
        <v/>
      </c>
    </row>
    <row r="386" spans="1:5" x14ac:dyDescent="0.25">
      <c r="A386" s="103"/>
      <c r="B386" s="103"/>
      <c r="C386" s="103"/>
      <c r="D386" s="77" t="str">
        <f ca="1">IFERROR(INDEX(Validation!G:G,MATCH("Parcels"&amp;CELL("address",D386),Validation!I:I,0)),"")</f>
        <v/>
      </c>
      <c r="E386" s="66" t="str">
        <f ca="1">IFERROR(INDEX(Validation!F:F,MATCH("Parcels"&amp;CELL("address",D386),Validation!I:I,0)),"")</f>
        <v/>
      </c>
    </row>
    <row r="387" spans="1:5" x14ac:dyDescent="0.25">
      <c r="A387" s="103"/>
      <c r="B387" s="103"/>
      <c r="C387" s="103"/>
      <c r="D387" s="77" t="str">
        <f ca="1">IFERROR(INDEX(Validation!G:G,MATCH("Parcels"&amp;CELL("address",D387),Validation!I:I,0)),"")</f>
        <v/>
      </c>
      <c r="E387" s="66" t="str">
        <f ca="1">IFERROR(INDEX(Validation!F:F,MATCH("Parcels"&amp;CELL("address",D387),Validation!I:I,0)),"")</f>
        <v/>
      </c>
    </row>
    <row r="388" spans="1:5" x14ac:dyDescent="0.25">
      <c r="A388" s="103"/>
      <c r="B388" s="103"/>
      <c r="C388" s="103"/>
      <c r="D388" s="77" t="str">
        <f ca="1">IFERROR(INDEX(Validation!G:G,MATCH("Parcels"&amp;CELL("address",D388),Validation!I:I,0)),"")</f>
        <v/>
      </c>
      <c r="E388" s="66" t="str">
        <f ca="1">IFERROR(INDEX(Validation!F:F,MATCH("Parcels"&amp;CELL("address",D388),Validation!I:I,0)),"")</f>
        <v/>
      </c>
    </row>
    <row r="389" spans="1:5" x14ac:dyDescent="0.25">
      <c r="A389" s="103"/>
      <c r="B389" s="103"/>
      <c r="C389" s="103"/>
      <c r="D389" s="77" t="str">
        <f ca="1">IFERROR(INDEX(Validation!G:G,MATCH("Parcels"&amp;CELL("address",D389),Validation!I:I,0)),"")</f>
        <v/>
      </c>
      <c r="E389" s="66" t="str">
        <f ca="1">IFERROR(INDEX(Validation!F:F,MATCH("Parcels"&amp;CELL("address",D389),Validation!I:I,0)),"")</f>
        <v/>
      </c>
    </row>
    <row r="390" spans="1:5" x14ac:dyDescent="0.25">
      <c r="A390" s="103"/>
      <c r="B390" s="103"/>
      <c r="C390" s="103"/>
      <c r="D390" s="77" t="str">
        <f ca="1">IFERROR(INDEX(Validation!G:G,MATCH("Parcels"&amp;CELL("address",D390),Validation!I:I,0)),"")</f>
        <v/>
      </c>
      <c r="E390" s="66" t="str">
        <f ca="1">IFERROR(INDEX(Validation!F:F,MATCH("Parcels"&amp;CELL("address",D390),Validation!I:I,0)),"")</f>
        <v/>
      </c>
    </row>
    <row r="391" spans="1:5" x14ac:dyDescent="0.25">
      <c r="A391" s="103"/>
      <c r="B391" s="103"/>
      <c r="C391" s="103"/>
      <c r="D391" s="77" t="str">
        <f ca="1">IFERROR(INDEX(Validation!G:G,MATCH("Parcels"&amp;CELL("address",D391),Validation!I:I,0)),"")</f>
        <v/>
      </c>
      <c r="E391" s="66" t="str">
        <f ca="1">IFERROR(INDEX(Validation!F:F,MATCH("Parcels"&amp;CELL("address",D391),Validation!I:I,0)),"")</f>
        <v/>
      </c>
    </row>
    <row r="392" spans="1:5" x14ac:dyDescent="0.25">
      <c r="A392" s="103"/>
      <c r="B392" s="103"/>
      <c r="C392" s="103"/>
      <c r="D392" s="77" t="str">
        <f ca="1">IFERROR(INDEX(Validation!G:G,MATCH("Parcels"&amp;CELL("address",D392),Validation!I:I,0)),"")</f>
        <v/>
      </c>
      <c r="E392" s="66" t="str">
        <f ca="1">IFERROR(INDEX(Validation!F:F,MATCH("Parcels"&amp;CELL("address",D392),Validation!I:I,0)),"")</f>
        <v/>
      </c>
    </row>
    <row r="393" spans="1:5" x14ac:dyDescent="0.25">
      <c r="A393" s="103"/>
      <c r="B393" s="103"/>
      <c r="C393" s="103"/>
      <c r="D393" s="77" t="str">
        <f ca="1">IFERROR(INDEX(Validation!G:G,MATCH("Parcels"&amp;CELL("address",D393),Validation!I:I,0)),"")</f>
        <v/>
      </c>
      <c r="E393" s="66" t="str">
        <f ca="1">IFERROR(INDEX(Validation!F:F,MATCH("Parcels"&amp;CELL("address",D393),Validation!I:I,0)),"")</f>
        <v/>
      </c>
    </row>
    <row r="394" spans="1:5" x14ac:dyDescent="0.25">
      <c r="A394" s="103"/>
      <c r="B394" s="103"/>
      <c r="C394" s="103"/>
      <c r="D394" s="77" t="str">
        <f ca="1">IFERROR(INDEX(Validation!G:G,MATCH("Parcels"&amp;CELL("address",D394),Validation!I:I,0)),"")</f>
        <v/>
      </c>
      <c r="E394" s="66" t="str">
        <f ca="1">IFERROR(INDEX(Validation!F:F,MATCH("Parcels"&amp;CELL("address",D394),Validation!I:I,0)),"")</f>
        <v/>
      </c>
    </row>
    <row r="395" spans="1:5" x14ac:dyDescent="0.25">
      <c r="A395" s="103"/>
      <c r="B395" s="103"/>
      <c r="C395" s="103"/>
      <c r="D395" s="77" t="str">
        <f ca="1">IFERROR(INDEX(Validation!G:G,MATCH("Parcels"&amp;CELL("address",D395),Validation!I:I,0)),"")</f>
        <v/>
      </c>
      <c r="E395" s="66" t="str">
        <f ca="1">IFERROR(INDEX(Validation!F:F,MATCH("Parcels"&amp;CELL("address",D395),Validation!I:I,0)),"")</f>
        <v/>
      </c>
    </row>
    <row r="396" spans="1:5" x14ac:dyDescent="0.25">
      <c r="A396" s="103"/>
      <c r="B396" s="103"/>
      <c r="C396" s="103"/>
      <c r="D396" s="77" t="str">
        <f ca="1">IFERROR(INDEX(Validation!G:G,MATCH("Parcels"&amp;CELL("address",D396),Validation!I:I,0)),"")</f>
        <v/>
      </c>
      <c r="E396" s="66" t="str">
        <f ca="1">IFERROR(INDEX(Validation!F:F,MATCH("Parcels"&amp;CELL("address",D396),Validation!I:I,0)),"")</f>
        <v/>
      </c>
    </row>
    <row r="397" spans="1:5" x14ac:dyDescent="0.25">
      <c r="A397" s="103"/>
      <c r="B397" s="103"/>
      <c r="C397" s="103"/>
      <c r="D397" s="77" t="str">
        <f ca="1">IFERROR(INDEX(Validation!G:G,MATCH("Parcels"&amp;CELL("address",D397),Validation!I:I,0)),"")</f>
        <v/>
      </c>
      <c r="E397" s="66" t="str">
        <f ca="1">IFERROR(INDEX(Validation!F:F,MATCH("Parcels"&amp;CELL("address",D397),Validation!I:I,0)),"")</f>
        <v/>
      </c>
    </row>
    <row r="398" spans="1:5" x14ac:dyDescent="0.25">
      <c r="A398" s="103"/>
      <c r="B398" s="103"/>
      <c r="C398" s="103"/>
      <c r="D398" s="77" t="str">
        <f ca="1">IFERROR(INDEX(Validation!G:G,MATCH("Parcels"&amp;CELL("address",D398),Validation!I:I,0)),"")</f>
        <v/>
      </c>
      <c r="E398" s="66" t="str">
        <f ca="1">IFERROR(INDEX(Validation!F:F,MATCH("Parcels"&amp;CELL("address",D398),Validation!I:I,0)),"")</f>
        <v/>
      </c>
    </row>
    <row r="399" spans="1:5" x14ac:dyDescent="0.25">
      <c r="A399" s="103"/>
      <c r="B399" s="103"/>
      <c r="C399" s="103"/>
      <c r="D399" s="77" t="str">
        <f ca="1">IFERROR(INDEX(Validation!G:G,MATCH("Parcels"&amp;CELL("address",D399),Validation!I:I,0)),"")</f>
        <v/>
      </c>
      <c r="E399" s="66" t="str">
        <f ca="1">IFERROR(INDEX(Validation!F:F,MATCH("Parcels"&amp;CELL("address",D399),Validation!I:I,0)),"")</f>
        <v/>
      </c>
    </row>
    <row r="400" spans="1:5" x14ac:dyDescent="0.25">
      <c r="A400" s="103"/>
      <c r="B400" s="103"/>
      <c r="C400" s="103"/>
      <c r="D400" s="77" t="str">
        <f ca="1">IFERROR(INDEX(Validation!G:G,MATCH("Parcels"&amp;CELL("address",D400),Validation!I:I,0)),"")</f>
        <v/>
      </c>
      <c r="E400" s="66" t="str">
        <f ca="1">IFERROR(INDEX(Validation!F:F,MATCH("Parcels"&amp;CELL("address",D400),Validation!I:I,0)),"")</f>
        <v/>
      </c>
    </row>
    <row r="401" spans="1:5" x14ac:dyDescent="0.25">
      <c r="A401" s="103"/>
      <c r="B401" s="103"/>
      <c r="C401" s="103"/>
      <c r="D401" s="77" t="str">
        <f ca="1">IFERROR(INDEX(Validation!G:G,MATCH("Parcels"&amp;CELL("address",D401),Validation!I:I,0)),"")</f>
        <v/>
      </c>
      <c r="E401" s="66" t="str">
        <f ca="1">IFERROR(INDEX(Validation!F:F,MATCH("Parcels"&amp;CELL("address",D401),Validation!I:I,0)),"")</f>
        <v/>
      </c>
    </row>
    <row r="402" spans="1:5" x14ac:dyDescent="0.25">
      <c r="A402" s="103"/>
      <c r="B402" s="103"/>
      <c r="C402" s="103"/>
      <c r="D402" s="77" t="str">
        <f ca="1">IFERROR(INDEX(Validation!G:G,MATCH("Parcels"&amp;CELL("address",D402),Validation!I:I,0)),"")</f>
        <v/>
      </c>
      <c r="E402" s="66" t="str">
        <f ca="1">IFERROR(INDEX(Validation!F:F,MATCH("Parcels"&amp;CELL("address",D402),Validation!I:I,0)),"")</f>
        <v/>
      </c>
    </row>
    <row r="403" spans="1:5" x14ac:dyDescent="0.25">
      <c r="A403" s="103"/>
      <c r="B403" s="103"/>
      <c r="C403" s="103"/>
      <c r="D403" s="77" t="str">
        <f ca="1">IFERROR(INDEX(Validation!G:G,MATCH("Parcels"&amp;CELL("address",D403),Validation!I:I,0)),"")</f>
        <v/>
      </c>
      <c r="E403" s="66" t="str">
        <f ca="1">IFERROR(INDEX(Validation!F:F,MATCH("Parcels"&amp;CELL("address",D403),Validation!I:I,0)),"")</f>
        <v/>
      </c>
    </row>
    <row r="404" spans="1:5" x14ac:dyDescent="0.25">
      <c r="A404" s="103"/>
      <c r="B404" s="103"/>
      <c r="C404" s="103"/>
      <c r="D404" s="77" t="str">
        <f ca="1">IFERROR(INDEX(Validation!G:G,MATCH("Parcels"&amp;CELL("address",D404),Validation!I:I,0)),"")</f>
        <v/>
      </c>
      <c r="E404" s="66" t="str">
        <f ca="1">IFERROR(INDEX(Validation!F:F,MATCH("Parcels"&amp;CELL("address",D404),Validation!I:I,0)),"")</f>
        <v/>
      </c>
    </row>
    <row r="405" spans="1:5" x14ac:dyDescent="0.25">
      <c r="A405" s="103"/>
      <c r="B405" s="103"/>
      <c r="C405" s="103"/>
      <c r="D405" s="77" t="str">
        <f ca="1">IFERROR(INDEX(Validation!G:G,MATCH("Parcels"&amp;CELL("address",D405),Validation!I:I,0)),"")</f>
        <v/>
      </c>
      <c r="E405" s="66" t="str">
        <f ca="1">IFERROR(INDEX(Validation!F:F,MATCH("Parcels"&amp;CELL("address",D405),Validation!I:I,0)),"")</f>
        <v/>
      </c>
    </row>
    <row r="406" spans="1:5" x14ac:dyDescent="0.25">
      <c r="A406" s="103"/>
      <c r="B406" s="103"/>
      <c r="C406" s="103"/>
      <c r="D406" s="77" t="str">
        <f ca="1">IFERROR(INDEX(Validation!G:G,MATCH("Parcels"&amp;CELL("address",D406),Validation!I:I,0)),"")</f>
        <v/>
      </c>
      <c r="E406" s="66" t="str">
        <f ca="1">IFERROR(INDEX(Validation!F:F,MATCH("Parcels"&amp;CELL("address",D406),Validation!I:I,0)),"")</f>
        <v/>
      </c>
    </row>
    <row r="407" spans="1:5" x14ac:dyDescent="0.25">
      <c r="A407" s="103"/>
      <c r="B407" s="103"/>
      <c r="C407" s="103"/>
      <c r="D407" s="77" t="str">
        <f ca="1">IFERROR(INDEX(Validation!G:G,MATCH("Parcels"&amp;CELL("address",D407),Validation!I:I,0)),"")</f>
        <v/>
      </c>
      <c r="E407" s="66" t="str">
        <f ca="1">IFERROR(INDEX(Validation!F:F,MATCH("Parcels"&amp;CELL("address",D407),Validation!I:I,0)),"")</f>
        <v/>
      </c>
    </row>
    <row r="408" spans="1:5" x14ac:dyDescent="0.25">
      <c r="A408" s="103"/>
      <c r="B408" s="103"/>
      <c r="C408" s="103"/>
      <c r="D408" s="77" t="str">
        <f ca="1">IFERROR(INDEX(Validation!G:G,MATCH("Parcels"&amp;CELL("address",D408),Validation!I:I,0)),"")</f>
        <v/>
      </c>
      <c r="E408" s="66" t="str">
        <f ca="1">IFERROR(INDEX(Validation!F:F,MATCH("Parcels"&amp;CELL("address",D408),Validation!I:I,0)),"")</f>
        <v/>
      </c>
    </row>
    <row r="409" spans="1:5" x14ac:dyDescent="0.25">
      <c r="A409" s="103"/>
      <c r="B409" s="103"/>
      <c r="C409" s="103"/>
      <c r="D409" s="77" t="str">
        <f ca="1">IFERROR(INDEX(Validation!G:G,MATCH("Parcels"&amp;CELL("address",D409),Validation!I:I,0)),"")</f>
        <v/>
      </c>
      <c r="E409" s="66" t="str">
        <f ca="1">IFERROR(INDEX(Validation!F:F,MATCH("Parcels"&amp;CELL("address",D409),Validation!I:I,0)),"")</f>
        <v/>
      </c>
    </row>
    <row r="410" spans="1:5" x14ac:dyDescent="0.25">
      <c r="A410" s="103"/>
      <c r="B410" s="103"/>
      <c r="C410" s="103"/>
      <c r="D410" s="77" t="str">
        <f ca="1">IFERROR(INDEX(Validation!G:G,MATCH("Parcels"&amp;CELL("address",D410),Validation!I:I,0)),"")</f>
        <v/>
      </c>
      <c r="E410" s="66" t="str">
        <f ca="1">IFERROR(INDEX(Validation!F:F,MATCH("Parcels"&amp;CELL("address",D410),Validation!I:I,0)),"")</f>
        <v/>
      </c>
    </row>
    <row r="411" spans="1:5" x14ac:dyDescent="0.25">
      <c r="A411" s="103"/>
      <c r="B411" s="103"/>
      <c r="C411" s="103"/>
      <c r="D411" s="77" t="str">
        <f ca="1">IFERROR(INDEX(Validation!G:G,MATCH("Parcels"&amp;CELL("address",D411),Validation!I:I,0)),"")</f>
        <v/>
      </c>
      <c r="E411" s="66" t="str">
        <f ca="1">IFERROR(INDEX(Validation!F:F,MATCH("Parcels"&amp;CELL("address",D411),Validation!I:I,0)),"")</f>
        <v/>
      </c>
    </row>
    <row r="412" spans="1:5" x14ac:dyDescent="0.25">
      <c r="A412" s="103"/>
      <c r="B412" s="103"/>
      <c r="C412" s="103"/>
      <c r="D412" s="77" t="str">
        <f ca="1">IFERROR(INDEX(Validation!G:G,MATCH("Parcels"&amp;CELL("address",D412),Validation!I:I,0)),"")</f>
        <v/>
      </c>
      <c r="E412" s="66" t="str">
        <f ca="1">IFERROR(INDEX(Validation!F:F,MATCH("Parcels"&amp;CELL("address",D412),Validation!I:I,0)),"")</f>
        <v/>
      </c>
    </row>
    <row r="413" spans="1:5" x14ac:dyDescent="0.25">
      <c r="A413" s="103"/>
      <c r="B413" s="103"/>
      <c r="C413" s="103"/>
      <c r="D413" s="77" t="str">
        <f ca="1">IFERROR(INDEX(Validation!G:G,MATCH("Parcels"&amp;CELL("address",D413),Validation!I:I,0)),"")</f>
        <v/>
      </c>
      <c r="E413" s="66" t="str">
        <f ca="1">IFERROR(INDEX(Validation!F:F,MATCH("Parcels"&amp;CELL("address",D413),Validation!I:I,0)),"")</f>
        <v/>
      </c>
    </row>
    <row r="414" spans="1:5" x14ac:dyDescent="0.25">
      <c r="A414" s="103"/>
      <c r="B414" s="103"/>
      <c r="C414" s="103"/>
      <c r="D414" s="77" t="str">
        <f ca="1">IFERROR(INDEX(Validation!G:G,MATCH("Parcels"&amp;CELL("address",D414),Validation!I:I,0)),"")</f>
        <v/>
      </c>
      <c r="E414" s="66" t="str">
        <f ca="1">IFERROR(INDEX(Validation!F:F,MATCH("Parcels"&amp;CELL("address",D414),Validation!I:I,0)),"")</f>
        <v/>
      </c>
    </row>
    <row r="415" spans="1:5" x14ac:dyDescent="0.25">
      <c r="A415" s="103"/>
      <c r="B415" s="103"/>
      <c r="C415" s="103"/>
      <c r="D415" s="77" t="str">
        <f ca="1">IFERROR(INDEX(Validation!G:G,MATCH("Parcels"&amp;CELL("address",D415),Validation!I:I,0)),"")</f>
        <v/>
      </c>
      <c r="E415" s="66" t="str">
        <f ca="1">IFERROR(INDEX(Validation!F:F,MATCH("Parcels"&amp;CELL("address",D415),Validation!I:I,0)),"")</f>
        <v/>
      </c>
    </row>
    <row r="416" spans="1:5" x14ac:dyDescent="0.25">
      <c r="A416" s="103"/>
      <c r="B416" s="103"/>
      <c r="C416" s="103"/>
      <c r="D416" s="77" t="str">
        <f ca="1">IFERROR(INDEX(Validation!G:G,MATCH("Parcels"&amp;CELL("address",D416),Validation!I:I,0)),"")</f>
        <v/>
      </c>
      <c r="E416" s="66" t="str">
        <f ca="1">IFERROR(INDEX(Validation!F:F,MATCH("Parcels"&amp;CELL("address",D416),Validation!I:I,0)),"")</f>
        <v/>
      </c>
    </row>
    <row r="417" spans="1:5" x14ac:dyDescent="0.25">
      <c r="A417" s="103"/>
      <c r="B417" s="103"/>
      <c r="C417" s="103"/>
      <c r="D417" s="77" t="str">
        <f ca="1">IFERROR(INDEX(Validation!G:G,MATCH("Parcels"&amp;CELL("address",D417),Validation!I:I,0)),"")</f>
        <v/>
      </c>
      <c r="E417" s="66" t="str">
        <f ca="1">IFERROR(INDEX(Validation!F:F,MATCH("Parcels"&amp;CELL("address",D417),Validation!I:I,0)),"")</f>
        <v/>
      </c>
    </row>
    <row r="418" spans="1:5" x14ac:dyDescent="0.25">
      <c r="A418" s="103"/>
      <c r="B418" s="103"/>
      <c r="C418" s="103"/>
      <c r="D418" s="77" t="str">
        <f ca="1">IFERROR(INDEX(Validation!G:G,MATCH("Parcels"&amp;CELL("address",D418),Validation!I:I,0)),"")</f>
        <v/>
      </c>
      <c r="E418" s="66" t="str">
        <f ca="1">IFERROR(INDEX(Validation!F:F,MATCH("Parcels"&amp;CELL("address",D418),Validation!I:I,0)),"")</f>
        <v/>
      </c>
    </row>
    <row r="419" spans="1:5" x14ac:dyDescent="0.25">
      <c r="A419" s="103"/>
      <c r="B419" s="103"/>
      <c r="C419" s="103"/>
      <c r="D419" s="77" t="str">
        <f ca="1">IFERROR(INDEX(Validation!G:G,MATCH("Parcels"&amp;CELL("address",D419),Validation!I:I,0)),"")</f>
        <v/>
      </c>
      <c r="E419" s="66" t="str">
        <f ca="1">IFERROR(INDEX(Validation!F:F,MATCH("Parcels"&amp;CELL("address",D419),Validation!I:I,0)),"")</f>
        <v/>
      </c>
    </row>
    <row r="420" spans="1:5" x14ac:dyDescent="0.25">
      <c r="A420" s="103"/>
      <c r="B420" s="103"/>
      <c r="C420" s="103"/>
      <c r="D420" s="77" t="str">
        <f ca="1">IFERROR(INDEX(Validation!G:G,MATCH("Parcels"&amp;CELL("address",D420),Validation!I:I,0)),"")</f>
        <v/>
      </c>
      <c r="E420" s="66" t="str">
        <f ca="1">IFERROR(INDEX(Validation!F:F,MATCH("Parcels"&amp;CELL("address",D420),Validation!I:I,0)),"")</f>
        <v/>
      </c>
    </row>
    <row r="421" spans="1:5" x14ac:dyDescent="0.25">
      <c r="A421" s="103"/>
      <c r="B421" s="103"/>
      <c r="C421" s="103"/>
      <c r="D421" s="77" t="str">
        <f ca="1">IFERROR(INDEX(Validation!G:G,MATCH("Parcels"&amp;CELL("address",D421),Validation!I:I,0)),"")</f>
        <v/>
      </c>
      <c r="E421" s="66" t="str">
        <f ca="1">IFERROR(INDEX(Validation!F:F,MATCH("Parcels"&amp;CELL("address",D421),Validation!I:I,0)),"")</f>
        <v/>
      </c>
    </row>
    <row r="422" spans="1:5" x14ac:dyDescent="0.25">
      <c r="A422" s="103"/>
      <c r="B422" s="103"/>
      <c r="C422" s="103"/>
      <c r="D422" s="77" t="str">
        <f ca="1">IFERROR(INDEX(Validation!G:G,MATCH("Parcels"&amp;CELL("address",D422),Validation!I:I,0)),"")</f>
        <v/>
      </c>
      <c r="E422" s="66" t="str">
        <f ca="1">IFERROR(INDEX(Validation!F:F,MATCH("Parcels"&amp;CELL("address",D422),Validation!I:I,0)),"")</f>
        <v/>
      </c>
    </row>
    <row r="423" spans="1:5" x14ac:dyDescent="0.25">
      <c r="A423" s="103"/>
      <c r="B423" s="103"/>
      <c r="C423" s="103"/>
      <c r="D423" s="77" t="str">
        <f ca="1">IFERROR(INDEX(Validation!G:G,MATCH("Parcels"&amp;CELL("address",D423),Validation!I:I,0)),"")</f>
        <v/>
      </c>
      <c r="E423" s="66" t="str">
        <f ca="1">IFERROR(INDEX(Validation!F:F,MATCH("Parcels"&amp;CELL("address",D423),Validation!I:I,0)),"")</f>
        <v/>
      </c>
    </row>
    <row r="424" spans="1:5" x14ac:dyDescent="0.25">
      <c r="A424" s="103"/>
      <c r="B424" s="103"/>
      <c r="C424" s="103"/>
      <c r="D424" s="77" t="str">
        <f ca="1">IFERROR(INDEX(Validation!G:G,MATCH("Parcels"&amp;CELL("address",D424),Validation!I:I,0)),"")</f>
        <v/>
      </c>
      <c r="E424" s="66" t="str">
        <f ca="1">IFERROR(INDEX(Validation!F:F,MATCH("Parcels"&amp;CELL("address",D424),Validation!I:I,0)),"")</f>
        <v/>
      </c>
    </row>
    <row r="425" spans="1:5" x14ac:dyDescent="0.25">
      <c r="A425" s="103"/>
      <c r="B425" s="103"/>
      <c r="C425" s="103"/>
      <c r="D425" s="77" t="str">
        <f ca="1">IFERROR(INDEX(Validation!G:G,MATCH("Parcels"&amp;CELL("address",D425),Validation!I:I,0)),"")</f>
        <v/>
      </c>
      <c r="E425" s="66" t="str">
        <f ca="1">IFERROR(INDEX(Validation!F:F,MATCH("Parcels"&amp;CELL("address",D425),Validation!I:I,0)),"")</f>
        <v/>
      </c>
    </row>
    <row r="426" spans="1:5" x14ac:dyDescent="0.25">
      <c r="A426" s="103"/>
      <c r="B426" s="103"/>
      <c r="C426" s="103"/>
      <c r="D426" s="77" t="str">
        <f ca="1">IFERROR(INDEX(Validation!G:G,MATCH("Parcels"&amp;CELL("address",D426),Validation!I:I,0)),"")</f>
        <v/>
      </c>
      <c r="E426" s="66" t="str">
        <f ca="1">IFERROR(INDEX(Validation!F:F,MATCH("Parcels"&amp;CELL("address",D426),Validation!I:I,0)),"")</f>
        <v/>
      </c>
    </row>
    <row r="427" spans="1:5" x14ac:dyDescent="0.25">
      <c r="A427" s="103"/>
      <c r="B427" s="103"/>
      <c r="C427" s="103"/>
      <c r="D427" s="77" t="str">
        <f ca="1">IFERROR(INDEX(Validation!G:G,MATCH("Parcels"&amp;CELL("address",D427),Validation!I:I,0)),"")</f>
        <v/>
      </c>
      <c r="E427" s="66" t="str">
        <f ca="1">IFERROR(INDEX(Validation!F:F,MATCH("Parcels"&amp;CELL("address",D427),Validation!I:I,0)),"")</f>
        <v/>
      </c>
    </row>
    <row r="428" spans="1:5" x14ac:dyDescent="0.25">
      <c r="A428" s="103"/>
      <c r="B428" s="103"/>
      <c r="C428" s="103"/>
      <c r="D428" s="77" t="str">
        <f ca="1">IFERROR(INDEX(Validation!G:G,MATCH("Parcels"&amp;CELL("address",D428),Validation!I:I,0)),"")</f>
        <v/>
      </c>
      <c r="E428" s="66" t="str">
        <f ca="1">IFERROR(INDEX(Validation!F:F,MATCH("Parcels"&amp;CELL("address",D428),Validation!I:I,0)),"")</f>
        <v/>
      </c>
    </row>
    <row r="429" spans="1:5" x14ac:dyDescent="0.25">
      <c r="A429" s="103"/>
      <c r="B429" s="103"/>
      <c r="C429" s="103"/>
      <c r="D429" s="77" t="str">
        <f ca="1">IFERROR(INDEX(Validation!G:G,MATCH("Parcels"&amp;CELL("address",D429),Validation!I:I,0)),"")</f>
        <v/>
      </c>
      <c r="E429" s="66" t="str">
        <f ca="1">IFERROR(INDEX(Validation!F:F,MATCH("Parcels"&amp;CELL("address",D429),Validation!I:I,0)),"")</f>
        <v/>
      </c>
    </row>
    <row r="430" spans="1:5" x14ac:dyDescent="0.25">
      <c r="A430" s="103"/>
      <c r="B430" s="103"/>
      <c r="C430" s="103"/>
      <c r="D430" s="77" t="str">
        <f ca="1">IFERROR(INDEX(Validation!G:G,MATCH("Parcels"&amp;CELL("address",D430),Validation!I:I,0)),"")</f>
        <v/>
      </c>
      <c r="E430" s="66" t="str">
        <f ca="1">IFERROR(INDEX(Validation!F:F,MATCH("Parcels"&amp;CELL("address",D430),Validation!I:I,0)),"")</f>
        <v/>
      </c>
    </row>
    <row r="431" spans="1:5" x14ac:dyDescent="0.25">
      <c r="A431" s="103"/>
      <c r="B431" s="103"/>
      <c r="C431" s="103"/>
      <c r="D431" s="77" t="str">
        <f ca="1">IFERROR(INDEX(Validation!G:G,MATCH("Parcels"&amp;CELL("address",D431),Validation!I:I,0)),"")</f>
        <v/>
      </c>
      <c r="E431" s="66" t="str">
        <f ca="1">IFERROR(INDEX(Validation!F:F,MATCH("Parcels"&amp;CELL("address",D431),Validation!I:I,0)),"")</f>
        <v/>
      </c>
    </row>
    <row r="432" spans="1:5" x14ac:dyDescent="0.25">
      <c r="A432" s="103"/>
      <c r="B432" s="103"/>
      <c r="C432" s="103"/>
      <c r="D432" s="77" t="str">
        <f ca="1">IFERROR(INDEX(Validation!G:G,MATCH("Parcels"&amp;CELL("address",D432),Validation!I:I,0)),"")</f>
        <v/>
      </c>
      <c r="E432" s="66" t="str">
        <f ca="1">IFERROR(INDEX(Validation!F:F,MATCH("Parcels"&amp;CELL("address",D432),Validation!I:I,0)),"")</f>
        <v/>
      </c>
    </row>
    <row r="433" spans="1:5" x14ac:dyDescent="0.25">
      <c r="A433" s="103"/>
      <c r="B433" s="103"/>
      <c r="C433" s="103"/>
      <c r="D433" s="77" t="str">
        <f ca="1">IFERROR(INDEX(Validation!G:G,MATCH("Parcels"&amp;CELL("address",D433),Validation!I:I,0)),"")</f>
        <v/>
      </c>
      <c r="E433" s="66" t="str">
        <f ca="1">IFERROR(INDEX(Validation!F:F,MATCH("Parcels"&amp;CELL("address",D433),Validation!I:I,0)),"")</f>
        <v/>
      </c>
    </row>
    <row r="434" spans="1:5" x14ac:dyDescent="0.25">
      <c r="A434" s="103"/>
      <c r="B434" s="103"/>
      <c r="C434" s="103"/>
      <c r="D434" s="77" t="str">
        <f ca="1">IFERROR(INDEX(Validation!G:G,MATCH("Parcels"&amp;CELL("address",D434),Validation!I:I,0)),"")</f>
        <v/>
      </c>
      <c r="E434" s="66" t="str">
        <f ca="1">IFERROR(INDEX(Validation!F:F,MATCH("Parcels"&amp;CELL("address",D434),Validation!I:I,0)),"")</f>
        <v/>
      </c>
    </row>
    <row r="435" spans="1:5" x14ac:dyDescent="0.25">
      <c r="A435" s="103"/>
      <c r="B435" s="103"/>
      <c r="C435" s="103"/>
      <c r="D435" s="77" t="str">
        <f ca="1">IFERROR(INDEX(Validation!G:G,MATCH("Parcels"&amp;CELL("address",D435),Validation!I:I,0)),"")</f>
        <v/>
      </c>
      <c r="E435" s="66" t="str">
        <f ca="1">IFERROR(INDEX(Validation!F:F,MATCH("Parcels"&amp;CELL("address",D435),Validation!I:I,0)),"")</f>
        <v/>
      </c>
    </row>
    <row r="436" spans="1:5" x14ac:dyDescent="0.25">
      <c r="A436" s="103"/>
      <c r="B436" s="103"/>
      <c r="C436" s="103"/>
      <c r="D436" s="77" t="str">
        <f ca="1">IFERROR(INDEX(Validation!G:G,MATCH("Parcels"&amp;CELL("address",D436),Validation!I:I,0)),"")</f>
        <v/>
      </c>
      <c r="E436" s="66" t="str">
        <f ca="1">IFERROR(INDEX(Validation!F:F,MATCH("Parcels"&amp;CELL("address",D436),Validation!I:I,0)),"")</f>
        <v/>
      </c>
    </row>
    <row r="437" spans="1:5" x14ac:dyDescent="0.25">
      <c r="A437" s="103"/>
      <c r="B437" s="103"/>
      <c r="C437" s="103"/>
      <c r="D437" s="77" t="str">
        <f ca="1">IFERROR(INDEX(Validation!G:G,MATCH("Parcels"&amp;CELL("address",D437),Validation!I:I,0)),"")</f>
        <v/>
      </c>
      <c r="E437" s="66" t="str">
        <f ca="1">IFERROR(INDEX(Validation!F:F,MATCH("Parcels"&amp;CELL("address",D437),Validation!I:I,0)),"")</f>
        <v/>
      </c>
    </row>
    <row r="438" spans="1:5" x14ac:dyDescent="0.25">
      <c r="A438" s="103"/>
      <c r="B438" s="103"/>
      <c r="C438" s="103"/>
      <c r="D438" s="77" t="str">
        <f ca="1">IFERROR(INDEX(Validation!G:G,MATCH("Parcels"&amp;CELL("address",D438),Validation!I:I,0)),"")</f>
        <v/>
      </c>
      <c r="E438" s="66" t="str">
        <f ca="1">IFERROR(INDEX(Validation!F:F,MATCH("Parcels"&amp;CELL("address",D438),Validation!I:I,0)),"")</f>
        <v/>
      </c>
    </row>
    <row r="439" spans="1:5" x14ac:dyDescent="0.25">
      <c r="A439" s="103"/>
      <c r="B439" s="103"/>
      <c r="C439" s="103"/>
      <c r="D439" s="77" t="str">
        <f ca="1">IFERROR(INDEX(Validation!G:G,MATCH("Parcels"&amp;CELL("address",D439),Validation!I:I,0)),"")</f>
        <v/>
      </c>
      <c r="E439" s="66" t="str">
        <f ca="1">IFERROR(INDEX(Validation!F:F,MATCH("Parcels"&amp;CELL("address",D439),Validation!I:I,0)),"")</f>
        <v/>
      </c>
    </row>
    <row r="440" spans="1:5" x14ac:dyDescent="0.25">
      <c r="A440" s="103"/>
      <c r="B440" s="103"/>
      <c r="C440" s="103"/>
      <c r="D440" s="77" t="str">
        <f ca="1">IFERROR(INDEX(Validation!G:G,MATCH("Parcels"&amp;CELL("address",D440),Validation!I:I,0)),"")</f>
        <v/>
      </c>
      <c r="E440" s="66" t="str">
        <f ca="1">IFERROR(INDEX(Validation!F:F,MATCH("Parcels"&amp;CELL("address",D440),Validation!I:I,0)),"")</f>
        <v/>
      </c>
    </row>
    <row r="441" spans="1:5" x14ac:dyDescent="0.25">
      <c r="A441" s="103"/>
      <c r="B441" s="103"/>
      <c r="C441" s="103"/>
      <c r="D441" s="77" t="str">
        <f ca="1">IFERROR(INDEX(Validation!G:G,MATCH("Parcels"&amp;CELL("address",D441),Validation!I:I,0)),"")</f>
        <v/>
      </c>
      <c r="E441" s="66" t="str">
        <f ca="1">IFERROR(INDEX(Validation!F:F,MATCH("Parcels"&amp;CELL("address",D441),Validation!I:I,0)),"")</f>
        <v/>
      </c>
    </row>
    <row r="442" spans="1:5" x14ac:dyDescent="0.25">
      <c r="A442" s="103"/>
      <c r="B442" s="103"/>
      <c r="C442" s="103"/>
      <c r="D442" s="77" t="str">
        <f ca="1">IFERROR(INDEX(Validation!G:G,MATCH("Parcels"&amp;CELL("address",D442),Validation!I:I,0)),"")</f>
        <v/>
      </c>
      <c r="E442" s="66" t="str">
        <f ca="1">IFERROR(INDEX(Validation!F:F,MATCH("Parcels"&amp;CELL("address",D442),Validation!I:I,0)),"")</f>
        <v/>
      </c>
    </row>
    <row r="443" spans="1:5" x14ac:dyDescent="0.25">
      <c r="A443" s="103"/>
      <c r="B443" s="103"/>
      <c r="C443" s="103"/>
      <c r="D443" s="77" t="str">
        <f ca="1">IFERROR(INDEX(Validation!G:G,MATCH("Parcels"&amp;CELL("address",D443),Validation!I:I,0)),"")</f>
        <v/>
      </c>
      <c r="E443" s="66" t="str">
        <f ca="1">IFERROR(INDEX(Validation!F:F,MATCH("Parcels"&amp;CELL("address",D443),Validation!I:I,0)),"")</f>
        <v/>
      </c>
    </row>
    <row r="444" spans="1:5" x14ac:dyDescent="0.25">
      <c r="A444" s="103"/>
      <c r="B444" s="103"/>
      <c r="C444" s="103"/>
      <c r="D444" s="77" t="str">
        <f ca="1">IFERROR(INDEX(Validation!G:G,MATCH("Parcels"&amp;CELL("address",D444),Validation!I:I,0)),"")</f>
        <v/>
      </c>
      <c r="E444" s="66" t="str">
        <f ca="1">IFERROR(INDEX(Validation!F:F,MATCH("Parcels"&amp;CELL("address",D444),Validation!I:I,0)),"")</f>
        <v/>
      </c>
    </row>
    <row r="445" spans="1:5" x14ac:dyDescent="0.25">
      <c r="A445" s="103"/>
      <c r="B445" s="103"/>
      <c r="C445" s="103"/>
      <c r="D445" s="77" t="str">
        <f ca="1">IFERROR(INDEX(Validation!G:G,MATCH("Parcels"&amp;CELL("address",D445),Validation!I:I,0)),"")</f>
        <v/>
      </c>
      <c r="E445" s="66" t="str">
        <f ca="1">IFERROR(INDEX(Validation!F:F,MATCH("Parcels"&amp;CELL("address",D445),Validation!I:I,0)),"")</f>
        <v/>
      </c>
    </row>
    <row r="446" spans="1:5" x14ac:dyDescent="0.25">
      <c r="A446" s="103"/>
      <c r="B446" s="103"/>
      <c r="C446" s="103"/>
      <c r="D446" s="77" t="str">
        <f ca="1">IFERROR(INDEX(Validation!G:G,MATCH("Parcels"&amp;CELL("address",D446),Validation!I:I,0)),"")</f>
        <v/>
      </c>
      <c r="E446" s="66" t="str">
        <f ca="1">IFERROR(INDEX(Validation!F:F,MATCH("Parcels"&amp;CELL("address",D446),Validation!I:I,0)),"")</f>
        <v/>
      </c>
    </row>
    <row r="447" spans="1:5" x14ac:dyDescent="0.25">
      <c r="A447" s="103"/>
      <c r="B447" s="103"/>
      <c r="C447" s="103"/>
      <c r="D447" s="77" t="str">
        <f ca="1">IFERROR(INDEX(Validation!G:G,MATCH("Parcels"&amp;CELL("address",D447),Validation!I:I,0)),"")</f>
        <v/>
      </c>
      <c r="E447" s="66" t="str">
        <f ca="1">IFERROR(INDEX(Validation!F:F,MATCH("Parcels"&amp;CELL("address",D447),Validation!I:I,0)),"")</f>
        <v/>
      </c>
    </row>
    <row r="448" spans="1:5" x14ac:dyDescent="0.25">
      <c r="A448" s="103"/>
      <c r="B448" s="103"/>
      <c r="C448" s="103"/>
      <c r="D448" s="77" t="str">
        <f ca="1">IFERROR(INDEX(Validation!G:G,MATCH("Parcels"&amp;CELL("address",D448),Validation!I:I,0)),"")</f>
        <v/>
      </c>
      <c r="E448" s="66" t="str">
        <f ca="1">IFERROR(INDEX(Validation!F:F,MATCH("Parcels"&amp;CELL("address",D448),Validation!I:I,0)),"")</f>
        <v/>
      </c>
    </row>
    <row r="449" spans="1:5" x14ac:dyDescent="0.25">
      <c r="A449" s="103"/>
      <c r="B449" s="103"/>
      <c r="C449" s="103"/>
      <c r="D449" s="77" t="str">
        <f ca="1">IFERROR(INDEX(Validation!G:G,MATCH("Parcels"&amp;CELL("address",D449),Validation!I:I,0)),"")</f>
        <v/>
      </c>
      <c r="E449" s="66" t="str">
        <f ca="1">IFERROR(INDEX(Validation!F:F,MATCH("Parcels"&amp;CELL("address",D449),Validation!I:I,0)),"")</f>
        <v/>
      </c>
    </row>
    <row r="450" spans="1:5" x14ac:dyDescent="0.25">
      <c r="A450" s="103"/>
      <c r="B450" s="103"/>
      <c r="C450" s="103"/>
      <c r="D450" s="77" t="str">
        <f ca="1">IFERROR(INDEX(Validation!G:G,MATCH("Parcels"&amp;CELL("address",D450),Validation!I:I,0)),"")</f>
        <v/>
      </c>
      <c r="E450" s="66" t="str">
        <f ca="1">IFERROR(INDEX(Validation!F:F,MATCH("Parcels"&amp;CELL("address",D450),Validation!I:I,0)),"")</f>
        <v/>
      </c>
    </row>
    <row r="451" spans="1:5" x14ac:dyDescent="0.25">
      <c r="A451" s="103"/>
      <c r="B451" s="103"/>
      <c r="C451" s="103"/>
      <c r="D451" s="77" t="str">
        <f ca="1">IFERROR(INDEX(Validation!G:G,MATCH("Parcels"&amp;CELL("address",D451),Validation!I:I,0)),"")</f>
        <v/>
      </c>
      <c r="E451" s="66" t="str">
        <f ca="1">IFERROR(INDEX(Validation!F:F,MATCH("Parcels"&amp;CELL("address",D451),Validation!I:I,0)),"")</f>
        <v/>
      </c>
    </row>
    <row r="452" spans="1:5" x14ac:dyDescent="0.25">
      <c r="A452" s="103"/>
      <c r="B452" s="103"/>
      <c r="C452" s="103"/>
      <c r="D452" s="77" t="str">
        <f ca="1">IFERROR(INDEX(Validation!G:G,MATCH("Parcels"&amp;CELL("address",D452),Validation!I:I,0)),"")</f>
        <v/>
      </c>
      <c r="E452" s="66" t="str">
        <f ca="1">IFERROR(INDEX(Validation!F:F,MATCH("Parcels"&amp;CELL("address",D452),Validation!I:I,0)),"")</f>
        <v/>
      </c>
    </row>
    <row r="453" spans="1:5" x14ac:dyDescent="0.25">
      <c r="A453" s="103"/>
      <c r="B453" s="103"/>
      <c r="C453" s="103"/>
      <c r="D453" s="77" t="str">
        <f ca="1">IFERROR(INDEX(Validation!G:G,MATCH("Parcels"&amp;CELL("address",D453),Validation!I:I,0)),"")</f>
        <v/>
      </c>
      <c r="E453" s="66" t="str">
        <f ca="1">IFERROR(INDEX(Validation!F:F,MATCH("Parcels"&amp;CELL("address",D453),Validation!I:I,0)),"")</f>
        <v/>
      </c>
    </row>
    <row r="454" spans="1:5" x14ac:dyDescent="0.25">
      <c r="A454" s="103"/>
      <c r="B454" s="103"/>
      <c r="C454" s="103"/>
      <c r="D454" s="77" t="str">
        <f ca="1">IFERROR(INDEX(Validation!G:G,MATCH("Parcels"&amp;CELL("address",D454),Validation!I:I,0)),"")</f>
        <v/>
      </c>
      <c r="E454" s="66" t="str">
        <f ca="1">IFERROR(INDEX(Validation!F:F,MATCH("Parcels"&amp;CELL("address",D454),Validation!I:I,0)),"")</f>
        <v/>
      </c>
    </row>
    <row r="455" spans="1:5" x14ac:dyDescent="0.25">
      <c r="A455" s="103"/>
      <c r="B455" s="103"/>
      <c r="C455" s="103"/>
      <c r="D455" s="77" t="str">
        <f ca="1">IFERROR(INDEX(Validation!G:G,MATCH("Parcels"&amp;CELL("address",D455),Validation!I:I,0)),"")</f>
        <v/>
      </c>
      <c r="E455" s="66" t="str">
        <f ca="1">IFERROR(INDEX(Validation!F:F,MATCH("Parcels"&amp;CELL("address",D455),Validation!I:I,0)),"")</f>
        <v/>
      </c>
    </row>
    <row r="456" spans="1:5" x14ac:dyDescent="0.25">
      <c r="A456" s="103"/>
      <c r="B456" s="103"/>
      <c r="C456" s="103"/>
      <c r="D456" s="77" t="str">
        <f ca="1">IFERROR(INDEX(Validation!G:G,MATCH("Parcels"&amp;CELL("address",D456),Validation!I:I,0)),"")</f>
        <v/>
      </c>
      <c r="E456" s="66" t="str">
        <f ca="1">IFERROR(INDEX(Validation!F:F,MATCH("Parcels"&amp;CELL("address",D456),Validation!I:I,0)),"")</f>
        <v/>
      </c>
    </row>
    <row r="457" spans="1:5" x14ac:dyDescent="0.25">
      <c r="A457" s="103"/>
      <c r="B457" s="103"/>
      <c r="C457" s="103"/>
      <c r="D457" s="77" t="str">
        <f ca="1">IFERROR(INDEX(Validation!G:G,MATCH("Parcels"&amp;CELL("address",D457),Validation!I:I,0)),"")</f>
        <v/>
      </c>
      <c r="E457" s="66" t="str">
        <f ca="1">IFERROR(INDEX(Validation!F:F,MATCH("Parcels"&amp;CELL("address",D457),Validation!I:I,0)),"")</f>
        <v/>
      </c>
    </row>
    <row r="458" spans="1:5" x14ac:dyDescent="0.25">
      <c r="A458" s="103"/>
      <c r="B458" s="103"/>
      <c r="C458" s="103"/>
      <c r="D458" s="77" t="str">
        <f ca="1">IFERROR(INDEX(Validation!G:G,MATCH("Parcels"&amp;CELL("address",D458),Validation!I:I,0)),"")</f>
        <v/>
      </c>
      <c r="E458" s="66" t="str">
        <f ca="1">IFERROR(INDEX(Validation!F:F,MATCH("Parcels"&amp;CELL("address",D458),Validation!I:I,0)),"")</f>
        <v/>
      </c>
    </row>
    <row r="459" spans="1:5" x14ac:dyDescent="0.25">
      <c r="A459" s="103"/>
      <c r="B459" s="103"/>
      <c r="C459" s="103"/>
      <c r="D459" s="77" t="str">
        <f ca="1">IFERROR(INDEX(Validation!G:G,MATCH("Parcels"&amp;CELL("address",D459),Validation!I:I,0)),"")</f>
        <v/>
      </c>
      <c r="E459" s="66" t="str">
        <f ca="1">IFERROR(INDEX(Validation!F:F,MATCH("Parcels"&amp;CELL("address",D459),Validation!I:I,0)),"")</f>
        <v/>
      </c>
    </row>
    <row r="460" spans="1:5" x14ac:dyDescent="0.25">
      <c r="A460" s="103"/>
      <c r="B460" s="103"/>
      <c r="C460" s="103"/>
      <c r="D460" s="77" t="str">
        <f ca="1">IFERROR(INDEX(Validation!G:G,MATCH("Parcels"&amp;CELL("address",D460),Validation!I:I,0)),"")</f>
        <v/>
      </c>
      <c r="E460" s="66" t="str">
        <f ca="1">IFERROR(INDEX(Validation!F:F,MATCH("Parcels"&amp;CELL("address",D460),Validation!I:I,0)),"")</f>
        <v/>
      </c>
    </row>
    <row r="461" spans="1:5" x14ac:dyDescent="0.25">
      <c r="A461" s="103"/>
      <c r="B461" s="103"/>
      <c r="C461" s="103"/>
      <c r="D461" s="77" t="str">
        <f ca="1">IFERROR(INDEX(Validation!G:G,MATCH("Parcels"&amp;CELL("address",D461),Validation!I:I,0)),"")</f>
        <v/>
      </c>
      <c r="E461" s="66" t="str">
        <f ca="1">IFERROR(INDEX(Validation!F:F,MATCH("Parcels"&amp;CELL("address",D461),Validation!I:I,0)),"")</f>
        <v/>
      </c>
    </row>
    <row r="462" spans="1:5" x14ac:dyDescent="0.25">
      <c r="A462" s="103"/>
      <c r="B462" s="103"/>
      <c r="C462" s="103"/>
      <c r="D462" s="77" t="str">
        <f ca="1">IFERROR(INDEX(Validation!G:G,MATCH("Parcels"&amp;CELL("address",D462),Validation!I:I,0)),"")</f>
        <v/>
      </c>
      <c r="E462" s="66" t="str">
        <f ca="1">IFERROR(INDEX(Validation!F:F,MATCH("Parcels"&amp;CELL("address",D462),Validation!I:I,0)),"")</f>
        <v/>
      </c>
    </row>
    <row r="463" spans="1:5" x14ac:dyDescent="0.25">
      <c r="A463" s="103"/>
      <c r="B463" s="103"/>
      <c r="C463" s="103"/>
      <c r="D463" s="77" t="str">
        <f ca="1">IFERROR(INDEX(Validation!G:G,MATCH("Parcels"&amp;CELL("address",D463),Validation!I:I,0)),"")</f>
        <v/>
      </c>
      <c r="E463" s="66" t="str">
        <f ca="1">IFERROR(INDEX(Validation!F:F,MATCH("Parcels"&amp;CELL("address",D463),Validation!I:I,0)),"")</f>
        <v/>
      </c>
    </row>
    <row r="464" spans="1:5" x14ac:dyDescent="0.25">
      <c r="A464" s="103"/>
      <c r="B464" s="103"/>
      <c r="C464" s="103"/>
      <c r="D464" s="77" t="str">
        <f ca="1">IFERROR(INDEX(Validation!G:G,MATCH("Parcels"&amp;CELL("address",D464),Validation!I:I,0)),"")</f>
        <v/>
      </c>
      <c r="E464" s="66" t="str">
        <f ca="1">IFERROR(INDEX(Validation!F:F,MATCH("Parcels"&amp;CELL("address",D464),Validation!I:I,0)),"")</f>
        <v/>
      </c>
    </row>
    <row r="465" spans="1:5" x14ac:dyDescent="0.25">
      <c r="A465" s="103"/>
      <c r="B465" s="103"/>
      <c r="C465" s="103"/>
      <c r="D465" s="77" t="str">
        <f ca="1">IFERROR(INDEX(Validation!G:G,MATCH("Parcels"&amp;CELL("address",D465),Validation!I:I,0)),"")</f>
        <v/>
      </c>
      <c r="E465" s="66" t="str">
        <f ca="1">IFERROR(INDEX(Validation!F:F,MATCH("Parcels"&amp;CELL("address",D465),Validation!I:I,0)),"")</f>
        <v/>
      </c>
    </row>
    <row r="466" spans="1:5" x14ac:dyDescent="0.25">
      <c r="A466" s="103"/>
      <c r="B466" s="103"/>
      <c r="C466" s="103"/>
      <c r="D466" s="77" t="str">
        <f ca="1">IFERROR(INDEX(Validation!G:G,MATCH("Parcels"&amp;CELL("address",D466),Validation!I:I,0)),"")</f>
        <v/>
      </c>
      <c r="E466" s="66" t="str">
        <f ca="1">IFERROR(INDEX(Validation!F:F,MATCH("Parcels"&amp;CELL("address",D466),Validation!I:I,0)),"")</f>
        <v/>
      </c>
    </row>
    <row r="467" spans="1:5" x14ac:dyDescent="0.25">
      <c r="A467" s="103"/>
      <c r="B467" s="103"/>
      <c r="C467" s="103"/>
      <c r="D467" s="77" t="str">
        <f ca="1">IFERROR(INDEX(Validation!G:G,MATCH("Parcels"&amp;CELL("address",D467),Validation!I:I,0)),"")</f>
        <v/>
      </c>
      <c r="E467" s="66" t="str">
        <f ca="1">IFERROR(INDEX(Validation!F:F,MATCH("Parcels"&amp;CELL("address",D467),Validation!I:I,0)),"")</f>
        <v/>
      </c>
    </row>
    <row r="468" spans="1:5" x14ac:dyDescent="0.25">
      <c r="A468" s="103"/>
      <c r="B468" s="103"/>
      <c r="C468" s="103"/>
      <c r="D468" s="77" t="str">
        <f ca="1">IFERROR(INDEX(Validation!G:G,MATCH("Parcels"&amp;CELL("address",D468),Validation!I:I,0)),"")</f>
        <v/>
      </c>
      <c r="E468" s="66" t="str">
        <f ca="1">IFERROR(INDEX(Validation!F:F,MATCH("Parcels"&amp;CELL("address",D468),Validation!I:I,0)),"")</f>
        <v/>
      </c>
    </row>
    <row r="469" spans="1:5" x14ac:dyDescent="0.25">
      <c r="A469" s="103"/>
      <c r="B469" s="103"/>
      <c r="C469" s="103"/>
      <c r="D469" s="77" t="str">
        <f ca="1">IFERROR(INDEX(Validation!G:G,MATCH("Parcels"&amp;CELL("address",D469),Validation!I:I,0)),"")</f>
        <v/>
      </c>
      <c r="E469" s="66" t="str">
        <f ca="1">IFERROR(INDEX(Validation!F:F,MATCH("Parcels"&amp;CELL("address",D469),Validation!I:I,0)),"")</f>
        <v/>
      </c>
    </row>
    <row r="470" spans="1:5" x14ac:dyDescent="0.25">
      <c r="A470" s="103"/>
      <c r="B470" s="103"/>
      <c r="C470" s="103"/>
      <c r="D470" s="77" t="str">
        <f ca="1">IFERROR(INDEX(Validation!G:G,MATCH("Parcels"&amp;CELL("address",D470),Validation!I:I,0)),"")</f>
        <v/>
      </c>
      <c r="E470" s="66" t="str">
        <f ca="1">IFERROR(INDEX(Validation!F:F,MATCH("Parcels"&amp;CELL("address",D470),Validation!I:I,0)),"")</f>
        <v/>
      </c>
    </row>
    <row r="471" spans="1:5" x14ac:dyDescent="0.25">
      <c r="A471" s="103"/>
      <c r="B471" s="103"/>
      <c r="C471" s="103"/>
      <c r="D471" s="77" t="str">
        <f ca="1">IFERROR(INDEX(Validation!G:G,MATCH("Parcels"&amp;CELL("address",D471),Validation!I:I,0)),"")</f>
        <v/>
      </c>
      <c r="E471" s="66" t="str">
        <f ca="1">IFERROR(INDEX(Validation!F:F,MATCH("Parcels"&amp;CELL("address",D471),Validation!I:I,0)),"")</f>
        <v/>
      </c>
    </row>
    <row r="472" spans="1:5" x14ac:dyDescent="0.25">
      <c r="A472" s="103"/>
      <c r="B472" s="103"/>
      <c r="C472" s="103"/>
      <c r="D472" s="77" t="str">
        <f ca="1">IFERROR(INDEX(Validation!G:G,MATCH("Parcels"&amp;CELL("address",D472),Validation!I:I,0)),"")</f>
        <v/>
      </c>
      <c r="E472" s="66" t="str">
        <f ca="1">IFERROR(INDEX(Validation!F:F,MATCH("Parcels"&amp;CELL("address",D472),Validation!I:I,0)),"")</f>
        <v/>
      </c>
    </row>
    <row r="473" spans="1:5" x14ac:dyDescent="0.25">
      <c r="A473" s="103"/>
      <c r="B473" s="103"/>
      <c r="C473" s="103"/>
      <c r="D473" s="77" t="str">
        <f ca="1">IFERROR(INDEX(Validation!G:G,MATCH("Parcels"&amp;CELL("address",D473),Validation!I:I,0)),"")</f>
        <v/>
      </c>
      <c r="E473" s="66" t="str">
        <f ca="1">IFERROR(INDEX(Validation!F:F,MATCH("Parcels"&amp;CELL("address",D473),Validation!I:I,0)),"")</f>
        <v/>
      </c>
    </row>
    <row r="474" spans="1:5" x14ac:dyDescent="0.25">
      <c r="A474" s="103"/>
      <c r="B474" s="103"/>
      <c r="C474" s="103"/>
      <c r="D474" s="77" t="str">
        <f ca="1">IFERROR(INDEX(Validation!G:G,MATCH("Parcels"&amp;CELL("address",D474),Validation!I:I,0)),"")</f>
        <v/>
      </c>
      <c r="E474" s="66" t="str">
        <f ca="1">IFERROR(INDEX(Validation!F:F,MATCH("Parcels"&amp;CELL("address",D474),Validation!I:I,0)),"")</f>
        <v/>
      </c>
    </row>
    <row r="475" spans="1:5" x14ac:dyDescent="0.25">
      <c r="A475" s="103"/>
      <c r="B475" s="103"/>
      <c r="C475" s="103"/>
      <c r="D475" s="77" t="str">
        <f ca="1">IFERROR(INDEX(Validation!G:G,MATCH("Parcels"&amp;CELL("address",D475),Validation!I:I,0)),"")</f>
        <v/>
      </c>
      <c r="E475" s="66" t="str">
        <f ca="1">IFERROR(INDEX(Validation!F:F,MATCH("Parcels"&amp;CELL("address",D475),Validation!I:I,0)),"")</f>
        <v/>
      </c>
    </row>
    <row r="476" spans="1:5" x14ac:dyDescent="0.25">
      <c r="A476" s="103"/>
      <c r="B476" s="103"/>
      <c r="C476" s="103"/>
      <c r="D476" s="77" t="str">
        <f ca="1">IFERROR(INDEX(Validation!G:G,MATCH("Parcels"&amp;CELL("address",D476),Validation!I:I,0)),"")</f>
        <v/>
      </c>
      <c r="E476" s="66" t="str">
        <f ca="1">IFERROR(INDEX(Validation!F:F,MATCH("Parcels"&amp;CELL("address",D476),Validation!I:I,0)),"")</f>
        <v/>
      </c>
    </row>
    <row r="477" spans="1:5" x14ac:dyDescent="0.25">
      <c r="A477" s="103"/>
      <c r="B477" s="103"/>
      <c r="C477" s="103"/>
      <c r="D477" s="77" t="str">
        <f ca="1">IFERROR(INDEX(Validation!G:G,MATCH("Parcels"&amp;CELL("address",D477),Validation!I:I,0)),"")</f>
        <v/>
      </c>
      <c r="E477" s="66" t="str">
        <f ca="1">IFERROR(INDEX(Validation!F:F,MATCH("Parcels"&amp;CELL("address",D477),Validation!I:I,0)),"")</f>
        <v/>
      </c>
    </row>
    <row r="478" spans="1:5" x14ac:dyDescent="0.25">
      <c r="A478" s="103"/>
      <c r="B478" s="103"/>
      <c r="C478" s="103"/>
      <c r="D478" s="77" t="str">
        <f ca="1">IFERROR(INDEX(Validation!G:G,MATCH("Parcels"&amp;CELL("address",D478),Validation!I:I,0)),"")</f>
        <v/>
      </c>
      <c r="E478" s="66" t="str">
        <f ca="1">IFERROR(INDEX(Validation!F:F,MATCH("Parcels"&amp;CELL("address",D478),Validation!I:I,0)),"")</f>
        <v/>
      </c>
    </row>
    <row r="479" spans="1:5" x14ac:dyDescent="0.25">
      <c r="A479" s="103"/>
      <c r="B479" s="103"/>
      <c r="C479" s="103"/>
      <c r="D479" s="77" t="str">
        <f ca="1">IFERROR(INDEX(Validation!G:G,MATCH("Parcels"&amp;CELL("address",D479),Validation!I:I,0)),"")</f>
        <v/>
      </c>
      <c r="E479" s="66" t="str">
        <f ca="1">IFERROR(INDEX(Validation!F:F,MATCH("Parcels"&amp;CELL("address",D479),Validation!I:I,0)),"")</f>
        <v/>
      </c>
    </row>
    <row r="480" spans="1:5" x14ac:dyDescent="0.25">
      <c r="A480" s="103"/>
      <c r="B480" s="103"/>
      <c r="C480" s="103"/>
      <c r="D480" s="77" t="str">
        <f ca="1">IFERROR(INDEX(Validation!G:G,MATCH("Parcels"&amp;CELL("address",D480),Validation!I:I,0)),"")</f>
        <v/>
      </c>
      <c r="E480" s="66" t="str">
        <f ca="1">IFERROR(INDEX(Validation!F:F,MATCH("Parcels"&amp;CELL("address",D480),Validation!I:I,0)),"")</f>
        <v/>
      </c>
    </row>
    <row r="481" spans="1:5" x14ac:dyDescent="0.25">
      <c r="A481" s="103"/>
      <c r="B481" s="103"/>
      <c r="C481" s="103"/>
      <c r="D481" s="77" t="str">
        <f ca="1">IFERROR(INDEX(Validation!G:G,MATCH("Parcels"&amp;CELL("address",D481),Validation!I:I,0)),"")</f>
        <v/>
      </c>
      <c r="E481" s="66" t="str">
        <f ca="1">IFERROR(INDEX(Validation!F:F,MATCH("Parcels"&amp;CELL("address",D481),Validation!I:I,0)),"")</f>
        <v/>
      </c>
    </row>
    <row r="482" spans="1:5" x14ac:dyDescent="0.25">
      <c r="A482" s="103"/>
      <c r="B482" s="103"/>
      <c r="C482" s="103"/>
      <c r="D482" s="77" t="str">
        <f ca="1">IFERROR(INDEX(Validation!G:G,MATCH("Parcels"&amp;CELL("address",D482),Validation!I:I,0)),"")</f>
        <v/>
      </c>
      <c r="E482" s="66" t="str">
        <f ca="1">IFERROR(INDEX(Validation!F:F,MATCH("Parcels"&amp;CELL("address",D482),Validation!I:I,0)),"")</f>
        <v/>
      </c>
    </row>
    <row r="483" spans="1:5" x14ac:dyDescent="0.25">
      <c r="A483" s="103"/>
      <c r="B483" s="103"/>
      <c r="C483" s="103"/>
      <c r="D483" s="77" t="str">
        <f ca="1">IFERROR(INDEX(Validation!G:G,MATCH("Parcels"&amp;CELL("address",D483),Validation!I:I,0)),"")</f>
        <v/>
      </c>
      <c r="E483" s="66" t="str">
        <f ca="1">IFERROR(INDEX(Validation!F:F,MATCH("Parcels"&amp;CELL("address",D483),Validation!I:I,0)),"")</f>
        <v/>
      </c>
    </row>
    <row r="484" spans="1:5" x14ac:dyDescent="0.25">
      <c r="A484" s="103"/>
      <c r="B484" s="103"/>
      <c r="C484" s="103"/>
      <c r="D484" s="77" t="str">
        <f ca="1">IFERROR(INDEX(Validation!G:G,MATCH("Parcels"&amp;CELL("address",D484),Validation!I:I,0)),"")</f>
        <v/>
      </c>
      <c r="E484" s="66" t="str">
        <f ca="1">IFERROR(INDEX(Validation!F:F,MATCH("Parcels"&amp;CELL("address",D484),Validation!I:I,0)),"")</f>
        <v/>
      </c>
    </row>
    <row r="485" spans="1:5" x14ac:dyDescent="0.25">
      <c r="A485" s="103"/>
      <c r="B485" s="103"/>
      <c r="C485" s="103"/>
      <c r="D485" s="77" t="str">
        <f ca="1">IFERROR(INDEX(Validation!G:G,MATCH("Parcels"&amp;CELL("address",D485),Validation!I:I,0)),"")</f>
        <v/>
      </c>
      <c r="E485" s="66" t="str">
        <f ca="1">IFERROR(INDEX(Validation!F:F,MATCH("Parcels"&amp;CELL("address",D485),Validation!I:I,0)),"")</f>
        <v/>
      </c>
    </row>
    <row r="486" spans="1:5" x14ac:dyDescent="0.25">
      <c r="A486" s="103"/>
      <c r="B486" s="103"/>
      <c r="C486" s="103"/>
      <c r="D486" s="77" t="str">
        <f ca="1">IFERROR(INDEX(Validation!G:G,MATCH("Parcels"&amp;CELL("address",D486),Validation!I:I,0)),"")</f>
        <v/>
      </c>
      <c r="E486" s="66" t="str">
        <f ca="1">IFERROR(INDEX(Validation!F:F,MATCH("Parcels"&amp;CELL("address",D486),Validation!I:I,0)),"")</f>
        <v/>
      </c>
    </row>
    <row r="487" spans="1:5" x14ac:dyDescent="0.25">
      <c r="A487" s="103"/>
      <c r="B487" s="103"/>
      <c r="C487" s="103"/>
      <c r="D487" s="77" t="str">
        <f ca="1">IFERROR(INDEX(Validation!G:G,MATCH("Parcels"&amp;CELL("address",D487),Validation!I:I,0)),"")</f>
        <v/>
      </c>
      <c r="E487" s="66" t="str">
        <f ca="1">IFERROR(INDEX(Validation!F:F,MATCH("Parcels"&amp;CELL("address",D487),Validation!I:I,0)),"")</f>
        <v/>
      </c>
    </row>
    <row r="488" spans="1:5" x14ac:dyDescent="0.25">
      <c r="A488" s="103"/>
      <c r="B488" s="103"/>
      <c r="C488" s="103"/>
      <c r="D488" s="77" t="str">
        <f ca="1">IFERROR(INDEX(Validation!G:G,MATCH("Parcels"&amp;CELL("address",D488),Validation!I:I,0)),"")</f>
        <v/>
      </c>
      <c r="E488" s="66" t="str">
        <f ca="1">IFERROR(INDEX(Validation!F:F,MATCH("Parcels"&amp;CELL("address",D488),Validation!I:I,0)),"")</f>
        <v/>
      </c>
    </row>
    <row r="489" spans="1:5" x14ac:dyDescent="0.25">
      <c r="A489" s="103"/>
      <c r="B489" s="103"/>
      <c r="C489" s="103"/>
      <c r="D489" s="77" t="str">
        <f ca="1">IFERROR(INDEX(Validation!G:G,MATCH("Parcels"&amp;CELL("address",D489),Validation!I:I,0)),"")</f>
        <v/>
      </c>
      <c r="E489" s="66" t="str">
        <f ca="1">IFERROR(INDEX(Validation!F:F,MATCH("Parcels"&amp;CELL("address",D489),Validation!I:I,0)),"")</f>
        <v/>
      </c>
    </row>
    <row r="490" spans="1:5" x14ac:dyDescent="0.25">
      <c r="A490" s="103"/>
      <c r="B490" s="103"/>
      <c r="C490" s="103"/>
      <c r="D490" s="77" t="str">
        <f ca="1">IFERROR(INDEX(Validation!G:G,MATCH("Parcels"&amp;CELL("address",D490),Validation!I:I,0)),"")</f>
        <v/>
      </c>
      <c r="E490" s="66" t="str">
        <f ca="1">IFERROR(INDEX(Validation!F:F,MATCH("Parcels"&amp;CELL("address",D490),Validation!I:I,0)),"")</f>
        <v/>
      </c>
    </row>
    <row r="491" spans="1:5" x14ac:dyDescent="0.25">
      <c r="A491" s="103"/>
      <c r="B491" s="103"/>
      <c r="C491" s="103"/>
      <c r="D491" s="77" t="str">
        <f ca="1">IFERROR(INDEX(Validation!G:G,MATCH("Parcels"&amp;CELL("address",D491),Validation!I:I,0)),"")</f>
        <v/>
      </c>
      <c r="E491" s="66" t="str">
        <f ca="1">IFERROR(INDEX(Validation!F:F,MATCH("Parcels"&amp;CELL("address",D491),Validation!I:I,0)),"")</f>
        <v/>
      </c>
    </row>
    <row r="492" spans="1:5" x14ac:dyDescent="0.25">
      <c r="A492" s="103"/>
      <c r="B492" s="103"/>
      <c r="C492" s="103"/>
      <c r="D492" s="77" t="str">
        <f ca="1">IFERROR(INDEX(Validation!G:G,MATCH("Parcels"&amp;CELL("address",D492),Validation!I:I,0)),"")</f>
        <v/>
      </c>
      <c r="E492" s="66" t="str">
        <f ca="1">IFERROR(INDEX(Validation!F:F,MATCH("Parcels"&amp;CELL("address",D492),Validation!I:I,0)),"")</f>
        <v/>
      </c>
    </row>
    <row r="493" spans="1:5" x14ac:dyDescent="0.25">
      <c r="A493" s="103"/>
      <c r="B493" s="103"/>
      <c r="C493" s="103"/>
      <c r="D493" s="77" t="str">
        <f ca="1">IFERROR(INDEX(Validation!G:G,MATCH("Parcels"&amp;CELL("address",D493),Validation!I:I,0)),"")</f>
        <v/>
      </c>
      <c r="E493" s="66" t="str">
        <f ca="1">IFERROR(INDEX(Validation!F:F,MATCH("Parcels"&amp;CELL("address",D493),Validation!I:I,0)),"")</f>
        <v/>
      </c>
    </row>
    <row r="494" spans="1:5" x14ac:dyDescent="0.25">
      <c r="A494" s="103"/>
      <c r="B494" s="103"/>
      <c r="C494" s="103"/>
      <c r="D494" s="77" t="str">
        <f ca="1">IFERROR(INDEX(Validation!G:G,MATCH("Parcels"&amp;CELL("address",D494),Validation!I:I,0)),"")</f>
        <v/>
      </c>
      <c r="E494" s="66" t="str">
        <f ca="1">IFERROR(INDEX(Validation!F:F,MATCH("Parcels"&amp;CELL("address",D494),Validation!I:I,0)),"")</f>
        <v/>
      </c>
    </row>
    <row r="495" spans="1:5" x14ac:dyDescent="0.25">
      <c r="A495" s="103"/>
      <c r="B495" s="103"/>
      <c r="C495" s="103"/>
      <c r="D495" s="77" t="str">
        <f ca="1">IFERROR(INDEX(Validation!G:G,MATCH("Parcels"&amp;CELL("address",D495),Validation!I:I,0)),"")</f>
        <v/>
      </c>
      <c r="E495" s="66" t="str">
        <f ca="1">IFERROR(INDEX(Validation!F:F,MATCH("Parcels"&amp;CELL("address",D495),Validation!I:I,0)),"")</f>
        <v/>
      </c>
    </row>
    <row r="496" spans="1:5" x14ac:dyDescent="0.25">
      <c r="A496" s="103"/>
      <c r="B496" s="103"/>
      <c r="C496" s="103"/>
      <c r="D496" s="77" t="str">
        <f ca="1">IFERROR(INDEX(Validation!G:G,MATCH("Parcels"&amp;CELL("address",D496),Validation!I:I,0)),"")</f>
        <v/>
      </c>
      <c r="E496" s="66" t="str">
        <f ca="1">IFERROR(INDEX(Validation!F:F,MATCH("Parcels"&amp;CELL("address",D496),Validation!I:I,0)),"")</f>
        <v/>
      </c>
    </row>
    <row r="497" spans="1:5" x14ac:dyDescent="0.25">
      <c r="A497" s="103"/>
      <c r="B497" s="103"/>
      <c r="C497" s="103"/>
      <c r="D497" s="77" t="str">
        <f ca="1">IFERROR(INDEX(Validation!G:G,MATCH("Parcels"&amp;CELL("address",D497),Validation!I:I,0)),"")</f>
        <v/>
      </c>
      <c r="E497" s="66" t="str">
        <f ca="1">IFERROR(INDEX(Validation!F:F,MATCH("Parcels"&amp;CELL("address",D497),Validation!I:I,0)),"")</f>
        <v/>
      </c>
    </row>
    <row r="498" spans="1:5" x14ac:dyDescent="0.25">
      <c r="A498" s="103"/>
      <c r="B498" s="103"/>
      <c r="C498" s="103"/>
      <c r="D498" s="77" t="str">
        <f ca="1">IFERROR(INDEX(Validation!G:G,MATCH("Parcels"&amp;CELL("address",D498),Validation!I:I,0)),"")</f>
        <v/>
      </c>
      <c r="E498" s="66" t="str">
        <f ca="1">IFERROR(INDEX(Validation!F:F,MATCH("Parcels"&amp;CELL("address",D498),Validation!I:I,0)),"")</f>
        <v/>
      </c>
    </row>
    <row r="499" spans="1:5" x14ac:dyDescent="0.25">
      <c r="A499" s="103"/>
      <c r="B499" s="103"/>
      <c r="C499" s="103"/>
      <c r="D499" s="77" t="str">
        <f ca="1">IFERROR(INDEX(Validation!G:G,MATCH("Parcels"&amp;CELL("address",D499),Validation!I:I,0)),"")</f>
        <v/>
      </c>
      <c r="E499" s="66" t="str">
        <f ca="1">IFERROR(INDEX(Validation!F:F,MATCH("Parcels"&amp;CELL("address",D499),Validation!I:I,0)),"")</f>
        <v/>
      </c>
    </row>
    <row r="500" spans="1:5" x14ac:dyDescent="0.25">
      <c r="A500" s="103"/>
      <c r="B500" s="103"/>
      <c r="C500" s="103"/>
      <c r="D500" s="77" t="str">
        <f ca="1">IFERROR(INDEX(Validation!G:G,MATCH("Parcels"&amp;CELL("address",D500),Validation!I:I,0)),"")</f>
        <v/>
      </c>
      <c r="E500" s="66" t="str">
        <f ca="1">IFERROR(INDEX(Validation!F:F,MATCH("Parcels"&amp;CELL("address",D500),Validation!I:I,0)),"")</f>
        <v/>
      </c>
    </row>
    <row r="501" spans="1:5" x14ac:dyDescent="0.25">
      <c r="A501" s="103"/>
      <c r="B501" s="103"/>
      <c r="C501" s="103"/>
      <c r="D501" s="77" t="str">
        <f ca="1">IFERROR(INDEX(Validation!G:G,MATCH("Parcels"&amp;CELL("address",D501),Validation!I:I,0)),"")</f>
        <v/>
      </c>
      <c r="E501" s="66" t="str">
        <f ca="1">IFERROR(INDEX(Validation!F:F,MATCH("Parcels"&amp;CELL("address",D501),Validation!I:I,0)),"")</f>
        <v/>
      </c>
    </row>
    <row r="502" spans="1:5" x14ac:dyDescent="0.25">
      <c r="A502" s="103"/>
      <c r="B502" s="103"/>
      <c r="C502" s="103"/>
      <c r="D502" s="77" t="str">
        <f ca="1">IFERROR(INDEX(Validation!G:G,MATCH("Parcels"&amp;CELL("address",D502),Validation!I:I,0)),"")</f>
        <v/>
      </c>
      <c r="E502" s="66" t="str">
        <f ca="1">IFERROR(INDEX(Validation!F:F,MATCH("Parcels"&amp;CELL("address",D502),Validation!I:I,0)),"")</f>
        <v/>
      </c>
    </row>
    <row r="503" spans="1:5" x14ac:dyDescent="0.25">
      <c r="A503" s="103"/>
      <c r="B503" s="103"/>
      <c r="C503" s="103"/>
      <c r="D503" s="77" t="str">
        <f ca="1">IFERROR(INDEX(Validation!G:G,MATCH("Parcels"&amp;CELL("address",D503),Validation!I:I,0)),"")</f>
        <v/>
      </c>
      <c r="E503" s="66" t="str">
        <f ca="1">IFERROR(INDEX(Validation!F:F,MATCH("Parcels"&amp;CELL("address",D503),Validation!I:I,0)),"")</f>
        <v/>
      </c>
    </row>
    <row r="504" spans="1:5" x14ac:dyDescent="0.25">
      <c r="A504" s="103"/>
      <c r="B504" s="103"/>
      <c r="C504" s="103"/>
      <c r="D504" s="77" t="str">
        <f ca="1">IFERROR(INDEX(Validation!G:G,MATCH("Parcels"&amp;CELL("address",D504),Validation!I:I,0)),"")</f>
        <v/>
      </c>
      <c r="E504" s="66" t="str">
        <f ca="1">IFERROR(INDEX(Validation!F:F,MATCH("Parcels"&amp;CELL("address",D504),Validation!I:I,0)),"")</f>
        <v/>
      </c>
    </row>
    <row r="505" spans="1:5" x14ac:dyDescent="0.25">
      <c r="A505" s="103"/>
      <c r="B505" s="103"/>
      <c r="C505" s="103"/>
      <c r="D505" s="77" t="str">
        <f ca="1">IFERROR(INDEX(Validation!G:G,MATCH("Parcels"&amp;CELL("address",D505),Validation!I:I,0)),"")</f>
        <v/>
      </c>
      <c r="E505" s="66" t="str">
        <f ca="1">IFERROR(INDEX(Validation!F:F,MATCH("Parcels"&amp;CELL("address",D505),Validation!I:I,0)),"")</f>
        <v/>
      </c>
    </row>
    <row r="506" spans="1:5" x14ac:dyDescent="0.25">
      <c r="A506" s="103"/>
      <c r="B506" s="103"/>
      <c r="C506" s="103"/>
      <c r="D506" s="77" t="str">
        <f ca="1">IFERROR(INDEX(Validation!G:G,MATCH("Parcels"&amp;CELL("address",D506),Validation!I:I,0)),"")</f>
        <v/>
      </c>
      <c r="E506" s="66" t="str">
        <f ca="1">IFERROR(INDEX(Validation!F:F,MATCH("Parcels"&amp;CELL("address",D506),Validation!I:I,0)),"")</f>
        <v/>
      </c>
    </row>
    <row r="507" spans="1:5" x14ac:dyDescent="0.25">
      <c r="A507" s="103"/>
      <c r="B507" s="103"/>
      <c r="C507" s="103"/>
      <c r="D507" s="77" t="str">
        <f ca="1">IFERROR(INDEX(Validation!G:G,MATCH("Parcels"&amp;CELL("address",D507),Validation!I:I,0)),"")</f>
        <v/>
      </c>
      <c r="E507" s="66" t="str">
        <f ca="1">IFERROR(INDEX(Validation!F:F,MATCH("Parcels"&amp;CELL("address",D507),Validation!I:I,0)),"")</f>
        <v/>
      </c>
    </row>
    <row r="508" spans="1:5" x14ac:dyDescent="0.25">
      <c r="A508" s="103"/>
      <c r="B508" s="103"/>
      <c r="C508" s="103"/>
      <c r="D508" s="77" t="str">
        <f ca="1">IFERROR(INDEX(Validation!G:G,MATCH("Parcels"&amp;CELL("address",D508),Validation!I:I,0)),"")</f>
        <v/>
      </c>
      <c r="E508" s="66" t="str">
        <f ca="1">IFERROR(INDEX(Validation!F:F,MATCH("Parcels"&amp;CELL("address",D508),Validation!I:I,0)),"")</f>
        <v/>
      </c>
    </row>
    <row r="509" spans="1:5" x14ac:dyDescent="0.25">
      <c r="A509" s="103"/>
      <c r="B509" s="103"/>
      <c r="C509" s="103"/>
      <c r="D509" s="77" t="str">
        <f ca="1">IFERROR(INDEX(Validation!G:G,MATCH("Parcels"&amp;CELL("address",D509),Validation!I:I,0)),"")</f>
        <v/>
      </c>
      <c r="E509" s="66" t="str">
        <f ca="1">IFERROR(INDEX(Validation!F:F,MATCH("Parcels"&amp;CELL("address",D509),Validation!I:I,0)),"")</f>
        <v/>
      </c>
    </row>
    <row r="510" spans="1:5" x14ac:dyDescent="0.25">
      <c r="A510" s="103"/>
      <c r="B510" s="103"/>
      <c r="C510" s="103"/>
      <c r="D510" s="77" t="str">
        <f ca="1">IFERROR(INDEX(Validation!G:G,MATCH("Parcels"&amp;CELL("address",D510),Validation!I:I,0)),"")</f>
        <v/>
      </c>
      <c r="E510" s="66" t="str">
        <f ca="1">IFERROR(INDEX(Validation!F:F,MATCH("Parcels"&amp;CELL("address",D510),Validation!I:I,0)),"")</f>
        <v/>
      </c>
    </row>
    <row r="511" spans="1:5" x14ac:dyDescent="0.25">
      <c r="A511" s="103"/>
      <c r="B511" s="103"/>
      <c r="C511" s="103"/>
      <c r="D511" s="77" t="str">
        <f ca="1">IFERROR(INDEX(Validation!G:G,MATCH("Parcels"&amp;CELL("address",D511),Validation!I:I,0)),"")</f>
        <v/>
      </c>
      <c r="E511" s="66" t="str">
        <f ca="1">IFERROR(INDEX(Validation!F:F,MATCH("Parcels"&amp;CELL("address",D511),Validation!I:I,0)),"")</f>
        <v/>
      </c>
    </row>
    <row r="512" spans="1:5" x14ac:dyDescent="0.25">
      <c r="A512" s="103"/>
      <c r="B512" s="103"/>
      <c r="C512" s="103"/>
      <c r="D512" s="77" t="str">
        <f ca="1">IFERROR(INDEX(Validation!G:G,MATCH("Parcels"&amp;CELL("address",D512),Validation!I:I,0)),"")</f>
        <v/>
      </c>
      <c r="E512" s="66" t="str">
        <f ca="1">IFERROR(INDEX(Validation!F:F,MATCH("Parcels"&amp;CELL("address",D512),Validation!I:I,0)),"")</f>
        <v/>
      </c>
    </row>
    <row r="513" spans="1:5" x14ac:dyDescent="0.25">
      <c r="A513" s="103"/>
      <c r="B513" s="103"/>
      <c r="C513" s="103"/>
      <c r="D513" s="77" t="str">
        <f ca="1">IFERROR(INDEX(Validation!G:G,MATCH("Parcels"&amp;CELL("address",D513),Validation!I:I,0)),"")</f>
        <v/>
      </c>
      <c r="E513" s="66" t="str">
        <f ca="1">IFERROR(INDEX(Validation!F:F,MATCH("Parcels"&amp;CELL("address",D513),Validation!I:I,0)),"")</f>
        <v/>
      </c>
    </row>
    <row r="514" spans="1:5" x14ac:dyDescent="0.25">
      <c r="A514" s="103"/>
      <c r="B514" s="103"/>
      <c r="C514" s="103"/>
      <c r="D514" s="77" t="str">
        <f ca="1">IFERROR(INDEX(Validation!G:G,MATCH("Parcels"&amp;CELL("address",D514),Validation!I:I,0)),"")</f>
        <v/>
      </c>
      <c r="E514" s="66" t="str">
        <f ca="1">IFERROR(INDEX(Validation!F:F,MATCH("Parcels"&amp;CELL("address",D514),Validation!I:I,0)),"")</f>
        <v/>
      </c>
    </row>
    <row r="515" spans="1:5" x14ac:dyDescent="0.25">
      <c r="A515" s="103"/>
      <c r="B515" s="103"/>
      <c r="C515" s="103"/>
      <c r="D515" s="77" t="str">
        <f ca="1">IFERROR(INDEX(Validation!G:G,MATCH("Parcels"&amp;CELL("address",D515),Validation!I:I,0)),"")</f>
        <v/>
      </c>
      <c r="E515" s="66" t="str">
        <f ca="1">IFERROR(INDEX(Validation!F:F,MATCH("Parcels"&amp;CELL("address",D515),Validation!I:I,0)),"")</f>
        <v/>
      </c>
    </row>
    <row r="516" spans="1:5" x14ac:dyDescent="0.25">
      <c r="A516" s="103"/>
      <c r="B516" s="103"/>
      <c r="C516" s="103"/>
      <c r="D516" s="77" t="str">
        <f ca="1">IFERROR(INDEX(Validation!G:G,MATCH("Parcels"&amp;CELL("address",D516),Validation!I:I,0)),"")</f>
        <v/>
      </c>
      <c r="E516" s="66" t="str">
        <f ca="1">IFERROR(INDEX(Validation!F:F,MATCH("Parcels"&amp;CELL("address",D516),Validation!I:I,0)),"")</f>
        <v/>
      </c>
    </row>
    <row r="517" spans="1:5" x14ac:dyDescent="0.25">
      <c r="A517" s="103"/>
      <c r="B517" s="103"/>
      <c r="C517" s="103"/>
      <c r="D517" s="77" t="str">
        <f ca="1">IFERROR(INDEX(Validation!G:G,MATCH("Parcels"&amp;CELL("address",D517),Validation!I:I,0)),"")</f>
        <v/>
      </c>
      <c r="E517" s="66" t="str">
        <f ca="1">IFERROR(INDEX(Validation!F:F,MATCH("Parcels"&amp;CELL("address",D517),Validation!I:I,0)),"")</f>
        <v/>
      </c>
    </row>
    <row r="518" spans="1:5" x14ac:dyDescent="0.25">
      <c r="A518" s="103"/>
      <c r="B518" s="103"/>
      <c r="C518" s="103"/>
      <c r="D518" s="77" t="str">
        <f ca="1">IFERROR(INDEX(Validation!G:G,MATCH("Parcels"&amp;CELL("address",D518),Validation!I:I,0)),"")</f>
        <v/>
      </c>
      <c r="E518" s="66" t="str">
        <f ca="1">IFERROR(INDEX(Validation!F:F,MATCH("Parcels"&amp;CELL("address",D518),Validation!I:I,0)),"")</f>
        <v/>
      </c>
    </row>
    <row r="519" spans="1:5" x14ac:dyDescent="0.25">
      <c r="A519" s="103"/>
      <c r="B519" s="103"/>
      <c r="C519" s="103"/>
      <c r="D519" s="77" t="str">
        <f ca="1">IFERROR(INDEX(Validation!G:G,MATCH("Parcels"&amp;CELL("address",D519),Validation!I:I,0)),"")</f>
        <v/>
      </c>
      <c r="E519" s="66" t="str">
        <f ca="1">IFERROR(INDEX(Validation!F:F,MATCH("Parcels"&amp;CELL("address",D519),Validation!I:I,0)),"")</f>
        <v/>
      </c>
    </row>
    <row r="520" spans="1:5" x14ac:dyDescent="0.25">
      <c r="A520" s="103"/>
      <c r="B520" s="103"/>
      <c r="C520" s="103"/>
      <c r="D520" s="77" t="str">
        <f ca="1">IFERROR(INDEX(Validation!G:G,MATCH("Parcels"&amp;CELL("address",D520),Validation!I:I,0)),"")</f>
        <v/>
      </c>
      <c r="E520" s="66" t="str">
        <f ca="1">IFERROR(INDEX(Validation!F:F,MATCH("Parcels"&amp;CELL("address",D520),Validation!I:I,0)),"")</f>
        <v/>
      </c>
    </row>
    <row r="521" spans="1:5" x14ac:dyDescent="0.25">
      <c r="A521" s="103"/>
      <c r="B521" s="103"/>
      <c r="C521" s="103"/>
      <c r="D521" s="77" t="str">
        <f ca="1">IFERROR(INDEX(Validation!G:G,MATCH("Parcels"&amp;CELL("address",D521),Validation!I:I,0)),"")</f>
        <v/>
      </c>
      <c r="E521" s="66" t="str">
        <f ca="1">IFERROR(INDEX(Validation!F:F,MATCH("Parcels"&amp;CELL("address",D521),Validation!I:I,0)),"")</f>
        <v/>
      </c>
    </row>
    <row r="522" spans="1:5" x14ac:dyDescent="0.25">
      <c r="A522" s="103"/>
      <c r="B522" s="103"/>
      <c r="C522" s="103"/>
      <c r="D522" s="77" t="str">
        <f ca="1">IFERROR(INDEX(Validation!G:G,MATCH("Parcels"&amp;CELL("address",D522),Validation!I:I,0)),"")</f>
        <v/>
      </c>
      <c r="E522" s="66" t="str">
        <f ca="1">IFERROR(INDEX(Validation!F:F,MATCH("Parcels"&amp;CELL("address",D522),Validation!I:I,0)),"")</f>
        <v/>
      </c>
    </row>
    <row r="523" spans="1:5" x14ac:dyDescent="0.25">
      <c r="A523" s="103"/>
      <c r="B523" s="103"/>
      <c r="C523" s="103"/>
      <c r="D523" s="77" t="str">
        <f ca="1">IFERROR(INDEX(Validation!G:G,MATCH("Parcels"&amp;CELL("address",D523),Validation!I:I,0)),"")</f>
        <v/>
      </c>
      <c r="E523" s="66" t="str">
        <f ca="1">IFERROR(INDEX(Validation!F:F,MATCH("Parcels"&amp;CELL("address",D523),Validation!I:I,0)),"")</f>
        <v/>
      </c>
    </row>
    <row r="524" spans="1:5" x14ac:dyDescent="0.25">
      <c r="A524" s="103"/>
      <c r="B524" s="103"/>
      <c r="C524" s="103"/>
      <c r="D524" s="77" t="str">
        <f ca="1">IFERROR(INDEX(Validation!G:G,MATCH("Parcels"&amp;CELL("address",D524),Validation!I:I,0)),"")</f>
        <v/>
      </c>
      <c r="E524" s="66" t="str">
        <f ca="1">IFERROR(INDEX(Validation!F:F,MATCH("Parcels"&amp;CELL("address",D524),Validation!I:I,0)),"")</f>
        <v/>
      </c>
    </row>
    <row r="525" spans="1:5" x14ac:dyDescent="0.25">
      <c r="A525" s="103"/>
      <c r="B525" s="103"/>
      <c r="C525" s="103"/>
      <c r="D525" s="77" t="str">
        <f ca="1">IFERROR(INDEX(Validation!G:G,MATCH("Parcels"&amp;CELL("address",D525),Validation!I:I,0)),"")</f>
        <v/>
      </c>
      <c r="E525" s="66" t="str">
        <f ca="1">IFERROR(INDEX(Validation!F:F,MATCH("Parcels"&amp;CELL("address",D525),Validation!I:I,0)),"")</f>
        <v/>
      </c>
    </row>
    <row r="526" spans="1:5" x14ac:dyDescent="0.25">
      <c r="A526" s="103"/>
      <c r="B526" s="103"/>
      <c r="C526" s="103"/>
      <c r="D526" s="77" t="str">
        <f ca="1">IFERROR(INDEX(Validation!G:G,MATCH("Parcels"&amp;CELL("address",D526),Validation!I:I,0)),"")</f>
        <v/>
      </c>
      <c r="E526" s="66" t="str">
        <f ca="1">IFERROR(INDEX(Validation!F:F,MATCH("Parcels"&amp;CELL("address",D526),Validation!I:I,0)),"")</f>
        <v/>
      </c>
    </row>
    <row r="527" spans="1:5" x14ac:dyDescent="0.25">
      <c r="A527" s="103"/>
      <c r="B527" s="103"/>
      <c r="C527" s="103"/>
      <c r="D527" s="77" t="str">
        <f ca="1">IFERROR(INDEX(Validation!G:G,MATCH("Parcels"&amp;CELL("address",D527),Validation!I:I,0)),"")</f>
        <v/>
      </c>
      <c r="E527" s="66" t="str">
        <f ca="1">IFERROR(INDEX(Validation!F:F,MATCH("Parcels"&amp;CELL("address",D527),Validation!I:I,0)),"")</f>
        <v/>
      </c>
    </row>
    <row r="528" spans="1:5" x14ac:dyDescent="0.25">
      <c r="A528" s="103"/>
      <c r="B528" s="103"/>
      <c r="C528" s="103"/>
      <c r="D528" s="77" t="str">
        <f ca="1">IFERROR(INDEX(Validation!G:G,MATCH("Parcels"&amp;CELL("address",D528),Validation!I:I,0)),"")</f>
        <v/>
      </c>
      <c r="E528" s="66" t="str">
        <f ca="1">IFERROR(INDEX(Validation!F:F,MATCH("Parcels"&amp;CELL("address",D528),Validation!I:I,0)),"")</f>
        <v/>
      </c>
    </row>
    <row r="529" spans="1:5" x14ac:dyDescent="0.25">
      <c r="A529" s="103"/>
      <c r="B529" s="103"/>
      <c r="C529" s="103"/>
      <c r="D529" s="77" t="str">
        <f ca="1">IFERROR(INDEX(Validation!G:G,MATCH("Parcels"&amp;CELL("address",D529),Validation!I:I,0)),"")</f>
        <v/>
      </c>
      <c r="E529" s="66" t="str">
        <f ca="1">IFERROR(INDEX(Validation!F:F,MATCH("Parcels"&amp;CELL("address",D529),Validation!I:I,0)),"")</f>
        <v/>
      </c>
    </row>
    <row r="530" spans="1:5" x14ac:dyDescent="0.25">
      <c r="A530" s="103"/>
      <c r="B530" s="103"/>
      <c r="C530" s="103"/>
      <c r="D530" s="77" t="str">
        <f ca="1">IFERROR(INDEX(Validation!G:G,MATCH("Parcels"&amp;CELL("address",D530),Validation!I:I,0)),"")</f>
        <v/>
      </c>
      <c r="E530" s="66" t="str">
        <f ca="1">IFERROR(INDEX(Validation!F:F,MATCH("Parcels"&amp;CELL("address",D530),Validation!I:I,0)),"")</f>
        <v/>
      </c>
    </row>
    <row r="531" spans="1:5" x14ac:dyDescent="0.25">
      <c r="A531" s="103"/>
      <c r="B531" s="103"/>
      <c r="C531" s="103"/>
      <c r="D531" s="77" t="str">
        <f ca="1">IFERROR(INDEX(Validation!G:G,MATCH("Parcels"&amp;CELL("address",D531),Validation!I:I,0)),"")</f>
        <v/>
      </c>
      <c r="E531" s="66" t="str">
        <f ca="1">IFERROR(INDEX(Validation!F:F,MATCH("Parcels"&amp;CELL("address",D531),Validation!I:I,0)),"")</f>
        <v/>
      </c>
    </row>
    <row r="532" spans="1:5" x14ac:dyDescent="0.25">
      <c r="A532" s="103"/>
      <c r="B532" s="103"/>
      <c r="C532" s="103"/>
      <c r="D532" s="77" t="str">
        <f ca="1">IFERROR(INDEX(Validation!G:G,MATCH("Parcels"&amp;CELL("address",D532),Validation!I:I,0)),"")</f>
        <v/>
      </c>
      <c r="E532" s="66" t="str">
        <f ca="1">IFERROR(INDEX(Validation!F:F,MATCH("Parcels"&amp;CELL("address",D532),Validation!I:I,0)),"")</f>
        <v/>
      </c>
    </row>
    <row r="533" spans="1:5" x14ac:dyDescent="0.25">
      <c r="A533" s="103"/>
      <c r="B533" s="103"/>
      <c r="C533" s="103"/>
      <c r="D533" s="77" t="str">
        <f ca="1">IFERROR(INDEX(Validation!G:G,MATCH("Parcels"&amp;CELL("address",D533),Validation!I:I,0)),"")</f>
        <v/>
      </c>
      <c r="E533" s="66" t="str">
        <f ca="1">IFERROR(INDEX(Validation!F:F,MATCH("Parcels"&amp;CELL("address",D533),Validation!I:I,0)),"")</f>
        <v/>
      </c>
    </row>
    <row r="534" spans="1:5" x14ac:dyDescent="0.25">
      <c r="A534" s="103"/>
      <c r="B534" s="103"/>
      <c r="C534" s="103"/>
      <c r="D534" s="77" t="str">
        <f ca="1">IFERROR(INDEX(Validation!G:G,MATCH("Parcels"&amp;CELL("address",D534),Validation!I:I,0)),"")</f>
        <v/>
      </c>
      <c r="E534" s="66" t="str">
        <f ca="1">IFERROR(INDEX(Validation!F:F,MATCH("Parcels"&amp;CELL("address",D534),Validation!I:I,0)),"")</f>
        <v/>
      </c>
    </row>
    <row r="535" spans="1:5" x14ac:dyDescent="0.25">
      <c r="A535" s="103"/>
      <c r="B535" s="103"/>
      <c r="C535" s="103"/>
      <c r="D535" s="77" t="str">
        <f ca="1">IFERROR(INDEX(Validation!G:G,MATCH("Parcels"&amp;CELL("address",D535),Validation!I:I,0)),"")</f>
        <v/>
      </c>
      <c r="E535" s="66" t="str">
        <f ca="1">IFERROR(INDEX(Validation!F:F,MATCH("Parcels"&amp;CELL("address",D535),Validation!I:I,0)),"")</f>
        <v/>
      </c>
    </row>
    <row r="536" spans="1:5" x14ac:dyDescent="0.25">
      <c r="A536" s="103"/>
      <c r="B536" s="103"/>
      <c r="C536" s="103"/>
      <c r="D536" s="77" t="str">
        <f ca="1">IFERROR(INDEX(Validation!G:G,MATCH("Parcels"&amp;CELL("address",D536),Validation!I:I,0)),"")</f>
        <v/>
      </c>
      <c r="E536" s="66" t="str">
        <f ca="1">IFERROR(INDEX(Validation!F:F,MATCH("Parcels"&amp;CELL("address",D536),Validation!I:I,0)),"")</f>
        <v/>
      </c>
    </row>
    <row r="537" spans="1:5" x14ac:dyDescent="0.25">
      <c r="A537" s="103"/>
      <c r="B537" s="103"/>
      <c r="C537" s="103"/>
      <c r="D537" s="77" t="str">
        <f ca="1">IFERROR(INDEX(Validation!G:G,MATCH("Parcels"&amp;CELL("address",D537),Validation!I:I,0)),"")</f>
        <v/>
      </c>
      <c r="E537" s="66" t="str">
        <f ca="1">IFERROR(INDEX(Validation!F:F,MATCH("Parcels"&amp;CELL("address",D537),Validation!I:I,0)),"")</f>
        <v/>
      </c>
    </row>
    <row r="538" spans="1:5" x14ac:dyDescent="0.25">
      <c r="A538" s="103"/>
      <c r="B538" s="103"/>
      <c r="C538" s="103"/>
      <c r="D538" s="77" t="str">
        <f ca="1">IFERROR(INDEX(Validation!G:G,MATCH("Parcels"&amp;CELL("address",D538),Validation!I:I,0)),"")</f>
        <v/>
      </c>
      <c r="E538" s="66" t="str">
        <f ca="1">IFERROR(INDEX(Validation!F:F,MATCH("Parcels"&amp;CELL("address",D538),Validation!I:I,0)),"")</f>
        <v/>
      </c>
    </row>
    <row r="539" spans="1:5" x14ac:dyDescent="0.25">
      <c r="A539" s="103"/>
      <c r="B539" s="103"/>
      <c r="C539" s="103"/>
      <c r="D539" s="77" t="str">
        <f ca="1">IFERROR(INDEX(Validation!G:G,MATCH("Parcels"&amp;CELL("address",D539),Validation!I:I,0)),"")</f>
        <v/>
      </c>
      <c r="E539" s="66" t="str">
        <f ca="1">IFERROR(INDEX(Validation!F:F,MATCH("Parcels"&amp;CELL("address",D539),Validation!I:I,0)),"")</f>
        <v/>
      </c>
    </row>
    <row r="540" spans="1:5" x14ac:dyDescent="0.25">
      <c r="A540" s="103"/>
      <c r="B540" s="103"/>
      <c r="C540" s="103"/>
      <c r="D540" s="77" t="str">
        <f ca="1">IFERROR(INDEX(Validation!G:G,MATCH("Parcels"&amp;CELL("address",D540),Validation!I:I,0)),"")</f>
        <v/>
      </c>
      <c r="E540" s="66" t="str">
        <f ca="1">IFERROR(INDEX(Validation!F:F,MATCH("Parcels"&amp;CELL("address",D540),Validation!I:I,0)),"")</f>
        <v/>
      </c>
    </row>
    <row r="541" spans="1:5" x14ac:dyDescent="0.25">
      <c r="A541" s="103"/>
      <c r="B541" s="103"/>
      <c r="C541" s="103"/>
      <c r="D541" s="77" t="str">
        <f ca="1">IFERROR(INDEX(Validation!G:G,MATCH("Parcels"&amp;CELL("address",D541),Validation!I:I,0)),"")</f>
        <v/>
      </c>
      <c r="E541" s="66" t="str">
        <f ca="1">IFERROR(INDEX(Validation!F:F,MATCH("Parcels"&amp;CELL("address",D541),Validation!I:I,0)),"")</f>
        <v/>
      </c>
    </row>
    <row r="542" spans="1:5" x14ac:dyDescent="0.25">
      <c r="A542" s="103"/>
      <c r="B542" s="103"/>
      <c r="C542" s="103"/>
      <c r="D542" s="77" t="str">
        <f ca="1">IFERROR(INDEX(Validation!G:G,MATCH("Parcels"&amp;CELL("address",D542),Validation!I:I,0)),"")</f>
        <v/>
      </c>
      <c r="E542" s="66" t="str">
        <f ca="1">IFERROR(INDEX(Validation!F:F,MATCH("Parcels"&amp;CELL("address",D542),Validation!I:I,0)),"")</f>
        <v/>
      </c>
    </row>
    <row r="543" spans="1:5" x14ac:dyDescent="0.25">
      <c r="A543" s="103"/>
      <c r="B543" s="103"/>
      <c r="C543" s="103"/>
      <c r="D543" s="77" t="str">
        <f ca="1">IFERROR(INDEX(Validation!G:G,MATCH("Parcels"&amp;CELL("address",D543),Validation!I:I,0)),"")</f>
        <v/>
      </c>
      <c r="E543" s="66" t="str">
        <f ca="1">IFERROR(INDEX(Validation!F:F,MATCH("Parcels"&amp;CELL("address",D543),Validation!I:I,0)),"")</f>
        <v/>
      </c>
    </row>
    <row r="544" spans="1:5" x14ac:dyDescent="0.25">
      <c r="A544" s="103"/>
      <c r="B544" s="103"/>
      <c r="C544" s="103"/>
      <c r="D544" s="77" t="str">
        <f ca="1">IFERROR(INDEX(Validation!G:G,MATCH("Parcels"&amp;CELL("address",D544),Validation!I:I,0)),"")</f>
        <v/>
      </c>
      <c r="E544" s="66" t="str">
        <f ca="1">IFERROR(INDEX(Validation!F:F,MATCH("Parcels"&amp;CELL("address",D544),Validation!I:I,0)),"")</f>
        <v/>
      </c>
    </row>
    <row r="545" spans="1:5" x14ac:dyDescent="0.25">
      <c r="A545" s="103"/>
      <c r="B545" s="103"/>
      <c r="C545" s="103"/>
      <c r="D545" s="77" t="str">
        <f ca="1">IFERROR(INDEX(Validation!G:G,MATCH("Parcels"&amp;CELL("address",D545),Validation!I:I,0)),"")</f>
        <v/>
      </c>
      <c r="E545" s="66" t="str">
        <f ca="1">IFERROR(INDEX(Validation!F:F,MATCH("Parcels"&amp;CELL("address",D545),Validation!I:I,0)),"")</f>
        <v/>
      </c>
    </row>
    <row r="546" spans="1:5" x14ac:dyDescent="0.25">
      <c r="A546" s="103"/>
      <c r="B546" s="103"/>
      <c r="C546" s="103"/>
      <c r="D546" s="77" t="str">
        <f ca="1">IFERROR(INDEX(Validation!G:G,MATCH("Parcels"&amp;CELL("address",D546),Validation!I:I,0)),"")</f>
        <v/>
      </c>
      <c r="E546" s="66" t="str">
        <f ca="1">IFERROR(INDEX(Validation!F:F,MATCH("Parcels"&amp;CELL("address",D546),Validation!I:I,0)),"")</f>
        <v/>
      </c>
    </row>
    <row r="547" spans="1:5" x14ac:dyDescent="0.25">
      <c r="A547" s="103"/>
      <c r="B547" s="103"/>
      <c r="C547" s="103"/>
      <c r="D547" s="77" t="str">
        <f ca="1">IFERROR(INDEX(Validation!G:G,MATCH("Parcels"&amp;CELL("address",D547),Validation!I:I,0)),"")</f>
        <v/>
      </c>
      <c r="E547" s="66" t="str">
        <f ca="1">IFERROR(INDEX(Validation!F:F,MATCH("Parcels"&amp;CELL("address",D547),Validation!I:I,0)),"")</f>
        <v/>
      </c>
    </row>
    <row r="548" spans="1:5" x14ac:dyDescent="0.25">
      <c r="A548" s="103"/>
      <c r="B548" s="103"/>
      <c r="C548" s="103"/>
      <c r="D548" s="77" t="str">
        <f ca="1">IFERROR(INDEX(Validation!G:G,MATCH("Parcels"&amp;CELL("address",D548),Validation!I:I,0)),"")</f>
        <v/>
      </c>
      <c r="E548" s="66" t="str">
        <f ca="1">IFERROR(INDEX(Validation!F:F,MATCH("Parcels"&amp;CELL("address",D548),Validation!I:I,0)),"")</f>
        <v/>
      </c>
    </row>
    <row r="549" spans="1:5" x14ac:dyDescent="0.25">
      <c r="A549" s="103"/>
      <c r="B549" s="103"/>
      <c r="C549" s="103"/>
      <c r="D549" s="77" t="str">
        <f ca="1">IFERROR(INDEX(Validation!G:G,MATCH("Parcels"&amp;CELL("address",D549),Validation!I:I,0)),"")</f>
        <v/>
      </c>
      <c r="E549" s="66" t="str">
        <f ca="1">IFERROR(INDEX(Validation!F:F,MATCH("Parcels"&amp;CELL("address",D549),Validation!I:I,0)),"")</f>
        <v/>
      </c>
    </row>
    <row r="550" spans="1:5" x14ac:dyDescent="0.25">
      <c r="A550" s="103"/>
      <c r="B550" s="103"/>
      <c r="C550" s="103"/>
      <c r="D550" s="77" t="str">
        <f ca="1">IFERROR(INDEX(Validation!G:G,MATCH("Parcels"&amp;CELL("address",D550),Validation!I:I,0)),"")</f>
        <v/>
      </c>
      <c r="E550" s="66" t="str">
        <f ca="1">IFERROR(INDEX(Validation!F:F,MATCH("Parcels"&amp;CELL("address",D550),Validation!I:I,0)),"")</f>
        <v/>
      </c>
    </row>
    <row r="551" spans="1:5" x14ac:dyDescent="0.25">
      <c r="A551" s="103"/>
      <c r="B551" s="103"/>
      <c r="C551" s="103"/>
      <c r="D551" s="77" t="str">
        <f ca="1">IFERROR(INDEX(Validation!G:G,MATCH("Parcels"&amp;CELL("address",D551),Validation!I:I,0)),"")</f>
        <v/>
      </c>
      <c r="E551" s="66" t="str">
        <f ca="1">IFERROR(INDEX(Validation!F:F,MATCH("Parcels"&amp;CELL("address",D551),Validation!I:I,0)),"")</f>
        <v/>
      </c>
    </row>
    <row r="552" spans="1:5" x14ac:dyDescent="0.25">
      <c r="A552" s="103"/>
      <c r="B552" s="103"/>
      <c r="C552" s="103"/>
      <c r="D552" s="77" t="str">
        <f ca="1">IFERROR(INDEX(Validation!G:G,MATCH("Parcels"&amp;CELL("address",D552),Validation!I:I,0)),"")</f>
        <v/>
      </c>
      <c r="E552" s="66" t="str">
        <f ca="1">IFERROR(INDEX(Validation!F:F,MATCH("Parcels"&amp;CELL("address",D552),Validation!I:I,0)),"")</f>
        <v/>
      </c>
    </row>
    <row r="553" spans="1:5" x14ac:dyDescent="0.25">
      <c r="A553" s="103"/>
      <c r="B553" s="103"/>
      <c r="C553" s="103"/>
      <c r="D553" s="77" t="str">
        <f ca="1">IFERROR(INDEX(Validation!G:G,MATCH("Parcels"&amp;CELL("address",D553),Validation!I:I,0)),"")</f>
        <v/>
      </c>
      <c r="E553" s="66" t="str">
        <f ca="1">IFERROR(INDEX(Validation!F:F,MATCH("Parcels"&amp;CELL("address",D553),Validation!I:I,0)),"")</f>
        <v/>
      </c>
    </row>
    <row r="554" spans="1:5" x14ac:dyDescent="0.25">
      <c r="A554" s="103"/>
      <c r="B554" s="103"/>
      <c r="C554" s="103"/>
      <c r="D554" s="77" t="str">
        <f ca="1">IFERROR(INDEX(Validation!G:G,MATCH("Parcels"&amp;CELL("address",D554),Validation!I:I,0)),"")</f>
        <v/>
      </c>
      <c r="E554" s="66" t="str">
        <f ca="1">IFERROR(INDEX(Validation!F:F,MATCH("Parcels"&amp;CELL("address",D554),Validation!I:I,0)),"")</f>
        <v/>
      </c>
    </row>
    <row r="555" spans="1:5" x14ac:dyDescent="0.25">
      <c r="A555" s="103"/>
      <c r="B555" s="103"/>
      <c r="C555" s="103"/>
      <c r="D555" s="77" t="str">
        <f ca="1">IFERROR(INDEX(Validation!G:G,MATCH("Parcels"&amp;CELL("address",D555),Validation!I:I,0)),"")</f>
        <v/>
      </c>
      <c r="E555" s="66" t="str">
        <f ca="1">IFERROR(INDEX(Validation!F:F,MATCH("Parcels"&amp;CELL("address",D555),Validation!I:I,0)),"")</f>
        <v/>
      </c>
    </row>
    <row r="556" spans="1:5" x14ac:dyDescent="0.25">
      <c r="A556" s="103"/>
      <c r="B556" s="103"/>
      <c r="C556" s="103"/>
      <c r="D556" s="77" t="str">
        <f ca="1">IFERROR(INDEX(Validation!G:G,MATCH("Parcels"&amp;CELL("address",D556),Validation!I:I,0)),"")</f>
        <v/>
      </c>
      <c r="E556" s="66" t="str">
        <f ca="1">IFERROR(INDEX(Validation!F:F,MATCH("Parcels"&amp;CELL("address",D556),Validation!I:I,0)),"")</f>
        <v/>
      </c>
    </row>
    <row r="557" spans="1:5" x14ac:dyDescent="0.25">
      <c r="A557" s="103"/>
      <c r="B557" s="103"/>
      <c r="C557" s="103"/>
      <c r="D557" s="77" t="str">
        <f ca="1">IFERROR(INDEX(Validation!G:G,MATCH("Parcels"&amp;CELL("address",D557),Validation!I:I,0)),"")</f>
        <v/>
      </c>
      <c r="E557" s="66" t="str">
        <f ca="1">IFERROR(INDEX(Validation!F:F,MATCH("Parcels"&amp;CELL("address",D557),Validation!I:I,0)),"")</f>
        <v/>
      </c>
    </row>
    <row r="558" spans="1:5" x14ac:dyDescent="0.25">
      <c r="A558" s="103"/>
      <c r="B558" s="103"/>
      <c r="C558" s="103"/>
      <c r="D558" s="77" t="str">
        <f ca="1">IFERROR(INDEX(Validation!G:G,MATCH("Parcels"&amp;CELL("address",D558),Validation!I:I,0)),"")</f>
        <v/>
      </c>
      <c r="E558" s="66" t="str">
        <f ca="1">IFERROR(INDEX(Validation!F:F,MATCH("Parcels"&amp;CELL("address",D558),Validation!I:I,0)),"")</f>
        <v/>
      </c>
    </row>
    <row r="559" spans="1:5" x14ac:dyDescent="0.25">
      <c r="A559" s="103"/>
      <c r="B559" s="103"/>
      <c r="C559" s="103"/>
      <c r="D559" s="77" t="str">
        <f ca="1">IFERROR(INDEX(Validation!G:G,MATCH("Parcels"&amp;CELL("address",D559),Validation!I:I,0)),"")</f>
        <v/>
      </c>
      <c r="E559" s="66" t="str">
        <f ca="1">IFERROR(INDEX(Validation!F:F,MATCH("Parcels"&amp;CELL("address",D559),Validation!I:I,0)),"")</f>
        <v/>
      </c>
    </row>
    <row r="560" spans="1:5" x14ac:dyDescent="0.25">
      <c r="A560" s="103"/>
      <c r="B560" s="103"/>
      <c r="C560" s="103"/>
      <c r="D560" s="77" t="str">
        <f ca="1">IFERROR(INDEX(Validation!G:G,MATCH("Parcels"&amp;CELL("address",D560),Validation!I:I,0)),"")</f>
        <v/>
      </c>
      <c r="E560" s="66" t="str">
        <f ca="1">IFERROR(INDEX(Validation!F:F,MATCH("Parcels"&amp;CELL("address",D560),Validation!I:I,0)),"")</f>
        <v/>
      </c>
    </row>
    <row r="561" spans="1:5" x14ac:dyDescent="0.25">
      <c r="A561" s="103"/>
      <c r="B561" s="103"/>
      <c r="C561" s="103"/>
      <c r="D561" s="77" t="str">
        <f ca="1">IFERROR(INDEX(Validation!G:G,MATCH("Parcels"&amp;CELL("address",D561),Validation!I:I,0)),"")</f>
        <v/>
      </c>
      <c r="E561" s="66" t="str">
        <f ca="1">IFERROR(INDEX(Validation!F:F,MATCH("Parcels"&amp;CELL("address",D561),Validation!I:I,0)),"")</f>
        <v/>
      </c>
    </row>
    <row r="562" spans="1:5" x14ac:dyDescent="0.25">
      <c r="A562" s="103"/>
      <c r="B562" s="103"/>
      <c r="C562" s="103"/>
      <c r="D562" s="77" t="str">
        <f ca="1">IFERROR(INDEX(Validation!G:G,MATCH("Parcels"&amp;CELL("address",D562),Validation!I:I,0)),"")</f>
        <v/>
      </c>
      <c r="E562" s="66" t="str">
        <f ca="1">IFERROR(INDEX(Validation!F:F,MATCH("Parcels"&amp;CELL("address",D562),Validation!I:I,0)),"")</f>
        <v/>
      </c>
    </row>
    <row r="563" spans="1:5" x14ac:dyDescent="0.25">
      <c r="A563" s="103"/>
      <c r="B563" s="103"/>
      <c r="C563" s="103"/>
      <c r="D563" s="77" t="str">
        <f ca="1">IFERROR(INDEX(Validation!G:G,MATCH("Parcels"&amp;CELL("address",D563),Validation!I:I,0)),"")</f>
        <v/>
      </c>
      <c r="E563" s="66" t="str">
        <f ca="1">IFERROR(INDEX(Validation!F:F,MATCH("Parcels"&amp;CELL("address",D563),Validation!I:I,0)),"")</f>
        <v/>
      </c>
    </row>
    <row r="564" spans="1:5" x14ac:dyDescent="0.25">
      <c r="A564" s="103"/>
      <c r="B564" s="103"/>
      <c r="C564" s="103"/>
      <c r="D564" s="77" t="str">
        <f ca="1">IFERROR(INDEX(Validation!G:G,MATCH("Parcels"&amp;CELL("address",D564),Validation!I:I,0)),"")</f>
        <v/>
      </c>
      <c r="E564" s="66" t="str">
        <f ca="1">IFERROR(INDEX(Validation!F:F,MATCH("Parcels"&amp;CELL("address",D564),Validation!I:I,0)),"")</f>
        <v/>
      </c>
    </row>
    <row r="565" spans="1:5" x14ac:dyDescent="0.25">
      <c r="A565" s="103"/>
      <c r="B565" s="103"/>
      <c r="C565" s="103"/>
      <c r="D565" s="77" t="str">
        <f ca="1">IFERROR(INDEX(Validation!G:G,MATCH("Parcels"&amp;CELL("address",D565),Validation!I:I,0)),"")</f>
        <v/>
      </c>
      <c r="E565" s="66" t="str">
        <f ca="1">IFERROR(INDEX(Validation!F:F,MATCH("Parcels"&amp;CELL("address",D565),Validation!I:I,0)),"")</f>
        <v/>
      </c>
    </row>
    <row r="566" spans="1:5" x14ac:dyDescent="0.25">
      <c r="A566" s="103"/>
      <c r="B566" s="103"/>
      <c r="C566" s="103"/>
      <c r="D566" s="77" t="str">
        <f ca="1">IFERROR(INDEX(Validation!G:G,MATCH("Parcels"&amp;CELL("address",D566),Validation!I:I,0)),"")</f>
        <v/>
      </c>
      <c r="E566" s="66" t="str">
        <f ca="1">IFERROR(INDEX(Validation!F:F,MATCH("Parcels"&amp;CELL("address",D566),Validation!I:I,0)),"")</f>
        <v/>
      </c>
    </row>
    <row r="567" spans="1:5" x14ac:dyDescent="0.25">
      <c r="A567" s="103"/>
      <c r="B567" s="103"/>
      <c r="C567" s="103"/>
      <c r="D567" s="77" t="str">
        <f ca="1">IFERROR(INDEX(Validation!G:G,MATCH("Parcels"&amp;CELL("address",D567),Validation!I:I,0)),"")</f>
        <v/>
      </c>
      <c r="E567" s="66" t="str">
        <f ca="1">IFERROR(INDEX(Validation!F:F,MATCH("Parcels"&amp;CELL("address",D567),Validation!I:I,0)),"")</f>
        <v/>
      </c>
    </row>
    <row r="568" spans="1:5" x14ac:dyDescent="0.25">
      <c r="A568" s="103"/>
      <c r="B568" s="103"/>
      <c r="C568" s="103"/>
      <c r="D568" s="77" t="str">
        <f ca="1">IFERROR(INDEX(Validation!G:G,MATCH("Parcels"&amp;CELL("address",D568),Validation!I:I,0)),"")</f>
        <v/>
      </c>
      <c r="E568" s="66" t="str">
        <f ca="1">IFERROR(INDEX(Validation!F:F,MATCH("Parcels"&amp;CELL("address",D568),Validation!I:I,0)),"")</f>
        <v/>
      </c>
    </row>
    <row r="569" spans="1:5" x14ac:dyDescent="0.25">
      <c r="A569" s="103"/>
      <c r="B569" s="103"/>
      <c r="C569" s="103"/>
      <c r="D569" s="77" t="str">
        <f ca="1">IFERROR(INDEX(Validation!G:G,MATCH("Parcels"&amp;CELL("address",D569),Validation!I:I,0)),"")</f>
        <v/>
      </c>
      <c r="E569" s="66" t="str">
        <f ca="1">IFERROR(INDEX(Validation!F:F,MATCH("Parcels"&amp;CELL("address",D569),Validation!I:I,0)),"")</f>
        <v/>
      </c>
    </row>
    <row r="570" spans="1:5" x14ac:dyDescent="0.25">
      <c r="A570" s="103"/>
      <c r="B570" s="103"/>
      <c r="C570" s="103"/>
      <c r="D570" s="77" t="str">
        <f ca="1">IFERROR(INDEX(Validation!G:G,MATCH("Parcels"&amp;CELL("address",D570),Validation!I:I,0)),"")</f>
        <v/>
      </c>
      <c r="E570" s="66" t="str">
        <f ca="1">IFERROR(INDEX(Validation!F:F,MATCH("Parcels"&amp;CELL("address",D570),Validation!I:I,0)),"")</f>
        <v/>
      </c>
    </row>
    <row r="571" spans="1:5" x14ac:dyDescent="0.25">
      <c r="A571" s="103"/>
      <c r="B571" s="103"/>
      <c r="C571" s="103"/>
      <c r="D571" s="77" t="str">
        <f ca="1">IFERROR(INDEX(Validation!G:G,MATCH("Parcels"&amp;CELL("address",D571),Validation!I:I,0)),"")</f>
        <v/>
      </c>
      <c r="E571" s="66" t="str">
        <f ca="1">IFERROR(INDEX(Validation!F:F,MATCH("Parcels"&amp;CELL("address",D571),Validation!I:I,0)),"")</f>
        <v/>
      </c>
    </row>
    <row r="572" spans="1:5" x14ac:dyDescent="0.25">
      <c r="A572" s="103"/>
      <c r="B572" s="103"/>
      <c r="C572" s="103"/>
      <c r="D572" s="77" t="str">
        <f ca="1">IFERROR(INDEX(Validation!G:G,MATCH("Parcels"&amp;CELL("address",D572),Validation!I:I,0)),"")</f>
        <v/>
      </c>
      <c r="E572" s="66" t="str">
        <f ca="1">IFERROR(INDEX(Validation!F:F,MATCH("Parcels"&amp;CELL("address",D572),Validation!I:I,0)),"")</f>
        <v/>
      </c>
    </row>
    <row r="573" spans="1:5" x14ac:dyDescent="0.25">
      <c r="A573" s="103"/>
      <c r="B573" s="103"/>
      <c r="C573" s="103"/>
      <c r="D573" s="77" t="str">
        <f ca="1">IFERROR(INDEX(Validation!G:G,MATCH("Parcels"&amp;CELL("address",D573),Validation!I:I,0)),"")</f>
        <v/>
      </c>
      <c r="E573" s="66" t="str">
        <f ca="1">IFERROR(INDEX(Validation!F:F,MATCH("Parcels"&amp;CELL("address",D573),Validation!I:I,0)),"")</f>
        <v/>
      </c>
    </row>
    <row r="574" spans="1:5" x14ac:dyDescent="0.25">
      <c r="A574" s="103"/>
      <c r="B574" s="103"/>
      <c r="C574" s="103"/>
      <c r="D574" s="77" t="str">
        <f ca="1">IFERROR(INDEX(Validation!G:G,MATCH("Parcels"&amp;CELL("address",D574),Validation!I:I,0)),"")</f>
        <v/>
      </c>
      <c r="E574" s="66" t="str">
        <f ca="1">IFERROR(INDEX(Validation!F:F,MATCH("Parcels"&amp;CELL("address",D574),Validation!I:I,0)),"")</f>
        <v/>
      </c>
    </row>
    <row r="575" spans="1:5" x14ac:dyDescent="0.25">
      <c r="A575" s="103"/>
      <c r="B575" s="103"/>
      <c r="C575" s="103"/>
      <c r="D575" s="77" t="str">
        <f ca="1">IFERROR(INDEX(Validation!G:G,MATCH("Parcels"&amp;CELL("address",D575),Validation!I:I,0)),"")</f>
        <v/>
      </c>
      <c r="E575" s="66" t="str">
        <f ca="1">IFERROR(INDEX(Validation!F:F,MATCH("Parcels"&amp;CELL("address",D575),Validation!I:I,0)),"")</f>
        <v/>
      </c>
    </row>
    <row r="576" spans="1:5" x14ac:dyDescent="0.25">
      <c r="A576" s="103"/>
      <c r="B576" s="103"/>
      <c r="C576" s="103"/>
      <c r="D576" s="77" t="str">
        <f ca="1">IFERROR(INDEX(Validation!G:G,MATCH("Parcels"&amp;CELL("address",D576),Validation!I:I,0)),"")</f>
        <v/>
      </c>
      <c r="E576" s="66" t="str">
        <f ca="1">IFERROR(INDEX(Validation!F:F,MATCH("Parcels"&amp;CELL("address",D576),Validation!I:I,0)),"")</f>
        <v/>
      </c>
    </row>
    <row r="577" spans="1:5" x14ac:dyDescent="0.25">
      <c r="A577" s="103"/>
      <c r="B577" s="103"/>
      <c r="C577" s="103"/>
      <c r="D577" s="77" t="str">
        <f ca="1">IFERROR(INDEX(Validation!G:G,MATCH("Parcels"&amp;CELL("address",D577),Validation!I:I,0)),"")</f>
        <v/>
      </c>
      <c r="E577" s="66" t="str">
        <f ca="1">IFERROR(INDEX(Validation!F:F,MATCH("Parcels"&amp;CELL("address",D577),Validation!I:I,0)),"")</f>
        <v/>
      </c>
    </row>
    <row r="578" spans="1:5" x14ac:dyDescent="0.25">
      <c r="A578" s="103"/>
      <c r="B578" s="103"/>
      <c r="C578" s="103"/>
      <c r="D578" s="77" t="str">
        <f ca="1">IFERROR(INDEX(Validation!G:G,MATCH("Parcels"&amp;CELL("address",D578),Validation!I:I,0)),"")</f>
        <v/>
      </c>
      <c r="E578" s="66" t="str">
        <f ca="1">IFERROR(INDEX(Validation!F:F,MATCH("Parcels"&amp;CELL("address",D578),Validation!I:I,0)),"")</f>
        <v/>
      </c>
    </row>
    <row r="579" spans="1:5" x14ac:dyDescent="0.25">
      <c r="A579" s="103"/>
      <c r="B579" s="103"/>
      <c r="C579" s="103"/>
      <c r="D579" s="77" t="str">
        <f ca="1">IFERROR(INDEX(Validation!G:G,MATCH("Parcels"&amp;CELL("address",D579),Validation!I:I,0)),"")</f>
        <v/>
      </c>
      <c r="E579" s="66" t="str">
        <f ca="1">IFERROR(INDEX(Validation!F:F,MATCH("Parcels"&amp;CELL("address",D579),Validation!I:I,0)),"")</f>
        <v/>
      </c>
    </row>
    <row r="580" spans="1:5" x14ac:dyDescent="0.25">
      <c r="A580" s="103"/>
      <c r="B580" s="103"/>
      <c r="C580" s="103"/>
      <c r="D580" s="77" t="str">
        <f ca="1">IFERROR(INDEX(Validation!G:G,MATCH("Parcels"&amp;CELL("address",D580),Validation!I:I,0)),"")</f>
        <v/>
      </c>
      <c r="E580" s="66" t="str">
        <f ca="1">IFERROR(INDEX(Validation!F:F,MATCH("Parcels"&amp;CELL("address",D580),Validation!I:I,0)),"")</f>
        <v/>
      </c>
    </row>
    <row r="581" spans="1:5" x14ac:dyDescent="0.25">
      <c r="A581" s="103"/>
      <c r="B581" s="103"/>
      <c r="C581" s="103"/>
      <c r="D581" s="77" t="str">
        <f ca="1">IFERROR(INDEX(Validation!G:G,MATCH("Parcels"&amp;CELL("address",D581),Validation!I:I,0)),"")</f>
        <v/>
      </c>
      <c r="E581" s="66" t="str">
        <f ca="1">IFERROR(INDEX(Validation!F:F,MATCH("Parcels"&amp;CELL("address",D581),Validation!I:I,0)),"")</f>
        <v/>
      </c>
    </row>
    <row r="582" spans="1:5" x14ac:dyDescent="0.25">
      <c r="A582" s="103"/>
      <c r="B582" s="103"/>
      <c r="C582" s="103"/>
      <c r="D582" s="77" t="str">
        <f ca="1">IFERROR(INDEX(Validation!G:G,MATCH("Parcels"&amp;CELL("address",D582),Validation!I:I,0)),"")</f>
        <v/>
      </c>
      <c r="E582" s="66" t="str">
        <f ca="1">IFERROR(INDEX(Validation!F:F,MATCH("Parcels"&amp;CELL("address",D582),Validation!I:I,0)),"")</f>
        <v/>
      </c>
    </row>
    <row r="583" spans="1:5" x14ac:dyDescent="0.25">
      <c r="A583" s="103"/>
      <c r="B583" s="103"/>
      <c r="C583" s="103"/>
      <c r="D583" s="77" t="str">
        <f ca="1">IFERROR(INDEX(Validation!G:G,MATCH("Parcels"&amp;CELL("address",D583),Validation!I:I,0)),"")</f>
        <v/>
      </c>
      <c r="E583" s="66" t="str">
        <f ca="1">IFERROR(INDEX(Validation!F:F,MATCH("Parcels"&amp;CELL("address",D583),Validation!I:I,0)),"")</f>
        <v/>
      </c>
    </row>
    <row r="584" spans="1:5" x14ac:dyDescent="0.25">
      <c r="A584" s="103"/>
      <c r="B584" s="103"/>
      <c r="C584" s="103"/>
      <c r="D584" s="77" t="str">
        <f ca="1">IFERROR(INDEX(Validation!G:G,MATCH("Parcels"&amp;CELL("address",D584),Validation!I:I,0)),"")</f>
        <v/>
      </c>
      <c r="E584" s="66" t="str">
        <f ca="1">IFERROR(INDEX(Validation!F:F,MATCH("Parcels"&amp;CELL("address",D584),Validation!I:I,0)),"")</f>
        <v/>
      </c>
    </row>
    <row r="585" spans="1:5" x14ac:dyDescent="0.25">
      <c r="A585" s="103"/>
      <c r="B585" s="103"/>
      <c r="C585" s="103"/>
      <c r="D585" s="77" t="str">
        <f ca="1">IFERROR(INDEX(Validation!G:G,MATCH("Parcels"&amp;CELL("address",D585),Validation!I:I,0)),"")</f>
        <v/>
      </c>
      <c r="E585" s="66" t="str">
        <f ca="1">IFERROR(INDEX(Validation!F:F,MATCH("Parcels"&amp;CELL("address",D585),Validation!I:I,0)),"")</f>
        <v/>
      </c>
    </row>
    <row r="586" spans="1:5" x14ac:dyDescent="0.25">
      <c r="A586" s="103"/>
      <c r="B586" s="103"/>
      <c r="C586" s="103"/>
      <c r="D586" s="77" t="str">
        <f ca="1">IFERROR(INDEX(Validation!G:G,MATCH("Parcels"&amp;CELL("address",D586),Validation!I:I,0)),"")</f>
        <v/>
      </c>
      <c r="E586" s="66" t="str">
        <f ca="1">IFERROR(INDEX(Validation!F:F,MATCH("Parcels"&amp;CELL("address",D586),Validation!I:I,0)),"")</f>
        <v/>
      </c>
    </row>
    <row r="587" spans="1:5" x14ac:dyDescent="0.25">
      <c r="A587" s="103"/>
      <c r="B587" s="103"/>
      <c r="C587" s="103"/>
      <c r="D587" s="77" t="str">
        <f ca="1">IFERROR(INDEX(Validation!G:G,MATCH("Parcels"&amp;CELL("address",D587),Validation!I:I,0)),"")</f>
        <v/>
      </c>
      <c r="E587" s="66" t="str">
        <f ca="1">IFERROR(INDEX(Validation!F:F,MATCH("Parcels"&amp;CELL("address",D587),Validation!I:I,0)),"")</f>
        <v/>
      </c>
    </row>
    <row r="588" spans="1:5" x14ac:dyDescent="0.25">
      <c r="A588" s="103"/>
      <c r="B588" s="103"/>
      <c r="C588" s="103"/>
      <c r="D588" s="77" t="str">
        <f ca="1">IFERROR(INDEX(Validation!G:G,MATCH("Parcels"&amp;CELL("address",D588),Validation!I:I,0)),"")</f>
        <v/>
      </c>
      <c r="E588" s="66" t="str">
        <f ca="1">IFERROR(INDEX(Validation!F:F,MATCH("Parcels"&amp;CELL("address",D588),Validation!I:I,0)),"")</f>
        <v/>
      </c>
    </row>
    <row r="589" spans="1:5" x14ac:dyDescent="0.25">
      <c r="A589" s="103"/>
      <c r="B589" s="103"/>
      <c r="C589" s="103"/>
      <c r="D589" s="77" t="str">
        <f ca="1">IFERROR(INDEX(Validation!G:G,MATCH("Parcels"&amp;CELL("address",D589),Validation!I:I,0)),"")</f>
        <v/>
      </c>
      <c r="E589" s="66" t="str">
        <f ca="1">IFERROR(INDEX(Validation!F:F,MATCH("Parcels"&amp;CELL("address",D589),Validation!I:I,0)),"")</f>
        <v/>
      </c>
    </row>
    <row r="590" spans="1:5" x14ac:dyDescent="0.25">
      <c r="A590" s="103"/>
      <c r="B590" s="103"/>
      <c r="C590" s="103"/>
      <c r="D590" s="77" t="str">
        <f ca="1">IFERROR(INDEX(Validation!G:G,MATCH("Parcels"&amp;CELL("address",D590),Validation!I:I,0)),"")</f>
        <v/>
      </c>
      <c r="E590" s="66" t="str">
        <f ca="1">IFERROR(INDEX(Validation!F:F,MATCH("Parcels"&amp;CELL("address",D590),Validation!I:I,0)),"")</f>
        <v/>
      </c>
    </row>
    <row r="591" spans="1:5" x14ac:dyDescent="0.25">
      <c r="A591" s="103"/>
      <c r="B591" s="103"/>
      <c r="C591" s="103"/>
      <c r="D591" s="77" t="str">
        <f ca="1">IFERROR(INDEX(Validation!G:G,MATCH("Parcels"&amp;CELL("address",D591),Validation!I:I,0)),"")</f>
        <v/>
      </c>
      <c r="E591" s="66" t="str">
        <f ca="1">IFERROR(INDEX(Validation!F:F,MATCH("Parcels"&amp;CELL("address",D591),Validation!I:I,0)),"")</f>
        <v/>
      </c>
    </row>
    <row r="592" spans="1:5" x14ac:dyDescent="0.25">
      <c r="A592" s="103"/>
      <c r="B592" s="103"/>
      <c r="C592" s="103"/>
      <c r="D592" s="77" t="str">
        <f ca="1">IFERROR(INDEX(Validation!G:G,MATCH("Parcels"&amp;CELL("address",D592),Validation!I:I,0)),"")</f>
        <v/>
      </c>
      <c r="E592" s="66" t="str">
        <f ca="1">IFERROR(INDEX(Validation!F:F,MATCH("Parcels"&amp;CELL("address",D592),Validation!I:I,0)),"")</f>
        <v/>
      </c>
    </row>
    <row r="593" spans="1:5" x14ac:dyDescent="0.25">
      <c r="A593" s="103"/>
      <c r="B593" s="103"/>
      <c r="C593" s="103"/>
      <c r="D593" s="77" t="str">
        <f ca="1">IFERROR(INDEX(Validation!G:G,MATCH("Parcels"&amp;CELL("address",D593),Validation!I:I,0)),"")</f>
        <v/>
      </c>
      <c r="E593" s="66" t="str">
        <f ca="1">IFERROR(INDEX(Validation!F:F,MATCH("Parcels"&amp;CELL("address",D593),Validation!I:I,0)),"")</f>
        <v/>
      </c>
    </row>
    <row r="594" spans="1:5" x14ac:dyDescent="0.25">
      <c r="A594" s="103"/>
      <c r="B594" s="103"/>
      <c r="C594" s="103"/>
      <c r="D594" s="77" t="str">
        <f ca="1">IFERROR(INDEX(Validation!G:G,MATCH("Parcels"&amp;CELL("address",D594),Validation!I:I,0)),"")</f>
        <v/>
      </c>
      <c r="E594" s="66" t="str">
        <f ca="1">IFERROR(INDEX(Validation!F:F,MATCH("Parcels"&amp;CELL("address",D594),Validation!I:I,0)),"")</f>
        <v/>
      </c>
    </row>
    <row r="595" spans="1:5" x14ac:dyDescent="0.25">
      <c r="A595" s="103"/>
      <c r="B595" s="103"/>
      <c r="C595" s="103"/>
      <c r="D595" s="77" t="str">
        <f ca="1">IFERROR(INDEX(Validation!G:G,MATCH("Parcels"&amp;CELL("address",D595),Validation!I:I,0)),"")</f>
        <v/>
      </c>
      <c r="E595" s="66" t="str">
        <f ca="1">IFERROR(INDEX(Validation!F:F,MATCH("Parcels"&amp;CELL("address",D595),Validation!I:I,0)),"")</f>
        <v/>
      </c>
    </row>
    <row r="596" spans="1:5" x14ac:dyDescent="0.25">
      <c r="A596" s="103"/>
      <c r="B596" s="103"/>
      <c r="C596" s="103"/>
      <c r="D596" s="77" t="str">
        <f ca="1">IFERROR(INDEX(Validation!G:G,MATCH("Parcels"&amp;CELL("address",D596),Validation!I:I,0)),"")</f>
        <v/>
      </c>
      <c r="E596" s="66" t="str">
        <f ca="1">IFERROR(INDEX(Validation!F:F,MATCH("Parcels"&amp;CELL("address",D596),Validation!I:I,0)),"")</f>
        <v/>
      </c>
    </row>
    <row r="597" spans="1:5" x14ac:dyDescent="0.25">
      <c r="A597" s="103"/>
      <c r="B597" s="103"/>
      <c r="C597" s="103"/>
      <c r="D597" s="77" t="str">
        <f ca="1">IFERROR(INDEX(Validation!G:G,MATCH("Parcels"&amp;CELL("address",D597),Validation!I:I,0)),"")</f>
        <v/>
      </c>
      <c r="E597" s="66" t="str">
        <f ca="1">IFERROR(INDEX(Validation!F:F,MATCH("Parcels"&amp;CELL("address",D597),Validation!I:I,0)),"")</f>
        <v/>
      </c>
    </row>
    <row r="598" spans="1:5" x14ac:dyDescent="0.25">
      <c r="A598" s="103"/>
      <c r="B598" s="103"/>
      <c r="C598" s="103"/>
      <c r="D598" s="77" t="str">
        <f ca="1">IFERROR(INDEX(Validation!G:G,MATCH("Parcels"&amp;CELL("address",D598),Validation!I:I,0)),"")</f>
        <v/>
      </c>
      <c r="E598" s="66" t="str">
        <f ca="1">IFERROR(INDEX(Validation!F:F,MATCH("Parcels"&amp;CELL("address",D598),Validation!I:I,0)),"")</f>
        <v/>
      </c>
    </row>
    <row r="599" spans="1:5" x14ac:dyDescent="0.25">
      <c r="A599" s="103"/>
      <c r="B599" s="103"/>
      <c r="C599" s="103"/>
      <c r="D599" s="77" t="str">
        <f ca="1">IFERROR(INDEX(Validation!G:G,MATCH("Parcels"&amp;CELL("address",D599),Validation!I:I,0)),"")</f>
        <v/>
      </c>
      <c r="E599" s="66" t="str">
        <f ca="1">IFERROR(INDEX(Validation!F:F,MATCH("Parcels"&amp;CELL("address",D599),Validation!I:I,0)),"")</f>
        <v/>
      </c>
    </row>
    <row r="600" spans="1:5" x14ac:dyDescent="0.25">
      <c r="A600" s="103"/>
      <c r="B600" s="103"/>
      <c r="C600" s="103"/>
      <c r="D600" s="77" t="str">
        <f ca="1">IFERROR(INDEX(Validation!G:G,MATCH("Parcels"&amp;CELL("address",D600),Validation!I:I,0)),"")</f>
        <v/>
      </c>
      <c r="E600" s="66" t="str">
        <f ca="1">IFERROR(INDEX(Validation!F:F,MATCH("Parcels"&amp;CELL("address",D600),Validation!I:I,0)),"")</f>
        <v/>
      </c>
    </row>
    <row r="601" spans="1:5" x14ac:dyDescent="0.25">
      <c r="A601" s="103"/>
      <c r="B601" s="103"/>
      <c r="C601" s="103"/>
      <c r="D601" s="77" t="str">
        <f ca="1">IFERROR(INDEX(Validation!G:G,MATCH("Parcels"&amp;CELL("address",D601),Validation!I:I,0)),"")</f>
        <v/>
      </c>
      <c r="E601" s="66" t="str">
        <f ca="1">IFERROR(INDEX(Validation!F:F,MATCH("Parcels"&amp;CELL("address",D601),Validation!I:I,0)),"")</f>
        <v/>
      </c>
    </row>
    <row r="602" spans="1:5" x14ac:dyDescent="0.25">
      <c r="A602" s="103"/>
      <c r="B602" s="103"/>
      <c r="C602" s="103"/>
      <c r="D602" s="77" t="str">
        <f ca="1">IFERROR(INDEX(Validation!G:G,MATCH("Parcels"&amp;CELL("address",D602),Validation!I:I,0)),"")</f>
        <v/>
      </c>
      <c r="E602" s="66" t="str">
        <f ca="1">IFERROR(INDEX(Validation!F:F,MATCH("Parcels"&amp;CELL("address",D602),Validation!I:I,0)),"")</f>
        <v/>
      </c>
    </row>
    <row r="603" spans="1:5" x14ac:dyDescent="0.25">
      <c r="A603" s="103"/>
      <c r="B603" s="103"/>
      <c r="C603" s="103"/>
      <c r="D603" s="77" t="str">
        <f ca="1">IFERROR(INDEX(Validation!G:G,MATCH("Parcels"&amp;CELL("address",D603),Validation!I:I,0)),"")</f>
        <v/>
      </c>
      <c r="E603" s="66" t="str">
        <f ca="1">IFERROR(INDEX(Validation!F:F,MATCH("Parcels"&amp;CELL("address",D603),Validation!I:I,0)),"")</f>
        <v/>
      </c>
    </row>
    <row r="604" spans="1:5" x14ac:dyDescent="0.25">
      <c r="A604" s="103"/>
      <c r="B604" s="103"/>
      <c r="C604" s="103"/>
      <c r="D604" s="77" t="str">
        <f ca="1">IFERROR(INDEX(Validation!G:G,MATCH("Parcels"&amp;CELL("address",D604),Validation!I:I,0)),"")</f>
        <v/>
      </c>
      <c r="E604" s="66" t="str">
        <f ca="1">IFERROR(INDEX(Validation!F:F,MATCH("Parcels"&amp;CELL("address",D604),Validation!I:I,0)),"")</f>
        <v/>
      </c>
    </row>
    <row r="605" spans="1:5" x14ac:dyDescent="0.25">
      <c r="A605" s="103"/>
      <c r="B605" s="103"/>
      <c r="C605" s="103"/>
      <c r="D605" s="77" t="str">
        <f ca="1">IFERROR(INDEX(Validation!G:G,MATCH("Parcels"&amp;CELL("address",D605),Validation!I:I,0)),"")</f>
        <v/>
      </c>
      <c r="E605" s="66" t="str">
        <f ca="1">IFERROR(INDEX(Validation!F:F,MATCH("Parcels"&amp;CELL("address",D605),Validation!I:I,0)),"")</f>
        <v/>
      </c>
    </row>
    <row r="606" spans="1:5" x14ac:dyDescent="0.25">
      <c r="A606" s="103"/>
      <c r="B606" s="103"/>
      <c r="C606" s="103"/>
      <c r="D606" s="77" t="str">
        <f ca="1">IFERROR(INDEX(Validation!G:G,MATCH("Parcels"&amp;CELL("address",D606),Validation!I:I,0)),"")</f>
        <v/>
      </c>
      <c r="E606" s="66" t="str">
        <f ca="1">IFERROR(INDEX(Validation!F:F,MATCH("Parcels"&amp;CELL("address",D606),Validation!I:I,0)),"")</f>
        <v/>
      </c>
    </row>
    <row r="607" spans="1:5" x14ac:dyDescent="0.25">
      <c r="A607" s="103"/>
      <c r="B607" s="103"/>
      <c r="C607" s="103"/>
      <c r="D607" s="77" t="str">
        <f ca="1">IFERROR(INDEX(Validation!G:G,MATCH("Parcels"&amp;CELL("address",D607),Validation!I:I,0)),"")</f>
        <v/>
      </c>
      <c r="E607" s="66" t="str">
        <f ca="1">IFERROR(INDEX(Validation!F:F,MATCH("Parcels"&amp;CELL("address",D607),Validation!I:I,0)),"")</f>
        <v/>
      </c>
    </row>
    <row r="608" spans="1:5" x14ac:dyDescent="0.25">
      <c r="A608" s="103"/>
      <c r="B608" s="103"/>
      <c r="C608" s="103"/>
      <c r="D608" s="77" t="str">
        <f ca="1">IFERROR(INDEX(Validation!G:G,MATCH("Parcels"&amp;CELL("address",D608),Validation!I:I,0)),"")</f>
        <v/>
      </c>
      <c r="E608" s="66" t="str">
        <f ca="1">IFERROR(INDEX(Validation!F:F,MATCH("Parcels"&amp;CELL("address",D608),Validation!I:I,0)),"")</f>
        <v/>
      </c>
    </row>
    <row r="609" spans="1:5" x14ac:dyDescent="0.25">
      <c r="A609" s="103"/>
      <c r="B609" s="103"/>
      <c r="C609" s="103"/>
      <c r="D609" s="77" t="str">
        <f ca="1">IFERROR(INDEX(Validation!G:G,MATCH("Parcels"&amp;CELL("address",D609),Validation!I:I,0)),"")</f>
        <v/>
      </c>
      <c r="E609" s="66" t="str">
        <f ca="1">IFERROR(INDEX(Validation!F:F,MATCH("Parcels"&amp;CELL("address",D609),Validation!I:I,0)),"")</f>
        <v/>
      </c>
    </row>
    <row r="610" spans="1:5" x14ac:dyDescent="0.25">
      <c r="A610" s="103"/>
      <c r="B610" s="103"/>
      <c r="C610" s="103"/>
      <c r="D610" s="77" t="str">
        <f ca="1">IFERROR(INDEX(Validation!G:G,MATCH("Parcels"&amp;CELL("address",D610),Validation!I:I,0)),"")</f>
        <v/>
      </c>
      <c r="E610" s="66" t="str">
        <f ca="1">IFERROR(INDEX(Validation!F:F,MATCH("Parcels"&amp;CELL("address",D610),Validation!I:I,0)),"")</f>
        <v/>
      </c>
    </row>
    <row r="611" spans="1:5" x14ac:dyDescent="0.25">
      <c r="A611" s="103"/>
      <c r="B611" s="103"/>
      <c r="C611" s="103"/>
      <c r="D611" s="77" t="str">
        <f ca="1">IFERROR(INDEX(Validation!G:G,MATCH("Parcels"&amp;CELL("address",D611),Validation!I:I,0)),"")</f>
        <v/>
      </c>
      <c r="E611" s="66" t="str">
        <f ca="1">IFERROR(INDEX(Validation!F:F,MATCH("Parcels"&amp;CELL("address",D611),Validation!I:I,0)),"")</f>
        <v/>
      </c>
    </row>
    <row r="612" spans="1:5" x14ac:dyDescent="0.25">
      <c r="A612" s="103"/>
      <c r="B612" s="103"/>
      <c r="C612" s="103"/>
      <c r="D612" s="77" t="str">
        <f ca="1">IFERROR(INDEX(Validation!G:G,MATCH("Parcels"&amp;CELL("address",D612),Validation!I:I,0)),"")</f>
        <v/>
      </c>
      <c r="E612" s="66" t="str">
        <f ca="1">IFERROR(INDEX(Validation!F:F,MATCH("Parcels"&amp;CELL("address",D612),Validation!I:I,0)),"")</f>
        <v/>
      </c>
    </row>
    <row r="613" spans="1:5" x14ac:dyDescent="0.25">
      <c r="A613" s="103"/>
      <c r="B613" s="103"/>
      <c r="C613" s="103"/>
      <c r="D613" s="77" t="str">
        <f ca="1">IFERROR(INDEX(Validation!G:G,MATCH("Parcels"&amp;CELL("address",D613),Validation!I:I,0)),"")</f>
        <v/>
      </c>
      <c r="E613" s="66" t="str">
        <f ca="1">IFERROR(INDEX(Validation!F:F,MATCH("Parcels"&amp;CELL("address",D613),Validation!I:I,0)),"")</f>
        <v/>
      </c>
    </row>
    <row r="614" spans="1:5" x14ac:dyDescent="0.25">
      <c r="A614" s="103"/>
      <c r="B614" s="103"/>
      <c r="C614" s="103"/>
      <c r="D614" s="77" t="str">
        <f ca="1">IFERROR(INDEX(Validation!G:G,MATCH("Parcels"&amp;CELL("address",D614),Validation!I:I,0)),"")</f>
        <v/>
      </c>
      <c r="E614" s="66" t="str">
        <f ca="1">IFERROR(INDEX(Validation!F:F,MATCH("Parcels"&amp;CELL("address",D614),Validation!I:I,0)),"")</f>
        <v/>
      </c>
    </row>
    <row r="615" spans="1:5" x14ac:dyDescent="0.25">
      <c r="A615" s="103"/>
      <c r="B615" s="103"/>
      <c r="C615" s="103"/>
      <c r="D615" s="77" t="str">
        <f ca="1">IFERROR(INDEX(Validation!G:G,MATCH("Parcels"&amp;CELL("address",D615),Validation!I:I,0)),"")</f>
        <v/>
      </c>
      <c r="E615" s="66" t="str">
        <f ca="1">IFERROR(INDEX(Validation!F:F,MATCH("Parcels"&amp;CELL("address",D615),Validation!I:I,0)),"")</f>
        <v/>
      </c>
    </row>
    <row r="616" spans="1:5" x14ac:dyDescent="0.25">
      <c r="A616" s="103"/>
      <c r="B616" s="103"/>
      <c r="C616" s="103"/>
      <c r="D616" s="77" t="str">
        <f ca="1">IFERROR(INDEX(Validation!G:G,MATCH("Parcels"&amp;CELL("address",D616),Validation!I:I,0)),"")</f>
        <v/>
      </c>
      <c r="E616" s="66" t="str">
        <f ca="1">IFERROR(INDEX(Validation!F:F,MATCH("Parcels"&amp;CELL("address",D616),Validation!I:I,0)),"")</f>
        <v/>
      </c>
    </row>
    <row r="617" spans="1:5" x14ac:dyDescent="0.25">
      <c r="A617" s="103"/>
      <c r="B617" s="103"/>
      <c r="C617" s="103"/>
      <c r="D617" s="77" t="str">
        <f ca="1">IFERROR(INDEX(Validation!G:G,MATCH("Parcels"&amp;CELL("address",D617),Validation!I:I,0)),"")</f>
        <v/>
      </c>
      <c r="E617" s="66" t="str">
        <f ca="1">IFERROR(INDEX(Validation!F:F,MATCH("Parcels"&amp;CELL("address",D617),Validation!I:I,0)),"")</f>
        <v/>
      </c>
    </row>
    <row r="618" spans="1:5" x14ac:dyDescent="0.25">
      <c r="A618" s="103"/>
      <c r="B618" s="103"/>
      <c r="C618" s="103"/>
      <c r="D618" s="77" t="str">
        <f ca="1">IFERROR(INDEX(Validation!G:G,MATCH("Parcels"&amp;CELL("address",D618),Validation!I:I,0)),"")</f>
        <v/>
      </c>
      <c r="E618" s="66" t="str">
        <f ca="1">IFERROR(INDEX(Validation!F:F,MATCH("Parcels"&amp;CELL("address",D618),Validation!I:I,0)),"")</f>
        <v/>
      </c>
    </row>
    <row r="619" spans="1:5" x14ac:dyDescent="0.25">
      <c r="A619" s="103"/>
      <c r="B619" s="103"/>
      <c r="C619" s="103"/>
      <c r="D619" s="77" t="str">
        <f ca="1">IFERROR(INDEX(Validation!G:G,MATCH("Parcels"&amp;CELL("address",D619),Validation!I:I,0)),"")</f>
        <v/>
      </c>
      <c r="E619" s="66" t="str">
        <f ca="1">IFERROR(INDEX(Validation!F:F,MATCH("Parcels"&amp;CELL("address",D619),Validation!I:I,0)),"")</f>
        <v/>
      </c>
    </row>
    <row r="620" spans="1:5" x14ac:dyDescent="0.25">
      <c r="A620" s="103"/>
      <c r="B620" s="103"/>
      <c r="C620" s="103"/>
      <c r="D620" s="77" t="str">
        <f ca="1">IFERROR(INDEX(Validation!G:G,MATCH("Parcels"&amp;CELL("address",D620),Validation!I:I,0)),"")</f>
        <v/>
      </c>
      <c r="E620" s="66" t="str">
        <f ca="1">IFERROR(INDEX(Validation!F:F,MATCH("Parcels"&amp;CELL("address",D620),Validation!I:I,0)),"")</f>
        <v/>
      </c>
    </row>
    <row r="621" spans="1:5" x14ac:dyDescent="0.25">
      <c r="A621" s="103"/>
      <c r="B621" s="103"/>
      <c r="C621" s="103"/>
      <c r="D621" s="77" t="str">
        <f ca="1">IFERROR(INDEX(Validation!G:G,MATCH("Parcels"&amp;CELL("address",D621),Validation!I:I,0)),"")</f>
        <v/>
      </c>
      <c r="E621" s="66" t="str">
        <f ca="1">IFERROR(INDEX(Validation!F:F,MATCH("Parcels"&amp;CELL("address",D621),Validation!I:I,0)),"")</f>
        <v/>
      </c>
    </row>
    <row r="622" spans="1:5" x14ac:dyDescent="0.25">
      <c r="A622" s="103"/>
      <c r="B622" s="103"/>
      <c r="C622" s="103"/>
      <c r="D622" s="77" t="str">
        <f ca="1">IFERROR(INDEX(Validation!G:G,MATCH("Parcels"&amp;CELL("address",D622),Validation!I:I,0)),"")</f>
        <v/>
      </c>
      <c r="E622" s="66" t="str">
        <f ca="1">IFERROR(INDEX(Validation!F:F,MATCH("Parcels"&amp;CELL("address",D622),Validation!I:I,0)),"")</f>
        <v/>
      </c>
    </row>
    <row r="623" spans="1:5" x14ac:dyDescent="0.25">
      <c r="A623" s="103"/>
      <c r="B623" s="103"/>
      <c r="C623" s="103"/>
      <c r="D623" s="77" t="str">
        <f ca="1">IFERROR(INDEX(Validation!G:G,MATCH("Parcels"&amp;CELL("address",D623),Validation!I:I,0)),"")</f>
        <v/>
      </c>
      <c r="E623" s="66" t="str">
        <f ca="1">IFERROR(INDEX(Validation!F:F,MATCH("Parcels"&amp;CELL("address",D623),Validation!I:I,0)),"")</f>
        <v/>
      </c>
    </row>
    <row r="624" spans="1:5" x14ac:dyDescent="0.25">
      <c r="A624" s="103"/>
      <c r="B624" s="103"/>
      <c r="C624" s="103"/>
      <c r="D624" s="77" t="str">
        <f ca="1">IFERROR(INDEX(Validation!G:G,MATCH("Parcels"&amp;CELL("address",D624),Validation!I:I,0)),"")</f>
        <v/>
      </c>
      <c r="E624" s="66" t="str">
        <f ca="1">IFERROR(INDEX(Validation!F:F,MATCH("Parcels"&amp;CELL("address",D624),Validation!I:I,0)),"")</f>
        <v/>
      </c>
    </row>
    <row r="625" spans="1:5" x14ac:dyDescent="0.25">
      <c r="A625" s="103"/>
      <c r="B625" s="103"/>
      <c r="C625" s="103"/>
      <c r="D625" s="77" t="str">
        <f ca="1">IFERROR(INDEX(Validation!G:G,MATCH("Parcels"&amp;CELL("address",D625),Validation!I:I,0)),"")</f>
        <v/>
      </c>
      <c r="E625" s="66" t="str">
        <f ca="1">IFERROR(INDEX(Validation!F:F,MATCH("Parcels"&amp;CELL("address",D625),Validation!I:I,0)),"")</f>
        <v/>
      </c>
    </row>
    <row r="626" spans="1:5" x14ac:dyDescent="0.25">
      <c r="A626" s="103"/>
      <c r="B626" s="103"/>
      <c r="C626" s="103"/>
      <c r="D626" s="77" t="str">
        <f ca="1">IFERROR(INDEX(Validation!G:G,MATCH("Parcels"&amp;CELL("address",D626),Validation!I:I,0)),"")</f>
        <v/>
      </c>
      <c r="E626" s="66" t="str">
        <f ca="1">IFERROR(INDEX(Validation!F:F,MATCH("Parcels"&amp;CELL("address",D626),Validation!I:I,0)),"")</f>
        <v/>
      </c>
    </row>
    <row r="627" spans="1:5" x14ac:dyDescent="0.25">
      <c r="A627" s="103"/>
      <c r="B627" s="103"/>
      <c r="C627" s="103"/>
      <c r="D627" s="77" t="str">
        <f ca="1">IFERROR(INDEX(Validation!G:G,MATCH("Parcels"&amp;CELL("address",D627),Validation!I:I,0)),"")</f>
        <v/>
      </c>
      <c r="E627" s="66" t="str">
        <f ca="1">IFERROR(INDEX(Validation!F:F,MATCH("Parcels"&amp;CELL("address",D627),Validation!I:I,0)),"")</f>
        <v/>
      </c>
    </row>
    <row r="628" spans="1:5" x14ac:dyDescent="0.25">
      <c r="A628" s="103"/>
      <c r="B628" s="103"/>
      <c r="C628" s="103"/>
      <c r="D628" s="77" t="str">
        <f ca="1">IFERROR(INDEX(Validation!G:G,MATCH("Parcels"&amp;CELL("address",D628),Validation!I:I,0)),"")</f>
        <v/>
      </c>
      <c r="E628" s="66" t="str">
        <f ca="1">IFERROR(INDEX(Validation!F:F,MATCH("Parcels"&amp;CELL("address",D628),Validation!I:I,0)),"")</f>
        <v/>
      </c>
    </row>
    <row r="629" spans="1:5" x14ac:dyDescent="0.25">
      <c r="A629" s="103"/>
      <c r="B629" s="103"/>
      <c r="C629" s="103"/>
      <c r="D629" s="77" t="str">
        <f ca="1">IFERROR(INDEX(Validation!G:G,MATCH("Parcels"&amp;CELL("address",D629),Validation!I:I,0)),"")</f>
        <v/>
      </c>
      <c r="E629" s="66" t="str">
        <f ca="1">IFERROR(INDEX(Validation!F:F,MATCH("Parcels"&amp;CELL("address",D629),Validation!I:I,0)),"")</f>
        <v/>
      </c>
    </row>
    <row r="630" spans="1:5" x14ac:dyDescent="0.25">
      <c r="A630" s="103"/>
      <c r="B630" s="103"/>
      <c r="C630" s="103"/>
      <c r="D630" s="77" t="str">
        <f ca="1">IFERROR(INDEX(Validation!G:G,MATCH("Parcels"&amp;CELL("address",D630),Validation!I:I,0)),"")</f>
        <v/>
      </c>
      <c r="E630" s="66" t="str">
        <f ca="1">IFERROR(INDEX(Validation!F:F,MATCH("Parcels"&amp;CELL("address",D630),Validation!I:I,0)),"")</f>
        <v/>
      </c>
    </row>
    <row r="631" spans="1:5" x14ac:dyDescent="0.25">
      <c r="A631" s="103"/>
      <c r="B631" s="103"/>
      <c r="C631" s="103"/>
      <c r="D631" s="77" t="str">
        <f ca="1">IFERROR(INDEX(Validation!G:G,MATCH("Parcels"&amp;CELL("address",D631),Validation!I:I,0)),"")</f>
        <v/>
      </c>
      <c r="E631" s="66" t="str">
        <f ca="1">IFERROR(INDEX(Validation!F:F,MATCH("Parcels"&amp;CELL("address",D631),Validation!I:I,0)),"")</f>
        <v/>
      </c>
    </row>
    <row r="632" spans="1:5" x14ac:dyDescent="0.25">
      <c r="A632" s="103"/>
      <c r="B632" s="103"/>
      <c r="C632" s="103"/>
      <c r="D632" s="77" t="str">
        <f ca="1">IFERROR(INDEX(Validation!G:G,MATCH("Parcels"&amp;CELL("address",D632),Validation!I:I,0)),"")</f>
        <v/>
      </c>
      <c r="E632" s="66" t="str">
        <f ca="1">IFERROR(INDEX(Validation!F:F,MATCH("Parcels"&amp;CELL("address",D632),Validation!I:I,0)),"")</f>
        <v/>
      </c>
    </row>
    <row r="633" spans="1:5" x14ac:dyDescent="0.25">
      <c r="A633" s="103"/>
      <c r="B633" s="103"/>
      <c r="C633" s="103"/>
      <c r="D633" s="77" t="str">
        <f ca="1">IFERROR(INDEX(Validation!G:G,MATCH("Parcels"&amp;CELL("address",D633),Validation!I:I,0)),"")</f>
        <v/>
      </c>
      <c r="E633" s="66" t="str">
        <f ca="1">IFERROR(INDEX(Validation!F:F,MATCH("Parcels"&amp;CELL("address",D633),Validation!I:I,0)),"")</f>
        <v/>
      </c>
    </row>
    <row r="634" spans="1:5" x14ac:dyDescent="0.25">
      <c r="A634" s="103"/>
      <c r="B634" s="103"/>
      <c r="C634" s="103"/>
      <c r="D634" s="77" t="str">
        <f ca="1">IFERROR(INDEX(Validation!G:G,MATCH("Parcels"&amp;CELL("address",D634),Validation!I:I,0)),"")</f>
        <v/>
      </c>
      <c r="E634" s="66" t="str">
        <f ca="1">IFERROR(INDEX(Validation!F:F,MATCH("Parcels"&amp;CELL("address",D634),Validation!I:I,0)),"")</f>
        <v/>
      </c>
    </row>
    <row r="635" spans="1:5" x14ac:dyDescent="0.25">
      <c r="A635" s="103"/>
      <c r="B635" s="103"/>
      <c r="C635" s="103"/>
      <c r="D635" s="77" t="str">
        <f ca="1">IFERROR(INDEX(Validation!G:G,MATCH("Parcels"&amp;CELL("address",D635),Validation!I:I,0)),"")</f>
        <v/>
      </c>
      <c r="E635" s="66" t="str">
        <f ca="1">IFERROR(INDEX(Validation!F:F,MATCH("Parcels"&amp;CELL("address",D635),Validation!I:I,0)),"")</f>
        <v/>
      </c>
    </row>
    <row r="636" spans="1:5" x14ac:dyDescent="0.25">
      <c r="A636" s="103"/>
      <c r="B636" s="103"/>
      <c r="C636" s="103"/>
      <c r="D636" s="77" t="str">
        <f ca="1">IFERROR(INDEX(Validation!G:G,MATCH("Parcels"&amp;CELL("address",D636),Validation!I:I,0)),"")</f>
        <v/>
      </c>
      <c r="E636" s="66" t="str">
        <f ca="1">IFERROR(INDEX(Validation!F:F,MATCH("Parcels"&amp;CELL("address",D636),Validation!I:I,0)),"")</f>
        <v/>
      </c>
    </row>
    <row r="637" spans="1:5" x14ac:dyDescent="0.25">
      <c r="A637" s="103"/>
      <c r="B637" s="103"/>
      <c r="C637" s="103"/>
      <c r="D637" s="77" t="str">
        <f ca="1">IFERROR(INDEX(Validation!G:G,MATCH("Parcels"&amp;CELL("address",D637),Validation!I:I,0)),"")</f>
        <v/>
      </c>
      <c r="E637" s="66" t="str">
        <f ca="1">IFERROR(INDEX(Validation!F:F,MATCH("Parcels"&amp;CELL("address",D637),Validation!I:I,0)),"")</f>
        <v/>
      </c>
    </row>
    <row r="638" spans="1:5" x14ac:dyDescent="0.25">
      <c r="A638" s="103"/>
      <c r="B638" s="103"/>
      <c r="C638" s="103"/>
      <c r="D638" s="77" t="str">
        <f ca="1">IFERROR(INDEX(Validation!G:G,MATCH("Parcels"&amp;CELL("address",D638),Validation!I:I,0)),"")</f>
        <v/>
      </c>
      <c r="E638" s="66" t="str">
        <f ca="1">IFERROR(INDEX(Validation!F:F,MATCH("Parcels"&amp;CELL("address",D638),Validation!I:I,0)),"")</f>
        <v/>
      </c>
    </row>
    <row r="639" spans="1:5" x14ac:dyDescent="0.25">
      <c r="A639" s="103"/>
      <c r="B639" s="103"/>
      <c r="C639" s="103"/>
      <c r="D639" s="77" t="str">
        <f ca="1">IFERROR(INDEX(Validation!G:G,MATCH("Parcels"&amp;CELL("address",D639),Validation!I:I,0)),"")</f>
        <v/>
      </c>
      <c r="E639" s="66" t="str">
        <f ca="1">IFERROR(INDEX(Validation!F:F,MATCH("Parcels"&amp;CELL("address",D639),Validation!I:I,0)),"")</f>
        <v/>
      </c>
    </row>
    <row r="640" spans="1:5" x14ac:dyDescent="0.25">
      <c r="A640" s="103"/>
      <c r="B640" s="103"/>
      <c r="C640" s="103"/>
      <c r="D640" s="77" t="str">
        <f ca="1">IFERROR(INDEX(Validation!G:G,MATCH("Parcels"&amp;CELL("address",D640),Validation!I:I,0)),"")</f>
        <v/>
      </c>
      <c r="E640" s="66" t="str">
        <f ca="1">IFERROR(INDEX(Validation!F:F,MATCH("Parcels"&amp;CELL("address",D640),Validation!I:I,0)),"")</f>
        <v/>
      </c>
    </row>
    <row r="641" spans="1:5" x14ac:dyDescent="0.25">
      <c r="A641" s="103"/>
      <c r="B641" s="103"/>
      <c r="C641" s="103"/>
      <c r="D641" s="77" t="str">
        <f ca="1">IFERROR(INDEX(Validation!G:G,MATCH("Parcels"&amp;CELL("address",D641),Validation!I:I,0)),"")</f>
        <v/>
      </c>
      <c r="E641" s="66" t="str">
        <f ca="1">IFERROR(INDEX(Validation!F:F,MATCH("Parcels"&amp;CELL("address",D641),Validation!I:I,0)),"")</f>
        <v/>
      </c>
    </row>
    <row r="642" spans="1:5" x14ac:dyDescent="0.25">
      <c r="A642" s="103"/>
      <c r="B642" s="103"/>
      <c r="C642" s="103"/>
      <c r="D642" s="77" t="str">
        <f ca="1">IFERROR(INDEX(Validation!G:G,MATCH("Parcels"&amp;CELL("address",D642),Validation!I:I,0)),"")</f>
        <v/>
      </c>
      <c r="E642" s="66" t="str">
        <f ca="1">IFERROR(INDEX(Validation!F:F,MATCH("Parcels"&amp;CELL("address",D642),Validation!I:I,0)),"")</f>
        <v/>
      </c>
    </row>
    <row r="643" spans="1:5" x14ac:dyDescent="0.25">
      <c r="A643" s="103"/>
      <c r="B643" s="103"/>
      <c r="C643" s="103"/>
      <c r="D643" s="77" t="str">
        <f ca="1">IFERROR(INDEX(Validation!G:G,MATCH("Parcels"&amp;CELL("address",D643),Validation!I:I,0)),"")</f>
        <v/>
      </c>
      <c r="E643" s="66" t="str">
        <f ca="1">IFERROR(INDEX(Validation!F:F,MATCH("Parcels"&amp;CELL("address",D643),Validation!I:I,0)),"")</f>
        <v/>
      </c>
    </row>
    <row r="644" spans="1:5" x14ac:dyDescent="0.25">
      <c r="A644" s="103"/>
      <c r="B644" s="103"/>
      <c r="C644" s="103"/>
      <c r="D644" s="77" t="str">
        <f ca="1">IFERROR(INDEX(Validation!G:G,MATCH("Parcels"&amp;CELL("address",D644),Validation!I:I,0)),"")</f>
        <v/>
      </c>
      <c r="E644" s="66" t="str">
        <f ca="1">IFERROR(INDEX(Validation!F:F,MATCH("Parcels"&amp;CELL("address",D644),Validation!I:I,0)),"")</f>
        <v/>
      </c>
    </row>
    <row r="645" spans="1:5" x14ac:dyDescent="0.25">
      <c r="A645" s="103"/>
      <c r="B645" s="103"/>
      <c r="C645" s="103"/>
      <c r="D645" s="77" t="str">
        <f ca="1">IFERROR(INDEX(Validation!G:G,MATCH("Parcels"&amp;CELL("address",D645),Validation!I:I,0)),"")</f>
        <v/>
      </c>
      <c r="E645" s="66" t="str">
        <f ca="1">IFERROR(INDEX(Validation!F:F,MATCH("Parcels"&amp;CELL("address",D645),Validation!I:I,0)),"")</f>
        <v/>
      </c>
    </row>
    <row r="646" spans="1:5" x14ac:dyDescent="0.25">
      <c r="A646" s="103"/>
      <c r="B646" s="103"/>
      <c r="C646" s="103"/>
      <c r="D646" s="77" t="str">
        <f ca="1">IFERROR(INDEX(Validation!G:G,MATCH("Parcels"&amp;CELL("address",D646),Validation!I:I,0)),"")</f>
        <v/>
      </c>
      <c r="E646" s="66" t="str">
        <f ca="1">IFERROR(INDEX(Validation!F:F,MATCH("Parcels"&amp;CELL("address",D646),Validation!I:I,0)),"")</f>
        <v/>
      </c>
    </row>
    <row r="647" spans="1:5" x14ac:dyDescent="0.25">
      <c r="A647" s="103"/>
      <c r="B647" s="103"/>
      <c r="C647" s="103"/>
      <c r="D647" s="77" t="str">
        <f ca="1">IFERROR(INDEX(Validation!G:G,MATCH("Parcels"&amp;CELL("address",D647),Validation!I:I,0)),"")</f>
        <v/>
      </c>
      <c r="E647" s="66" t="str">
        <f ca="1">IFERROR(INDEX(Validation!F:F,MATCH("Parcels"&amp;CELL("address",D647),Validation!I:I,0)),"")</f>
        <v/>
      </c>
    </row>
    <row r="648" spans="1:5" x14ac:dyDescent="0.25">
      <c r="A648" s="103"/>
      <c r="B648" s="103"/>
      <c r="C648" s="103"/>
      <c r="D648" s="77" t="str">
        <f ca="1">IFERROR(INDEX(Validation!G:G,MATCH("Parcels"&amp;CELL("address",D648),Validation!I:I,0)),"")</f>
        <v/>
      </c>
      <c r="E648" s="66" t="str">
        <f ca="1">IFERROR(INDEX(Validation!F:F,MATCH("Parcels"&amp;CELL("address",D648),Validation!I:I,0)),"")</f>
        <v/>
      </c>
    </row>
    <row r="649" spans="1:5" x14ac:dyDescent="0.25">
      <c r="A649" s="103"/>
      <c r="B649" s="103"/>
      <c r="C649" s="103"/>
      <c r="D649" s="77" t="str">
        <f ca="1">IFERROR(INDEX(Validation!G:G,MATCH("Parcels"&amp;CELL("address",D649),Validation!I:I,0)),"")</f>
        <v/>
      </c>
      <c r="E649" s="66" t="str">
        <f ca="1">IFERROR(INDEX(Validation!F:F,MATCH("Parcels"&amp;CELL("address",D649),Validation!I:I,0)),"")</f>
        <v/>
      </c>
    </row>
    <row r="650" spans="1:5" x14ac:dyDescent="0.25">
      <c r="A650" s="103"/>
      <c r="B650" s="103"/>
      <c r="C650" s="103"/>
      <c r="D650" s="77" t="str">
        <f ca="1">IFERROR(INDEX(Validation!G:G,MATCH("Parcels"&amp;CELL("address",D650),Validation!I:I,0)),"")</f>
        <v/>
      </c>
      <c r="E650" s="66" t="str">
        <f ca="1">IFERROR(INDEX(Validation!F:F,MATCH("Parcels"&amp;CELL("address",D650),Validation!I:I,0)),"")</f>
        <v/>
      </c>
    </row>
    <row r="651" spans="1:5" x14ac:dyDescent="0.25">
      <c r="A651" s="103"/>
      <c r="B651" s="103"/>
      <c r="C651" s="103"/>
      <c r="D651" s="77" t="str">
        <f ca="1">IFERROR(INDEX(Validation!G:G,MATCH("Parcels"&amp;CELL("address",D651),Validation!I:I,0)),"")</f>
        <v/>
      </c>
      <c r="E651" s="66" t="str">
        <f ca="1">IFERROR(INDEX(Validation!F:F,MATCH("Parcels"&amp;CELL("address",D651),Validation!I:I,0)),"")</f>
        <v/>
      </c>
    </row>
    <row r="652" spans="1:5" x14ac:dyDescent="0.25">
      <c r="A652" s="103"/>
      <c r="B652" s="103"/>
      <c r="C652" s="103"/>
      <c r="D652" s="77" t="str">
        <f ca="1">IFERROR(INDEX(Validation!G:G,MATCH("Parcels"&amp;CELL("address",D652),Validation!I:I,0)),"")</f>
        <v/>
      </c>
      <c r="E652" s="66" t="str">
        <f ca="1">IFERROR(INDEX(Validation!F:F,MATCH("Parcels"&amp;CELL("address",D652),Validation!I:I,0)),"")</f>
        <v/>
      </c>
    </row>
    <row r="653" spans="1:5" x14ac:dyDescent="0.25">
      <c r="A653" s="103"/>
      <c r="B653" s="103"/>
      <c r="C653" s="103"/>
      <c r="D653" s="77" t="str">
        <f ca="1">IFERROR(INDEX(Validation!G:G,MATCH("Parcels"&amp;CELL("address",D653),Validation!I:I,0)),"")</f>
        <v/>
      </c>
      <c r="E653" s="66" t="str">
        <f ca="1">IFERROR(INDEX(Validation!F:F,MATCH("Parcels"&amp;CELL("address",D653),Validation!I:I,0)),"")</f>
        <v/>
      </c>
    </row>
    <row r="654" spans="1:5" x14ac:dyDescent="0.25">
      <c r="A654" s="103"/>
      <c r="B654" s="103"/>
      <c r="C654" s="103"/>
      <c r="D654" s="77" t="str">
        <f ca="1">IFERROR(INDEX(Validation!G:G,MATCH("Parcels"&amp;CELL("address",D654),Validation!I:I,0)),"")</f>
        <v/>
      </c>
      <c r="E654" s="66" t="str">
        <f ca="1">IFERROR(INDEX(Validation!F:F,MATCH("Parcels"&amp;CELL("address",D654),Validation!I:I,0)),"")</f>
        <v/>
      </c>
    </row>
    <row r="655" spans="1:5" x14ac:dyDescent="0.25">
      <c r="A655" s="103"/>
      <c r="B655" s="103"/>
      <c r="C655" s="103"/>
      <c r="D655" s="77" t="str">
        <f ca="1">IFERROR(INDEX(Validation!G:G,MATCH("Parcels"&amp;CELL("address",D655),Validation!I:I,0)),"")</f>
        <v/>
      </c>
      <c r="E655" s="66" t="str">
        <f ca="1">IFERROR(INDEX(Validation!F:F,MATCH("Parcels"&amp;CELL("address",D655),Validation!I:I,0)),"")</f>
        <v/>
      </c>
    </row>
    <row r="656" spans="1:5" x14ac:dyDescent="0.25">
      <c r="A656" s="103"/>
      <c r="B656" s="103"/>
      <c r="C656" s="103"/>
      <c r="D656" s="77" t="str">
        <f ca="1">IFERROR(INDEX(Validation!G:G,MATCH("Parcels"&amp;CELL("address",D656),Validation!I:I,0)),"")</f>
        <v/>
      </c>
      <c r="E656" s="66" t="str">
        <f ca="1">IFERROR(INDEX(Validation!F:F,MATCH("Parcels"&amp;CELL("address",D656),Validation!I:I,0)),"")</f>
        <v/>
      </c>
    </row>
    <row r="657" spans="1:5" x14ac:dyDescent="0.25">
      <c r="A657" s="103"/>
      <c r="B657" s="103"/>
      <c r="C657" s="103"/>
      <c r="D657" s="77" t="str">
        <f ca="1">IFERROR(INDEX(Validation!G:G,MATCH("Parcels"&amp;CELL("address",D657),Validation!I:I,0)),"")</f>
        <v/>
      </c>
      <c r="E657" s="66" t="str">
        <f ca="1">IFERROR(INDEX(Validation!F:F,MATCH("Parcels"&amp;CELL("address",D657),Validation!I:I,0)),"")</f>
        <v/>
      </c>
    </row>
    <row r="658" spans="1:5" x14ac:dyDescent="0.25">
      <c r="A658" s="103"/>
      <c r="B658" s="103"/>
      <c r="C658" s="103"/>
      <c r="D658" s="77" t="str">
        <f ca="1">IFERROR(INDEX(Validation!G:G,MATCH("Parcels"&amp;CELL("address",D658),Validation!I:I,0)),"")</f>
        <v/>
      </c>
      <c r="E658" s="66" t="str">
        <f ca="1">IFERROR(INDEX(Validation!F:F,MATCH("Parcels"&amp;CELL("address",D658),Validation!I:I,0)),"")</f>
        <v/>
      </c>
    </row>
    <row r="659" spans="1:5" x14ac:dyDescent="0.25">
      <c r="A659" s="103"/>
      <c r="B659" s="103"/>
      <c r="C659" s="103"/>
      <c r="D659" s="77" t="str">
        <f ca="1">IFERROR(INDEX(Validation!G:G,MATCH("Parcels"&amp;CELL("address",D659),Validation!I:I,0)),"")</f>
        <v/>
      </c>
      <c r="E659" s="66" t="str">
        <f ca="1">IFERROR(INDEX(Validation!F:F,MATCH("Parcels"&amp;CELL("address",D659),Validation!I:I,0)),"")</f>
        <v/>
      </c>
    </row>
    <row r="660" spans="1:5" x14ac:dyDescent="0.25">
      <c r="A660" s="103"/>
      <c r="B660" s="103"/>
      <c r="C660" s="103"/>
      <c r="D660" s="77" t="str">
        <f ca="1">IFERROR(INDEX(Validation!G:G,MATCH("Parcels"&amp;CELL("address",D660),Validation!I:I,0)),"")</f>
        <v/>
      </c>
      <c r="E660" s="66" t="str">
        <f ca="1">IFERROR(INDEX(Validation!F:F,MATCH("Parcels"&amp;CELL("address",D660),Validation!I:I,0)),"")</f>
        <v/>
      </c>
    </row>
    <row r="661" spans="1:5" x14ac:dyDescent="0.25">
      <c r="A661" s="103"/>
      <c r="B661" s="103"/>
      <c r="C661" s="103"/>
      <c r="D661" s="77" t="str">
        <f ca="1">IFERROR(INDEX(Validation!G:G,MATCH("Parcels"&amp;CELL("address",D661),Validation!I:I,0)),"")</f>
        <v/>
      </c>
      <c r="E661" s="66" t="str">
        <f ca="1">IFERROR(INDEX(Validation!F:F,MATCH("Parcels"&amp;CELL("address",D661),Validation!I:I,0)),"")</f>
        <v/>
      </c>
    </row>
    <row r="662" spans="1:5" x14ac:dyDescent="0.25">
      <c r="A662" s="103"/>
      <c r="B662" s="103"/>
      <c r="C662" s="103"/>
      <c r="D662" s="77" t="str">
        <f ca="1">IFERROR(INDEX(Validation!G:G,MATCH("Parcels"&amp;CELL("address",D662),Validation!I:I,0)),"")</f>
        <v/>
      </c>
      <c r="E662" s="66" t="str">
        <f ca="1">IFERROR(INDEX(Validation!F:F,MATCH("Parcels"&amp;CELL("address",D662),Validation!I:I,0)),"")</f>
        <v/>
      </c>
    </row>
    <row r="663" spans="1:5" x14ac:dyDescent="0.25">
      <c r="A663" s="103"/>
      <c r="B663" s="103"/>
      <c r="C663" s="103"/>
      <c r="D663" s="77" t="str">
        <f ca="1">IFERROR(INDEX(Validation!G:G,MATCH("Parcels"&amp;CELL("address",D663),Validation!I:I,0)),"")</f>
        <v/>
      </c>
      <c r="E663" s="66" t="str">
        <f ca="1">IFERROR(INDEX(Validation!F:F,MATCH("Parcels"&amp;CELL("address",D663),Validation!I:I,0)),"")</f>
        <v/>
      </c>
    </row>
    <row r="664" spans="1:5" x14ac:dyDescent="0.25">
      <c r="A664" s="103"/>
      <c r="B664" s="103"/>
      <c r="C664" s="103"/>
      <c r="D664" s="77" t="str">
        <f ca="1">IFERROR(INDEX(Validation!G:G,MATCH("Parcels"&amp;CELL("address",D664),Validation!I:I,0)),"")</f>
        <v/>
      </c>
      <c r="E664" s="66" t="str">
        <f ca="1">IFERROR(INDEX(Validation!F:F,MATCH("Parcels"&amp;CELL("address",D664),Validation!I:I,0)),"")</f>
        <v/>
      </c>
    </row>
    <row r="665" spans="1:5" x14ac:dyDescent="0.25">
      <c r="A665" s="103"/>
      <c r="B665" s="103"/>
      <c r="C665" s="103"/>
      <c r="D665" s="77" t="str">
        <f ca="1">IFERROR(INDEX(Validation!G:G,MATCH("Parcels"&amp;CELL("address",D665),Validation!I:I,0)),"")</f>
        <v/>
      </c>
      <c r="E665" s="66" t="str">
        <f ca="1">IFERROR(INDEX(Validation!F:F,MATCH("Parcels"&amp;CELL("address",D665),Validation!I:I,0)),"")</f>
        <v/>
      </c>
    </row>
    <row r="666" spans="1:5" x14ac:dyDescent="0.25">
      <c r="A666" s="103"/>
      <c r="B666" s="103"/>
      <c r="C666" s="103"/>
      <c r="D666" s="77" t="str">
        <f ca="1">IFERROR(INDEX(Validation!G:G,MATCH("Parcels"&amp;CELL("address",D666),Validation!I:I,0)),"")</f>
        <v/>
      </c>
      <c r="E666" s="66" t="str">
        <f ca="1">IFERROR(INDEX(Validation!F:F,MATCH("Parcels"&amp;CELL("address",D666),Validation!I:I,0)),"")</f>
        <v/>
      </c>
    </row>
    <row r="667" spans="1:5" x14ac:dyDescent="0.25">
      <c r="A667" s="103"/>
      <c r="B667" s="103"/>
      <c r="C667" s="103"/>
      <c r="D667" s="77" t="str">
        <f ca="1">IFERROR(INDEX(Validation!G:G,MATCH("Parcels"&amp;CELL("address",D667),Validation!I:I,0)),"")</f>
        <v/>
      </c>
      <c r="E667" s="66" t="str">
        <f ca="1">IFERROR(INDEX(Validation!F:F,MATCH("Parcels"&amp;CELL("address",D667),Validation!I:I,0)),"")</f>
        <v/>
      </c>
    </row>
    <row r="668" spans="1:5" x14ac:dyDescent="0.25">
      <c r="A668" s="103"/>
      <c r="B668" s="103"/>
      <c r="C668" s="103"/>
      <c r="D668" s="77" t="str">
        <f ca="1">IFERROR(INDEX(Validation!G:G,MATCH("Parcels"&amp;CELL("address",D668),Validation!I:I,0)),"")</f>
        <v/>
      </c>
      <c r="E668" s="66" t="str">
        <f ca="1">IFERROR(INDEX(Validation!F:F,MATCH("Parcels"&amp;CELL("address",D668),Validation!I:I,0)),"")</f>
        <v/>
      </c>
    </row>
    <row r="669" spans="1:5" x14ac:dyDescent="0.25">
      <c r="A669" s="103"/>
      <c r="B669" s="103"/>
      <c r="C669" s="103"/>
      <c r="D669" s="77" t="str">
        <f ca="1">IFERROR(INDEX(Validation!G:G,MATCH("Parcels"&amp;CELL("address",D669),Validation!I:I,0)),"")</f>
        <v/>
      </c>
      <c r="E669" s="66" t="str">
        <f ca="1">IFERROR(INDEX(Validation!F:F,MATCH("Parcels"&amp;CELL("address",D669),Validation!I:I,0)),"")</f>
        <v/>
      </c>
    </row>
    <row r="670" spans="1:5" x14ac:dyDescent="0.25">
      <c r="A670" s="103"/>
      <c r="B670" s="103"/>
      <c r="C670" s="103"/>
      <c r="D670" s="77" t="str">
        <f ca="1">IFERROR(INDEX(Validation!G:G,MATCH("Parcels"&amp;CELL("address",D670),Validation!I:I,0)),"")</f>
        <v/>
      </c>
      <c r="E670" s="66" t="str">
        <f ca="1">IFERROR(INDEX(Validation!F:F,MATCH("Parcels"&amp;CELL("address",D670),Validation!I:I,0)),"")</f>
        <v/>
      </c>
    </row>
    <row r="671" spans="1:5" x14ac:dyDescent="0.25">
      <c r="A671" s="103"/>
      <c r="B671" s="103"/>
      <c r="C671" s="103"/>
      <c r="D671" s="77" t="str">
        <f ca="1">IFERROR(INDEX(Validation!G:G,MATCH("Parcels"&amp;CELL("address",D671),Validation!I:I,0)),"")</f>
        <v/>
      </c>
      <c r="E671" s="66" t="str">
        <f ca="1">IFERROR(INDEX(Validation!F:F,MATCH("Parcels"&amp;CELL("address",D671),Validation!I:I,0)),"")</f>
        <v/>
      </c>
    </row>
    <row r="672" spans="1:5" x14ac:dyDescent="0.25">
      <c r="A672" s="103"/>
      <c r="B672" s="103"/>
      <c r="C672" s="103"/>
      <c r="D672" s="77" t="str">
        <f ca="1">IFERROR(INDEX(Validation!G:G,MATCH("Parcels"&amp;CELL("address",D672),Validation!I:I,0)),"")</f>
        <v/>
      </c>
      <c r="E672" s="66" t="str">
        <f ca="1">IFERROR(INDEX(Validation!F:F,MATCH("Parcels"&amp;CELL("address",D672),Validation!I:I,0)),"")</f>
        <v/>
      </c>
    </row>
    <row r="673" spans="1:5" x14ac:dyDescent="0.25">
      <c r="A673" s="103"/>
      <c r="B673" s="103"/>
      <c r="C673" s="103"/>
      <c r="D673" s="77" t="str">
        <f ca="1">IFERROR(INDEX(Validation!G:G,MATCH("Parcels"&amp;CELL("address",D673),Validation!I:I,0)),"")</f>
        <v/>
      </c>
      <c r="E673" s="66" t="str">
        <f ca="1">IFERROR(INDEX(Validation!F:F,MATCH("Parcels"&amp;CELL("address",D673),Validation!I:I,0)),"")</f>
        <v/>
      </c>
    </row>
    <row r="674" spans="1:5" x14ac:dyDescent="0.25">
      <c r="A674" s="103"/>
      <c r="B674" s="103"/>
      <c r="C674" s="103"/>
      <c r="D674" s="77" t="str">
        <f ca="1">IFERROR(INDEX(Validation!G:G,MATCH("Parcels"&amp;CELL("address",D674),Validation!I:I,0)),"")</f>
        <v/>
      </c>
      <c r="E674" s="66" t="str">
        <f ca="1">IFERROR(INDEX(Validation!F:F,MATCH("Parcels"&amp;CELL("address",D674),Validation!I:I,0)),"")</f>
        <v/>
      </c>
    </row>
    <row r="675" spans="1:5" x14ac:dyDescent="0.25">
      <c r="A675" s="103"/>
      <c r="B675" s="103"/>
      <c r="C675" s="103"/>
      <c r="D675" s="77" t="str">
        <f ca="1">IFERROR(INDEX(Validation!G:G,MATCH("Parcels"&amp;CELL("address",D675),Validation!I:I,0)),"")</f>
        <v/>
      </c>
      <c r="E675" s="66" t="str">
        <f ca="1">IFERROR(INDEX(Validation!F:F,MATCH("Parcels"&amp;CELL("address",D675),Validation!I:I,0)),"")</f>
        <v/>
      </c>
    </row>
    <row r="676" spans="1:5" x14ac:dyDescent="0.25">
      <c r="A676" s="103"/>
      <c r="B676" s="103"/>
      <c r="C676" s="103"/>
      <c r="D676" s="77" t="str">
        <f ca="1">IFERROR(INDEX(Validation!G:G,MATCH("Parcels"&amp;CELL("address",D676),Validation!I:I,0)),"")</f>
        <v/>
      </c>
      <c r="E676" s="66" t="str">
        <f ca="1">IFERROR(INDEX(Validation!F:F,MATCH("Parcels"&amp;CELL("address",D676),Validation!I:I,0)),"")</f>
        <v/>
      </c>
    </row>
    <row r="677" spans="1:5" x14ac:dyDescent="0.25">
      <c r="A677" s="103"/>
      <c r="B677" s="103"/>
      <c r="C677" s="103"/>
      <c r="D677" s="77" t="str">
        <f ca="1">IFERROR(INDEX(Validation!G:G,MATCH("Parcels"&amp;CELL("address",D677),Validation!I:I,0)),"")</f>
        <v/>
      </c>
      <c r="E677" s="66" t="str">
        <f ca="1">IFERROR(INDEX(Validation!F:F,MATCH("Parcels"&amp;CELL("address",D677),Validation!I:I,0)),"")</f>
        <v/>
      </c>
    </row>
    <row r="678" spans="1:5" x14ac:dyDescent="0.25">
      <c r="A678" s="103"/>
      <c r="B678" s="103"/>
      <c r="C678" s="103"/>
      <c r="D678" s="77" t="str">
        <f ca="1">IFERROR(INDEX(Validation!G:G,MATCH("Parcels"&amp;CELL("address",D678),Validation!I:I,0)),"")</f>
        <v/>
      </c>
      <c r="E678" s="66" t="str">
        <f ca="1">IFERROR(INDEX(Validation!F:F,MATCH("Parcels"&amp;CELL("address",D678),Validation!I:I,0)),"")</f>
        <v/>
      </c>
    </row>
    <row r="679" spans="1:5" x14ac:dyDescent="0.25">
      <c r="A679" s="103"/>
      <c r="B679" s="103"/>
      <c r="C679" s="103"/>
      <c r="D679" s="77" t="str">
        <f ca="1">IFERROR(INDEX(Validation!G:G,MATCH("Parcels"&amp;CELL("address",D679),Validation!I:I,0)),"")</f>
        <v/>
      </c>
      <c r="E679" s="66" t="str">
        <f ca="1">IFERROR(INDEX(Validation!F:F,MATCH("Parcels"&amp;CELL("address",D679),Validation!I:I,0)),"")</f>
        <v/>
      </c>
    </row>
    <row r="680" spans="1:5" x14ac:dyDescent="0.25">
      <c r="A680" s="103"/>
      <c r="B680" s="103"/>
      <c r="C680" s="103"/>
      <c r="D680" s="77" t="str">
        <f ca="1">IFERROR(INDEX(Validation!G:G,MATCH("Parcels"&amp;CELL("address",D680),Validation!I:I,0)),"")</f>
        <v/>
      </c>
      <c r="E680" s="66" t="str">
        <f ca="1">IFERROR(INDEX(Validation!F:F,MATCH("Parcels"&amp;CELL("address",D680),Validation!I:I,0)),"")</f>
        <v/>
      </c>
    </row>
    <row r="681" spans="1:5" x14ac:dyDescent="0.25">
      <c r="A681" s="103"/>
      <c r="B681" s="103"/>
      <c r="C681" s="103"/>
      <c r="D681" s="77" t="str">
        <f ca="1">IFERROR(INDEX(Validation!G:G,MATCH("Parcels"&amp;CELL("address",D681),Validation!I:I,0)),"")</f>
        <v/>
      </c>
      <c r="E681" s="66" t="str">
        <f ca="1">IFERROR(INDEX(Validation!F:F,MATCH("Parcels"&amp;CELL("address",D681),Validation!I:I,0)),"")</f>
        <v/>
      </c>
    </row>
    <row r="682" spans="1:5" x14ac:dyDescent="0.25">
      <c r="A682" s="103"/>
      <c r="B682" s="103"/>
      <c r="C682" s="103"/>
      <c r="D682" s="77" t="str">
        <f ca="1">IFERROR(INDEX(Validation!G:G,MATCH("Parcels"&amp;CELL("address",D682),Validation!I:I,0)),"")</f>
        <v/>
      </c>
      <c r="E682" s="66" t="str">
        <f ca="1">IFERROR(INDEX(Validation!F:F,MATCH("Parcels"&amp;CELL("address",D682),Validation!I:I,0)),"")</f>
        <v/>
      </c>
    </row>
    <row r="683" spans="1:5" x14ac:dyDescent="0.25">
      <c r="A683" s="103"/>
      <c r="B683" s="103"/>
      <c r="C683" s="103"/>
      <c r="D683" s="77" t="str">
        <f ca="1">IFERROR(INDEX(Validation!G:G,MATCH("Parcels"&amp;CELL("address",D683),Validation!I:I,0)),"")</f>
        <v/>
      </c>
      <c r="E683" s="66" t="str">
        <f ca="1">IFERROR(INDEX(Validation!F:F,MATCH("Parcels"&amp;CELL("address",D683),Validation!I:I,0)),"")</f>
        <v/>
      </c>
    </row>
    <row r="684" spans="1:5" x14ac:dyDescent="0.25">
      <c r="A684" s="103"/>
      <c r="B684" s="103"/>
      <c r="C684" s="103"/>
      <c r="D684" s="77" t="str">
        <f ca="1">IFERROR(INDEX(Validation!G:G,MATCH("Parcels"&amp;CELL("address",D684),Validation!I:I,0)),"")</f>
        <v/>
      </c>
      <c r="E684" s="66" t="str">
        <f ca="1">IFERROR(INDEX(Validation!F:F,MATCH("Parcels"&amp;CELL("address",D684),Validation!I:I,0)),"")</f>
        <v/>
      </c>
    </row>
    <row r="685" spans="1:5" x14ac:dyDescent="0.25">
      <c r="A685" s="103"/>
      <c r="B685" s="103"/>
      <c r="C685" s="103"/>
      <c r="D685" s="77" t="str">
        <f ca="1">IFERROR(INDEX(Validation!G:G,MATCH("Parcels"&amp;CELL("address",D685),Validation!I:I,0)),"")</f>
        <v/>
      </c>
      <c r="E685" s="66" t="str">
        <f ca="1">IFERROR(INDEX(Validation!F:F,MATCH("Parcels"&amp;CELL("address",D685),Validation!I:I,0)),"")</f>
        <v/>
      </c>
    </row>
    <row r="686" spans="1:5" x14ac:dyDescent="0.25">
      <c r="A686" s="103"/>
      <c r="B686" s="103"/>
      <c r="C686" s="103"/>
      <c r="D686" s="77" t="str">
        <f ca="1">IFERROR(INDEX(Validation!G:G,MATCH("Parcels"&amp;CELL("address",D686),Validation!I:I,0)),"")</f>
        <v/>
      </c>
      <c r="E686" s="66" t="str">
        <f ca="1">IFERROR(INDEX(Validation!F:F,MATCH("Parcels"&amp;CELL("address",D686),Validation!I:I,0)),"")</f>
        <v/>
      </c>
    </row>
    <row r="687" spans="1:5" x14ac:dyDescent="0.25">
      <c r="A687" s="103"/>
      <c r="B687" s="103"/>
      <c r="C687" s="103"/>
      <c r="D687" s="77" t="str">
        <f ca="1">IFERROR(INDEX(Validation!G:G,MATCH("Parcels"&amp;CELL("address",D687),Validation!I:I,0)),"")</f>
        <v/>
      </c>
      <c r="E687" s="66" t="str">
        <f ca="1">IFERROR(INDEX(Validation!F:F,MATCH("Parcels"&amp;CELL("address",D687),Validation!I:I,0)),"")</f>
        <v/>
      </c>
    </row>
    <row r="688" spans="1:5" x14ac:dyDescent="0.25">
      <c r="A688" s="103"/>
      <c r="B688" s="103"/>
      <c r="C688" s="103"/>
      <c r="D688" s="77" t="str">
        <f ca="1">IFERROR(INDEX(Validation!G:G,MATCH("Parcels"&amp;CELL("address",D688),Validation!I:I,0)),"")</f>
        <v/>
      </c>
      <c r="E688" s="66" t="str">
        <f ca="1">IFERROR(INDEX(Validation!F:F,MATCH("Parcels"&amp;CELL("address",D688),Validation!I:I,0)),"")</f>
        <v/>
      </c>
    </row>
    <row r="689" spans="1:5" x14ac:dyDescent="0.25">
      <c r="A689" s="103"/>
      <c r="B689" s="103"/>
      <c r="C689" s="103"/>
      <c r="D689" s="77" t="str">
        <f ca="1">IFERROR(INDEX(Validation!G:G,MATCH("Parcels"&amp;CELL("address",D689),Validation!I:I,0)),"")</f>
        <v/>
      </c>
      <c r="E689" s="66" t="str">
        <f ca="1">IFERROR(INDEX(Validation!F:F,MATCH("Parcels"&amp;CELL("address",D689),Validation!I:I,0)),"")</f>
        <v/>
      </c>
    </row>
    <row r="690" spans="1:5" x14ac:dyDescent="0.25">
      <c r="A690" s="103"/>
      <c r="B690" s="103"/>
      <c r="C690" s="103"/>
      <c r="D690" s="77" t="str">
        <f ca="1">IFERROR(INDEX(Validation!G:G,MATCH("Parcels"&amp;CELL("address",D690),Validation!I:I,0)),"")</f>
        <v/>
      </c>
      <c r="E690" s="66" t="str">
        <f ca="1">IFERROR(INDEX(Validation!F:F,MATCH("Parcels"&amp;CELL("address",D690),Validation!I:I,0)),"")</f>
        <v/>
      </c>
    </row>
    <row r="691" spans="1:5" x14ac:dyDescent="0.25">
      <c r="A691" s="103"/>
      <c r="B691" s="103"/>
      <c r="C691" s="103"/>
      <c r="D691" s="77" t="str">
        <f ca="1">IFERROR(INDEX(Validation!G:G,MATCH("Parcels"&amp;CELL("address",D691),Validation!I:I,0)),"")</f>
        <v/>
      </c>
      <c r="E691" s="66" t="str">
        <f ca="1">IFERROR(INDEX(Validation!F:F,MATCH("Parcels"&amp;CELL("address",D691),Validation!I:I,0)),"")</f>
        <v/>
      </c>
    </row>
    <row r="692" spans="1:5" x14ac:dyDescent="0.25">
      <c r="A692" s="103"/>
      <c r="B692" s="103"/>
      <c r="C692" s="103"/>
      <c r="D692" s="77" t="str">
        <f ca="1">IFERROR(INDEX(Validation!G:G,MATCH("Parcels"&amp;CELL("address",D692),Validation!I:I,0)),"")</f>
        <v/>
      </c>
      <c r="E692" s="66" t="str">
        <f ca="1">IFERROR(INDEX(Validation!F:F,MATCH("Parcels"&amp;CELL("address",D692),Validation!I:I,0)),"")</f>
        <v/>
      </c>
    </row>
    <row r="693" spans="1:5" x14ac:dyDescent="0.25">
      <c r="A693" s="103"/>
      <c r="B693" s="103"/>
      <c r="C693" s="103"/>
      <c r="D693" s="77" t="str">
        <f ca="1">IFERROR(INDEX(Validation!G:G,MATCH("Parcels"&amp;CELL("address",D693),Validation!I:I,0)),"")</f>
        <v/>
      </c>
      <c r="E693" s="66" t="str">
        <f ca="1">IFERROR(INDEX(Validation!F:F,MATCH("Parcels"&amp;CELL("address",D693),Validation!I:I,0)),"")</f>
        <v/>
      </c>
    </row>
    <row r="694" spans="1:5" x14ac:dyDescent="0.25">
      <c r="A694" s="103"/>
      <c r="B694" s="103"/>
      <c r="C694" s="103"/>
      <c r="D694" s="77" t="str">
        <f ca="1">IFERROR(INDEX(Validation!G:G,MATCH("Parcels"&amp;CELL("address",D694),Validation!I:I,0)),"")</f>
        <v/>
      </c>
      <c r="E694" s="66" t="str">
        <f ca="1">IFERROR(INDEX(Validation!F:F,MATCH("Parcels"&amp;CELL("address",D694),Validation!I:I,0)),"")</f>
        <v/>
      </c>
    </row>
    <row r="695" spans="1:5" x14ac:dyDescent="0.25">
      <c r="A695" s="103"/>
      <c r="B695" s="103"/>
      <c r="C695" s="103"/>
      <c r="D695" s="77" t="str">
        <f ca="1">IFERROR(INDEX(Validation!G:G,MATCH("Parcels"&amp;CELL("address",D695),Validation!I:I,0)),"")</f>
        <v/>
      </c>
      <c r="E695" s="66" t="str">
        <f ca="1">IFERROR(INDEX(Validation!F:F,MATCH("Parcels"&amp;CELL("address",D695),Validation!I:I,0)),"")</f>
        <v/>
      </c>
    </row>
    <row r="696" spans="1:5" x14ac:dyDescent="0.25">
      <c r="A696" s="103"/>
      <c r="B696" s="103"/>
      <c r="C696" s="103"/>
      <c r="D696" s="77" t="str">
        <f ca="1">IFERROR(INDEX(Validation!G:G,MATCH("Parcels"&amp;CELL("address",D696),Validation!I:I,0)),"")</f>
        <v/>
      </c>
      <c r="E696" s="66" t="str">
        <f ca="1">IFERROR(INDEX(Validation!F:F,MATCH("Parcels"&amp;CELL("address",D696),Validation!I:I,0)),"")</f>
        <v/>
      </c>
    </row>
    <row r="697" spans="1:5" x14ac:dyDescent="0.25">
      <c r="A697" s="103"/>
      <c r="B697" s="103"/>
      <c r="C697" s="103"/>
      <c r="D697" s="77" t="str">
        <f ca="1">IFERROR(INDEX(Validation!G:G,MATCH("Parcels"&amp;CELL("address",D697),Validation!I:I,0)),"")</f>
        <v/>
      </c>
      <c r="E697" s="66" t="str">
        <f ca="1">IFERROR(INDEX(Validation!F:F,MATCH("Parcels"&amp;CELL("address",D697),Validation!I:I,0)),"")</f>
        <v/>
      </c>
    </row>
    <row r="698" spans="1:5" x14ac:dyDescent="0.25">
      <c r="A698" s="103"/>
      <c r="B698" s="103"/>
      <c r="C698" s="103"/>
      <c r="D698" s="77" t="str">
        <f ca="1">IFERROR(INDEX(Validation!G:G,MATCH("Parcels"&amp;CELL("address",D698),Validation!I:I,0)),"")</f>
        <v/>
      </c>
      <c r="E698" s="66" t="str">
        <f ca="1">IFERROR(INDEX(Validation!F:F,MATCH("Parcels"&amp;CELL("address",D698),Validation!I:I,0)),"")</f>
        <v/>
      </c>
    </row>
    <row r="699" spans="1:5" x14ac:dyDescent="0.25">
      <c r="A699" s="103"/>
      <c r="B699" s="103"/>
      <c r="C699" s="103"/>
      <c r="D699" s="77" t="str">
        <f ca="1">IFERROR(INDEX(Validation!G:G,MATCH("Parcels"&amp;CELL("address",D699),Validation!I:I,0)),"")</f>
        <v/>
      </c>
      <c r="E699" s="66" t="str">
        <f ca="1">IFERROR(INDEX(Validation!F:F,MATCH("Parcels"&amp;CELL("address",D699),Validation!I:I,0)),"")</f>
        <v/>
      </c>
    </row>
    <row r="700" spans="1:5" x14ac:dyDescent="0.25">
      <c r="A700" s="103"/>
      <c r="B700" s="103"/>
      <c r="C700" s="103"/>
      <c r="D700" s="77" t="str">
        <f ca="1">IFERROR(INDEX(Validation!G:G,MATCH("Parcels"&amp;CELL("address",D700),Validation!I:I,0)),"")</f>
        <v/>
      </c>
      <c r="E700" s="66" t="str">
        <f ca="1">IFERROR(INDEX(Validation!F:F,MATCH("Parcels"&amp;CELL("address",D700),Validation!I:I,0)),"")</f>
        <v/>
      </c>
    </row>
    <row r="701" spans="1:5" x14ac:dyDescent="0.25">
      <c r="A701" s="103"/>
      <c r="B701" s="103"/>
      <c r="C701" s="103"/>
      <c r="D701" s="77" t="str">
        <f ca="1">IFERROR(INDEX(Validation!G:G,MATCH("Parcels"&amp;CELL("address",D701),Validation!I:I,0)),"")</f>
        <v/>
      </c>
      <c r="E701" s="66" t="str">
        <f ca="1">IFERROR(INDEX(Validation!F:F,MATCH("Parcels"&amp;CELL("address",D701),Validation!I:I,0)),"")</f>
        <v/>
      </c>
    </row>
    <row r="702" spans="1:5" x14ac:dyDescent="0.25">
      <c r="A702" s="103"/>
      <c r="B702" s="103"/>
      <c r="C702" s="103"/>
      <c r="D702" s="77" t="str">
        <f ca="1">IFERROR(INDEX(Validation!G:G,MATCH("Parcels"&amp;CELL("address",D702),Validation!I:I,0)),"")</f>
        <v/>
      </c>
      <c r="E702" s="66" t="str">
        <f ca="1">IFERROR(INDEX(Validation!F:F,MATCH("Parcels"&amp;CELL("address",D702),Validation!I:I,0)),"")</f>
        <v/>
      </c>
    </row>
    <row r="703" spans="1:5" x14ac:dyDescent="0.25">
      <c r="A703" s="103"/>
      <c r="B703" s="103"/>
      <c r="C703" s="103"/>
      <c r="D703" s="77" t="str">
        <f ca="1">IFERROR(INDEX(Validation!G:G,MATCH("Parcels"&amp;CELL("address",D703),Validation!I:I,0)),"")</f>
        <v/>
      </c>
      <c r="E703" s="66" t="str">
        <f ca="1">IFERROR(INDEX(Validation!F:F,MATCH("Parcels"&amp;CELL("address",D703),Validation!I:I,0)),"")</f>
        <v/>
      </c>
    </row>
    <row r="704" spans="1:5" x14ac:dyDescent="0.25">
      <c r="A704" s="103"/>
      <c r="B704" s="103"/>
      <c r="C704" s="103"/>
      <c r="D704" s="77" t="str">
        <f ca="1">IFERROR(INDEX(Validation!G:G,MATCH("Parcels"&amp;CELL("address",D704),Validation!I:I,0)),"")</f>
        <v/>
      </c>
      <c r="E704" s="66" t="str">
        <f ca="1">IFERROR(INDEX(Validation!F:F,MATCH("Parcels"&amp;CELL("address",D704),Validation!I:I,0)),"")</f>
        <v/>
      </c>
    </row>
    <row r="705" spans="1:5" x14ac:dyDescent="0.25">
      <c r="A705" s="103"/>
      <c r="B705" s="103"/>
      <c r="C705" s="103"/>
      <c r="D705" s="77" t="str">
        <f ca="1">IFERROR(INDEX(Validation!G:G,MATCH("Parcels"&amp;CELL("address",D705),Validation!I:I,0)),"")</f>
        <v/>
      </c>
      <c r="E705" s="66" t="str">
        <f ca="1">IFERROR(INDEX(Validation!F:F,MATCH("Parcels"&amp;CELL("address",D705),Validation!I:I,0)),"")</f>
        <v/>
      </c>
    </row>
    <row r="706" spans="1:5" x14ac:dyDescent="0.25">
      <c r="A706" s="103"/>
      <c r="B706" s="103"/>
      <c r="C706" s="103"/>
      <c r="D706" s="77" t="str">
        <f ca="1">IFERROR(INDEX(Validation!G:G,MATCH("Parcels"&amp;CELL("address",D706),Validation!I:I,0)),"")</f>
        <v/>
      </c>
      <c r="E706" s="66" t="str">
        <f ca="1">IFERROR(INDEX(Validation!F:F,MATCH("Parcels"&amp;CELL("address",D706),Validation!I:I,0)),"")</f>
        <v/>
      </c>
    </row>
    <row r="707" spans="1:5" x14ac:dyDescent="0.25">
      <c r="A707" s="103"/>
      <c r="B707" s="103"/>
      <c r="C707" s="103"/>
      <c r="D707" s="77" t="str">
        <f ca="1">IFERROR(INDEX(Validation!G:G,MATCH("Parcels"&amp;CELL("address",D707),Validation!I:I,0)),"")</f>
        <v/>
      </c>
      <c r="E707" s="66" t="str">
        <f ca="1">IFERROR(INDEX(Validation!F:F,MATCH("Parcels"&amp;CELL("address",D707),Validation!I:I,0)),"")</f>
        <v/>
      </c>
    </row>
    <row r="708" spans="1:5" x14ac:dyDescent="0.25">
      <c r="A708" s="103"/>
      <c r="B708" s="103"/>
      <c r="C708" s="103"/>
      <c r="D708" s="77" t="str">
        <f ca="1">IFERROR(INDEX(Validation!G:G,MATCH("Parcels"&amp;CELL("address",D708),Validation!I:I,0)),"")</f>
        <v/>
      </c>
      <c r="E708" s="66" t="str">
        <f ca="1">IFERROR(INDEX(Validation!F:F,MATCH("Parcels"&amp;CELL("address",D708),Validation!I:I,0)),"")</f>
        <v/>
      </c>
    </row>
    <row r="709" spans="1:5" x14ac:dyDescent="0.25">
      <c r="A709" s="103"/>
      <c r="B709" s="103"/>
      <c r="C709" s="103"/>
      <c r="D709" s="77" t="str">
        <f ca="1">IFERROR(INDEX(Validation!G:G,MATCH("Parcels"&amp;CELL("address",D709),Validation!I:I,0)),"")</f>
        <v/>
      </c>
      <c r="E709" s="66" t="str">
        <f ca="1">IFERROR(INDEX(Validation!F:F,MATCH("Parcels"&amp;CELL("address",D709),Validation!I:I,0)),"")</f>
        <v/>
      </c>
    </row>
    <row r="710" spans="1:5" x14ac:dyDescent="0.25">
      <c r="A710" s="103"/>
      <c r="B710" s="103"/>
      <c r="C710" s="103"/>
      <c r="D710" s="77" t="str">
        <f ca="1">IFERROR(INDEX(Validation!G:G,MATCH("Parcels"&amp;CELL("address",D710),Validation!I:I,0)),"")</f>
        <v/>
      </c>
      <c r="E710" s="66" t="str">
        <f ca="1">IFERROR(INDEX(Validation!F:F,MATCH("Parcels"&amp;CELL("address",D710),Validation!I:I,0)),"")</f>
        <v/>
      </c>
    </row>
    <row r="711" spans="1:5" x14ac:dyDescent="0.25">
      <c r="A711" s="103"/>
      <c r="B711" s="103"/>
      <c r="C711" s="103"/>
      <c r="D711" s="77" t="str">
        <f ca="1">IFERROR(INDEX(Validation!G:G,MATCH("Parcels"&amp;CELL("address",D711),Validation!I:I,0)),"")</f>
        <v/>
      </c>
      <c r="E711" s="66" t="str">
        <f ca="1">IFERROR(INDEX(Validation!F:F,MATCH("Parcels"&amp;CELL("address",D711),Validation!I:I,0)),"")</f>
        <v/>
      </c>
    </row>
    <row r="712" spans="1:5" x14ac:dyDescent="0.25">
      <c r="A712" s="103"/>
      <c r="B712" s="103"/>
      <c r="C712" s="103"/>
      <c r="D712" s="77" t="str">
        <f ca="1">IFERROR(INDEX(Validation!G:G,MATCH("Parcels"&amp;CELL("address",D712),Validation!I:I,0)),"")</f>
        <v/>
      </c>
      <c r="E712" s="66" t="str">
        <f ca="1">IFERROR(INDEX(Validation!F:F,MATCH("Parcels"&amp;CELL("address",D712),Validation!I:I,0)),"")</f>
        <v/>
      </c>
    </row>
    <row r="713" spans="1:5" x14ac:dyDescent="0.25">
      <c r="A713" s="103"/>
      <c r="B713" s="103"/>
      <c r="C713" s="103"/>
      <c r="D713" s="77" t="str">
        <f ca="1">IFERROR(INDEX(Validation!G:G,MATCH("Parcels"&amp;CELL("address",D713),Validation!I:I,0)),"")</f>
        <v/>
      </c>
      <c r="E713" s="66" t="str">
        <f ca="1">IFERROR(INDEX(Validation!F:F,MATCH("Parcels"&amp;CELL("address",D713),Validation!I:I,0)),"")</f>
        <v/>
      </c>
    </row>
    <row r="714" spans="1:5" x14ac:dyDescent="0.25">
      <c r="A714" s="103"/>
      <c r="B714" s="103"/>
      <c r="C714" s="103"/>
      <c r="D714" s="77" t="str">
        <f ca="1">IFERROR(INDEX(Validation!G:G,MATCH("Parcels"&amp;CELL("address",D714),Validation!I:I,0)),"")</f>
        <v/>
      </c>
      <c r="E714" s="66" t="str">
        <f ca="1">IFERROR(INDEX(Validation!F:F,MATCH("Parcels"&amp;CELL("address",D714),Validation!I:I,0)),"")</f>
        <v/>
      </c>
    </row>
    <row r="715" spans="1:5" x14ac:dyDescent="0.25">
      <c r="A715" s="103"/>
      <c r="B715" s="103"/>
      <c r="C715" s="103"/>
      <c r="D715" s="77" t="str">
        <f ca="1">IFERROR(INDEX(Validation!G:G,MATCH("Parcels"&amp;CELL("address",D715),Validation!I:I,0)),"")</f>
        <v/>
      </c>
      <c r="E715" s="66" t="str">
        <f ca="1">IFERROR(INDEX(Validation!F:F,MATCH("Parcels"&amp;CELL("address",D715),Validation!I:I,0)),"")</f>
        <v/>
      </c>
    </row>
    <row r="716" spans="1:5" x14ac:dyDescent="0.25">
      <c r="A716" s="103"/>
      <c r="B716" s="103"/>
      <c r="C716" s="103"/>
      <c r="D716" s="77" t="str">
        <f ca="1">IFERROR(INDEX(Validation!G:G,MATCH("Parcels"&amp;CELL("address",D716),Validation!I:I,0)),"")</f>
        <v/>
      </c>
      <c r="E716" s="66" t="str">
        <f ca="1">IFERROR(INDEX(Validation!F:F,MATCH("Parcels"&amp;CELL("address",D716),Validation!I:I,0)),"")</f>
        <v/>
      </c>
    </row>
    <row r="717" spans="1:5" x14ac:dyDescent="0.25">
      <c r="A717" s="103"/>
      <c r="B717" s="103"/>
      <c r="C717" s="103"/>
      <c r="D717" s="77" t="str">
        <f ca="1">IFERROR(INDEX(Validation!G:G,MATCH("Parcels"&amp;CELL("address",D717),Validation!I:I,0)),"")</f>
        <v/>
      </c>
      <c r="E717" s="66" t="str">
        <f ca="1">IFERROR(INDEX(Validation!F:F,MATCH("Parcels"&amp;CELL("address",D717),Validation!I:I,0)),"")</f>
        <v/>
      </c>
    </row>
    <row r="718" spans="1:5" x14ac:dyDescent="0.25">
      <c r="A718" s="103"/>
      <c r="B718" s="103"/>
      <c r="C718" s="103"/>
      <c r="D718" s="77" t="str">
        <f ca="1">IFERROR(INDEX(Validation!G:G,MATCH("Parcels"&amp;CELL("address",D718),Validation!I:I,0)),"")</f>
        <v/>
      </c>
      <c r="E718" s="66" t="str">
        <f ca="1">IFERROR(INDEX(Validation!F:F,MATCH("Parcels"&amp;CELL("address",D718),Validation!I:I,0)),"")</f>
        <v/>
      </c>
    </row>
    <row r="719" spans="1:5" x14ac:dyDescent="0.25">
      <c r="A719" s="103"/>
      <c r="B719" s="103"/>
      <c r="C719" s="103"/>
      <c r="D719" s="77" t="str">
        <f ca="1">IFERROR(INDEX(Validation!G:G,MATCH("Parcels"&amp;CELL("address",D719),Validation!I:I,0)),"")</f>
        <v/>
      </c>
      <c r="E719" s="66" t="str">
        <f ca="1">IFERROR(INDEX(Validation!F:F,MATCH("Parcels"&amp;CELL("address",D719),Validation!I:I,0)),"")</f>
        <v/>
      </c>
    </row>
    <row r="720" spans="1:5" x14ac:dyDescent="0.25">
      <c r="A720" s="103"/>
      <c r="B720" s="103"/>
      <c r="C720" s="103"/>
      <c r="D720" s="77" t="str">
        <f ca="1">IFERROR(INDEX(Validation!G:G,MATCH("Parcels"&amp;CELL("address",D720),Validation!I:I,0)),"")</f>
        <v/>
      </c>
      <c r="E720" s="66" t="str">
        <f ca="1">IFERROR(INDEX(Validation!F:F,MATCH("Parcels"&amp;CELL("address",D720),Validation!I:I,0)),"")</f>
        <v/>
      </c>
    </row>
    <row r="721" spans="1:5" x14ac:dyDescent="0.25">
      <c r="A721" s="103"/>
      <c r="B721" s="103"/>
      <c r="C721" s="103"/>
      <c r="D721" s="77" t="str">
        <f ca="1">IFERROR(INDEX(Validation!G:G,MATCH("Parcels"&amp;CELL("address",D721),Validation!I:I,0)),"")</f>
        <v/>
      </c>
      <c r="E721" s="66" t="str">
        <f ca="1">IFERROR(INDEX(Validation!F:F,MATCH("Parcels"&amp;CELL("address",D721),Validation!I:I,0)),"")</f>
        <v/>
      </c>
    </row>
    <row r="722" spans="1:5" x14ac:dyDescent="0.25">
      <c r="A722" s="103"/>
      <c r="B722" s="103"/>
      <c r="C722" s="103"/>
      <c r="D722" s="77" t="str">
        <f ca="1">IFERROR(INDEX(Validation!G:G,MATCH("Parcels"&amp;CELL("address",D722),Validation!I:I,0)),"")</f>
        <v/>
      </c>
      <c r="E722" s="66" t="str">
        <f ca="1">IFERROR(INDEX(Validation!F:F,MATCH("Parcels"&amp;CELL("address",D722),Validation!I:I,0)),"")</f>
        <v/>
      </c>
    </row>
    <row r="723" spans="1:5" x14ac:dyDescent="0.25">
      <c r="A723" s="103"/>
      <c r="B723" s="103"/>
      <c r="C723" s="103"/>
      <c r="D723" s="77" t="str">
        <f ca="1">IFERROR(INDEX(Validation!G:G,MATCH("Parcels"&amp;CELL("address",D723),Validation!I:I,0)),"")</f>
        <v/>
      </c>
      <c r="E723" s="66" t="str">
        <f ca="1">IFERROR(INDEX(Validation!F:F,MATCH("Parcels"&amp;CELL("address",D723),Validation!I:I,0)),"")</f>
        <v/>
      </c>
    </row>
    <row r="724" spans="1:5" x14ac:dyDescent="0.25">
      <c r="A724" s="103"/>
      <c r="B724" s="103"/>
      <c r="C724" s="103"/>
      <c r="D724" s="77" t="str">
        <f ca="1">IFERROR(INDEX(Validation!G:G,MATCH("Parcels"&amp;CELL("address",D724),Validation!I:I,0)),"")</f>
        <v/>
      </c>
      <c r="E724" s="66" t="str">
        <f ca="1">IFERROR(INDEX(Validation!F:F,MATCH("Parcels"&amp;CELL("address",D724),Validation!I:I,0)),"")</f>
        <v/>
      </c>
    </row>
    <row r="725" spans="1:5" x14ac:dyDescent="0.25">
      <c r="A725" s="103"/>
      <c r="B725" s="103"/>
      <c r="C725" s="103"/>
      <c r="D725" s="77" t="str">
        <f ca="1">IFERROR(INDEX(Validation!G:G,MATCH("Parcels"&amp;CELL("address",D725),Validation!I:I,0)),"")</f>
        <v/>
      </c>
      <c r="E725" s="66" t="str">
        <f ca="1">IFERROR(INDEX(Validation!F:F,MATCH("Parcels"&amp;CELL("address",D725),Validation!I:I,0)),"")</f>
        <v/>
      </c>
    </row>
    <row r="726" spans="1:5" x14ac:dyDescent="0.25">
      <c r="A726" s="103"/>
      <c r="B726" s="103"/>
      <c r="C726" s="103"/>
      <c r="D726" s="77" t="str">
        <f ca="1">IFERROR(INDEX(Validation!G:G,MATCH("Parcels"&amp;CELL("address",D726),Validation!I:I,0)),"")</f>
        <v/>
      </c>
      <c r="E726" s="66" t="str">
        <f ca="1">IFERROR(INDEX(Validation!F:F,MATCH("Parcels"&amp;CELL("address",D726),Validation!I:I,0)),"")</f>
        <v/>
      </c>
    </row>
    <row r="727" spans="1:5" x14ac:dyDescent="0.25">
      <c r="A727" s="103"/>
      <c r="B727" s="103"/>
      <c r="C727" s="103"/>
      <c r="D727" s="77" t="str">
        <f ca="1">IFERROR(INDEX(Validation!G:G,MATCH("Parcels"&amp;CELL("address",D727),Validation!I:I,0)),"")</f>
        <v/>
      </c>
      <c r="E727" s="66" t="str">
        <f ca="1">IFERROR(INDEX(Validation!F:F,MATCH("Parcels"&amp;CELL("address",D727),Validation!I:I,0)),"")</f>
        <v/>
      </c>
    </row>
    <row r="728" spans="1:5" x14ac:dyDescent="0.25">
      <c r="A728" s="103"/>
      <c r="B728" s="103"/>
      <c r="C728" s="103"/>
      <c r="D728" s="77" t="str">
        <f ca="1">IFERROR(INDEX(Validation!G:G,MATCH("Parcels"&amp;CELL("address",D728),Validation!I:I,0)),"")</f>
        <v/>
      </c>
      <c r="E728" s="66" t="str">
        <f ca="1">IFERROR(INDEX(Validation!F:F,MATCH("Parcels"&amp;CELL("address",D728),Validation!I:I,0)),"")</f>
        <v/>
      </c>
    </row>
    <row r="729" spans="1:5" x14ac:dyDescent="0.25">
      <c r="A729" s="103"/>
      <c r="B729" s="103"/>
      <c r="C729" s="103"/>
      <c r="D729" s="77" t="str">
        <f ca="1">IFERROR(INDEX(Validation!G:G,MATCH("Parcels"&amp;CELL("address",D729),Validation!I:I,0)),"")</f>
        <v/>
      </c>
      <c r="E729" s="66" t="str">
        <f ca="1">IFERROR(INDEX(Validation!F:F,MATCH("Parcels"&amp;CELL("address",D729),Validation!I:I,0)),"")</f>
        <v/>
      </c>
    </row>
    <row r="730" spans="1:5" x14ac:dyDescent="0.25">
      <c r="A730" s="103"/>
      <c r="B730" s="103"/>
      <c r="C730" s="103"/>
      <c r="D730" s="77" t="str">
        <f ca="1">IFERROR(INDEX(Validation!G:G,MATCH("Parcels"&amp;CELL("address",D730),Validation!I:I,0)),"")</f>
        <v/>
      </c>
      <c r="E730" s="66" t="str">
        <f ca="1">IFERROR(INDEX(Validation!F:F,MATCH("Parcels"&amp;CELL("address",D730),Validation!I:I,0)),"")</f>
        <v/>
      </c>
    </row>
    <row r="731" spans="1:5" x14ac:dyDescent="0.25">
      <c r="A731" s="103"/>
      <c r="B731" s="103"/>
      <c r="C731" s="103"/>
      <c r="D731" s="77" t="str">
        <f ca="1">IFERROR(INDEX(Validation!G:G,MATCH("Parcels"&amp;CELL("address",D731),Validation!I:I,0)),"")</f>
        <v/>
      </c>
      <c r="E731" s="66" t="str">
        <f ca="1">IFERROR(INDEX(Validation!F:F,MATCH("Parcels"&amp;CELL("address",D731),Validation!I:I,0)),"")</f>
        <v/>
      </c>
    </row>
    <row r="732" spans="1:5" x14ac:dyDescent="0.25">
      <c r="A732" s="103"/>
      <c r="B732" s="103"/>
      <c r="C732" s="103"/>
      <c r="D732" s="77" t="str">
        <f ca="1">IFERROR(INDEX(Validation!G:G,MATCH("Parcels"&amp;CELL("address",D732),Validation!I:I,0)),"")</f>
        <v/>
      </c>
      <c r="E732" s="66" t="str">
        <f ca="1">IFERROR(INDEX(Validation!F:F,MATCH("Parcels"&amp;CELL("address",D732),Validation!I:I,0)),"")</f>
        <v/>
      </c>
    </row>
    <row r="733" spans="1:5" x14ac:dyDescent="0.25">
      <c r="A733" s="103"/>
      <c r="B733" s="103"/>
      <c r="C733" s="103"/>
      <c r="D733" s="77" t="str">
        <f ca="1">IFERROR(INDEX(Validation!G:G,MATCH("Parcels"&amp;CELL("address",D733),Validation!I:I,0)),"")</f>
        <v/>
      </c>
      <c r="E733" s="66" t="str">
        <f ca="1">IFERROR(INDEX(Validation!F:F,MATCH("Parcels"&amp;CELL("address",D733),Validation!I:I,0)),"")</f>
        <v/>
      </c>
    </row>
    <row r="734" spans="1:5" x14ac:dyDescent="0.25">
      <c r="A734" s="103"/>
      <c r="B734" s="103"/>
      <c r="C734" s="103"/>
      <c r="D734" s="77" t="str">
        <f ca="1">IFERROR(INDEX(Validation!G:G,MATCH("Parcels"&amp;CELL("address",D734),Validation!I:I,0)),"")</f>
        <v/>
      </c>
      <c r="E734" s="66" t="str">
        <f ca="1">IFERROR(INDEX(Validation!F:F,MATCH("Parcels"&amp;CELL("address",D734),Validation!I:I,0)),"")</f>
        <v/>
      </c>
    </row>
    <row r="735" spans="1:5" x14ac:dyDescent="0.25">
      <c r="A735" s="103"/>
      <c r="B735" s="103"/>
      <c r="C735" s="103"/>
      <c r="D735" s="77" t="str">
        <f ca="1">IFERROR(INDEX(Validation!G:G,MATCH("Parcels"&amp;CELL("address",D735),Validation!I:I,0)),"")</f>
        <v/>
      </c>
      <c r="E735" s="66" t="str">
        <f ca="1">IFERROR(INDEX(Validation!F:F,MATCH("Parcels"&amp;CELL("address",D735),Validation!I:I,0)),"")</f>
        <v/>
      </c>
    </row>
    <row r="736" spans="1:5" x14ac:dyDescent="0.25">
      <c r="A736" s="103"/>
      <c r="B736" s="103"/>
      <c r="C736" s="103"/>
      <c r="D736" s="77" t="str">
        <f ca="1">IFERROR(INDEX(Validation!G:G,MATCH("Parcels"&amp;CELL("address",D736),Validation!I:I,0)),"")</f>
        <v/>
      </c>
      <c r="E736" s="66" t="str">
        <f ca="1">IFERROR(INDEX(Validation!F:F,MATCH("Parcels"&amp;CELL("address",D736),Validation!I:I,0)),"")</f>
        <v/>
      </c>
    </row>
    <row r="737" spans="1:5" x14ac:dyDescent="0.25">
      <c r="A737" s="103"/>
      <c r="B737" s="103"/>
      <c r="C737" s="103"/>
      <c r="D737" s="77" t="str">
        <f ca="1">IFERROR(INDEX(Validation!G:G,MATCH("Parcels"&amp;CELL("address",D737),Validation!I:I,0)),"")</f>
        <v/>
      </c>
      <c r="E737" s="66" t="str">
        <f ca="1">IFERROR(INDEX(Validation!F:F,MATCH("Parcels"&amp;CELL("address",D737),Validation!I:I,0)),"")</f>
        <v/>
      </c>
    </row>
    <row r="738" spans="1:5" x14ac:dyDescent="0.25">
      <c r="A738" s="103"/>
      <c r="B738" s="103"/>
      <c r="C738" s="103"/>
      <c r="D738" s="77" t="str">
        <f ca="1">IFERROR(INDEX(Validation!G:G,MATCH("Parcels"&amp;CELL("address",D738),Validation!I:I,0)),"")</f>
        <v/>
      </c>
      <c r="E738" s="66" t="str">
        <f ca="1">IFERROR(INDEX(Validation!F:F,MATCH("Parcels"&amp;CELL("address",D738),Validation!I:I,0)),"")</f>
        <v/>
      </c>
    </row>
    <row r="739" spans="1:5" x14ac:dyDescent="0.25">
      <c r="A739" s="103"/>
      <c r="B739" s="103"/>
      <c r="C739" s="103"/>
      <c r="D739" s="77" t="str">
        <f ca="1">IFERROR(INDEX(Validation!G:G,MATCH("Parcels"&amp;CELL("address",D739),Validation!I:I,0)),"")</f>
        <v/>
      </c>
      <c r="E739" s="66" t="str">
        <f ca="1">IFERROR(INDEX(Validation!F:F,MATCH("Parcels"&amp;CELL("address",D739),Validation!I:I,0)),"")</f>
        <v/>
      </c>
    </row>
    <row r="740" spans="1:5" x14ac:dyDescent="0.25">
      <c r="A740" s="103"/>
      <c r="B740" s="103"/>
      <c r="C740" s="103"/>
      <c r="D740" s="77" t="str">
        <f ca="1">IFERROR(INDEX(Validation!G:G,MATCH("Parcels"&amp;CELL("address",D740),Validation!I:I,0)),"")</f>
        <v/>
      </c>
      <c r="E740" s="66" t="str">
        <f ca="1">IFERROR(INDEX(Validation!F:F,MATCH("Parcels"&amp;CELL("address",D740),Validation!I:I,0)),"")</f>
        <v/>
      </c>
    </row>
    <row r="741" spans="1:5" x14ac:dyDescent="0.25">
      <c r="A741" s="103"/>
      <c r="B741" s="103"/>
      <c r="C741" s="103"/>
      <c r="D741" s="77" t="str">
        <f ca="1">IFERROR(INDEX(Validation!G:G,MATCH("Parcels"&amp;CELL("address",D741),Validation!I:I,0)),"")</f>
        <v/>
      </c>
      <c r="E741" s="66" t="str">
        <f ca="1">IFERROR(INDEX(Validation!F:F,MATCH("Parcels"&amp;CELL("address",D741),Validation!I:I,0)),"")</f>
        <v/>
      </c>
    </row>
    <row r="742" spans="1:5" x14ac:dyDescent="0.25">
      <c r="A742" s="103"/>
      <c r="B742" s="103"/>
      <c r="C742" s="103"/>
      <c r="D742" s="77" t="str">
        <f ca="1">IFERROR(INDEX(Validation!G:G,MATCH("Parcels"&amp;CELL("address",D742),Validation!I:I,0)),"")</f>
        <v/>
      </c>
      <c r="E742" s="66" t="str">
        <f ca="1">IFERROR(INDEX(Validation!F:F,MATCH("Parcels"&amp;CELL("address",D742),Validation!I:I,0)),"")</f>
        <v/>
      </c>
    </row>
    <row r="743" spans="1:5" x14ac:dyDescent="0.25">
      <c r="A743" s="103"/>
      <c r="B743" s="103"/>
      <c r="C743" s="103"/>
      <c r="D743" s="77" t="str">
        <f ca="1">IFERROR(INDEX(Validation!G:G,MATCH("Parcels"&amp;CELL("address",D743),Validation!I:I,0)),"")</f>
        <v/>
      </c>
      <c r="E743" s="66" t="str">
        <f ca="1">IFERROR(INDEX(Validation!F:F,MATCH("Parcels"&amp;CELL("address",D743),Validation!I:I,0)),"")</f>
        <v/>
      </c>
    </row>
    <row r="744" spans="1:5" x14ac:dyDescent="0.25">
      <c r="A744" s="103"/>
      <c r="B744" s="103"/>
      <c r="C744" s="103"/>
      <c r="D744" s="77" t="str">
        <f ca="1">IFERROR(INDEX(Validation!G:G,MATCH("Parcels"&amp;CELL("address",D744),Validation!I:I,0)),"")</f>
        <v/>
      </c>
      <c r="E744" s="66" t="str">
        <f ca="1">IFERROR(INDEX(Validation!F:F,MATCH("Parcels"&amp;CELL("address",D744),Validation!I:I,0)),"")</f>
        <v/>
      </c>
    </row>
    <row r="745" spans="1:5" x14ac:dyDescent="0.25">
      <c r="A745" s="103"/>
      <c r="B745" s="103"/>
      <c r="C745" s="103"/>
      <c r="D745" s="77" t="str">
        <f ca="1">IFERROR(INDEX(Validation!G:G,MATCH("Parcels"&amp;CELL("address",D745),Validation!I:I,0)),"")</f>
        <v/>
      </c>
      <c r="E745" s="66" t="str">
        <f ca="1">IFERROR(INDEX(Validation!F:F,MATCH("Parcels"&amp;CELL("address",D745),Validation!I:I,0)),"")</f>
        <v/>
      </c>
    </row>
    <row r="746" spans="1:5" x14ac:dyDescent="0.25">
      <c r="A746" s="103"/>
      <c r="B746" s="103"/>
      <c r="C746" s="103"/>
      <c r="D746" s="77" t="str">
        <f ca="1">IFERROR(INDEX(Validation!G:G,MATCH("Parcels"&amp;CELL("address",D746),Validation!I:I,0)),"")</f>
        <v/>
      </c>
      <c r="E746" s="66" t="str">
        <f ca="1">IFERROR(INDEX(Validation!F:F,MATCH("Parcels"&amp;CELL("address",D746),Validation!I:I,0)),"")</f>
        <v/>
      </c>
    </row>
    <row r="747" spans="1:5" x14ac:dyDescent="0.25">
      <c r="A747" s="103"/>
      <c r="B747" s="103"/>
      <c r="C747" s="103"/>
      <c r="D747" s="77" t="str">
        <f ca="1">IFERROR(INDEX(Validation!G:G,MATCH("Parcels"&amp;CELL("address",D747),Validation!I:I,0)),"")</f>
        <v/>
      </c>
      <c r="E747" s="66" t="str">
        <f ca="1">IFERROR(INDEX(Validation!F:F,MATCH("Parcels"&amp;CELL("address",D747),Validation!I:I,0)),"")</f>
        <v/>
      </c>
    </row>
    <row r="748" spans="1:5" x14ac:dyDescent="0.25">
      <c r="A748" s="103"/>
      <c r="B748" s="103"/>
      <c r="C748" s="103"/>
      <c r="D748" s="77" t="str">
        <f ca="1">IFERROR(INDEX(Validation!G:G,MATCH("Parcels"&amp;CELL("address",D748),Validation!I:I,0)),"")</f>
        <v/>
      </c>
      <c r="E748" s="66" t="str">
        <f ca="1">IFERROR(INDEX(Validation!F:F,MATCH("Parcels"&amp;CELL("address",D748),Validation!I:I,0)),"")</f>
        <v/>
      </c>
    </row>
    <row r="749" spans="1:5" x14ac:dyDescent="0.25">
      <c r="A749" s="103"/>
      <c r="B749" s="103"/>
      <c r="C749" s="103"/>
      <c r="D749" s="77" t="str">
        <f ca="1">IFERROR(INDEX(Validation!G:G,MATCH("Parcels"&amp;CELL("address",D749),Validation!I:I,0)),"")</f>
        <v/>
      </c>
      <c r="E749" s="66" t="str">
        <f ca="1">IFERROR(INDEX(Validation!F:F,MATCH("Parcels"&amp;CELL("address",D749),Validation!I:I,0)),"")</f>
        <v/>
      </c>
    </row>
    <row r="750" spans="1:5" x14ac:dyDescent="0.25">
      <c r="A750" s="103"/>
      <c r="B750" s="103"/>
      <c r="C750" s="103"/>
      <c r="D750" s="77" t="str">
        <f ca="1">IFERROR(INDEX(Validation!G:G,MATCH("Parcels"&amp;CELL("address",D750),Validation!I:I,0)),"")</f>
        <v/>
      </c>
      <c r="E750" s="66" t="str">
        <f ca="1">IFERROR(INDEX(Validation!F:F,MATCH("Parcels"&amp;CELL("address",D750),Validation!I:I,0)),"")</f>
        <v/>
      </c>
    </row>
    <row r="751" spans="1:5" x14ac:dyDescent="0.25">
      <c r="A751" s="103"/>
      <c r="B751" s="103"/>
      <c r="C751" s="103"/>
      <c r="D751" s="77" t="str">
        <f ca="1">IFERROR(INDEX(Validation!G:G,MATCH("Parcels"&amp;CELL("address",D751),Validation!I:I,0)),"")</f>
        <v/>
      </c>
      <c r="E751" s="66" t="str">
        <f ca="1">IFERROR(INDEX(Validation!F:F,MATCH("Parcels"&amp;CELL("address",D751),Validation!I:I,0)),"")</f>
        <v/>
      </c>
    </row>
    <row r="752" spans="1:5" x14ac:dyDescent="0.25">
      <c r="A752" s="103"/>
      <c r="B752" s="103"/>
      <c r="C752" s="103"/>
      <c r="D752" s="77" t="str">
        <f ca="1">IFERROR(INDEX(Validation!G:G,MATCH("Parcels"&amp;CELL("address",D752),Validation!I:I,0)),"")</f>
        <v/>
      </c>
      <c r="E752" s="66" t="str">
        <f ca="1">IFERROR(INDEX(Validation!F:F,MATCH("Parcels"&amp;CELL("address",D752),Validation!I:I,0)),"")</f>
        <v/>
      </c>
    </row>
    <row r="753" spans="1:5" x14ac:dyDescent="0.25">
      <c r="A753" s="103"/>
      <c r="B753" s="103"/>
      <c r="C753" s="103"/>
      <c r="D753" s="77" t="str">
        <f ca="1">IFERROR(INDEX(Validation!G:G,MATCH("Parcels"&amp;CELL("address",D753),Validation!I:I,0)),"")</f>
        <v/>
      </c>
      <c r="E753" s="66" t="str">
        <f ca="1">IFERROR(INDEX(Validation!F:F,MATCH("Parcels"&amp;CELL("address",D753),Validation!I:I,0)),"")</f>
        <v/>
      </c>
    </row>
    <row r="754" spans="1:5" x14ac:dyDescent="0.25">
      <c r="A754" s="103"/>
      <c r="B754" s="103"/>
      <c r="C754" s="103"/>
      <c r="D754" s="77" t="str">
        <f ca="1">IFERROR(INDEX(Validation!G:G,MATCH("Parcels"&amp;CELL("address",D754),Validation!I:I,0)),"")</f>
        <v/>
      </c>
      <c r="E754" s="66" t="str">
        <f ca="1">IFERROR(INDEX(Validation!F:F,MATCH("Parcels"&amp;CELL("address",D754),Validation!I:I,0)),"")</f>
        <v/>
      </c>
    </row>
    <row r="755" spans="1:5" x14ac:dyDescent="0.25">
      <c r="A755" s="103"/>
      <c r="B755" s="103"/>
      <c r="C755" s="103"/>
      <c r="D755" s="77" t="str">
        <f ca="1">IFERROR(INDEX(Validation!G:G,MATCH("Parcels"&amp;CELL("address",D755),Validation!I:I,0)),"")</f>
        <v/>
      </c>
      <c r="E755" s="66" t="str">
        <f ca="1">IFERROR(INDEX(Validation!F:F,MATCH("Parcels"&amp;CELL("address",D755),Validation!I:I,0)),"")</f>
        <v/>
      </c>
    </row>
    <row r="756" spans="1:5" x14ac:dyDescent="0.25">
      <c r="A756" s="103"/>
      <c r="B756" s="103"/>
      <c r="C756" s="103"/>
      <c r="D756" s="77" t="str">
        <f ca="1">IFERROR(INDEX(Validation!G:G,MATCH("Parcels"&amp;CELL("address",D756),Validation!I:I,0)),"")</f>
        <v/>
      </c>
      <c r="E756" s="66" t="str">
        <f ca="1">IFERROR(INDEX(Validation!F:F,MATCH("Parcels"&amp;CELL("address",D756),Validation!I:I,0)),"")</f>
        <v/>
      </c>
    </row>
    <row r="757" spans="1:5" x14ac:dyDescent="0.25">
      <c r="A757" s="103"/>
      <c r="B757" s="103"/>
      <c r="C757" s="103"/>
      <c r="D757" s="77" t="str">
        <f ca="1">IFERROR(INDEX(Validation!G:G,MATCH("Parcels"&amp;CELL("address",D757),Validation!I:I,0)),"")</f>
        <v/>
      </c>
      <c r="E757" s="66" t="str">
        <f ca="1">IFERROR(INDEX(Validation!F:F,MATCH("Parcels"&amp;CELL("address",D757),Validation!I:I,0)),"")</f>
        <v/>
      </c>
    </row>
    <row r="758" spans="1:5" x14ac:dyDescent="0.25">
      <c r="A758" s="103"/>
      <c r="B758" s="103"/>
      <c r="C758" s="103"/>
      <c r="D758" s="77" t="str">
        <f ca="1">IFERROR(INDEX(Validation!G:G,MATCH("Parcels"&amp;CELL("address",D758),Validation!I:I,0)),"")</f>
        <v/>
      </c>
      <c r="E758" s="66" t="str">
        <f ca="1">IFERROR(INDEX(Validation!F:F,MATCH("Parcels"&amp;CELL("address",D758),Validation!I:I,0)),"")</f>
        <v/>
      </c>
    </row>
    <row r="759" spans="1:5" x14ac:dyDescent="0.25">
      <c r="A759" s="103"/>
      <c r="B759" s="103"/>
      <c r="C759" s="103"/>
      <c r="D759" s="77" t="str">
        <f ca="1">IFERROR(INDEX(Validation!G:G,MATCH("Parcels"&amp;CELL("address",D759),Validation!I:I,0)),"")</f>
        <v/>
      </c>
      <c r="E759" s="66" t="str">
        <f ca="1">IFERROR(INDEX(Validation!F:F,MATCH("Parcels"&amp;CELL("address",D759),Validation!I:I,0)),"")</f>
        <v/>
      </c>
    </row>
    <row r="760" spans="1:5" x14ac:dyDescent="0.25">
      <c r="A760" s="103"/>
      <c r="B760" s="103"/>
      <c r="C760" s="103"/>
      <c r="D760" s="77" t="str">
        <f ca="1">IFERROR(INDEX(Validation!G:G,MATCH("Parcels"&amp;CELL("address",D760),Validation!I:I,0)),"")</f>
        <v/>
      </c>
      <c r="E760" s="66" t="str">
        <f ca="1">IFERROR(INDEX(Validation!F:F,MATCH("Parcels"&amp;CELL("address",D760),Validation!I:I,0)),"")</f>
        <v/>
      </c>
    </row>
    <row r="761" spans="1:5" x14ac:dyDescent="0.25">
      <c r="A761" s="103"/>
      <c r="B761" s="103"/>
      <c r="C761" s="103"/>
      <c r="D761" s="77" t="str">
        <f ca="1">IFERROR(INDEX(Validation!G:G,MATCH("Parcels"&amp;CELL("address",D761),Validation!I:I,0)),"")</f>
        <v/>
      </c>
      <c r="E761" s="66" t="str">
        <f ca="1">IFERROR(INDEX(Validation!F:F,MATCH("Parcels"&amp;CELL("address",D761),Validation!I:I,0)),"")</f>
        <v/>
      </c>
    </row>
    <row r="762" spans="1:5" x14ac:dyDescent="0.25">
      <c r="A762" s="103"/>
      <c r="B762" s="103"/>
      <c r="C762" s="103"/>
      <c r="D762" s="77" t="str">
        <f ca="1">IFERROR(INDEX(Validation!G:G,MATCH("Parcels"&amp;CELL("address",D762),Validation!I:I,0)),"")</f>
        <v/>
      </c>
      <c r="E762" s="66" t="str">
        <f ca="1">IFERROR(INDEX(Validation!F:F,MATCH("Parcels"&amp;CELL("address",D762),Validation!I:I,0)),"")</f>
        <v/>
      </c>
    </row>
    <row r="763" spans="1:5" x14ac:dyDescent="0.25">
      <c r="A763" s="103"/>
      <c r="B763" s="103"/>
      <c r="C763" s="103"/>
      <c r="D763" s="77" t="str">
        <f ca="1">IFERROR(INDEX(Validation!G:G,MATCH("Parcels"&amp;CELL("address",D763),Validation!I:I,0)),"")</f>
        <v/>
      </c>
      <c r="E763" s="66" t="str">
        <f ca="1">IFERROR(INDEX(Validation!F:F,MATCH("Parcels"&amp;CELL("address",D763),Validation!I:I,0)),"")</f>
        <v/>
      </c>
    </row>
    <row r="764" spans="1:5" x14ac:dyDescent="0.25">
      <c r="A764" s="103"/>
      <c r="B764" s="103"/>
      <c r="C764" s="103"/>
      <c r="D764" s="77" t="str">
        <f ca="1">IFERROR(INDEX(Validation!G:G,MATCH("Parcels"&amp;CELL("address",D764),Validation!I:I,0)),"")</f>
        <v/>
      </c>
      <c r="E764" s="66" t="str">
        <f ca="1">IFERROR(INDEX(Validation!F:F,MATCH("Parcels"&amp;CELL("address",D764),Validation!I:I,0)),"")</f>
        <v/>
      </c>
    </row>
    <row r="765" spans="1:5" x14ac:dyDescent="0.25">
      <c r="A765" s="103"/>
      <c r="B765" s="103"/>
      <c r="C765" s="103"/>
      <c r="D765" s="77" t="str">
        <f ca="1">IFERROR(INDEX(Validation!G:G,MATCH("Parcels"&amp;CELL("address",D765),Validation!I:I,0)),"")</f>
        <v/>
      </c>
      <c r="E765" s="66" t="str">
        <f ca="1">IFERROR(INDEX(Validation!F:F,MATCH("Parcels"&amp;CELL("address",D765),Validation!I:I,0)),"")</f>
        <v/>
      </c>
    </row>
    <row r="766" spans="1:5" x14ac:dyDescent="0.25">
      <c r="A766" s="103"/>
      <c r="B766" s="103"/>
      <c r="C766" s="103"/>
      <c r="D766" s="77" t="str">
        <f ca="1">IFERROR(INDEX(Validation!G:G,MATCH("Parcels"&amp;CELL("address",D766),Validation!I:I,0)),"")</f>
        <v/>
      </c>
      <c r="E766" s="66" t="str">
        <f ca="1">IFERROR(INDEX(Validation!F:F,MATCH("Parcels"&amp;CELL("address",D766),Validation!I:I,0)),"")</f>
        <v/>
      </c>
    </row>
    <row r="767" spans="1:5" x14ac:dyDescent="0.25">
      <c r="A767" s="103"/>
      <c r="B767" s="103"/>
      <c r="C767" s="103"/>
      <c r="D767" s="77" t="str">
        <f ca="1">IFERROR(INDEX(Validation!G:G,MATCH("Parcels"&amp;CELL("address",D767),Validation!I:I,0)),"")</f>
        <v/>
      </c>
      <c r="E767" s="66" t="str">
        <f ca="1">IFERROR(INDEX(Validation!F:F,MATCH("Parcels"&amp;CELL("address",D767),Validation!I:I,0)),"")</f>
        <v/>
      </c>
    </row>
    <row r="768" spans="1:5" x14ac:dyDescent="0.25">
      <c r="A768" s="103"/>
      <c r="B768" s="103"/>
      <c r="C768" s="103"/>
      <c r="D768" s="77" t="str">
        <f ca="1">IFERROR(INDEX(Validation!G:G,MATCH("Parcels"&amp;CELL("address",D768),Validation!I:I,0)),"")</f>
        <v/>
      </c>
      <c r="E768" s="66" t="str">
        <f ca="1">IFERROR(INDEX(Validation!F:F,MATCH("Parcels"&amp;CELL("address",D768),Validation!I:I,0)),"")</f>
        <v/>
      </c>
    </row>
    <row r="769" spans="1:5" x14ac:dyDescent="0.25">
      <c r="A769" s="103"/>
      <c r="B769" s="103"/>
      <c r="C769" s="103"/>
      <c r="D769" s="77" t="str">
        <f ca="1">IFERROR(INDEX(Validation!G:G,MATCH("Parcels"&amp;CELL("address",D769),Validation!I:I,0)),"")</f>
        <v/>
      </c>
      <c r="E769" s="66" t="str">
        <f ca="1">IFERROR(INDEX(Validation!F:F,MATCH("Parcels"&amp;CELL("address",D769),Validation!I:I,0)),"")</f>
        <v/>
      </c>
    </row>
    <row r="770" spans="1:5" x14ac:dyDescent="0.25">
      <c r="A770" s="103"/>
      <c r="B770" s="103"/>
      <c r="C770" s="103"/>
      <c r="D770" s="77" t="str">
        <f ca="1">IFERROR(INDEX(Validation!G:G,MATCH("Parcels"&amp;CELL("address",D770),Validation!I:I,0)),"")</f>
        <v/>
      </c>
      <c r="E770" s="66" t="str">
        <f ca="1">IFERROR(INDEX(Validation!F:F,MATCH("Parcels"&amp;CELL("address",D770),Validation!I:I,0)),"")</f>
        <v/>
      </c>
    </row>
    <row r="771" spans="1:5" x14ac:dyDescent="0.25">
      <c r="A771" s="103"/>
      <c r="B771" s="103"/>
      <c r="C771" s="103"/>
      <c r="D771" s="77" t="str">
        <f ca="1">IFERROR(INDEX(Validation!G:G,MATCH("Parcels"&amp;CELL("address",D771),Validation!I:I,0)),"")</f>
        <v/>
      </c>
      <c r="E771" s="66" t="str">
        <f ca="1">IFERROR(INDEX(Validation!F:F,MATCH("Parcels"&amp;CELL("address",D771),Validation!I:I,0)),"")</f>
        <v/>
      </c>
    </row>
    <row r="772" spans="1:5" x14ac:dyDescent="0.25">
      <c r="A772" s="103"/>
      <c r="B772" s="103"/>
      <c r="C772" s="103"/>
      <c r="D772" s="77" t="str">
        <f ca="1">IFERROR(INDEX(Validation!G:G,MATCH("Parcels"&amp;CELL("address",D772),Validation!I:I,0)),"")</f>
        <v/>
      </c>
      <c r="E772" s="66" t="str">
        <f ca="1">IFERROR(INDEX(Validation!F:F,MATCH("Parcels"&amp;CELL("address",D772),Validation!I:I,0)),"")</f>
        <v/>
      </c>
    </row>
    <row r="773" spans="1:5" x14ac:dyDescent="0.25">
      <c r="A773" s="103"/>
      <c r="B773" s="103"/>
      <c r="C773" s="103"/>
      <c r="D773" s="77" t="str">
        <f ca="1">IFERROR(INDEX(Validation!G:G,MATCH("Parcels"&amp;CELL("address",D773),Validation!I:I,0)),"")</f>
        <v/>
      </c>
      <c r="E773" s="66" t="str">
        <f ca="1">IFERROR(INDEX(Validation!F:F,MATCH("Parcels"&amp;CELL("address",D773),Validation!I:I,0)),"")</f>
        <v/>
      </c>
    </row>
    <row r="774" spans="1:5" x14ac:dyDescent="0.25">
      <c r="A774" s="103"/>
      <c r="B774" s="103"/>
      <c r="C774" s="103"/>
      <c r="D774" s="77" t="str">
        <f ca="1">IFERROR(INDEX(Validation!G:G,MATCH("Parcels"&amp;CELL("address",D774),Validation!I:I,0)),"")</f>
        <v/>
      </c>
      <c r="E774" s="66" t="str">
        <f ca="1">IFERROR(INDEX(Validation!F:F,MATCH("Parcels"&amp;CELL("address",D774),Validation!I:I,0)),"")</f>
        <v/>
      </c>
    </row>
    <row r="775" spans="1:5" x14ac:dyDescent="0.25">
      <c r="A775" s="103"/>
      <c r="B775" s="103"/>
      <c r="C775" s="103"/>
      <c r="D775" s="77" t="str">
        <f ca="1">IFERROR(INDEX(Validation!G:G,MATCH("Parcels"&amp;CELL("address",D775),Validation!I:I,0)),"")</f>
        <v/>
      </c>
      <c r="E775" s="66" t="str">
        <f ca="1">IFERROR(INDEX(Validation!F:F,MATCH("Parcels"&amp;CELL("address",D775),Validation!I:I,0)),"")</f>
        <v/>
      </c>
    </row>
    <row r="776" spans="1:5" x14ac:dyDescent="0.25">
      <c r="A776" s="103"/>
      <c r="B776" s="103"/>
      <c r="C776" s="103"/>
      <c r="D776" s="77" t="str">
        <f ca="1">IFERROR(INDEX(Validation!G:G,MATCH("Parcels"&amp;CELL("address",D776),Validation!I:I,0)),"")</f>
        <v/>
      </c>
      <c r="E776" s="66" t="str">
        <f ca="1">IFERROR(INDEX(Validation!F:F,MATCH("Parcels"&amp;CELL("address",D776),Validation!I:I,0)),"")</f>
        <v/>
      </c>
    </row>
    <row r="777" spans="1:5" x14ac:dyDescent="0.25">
      <c r="A777" s="103"/>
      <c r="B777" s="103"/>
      <c r="C777" s="103"/>
      <c r="D777" s="77" t="str">
        <f ca="1">IFERROR(INDEX(Validation!G:G,MATCH("Parcels"&amp;CELL("address",D777),Validation!I:I,0)),"")</f>
        <v/>
      </c>
      <c r="E777" s="66" t="str">
        <f ca="1">IFERROR(INDEX(Validation!F:F,MATCH("Parcels"&amp;CELL("address",D777),Validation!I:I,0)),"")</f>
        <v/>
      </c>
    </row>
    <row r="778" spans="1:5" x14ac:dyDescent="0.25">
      <c r="A778" s="103"/>
      <c r="B778" s="103"/>
      <c r="C778" s="103"/>
      <c r="D778" s="77" t="str">
        <f ca="1">IFERROR(INDEX(Validation!G:G,MATCH("Parcels"&amp;CELL("address",D778),Validation!I:I,0)),"")</f>
        <v/>
      </c>
      <c r="E778" s="66" t="str">
        <f ca="1">IFERROR(INDEX(Validation!F:F,MATCH("Parcels"&amp;CELL("address",D778),Validation!I:I,0)),"")</f>
        <v/>
      </c>
    </row>
    <row r="779" spans="1:5" x14ac:dyDescent="0.25">
      <c r="A779" s="103"/>
      <c r="B779" s="103"/>
      <c r="C779" s="103"/>
      <c r="D779" s="77" t="str">
        <f ca="1">IFERROR(INDEX(Validation!G:G,MATCH("Parcels"&amp;CELL("address",D779),Validation!I:I,0)),"")</f>
        <v/>
      </c>
      <c r="E779" s="66" t="str">
        <f ca="1">IFERROR(INDEX(Validation!F:F,MATCH("Parcels"&amp;CELL("address",D779),Validation!I:I,0)),"")</f>
        <v/>
      </c>
    </row>
    <row r="780" spans="1:5" x14ac:dyDescent="0.25">
      <c r="A780" s="103"/>
      <c r="B780" s="103"/>
      <c r="C780" s="103"/>
      <c r="D780" s="77" t="str">
        <f ca="1">IFERROR(INDEX(Validation!G:G,MATCH("Parcels"&amp;CELL("address",D780),Validation!I:I,0)),"")</f>
        <v/>
      </c>
      <c r="E780" s="66" t="str">
        <f ca="1">IFERROR(INDEX(Validation!F:F,MATCH("Parcels"&amp;CELL("address",D780),Validation!I:I,0)),"")</f>
        <v/>
      </c>
    </row>
    <row r="781" spans="1:5" x14ac:dyDescent="0.25">
      <c r="A781" s="103"/>
      <c r="B781" s="103"/>
      <c r="C781" s="103"/>
      <c r="D781" s="77" t="str">
        <f ca="1">IFERROR(INDEX(Validation!G:G,MATCH("Parcels"&amp;CELL("address",D781),Validation!I:I,0)),"")</f>
        <v/>
      </c>
      <c r="E781" s="66" t="str">
        <f ca="1">IFERROR(INDEX(Validation!F:F,MATCH("Parcels"&amp;CELL("address",D781),Validation!I:I,0)),"")</f>
        <v/>
      </c>
    </row>
    <row r="782" spans="1:5" x14ac:dyDescent="0.25">
      <c r="A782" s="103"/>
      <c r="B782" s="103"/>
      <c r="C782" s="103"/>
      <c r="D782" s="77" t="str">
        <f ca="1">IFERROR(INDEX(Validation!G:G,MATCH("Parcels"&amp;CELL("address",D782),Validation!I:I,0)),"")</f>
        <v/>
      </c>
      <c r="E782" s="66" t="str">
        <f ca="1">IFERROR(INDEX(Validation!F:F,MATCH("Parcels"&amp;CELL("address",D782),Validation!I:I,0)),"")</f>
        <v/>
      </c>
    </row>
    <row r="783" spans="1:5" x14ac:dyDescent="0.25">
      <c r="A783" s="103"/>
      <c r="B783" s="103"/>
      <c r="C783" s="103"/>
      <c r="D783" s="77" t="str">
        <f ca="1">IFERROR(INDEX(Validation!G:G,MATCH("Parcels"&amp;CELL("address",D783),Validation!I:I,0)),"")</f>
        <v/>
      </c>
      <c r="E783" s="66" t="str">
        <f ca="1">IFERROR(INDEX(Validation!F:F,MATCH("Parcels"&amp;CELL("address",D783),Validation!I:I,0)),"")</f>
        <v/>
      </c>
    </row>
    <row r="784" spans="1:5" x14ac:dyDescent="0.25">
      <c r="A784" s="103"/>
      <c r="B784" s="103"/>
      <c r="C784" s="103"/>
      <c r="D784" s="77" t="str">
        <f ca="1">IFERROR(INDEX(Validation!G:G,MATCH("Parcels"&amp;CELL("address",D784),Validation!I:I,0)),"")</f>
        <v/>
      </c>
      <c r="E784" s="66" t="str">
        <f ca="1">IFERROR(INDEX(Validation!F:F,MATCH("Parcels"&amp;CELL("address",D784),Validation!I:I,0)),"")</f>
        <v/>
      </c>
    </row>
    <row r="785" spans="1:5" x14ac:dyDescent="0.25">
      <c r="A785" s="103"/>
      <c r="B785" s="103"/>
      <c r="C785" s="103"/>
      <c r="D785" s="77" t="str">
        <f ca="1">IFERROR(INDEX(Validation!G:G,MATCH("Parcels"&amp;CELL("address",D785),Validation!I:I,0)),"")</f>
        <v/>
      </c>
      <c r="E785" s="66" t="str">
        <f ca="1">IFERROR(INDEX(Validation!F:F,MATCH("Parcels"&amp;CELL("address",D785),Validation!I:I,0)),"")</f>
        <v/>
      </c>
    </row>
    <row r="786" spans="1:5" x14ac:dyDescent="0.25">
      <c r="A786" s="103"/>
      <c r="B786" s="103"/>
      <c r="C786" s="103"/>
      <c r="D786" s="77" t="str">
        <f ca="1">IFERROR(INDEX(Validation!G:G,MATCH("Parcels"&amp;CELL("address",D786),Validation!I:I,0)),"")</f>
        <v/>
      </c>
      <c r="E786" s="66" t="str">
        <f ca="1">IFERROR(INDEX(Validation!F:F,MATCH("Parcels"&amp;CELL("address",D786),Validation!I:I,0)),"")</f>
        <v/>
      </c>
    </row>
    <row r="787" spans="1:5" x14ac:dyDescent="0.25">
      <c r="A787" s="103"/>
      <c r="B787" s="103"/>
      <c r="C787" s="103"/>
      <c r="D787" s="77" t="str">
        <f ca="1">IFERROR(INDEX(Validation!G:G,MATCH("Parcels"&amp;CELL("address",D787),Validation!I:I,0)),"")</f>
        <v/>
      </c>
      <c r="E787" s="66" t="str">
        <f ca="1">IFERROR(INDEX(Validation!F:F,MATCH("Parcels"&amp;CELL("address",D787),Validation!I:I,0)),"")</f>
        <v/>
      </c>
    </row>
    <row r="788" spans="1:5" x14ac:dyDescent="0.25">
      <c r="A788" s="103"/>
      <c r="B788" s="103"/>
      <c r="C788" s="103"/>
      <c r="D788" s="77" t="str">
        <f ca="1">IFERROR(INDEX(Validation!G:G,MATCH("Parcels"&amp;CELL("address",D788),Validation!I:I,0)),"")</f>
        <v/>
      </c>
      <c r="E788" s="66" t="str">
        <f ca="1">IFERROR(INDEX(Validation!F:F,MATCH("Parcels"&amp;CELL("address",D788),Validation!I:I,0)),"")</f>
        <v/>
      </c>
    </row>
    <row r="789" spans="1:5" x14ac:dyDescent="0.25">
      <c r="A789" s="103"/>
      <c r="B789" s="103"/>
      <c r="C789" s="103"/>
      <c r="D789" s="77" t="str">
        <f ca="1">IFERROR(INDEX(Validation!G:G,MATCH("Parcels"&amp;CELL("address",D789),Validation!I:I,0)),"")</f>
        <v/>
      </c>
      <c r="E789" s="66" t="str">
        <f ca="1">IFERROR(INDEX(Validation!F:F,MATCH("Parcels"&amp;CELL("address",D789),Validation!I:I,0)),"")</f>
        <v/>
      </c>
    </row>
    <row r="790" spans="1:5" x14ac:dyDescent="0.25">
      <c r="A790" s="103"/>
      <c r="B790" s="103"/>
      <c r="C790" s="103"/>
      <c r="D790" s="77" t="str">
        <f ca="1">IFERROR(INDEX(Validation!G:G,MATCH("Parcels"&amp;CELL("address",D790),Validation!I:I,0)),"")</f>
        <v/>
      </c>
      <c r="E790" s="66" t="str">
        <f ca="1">IFERROR(INDEX(Validation!F:F,MATCH("Parcels"&amp;CELL("address",D790),Validation!I:I,0)),"")</f>
        <v/>
      </c>
    </row>
    <row r="791" spans="1:5" x14ac:dyDescent="0.25">
      <c r="A791" s="103"/>
      <c r="B791" s="103"/>
      <c r="C791" s="103"/>
      <c r="D791" s="77" t="str">
        <f ca="1">IFERROR(INDEX(Validation!G:G,MATCH("Parcels"&amp;CELL("address",D791),Validation!I:I,0)),"")</f>
        <v/>
      </c>
      <c r="E791" s="66" t="str">
        <f ca="1">IFERROR(INDEX(Validation!F:F,MATCH("Parcels"&amp;CELL("address",D791),Validation!I:I,0)),"")</f>
        <v/>
      </c>
    </row>
    <row r="792" spans="1:5" x14ac:dyDescent="0.25">
      <c r="A792" s="103"/>
      <c r="B792" s="103"/>
      <c r="C792" s="103"/>
      <c r="D792" s="77" t="str">
        <f ca="1">IFERROR(INDEX(Validation!G:G,MATCH("Parcels"&amp;CELL("address",D792),Validation!I:I,0)),"")</f>
        <v/>
      </c>
      <c r="E792" s="66" t="str">
        <f ca="1">IFERROR(INDEX(Validation!F:F,MATCH("Parcels"&amp;CELL("address",D792),Validation!I:I,0)),"")</f>
        <v/>
      </c>
    </row>
    <row r="793" spans="1:5" x14ac:dyDescent="0.25">
      <c r="A793" s="103"/>
      <c r="B793" s="103"/>
      <c r="C793" s="103"/>
      <c r="D793" s="77" t="str">
        <f ca="1">IFERROR(INDEX(Validation!G:G,MATCH("Parcels"&amp;CELL("address",D793),Validation!I:I,0)),"")</f>
        <v/>
      </c>
      <c r="E793" s="66" t="str">
        <f ca="1">IFERROR(INDEX(Validation!F:F,MATCH("Parcels"&amp;CELL("address",D793),Validation!I:I,0)),"")</f>
        <v/>
      </c>
    </row>
    <row r="794" spans="1:5" x14ac:dyDescent="0.25">
      <c r="A794" s="103"/>
      <c r="B794" s="103"/>
      <c r="C794" s="103"/>
      <c r="D794" s="77" t="str">
        <f ca="1">IFERROR(INDEX(Validation!G:G,MATCH("Parcels"&amp;CELL("address",D794),Validation!I:I,0)),"")</f>
        <v/>
      </c>
      <c r="E794" s="66" t="str">
        <f ca="1">IFERROR(INDEX(Validation!F:F,MATCH("Parcels"&amp;CELL("address",D794),Validation!I:I,0)),"")</f>
        <v/>
      </c>
    </row>
    <row r="795" spans="1:5" x14ac:dyDescent="0.25">
      <c r="A795" s="103"/>
      <c r="B795" s="103"/>
      <c r="C795" s="103"/>
      <c r="D795" s="77" t="str">
        <f ca="1">IFERROR(INDEX(Validation!G:G,MATCH("Parcels"&amp;CELL("address",D795),Validation!I:I,0)),"")</f>
        <v/>
      </c>
      <c r="E795" s="66" t="str">
        <f ca="1">IFERROR(INDEX(Validation!F:F,MATCH("Parcels"&amp;CELL("address",D795),Validation!I:I,0)),"")</f>
        <v/>
      </c>
    </row>
    <row r="796" spans="1:5" x14ac:dyDescent="0.25">
      <c r="A796" s="103"/>
      <c r="B796" s="103"/>
      <c r="C796" s="103"/>
      <c r="D796" s="77" t="str">
        <f ca="1">IFERROR(INDEX(Validation!G:G,MATCH("Parcels"&amp;CELL("address",D796),Validation!I:I,0)),"")</f>
        <v/>
      </c>
      <c r="E796" s="66" t="str">
        <f ca="1">IFERROR(INDEX(Validation!F:F,MATCH("Parcels"&amp;CELL("address",D796),Validation!I:I,0)),"")</f>
        <v/>
      </c>
    </row>
    <row r="797" spans="1:5" x14ac:dyDescent="0.25">
      <c r="A797" s="103"/>
      <c r="B797" s="103"/>
      <c r="C797" s="103"/>
      <c r="D797" s="77" t="str">
        <f ca="1">IFERROR(INDEX(Validation!G:G,MATCH("Parcels"&amp;CELL("address",D797),Validation!I:I,0)),"")</f>
        <v/>
      </c>
      <c r="E797" s="66" t="str">
        <f ca="1">IFERROR(INDEX(Validation!F:F,MATCH("Parcels"&amp;CELL("address",D797),Validation!I:I,0)),"")</f>
        <v/>
      </c>
    </row>
    <row r="798" spans="1:5" x14ac:dyDescent="0.25">
      <c r="A798" s="103"/>
      <c r="B798" s="103"/>
      <c r="C798" s="103"/>
      <c r="D798" s="77" t="str">
        <f ca="1">IFERROR(INDEX(Validation!G:G,MATCH("Parcels"&amp;CELL("address",D798),Validation!I:I,0)),"")</f>
        <v/>
      </c>
      <c r="E798" s="66" t="str">
        <f ca="1">IFERROR(INDEX(Validation!F:F,MATCH("Parcels"&amp;CELL("address",D798),Validation!I:I,0)),"")</f>
        <v/>
      </c>
    </row>
    <row r="799" spans="1:5" x14ac:dyDescent="0.25">
      <c r="A799" s="103"/>
      <c r="B799" s="103"/>
      <c r="C799" s="103"/>
      <c r="D799" s="77" t="str">
        <f ca="1">IFERROR(INDEX(Validation!G:G,MATCH("Parcels"&amp;CELL("address",D799),Validation!I:I,0)),"")</f>
        <v/>
      </c>
      <c r="E799" s="66" t="str">
        <f ca="1">IFERROR(INDEX(Validation!F:F,MATCH("Parcels"&amp;CELL("address",D799),Validation!I:I,0)),"")</f>
        <v/>
      </c>
    </row>
    <row r="800" spans="1:5" x14ac:dyDescent="0.25">
      <c r="A800" s="103"/>
      <c r="B800" s="103"/>
      <c r="C800" s="103"/>
      <c r="D800" s="77" t="str">
        <f ca="1">IFERROR(INDEX(Validation!G:G,MATCH("Parcels"&amp;CELL("address",D800),Validation!I:I,0)),"")</f>
        <v/>
      </c>
      <c r="E800" s="66" t="str">
        <f ca="1">IFERROR(INDEX(Validation!F:F,MATCH("Parcels"&amp;CELL("address",D800),Validation!I:I,0)),"")</f>
        <v/>
      </c>
    </row>
    <row r="801" spans="1:5" x14ac:dyDescent="0.25">
      <c r="A801" s="103"/>
      <c r="B801" s="103"/>
      <c r="C801" s="103"/>
      <c r="D801" s="77" t="str">
        <f ca="1">IFERROR(INDEX(Validation!G:G,MATCH("Parcels"&amp;CELL("address",D801),Validation!I:I,0)),"")</f>
        <v/>
      </c>
      <c r="E801" s="66" t="str">
        <f ca="1">IFERROR(INDEX(Validation!F:F,MATCH("Parcels"&amp;CELL("address",D801),Validation!I:I,0)),"")</f>
        <v/>
      </c>
    </row>
    <row r="802" spans="1:5" x14ac:dyDescent="0.25">
      <c r="A802" s="103"/>
      <c r="B802" s="103"/>
      <c r="C802" s="103"/>
      <c r="D802" s="77" t="str">
        <f ca="1">IFERROR(INDEX(Validation!G:G,MATCH("Parcels"&amp;CELL("address",D802),Validation!I:I,0)),"")</f>
        <v/>
      </c>
      <c r="E802" s="66" t="str">
        <f ca="1">IFERROR(INDEX(Validation!F:F,MATCH("Parcels"&amp;CELL("address",D802),Validation!I:I,0)),"")</f>
        <v/>
      </c>
    </row>
    <row r="803" spans="1:5" x14ac:dyDescent="0.25">
      <c r="A803" s="103"/>
      <c r="B803" s="103"/>
      <c r="C803" s="103"/>
      <c r="D803" s="77" t="str">
        <f ca="1">IFERROR(INDEX(Validation!G:G,MATCH("Parcels"&amp;CELL("address",D803),Validation!I:I,0)),"")</f>
        <v/>
      </c>
      <c r="E803" s="66" t="str">
        <f ca="1">IFERROR(INDEX(Validation!F:F,MATCH("Parcels"&amp;CELL("address",D803),Validation!I:I,0)),"")</f>
        <v/>
      </c>
    </row>
    <row r="804" spans="1:5" x14ac:dyDescent="0.25">
      <c r="A804" s="103"/>
      <c r="B804" s="103"/>
      <c r="C804" s="103"/>
      <c r="D804" s="77" t="str">
        <f ca="1">IFERROR(INDEX(Validation!G:G,MATCH("Parcels"&amp;CELL("address",D804),Validation!I:I,0)),"")</f>
        <v/>
      </c>
      <c r="E804" s="66" t="str">
        <f ca="1">IFERROR(INDEX(Validation!F:F,MATCH("Parcels"&amp;CELL("address",D804),Validation!I:I,0)),"")</f>
        <v/>
      </c>
    </row>
    <row r="805" spans="1:5" x14ac:dyDescent="0.25">
      <c r="A805" s="103"/>
      <c r="B805" s="103"/>
      <c r="C805" s="103"/>
      <c r="D805" s="77" t="str">
        <f ca="1">IFERROR(INDEX(Validation!G:G,MATCH("Parcels"&amp;CELL("address",D805),Validation!I:I,0)),"")</f>
        <v/>
      </c>
      <c r="E805" s="66" t="str">
        <f ca="1">IFERROR(INDEX(Validation!F:F,MATCH("Parcels"&amp;CELL("address",D805),Validation!I:I,0)),"")</f>
        <v/>
      </c>
    </row>
    <row r="806" spans="1:5" x14ac:dyDescent="0.25">
      <c r="A806" s="103"/>
      <c r="B806" s="103"/>
      <c r="C806" s="103"/>
      <c r="D806" s="77" t="str">
        <f ca="1">IFERROR(INDEX(Validation!G:G,MATCH("Parcels"&amp;CELL("address",D806),Validation!I:I,0)),"")</f>
        <v/>
      </c>
      <c r="E806" s="66" t="str">
        <f ca="1">IFERROR(INDEX(Validation!F:F,MATCH("Parcels"&amp;CELL("address",D806),Validation!I:I,0)),"")</f>
        <v/>
      </c>
    </row>
    <row r="807" spans="1:5" x14ac:dyDescent="0.25">
      <c r="A807" s="103"/>
      <c r="B807" s="103"/>
      <c r="C807" s="103"/>
      <c r="D807" s="77" t="str">
        <f ca="1">IFERROR(INDEX(Validation!G:G,MATCH("Parcels"&amp;CELL("address",D807),Validation!I:I,0)),"")</f>
        <v/>
      </c>
      <c r="E807" s="66" t="str">
        <f ca="1">IFERROR(INDEX(Validation!F:F,MATCH("Parcels"&amp;CELL("address",D807),Validation!I:I,0)),"")</f>
        <v/>
      </c>
    </row>
    <row r="808" spans="1:5" x14ac:dyDescent="0.25">
      <c r="A808" s="103"/>
      <c r="B808" s="103"/>
      <c r="C808" s="103"/>
      <c r="D808" s="77" t="str">
        <f ca="1">IFERROR(INDEX(Validation!G:G,MATCH("Parcels"&amp;CELL("address",D808),Validation!I:I,0)),"")</f>
        <v/>
      </c>
      <c r="E808" s="66" t="str">
        <f ca="1">IFERROR(INDEX(Validation!F:F,MATCH("Parcels"&amp;CELL("address",D808),Validation!I:I,0)),"")</f>
        <v/>
      </c>
    </row>
    <row r="809" spans="1:5" x14ac:dyDescent="0.25">
      <c r="A809" s="103"/>
      <c r="B809" s="103"/>
      <c r="C809" s="103"/>
      <c r="D809" s="77" t="str">
        <f ca="1">IFERROR(INDEX(Validation!G:G,MATCH("Parcels"&amp;CELL("address",D809),Validation!I:I,0)),"")</f>
        <v/>
      </c>
      <c r="E809" s="66" t="str">
        <f ca="1">IFERROR(INDEX(Validation!F:F,MATCH("Parcels"&amp;CELL("address",D809),Validation!I:I,0)),"")</f>
        <v/>
      </c>
    </row>
    <row r="810" spans="1:5" x14ac:dyDescent="0.25">
      <c r="A810" s="103"/>
      <c r="B810" s="103"/>
      <c r="C810" s="103"/>
      <c r="D810" s="77" t="str">
        <f ca="1">IFERROR(INDEX(Validation!G:G,MATCH("Parcels"&amp;CELL("address",D810),Validation!I:I,0)),"")</f>
        <v/>
      </c>
      <c r="E810" s="66" t="str">
        <f ca="1">IFERROR(INDEX(Validation!F:F,MATCH("Parcels"&amp;CELL("address",D810),Validation!I:I,0)),"")</f>
        <v/>
      </c>
    </row>
    <row r="811" spans="1:5" x14ac:dyDescent="0.25">
      <c r="A811" s="103"/>
      <c r="B811" s="103"/>
      <c r="C811" s="103"/>
      <c r="D811" s="77" t="str">
        <f ca="1">IFERROR(INDEX(Validation!G:G,MATCH("Parcels"&amp;CELL("address",D811),Validation!I:I,0)),"")</f>
        <v/>
      </c>
      <c r="E811" s="66" t="str">
        <f ca="1">IFERROR(INDEX(Validation!F:F,MATCH("Parcels"&amp;CELL("address",D811),Validation!I:I,0)),"")</f>
        <v/>
      </c>
    </row>
    <row r="812" spans="1:5" x14ac:dyDescent="0.25">
      <c r="A812" s="103"/>
      <c r="B812" s="103"/>
      <c r="C812" s="103"/>
      <c r="D812" s="77" t="str">
        <f ca="1">IFERROR(INDEX(Validation!G:G,MATCH("Parcels"&amp;CELL("address",D812),Validation!I:I,0)),"")</f>
        <v/>
      </c>
      <c r="E812" s="66" t="str">
        <f ca="1">IFERROR(INDEX(Validation!F:F,MATCH("Parcels"&amp;CELL("address",D812),Validation!I:I,0)),"")</f>
        <v/>
      </c>
    </row>
    <row r="813" spans="1:5" x14ac:dyDescent="0.25">
      <c r="A813" s="103"/>
      <c r="B813" s="103"/>
      <c r="C813" s="103"/>
      <c r="D813" s="77" t="str">
        <f ca="1">IFERROR(INDEX(Validation!G:G,MATCH("Parcels"&amp;CELL("address",D813),Validation!I:I,0)),"")</f>
        <v/>
      </c>
      <c r="E813" s="66" t="str">
        <f ca="1">IFERROR(INDEX(Validation!F:F,MATCH("Parcels"&amp;CELL("address",D813),Validation!I:I,0)),"")</f>
        <v/>
      </c>
    </row>
    <row r="814" spans="1:5" x14ac:dyDescent="0.25">
      <c r="A814" s="103"/>
      <c r="B814" s="103"/>
      <c r="C814" s="103"/>
      <c r="D814" s="77" t="str">
        <f ca="1">IFERROR(INDEX(Validation!G:G,MATCH("Parcels"&amp;CELL("address",D814),Validation!I:I,0)),"")</f>
        <v/>
      </c>
      <c r="E814" s="66" t="str">
        <f ca="1">IFERROR(INDEX(Validation!F:F,MATCH("Parcels"&amp;CELL("address",D814),Validation!I:I,0)),"")</f>
        <v/>
      </c>
    </row>
    <row r="815" spans="1:5" x14ac:dyDescent="0.25">
      <c r="A815" s="103"/>
      <c r="B815" s="103"/>
      <c r="C815" s="103"/>
      <c r="D815" s="77" t="str">
        <f ca="1">IFERROR(INDEX(Validation!G:G,MATCH("Parcels"&amp;CELL("address",D815),Validation!I:I,0)),"")</f>
        <v/>
      </c>
      <c r="E815" s="66" t="str">
        <f ca="1">IFERROR(INDEX(Validation!F:F,MATCH("Parcels"&amp;CELL("address",D815),Validation!I:I,0)),"")</f>
        <v/>
      </c>
    </row>
    <row r="816" spans="1:5" x14ac:dyDescent="0.25">
      <c r="A816" s="103"/>
      <c r="B816" s="103"/>
      <c r="C816" s="103"/>
      <c r="D816" s="77" t="str">
        <f ca="1">IFERROR(INDEX(Validation!G:G,MATCH("Parcels"&amp;CELL("address",D816),Validation!I:I,0)),"")</f>
        <v/>
      </c>
      <c r="E816" s="66" t="str">
        <f ca="1">IFERROR(INDEX(Validation!F:F,MATCH("Parcels"&amp;CELL("address",D816),Validation!I:I,0)),"")</f>
        <v/>
      </c>
    </row>
    <row r="817" spans="1:5" x14ac:dyDescent="0.25">
      <c r="A817" s="103"/>
      <c r="B817" s="103"/>
      <c r="C817" s="103"/>
      <c r="D817" s="77" t="str">
        <f ca="1">IFERROR(INDEX(Validation!G:G,MATCH("Parcels"&amp;CELL("address",D817),Validation!I:I,0)),"")</f>
        <v/>
      </c>
      <c r="E817" s="66" t="str">
        <f ca="1">IFERROR(INDEX(Validation!F:F,MATCH("Parcels"&amp;CELL("address",D817),Validation!I:I,0)),"")</f>
        <v/>
      </c>
    </row>
    <row r="818" spans="1:5" x14ac:dyDescent="0.25">
      <c r="A818" s="103"/>
      <c r="B818" s="103"/>
      <c r="C818" s="103"/>
      <c r="D818" s="77" t="str">
        <f ca="1">IFERROR(INDEX(Validation!G:G,MATCH("Parcels"&amp;CELL("address",D818),Validation!I:I,0)),"")</f>
        <v/>
      </c>
      <c r="E818" s="66" t="str">
        <f ca="1">IFERROR(INDEX(Validation!F:F,MATCH("Parcels"&amp;CELL("address",D818),Validation!I:I,0)),"")</f>
        <v/>
      </c>
    </row>
    <row r="819" spans="1:5" x14ac:dyDescent="0.25">
      <c r="A819" s="103"/>
      <c r="B819" s="103"/>
      <c r="C819" s="103"/>
      <c r="D819" s="77" t="str">
        <f ca="1">IFERROR(INDEX(Validation!G:G,MATCH("Parcels"&amp;CELL("address",D819),Validation!I:I,0)),"")</f>
        <v/>
      </c>
      <c r="E819" s="66" t="str">
        <f ca="1">IFERROR(INDEX(Validation!F:F,MATCH("Parcels"&amp;CELL("address",D819),Validation!I:I,0)),"")</f>
        <v/>
      </c>
    </row>
    <row r="820" spans="1:5" x14ac:dyDescent="0.25">
      <c r="A820" s="103"/>
      <c r="B820" s="103"/>
      <c r="C820" s="103"/>
      <c r="D820" s="77" t="str">
        <f ca="1">IFERROR(INDEX(Validation!G:G,MATCH("Parcels"&amp;CELL("address",D820),Validation!I:I,0)),"")</f>
        <v/>
      </c>
      <c r="E820" s="66" t="str">
        <f ca="1">IFERROR(INDEX(Validation!F:F,MATCH("Parcels"&amp;CELL("address",D820),Validation!I:I,0)),"")</f>
        <v/>
      </c>
    </row>
    <row r="821" spans="1:5" x14ac:dyDescent="0.25">
      <c r="A821" s="103"/>
      <c r="B821" s="103"/>
      <c r="C821" s="103"/>
      <c r="D821" s="77" t="str">
        <f ca="1">IFERROR(INDEX(Validation!G:G,MATCH("Parcels"&amp;CELL("address",D821),Validation!I:I,0)),"")</f>
        <v/>
      </c>
      <c r="E821" s="66" t="str">
        <f ca="1">IFERROR(INDEX(Validation!F:F,MATCH("Parcels"&amp;CELL("address",D821),Validation!I:I,0)),"")</f>
        <v/>
      </c>
    </row>
    <row r="822" spans="1:5" x14ac:dyDescent="0.25">
      <c r="A822" s="103"/>
      <c r="B822" s="103"/>
      <c r="C822" s="103"/>
      <c r="D822" s="77" t="str">
        <f ca="1">IFERROR(INDEX(Validation!G:G,MATCH("Parcels"&amp;CELL("address",D822),Validation!I:I,0)),"")</f>
        <v/>
      </c>
      <c r="E822" s="66" t="str">
        <f ca="1">IFERROR(INDEX(Validation!F:F,MATCH("Parcels"&amp;CELL("address",D822),Validation!I:I,0)),"")</f>
        <v/>
      </c>
    </row>
    <row r="823" spans="1:5" x14ac:dyDescent="0.25">
      <c r="A823" s="103"/>
      <c r="B823" s="103"/>
      <c r="C823" s="103"/>
      <c r="D823" s="77" t="str">
        <f ca="1">IFERROR(INDEX(Validation!G:G,MATCH("Parcels"&amp;CELL("address",D823),Validation!I:I,0)),"")</f>
        <v/>
      </c>
      <c r="E823" s="66" t="str">
        <f ca="1">IFERROR(INDEX(Validation!F:F,MATCH("Parcels"&amp;CELL("address",D823),Validation!I:I,0)),"")</f>
        <v/>
      </c>
    </row>
    <row r="824" spans="1:5" x14ac:dyDescent="0.25">
      <c r="A824" s="103"/>
      <c r="B824" s="103"/>
      <c r="C824" s="103"/>
      <c r="D824" s="77" t="str">
        <f ca="1">IFERROR(INDEX(Validation!G:G,MATCH("Parcels"&amp;CELL("address",D824),Validation!I:I,0)),"")</f>
        <v/>
      </c>
      <c r="E824" s="66" t="str">
        <f ca="1">IFERROR(INDEX(Validation!F:F,MATCH("Parcels"&amp;CELL("address",D824),Validation!I:I,0)),"")</f>
        <v/>
      </c>
    </row>
    <row r="825" spans="1:5" x14ac:dyDescent="0.25">
      <c r="A825" s="103"/>
      <c r="B825" s="103"/>
      <c r="C825" s="103"/>
      <c r="D825" s="77" t="str">
        <f ca="1">IFERROR(INDEX(Validation!G:G,MATCH("Parcels"&amp;CELL("address",D825),Validation!I:I,0)),"")</f>
        <v/>
      </c>
      <c r="E825" s="66" t="str">
        <f ca="1">IFERROR(INDEX(Validation!F:F,MATCH("Parcels"&amp;CELL("address",D825),Validation!I:I,0)),"")</f>
        <v/>
      </c>
    </row>
    <row r="826" spans="1:5" x14ac:dyDescent="0.25">
      <c r="A826" s="103"/>
      <c r="B826" s="103"/>
      <c r="C826" s="103"/>
      <c r="D826" s="77" t="str">
        <f ca="1">IFERROR(INDEX(Validation!G:G,MATCH("Parcels"&amp;CELL("address",D826),Validation!I:I,0)),"")</f>
        <v/>
      </c>
      <c r="E826" s="66" t="str">
        <f ca="1">IFERROR(INDEX(Validation!F:F,MATCH("Parcels"&amp;CELL("address",D826),Validation!I:I,0)),"")</f>
        <v/>
      </c>
    </row>
    <row r="827" spans="1:5" x14ac:dyDescent="0.25">
      <c r="A827" s="103"/>
      <c r="B827" s="103"/>
      <c r="C827" s="103"/>
      <c r="D827" s="77" t="str">
        <f ca="1">IFERROR(INDEX(Validation!G:G,MATCH("Parcels"&amp;CELL("address",D827),Validation!I:I,0)),"")</f>
        <v/>
      </c>
      <c r="E827" s="66" t="str">
        <f ca="1">IFERROR(INDEX(Validation!F:F,MATCH("Parcels"&amp;CELL("address",D827),Validation!I:I,0)),"")</f>
        <v/>
      </c>
    </row>
    <row r="828" spans="1:5" x14ac:dyDescent="0.25">
      <c r="A828" s="103"/>
      <c r="B828" s="103"/>
      <c r="C828" s="103"/>
      <c r="D828" s="77" t="str">
        <f ca="1">IFERROR(INDEX(Validation!G:G,MATCH("Parcels"&amp;CELL("address",D828),Validation!I:I,0)),"")</f>
        <v/>
      </c>
      <c r="E828" s="66" t="str">
        <f ca="1">IFERROR(INDEX(Validation!F:F,MATCH("Parcels"&amp;CELL("address",D828),Validation!I:I,0)),"")</f>
        <v/>
      </c>
    </row>
    <row r="829" spans="1:5" x14ac:dyDescent="0.25">
      <c r="A829" s="103"/>
      <c r="B829" s="103"/>
      <c r="C829" s="103"/>
      <c r="D829" s="77" t="str">
        <f ca="1">IFERROR(INDEX(Validation!G:G,MATCH("Parcels"&amp;CELL("address",D829),Validation!I:I,0)),"")</f>
        <v/>
      </c>
      <c r="E829" s="66" t="str">
        <f ca="1">IFERROR(INDEX(Validation!F:F,MATCH("Parcels"&amp;CELL("address",D829),Validation!I:I,0)),"")</f>
        <v/>
      </c>
    </row>
    <row r="830" spans="1:5" x14ac:dyDescent="0.25">
      <c r="A830" s="103"/>
      <c r="B830" s="103"/>
      <c r="C830" s="103"/>
      <c r="D830" s="77" t="str">
        <f ca="1">IFERROR(INDEX(Validation!G:G,MATCH("Parcels"&amp;CELL("address",D830),Validation!I:I,0)),"")</f>
        <v/>
      </c>
      <c r="E830" s="66" t="str">
        <f ca="1">IFERROR(INDEX(Validation!F:F,MATCH("Parcels"&amp;CELL("address",D830),Validation!I:I,0)),"")</f>
        <v/>
      </c>
    </row>
    <row r="831" spans="1:5" x14ac:dyDescent="0.25">
      <c r="A831" s="103"/>
      <c r="B831" s="103"/>
      <c r="C831" s="103"/>
      <c r="D831" s="77" t="str">
        <f ca="1">IFERROR(INDEX(Validation!G:G,MATCH("Parcels"&amp;CELL("address",D831),Validation!I:I,0)),"")</f>
        <v/>
      </c>
      <c r="E831" s="66" t="str">
        <f ca="1">IFERROR(INDEX(Validation!F:F,MATCH("Parcels"&amp;CELL("address",D831),Validation!I:I,0)),"")</f>
        <v/>
      </c>
    </row>
    <row r="832" spans="1:5" x14ac:dyDescent="0.25">
      <c r="A832" s="103"/>
      <c r="B832" s="103"/>
      <c r="C832" s="103"/>
      <c r="D832" s="77" t="str">
        <f ca="1">IFERROR(INDEX(Validation!G:G,MATCH("Parcels"&amp;CELL("address",D832),Validation!I:I,0)),"")</f>
        <v/>
      </c>
      <c r="E832" s="66" t="str">
        <f ca="1">IFERROR(INDEX(Validation!F:F,MATCH("Parcels"&amp;CELL("address",D832),Validation!I:I,0)),"")</f>
        <v/>
      </c>
    </row>
    <row r="833" spans="1:5" x14ac:dyDescent="0.25">
      <c r="A833" s="103"/>
      <c r="B833" s="103"/>
      <c r="C833" s="103"/>
      <c r="D833" s="77" t="str">
        <f ca="1">IFERROR(INDEX(Validation!G:G,MATCH("Parcels"&amp;CELL("address",D833),Validation!I:I,0)),"")</f>
        <v/>
      </c>
      <c r="E833" s="66" t="str">
        <f ca="1">IFERROR(INDEX(Validation!F:F,MATCH("Parcels"&amp;CELL("address",D833),Validation!I:I,0)),"")</f>
        <v/>
      </c>
    </row>
    <row r="834" spans="1:5" x14ac:dyDescent="0.25">
      <c r="A834" s="103"/>
      <c r="B834" s="103"/>
      <c r="C834" s="103"/>
      <c r="D834" s="77" t="str">
        <f ca="1">IFERROR(INDEX(Validation!G:G,MATCH("Parcels"&amp;CELL("address",D834),Validation!I:I,0)),"")</f>
        <v/>
      </c>
      <c r="E834" s="66" t="str">
        <f ca="1">IFERROR(INDEX(Validation!F:F,MATCH("Parcels"&amp;CELL("address",D834),Validation!I:I,0)),"")</f>
        <v/>
      </c>
    </row>
    <row r="835" spans="1:5" x14ac:dyDescent="0.25">
      <c r="A835" s="103"/>
      <c r="B835" s="103"/>
      <c r="C835" s="103"/>
      <c r="D835" s="77" t="str">
        <f ca="1">IFERROR(INDEX(Validation!G:G,MATCH("Parcels"&amp;CELL("address",D835),Validation!I:I,0)),"")</f>
        <v/>
      </c>
      <c r="E835" s="66" t="str">
        <f ca="1">IFERROR(INDEX(Validation!F:F,MATCH("Parcels"&amp;CELL("address",D835),Validation!I:I,0)),"")</f>
        <v/>
      </c>
    </row>
    <row r="836" spans="1:5" x14ac:dyDescent="0.25">
      <c r="A836" s="103"/>
      <c r="B836" s="103"/>
      <c r="C836" s="103"/>
      <c r="D836" s="77" t="str">
        <f ca="1">IFERROR(INDEX(Validation!G:G,MATCH("Parcels"&amp;CELL("address",D836),Validation!I:I,0)),"")</f>
        <v/>
      </c>
      <c r="E836" s="66" t="str">
        <f ca="1">IFERROR(INDEX(Validation!F:F,MATCH("Parcels"&amp;CELL("address",D836),Validation!I:I,0)),"")</f>
        <v/>
      </c>
    </row>
    <row r="837" spans="1:5" x14ac:dyDescent="0.25">
      <c r="A837" s="103"/>
      <c r="B837" s="103"/>
      <c r="C837" s="103"/>
      <c r="D837" s="77" t="str">
        <f ca="1">IFERROR(INDEX(Validation!G:G,MATCH("Parcels"&amp;CELL("address",D837),Validation!I:I,0)),"")</f>
        <v/>
      </c>
      <c r="E837" s="66" t="str">
        <f ca="1">IFERROR(INDEX(Validation!F:F,MATCH("Parcels"&amp;CELL("address",D837),Validation!I:I,0)),"")</f>
        <v/>
      </c>
    </row>
    <row r="838" spans="1:5" x14ac:dyDescent="0.25">
      <c r="A838" s="103"/>
      <c r="B838" s="103"/>
      <c r="C838" s="103"/>
      <c r="D838" s="77" t="str">
        <f ca="1">IFERROR(INDEX(Validation!G:G,MATCH("Parcels"&amp;CELL("address",D838),Validation!I:I,0)),"")</f>
        <v/>
      </c>
      <c r="E838" s="66" t="str">
        <f ca="1">IFERROR(INDEX(Validation!F:F,MATCH("Parcels"&amp;CELL("address",D838),Validation!I:I,0)),"")</f>
        <v/>
      </c>
    </row>
    <row r="839" spans="1:5" x14ac:dyDescent="0.25">
      <c r="A839" s="103"/>
      <c r="B839" s="103"/>
      <c r="C839" s="103"/>
      <c r="D839" s="77" t="str">
        <f ca="1">IFERROR(INDEX(Validation!G:G,MATCH("Parcels"&amp;CELL("address",D839),Validation!I:I,0)),"")</f>
        <v/>
      </c>
      <c r="E839" s="66" t="str">
        <f ca="1">IFERROR(INDEX(Validation!F:F,MATCH("Parcels"&amp;CELL("address",D839),Validation!I:I,0)),"")</f>
        <v/>
      </c>
    </row>
    <row r="840" spans="1:5" x14ac:dyDescent="0.25">
      <c r="A840" s="103"/>
      <c r="B840" s="103"/>
      <c r="C840" s="103"/>
      <c r="D840" s="77" t="str">
        <f ca="1">IFERROR(INDEX(Validation!G:G,MATCH("Parcels"&amp;CELL("address",D840),Validation!I:I,0)),"")</f>
        <v/>
      </c>
      <c r="E840" s="66" t="str">
        <f ca="1">IFERROR(INDEX(Validation!F:F,MATCH("Parcels"&amp;CELL("address",D840),Validation!I:I,0)),"")</f>
        <v/>
      </c>
    </row>
    <row r="841" spans="1:5" x14ac:dyDescent="0.25">
      <c r="A841" s="103"/>
      <c r="B841" s="103"/>
      <c r="C841" s="103"/>
      <c r="D841" s="77" t="str">
        <f ca="1">IFERROR(INDEX(Validation!G:G,MATCH("Parcels"&amp;CELL("address",D841),Validation!I:I,0)),"")</f>
        <v/>
      </c>
      <c r="E841" s="66" t="str">
        <f ca="1">IFERROR(INDEX(Validation!F:F,MATCH("Parcels"&amp;CELL("address",D841),Validation!I:I,0)),"")</f>
        <v/>
      </c>
    </row>
    <row r="842" spans="1:5" x14ac:dyDescent="0.25">
      <c r="A842" s="103"/>
      <c r="B842" s="103"/>
      <c r="C842" s="103"/>
      <c r="D842" s="77" t="str">
        <f ca="1">IFERROR(INDEX(Validation!G:G,MATCH("Parcels"&amp;CELL("address",D842),Validation!I:I,0)),"")</f>
        <v/>
      </c>
      <c r="E842" s="66" t="str">
        <f ca="1">IFERROR(INDEX(Validation!F:F,MATCH("Parcels"&amp;CELL("address",D842),Validation!I:I,0)),"")</f>
        <v/>
      </c>
    </row>
    <row r="843" spans="1:5" x14ac:dyDescent="0.25">
      <c r="A843" s="103"/>
      <c r="B843" s="103"/>
      <c r="C843" s="103"/>
      <c r="D843" s="77" t="str">
        <f ca="1">IFERROR(INDEX(Validation!G:G,MATCH("Parcels"&amp;CELL("address",D843),Validation!I:I,0)),"")</f>
        <v/>
      </c>
      <c r="E843" s="66" t="str">
        <f ca="1">IFERROR(INDEX(Validation!F:F,MATCH("Parcels"&amp;CELL("address",D843),Validation!I:I,0)),"")</f>
        <v/>
      </c>
    </row>
    <row r="844" spans="1:5" x14ac:dyDescent="0.25">
      <c r="A844" s="103"/>
      <c r="B844" s="103"/>
      <c r="C844" s="103"/>
      <c r="D844" s="77" t="str">
        <f ca="1">IFERROR(INDEX(Validation!G:G,MATCH("Parcels"&amp;CELL("address",D844),Validation!I:I,0)),"")</f>
        <v/>
      </c>
      <c r="E844" s="66" t="str">
        <f ca="1">IFERROR(INDEX(Validation!F:F,MATCH("Parcels"&amp;CELL("address",D844),Validation!I:I,0)),"")</f>
        <v/>
      </c>
    </row>
    <row r="845" spans="1:5" x14ac:dyDescent="0.25">
      <c r="A845" s="103"/>
      <c r="B845" s="103"/>
      <c r="C845" s="103"/>
      <c r="D845" s="77" t="str">
        <f ca="1">IFERROR(INDEX(Validation!G:G,MATCH("Parcels"&amp;CELL("address",D845),Validation!I:I,0)),"")</f>
        <v/>
      </c>
      <c r="E845" s="66" t="str">
        <f ca="1">IFERROR(INDEX(Validation!F:F,MATCH("Parcels"&amp;CELL("address",D845),Validation!I:I,0)),"")</f>
        <v/>
      </c>
    </row>
    <row r="846" spans="1:5" x14ac:dyDescent="0.25">
      <c r="A846" s="103"/>
      <c r="B846" s="103"/>
      <c r="C846" s="103"/>
      <c r="D846" s="77" t="str">
        <f ca="1">IFERROR(INDEX(Validation!G:G,MATCH("Parcels"&amp;CELL("address",D846),Validation!I:I,0)),"")</f>
        <v/>
      </c>
      <c r="E846" s="66" t="str">
        <f ca="1">IFERROR(INDEX(Validation!F:F,MATCH("Parcels"&amp;CELL("address",D846),Validation!I:I,0)),"")</f>
        <v/>
      </c>
    </row>
    <row r="847" spans="1:5" x14ac:dyDescent="0.25">
      <c r="A847" s="103"/>
      <c r="B847" s="103"/>
      <c r="C847" s="103"/>
      <c r="D847" s="77" t="str">
        <f ca="1">IFERROR(INDEX(Validation!G:G,MATCH("Parcels"&amp;CELL("address",D847),Validation!I:I,0)),"")</f>
        <v/>
      </c>
      <c r="E847" s="66" t="str">
        <f ca="1">IFERROR(INDEX(Validation!F:F,MATCH("Parcels"&amp;CELL("address",D847),Validation!I:I,0)),"")</f>
        <v/>
      </c>
    </row>
    <row r="848" spans="1:5" x14ac:dyDescent="0.25">
      <c r="A848" s="103"/>
      <c r="B848" s="103"/>
      <c r="C848" s="103"/>
      <c r="D848" s="77" t="str">
        <f ca="1">IFERROR(INDEX(Validation!G:G,MATCH("Parcels"&amp;CELL("address",D848),Validation!I:I,0)),"")</f>
        <v/>
      </c>
      <c r="E848" s="66" t="str">
        <f ca="1">IFERROR(INDEX(Validation!F:F,MATCH("Parcels"&amp;CELL("address",D848),Validation!I:I,0)),"")</f>
        <v/>
      </c>
    </row>
    <row r="849" spans="1:5" x14ac:dyDescent="0.25">
      <c r="A849" s="103"/>
      <c r="B849" s="103"/>
      <c r="C849" s="103"/>
      <c r="D849" s="77" t="str">
        <f ca="1">IFERROR(INDEX(Validation!G:G,MATCH("Parcels"&amp;CELL("address",D849),Validation!I:I,0)),"")</f>
        <v/>
      </c>
      <c r="E849" s="66" t="str">
        <f ca="1">IFERROR(INDEX(Validation!F:F,MATCH("Parcels"&amp;CELL("address",D849),Validation!I:I,0)),"")</f>
        <v/>
      </c>
    </row>
    <row r="850" spans="1:5" x14ac:dyDescent="0.25">
      <c r="A850" s="103"/>
      <c r="B850" s="103"/>
      <c r="C850" s="103"/>
      <c r="D850" s="77" t="str">
        <f ca="1">IFERROR(INDEX(Validation!G:G,MATCH("Parcels"&amp;CELL("address",D850),Validation!I:I,0)),"")</f>
        <v/>
      </c>
      <c r="E850" s="66" t="str">
        <f ca="1">IFERROR(INDEX(Validation!F:F,MATCH("Parcels"&amp;CELL("address",D850),Validation!I:I,0)),"")</f>
        <v/>
      </c>
    </row>
    <row r="851" spans="1:5" ht="20.100000000000001" customHeight="1" x14ac:dyDescent="0.25">
      <c r="A851" s="97" t="s">
        <v>176</v>
      </c>
      <c r="D851" s="77" t="str">
        <f ca="1">IFERROR(INDEX(Validation!G:G,MATCH("Parcels"&amp;CELL("address",D851),Validation!I:I,0)),"")</f>
        <v/>
      </c>
      <c r="E851" s="66" t="str">
        <f ca="1">IFERROR(INDEX(Validation!F:F,MATCH("Parcels"&amp;CELL("address",D851),Validation!I:I,0)),"")</f>
        <v/>
      </c>
    </row>
    <row r="852" spans="1:5" ht="150" customHeight="1" x14ac:dyDescent="0.25">
      <c r="A852" s="123"/>
      <c r="B852" s="143" t="str">
        <f>HYPERLINK("#'Six-Yr Rule'!A7","Click here to continue to the Six-Yr Rule Tab")</f>
        <v>Click here to continue to the Six-Yr Rule Tab</v>
      </c>
    </row>
  </sheetData>
  <sheetProtection algorithmName="SHA-512" hashValue="SArHN4nZuMoDofb8pBjDOeek5daoDY/mBcRbT4dGzP8+MUeLaFZL+Que6eW6CSZRv8Et2yVvcxu1AhDvVKXv0g==" saltValue="u1sSYBK3Txf3hibAlbtklA==" spinCount="100000" sheet="1" objects="1" scenarios="1"/>
  <mergeCells count="1">
    <mergeCell ref="A4:E4"/>
  </mergeCells>
  <phoneticPr fontId="7" type="noConversion"/>
  <conditionalFormatting sqref="D1:E7 D9:E1048576">
    <cfRule type="expression" dxfId="514" priority="5">
      <formula>$E1="Information"</formula>
    </cfRule>
    <cfRule type="expression" dxfId="513" priority="6">
      <formula>$E1="Error"</formula>
    </cfRule>
    <cfRule type="expression" dxfId="512" priority="7">
      <formula>$E1="Alert"</formula>
    </cfRule>
    <cfRule type="expression" dxfId="511" priority="8">
      <formula>$E1="Exclude"</formula>
    </cfRule>
  </conditionalFormatting>
  <conditionalFormatting sqref="D1:E1048576">
    <cfRule type="expression" dxfId="510" priority="1">
      <formula>$E1="Information"</formula>
    </cfRule>
    <cfRule type="expression" dxfId="509" priority="2">
      <formula>$E1="Error"</formula>
    </cfRule>
    <cfRule type="expression" dxfId="508" priority="3">
      <formula>$E1="Alert"</formula>
    </cfRule>
    <cfRule type="expression" dxfId="507" priority="4">
      <formula>$E1="Exclude"</formula>
    </cfRule>
  </conditionalFormatting>
  <dataValidations count="2">
    <dataValidation type="list" allowBlank="1" showInputMessage="1" showErrorMessage="1" sqref="B8:B850" xr:uid="{2D3AA69F-DA30-48A2-837D-E9A20AB45219}">
      <formula1>ParcelStatus</formula1>
    </dataValidation>
    <dataValidation type="list" allowBlank="1" showInputMessage="1" showErrorMessage="1" sqref="C8:C850" xr:uid="{BFFEA5A7-D196-4DEB-8BEE-2DF6F55BAE09}">
      <formula1>PAYG_List</formula1>
    </dataValidation>
  </dataValidation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4E0BD8-89E1-473E-AAA8-A3A45EB4D57A}">
  <dimension ref="A1:F44"/>
  <sheetViews>
    <sheetView showGridLines="0" workbookViewId="0"/>
  </sheetViews>
  <sheetFormatPr defaultRowHeight="15" x14ac:dyDescent="0.25"/>
  <cols>
    <col min="1" max="1" width="55.7109375" style="66" customWidth="1"/>
    <col min="2" max="2" width="23.5703125" style="66" customWidth="1"/>
    <col min="3" max="3" width="80.85546875" style="66" customWidth="1"/>
    <col min="4" max="4" width="14.7109375" style="66" customWidth="1"/>
    <col min="5" max="5" width="10.140625" style="78" hidden="1" customWidth="1"/>
    <col min="6" max="16384" width="9.140625" style="66"/>
  </cols>
  <sheetData>
    <row r="1" spans="1:5" s="59" customFormat="1" ht="21" x14ac:dyDescent="0.25">
      <c r="A1" s="59" t="str">
        <f>_xlfn.CONCAT("Office of the State Auditor  -  TIF Annual Reporting Form  -  ",Year_DestinationYearID)</f>
        <v>Office of the State Auditor  -  TIF Annual Reporting Form  -  2024</v>
      </c>
      <c r="E1" s="61"/>
    </row>
    <row r="2" spans="1:5" s="62" customFormat="1" ht="20.100000000000001" customHeight="1" x14ac:dyDescent="0.25">
      <c r="A2" s="58" t="str">
        <f>_xlfn.CONCAT(GovEntity_GovEntityName_Parent,"  -  ",GovEntity_GovEntityName)</f>
        <v>Spruce City  -  TIF 1-1 Downtown Redev</v>
      </c>
      <c r="E2" s="64"/>
    </row>
    <row r="3" spans="1:5" s="68" customFormat="1" ht="24.95" customHeight="1" x14ac:dyDescent="0.3">
      <c r="A3" s="65" t="s">
        <v>377</v>
      </c>
      <c r="B3" s="66"/>
      <c r="E3" s="69"/>
    </row>
    <row r="4" spans="1:5" s="71" customFormat="1" ht="45" customHeight="1" x14ac:dyDescent="0.25">
      <c r="A4" s="217" t="s">
        <v>1620</v>
      </c>
      <c r="B4" s="217"/>
      <c r="C4" s="217"/>
      <c r="D4" s="217"/>
      <c r="E4" s="72" t="s">
        <v>119</v>
      </c>
    </row>
    <row r="5" spans="1:5" s="74" customFormat="1" ht="19.5" customHeight="1" x14ac:dyDescent="0.25">
      <c r="A5" s="73" t="str">
        <f>HYPERLINK("#'Review and Submit'!A7","Click here to continue to the Review and Submit Tab")</f>
        <v>Click here to continue to the Review and Submit Tab</v>
      </c>
      <c r="B5" s="74" t="s">
        <v>120</v>
      </c>
      <c r="C5" s="74" t="s">
        <v>121</v>
      </c>
      <c r="D5" s="74" t="s">
        <v>102</v>
      </c>
      <c r="E5" s="76" t="s">
        <v>484</v>
      </c>
    </row>
    <row r="6" spans="1:5" ht="20.100000000000001" customHeight="1" x14ac:dyDescent="0.25">
      <c r="A6" s="188" t="s">
        <v>1069</v>
      </c>
      <c r="B6" s="110"/>
      <c r="C6" s="77" t="str">
        <f ca="1">IFERROR(INDEX(Validation!G:G,MATCH("Six-Yr Rule"&amp;CELL("address",C6),Validation!I:I,0)),"")</f>
        <v/>
      </c>
      <c r="D6" s="66" t="str">
        <f ca="1">IFERROR(INDEX(Validation!F:F,MATCH("Six-Yr Rule"&amp;CELL("address",C6),Validation!I:I,0)),"")</f>
        <v/>
      </c>
    </row>
    <row r="7" spans="1:5" x14ac:dyDescent="0.25">
      <c r="A7" s="79" t="s">
        <v>379</v>
      </c>
      <c r="B7" s="107" t="str">
        <f>TIF_DistrictType_DistrictTypeName</f>
        <v>Redevelopment</v>
      </c>
      <c r="C7" s="77" t="str">
        <f ca="1">IFERROR(INDEX(Validation!G:G,MATCH("Six-Yr Rule"&amp;CELL("address",C7),Validation!I:I,0)),"")</f>
        <v/>
      </c>
      <c r="D7" s="66" t="str">
        <f ca="1">IFERROR(INDEX(Validation!F:F,MATCH("Six-Yr Rule"&amp;CELL("address",C7),Validation!I:I,0)),"")</f>
        <v/>
      </c>
      <c r="E7" s="86" t="s">
        <v>1597</v>
      </c>
    </row>
    <row r="8" spans="1:5" x14ac:dyDescent="0.25">
      <c r="A8" s="79" t="s">
        <v>147</v>
      </c>
      <c r="B8" s="108">
        <f>TIF_District_FYRDate</f>
        <v>42977</v>
      </c>
      <c r="C8" s="77" t="str">
        <f ca="1">IFERROR(INDEX(Validation!G:G,MATCH("Six-Yr Rule"&amp;CELL("address",C8),Validation!I:I,0)),"")</f>
        <v/>
      </c>
      <c r="D8" s="66" t="str">
        <f ca="1">IFERROR(INDEX(Validation!F:F,MATCH("Six-Yr Rule"&amp;CELL("address",C8),Validation!I:I,0)),"")</f>
        <v/>
      </c>
      <c r="E8" s="86" t="s">
        <v>1598</v>
      </c>
    </row>
    <row r="9" spans="1:5" x14ac:dyDescent="0.25">
      <c r="A9" s="79" t="s">
        <v>380</v>
      </c>
      <c r="B9" s="109">
        <f>YEAR(B8)+1</f>
        <v>2018</v>
      </c>
      <c r="C9" s="77" t="str">
        <f ca="1">IFERROR(INDEX(Validation!G:G,MATCH("Six-Yr Rule"&amp;CELL("address",C9),Validation!I:I,0)),"")</f>
        <v/>
      </c>
      <c r="D9" s="66" t="str">
        <f ca="1">IFERROR(INDEX(Validation!F:F,MATCH("Six-Yr Rule"&amp;CELL("address",C9),Validation!I:I,0)),"")</f>
        <v/>
      </c>
      <c r="E9" s="86" t="s">
        <v>1599</v>
      </c>
    </row>
    <row r="10" spans="1:5" ht="20.100000000000001" customHeight="1" x14ac:dyDescent="0.25">
      <c r="A10" s="188" t="s">
        <v>1070</v>
      </c>
      <c r="B10" s="110"/>
      <c r="C10" s="77" t="str">
        <f ca="1">IFERROR(INDEX(Validation!G:G,MATCH("Six-Yr Rule"&amp;CELL("address",C10),Validation!I:I,0)),"")</f>
        <v/>
      </c>
      <c r="D10" s="66" t="str">
        <f ca="1">IFERROR(INDEX(Validation!F:F,MATCH("Six-Yr Rule"&amp;CELL("address",C10),Validation!I:I,0)),"")</f>
        <v/>
      </c>
    </row>
    <row r="11" spans="1:5" x14ac:dyDescent="0.25">
      <c r="A11" s="79" t="s">
        <v>381</v>
      </c>
      <c r="B11" s="111">
        <f ca="1">'Debt Summary'!E47+Expenditures!D17</f>
        <v>691768</v>
      </c>
      <c r="C11" s="77" t="str">
        <f ca="1">IFERROR(INDEX(Validation!G:G,MATCH("Six-Yr Rule"&amp;CELL("address",C11),Validation!I:I,0)),"")</f>
        <v/>
      </c>
      <c r="D11" s="66" t="str">
        <f ca="1">IFERROR(INDEX(Validation!F:F,MATCH("Six-Yr Rule"&amp;CELL("address",C11),Validation!I:I,0)),"")</f>
        <v/>
      </c>
      <c r="E11" s="86" t="s">
        <v>1600</v>
      </c>
    </row>
    <row r="12" spans="1:5" x14ac:dyDescent="0.25">
      <c r="A12" s="79" t="s">
        <v>1084</v>
      </c>
      <c r="B12" s="112">
        <v>0</v>
      </c>
      <c r="C12" s="77" t="str">
        <f ca="1">IFERROR(INDEX(Validation!G:G,MATCH("Six-Yr Rule"&amp;CELL("address",C12),Validation!I:I,0)),"")</f>
        <v>Skip this line. (It only applies if plan contained election for 2d housing.)</v>
      </c>
      <c r="D12" s="66" t="str">
        <f ca="1">IFERROR(INDEX(Validation!F:F,MATCH("Six-Yr Rule"&amp;CELL("address",C12),Validation!I:I,0)),"")</f>
        <v>Information</v>
      </c>
    </row>
    <row r="13" spans="1:5" x14ac:dyDescent="0.25">
      <c r="A13" s="79" t="s">
        <v>382</v>
      </c>
      <c r="B13" s="111">
        <f ca="1">'Debt Summary'!C47</f>
        <v>341768</v>
      </c>
      <c r="C13" s="77" t="str">
        <f ca="1">IFERROR(INDEX(Validation!G:G,MATCH("Six-Yr Rule"&amp;CELL("address",C13),Validation!I:I,0)),"")</f>
        <v/>
      </c>
      <c r="D13" s="66" t="str">
        <f ca="1">IFERROR(INDEX(Validation!F:F,MATCH("Six-Yr Rule"&amp;CELL("address",C13),Validation!I:I,0)),"")</f>
        <v/>
      </c>
      <c r="E13" s="86" t="s">
        <v>1601</v>
      </c>
    </row>
    <row r="14" spans="1:5" x14ac:dyDescent="0.25">
      <c r="A14" s="79" t="s">
        <v>1065</v>
      </c>
      <c r="B14" s="113">
        <f ca="1">B11+B12-B13</f>
        <v>350000</v>
      </c>
      <c r="C14" s="77" t="str">
        <f ca="1">IFERROR(INDEX(Validation!G:G,MATCH("Six-Yr Rule"&amp;CELL("address",C14),Validation!I:I,0)),"")</f>
        <v/>
      </c>
      <c r="D14" s="66" t="str">
        <f ca="1">IFERROR(INDEX(Validation!F:F,MATCH("Six-Yr Rule"&amp;CELL("address",C14),Validation!I:I,0)),"")</f>
        <v/>
      </c>
      <c r="E14" s="189" t="s">
        <v>1602</v>
      </c>
    </row>
    <row r="15" spans="1:5" x14ac:dyDescent="0.25">
      <c r="A15" s="79" t="s">
        <v>1048</v>
      </c>
      <c r="B15" s="111">
        <f ca="1">'Debt Summary'!E50+'Debt Summary'!E52</f>
        <v>0</v>
      </c>
      <c r="C15" s="77" t="str">
        <f ca="1">IFERROR(INDEX(Validation!G:G,MATCH("Six-Yr Rule"&amp;CELL("address",C15),Validation!I:I,0)),"")</f>
        <v/>
      </c>
      <c r="D15" s="66" t="str">
        <f ca="1">IFERROR(INDEX(Validation!F:F,MATCH("Six-Yr Rule"&amp;CELL("address",C15),Validation!I:I,0)),"")</f>
        <v/>
      </c>
      <c r="E15" s="86" t="s">
        <v>1603</v>
      </c>
    </row>
    <row r="16" spans="1:5" x14ac:dyDescent="0.25">
      <c r="A16" s="79" t="s">
        <v>1640</v>
      </c>
      <c r="B16" s="118"/>
      <c r="C16" s="77" t="str">
        <f ca="1">IFERROR(INDEX(Validation!G:G,MATCH("Six-Yr Rule"&amp;CELL("address",C16),Validation!I:I,0)),"")</f>
        <v>Enter amount of other increment used to pay in-district obligations here. Enter $0 if none.</v>
      </c>
      <c r="D16" s="66" t="str">
        <f ca="1">IFERROR(INDEX(Validation!F:F,MATCH("Six-Yr Rule"&amp;CELL("address",C16),Validation!I:I,0)),"")</f>
        <v>Error</v>
      </c>
      <c r="E16" s="86"/>
    </row>
    <row r="17" spans="1:6" x14ac:dyDescent="0.25">
      <c r="A17" s="79" t="s">
        <v>383</v>
      </c>
      <c r="B17" s="113">
        <f ca="1">B14-B15-B16</f>
        <v>350000</v>
      </c>
      <c r="C17" s="77" t="str">
        <f ca="1">IFERROR(INDEX(Validation!G:G,MATCH("Six-Yr Rule"&amp;CELL("address",C17),Validation!I:I,0)),"")</f>
        <v/>
      </c>
      <c r="D17" s="66" t="str">
        <f ca="1">IFERROR(INDEX(Validation!F:F,MATCH("Six-Yr Rule"&amp;CELL("address",C17),Validation!I:I,0)),"")</f>
        <v/>
      </c>
      <c r="E17" s="86" t="s">
        <v>1617</v>
      </c>
    </row>
    <row r="18" spans="1:6" ht="20.100000000000001" customHeight="1" x14ac:dyDescent="0.25">
      <c r="A18" s="188" t="s">
        <v>1045</v>
      </c>
      <c r="B18" s="110"/>
      <c r="C18" s="77" t="str">
        <f ca="1">IFERROR(INDEX(Validation!G:G,MATCH("Six-Yr Rule"&amp;CELL("address",C18),Validation!I:I,0)),"")</f>
        <v/>
      </c>
      <c r="D18" s="66" t="str">
        <f ca="1">IFERROR(INDEX(Validation!F:F,MATCH("Six-Yr Rule"&amp;CELL("address",C18),Validation!I:I,0)),"")</f>
        <v/>
      </c>
    </row>
    <row r="19" spans="1:6" x14ac:dyDescent="0.25">
      <c r="A19" s="79" t="s">
        <v>1052</v>
      </c>
      <c r="B19" s="114">
        <f>IF(B7="Redevelopment",25%,20%)</f>
        <v>0.25</v>
      </c>
      <c r="C19" s="77" t="str">
        <f ca="1">IFERROR(INDEX(Validation!G:G,MATCH("Six-Yr Rule"&amp;CELL("address",C19),Validation!I:I,0)),"")</f>
        <v/>
      </c>
      <c r="D19" s="66" t="str">
        <f ca="1">IFERROR(INDEX(Validation!F:F,MATCH("Six-Yr Rule"&amp;CELL("address",C19),Validation!I:I,0)),"")</f>
        <v/>
      </c>
      <c r="E19" s="86" t="s">
        <v>1604</v>
      </c>
    </row>
    <row r="20" spans="1:6" x14ac:dyDescent="0.25">
      <c r="A20" s="79" t="s">
        <v>1053</v>
      </c>
      <c r="B20" s="114">
        <f>IF(TIF_District_PoolingElectionForHousingInd="Yes",10%,0%)</f>
        <v>0</v>
      </c>
      <c r="C20" s="77" t="str">
        <f ca="1">IFERROR(INDEX(Validation!G:G,MATCH("Six-Yr Rule"&amp;CELL("address",C20),Validation!I:I,0)),"")</f>
        <v/>
      </c>
      <c r="D20" s="66" t="str">
        <f ca="1">IFERROR(INDEX(Validation!F:F,MATCH("Six-Yr Rule"&amp;CELL("address",C20),Validation!I:I,0)),"")</f>
        <v/>
      </c>
      <c r="E20" s="86" t="s">
        <v>1605</v>
      </c>
    </row>
    <row r="21" spans="1:6" x14ac:dyDescent="0.25">
      <c r="A21" s="187" t="s">
        <v>1054</v>
      </c>
      <c r="B21" s="119"/>
      <c r="C21" s="77" t="str">
        <f ca="1">IFERROR(INDEX(Validation!G:G,MATCH("Six-Yr Rule"&amp;CELL("address",C21),Validation!I:I,0)),"")</f>
        <v>If special law increased allowable pooling, enter additional %. Otherwise enter 0.</v>
      </c>
      <c r="D21" s="66" t="str">
        <f ca="1">IFERROR(INDEX(Validation!F:F,MATCH("Six-Yr Rule"&amp;CELL("address",C21),Validation!I:I,0)),"")</f>
        <v>Error</v>
      </c>
    </row>
    <row r="22" spans="1:6" ht="15.75" x14ac:dyDescent="0.25">
      <c r="A22" s="79" t="s">
        <v>1055</v>
      </c>
      <c r="B22" s="115">
        <f>B19+B20+B21</f>
        <v>0.25</v>
      </c>
      <c r="C22" s="77" t="str">
        <f ca="1">IFERROR(INDEX(Validation!G:G,MATCH("Six-Yr Rule"&amp;CELL("address",C22),Validation!I:I,0)),"")</f>
        <v/>
      </c>
      <c r="D22" s="66" t="str">
        <f ca="1">IFERROR(INDEX(Validation!F:F,MATCH("Six-Yr Rule"&amp;CELL("address",C22),Validation!I:I,0)),"")</f>
        <v/>
      </c>
      <c r="E22" s="86" t="s">
        <v>1616</v>
      </c>
    </row>
    <row r="23" spans="1:6" ht="15.75" x14ac:dyDescent="0.25">
      <c r="A23" s="79" t="s">
        <v>1045</v>
      </c>
      <c r="B23" s="115">
        <f>100%-B22</f>
        <v>0.75</v>
      </c>
      <c r="C23" s="77" t="str">
        <f ca="1">IFERROR(INDEX(Validation!G:G,MATCH("Six-Yr Rule"&amp;CELL("address",C23),Validation!I:I,0)),"")</f>
        <v/>
      </c>
      <c r="D23" s="66" t="str">
        <f ca="1">IFERROR(INDEX(Validation!F:F,MATCH("Six-Yr Rule"&amp;CELL("address",C23),Validation!I:I,0)),"")</f>
        <v/>
      </c>
      <c r="E23" s="86" t="s">
        <v>1615</v>
      </c>
    </row>
    <row r="24" spans="1:6" ht="20.100000000000001" customHeight="1" x14ac:dyDescent="0.25">
      <c r="A24" s="188" t="s">
        <v>1046</v>
      </c>
      <c r="B24" s="110"/>
      <c r="C24" s="77" t="str">
        <f ca="1">IFERROR(INDEX(Validation!G:G,MATCH("Six-Yr Rule"&amp;CELL("address",C24),Validation!I:I,0)),"")</f>
        <v/>
      </c>
      <c r="D24" s="66" t="str">
        <f ca="1">IFERROR(INDEX(Validation!F:F,MATCH("Six-Yr Rule"&amp;CELL("address",C24),Validation!I:I,0)),"")</f>
        <v/>
      </c>
    </row>
    <row r="25" spans="1:6" x14ac:dyDescent="0.25">
      <c r="A25" s="79" t="s">
        <v>1056</v>
      </c>
      <c r="B25" s="113">
        <f ca="1">IF(B23="","",B17/B23)</f>
        <v>466666.66666666669</v>
      </c>
      <c r="C25" s="77" t="str">
        <f ca="1">IFERROR(INDEX(Validation!G:G,MATCH("Six-Yr Rule"&amp;CELL("address",C25),Validation!I:I,0)),"")</f>
        <v/>
      </c>
      <c r="D25" s="66" t="str">
        <f ca="1">IFERROR(INDEX(Validation!F:F,MATCH("Six-Yr Rule"&amp;CELL("address",C25),Validation!I:I,0)),"")</f>
        <v/>
      </c>
      <c r="E25" s="86" t="s">
        <v>1653</v>
      </c>
    </row>
    <row r="26" spans="1:6" ht="20.100000000000001" customHeight="1" x14ac:dyDescent="0.25">
      <c r="A26" s="188" t="s">
        <v>1047</v>
      </c>
      <c r="B26" s="116"/>
      <c r="C26" s="77" t="str">
        <f ca="1">IFERROR(INDEX(Validation!G:G,MATCH("Six-Yr Rule"&amp;CELL("address",C26),Validation!I:I,0)),"")</f>
        <v/>
      </c>
      <c r="D26" s="66" t="str">
        <f ca="1">IFERROR(INDEX(Validation!F:F,MATCH("Six-Yr Rule"&amp;CELL("address",C26),Validation!I:I,0)),"")</f>
        <v/>
      </c>
    </row>
    <row r="27" spans="1:6" x14ac:dyDescent="0.25">
      <c r="A27" s="79" t="s">
        <v>284</v>
      </c>
      <c r="B27" s="111">
        <f>'Rev Exp Bal'!D7</f>
        <v>595003</v>
      </c>
      <c r="C27" s="77" t="str">
        <f ca="1">IFERROR(INDEX(Validation!G:G,MATCH("Six-Yr Rule"&amp;CELL("address",C27),Validation!I:I,0)),"")</f>
        <v/>
      </c>
      <c r="D27" s="66" t="str">
        <f ca="1">IFERROR(INDEX(Validation!F:F,MATCH("Six-Yr Rule"&amp;CELL("address",C27),Validation!I:I,0)),"")</f>
        <v/>
      </c>
      <c r="E27" s="86" t="s">
        <v>1606</v>
      </c>
      <c r="F27" s="190"/>
    </row>
    <row r="28" spans="1:6" x14ac:dyDescent="0.25">
      <c r="A28" s="79" t="s">
        <v>285</v>
      </c>
      <c r="B28" s="111">
        <f>'Rev Exp Bal'!D8</f>
        <v>0</v>
      </c>
      <c r="C28" s="77" t="str">
        <f ca="1">IFERROR(INDEX(Validation!G:G,MATCH("Six-Yr Rule"&amp;CELL("address",C28),Validation!I:I,0)),"")</f>
        <v/>
      </c>
      <c r="D28" s="66" t="str">
        <f ca="1">IFERROR(INDEX(Validation!F:F,MATCH("Six-Yr Rule"&amp;CELL("address",C28),Validation!I:I,0)),"")</f>
        <v/>
      </c>
      <c r="E28" s="86" t="s">
        <v>1607</v>
      </c>
    </row>
    <row r="29" spans="1:6" x14ac:dyDescent="0.25">
      <c r="A29" s="187" t="s">
        <v>1057</v>
      </c>
      <c r="B29" s="111">
        <f>Returned!D7</f>
        <v>0</v>
      </c>
      <c r="C29" s="77" t="str">
        <f ca="1">IFERROR(INDEX(Validation!G:G,MATCH("Six-Yr Rule"&amp;CELL("address",C29),Validation!I:I,0)),"")</f>
        <v/>
      </c>
      <c r="D29" s="66" t="str">
        <f ca="1">IFERROR(INDEX(Validation!F:F,MATCH("Six-Yr Rule"&amp;CELL("address",C29),Validation!I:I,0)),"")</f>
        <v/>
      </c>
      <c r="E29" s="86" t="s">
        <v>1608</v>
      </c>
    </row>
    <row r="30" spans="1:6" x14ac:dyDescent="0.25">
      <c r="A30" s="187" t="s">
        <v>1058</v>
      </c>
      <c r="B30" s="111">
        <f>Returned!D9</f>
        <v>0</v>
      </c>
      <c r="C30" s="77" t="str">
        <f ca="1">IFERROR(INDEX(Validation!G:G,MATCH("Six-Yr Rule"&amp;CELL("address",C30),Validation!I:I,0)),"")</f>
        <v/>
      </c>
      <c r="D30" s="66" t="str">
        <f ca="1">IFERROR(INDEX(Validation!F:F,MATCH("Six-Yr Rule"&amp;CELL("address",C30),Validation!I:I,0)),"")</f>
        <v/>
      </c>
      <c r="E30" s="86" t="s">
        <v>1614</v>
      </c>
    </row>
    <row r="31" spans="1:6" x14ac:dyDescent="0.25">
      <c r="A31" s="187" t="s">
        <v>1619</v>
      </c>
      <c r="B31" s="113">
        <f>(B27+B28-B29-B30)</f>
        <v>595003</v>
      </c>
      <c r="C31" s="77" t="str">
        <f ca="1">IFERROR(INDEX(Validation!G:G,MATCH("Six-Yr Rule"&amp;CELL("address",C31),Validation!I:I,0)),"")</f>
        <v/>
      </c>
      <c r="D31" s="66" t="str">
        <f ca="1">IFERROR(INDEX(Validation!F:F,MATCH("Six-Yr Rule"&amp;CELL("address",C31),Validation!I:I,0)),"")</f>
        <v/>
      </c>
      <c r="E31" s="86" t="s">
        <v>1613</v>
      </c>
    </row>
    <row r="32" spans="1:6" ht="15.75" x14ac:dyDescent="0.25">
      <c r="A32" s="188" t="s">
        <v>1071</v>
      </c>
      <c r="B32" s="116"/>
      <c r="C32" s="77" t="str">
        <f ca="1">IFERROR(INDEX(Validation!G:G,MATCH("Six-Yr Rule"&amp;CELL("address",C32),Validation!I:I,0)),"")</f>
        <v/>
      </c>
      <c r="D32" s="66" t="str">
        <f ca="1">IFERROR(INDEX(Validation!F:F,MATCH("Six-Yr Rule"&amp;CELL("address",C32),Validation!I:I,0)),"")</f>
        <v/>
      </c>
    </row>
    <row r="33" spans="1:5" x14ac:dyDescent="0.25">
      <c r="A33" s="79" t="s">
        <v>1618</v>
      </c>
      <c r="B33" s="113">
        <f>IFERROR(B23*B31,"")</f>
        <v>446252.25</v>
      </c>
      <c r="C33" s="77" t="str">
        <f ca="1">IFERROR(INDEX(Validation!G:G,MATCH("Six-Yr Rule"&amp;CELL("address",C33),Validation!I:I,0)),"")</f>
        <v/>
      </c>
      <c r="D33" s="66" t="str">
        <f ca="1">IFERROR(INDEX(Validation!F:F,MATCH("Six-Yr Rule"&amp;CELL("address",C33),Validation!I:I,0)),"")</f>
        <v/>
      </c>
      <c r="E33" s="86" t="s">
        <v>1612</v>
      </c>
    </row>
    <row r="34" spans="1:5" x14ac:dyDescent="0.25">
      <c r="A34" s="79" t="s">
        <v>1610</v>
      </c>
      <c r="B34" s="113">
        <f ca="1">B17</f>
        <v>350000</v>
      </c>
      <c r="C34" s="77" t="str">
        <f ca="1">IFERROR(INDEX(Validation!G:G,MATCH("Six-Yr Rule"&amp;CELL("address",C34),Validation!I:I,0)),"")</f>
        <v/>
      </c>
      <c r="D34" s="66" t="str">
        <f ca="1">IFERROR(INDEX(Validation!F:F,MATCH("Six-Yr Rule"&amp;CELL("address",C34),Validation!I:I,0)),"")</f>
        <v/>
      </c>
      <c r="E34" s="86" t="s">
        <v>1611</v>
      </c>
    </row>
    <row r="35" spans="1:5" x14ac:dyDescent="0.25">
      <c r="A35" s="79" t="s">
        <v>1064</v>
      </c>
      <c r="B35" s="117" t="str">
        <f ca="1">IF(OR(B33="",B34=0,B9&gt;Year_DestinationYearID),"",IF(B33&gt;=B34,"Yes","No"))</f>
        <v>Yes</v>
      </c>
      <c r="C35" s="77" t="str">
        <f ca="1">IFERROR(INDEX(Validation!G:G,MATCH("Six-Yr Rule"&amp;CELL("address",C35),Validation!I:I,0)),"")</f>
        <v>Decertification was likely required in 2024 unless a deferral applied. (See instructions)</v>
      </c>
      <c r="D35" s="66" t="str">
        <f ca="1">IFERROR(INDEX(Validation!F:F,MATCH("Six-Yr Rule"&amp;CELL("address",C35),Validation!I:I,0)),"")</f>
        <v>Alert</v>
      </c>
      <c r="E35" s="86" t="s">
        <v>1648</v>
      </c>
    </row>
    <row r="36" spans="1:5" ht="15.75" x14ac:dyDescent="0.25">
      <c r="A36" s="188" t="s">
        <v>1066</v>
      </c>
      <c r="B36" s="116"/>
      <c r="C36" s="77" t="str">
        <f ca="1">IFERROR(INDEX(Validation!G:G,MATCH("Six-Yr Rule"&amp;CELL("address",C36),Validation!I:I,0)),"")</f>
        <v/>
      </c>
      <c r="D36" s="66" t="str">
        <f ca="1">IFERROR(INDEX(Validation!F:F,MATCH("Six-Yr Rule"&amp;CELL("address",C36),Validation!I:I,0)),"")</f>
        <v/>
      </c>
    </row>
    <row r="37" spans="1:5" x14ac:dyDescent="0.25">
      <c r="A37" s="79" t="s">
        <v>1067</v>
      </c>
      <c r="B37" s="117" t="str">
        <f>IF(B9&gt;Year_DestinationYearID,"",IF(SUMIFS(TIF_PaygAnnual_PrincipalOutstanding_Output,TIF_PAYG_MeetsFiveYrRuleInd_Output,TRUE,TIF_PAYG_FinalMaturityDate_Output,"&gt;"&amp;DATE(Year_DestinationYearID,12,31))&gt;0,"Yes","No"))</f>
        <v>Yes</v>
      </c>
      <c r="C37" s="77" t="str">
        <f ca="1">IFERROR(INDEX(Validation!G:G,MATCH("Six-Yr Rule"&amp;CELL("address",C37),Validation!I:I,0)),"")</f>
        <v xml:space="preserve">Reporting of an outstanding PAYG signals that a deferral applies. Skip to parcel removal. </v>
      </c>
      <c r="D37" s="66" t="str">
        <f ca="1">IFERROR(INDEX(Validation!F:F,MATCH("Six-Yr Rule"&amp;CELL("address",C37),Validation!I:I,0)),"")</f>
        <v>Information</v>
      </c>
      <c r="E37" s="86" t="s">
        <v>1649</v>
      </c>
    </row>
    <row r="38" spans="1:5" x14ac:dyDescent="0.25">
      <c r="A38" s="79" t="str">
        <f>_xlfn.CONCAT("Did the PAYG Deferral Apply in "&amp;Year_DestinationYearID-1&amp;"?")</f>
        <v>Did the PAYG Deferral Apply in 2023?</v>
      </c>
      <c r="B38" s="117" t="str">
        <f>IF(B9&gt;Year_DestinationYearID,"",IF(B37="Yes","",IF(AND((B31-TIF_DistrictYear_TaxIncRevAmt)*'Six-Yr Rule'!B23&gt;='Six-Yr Rule'!B34,SUMIFS(TIF_PaygAnnual_PrincipalOutstanding_Output,TIF_PAYG_MeetsFiveYrRuleInd_Output,TRUE,TIF_PAYG_FinalMaturityDate_Output,"&gt;"&amp;DATE(Year_DestinationYearID-1,12,31))&gt;0),"Yes","No")))</f>
        <v/>
      </c>
      <c r="C38" s="77" t="str">
        <f ca="1">IFERROR(INDEX(Validation!G:G,MATCH("Six-Yr Rule"&amp;CELL("address",C38),Validation!I:I,0)),"")</f>
        <v/>
      </c>
      <c r="D38" s="66" t="str">
        <f ca="1">IFERROR(INDEX(Validation!F:F,MATCH("Six-Yr Rule"&amp;CELL("address",C38),Validation!I:I,0)),"")</f>
        <v/>
      </c>
      <c r="E38" s="86" t="s">
        <v>1650</v>
      </c>
    </row>
    <row r="39" spans="1:5" x14ac:dyDescent="0.25">
      <c r="A39" s="79" t="s">
        <v>1609</v>
      </c>
      <c r="B39" s="117" t="str">
        <f>IF(B9&gt;Year_DestinationYearID,"",IF(B38="Yes",IF(OR(SUMIFS('Bond Output'!TIF_DebtAnnual_PrincipalOutstanding_Output,TIF_Debt_MeetsFiveYrRuleInd_Output,TRUE,'Bond Output'!TIF_Debt_FinalMaturityDate_Output,"&gt;"&amp;DATE(Year_DestinationYearID,12,31))&gt;0,SUMIFS(TIF_InterfundLoanAnnual_PrincipalOutstanding_Ouput,'IFL Ouput'!TIF_InterfundLoan_MeetsFiveYrRuleInd_Output,TRUE,'IFL Ouput'!TIF_InterfundLoan_FinalMaturityDate_Output,"&gt;"&amp;DATE(Year_DestinationYearID,12,31))&gt;0),"Yes","No"),""))</f>
        <v/>
      </c>
      <c r="C39" s="77" t="str">
        <f ca="1">IFERROR(INDEX(Validation!G:G,MATCH("Six-Yr Rule"&amp;CELL("address",C39),Validation!I:I,0)),"")</f>
        <v/>
      </c>
      <c r="D39" s="66" t="str">
        <f ca="1">IFERROR(INDEX(Validation!F:F,MATCH("Six-Yr Rule"&amp;CELL("address",C39),Validation!I:I,0)),"")</f>
        <v/>
      </c>
      <c r="E39" s="86" t="s">
        <v>1651</v>
      </c>
    </row>
    <row r="40" spans="1:5" x14ac:dyDescent="0.25">
      <c r="A40" s="79" t="s">
        <v>1072</v>
      </c>
      <c r="B40" s="117" t="str">
        <f>IF(B9&gt;Year_DestinationYearID,"",IF(B39="Yes",IF(B33&gt;(SUMIFS('Bond Output'!TIF_DebtAnnual_PrincipalOutstanding_Output,TIF_Debt_MeetsFiveYrRuleInd_Output,TRUE)+SUMIFS(TIF_PaygAnnual_PrincipalOutstanding_Output,TIF_PAYG_MeetsFiveYrRuleInd_Output,TRUE)+SUMIFS(TIF_InterfundLoanAnnual_PrincipalOutstanding_Ouput,'IFL Ouput'!TIF_InterfundLoan_MeetsFiveYrRuleInd_Output,TRUE)),"Yes","No"),""))</f>
        <v/>
      </c>
      <c r="C40" s="77" t="str">
        <f ca="1">IFERROR(INDEX(Validation!G:G,MATCH("Six-Yr Rule"&amp;CELL("address",C40),Validation!I:I,0)),"")</f>
        <v/>
      </c>
      <c r="D40" s="66" t="str">
        <f ca="1">IFERROR(INDEX(Validation!F:F,MATCH("Six-Yr Rule"&amp;CELL("address",C40),Validation!I:I,0)),"")</f>
        <v/>
      </c>
      <c r="E40" s="86" t="s">
        <v>1652</v>
      </c>
    </row>
    <row r="41" spans="1:5" ht="20.100000000000001" customHeight="1" x14ac:dyDescent="0.25">
      <c r="A41" s="188" t="s">
        <v>1068</v>
      </c>
      <c r="B41" s="116"/>
      <c r="C41" s="77" t="str">
        <f ca="1">IFERROR(INDEX(Validation!G:G,MATCH("Six-Yr Rule"&amp;CELL("address",C41),Validation!I:I,0)),"")</f>
        <v/>
      </c>
      <c r="D41" s="66" t="str">
        <f ca="1">IFERROR(INDEX(Validation!F:F,MATCH("Six-Yr Rule"&amp;CELL("address",C41),Validation!I:I,0)),"")</f>
        <v/>
      </c>
    </row>
    <row r="42" spans="1:5" ht="45" customHeight="1" x14ac:dyDescent="0.25">
      <c r="A42" s="187" t="s">
        <v>1647</v>
      </c>
      <c r="B42" s="106" t="s">
        <v>41</v>
      </c>
      <c r="C42" s="70" t="str">
        <f ca="1">IFERROR(INDEX(Validation!G:G,MATCH("Six-Yr Rule"&amp;CELL("address",C42),Validation!I:I,0)),"")</f>
        <v>You must select Yes or No.</v>
      </c>
      <c r="D42" s="71" t="str">
        <f ca="1">IFERROR(INDEX(Validation!F:F,MATCH("Six-Yr Rule"&amp;CELL("address",C42),Validation!I:I,0)),"")</f>
        <v>Error</v>
      </c>
      <c r="E42" s="72" t="s">
        <v>41</v>
      </c>
    </row>
    <row r="43" spans="1:5" ht="20.100000000000001" customHeight="1" x14ac:dyDescent="0.25">
      <c r="A43" s="97" t="s">
        <v>176</v>
      </c>
      <c r="C43" s="77" t="str">
        <f ca="1">IFERROR(INDEX(Validation!G:G,MATCH("Six-Yr Rule"&amp;CELL("address",C43),Validation!I:I,0)),"")</f>
        <v/>
      </c>
      <c r="D43" s="66" t="str">
        <f ca="1">IFERROR(INDEX(Validation!F:F,MATCH("Six-Yr Rule"&amp;CELL("address",C43),Validation!I:I,0)),"")</f>
        <v/>
      </c>
    </row>
    <row r="44" spans="1:5" ht="150" customHeight="1" x14ac:dyDescent="0.25">
      <c r="A44" s="164"/>
      <c r="B44" s="100" t="str">
        <f>HYPERLINK("#'Review and Submit'!A7","Click here to continue to the Review and Submit Tab")</f>
        <v>Click here to continue to the Review and Submit Tab</v>
      </c>
    </row>
  </sheetData>
  <sheetProtection algorithmName="SHA-512" hashValue="4prVazKOh7NzzLQB6IS/VUO4bdye3VGuN14Ax6NuiuARgGGvc/H+5LcifBSEHJUCB0YfizmWlwUN/F96Vr+DgQ==" saltValue="rQNHUXtXopJQ0YMPnXzZvQ==" spinCount="100000" sheet="1" objects="1" scenarios="1"/>
  <mergeCells count="1">
    <mergeCell ref="A4:D4"/>
  </mergeCells>
  <conditionalFormatting sqref="A8:B42">
    <cfRule type="expression" dxfId="505" priority="17">
      <formula>$B$7="Housing"</formula>
    </cfRule>
  </conditionalFormatting>
  <conditionalFormatting sqref="A36:B40">
    <cfRule type="expression" dxfId="502" priority="1">
      <formula>$B$35="No"</formula>
    </cfRule>
  </conditionalFormatting>
  <conditionalFormatting sqref="A38:B40">
    <cfRule type="expression" dxfId="500" priority="3">
      <formula>$B$37="Yes"</formula>
    </cfRule>
  </conditionalFormatting>
  <conditionalFormatting sqref="B8:B42">
    <cfRule type="expression" dxfId="498" priority="16">
      <formula>$B$7="Housing"</formula>
    </cfRule>
  </conditionalFormatting>
  <conditionalFormatting sqref="B38:B40">
    <cfRule type="expression" dxfId="495" priority="2">
      <formula>$B$37="Yes"</formula>
    </cfRule>
  </conditionalFormatting>
  <conditionalFormatting sqref="C1:D3 C5:D1048576">
    <cfRule type="expression" dxfId="494" priority="22">
      <formula>$D1="Information"</formula>
    </cfRule>
    <cfRule type="expression" dxfId="493" priority="23">
      <formula>$D1="Error"</formula>
    </cfRule>
    <cfRule type="expression" dxfId="492" priority="24">
      <formula>$D1="Alert"</formula>
    </cfRule>
    <cfRule type="expression" dxfId="491" priority="25">
      <formula>$D1="Exclude"</formula>
    </cfRule>
  </conditionalFormatting>
  <dataValidations count="1">
    <dataValidation type="list" allowBlank="1" showInputMessage="1" showErrorMessage="1" sqref="B42" xr:uid="{CE9FBBD3-95D6-43B6-A471-3C3B33B237E5}">
      <formula1>SelOneYesNo</formula1>
    </dataValidation>
  </dataValidation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4" id="{DD363035-E4E4-430E-9D49-3B1C1BA63265}">
            <xm:f>'Dist Info'!$F$25=TRUE</xm:f>
            <x14:dxf>
              <fill>
                <patternFill>
                  <bgColor rgb="FFEAEAEA"/>
                </patternFill>
              </fill>
            </x14:dxf>
          </x14:cfRule>
          <xm:sqref>A6:B42</xm:sqref>
        </x14:conditionalFormatting>
        <x14:conditionalFormatting xmlns:xm="http://schemas.microsoft.com/office/excel/2006/main">
          <x14:cfRule type="expression" priority="10" id="{DCDA55A9-5408-4B30-8AC7-F4D4FC6D8D49}">
            <xm:f>$B$9&gt;Variables!$A$8</xm:f>
            <x14:dxf>
              <fill>
                <patternFill>
                  <bgColor rgb="FFEAEAEA"/>
                </patternFill>
              </fill>
            </x14:dxf>
          </x14:cfRule>
          <xm:sqref>A10:B42</xm:sqref>
        </x14:conditionalFormatting>
        <x14:conditionalFormatting xmlns:xm="http://schemas.microsoft.com/office/excel/2006/main">
          <x14:cfRule type="expression" priority="7" id="{2C4B27B3-0017-4FFD-8E28-37258AC9B235}">
            <xm:f>IF('Dist Info'!$B$24="No",TRUE,FALSE)</xm:f>
            <x14:dxf>
              <fill>
                <patternFill>
                  <bgColor rgb="FFEAEAEA"/>
                </patternFill>
              </fill>
            </x14:dxf>
          </x14:cfRule>
          <xm:sqref>A12:B12</xm:sqref>
        </x14:conditionalFormatting>
        <x14:conditionalFormatting xmlns:xm="http://schemas.microsoft.com/office/excel/2006/main">
          <x14:cfRule type="expression" priority="6" id="{CE040AAF-EEB7-4410-B1B3-A4B5B849DA19}">
            <xm:f>PAYGs!$B$6="No"</xm:f>
            <x14:dxf>
              <fill>
                <patternFill>
                  <bgColor rgb="FFEAEAEA"/>
                </patternFill>
              </fill>
            </x14:dxf>
          </x14:cfRule>
          <xm:sqref>A36:B40</xm:sqref>
        </x14:conditionalFormatting>
        <x14:conditionalFormatting xmlns:xm="http://schemas.microsoft.com/office/excel/2006/main">
          <x14:cfRule type="expression" priority="5" id="{469C5B19-D0BB-4ACF-BCFC-630B50C343FC}">
            <xm:f>'Dist Info'!$F$25=TRUE</xm:f>
            <x14:dxf>
              <font>
                <color rgb="FFEAEAEA"/>
              </font>
            </x14:dxf>
          </x14:cfRule>
          <xm:sqref>B6:B42</xm:sqref>
        </x14:conditionalFormatting>
        <x14:conditionalFormatting xmlns:xm="http://schemas.microsoft.com/office/excel/2006/main">
          <x14:cfRule type="expression" priority="9" id="{5BCE4299-DE1B-4284-9E44-651859ACE825}">
            <xm:f>$B$9&gt;Variables!$A$8</xm:f>
            <x14:dxf>
              <font>
                <color rgb="FFEAEAEA"/>
              </font>
            </x14:dxf>
          </x14:cfRule>
          <xm:sqref>B10:B42</xm:sqref>
        </x14:conditionalFormatting>
        <x14:conditionalFormatting xmlns:xm="http://schemas.microsoft.com/office/excel/2006/main">
          <x14:cfRule type="expression" priority="21" id="{CE9A85DC-FEC7-4AD4-B4B0-A3BE95B42053}">
            <xm:f>COUNTIFS(Validation!$H:$H,MID(CELL("filename",B12),FIND("]",CELL("filename",B12))+1,255)&amp;CELL("address",B12))&gt;0</xm:f>
            <x14:dxf>
              <font>
                <b/>
                <i val="0"/>
                <color rgb="FFC00000"/>
              </font>
              <numFmt numFmtId="173" formatCode="_(\!_$* #,##0_);_(\!_$* \(#,##0\);_(\!_$* \-??_);_(\!\ @_)"/>
            </x14:dxf>
          </x14:cfRule>
          <xm:sqref>B12 B21 B38:B39 B42</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65AF2E-2475-42F4-B135-B75CB300D1FC}">
  <dimension ref="A1:K134"/>
  <sheetViews>
    <sheetView showGridLines="0" workbookViewId="0">
      <selection activeCell="B24" sqref="B24"/>
    </sheetView>
  </sheetViews>
  <sheetFormatPr defaultRowHeight="15" x14ac:dyDescent="0.25"/>
  <cols>
    <col min="1" max="1" width="80.7109375" style="66" customWidth="1"/>
    <col min="2" max="3" width="19.85546875" style="66" customWidth="1"/>
    <col min="4" max="4" width="9.140625" style="66"/>
    <col min="5" max="5" width="0" style="78" hidden="1" customWidth="1"/>
    <col min="6" max="6" width="10.28515625" style="78" hidden="1" customWidth="1"/>
    <col min="7" max="7" width="4.140625" style="78" hidden="1" customWidth="1"/>
    <col min="8" max="8" width="5.42578125" style="78" hidden="1" customWidth="1"/>
    <col min="9" max="9" width="20.140625" style="78" hidden="1" customWidth="1"/>
    <col min="10" max="10" width="5.42578125" style="78" hidden="1" customWidth="1"/>
    <col min="11" max="11" width="76.42578125" style="78" hidden="1" customWidth="1"/>
    <col min="12" max="16384" width="9.140625" style="66"/>
  </cols>
  <sheetData>
    <row r="1" spans="1:11" s="59" customFormat="1" ht="24.95" customHeight="1" x14ac:dyDescent="0.25">
      <c r="A1" s="59" t="str">
        <f>_xlfn.CONCAT("Office of the State Auditor  -  TIF Annual Reporting Form  -  ",Year_DestinationYearID)</f>
        <v>Office of the State Auditor  -  TIF Annual Reporting Form  -  2024</v>
      </c>
      <c r="C1" s="60"/>
      <c r="E1" s="78"/>
      <c r="F1" s="78"/>
      <c r="G1" s="78"/>
      <c r="H1" s="61"/>
      <c r="I1" s="61"/>
      <c r="J1" s="61"/>
      <c r="K1" s="61"/>
    </row>
    <row r="2" spans="1:11" s="62" customFormat="1" ht="20.100000000000001" customHeight="1" x14ac:dyDescent="0.25">
      <c r="A2" s="58" t="str">
        <f>_xlfn.CONCAT(GovEntity_GovEntityName_Parent,"  -  ",GovEntity_GovEntityName)</f>
        <v>Spruce City  -  TIF 1-1 Downtown Redev</v>
      </c>
      <c r="C2" s="63"/>
      <c r="E2" s="78"/>
      <c r="F2" s="78"/>
      <c r="G2" s="78"/>
      <c r="H2" s="64"/>
      <c r="I2" s="64"/>
      <c r="J2" s="64"/>
      <c r="K2" s="64"/>
    </row>
    <row r="3" spans="1:11" s="68" customFormat="1" ht="24.95" customHeight="1" x14ac:dyDescent="0.3">
      <c r="A3" s="65" t="s">
        <v>986</v>
      </c>
      <c r="B3" s="66"/>
      <c r="C3" s="67"/>
      <c r="E3" s="78"/>
      <c r="F3" s="78"/>
      <c r="G3" s="78"/>
      <c r="H3" s="69"/>
      <c r="I3" s="69"/>
      <c r="J3" s="69"/>
      <c r="K3" s="69"/>
    </row>
    <row r="4" spans="1:11" ht="60" customHeight="1" x14ac:dyDescent="0.25">
      <c r="A4" s="218" t="s">
        <v>1164</v>
      </c>
      <c r="B4" s="218"/>
      <c r="C4" s="218"/>
    </row>
    <row r="5" spans="1:11" ht="20.100000000000001" customHeight="1" thickBot="1" x14ac:dyDescent="0.3">
      <c r="A5" s="188" t="s">
        <v>1167</v>
      </c>
      <c r="B5" s="110"/>
      <c r="C5" s="66" t="str">
        <f ca="1">IFERROR(INDEX(Validation!G:G,MATCH("Six-Yr Rule"&amp;CELL("address",C5),Validation!I:I,0)),"")</f>
        <v/>
      </c>
      <c r="D5" s="66" t="str">
        <f ca="1">IFERROR(INDEX(Validation!F:F,MATCH("Six-Yr Rule"&amp;CELL("address",C5),Validation!I:I,0)),"")</f>
        <v/>
      </c>
    </row>
    <row r="6" spans="1:11" ht="30" customHeight="1" thickTop="1" thickBot="1" x14ac:dyDescent="0.3">
      <c r="A6" s="191" t="s">
        <v>295</v>
      </c>
      <c r="B6" s="192" t="s">
        <v>1165</v>
      </c>
      <c r="C6" s="193" t="s">
        <v>1166</v>
      </c>
    </row>
    <row r="7" spans="1:11" ht="15.75" thickTop="1" x14ac:dyDescent="0.25">
      <c r="A7" s="194" t="str">
        <f>HYPERLINK("#'Dist Info'!B22","District Information (Dist Info) Tab")</f>
        <v>District Information (Dist Info) Tab</v>
      </c>
      <c r="B7" s="195">
        <f ca="1">ErrorCheck_DistInfo</f>
        <v>4</v>
      </c>
      <c r="C7" s="196">
        <f ca="1">AlertCheck_DistInfo</f>
        <v>0</v>
      </c>
    </row>
    <row r="8" spans="1:11" x14ac:dyDescent="0.25">
      <c r="A8" s="194" t="str">
        <f>HYPERLINK("#'Spec Leg'!B6","Special Legislation (Spec Leg) Tab")</f>
        <v>Special Legislation (Spec Leg) Tab</v>
      </c>
      <c r="B8" s="197">
        <f ca="1">ErrorCheck_SpecLeg</f>
        <v>1</v>
      </c>
      <c r="C8" s="196">
        <f ca="1">AlertCheck_SpecLeg</f>
        <v>0</v>
      </c>
    </row>
    <row r="9" spans="1:11" x14ac:dyDescent="0.25">
      <c r="A9" s="194" t="str">
        <f>HYPERLINK("#'Bonds'!B6","Bonds Tab")</f>
        <v>Bonds Tab</v>
      </c>
      <c r="B9" s="197">
        <f ca="1">ErrorCheck_Bonds</f>
        <v>1</v>
      </c>
      <c r="C9" s="196">
        <f ca="1">AlertCheck_Bonds</f>
        <v>0</v>
      </c>
    </row>
    <row r="10" spans="1:11" x14ac:dyDescent="0.25">
      <c r="A10" s="194" t="str">
        <f>HYPERLINK("#'PAYGs'!B6","Pay-As-You-Go Notes (PAYGs) Tab")</f>
        <v>Pay-As-You-Go Notes (PAYGs) Tab</v>
      </c>
      <c r="B10" s="197">
        <f ca="1">ErrorCheck_PAYGs</f>
        <v>2</v>
      </c>
      <c r="C10" s="196">
        <f ca="1">AlertCheck_PAYGs</f>
        <v>0</v>
      </c>
    </row>
    <row r="11" spans="1:11" x14ac:dyDescent="0.25">
      <c r="A11" s="194" t="str">
        <f>HYPERLINK("#'Loans'!B6","Interfund Loans (Loans) Tab")</f>
        <v>Interfund Loans (Loans) Tab</v>
      </c>
      <c r="B11" s="197">
        <f ca="1">ErrorCheck_Loans</f>
        <v>1</v>
      </c>
      <c r="C11" s="196">
        <f ca="1">AlertCheck_Loans</f>
        <v>0</v>
      </c>
    </row>
    <row r="12" spans="1:11" x14ac:dyDescent="0.25">
      <c r="A12" s="194" t="str">
        <f>HYPERLINK("#'Lent Funds'!B6","Lent Funds Tab")</f>
        <v>Lent Funds Tab</v>
      </c>
      <c r="B12" s="197">
        <f ca="1">ErrorCheck_LentFunds</f>
        <v>1</v>
      </c>
      <c r="C12" s="196">
        <f ca="1">AlertCheck_LentFunds</f>
        <v>0</v>
      </c>
    </row>
    <row r="13" spans="1:11" x14ac:dyDescent="0.25">
      <c r="A13" s="194" t="str">
        <f>HYPERLINK("#'Revenues'!B7","Revenues Tab")</f>
        <v>Revenues Tab</v>
      </c>
      <c r="B13" s="197" cm="1">
        <f t="array" aca="1" ref="B13" ca="1">ErrorCheck_Revenues</f>
        <v>1</v>
      </c>
      <c r="C13" s="196" cm="1">
        <f t="array" aca="1" ref="C13" ca="1">AlertCheck_Revenues</f>
        <v>0</v>
      </c>
    </row>
    <row r="14" spans="1:11" x14ac:dyDescent="0.25">
      <c r="A14" s="194" t="str">
        <f>HYPERLINK("#'Expenditures'!B7","Expenditures Tab")</f>
        <v>Expenditures Tab</v>
      </c>
      <c r="B14" s="197">
        <f ca="1">ErrorCheck_Expenditures</f>
        <v>1</v>
      </c>
      <c r="C14" s="196">
        <f ca="1">AlertCheck_Expenditures</f>
        <v>0</v>
      </c>
    </row>
    <row r="15" spans="1:11" x14ac:dyDescent="0.25">
      <c r="A15" s="194" t="str">
        <f>HYPERLINK("#'Transfers'!B6","Transfers Tab")</f>
        <v>Transfers Tab</v>
      </c>
      <c r="B15" s="197">
        <f ca="1">ErrorCheck_Transfers</f>
        <v>1</v>
      </c>
      <c r="C15" s="196">
        <f ca="1">AlertCheck_Transfers</f>
        <v>0</v>
      </c>
    </row>
    <row r="16" spans="1:11" x14ac:dyDescent="0.25">
      <c r="A16" s="194" t="str">
        <f>HYPERLINK("#'Returned'!B7","Returned Increment (Returned) Tab")</f>
        <v>Returned Increment (Returned) Tab</v>
      </c>
      <c r="B16" s="197">
        <f ca="1">ErrorCheck_Returned</f>
        <v>4</v>
      </c>
      <c r="C16" s="196">
        <f ca="1">AlertCheck_Returned</f>
        <v>0</v>
      </c>
    </row>
    <row r="17" spans="1:11" x14ac:dyDescent="0.25">
      <c r="A17" s="194" t="str">
        <f>HYPERLINK("#'Rev Exp Bal'!B7","Revenues, Expenditures, and Changes in Tax Increment Balance (Rev Exp Bal) Tab")</f>
        <v>Revenues, Expenditures, and Changes in Tax Increment Balance (Rev Exp Bal) Tab</v>
      </c>
      <c r="B17" s="197">
        <f ca="1">ErrorCheck_RevExpBal</f>
        <v>1</v>
      </c>
      <c r="C17" s="196">
        <f ca="1">AlertCheck_RevExpBal</f>
        <v>0</v>
      </c>
    </row>
    <row r="18" spans="1:11" x14ac:dyDescent="0.25">
      <c r="A18" s="194" t="str">
        <f>HYPERLINK("#'Bal Sheet'!B7","Balance Sheet (Bal Sheet) Tab")</f>
        <v>Balance Sheet (Bal Sheet) Tab</v>
      </c>
      <c r="B18" s="197">
        <f ca="1">ErrorCheck_BalSheet</f>
        <v>2</v>
      </c>
      <c r="C18" s="196">
        <f ca="1">AlertCheck_BalSheet</f>
        <v>0</v>
      </c>
    </row>
    <row r="19" spans="1:11" x14ac:dyDescent="0.25">
      <c r="A19" s="194" t="str">
        <f>HYPERLINK("#'EIC'!B16","Excess Increment Calculation (EIC) Tab")</f>
        <v>Excess Increment Calculation (EIC) Tab</v>
      </c>
      <c r="B19" s="197">
        <f ca="1">ErrorCheck_EIC</f>
        <v>0</v>
      </c>
      <c r="C19" s="196">
        <f ca="1">AlertCheck_EIC</f>
        <v>0</v>
      </c>
    </row>
    <row r="20" spans="1:11" x14ac:dyDescent="0.25">
      <c r="A20" s="194" t="str">
        <f>HYPERLINK("#'ADS'!B7","Annual Disclosure Statement (ADS) Tab")</f>
        <v>Annual Disclosure Statement (ADS) Tab</v>
      </c>
      <c r="B20" s="197">
        <f ca="1">ErrorCheck_ADS</f>
        <v>3</v>
      </c>
      <c r="C20" s="196">
        <f ca="1">AlertCheck_ADS</f>
        <v>0</v>
      </c>
    </row>
    <row r="21" spans="1:11" x14ac:dyDescent="0.25">
      <c r="A21" s="194" t="str">
        <f>HYPERLINK("#'HSS'!B6","Hazardous Substance Subdistrict (HSS) Tab")</f>
        <v>Hazardous Substance Subdistrict (HSS) Tab</v>
      </c>
      <c r="B21" s="197">
        <f ca="1">ErrorCheck_HSS</f>
        <v>2</v>
      </c>
      <c r="C21" s="196">
        <f ca="1">AlertCheck_HSS</f>
        <v>0</v>
      </c>
    </row>
    <row r="22" spans="1:11" x14ac:dyDescent="0.25">
      <c r="A22" s="194" t="str">
        <f>HYPERLINK("#'Parcels'!A8","Parcels Tab")</f>
        <v>Parcels Tab</v>
      </c>
      <c r="B22" s="197">
        <f ca="1">ErrorCheck_Parcels</f>
        <v>0</v>
      </c>
      <c r="C22" s="196">
        <f ca="1">AlertCheck_Parcels</f>
        <v>0</v>
      </c>
    </row>
    <row r="23" spans="1:11" ht="15.75" thickBot="1" x14ac:dyDescent="0.3">
      <c r="A23" s="194" t="str">
        <f>HYPERLINK("#'Six-Yr Rule'!B12","Six-Year Rule (Six-Yr Rule) Tab")</f>
        <v>Six-Year Rule (Six-Yr Rule) Tab</v>
      </c>
      <c r="B23" s="198">
        <f ca="1">ErrorCheck_SixYrRule</f>
        <v>3</v>
      </c>
      <c r="C23" s="199">
        <f ca="1">AlertCheck_SixYrRule</f>
        <v>1</v>
      </c>
    </row>
    <row r="24" spans="1:11" ht="16.5" thickTop="1" thickBot="1" x14ac:dyDescent="0.3">
      <c r="A24" s="200" t="s">
        <v>989</v>
      </c>
      <c r="B24" s="201">
        <f ca="1">SUM(B7:B23)</f>
        <v>28</v>
      </c>
      <c r="C24" s="201">
        <f ca="1">SUM(C7:C23)</f>
        <v>1</v>
      </c>
    </row>
    <row r="25" spans="1:11" ht="15.75" thickTop="1" x14ac:dyDescent="0.25">
      <c r="A25" s="202" t="s">
        <v>987</v>
      </c>
      <c r="B25" s="203" t="str">
        <f ca="1">IF(B24=0,"Ready to Submit","Do NOT Submit")</f>
        <v>Do NOT Submit</v>
      </c>
      <c r="C25" s="204" t="s">
        <v>1168</v>
      </c>
    </row>
    <row r="26" spans="1:11" ht="15" customHeight="1" x14ac:dyDescent="0.25">
      <c r="A26" s="205" t="s">
        <v>988</v>
      </c>
    </row>
    <row r="27" spans="1:11" ht="20.100000000000001" customHeight="1" x14ac:dyDescent="0.25">
      <c r="A27" s="97" t="s">
        <v>1171</v>
      </c>
    </row>
    <row r="28" spans="1:11" ht="95.1" customHeight="1" x14ac:dyDescent="0.25">
      <c r="A28" s="218" t="s">
        <v>1666</v>
      </c>
      <c r="B28" s="218"/>
      <c r="C28" s="218"/>
    </row>
    <row r="29" spans="1:11" s="77" customFormat="1" ht="15" customHeight="1" x14ac:dyDescent="0.25">
      <c r="A29" s="206" t="s">
        <v>1657</v>
      </c>
      <c r="E29" s="207"/>
      <c r="F29" s="207"/>
      <c r="G29" s="207"/>
      <c r="H29" s="207"/>
      <c r="I29" s="207"/>
      <c r="J29" s="207"/>
      <c r="K29" s="207"/>
    </row>
    <row r="30" spans="1:11" x14ac:dyDescent="0.25">
      <c r="A30" s="131" t="s">
        <v>1177</v>
      </c>
      <c r="B30" s="111">
        <f>Expenditures!D13</f>
        <v>0</v>
      </c>
    </row>
    <row r="31" spans="1:11" x14ac:dyDescent="0.25">
      <c r="A31" s="131" t="s">
        <v>1182</v>
      </c>
      <c r="B31" s="111">
        <f>Expenditures!D22</f>
        <v>0</v>
      </c>
    </row>
    <row r="32" spans="1:11" x14ac:dyDescent="0.25">
      <c r="A32" s="131" t="s">
        <v>1178</v>
      </c>
      <c r="B32" s="162">
        <f>B30-B31</f>
        <v>0</v>
      </c>
    </row>
    <row r="33" spans="1:11" s="77" customFormat="1" ht="15" customHeight="1" x14ac:dyDescent="0.25">
      <c r="A33" s="206" t="s">
        <v>1658</v>
      </c>
      <c r="E33" s="207"/>
      <c r="F33" s="207"/>
      <c r="G33" s="207"/>
      <c r="H33" s="207"/>
      <c r="I33" s="207"/>
      <c r="J33" s="207"/>
      <c r="K33" s="207"/>
    </row>
    <row r="34" spans="1:11" x14ac:dyDescent="0.25">
      <c r="A34" s="131" t="s">
        <v>1655</v>
      </c>
      <c r="B34" s="111">
        <f>EIC!B9</f>
        <v>1266428</v>
      </c>
    </row>
    <row r="35" spans="1:11" x14ac:dyDescent="0.25">
      <c r="A35" s="131" t="s">
        <v>1659</v>
      </c>
      <c r="B35" s="162">
        <f>B34*0.1</f>
        <v>126642.8</v>
      </c>
    </row>
    <row r="36" spans="1:11" s="77" customFormat="1" ht="15" customHeight="1" x14ac:dyDescent="0.25">
      <c r="A36" s="206" t="s">
        <v>1665</v>
      </c>
      <c r="E36" s="207"/>
      <c r="F36" s="207"/>
      <c r="G36" s="207"/>
      <c r="H36" s="207"/>
      <c r="I36" s="207"/>
      <c r="J36" s="207"/>
      <c r="K36" s="207"/>
    </row>
    <row r="37" spans="1:11" x14ac:dyDescent="0.25">
      <c r="A37" s="131" t="s">
        <v>1654</v>
      </c>
      <c r="B37" s="111">
        <f>Revenues!D7+Revenues!D8</f>
        <v>595003</v>
      </c>
      <c r="C37" s="66" t="str">
        <f>IF(TIF_District_OriginalCertificationRequestDate&lt;DATE(2001,8,1),"Not applicable","")</f>
        <v/>
      </c>
    </row>
    <row r="38" spans="1:11" x14ac:dyDescent="0.25">
      <c r="A38" s="131" t="s">
        <v>1179</v>
      </c>
      <c r="B38" s="111">
        <f>Returned!D7+Returned!D9</f>
        <v>0</v>
      </c>
      <c r="C38" s="66" t="str">
        <f>IF(TIF_District_OriginalCertificationRequestDate&lt;DATE(2001,8,1),"Not applicable","")</f>
        <v/>
      </c>
    </row>
    <row r="39" spans="1:11" x14ac:dyDescent="0.25">
      <c r="A39" s="131" t="s">
        <v>1661</v>
      </c>
      <c r="B39" s="162">
        <f>B37-B38</f>
        <v>595003</v>
      </c>
      <c r="C39" s="66" t="str">
        <f>IF(TIF_District_OriginalCertificationRequestDate&lt;DATE(2001,8,1),"Not applicable","")</f>
        <v/>
      </c>
    </row>
    <row r="40" spans="1:11" x14ac:dyDescent="0.25">
      <c r="A40" s="131" t="s">
        <v>1660</v>
      </c>
      <c r="B40" s="208"/>
      <c r="C40" s="66" t="str">
        <f>IF(TIF_District_OriginalCertificationRequestDate&gt;DATE(2001,7,31),"Not applicable","Enter amount")</f>
        <v>Not applicable</v>
      </c>
    </row>
    <row r="41" spans="1:11" x14ac:dyDescent="0.25">
      <c r="A41" s="131" t="s">
        <v>1664</v>
      </c>
      <c r="B41" s="162">
        <f>IF(TIF_District_OriginalCertificationRequestDate&lt;DATE(2001,8,1),B40*0.1,B39*0.1)</f>
        <v>59500.3</v>
      </c>
    </row>
    <row r="42" spans="1:11" s="77" customFormat="1" ht="15" customHeight="1" x14ac:dyDescent="0.25">
      <c r="A42" s="206" t="s">
        <v>1663</v>
      </c>
      <c r="E42" s="207"/>
      <c r="F42" s="207"/>
      <c r="G42" s="207"/>
      <c r="H42" s="207"/>
      <c r="I42" s="207"/>
      <c r="J42" s="207"/>
      <c r="K42" s="207"/>
    </row>
    <row r="43" spans="1:11" x14ac:dyDescent="0.25">
      <c r="A43" s="131" t="s">
        <v>1662</v>
      </c>
      <c r="B43" s="162">
        <f>MIN(B41,B35)</f>
        <v>59500.3</v>
      </c>
    </row>
    <row r="44" spans="1:11" x14ac:dyDescent="0.25">
      <c r="A44" s="131" t="s">
        <v>1656</v>
      </c>
      <c r="B44" s="162">
        <f>B32-B43</f>
        <v>-59500.3</v>
      </c>
    </row>
    <row r="45" spans="1:11" x14ac:dyDescent="0.25">
      <c r="A45" s="131" t="s">
        <v>1180</v>
      </c>
      <c r="B45" s="209" t="str">
        <f>IF(B44&gt;0,"Running Over","Within Limit")</f>
        <v>Within Limit</v>
      </c>
    </row>
    <row r="46" spans="1:11" x14ac:dyDescent="0.25">
      <c r="A46" s="79" t="s">
        <v>1172</v>
      </c>
    </row>
    <row r="47" spans="1:11" ht="20.100000000000001" customHeight="1" x14ac:dyDescent="0.25">
      <c r="A47" s="97" t="s">
        <v>1170</v>
      </c>
    </row>
    <row r="48" spans="1:11" ht="65.099999999999994" customHeight="1" x14ac:dyDescent="0.25">
      <c r="A48" s="218" t="s">
        <v>1667</v>
      </c>
      <c r="B48" s="218"/>
      <c r="C48" s="218"/>
    </row>
    <row r="49" spans="1:11" s="77" customFormat="1" ht="15" customHeight="1" x14ac:dyDescent="0.25">
      <c r="A49" s="206" t="s">
        <v>1668</v>
      </c>
      <c r="E49" s="207"/>
      <c r="F49" s="207"/>
      <c r="G49" s="207"/>
      <c r="H49" s="207"/>
      <c r="I49" s="207"/>
      <c r="J49" s="207"/>
      <c r="K49" s="207"/>
    </row>
    <row r="50" spans="1:11" x14ac:dyDescent="0.25">
      <c r="A50" s="131" t="s">
        <v>1181</v>
      </c>
      <c r="B50" s="162">
        <f ca="1">'Expenditure Summary'!M21</f>
        <v>0</v>
      </c>
    </row>
    <row r="51" spans="1:11" s="77" customFormat="1" ht="15" customHeight="1" x14ac:dyDescent="0.25">
      <c r="A51" s="206" t="s">
        <v>1669</v>
      </c>
      <c r="E51" s="207"/>
      <c r="F51" s="207"/>
      <c r="G51" s="207"/>
      <c r="H51" s="207"/>
      <c r="I51" s="207"/>
      <c r="J51" s="207"/>
      <c r="K51" s="207"/>
    </row>
    <row r="52" spans="1:11" x14ac:dyDescent="0.25">
      <c r="A52" s="131" t="s">
        <v>1654</v>
      </c>
      <c r="B52" s="94">
        <f>Revenues!D7+Revenues!D8</f>
        <v>595003</v>
      </c>
    </row>
    <row r="53" spans="1:11" x14ac:dyDescent="0.25">
      <c r="A53" s="131" t="s">
        <v>1179</v>
      </c>
      <c r="B53" s="94">
        <f>Returned!D7+Returned!D9</f>
        <v>0</v>
      </c>
    </row>
    <row r="54" spans="1:11" x14ac:dyDescent="0.25">
      <c r="A54" s="131" t="s">
        <v>1055</v>
      </c>
      <c r="B54" s="210">
        <v>0.3</v>
      </c>
    </row>
    <row r="55" spans="1:11" s="77" customFormat="1" ht="15" customHeight="1" x14ac:dyDescent="0.25">
      <c r="A55" s="206" t="s">
        <v>1663</v>
      </c>
      <c r="E55" s="207"/>
      <c r="F55" s="207"/>
      <c r="G55" s="207"/>
      <c r="H55" s="207"/>
      <c r="I55" s="207"/>
      <c r="J55" s="207"/>
      <c r="K55" s="207"/>
    </row>
    <row r="56" spans="1:11" x14ac:dyDescent="0.25">
      <c r="A56" s="131" t="s">
        <v>1670</v>
      </c>
      <c r="B56" s="162">
        <f>(B52-B53)*B54</f>
        <v>178500.9</v>
      </c>
    </row>
    <row r="57" spans="1:11" x14ac:dyDescent="0.25">
      <c r="A57" s="131" t="s">
        <v>1656</v>
      </c>
      <c r="B57" s="162">
        <f ca="1">B50-B56</f>
        <v>-178500.9</v>
      </c>
    </row>
    <row r="58" spans="1:11" x14ac:dyDescent="0.25">
      <c r="A58" s="131" t="s">
        <v>1180</v>
      </c>
      <c r="B58" s="209" t="str">
        <f ca="1">IF(B57&gt;0,"Running Over","Within Limit")</f>
        <v>Within Limit</v>
      </c>
    </row>
    <row r="59" spans="1:11" x14ac:dyDescent="0.25">
      <c r="A59" s="79" t="s">
        <v>1172</v>
      </c>
    </row>
    <row r="60" spans="1:11" ht="20.100000000000001" customHeight="1" x14ac:dyDescent="0.25">
      <c r="A60" s="188" t="s">
        <v>1169</v>
      </c>
    </row>
    <row r="61" spans="1:11" x14ac:dyDescent="0.25">
      <c r="A61" s="75" t="s">
        <v>1138</v>
      </c>
      <c r="B61" s="74" t="s">
        <v>97</v>
      </c>
      <c r="C61" s="74" t="s">
        <v>1139</v>
      </c>
    </row>
    <row r="62" spans="1:11" x14ac:dyDescent="0.25">
      <c r="A62" s="77" t="str">
        <f ca="1">IF(ISBLANK(K62),"",K62)</f>
        <v>Publication date must be during 2025. Correct entry or explain in comments box.</v>
      </c>
      <c r="B62" s="66" t="str">
        <f ca="1">IF(ISBLANK(E62),"",E62)</f>
        <v>ADS</v>
      </c>
      <c r="C62" s="66" t="str">
        <f ca="1">IF(ISBLANK(F62),"",F62)</f>
        <v>B8</v>
      </c>
      <c r="E62" s="78" t="str" cm="1">
        <f t="array" aca="1" ref="E62:K63" ca="1">_xlfn._xlws.FILTER(Validation!A2:G10454,(Validation!F2:F10454="Alert")*(Validation!D2:D10454=TRUE),"")</f>
        <v>ADS</v>
      </c>
      <c r="F62" s="78" t="str">
        <f ca="1"/>
        <v>B8</v>
      </c>
      <c r="G62" s="78" t="str">
        <f ca="1"/>
        <v>C8</v>
      </c>
      <c r="H62" s="78" t="b">
        <f ca="1"/>
        <v>1</v>
      </c>
      <c r="I62" s="78" t="str">
        <f ca="1"/>
        <v>ADSPubDateYear</v>
      </c>
      <c r="J62" s="78" t="str">
        <f ca="1"/>
        <v>Alert</v>
      </c>
      <c r="K62" s="78" t="str">
        <f ca="1"/>
        <v>Publication date must be during 2025. Correct entry or explain in comments box.</v>
      </c>
    </row>
    <row r="63" spans="1:11" x14ac:dyDescent="0.25">
      <c r="A63" s="77" t="str">
        <f t="shared" ref="A63:A126" ca="1" si="0">IF(ISBLANK(K63),"",K63)</f>
        <v>Decertification was likely required in 2024 unless a deferral applied. (See instructions)</v>
      </c>
      <c r="B63" s="66" t="str">
        <f t="shared" ref="B63:B126" ca="1" si="1">IF(ISBLANK(E63),"",E63)</f>
        <v>Six-Yr Rule</v>
      </c>
      <c r="C63" s="66" t="str">
        <f t="shared" ref="C63:C126" ca="1" si="2">IF(ISBLANK(F63),"",F63)</f>
        <v>B35</v>
      </c>
      <c r="E63" s="78" t="str">
        <f ca="1"/>
        <v>Six-Yr Rule</v>
      </c>
      <c r="F63" s="78" t="str">
        <f ca="1"/>
        <v>B35</v>
      </c>
      <c r="G63" s="78" t="str">
        <f ca="1"/>
        <v>C35</v>
      </c>
      <c r="H63" s="78" t="b">
        <f ca="1"/>
        <v>1</v>
      </c>
      <c r="I63" s="78" t="str">
        <f ca="1"/>
        <v>SixYrInitialTrigger</v>
      </c>
      <c r="J63" s="78" t="str">
        <f ca="1"/>
        <v>Alert</v>
      </c>
      <c r="K63" s="78" t="str">
        <f ca="1"/>
        <v>Decertification was likely required in 2024 unless a deferral applied. (See instructions)</v>
      </c>
    </row>
    <row r="64" spans="1:11" x14ac:dyDescent="0.25">
      <c r="A64" s="77" t="str">
        <f t="shared" si="0"/>
        <v/>
      </c>
      <c r="B64" s="66" t="str">
        <f t="shared" si="1"/>
        <v/>
      </c>
      <c r="C64" s="66" t="str">
        <f t="shared" si="2"/>
        <v/>
      </c>
    </row>
    <row r="65" spans="1:3" x14ac:dyDescent="0.25">
      <c r="A65" s="77" t="str">
        <f t="shared" si="0"/>
        <v/>
      </c>
      <c r="B65" s="66" t="str">
        <f t="shared" si="1"/>
        <v/>
      </c>
      <c r="C65" s="66" t="str">
        <f t="shared" si="2"/>
        <v/>
      </c>
    </row>
    <row r="66" spans="1:3" x14ac:dyDescent="0.25">
      <c r="A66" s="77" t="str">
        <f t="shared" si="0"/>
        <v/>
      </c>
      <c r="B66" s="66" t="str">
        <f t="shared" si="1"/>
        <v/>
      </c>
      <c r="C66" s="66" t="str">
        <f t="shared" si="2"/>
        <v/>
      </c>
    </row>
    <row r="67" spans="1:3" x14ac:dyDescent="0.25">
      <c r="A67" s="77" t="str">
        <f t="shared" si="0"/>
        <v/>
      </c>
      <c r="B67" s="66" t="str">
        <f t="shared" si="1"/>
        <v/>
      </c>
      <c r="C67" s="66" t="str">
        <f t="shared" si="2"/>
        <v/>
      </c>
    </row>
    <row r="68" spans="1:3" x14ac:dyDescent="0.25">
      <c r="A68" s="77" t="str">
        <f t="shared" si="0"/>
        <v/>
      </c>
      <c r="B68" s="66" t="str">
        <f t="shared" si="1"/>
        <v/>
      </c>
      <c r="C68" s="66" t="str">
        <f t="shared" si="2"/>
        <v/>
      </c>
    </row>
    <row r="69" spans="1:3" x14ac:dyDescent="0.25">
      <c r="A69" s="77" t="str">
        <f t="shared" si="0"/>
        <v/>
      </c>
      <c r="B69" s="66" t="str">
        <f t="shared" si="1"/>
        <v/>
      </c>
      <c r="C69" s="66" t="str">
        <f t="shared" si="2"/>
        <v/>
      </c>
    </row>
    <row r="70" spans="1:3" x14ac:dyDescent="0.25">
      <c r="A70" s="77" t="str">
        <f t="shared" si="0"/>
        <v/>
      </c>
      <c r="B70" s="66" t="str">
        <f t="shared" si="1"/>
        <v/>
      </c>
      <c r="C70" s="66" t="str">
        <f t="shared" si="2"/>
        <v/>
      </c>
    </row>
    <row r="71" spans="1:3" x14ac:dyDescent="0.25">
      <c r="A71" s="77" t="str">
        <f t="shared" si="0"/>
        <v/>
      </c>
      <c r="B71" s="66" t="str">
        <f t="shared" si="1"/>
        <v/>
      </c>
      <c r="C71" s="66" t="str">
        <f t="shared" si="2"/>
        <v/>
      </c>
    </row>
    <row r="72" spans="1:3" x14ac:dyDescent="0.25">
      <c r="A72" s="77" t="str">
        <f t="shared" si="0"/>
        <v/>
      </c>
      <c r="B72" s="66" t="str">
        <f t="shared" si="1"/>
        <v/>
      </c>
      <c r="C72" s="66" t="str">
        <f t="shared" si="2"/>
        <v/>
      </c>
    </row>
    <row r="73" spans="1:3" x14ac:dyDescent="0.25">
      <c r="A73" s="77" t="str">
        <f t="shared" si="0"/>
        <v/>
      </c>
      <c r="B73" s="66" t="str">
        <f t="shared" si="1"/>
        <v/>
      </c>
      <c r="C73" s="66" t="str">
        <f t="shared" si="2"/>
        <v/>
      </c>
    </row>
    <row r="74" spans="1:3" x14ac:dyDescent="0.25">
      <c r="A74" s="77" t="str">
        <f t="shared" si="0"/>
        <v/>
      </c>
      <c r="B74" s="66" t="str">
        <f t="shared" si="1"/>
        <v/>
      </c>
      <c r="C74" s="66" t="str">
        <f t="shared" si="2"/>
        <v/>
      </c>
    </row>
    <row r="75" spans="1:3" x14ac:dyDescent="0.25">
      <c r="A75" s="77" t="str">
        <f t="shared" si="0"/>
        <v/>
      </c>
      <c r="B75" s="66" t="str">
        <f t="shared" si="1"/>
        <v/>
      </c>
      <c r="C75" s="66" t="str">
        <f t="shared" si="2"/>
        <v/>
      </c>
    </row>
    <row r="76" spans="1:3" x14ac:dyDescent="0.25">
      <c r="A76" s="77" t="str">
        <f t="shared" si="0"/>
        <v/>
      </c>
      <c r="B76" s="66" t="str">
        <f t="shared" si="1"/>
        <v/>
      </c>
      <c r="C76" s="66" t="str">
        <f t="shared" si="2"/>
        <v/>
      </c>
    </row>
    <row r="77" spans="1:3" x14ac:dyDescent="0.25">
      <c r="A77" s="77" t="str">
        <f t="shared" si="0"/>
        <v/>
      </c>
      <c r="B77" s="66" t="str">
        <f t="shared" si="1"/>
        <v/>
      </c>
      <c r="C77" s="66" t="str">
        <f t="shared" si="2"/>
        <v/>
      </c>
    </row>
    <row r="78" spans="1:3" x14ac:dyDescent="0.25">
      <c r="A78" s="77" t="str">
        <f t="shared" si="0"/>
        <v/>
      </c>
      <c r="B78" s="66" t="str">
        <f t="shared" si="1"/>
        <v/>
      </c>
      <c r="C78" s="66" t="str">
        <f t="shared" si="2"/>
        <v/>
      </c>
    </row>
    <row r="79" spans="1:3" x14ac:dyDescent="0.25">
      <c r="A79" s="77" t="str">
        <f t="shared" si="0"/>
        <v/>
      </c>
      <c r="B79" s="66" t="str">
        <f t="shared" si="1"/>
        <v/>
      </c>
      <c r="C79" s="66" t="str">
        <f t="shared" si="2"/>
        <v/>
      </c>
    </row>
    <row r="80" spans="1:3" x14ac:dyDescent="0.25">
      <c r="A80" s="77" t="str">
        <f t="shared" si="0"/>
        <v/>
      </c>
      <c r="B80" s="66" t="str">
        <f t="shared" si="1"/>
        <v/>
      </c>
      <c r="C80" s="66" t="str">
        <f t="shared" si="2"/>
        <v/>
      </c>
    </row>
    <row r="81" spans="1:3" x14ac:dyDescent="0.25">
      <c r="A81" s="77" t="str">
        <f t="shared" si="0"/>
        <v/>
      </c>
      <c r="B81" s="66" t="str">
        <f t="shared" si="1"/>
        <v/>
      </c>
      <c r="C81" s="66" t="str">
        <f t="shared" si="2"/>
        <v/>
      </c>
    </row>
    <row r="82" spans="1:3" x14ac:dyDescent="0.25">
      <c r="A82" s="77" t="str">
        <f t="shared" si="0"/>
        <v/>
      </c>
      <c r="B82" s="66" t="str">
        <f t="shared" si="1"/>
        <v/>
      </c>
      <c r="C82" s="66" t="str">
        <f t="shared" si="2"/>
        <v/>
      </c>
    </row>
    <row r="83" spans="1:3" x14ac:dyDescent="0.25">
      <c r="A83" s="77" t="str">
        <f t="shared" si="0"/>
        <v/>
      </c>
      <c r="B83" s="66" t="str">
        <f t="shared" si="1"/>
        <v/>
      </c>
      <c r="C83" s="66" t="str">
        <f t="shared" si="2"/>
        <v/>
      </c>
    </row>
    <row r="84" spans="1:3" x14ac:dyDescent="0.25">
      <c r="A84" s="77" t="str">
        <f t="shared" si="0"/>
        <v/>
      </c>
      <c r="B84" s="66" t="str">
        <f t="shared" si="1"/>
        <v/>
      </c>
      <c r="C84" s="66" t="str">
        <f t="shared" si="2"/>
        <v/>
      </c>
    </row>
    <row r="85" spans="1:3" x14ac:dyDescent="0.25">
      <c r="A85" s="77" t="str">
        <f t="shared" si="0"/>
        <v/>
      </c>
      <c r="B85" s="66" t="str">
        <f t="shared" si="1"/>
        <v/>
      </c>
      <c r="C85" s="66" t="str">
        <f t="shared" si="2"/>
        <v/>
      </c>
    </row>
    <row r="86" spans="1:3" x14ac:dyDescent="0.25">
      <c r="A86" s="77" t="str">
        <f t="shared" si="0"/>
        <v/>
      </c>
      <c r="B86" s="66" t="str">
        <f t="shared" si="1"/>
        <v/>
      </c>
      <c r="C86" s="66" t="str">
        <f t="shared" si="2"/>
        <v/>
      </c>
    </row>
    <row r="87" spans="1:3" x14ac:dyDescent="0.25">
      <c r="A87" s="77" t="str">
        <f t="shared" si="0"/>
        <v/>
      </c>
      <c r="B87" s="66" t="str">
        <f t="shared" si="1"/>
        <v/>
      </c>
      <c r="C87" s="66" t="str">
        <f t="shared" si="2"/>
        <v/>
      </c>
    </row>
    <row r="88" spans="1:3" x14ac:dyDescent="0.25">
      <c r="A88" s="77" t="str">
        <f t="shared" si="0"/>
        <v/>
      </c>
      <c r="B88" s="66" t="str">
        <f t="shared" si="1"/>
        <v/>
      </c>
      <c r="C88" s="66" t="str">
        <f t="shared" si="2"/>
        <v/>
      </c>
    </row>
    <row r="89" spans="1:3" x14ac:dyDescent="0.25">
      <c r="A89" s="77" t="str">
        <f t="shared" si="0"/>
        <v/>
      </c>
      <c r="B89" s="66" t="str">
        <f t="shared" si="1"/>
        <v/>
      </c>
      <c r="C89" s="66" t="str">
        <f t="shared" si="2"/>
        <v/>
      </c>
    </row>
    <row r="90" spans="1:3" x14ac:dyDescent="0.25">
      <c r="A90" s="77" t="str">
        <f t="shared" si="0"/>
        <v/>
      </c>
      <c r="B90" s="66" t="str">
        <f t="shared" si="1"/>
        <v/>
      </c>
      <c r="C90" s="66" t="str">
        <f t="shared" si="2"/>
        <v/>
      </c>
    </row>
    <row r="91" spans="1:3" x14ac:dyDescent="0.25">
      <c r="A91" s="77" t="str">
        <f t="shared" si="0"/>
        <v/>
      </c>
      <c r="B91" s="66" t="str">
        <f t="shared" si="1"/>
        <v/>
      </c>
      <c r="C91" s="66" t="str">
        <f t="shared" si="2"/>
        <v/>
      </c>
    </row>
    <row r="92" spans="1:3" x14ac:dyDescent="0.25">
      <c r="A92" s="77" t="str">
        <f t="shared" si="0"/>
        <v/>
      </c>
      <c r="B92" s="66" t="str">
        <f t="shared" si="1"/>
        <v/>
      </c>
      <c r="C92" s="66" t="str">
        <f t="shared" si="2"/>
        <v/>
      </c>
    </row>
    <row r="93" spans="1:3" x14ac:dyDescent="0.25">
      <c r="A93" s="77" t="str">
        <f t="shared" si="0"/>
        <v/>
      </c>
      <c r="B93" s="66" t="str">
        <f t="shared" si="1"/>
        <v/>
      </c>
      <c r="C93" s="66" t="str">
        <f t="shared" si="2"/>
        <v/>
      </c>
    </row>
    <row r="94" spans="1:3" x14ac:dyDescent="0.25">
      <c r="A94" s="77" t="str">
        <f t="shared" si="0"/>
        <v/>
      </c>
      <c r="B94" s="66" t="str">
        <f t="shared" si="1"/>
        <v/>
      </c>
      <c r="C94" s="66" t="str">
        <f t="shared" si="2"/>
        <v/>
      </c>
    </row>
    <row r="95" spans="1:3" x14ac:dyDescent="0.25">
      <c r="A95" s="77" t="str">
        <f t="shared" si="0"/>
        <v/>
      </c>
      <c r="B95" s="66" t="str">
        <f t="shared" si="1"/>
        <v/>
      </c>
      <c r="C95" s="66" t="str">
        <f t="shared" si="2"/>
        <v/>
      </c>
    </row>
    <row r="96" spans="1:3" x14ac:dyDescent="0.25">
      <c r="A96" s="77" t="str">
        <f t="shared" si="0"/>
        <v/>
      </c>
      <c r="B96" s="66" t="str">
        <f t="shared" si="1"/>
        <v/>
      </c>
      <c r="C96" s="66" t="str">
        <f t="shared" si="2"/>
        <v/>
      </c>
    </row>
    <row r="97" spans="1:3" x14ac:dyDescent="0.25">
      <c r="A97" s="77" t="str">
        <f t="shared" si="0"/>
        <v/>
      </c>
      <c r="B97" s="66" t="str">
        <f t="shared" si="1"/>
        <v/>
      </c>
      <c r="C97" s="66" t="str">
        <f t="shared" si="2"/>
        <v/>
      </c>
    </row>
    <row r="98" spans="1:3" x14ac:dyDescent="0.25">
      <c r="A98" s="77" t="str">
        <f t="shared" si="0"/>
        <v/>
      </c>
      <c r="B98" s="66" t="str">
        <f t="shared" si="1"/>
        <v/>
      </c>
      <c r="C98" s="66" t="str">
        <f t="shared" si="2"/>
        <v/>
      </c>
    </row>
    <row r="99" spans="1:3" x14ac:dyDescent="0.25">
      <c r="A99" s="77" t="str">
        <f t="shared" si="0"/>
        <v/>
      </c>
      <c r="B99" s="66" t="str">
        <f t="shared" si="1"/>
        <v/>
      </c>
      <c r="C99" s="66" t="str">
        <f t="shared" si="2"/>
        <v/>
      </c>
    </row>
    <row r="100" spans="1:3" x14ac:dyDescent="0.25">
      <c r="A100" s="77" t="str">
        <f t="shared" si="0"/>
        <v/>
      </c>
      <c r="B100" s="66" t="str">
        <f t="shared" si="1"/>
        <v/>
      </c>
      <c r="C100" s="66" t="str">
        <f t="shared" si="2"/>
        <v/>
      </c>
    </row>
    <row r="101" spans="1:3" x14ac:dyDescent="0.25">
      <c r="A101" s="77" t="str">
        <f t="shared" si="0"/>
        <v/>
      </c>
      <c r="B101" s="66" t="str">
        <f t="shared" si="1"/>
        <v/>
      </c>
      <c r="C101" s="66" t="str">
        <f t="shared" si="2"/>
        <v/>
      </c>
    </row>
    <row r="102" spans="1:3" x14ac:dyDescent="0.25">
      <c r="A102" s="77" t="str">
        <f t="shared" si="0"/>
        <v/>
      </c>
      <c r="B102" s="66" t="str">
        <f t="shared" si="1"/>
        <v/>
      </c>
      <c r="C102" s="66" t="str">
        <f t="shared" si="2"/>
        <v/>
      </c>
    </row>
    <row r="103" spans="1:3" x14ac:dyDescent="0.25">
      <c r="A103" s="77" t="str">
        <f t="shared" si="0"/>
        <v/>
      </c>
      <c r="B103" s="66" t="str">
        <f t="shared" si="1"/>
        <v/>
      </c>
      <c r="C103" s="66" t="str">
        <f t="shared" si="2"/>
        <v/>
      </c>
    </row>
    <row r="104" spans="1:3" x14ac:dyDescent="0.25">
      <c r="A104" s="77" t="str">
        <f t="shared" si="0"/>
        <v/>
      </c>
      <c r="B104" s="66" t="str">
        <f t="shared" si="1"/>
        <v/>
      </c>
      <c r="C104" s="66" t="str">
        <f t="shared" si="2"/>
        <v/>
      </c>
    </row>
    <row r="105" spans="1:3" x14ac:dyDescent="0.25">
      <c r="A105" s="77" t="str">
        <f t="shared" si="0"/>
        <v/>
      </c>
      <c r="B105" s="66" t="str">
        <f t="shared" si="1"/>
        <v/>
      </c>
      <c r="C105" s="66" t="str">
        <f t="shared" si="2"/>
        <v/>
      </c>
    </row>
    <row r="106" spans="1:3" x14ac:dyDescent="0.25">
      <c r="A106" s="77" t="str">
        <f t="shared" si="0"/>
        <v/>
      </c>
      <c r="B106" s="66" t="str">
        <f t="shared" si="1"/>
        <v/>
      </c>
      <c r="C106" s="66" t="str">
        <f t="shared" si="2"/>
        <v/>
      </c>
    </row>
    <row r="107" spans="1:3" x14ac:dyDescent="0.25">
      <c r="A107" s="77" t="str">
        <f t="shared" si="0"/>
        <v/>
      </c>
      <c r="B107" s="66" t="str">
        <f t="shared" si="1"/>
        <v/>
      </c>
      <c r="C107" s="66" t="str">
        <f t="shared" si="2"/>
        <v/>
      </c>
    </row>
    <row r="108" spans="1:3" x14ac:dyDescent="0.25">
      <c r="A108" s="77" t="str">
        <f t="shared" si="0"/>
        <v/>
      </c>
      <c r="B108" s="66" t="str">
        <f t="shared" si="1"/>
        <v/>
      </c>
      <c r="C108" s="66" t="str">
        <f t="shared" si="2"/>
        <v/>
      </c>
    </row>
    <row r="109" spans="1:3" x14ac:dyDescent="0.25">
      <c r="A109" s="77" t="str">
        <f t="shared" si="0"/>
        <v/>
      </c>
      <c r="B109" s="66" t="str">
        <f t="shared" si="1"/>
        <v/>
      </c>
      <c r="C109" s="66" t="str">
        <f t="shared" si="2"/>
        <v/>
      </c>
    </row>
    <row r="110" spans="1:3" x14ac:dyDescent="0.25">
      <c r="A110" s="77" t="str">
        <f t="shared" si="0"/>
        <v/>
      </c>
      <c r="B110" s="66" t="str">
        <f t="shared" si="1"/>
        <v/>
      </c>
      <c r="C110" s="66" t="str">
        <f t="shared" si="2"/>
        <v/>
      </c>
    </row>
    <row r="111" spans="1:3" x14ac:dyDescent="0.25">
      <c r="A111" s="77" t="str">
        <f t="shared" si="0"/>
        <v/>
      </c>
      <c r="B111" s="66" t="str">
        <f t="shared" si="1"/>
        <v/>
      </c>
      <c r="C111" s="66" t="str">
        <f t="shared" si="2"/>
        <v/>
      </c>
    </row>
    <row r="112" spans="1:3" x14ac:dyDescent="0.25">
      <c r="A112" s="77" t="str">
        <f t="shared" si="0"/>
        <v/>
      </c>
      <c r="B112" s="66" t="str">
        <f t="shared" si="1"/>
        <v/>
      </c>
      <c r="C112" s="66" t="str">
        <f t="shared" si="2"/>
        <v/>
      </c>
    </row>
    <row r="113" spans="1:3" x14ac:dyDescent="0.25">
      <c r="A113" s="77" t="str">
        <f t="shared" si="0"/>
        <v/>
      </c>
      <c r="B113" s="66" t="str">
        <f t="shared" si="1"/>
        <v/>
      </c>
      <c r="C113" s="66" t="str">
        <f t="shared" si="2"/>
        <v/>
      </c>
    </row>
    <row r="114" spans="1:3" x14ac:dyDescent="0.25">
      <c r="A114" s="77" t="str">
        <f t="shared" si="0"/>
        <v/>
      </c>
      <c r="B114" s="66" t="str">
        <f t="shared" si="1"/>
        <v/>
      </c>
      <c r="C114" s="66" t="str">
        <f t="shared" si="2"/>
        <v/>
      </c>
    </row>
    <row r="115" spans="1:3" x14ac:dyDescent="0.25">
      <c r="A115" s="77" t="str">
        <f t="shared" si="0"/>
        <v/>
      </c>
      <c r="B115" s="66" t="str">
        <f t="shared" si="1"/>
        <v/>
      </c>
      <c r="C115" s="66" t="str">
        <f t="shared" si="2"/>
        <v/>
      </c>
    </row>
    <row r="116" spans="1:3" x14ac:dyDescent="0.25">
      <c r="A116" s="77" t="str">
        <f t="shared" si="0"/>
        <v/>
      </c>
      <c r="B116" s="66" t="str">
        <f t="shared" si="1"/>
        <v/>
      </c>
      <c r="C116" s="66" t="str">
        <f t="shared" si="2"/>
        <v/>
      </c>
    </row>
    <row r="117" spans="1:3" x14ac:dyDescent="0.25">
      <c r="A117" s="77" t="str">
        <f t="shared" si="0"/>
        <v/>
      </c>
      <c r="B117" s="66" t="str">
        <f t="shared" si="1"/>
        <v/>
      </c>
      <c r="C117" s="66" t="str">
        <f t="shared" si="2"/>
        <v/>
      </c>
    </row>
    <row r="118" spans="1:3" x14ac:dyDescent="0.25">
      <c r="A118" s="77" t="str">
        <f t="shared" si="0"/>
        <v/>
      </c>
      <c r="B118" s="66" t="str">
        <f t="shared" si="1"/>
        <v/>
      </c>
      <c r="C118" s="66" t="str">
        <f t="shared" si="2"/>
        <v/>
      </c>
    </row>
    <row r="119" spans="1:3" x14ac:dyDescent="0.25">
      <c r="A119" s="77" t="str">
        <f t="shared" si="0"/>
        <v/>
      </c>
      <c r="B119" s="66" t="str">
        <f t="shared" si="1"/>
        <v/>
      </c>
      <c r="C119" s="66" t="str">
        <f t="shared" si="2"/>
        <v/>
      </c>
    </row>
    <row r="120" spans="1:3" x14ac:dyDescent="0.25">
      <c r="A120" s="77" t="str">
        <f t="shared" si="0"/>
        <v/>
      </c>
      <c r="B120" s="66" t="str">
        <f t="shared" si="1"/>
        <v/>
      </c>
      <c r="C120" s="66" t="str">
        <f t="shared" si="2"/>
        <v/>
      </c>
    </row>
    <row r="121" spans="1:3" x14ac:dyDescent="0.25">
      <c r="A121" s="77" t="str">
        <f t="shared" si="0"/>
        <v/>
      </c>
      <c r="B121" s="66" t="str">
        <f t="shared" si="1"/>
        <v/>
      </c>
      <c r="C121" s="66" t="str">
        <f t="shared" si="2"/>
        <v/>
      </c>
    </row>
    <row r="122" spans="1:3" x14ac:dyDescent="0.25">
      <c r="A122" s="77" t="str">
        <f t="shared" si="0"/>
        <v/>
      </c>
      <c r="B122" s="66" t="str">
        <f t="shared" si="1"/>
        <v/>
      </c>
      <c r="C122" s="66" t="str">
        <f t="shared" si="2"/>
        <v/>
      </c>
    </row>
    <row r="123" spans="1:3" x14ac:dyDescent="0.25">
      <c r="A123" s="77" t="str">
        <f t="shared" si="0"/>
        <v/>
      </c>
      <c r="B123" s="66" t="str">
        <f t="shared" si="1"/>
        <v/>
      </c>
      <c r="C123" s="66" t="str">
        <f t="shared" si="2"/>
        <v/>
      </c>
    </row>
    <row r="124" spans="1:3" x14ac:dyDescent="0.25">
      <c r="A124" s="77" t="str">
        <f t="shared" si="0"/>
        <v/>
      </c>
      <c r="B124" s="66" t="str">
        <f t="shared" si="1"/>
        <v/>
      </c>
      <c r="C124" s="66" t="str">
        <f t="shared" si="2"/>
        <v/>
      </c>
    </row>
    <row r="125" spans="1:3" x14ac:dyDescent="0.25">
      <c r="A125" s="77" t="str">
        <f t="shared" si="0"/>
        <v/>
      </c>
      <c r="B125" s="66" t="str">
        <f t="shared" si="1"/>
        <v/>
      </c>
      <c r="C125" s="66" t="str">
        <f t="shared" si="2"/>
        <v/>
      </c>
    </row>
    <row r="126" spans="1:3" x14ac:dyDescent="0.25">
      <c r="A126" s="77" t="str">
        <f t="shared" si="0"/>
        <v/>
      </c>
      <c r="B126" s="66" t="str">
        <f t="shared" si="1"/>
        <v/>
      </c>
      <c r="C126" s="66" t="str">
        <f t="shared" si="2"/>
        <v/>
      </c>
    </row>
    <row r="127" spans="1:3" x14ac:dyDescent="0.25">
      <c r="A127" s="77" t="str">
        <f t="shared" ref="A127:A134" si="3">IF(ISBLANK(K127),"",K127)</f>
        <v/>
      </c>
      <c r="B127" s="66" t="str">
        <f t="shared" ref="B127:B134" si="4">IF(ISBLANK(E127),"",E127)</f>
        <v/>
      </c>
      <c r="C127" s="66" t="str">
        <f t="shared" ref="C127:C134" si="5">IF(ISBLANK(F127),"",F127)</f>
        <v/>
      </c>
    </row>
    <row r="128" spans="1:3" x14ac:dyDescent="0.25">
      <c r="A128" s="77" t="str">
        <f t="shared" si="3"/>
        <v/>
      </c>
      <c r="B128" s="66" t="str">
        <f t="shared" si="4"/>
        <v/>
      </c>
      <c r="C128" s="66" t="str">
        <f t="shared" si="5"/>
        <v/>
      </c>
    </row>
    <row r="129" spans="1:3" x14ac:dyDescent="0.25">
      <c r="A129" s="77" t="str">
        <f t="shared" si="3"/>
        <v/>
      </c>
      <c r="B129" s="66" t="str">
        <f t="shared" si="4"/>
        <v/>
      </c>
      <c r="C129" s="66" t="str">
        <f t="shared" si="5"/>
        <v/>
      </c>
    </row>
    <row r="130" spans="1:3" x14ac:dyDescent="0.25">
      <c r="A130" s="77" t="str">
        <f t="shared" si="3"/>
        <v/>
      </c>
      <c r="B130" s="66" t="str">
        <f t="shared" si="4"/>
        <v/>
      </c>
      <c r="C130" s="66" t="str">
        <f t="shared" si="5"/>
        <v/>
      </c>
    </row>
    <row r="131" spans="1:3" x14ac:dyDescent="0.25">
      <c r="A131" s="77" t="str">
        <f t="shared" si="3"/>
        <v/>
      </c>
      <c r="B131" s="66" t="str">
        <f t="shared" si="4"/>
        <v/>
      </c>
      <c r="C131" s="66" t="str">
        <f t="shared" si="5"/>
        <v/>
      </c>
    </row>
    <row r="132" spans="1:3" x14ac:dyDescent="0.25">
      <c r="A132" s="77" t="str">
        <f t="shared" si="3"/>
        <v/>
      </c>
      <c r="B132" s="66" t="str">
        <f t="shared" si="4"/>
        <v/>
      </c>
      <c r="C132" s="66" t="str">
        <f t="shared" si="5"/>
        <v/>
      </c>
    </row>
    <row r="133" spans="1:3" x14ac:dyDescent="0.25">
      <c r="A133" s="77" t="str">
        <f t="shared" si="3"/>
        <v/>
      </c>
      <c r="B133" s="66" t="str">
        <f t="shared" si="4"/>
        <v/>
      </c>
      <c r="C133" s="66" t="str">
        <f t="shared" si="5"/>
        <v/>
      </c>
    </row>
    <row r="134" spans="1:3" x14ac:dyDescent="0.25">
      <c r="A134" s="77" t="str">
        <f t="shared" si="3"/>
        <v/>
      </c>
      <c r="B134" s="66" t="str">
        <f t="shared" si="4"/>
        <v/>
      </c>
      <c r="C134" s="66" t="str">
        <f t="shared" si="5"/>
        <v/>
      </c>
    </row>
  </sheetData>
  <sheetProtection algorithmName="SHA-512" hashValue="T9MeMuR0gKPi1SMhQUWP+OCNxB9VWPRIVAyyI5ytBSvxyoz3k+lLiuEkmTKuyPkOWrsYkNc39IZ0sPErn7Eujw==" saltValue="W4Ht8VZr15quPJl1+Y/2PA==" spinCount="100000" sheet="1" objects="1" scenarios="1"/>
  <mergeCells count="3">
    <mergeCell ref="A4:C4"/>
    <mergeCell ref="A28:C28"/>
    <mergeCell ref="A48:C48"/>
  </mergeCells>
  <conditionalFormatting sqref="A54 A56">
    <cfRule type="expression" dxfId="487" priority="28">
      <formula>$B$7="Housing"</formula>
    </cfRule>
  </conditionalFormatting>
  <conditionalFormatting sqref="B7:B24">
    <cfRule type="expression" dxfId="484" priority="31">
      <formula>$B7&lt;&gt;0</formula>
    </cfRule>
  </conditionalFormatting>
  <conditionalFormatting sqref="B25">
    <cfRule type="expression" dxfId="483" priority="29">
      <formula>$B$24&gt;0</formula>
    </cfRule>
    <cfRule type="expression" dxfId="482" priority="30">
      <formula>$B$24=0</formula>
    </cfRule>
  </conditionalFormatting>
  <conditionalFormatting sqref="B30:B31 B34 B40">
    <cfRule type="expression" dxfId="477" priority="24">
      <formula>$B$7="Housing"</formula>
    </cfRule>
    <cfRule type="expression" dxfId="476" priority="25">
      <formula>$B$7="Housing"</formula>
    </cfRule>
  </conditionalFormatting>
  <conditionalFormatting sqref="B37:B38">
    <cfRule type="expression" dxfId="471" priority="18">
      <formula>$B$7="Housing"</formula>
    </cfRule>
    <cfRule type="expression" dxfId="470" priority="19">
      <formula>$B$7="Housing"</formula>
    </cfRule>
  </conditionalFormatting>
  <conditionalFormatting sqref="B45">
    <cfRule type="expression" dxfId="469" priority="5">
      <formula>$B$45="Running Over"</formula>
    </cfRule>
    <cfRule type="expression" dxfId="468" priority="7">
      <formula>$B$45="Within Limit"</formula>
    </cfRule>
  </conditionalFormatting>
  <conditionalFormatting sqref="B58">
    <cfRule type="expression" dxfId="467" priority="1">
      <formula>$B$58="Running Over"</formula>
    </cfRule>
    <cfRule type="expression" dxfId="466" priority="2">
      <formula>$B$58="Within Limit"</formula>
    </cfRule>
  </conditionalFormatting>
  <conditionalFormatting sqref="C7:C24">
    <cfRule type="expression" dxfId="465" priority="347">
      <formula>$C7&lt;&gt;0</formula>
    </cfRule>
  </conditionalFormatting>
  <hyperlinks>
    <hyperlink ref="A26" r:id="rId1" xr:uid="{054FEADA-9534-477C-9C45-233B3622F7AB}"/>
  </hyperlinks>
  <pageMargins left="0.7" right="0.7" top="0.75" bottom="0.75" header="0.3" footer="0.3"/>
  <pageSetup orientation="portrait" horizontalDpi="1200" verticalDpi="1200" r:id="rId2"/>
  <extLst>
    <ext xmlns:x14="http://schemas.microsoft.com/office/spreadsheetml/2009/9/main" uri="{78C0D931-6437-407d-A8EE-F0AAD7539E65}">
      <x14:conditionalFormattings>
        <x14:conditionalFormatting xmlns:xm="http://schemas.microsoft.com/office/excel/2006/main">
          <x14:cfRule type="expression" priority="3" id="{61499C87-C8E5-43B7-88D2-BB07F2199E67}">
            <xm:f>'Dist Info'!$B$28&lt;DATE(2001,8,1)</xm:f>
            <x14:dxf>
              <fill>
                <patternFill>
                  <bgColor rgb="FFEAEAEA"/>
                </patternFill>
              </fill>
            </x14:dxf>
          </x14:cfRule>
          <xm:sqref>A52</xm:sqref>
        </x14:conditionalFormatting>
        <x14:conditionalFormatting xmlns:xm="http://schemas.microsoft.com/office/excel/2006/main">
          <x14:cfRule type="expression" priority="26" id="{803F7B95-ECE5-4872-B26A-0F75DA757EEC}">
            <xm:f>'Dist Info'!$F$25=TRUE</xm:f>
            <x14:dxf>
              <fill>
                <patternFill>
                  <bgColor rgb="FFEAEAEA"/>
                </patternFill>
              </fill>
            </x14:dxf>
          </x14:cfRule>
          <x14:cfRule type="expression" priority="27" id="{66051E19-75F6-4F4E-B310-D945A6B17676}">
            <xm:f>$B$9&gt;Variables!$A$8</xm:f>
            <x14:dxf>
              <fill>
                <patternFill>
                  <bgColor rgb="FFEAEAEA"/>
                </patternFill>
              </fill>
            </x14:dxf>
          </x14:cfRule>
          <xm:sqref>A54 A56</xm:sqref>
        </x14:conditionalFormatting>
        <x14:conditionalFormatting xmlns:xm="http://schemas.microsoft.com/office/excel/2006/main">
          <x14:cfRule type="expression" priority="6" id="{9123006C-8635-4641-9C90-DB549B2460AB}">
            <xm:f>'Dist Info'!$B$28&lt;DATE(2001,8,1)</xm:f>
            <x14:dxf>
              <fill>
                <patternFill>
                  <bgColor rgb="FFEAEAEA"/>
                </patternFill>
              </fill>
            </x14:dxf>
          </x14:cfRule>
          <xm:sqref>A37:B39</xm:sqref>
        </x14:conditionalFormatting>
        <x14:conditionalFormatting xmlns:xm="http://schemas.microsoft.com/office/excel/2006/main">
          <x14:cfRule type="expression" priority="4" id="{ED19FAF0-E77F-400E-B328-AC251943C4C3}">
            <xm:f>'Dist Info'!$B$28&gt;DATE(2001,7,31)</xm:f>
            <x14:dxf>
              <fill>
                <patternFill>
                  <bgColor rgb="FFEAEAEA"/>
                </patternFill>
              </fill>
            </x14:dxf>
          </x14:cfRule>
          <xm:sqref>A40:B40</xm:sqref>
        </x14:conditionalFormatting>
        <x14:conditionalFormatting xmlns:xm="http://schemas.microsoft.com/office/excel/2006/main">
          <x14:cfRule type="expression" priority="20" id="{F17E0127-8E79-4C86-AA53-A0175B28C07B}">
            <xm:f>'Dist Info'!$F$25=TRUE</xm:f>
            <x14:dxf>
              <fill>
                <patternFill>
                  <bgColor rgb="FFEAEAEA"/>
                </patternFill>
              </fill>
            </x14:dxf>
          </x14:cfRule>
          <x14:cfRule type="expression" priority="21" id="{25AD0F97-5A24-4126-BFBC-A4CB785F8466}">
            <xm:f>'Dist Info'!$F$25=TRUE</xm:f>
            <x14:dxf>
              <font>
                <color rgb="FFEAEAEA"/>
              </font>
            </x14:dxf>
          </x14:cfRule>
          <x14:cfRule type="expression" priority="22" id="{F6CFB1ED-55E6-4DF5-84A1-E781F5FE859B}">
            <xm:f>$B$9&gt;Variables!$A$8</xm:f>
            <x14:dxf>
              <font>
                <color rgb="FFEAEAEA"/>
              </font>
            </x14:dxf>
          </x14:cfRule>
          <x14:cfRule type="expression" priority="23" id="{13296603-68A7-486A-AAA6-F69A4E61E383}">
            <xm:f>$B$9&gt;Variables!$A$8</xm:f>
            <x14:dxf>
              <fill>
                <patternFill>
                  <bgColor rgb="FFEAEAEA"/>
                </patternFill>
              </fill>
            </x14:dxf>
          </x14:cfRule>
          <xm:sqref>B30:B31 B34 B40</xm:sqref>
        </x14:conditionalFormatting>
        <x14:conditionalFormatting xmlns:xm="http://schemas.microsoft.com/office/excel/2006/main">
          <x14:cfRule type="expression" priority="14" id="{C18291B2-0468-46C4-8740-B9080507E043}">
            <xm:f>'Dist Info'!$F$25=TRUE</xm:f>
            <x14:dxf>
              <fill>
                <patternFill>
                  <bgColor rgb="FFEAEAEA"/>
                </patternFill>
              </fill>
            </x14:dxf>
          </x14:cfRule>
          <x14:cfRule type="expression" priority="15" id="{3A2EAFB9-E795-4F34-9F6F-AF3C4CC8AAFD}">
            <xm:f>'Dist Info'!$F$25=TRUE</xm:f>
            <x14:dxf>
              <font>
                <color rgb="FFEAEAEA"/>
              </font>
            </x14:dxf>
          </x14:cfRule>
          <x14:cfRule type="expression" priority="16" id="{E5E85390-F06D-4863-ABE4-EE7A4F20BEA2}">
            <xm:f>$B$9&gt;Variables!$A$8</xm:f>
            <x14:dxf>
              <font>
                <color rgb="FFEAEAEA"/>
              </font>
            </x14:dxf>
          </x14:cfRule>
          <x14:cfRule type="expression" priority="17" id="{41D5E396-FB07-47A2-827D-6EEF3A57C4B1}">
            <xm:f>$B$9&gt;Variables!$A$8</xm:f>
            <x14:dxf>
              <fill>
                <patternFill>
                  <bgColor rgb="FFEAEAEA"/>
                </patternFill>
              </fill>
            </x14:dxf>
          </x14:cfRule>
          <xm:sqref>B37:B38</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D27F1-21E2-486A-BB6A-63F34BC76A2B}">
  <sheetPr codeName="Sheet7">
    <tabColor rgb="FFEED382"/>
  </sheetPr>
  <dimension ref="A1:F51"/>
  <sheetViews>
    <sheetView showGridLines="0" zoomScaleNormal="100" workbookViewId="0">
      <selection activeCell="B11" sqref="B11"/>
    </sheetView>
  </sheetViews>
  <sheetFormatPr defaultRowHeight="15" x14ac:dyDescent="0.25"/>
  <cols>
    <col min="1" max="1" width="55.7109375" style="66" customWidth="1"/>
    <col min="2" max="3" width="20.7109375" style="66" customWidth="1"/>
    <col min="4" max="4" width="80.85546875" style="66" customWidth="1"/>
    <col min="5" max="5" width="14.7109375" style="66" customWidth="1"/>
    <col min="6" max="6" width="0" style="78" hidden="1" customWidth="1"/>
    <col min="7" max="16384" width="9.140625" style="66"/>
  </cols>
  <sheetData>
    <row r="1" spans="1:6" s="59" customFormat="1" ht="24.95" customHeight="1" x14ac:dyDescent="0.25">
      <c r="A1" s="59" t="str">
        <f>_xlfn.CONCAT("Office of the State Auditor  -  TIF Annual Reporting Form  -  ",Year_DestinationYearID)</f>
        <v>Office of the State Auditor  -  TIF Annual Reporting Form  -  2024</v>
      </c>
      <c r="F1" s="61"/>
    </row>
    <row r="2" spans="1:6" s="62" customFormat="1" ht="20.100000000000001" customHeight="1" x14ac:dyDescent="0.25">
      <c r="A2" s="58" t="str">
        <f>_xlfn.CONCAT(GovEntity_GovEntityName_Parent,"  -  ",GovEntity_GovEntityName)</f>
        <v>Spruce City  -  TIF 1-1 Downtown Redev</v>
      </c>
      <c r="F2" s="64"/>
    </row>
    <row r="3" spans="1:6" s="68" customFormat="1" ht="24.95" customHeight="1" x14ac:dyDescent="0.3">
      <c r="A3" s="65" t="s">
        <v>206</v>
      </c>
      <c r="B3" s="66"/>
      <c r="C3" s="66"/>
      <c r="F3" s="69"/>
    </row>
    <row r="4" spans="1:6" s="71" customFormat="1" x14ac:dyDescent="0.25">
      <c r="A4" s="217" t="s">
        <v>207</v>
      </c>
      <c r="B4" s="217"/>
      <c r="C4" s="217"/>
      <c r="D4" s="217"/>
      <c r="E4" s="217"/>
      <c r="F4" s="72" t="s">
        <v>119</v>
      </c>
    </row>
    <row r="5" spans="1:6" s="74" customFormat="1" ht="20.100000000000001" customHeight="1" x14ac:dyDescent="0.25">
      <c r="A5" s="73" t="str">
        <f>HYPERLINK("#'Bonds'!B6","Click here to return to the Bonds Tab")</f>
        <v>Click here to return to the Bonds Tab</v>
      </c>
      <c r="D5" s="74" t="s">
        <v>121</v>
      </c>
      <c r="E5" s="74" t="s">
        <v>102</v>
      </c>
      <c r="F5" s="76"/>
    </row>
    <row r="6" spans="1:6" ht="20.100000000000001" customHeight="1" x14ac:dyDescent="0.25">
      <c r="A6" s="74" t="s">
        <v>208</v>
      </c>
      <c r="D6" s="77" t="str">
        <f ca="1">IFERROR(INDEX(Validation!G:G,MATCH("Bond 1"&amp;CELL("address",D6),Validation!I:I,0)),"")</f>
        <v xml:space="preserve">Complete entry of all rows on this tab. (Enter zero when appropriate.) </v>
      </c>
      <c r="E6" s="66" t="str">
        <f ca="1">IFERROR(INDEX(Validation!F:F,MATCH("Bond 1"&amp;CELL("address",D6),Validation!I:I,0)),"")</f>
        <v>Error</v>
      </c>
      <c r="F6" s="78" t="s">
        <v>1008</v>
      </c>
    </row>
    <row r="7" spans="1:6" x14ac:dyDescent="0.25">
      <c r="A7" s="79" t="s">
        <v>210</v>
      </c>
      <c r="B7" s="103" t="str">
        <f>IF(NOT(ISBLANK('Bond Input'!C5)),'Bond Input'!C5,"")</f>
        <v>2017 GO TIF Bond</v>
      </c>
      <c r="D7" s="77" t="str">
        <f ca="1">IFERROR(INDEX(Validation!G:G,MATCH("Bond 1"&amp;CELL("address",D7),Validation!I:I,0)),"")</f>
        <v/>
      </c>
      <c r="E7" s="66" t="str">
        <f ca="1">IFERROR(INDEX(Validation!F:F,MATCH("Bond 1"&amp;CELL("address",D7),Validation!I:I,0)),"")</f>
        <v/>
      </c>
      <c r="F7" s="85">
        <f>IF(NOT(ISBLANK('Bond Input'!C4)),'Bond Input'!C4,"")</f>
        <v>1233</v>
      </c>
    </row>
    <row r="8" spans="1:6" x14ac:dyDescent="0.25">
      <c r="A8" s="79" t="s">
        <v>209</v>
      </c>
      <c r="B8" s="103" t="str">
        <f>IF(NOT(ISBLANK('Bond Input'!C6)),'Bond Input'!C6,"Select One")</f>
        <v>General Obligation TIF Bond</v>
      </c>
      <c r="D8" s="77" t="str">
        <f ca="1">IFERROR(INDEX(Validation!G:G,MATCH("Bond 1"&amp;CELL("address",D8),Validation!I:I,0)),"")</f>
        <v/>
      </c>
      <c r="E8" s="66" t="str">
        <f ca="1">IFERROR(INDEX(Validation!F:F,MATCH("Bond 1"&amp;CELL("address",D8),Validation!I:I,0)),"")</f>
        <v/>
      </c>
    </row>
    <row r="9" spans="1:6" x14ac:dyDescent="0.25">
      <c r="A9" s="79" t="s">
        <v>227</v>
      </c>
      <c r="B9" s="103" t="str">
        <f>IF(NOT(ISBLANK('Bond Input'!C7)),'Bond Input'!C7,"Select One")</f>
        <v>No</v>
      </c>
      <c r="D9" s="77" t="str">
        <f ca="1">IFERROR(INDEX(Validation!G:G,MATCH("Bond 1"&amp;CELL("address",D9),Validation!I:I,0)),"")</f>
        <v/>
      </c>
      <c r="E9" s="66" t="str">
        <f ca="1">IFERROR(INDEX(Validation!F:F,MATCH("Bond 1"&amp;CELL("address",D9),Validation!I:I,0)),"")</f>
        <v/>
      </c>
    </row>
    <row r="10" spans="1:6" x14ac:dyDescent="0.25">
      <c r="A10" s="79" t="s">
        <v>228</v>
      </c>
      <c r="B10" s="103" t="str">
        <f>IF(NOT(ISBLANK('Bond Input'!C8)),'Bond Input'!C8,"Select One")</f>
        <v>No</v>
      </c>
      <c r="D10" s="77" t="str">
        <f ca="1">IFERROR(INDEX(Validation!G:G,MATCH("Bond 1"&amp;CELL("address",D10),Validation!I:I,0)),"")</f>
        <v/>
      </c>
      <c r="E10" s="66" t="str">
        <f ca="1">IFERROR(INDEX(Validation!F:F,MATCH("Bond 1"&amp;CELL("address",D10),Validation!I:I,0)),"")</f>
        <v/>
      </c>
    </row>
    <row r="11" spans="1:6" x14ac:dyDescent="0.25">
      <c r="A11" s="79" t="s">
        <v>229</v>
      </c>
      <c r="B11" s="103" t="str">
        <f>IF(NOT(ISBLANK('Bond Input'!C9)),'Bond Input'!C9,"Select One")</f>
        <v>No</v>
      </c>
      <c r="D11" s="77" t="str">
        <f ca="1">IFERROR(INDEX(Validation!G:G,MATCH("Bond 1"&amp;CELL("address",D11),Validation!I:I,0)),"")</f>
        <v/>
      </c>
      <c r="E11" s="66" t="str">
        <f ca="1">IFERROR(INDEX(Validation!F:F,MATCH("Bond 1"&amp;CELL("address",D11),Validation!I:I,0)),"")</f>
        <v/>
      </c>
    </row>
    <row r="12" spans="1:6" x14ac:dyDescent="0.25">
      <c r="A12" s="79" t="s">
        <v>211</v>
      </c>
      <c r="B12" s="120">
        <f>IF(NOT(ISBLANK('Bond Input'!C10)),'Bond Input'!C10,"")</f>
        <v>42887</v>
      </c>
      <c r="C12" s="129"/>
      <c r="D12" s="77" t="str">
        <f ca="1">IFERROR(INDEX(Validation!G:G,MATCH("Bond 1"&amp;CELL("address",D12),Validation!I:I,0)),"")</f>
        <v/>
      </c>
      <c r="E12" s="66" t="str">
        <f ca="1">IFERROR(INDEX(Validation!F:F,MATCH("Bond 1"&amp;CELL("address",D12),Validation!I:I,0)),"")</f>
        <v/>
      </c>
    </row>
    <row r="13" spans="1:6" x14ac:dyDescent="0.25">
      <c r="A13" s="79" t="s">
        <v>212</v>
      </c>
      <c r="B13" s="120">
        <f>IF(NOT(ISBLANK('Bond Input'!C11)),'Bond Input'!C11,"")</f>
        <v>50437</v>
      </c>
      <c r="C13" s="129"/>
      <c r="D13" s="77" t="str">
        <f ca="1">IFERROR(INDEX(Validation!G:G,MATCH("Bond 1"&amp;CELL("address",D13),Validation!I:I,0)),"")</f>
        <v/>
      </c>
      <c r="E13" s="66" t="str">
        <f ca="1">IFERROR(INDEX(Validation!F:F,MATCH("Bond 1"&amp;CELL("address",D13),Validation!I:I,0)),"")</f>
        <v/>
      </c>
    </row>
    <row r="14" spans="1:6" x14ac:dyDescent="0.25">
      <c r="A14" s="79" t="s">
        <v>213</v>
      </c>
      <c r="B14" s="121">
        <f>IF(NOT(ISBLANK('Bond Input'!C12)),'Bond Input'!C12,"")</f>
        <v>2.15</v>
      </c>
      <c r="C14" s="132"/>
      <c r="D14" s="77" t="str">
        <f ca="1">IFERROR(INDEX(Validation!G:G,MATCH("Bond 1"&amp;CELL("address",D14),Validation!I:I,0)),"")</f>
        <v/>
      </c>
      <c r="E14" s="66" t="str">
        <f ca="1">IFERROR(INDEX(Validation!F:F,MATCH("Bond 1"&amp;CELL("address",D14),Validation!I:I,0)),"")</f>
        <v/>
      </c>
    </row>
    <row r="15" spans="1:6" x14ac:dyDescent="0.25">
      <c r="A15" s="79" t="s">
        <v>214</v>
      </c>
      <c r="B15" s="121">
        <f>IF(NOT(ISBLANK('Bond Input'!C13)),'Bond Input'!C13,"")</f>
        <v>3.9</v>
      </c>
      <c r="C15" s="132"/>
      <c r="D15" s="77" t="str">
        <f ca="1">IFERROR(INDEX(Validation!G:G,MATCH("Bond 1"&amp;CELL("address",D15),Validation!I:I,0)),"")</f>
        <v/>
      </c>
      <c r="E15" s="66" t="str">
        <f ca="1">IFERROR(INDEX(Validation!F:F,MATCH("Bond 1"&amp;CELL("address",D15),Validation!I:I,0)),"")</f>
        <v/>
      </c>
    </row>
    <row r="16" spans="1:6" x14ac:dyDescent="0.25">
      <c r="A16" s="79" t="s">
        <v>535</v>
      </c>
      <c r="B16" s="122">
        <f>IF(NOT(ISBLANK('Bond Input'!C14)),'Bond Input'!C14,"")</f>
        <v>350000</v>
      </c>
      <c r="C16" s="128"/>
      <c r="D16" s="77" t="str">
        <f ca="1">IFERROR(INDEX(Validation!G:G,MATCH("Bond 1"&amp;CELL("address",D16),Validation!I:I,0)),"")</f>
        <v/>
      </c>
      <c r="E16" s="66" t="str">
        <f ca="1">IFERROR(INDEX(Validation!F:F,MATCH("Bond 1"&amp;CELL("address",D16),Validation!I:I,0)),"")</f>
        <v/>
      </c>
    </row>
    <row r="17" spans="1:5" x14ac:dyDescent="0.25">
      <c r="A17" s="79" t="s">
        <v>230</v>
      </c>
      <c r="B17" s="122">
        <f>IF(NOT(ISBLANK('Bond Input'!C15)),'Bond Input'!C15,"")</f>
        <v>0</v>
      </c>
      <c r="C17" s="128"/>
      <c r="D17" s="77" t="str">
        <f ca="1">IFERROR(INDEX(Validation!G:G,MATCH("Bond 1"&amp;CELL("address",D17),Validation!I:I,0)),"")</f>
        <v/>
      </c>
      <c r="E17" s="66" t="str">
        <f ca="1">IFERROR(INDEX(Validation!F:F,MATCH("Bond 1"&amp;CELL("address",D17),Validation!I:I,0)),"")</f>
        <v/>
      </c>
    </row>
    <row r="18" spans="1:5" x14ac:dyDescent="0.25">
      <c r="A18" s="79" t="s">
        <v>231</v>
      </c>
      <c r="B18" s="122">
        <f>IF(NOT(ISBLANK('Bond Input'!C16)),'Bond Input'!C16,"")</f>
        <v>0</v>
      </c>
      <c r="C18" s="128"/>
      <c r="D18" s="77" t="str">
        <f ca="1">IFERROR(INDEX(Validation!G:G,MATCH("Bond 1"&amp;CELL("address",D18),Validation!I:I,0)),"")</f>
        <v/>
      </c>
      <c r="E18" s="66" t="str">
        <f ca="1">IFERROR(INDEX(Validation!F:F,MATCH("Bond 1"&amp;CELL("address",D18),Validation!I:I,0)),"")</f>
        <v/>
      </c>
    </row>
    <row r="19" spans="1:5" x14ac:dyDescent="0.25">
      <c r="A19" s="79" t="s">
        <v>216</v>
      </c>
      <c r="B19" s="122">
        <f>IF(NOT(ISBLANK('Bond Input'!C17)),'Bond Input'!C17,"")</f>
        <v>0</v>
      </c>
      <c r="C19" s="128"/>
      <c r="D19" s="77" t="str">
        <f ca="1">IFERROR(INDEX(Validation!G:G,MATCH("Bond 1"&amp;CELL("address",D19),Validation!I:I,0)),"")</f>
        <v/>
      </c>
      <c r="E19" s="66" t="str">
        <f ca="1">IFERROR(INDEX(Validation!F:F,MATCH("Bond 1"&amp;CELL("address",D19),Validation!I:I,0)),"")</f>
        <v/>
      </c>
    </row>
    <row r="20" spans="1:5" x14ac:dyDescent="0.25">
      <c r="A20" s="79" t="s">
        <v>232</v>
      </c>
      <c r="B20" s="103" t="str">
        <f>IF(ISBLANK('Bond Input'!C18),"Select One",IF('Bond Input'!C18=TRUE,"Yes","No"))</f>
        <v>Yes</v>
      </c>
      <c r="D20" s="77" t="str">
        <f ca="1">IFERROR(INDEX(Validation!G:G,MATCH("Bond 1"&amp;CELL("address",D20),Validation!I:I,0)),"")</f>
        <v/>
      </c>
      <c r="E20" s="66" t="str">
        <f ca="1">IFERROR(INDEX(Validation!F:F,MATCH("Bond 1"&amp;CELL("address",D20),Validation!I:I,0)),"")</f>
        <v/>
      </c>
    </row>
    <row r="21" spans="1:5" ht="20.100000000000001" customHeight="1" x14ac:dyDescent="0.25">
      <c r="A21" s="74" t="s">
        <v>1183</v>
      </c>
      <c r="B21" s="74" t="s">
        <v>283</v>
      </c>
      <c r="C21" s="74" t="str">
        <f>Year_DestinationYearID&amp;" Amount"</f>
        <v>2024 Amount</v>
      </c>
      <c r="D21" s="77" t="str">
        <f ca="1">IFERROR(INDEX(Validation!G:G,MATCH("Bond 1"&amp;CELL("address",D21),Validation!I:I,0)),"")</f>
        <v/>
      </c>
      <c r="E21" s="66" t="str">
        <f ca="1">IFERROR(INDEX(Validation!F:F,MATCH("Bond 1"&amp;CELL("address",D21),Validation!I:I,0)),"")</f>
        <v/>
      </c>
    </row>
    <row r="22" spans="1:5" x14ac:dyDescent="0.25">
      <c r="A22" s="79" t="s">
        <v>266</v>
      </c>
      <c r="B22" s="122" t="str">
        <f>IF(NOT(ISBLANK('Bond Input'!C19)),'Bond Input'!C19,"")</f>
        <v/>
      </c>
      <c r="C22" s="122"/>
      <c r="D22" s="77" t="str">
        <f ca="1">IFERROR(INDEX(Validation!G:G,MATCH("Bond 1"&amp;CELL("address",D22),Validation!I:I,0)),"")</f>
        <v/>
      </c>
      <c r="E22" s="66" t="str">
        <f ca="1">IFERROR(INDEX(Validation!F:F,MATCH("Bond 1"&amp;CELL("address",D22),Validation!I:I,0)),"")</f>
        <v/>
      </c>
    </row>
    <row r="23" spans="1:5" x14ac:dyDescent="0.25">
      <c r="A23" s="79" t="s">
        <v>267</v>
      </c>
      <c r="B23" s="122" t="str">
        <f>IF(NOT(ISBLANK('Bond Input'!C21)),'Bond Input'!C21,"")</f>
        <v/>
      </c>
      <c r="C23" s="122"/>
      <c r="D23" s="77" t="str">
        <f ca="1">IFERROR(INDEX(Validation!G:G,MATCH("Bond 1"&amp;CELL("address",D23),Validation!I:I,0)),"")</f>
        <v/>
      </c>
      <c r="E23" s="66" t="str">
        <f ca="1">IFERROR(INDEX(Validation!F:F,MATCH("Bond 1"&amp;CELL("address",D23),Validation!I:I,0)),"")</f>
        <v/>
      </c>
    </row>
    <row r="24" spans="1:5" x14ac:dyDescent="0.25">
      <c r="A24" s="79" t="s">
        <v>268</v>
      </c>
      <c r="B24" s="122" t="str">
        <f>IF(NOT(ISBLANK('Bond Input'!C23)),'Bond Input'!C23,"")</f>
        <v/>
      </c>
      <c r="C24" s="122"/>
      <c r="D24" s="77" t="str">
        <f ca="1">IFERROR(INDEX(Validation!G:G,MATCH("Bond 1"&amp;CELL("address",D24),Validation!I:I,0)),"")</f>
        <v/>
      </c>
      <c r="E24" s="66" t="str">
        <f ca="1">IFERROR(INDEX(Validation!F:F,MATCH("Bond 1"&amp;CELL("address",D24),Validation!I:I,0)),"")</f>
        <v/>
      </c>
    </row>
    <row r="25" spans="1:5" x14ac:dyDescent="0.25">
      <c r="A25" s="79" t="s">
        <v>269</v>
      </c>
      <c r="B25" s="122" t="str">
        <f>IF(NOT(ISBLANK('Bond Input'!C25)),'Bond Input'!C25,"")</f>
        <v/>
      </c>
      <c r="C25" s="122"/>
      <c r="D25" s="77" t="str">
        <f ca="1">IFERROR(INDEX(Validation!G:G,MATCH("Bond 1"&amp;CELL("address",D25),Validation!I:I,0)),"")</f>
        <v/>
      </c>
      <c r="E25" s="66" t="str">
        <f ca="1">IFERROR(INDEX(Validation!F:F,MATCH("Bond 1"&amp;CELL("address",D25),Validation!I:I,0)),"")</f>
        <v/>
      </c>
    </row>
    <row r="26" spans="1:5" x14ac:dyDescent="0.25">
      <c r="A26" s="79" t="s">
        <v>1101</v>
      </c>
      <c r="B26" s="122" t="str">
        <f>IF(NOT(ISBLANK('Bond Input'!C27)),'Bond Input'!C27,"")</f>
        <v/>
      </c>
      <c r="C26" s="122"/>
      <c r="D26" s="77" t="str">
        <f ca="1">IFERROR(INDEX(Validation!G:G,MATCH("Bond 1"&amp;CELL("address",D26),Validation!I:I,0)),"")</f>
        <v/>
      </c>
      <c r="E26" s="66" t="str">
        <f ca="1">IFERROR(INDEX(Validation!F:F,MATCH("Bond 1"&amp;CELL("address",D26),Validation!I:I,0)),"")</f>
        <v/>
      </c>
    </row>
    <row r="27" spans="1:5" x14ac:dyDescent="0.25">
      <c r="A27" s="79" t="s">
        <v>270</v>
      </c>
      <c r="B27" s="122" t="str">
        <f>IF(NOT(ISBLANK('Bond Input'!C29)),'Bond Input'!C29,"")</f>
        <v/>
      </c>
      <c r="C27" s="122"/>
      <c r="D27" s="77" t="str">
        <f ca="1">IFERROR(INDEX(Validation!G:G,MATCH("Bond 1"&amp;CELL("address",D27),Validation!I:I,0)),"")</f>
        <v/>
      </c>
      <c r="E27" s="66" t="str">
        <f ca="1">IFERROR(INDEX(Validation!F:F,MATCH("Bond 1"&amp;CELL("address",D27),Validation!I:I,0)),"")</f>
        <v/>
      </c>
    </row>
    <row r="28" spans="1:5" x14ac:dyDescent="0.25">
      <c r="A28" s="79" t="s">
        <v>271</v>
      </c>
      <c r="B28" s="122" t="str">
        <f>IF(NOT(ISBLANK('Bond Input'!C31)),'Bond Input'!C31,"")</f>
        <v/>
      </c>
      <c r="C28" s="122"/>
      <c r="D28" s="77" t="str">
        <f ca="1">IFERROR(INDEX(Validation!G:G,MATCH("Bond 1"&amp;CELL("address",D28),Validation!I:I,0)),"")</f>
        <v/>
      </c>
      <c r="E28" s="66" t="str">
        <f ca="1">IFERROR(INDEX(Validation!F:F,MATCH("Bond 1"&amp;CELL("address",D28),Validation!I:I,0)),"")</f>
        <v/>
      </c>
    </row>
    <row r="29" spans="1:5" x14ac:dyDescent="0.25">
      <c r="A29" s="79" t="s">
        <v>272</v>
      </c>
      <c r="B29" s="122" t="str">
        <f>IF(NOT(ISBLANK('Bond Input'!C33)),'Bond Input'!C33,"")</f>
        <v/>
      </c>
      <c r="C29" s="122"/>
      <c r="D29" s="77" t="str">
        <f ca="1">IFERROR(INDEX(Validation!G:G,MATCH("Bond 1"&amp;CELL("address",D29),Validation!I:I,0)),"")</f>
        <v/>
      </c>
      <c r="E29" s="66" t="str">
        <f ca="1">IFERROR(INDEX(Validation!F:F,MATCH("Bond 1"&amp;CELL("address",D29),Validation!I:I,0)),"")</f>
        <v/>
      </c>
    </row>
    <row r="30" spans="1:5" x14ac:dyDescent="0.25">
      <c r="A30" s="79" t="s">
        <v>273</v>
      </c>
      <c r="B30" s="122" t="str">
        <f>IF(NOT(ISBLANK('Bond Input'!C35)),'Bond Input'!C35,"")</f>
        <v/>
      </c>
      <c r="C30" s="122"/>
      <c r="D30" s="77" t="str">
        <f ca="1">IFERROR(INDEX(Validation!G:G,MATCH("Bond 1"&amp;CELL("address",D30),Validation!I:I,0)),"")</f>
        <v/>
      </c>
      <c r="E30" s="66" t="str">
        <f ca="1">IFERROR(INDEX(Validation!F:F,MATCH("Bond 1"&amp;CELL("address",D30),Validation!I:I,0)),"")</f>
        <v/>
      </c>
    </row>
    <row r="31" spans="1:5" x14ac:dyDescent="0.25">
      <c r="A31" s="130" t="s">
        <v>1184</v>
      </c>
      <c r="B31" s="125">
        <f>SUM(B22:B30)</f>
        <v>0</v>
      </c>
      <c r="C31" s="125">
        <f>SUM(C22:C30)</f>
        <v>0</v>
      </c>
      <c r="D31" s="77" t="str">
        <f ca="1">IFERROR(INDEX(Validation!G:G,MATCH("Bond 1"&amp;CELL("address",D31),Validation!I:I,0)),"")</f>
        <v/>
      </c>
      <c r="E31" s="66" t="str">
        <f ca="1">IFERROR(INDEX(Validation!F:F,MATCH("Bond 1"&amp;CELL("address",D31),Validation!I:I,0)),"")</f>
        <v/>
      </c>
    </row>
    <row r="32" spans="1:5" x14ac:dyDescent="0.25">
      <c r="A32" s="130" t="s">
        <v>1185</v>
      </c>
      <c r="B32" s="125">
        <f>IF(B16="",0,B16-B31)</f>
        <v>350000</v>
      </c>
      <c r="C32" s="125">
        <f>IF(B16="",0,B16-B31-C31)</f>
        <v>350000</v>
      </c>
      <c r="D32" s="77" t="str">
        <f ca="1">IFERROR(INDEX(Validation!G:G,MATCH("Bond 1"&amp;CELL("address",D32),Validation!I:I,0)),"")</f>
        <v/>
      </c>
      <c r="E32" s="66" t="str">
        <f ca="1">IFERROR(INDEX(Validation!F:F,MATCH("Bond 1"&amp;CELL("address",D32),Validation!I:I,0)),"")</f>
        <v/>
      </c>
    </row>
    <row r="33" spans="1:5" x14ac:dyDescent="0.25">
      <c r="A33" s="131" t="s">
        <v>1186</v>
      </c>
      <c r="B33" s="122" t="str">
        <f>IF(NOT(ISBLANK('Bond Input'!C41)),'Bond Input'!C41,"")</f>
        <v/>
      </c>
      <c r="C33" s="122"/>
      <c r="D33" s="77" t="str">
        <f ca="1">IFERROR(INDEX(Validation!G:G,MATCH("Bond 1"&amp;CELL("address",D33),Validation!I:I,0)),"")</f>
        <v/>
      </c>
      <c r="E33" s="66" t="str">
        <f ca="1">IFERROR(INDEX(Validation!F:F,MATCH("Bond 1"&amp;CELL("address",D33),Validation!I:I,0)),"")</f>
        <v/>
      </c>
    </row>
    <row r="34" spans="1:5" x14ac:dyDescent="0.25">
      <c r="A34" s="131" t="s">
        <v>1187</v>
      </c>
      <c r="B34" s="122" t="str">
        <f>IF(NOT(ISBLANK('Bond Input'!C43)),'Bond Input'!C43,"")</f>
        <v/>
      </c>
      <c r="C34" s="122"/>
      <c r="D34" s="77" t="str">
        <f ca="1">IFERROR(INDEX(Validation!G:G,MATCH("Bond 1"&amp;CELL("address",D34),Validation!I:I,0)),"")</f>
        <v/>
      </c>
      <c r="E34" s="66" t="str">
        <f ca="1">IFERROR(INDEX(Validation!F:F,MATCH("Bond 1"&amp;CELL("address",D34),Validation!I:I,0)),"")</f>
        <v/>
      </c>
    </row>
    <row r="35" spans="1:5" ht="20.100000000000001" customHeight="1" x14ac:dyDescent="0.25">
      <c r="A35" s="74" t="s">
        <v>684</v>
      </c>
      <c r="B35" s="74" t="s">
        <v>283</v>
      </c>
      <c r="C35" s="74" t="str">
        <f>Year_DestinationYearID&amp;" Amount"</f>
        <v>2024 Amount</v>
      </c>
      <c r="D35" s="77" t="str">
        <f ca="1">IFERROR(INDEX(Validation!G:G,MATCH("Bond 1"&amp;CELL("address",D35),Validation!I:I,0)),"")</f>
        <v/>
      </c>
      <c r="E35" s="66" t="str">
        <f ca="1">IFERROR(INDEX(Validation!F:F,MATCH("Bond 1"&amp;CELL("address",D35),Validation!I:I,0)),"")</f>
        <v/>
      </c>
    </row>
    <row r="36" spans="1:5" x14ac:dyDescent="0.25">
      <c r="A36" s="79" t="s">
        <v>1188</v>
      </c>
      <c r="B36" s="122">
        <f>IF(NOT(ISBLANK('Bond Input'!C45)),'Bond Input'!C45,"")</f>
        <v>38220</v>
      </c>
      <c r="C36" s="122"/>
      <c r="D36" s="77" t="str">
        <f ca="1">IFERROR(INDEX(Validation!G:G,MATCH("Bond 1"&amp;CELL("address",D36),Validation!I:I,0)),"")</f>
        <v/>
      </c>
      <c r="E36" s="66" t="str">
        <f ca="1">IFERROR(INDEX(Validation!F:F,MATCH("Bond 1"&amp;CELL("address",D36),Validation!I:I,0)),"")</f>
        <v/>
      </c>
    </row>
    <row r="37" spans="1:5" x14ac:dyDescent="0.25">
      <c r="A37" s="79" t="s">
        <v>1189</v>
      </c>
      <c r="B37" s="122">
        <f>IF(NOT(ISBLANK('Bond Input'!C47)),'Bond Input'!C47,"")</f>
        <v>0</v>
      </c>
      <c r="C37" s="122"/>
      <c r="D37" s="77" t="str">
        <f ca="1">IFERROR(INDEX(Validation!G:G,MATCH("Bond 1"&amp;CELL("address",D37),Validation!I:I,0)),"")</f>
        <v/>
      </c>
      <c r="E37" s="66" t="str">
        <f ca="1">IFERROR(INDEX(Validation!F:F,MATCH("Bond 1"&amp;CELL("address",D37),Validation!I:I,0)),"")</f>
        <v/>
      </c>
    </row>
    <row r="38" spans="1:5" x14ac:dyDescent="0.25">
      <c r="A38" s="79" t="s">
        <v>1190</v>
      </c>
      <c r="B38" s="122">
        <f>IF(NOT(ISBLANK('Bond Input'!C49)),'Bond Input'!C49,"")</f>
        <v>0</v>
      </c>
      <c r="C38" s="122"/>
      <c r="D38" s="77" t="str">
        <f ca="1">IFERROR(INDEX(Validation!G:G,MATCH("Bond 1"&amp;CELL("address",D38),Validation!I:I,0)),"")</f>
        <v/>
      </c>
      <c r="E38" s="66" t="str">
        <f ca="1">IFERROR(INDEX(Validation!F:F,MATCH("Bond 1"&amp;CELL("address",D38),Validation!I:I,0)),"")</f>
        <v/>
      </c>
    </row>
    <row r="39" spans="1:5" x14ac:dyDescent="0.25">
      <c r="A39" s="79" t="s">
        <v>221</v>
      </c>
      <c r="B39" s="125">
        <f>IFERROR(IF(B11="Yes","See Pooled Debt",IF(B8="Non-TIF Bond","NA/Non-TIF Bond",B16-B19-B36-B37+B38)),"")</f>
        <v>311780</v>
      </c>
      <c r="C39" s="125">
        <f>IFERROR(IF(B11="Yes","See Pooled Debt",IF(B8="Non-TIF Bond","NA/Non-TIF Bond",B16-B19-B36-B37-C36-C37+B38+C38)),"")</f>
        <v>311780</v>
      </c>
      <c r="D39" s="77" t="str">
        <f ca="1">IFERROR(INDEX(Validation!G:G,MATCH("Bond 1"&amp;CELL("address",D39),Validation!I:I,0)),"")</f>
        <v/>
      </c>
      <c r="E39" s="66" t="str">
        <f ca="1">IFERROR(INDEX(Validation!F:F,MATCH("Bond 1"&amp;CELL("address",D39),Validation!I:I,0)),"")</f>
        <v/>
      </c>
    </row>
    <row r="40" spans="1:5" x14ac:dyDescent="0.25">
      <c r="A40" s="79" t="s">
        <v>223</v>
      </c>
      <c r="B40" s="122">
        <f>IF(NOT(ISBLANK('Bond Input'!C53)),'Bond Input'!C53,"")</f>
        <v>0</v>
      </c>
      <c r="C40" s="122"/>
      <c r="D40" s="77" t="str">
        <f ca="1">IFERROR(INDEX(Validation!G:G,MATCH("Bond 1"&amp;CELL("address",D40),Validation!I:I,0)),"")</f>
        <v/>
      </c>
      <c r="E40" s="66" t="str">
        <f ca="1">IFERROR(INDEX(Validation!F:F,MATCH("Bond 1"&amp;CELL("address",D40),Validation!I:I,0)),"")</f>
        <v/>
      </c>
    </row>
    <row r="41" spans="1:5" x14ac:dyDescent="0.25">
      <c r="A41" s="79" t="s">
        <v>1191</v>
      </c>
      <c r="B41" s="122">
        <f>IF(NOT(ISBLANK('Bond Input'!C55)),'Bond Input'!C55,"")</f>
        <v>81045</v>
      </c>
      <c r="C41" s="122"/>
      <c r="D41" s="77" t="str">
        <f ca="1">IFERROR(INDEX(Validation!G:G,MATCH("Bond 1"&amp;CELL("address",D41),Validation!I:I,0)),"")</f>
        <v/>
      </c>
      <c r="E41" s="66" t="str">
        <f ca="1">IFERROR(INDEX(Validation!F:F,MATCH("Bond 1"&amp;CELL("address",D41),Validation!I:I,0)),"")</f>
        <v/>
      </c>
    </row>
    <row r="42" spans="1:5" x14ac:dyDescent="0.25">
      <c r="A42" s="79" t="s">
        <v>1192</v>
      </c>
      <c r="B42" s="122">
        <f>IF(NOT(ISBLANK('Bond Input'!C57)),'Bond Input'!C57,"")</f>
        <v>0</v>
      </c>
      <c r="C42" s="122"/>
      <c r="D42" s="77" t="str">
        <f ca="1">IFERROR(INDEX(Validation!G:G,MATCH("Bond 1"&amp;CELL("address",D42),Validation!I:I,0)),"")</f>
        <v/>
      </c>
      <c r="E42" s="66" t="str">
        <f ca="1">IFERROR(INDEX(Validation!F:F,MATCH("Bond 1"&amp;CELL("address",D42),Validation!I:I,0)),"")</f>
        <v/>
      </c>
    </row>
    <row r="43" spans="1:5" ht="20.100000000000001" customHeight="1" x14ac:dyDescent="0.25">
      <c r="A43" s="74" t="str">
        <f>"Principal and Interest Due in "&amp;Year_DestinationYearID+1</f>
        <v>Principal and Interest Due in 2025</v>
      </c>
      <c r="B43" s="128"/>
      <c r="C43" s="128"/>
      <c r="D43" s="77" t="str">
        <f ca="1">IFERROR(INDEX(Validation!G:G,MATCH("Bond 1"&amp;CELL("address",D43),Validation!I:I,0)),"")</f>
        <v/>
      </c>
      <c r="E43" s="66" t="str">
        <f ca="1">IFERROR(INDEX(Validation!F:F,MATCH("Bond 1"&amp;CELL("address",D43),Validation!I:I,0)),"")</f>
        <v/>
      </c>
    </row>
    <row r="44" spans="1:5" x14ac:dyDescent="0.25">
      <c r="A44" s="79" t="str">
        <f>"Principal Due in "&amp;Year_DestinationYearID+1</f>
        <v>Principal Due in 2025</v>
      </c>
      <c r="B44" s="122"/>
      <c r="C44" s="128"/>
      <c r="D44" s="77" t="str">
        <f ca="1">IFERROR(INDEX(Validation!G:G,MATCH("Bond 1"&amp;CELL("address",D44),Validation!I:I,0)),"")</f>
        <v/>
      </c>
      <c r="E44" s="66" t="str">
        <f ca="1">IFERROR(INDEX(Validation!F:F,MATCH("Bond 1"&amp;CELL("address",D44),Validation!I:I,0)),"")</f>
        <v/>
      </c>
    </row>
    <row r="45" spans="1:5" x14ac:dyDescent="0.25">
      <c r="A45" s="79" t="str">
        <f>"Interest Due in "&amp;Year_DestinationYearID+1</f>
        <v>Interest Due in 2025</v>
      </c>
      <c r="B45" s="122"/>
      <c r="C45" s="128"/>
      <c r="D45" s="77" t="str">
        <f ca="1">IFERROR(INDEX(Validation!G:G,MATCH("Bond 1"&amp;CELL("address",D45),Validation!I:I,0)),"")</f>
        <v/>
      </c>
      <c r="E45" s="66" t="str">
        <f ca="1">IFERROR(INDEX(Validation!F:F,MATCH("Bond 1"&amp;CELL("address",D45),Validation!I:I,0)),"")</f>
        <v/>
      </c>
    </row>
    <row r="46" spans="1:5" ht="20.100000000000001" customHeight="1" x14ac:dyDescent="0.25">
      <c r="A46" s="97" t="s">
        <v>176</v>
      </c>
      <c r="D46" s="77" t="str">
        <f ca="1">IF(AND(ISBLANK(A47),OR(COUNTIF(E6:E45,"Alert")&gt;0,SUM(B38:B38)&lt;&gt;0)),"Comment(s) required for remaining alert(s) and/or additions/reductions to principal.",IFERROR(INDEX(Validation!G:G,MATCH("Bond 1"&amp;CELL("address",D47),Validation!I:I,0)),""))</f>
        <v/>
      </c>
      <c r="E46" s="66" t="str">
        <f ca="1">IF(AND(ISBLANK(A47),OR(COUNTIF(E6:E45,"Alert")&gt;0,SUM(B38:B38)&lt;&gt;0)),"Error",IFERROR(INDEX(Validation!F:F,MATCH("Bond 1"&amp;CELL("address",D47),Validation!I:I,0)),""))</f>
        <v/>
      </c>
    </row>
    <row r="47" spans="1:5" ht="150" customHeight="1" x14ac:dyDescent="0.25">
      <c r="A47" s="123"/>
      <c r="B47" s="100" t="str">
        <f>HYPERLINK("#'Bonds'!B6","Click here to return to the Bonds Tab")</f>
        <v>Click here to return to the Bonds Tab</v>
      </c>
      <c r="C47" s="127"/>
    </row>
    <row r="48" spans="1:5" x14ac:dyDescent="0.25">
      <c r="A48" s="98"/>
      <c r="B48" s="98"/>
      <c r="C48" s="98"/>
    </row>
    <row r="49" spans="1:3" x14ac:dyDescent="0.25">
      <c r="A49" s="98"/>
      <c r="B49" s="98"/>
      <c r="C49" s="98"/>
    </row>
    <row r="50" spans="1:3" x14ac:dyDescent="0.25">
      <c r="A50" s="98"/>
      <c r="B50" s="98"/>
      <c r="C50" s="98"/>
    </row>
    <row r="51" spans="1:3" x14ac:dyDescent="0.25">
      <c r="A51" s="98"/>
      <c r="B51" s="98"/>
      <c r="C51" s="98"/>
    </row>
  </sheetData>
  <sheetProtection algorithmName="SHA-512" hashValue="kf3sz6eQzJ3F9Vri5iXVuuVnFPhhhGLC1IgI1oM3JBuX4jEyOmREYoH4t3knrZV+AstE1sqCPglW8ARD8vmtTA==" saltValue="H7f/LOM0t4h3BYVMCeBF1w==" spinCount="100000" sheet="1" objects="1" scenarios="1"/>
  <mergeCells count="1">
    <mergeCell ref="A4:E4"/>
  </mergeCells>
  <conditionalFormatting sqref="A2 D6:E46">
    <cfRule type="expression" dxfId="464" priority="8">
      <formula>$E2="Exclude"</formula>
    </cfRule>
  </conditionalFormatting>
  <conditionalFormatting sqref="A2">
    <cfRule type="expression" dxfId="463" priority="6">
      <formula>$E2="Error"</formula>
    </cfRule>
  </conditionalFormatting>
  <conditionalFormatting sqref="D6:E46">
    <cfRule type="expression" dxfId="461" priority="1">
      <formula>$E6="Information"</formula>
    </cfRule>
    <cfRule type="expression" dxfId="460" priority="2">
      <formula>$E6="Error"</formula>
    </cfRule>
    <cfRule type="expression" dxfId="459" priority="3">
      <formula>$E6="Alert"</formula>
    </cfRule>
  </conditionalFormatting>
  <dataValidations count="2">
    <dataValidation type="list" allowBlank="1" showInputMessage="1" showErrorMessage="1" sqref="B8:C8" xr:uid="{B29C5E63-DAA3-4981-B250-2C895FEECD83}">
      <formula1>BondType</formula1>
    </dataValidation>
    <dataValidation type="list" allowBlank="1" showInputMessage="1" showErrorMessage="1" sqref="B9:C11 B20:C20" xr:uid="{FFEC4744-96A1-4B91-9D76-AAF1DC6D8055}">
      <formula1>SelOneYesNo</formula1>
    </dataValidation>
  </dataValidations>
  <pageMargins left="0.7" right="0.7" top="0.75" bottom="0.75" header="0.3" footer="0.3"/>
  <pageSetup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7" id="{DCCD8C12-E12F-45B3-B6C8-3E1B6803668E}">
            <xm:f>COUNTIFS(Validation!$H:$H,MID(CELL("filename",A2),FIND("]",CELL("filename",A2))+1,255)&amp;CELL("address",A2))&gt;0</xm:f>
            <x14:dxf>
              <font>
                <b/>
                <i val="0"/>
                <color rgb="FFC00000"/>
              </font>
              <numFmt numFmtId="172" formatCode="_(\!* #,##0_);_(\!* \(#,##0\);_(\!* \-??_);_(\!\ @_)"/>
            </x14:dxf>
          </x14:cfRule>
          <xm:sqref>A2</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DE07D-BEA4-497B-A8A1-85D0EEF716AF}">
  <sheetPr>
    <tabColor rgb="FFEED382"/>
  </sheetPr>
  <dimension ref="A1:F51"/>
  <sheetViews>
    <sheetView showGridLines="0" workbookViewId="0">
      <selection activeCell="C13" sqref="C13"/>
    </sheetView>
  </sheetViews>
  <sheetFormatPr defaultRowHeight="15" x14ac:dyDescent="0.25"/>
  <cols>
    <col min="1" max="1" width="55.7109375" style="66" customWidth="1"/>
    <col min="2" max="3" width="20.7109375" style="66" customWidth="1"/>
    <col min="4" max="4" width="80.85546875" style="66" customWidth="1"/>
    <col min="5" max="5" width="14.7109375" style="66" customWidth="1"/>
    <col min="6" max="6" width="0" style="78" hidden="1" customWidth="1"/>
    <col min="7" max="16384" width="9.140625" style="66"/>
  </cols>
  <sheetData>
    <row r="1" spans="1:6" s="59" customFormat="1" ht="24.95" customHeight="1" x14ac:dyDescent="0.25">
      <c r="A1" s="59" t="str">
        <f>_xlfn.CONCAT("Office of the State Auditor  -  TIF Annual Reporting Form  -  ",Year_DestinationYearID)</f>
        <v>Office of the State Auditor  -  TIF Annual Reporting Form  -  2024</v>
      </c>
      <c r="F1" s="61"/>
    </row>
    <row r="2" spans="1:6" s="62" customFormat="1" ht="20.100000000000001" customHeight="1" x14ac:dyDescent="0.25">
      <c r="A2" s="58" t="str">
        <f>_xlfn.CONCAT(GovEntity_GovEntityName_Parent,"  -  ",GovEntity_GovEntityName)</f>
        <v>Spruce City  -  TIF 1-1 Downtown Redev</v>
      </c>
      <c r="F2" s="64"/>
    </row>
    <row r="3" spans="1:6" s="68" customFormat="1" ht="24.95" customHeight="1" x14ac:dyDescent="0.3">
      <c r="A3" s="65" t="s">
        <v>206</v>
      </c>
      <c r="B3" s="66"/>
      <c r="C3" s="66"/>
      <c r="F3" s="69"/>
    </row>
    <row r="4" spans="1:6" s="71" customFormat="1" x14ac:dyDescent="0.25">
      <c r="A4" s="217" t="s">
        <v>207</v>
      </c>
      <c r="B4" s="217"/>
      <c r="C4" s="217"/>
      <c r="D4" s="217"/>
      <c r="E4" s="217"/>
      <c r="F4" s="72" t="s">
        <v>119</v>
      </c>
    </row>
    <row r="5" spans="1:6" s="74" customFormat="1" ht="20.100000000000001" customHeight="1" x14ac:dyDescent="0.25">
      <c r="A5" s="73" t="str">
        <f>HYPERLINK("#'Bonds'!B6","Click here to return to the Bonds Tab")</f>
        <v>Click here to return to the Bonds Tab</v>
      </c>
      <c r="D5" s="74" t="s">
        <v>121</v>
      </c>
      <c r="E5" s="74" t="s">
        <v>102</v>
      </c>
      <c r="F5" s="76"/>
    </row>
    <row r="6" spans="1:6" ht="20.100000000000001" customHeight="1" x14ac:dyDescent="0.25">
      <c r="A6" s="74" t="s">
        <v>208</v>
      </c>
      <c r="D6" s="77" t="str">
        <f ca="1">IFERROR(INDEX(Validation!G:G,MATCH("Bond 2"&amp;CELL("address",D6),Validation!I:I,0)),"")</f>
        <v/>
      </c>
      <c r="E6" s="66" t="str">
        <f ca="1">IFERROR(INDEX(Validation!F:F,MATCH("Bond 2"&amp;CELL("address",D6),Validation!I:I,0)),"")</f>
        <v/>
      </c>
      <c r="F6" s="78" t="s">
        <v>1008</v>
      </c>
    </row>
    <row r="7" spans="1:6" x14ac:dyDescent="0.25">
      <c r="A7" s="79" t="s">
        <v>210</v>
      </c>
      <c r="B7" s="103" t="str">
        <f>IF(NOT(ISBLANK('Bond Input'!D5)),'Bond Input'!D5,"")</f>
        <v/>
      </c>
      <c r="D7" s="77" t="str">
        <f ca="1">IFERROR(INDEX(Validation!G:G,MATCH("Bond 2"&amp;CELL("address",D7),Validation!I:I,0)),"")</f>
        <v/>
      </c>
      <c r="E7" s="66" t="str">
        <f ca="1">IFERROR(INDEX(Validation!F:F,MATCH("Bond 2"&amp;CELL("address",D7),Validation!I:I,0)),"")</f>
        <v/>
      </c>
      <c r="F7" s="85" t="str">
        <f>IF(NOT(ISBLANK('Bond Input'!D4)),'Bond Input'!D4,"")</f>
        <v/>
      </c>
    </row>
    <row r="8" spans="1:6" x14ac:dyDescent="0.25">
      <c r="A8" s="79" t="s">
        <v>209</v>
      </c>
      <c r="B8" s="103" t="str">
        <f>IF(NOT(ISBLANK('Bond Input'!D6)),'Bond Input'!D6,"Select One")</f>
        <v>Select One</v>
      </c>
      <c r="D8" s="77" t="str">
        <f ca="1">IFERROR(INDEX(Validation!G:G,MATCH("Bond 2"&amp;CELL("address",D8),Validation!I:I,0)),"")</f>
        <v/>
      </c>
      <c r="E8" s="66" t="str">
        <f ca="1">IFERROR(INDEX(Validation!F:F,MATCH("Bond 2"&amp;CELL("address",D8),Validation!I:I,0)),"")</f>
        <v/>
      </c>
    </row>
    <row r="9" spans="1:6" x14ac:dyDescent="0.25">
      <c r="A9" s="79" t="s">
        <v>227</v>
      </c>
      <c r="B9" s="103" t="str">
        <f>IF(NOT(ISBLANK('Bond Input'!D7)),'Bond Input'!D7,"Select One")</f>
        <v>Select One</v>
      </c>
      <c r="D9" s="77" t="str">
        <f ca="1">IFERROR(INDEX(Validation!G:G,MATCH("Bond 2"&amp;CELL("address",D9),Validation!I:I,0)),"")</f>
        <v/>
      </c>
      <c r="E9" s="66" t="str">
        <f ca="1">IFERROR(INDEX(Validation!F:F,MATCH("Bond 2"&amp;CELL("address",D9),Validation!I:I,0)),"")</f>
        <v/>
      </c>
    </row>
    <row r="10" spans="1:6" x14ac:dyDescent="0.25">
      <c r="A10" s="79" t="s">
        <v>228</v>
      </c>
      <c r="B10" s="103" t="str">
        <f>IF(NOT(ISBLANK('Bond Input'!D8)),'Bond Input'!D8,"Select One")</f>
        <v>Select One</v>
      </c>
      <c r="D10" s="77" t="str">
        <f ca="1">IFERROR(INDEX(Validation!G:G,MATCH("Bond 2"&amp;CELL("address",D10),Validation!I:I,0)),"")</f>
        <v/>
      </c>
      <c r="E10" s="66" t="str">
        <f ca="1">IFERROR(INDEX(Validation!F:F,MATCH("Bond 2"&amp;CELL("address",D10),Validation!I:I,0)),"")</f>
        <v/>
      </c>
    </row>
    <row r="11" spans="1:6" x14ac:dyDescent="0.25">
      <c r="A11" s="79" t="s">
        <v>229</v>
      </c>
      <c r="B11" s="103" t="str">
        <f>IF(NOT(ISBLANK('Bond Input'!D9)),'Bond Input'!D9,"Select One")</f>
        <v>Select One</v>
      </c>
      <c r="D11" s="77" t="str">
        <f ca="1">IFERROR(INDEX(Validation!G:G,MATCH("Bond 2"&amp;CELL("address",D11),Validation!I:I,0)),"")</f>
        <v/>
      </c>
      <c r="E11" s="66" t="str">
        <f ca="1">IFERROR(INDEX(Validation!F:F,MATCH("Bond 2"&amp;CELL("address",D11),Validation!I:I,0)),"")</f>
        <v/>
      </c>
    </row>
    <row r="12" spans="1:6" x14ac:dyDescent="0.25">
      <c r="A12" s="79" t="s">
        <v>211</v>
      </c>
      <c r="B12" s="120" t="str">
        <f>IF(NOT(ISBLANK('Bond Input'!D10)),'Bond Input'!D10,"")</f>
        <v/>
      </c>
      <c r="C12" s="129"/>
      <c r="D12" s="77" t="str">
        <f ca="1">IFERROR(INDEX(Validation!G:G,MATCH("Bond 2"&amp;CELL("address",D12),Validation!I:I,0)),"")</f>
        <v/>
      </c>
      <c r="E12" s="66" t="str">
        <f ca="1">IFERROR(INDEX(Validation!F:F,MATCH("Bond 2"&amp;CELL("address",D12),Validation!I:I,0)),"")</f>
        <v/>
      </c>
    </row>
    <row r="13" spans="1:6" x14ac:dyDescent="0.25">
      <c r="A13" s="79" t="s">
        <v>212</v>
      </c>
      <c r="B13" s="120" t="str">
        <f>IF(NOT(ISBLANK('Bond Input'!D11)),'Bond Input'!D11,"")</f>
        <v/>
      </c>
      <c r="C13" s="129"/>
      <c r="D13" s="77" t="str">
        <f ca="1">IFERROR(INDEX(Validation!G:G,MATCH("Bond 2"&amp;CELL("address",D13),Validation!I:I,0)),"")</f>
        <v/>
      </c>
      <c r="E13" s="66" t="str">
        <f ca="1">IFERROR(INDEX(Validation!F:F,MATCH("Bond 2"&amp;CELL("address",D13),Validation!I:I,0)),"")</f>
        <v/>
      </c>
    </row>
    <row r="14" spans="1:6" x14ac:dyDescent="0.25">
      <c r="A14" s="79" t="s">
        <v>213</v>
      </c>
      <c r="B14" s="121" t="str">
        <f>IF(NOT(ISBLANK('Bond Input'!D12)),'Bond Input'!D12,"")</f>
        <v/>
      </c>
      <c r="C14" s="132"/>
      <c r="D14" s="77" t="str">
        <f ca="1">IFERROR(INDEX(Validation!G:G,MATCH("Bond 2"&amp;CELL("address",D14),Validation!I:I,0)),"")</f>
        <v/>
      </c>
      <c r="E14" s="66" t="str">
        <f ca="1">IFERROR(INDEX(Validation!F:F,MATCH("Bond 2"&amp;CELL("address",D14),Validation!I:I,0)),"")</f>
        <v/>
      </c>
    </row>
    <row r="15" spans="1:6" x14ac:dyDescent="0.25">
      <c r="A15" s="79" t="s">
        <v>214</v>
      </c>
      <c r="B15" s="121" t="str">
        <f>IF(NOT(ISBLANK('Bond Input'!D13)),'Bond Input'!D13,"")</f>
        <v/>
      </c>
      <c r="C15" s="132"/>
      <c r="D15" s="77" t="str">
        <f ca="1">IFERROR(INDEX(Validation!G:G,MATCH("Bond 2"&amp;CELL("address",D15),Validation!I:I,0)),"")</f>
        <v/>
      </c>
      <c r="E15" s="66" t="str">
        <f ca="1">IFERROR(INDEX(Validation!F:F,MATCH("Bond 2"&amp;CELL("address",D15),Validation!I:I,0)),"")</f>
        <v/>
      </c>
    </row>
    <row r="16" spans="1:6" x14ac:dyDescent="0.25">
      <c r="A16" s="79" t="s">
        <v>535</v>
      </c>
      <c r="B16" s="122" t="str">
        <f>IF(NOT(ISBLANK('Bond Input'!D14)),'Bond Input'!D14,"")</f>
        <v/>
      </c>
      <c r="C16" s="128"/>
      <c r="D16" s="77" t="str">
        <f ca="1">IFERROR(INDEX(Validation!G:G,MATCH("Bond 2"&amp;CELL("address",D16),Validation!I:I,0)),"")</f>
        <v/>
      </c>
      <c r="E16" s="66" t="str">
        <f ca="1">IFERROR(INDEX(Validation!F:F,MATCH("Bond 2"&amp;CELL("address",D16),Validation!I:I,0)),"")</f>
        <v/>
      </c>
    </row>
    <row r="17" spans="1:5" x14ac:dyDescent="0.25">
      <c r="A17" s="79" t="s">
        <v>230</v>
      </c>
      <c r="B17" s="122" t="str">
        <f>IF(NOT(ISBLANK('Bond Input'!D15)),'Bond Input'!D15,"")</f>
        <v/>
      </c>
      <c r="C17" s="128"/>
      <c r="D17" s="77" t="str">
        <f ca="1">IFERROR(INDEX(Validation!G:G,MATCH("Bond 2"&amp;CELL("address",D17),Validation!I:I,0)),"")</f>
        <v/>
      </c>
      <c r="E17" s="66" t="str">
        <f ca="1">IFERROR(INDEX(Validation!F:F,MATCH("Bond 2"&amp;CELL("address",D17),Validation!I:I,0)),"")</f>
        <v/>
      </c>
    </row>
    <row r="18" spans="1:5" x14ac:dyDescent="0.25">
      <c r="A18" s="79" t="s">
        <v>231</v>
      </c>
      <c r="B18" s="122" t="str">
        <f>IF(NOT(ISBLANK('Bond Input'!D16)),'Bond Input'!D16,"")</f>
        <v/>
      </c>
      <c r="C18" s="128"/>
      <c r="D18" s="77" t="str">
        <f ca="1">IFERROR(INDEX(Validation!G:G,MATCH("Bond 2"&amp;CELL("address",D18),Validation!I:I,0)),"")</f>
        <v/>
      </c>
      <c r="E18" s="66" t="str">
        <f ca="1">IFERROR(INDEX(Validation!F:F,MATCH("Bond 2"&amp;CELL("address",D18),Validation!I:I,0)),"")</f>
        <v/>
      </c>
    </row>
    <row r="19" spans="1:5" x14ac:dyDescent="0.25">
      <c r="A19" s="79" t="s">
        <v>216</v>
      </c>
      <c r="B19" s="122" t="str">
        <f>IF(NOT(ISBLANK('Bond Input'!D17)),'Bond Input'!D17,"")</f>
        <v/>
      </c>
      <c r="C19" s="128"/>
      <c r="D19" s="77" t="str">
        <f ca="1">IFERROR(INDEX(Validation!G:G,MATCH("Bond 2"&amp;CELL("address",D19),Validation!I:I,0)),"")</f>
        <v/>
      </c>
      <c r="E19" s="66" t="str">
        <f ca="1">IFERROR(INDEX(Validation!F:F,MATCH("Bond 2"&amp;CELL("address",D19),Validation!I:I,0)),"")</f>
        <v/>
      </c>
    </row>
    <row r="20" spans="1:5" x14ac:dyDescent="0.25">
      <c r="A20" s="79" t="s">
        <v>232</v>
      </c>
      <c r="B20" s="103" t="str">
        <f>IF(ISBLANK('Bond Input'!D18),"Select One",IF('Bond Input'!D18=TRUE,"Yes","No"))</f>
        <v>Select One</v>
      </c>
      <c r="D20" s="77" t="str">
        <f ca="1">IFERROR(INDEX(Validation!G:G,MATCH("Bond 2"&amp;CELL("address",D20),Validation!I:I,0)),"")</f>
        <v/>
      </c>
      <c r="E20" s="66" t="str">
        <f ca="1">IFERROR(INDEX(Validation!F:F,MATCH("Bond 2"&amp;CELL("address",D20),Validation!I:I,0)),"")</f>
        <v/>
      </c>
    </row>
    <row r="21" spans="1:5" ht="20.100000000000001" customHeight="1" x14ac:dyDescent="0.25">
      <c r="A21" s="74" t="s">
        <v>1183</v>
      </c>
      <c r="B21" s="74" t="s">
        <v>283</v>
      </c>
      <c r="C21" s="74" t="str">
        <f>Year_DestinationYearID&amp;" Amount"</f>
        <v>2024 Amount</v>
      </c>
      <c r="D21" s="77" t="str">
        <f ca="1">IFERROR(INDEX(Validation!G:G,MATCH("Bond 2"&amp;CELL("address",D21),Validation!I:I,0)),"")</f>
        <v/>
      </c>
      <c r="E21" s="66" t="str">
        <f ca="1">IFERROR(INDEX(Validation!F:F,MATCH("Bond 2"&amp;CELL("address",D21),Validation!I:I,0)),"")</f>
        <v/>
      </c>
    </row>
    <row r="22" spans="1:5" x14ac:dyDescent="0.25">
      <c r="A22" s="79" t="s">
        <v>266</v>
      </c>
      <c r="B22" s="122" t="str">
        <f>IF(NOT(ISBLANK('Bond Input'!D19)),'Bond Input'!D19,"")</f>
        <v/>
      </c>
      <c r="C22" s="122"/>
      <c r="D22" s="77" t="str">
        <f ca="1">IFERROR(INDEX(Validation!G:G,MATCH("Bond 2"&amp;CELL("address",D22),Validation!I:I,0)),"")</f>
        <v/>
      </c>
      <c r="E22" s="66" t="str">
        <f ca="1">IFERROR(INDEX(Validation!F:F,MATCH("Bond 2"&amp;CELL("address",D22),Validation!I:I,0)),"")</f>
        <v/>
      </c>
    </row>
    <row r="23" spans="1:5" x14ac:dyDescent="0.25">
      <c r="A23" s="79" t="s">
        <v>267</v>
      </c>
      <c r="B23" s="122" t="str">
        <f>IF(NOT(ISBLANK('Bond Input'!D21)),'Bond Input'!D21,"")</f>
        <v/>
      </c>
      <c r="C23" s="122"/>
      <c r="D23" s="77" t="str">
        <f ca="1">IFERROR(INDEX(Validation!G:G,MATCH("Bond 2"&amp;CELL("address",D23),Validation!I:I,0)),"")</f>
        <v/>
      </c>
      <c r="E23" s="66" t="str">
        <f ca="1">IFERROR(INDEX(Validation!F:F,MATCH("Bond 2"&amp;CELL("address",D23),Validation!I:I,0)),"")</f>
        <v/>
      </c>
    </row>
    <row r="24" spans="1:5" x14ac:dyDescent="0.25">
      <c r="A24" s="79" t="s">
        <v>268</v>
      </c>
      <c r="B24" s="122" t="str">
        <f>IF(NOT(ISBLANK('Bond Input'!D23)),'Bond Input'!D23,"")</f>
        <v/>
      </c>
      <c r="C24" s="122"/>
      <c r="D24" s="77" t="str">
        <f ca="1">IFERROR(INDEX(Validation!G:G,MATCH("Bond 2"&amp;CELL("address",D24),Validation!I:I,0)),"")</f>
        <v/>
      </c>
      <c r="E24" s="66" t="str">
        <f ca="1">IFERROR(INDEX(Validation!F:F,MATCH("Bond 2"&amp;CELL("address",D24),Validation!I:I,0)),"")</f>
        <v/>
      </c>
    </row>
    <row r="25" spans="1:5" x14ac:dyDescent="0.25">
      <c r="A25" s="79" t="s">
        <v>269</v>
      </c>
      <c r="B25" s="122" t="str">
        <f>IF(NOT(ISBLANK('Bond Input'!D25)),'Bond Input'!D25,"")</f>
        <v/>
      </c>
      <c r="C25" s="122"/>
      <c r="D25" s="77" t="str">
        <f ca="1">IFERROR(INDEX(Validation!G:G,MATCH("Bond 2"&amp;CELL("address",D25),Validation!I:I,0)),"")</f>
        <v/>
      </c>
      <c r="E25" s="66" t="str">
        <f ca="1">IFERROR(INDEX(Validation!F:F,MATCH("Bond 2"&amp;CELL("address",D25),Validation!I:I,0)),"")</f>
        <v/>
      </c>
    </row>
    <row r="26" spans="1:5" x14ac:dyDescent="0.25">
      <c r="A26" s="79" t="s">
        <v>1101</v>
      </c>
      <c r="B26" s="122" t="str">
        <f>IF(NOT(ISBLANK('Bond Input'!D27)),'Bond Input'!D27,"")</f>
        <v/>
      </c>
      <c r="C26" s="122"/>
      <c r="D26" s="77" t="str">
        <f ca="1">IFERROR(INDEX(Validation!G:G,MATCH("Bond 2"&amp;CELL("address",D26),Validation!I:I,0)),"")</f>
        <v/>
      </c>
      <c r="E26" s="66" t="str">
        <f ca="1">IFERROR(INDEX(Validation!F:F,MATCH("Bond 2"&amp;CELL("address",D26),Validation!I:I,0)),"")</f>
        <v/>
      </c>
    </row>
    <row r="27" spans="1:5" x14ac:dyDescent="0.25">
      <c r="A27" s="79" t="s">
        <v>270</v>
      </c>
      <c r="B27" s="122" t="str">
        <f>IF(NOT(ISBLANK('Bond Input'!D29)),'Bond Input'!D29,"")</f>
        <v/>
      </c>
      <c r="C27" s="122"/>
      <c r="D27" s="77" t="str">
        <f ca="1">IFERROR(INDEX(Validation!G:G,MATCH("Bond 2"&amp;CELL("address",D27),Validation!I:I,0)),"")</f>
        <v/>
      </c>
      <c r="E27" s="66" t="str">
        <f ca="1">IFERROR(INDEX(Validation!F:F,MATCH("Bond 2"&amp;CELL("address",D27),Validation!I:I,0)),"")</f>
        <v/>
      </c>
    </row>
    <row r="28" spans="1:5" x14ac:dyDescent="0.25">
      <c r="A28" s="79" t="s">
        <v>271</v>
      </c>
      <c r="B28" s="122" t="str">
        <f>IF(NOT(ISBLANK('Bond Input'!D31)),'Bond Input'!D31,"")</f>
        <v/>
      </c>
      <c r="C28" s="122"/>
      <c r="D28" s="77" t="str">
        <f ca="1">IFERROR(INDEX(Validation!G:G,MATCH("Bond 2"&amp;CELL("address",D28),Validation!I:I,0)),"")</f>
        <v/>
      </c>
      <c r="E28" s="66" t="str">
        <f ca="1">IFERROR(INDEX(Validation!F:F,MATCH("Bond 2"&amp;CELL("address",D28),Validation!I:I,0)),"")</f>
        <v/>
      </c>
    </row>
    <row r="29" spans="1:5" x14ac:dyDescent="0.25">
      <c r="A29" s="79" t="s">
        <v>272</v>
      </c>
      <c r="B29" s="122" t="str">
        <f>IF(NOT(ISBLANK('Bond Input'!D33)),'Bond Input'!D33,"")</f>
        <v/>
      </c>
      <c r="C29" s="122"/>
      <c r="D29" s="77" t="str">
        <f ca="1">IFERROR(INDEX(Validation!G:G,MATCH("Bond 2"&amp;CELL("address",D29),Validation!I:I,0)),"")</f>
        <v/>
      </c>
      <c r="E29" s="66" t="str">
        <f ca="1">IFERROR(INDEX(Validation!F:F,MATCH("Bond 2"&amp;CELL("address",D29),Validation!I:I,0)),"")</f>
        <v/>
      </c>
    </row>
    <row r="30" spans="1:5" x14ac:dyDescent="0.25">
      <c r="A30" s="79" t="s">
        <v>273</v>
      </c>
      <c r="B30" s="122" t="str">
        <f>IF(NOT(ISBLANK('Bond Input'!D35)),'Bond Input'!D35,"")</f>
        <v/>
      </c>
      <c r="C30" s="122"/>
      <c r="D30" s="77" t="str">
        <f ca="1">IFERROR(INDEX(Validation!G:G,MATCH("Bond 2"&amp;CELL("address",D30),Validation!I:I,0)),"")</f>
        <v/>
      </c>
      <c r="E30" s="66" t="str">
        <f ca="1">IFERROR(INDEX(Validation!F:F,MATCH("Bond 2"&amp;CELL("address",D30),Validation!I:I,0)),"")</f>
        <v/>
      </c>
    </row>
    <row r="31" spans="1:5" x14ac:dyDescent="0.25">
      <c r="A31" s="130" t="s">
        <v>1184</v>
      </c>
      <c r="B31" s="125">
        <f>SUM(B22:B30)</f>
        <v>0</v>
      </c>
      <c r="C31" s="125">
        <f>SUM(C22:C30)</f>
        <v>0</v>
      </c>
      <c r="D31" s="77" t="str">
        <f ca="1">IFERROR(INDEX(Validation!G:G,MATCH("Bond 2"&amp;CELL("address",D31),Validation!I:I,0)),"")</f>
        <v/>
      </c>
      <c r="E31" s="66" t="str">
        <f ca="1">IFERROR(INDEX(Validation!F:F,MATCH("Bond 2"&amp;CELL("address",D31),Validation!I:I,0)),"")</f>
        <v/>
      </c>
    </row>
    <row r="32" spans="1:5" x14ac:dyDescent="0.25">
      <c r="A32" s="130" t="s">
        <v>1185</v>
      </c>
      <c r="B32" s="125">
        <f>IF(B16="",0,B16-B31)</f>
        <v>0</v>
      </c>
      <c r="C32" s="125">
        <f>IF(B16="",0,B16-B31-C31)</f>
        <v>0</v>
      </c>
      <c r="D32" s="77" t="str">
        <f ca="1">IFERROR(INDEX(Validation!G:G,MATCH("Bond 2"&amp;CELL("address",D32),Validation!I:I,0)),"")</f>
        <v/>
      </c>
      <c r="E32" s="66" t="str">
        <f ca="1">IFERROR(INDEX(Validation!F:F,MATCH("Bond 2"&amp;CELL("address",D32),Validation!I:I,0)),"")</f>
        <v/>
      </c>
    </row>
    <row r="33" spans="1:5" x14ac:dyDescent="0.25">
      <c r="A33" s="131" t="s">
        <v>1186</v>
      </c>
      <c r="B33" s="122" t="str">
        <f>IF(NOT(ISBLANK('Bond Input'!D41)),'Bond Input'!D41,"")</f>
        <v/>
      </c>
      <c r="C33" s="122"/>
      <c r="D33" s="77" t="str">
        <f ca="1">IFERROR(INDEX(Validation!G:G,MATCH("Bond 2"&amp;CELL("address",D33),Validation!I:I,0)),"")</f>
        <v/>
      </c>
      <c r="E33" s="66" t="str">
        <f ca="1">IFERROR(INDEX(Validation!F:F,MATCH("Bond 2"&amp;CELL("address",D33),Validation!I:I,0)),"")</f>
        <v/>
      </c>
    </row>
    <row r="34" spans="1:5" x14ac:dyDescent="0.25">
      <c r="A34" s="131" t="s">
        <v>1187</v>
      </c>
      <c r="B34" s="122" t="str">
        <f>IF(NOT(ISBLANK('Bond Input'!D43)),'Bond Input'!D43,"")</f>
        <v/>
      </c>
      <c r="C34" s="122"/>
      <c r="D34" s="77" t="str">
        <f ca="1">IFERROR(INDEX(Validation!G:G,MATCH("Bond 2"&amp;CELL("address",D34),Validation!I:I,0)),"")</f>
        <v/>
      </c>
      <c r="E34" s="66" t="str">
        <f ca="1">IFERROR(INDEX(Validation!F:F,MATCH("Bond 2"&amp;CELL("address",D34),Validation!I:I,0)),"")</f>
        <v/>
      </c>
    </row>
    <row r="35" spans="1:5" ht="20.100000000000001" customHeight="1" x14ac:dyDescent="0.25">
      <c r="A35" s="74" t="s">
        <v>684</v>
      </c>
      <c r="B35" s="74" t="s">
        <v>283</v>
      </c>
      <c r="C35" s="74" t="str">
        <f>Year_DestinationYearID&amp;" Amount"</f>
        <v>2024 Amount</v>
      </c>
      <c r="D35" s="77" t="str">
        <f ca="1">IFERROR(INDEX(Validation!G:G,MATCH("Bond 2"&amp;CELL("address",D35),Validation!I:I,0)),"")</f>
        <v/>
      </c>
      <c r="E35" s="66" t="str">
        <f ca="1">IFERROR(INDEX(Validation!F:F,MATCH("Bond 2"&amp;CELL("address",D35),Validation!I:I,0)),"")</f>
        <v/>
      </c>
    </row>
    <row r="36" spans="1:5" x14ac:dyDescent="0.25">
      <c r="A36" s="79" t="s">
        <v>1188</v>
      </c>
      <c r="B36" s="122" t="str">
        <f>IF(NOT(ISBLANK('Bond Input'!D45)),'Bond Input'!D45,"")</f>
        <v/>
      </c>
      <c r="C36" s="122"/>
      <c r="D36" s="77" t="str">
        <f ca="1">IFERROR(INDEX(Validation!G:G,MATCH("Bond 2"&amp;CELL("address",D36),Validation!I:I,0)),"")</f>
        <v/>
      </c>
      <c r="E36" s="66" t="str">
        <f ca="1">IFERROR(INDEX(Validation!F:F,MATCH("Bond 2"&amp;CELL("address",D36),Validation!I:I,0)),"")</f>
        <v/>
      </c>
    </row>
    <row r="37" spans="1:5" x14ac:dyDescent="0.25">
      <c r="A37" s="79" t="s">
        <v>1189</v>
      </c>
      <c r="B37" s="122" t="str">
        <f>IF(NOT(ISBLANK('Bond Input'!D47)),'Bond Input'!D47,"")</f>
        <v/>
      </c>
      <c r="C37" s="122"/>
      <c r="D37" s="77" t="str">
        <f ca="1">IFERROR(INDEX(Validation!G:G,MATCH("Bond 2"&amp;CELL("address",D37),Validation!I:I,0)),"")</f>
        <v/>
      </c>
      <c r="E37" s="66" t="str">
        <f ca="1">IFERROR(INDEX(Validation!F:F,MATCH("Bond 2"&amp;CELL("address",D37),Validation!I:I,0)),"")</f>
        <v/>
      </c>
    </row>
    <row r="38" spans="1:5" x14ac:dyDescent="0.25">
      <c r="A38" s="79" t="s">
        <v>1190</v>
      </c>
      <c r="B38" s="122" t="str">
        <f>IF(NOT(ISBLANK('Bond Input'!D49)),'Bond Input'!D49,"")</f>
        <v/>
      </c>
      <c r="C38" s="122"/>
      <c r="D38" s="77" t="str">
        <f ca="1">IFERROR(INDEX(Validation!G:G,MATCH("Bond 2"&amp;CELL("address",D38),Validation!I:I,0)),"")</f>
        <v/>
      </c>
      <c r="E38" s="66" t="str">
        <f ca="1">IFERROR(INDEX(Validation!F:F,MATCH("Bond 2"&amp;CELL("address",D38),Validation!I:I,0)),"")</f>
        <v/>
      </c>
    </row>
    <row r="39" spans="1:5" x14ac:dyDescent="0.25">
      <c r="A39" s="79" t="s">
        <v>221</v>
      </c>
      <c r="B39" s="125" t="str">
        <f>IFERROR(IF(B11="Yes","See Pooled Debt",IF(B8="Non-TIF Bond","NA/Non-TIF Bond",B16-B19-B36-B37+B38)),"")</f>
        <v/>
      </c>
      <c r="C39" s="125" t="str">
        <f>IFERROR(IF(B11="Yes","See Pooled Debt",IF(B8="Non-TIF Bond","NA/Non-TIF Bond",B16-B19-B36-B37-C36-C37+B38+C38)),"")</f>
        <v/>
      </c>
      <c r="D39" s="77" t="str">
        <f ca="1">IFERROR(INDEX(Validation!G:G,MATCH("Bond 2"&amp;CELL("address",D39),Validation!I:I,0)),"")</f>
        <v/>
      </c>
      <c r="E39" s="66" t="str">
        <f ca="1">IFERROR(INDEX(Validation!F:F,MATCH("Bond 2"&amp;CELL("address",D39),Validation!I:I,0)),"")</f>
        <v/>
      </c>
    </row>
    <row r="40" spans="1:5" x14ac:dyDescent="0.25">
      <c r="A40" s="79" t="s">
        <v>223</v>
      </c>
      <c r="B40" s="122" t="str">
        <f>IF(NOT(ISBLANK('Bond Input'!D53)),'Bond Input'!D53,"")</f>
        <v/>
      </c>
      <c r="C40" s="122"/>
      <c r="D40" s="77" t="str">
        <f ca="1">IFERROR(INDEX(Validation!G:G,MATCH("Bond 2"&amp;CELL("address",D40),Validation!I:I,0)),"")</f>
        <v/>
      </c>
      <c r="E40" s="66" t="str">
        <f ca="1">IFERROR(INDEX(Validation!F:F,MATCH("Bond 2"&amp;CELL("address",D40),Validation!I:I,0)),"")</f>
        <v/>
      </c>
    </row>
    <row r="41" spans="1:5" x14ac:dyDescent="0.25">
      <c r="A41" s="79" t="s">
        <v>1191</v>
      </c>
      <c r="B41" s="122" t="str">
        <f>IF(NOT(ISBLANK('Bond Input'!D55)),'Bond Input'!D55,"")</f>
        <v/>
      </c>
      <c r="C41" s="122"/>
      <c r="D41" s="77" t="str">
        <f ca="1">IFERROR(INDEX(Validation!G:G,MATCH("Bond 2"&amp;CELL("address",D41),Validation!I:I,0)),"")</f>
        <v/>
      </c>
      <c r="E41" s="66" t="str">
        <f ca="1">IFERROR(INDEX(Validation!F:F,MATCH("Bond 2"&amp;CELL("address",D41),Validation!I:I,0)),"")</f>
        <v/>
      </c>
    </row>
    <row r="42" spans="1:5" x14ac:dyDescent="0.25">
      <c r="A42" s="79" t="s">
        <v>1192</v>
      </c>
      <c r="B42" s="122" t="str">
        <f>IF(NOT(ISBLANK('Bond Input'!D57)),'Bond Input'!D57,"")</f>
        <v/>
      </c>
      <c r="C42" s="122"/>
      <c r="D42" s="77" t="str">
        <f ca="1">IFERROR(INDEX(Validation!G:G,MATCH("Bond 2"&amp;CELL("address",D42),Validation!I:I,0)),"")</f>
        <v/>
      </c>
      <c r="E42" s="66" t="str">
        <f ca="1">IFERROR(INDEX(Validation!F:F,MATCH("Bond 2"&amp;CELL("address",D42),Validation!I:I,0)),"")</f>
        <v/>
      </c>
    </row>
    <row r="43" spans="1:5" ht="20.100000000000001" customHeight="1" x14ac:dyDescent="0.25">
      <c r="A43" s="74" t="str">
        <f>"Principal and Interest Due in "&amp;Year_DestinationYearID+1</f>
        <v>Principal and Interest Due in 2025</v>
      </c>
      <c r="B43" s="128"/>
      <c r="C43" s="128"/>
      <c r="D43" s="77"/>
    </row>
    <row r="44" spans="1:5" x14ac:dyDescent="0.25">
      <c r="A44" s="79" t="str">
        <f>"Principal Due in "&amp;Year_DestinationYearID+1</f>
        <v>Principal Due in 2025</v>
      </c>
      <c r="B44" s="122"/>
      <c r="C44" s="128"/>
      <c r="D44" s="77" t="str">
        <f ca="1">IFERROR(INDEX(Validation!G:G,MATCH("Bond 2"&amp;CELL("address",D44),Validation!I:I,0)),"")</f>
        <v/>
      </c>
      <c r="E44" s="66" t="str">
        <f ca="1">IFERROR(INDEX(Validation!F:F,MATCH("Bond 2"&amp;CELL("address",D44),Validation!I:I,0)),"")</f>
        <v/>
      </c>
    </row>
    <row r="45" spans="1:5" x14ac:dyDescent="0.25">
      <c r="A45" s="79" t="str">
        <f>"Interest Due in "&amp;Year_DestinationYearID+1</f>
        <v>Interest Due in 2025</v>
      </c>
      <c r="B45" s="122"/>
      <c r="C45" s="128"/>
      <c r="D45" s="77" t="str">
        <f ca="1">IFERROR(INDEX(Validation!G:G,MATCH("Bond 2"&amp;CELL("address",D45),Validation!I:I,0)),"")</f>
        <v/>
      </c>
      <c r="E45" s="66" t="str">
        <f ca="1">IFERROR(INDEX(Validation!F:F,MATCH("Bond 2"&amp;CELL("address",D45),Validation!I:I,0)),"")</f>
        <v/>
      </c>
    </row>
    <row r="46" spans="1:5" ht="20.100000000000001" customHeight="1" x14ac:dyDescent="0.25">
      <c r="A46" s="97" t="s">
        <v>176</v>
      </c>
      <c r="D46" s="77" t="str">
        <f ca="1">IF(AND(ISBLANK(A47),OR(COUNTIF(E6:E45,"Alert")&gt;0,SUM(B38:B38)&lt;&gt;0)),"Comment(s) required for remaining alert(s) and/or additions/reductions to principal.",IFERROR(INDEX(Validation!G:G,MATCH("Bond 2"&amp;CELL("address",D47),Validation!I:I,0)),""))</f>
        <v/>
      </c>
      <c r="E46" s="66" t="str">
        <f ca="1">IF(AND(ISBLANK(A47),OR(COUNTIF(E6:E45,"Alert")&gt;0,SUM(B38:B38)&lt;&gt;0)),"Error",IFERROR(INDEX(Validation!F:F,MATCH("Bond 2"&amp;CELL("address",D47),Validation!I:I,0)),""))</f>
        <v/>
      </c>
    </row>
    <row r="47" spans="1:5" ht="150" customHeight="1" x14ac:dyDescent="0.25">
      <c r="A47" s="123"/>
      <c r="B47" s="100" t="str">
        <f>HYPERLINK("#'Bonds'!B6","Click here to return to the Bonds Tab")</f>
        <v>Click here to return to the Bonds Tab</v>
      </c>
      <c r="C47" s="127"/>
    </row>
    <row r="48" spans="1:5" x14ac:dyDescent="0.25">
      <c r="A48" s="98"/>
      <c r="B48" s="98"/>
      <c r="C48" s="98"/>
    </row>
    <row r="49" spans="1:3" x14ac:dyDescent="0.25">
      <c r="A49" s="98"/>
      <c r="B49" s="98"/>
      <c r="C49" s="98"/>
    </row>
    <row r="50" spans="1:3" x14ac:dyDescent="0.25">
      <c r="A50" s="98"/>
      <c r="B50" s="98"/>
      <c r="C50" s="98"/>
    </row>
    <row r="51" spans="1:3" x14ac:dyDescent="0.25">
      <c r="A51" s="98"/>
      <c r="B51" s="98"/>
      <c r="C51" s="98"/>
    </row>
  </sheetData>
  <sheetProtection algorithmName="SHA-512" hashValue="tlog9M10RBlhbclModFWluIARyAgj6RFfYuxC8QG0KZc9z6kzhcUgIt9V6GVe/FT6pTo8MjHTxFWVx+KjCnA2Q==" saltValue="y9H3xKvtrImmPG9jqaUPLw==" spinCount="100000" sheet="1" objects="1" scenarios="1"/>
  <mergeCells count="1">
    <mergeCell ref="A4:E4"/>
  </mergeCells>
  <conditionalFormatting sqref="A2 D6:E46">
    <cfRule type="expression" dxfId="458" priority="6">
      <formula>$E2="Exclude"</formula>
    </cfRule>
  </conditionalFormatting>
  <conditionalFormatting sqref="A2">
    <cfRule type="expression" dxfId="457" priority="4">
      <formula>$E2="Error"</formula>
    </cfRule>
  </conditionalFormatting>
  <conditionalFormatting sqref="D6:E46">
    <cfRule type="expression" dxfId="455" priority="1">
      <formula>$E6="Information"</formula>
    </cfRule>
    <cfRule type="expression" dxfId="454" priority="2">
      <formula>$E6="Error"</formula>
    </cfRule>
    <cfRule type="expression" dxfId="453" priority="3">
      <formula>$E6="Alert"</formula>
    </cfRule>
  </conditionalFormatting>
  <dataValidations count="2">
    <dataValidation type="list" allowBlank="1" showInputMessage="1" showErrorMessage="1" sqref="B9:C11 B20:C20" xr:uid="{50C8E7E0-814B-4A1F-99D2-0AF6BA8AD132}">
      <formula1>SelOneYesNo</formula1>
    </dataValidation>
    <dataValidation type="list" allowBlank="1" showInputMessage="1" showErrorMessage="1" sqref="B8:C8" xr:uid="{F1123AAA-7C2C-4AC9-99B8-CD6E2D318BD7}">
      <formula1>BondType</formula1>
    </dataValidation>
  </dataValidations>
  <pageMargins left="0.7" right="0.7" top="0.75" bottom="0.75" header="0.3" footer="0.3"/>
  <pageSetup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5" id="{1D8D9701-83FE-4AFF-972D-AE4F6B367911}">
            <xm:f>COUNTIFS(Validation!$H:$H,MID(CELL("filename",A2),FIND("]",CELL("filename",A2))+1,255)&amp;CELL("address",A2))&gt;0</xm:f>
            <x14:dxf>
              <font>
                <b/>
                <i val="0"/>
                <color rgb="FFC00000"/>
              </font>
              <numFmt numFmtId="172" formatCode="_(\!* #,##0_);_(\!* \(#,##0\);_(\!* \-??_);_(\!\ @_)"/>
            </x14:dxf>
          </x14:cfRule>
          <xm:sqref>A2</xm:sqref>
        </x14:conditionalFormatting>
      </x14:conditionalFormatting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75DDB5-4F29-4DCA-9CA0-3D887E2B7095}">
  <sheetPr>
    <tabColor rgb="FFEED382"/>
  </sheetPr>
  <dimension ref="A1:F51"/>
  <sheetViews>
    <sheetView showGridLines="0" zoomScaleNormal="100" workbookViewId="0">
      <selection activeCell="B7" sqref="B7"/>
    </sheetView>
  </sheetViews>
  <sheetFormatPr defaultRowHeight="15" x14ac:dyDescent="0.25"/>
  <cols>
    <col min="1" max="1" width="55.7109375" style="66" customWidth="1"/>
    <col min="2" max="3" width="20.7109375" style="66" customWidth="1"/>
    <col min="4" max="4" width="80.85546875" style="66" customWidth="1"/>
    <col min="5" max="5" width="14.7109375" style="66" customWidth="1"/>
    <col min="6" max="6" width="0" style="78" hidden="1" customWidth="1"/>
    <col min="7" max="16384" width="9.140625" style="66"/>
  </cols>
  <sheetData>
    <row r="1" spans="1:6" s="59" customFormat="1" ht="24.95" customHeight="1" x14ac:dyDescent="0.25">
      <c r="A1" s="59" t="str">
        <f>_xlfn.CONCAT("Office of the State Auditor  -  TIF Annual Reporting Form  -  ",Year_DestinationYearID)</f>
        <v>Office of the State Auditor  -  TIF Annual Reporting Form  -  2024</v>
      </c>
      <c r="F1" s="61"/>
    </row>
    <row r="2" spans="1:6" s="62" customFormat="1" ht="20.100000000000001" customHeight="1" x14ac:dyDescent="0.25">
      <c r="A2" s="58" t="str">
        <f>_xlfn.CONCAT(GovEntity_GovEntityName_Parent,"  -  ",GovEntity_GovEntityName)</f>
        <v>Spruce City  -  TIF 1-1 Downtown Redev</v>
      </c>
      <c r="F2" s="64"/>
    </row>
    <row r="3" spans="1:6" s="68" customFormat="1" ht="24.95" customHeight="1" x14ac:dyDescent="0.3">
      <c r="A3" s="65" t="s">
        <v>206</v>
      </c>
      <c r="B3" s="66"/>
      <c r="C3" s="66"/>
      <c r="F3" s="69"/>
    </row>
    <row r="4" spans="1:6" s="71" customFormat="1" x14ac:dyDescent="0.25">
      <c r="A4" s="217" t="s">
        <v>207</v>
      </c>
      <c r="B4" s="217"/>
      <c r="C4" s="217"/>
      <c r="D4" s="217"/>
      <c r="E4" s="217"/>
      <c r="F4" s="72" t="s">
        <v>119</v>
      </c>
    </row>
    <row r="5" spans="1:6" s="74" customFormat="1" ht="20.100000000000001" customHeight="1" x14ac:dyDescent="0.25">
      <c r="A5" s="73" t="str">
        <f>HYPERLINK("#'Bonds'!B6","Click here to return to the Bonds Tab")</f>
        <v>Click here to return to the Bonds Tab</v>
      </c>
      <c r="D5" s="74" t="s">
        <v>121</v>
      </c>
      <c r="E5" s="74" t="s">
        <v>102</v>
      </c>
      <c r="F5" s="76"/>
    </row>
    <row r="6" spans="1:6" ht="20.100000000000001" customHeight="1" x14ac:dyDescent="0.25">
      <c r="A6" s="74" t="s">
        <v>208</v>
      </c>
      <c r="D6" s="77" t="str">
        <f ca="1">IFERROR(INDEX(Validation!G:G,MATCH("Bond 3"&amp;CELL("address",D6),Validation!I:I,0)),"")</f>
        <v/>
      </c>
      <c r="E6" s="66" t="str">
        <f ca="1">IFERROR(INDEX(Validation!F:F,MATCH("Bond 3"&amp;CELL("address",D6),Validation!I:I,0)),"")</f>
        <v/>
      </c>
      <c r="F6" s="78" t="s">
        <v>1008</v>
      </c>
    </row>
    <row r="7" spans="1:6" x14ac:dyDescent="0.25">
      <c r="A7" s="79" t="s">
        <v>210</v>
      </c>
      <c r="B7" s="103" t="str">
        <f>IF(NOT(ISBLANK('Bond Input'!E5)),'Bond Input'!E5,"")</f>
        <v/>
      </c>
      <c r="D7" s="77" t="str">
        <f ca="1">IFERROR(INDEX(Validation!G:G,MATCH("Bond 3"&amp;CELL("address",D7),Validation!I:I,0)),"")</f>
        <v/>
      </c>
      <c r="E7" s="66" t="str">
        <f ca="1">IFERROR(INDEX(Validation!F:F,MATCH("Bond 3"&amp;CELL("address",D7),Validation!I:I,0)),"")</f>
        <v/>
      </c>
      <c r="F7" s="85" t="str">
        <f>IF(NOT(ISBLANK('Bond Input'!E4)),'Bond Input'!E4,"")</f>
        <v/>
      </c>
    </row>
    <row r="8" spans="1:6" x14ac:dyDescent="0.25">
      <c r="A8" s="79" t="s">
        <v>209</v>
      </c>
      <c r="B8" s="103" t="str">
        <f>IF(NOT(ISBLANK('Bond Input'!E6)),'Bond Input'!E6,"Select One")</f>
        <v>Select One</v>
      </c>
      <c r="D8" s="77" t="str">
        <f ca="1">IFERROR(INDEX(Validation!G:G,MATCH("Bond 3"&amp;CELL("address",D8),Validation!I:I,0)),"")</f>
        <v/>
      </c>
      <c r="E8" s="66" t="str">
        <f ca="1">IFERROR(INDEX(Validation!F:F,MATCH("Bond 3"&amp;CELL("address",D8),Validation!I:I,0)),"")</f>
        <v/>
      </c>
    </row>
    <row r="9" spans="1:6" x14ac:dyDescent="0.25">
      <c r="A9" s="79" t="s">
        <v>227</v>
      </c>
      <c r="B9" s="103" t="str">
        <f>IF(NOT(ISBLANK('Bond Input'!E7)),'Bond Input'!E7,"Select One")</f>
        <v>Select One</v>
      </c>
      <c r="D9" s="77" t="str">
        <f ca="1">IFERROR(INDEX(Validation!G:G,MATCH("Bond 3"&amp;CELL("address",D9),Validation!I:I,0)),"")</f>
        <v/>
      </c>
      <c r="E9" s="66" t="str">
        <f ca="1">IFERROR(INDEX(Validation!F:F,MATCH("Bond 3"&amp;CELL("address",D9),Validation!I:I,0)),"")</f>
        <v/>
      </c>
    </row>
    <row r="10" spans="1:6" x14ac:dyDescent="0.25">
      <c r="A10" s="79" t="s">
        <v>228</v>
      </c>
      <c r="B10" s="103" t="str">
        <f>IF(NOT(ISBLANK('Bond Input'!E8)),'Bond Input'!E8,"Select One")</f>
        <v>Select One</v>
      </c>
      <c r="D10" s="77" t="str">
        <f ca="1">IFERROR(INDEX(Validation!G:G,MATCH("Bond 3"&amp;CELL("address",D10),Validation!I:I,0)),"")</f>
        <v/>
      </c>
      <c r="E10" s="66" t="str">
        <f ca="1">IFERROR(INDEX(Validation!F:F,MATCH("Bond 3"&amp;CELL("address",D10),Validation!I:I,0)),"")</f>
        <v/>
      </c>
    </row>
    <row r="11" spans="1:6" x14ac:dyDescent="0.25">
      <c r="A11" s="79" t="s">
        <v>229</v>
      </c>
      <c r="B11" s="103" t="str">
        <f>IF(NOT(ISBLANK('Bond Input'!E9)),'Bond Input'!E9,"Select One")</f>
        <v>Select One</v>
      </c>
      <c r="D11" s="77" t="str">
        <f ca="1">IFERROR(INDEX(Validation!G:G,MATCH("Bond 3"&amp;CELL("address",D11),Validation!I:I,0)),"")</f>
        <v/>
      </c>
      <c r="E11" s="66" t="str">
        <f ca="1">IFERROR(INDEX(Validation!F:F,MATCH("Bond 3"&amp;CELL("address",D11),Validation!I:I,0)),"")</f>
        <v/>
      </c>
    </row>
    <row r="12" spans="1:6" x14ac:dyDescent="0.25">
      <c r="A12" s="79" t="s">
        <v>211</v>
      </c>
      <c r="B12" s="120" t="str">
        <f>IF(NOT(ISBLANK('Bond Input'!E10)),'Bond Input'!E10,"")</f>
        <v/>
      </c>
      <c r="C12" s="129"/>
      <c r="D12" s="77" t="str">
        <f ca="1">IFERROR(INDEX(Validation!G:G,MATCH("Bond 3"&amp;CELL("address",D12),Validation!I:I,0)),"")</f>
        <v/>
      </c>
      <c r="E12" s="66" t="str">
        <f ca="1">IFERROR(INDEX(Validation!F:F,MATCH("Bond 3"&amp;CELL("address",D12),Validation!I:I,0)),"")</f>
        <v/>
      </c>
    </row>
    <row r="13" spans="1:6" x14ac:dyDescent="0.25">
      <c r="A13" s="79" t="s">
        <v>212</v>
      </c>
      <c r="B13" s="120" t="str">
        <f>IF(NOT(ISBLANK('Bond Input'!E11)),'Bond Input'!E11,"")</f>
        <v/>
      </c>
      <c r="C13" s="129"/>
      <c r="D13" s="77" t="str">
        <f ca="1">IFERROR(INDEX(Validation!G:G,MATCH("Bond 3"&amp;CELL("address",D13),Validation!I:I,0)),"")</f>
        <v/>
      </c>
      <c r="E13" s="66" t="str">
        <f ca="1">IFERROR(INDEX(Validation!F:F,MATCH("Bond 3"&amp;CELL("address",D13),Validation!I:I,0)),"")</f>
        <v/>
      </c>
    </row>
    <row r="14" spans="1:6" x14ac:dyDescent="0.25">
      <c r="A14" s="79" t="s">
        <v>213</v>
      </c>
      <c r="B14" s="121" t="str">
        <f>IF(NOT(ISBLANK('Bond Input'!E12)),'Bond Input'!E12,"")</f>
        <v/>
      </c>
      <c r="C14" s="132"/>
      <c r="D14" s="77" t="str">
        <f ca="1">IFERROR(INDEX(Validation!G:G,MATCH("Bond 3"&amp;CELL("address",D14),Validation!I:I,0)),"")</f>
        <v/>
      </c>
      <c r="E14" s="66" t="str">
        <f ca="1">IFERROR(INDEX(Validation!F:F,MATCH("Bond 3"&amp;CELL("address",D14),Validation!I:I,0)),"")</f>
        <v/>
      </c>
    </row>
    <row r="15" spans="1:6" x14ac:dyDescent="0.25">
      <c r="A15" s="79" t="s">
        <v>214</v>
      </c>
      <c r="B15" s="121" t="str">
        <f>IF(NOT(ISBLANK('Bond Input'!E13)),'Bond Input'!E13,"")</f>
        <v/>
      </c>
      <c r="C15" s="132"/>
      <c r="D15" s="77" t="str">
        <f ca="1">IFERROR(INDEX(Validation!G:G,MATCH("Bond 3"&amp;CELL("address",D15),Validation!I:I,0)),"")</f>
        <v/>
      </c>
      <c r="E15" s="66" t="str">
        <f ca="1">IFERROR(INDEX(Validation!F:F,MATCH("Bond 3"&amp;CELL("address",D15),Validation!I:I,0)),"")</f>
        <v/>
      </c>
    </row>
    <row r="16" spans="1:6" x14ac:dyDescent="0.25">
      <c r="A16" s="79" t="s">
        <v>535</v>
      </c>
      <c r="B16" s="122" t="str">
        <f>IF(NOT(ISBLANK('Bond Input'!E14)),'Bond Input'!E14,"")</f>
        <v/>
      </c>
      <c r="C16" s="128"/>
      <c r="D16" s="77" t="str">
        <f ca="1">IFERROR(INDEX(Validation!G:G,MATCH("Bond 3"&amp;CELL("address",D16),Validation!I:I,0)),"")</f>
        <v/>
      </c>
      <c r="E16" s="66" t="str">
        <f ca="1">IFERROR(INDEX(Validation!F:F,MATCH("Bond 3"&amp;CELL("address",D16),Validation!I:I,0)),"")</f>
        <v/>
      </c>
    </row>
    <row r="17" spans="1:5" x14ac:dyDescent="0.25">
      <c r="A17" s="79" t="s">
        <v>230</v>
      </c>
      <c r="B17" s="122" t="str">
        <f>IF(NOT(ISBLANK('Bond Input'!E15)),'Bond Input'!E15,"")</f>
        <v/>
      </c>
      <c r="C17" s="128"/>
      <c r="D17" s="77" t="str">
        <f ca="1">IFERROR(INDEX(Validation!G:G,MATCH("Bond 3"&amp;CELL("address",D17),Validation!I:I,0)),"")</f>
        <v/>
      </c>
      <c r="E17" s="66" t="str">
        <f ca="1">IFERROR(INDEX(Validation!F:F,MATCH("Bond 3"&amp;CELL("address",D17),Validation!I:I,0)),"")</f>
        <v/>
      </c>
    </row>
    <row r="18" spans="1:5" x14ac:dyDescent="0.25">
      <c r="A18" s="79" t="s">
        <v>231</v>
      </c>
      <c r="B18" s="122" t="str">
        <f>IF(NOT(ISBLANK('Bond Input'!E16)),'Bond Input'!E16,"")</f>
        <v/>
      </c>
      <c r="C18" s="128"/>
      <c r="D18" s="77" t="str">
        <f ca="1">IFERROR(INDEX(Validation!G:G,MATCH("Bond 3"&amp;CELL("address",D18),Validation!I:I,0)),"")</f>
        <v/>
      </c>
      <c r="E18" s="66" t="str">
        <f ca="1">IFERROR(INDEX(Validation!F:F,MATCH("Bond 3"&amp;CELL("address",D18),Validation!I:I,0)),"")</f>
        <v/>
      </c>
    </row>
    <row r="19" spans="1:5" x14ac:dyDescent="0.25">
      <c r="A19" s="79" t="s">
        <v>216</v>
      </c>
      <c r="B19" s="122" t="str">
        <f>IF(NOT(ISBLANK('Bond Input'!E17)),'Bond Input'!E17,"")</f>
        <v/>
      </c>
      <c r="C19" s="128"/>
      <c r="D19" s="77" t="str">
        <f ca="1">IFERROR(INDEX(Validation!G:G,MATCH("Bond 3"&amp;CELL("address",D19),Validation!I:I,0)),"")</f>
        <v/>
      </c>
      <c r="E19" s="66" t="str">
        <f ca="1">IFERROR(INDEX(Validation!F:F,MATCH("Bond 3"&amp;CELL("address",D19),Validation!I:I,0)),"")</f>
        <v/>
      </c>
    </row>
    <row r="20" spans="1:5" x14ac:dyDescent="0.25">
      <c r="A20" s="79" t="s">
        <v>232</v>
      </c>
      <c r="B20" s="103" t="str">
        <f>IF(ISBLANK('Bond Input'!E18),"Select One",IF('Bond Input'!E18=TRUE,"Yes","No"))</f>
        <v>Select One</v>
      </c>
      <c r="D20" s="77" t="str">
        <f ca="1">IFERROR(INDEX(Validation!G:G,MATCH("Bond 3"&amp;CELL("address",D20),Validation!I:I,0)),"")</f>
        <v/>
      </c>
      <c r="E20" s="66" t="str">
        <f ca="1">IFERROR(INDEX(Validation!F:F,MATCH("Bond 3"&amp;CELL("address",D20),Validation!I:I,0)),"")</f>
        <v/>
      </c>
    </row>
    <row r="21" spans="1:5" ht="20.100000000000001" customHeight="1" x14ac:dyDescent="0.25">
      <c r="A21" s="74" t="s">
        <v>1183</v>
      </c>
      <c r="B21" s="74" t="s">
        <v>283</v>
      </c>
      <c r="C21" s="74" t="str">
        <f>Year_DestinationYearID&amp;" Amount"</f>
        <v>2024 Amount</v>
      </c>
      <c r="D21" s="77" t="str">
        <f ca="1">IFERROR(INDEX(Validation!G:G,MATCH("Bond 3"&amp;CELL("address",D21),Validation!I:I,0)),"")</f>
        <v/>
      </c>
      <c r="E21" s="66" t="str">
        <f ca="1">IFERROR(INDEX(Validation!F:F,MATCH("Bond 3"&amp;CELL("address",D21),Validation!I:I,0)),"")</f>
        <v/>
      </c>
    </row>
    <row r="22" spans="1:5" x14ac:dyDescent="0.25">
      <c r="A22" s="79" t="s">
        <v>266</v>
      </c>
      <c r="B22" s="122" t="str">
        <f>IF(NOT(ISBLANK('Bond Input'!E19)),'Bond Input'!E19,"")</f>
        <v/>
      </c>
      <c r="C22" s="122"/>
      <c r="D22" s="77" t="str">
        <f ca="1">IFERROR(INDEX(Validation!G:G,MATCH("Bond 3"&amp;CELL("address",D22),Validation!I:I,0)),"")</f>
        <v/>
      </c>
      <c r="E22" s="66" t="str">
        <f ca="1">IFERROR(INDEX(Validation!F:F,MATCH("Bond 3"&amp;CELL("address",D22),Validation!I:I,0)),"")</f>
        <v/>
      </c>
    </row>
    <row r="23" spans="1:5" x14ac:dyDescent="0.25">
      <c r="A23" s="79" t="s">
        <v>267</v>
      </c>
      <c r="B23" s="122" t="str">
        <f>IF(NOT(ISBLANK('Bond Input'!E21)),'Bond Input'!E21,"")</f>
        <v/>
      </c>
      <c r="C23" s="122"/>
      <c r="D23" s="77" t="str">
        <f ca="1">IFERROR(INDEX(Validation!G:G,MATCH("Bond 3"&amp;CELL("address",D23),Validation!I:I,0)),"")</f>
        <v/>
      </c>
      <c r="E23" s="66" t="str">
        <f ca="1">IFERROR(INDEX(Validation!F:F,MATCH("Bond 3"&amp;CELL("address",D23),Validation!I:I,0)),"")</f>
        <v/>
      </c>
    </row>
    <row r="24" spans="1:5" x14ac:dyDescent="0.25">
      <c r="A24" s="79" t="s">
        <v>268</v>
      </c>
      <c r="B24" s="122" t="str">
        <f>IF(NOT(ISBLANK('Bond Input'!E23)),'Bond Input'!E23,"")</f>
        <v/>
      </c>
      <c r="C24" s="122"/>
      <c r="D24" s="77" t="str">
        <f ca="1">IFERROR(INDEX(Validation!G:G,MATCH("Bond 3"&amp;CELL("address",D24),Validation!I:I,0)),"")</f>
        <v/>
      </c>
      <c r="E24" s="66" t="str">
        <f ca="1">IFERROR(INDEX(Validation!F:F,MATCH("Bond 3"&amp;CELL("address",D24),Validation!I:I,0)),"")</f>
        <v/>
      </c>
    </row>
    <row r="25" spans="1:5" x14ac:dyDescent="0.25">
      <c r="A25" s="79" t="s">
        <v>269</v>
      </c>
      <c r="B25" s="122" t="str">
        <f>IF(NOT(ISBLANK('Bond Input'!E25)),'Bond Input'!E25,"")</f>
        <v/>
      </c>
      <c r="C25" s="122"/>
      <c r="D25" s="77" t="str">
        <f ca="1">IFERROR(INDEX(Validation!G:G,MATCH("Bond 3"&amp;CELL("address",D25),Validation!I:I,0)),"")</f>
        <v/>
      </c>
      <c r="E25" s="66" t="str">
        <f ca="1">IFERROR(INDEX(Validation!F:F,MATCH("Bond 3"&amp;CELL("address",D25),Validation!I:I,0)),"")</f>
        <v/>
      </c>
    </row>
    <row r="26" spans="1:5" x14ac:dyDescent="0.25">
      <c r="A26" s="79" t="s">
        <v>1101</v>
      </c>
      <c r="B26" s="122" t="str">
        <f>IF(NOT(ISBLANK('Bond Input'!E27)),'Bond Input'!E27,"")</f>
        <v/>
      </c>
      <c r="C26" s="122"/>
      <c r="D26" s="77" t="str">
        <f ca="1">IFERROR(INDEX(Validation!G:G,MATCH("Bond 3"&amp;CELL("address",D26),Validation!I:I,0)),"")</f>
        <v/>
      </c>
      <c r="E26" s="66" t="str">
        <f ca="1">IFERROR(INDEX(Validation!F:F,MATCH("Bond 3"&amp;CELL("address",D26),Validation!I:I,0)),"")</f>
        <v/>
      </c>
    </row>
    <row r="27" spans="1:5" x14ac:dyDescent="0.25">
      <c r="A27" s="79" t="s">
        <v>270</v>
      </c>
      <c r="B27" s="122" t="str">
        <f>IF(NOT(ISBLANK('Bond Input'!E29)),'Bond Input'!E29,"")</f>
        <v/>
      </c>
      <c r="C27" s="122"/>
      <c r="D27" s="77" t="str">
        <f ca="1">IFERROR(INDEX(Validation!G:G,MATCH("Bond 3"&amp;CELL("address",D27),Validation!I:I,0)),"")</f>
        <v/>
      </c>
      <c r="E27" s="66" t="str">
        <f ca="1">IFERROR(INDEX(Validation!F:F,MATCH("Bond 3"&amp;CELL("address",D27),Validation!I:I,0)),"")</f>
        <v/>
      </c>
    </row>
    <row r="28" spans="1:5" x14ac:dyDescent="0.25">
      <c r="A28" s="79" t="s">
        <v>271</v>
      </c>
      <c r="B28" s="122" t="str">
        <f>IF(NOT(ISBLANK('Bond Input'!E31)),'Bond Input'!E31,"")</f>
        <v/>
      </c>
      <c r="C28" s="122"/>
      <c r="D28" s="77" t="str">
        <f ca="1">IFERROR(INDEX(Validation!G:G,MATCH("Bond 3"&amp;CELL("address",D28),Validation!I:I,0)),"")</f>
        <v/>
      </c>
      <c r="E28" s="66" t="str">
        <f ca="1">IFERROR(INDEX(Validation!F:F,MATCH("Bond 3"&amp;CELL("address",D28),Validation!I:I,0)),"")</f>
        <v/>
      </c>
    </row>
    <row r="29" spans="1:5" x14ac:dyDescent="0.25">
      <c r="A29" s="79" t="s">
        <v>272</v>
      </c>
      <c r="B29" s="122" t="str">
        <f>IF(NOT(ISBLANK('Bond Input'!E33)),'Bond Input'!E33,"")</f>
        <v/>
      </c>
      <c r="C29" s="122"/>
      <c r="D29" s="77" t="str">
        <f ca="1">IFERROR(INDEX(Validation!G:G,MATCH("Bond 3"&amp;CELL("address",D29),Validation!I:I,0)),"")</f>
        <v/>
      </c>
      <c r="E29" s="66" t="str">
        <f ca="1">IFERROR(INDEX(Validation!F:F,MATCH("Bond 3"&amp;CELL("address",D29),Validation!I:I,0)),"")</f>
        <v/>
      </c>
    </row>
    <row r="30" spans="1:5" x14ac:dyDescent="0.25">
      <c r="A30" s="79" t="s">
        <v>273</v>
      </c>
      <c r="B30" s="122" t="str">
        <f>IF(NOT(ISBLANK('Bond Input'!E35)),'Bond Input'!E35,"")</f>
        <v/>
      </c>
      <c r="C30" s="122"/>
      <c r="D30" s="77" t="str">
        <f ca="1">IFERROR(INDEX(Validation!G:G,MATCH("Bond 3"&amp;CELL("address",D30),Validation!I:I,0)),"")</f>
        <v/>
      </c>
      <c r="E30" s="66" t="str">
        <f ca="1">IFERROR(INDEX(Validation!F:F,MATCH("Bond 3"&amp;CELL("address",D30),Validation!I:I,0)),"")</f>
        <v/>
      </c>
    </row>
    <row r="31" spans="1:5" x14ac:dyDescent="0.25">
      <c r="A31" s="130" t="s">
        <v>1184</v>
      </c>
      <c r="B31" s="125">
        <f>SUM(B22:B30)</f>
        <v>0</v>
      </c>
      <c r="C31" s="125">
        <f>SUM(C22:C30)</f>
        <v>0</v>
      </c>
      <c r="D31" s="77" t="str">
        <f ca="1">IFERROR(INDEX(Validation!G:G,MATCH("Bond 3"&amp;CELL("address",D31),Validation!I:I,0)),"")</f>
        <v/>
      </c>
      <c r="E31" s="66" t="str">
        <f ca="1">IFERROR(INDEX(Validation!F:F,MATCH("Bond 3"&amp;CELL("address",D31),Validation!I:I,0)),"")</f>
        <v/>
      </c>
    </row>
    <row r="32" spans="1:5" x14ac:dyDescent="0.25">
      <c r="A32" s="130" t="s">
        <v>1185</v>
      </c>
      <c r="B32" s="125">
        <f>IF(B16="",0,B16-B31)</f>
        <v>0</v>
      </c>
      <c r="C32" s="125">
        <f>IF(B16="",0,B16-B31-C31)</f>
        <v>0</v>
      </c>
      <c r="D32" s="77" t="str">
        <f ca="1">IFERROR(INDEX(Validation!G:G,MATCH("Bond 3"&amp;CELL("address",D32),Validation!I:I,0)),"")</f>
        <v/>
      </c>
      <c r="E32" s="66" t="str">
        <f ca="1">IFERROR(INDEX(Validation!F:F,MATCH("Bond 3"&amp;CELL("address",D32),Validation!I:I,0)),"")</f>
        <v/>
      </c>
    </row>
    <row r="33" spans="1:5" x14ac:dyDescent="0.25">
      <c r="A33" s="131" t="s">
        <v>1186</v>
      </c>
      <c r="B33" s="122" t="str">
        <f>IF(NOT(ISBLANK('Bond Input'!E41)),'Bond Input'!E41,"")</f>
        <v/>
      </c>
      <c r="C33" s="122"/>
      <c r="D33" s="77" t="str">
        <f ca="1">IFERROR(INDEX(Validation!G:G,MATCH("Bond 3"&amp;CELL("address",D33),Validation!I:I,0)),"")</f>
        <v/>
      </c>
      <c r="E33" s="66" t="str">
        <f ca="1">IFERROR(INDEX(Validation!F:F,MATCH("Bond 3"&amp;CELL("address",D33),Validation!I:I,0)),"")</f>
        <v/>
      </c>
    </row>
    <row r="34" spans="1:5" x14ac:dyDescent="0.25">
      <c r="A34" s="131" t="s">
        <v>1187</v>
      </c>
      <c r="B34" s="122" t="str">
        <f>IF(NOT(ISBLANK('Bond Input'!E43)),'Bond Input'!E43,"")</f>
        <v/>
      </c>
      <c r="C34" s="122"/>
      <c r="D34" s="77" t="str">
        <f ca="1">IFERROR(INDEX(Validation!G:G,MATCH("Bond 3"&amp;CELL("address",D34),Validation!I:I,0)),"")</f>
        <v/>
      </c>
      <c r="E34" s="66" t="str">
        <f ca="1">IFERROR(INDEX(Validation!F:F,MATCH("Bond 3"&amp;CELL("address",D34),Validation!I:I,0)),"")</f>
        <v/>
      </c>
    </row>
    <row r="35" spans="1:5" ht="20.100000000000001" customHeight="1" x14ac:dyDescent="0.25">
      <c r="A35" s="74" t="s">
        <v>684</v>
      </c>
      <c r="B35" s="74" t="s">
        <v>283</v>
      </c>
      <c r="C35" s="74" t="str">
        <f>Year_DestinationYearID&amp;" Amount"</f>
        <v>2024 Amount</v>
      </c>
      <c r="D35" s="77" t="str">
        <f ca="1">IFERROR(INDEX(Validation!G:G,MATCH("Bond 3"&amp;CELL("address",D35),Validation!I:I,0)),"")</f>
        <v/>
      </c>
      <c r="E35" s="66" t="str">
        <f ca="1">IFERROR(INDEX(Validation!F:F,MATCH("Bond 3"&amp;CELL("address",D35),Validation!I:I,0)),"")</f>
        <v/>
      </c>
    </row>
    <row r="36" spans="1:5" x14ac:dyDescent="0.25">
      <c r="A36" s="79" t="s">
        <v>1188</v>
      </c>
      <c r="B36" s="122" t="str">
        <f>IF(NOT(ISBLANK('Bond Input'!E45)),'Bond Input'!E45,"")</f>
        <v/>
      </c>
      <c r="C36" s="122"/>
      <c r="D36" s="77" t="str">
        <f ca="1">IFERROR(INDEX(Validation!G:G,MATCH("Bond 3"&amp;CELL("address",D36),Validation!I:I,0)),"")</f>
        <v/>
      </c>
      <c r="E36" s="66" t="str">
        <f ca="1">IFERROR(INDEX(Validation!F:F,MATCH("Bond 3"&amp;CELL("address",D36),Validation!I:I,0)),"")</f>
        <v/>
      </c>
    </row>
    <row r="37" spans="1:5" x14ac:dyDescent="0.25">
      <c r="A37" s="79" t="s">
        <v>1189</v>
      </c>
      <c r="B37" s="122" t="str">
        <f>IF(NOT(ISBLANK('Bond Input'!E47)),'Bond Input'!E47,"")</f>
        <v/>
      </c>
      <c r="C37" s="122"/>
      <c r="D37" s="77" t="str">
        <f ca="1">IFERROR(INDEX(Validation!G:G,MATCH("Bond 3"&amp;CELL("address",D37),Validation!I:I,0)),"")</f>
        <v/>
      </c>
      <c r="E37" s="66" t="str">
        <f ca="1">IFERROR(INDEX(Validation!F:F,MATCH("Bond 3"&amp;CELL("address",D37),Validation!I:I,0)),"")</f>
        <v/>
      </c>
    </row>
    <row r="38" spans="1:5" x14ac:dyDescent="0.25">
      <c r="A38" s="79" t="s">
        <v>1190</v>
      </c>
      <c r="B38" s="122" t="str">
        <f>IF(NOT(ISBLANK('Bond Input'!E49)),'Bond Input'!E49,"")</f>
        <v/>
      </c>
      <c r="C38" s="122"/>
      <c r="D38" s="77" t="str">
        <f ca="1">IFERROR(INDEX(Validation!G:G,MATCH("Bond 3"&amp;CELL("address",D38),Validation!I:I,0)),"")</f>
        <v/>
      </c>
      <c r="E38" s="66" t="str">
        <f ca="1">IFERROR(INDEX(Validation!F:F,MATCH("Bond 3"&amp;CELL("address",D38),Validation!I:I,0)),"")</f>
        <v/>
      </c>
    </row>
    <row r="39" spans="1:5" x14ac:dyDescent="0.25">
      <c r="A39" s="79" t="s">
        <v>221</v>
      </c>
      <c r="B39" s="125" t="str">
        <f>IFERROR(IF(B11="Yes","See Pooled Debt",IF(B8="Non-TIF Bond","NA/Non-TIF Bond",B16-B19-B36-B37+B38)),"")</f>
        <v/>
      </c>
      <c r="C39" s="125" t="str">
        <f>IFERROR(IF(B11="Yes","See Pooled Debt",IF(B8="Non-TIF Bond","NA/Non-TIF Bond",B16-B19-B36-B37-C36-C37+B38+C38)),"")</f>
        <v/>
      </c>
      <c r="D39" s="77" t="str">
        <f ca="1">IFERROR(INDEX(Validation!G:G,MATCH("Bond 3"&amp;CELL("address",D39),Validation!I:I,0)),"")</f>
        <v/>
      </c>
      <c r="E39" s="66" t="str">
        <f ca="1">IFERROR(INDEX(Validation!F:F,MATCH("Bond 3"&amp;CELL("address",D39),Validation!I:I,0)),"")</f>
        <v/>
      </c>
    </row>
    <row r="40" spans="1:5" x14ac:dyDescent="0.25">
      <c r="A40" s="79" t="s">
        <v>223</v>
      </c>
      <c r="B40" s="122" t="str">
        <f>IF(NOT(ISBLANK('Bond Input'!E53)),'Bond Input'!E53,"")</f>
        <v/>
      </c>
      <c r="C40" s="122"/>
      <c r="D40" s="77" t="str">
        <f ca="1">IFERROR(INDEX(Validation!G:G,MATCH("Bond 3"&amp;CELL("address",D40),Validation!I:I,0)),"")</f>
        <v/>
      </c>
      <c r="E40" s="66" t="str">
        <f ca="1">IFERROR(INDEX(Validation!F:F,MATCH("Bond 3"&amp;CELL("address",D40),Validation!I:I,0)),"")</f>
        <v/>
      </c>
    </row>
    <row r="41" spans="1:5" x14ac:dyDescent="0.25">
      <c r="A41" s="79" t="s">
        <v>1191</v>
      </c>
      <c r="B41" s="122" t="str">
        <f>IF(NOT(ISBLANK('Bond Input'!E55)),'Bond Input'!E55,"")</f>
        <v/>
      </c>
      <c r="C41" s="122"/>
      <c r="D41" s="77" t="str">
        <f ca="1">IFERROR(INDEX(Validation!G:G,MATCH("Bond 3"&amp;CELL("address",D41),Validation!I:I,0)),"")</f>
        <v/>
      </c>
      <c r="E41" s="66" t="str">
        <f ca="1">IFERROR(INDEX(Validation!F:F,MATCH("Bond 3"&amp;CELL("address",D41),Validation!I:I,0)),"")</f>
        <v/>
      </c>
    </row>
    <row r="42" spans="1:5" x14ac:dyDescent="0.25">
      <c r="A42" s="79" t="s">
        <v>1192</v>
      </c>
      <c r="B42" s="122" t="str">
        <f>IF(NOT(ISBLANK('Bond Input'!E57)),'Bond Input'!E57,"")</f>
        <v/>
      </c>
      <c r="C42" s="122"/>
      <c r="D42" s="77" t="str">
        <f ca="1">IFERROR(INDEX(Validation!G:G,MATCH("Bond 3"&amp;CELL("address",D42),Validation!I:I,0)),"")</f>
        <v/>
      </c>
      <c r="E42" s="66" t="str">
        <f ca="1">IFERROR(INDEX(Validation!F:F,MATCH("Bond 3"&amp;CELL("address",D42),Validation!I:I,0)),"")</f>
        <v/>
      </c>
    </row>
    <row r="43" spans="1:5" ht="20.100000000000001" customHeight="1" x14ac:dyDescent="0.25">
      <c r="A43" s="74" t="str">
        <f>"Principal and Interest Due in "&amp;Year_DestinationYearID+1</f>
        <v>Principal and Interest Due in 2025</v>
      </c>
      <c r="B43" s="128"/>
      <c r="C43" s="128"/>
      <c r="D43" s="77"/>
    </row>
    <row r="44" spans="1:5" x14ac:dyDescent="0.25">
      <c r="A44" s="79" t="str">
        <f>"Principal Due in "&amp;Year_DestinationYearID+1</f>
        <v>Principal Due in 2025</v>
      </c>
      <c r="B44" s="122"/>
      <c r="C44" s="128"/>
      <c r="D44" s="77" t="str">
        <f ca="1">IFERROR(INDEX(Validation!G:G,MATCH("Bond 3"&amp;CELL("address",D44),Validation!I:I,0)),"")</f>
        <v/>
      </c>
      <c r="E44" s="66" t="str">
        <f ca="1">IFERROR(INDEX(Validation!F:F,MATCH("Bond 3"&amp;CELL("address",D44),Validation!I:I,0)),"")</f>
        <v/>
      </c>
    </row>
    <row r="45" spans="1:5" x14ac:dyDescent="0.25">
      <c r="A45" s="79" t="str">
        <f>"Interest Due in "&amp;Year_DestinationYearID+1</f>
        <v>Interest Due in 2025</v>
      </c>
      <c r="B45" s="122"/>
      <c r="C45" s="128"/>
      <c r="D45" s="77" t="str">
        <f ca="1">IFERROR(INDEX(Validation!G:G,MATCH("Bond 3"&amp;CELL("address",D45),Validation!I:I,0)),"")</f>
        <v/>
      </c>
      <c r="E45" s="66" t="str">
        <f ca="1">IFERROR(INDEX(Validation!F:F,MATCH("Bond 3"&amp;CELL("address",D45),Validation!I:I,0)),"")</f>
        <v/>
      </c>
    </row>
    <row r="46" spans="1:5" ht="20.100000000000001" customHeight="1" x14ac:dyDescent="0.25">
      <c r="A46" s="97" t="s">
        <v>176</v>
      </c>
      <c r="D46" s="77" t="str">
        <f ca="1">IF(AND(ISBLANK(A47),OR(COUNTIF(E6:E45,"Alert")&gt;0,SUM(B38:B38)&lt;&gt;0)),"Comment(s) required for remaining alert(s) and/or additions/reductions to principal.",IFERROR(INDEX(Validation!G:G,MATCH("Bond 3"&amp;CELL("address",D47),Validation!I:I,0)),""))</f>
        <v/>
      </c>
      <c r="E46" s="66" t="str">
        <f ca="1">IF(AND(ISBLANK(A47),OR(COUNTIF(E6:E45,"Alert")&gt;0,SUM(B38:B38)&lt;&gt;0)),"Error",IFERROR(INDEX(Validation!F:F,MATCH("Bond 3"&amp;CELL("address",D47),Validation!I:I,0)),""))</f>
        <v/>
      </c>
    </row>
    <row r="47" spans="1:5" ht="150" customHeight="1" x14ac:dyDescent="0.25">
      <c r="A47" s="123"/>
      <c r="B47" s="100" t="str">
        <f>HYPERLINK("#'Bonds'!B6","Click here to return to the Bonds Tab")</f>
        <v>Click here to return to the Bonds Tab</v>
      </c>
      <c r="C47" s="127"/>
    </row>
    <row r="48" spans="1:5" x14ac:dyDescent="0.25">
      <c r="A48" s="98"/>
      <c r="B48" s="98"/>
      <c r="C48" s="98"/>
    </row>
    <row r="49" spans="1:3" x14ac:dyDescent="0.25">
      <c r="A49" s="98"/>
      <c r="B49" s="98"/>
      <c r="C49" s="98"/>
    </row>
    <row r="50" spans="1:3" x14ac:dyDescent="0.25">
      <c r="A50" s="98"/>
      <c r="B50" s="98"/>
      <c r="C50" s="98"/>
    </row>
    <row r="51" spans="1:3" x14ac:dyDescent="0.25">
      <c r="A51" s="98"/>
      <c r="B51" s="98"/>
      <c r="C51" s="98"/>
    </row>
  </sheetData>
  <sheetProtection algorithmName="SHA-512" hashValue="VSZZYB1vKiMUNHmt5KDTcG3t0gj0nWcdiai/BsceUc01xgGQRgDBVEfo1tmiysb3Ndw5f6q/+tZ6UHDfPeRiMA==" saltValue="GJQkVpWXhVMvOOoXma1Vgg==" spinCount="100000" sheet="1" objects="1" scenarios="1"/>
  <mergeCells count="1">
    <mergeCell ref="A4:E4"/>
  </mergeCells>
  <conditionalFormatting sqref="A2 D6:E46">
    <cfRule type="expression" dxfId="452" priority="6">
      <formula>$E2="Exclude"</formula>
    </cfRule>
  </conditionalFormatting>
  <conditionalFormatting sqref="A2">
    <cfRule type="expression" dxfId="451" priority="4">
      <formula>$E2="Error"</formula>
    </cfRule>
  </conditionalFormatting>
  <conditionalFormatting sqref="D6:E46">
    <cfRule type="expression" dxfId="449" priority="1">
      <formula>$E6="Information"</formula>
    </cfRule>
    <cfRule type="expression" dxfId="448" priority="2">
      <formula>$E6="Error"</formula>
    </cfRule>
    <cfRule type="expression" dxfId="447" priority="3">
      <formula>$E6="Alert"</formula>
    </cfRule>
  </conditionalFormatting>
  <dataValidations count="2">
    <dataValidation type="list" allowBlank="1" showInputMessage="1" showErrorMessage="1" sqref="B9:C11 B20:C20" xr:uid="{4199848C-FD0B-4CC3-982D-AA842A9C7573}">
      <formula1>SelOneYesNo</formula1>
    </dataValidation>
    <dataValidation type="list" allowBlank="1" showInputMessage="1" showErrorMessage="1" sqref="B8:C8" xr:uid="{A7E0E71A-CD4E-4876-97C8-FAA103E48CA8}">
      <formula1>BondType</formula1>
    </dataValidation>
  </dataValidations>
  <pageMargins left="0.7" right="0.7" top="0.75" bottom="0.75" header="0.3" footer="0.3"/>
  <pageSetup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5" id="{8EB4488B-AFD8-44CB-9D19-D06646FD9EED}">
            <xm:f>COUNTIFS(Validation!$H:$H,MID(CELL("filename",A2),FIND("]",CELL("filename",A2))+1,255)&amp;CELL("address",A2))&gt;0</xm:f>
            <x14:dxf>
              <font>
                <b/>
                <i val="0"/>
                <color rgb="FFC00000"/>
              </font>
              <numFmt numFmtId="172" formatCode="_(\!* #,##0_);_(\!* \(#,##0\);_(\!* \-??_);_(\!\ @_)"/>
            </x14:dxf>
          </x14:cfRule>
          <xm:sqref>A2</xm:sqref>
        </x14:conditionalFormatting>
      </x14:conditionalFormatting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00A240-8A80-44BB-A42A-E0B6A9D4A35F}">
  <sheetPr>
    <tabColor rgb="FFEED382"/>
  </sheetPr>
  <dimension ref="A1:F51"/>
  <sheetViews>
    <sheetView showGridLines="0" workbookViewId="0">
      <selection activeCell="B7" sqref="B7"/>
    </sheetView>
  </sheetViews>
  <sheetFormatPr defaultRowHeight="15" x14ac:dyDescent="0.25"/>
  <cols>
    <col min="1" max="1" width="55.7109375" style="66" customWidth="1"/>
    <col min="2" max="3" width="20.7109375" style="66" customWidth="1"/>
    <col min="4" max="4" width="80.85546875" style="66" customWidth="1"/>
    <col min="5" max="5" width="14.7109375" style="66" customWidth="1"/>
    <col min="6" max="6" width="0" style="78" hidden="1" customWidth="1"/>
    <col min="7" max="16384" width="9.140625" style="66"/>
  </cols>
  <sheetData>
    <row r="1" spans="1:6" s="59" customFormat="1" ht="24.95" customHeight="1" x14ac:dyDescent="0.25">
      <c r="A1" s="59" t="str">
        <f>_xlfn.CONCAT("Office of the State Auditor  -  TIF Annual Reporting Form  -  ",Year_DestinationYearID)</f>
        <v>Office of the State Auditor  -  TIF Annual Reporting Form  -  2024</v>
      </c>
      <c r="F1" s="61"/>
    </row>
    <row r="2" spans="1:6" s="62" customFormat="1" ht="20.100000000000001" customHeight="1" x14ac:dyDescent="0.25">
      <c r="A2" s="58" t="str">
        <f>_xlfn.CONCAT(GovEntity_GovEntityName_Parent,"  -  ",GovEntity_GovEntityName)</f>
        <v>Spruce City  -  TIF 1-1 Downtown Redev</v>
      </c>
      <c r="F2" s="64"/>
    </row>
    <row r="3" spans="1:6" s="68" customFormat="1" ht="24.95" customHeight="1" x14ac:dyDescent="0.3">
      <c r="A3" s="65" t="s">
        <v>206</v>
      </c>
      <c r="B3" s="66"/>
      <c r="C3" s="66"/>
      <c r="F3" s="69"/>
    </row>
    <row r="4" spans="1:6" s="71" customFormat="1" x14ac:dyDescent="0.25">
      <c r="A4" s="217" t="s">
        <v>207</v>
      </c>
      <c r="B4" s="217"/>
      <c r="C4" s="217"/>
      <c r="D4" s="217"/>
      <c r="E4" s="217"/>
      <c r="F4" s="72" t="s">
        <v>119</v>
      </c>
    </row>
    <row r="5" spans="1:6" s="74" customFormat="1" ht="20.100000000000001" customHeight="1" x14ac:dyDescent="0.25">
      <c r="A5" s="73" t="str">
        <f>HYPERLINK("#'Bonds'!B6","Click here to return to the Bonds Tab")</f>
        <v>Click here to return to the Bonds Tab</v>
      </c>
      <c r="D5" s="74" t="s">
        <v>121</v>
      </c>
      <c r="E5" s="74" t="s">
        <v>102</v>
      </c>
      <c r="F5" s="76"/>
    </row>
    <row r="6" spans="1:6" ht="20.100000000000001" customHeight="1" x14ac:dyDescent="0.25">
      <c r="A6" s="74" t="s">
        <v>208</v>
      </c>
      <c r="D6" s="77" t="str">
        <f ca="1">IFERROR(INDEX(Validation!G:G,MATCH("Bond 4"&amp;CELL("address",D6),Validation!I:I,0)),"")</f>
        <v/>
      </c>
      <c r="E6" s="66" t="str">
        <f ca="1">IFERROR(INDEX(Validation!F:F,MATCH("Bond 4"&amp;CELL("address",D6),Validation!I:I,0)),"")</f>
        <v/>
      </c>
      <c r="F6" s="78" t="s">
        <v>1008</v>
      </c>
    </row>
    <row r="7" spans="1:6" x14ac:dyDescent="0.25">
      <c r="A7" s="79" t="s">
        <v>210</v>
      </c>
      <c r="B7" s="103" t="str">
        <f>IF(NOT(ISBLANK('Bond Input'!F5)),'Bond Input'!F5,"")</f>
        <v/>
      </c>
      <c r="D7" s="77" t="str">
        <f ca="1">IFERROR(INDEX(Validation!G:G,MATCH("Bond 4"&amp;CELL("address",D7),Validation!I:I,0)),"")</f>
        <v/>
      </c>
      <c r="E7" s="66" t="str">
        <f ca="1">IFERROR(INDEX(Validation!F:F,MATCH("Bond 4"&amp;CELL("address",D7),Validation!I:I,0)),"")</f>
        <v/>
      </c>
      <c r="F7" s="85" t="str">
        <f>IF(NOT(ISBLANK('Bond Input'!F4)),'Bond Input'!F4,"")</f>
        <v/>
      </c>
    </row>
    <row r="8" spans="1:6" x14ac:dyDescent="0.25">
      <c r="A8" s="79" t="s">
        <v>209</v>
      </c>
      <c r="B8" s="103" t="str">
        <f>IF(NOT(ISBLANK('Bond Input'!F6)),'Bond Input'!F6,"Select One")</f>
        <v>Select One</v>
      </c>
      <c r="D8" s="77" t="str">
        <f ca="1">IFERROR(INDEX(Validation!G:G,MATCH("Bond 4"&amp;CELL("address",D8),Validation!I:I,0)),"")</f>
        <v/>
      </c>
      <c r="E8" s="66" t="str">
        <f ca="1">IFERROR(INDEX(Validation!F:F,MATCH("Bond 4"&amp;CELL("address",D8),Validation!I:I,0)),"")</f>
        <v/>
      </c>
    </row>
    <row r="9" spans="1:6" x14ac:dyDescent="0.25">
      <c r="A9" s="79" t="s">
        <v>227</v>
      </c>
      <c r="B9" s="103" t="str">
        <f>IF(NOT(ISBLANK('Bond Input'!F7)),'Bond Input'!F7,"Select One")</f>
        <v>Select One</v>
      </c>
      <c r="D9" s="77" t="str">
        <f ca="1">IFERROR(INDEX(Validation!G:G,MATCH("Bond 4"&amp;CELL("address",D9),Validation!I:I,0)),"")</f>
        <v/>
      </c>
      <c r="E9" s="66" t="str">
        <f ca="1">IFERROR(INDEX(Validation!F:F,MATCH("Bond 4"&amp;CELL("address",D9),Validation!I:I,0)),"")</f>
        <v/>
      </c>
    </row>
    <row r="10" spans="1:6" x14ac:dyDescent="0.25">
      <c r="A10" s="79" t="s">
        <v>228</v>
      </c>
      <c r="B10" s="103" t="str">
        <f>IF(NOT(ISBLANK('Bond Input'!F8)),'Bond Input'!F8,"Select One")</f>
        <v>Select One</v>
      </c>
      <c r="D10" s="77" t="str">
        <f ca="1">IFERROR(INDEX(Validation!G:G,MATCH("Bond 4"&amp;CELL("address",D10),Validation!I:I,0)),"")</f>
        <v/>
      </c>
      <c r="E10" s="66" t="str">
        <f ca="1">IFERROR(INDEX(Validation!F:F,MATCH("Bond 4"&amp;CELL("address",D10),Validation!I:I,0)),"")</f>
        <v/>
      </c>
    </row>
    <row r="11" spans="1:6" x14ac:dyDescent="0.25">
      <c r="A11" s="79" t="s">
        <v>229</v>
      </c>
      <c r="B11" s="103" t="str">
        <f>IF(NOT(ISBLANK('Bond Input'!F9)),'Bond Input'!F9,"Select One")</f>
        <v>Select One</v>
      </c>
      <c r="D11" s="77" t="str">
        <f ca="1">IFERROR(INDEX(Validation!G:G,MATCH("Bond 4"&amp;CELL("address",D11),Validation!I:I,0)),"")</f>
        <v/>
      </c>
      <c r="E11" s="66" t="str">
        <f ca="1">IFERROR(INDEX(Validation!F:F,MATCH("Bond 4"&amp;CELL("address",D11),Validation!I:I,0)),"")</f>
        <v/>
      </c>
    </row>
    <row r="12" spans="1:6" x14ac:dyDescent="0.25">
      <c r="A12" s="79" t="s">
        <v>211</v>
      </c>
      <c r="B12" s="120" t="str">
        <f>IF(NOT(ISBLANK('Bond Input'!F10)),'Bond Input'!F10,"")</f>
        <v/>
      </c>
      <c r="C12" s="129"/>
      <c r="D12" s="77" t="str">
        <f ca="1">IFERROR(INDEX(Validation!G:G,MATCH("Bond 4"&amp;CELL("address",D12),Validation!I:I,0)),"")</f>
        <v/>
      </c>
      <c r="E12" s="66" t="str">
        <f ca="1">IFERROR(INDEX(Validation!F:F,MATCH("Bond 4"&amp;CELL("address",D12),Validation!I:I,0)),"")</f>
        <v/>
      </c>
    </row>
    <row r="13" spans="1:6" x14ac:dyDescent="0.25">
      <c r="A13" s="79" t="s">
        <v>212</v>
      </c>
      <c r="B13" s="120" t="str">
        <f>IF(NOT(ISBLANK('Bond Input'!F11)),'Bond Input'!F11,"")</f>
        <v/>
      </c>
      <c r="C13" s="129"/>
      <c r="D13" s="77" t="str">
        <f ca="1">IFERROR(INDEX(Validation!G:G,MATCH("Bond 4"&amp;CELL("address",D13),Validation!I:I,0)),"")</f>
        <v/>
      </c>
      <c r="E13" s="66" t="str">
        <f ca="1">IFERROR(INDEX(Validation!F:F,MATCH("Bond 4"&amp;CELL("address",D13),Validation!I:I,0)),"")</f>
        <v/>
      </c>
    </row>
    <row r="14" spans="1:6" x14ac:dyDescent="0.25">
      <c r="A14" s="79" t="s">
        <v>213</v>
      </c>
      <c r="B14" s="121" t="str">
        <f>IF(NOT(ISBLANK('Bond Input'!F12)),'Bond Input'!F12,"")</f>
        <v/>
      </c>
      <c r="C14" s="132"/>
      <c r="D14" s="77" t="str">
        <f ca="1">IFERROR(INDEX(Validation!G:G,MATCH("Bond 4"&amp;CELL("address",D14),Validation!I:I,0)),"")</f>
        <v/>
      </c>
      <c r="E14" s="66" t="str">
        <f ca="1">IFERROR(INDEX(Validation!F:F,MATCH("Bond 4"&amp;CELL("address",D14),Validation!I:I,0)),"")</f>
        <v/>
      </c>
    </row>
    <row r="15" spans="1:6" x14ac:dyDescent="0.25">
      <c r="A15" s="79" t="s">
        <v>214</v>
      </c>
      <c r="B15" s="121" t="str">
        <f>IF(NOT(ISBLANK('Bond Input'!F13)),'Bond Input'!F13,"")</f>
        <v/>
      </c>
      <c r="C15" s="132"/>
      <c r="D15" s="77" t="str">
        <f ca="1">IFERROR(INDEX(Validation!G:G,MATCH("Bond 4"&amp;CELL("address",D15),Validation!I:I,0)),"")</f>
        <v/>
      </c>
      <c r="E15" s="66" t="str">
        <f ca="1">IFERROR(INDEX(Validation!F:F,MATCH("Bond 4"&amp;CELL("address",D15),Validation!I:I,0)),"")</f>
        <v/>
      </c>
    </row>
    <row r="16" spans="1:6" x14ac:dyDescent="0.25">
      <c r="A16" s="79" t="s">
        <v>535</v>
      </c>
      <c r="B16" s="122" t="str">
        <f>IF(NOT(ISBLANK('Bond Input'!F14)),'Bond Input'!F14,"")</f>
        <v/>
      </c>
      <c r="C16" s="128"/>
      <c r="D16" s="77" t="str">
        <f ca="1">IFERROR(INDEX(Validation!G:G,MATCH("Bond 4"&amp;CELL("address",D16),Validation!I:I,0)),"")</f>
        <v/>
      </c>
      <c r="E16" s="66" t="str">
        <f ca="1">IFERROR(INDEX(Validation!F:F,MATCH("Bond 4"&amp;CELL("address",D16),Validation!I:I,0)),"")</f>
        <v/>
      </c>
    </row>
    <row r="17" spans="1:5" x14ac:dyDescent="0.25">
      <c r="A17" s="79" t="s">
        <v>230</v>
      </c>
      <c r="B17" s="122" t="str">
        <f>IF(NOT(ISBLANK('Bond Input'!F15)),'Bond Input'!F15,"")</f>
        <v/>
      </c>
      <c r="C17" s="128"/>
      <c r="D17" s="77" t="str">
        <f ca="1">IFERROR(INDEX(Validation!G:G,MATCH("Bond 4"&amp;CELL("address",D17),Validation!I:I,0)),"")</f>
        <v/>
      </c>
      <c r="E17" s="66" t="str">
        <f ca="1">IFERROR(INDEX(Validation!F:F,MATCH("Bond 4"&amp;CELL("address",D17),Validation!I:I,0)),"")</f>
        <v/>
      </c>
    </row>
    <row r="18" spans="1:5" x14ac:dyDescent="0.25">
      <c r="A18" s="79" t="s">
        <v>231</v>
      </c>
      <c r="B18" s="122" t="str">
        <f>IF(NOT(ISBLANK('Bond Input'!F16)),'Bond Input'!F16,"")</f>
        <v/>
      </c>
      <c r="C18" s="128"/>
      <c r="D18" s="77" t="str">
        <f ca="1">IFERROR(INDEX(Validation!G:G,MATCH("Bond 4"&amp;CELL("address",D18),Validation!I:I,0)),"")</f>
        <v/>
      </c>
      <c r="E18" s="66" t="str">
        <f ca="1">IFERROR(INDEX(Validation!F:F,MATCH("Bond 4"&amp;CELL("address",D18),Validation!I:I,0)),"")</f>
        <v/>
      </c>
    </row>
    <row r="19" spans="1:5" x14ac:dyDescent="0.25">
      <c r="A19" s="79" t="s">
        <v>216</v>
      </c>
      <c r="B19" s="122" t="str">
        <f>IF(NOT(ISBLANK('Bond Input'!F17)),'Bond Input'!F17,"")</f>
        <v/>
      </c>
      <c r="C19" s="128"/>
      <c r="D19" s="77" t="str">
        <f ca="1">IFERROR(INDEX(Validation!G:G,MATCH("Bond 4"&amp;CELL("address",D19),Validation!I:I,0)),"")</f>
        <v/>
      </c>
      <c r="E19" s="66" t="str">
        <f ca="1">IFERROR(INDEX(Validation!F:F,MATCH("Bond 4"&amp;CELL("address",D19),Validation!I:I,0)),"")</f>
        <v/>
      </c>
    </row>
    <row r="20" spans="1:5" x14ac:dyDescent="0.25">
      <c r="A20" s="79" t="s">
        <v>232</v>
      </c>
      <c r="B20" s="103" t="str">
        <f>IF(ISBLANK('Bond Input'!F18),"Select One",IF('Bond Input'!F18=TRUE,"Yes","No"))</f>
        <v>Select One</v>
      </c>
      <c r="D20" s="77" t="str">
        <f ca="1">IFERROR(INDEX(Validation!G:G,MATCH("Bond 4"&amp;CELL("address",D20),Validation!I:I,0)),"")</f>
        <v/>
      </c>
      <c r="E20" s="66" t="str">
        <f ca="1">IFERROR(INDEX(Validation!F:F,MATCH("Bond 4"&amp;CELL("address",D20),Validation!I:I,0)),"")</f>
        <v/>
      </c>
    </row>
    <row r="21" spans="1:5" ht="20.100000000000001" customHeight="1" x14ac:dyDescent="0.25">
      <c r="A21" s="74" t="s">
        <v>1183</v>
      </c>
      <c r="B21" s="74" t="s">
        <v>283</v>
      </c>
      <c r="C21" s="74" t="str">
        <f>Year_DestinationYearID&amp;" Amount"</f>
        <v>2024 Amount</v>
      </c>
      <c r="D21" s="77" t="str">
        <f ca="1">IFERROR(INDEX(Validation!G:G,MATCH("Bond 4"&amp;CELL("address",D21),Validation!I:I,0)),"")</f>
        <v/>
      </c>
      <c r="E21" s="66" t="str">
        <f ca="1">IFERROR(INDEX(Validation!F:F,MATCH("Bond 4"&amp;CELL("address",D21),Validation!I:I,0)),"")</f>
        <v/>
      </c>
    </row>
    <row r="22" spans="1:5" x14ac:dyDescent="0.25">
      <c r="A22" s="79" t="s">
        <v>266</v>
      </c>
      <c r="B22" s="122" t="str">
        <f>IF(NOT(ISBLANK('Bond Input'!F19)),'Bond Input'!F19,"")</f>
        <v/>
      </c>
      <c r="C22" s="122"/>
      <c r="D22" s="77" t="str">
        <f ca="1">IFERROR(INDEX(Validation!G:G,MATCH("Bond 4"&amp;CELL("address",D22),Validation!I:I,0)),"")</f>
        <v/>
      </c>
      <c r="E22" s="66" t="str">
        <f ca="1">IFERROR(INDEX(Validation!F:F,MATCH("Bond 4"&amp;CELL("address",D22),Validation!I:I,0)),"")</f>
        <v/>
      </c>
    </row>
    <row r="23" spans="1:5" x14ac:dyDescent="0.25">
      <c r="A23" s="79" t="s">
        <v>267</v>
      </c>
      <c r="B23" s="122" t="str">
        <f>IF(NOT(ISBLANK('Bond Input'!F21)),'Bond Input'!F21,"")</f>
        <v/>
      </c>
      <c r="C23" s="122"/>
      <c r="D23" s="77" t="str">
        <f ca="1">IFERROR(INDEX(Validation!G:G,MATCH("Bond 4"&amp;CELL("address",D23),Validation!I:I,0)),"")</f>
        <v/>
      </c>
      <c r="E23" s="66" t="str">
        <f ca="1">IFERROR(INDEX(Validation!F:F,MATCH("Bond 4"&amp;CELL("address",D23),Validation!I:I,0)),"")</f>
        <v/>
      </c>
    </row>
    <row r="24" spans="1:5" x14ac:dyDescent="0.25">
      <c r="A24" s="79" t="s">
        <v>268</v>
      </c>
      <c r="B24" s="122" t="str">
        <f>IF(NOT(ISBLANK('Bond Input'!F23)),'Bond Input'!F23,"")</f>
        <v/>
      </c>
      <c r="C24" s="122"/>
      <c r="D24" s="77" t="str">
        <f ca="1">IFERROR(INDEX(Validation!G:G,MATCH("Bond 4"&amp;CELL("address",D24),Validation!I:I,0)),"")</f>
        <v/>
      </c>
      <c r="E24" s="66" t="str">
        <f ca="1">IFERROR(INDEX(Validation!F:F,MATCH("Bond 4"&amp;CELL("address",D24),Validation!I:I,0)),"")</f>
        <v/>
      </c>
    </row>
    <row r="25" spans="1:5" x14ac:dyDescent="0.25">
      <c r="A25" s="79" t="s">
        <v>269</v>
      </c>
      <c r="B25" s="122" t="str">
        <f>IF(NOT(ISBLANK('Bond Input'!F25)),'Bond Input'!F25,"")</f>
        <v/>
      </c>
      <c r="C25" s="122"/>
      <c r="D25" s="77" t="str">
        <f ca="1">IFERROR(INDEX(Validation!G:G,MATCH("Bond 4"&amp;CELL("address",D25),Validation!I:I,0)),"")</f>
        <v/>
      </c>
      <c r="E25" s="66" t="str">
        <f ca="1">IFERROR(INDEX(Validation!F:F,MATCH("Bond 4"&amp;CELL("address",D25),Validation!I:I,0)),"")</f>
        <v/>
      </c>
    </row>
    <row r="26" spans="1:5" x14ac:dyDescent="0.25">
      <c r="A26" s="79" t="s">
        <v>1101</v>
      </c>
      <c r="B26" s="122" t="str">
        <f>IF(NOT(ISBLANK('Bond Input'!F27)),'Bond Input'!F27,"")</f>
        <v/>
      </c>
      <c r="C26" s="122"/>
      <c r="D26" s="77" t="str">
        <f ca="1">IFERROR(INDEX(Validation!G:G,MATCH("Bond 4"&amp;CELL("address",D26),Validation!I:I,0)),"")</f>
        <v/>
      </c>
      <c r="E26" s="66" t="str">
        <f ca="1">IFERROR(INDEX(Validation!F:F,MATCH("Bond 4"&amp;CELL("address",D26),Validation!I:I,0)),"")</f>
        <v/>
      </c>
    </row>
    <row r="27" spans="1:5" x14ac:dyDescent="0.25">
      <c r="A27" s="79" t="s">
        <v>270</v>
      </c>
      <c r="B27" s="122" t="str">
        <f>IF(NOT(ISBLANK('Bond Input'!F29)),'Bond Input'!F29,"")</f>
        <v/>
      </c>
      <c r="C27" s="122"/>
      <c r="D27" s="77" t="str">
        <f ca="1">IFERROR(INDEX(Validation!G:G,MATCH("Bond 4"&amp;CELL("address",D27),Validation!I:I,0)),"")</f>
        <v/>
      </c>
      <c r="E27" s="66" t="str">
        <f ca="1">IFERROR(INDEX(Validation!F:F,MATCH("Bond 4"&amp;CELL("address",D27),Validation!I:I,0)),"")</f>
        <v/>
      </c>
    </row>
    <row r="28" spans="1:5" x14ac:dyDescent="0.25">
      <c r="A28" s="79" t="s">
        <v>271</v>
      </c>
      <c r="B28" s="122" t="str">
        <f>IF(NOT(ISBLANK('Bond Input'!F31)),'Bond Input'!F31,"")</f>
        <v/>
      </c>
      <c r="C28" s="122"/>
      <c r="D28" s="77" t="str">
        <f ca="1">IFERROR(INDEX(Validation!G:G,MATCH("Bond 4"&amp;CELL("address",D28),Validation!I:I,0)),"")</f>
        <v/>
      </c>
      <c r="E28" s="66" t="str">
        <f ca="1">IFERROR(INDEX(Validation!F:F,MATCH("Bond 4"&amp;CELL("address",D28),Validation!I:I,0)),"")</f>
        <v/>
      </c>
    </row>
    <row r="29" spans="1:5" x14ac:dyDescent="0.25">
      <c r="A29" s="79" t="s">
        <v>272</v>
      </c>
      <c r="B29" s="122" t="str">
        <f>IF(NOT(ISBLANK('Bond Input'!F33)),'Bond Input'!F33,"")</f>
        <v/>
      </c>
      <c r="C29" s="122"/>
      <c r="D29" s="77" t="str">
        <f ca="1">IFERROR(INDEX(Validation!G:G,MATCH("Bond 4"&amp;CELL("address",D29),Validation!I:I,0)),"")</f>
        <v/>
      </c>
      <c r="E29" s="66" t="str">
        <f ca="1">IFERROR(INDEX(Validation!F:F,MATCH("Bond 4"&amp;CELL("address",D29),Validation!I:I,0)),"")</f>
        <v/>
      </c>
    </row>
    <row r="30" spans="1:5" x14ac:dyDescent="0.25">
      <c r="A30" s="79" t="s">
        <v>273</v>
      </c>
      <c r="B30" s="122" t="str">
        <f>IF(NOT(ISBLANK('Bond Input'!F35)),'Bond Input'!F35,"")</f>
        <v/>
      </c>
      <c r="C30" s="122"/>
      <c r="D30" s="77" t="str">
        <f ca="1">IFERROR(INDEX(Validation!G:G,MATCH("Bond 4"&amp;CELL("address",D30),Validation!I:I,0)),"")</f>
        <v/>
      </c>
      <c r="E30" s="66" t="str">
        <f ca="1">IFERROR(INDEX(Validation!F:F,MATCH("Bond 4"&amp;CELL("address",D30),Validation!I:I,0)),"")</f>
        <v/>
      </c>
    </row>
    <row r="31" spans="1:5" x14ac:dyDescent="0.25">
      <c r="A31" s="130" t="s">
        <v>1184</v>
      </c>
      <c r="B31" s="125">
        <f>SUM(B22:B30)</f>
        <v>0</v>
      </c>
      <c r="C31" s="125">
        <f>SUM(C22:C30)</f>
        <v>0</v>
      </c>
      <c r="D31" s="77" t="str">
        <f ca="1">IFERROR(INDEX(Validation!G:G,MATCH("Bond 4"&amp;CELL("address",D31),Validation!I:I,0)),"")</f>
        <v/>
      </c>
      <c r="E31" s="66" t="str">
        <f ca="1">IFERROR(INDEX(Validation!F:F,MATCH("Bond 4"&amp;CELL("address",D31),Validation!I:I,0)),"")</f>
        <v/>
      </c>
    </row>
    <row r="32" spans="1:5" x14ac:dyDescent="0.25">
      <c r="A32" s="130" t="s">
        <v>1185</v>
      </c>
      <c r="B32" s="125">
        <f>IF(B16="",0,B16-B31)</f>
        <v>0</v>
      </c>
      <c r="C32" s="125">
        <f>IF(B16="",0,B16-B31-C31)</f>
        <v>0</v>
      </c>
      <c r="D32" s="77" t="str">
        <f ca="1">IFERROR(INDEX(Validation!G:G,MATCH("Bond 4"&amp;CELL("address",D32),Validation!I:I,0)),"")</f>
        <v/>
      </c>
      <c r="E32" s="66" t="str">
        <f ca="1">IFERROR(INDEX(Validation!F:F,MATCH("Bond 4"&amp;CELL("address",D32),Validation!I:I,0)),"")</f>
        <v/>
      </c>
    </row>
    <row r="33" spans="1:5" x14ac:dyDescent="0.25">
      <c r="A33" s="131" t="s">
        <v>1186</v>
      </c>
      <c r="B33" s="122" t="str">
        <f>IF(NOT(ISBLANK('Bond Input'!F41)),'Bond Input'!F41,"")</f>
        <v/>
      </c>
      <c r="C33" s="122"/>
      <c r="D33" s="77" t="str">
        <f ca="1">IFERROR(INDEX(Validation!G:G,MATCH("Bond 4"&amp;CELL("address",D33),Validation!I:I,0)),"")</f>
        <v/>
      </c>
      <c r="E33" s="66" t="str">
        <f ca="1">IFERROR(INDEX(Validation!F:F,MATCH("Bond 4"&amp;CELL("address",D33),Validation!I:I,0)),"")</f>
        <v/>
      </c>
    </row>
    <row r="34" spans="1:5" x14ac:dyDescent="0.25">
      <c r="A34" s="131" t="s">
        <v>1187</v>
      </c>
      <c r="B34" s="122" t="str">
        <f>IF(NOT(ISBLANK('Bond Input'!F43)),'Bond Input'!F43,"")</f>
        <v/>
      </c>
      <c r="C34" s="122"/>
      <c r="D34" s="77" t="str">
        <f ca="1">IFERROR(INDEX(Validation!G:G,MATCH("Bond 4"&amp;CELL("address",D34),Validation!I:I,0)),"")</f>
        <v/>
      </c>
      <c r="E34" s="66" t="str">
        <f ca="1">IFERROR(INDEX(Validation!F:F,MATCH("Bond 4"&amp;CELL("address",D34),Validation!I:I,0)),"")</f>
        <v/>
      </c>
    </row>
    <row r="35" spans="1:5" ht="20.100000000000001" customHeight="1" x14ac:dyDescent="0.25">
      <c r="A35" s="74" t="s">
        <v>684</v>
      </c>
      <c r="B35" s="74" t="s">
        <v>283</v>
      </c>
      <c r="C35" s="74" t="str">
        <f>Year_DestinationYearID&amp;" Amount"</f>
        <v>2024 Amount</v>
      </c>
      <c r="D35" s="77" t="str">
        <f ca="1">IFERROR(INDEX(Validation!G:G,MATCH("Bond 4"&amp;CELL("address",D35),Validation!I:I,0)),"")</f>
        <v/>
      </c>
      <c r="E35" s="66" t="str">
        <f ca="1">IFERROR(INDEX(Validation!F:F,MATCH("Bond 4"&amp;CELL("address",D35),Validation!I:I,0)),"")</f>
        <v/>
      </c>
    </row>
    <row r="36" spans="1:5" x14ac:dyDescent="0.25">
      <c r="A36" s="79" t="s">
        <v>1188</v>
      </c>
      <c r="B36" s="122" t="str">
        <f>IF(NOT(ISBLANK('Bond Input'!F45)),'Bond Input'!F45,"")</f>
        <v/>
      </c>
      <c r="C36" s="122"/>
      <c r="D36" s="77" t="str">
        <f ca="1">IFERROR(INDEX(Validation!G:G,MATCH("Bond 4"&amp;CELL("address",D36),Validation!I:I,0)),"")</f>
        <v/>
      </c>
      <c r="E36" s="66" t="str">
        <f ca="1">IFERROR(INDEX(Validation!F:F,MATCH("Bond 4"&amp;CELL("address",D36),Validation!I:I,0)),"")</f>
        <v/>
      </c>
    </row>
    <row r="37" spans="1:5" x14ac:dyDescent="0.25">
      <c r="A37" s="79" t="s">
        <v>1189</v>
      </c>
      <c r="B37" s="122" t="str">
        <f>IF(NOT(ISBLANK('Bond Input'!F47)),'Bond Input'!F47,"")</f>
        <v/>
      </c>
      <c r="C37" s="122"/>
      <c r="D37" s="77" t="str">
        <f ca="1">IFERROR(INDEX(Validation!G:G,MATCH("Bond 4"&amp;CELL("address",D37),Validation!I:I,0)),"")</f>
        <v/>
      </c>
      <c r="E37" s="66" t="str">
        <f ca="1">IFERROR(INDEX(Validation!F:F,MATCH("Bond 4"&amp;CELL("address",D37),Validation!I:I,0)),"")</f>
        <v/>
      </c>
    </row>
    <row r="38" spans="1:5" x14ac:dyDescent="0.25">
      <c r="A38" s="79" t="s">
        <v>1190</v>
      </c>
      <c r="B38" s="122" t="str">
        <f>IF(NOT(ISBLANK('Bond Input'!F49)),'Bond Input'!F49,"")</f>
        <v/>
      </c>
      <c r="C38" s="122"/>
      <c r="D38" s="77" t="str">
        <f ca="1">IFERROR(INDEX(Validation!G:G,MATCH("Bond 4"&amp;CELL("address",D38),Validation!I:I,0)),"")</f>
        <v/>
      </c>
      <c r="E38" s="66" t="str">
        <f ca="1">IFERROR(INDEX(Validation!F:F,MATCH("Bond 4"&amp;CELL("address",D38),Validation!I:I,0)),"")</f>
        <v/>
      </c>
    </row>
    <row r="39" spans="1:5" x14ac:dyDescent="0.25">
      <c r="A39" s="79" t="s">
        <v>221</v>
      </c>
      <c r="B39" s="125" t="str">
        <f>IFERROR(IF(B11="Yes","See Pooled Debt",IF(B8="Non-TIF Bond","NA/Non-TIF Bond",B16-B19-B36-B37+B38)),"")</f>
        <v/>
      </c>
      <c r="C39" s="125" t="str">
        <f>IFERROR(IF(B11="Yes","See Pooled Debt",IF(B8="Non-TIF Bond","NA/Non-TIF Bond",B16-B19-B36-B37-C36-C37+B38+C38)),"")</f>
        <v/>
      </c>
      <c r="D39" s="77" t="str">
        <f ca="1">IFERROR(INDEX(Validation!G:G,MATCH("Bond 4"&amp;CELL("address",D39),Validation!I:I,0)),"")</f>
        <v/>
      </c>
      <c r="E39" s="66" t="str">
        <f ca="1">IFERROR(INDEX(Validation!F:F,MATCH("Bond 4"&amp;CELL("address",D39),Validation!I:I,0)),"")</f>
        <v/>
      </c>
    </row>
    <row r="40" spans="1:5" x14ac:dyDescent="0.25">
      <c r="A40" s="79" t="s">
        <v>223</v>
      </c>
      <c r="B40" s="122" t="str">
        <f>IF(NOT(ISBLANK('Bond Input'!F53)),'Bond Input'!F53,"")</f>
        <v/>
      </c>
      <c r="C40" s="122"/>
      <c r="D40" s="77" t="str">
        <f ca="1">IFERROR(INDEX(Validation!G:G,MATCH("Bond 4"&amp;CELL("address",D40),Validation!I:I,0)),"")</f>
        <v/>
      </c>
      <c r="E40" s="66" t="str">
        <f ca="1">IFERROR(INDEX(Validation!F:F,MATCH("Bond 4"&amp;CELL("address",D40),Validation!I:I,0)),"")</f>
        <v/>
      </c>
    </row>
    <row r="41" spans="1:5" x14ac:dyDescent="0.25">
      <c r="A41" s="79" t="s">
        <v>1191</v>
      </c>
      <c r="B41" s="122" t="str">
        <f>IF(NOT(ISBLANK('Bond Input'!F55)),'Bond Input'!F55,"")</f>
        <v/>
      </c>
      <c r="C41" s="122"/>
      <c r="D41" s="77" t="str">
        <f ca="1">IFERROR(INDEX(Validation!G:G,MATCH("Bond 4"&amp;CELL("address",D41),Validation!I:I,0)),"")</f>
        <v/>
      </c>
      <c r="E41" s="66" t="str">
        <f ca="1">IFERROR(INDEX(Validation!F:F,MATCH("Bond 4"&amp;CELL("address",D41),Validation!I:I,0)),"")</f>
        <v/>
      </c>
    </row>
    <row r="42" spans="1:5" x14ac:dyDescent="0.25">
      <c r="A42" s="79" t="s">
        <v>1192</v>
      </c>
      <c r="B42" s="122" t="str">
        <f>IF(NOT(ISBLANK('Bond Input'!F57)),'Bond Input'!F57,"")</f>
        <v/>
      </c>
      <c r="C42" s="122"/>
      <c r="D42" s="77" t="str">
        <f ca="1">IFERROR(INDEX(Validation!G:G,MATCH("Bond 4"&amp;CELL("address",D42),Validation!I:I,0)),"")</f>
        <v/>
      </c>
      <c r="E42" s="66" t="str">
        <f ca="1">IFERROR(INDEX(Validation!F:F,MATCH("Bond 4"&amp;CELL("address",D42),Validation!I:I,0)),"")</f>
        <v/>
      </c>
    </row>
    <row r="43" spans="1:5" ht="20.100000000000001" customHeight="1" x14ac:dyDescent="0.25">
      <c r="A43" s="74" t="str">
        <f>"Principal and Interest Due in "&amp;Year_DestinationYearID+1</f>
        <v>Principal and Interest Due in 2025</v>
      </c>
      <c r="B43" s="128"/>
      <c r="C43" s="128"/>
      <c r="D43" s="77"/>
    </row>
    <row r="44" spans="1:5" x14ac:dyDescent="0.25">
      <c r="A44" s="79" t="str">
        <f>"Principal Due in "&amp;Year_DestinationYearID+1</f>
        <v>Principal Due in 2025</v>
      </c>
      <c r="B44" s="122"/>
      <c r="C44" s="128"/>
      <c r="D44" s="77" t="str">
        <f ca="1">IFERROR(INDEX(Validation!G:G,MATCH("Bond 4"&amp;CELL("address",D44),Validation!I:I,0)),"")</f>
        <v/>
      </c>
      <c r="E44" s="66" t="str">
        <f ca="1">IFERROR(INDEX(Validation!F:F,MATCH("Bond 4"&amp;CELL("address",D44),Validation!I:I,0)),"")</f>
        <v/>
      </c>
    </row>
    <row r="45" spans="1:5" x14ac:dyDescent="0.25">
      <c r="A45" s="79" t="str">
        <f>"Interest Due in "&amp;Year_DestinationYearID+1</f>
        <v>Interest Due in 2025</v>
      </c>
      <c r="B45" s="122"/>
      <c r="C45" s="128"/>
      <c r="D45" s="77" t="str">
        <f ca="1">IFERROR(INDEX(Validation!G:G,MATCH("Bond 4"&amp;CELL("address",D45),Validation!I:I,0)),"")</f>
        <v/>
      </c>
      <c r="E45" s="66" t="str">
        <f ca="1">IFERROR(INDEX(Validation!F:F,MATCH("Bond 4"&amp;CELL("address",D45),Validation!I:I,0)),"")</f>
        <v/>
      </c>
    </row>
    <row r="46" spans="1:5" ht="20.100000000000001" customHeight="1" x14ac:dyDescent="0.25">
      <c r="A46" s="97" t="s">
        <v>176</v>
      </c>
      <c r="D46" s="77" t="str">
        <f ca="1">IF(AND(ISBLANK(A47),OR(COUNTIF(E6:E45,"Alert")&gt;0,SUM(B38:B38)&lt;&gt;0)),"Comment(s) required for remaining alert(s) and/or additions/reductions to principal.",IFERROR(INDEX(Validation!G:G,MATCH("Bond 4"&amp;CELL("address",D47),Validation!I:I,0)),""))</f>
        <v/>
      </c>
      <c r="E46" s="66" t="str">
        <f ca="1">IF(AND(ISBLANK(A47),OR(COUNTIF(E6:E45,"Alert")&gt;0,SUM(B38:B38)&lt;&gt;0)),"Error",IFERROR(INDEX(Validation!F:F,MATCH("Bond 4"&amp;CELL("address",D47),Validation!I:I,0)),""))</f>
        <v/>
      </c>
    </row>
    <row r="47" spans="1:5" ht="150" customHeight="1" x14ac:dyDescent="0.25">
      <c r="A47" s="123"/>
      <c r="B47" s="100" t="str">
        <f>HYPERLINK("#'Bonds'!B6","Click here to return to the Bonds Tab")</f>
        <v>Click here to return to the Bonds Tab</v>
      </c>
      <c r="C47" s="127"/>
    </row>
    <row r="48" spans="1:5" x14ac:dyDescent="0.25">
      <c r="A48" s="98"/>
      <c r="B48" s="98"/>
      <c r="C48" s="98"/>
    </row>
    <row r="49" spans="1:3" x14ac:dyDescent="0.25">
      <c r="A49" s="98"/>
      <c r="B49" s="98"/>
      <c r="C49" s="98"/>
    </row>
    <row r="50" spans="1:3" x14ac:dyDescent="0.25">
      <c r="A50" s="98"/>
      <c r="B50" s="98"/>
      <c r="C50" s="98"/>
    </row>
    <row r="51" spans="1:3" x14ac:dyDescent="0.25">
      <c r="A51" s="98"/>
      <c r="B51" s="98"/>
      <c r="C51" s="98"/>
    </row>
  </sheetData>
  <sheetProtection algorithmName="SHA-512" hashValue="XFZ9/CjJXxP3UMDUV3rwOBgR3fIC2Y1PyMmHsyNdEqXFGXK/9m4mFhe+qZsLk77z4f8BbFXiWUTUzlNjSWPFzQ==" saltValue="gt5k7eLzdQPPKWVuKgHKNQ==" spinCount="100000" sheet="1" objects="1" scenarios="1"/>
  <mergeCells count="1">
    <mergeCell ref="A4:E4"/>
  </mergeCells>
  <conditionalFormatting sqref="A2 D6:E46">
    <cfRule type="expression" dxfId="446" priority="6">
      <formula>$E2="Exclude"</formula>
    </cfRule>
  </conditionalFormatting>
  <conditionalFormatting sqref="A2">
    <cfRule type="expression" dxfId="445" priority="4">
      <formula>$E2="Error"</formula>
    </cfRule>
  </conditionalFormatting>
  <conditionalFormatting sqref="D6:E46">
    <cfRule type="expression" dxfId="443" priority="1">
      <formula>$E6="Information"</formula>
    </cfRule>
    <cfRule type="expression" dxfId="442" priority="2">
      <formula>$E6="Error"</formula>
    </cfRule>
    <cfRule type="expression" dxfId="441" priority="3">
      <formula>$E6="Alert"</formula>
    </cfRule>
  </conditionalFormatting>
  <dataValidations count="2">
    <dataValidation type="list" allowBlank="1" showInputMessage="1" showErrorMessage="1" sqref="B8:C8" xr:uid="{526ACA8C-812F-424A-AACE-9FA018215D7C}">
      <formula1>BondType</formula1>
    </dataValidation>
    <dataValidation type="list" allowBlank="1" showInputMessage="1" showErrorMessage="1" sqref="B9:C11 B20:C20" xr:uid="{397BD858-52EA-499F-BCFC-4532AC5AE5B6}">
      <formula1>SelOneYesNo</formula1>
    </dataValidation>
  </dataValidations>
  <pageMargins left="0.7" right="0.7" top="0.75" bottom="0.75" header="0.3" footer="0.3"/>
  <pageSetup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5" id="{AB9448FB-A1F2-443B-A64C-55299CCB2D0F}">
            <xm:f>COUNTIFS(Validation!$H:$H,MID(CELL("filename",A2),FIND("]",CELL("filename",A2))+1,255)&amp;CELL("address",A2))&gt;0</xm:f>
            <x14:dxf>
              <font>
                <b/>
                <i val="0"/>
                <color rgb="FFC00000"/>
              </font>
              <numFmt numFmtId="172" formatCode="_(\!* #,##0_);_(\!* \(#,##0\);_(\!* \-??_);_(\!\ @_)"/>
            </x14:dxf>
          </x14:cfRule>
          <xm:sqref>A2</xm:sqref>
        </x14:conditionalFormatting>
      </x14:conditionalFormatting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DB9A4-A072-48D3-ABC1-EEF0B32A072F}">
  <sheetPr>
    <tabColor rgb="FFEED382"/>
  </sheetPr>
  <dimension ref="A1:F51"/>
  <sheetViews>
    <sheetView showGridLines="0" workbookViewId="0">
      <selection activeCell="B7" sqref="B7"/>
    </sheetView>
  </sheetViews>
  <sheetFormatPr defaultRowHeight="15" x14ac:dyDescent="0.25"/>
  <cols>
    <col min="1" max="1" width="55.7109375" style="66" customWidth="1"/>
    <col min="2" max="3" width="20.7109375" style="66" customWidth="1"/>
    <col min="4" max="4" width="80.85546875" style="66" customWidth="1"/>
    <col min="5" max="5" width="14.7109375" style="66" customWidth="1"/>
    <col min="6" max="6" width="0" style="78" hidden="1" customWidth="1"/>
    <col min="7" max="16384" width="9.140625" style="66"/>
  </cols>
  <sheetData>
    <row r="1" spans="1:6" s="59" customFormat="1" ht="24.95" customHeight="1" x14ac:dyDescent="0.25">
      <c r="A1" s="59" t="str">
        <f>_xlfn.CONCAT("Office of the State Auditor  -  TIF Annual Reporting Form  -  ",Year_DestinationYearID)</f>
        <v>Office of the State Auditor  -  TIF Annual Reporting Form  -  2024</v>
      </c>
      <c r="F1" s="61"/>
    </row>
    <row r="2" spans="1:6" s="62" customFormat="1" ht="20.100000000000001" customHeight="1" x14ac:dyDescent="0.25">
      <c r="A2" s="58" t="str">
        <f>_xlfn.CONCAT(GovEntity_GovEntityName_Parent,"  -  ",GovEntity_GovEntityName)</f>
        <v>Spruce City  -  TIF 1-1 Downtown Redev</v>
      </c>
      <c r="F2" s="64"/>
    </row>
    <row r="3" spans="1:6" s="68" customFormat="1" ht="24.95" customHeight="1" x14ac:dyDescent="0.3">
      <c r="A3" s="65" t="s">
        <v>206</v>
      </c>
      <c r="B3" s="66"/>
      <c r="C3" s="66"/>
      <c r="F3" s="69"/>
    </row>
    <row r="4" spans="1:6" s="71" customFormat="1" x14ac:dyDescent="0.25">
      <c r="A4" s="217" t="s">
        <v>207</v>
      </c>
      <c r="B4" s="217"/>
      <c r="C4" s="217"/>
      <c r="D4" s="217"/>
      <c r="E4" s="217"/>
      <c r="F4" s="72" t="s">
        <v>119</v>
      </c>
    </row>
    <row r="5" spans="1:6" s="74" customFormat="1" ht="20.100000000000001" customHeight="1" x14ac:dyDescent="0.25">
      <c r="A5" s="73" t="str">
        <f>HYPERLINK("#'Bonds'!B6","Click here to return to the Bonds Tab")</f>
        <v>Click here to return to the Bonds Tab</v>
      </c>
      <c r="D5" s="74" t="s">
        <v>121</v>
      </c>
      <c r="E5" s="74" t="s">
        <v>102</v>
      </c>
      <c r="F5" s="76"/>
    </row>
    <row r="6" spans="1:6" ht="20.100000000000001" customHeight="1" x14ac:dyDescent="0.25">
      <c r="A6" s="74" t="s">
        <v>208</v>
      </c>
      <c r="D6" s="77" t="str">
        <f ca="1">IFERROR(INDEX(Validation!G:G,MATCH("Bond 5"&amp;CELL("address",D6),Validation!I:I,0)),"")</f>
        <v/>
      </c>
      <c r="E6" s="66" t="str">
        <f ca="1">IFERROR(INDEX(Validation!F:F,MATCH("Bond 5"&amp;CELL("address",D6),Validation!I:I,0)),"")</f>
        <v/>
      </c>
      <c r="F6" s="78" t="s">
        <v>1008</v>
      </c>
    </row>
    <row r="7" spans="1:6" x14ac:dyDescent="0.25">
      <c r="A7" s="79" t="s">
        <v>210</v>
      </c>
      <c r="B7" s="103" t="str">
        <f>IF(NOT(ISBLANK('Bond Input'!G5)),'Bond Input'!G5,"")</f>
        <v/>
      </c>
      <c r="D7" s="77" t="str">
        <f ca="1">IFERROR(INDEX(Validation!G:G,MATCH("Bond 5"&amp;CELL("address",D7),Validation!I:I,0)),"")</f>
        <v/>
      </c>
      <c r="E7" s="66" t="str">
        <f ca="1">IFERROR(INDEX(Validation!F:F,MATCH("Bond 5"&amp;CELL("address",D7),Validation!I:I,0)),"")</f>
        <v/>
      </c>
      <c r="F7" s="85" t="str">
        <f>IF(NOT(ISBLANK('Bond Input'!G4)),'Bond Input'!G4,"")</f>
        <v/>
      </c>
    </row>
    <row r="8" spans="1:6" x14ac:dyDescent="0.25">
      <c r="A8" s="79" t="s">
        <v>209</v>
      </c>
      <c r="B8" s="103" t="str">
        <f>IF(NOT(ISBLANK('Bond Input'!G6)),'Bond Input'!G6,"Select One")</f>
        <v>Select One</v>
      </c>
      <c r="D8" s="77" t="str">
        <f ca="1">IFERROR(INDEX(Validation!G:G,MATCH("Bond 5"&amp;CELL("address",D8),Validation!I:I,0)),"")</f>
        <v/>
      </c>
      <c r="E8" s="66" t="str">
        <f ca="1">IFERROR(INDEX(Validation!F:F,MATCH("Bond 5"&amp;CELL("address",D8),Validation!I:I,0)),"")</f>
        <v/>
      </c>
    </row>
    <row r="9" spans="1:6" x14ac:dyDescent="0.25">
      <c r="A9" s="79" t="s">
        <v>227</v>
      </c>
      <c r="B9" s="103" t="str">
        <f>IF(NOT(ISBLANK('Bond Input'!G7)),'Bond Input'!G7,"Select One")</f>
        <v>Select One</v>
      </c>
      <c r="D9" s="77" t="str">
        <f ca="1">IFERROR(INDEX(Validation!G:G,MATCH("Bond 5"&amp;CELL("address",D9),Validation!I:I,0)),"")</f>
        <v/>
      </c>
      <c r="E9" s="66" t="str">
        <f ca="1">IFERROR(INDEX(Validation!F:F,MATCH("Bond 5"&amp;CELL("address",D9),Validation!I:I,0)),"")</f>
        <v/>
      </c>
    </row>
    <row r="10" spans="1:6" x14ac:dyDescent="0.25">
      <c r="A10" s="79" t="s">
        <v>228</v>
      </c>
      <c r="B10" s="103" t="str">
        <f>IF(NOT(ISBLANK('Bond Input'!G8)),'Bond Input'!G8,"Select One")</f>
        <v>Select One</v>
      </c>
      <c r="D10" s="77" t="str">
        <f ca="1">IFERROR(INDEX(Validation!G:G,MATCH("Bond 5"&amp;CELL("address",D10),Validation!I:I,0)),"")</f>
        <v/>
      </c>
      <c r="E10" s="66" t="str">
        <f ca="1">IFERROR(INDEX(Validation!F:F,MATCH("Bond 5"&amp;CELL("address",D10),Validation!I:I,0)),"")</f>
        <v/>
      </c>
    </row>
    <row r="11" spans="1:6" x14ac:dyDescent="0.25">
      <c r="A11" s="79" t="s">
        <v>229</v>
      </c>
      <c r="B11" s="103" t="str">
        <f>IF(NOT(ISBLANK('Bond Input'!G9)),'Bond Input'!G9,"Select One")</f>
        <v>Select One</v>
      </c>
      <c r="D11" s="77" t="str">
        <f ca="1">IFERROR(INDEX(Validation!G:G,MATCH("Bond 5"&amp;CELL("address",D11),Validation!I:I,0)),"")</f>
        <v/>
      </c>
      <c r="E11" s="66" t="str">
        <f ca="1">IFERROR(INDEX(Validation!F:F,MATCH("Bond 5"&amp;CELL("address",D11),Validation!I:I,0)),"")</f>
        <v/>
      </c>
    </row>
    <row r="12" spans="1:6" x14ac:dyDescent="0.25">
      <c r="A12" s="79" t="s">
        <v>211</v>
      </c>
      <c r="B12" s="120" t="str">
        <f>IF(NOT(ISBLANK('Bond Input'!G10)),'Bond Input'!G10,"")</f>
        <v/>
      </c>
      <c r="C12" s="129"/>
      <c r="D12" s="77" t="str">
        <f ca="1">IFERROR(INDEX(Validation!G:G,MATCH("Bond 5"&amp;CELL("address",D12),Validation!I:I,0)),"")</f>
        <v/>
      </c>
      <c r="E12" s="66" t="str">
        <f ca="1">IFERROR(INDEX(Validation!F:F,MATCH("Bond 5"&amp;CELL("address",D12),Validation!I:I,0)),"")</f>
        <v/>
      </c>
    </row>
    <row r="13" spans="1:6" x14ac:dyDescent="0.25">
      <c r="A13" s="79" t="s">
        <v>212</v>
      </c>
      <c r="B13" s="120" t="str">
        <f>IF(NOT(ISBLANK('Bond Input'!G11)),'Bond Input'!G11,"")</f>
        <v/>
      </c>
      <c r="C13" s="129"/>
      <c r="D13" s="77" t="str">
        <f ca="1">IFERROR(INDEX(Validation!G:G,MATCH("Bond 5"&amp;CELL("address",D13),Validation!I:I,0)),"")</f>
        <v/>
      </c>
      <c r="E13" s="66" t="str">
        <f ca="1">IFERROR(INDEX(Validation!F:F,MATCH("Bond 5"&amp;CELL("address",D13),Validation!I:I,0)),"")</f>
        <v/>
      </c>
    </row>
    <row r="14" spans="1:6" x14ac:dyDescent="0.25">
      <c r="A14" s="79" t="s">
        <v>213</v>
      </c>
      <c r="B14" s="121" t="str">
        <f>IF(NOT(ISBLANK('Bond Input'!G12)),'Bond Input'!G12,"")</f>
        <v/>
      </c>
      <c r="C14" s="132"/>
      <c r="D14" s="77" t="str">
        <f ca="1">IFERROR(INDEX(Validation!G:G,MATCH("Bond 5"&amp;CELL("address",D14),Validation!I:I,0)),"")</f>
        <v/>
      </c>
      <c r="E14" s="66" t="str">
        <f ca="1">IFERROR(INDEX(Validation!F:F,MATCH("Bond 5"&amp;CELL("address",D14),Validation!I:I,0)),"")</f>
        <v/>
      </c>
    </row>
    <row r="15" spans="1:6" x14ac:dyDescent="0.25">
      <c r="A15" s="79" t="s">
        <v>214</v>
      </c>
      <c r="B15" s="121" t="str">
        <f>IF(NOT(ISBLANK('Bond Input'!G13)),'Bond Input'!G13,"")</f>
        <v/>
      </c>
      <c r="C15" s="132"/>
      <c r="D15" s="77" t="str">
        <f ca="1">IFERROR(INDEX(Validation!G:G,MATCH("Bond 5"&amp;CELL("address",D15),Validation!I:I,0)),"")</f>
        <v/>
      </c>
      <c r="E15" s="66" t="str">
        <f ca="1">IFERROR(INDEX(Validation!F:F,MATCH("Bond 5"&amp;CELL("address",D15),Validation!I:I,0)),"")</f>
        <v/>
      </c>
    </row>
    <row r="16" spans="1:6" x14ac:dyDescent="0.25">
      <c r="A16" s="79" t="s">
        <v>535</v>
      </c>
      <c r="B16" s="122" t="str">
        <f>IF(NOT(ISBLANK('Bond Input'!G14)),'Bond Input'!G14,"")</f>
        <v/>
      </c>
      <c r="C16" s="128"/>
      <c r="D16" s="77" t="str">
        <f ca="1">IFERROR(INDEX(Validation!G:G,MATCH("Bond 5"&amp;CELL("address",D16),Validation!I:I,0)),"")</f>
        <v/>
      </c>
      <c r="E16" s="66" t="str">
        <f ca="1">IFERROR(INDEX(Validation!F:F,MATCH("Bond 5"&amp;CELL("address",D16),Validation!I:I,0)),"")</f>
        <v/>
      </c>
    </row>
    <row r="17" spans="1:5" x14ac:dyDescent="0.25">
      <c r="A17" s="79" t="s">
        <v>230</v>
      </c>
      <c r="B17" s="122" t="str">
        <f>IF(NOT(ISBLANK('Bond Input'!G15)),'Bond Input'!G15,"")</f>
        <v/>
      </c>
      <c r="C17" s="128"/>
      <c r="D17" s="77" t="str">
        <f ca="1">IFERROR(INDEX(Validation!G:G,MATCH("Bond 5"&amp;CELL("address",D17),Validation!I:I,0)),"")</f>
        <v/>
      </c>
      <c r="E17" s="66" t="str">
        <f ca="1">IFERROR(INDEX(Validation!F:F,MATCH("Bond 5"&amp;CELL("address",D17),Validation!I:I,0)),"")</f>
        <v/>
      </c>
    </row>
    <row r="18" spans="1:5" x14ac:dyDescent="0.25">
      <c r="A18" s="79" t="s">
        <v>231</v>
      </c>
      <c r="B18" s="122" t="str">
        <f>IF(NOT(ISBLANK('Bond Input'!G16)),'Bond Input'!G16,"")</f>
        <v/>
      </c>
      <c r="C18" s="128"/>
      <c r="D18" s="77" t="str">
        <f ca="1">IFERROR(INDEX(Validation!G:G,MATCH("Bond 5"&amp;CELL("address",D18),Validation!I:I,0)),"")</f>
        <v/>
      </c>
      <c r="E18" s="66" t="str">
        <f ca="1">IFERROR(INDEX(Validation!F:F,MATCH("Bond 5"&amp;CELL("address",D18),Validation!I:I,0)),"")</f>
        <v/>
      </c>
    </row>
    <row r="19" spans="1:5" x14ac:dyDescent="0.25">
      <c r="A19" s="79" t="s">
        <v>216</v>
      </c>
      <c r="B19" s="122" t="str">
        <f>IF(NOT(ISBLANK('Bond Input'!G17)),'Bond Input'!G17,"")</f>
        <v/>
      </c>
      <c r="C19" s="128"/>
      <c r="D19" s="77" t="str">
        <f ca="1">IFERROR(INDEX(Validation!G:G,MATCH("Bond 5"&amp;CELL("address",D19),Validation!I:I,0)),"")</f>
        <v/>
      </c>
      <c r="E19" s="66" t="str">
        <f ca="1">IFERROR(INDEX(Validation!F:F,MATCH("Bond 5"&amp;CELL("address",D19),Validation!I:I,0)),"")</f>
        <v/>
      </c>
    </row>
    <row r="20" spans="1:5" x14ac:dyDescent="0.25">
      <c r="A20" s="79" t="s">
        <v>232</v>
      </c>
      <c r="B20" s="103" t="str">
        <f>IF(ISBLANK('Bond Input'!G18),"Select One",IF('Bond Input'!G18=TRUE,"Yes","No"))</f>
        <v>Select One</v>
      </c>
      <c r="D20" s="77" t="str">
        <f ca="1">IFERROR(INDEX(Validation!G:G,MATCH("Bond 5"&amp;CELL("address",D20),Validation!I:I,0)),"")</f>
        <v/>
      </c>
      <c r="E20" s="66" t="str">
        <f ca="1">IFERROR(INDEX(Validation!F:F,MATCH("Bond 5"&amp;CELL("address",D20),Validation!I:I,0)),"")</f>
        <v/>
      </c>
    </row>
    <row r="21" spans="1:5" ht="20.100000000000001" customHeight="1" x14ac:dyDescent="0.25">
      <c r="A21" s="74" t="s">
        <v>1183</v>
      </c>
      <c r="B21" s="74" t="s">
        <v>283</v>
      </c>
      <c r="C21" s="74" t="str">
        <f>Year_DestinationYearID&amp;" Amount"</f>
        <v>2024 Amount</v>
      </c>
      <c r="D21" s="77" t="str">
        <f ca="1">IFERROR(INDEX(Validation!G:G,MATCH("Bond 5"&amp;CELL("address",D21),Validation!I:I,0)),"")</f>
        <v/>
      </c>
      <c r="E21" s="66" t="str">
        <f ca="1">IFERROR(INDEX(Validation!F:F,MATCH("Bond 5"&amp;CELL("address",D21),Validation!I:I,0)),"")</f>
        <v/>
      </c>
    </row>
    <row r="22" spans="1:5" x14ac:dyDescent="0.25">
      <c r="A22" s="79" t="s">
        <v>266</v>
      </c>
      <c r="B22" s="122" t="str">
        <f>IF(NOT(ISBLANK('Bond Input'!G19)),'Bond Input'!G19,"")</f>
        <v/>
      </c>
      <c r="C22" s="122"/>
      <c r="D22" s="77" t="str">
        <f ca="1">IFERROR(INDEX(Validation!G:G,MATCH("Bond 5"&amp;CELL("address",D22),Validation!I:I,0)),"")</f>
        <v/>
      </c>
      <c r="E22" s="66" t="str">
        <f ca="1">IFERROR(INDEX(Validation!F:F,MATCH("Bond 5"&amp;CELL("address",D22),Validation!I:I,0)),"")</f>
        <v/>
      </c>
    </row>
    <row r="23" spans="1:5" x14ac:dyDescent="0.25">
      <c r="A23" s="79" t="s">
        <v>267</v>
      </c>
      <c r="B23" s="122" t="str">
        <f>IF(NOT(ISBLANK('Bond Input'!G21)),'Bond Input'!G21,"")</f>
        <v/>
      </c>
      <c r="C23" s="122"/>
      <c r="D23" s="77" t="str">
        <f ca="1">IFERROR(INDEX(Validation!G:G,MATCH("Bond 5"&amp;CELL("address",D23),Validation!I:I,0)),"")</f>
        <v/>
      </c>
      <c r="E23" s="66" t="str">
        <f ca="1">IFERROR(INDEX(Validation!F:F,MATCH("Bond 5"&amp;CELL("address",D23),Validation!I:I,0)),"")</f>
        <v/>
      </c>
    </row>
    <row r="24" spans="1:5" x14ac:dyDescent="0.25">
      <c r="A24" s="79" t="s">
        <v>268</v>
      </c>
      <c r="B24" s="122" t="str">
        <f>IF(NOT(ISBLANK('Bond Input'!G23)),'Bond Input'!G23,"")</f>
        <v/>
      </c>
      <c r="C24" s="122"/>
      <c r="D24" s="77" t="str">
        <f ca="1">IFERROR(INDEX(Validation!G:G,MATCH("Bond 5"&amp;CELL("address",D24),Validation!I:I,0)),"")</f>
        <v/>
      </c>
      <c r="E24" s="66" t="str">
        <f ca="1">IFERROR(INDEX(Validation!F:F,MATCH("Bond 5"&amp;CELL("address",D24),Validation!I:I,0)),"")</f>
        <v/>
      </c>
    </row>
    <row r="25" spans="1:5" x14ac:dyDescent="0.25">
      <c r="A25" s="79" t="s">
        <v>269</v>
      </c>
      <c r="B25" s="122" t="str">
        <f>IF(NOT(ISBLANK('Bond Input'!G25)),'Bond Input'!G25,"")</f>
        <v/>
      </c>
      <c r="C25" s="122"/>
      <c r="D25" s="77" t="str">
        <f ca="1">IFERROR(INDEX(Validation!G:G,MATCH("Bond 5"&amp;CELL("address",D25),Validation!I:I,0)),"")</f>
        <v/>
      </c>
      <c r="E25" s="66" t="str">
        <f ca="1">IFERROR(INDEX(Validation!F:F,MATCH("Bond 5"&amp;CELL("address",D25),Validation!I:I,0)),"")</f>
        <v/>
      </c>
    </row>
    <row r="26" spans="1:5" x14ac:dyDescent="0.25">
      <c r="A26" s="79" t="s">
        <v>1101</v>
      </c>
      <c r="B26" s="122" t="str">
        <f>IF(NOT(ISBLANK('Bond Input'!G27)),'Bond Input'!G27,"")</f>
        <v/>
      </c>
      <c r="C26" s="122"/>
      <c r="D26" s="77" t="str">
        <f ca="1">IFERROR(INDEX(Validation!G:G,MATCH("Bond 5"&amp;CELL("address",D26),Validation!I:I,0)),"")</f>
        <v/>
      </c>
      <c r="E26" s="66" t="str">
        <f ca="1">IFERROR(INDEX(Validation!F:F,MATCH("Bond 5"&amp;CELL("address",D26),Validation!I:I,0)),"")</f>
        <v/>
      </c>
    </row>
    <row r="27" spans="1:5" x14ac:dyDescent="0.25">
      <c r="A27" s="79" t="s">
        <v>270</v>
      </c>
      <c r="B27" s="122" t="str">
        <f>IF(NOT(ISBLANK('Bond Input'!G29)),'Bond Input'!G29,"")</f>
        <v/>
      </c>
      <c r="C27" s="122"/>
      <c r="D27" s="77" t="str">
        <f ca="1">IFERROR(INDEX(Validation!G:G,MATCH("Bond 5"&amp;CELL("address",D27),Validation!I:I,0)),"")</f>
        <v/>
      </c>
      <c r="E27" s="66" t="str">
        <f ca="1">IFERROR(INDEX(Validation!F:F,MATCH("Bond 5"&amp;CELL("address",D27),Validation!I:I,0)),"")</f>
        <v/>
      </c>
    </row>
    <row r="28" spans="1:5" x14ac:dyDescent="0.25">
      <c r="A28" s="79" t="s">
        <v>271</v>
      </c>
      <c r="B28" s="122" t="str">
        <f>IF(NOT(ISBLANK('Bond Input'!G31)),'Bond Input'!G31,"")</f>
        <v/>
      </c>
      <c r="C28" s="122"/>
      <c r="D28" s="77" t="str">
        <f ca="1">IFERROR(INDEX(Validation!G:G,MATCH("Bond 5"&amp;CELL("address",D28),Validation!I:I,0)),"")</f>
        <v/>
      </c>
      <c r="E28" s="66" t="str">
        <f ca="1">IFERROR(INDEX(Validation!F:F,MATCH("Bond 5"&amp;CELL("address",D28),Validation!I:I,0)),"")</f>
        <v/>
      </c>
    </row>
    <row r="29" spans="1:5" x14ac:dyDescent="0.25">
      <c r="A29" s="79" t="s">
        <v>272</v>
      </c>
      <c r="B29" s="122" t="str">
        <f>IF(NOT(ISBLANK('Bond Input'!G33)),'Bond Input'!G33,"")</f>
        <v/>
      </c>
      <c r="C29" s="122"/>
      <c r="D29" s="77" t="str">
        <f ca="1">IFERROR(INDEX(Validation!G:G,MATCH("Bond 5"&amp;CELL("address",D29),Validation!I:I,0)),"")</f>
        <v/>
      </c>
      <c r="E29" s="66" t="str">
        <f ca="1">IFERROR(INDEX(Validation!F:F,MATCH("Bond 5"&amp;CELL("address",D29),Validation!I:I,0)),"")</f>
        <v/>
      </c>
    </row>
    <row r="30" spans="1:5" x14ac:dyDescent="0.25">
      <c r="A30" s="79" t="s">
        <v>273</v>
      </c>
      <c r="B30" s="122" t="str">
        <f>IF(NOT(ISBLANK('Bond Input'!G35)),'Bond Input'!G35,"")</f>
        <v/>
      </c>
      <c r="C30" s="122"/>
      <c r="D30" s="77" t="str">
        <f ca="1">IFERROR(INDEX(Validation!G:G,MATCH("Bond 5"&amp;CELL("address",D30),Validation!I:I,0)),"")</f>
        <v/>
      </c>
      <c r="E30" s="66" t="str">
        <f ca="1">IFERROR(INDEX(Validation!F:F,MATCH("Bond 5"&amp;CELL("address",D30),Validation!I:I,0)),"")</f>
        <v/>
      </c>
    </row>
    <row r="31" spans="1:5" x14ac:dyDescent="0.25">
      <c r="A31" s="130" t="s">
        <v>1184</v>
      </c>
      <c r="B31" s="125">
        <f>SUM(B22:B30)</f>
        <v>0</v>
      </c>
      <c r="C31" s="125">
        <f>SUM(C22:C30)</f>
        <v>0</v>
      </c>
      <c r="D31" s="77" t="str">
        <f ca="1">IFERROR(INDEX(Validation!G:G,MATCH("Bond 5"&amp;CELL("address",D31),Validation!I:I,0)),"")</f>
        <v/>
      </c>
      <c r="E31" s="66" t="str">
        <f ca="1">IFERROR(INDEX(Validation!F:F,MATCH("Bond 5"&amp;CELL("address",D31),Validation!I:I,0)),"")</f>
        <v/>
      </c>
    </row>
    <row r="32" spans="1:5" x14ac:dyDescent="0.25">
      <c r="A32" s="130" t="s">
        <v>1185</v>
      </c>
      <c r="B32" s="125">
        <f>IF(B16="",0,B16-B31)</f>
        <v>0</v>
      </c>
      <c r="C32" s="125">
        <f>IF(B16="",0,B16-B31-C31)</f>
        <v>0</v>
      </c>
      <c r="D32" s="77" t="str">
        <f ca="1">IFERROR(INDEX(Validation!G:G,MATCH("Bond 5"&amp;CELL("address",D32),Validation!I:I,0)),"")</f>
        <v/>
      </c>
      <c r="E32" s="66" t="str">
        <f ca="1">IFERROR(INDEX(Validation!F:F,MATCH("Bond 5"&amp;CELL("address",D32),Validation!I:I,0)),"")</f>
        <v/>
      </c>
    </row>
    <row r="33" spans="1:5" x14ac:dyDescent="0.25">
      <c r="A33" s="131" t="s">
        <v>1186</v>
      </c>
      <c r="B33" s="122" t="str">
        <f>IF(NOT(ISBLANK('Bond Input'!G41)),'Bond Input'!G41,"")</f>
        <v/>
      </c>
      <c r="C33" s="122"/>
      <c r="D33" s="77" t="str">
        <f ca="1">IFERROR(INDEX(Validation!G:G,MATCH("Bond 5"&amp;CELL("address",D33),Validation!I:I,0)),"")</f>
        <v/>
      </c>
      <c r="E33" s="66" t="str">
        <f ca="1">IFERROR(INDEX(Validation!F:F,MATCH("Bond 5"&amp;CELL("address",D33),Validation!I:I,0)),"")</f>
        <v/>
      </c>
    </row>
    <row r="34" spans="1:5" x14ac:dyDescent="0.25">
      <c r="A34" s="131" t="s">
        <v>1187</v>
      </c>
      <c r="B34" s="122" t="str">
        <f>IF(NOT(ISBLANK('Bond Input'!G43)),'Bond Input'!G43,"")</f>
        <v/>
      </c>
      <c r="C34" s="122"/>
      <c r="D34" s="77" t="str">
        <f ca="1">IFERROR(INDEX(Validation!G:G,MATCH("Bond 5"&amp;CELL("address",D34),Validation!I:I,0)),"")</f>
        <v/>
      </c>
      <c r="E34" s="66" t="str">
        <f ca="1">IFERROR(INDEX(Validation!F:F,MATCH("Bond 5"&amp;CELL("address",D34),Validation!I:I,0)),"")</f>
        <v/>
      </c>
    </row>
    <row r="35" spans="1:5" ht="20.100000000000001" customHeight="1" x14ac:dyDescent="0.25">
      <c r="A35" s="74" t="s">
        <v>684</v>
      </c>
      <c r="B35" s="74" t="s">
        <v>283</v>
      </c>
      <c r="C35" s="74" t="str">
        <f>Year_DestinationYearID&amp;" Amount"</f>
        <v>2024 Amount</v>
      </c>
      <c r="D35" s="77" t="str">
        <f ca="1">IFERROR(INDEX(Validation!G:G,MATCH("Bond 5"&amp;CELL("address",D35),Validation!I:I,0)),"")</f>
        <v/>
      </c>
      <c r="E35" s="66" t="str">
        <f ca="1">IFERROR(INDEX(Validation!F:F,MATCH("Bond 5"&amp;CELL("address",D35),Validation!I:I,0)),"")</f>
        <v/>
      </c>
    </row>
    <row r="36" spans="1:5" x14ac:dyDescent="0.25">
      <c r="A36" s="79" t="s">
        <v>1188</v>
      </c>
      <c r="B36" s="122" t="str">
        <f>IF(NOT(ISBLANK('Bond Input'!G45)),'Bond Input'!G45,"")</f>
        <v/>
      </c>
      <c r="C36" s="122"/>
      <c r="D36" s="77" t="str">
        <f ca="1">IFERROR(INDEX(Validation!G:G,MATCH("Bond 5"&amp;CELL("address",D36),Validation!I:I,0)),"")</f>
        <v/>
      </c>
      <c r="E36" s="66" t="str">
        <f ca="1">IFERROR(INDEX(Validation!F:F,MATCH("Bond 5"&amp;CELL("address",D36),Validation!I:I,0)),"")</f>
        <v/>
      </c>
    </row>
    <row r="37" spans="1:5" x14ac:dyDescent="0.25">
      <c r="A37" s="79" t="s">
        <v>1189</v>
      </c>
      <c r="B37" s="122" t="str">
        <f>IF(NOT(ISBLANK('Bond Input'!G47)),'Bond Input'!G47,"")</f>
        <v/>
      </c>
      <c r="C37" s="122"/>
      <c r="D37" s="77" t="str">
        <f ca="1">IFERROR(INDEX(Validation!G:G,MATCH("Bond 5"&amp;CELL("address",D37),Validation!I:I,0)),"")</f>
        <v/>
      </c>
      <c r="E37" s="66" t="str">
        <f ca="1">IFERROR(INDEX(Validation!F:F,MATCH("Bond 5"&amp;CELL("address",D37),Validation!I:I,0)),"")</f>
        <v/>
      </c>
    </row>
    <row r="38" spans="1:5" x14ac:dyDescent="0.25">
      <c r="A38" s="79" t="s">
        <v>1190</v>
      </c>
      <c r="B38" s="122" t="str">
        <f>IF(NOT(ISBLANK('Bond Input'!G49)),'Bond Input'!G49,"")</f>
        <v/>
      </c>
      <c r="C38" s="122"/>
      <c r="D38" s="77" t="str">
        <f ca="1">IFERROR(INDEX(Validation!G:G,MATCH("Bond 5"&amp;CELL("address",D38),Validation!I:I,0)),"")</f>
        <v/>
      </c>
      <c r="E38" s="66" t="str">
        <f ca="1">IFERROR(INDEX(Validation!F:F,MATCH("Bond 5"&amp;CELL("address",D38),Validation!I:I,0)),"")</f>
        <v/>
      </c>
    </row>
    <row r="39" spans="1:5" x14ac:dyDescent="0.25">
      <c r="A39" s="79" t="s">
        <v>221</v>
      </c>
      <c r="B39" s="125" t="str">
        <f>IFERROR(IF(B11="Yes","See Pooled Debt",IF(B8="Non-TIF Bond","NA/Non-TIF Bond",B16-B19-B36-B37+B38)),"")</f>
        <v/>
      </c>
      <c r="C39" s="125" t="str">
        <f>IFERROR(IF(B11="Yes","See Pooled Debt",IF(B8="Non-TIF Bond","NA/Non-TIF Bond",B16-B19-B36-B37-C36-C37+B38+C38)),"")</f>
        <v/>
      </c>
      <c r="D39" s="77" t="str">
        <f ca="1">IFERROR(INDEX(Validation!G:G,MATCH("Bond 5"&amp;CELL("address",D39),Validation!I:I,0)),"")</f>
        <v/>
      </c>
      <c r="E39" s="66" t="str">
        <f ca="1">IFERROR(INDEX(Validation!F:F,MATCH("Bond 5"&amp;CELL("address",D39),Validation!I:I,0)),"")</f>
        <v/>
      </c>
    </row>
    <row r="40" spans="1:5" x14ac:dyDescent="0.25">
      <c r="A40" s="79" t="s">
        <v>223</v>
      </c>
      <c r="B40" s="122" t="str">
        <f>IF(NOT(ISBLANK('Bond Input'!G53)),'Bond Input'!G53,"")</f>
        <v/>
      </c>
      <c r="C40" s="122"/>
      <c r="D40" s="77" t="str">
        <f ca="1">IFERROR(INDEX(Validation!G:G,MATCH("Bond 5"&amp;CELL("address",D40),Validation!I:I,0)),"")</f>
        <v/>
      </c>
      <c r="E40" s="66" t="str">
        <f ca="1">IFERROR(INDEX(Validation!F:F,MATCH("Bond 5"&amp;CELL("address",D40),Validation!I:I,0)),"")</f>
        <v/>
      </c>
    </row>
    <row r="41" spans="1:5" x14ac:dyDescent="0.25">
      <c r="A41" s="79" t="s">
        <v>1191</v>
      </c>
      <c r="B41" s="122" t="str">
        <f>IF(NOT(ISBLANK('Bond Input'!G55)),'Bond Input'!G55,"")</f>
        <v/>
      </c>
      <c r="C41" s="122"/>
      <c r="D41" s="77" t="str">
        <f ca="1">IFERROR(INDEX(Validation!G:G,MATCH("Bond 5"&amp;CELL("address",D41),Validation!I:I,0)),"")</f>
        <v/>
      </c>
      <c r="E41" s="66" t="str">
        <f ca="1">IFERROR(INDEX(Validation!F:F,MATCH("Bond 5"&amp;CELL("address",D41),Validation!I:I,0)),"")</f>
        <v/>
      </c>
    </row>
    <row r="42" spans="1:5" x14ac:dyDescent="0.25">
      <c r="A42" s="79" t="s">
        <v>1192</v>
      </c>
      <c r="B42" s="122" t="str">
        <f>IF(NOT(ISBLANK('Bond Input'!G57)),'Bond Input'!G57,"")</f>
        <v/>
      </c>
      <c r="C42" s="122"/>
      <c r="D42" s="77" t="str">
        <f ca="1">IFERROR(INDEX(Validation!G:G,MATCH("Bond 5"&amp;CELL("address",D42),Validation!I:I,0)),"")</f>
        <v/>
      </c>
      <c r="E42" s="66" t="str">
        <f ca="1">IFERROR(INDEX(Validation!F:F,MATCH("Bond 5"&amp;CELL("address",D42),Validation!I:I,0)),"")</f>
        <v/>
      </c>
    </row>
    <row r="43" spans="1:5" ht="20.100000000000001" customHeight="1" x14ac:dyDescent="0.25">
      <c r="A43" s="74" t="str">
        <f>"Principal and Interest Due in "&amp;Year_DestinationYearID+1</f>
        <v>Principal and Interest Due in 2025</v>
      </c>
      <c r="B43" s="128"/>
      <c r="C43" s="128"/>
      <c r="D43" s="77"/>
    </row>
    <row r="44" spans="1:5" x14ac:dyDescent="0.25">
      <c r="A44" s="79" t="str">
        <f>"Principal Due in "&amp;Year_DestinationYearID+1</f>
        <v>Principal Due in 2025</v>
      </c>
      <c r="B44" s="122"/>
      <c r="C44" s="128"/>
      <c r="D44" s="77" t="str">
        <f ca="1">IFERROR(INDEX(Validation!G:G,MATCH("Bond 5"&amp;CELL("address",D44),Validation!I:I,0)),"")</f>
        <v/>
      </c>
      <c r="E44" s="66" t="str">
        <f ca="1">IFERROR(INDEX(Validation!F:F,MATCH("Bond 5"&amp;CELL("address",D44),Validation!I:I,0)),"")</f>
        <v/>
      </c>
    </row>
    <row r="45" spans="1:5" x14ac:dyDescent="0.25">
      <c r="A45" s="79" t="str">
        <f>"Interest Due in "&amp;Year_DestinationYearID+1</f>
        <v>Interest Due in 2025</v>
      </c>
      <c r="B45" s="122"/>
      <c r="C45" s="128"/>
      <c r="D45" s="77" t="str">
        <f ca="1">IFERROR(INDEX(Validation!G:G,MATCH("Bond 5"&amp;CELL("address",D45),Validation!I:I,0)),"")</f>
        <v/>
      </c>
      <c r="E45" s="66" t="str">
        <f ca="1">IFERROR(INDEX(Validation!F:F,MATCH("Bond 5"&amp;CELL("address",D45),Validation!I:I,0)),"")</f>
        <v/>
      </c>
    </row>
    <row r="46" spans="1:5" ht="20.100000000000001" customHeight="1" x14ac:dyDescent="0.25">
      <c r="A46" s="97" t="s">
        <v>176</v>
      </c>
      <c r="D46" s="77" t="str">
        <f ca="1">IF(AND(ISBLANK(A47),OR(COUNTIF(E6:E45,"Alert")&gt;0,SUM(B38:B38)&lt;&gt;0)),"Comment(s) required for remaining alert(s) and/or additions/reductions to principal.",IFERROR(INDEX(Validation!G:G,MATCH("Bond 5"&amp;CELL("address",D47),Validation!I:I,0)),""))</f>
        <v/>
      </c>
      <c r="E46" s="66" t="str">
        <f ca="1">IF(AND(ISBLANK(A47),OR(COUNTIF(E6:E45,"Alert")&gt;0,SUM(B38:B38)&lt;&gt;0)),"Error",IFERROR(INDEX(Validation!F:F,MATCH("Bond 5"&amp;CELL("address",D47),Validation!I:I,0)),""))</f>
        <v/>
      </c>
    </row>
    <row r="47" spans="1:5" ht="150" customHeight="1" x14ac:dyDescent="0.25">
      <c r="A47" s="123"/>
      <c r="B47" s="100" t="str">
        <f>HYPERLINK("#'Bonds'!B6","Click here to return to the Bonds Tab")</f>
        <v>Click here to return to the Bonds Tab</v>
      </c>
      <c r="C47" s="127"/>
    </row>
    <row r="48" spans="1:5" x14ac:dyDescent="0.25">
      <c r="A48" s="98"/>
      <c r="B48" s="98"/>
      <c r="C48" s="98"/>
    </row>
    <row r="49" spans="1:3" x14ac:dyDescent="0.25">
      <c r="A49" s="98"/>
      <c r="B49" s="98"/>
      <c r="C49" s="98"/>
    </row>
    <row r="50" spans="1:3" x14ac:dyDescent="0.25">
      <c r="A50" s="98"/>
      <c r="B50" s="98"/>
      <c r="C50" s="98"/>
    </row>
    <row r="51" spans="1:3" x14ac:dyDescent="0.25">
      <c r="A51" s="98"/>
      <c r="B51" s="98"/>
      <c r="C51" s="98"/>
    </row>
  </sheetData>
  <sheetProtection algorithmName="SHA-512" hashValue="J/LrrPrTdEgzY2VGR743W+oZzjeuVVHI0qiJ4lZubakD5VV+6CjZZPq7uXZVL5HbcQ8coPIwqpGCUpOYDuI8iA==" saltValue="OtPTJ1RJDyrRJwpBh7ImEg==" spinCount="100000" sheet="1" objects="1" scenarios="1"/>
  <mergeCells count="1">
    <mergeCell ref="A4:E4"/>
  </mergeCells>
  <conditionalFormatting sqref="A2 D6:E46">
    <cfRule type="expression" dxfId="440" priority="6">
      <formula>$E2="Exclude"</formula>
    </cfRule>
  </conditionalFormatting>
  <conditionalFormatting sqref="A2">
    <cfRule type="expression" dxfId="439" priority="4">
      <formula>$E2="Error"</formula>
    </cfRule>
  </conditionalFormatting>
  <conditionalFormatting sqref="D6:E46">
    <cfRule type="expression" dxfId="437" priority="1">
      <formula>$E6="Information"</formula>
    </cfRule>
    <cfRule type="expression" dxfId="436" priority="2">
      <formula>$E6="Error"</formula>
    </cfRule>
    <cfRule type="expression" dxfId="435" priority="3">
      <formula>$E6="Alert"</formula>
    </cfRule>
  </conditionalFormatting>
  <dataValidations count="2">
    <dataValidation type="list" allowBlank="1" showInputMessage="1" showErrorMessage="1" sqref="B8:C8" xr:uid="{83C4EF0A-008F-409B-928D-1A923CAA9766}">
      <formula1>BondType</formula1>
    </dataValidation>
    <dataValidation type="list" allowBlank="1" showInputMessage="1" showErrorMessage="1" sqref="B9:C11 B20:C20" xr:uid="{5C19448B-12F5-460C-9A6A-7272FAC135BE}">
      <formula1>SelOneYesNo</formula1>
    </dataValidation>
  </dataValidations>
  <pageMargins left="0.7" right="0.7" top="0.75" bottom="0.75" header="0.3" footer="0.3"/>
  <pageSetup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5" id="{731FC2E1-FADF-46A6-9204-D9D4DED13BA2}">
            <xm:f>COUNTIFS(Validation!$H:$H,MID(CELL("filename",A2),FIND("]",CELL("filename",A2))+1,255)&amp;CELL("address",A2))&gt;0</xm:f>
            <x14:dxf>
              <font>
                <b/>
                <i val="0"/>
                <color rgb="FFC00000"/>
              </font>
              <numFmt numFmtId="172" formatCode="_(\!* #,##0_);_(\!* \(#,##0\);_(\!* \-??_);_(\!\ @_)"/>
            </x14:dxf>
          </x14:cfRule>
          <xm:sqref>A2</xm:sqref>
        </x14:conditionalFormatting>
      </x14:conditionalFormatting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A8F91-7134-4F2B-A0C2-26F5D8152C07}">
  <sheetPr>
    <tabColor rgb="FFEED382"/>
  </sheetPr>
  <dimension ref="A1:F51"/>
  <sheetViews>
    <sheetView showGridLines="0" workbookViewId="0">
      <selection activeCell="B7" sqref="B7"/>
    </sheetView>
  </sheetViews>
  <sheetFormatPr defaultRowHeight="15" x14ac:dyDescent="0.25"/>
  <cols>
    <col min="1" max="1" width="55.7109375" style="66" customWidth="1"/>
    <col min="2" max="3" width="20.7109375" style="66" customWidth="1"/>
    <col min="4" max="4" width="80.85546875" style="66" customWidth="1"/>
    <col min="5" max="5" width="14.7109375" style="66" customWidth="1"/>
    <col min="6" max="6" width="0" style="78" hidden="1" customWidth="1"/>
    <col min="7" max="16384" width="9.140625" style="66"/>
  </cols>
  <sheetData>
    <row r="1" spans="1:6" s="59" customFormat="1" ht="24.95" customHeight="1" x14ac:dyDescent="0.25">
      <c r="A1" s="59" t="str">
        <f>_xlfn.CONCAT("Office of the State Auditor  -  TIF Annual Reporting Form  -  ",Year_DestinationYearID)</f>
        <v>Office of the State Auditor  -  TIF Annual Reporting Form  -  2024</v>
      </c>
      <c r="F1" s="61"/>
    </row>
    <row r="2" spans="1:6" s="62" customFormat="1" ht="20.100000000000001" customHeight="1" x14ac:dyDescent="0.25">
      <c r="A2" s="58" t="str">
        <f>_xlfn.CONCAT(GovEntity_GovEntityName_Parent,"  -  ",GovEntity_GovEntityName)</f>
        <v>Spruce City  -  TIF 1-1 Downtown Redev</v>
      </c>
      <c r="F2" s="64"/>
    </row>
    <row r="3" spans="1:6" s="68" customFormat="1" ht="24.95" customHeight="1" x14ac:dyDescent="0.3">
      <c r="A3" s="65" t="s">
        <v>206</v>
      </c>
      <c r="B3" s="66"/>
      <c r="C3" s="66"/>
      <c r="F3" s="69"/>
    </row>
    <row r="4" spans="1:6" s="71" customFormat="1" x14ac:dyDescent="0.25">
      <c r="A4" s="217" t="s">
        <v>207</v>
      </c>
      <c r="B4" s="217"/>
      <c r="C4" s="217"/>
      <c r="D4" s="217"/>
      <c r="E4" s="217"/>
      <c r="F4" s="72" t="s">
        <v>119</v>
      </c>
    </row>
    <row r="5" spans="1:6" s="74" customFormat="1" ht="20.100000000000001" customHeight="1" x14ac:dyDescent="0.25">
      <c r="A5" s="73" t="str">
        <f>HYPERLINK("#'Bonds'!B6","Click here to return to the Bonds Tab")</f>
        <v>Click here to return to the Bonds Tab</v>
      </c>
      <c r="D5" s="74" t="s">
        <v>121</v>
      </c>
      <c r="E5" s="74" t="s">
        <v>102</v>
      </c>
      <c r="F5" s="76"/>
    </row>
    <row r="6" spans="1:6" ht="20.100000000000001" customHeight="1" x14ac:dyDescent="0.25">
      <c r="A6" s="74" t="s">
        <v>208</v>
      </c>
      <c r="D6" s="77" t="str">
        <f ca="1">IFERROR(INDEX(Validation!G:G,MATCH("Bond 6"&amp;CELL("address",D6),Validation!I:I,0)),"")</f>
        <v/>
      </c>
      <c r="E6" s="66" t="str">
        <f ca="1">IFERROR(INDEX(Validation!F:F,MATCH("Bond 6"&amp;CELL("address",D6),Validation!I:I,0)),"")</f>
        <v/>
      </c>
      <c r="F6" s="78" t="s">
        <v>1008</v>
      </c>
    </row>
    <row r="7" spans="1:6" x14ac:dyDescent="0.25">
      <c r="A7" s="79" t="s">
        <v>210</v>
      </c>
      <c r="B7" s="103" t="str">
        <f>IF(NOT(ISBLANK('Bond Input'!H5)),'Bond Input'!H5,"")</f>
        <v/>
      </c>
      <c r="D7" s="77" t="str">
        <f ca="1">IFERROR(INDEX(Validation!G:G,MATCH("Bond 6"&amp;CELL("address",D7),Validation!I:I,0)),"")</f>
        <v/>
      </c>
      <c r="E7" s="66" t="str">
        <f ca="1">IFERROR(INDEX(Validation!F:F,MATCH("Bond 6"&amp;CELL("address",D7),Validation!I:I,0)),"")</f>
        <v/>
      </c>
      <c r="F7" s="85" t="str">
        <f>IF(NOT(ISBLANK('Bond Input'!H4)),'Bond Input'!H4,"")</f>
        <v/>
      </c>
    </row>
    <row r="8" spans="1:6" x14ac:dyDescent="0.25">
      <c r="A8" s="79" t="s">
        <v>209</v>
      </c>
      <c r="B8" s="103" t="str">
        <f>IF(NOT(ISBLANK('Bond Input'!H6)),'Bond Input'!H6,"Select One")</f>
        <v>Select One</v>
      </c>
      <c r="D8" s="77" t="str">
        <f ca="1">IFERROR(INDEX(Validation!G:G,MATCH("Bond 6"&amp;CELL("address",D8),Validation!I:I,0)),"")</f>
        <v/>
      </c>
      <c r="E8" s="66" t="str">
        <f ca="1">IFERROR(INDEX(Validation!F:F,MATCH("Bond 6"&amp;CELL("address",D8),Validation!I:I,0)),"")</f>
        <v/>
      </c>
    </row>
    <row r="9" spans="1:6" x14ac:dyDescent="0.25">
      <c r="A9" s="79" t="s">
        <v>227</v>
      </c>
      <c r="B9" s="103" t="str">
        <f>IF(NOT(ISBLANK('Bond Input'!H7)),'Bond Input'!H7,"Select One")</f>
        <v>Select One</v>
      </c>
      <c r="D9" s="77" t="str">
        <f ca="1">IFERROR(INDEX(Validation!G:G,MATCH("Bond 6"&amp;CELL("address",D9),Validation!I:I,0)),"")</f>
        <v/>
      </c>
      <c r="E9" s="66" t="str">
        <f ca="1">IFERROR(INDEX(Validation!F:F,MATCH("Bond 6"&amp;CELL("address",D9),Validation!I:I,0)),"")</f>
        <v/>
      </c>
    </row>
    <row r="10" spans="1:6" x14ac:dyDescent="0.25">
      <c r="A10" s="79" t="s">
        <v>228</v>
      </c>
      <c r="B10" s="103" t="str">
        <f>IF(NOT(ISBLANK('Bond Input'!H8)),'Bond Input'!H8,"Select One")</f>
        <v>Select One</v>
      </c>
      <c r="D10" s="77" t="str">
        <f ca="1">IFERROR(INDEX(Validation!G:G,MATCH("Bond 6"&amp;CELL("address",D10),Validation!I:I,0)),"")</f>
        <v/>
      </c>
      <c r="E10" s="66" t="str">
        <f ca="1">IFERROR(INDEX(Validation!F:F,MATCH("Bond 6"&amp;CELL("address",D10),Validation!I:I,0)),"")</f>
        <v/>
      </c>
    </row>
    <row r="11" spans="1:6" x14ac:dyDescent="0.25">
      <c r="A11" s="79" t="s">
        <v>229</v>
      </c>
      <c r="B11" s="103" t="str">
        <f>IF(NOT(ISBLANK('Bond Input'!H9)),'Bond Input'!H9,"Select One")</f>
        <v>Select One</v>
      </c>
      <c r="D11" s="77" t="str">
        <f ca="1">IFERROR(INDEX(Validation!G:G,MATCH("Bond 6"&amp;CELL("address",D11),Validation!I:I,0)),"")</f>
        <v/>
      </c>
      <c r="E11" s="66" t="str">
        <f ca="1">IFERROR(INDEX(Validation!F:F,MATCH("Bond 6"&amp;CELL("address",D11),Validation!I:I,0)),"")</f>
        <v/>
      </c>
    </row>
    <row r="12" spans="1:6" x14ac:dyDescent="0.25">
      <c r="A12" s="79" t="s">
        <v>211</v>
      </c>
      <c r="B12" s="120" t="str">
        <f>IF(NOT(ISBLANK('Bond Input'!H10)),'Bond Input'!H10,"")</f>
        <v/>
      </c>
      <c r="C12" s="129"/>
      <c r="D12" s="77" t="str">
        <f ca="1">IFERROR(INDEX(Validation!G:G,MATCH("Bond 6"&amp;CELL("address",D12),Validation!I:I,0)),"")</f>
        <v/>
      </c>
      <c r="E12" s="66" t="str">
        <f ca="1">IFERROR(INDEX(Validation!F:F,MATCH("Bond 6"&amp;CELL("address",D12),Validation!I:I,0)),"")</f>
        <v/>
      </c>
    </row>
    <row r="13" spans="1:6" x14ac:dyDescent="0.25">
      <c r="A13" s="79" t="s">
        <v>212</v>
      </c>
      <c r="B13" s="120" t="str">
        <f>IF(NOT(ISBLANK('Bond Input'!H11)),'Bond Input'!H11,"")</f>
        <v/>
      </c>
      <c r="C13" s="129"/>
      <c r="D13" s="77" t="str">
        <f ca="1">IFERROR(INDEX(Validation!G:G,MATCH("Bond 6"&amp;CELL("address",D13),Validation!I:I,0)),"")</f>
        <v/>
      </c>
      <c r="E13" s="66" t="str">
        <f ca="1">IFERROR(INDEX(Validation!F:F,MATCH("Bond 6"&amp;CELL("address",D13),Validation!I:I,0)),"")</f>
        <v/>
      </c>
    </row>
    <row r="14" spans="1:6" x14ac:dyDescent="0.25">
      <c r="A14" s="79" t="s">
        <v>213</v>
      </c>
      <c r="B14" s="121" t="str">
        <f>IF(NOT(ISBLANK('Bond Input'!H12)),'Bond Input'!H12,"")</f>
        <v/>
      </c>
      <c r="C14" s="132"/>
      <c r="D14" s="77" t="str">
        <f ca="1">IFERROR(INDEX(Validation!G:G,MATCH("Bond 6"&amp;CELL("address",D14),Validation!I:I,0)),"")</f>
        <v/>
      </c>
      <c r="E14" s="66" t="str">
        <f ca="1">IFERROR(INDEX(Validation!F:F,MATCH("Bond 6"&amp;CELL("address",D14),Validation!I:I,0)),"")</f>
        <v/>
      </c>
    </row>
    <row r="15" spans="1:6" x14ac:dyDescent="0.25">
      <c r="A15" s="79" t="s">
        <v>214</v>
      </c>
      <c r="B15" s="121" t="str">
        <f>IF(NOT(ISBLANK('Bond Input'!H13)),'Bond Input'!H13,"")</f>
        <v/>
      </c>
      <c r="C15" s="132"/>
      <c r="D15" s="77" t="str">
        <f ca="1">IFERROR(INDEX(Validation!G:G,MATCH("Bond 6"&amp;CELL("address",D15),Validation!I:I,0)),"")</f>
        <v/>
      </c>
      <c r="E15" s="66" t="str">
        <f ca="1">IFERROR(INDEX(Validation!F:F,MATCH("Bond 6"&amp;CELL("address",D15),Validation!I:I,0)),"")</f>
        <v/>
      </c>
    </row>
    <row r="16" spans="1:6" x14ac:dyDescent="0.25">
      <c r="A16" s="79" t="s">
        <v>535</v>
      </c>
      <c r="B16" s="122" t="str">
        <f>IF(NOT(ISBLANK('Bond Input'!H14)),'Bond Input'!H14,"")</f>
        <v/>
      </c>
      <c r="C16" s="128"/>
      <c r="D16" s="77" t="str">
        <f ca="1">IFERROR(INDEX(Validation!G:G,MATCH("Bond 6"&amp;CELL("address",D16),Validation!I:I,0)),"")</f>
        <v/>
      </c>
      <c r="E16" s="66" t="str">
        <f ca="1">IFERROR(INDEX(Validation!F:F,MATCH("Bond 6"&amp;CELL("address",D16),Validation!I:I,0)),"")</f>
        <v/>
      </c>
    </row>
    <row r="17" spans="1:5" x14ac:dyDescent="0.25">
      <c r="A17" s="79" t="s">
        <v>230</v>
      </c>
      <c r="B17" s="122" t="str">
        <f>IF(NOT(ISBLANK('Bond Input'!H15)),'Bond Input'!H15,"")</f>
        <v/>
      </c>
      <c r="C17" s="128"/>
      <c r="D17" s="77" t="str">
        <f ca="1">IFERROR(INDEX(Validation!G:G,MATCH("Bond 6"&amp;CELL("address",D17),Validation!I:I,0)),"")</f>
        <v/>
      </c>
      <c r="E17" s="66" t="str">
        <f ca="1">IFERROR(INDEX(Validation!F:F,MATCH("Bond 6"&amp;CELL("address",D17),Validation!I:I,0)),"")</f>
        <v/>
      </c>
    </row>
    <row r="18" spans="1:5" x14ac:dyDescent="0.25">
      <c r="A18" s="79" t="s">
        <v>231</v>
      </c>
      <c r="B18" s="122" t="str">
        <f>IF(NOT(ISBLANK('Bond Input'!H16)),'Bond Input'!H16,"")</f>
        <v/>
      </c>
      <c r="C18" s="128"/>
      <c r="D18" s="77" t="str">
        <f ca="1">IFERROR(INDEX(Validation!G:G,MATCH("Bond 6"&amp;CELL("address",D18),Validation!I:I,0)),"")</f>
        <v/>
      </c>
      <c r="E18" s="66" t="str">
        <f ca="1">IFERROR(INDEX(Validation!F:F,MATCH("Bond 6"&amp;CELL("address",D18),Validation!I:I,0)),"")</f>
        <v/>
      </c>
    </row>
    <row r="19" spans="1:5" x14ac:dyDescent="0.25">
      <c r="A19" s="79" t="s">
        <v>216</v>
      </c>
      <c r="B19" s="122" t="str">
        <f>IF(NOT(ISBLANK('Bond Input'!H17)),'Bond Input'!H17,"")</f>
        <v/>
      </c>
      <c r="C19" s="128"/>
      <c r="D19" s="77" t="str">
        <f ca="1">IFERROR(INDEX(Validation!G:G,MATCH("Bond 6"&amp;CELL("address",D19),Validation!I:I,0)),"")</f>
        <v/>
      </c>
      <c r="E19" s="66" t="str">
        <f ca="1">IFERROR(INDEX(Validation!F:F,MATCH("Bond 6"&amp;CELL("address",D19),Validation!I:I,0)),"")</f>
        <v/>
      </c>
    </row>
    <row r="20" spans="1:5" x14ac:dyDescent="0.25">
      <c r="A20" s="79" t="s">
        <v>232</v>
      </c>
      <c r="B20" s="103" t="str">
        <f>IF(ISBLANK('Bond Input'!H18),"Select One",IF('Bond Input'!H18=TRUE,"Yes","No"))</f>
        <v>Select One</v>
      </c>
      <c r="D20" s="77" t="str">
        <f ca="1">IFERROR(INDEX(Validation!G:G,MATCH("Bond 6"&amp;CELL("address",D20),Validation!I:I,0)),"")</f>
        <v/>
      </c>
      <c r="E20" s="66" t="str">
        <f ca="1">IFERROR(INDEX(Validation!F:F,MATCH("Bond 6"&amp;CELL("address",D20),Validation!I:I,0)),"")</f>
        <v/>
      </c>
    </row>
    <row r="21" spans="1:5" ht="20.100000000000001" customHeight="1" x14ac:dyDescent="0.25">
      <c r="A21" s="74" t="s">
        <v>1183</v>
      </c>
      <c r="B21" s="74" t="s">
        <v>283</v>
      </c>
      <c r="C21" s="74" t="str">
        <f>Year_DestinationYearID&amp;" Amount"</f>
        <v>2024 Amount</v>
      </c>
      <c r="D21" s="77" t="str">
        <f ca="1">IFERROR(INDEX(Validation!G:G,MATCH("Bond 6"&amp;CELL("address",D21),Validation!I:I,0)),"")</f>
        <v/>
      </c>
      <c r="E21" s="66" t="str">
        <f ca="1">IFERROR(INDEX(Validation!F:F,MATCH("Bond 6"&amp;CELL("address",D21),Validation!I:I,0)),"")</f>
        <v/>
      </c>
    </row>
    <row r="22" spans="1:5" x14ac:dyDescent="0.25">
      <c r="A22" s="79" t="s">
        <v>266</v>
      </c>
      <c r="B22" s="122" t="str">
        <f>IF(NOT(ISBLANK('Bond Input'!H19)),'Bond Input'!H19,"")</f>
        <v/>
      </c>
      <c r="C22" s="122"/>
      <c r="D22" s="77" t="str">
        <f ca="1">IFERROR(INDEX(Validation!G:G,MATCH("Bond 6"&amp;CELL("address",D22),Validation!I:I,0)),"")</f>
        <v/>
      </c>
      <c r="E22" s="66" t="str">
        <f ca="1">IFERROR(INDEX(Validation!F:F,MATCH("Bond 6"&amp;CELL("address",D22),Validation!I:I,0)),"")</f>
        <v/>
      </c>
    </row>
    <row r="23" spans="1:5" x14ac:dyDescent="0.25">
      <c r="A23" s="79" t="s">
        <v>267</v>
      </c>
      <c r="B23" s="122" t="str">
        <f>IF(NOT(ISBLANK('Bond Input'!H21)),'Bond Input'!H21,"")</f>
        <v/>
      </c>
      <c r="C23" s="122"/>
      <c r="D23" s="77" t="str">
        <f ca="1">IFERROR(INDEX(Validation!G:G,MATCH("Bond 6"&amp;CELL("address",D23),Validation!I:I,0)),"")</f>
        <v/>
      </c>
      <c r="E23" s="66" t="str">
        <f ca="1">IFERROR(INDEX(Validation!F:F,MATCH("Bond 6"&amp;CELL("address",D23),Validation!I:I,0)),"")</f>
        <v/>
      </c>
    </row>
    <row r="24" spans="1:5" x14ac:dyDescent="0.25">
      <c r="A24" s="79" t="s">
        <v>268</v>
      </c>
      <c r="B24" s="122" t="str">
        <f>IF(NOT(ISBLANK('Bond Input'!H23)),'Bond Input'!H23,"")</f>
        <v/>
      </c>
      <c r="C24" s="122"/>
      <c r="D24" s="77" t="str">
        <f ca="1">IFERROR(INDEX(Validation!G:G,MATCH("Bond 6"&amp;CELL("address",D24),Validation!I:I,0)),"")</f>
        <v/>
      </c>
      <c r="E24" s="66" t="str">
        <f ca="1">IFERROR(INDEX(Validation!F:F,MATCH("Bond 6"&amp;CELL("address",D24),Validation!I:I,0)),"")</f>
        <v/>
      </c>
    </row>
    <row r="25" spans="1:5" x14ac:dyDescent="0.25">
      <c r="A25" s="79" t="s">
        <v>269</v>
      </c>
      <c r="B25" s="122" t="str">
        <f>IF(NOT(ISBLANK('Bond Input'!H25)),'Bond Input'!H25,"")</f>
        <v/>
      </c>
      <c r="C25" s="122"/>
      <c r="D25" s="77" t="str">
        <f ca="1">IFERROR(INDEX(Validation!G:G,MATCH("Bond 6"&amp;CELL("address",D25),Validation!I:I,0)),"")</f>
        <v/>
      </c>
      <c r="E25" s="66" t="str">
        <f ca="1">IFERROR(INDEX(Validation!F:F,MATCH("Bond 6"&amp;CELL("address",D25),Validation!I:I,0)),"")</f>
        <v/>
      </c>
    </row>
    <row r="26" spans="1:5" x14ac:dyDescent="0.25">
      <c r="A26" s="79" t="s">
        <v>1101</v>
      </c>
      <c r="B26" s="122" t="str">
        <f>IF(NOT(ISBLANK('Bond Input'!H27)),'Bond Input'!H27,"")</f>
        <v/>
      </c>
      <c r="C26" s="122"/>
      <c r="D26" s="77" t="str">
        <f ca="1">IFERROR(INDEX(Validation!G:G,MATCH("Bond 6"&amp;CELL("address",D26),Validation!I:I,0)),"")</f>
        <v/>
      </c>
      <c r="E26" s="66" t="str">
        <f ca="1">IFERROR(INDEX(Validation!F:F,MATCH("Bond 6"&amp;CELL("address",D26),Validation!I:I,0)),"")</f>
        <v/>
      </c>
    </row>
    <row r="27" spans="1:5" x14ac:dyDescent="0.25">
      <c r="A27" s="79" t="s">
        <v>270</v>
      </c>
      <c r="B27" s="122" t="str">
        <f>IF(NOT(ISBLANK('Bond Input'!H29)),'Bond Input'!H29,"")</f>
        <v/>
      </c>
      <c r="C27" s="122"/>
      <c r="D27" s="77" t="str">
        <f ca="1">IFERROR(INDEX(Validation!G:G,MATCH("Bond 6"&amp;CELL("address",D27),Validation!I:I,0)),"")</f>
        <v/>
      </c>
      <c r="E27" s="66" t="str">
        <f ca="1">IFERROR(INDEX(Validation!F:F,MATCH("Bond 6"&amp;CELL("address",D27),Validation!I:I,0)),"")</f>
        <v/>
      </c>
    </row>
    <row r="28" spans="1:5" x14ac:dyDescent="0.25">
      <c r="A28" s="79" t="s">
        <v>271</v>
      </c>
      <c r="B28" s="122" t="str">
        <f>IF(NOT(ISBLANK('Bond Input'!H31)),'Bond Input'!H31,"")</f>
        <v/>
      </c>
      <c r="C28" s="122"/>
      <c r="D28" s="77" t="str">
        <f ca="1">IFERROR(INDEX(Validation!G:G,MATCH("Bond 6"&amp;CELL("address",D28),Validation!I:I,0)),"")</f>
        <v/>
      </c>
      <c r="E28" s="66" t="str">
        <f ca="1">IFERROR(INDEX(Validation!F:F,MATCH("Bond 6"&amp;CELL("address",D28),Validation!I:I,0)),"")</f>
        <v/>
      </c>
    </row>
    <row r="29" spans="1:5" x14ac:dyDescent="0.25">
      <c r="A29" s="79" t="s">
        <v>272</v>
      </c>
      <c r="B29" s="122" t="str">
        <f>IF(NOT(ISBLANK('Bond Input'!H33)),'Bond Input'!H33,"")</f>
        <v/>
      </c>
      <c r="C29" s="122"/>
      <c r="D29" s="77" t="str">
        <f ca="1">IFERROR(INDEX(Validation!G:G,MATCH("Bond 6"&amp;CELL("address",D29),Validation!I:I,0)),"")</f>
        <v/>
      </c>
      <c r="E29" s="66" t="str">
        <f ca="1">IFERROR(INDEX(Validation!F:F,MATCH("Bond 6"&amp;CELL("address",D29),Validation!I:I,0)),"")</f>
        <v/>
      </c>
    </row>
    <row r="30" spans="1:5" x14ac:dyDescent="0.25">
      <c r="A30" s="79" t="s">
        <v>273</v>
      </c>
      <c r="B30" s="122" t="str">
        <f>IF(NOT(ISBLANK('Bond Input'!H35)),'Bond Input'!H35,"")</f>
        <v/>
      </c>
      <c r="C30" s="122"/>
      <c r="D30" s="77" t="str">
        <f ca="1">IFERROR(INDEX(Validation!G:G,MATCH("Bond 6"&amp;CELL("address",D30),Validation!I:I,0)),"")</f>
        <v/>
      </c>
      <c r="E30" s="66" t="str">
        <f ca="1">IFERROR(INDEX(Validation!F:F,MATCH("Bond 6"&amp;CELL("address",D30),Validation!I:I,0)),"")</f>
        <v/>
      </c>
    </row>
    <row r="31" spans="1:5" x14ac:dyDescent="0.25">
      <c r="A31" s="130" t="s">
        <v>1184</v>
      </c>
      <c r="B31" s="125">
        <f>SUM(B22:B30)</f>
        <v>0</v>
      </c>
      <c r="C31" s="125">
        <f>SUM(C22:C30)</f>
        <v>0</v>
      </c>
      <c r="D31" s="77" t="str">
        <f ca="1">IFERROR(INDEX(Validation!G:G,MATCH("Bond 6"&amp;CELL("address",D31),Validation!I:I,0)),"")</f>
        <v/>
      </c>
      <c r="E31" s="66" t="str">
        <f ca="1">IFERROR(INDEX(Validation!F:F,MATCH("Bond 6"&amp;CELL("address",D31),Validation!I:I,0)),"")</f>
        <v/>
      </c>
    </row>
    <row r="32" spans="1:5" x14ac:dyDescent="0.25">
      <c r="A32" s="130" t="s">
        <v>1185</v>
      </c>
      <c r="B32" s="125">
        <f>IF(B16="",0,B16-B31)</f>
        <v>0</v>
      </c>
      <c r="C32" s="125">
        <f>IF(B16="",0,B16-B31-C31)</f>
        <v>0</v>
      </c>
      <c r="D32" s="77" t="str">
        <f ca="1">IFERROR(INDEX(Validation!G:G,MATCH("Bond 6"&amp;CELL("address",D32),Validation!I:I,0)),"")</f>
        <v/>
      </c>
      <c r="E32" s="66" t="str">
        <f ca="1">IFERROR(INDEX(Validation!F:F,MATCH("Bond 6"&amp;CELL("address",D32),Validation!I:I,0)),"")</f>
        <v/>
      </c>
    </row>
    <row r="33" spans="1:5" x14ac:dyDescent="0.25">
      <c r="A33" s="131" t="s">
        <v>1186</v>
      </c>
      <c r="B33" s="122" t="str">
        <f>IF(NOT(ISBLANK('Bond Input'!H41)),'Bond Input'!H41,"")</f>
        <v/>
      </c>
      <c r="C33" s="122"/>
      <c r="D33" s="77" t="str">
        <f ca="1">IFERROR(INDEX(Validation!G:G,MATCH("Bond 6"&amp;CELL("address",D33),Validation!I:I,0)),"")</f>
        <v/>
      </c>
      <c r="E33" s="66" t="str">
        <f ca="1">IFERROR(INDEX(Validation!F:F,MATCH("Bond 6"&amp;CELL("address",D33),Validation!I:I,0)),"")</f>
        <v/>
      </c>
    </row>
    <row r="34" spans="1:5" x14ac:dyDescent="0.25">
      <c r="A34" s="131" t="s">
        <v>1187</v>
      </c>
      <c r="B34" s="122" t="str">
        <f>IF(NOT(ISBLANK('Bond Input'!H43)),'Bond Input'!H43,"")</f>
        <v/>
      </c>
      <c r="C34" s="122"/>
      <c r="D34" s="77" t="str">
        <f ca="1">IFERROR(INDEX(Validation!G:G,MATCH("Bond 6"&amp;CELL("address",D34),Validation!I:I,0)),"")</f>
        <v/>
      </c>
      <c r="E34" s="66" t="str">
        <f ca="1">IFERROR(INDEX(Validation!F:F,MATCH("Bond 6"&amp;CELL("address",D34),Validation!I:I,0)),"")</f>
        <v/>
      </c>
    </row>
    <row r="35" spans="1:5" ht="20.100000000000001" customHeight="1" x14ac:dyDescent="0.25">
      <c r="A35" s="74" t="s">
        <v>684</v>
      </c>
      <c r="B35" s="74" t="s">
        <v>283</v>
      </c>
      <c r="C35" s="74" t="str">
        <f>Year_DestinationYearID&amp;" Amount"</f>
        <v>2024 Amount</v>
      </c>
      <c r="D35" s="77" t="str">
        <f ca="1">IFERROR(INDEX(Validation!G:G,MATCH("Bond 6"&amp;CELL("address",D35),Validation!I:I,0)),"")</f>
        <v/>
      </c>
      <c r="E35" s="66" t="str">
        <f ca="1">IFERROR(INDEX(Validation!F:F,MATCH("Bond 6"&amp;CELL("address",D35),Validation!I:I,0)),"")</f>
        <v/>
      </c>
    </row>
    <row r="36" spans="1:5" x14ac:dyDescent="0.25">
      <c r="A36" s="79" t="s">
        <v>1188</v>
      </c>
      <c r="B36" s="122" t="str">
        <f>IF(NOT(ISBLANK('Bond Input'!H45)),'Bond Input'!H45,"")</f>
        <v/>
      </c>
      <c r="C36" s="122"/>
      <c r="D36" s="77" t="str">
        <f ca="1">IFERROR(INDEX(Validation!G:G,MATCH("Bond 6"&amp;CELL("address",D36),Validation!I:I,0)),"")</f>
        <v/>
      </c>
      <c r="E36" s="66" t="str">
        <f ca="1">IFERROR(INDEX(Validation!F:F,MATCH("Bond 6"&amp;CELL("address",D36),Validation!I:I,0)),"")</f>
        <v/>
      </c>
    </row>
    <row r="37" spans="1:5" x14ac:dyDescent="0.25">
      <c r="A37" s="79" t="s">
        <v>1189</v>
      </c>
      <c r="B37" s="122" t="str">
        <f>IF(NOT(ISBLANK('Bond Input'!H47)),'Bond Input'!H47,"")</f>
        <v/>
      </c>
      <c r="C37" s="122"/>
      <c r="D37" s="77" t="str">
        <f ca="1">IFERROR(INDEX(Validation!G:G,MATCH("Bond 6"&amp;CELL("address",D37),Validation!I:I,0)),"")</f>
        <v/>
      </c>
      <c r="E37" s="66" t="str">
        <f ca="1">IFERROR(INDEX(Validation!F:F,MATCH("Bond 6"&amp;CELL("address",D37),Validation!I:I,0)),"")</f>
        <v/>
      </c>
    </row>
    <row r="38" spans="1:5" x14ac:dyDescent="0.25">
      <c r="A38" s="79" t="s">
        <v>1190</v>
      </c>
      <c r="B38" s="122" t="str">
        <f>IF(NOT(ISBLANK('Bond Input'!H49)),'Bond Input'!H49,"")</f>
        <v/>
      </c>
      <c r="C38" s="122"/>
      <c r="D38" s="77" t="str">
        <f ca="1">IFERROR(INDEX(Validation!G:G,MATCH("Bond 6"&amp;CELL("address",D38),Validation!I:I,0)),"")</f>
        <v/>
      </c>
      <c r="E38" s="66" t="str">
        <f ca="1">IFERROR(INDEX(Validation!F:F,MATCH("Bond 6"&amp;CELL("address",D38),Validation!I:I,0)),"")</f>
        <v/>
      </c>
    </row>
    <row r="39" spans="1:5" x14ac:dyDescent="0.25">
      <c r="A39" s="79" t="s">
        <v>221</v>
      </c>
      <c r="B39" s="125" t="str">
        <f>IFERROR(IF(B11="Yes","See Pooled Debt",IF(B8="Non-TIF Bond","NA/Non-TIF Bond",B16-B19-B36-B37+B38)),"")</f>
        <v/>
      </c>
      <c r="C39" s="125" t="str">
        <f>IFERROR(IF(B11="Yes","See Pooled Debt",IF(B8="Non-TIF Bond","NA/Non-TIF Bond",B16-B19-B36-B37-C36-C37+B38+C38)),"")</f>
        <v/>
      </c>
      <c r="D39" s="77" t="str">
        <f ca="1">IFERROR(INDEX(Validation!G:G,MATCH("Bond 6"&amp;CELL("address",D39),Validation!I:I,0)),"")</f>
        <v/>
      </c>
      <c r="E39" s="66" t="str">
        <f ca="1">IFERROR(INDEX(Validation!F:F,MATCH("Bond 6"&amp;CELL("address",D39),Validation!I:I,0)),"")</f>
        <v/>
      </c>
    </row>
    <row r="40" spans="1:5" x14ac:dyDescent="0.25">
      <c r="A40" s="79" t="s">
        <v>223</v>
      </c>
      <c r="B40" s="122" t="str">
        <f>IF(NOT(ISBLANK('Bond Input'!H53)),'Bond Input'!H53,"")</f>
        <v/>
      </c>
      <c r="C40" s="122"/>
      <c r="D40" s="77" t="str">
        <f ca="1">IFERROR(INDEX(Validation!G:G,MATCH("Bond 6"&amp;CELL("address",D40),Validation!I:I,0)),"")</f>
        <v/>
      </c>
      <c r="E40" s="66" t="str">
        <f ca="1">IFERROR(INDEX(Validation!F:F,MATCH("Bond 6"&amp;CELL("address",D40),Validation!I:I,0)),"")</f>
        <v/>
      </c>
    </row>
    <row r="41" spans="1:5" x14ac:dyDescent="0.25">
      <c r="A41" s="79" t="s">
        <v>1191</v>
      </c>
      <c r="B41" s="122" t="str">
        <f>IF(NOT(ISBLANK('Bond Input'!H55)),'Bond Input'!H55,"")</f>
        <v/>
      </c>
      <c r="C41" s="122"/>
      <c r="D41" s="77" t="str">
        <f ca="1">IFERROR(INDEX(Validation!G:G,MATCH("Bond 6"&amp;CELL("address",D41),Validation!I:I,0)),"")</f>
        <v/>
      </c>
      <c r="E41" s="66" t="str">
        <f ca="1">IFERROR(INDEX(Validation!F:F,MATCH("Bond 6"&amp;CELL("address",D41),Validation!I:I,0)),"")</f>
        <v/>
      </c>
    </row>
    <row r="42" spans="1:5" x14ac:dyDescent="0.25">
      <c r="A42" s="79" t="s">
        <v>1192</v>
      </c>
      <c r="B42" s="122" t="str">
        <f>IF(NOT(ISBLANK('Bond Input'!H57)),'Bond Input'!H57,"")</f>
        <v/>
      </c>
      <c r="C42" s="122"/>
      <c r="D42" s="77" t="str">
        <f ca="1">IFERROR(INDEX(Validation!G:G,MATCH("Bond 6"&amp;CELL("address",D42),Validation!I:I,0)),"")</f>
        <v/>
      </c>
      <c r="E42" s="66" t="str">
        <f ca="1">IFERROR(INDEX(Validation!F:F,MATCH("Bond 6"&amp;CELL("address",D42),Validation!I:I,0)),"")</f>
        <v/>
      </c>
    </row>
    <row r="43" spans="1:5" ht="20.100000000000001" customHeight="1" x14ac:dyDescent="0.25">
      <c r="A43" s="74" t="str">
        <f>"Principal and Interest Due in "&amp;Year_DestinationYearID+1</f>
        <v>Principal and Interest Due in 2025</v>
      </c>
      <c r="B43" s="128"/>
      <c r="C43" s="128"/>
      <c r="D43" s="77"/>
    </row>
    <row r="44" spans="1:5" x14ac:dyDescent="0.25">
      <c r="A44" s="79" t="str">
        <f>"Principal Due in "&amp;Year_DestinationYearID+1</f>
        <v>Principal Due in 2025</v>
      </c>
      <c r="B44" s="122"/>
      <c r="C44" s="128"/>
      <c r="D44" s="77" t="str">
        <f ca="1">IFERROR(INDEX(Validation!G:G,MATCH("Bond 6"&amp;CELL("address",D44),Validation!I:I,0)),"")</f>
        <v/>
      </c>
      <c r="E44" s="66" t="str">
        <f ca="1">IFERROR(INDEX(Validation!F:F,MATCH("Bond 6"&amp;CELL("address",D44),Validation!I:I,0)),"")</f>
        <v/>
      </c>
    </row>
    <row r="45" spans="1:5" x14ac:dyDescent="0.25">
      <c r="A45" s="79" t="str">
        <f>"Interest Due in "&amp;Year_DestinationYearID+1</f>
        <v>Interest Due in 2025</v>
      </c>
      <c r="B45" s="122"/>
      <c r="C45" s="128"/>
      <c r="D45" s="77" t="str">
        <f ca="1">IFERROR(INDEX(Validation!G:G,MATCH("Bond 6"&amp;CELL("address",D45),Validation!I:I,0)),"")</f>
        <v/>
      </c>
      <c r="E45" s="66" t="str">
        <f ca="1">IFERROR(INDEX(Validation!F:F,MATCH("Bond 6"&amp;CELL("address",D45),Validation!I:I,0)),"")</f>
        <v/>
      </c>
    </row>
    <row r="46" spans="1:5" ht="20.100000000000001" customHeight="1" x14ac:dyDescent="0.25">
      <c r="A46" s="97" t="s">
        <v>176</v>
      </c>
      <c r="D46" s="77" t="str">
        <f ca="1">IF(AND(ISBLANK(A47),OR(COUNTIF(E6:E45,"Alert")&gt;0,SUM(B38:B38)&lt;&gt;0)),"Comment(s) required for remaining alert(s) and/or additions/reductions to principal.",IFERROR(INDEX(Validation!G:G,MATCH("Bond 6"&amp;CELL("address",D47),Validation!I:I,0)),""))</f>
        <v/>
      </c>
      <c r="E46" s="66" t="str">
        <f ca="1">IF(AND(ISBLANK(A47),OR(COUNTIF(E6:E45,"Alert")&gt;0,SUM(B38:B38)&lt;&gt;0)),"Error",IFERROR(INDEX(Validation!F:F,MATCH("Bond 6"&amp;CELL("address",D47),Validation!I:I,0)),""))</f>
        <v/>
      </c>
    </row>
    <row r="47" spans="1:5" ht="150" customHeight="1" x14ac:dyDescent="0.25">
      <c r="A47" s="123"/>
      <c r="B47" s="100" t="str">
        <f>HYPERLINK("#'Bonds'!B6","Click here to return to the Bonds Tab")</f>
        <v>Click here to return to the Bonds Tab</v>
      </c>
      <c r="C47" s="127"/>
    </row>
    <row r="48" spans="1:5" x14ac:dyDescent="0.25">
      <c r="A48" s="98"/>
      <c r="B48" s="98"/>
      <c r="C48" s="98"/>
    </row>
    <row r="49" spans="1:3" x14ac:dyDescent="0.25">
      <c r="A49" s="98"/>
      <c r="B49" s="98"/>
      <c r="C49" s="98"/>
    </row>
    <row r="50" spans="1:3" x14ac:dyDescent="0.25">
      <c r="A50" s="98"/>
      <c r="B50" s="98"/>
      <c r="C50" s="98"/>
    </row>
    <row r="51" spans="1:3" x14ac:dyDescent="0.25">
      <c r="A51" s="98"/>
      <c r="B51" s="98"/>
      <c r="C51" s="98"/>
    </row>
  </sheetData>
  <sheetProtection algorithmName="SHA-512" hashValue="LAgzoRuK7Ax6DugpPvoLjmuxWpMvv1L7YiYngmb1cn3n0I/jWF9VDPSBXYVjLsUQP8HFWQHXckZm9crI46G7yw==" saltValue="w17GbcznHu+9IOiaBi7xvw==" spinCount="100000" sheet="1" objects="1" scenarios="1"/>
  <mergeCells count="1">
    <mergeCell ref="A4:E4"/>
  </mergeCells>
  <conditionalFormatting sqref="A2 D6:E46">
    <cfRule type="expression" dxfId="434" priority="6">
      <formula>$E2="Exclude"</formula>
    </cfRule>
  </conditionalFormatting>
  <conditionalFormatting sqref="A2">
    <cfRule type="expression" dxfId="433" priority="4">
      <formula>$E2="Error"</formula>
    </cfRule>
  </conditionalFormatting>
  <conditionalFormatting sqref="D6:E46">
    <cfRule type="expression" dxfId="431" priority="1">
      <formula>$E6="Information"</formula>
    </cfRule>
    <cfRule type="expression" dxfId="430" priority="2">
      <formula>$E6="Error"</formula>
    </cfRule>
    <cfRule type="expression" dxfId="429" priority="3">
      <formula>$E6="Alert"</formula>
    </cfRule>
  </conditionalFormatting>
  <dataValidations count="2">
    <dataValidation type="list" allowBlank="1" showInputMessage="1" showErrorMessage="1" sqref="B9:C11 B20:C20" xr:uid="{A8E56EE1-3813-4F4D-B073-44CD36BBBB2F}">
      <formula1>SelOneYesNo</formula1>
    </dataValidation>
    <dataValidation type="list" allowBlank="1" showInputMessage="1" showErrorMessage="1" sqref="B8:C8" xr:uid="{2CD5BA43-9918-4A05-B933-917D8BC08C96}">
      <formula1>BondType</formula1>
    </dataValidation>
  </dataValidations>
  <pageMargins left="0.7" right="0.7" top="0.75" bottom="0.75" header="0.3" footer="0.3"/>
  <pageSetup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5" id="{AA15C962-3382-4F1F-B782-F7A75E08128F}">
            <xm:f>COUNTIFS(Validation!$H:$H,MID(CELL("filename",A2),FIND("]",CELL("filename",A2))+1,255)&amp;CELL("address",A2))&gt;0</xm:f>
            <x14:dxf>
              <font>
                <b/>
                <i val="0"/>
                <color rgb="FFC00000"/>
              </font>
              <numFmt numFmtId="172" formatCode="_(\!* #,##0_);_(\!* \(#,##0\);_(\!* \-??_);_(\!\ @_)"/>
            </x14:dxf>
          </x14:cfRule>
          <xm:sqref>A2</xm:sqref>
        </x14:conditionalFormatting>
      </x14:conditionalFormatting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89061-3188-4D6B-9C49-CE704AC34B4C}">
  <sheetPr>
    <tabColor rgb="FFEED382"/>
  </sheetPr>
  <dimension ref="A1:F51"/>
  <sheetViews>
    <sheetView showGridLines="0" workbookViewId="0">
      <selection activeCell="B7" sqref="B7"/>
    </sheetView>
  </sheetViews>
  <sheetFormatPr defaultRowHeight="15" x14ac:dyDescent="0.25"/>
  <cols>
    <col min="1" max="1" width="55.7109375" style="66" customWidth="1"/>
    <col min="2" max="3" width="20.7109375" style="66" customWidth="1"/>
    <col min="4" max="4" width="80.85546875" style="66" customWidth="1"/>
    <col min="5" max="5" width="14.7109375" style="66" customWidth="1"/>
    <col min="6" max="6" width="0" style="78" hidden="1" customWidth="1"/>
    <col min="7" max="16384" width="9.140625" style="66"/>
  </cols>
  <sheetData>
    <row r="1" spans="1:6" s="59" customFormat="1" ht="24.95" customHeight="1" x14ac:dyDescent="0.25">
      <c r="A1" s="59" t="str">
        <f>_xlfn.CONCAT("Office of the State Auditor  -  TIF Annual Reporting Form  -  ",Year_DestinationYearID)</f>
        <v>Office of the State Auditor  -  TIF Annual Reporting Form  -  2024</v>
      </c>
      <c r="F1" s="61"/>
    </row>
    <row r="2" spans="1:6" s="62" customFormat="1" ht="20.100000000000001" customHeight="1" x14ac:dyDescent="0.25">
      <c r="A2" s="58" t="str">
        <f>_xlfn.CONCAT(GovEntity_GovEntityName_Parent,"  -  ",GovEntity_GovEntityName)</f>
        <v>Spruce City  -  TIF 1-1 Downtown Redev</v>
      </c>
      <c r="F2" s="64"/>
    </row>
    <row r="3" spans="1:6" s="68" customFormat="1" ht="24.95" customHeight="1" x14ac:dyDescent="0.3">
      <c r="A3" s="65" t="s">
        <v>206</v>
      </c>
      <c r="B3" s="66"/>
      <c r="C3" s="66"/>
      <c r="F3" s="69"/>
    </row>
    <row r="4" spans="1:6" s="71" customFormat="1" x14ac:dyDescent="0.25">
      <c r="A4" s="217" t="s">
        <v>207</v>
      </c>
      <c r="B4" s="217"/>
      <c r="C4" s="217"/>
      <c r="D4" s="217"/>
      <c r="E4" s="217"/>
      <c r="F4" s="72" t="s">
        <v>119</v>
      </c>
    </row>
    <row r="5" spans="1:6" s="74" customFormat="1" ht="20.100000000000001" customHeight="1" x14ac:dyDescent="0.25">
      <c r="A5" s="73" t="str">
        <f>HYPERLINK("#'Bonds'!B6","Click here to return to the Bonds Tab")</f>
        <v>Click here to return to the Bonds Tab</v>
      </c>
      <c r="D5" s="74" t="s">
        <v>121</v>
      </c>
      <c r="E5" s="74" t="s">
        <v>102</v>
      </c>
      <c r="F5" s="76"/>
    </row>
    <row r="6" spans="1:6" ht="20.100000000000001" customHeight="1" x14ac:dyDescent="0.25">
      <c r="A6" s="74" t="s">
        <v>208</v>
      </c>
      <c r="D6" s="77" t="str">
        <f ca="1">IFERROR(INDEX(Validation!G:G,MATCH("Bond 7"&amp;CELL("address",D6),Validation!I:I,0)),"")</f>
        <v/>
      </c>
      <c r="E6" s="66" t="str">
        <f ca="1">IFERROR(INDEX(Validation!F:F,MATCH("Bond 7"&amp;CELL("address",D6),Validation!I:I,0)),"")</f>
        <v/>
      </c>
      <c r="F6" s="78" t="s">
        <v>1008</v>
      </c>
    </row>
    <row r="7" spans="1:6" x14ac:dyDescent="0.25">
      <c r="A7" s="79" t="s">
        <v>210</v>
      </c>
      <c r="B7" s="103" t="str">
        <f>IF(NOT(ISBLANK('Bond Input'!I5)),'Bond Input'!I5,"")</f>
        <v/>
      </c>
      <c r="D7" s="77" t="str">
        <f ca="1">IFERROR(INDEX(Validation!G:G,MATCH("Bond 7"&amp;CELL("address",D7),Validation!I:I,0)),"")</f>
        <v/>
      </c>
      <c r="E7" s="66" t="str">
        <f ca="1">IFERROR(INDEX(Validation!F:F,MATCH("Bond 7"&amp;CELL("address",D7),Validation!I:I,0)),"")</f>
        <v/>
      </c>
      <c r="F7" s="85" t="str">
        <f>IF(NOT(ISBLANK('Bond Input'!I4)),'Bond Input'!I4,"")</f>
        <v/>
      </c>
    </row>
    <row r="8" spans="1:6" x14ac:dyDescent="0.25">
      <c r="A8" s="79" t="s">
        <v>209</v>
      </c>
      <c r="B8" s="103" t="str">
        <f>IF(NOT(ISBLANK('Bond Input'!I6)),'Bond Input'!I6,"Select One")</f>
        <v>Select One</v>
      </c>
      <c r="D8" s="77" t="str">
        <f ca="1">IFERROR(INDEX(Validation!G:G,MATCH("Bond 7"&amp;CELL("address",D8),Validation!I:I,0)),"")</f>
        <v/>
      </c>
      <c r="E8" s="66" t="str">
        <f ca="1">IFERROR(INDEX(Validation!F:F,MATCH("Bond 7"&amp;CELL("address",D8),Validation!I:I,0)),"")</f>
        <v/>
      </c>
    </row>
    <row r="9" spans="1:6" x14ac:dyDescent="0.25">
      <c r="A9" s="79" t="s">
        <v>227</v>
      </c>
      <c r="B9" s="103" t="str">
        <f>IF(NOT(ISBLANK('Bond Input'!I7)),'Bond Input'!I7,"Select One")</f>
        <v>Select One</v>
      </c>
      <c r="D9" s="77" t="str">
        <f ca="1">IFERROR(INDEX(Validation!G:G,MATCH("Bond 7"&amp;CELL("address",D9),Validation!I:I,0)),"")</f>
        <v/>
      </c>
      <c r="E9" s="66" t="str">
        <f ca="1">IFERROR(INDEX(Validation!F:F,MATCH("Bond 7"&amp;CELL("address",D9),Validation!I:I,0)),"")</f>
        <v/>
      </c>
    </row>
    <row r="10" spans="1:6" x14ac:dyDescent="0.25">
      <c r="A10" s="79" t="s">
        <v>228</v>
      </c>
      <c r="B10" s="103" t="str">
        <f>IF(NOT(ISBLANK('Bond Input'!I8)),'Bond Input'!I8,"Select One")</f>
        <v>Select One</v>
      </c>
      <c r="D10" s="77" t="str">
        <f ca="1">IFERROR(INDEX(Validation!G:G,MATCH("Bond 7"&amp;CELL("address",D10),Validation!I:I,0)),"")</f>
        <v/>
      </c>
      <c r="E10" s="66" t="str">
        <f ca="1">IFERROR(INDEX(Validation!F:F,MATCH("Bond 7"&amp;CELL("address",D10),Validation!I:I,0)),"")</f>
        <v/>
      </c>
    </row>
    <row r="11" spans="1:6" x14ac:dyDescent="0.25">
      <c r="A11" s="79" t="s">
        <v>229</v>
      </c>
      <c r="B11" s="103" t="str">
        <f>IF(NOT(ISBLANK('Bond Input'!I9)),'Bond Input'!I9,"Select One")</f>
        <v>Select One</v>
      </c>
      <c r="D11" s="77" t="str">
        <f ca="1">IFERROR(INDEX(Validation!G:G,MATCH("Bond 7"&amp;CELL("address",D11),Validation!I:I,0)),"")</f>
        <v/>
      </c>
      <c r="E11" s="66" t="str">
        <f ca="1">IFERROR(INDEX(Validation!F:F,MATCH("Bond 7"&amp;CELL("address",D11),Validation!I:I,0)),"")</f>
        <v/>
      </c>
    </row>
    <row r="12" spans="1:6" x14ac:dyDescent="0.25">
      <c r="A12" s="79" t="s">
        <v>211</v>
      </c>
      <c r="B12" s="120" t="str">
        <f>IF(NOT(ISBLANK('Bond Input'!I10)),'Bond Input'!I10,"")</f>
        <v/>
      </c>
      <c r="C12" s="129"/>
      <c r="D12" s="77" t="str">
        <f ca="1">IFERROR(INDEX(Validation!G:G,MATCH("Bond 7"&amp;CELL("address",D12),Validation!I:I,0)),"")</f>
        <v/>
      </c>
      <c r="E12" s="66" t="str">
        <f ca="1">IFERROR(INDEX(Validation!F:F,MATCH("Bond 7"&amp;CELL("address",D12),Validation!I:I,0)),"")</f>
        <v/>
      </c>
    </row>
    <row r="13" spans="1:6" x14ac:dyDescent="0.25">
      <c r="A13" s="79" t="s">
        <v>212</v>
      </c>
      <c r="B13" s="120" t="str">
        <f>IF(NOT(ISBLANK('Bond Input'!I11)),'Bond Input'!I11,"")</f>
        <v/>
      </c>
      <c r="C13" s="129"/>
      <c r="D13" s="77" t="str">
        <f ca="1">IFERROR(INDEX(Validation!G:G,MATCH("Bond 7"&amp;CELL("address",D13),Validation!I:I,0)),"")</f>
        <v/>
      </c>
      <c r="E13" s="66" t="str">
        <f ca="1">IFERROR(INDEX(Validation!F:F,MATCH("Bond 7"&amp;CELL("address",D13),Validation!I:I,0)),"")</f>
        <v/>
      </c>
    </row>
    <row r="14" spans="1:6" x14ac:dyDescent="0.25">
      <c r="A14" s="79" t="s">
        <v>213</v>
      </c>
      <c r="B14" s="121" t="str">
        <f>IF(NOT(ISBLANK('Bond Input'!I12)),'Bond Input'!I12,"")</f>
        <v/>
      </c>
      <c r="C14" s="132"/>
      <c r="D14" s="77" t="str">
        <f ca="1">IFERROR(INDEX(Validation!G:G,MATCH("Bond 7"&amp;CELL("address",D14),Validation!I:I,0)),"")</f>
        <v/>
      </c>
      <c r="E14" s="66" t="str">
        <f ca="1">IFERROR(INDEX(Validation!F:F,MATCH("Bond 7"&amp;CELL("address",D14),Validation!I:I,0)),"")</f>
        <v/>
      </c>
    </row>
    <row r="15" spans="1:6" x14ac:dyDescent="0.25">
      <c r="A15" s="79" t="s">
        <v>214</v>
      </c>
      <c r="B15" s="121" t="str">
        <f>IF(NOT(ISBLANK('Bond Input'!I13)),'Bond Input'!I13,"")</f>
        <v/>
      </c>
      <c r="C15" s="132"/>
      <c r="D15" s="77" t="str">
        <f ca="1">IFERROR(INDEX(Validation!G:G,MATCH("Bond 7"&amp;CELL("address",D15),Validation!I:I,0)),"")</f>
        <v/>
      </c>
      <c r="E15" s="66" t="str">
        <f ca="1">IFERROR(INDEX(Validation!F:F,MATCH("Bond 7"&amp;CELL("address",D15),Validation!I:I,0)),"")</f>
        <v/>
      </c>
    </row>
    <row r="16" spans="1:6" x14ac:dyDescent="0.25">
      <c r="A16" s="79" t="s">
        <v>535</v>
      </c>
      <c r="B16" s="122" t="str">
        <f>IF(NOT(ISBLANK('Bond Input'!I14)),'Bond Input'!I14,"")</f>
        <v/>
      </c>
      <c r="C16" s="128"/>
      <c r="D16" s="77" t="str">
        <f ca="1">IFERROR(INDEX(Validation!G:G,MATCH("Bond 7"&amp;CELL("address",D16),Validation!I:I,0)),"")</f>
        <v/>
      </c>
      <c r="E16" s="66" t="str">
        <f ca="1">IFERROR(INDEX(Validation!F:F,MATCH("Bond 7"&amp;CELL("address",D16),Validation!I:I,0)),"")</f>
        <v/>
      </c>
    </row>
    <row r="17" spans="1:5" x14ac:dyDescent="0.25">
      <c r="A17" s="79" t="s">
        <v>230</v>
      </c>
      <c r="B17" s="122" t="str">
        <f>IF(NOT(ISBLANK('Bond Input'!I15)),'Bond Input'!I15,"")</f>
        <v/>
      </c>
      <c r="C17" s="128"/>
      <c r="D17" s="77" t="str">
        <f ca="1">IFERROR(INDEX(Validation!G:G,MATCH("Bond 7"&amp;CELL("address",D17),Validation!I:I,0)),"")</f>
        <v/>
      </c>
      <c r="E17" s="66" t="str">
        <f ca="1">IFERROR(INDEX(Validation!F:F,MATCH("Bond 7"&amp;CELL("address",D17),Validation!I:I,0)),"")</f>
        <v/>
      </c>
    </row>
    <row r="18" spans="1:5" x14ac:dyDescent="0.25">
      <c r="A18" s="79" t="s">
        <v>231</v>
      </c>
      <c r="B18" s="122" t="str">
        <f>IF(NOT(ISBLANK('Bond Input'!I16)),'Bond Input'!I16,"")</f>
        <v/>
      </c>
      <c r="C18" s="128"/>
      <c r="D18" s="77" t="str">
        <f ca="1">IFERROR(INDEX(Validation!G:G,MATCH("Bond 7"&amp;CELL("address",D18),Validation!I:I,0)),"")</f>
        <v/>
      </c>
      <c r="E18" s="66" t="str">
        <f ca="1">IFERROR(INDEX(Validation!F:F,MATCH("Bond 7"&amp;CELL("address",D18),Validation!I:I,0)),"")</f>
        <v/>
      </c>
    </row>
    <row r="19" spans="1:5" x14ac:dyDescent="0.25">
      <c r="A19" s="79" t="s">
        <v>216</v>
      </c>
      <c r="B19" s="122" t="str">
        <f>IF(NOT(ISBLANK('Bond Input'!I17)),'Bond Input'!I17,"")</f>
        <v/>
      </c>
      <c r="C19" s="128"/>
      <c r="D19" s="77" t="str">
        <f ca="1">IFERROR(INDEX(Validation!G:G,MATCH("Bond 7"&amp;CELL("address",D19),Validation!I:I,0)),"")</f>
        <v/>
      </c>
      <c r="E19" s="66" t="str">
        <f ca="1">IFERROR(INDEX(Validation!F:F,MATCH("Bond 7"&amp;CELL("address",D19),Validation!I:I,0)),"")</f>
        <v/>
      </c>
    </row>
    <row r="20" spans="1:5" x14ac:dyDescent="0.25">
      <c r="A20" s="79" t="s">
        <v>232</v>
      </c>
      <c r="B20" s="103" t="str">
        <f>IF(ISBLANK('Bond Input'!I18),"Select One",IF('Bond Input'!I18=TRUE,"Yes","No"))</f>
        <v>Select One</v>
      </c>
      <c r="D20" s="77" t="str">
        <f ca="1">IFERROR(INDEX(Validation!G:G,MATCH("Bond 7"&amp;CELL("address",D20),Validation!I:I,0)),"")</f>
        <v/>
      </c>
      <c r="E20" s="66" t="str">
        <f ca="1">IFERROR(INDEX(Validation!F:F,MATCH("Bond 7"&amp;CELL("address",D20),Validation!I:I,0)),"")</f>
        <v/>
      </c>
    </row>
    <row r="21" spans="1:5" ht="20.100000000000001" customHeight="1" x14ac:dyDescent="0.25">
      <c r="A21" s="74" t="s">
        <v>1183</v>
      </c>
      <c r="B21" s="74" t="s">
        <v>283</v>
      </c>
      <c r="C21" s="74" t="str">
        <f>Year_DestinationYearID&amp;" Amount"</f>
        <v>2024 Amount</v>
      </c>
      <c r="D21" s="77" t="str">
        <f ca="1">IFERROR(INDEX(Validation!G:G,MATCH("Bond 7"&amp;CELL("address",D21),Validation!I:I,0)),"")</f>
        <v/>
      </c>
      <c r="E21" s="66" t="str">
        <f ca="1">IFERROR(INDEX(Validation!F:F,MATCH("Bond 7"&amp;CELL("address",D21),Validation!I:I,0)),"")</f>
        <v/>
      </c>
    </row>
    <row r="22" spans="1:5" x14ac:dyDescent="0.25">
      <c r="A22" s="79" t="s">
        <v>266</v>
      </c>
      <c r="B22" s="122" t="str">
        <f>IF(NOT(ISBLANK('Bond Input'!I19)),'Bond Input'!I19,"")</f>
        <v/>
      </c>
      <c r="C22" s="122"/>
      <c r="D22" s="77" t="str">
        <f ca="1">IFERROR(INDEX(Validation!G:G,MATCH("Bond 7"&amp;CELL("address",D22),Validation!I:I,0)),"")</f>
        <v/>
      </c>
      <c r="E22" s="66" t="str">
        <f ca="1">IFERROR(INDEX(Validation!F:F,MATCH("Bond 7"&amp;CELL("address",D22),Validation!I:I,0)),"")</f>
        <v/>
      </c>
    </row>
    <row r="23" spans="1:5" x14ac:dyDescent="0.25">
      <c r="A23" s="79" t="s">
        <v>267</v>
      </c>
      <c r="B23" s="122" t="str">
        <f>IF(NOT(ISBLANK('Bond Input'!I21)),'Bond Input'!I21,"")</f>
        <v/>
      </c>
      <c r="C23" s="122"/>
      <c r="D23" s="77" t="str">
        <f ca="1">IFERROR(INDEX(Validation!G:G,MATCH("Bond 7"&amp;CELL("address",D23),Validation!I:I,0)),"")</f>
        <v/>
      </c>
      <c r="E23" s="66" t="str">
        <f ca="1">IFERROR(INDEX(Validation!F:F,MATCH("Bond 7"&amp;CELL("address",D23),Validation!I:I,0)),"")</f>
        <v/>
      </c>
    </row>
    <row r="24" spans="1:5" x14ac:dyDescent="0.25">
      <c r="A24" s="79" t="s">
        <v>268</v>
      </c>
      <c r="B24" s="122" t="str">
        <f>IF(NOT(ISBLANK('Bond Input'!I23)),'Bond Input'!I23,"")</f>
        <v/>
      </c>
      <c r="C24" s="122"/>
      <c r="D24" s="77" t="str">
        <f ca="1">IFERROR(INDEX(Validation!G:G,MATCH("Bond 7"&amp;CELL("address",D24),Validation!I:I,0)),"")</f>
        <v/>
      </c>
      <c r="E24" s="66" t="str">
        <f ca="1">IFERROR(INDEX(Validation!F:F,MATCH("Bond 7"&amp;CELL("address",D24),Validation!I:I,0)),"")</f>
        <v/>
      </c>
    </row>
    <row r="25" spans="1:5" x14ac:dyDescent="0.25">
      <c r="A25" s="79" t="s">
        <v>269</v>
      </c>
      <c r="B25" s="122" t="str">
        <f>IF(NOT(ISBLANK('Bond Input'!I25)),'Bond Input'!I25,"")</f>
        <v/>
      </c>
      <c r="C25" s="122"/>
      <c r="D25" s="77" t="str">
        <f ca="1">IFERROR(INDEX(Validation!G:G,MATCH("Bond 7"&amp;CELL("address",D25),Validation!I:I,0)),"")</f>
        <v/>
      </c>
      <c r="E25" s="66" t="str">
        <f ca="1">IFERROR(INDEX(Validation!F:F,MATCH("Bond 7"&amp;CELL("address",D25),Validation!I:I,0)),"")</f>
        <v/>
      </c>
    </row>
    <row r="26" spans="1:5" x14ac:dyDescent="0.25">
      <c r="A26" s="79" t="s">
        <v>1101</v>
      </c>
      <c r="B26" s="122" t="str">
        <f>IF(NOT(ISBLANK('Bond Input'!I27)),'Bond Input'!I27,"")</f>
        <v/>
      </c>
      <c r="C26" s="122"/>
      <c r="D26" s="77" t="str">
        <f ca="1">IFERROR(INDEX(Validation!G:G,MATCH("Bond 7"&amp;CELL("address",D26),Validation!I:I,0)),"")</f>
        <v/>
      </c>
      <c r="E26" s="66" t="str">
        <f ca="1">IFERROR(INDEX(Validation!F:F,MATCH("Bond 7"&amp;CELL("address",D26),Validation!I:I,0)),"")</f>
        <v/>
      </c>
    </row>
    <row r="27" spans="1:5" x14ac:dyDescent="0.25">
      <c r="A27" s="79" t="s">
        <v>270</v>
      </c>
      <c r="B27" s="122" t="str">
        <f>IF(NOT(ISBLANK('Bond Input'!I29)),'Bond Input'!I29,"")</f>
        <v/>
      </c>
      <c r="C27" s="122"/>
      <c r="D27" s="77" t="str">
        <f ca="1">IFERROR(INDEX(Validation!G:G,MATCH("Bond 7"&amp;CELL("address",D27),Validation!I:I,0)),"")</f>
        <v/>
      </c>
      <c r="E27" s="66" t="str">
        <f ca="1">IFERROR(INDEX(Validation!F:F,MATCH("Bond 7"&amp;CELL("address",D27),Validation!I:I,0)),"")</f>
        <v/>
      </c>
    </row>
    <row r="28" spans="1:5" x14ac:dyDescent="0.25">
      <c r="A28" s="79" t="s">
        <v>271</v>
      </c>
      <c r="B28" s="122" t="str">
        <f>IF(NOT(ISBLANK('Bond Input'!I31)),'Bond Input'!I31,"")</f>
        <v/>
      </c>
      <c r="C28" s="122"/>
      <c r="D28" s="77" t="str">
        <f ca="1">IFERROR(INDEX(Validation!G:G,MATCH("Bond 7"&amp;CELL("address",D28),Validation!I:I,0)),"")</f>
        <v/>
      </c>
      <c r="E28" s="66" t="str">
        <f ca="1">IFERROR(INDEX(Validation!F:F,MATCH("Bond 7"&amp;CELL("address",D28),Validation!I:I,0)),"")</f>
        <v/>
      </c>
    </row>
    <row r="29" spans="1:5" x14ac:dyDescent="0.25">
      <c r="A29" s="79" t="s">
        <v>272</v>
      </c>
      <c r="B29" s="122" t="str">
        <f>IF(NOT(ISBLANK('Bond Input'!I33)),'Bond Input'!I33,"")</f>
        <v/>
      </c>
      <c r="C29" s="122"/>
      <c r="D29" s="77" t="str">
        <f ca="1">IFERROR(INDEX(Validation!G:G,MATCH("Bond 7"&amp;CELL("address",D29),Validation!I:I,0)),"")</f>
        <v/>
      </c>
      <c r="E29" s="66" t="str">
        <f ca="1">IFERROR(INDEX(Validation!F:F,MATCH("Bond 7"&amp;CELL("address",D29),Validation!I:I,0)),"")</f>
        <v/>
      </c>
    </row>
    <row r="30" spans="1:5" x14ac:dyDescent="0.25">
      <c r="A30" s="79" t="s">
        <v>273</v>
      </c>
      <c r="B30" s="122" t="str">
        <f>IF(NOT(ISBLANK('Bond Input'!I35)),'Bond Input'!I35,"")</f>
        <v/>
      </c>
      <c r="C30" s="122"/>
      <c r="D30" s="77" t="str">
        <f ca="1">IFERROR(INDEX(Validation!G:G,MATCH("Bond 7"&amp;CELL("address",D30),Validation!I:I,0)),"")</f>
        <v/>
      </c>
      <c r="E30" s="66" t="str">
        <f ca="1">IFERROR(INDEX(Validation!F:F,MATCH("Bond 7"&amp;CELL("address",D30),Validation!I:I,0)),"")</f>
        <v/>
      </c>
    </row>
    <row r="31" spans="1:5" x14ac:dyDescent="0.25">
      <c r="A31" s="130" t="s">
        <v>1184</v>
      </c>
      <c r="B31" s="125">
        <f>SUM(B22:B30)</f>
        <v>0</v>
      </c>
      <c r="C31" s="125">
        <f>SUM(C22:C30)</f>
        <v>0</v>
      </c>
      <c r="D31" s="77" t="str">
        <f ca="1">IFERROR(INDEX(Validation!G:G,MATCH("Bond 7"&amp;CELL("address",D31),Validation!I:I,0)),"")</f>
        <v/>
      </c>
      <c r="E31" s="66" t="str">
        <f ca="1">IFERROR(INDEX(Validation!F:F,MATCH("Bond 7"&amp;CELL("address",D31),Validation!I:I,0)),"")</f>
        <v/>
      </c>
    </row>
    <row r="32" spans="1:5" x14ac:dyDescent="0.25">
      <c r="A32" s="130" t="s">
        <v>1185</v>
      </c>
      <c r="B32" s="125">
        <f>IF(B16="",0,B16-B31)</f>
        <v>0</v>
      </c>
      <c r="C32" s="125">
        <f>IF(B16="",0,B16-B31-C31)</f>
        <v>0</v>
      </c>
      <c r="D32" s="77" t="str">
        <f ca="1">IFERROR(INDEX(Validation!G:G,MATCH("Bond 7"&amp;CELL("address",D32),Validation!I:I,0)),"")</f>
        <v/>
      </c>
      <c r="E32" s="66" t="str">
        <f ca="1">IFERROR(INDEX(Validation!F:F,MATCH("Bond 7"&amp;CELL("address",D32),Validation!I:I,0)),"")</f>
        <v/>
      </c>
    </row>
    <row r="33" spans="1:5" x14ac:dyDescent="0.25">
      <c r="A33" s="131" t="s">
        <v>1186</v>
      </c>
      <c r="B33" s="122" t="str">
        <f>IF(NOT(ISBLANK('Bond Input'!I41)),'Bond Input'!I41,"")</f>
        <v/>
      </c>
      <c r="C33" s="122"/>
      <c r="D33" s="77" t="str">
        <f ca="1">IFERROR(INDEX(Validation!G:G,MATCH("Bond 7"&amp;CELL("address",D33),Validation!I:I,0)),"")</f>
        <v/>
      </c>
      <c r="E33" s="66" t="str">
        <f ca="1">IFERROR(INDEX(Validation!F:F,MATCH("Bond 7"&amp;CELL("address",D33),Validation!I:I,0)),"")</f>
        <v/>
      </c>
    </row>
    <row r="34" spans="1:5" x14ac:dyDescent="0.25">
      <c r="A34" s="131" t="s">
        <v>1187</v>
      </c>
      <c r="B34" s="122" t="str">
        <f>IF(NOT(ISBLANK('Bond Input'!I43)),'Bond Input'!I43,"")</f>
        <v/>
      </c>
      <c r="C34" s="122"/>
      <c r="D34" s="77" t="str">
        <f ca="1">IFERROR(INDEX(Validation!G:G,MATCH("Bond 7"&amp;CELL("address",D34),Validation!I:I,0)),"")</f>
        <v/>
      </c>
      <c r="E34" s="66" t="str">
        <f ca="1">IFERROR(INDEX(Validation!F:F,MATCH("Bond 7"&amp;CELL("address",D34),Validation!I:I,0)),"")</f>
        <v/>
      </c>
    </row>
    <row r="35" spans="1:5" ht="20.100000000000001" customHeight="1" x14ac:dyDescent="0.25">
      <c r="A35" s="74" t="s">
        <v>684</v>
      </c>
      <c r="B35" s="74" t="s">
        <v>283</v>
      </c>
      <c r="C35" s="74" t="str">
        <f>Year_DestinationYearID&amp;" Amount"</f>
        <v>2024 Amount</v>
      </c>
      <c r="D35" s="77" t="str">
        <f ca="1">IFERROR(INDEX(Validation!G:G,MATCH("Bond 7"&amp;CELL("address",D35),Validation!I:I,0)),"")</f>
        <v/>
      </c>
      <c r="E35" s="66" t="str">
        <f ca="1">IFERROR(INDEX(Validation!F:F,MATCH("Bond 7"&amp;CELL("address",D35),Validation!I:I,0)),"")</f>
        <v/>
      </c>
    </row>
    <row r="36" spans="1:5" x14ac:dyDescent="0.25">
      <c r="A36" s="79" t="s">
        <v>1188</v>
      </c>
      <c r="B36" s="122" t="str">
        <f>IF(NOT(ISBLANK('Bond Input'!I45)),'Bond Input'!I45,"")</f>
        <v/>
      </c>
      <c r="C36" s="122"/>
      <c r="D36" s="77" t="str">
        <f ca="1">IFERROR(INDEX(Validation!G:G,MATCH("Bond 7"&amp;CELL("address",D36),Validation!I:I,0)),"")</f>
        <v/>
      </c>
      <c r="E36" s="66" t="str">
        <f ca="1">IFERROR(INDEX(Validation!F:F,MATCH("Bond 7"&amp;CELL("address",D36),Validation!I:I,0)),"")</f>
        <v/>
      </c>
    </row>
    <row r="37" spans="1:5" x14ac:dyDescent="0.25">
      <c r="A37" s="79" t="s">
        <v>1189</v>
      </c>
      <c r="B37" s="122" t="str">
        <f>IF(NOT(ISBLANK('Bond Input'!I47)),'Bond Input'!I47,"")</f>
        <v/>
      </c>
      <c r="C37" s="122"/>
      <c r="D37" s="77" t="str">
        <f ca="1">IFERROR(INDEX(Validation!G:G,MATCH("Bond 7"&amp;CELL("address",D37),Validation!I:I,0)),"")</f>
        <v/>
      </c>
      <c r="E37" s="66" t="str">
        <f ca="1">IFERROR(INDEX(Validation!F:F,MATCH("Bond 7"&amp;CELL("address",D37),Validation!I:I,0)),"")</f>
        <v/>
      </c>
    </row>
    <row r="38" spans="1:5" x14ac:dyDescent="0.25">
      <c r="A38" s="79" t="s">
        <v>1190</v>
      </c>
      <c r="B38" s="122" t="str">
        <f>IF(NOT(ISBLANK('Bond Input'!I49)),'Bond Input'!I49,"")</f>
        <v/>
      </c>
      <c r="C38" s="122"/>
      <c r="D38" s="77" t="str">
        <f ca="1">IFERROR(INDEX(Validation!G:G,MATCH("Bond 7"&amp;CELL("address",D38),Validation!I:I,0)),"")</f>
        <v/>
      </c>
      <c r="E38" s="66" t="str">
        <f ca="1">IFERROR(INDEX(Validation!F:F,MATCH("Bond 7"&amp;CELL("address",D38),Validation!I:I,0)),"")</f>
        <v/>
      </c>
    </row>
    <row r="39" spans="1:5" x14ac:dyDescent="0.25">
      <c r="A39" s="79" t="s">
        <v>221</v>
      </c>
      <c r="B39" s="125" t="str">
        <f>IFERROR(IF(B11="Yes","See Pooled Debt",IF(B8="Non-TIF Bond","NA/Non-TIF Bond",B16-B19-B36-B37+B38)),"")</f>
        <v/>
      </c>
      <c r="C39" s="125" t="str">
        <f>IFERROR(IF(B11="Yes","See Pooled Debt",IF(B8="Non-TIF Bond","NA/Non-TIF Bond",B16-B19-B36-B37-C36-C37+B38+C38)),"")</f>
        <v/>
      </c>
      <c r="D39" s="77" t="str">
        <f ca="1">IFERROR(INDEX(Validation!G:G,MATCH("Bond 7"&amp;CELL("address",D39),Validation!I:I,0)),"")</f>
        <v/>
      </c>
      <c r="E39" s="66" t="str">
        <f ca="1">IFERROR(INDEX(Validation!F:F,MATCH("Bond 7"&amp;CELL("address",D39),Validation!I:I,0)),"")</f>
        <v/>
      </c>
    </row>
    <row r="40" spans="1:5" x14ac:dyDescent="0.25">
      <c r="A40" s="79" t="s">
        <v>223</v>
      </c>
      <c r="B40" s="122" t="str">
        <f>IF(NOT(ISBLANK('Bond Input'!I53)),'Bond Input'!I53,"")</f>
        <v/>
      </c>
      <c r="C40" s="122"/>
      <c r="D40" s="77" t="str">
        <f ca="1">IFERROR(INDEX(Validation!G:G,MATCH("Bond 7"&amp;CELL("address",D40),Validation!I:I,0)),"")</f>
        <v/>
      </c>
      <c r="E40" s="66" t="str">
        <f ca="1">IFERROR(INDEX(Validation!F:F,MATCH("Bond 7"&amp;CELL("address",D40),Validation!I:I,0)),"")</f>
        <v/>
      </c>
    </row>
    <row r="41" spans="1:5" x14ac:dyDescent="0.25">
      <c r="A41" s="79" t="s">
        <v>1191</v>
      </c>
      <c r="B41" s="122" t="str">
        <f>IF(NOT(ISBLANK('Bond Input'!I55)),'Bond Input'!I55,"")</f>
        <v/>
      </c>
      <c r="C41" s="122"/>
      <c r="D41" s="77" t="str">
        <f ca="1">IFERROR(INDEX(Validation!G:G,MATCH("Bond 7"&amp;CELL("address",D41),Validation!I:I,0)),"")</f>
        <v/>
      </c>
      <c r="E41" s="66" t="str">
        <f ca="1">IFERROR(INDEX(Validation!F:F,MATCH("Bond 7"&amp;CELL("address",D41),Validation!I:I,0)),"")</f>
        <v/>
      </c>
    </row>
    <row r="42" spans="1:5" x14ac:dyDescent="0.25">
      <c r="A42" s="79" t="s">
        <v>1192</v>
      </c>
      <c r="B42" s="122" t="str">
        <f>IF(NOT(ISBLANK('Bond Input'!I57)),'Bond Input'!I57,"")</f>
        <v/>
      </c>
      <c r="C42" s="122"/>
      <c r="D42" s="77" t="str">
        <f ca="1">IFERROR(INDEX(Validation!G:G,MATCH("Bond 7"&amp;CELL("address",D42),Validation!I:I,0)),"")</f>
        <v/>
      </c>
      <c r="E42" s="66" t="str">
        <f ca="1">IFERROR(INDEX(Validation!F:F,MATCH("Bond 7"&amp;CELL("address",D42),Validation!I:I,0)),"")</f>
        <v/>
      </c>
    </row>
    <row r="43" spans="1:5" ht="20.100000000000001" customHeight="1" x14ac:dyDescent="0.25">
      <c r="A43" s="74" t="str">
        <f>"Principal and Interest Due in "&amp;Year_DestinationYearID+1</f>
        <v>Principal and Interest Due in 2025</v>
      </c>
      <c r="B43" s="128"/>
      <c r="C43" s="128"/>
      <c r="D43" s="77"/>
    </row>
    <row r="44" spans="1:5" x14ac:dyDescent="0.25">
      <c r="A44" s="79" t="str">
        <f>"Principal Due in "&amp;Year_DestinationYearID+1</f>
        <v>Principal Due in 2025</v>
      </c>
      <c r="B44" s="122"/>
      <c r="C44" s="128"/>
      <c r="D44" s="77" t="str">
        <f ca="1">IFERROR(INDEX(Validation!G:G,MATCH("Bond 7"&amp;CELL("address",D44),Validation!I:I,0)),"")</f>
        <v/>
      </c>
      <c r="E44" s="66" t="str">
        <f ca="1">IFERROR(INDEX(Validation!F:F,MATCH("Bond 7"&amp;CELL("address",D44),Validation!I:I,0)),"")</f>
        <v/>
      </c>
    </row>
    <row r="45" spans="1:5" x14ac:dyDescent="0.25">
      <c r="A45" s="79" t="str">
        <f>"Interest Due in "&amp;Year_DestinationYearID+1</f>
        <v>Interest Due in 2025</v>
      </c>
      <c r="B45" s="122"/>
      <c r="C45" s="128"/>
      <c r="D45" s="77" t="str">
        <f ca="1">IFERROR(INDEX(Validation!G:G,MATCH("Bond 7"&amp;CELL("address",D45),Validation!I:I,0)),"")</f>
        <v/>
      </c>
      <c r="E45" s="66" t="str">
        <f ca="1">IFERROR(INDEX(Validation!F:F,MATCH("Bond 7"&amp;CELL("address",D45),Validation!I:I,0)),"")</f>
        <v/>
      </c>
    </row>
    <row r="46" spans="1:5" ht="20.100000000000001" customHeight="1" x14ac:dyDescent="0.25">
      <c r="A46" s="97" t="s">
        <v>176</v>
      </c>
      <c r="D46" s="77" t="str">
        <f ca="1">IF(AND(ISBLANK(A47),OR(COUNTIF(E6:E45,"Alert")&gt;0,SUM(B38:B38)&lt;&gt;0)),"Comment(s) required for remaining alert(s) and/or additions/reductions to principal.",IFERROR(INDEX(Validation!G:G,MATCH("Bond 7"&amp;CELL("address",D47),Validation!I:I,0)),""))</f>
        <v/>
      </c>
      <c r="E46" s="66" t="str">
        <f ca="1">IF(AND(ISBLANK(A47),OR(COUNTIF(E6:E45,"Alert")&gt;0,SUM(B38:B38)&lt;&gt;0)),"Error",IFERROR(INDEX(Validation!F:F,MATCH("Bond 7"&amp;CELL("address",D47),Validation!I:I,0)),""))</f>
        <v/>
      </c>
    </row>
    <row r="47" spans="1:5" ht="150" customHeight="1" x14ac:dyDescent="0.25">
      <c r="A47" s="123"/>
      <c r="B47" s="100" t="str">
        <f>HYPERLINK("#'Bonds'!B6","Click here to return to the Bonds Tab")</f>
        <v>Click here to return to the Bonds Tab</v>
      </c>
      <c r="C47" s="127"/>
    </row>
    <row r="48" spans="1:5" x14ac:dyDescent="0.25">
      <c r="A48" s="98"/>
      <c r="B48" s="98"/>
      <c r="C48" s="98"/>
    </row>
    <row r="49" spans="1:3" x14ac:dyDescent="0.25">
      <c r="A49" s="98"/>
      <c r="B49" s="98"/>
      <c r="C49" s="98"/>
    </row>
    <row r="50" spans="1:3" x14ac:dyDescent="0.25">
      <c r="A50" s="98"/>
      <c r="B50" s="98"/>
      <c r="C50" s="98"/>
    </row>
    <row r="51" spans="1:3" x14ac:dyDescent="0.25">
      <c r="A51" s="98"/>
      <c r="B51" s="98"/>
      <c r="C51" s="98"/>
    </row>
  </sheetData>
  <sheetProtection algorithmName="SHA-512" hashValue="n/Dl3lL5I/QAtlNaSdnYid8T8b/9jfNCNIYwNiSAAuEE4kxX1WE8dvKkYTvXOrG9F4uEu0f+yoh0l0/xoUR/bQ==" saltValue="Dq0ghWnz9EvdUONs1KBYbg==" spinCount="100000" sheet="1" objects="1" scenarios="1"/>
  <mergeCells count="1">
    <mergeCell ref="A4:E4"/>
  </mergeCells>
  <conditionalFormatting sqref="A2 D6:E46">
    <cfRule type="expression" dxfId="428" priority="6">
      <formula>$E2="Exclude"</formula>
    </cfRule>
  </conditionalFormatting>
  <conditionalFormatting sqref="A2">
    <cfRule type="expression" dxfId="427" priority="4">
      <formula>$E2="Error"</formula>
    </cfRule>
  </conditionalFormatting>
  <conditionalFormatting sqref="D6:E46">
    <cfRule type="expression" dxfId="425" priority="1">
      <formula>$E6="Information"</formula>
    </cfRule>
    <cfRule type="expression" dxfId="424" priority="2">
      <formula>$E6="Error"</formula>
    </cfRule>
    <cfRule type="expression" dxfId="423" priority="3">
      <formula>$E6="Alert"</formula>
    </cfRule>
  </conditionalFormatting>
  <dataValidations count="2">
    <dataValidation type="list" allowBlank="1" showInputMessage="1" showErrorMessage="1" sqref="B8:C8" xr:uid="{598DF180-DEB4-487F-B36B-6A1A70A6919E}">
      <formula1>BondType</formula1>
    </dataValidation>
    <dataValidation type="list" allowBlank="1" showInputMessage="1" showErrorMessage="1" sqref="B9:C11 B20:C20" xr:uid="{E6428384-2A04-4374-9836-86B8F563A8F5}">
      <formula1>SelOneYesNo</formula1>
    </dataValidation>
  </dataValidations>
  <pageMargins left="0.7" right="0.7" top="0.75" bottom="0.75" header="0.3" footer="0.3"/>
  <pageSetup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5" id="{579C552A-2EAC-4F71-915E-F5FAB34EFAC1}">
            <xm:f>COUNTIFS(Validation!$H:$H,MID(CELL("filename",A2),FIND("]",CELL("filename",A2))+1,255)&amp;CELL("address",A2))&gt;0</xm:f>
            <x14:dxf>
              <font>
                <b/>
                <i val="0"/>
                <color rgb="FFC00000"/>
              </font>
              <numFmt numFmtId="172" formatCode="_(\!* #,##0_);_(\!* \(#,##0\);_(\!* \-??_);_(\!\ @_)"/>
            </x14:dxf>
          </x14:cfRule>
          <xm:sqref>A2</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97E18-0D35-4BDE-9549-ACBADF3035AB}">
  <sheetPr>
    <tabColor rgb="FFFFC000"/>
  </sheetPr>
  <dimension ref="A1:R45"/>
  <sheetViews>
    <sheetView showGridLines="0" topLeftCell="A2" workbookViewId="0">
      <selection activeCell="C17" sqref="C17"/>
    </sheetView>
  </sheetViews>
  <sheetFormatPr defaultRowHeight="15" x14ac:dyDescent="0.25"/>
  <cols>
    <col min="1" max="1" width="55.7109375" customWidth="1"/>
    <col min="2" max="2" width="48.7109375" customWidth="1"/>
    <col min="3" max="3" width="14.7109375" customWidth="1"/>
  </cols>
  <sheetData>
    <row r="1" spans="1:18" s="43" customFormat="1" ht="24.95" customHeight="1" x14ac:dyDescent="0.3">
      <c r="A1" s="29" t="s">
        <v>758</v>
      </c>
    </row>
    <row r="2" spans="1:18" s="8" customFormat="1" ht="45" customHeight="1" x14ac:dyDescent="0.25">
      <c r="A2" s="9" t="s">
        <v>807</v>
      </c>
    </row>
    <row r="3" spans="1:18" s="9" customFormat="1" x14ac:dyDescent="0.25">
      <c r="A3" s="6"/>
      <c r="B3" t="s">
        <v>506</v>
      </c>
      <c r="C3" s="6" t="s">
        <v>203</v>
      </c>
      <c r="D3" s="6" t="s">
        <v>651</v>
      </c>
      <c r="E3" s="6" t="s">
        <v>652</v>
      </c>
      <c r="F3" s="6" t="s">
        <v>653</v>
      </c>
      <c r="G3" s="6" t="s">
        <v>654</v>
      </c>
      <c r="H3" s="6" t="s">
        <v>655</v>
      </c>
      <c r="I3" s="6" t="s">
        <v>656</v>
      </c>
      <c r="J3" s="6" t="s">
        <v>657</v>
      </c>
      <c r="K3" s="6" t="s">
        <v>658</v>
      </c>
      <c r="L3" s="6" t="s">
        <v>659</v>
      </c>
      <c r="M3" s="6" t="s">
        <v>660</v>
      </c>
      <c r="N3" s="6" t="s">
        <v>661</v>
      </c>
      <c r="O3" s="6" t="s">
        <v>662</v>
      </c>
      <c r="P3" s="6" t="s">
        <v>663</v>
      </c>
      <c r="Q3" s="6" t="s">
        <v>664</v>
      </c>
    </row>
    <row r="4" spans="1:18" s="9" customFormat="1" x14ac:dyDescent="0.25">
      <c r="A4" s="7" t="s">
        <v>1006</v>
      </c>
      <c r="B4" t="s">
        <v>1005</v>
      </c>
      <c r="C4" s="53" cm="1">
        <f t="array" aca="1" ref="C4" ca="1">INDIRECT("'"&amp;C3&amp;"'!F7")</f>
        <v>2346</v>
      </c>
      <c r="D4" s="53" cm="1">
        <f t="array" aca="1" ref="D4" ca="1">INDIRECT("'"&amp;D3&amp;"'!F7")</f>
        <v>2347</v>
      </c>
      <c r="E4" s="53" t="str" cm="1">
        <f t="array" aca="1" ref="E4" ca="1">INDIRECT("'"&amp;E3&amp;"'!F7")</f>
        <v/>
      </c>
      <c r="F4" s="53" t="str" cm="1">
        <f t="array" aca="1" ref="F4" ca="1">INDIRECT("'"&amp;F3&amp;"'!F7")</f>
        <v/>
      </c>
      <c r="G4" s="53" t="str" cm="1">
        <f t="array" aca="1" ref="G4" ca="1">INDIRECT("'"&amp;G3&amp;"'!F7")</f>
        <v/>
      </c>
      <c r="H4" s="53" t="str" cm="1">
        <f t="array" aca="1" ref="H4" ca="1">INDIRECT("'"&amp;H3&amp;"'!F7")</f>
        <v/>
      </c>
      <c r="I4" s="53" t="str" cm="1">
        <f t="array" aca="1" ref="I4" ca="1">INDIRECT("'"&amp;I3&amp;"'!F7")</f>
        <v/>
      </c>
      <c r="J4" s="53" t="str" cm="1">
        <f t="array" aca="1" ref="J4" ca="1">INDIRECT("'"&amp;J3&amp;"'!F7")</f>
        <v/>
      </c>
      <c r="K4" s="53" t="str" cm="1">
        <f t="array" aca="1" ref="K4" ca="1">INDIRECT("'"&amp;K3&amp;"'!F7")</f>
        <v/>
      </c>
      <c r="L4" s="53" t="str" cm="1">
        <f t="array" aca="1" ref="L4" ca="1">INDIRECT("'"&amp;L3&amp;"'!F7")</f>
        <v/>
      </c>
      <c r="M4" s="53" t="str" cm="1">
        <f t="array" aca="1" ref="M4" ca="1">INDIRECT("'"&amp;M3&amp;"'!F7")</f>
        <v/>
      </c>
      <c r="N4" s="53" t="str" cm="1">
        <f t="array" aca="1" ref="N4" ca="1">INDIRECT("'"&amp;N3&amp;"'!F7")</f>
        <v/>
      </c>
      <c r="O4" s="53" t="str" cm="1">
        <f t="array" aca="1" ref="O4" ca="1">INDIRECT("'"&amp;O3&amp;"'!F7")</f>
        <v/>
      </c>
      <c r="P4" s="53" t="str" cm="1">
        <f t="array" aca="1" ref="P4" ca="1">INDIRECT("'"&amp;P3&amp;"'!F7")</f>
        <v/>
      </c>
      <c r="Q4" s="53" t="str" cm="1">
        <f t="array" aca="1" ref="Q4" ca="1">INDIRECT("'"&amp;Q3&amp;"'!F7")</f>
        <v/>
      </c>
      <c r="R4"/>
    </row>
    <row r="5" spans="1:18" x14ac:dyDescent="0.25">
      <c r="A5" s="7" t="s">
        <v>210</v>
      </c>
      <c r="B5" t="s">
        <v>714</v>
      </c>
      <c r="C5" s="28" t="str">
        <f>'PAYG 1'!$B7</f>
        <v>Elevator Inc</v>
      </c>
      <c r="D5" s="28" t="str">
        <f>'PAYG 2'!$B7</f>
        <v>Ricks Lumber</v>
      </c>
      <c r="E5" s="28" t="str">
        <f>'PAYG 3'!$B7</f>
        <v/>
      </c>
      <c r="F5" s="28" t="str">
        <f>'PAYG 4'!$B7</f>
        <v/>
      </c>
      <c r="G5" s="28" t="str">
        <f>'PAYG 5'!$B7</f>
        <v/>
      </c>
      <c r="H5" s="28" t="str">
        <f>'PAYG 6'!$B7</f>
        <v/>
      </c>
      <c r="I5" s="28" t="str">
        <f>'PAYG 7'!$B7</f>
        <v/>
      </c>
      <c r="J5" s="28" t="str">
        <f>'PAYG 8'!$B7</f>
        <v/>
      </c>
      <c r="K5" s="28" t="str">
        <f>'PAYG 9'!$B7</f>
        <v/>
      </c>
      <c r="L5" s="28" t="str">
        <f>'PAYG 10'!$B7</f>
        <v/>
      </c>
      <c r="M5" s="28" t="str">
        <f>'PAYG 11'!$B7</f>
        <v/>
      </c>
      <c r="N5" s="28" t="str">
        <f>'PAYG 12'!$B7</f>
        <v/>
      </c>
      <c r="O5" s="28" t="str">
        <f>'PAYG 13'!$B7</f>
        <v/>
      </c>
      <c r="P5" s="28" t="str">
        <f>'PAYG 14'!$B7</f>
        <v/>
      </c>
      <c r="Q5" s="28" t="str">
        <f>'PAYG 15'!$B7</f>
        <v/>
      </c>
    </row>
    <row r="6" spans="1:18" x14ac:dyDescent="0.25">
      <c r="A6" s="7" t="s">
        <v>211</v>
      </c>
      <c r="B6" t="s">
        <v>715</v>
      </c>
      <c r="C6" s="37">
        <f>'PAYG 1'!$B8</f>
        <v>42870</v>
      </c>
      <c r="D6" s="37">
        <f>'PAYG 2'!$B8</f>
        <v>42968</v>
      </c>
      <c r="E6" s="37" t="str">
        <f>'PAYG 3'!$B8</f>
        <v/>
      </c>
      <c r="F6" s="37" t="str">
        <f>'PAYG 4'!$B8</f>
        <v/>
      </c>
      <c r="G6" s="37" t="str">
        <f>'PAYG 5'!$B8</f>
        <v/>
      </c>
      <c r="H6" s="37" t="str">
        <f>'PAYG 6'!$B8</f>
        <v/>
      </c>
      <c r="I6" s="37" t="str">
        <f>'PAYG 7'!$B8</f>
        <v/>
      </c>
      <c r="J6" s="37" t="str">
        <f>'PAYG 8'!$B8</f>
        <v/>
      </c>
      <c r="K6" s="37" t="str">
        <f>'PAYG 9'!$B8</f>
        <v/>
      </c>
      <c r="L6" s="37" t="str">
        <f>'PAYG 10'!$B8</f>
        <v/>
      </c>
      <c r="M6" s="37" t="str">
        <f>'PAYG 11'!$B8</f>
        <v/>
      </c>
      <c r="N6" s="37" t="str">
        <f>'PAYG 12'!$B8</f>
        <v/>
      </c>
      <c r="O6" s="37" t="str">
        <f>'PAYG 13'!$B8</f>
        <v/>
      </c>
      <c r="P6" s="37" t="str">
        <f>'PAYG 14'!$B8</f>
        <v/>
      </c>
      <c r="Q6" s="37" t="str">
        <f>'PAYG 15'!$B8</f>
        <v/>
      </c>
    </row>
    <row r="7" spans="1:18" x14ac:dyDescent="0.25">
      <c r="A7" s="7" t="s">
        <v>212</v>
      </c>
      <c r="B7" t="s">
        <v>716</v>
      </c>
      <c r="C7" s="37">
        <f>'PAYG 1'!$B9</f>
        <v>47118</v>
      </c>
      <c r="D7" s="37">
        <f>'PAYG 2'!$B9</f>
        <v>47483</v>
      </c>
      <c r="E7" s="37" t="str">
        <f>'PAYG 3'!$B9</f>
        <v/>
      </c>
      <c r="F7" s="37" t="str">
        <f>'PAYG 4'!$B9</f>
        <v/>
      </c>
      <c r="G7" s="37" t="str">
        <f>'PAYG 5'!$B9</f>
        <v/>
      </c>
      <c r="H7" s="37" t="str">
        <f>'PAYG 6'!$B9</f>
        <v/>
      </c>
      <c r="I7" s="37" t="str">
        <f>'PAYG 7'!$B9</f>
        <v/>
      </c>
      <c r="J7" s="37" t="str">
        <f>'PAYG 8'!$B9</f>
        <v/>
      </c>
      <c r="K7" s="37" t="str">
        <f>'PAYG 9'!$B9</f>
        <v/>
      </c>
      <c r="L7" s="37" t="str">
        <f>'PAYG 10'!$B9</f>
        <v/>
      </c>
      <c r="M7" s="37" t="str">
        <f>'PAYG 11'!$B9</f>
        <v/>
      </c>
      <c r="N7" s="37" t="str">
        <f>'PAYG 12'!$B9</f>
        <v/>
      </c>
      <c r="O7" s="37" t="str">
        <f>'PAYG 13'!$B9</f>
        <v/>
      </c>
      <c r="P7" s="37" t="str">
        <f>'PAYG 14'!$B9</f>
        <v/>
      </c>
      <c r="Q7" s="37" t="str">
        <f>'PAYG 15'!$B9</f>
        <v/>
      </c>
    </row>
    <row r="8" spans="1:18" x14ac:dyDescent="0.25">
      <c r="A8" s="7" t="s">
        <v>213</v>
      </c>
      <c r="B8" t="s">
        <v>717</v>
      </c>
      <c r="C8" s="28">
        <f>'PAYG 1'!$B10</f>
        <v>0</v>
      </c>
      <c r="D8" s="28">
        <f>'PAYG 2'!$B10</f>
        <v>0</v>
      </c>
      <c r="E8" s="28" t="str">
        <f>'PAYG 3'!$B10</f>
        <v/>
      </c>
      <c r="F8" s="28" t="str">
        <f>'PAYG 4'!$B10</f>
        <v/>
      </c>
      <c r="G8" s="28" t="str">
        <f>'PAYG 5'!$B10</f>
        <v/>
      </c>
      <c r="H8" s="28" t="str">
        <f>'PAYG 6'!$B10</f>
        <v/>
      </c>
      <c r="I8" s="28" t="str">
        <f>'PAYG 7'!$B10</f>
        <v/>
      </c>
      <c r="J8" s="28" t="str">
        <f>'PAYG 8'!$B10</f>
        <v/>
      </c>
      <c r="K8" s="28" t="str">
        <f>'PAYG 9'!$B10</f>
        <v/>
      </c>
      <c r="L8" s="28" t="str">
        <f>'PAYG 10'!$B10</f>
        <v/>
      </c>
      <c r="M8" s="28" t="str">
        <f>'PAYG 11'!$B10</f>
        <v/>
      </c>
      <c r="N8" s="28" t="str">
        <f>'PAYG 12'!$B10</f>
        <v/>
      </c>
      <c r="O8" s="28" t="str">
        <f>'PAYG 13'!$B10</f>
        <v/>
      </c>
      <c r="P8" s="28" t="str">
        <f>'PAYG 14'!$B10</f>
        <v/>
      </c>
      <c r="Q8" s="28" t="str">
        <f>'PAYG 15'!$B10</f>
        <v/>
      </c>
    </row>
    <row r="9" spans="1:18" x14ac:dyDescent="0.25">
      <c r="A9" s="7" t="s">
        <v>214</v>
      </c>
      <c r="B9" t="s">
        <v>718</v>
      </c>
      <c r="C9" s="28">
        <f>'PAYG 1'!$B11</f>
        <v>0</v>
      </c>
      <c r="D9" s="28">
        <f>'PAYG 2'!$B11</f>
        <v>0</v>
      </c>
      <c r="E9" s="28" t="str">
        <f>'PAYG 3'!$B11</f>
        <v/>
      </c>
      <c r="F9" s="28" t="str">
        <f>'PAYG 4'!$B11</f>
        <v/>
      </c>
      <c r="G9" s="28" t="str">
        <f>'PAYG 5'!$B11</f>
        <v/>
      </c>
      <c r="H9" s="28" t="str">
        <f>'PAYG 6'!$B11</f>
        <v/>
      </c>
      <c r="I9" s="28" t="str">
        <f>'PAYG 7'!$B11</f>
        <v/>
      </c>
      <c r="J9" s="28" t="str">
        <f>'PAYG 8'!$B11</f>
        <v/>
      </c>
      <c r="K9" s="28" t="str">
        <f>'PAYG 9'!$B11</f>
        <v/>
      </c>
      <c r="L9" s="28" t="str">
        <f>'PAYG 10'!$B11</f>
        <v/>
      </c>
      <c r="M9" s="28" t="str">
        <f>'PAYG 11'!$B11</f>
        <v/>
      </c>
      <c r="N9" s="28" t="str">
        <f>'PAYG 12'!$B11</f>
        <v/>
      </c>
      <c r="O9" s="28" t="str">
        <f>'PAYG 13'!$B11</f>
        <v/>
      </c>
      <c r="P9" s="28" t="str">
        <f>'PAYG 14'!$B11</f>
        <v/>
      </c>
      <c r="Q9" s="28" t="str">
        <f>'PAYG 15'!$B11</f>
        <v/>
      </c>
    </row>
    <row r="10" spans="1:18" x14ac:dyDescent="0.25">
      <c r="A10" s="7" t="s">
        <v>235</v>
      </c>
      <c r="B10" t="s">
        <v>719</v>
      </c>
      <c r="C10" s="28">
        <f>'PAYG 1'!$B12</f>
        <v>268643</v>
      </c>
      <c r="D10" s="28">
        <f>'PAYG 2'!$B12</f>
        <v>73125</v>
      </c>
      <c r="E10" s="28" t="str">
        <f>'PAYG 3'!$B12</f>
        <v/>
      </c>
      <c r="F10" s="28" t="str">
        <f>'PAYG 4'!$B12</f>
        <v/>
      </c>
      <c r="G10" s="28" t="str">
        <f>'PAYG 5'!$B12</f>
        <v/>
      </c>
      <c r="H10" s="28" t="str">
        <f>'PAYG 6'!$B12</f>
        <v/>
      </c>
      <c r="I10" s="28" t="str">
        <f>'PAYG 7'!$B12</f>
        <v/>
      </c>
      <c r="J10" s="28" t="str">
        <f>'PAYG 8'!$B12</f>
        <v/>
      </c>
      <c r="K10" s="28" t="str">
        <f>'PAYG 9'!$B12</f>
        <v/>
      </c>
      <c r="L10" s="28" t="str">
        <f>'PAYG 10'!$B12</f>
        <v/>
      </c>
      <c r="M10" s="28" t="str">
        <f>'PAYG 11'!$B12</f>
        <v/>
      </c>
      <c r="N10" s="28" t="str">
        <f>'PAYG 12'!$B12</f>
        <v/>
      </c>
      <c r="O10" s="28" t="str">
        <f>'PAYG 13'!$B12</f>
        <v/>
      </c>
      <c r="P10" s="28" t="str">
        <f>'PAYG 14'!$B12</f>
        <v/>
      </c>
      <c r="Q10" s="28" t="str">
        <f>'PAYG 15'!$B12</f>
        <v/>
      </c>
    </row>
    <row r="11" spans="1:18" x14ac:dyDescent="0.25">
      <c r="A11" s="7" t="s">
        <v>232</v>
      </c>
      <c r="B11" s="32" t="s">
        <v>720</v>
      </c>
      <c r="C11" s="28" t="b">
        <f>IF('PAYG 1'!$B13="Yes",TRUE,IF('PAYG 1'!$B13="No",FALSE,""))</f>
        <v>1</v>
      </c>
      <c r="D11" s="28" t="b">
        <f>IF('PAYG 2'!$B13="Yes",TRUE,IF('PAYG 2'!$B13="No",FALSE,""))</f>
        <v>1</v>
      </c>
      <c r="E11" s="28" t="str">
        <f>IF('PAYG 3'!$B13="Yes",TRUE,IF('PAYG 3'!$B13="No",FALSE,""))</f>
        <v/>
      </c>
      <c r="F11" s="28" t="str">
        <f>IF('PAYG 4'!$B13="Yes",TRUE,IF('PAYG 4'!$B13="No",FALSE,""))</f>
        <v/>
      </c>
      <c r="G11" s="28" t="str">
        <f>IF('PAYG 5'!$B13="Yes",TRUE,IF('PAYG 5'!$B13="No",FALSE,""))</f>
        <v/>
      </c>
      <c r="H11" s="28" t="str">
        <f>IF('PAYG 6'!$B13="Yes",TRUE,IF('PAYG 6'!$B13="No",FALSE,""))</f>
        <v/>
      </c>
      <c r="I11" s="28" t="str">
        <f>IF('PAYG 7'!$B13="Yes",TRUE,IF('PAYG 7'!$B13="No",FALSE,""))</f>
        <v/>
      </c>
      <c r="J11" s="28" t="str">
        <f>IF('PAYG 8'!$B13="Yes",TRUE,IF('PAYG 8'!$B13="No",FALSE,""))</f>
        <v/>
      </c>
      <c r="K11" s="28" t="str">
        <f>IF('PAYG 9'!$B13="Yes",TRUE,IF('PAYG 9'!$B13="No",FALSE,""))</f>
        <v/>
      </c>
      <c r="L11" s="28" t="str">
        <f>IF('PAYG 10'!$B13="Yes",TRUE,IF('PAYG 10'!$B13="No",FALSE,""))</f>
        <v/>
      </c>
      <c r="M11" s="28" t="str">
        <f>IF('PAYG 11'!$B13="Yes",TRUE,IF('PAYG 11'!$B13="No",FALSE,""))</f>
        <v/>
      </c>
      <c r="N11" s="28" t="str">
        <f>IF('PAYG 12'!$B13="Yes",TRUE,IF('PAYG 12'!$B13="No",FALSE,""))</f>
        <v/>
      </c>
      <c r="O11" s="28" t="str">
        <f>IF('PAYG 13'!$B13="Yes",TRUE,IF('PAYG 13'!$B13="No",FALSE,""))</f>
        <v/>
      </c>
      <c r="P11" s="28" t="str">
        <f>IF('PAYG 14'!$B13="Yes",TRUE,IF('PAYG 14'!$B13="No",FALSE,""))</f>
        <v/>
      </c>
      <c r="Q11" s="28" t="str">
        <f>IF('PAYG 15'!$B13="Yes",TRUE,IF('PAYG 15'!$B13="No",FALSE,""))</f>
        <v/>
      </c>
    </row>
    <row r="12" spans="1:18" x14ac:dyDescent="0.25">
      <c r="A12" s="7" t="s">
        <v>1193</v>
      </c>
      <c r="B12" s="32" t="s">
        <v>1338</v>
      </c>
      <c r="C12" s="28">
        <f>'PAYG 1'!$B15</f>
        <v>0</v>
      </c>
      <c r="D12" s="28">
        <f>'PAYG 2'!$B15</f>
        <v>0</v>
      </c>
      <c r="E12" s="28" t="str">
        <f>'PAYG 3'!$B15</f>
        <v/>
      </c>
      <c r="F12" s="28" t="str">
        <f>'PAYG 4'!$B15</f>
        <v/>
      </c>
      <c r="G12" s="28" t="str">
        <f>'PAYG 5'!$B15</f>
        <v/>
      </c>
      <c r="H12" s="28" t="str">
        <f>'PAYG 6'!$B15</f>
        <v/>
      </c>
      <c r="I12" s="28" t="str">
        <f>'PAYG 7'!$B15</f>
        <v/>
      </c>
      <c r="J12" s="28" t="str">
        <f>'PAYG 8'!$B15</f>
        <v/>
      </c>
      <c r="K12" s="28" t="str">
        <f>'PAYG 9'!$B15</f>
        <v/>
      </c>
      <c r="L12" s="28" t="str">
        <f>'PAYG 10'!$B15</f>
        <v/>
      </c>
      <c r="M12" s="28" t="str">
        <f>'PAYG 11'!$B15</f>
        <v/>
      </c>
      <c r="N12" s="28" t="str">
        <f>'PAYG 12'!$B15</f>
        <v/>
      </c>
      <c r="O12" s="28" t="str">
        <f>'PAYG 13'!$B15</f>
        <v/>
      </c>
      <c r="P12" s="28" t="str">
        <f>'PAYG 14'!$B15</f>
        <v/>
      </c>
      <c r="Q12" s="28" t="str">
        <f>'PAYG 15'!$B15</f>
        <v/>
      </c>
    </row>
    <row r="13" spans="1:18" x14ac:dyDescent="0.25">
      <c r="A13" s="7" t="s">
        <v>1195</v>
      </c>
      <c r="B13" t="s">
        <v>721</v>
      </c>
      <c r="C13" s="28">
        <f>'PAYG 1'!$C15</f>
        <v>0</v>
      </c>
      <c r="D13" s="28">
        <f>'PAYG 2'!$C15</f>
        <v>0</v>
      </c>
      <c r="E13" s="28">
        <f>'PAYG 3'!$C15</f>
        <v>0</v>
      </c>
      <c r="F13" s="28">
        <f>'PAYG 4'!$C15</f>
        <v>0</v>
      </c>
      <c r="G13" s="28">
        <f>'PAYG 5'!$C15</f>
        <v>0</v>
      </c>
      <c r="H13" s="28">
        <f>'PAYG 6'!$C15</f>
        <v>0</v>
      </c>
      <c r="I13" s="28">
        <f>'PAYG 7'!$C15</f>
        <v>0</v>
      </c>
      <c r="J13" s="28">
        <f>'PAYG 8'!$C15</f>
        <v>0</v>
      </c>
      <c r="K13" s="28">
        <f>'PAYG 9'!$C15</f>
        <v>0</v>
      </c>
      <c r="L13" s="28">
        <f>'PAYG 10'!$C15</f>
        <v>0</v>
      </c>
      <c r="M13" s="28">
        <f>'PAYG 11'!$C15</f>
        <v>0</v>
      </c>
      <c r="N13" s="28">
        <f>'PAYG 12'!$C15</f>
        <v>0</v>
      </c>
      <c r="O13" s="28">
        <f>'PAYG 13'!$C15</f>
        <v>0</v>
      </c>
      <c r="P13" s="28">
        <f>'PAYG 14'!$C15</f>
        <v>0</v>
      </c>
      <c r="Q13" s="28">
        <f>'PAYG 15'!$C15</f>
        <v>0</v>
      </c>
    </row>
    <row r="14" spans="1:18" x14ac:dyDescent="0.25">
      <c r="A14" s="7" t="s">
        <v>1197</v>
      </c>
      <c r="B14" s="32" t="s">
        <v>1339</v>
      </c>
      <c r="C14" s="28">
        <f>'PAYG 1'!$B16</f>
        <v>268643</v>
      </c>
      <c r="D14" s="28">
        <f>'PAYG 2'!$B16</f>
        <v>73125</v>
      </c>
      <c r="E14" s="28" t="str">
        <f>'PAYG 3'!$B16</f>
        <v/>
      </c>
      <c r="F14" s="28" t="str">
        <f>'PAYG 4'!$B16</f>
        <v/>
      </c>
      <c r="G14" s="28" t="str">
        <f>'PAYG 5'!$B16</f>
        <v/>
      </c>
      <c r="H14" s="28" t="str">
        <f>'PAYG 6'!$B16</f>
        <v/>
      </c>
      <c r="I14" s="28" t="str">
        <f>'PAYG 7'!$B16</f>
        <v/>
      </c>
      <c r="J14" s="28" t="str">
        <f>'PAYG 8'!$B16</f>
        <v/>
      </c>
      <c r="K14" s="28" t="str">
        <f>'PAYG 9'!$B16</f>
        <v/>
      </c>
      <c r="L14" s="28" t="str">
        <f>'PAYG 10'!$B16</f>
        <v/>
      </c>
      <c r="M14" s="28" t="str">
        <f>'PAYG 11'!$B16</f>
        <v/>
      </c>
      <c r="N14" s="28" t="str">
        <f>'PAYG 12'!$B16</f>
        <v/>
      </c>
      <c r="O14" s="28" t="str">
        <f>'PAYG 13'!$B16</f>
        <v/>
      </c>
      <c r="P14" s="28" t="str">
        <f>'PAYG 14'!$B16</f>
        <v/>
      </c>
      <c r="Q14" s="28" t="str">
        <f>'PAYG 15'!$B16</f>
        <v/>
      </c>
    </row>
    <row r="15" spans="1:18" x14ac:dyDescent="0.25">
      <c r="A15" s="7" t="s">
        <v>1199</v>
      </c>
      <c r="B15" t="s">
        <v>722</v>
      </c>
      <c r="C15" s="28">
        <f>'PAYG 1'!$C16</f>
        <v>0</v>
      </c>
      <c r="D15" s="28">
        <f>'PAYG 2'!$C16</f>
        <v>0</v>
      </c>
      <c r="E15" s="28">
        <f>'PAYG 3'!$C16</f>
        <v>0</v>
      </c>
      <c r="F15" s="28">
        <f>'PAYG 4'!$C16</f>
        <v>0</v>
      </c>
      <c r="G15" s="28">
        <f>'PAYG 5'!$C16</f>
        <v>0</v>
      </c>
      <c r="H15" s="28">
        <f>'PAYG 6'!$C16</f>
        <v>0</v>
      </c>
      <c r="I15" s="28">
        <f>'PAYG 7'!$C16</f>
        <v>0</v>
      </c>
      <c r="J15" s="28">
        <f>'PAYG 8'!$C16</f>
        <v>0</v>
      </c>
      <c r="K15" s="28">
        <f>'PAYG 9'!$C16</f>
        <v>0</v>
      </c>
      <c r="L15" s="28">
        <f>'PAYG 10'!$C16</f>
        <v>0</v>
      </c>
      <c r="M15" s="28">
        <f>'PAYG 11'!$C16</f>
        <v>0</v>
      </c>
      <c r="N15" s="28">
        <f>'PAYG 12'!$C16</f>
        <v>0</v>
      </c>
      <c r="O15" s="28">
        <f>'PAYG 13'!$C16</f>
        <v>0</v>
      </c>
      <c r="P15" s="28">
        <f>'PAYG 14'!$C16</f>
        <v>0</v>
      </c>
      <c r="Q15" s="28">
        <f>'PAYG 15'!$C16</f>
        <v>0</v>
      </c>
    </row>
    <row r="16" spans="1:18" x14ac:dyDescent="0.25">
      <c r="A16" s="7" t="s">
        <v>1201</v>
      </c>
      <c r="B16" s="32" t="s">
        <v>1340</v>
      </c>
      <c r="C16" s="28">
        <f>'PAYG 1'!$B17</f>
        <v>0</v>
      </c>
      <c r="D16" s="28">
        <f>'PAYG 2'!$B17</f>
        <v>0</v>
      </c>
      <c r="E16" s="28" t="str">
        <f>'PAYG 3'!$B17</f>
        <v/>
      </c>
      <c r="F16" s="28" t="str">
        <f>'PAYG 4'!$B17</f>
        <v/>
      </c>
      <c r="G16" s="28" t="str">
        <f>'PAYG 5'!$B17</f>
        <v/>
      </c>
      <c r="H16" s="28" t="str">
        <f>'PAYG 6'!$B17</f>
        <v/>
      </c>
      <c r="I16" s="28" t="str">
        <f>'PAYG 7'!$B17</f>
        <v/>
      </c>
      <c r="J16" s="28" t="str">
        <f>'PAYG 8'!$B17</f>
        <v/>
      </c>
      <c r="K16" s="28" t="str">
        <f>'PAYG 9'!$B17</f>
        <v/>
      </c>
      <c r="L16" s="28" t="str">
        <f>'PAYG 10'!$B17</f>
        <v/>
      </c>
      <c r="M16" s="28" t="str">
        <f>'PAYG 11'!$B17</f>
        <v/>
      </c>
      <c r="N16" s="28" t="str">
        <f>'PAYG 12'!$B17</f>
        <v/>
      </c>
      <c r="O16" s="28" t="str">
        <f>'PAYG 13'!$B17</f>
        <v/>
      </c>
      <c r="P16" s="28" t="str">
        <f>'PAYG 14'!$B17</f>
        <v/>
      </c>
      <c r="Q16" s="28" t="str">
        <f>'PAYG 15'!$B17</f>
        <v/>
      </c>
    </row>
    <row r="17" spans="1:17" x14ac:dyDescent="0.25">
      <c r="A17" s="7" t="s">
        <v>1203</v>
      </c>
      <c r="B17" t="s">
        <v>723</v>
      </c>
      <c r="C17" s="28">
        <f>'PAYG 1'!$C17</f>
        <v>0</v>
      </c>
      <c r="D17" s="28">
        <f>'PAYG 2'!$C17</f>
        <v>0</v>
      </c>
      <c r="E17" s="28">
        <f>'PAYG 3'!$C17</f>
        <v>0</v>
      </c>
      <c r="F17" s="28">
        <f>'PAYG 4'!$C17</f>
        <v>0</v>
      </c>
      <c r="G17" s="28">
        <f>'PAYG 5'!$C17</f>
        <v>0</v>
      </c>
      <c r="H17" s="28">
        <f>'PAYG 6'!$C17</f>
        <v>0</v>
      </c>
      <c r="I17" s="28">
        <f>'PAYG 7'!$C17</f>
        <v>0</v>
      </c>
      <c r="J17" s="28">
        <f>'PAYG 8'!$C17</f>
        <v>0</v>
      </c>
      <c r="K17" s="28">
        <f>'PAYG 9'!$C17</f>
        <v>0</v>
      </c>
      <c r="L17" s="28">
        <f>'PAYG 10'!$C17</f>
        <v>0</v>
      </c>
      <c r="M17" s="28">
        <f>'PAYG 11'!$C17</f>
        <v>0</v>
      </c>
      <c r="N17" s="28">
        <f>'PAYG 12'!$C17</f>
        <v>0</v>
      </c>
      <c r="O17" s="28">
        <f>'PAYG 13'!$C17</f>
        <v>0</v>
      </c>
      <c r="P17" s="28">
        <f>'PAYG 14'!$C17</f>
        <v>0</v>
      </c>
      <c r="Q17" s="28">
        <f>'PAYG 15'!$C17</f>
        <v>0</v>
      </c>
    </row>
    <row r="18" spans="1:17" x14ac:dyDescent="0.25">
      <c r="A18" s="7" t="s">
        <v>1205</v>
      </c>
      <c r="B18" s="32" t="s">
        <v>1341</v>
      </c>
      <c r="C18" s="28">
        <f>'PAYG 1'!$B18</f>
        <v>0</v>
      </c>
      <c r="D18" s="28">
        <f>'PAYG 2'!$B18</f>
        <v>0</v>
      </c>
      <c r="E18" s="28" t="str">
        <f>'PAYG 3'!$B18</f>
        <v/>
      </c>
      <c r="F18" s="28" t="str">
        <f>'PAYG 4'!$B18</f>
        <v/>
      </c>
      <c r="G18" s="28" t="str">
        <f>'PAYG 5'!$B18</f>
        <v/>
      </c>
      <c r="H18" s="28" t="str">
        <f>'PAYG 6'!$B18</f>
        <v/>
      </c>
      <c r="I18" s="28" t="str">
        <f>'PAYG 7'!$B18</f>
        <v/>
      </c>
      <c r="J18" s="28" t="str">
        <f>'PAYG 8'!$B18</f>
        <v/>
      </c>
      <c r="K18" s="28" t="str">
        <f>'PAYG 9'!$B18</f>
        <v/>
      </c>
      <c r="L18" s="28" t="str">
        <f>'PAYG 10'!$B18</f>
        <v/>
      </c>
      <c r="M18" s="28" t="str">
        <f>'PAYG 11'!$B18</f>
        <v/>
      </c>
      <c r="N18" s="28" t="str">
        <f>'PAYG 12'!$B18</f>
        <v/>
      </c>
      <c r="O18" s="28" t="str">
        <f>'PAYG 13'!$B18</f>
        <v/>
      </c>
      <c r="P18" s="28" t="str">
        <f>'PAYG 14'!$B18</f>
        <v/>
      </c>
      <c r="Q18" s="28" t="str">
        <f>'PAYG 15'!$B18</f>
        <v/>
      </c>
    </row>
    <row r="19" spans="1:17" x14ac:dyDescent="0.25">
      <c r="A19" s="7" t="s">
        <v>1207</v>
      </c>
      <c r="B19" t="s">
        <v>724</v>
      </c>
      <c r="C19" s="28">
        <f>'PAYG 1'!$C18</f>
        <v>0</v>
      </c>
      <c r="D19" s="28">
        <f>'PAYG 2'!$C18</f>
        <v>0</v>
      </c>
      <c r="E19" s="28">
        <f>'PAYG 3'!$C18</f>
        <v>0</v>
      </c>
      <c r="F19" s="28">
        <f>'PAYG 4'!$C18</f>
        <v>0</v>
      </c>
      <c r="G19" s="28">
        <f>'PAYG 5'!$C18</f>
        <v>0</v>
      </c>
      <c r="H19" s="28">
        <f>'PAYG 6'!$C18</f>
        <v>0</v>
      </c>
      <c r="I19" s="28">
        <f>'PAYG 7'!$C18</f>
        <v>0</v>
      </c>
      <c r="J19" s="28">
        <f>'PAYG 8'!$C18</f>
        <v>0</v>
      </c>
      <c r="K19" s="28">
        <f>'PAYG 9'!$C18</f>
        <v>0</v>
      </c>
      <c r="L19" s="28">
        <f>'PAYG 10'!$C18</f>
        <v>0</v>
      </c>
      <c r="M19" s="28">
        <f>'PAYG 11'!$C18</f>
        <v>0</v>
      </c>
      <c r="N19" s="28">
        <f>'PAYG 12'!$C18</f>
        <v>0</v>
      </c>
      <c r="O19" s="28">
        <f>'PAYG 13'!$C18</f>
        <v>0</v>
      </c>
      <c r="P19" s="28">
        <f>'PAYG 14'!$C18</f>
        <v>0</v>
      </c>
      <c r="Q19" s="28">
        <f>'PAYG 15'!$C18</f>
        <v>0</v>
      </c>
    </row>
    <row r="20" spans="1:17" x14ac:dyDescent="0.25">
      <c r="A20" s="7" t="s">
        <v>1211</v>
      </c>
      <c r="B20" s="32" t="s">
        <v>1342</v>
      </c>
      <c r="C20" s="28">
        <f>'PAYG 1'!$B19</f>
        <v>0</v>
      </c>
      <c r="D20" s="28">
        <f>'PAYG 2'!$B19</f>
        <v>0</v>
      </c>
      <c r="E20" s="28" t="str">
        <f>'PAYG 3'!$B19</f>
        <v/>
      </c>
      <c r="F20" s="28" t="str">
        <f>'PAYG 4'!$B19</f>
        <v/>
      </c>
      <c r="G20" s="28" t="str">
        <f>'PAYG 5'!$B19</f>
        <v/>
      </c>
      <c r="H20" s="28" t="str">
        <f>'PAYG 6'!$B19</f>
        <v/>
      </c>
      <c r="I20" s="28" t="str">
        <f>'PAYG 7'!$B19</f>
        <v/>
      </c>
      <c r="J20" s="28" t="str">
        <f>'PAYG 8'!$B19</f>
        <v/>
      </c>
      <c r="K20" s="28" t="str">
        <f>'PAYG 9'!$B19</f>
        <v/>
      </c>
      <c r="L20" s="28" t="str">
        <f>'PAYG 10'!$B19</f>
        <v/>
      </c>
      <c r="M20" s="28" t="str">
        <f>'PAYG 11'!$B19</f>
        <v/>
      </c>
      <c r="N20" s="28" t="str">
        <f>'PAYG 12'!$B19</f>
        <v/>
      </c>
      <c r="O20" s="28" t="str">
        <f>'PAYG 13'!$B19</f>
        <v/>
      </c>
      <c r="P20" s="28" t="str">
        <f>'PAYG 14'!$B19</f>
        <v/>
      </c>
      <c r="Q20" s="28" t="str">
        <f>'PAYG 15'!$B19</f>
        <v/>
      </c>
    </row>
    <row r="21" spans="1:17" x14ac:dyDescent="0.25">
      <c r="A21" s="7" t="s">
        <v>1213</v>
      </c>
      <c r="B21" t="s">
        <v>725</v>
      </c>
      <c r="C21" s="28">
        <f>'PAYG 1'!$C19</f>
        <v>0</v>
      </c>
      <c r="D21" s="28">
        <f>'PAYG 2'!$C19</f>
        <v>0</v>
      </c>
      <c r="E21" s="28">
        <f>'PAYG 3'!$C19</f>
        <v>0</v>
      </c>
      <c r="F21" s="28">
        <f>'PAYG 4'!$C19</f>
        <v>0</v>
      </c>
      <c r="G21" s="28">
        <f>'PAYG 5'!$C19</f>
        <v>0</v>
      </c>
      <c r="H21" s="28">
        <f>'PAYG 6'!$C19</f>
        <v>0</v>
      </c>
      <c r="I21" s="28">
        <f>'PAYG 7'!$C19</f>
        <v>0</v>
      </c>
      <c r="J21" s="28">
        <f>'PAYG 8'!$C19</f>
        <v>0</v>
      </c>
      <c r="K21" s="28">
        <f>'PAYG 9'!$C19</f>
        <v>0</v>
      </c>
      <c r="L21" s="28">
        <f>'PAYG 10'!$C19</f>
        <v>0</v>
      </c>
      <c r="M21" s="28">
        <f>'PAYG 11'!$C19</f>
        <v>0</v>
      </c>
      <c r="N21" s="28">
        <f>'PAYG 12'!$C19</f>
        <v>0</v>
      </c>
      <c r="O21" s="28">
        <f>'PAYG 13'!$C19</f>
        <v>0</v>
      </c>
      <c r="P21" s="28">
        <f>'PAYG 14'!$C19</f>
        <v>0</v>
      </c>
      <c r="Q21" s="28">
        <f>'PAYG 15'!$C19</f>
        <v>0</v>
      </c>
    </row>
    <row r="22" spans="1:17" x14ac:dyDescent="0.25">
      <c r="A22" s="7" t="s">
        <v>1219</v>
      </c>
      <c r="B22" s="32" t="s">
        <v>1343</v>
      </c>
      <c r="C22" s="28">
        <f>'PAYG 1'!$B20</f>
        <v>0</v>
      </c>
      <c r="D22" s="28">
        <f>'PAYG 2'!$B20</f>
        <v>0</v>
      </c>
      <c r="E22" s="28" t="str">
        <f>'PAYG 3'!$B20</f>
        <v/>
      </c>
      <c r="F22" s="28" t="str">
        <f>'PAYG 4'!$B20</f>
        <v/>
      </c>
      <c r="G22" s="28" t="str">
        <f>'PAYG 5'!$B20</f>
        <v/>
      </c>
      <c r="H22" s="28" t="str">
        <f>'PAYG 6'!$B20</f>
        <v/>
      </c>
      <c r="I22" s="28" t="str">
        <f>'PAYG 7'!$B20</f>
        <v/>
      </c>
      <c r="J22" s="28" t="str">
        <f>'PAYG 8'!$B20</f>
        <v/>
      </c>
      <c r="K22" s="28" t="str">
        <f>'PAYG 9'!$B20</f>
        <v/>
      </c>
      <c r="L22" s="28" t="str">
        <f>'PAYG 10'!$B20</f>
        <v/>
      </c>
      <c r="M22" s="28" t="str">
        <f>'PAYG 11'!$B20</f>
        <v/>
      </c>
      <c r="N22" s="28" t="str">
        <f>'PAYG 12'!$B20</f>
        <v/>
      </c>
      <c r="O22" s="28" t="str">
        <f>'PAYG 13'!$B20</f>
        <v/>
      </c>
      <c r="P22" s="28" t="str">
        <f>'PAYG 14'!$B20</f>
        <v/>
      </c>
      <c r="Q22" s="28" t="str">
        <f>'PAYG 15'!$B20</f>
        <v/>
      </c>
    </row>
    <row r="23" spans="1:17" x14ac:dyDescent="0.25">
      <c r="A23" s="7" t="s">
        <v>1221</v>
      </c>
      <c r="B23" t="s">
        <v>726</v>
      </c>
      <c r="C23" s="28">
        <f>'PAYG 1'!$C20</f>
        <v>0</v>
      </c>
      <c r="D23" s="28">
        <f>'PAYG 2'!$C20</f>
        <v>0</v>
      </c>
      <c r="E23" s="28">
        <f>'PAYG 3'!$C20</f>
        <v>0</v>
      </c>
      <c r="F23" s="28">
        <f>'PAYG 4'!$C20</f>
        <v>0</v>
      </c>
      <c r="G23" s="28">
        <f>'PAYG 5'!$C20</f>
        <v>0</v>
      </c>
      <c r="H23" s="28">
        <f>'PAYG 6'!$C20</f>
        <v>0</v>
      </c>
      <c r="I23" s="28">
        <f>'PAYG 7'!$C20</f>
        <v>0</v>
      </c>
      <c r="J23" s="28">
        <f>'PAYG 8'!$C20</f>
        <v>0</v>
      </c>
      <c r="K23" s="28">
        <f>'PAYG 9'!$C20</f>
        <v>0</v>
      </c>
      <c r="L23" s="28">
        <f>'PAYG 10'!$C20</f>
        <v>0</v>
      </c>
      <c r="M23" s="28">
        <f>'PAYG 11'!$C20</f>
        <v>0</v>
      </c>
      <c r="N23" s="28">
        <f>'PAYG 12'!$C20</f>
        <v>0</v>
      </c>
      <c r="O23" s="28">
        <f>'PAYG 13'!$C20</f>
        <v>0</v>
      </c>
      <c r="P23" s="28">
        <f>'PAYG 14'!$C20</f>
        <v>0</v>
      </c>
      <c r="Q23" s="28">
        <f>'PAYG 15'!$C20</f>
        <v>0</v>
      </c>
    </row>
    <row r="24" spans="1:17" x14ac:dyDescent="0.25">
      <c r="A24" s="33" t="s">
        <v>1318</v>
      </c>
      <c r="B24" s="36" t="s">
        <v>1344</v>
      </c>
      <c r="C24" s="35">
        <f>'PAYG 1'!$B21</f>
        <v>268643</v>
      </c>
      <c r="D24" s="35">
        <f>'PAYG 2'!$B21</f>
        <v>73125</v>
      </c>
      <c r="E24" s="35">
        <f>'PAYG 3'!$B21</f>
        <v>0</v>
      </c>
      <c r="F24" s="35">
        <f>'PAYG 4'!$B21</f>
        <v>0</v>
      </c>
      <c r="G24" s="35">
        <f>'PAYG 5'!$B21</f>
        <v>0</v>
      </c>
      <c r="H24" s="35">
        <f>'PAYG 6'!$B21</f>
        <v>0</v>
      </c>
      <c r="I24" s="35">
        <f>'PAYG 7'!$B21</f>
        <v>0</v>
      </c>
      <c r="J24" s="35">
        <f>'PAYG 8'!$B21</f>
        <v>0</v>
      </c>
      <c r="K24" s="35">
        <f>'PAYG 9'!$B21</f>
        <v>0</v>
      </c>
      <c r="L24" s="35">
        <f>'PAYG 10'!$B21</f>
        <v>0</v>
      </c>
      <c r="M24" s="35">
        <f>'PAYG 11'!$B21</f>
        <v>0</v>
      </c>
      <c r="N24" s="35">
        <f>'PAYG 12'!$B21</f>
        <v>0</v>
      </c>
      <c r="O24" s="35">
        <f>'PAYG 13'!$B21</f>
        <v>0</v>
      </c>
      <c r="P24" s="35">
        <f>'PAYG 14'!$B21</f>
        <v>0</v>
      </c>
      <c r="Q24" s="35">
        <f>'PAYG 15'!$B21</f>
        <v>0</v>
      </c>
    </row>
    <row r="25" spans="1:17" x14ac:dyDescent="0.25">
      <c r="A25" s="33" t="s">
        <v>1319</v>
      </c>
      <c r="B25" s="36" t="s">
        <v>752</v>
      </c>
      <c r="C25" s="35">
        <f>'PAYG 1'!$C21</f>
        <v>0</v>
      </c>
      <c r="D25" s="35">
        <f>'PAYG 2'!$C21</f>
        <v>0</v>
      </c>
      <c r="E25" s="35">
        <f>'PAYG 3'!$C21</f>
        <v>0</v>
      </c>
      <c r="F25" s="35">
        <f>'PAYG 4'!$C21</f>
        <v>0</v>
      </c>
      <c r="G25" s="35">
        <f>'PAYG 5'!$C21</f>
        <v>0</v>
      </c>
      <c r="H25" s="35">
        <f>'PAYG 6'!$C21</f>
        <v>0</v>
      </c>
      <c r="I25" s="35">
        <f>'PAYG 7'!$C21</f>
        <v>0</v>
      </c>
      <c r="J25" s="35">
        <f>'PAYG 8'!$C21</f>
        <v>0</v>
      </c>
      <c r="K25" s="35">
        <f>'PAYG 9'!$C21</f>
        <v>0</v>
      </c>
      <c r="L25" s="35">
        <f>'PAYG 10'!$C21</f>
        <v>0</v>
      </c>
      <c r="M25" s="35">
        <f>'PAYG 11'!$C21</f>
        <v>0</v>
      </c>
      <c r="N25" s="35">
        <f>'PAYG 12'!$C21</f>
        <v>0</v>
      </c>
      <c r="O25" s="35">
        <f>'PAYG 13'!$C21</f>
        <v>0</v>
      </c>
      <c r="P25" s="35">
        <f>'PAYG 14'!$C21</f>
        <v>0</v>
      </c>
      <c r="Q25" s="35">
        <f>'PAYG 15'!$C21</f>
        <v>0</v>
      </c>
    </row>
    <row r="26" spans="1:17" x14ac:dyDescent="0.25">
      <c r="A26" s="7" t="s">
        <v>1321</v>
      </c>
      <c r="B26" s="32" t="s">
        <v>1345</v>
      </c>
      <c r="C26" s="28" t="str">
        <f>'PAYG 1'!$B22</f>
        <v/>
      </c>
      <c r="D26" s="28" t="str">
        <f>'PAYG 2'!$B22</f>
        <v/>
      </c>
      <c r="E26" s="28" t="str">
        <f>'PAYG 3'!$B22</f>
        <v/>
      </c>
      <c r="F26" s="28" t="str">
        <f>'PAYG 4'!$B22</f>
        <v/>
      </c>
      <c r="G26" s="28" t="str">
        <f>'PAYG 5'!$B22</f>
        <v/>
      </c>
      <c r="H26" s="28" t="str">
        <f>'PAYG 6'!$B22</f>
        <v/>
      </c>
      <c r="I26" s="28" t="str">
        <f>'PAYG 7'!$B22</f>
        <v/>
      </c>
      <c r="J26" s="28" t="str">
        <f>'PAYG 8'!$B22</f>
        <v/>
      </c>
      <c r="K26" s="28" t="str">
        <f>'PAYG 9'!$B22</f>
        <v/>
      </c>
      <c r="L26" s="28" t="str">
        <f>'PAYG 10'!$B22</f>
        <v/>
      </c>
      <c r="M26" s="28" t="str">
        <f>'PAYG 11'!$B22</f>
        <v/>
      </c>
      <c r="N26" s="28" t="str">
        <f>'PAYG 12'!$B22</f>
        <v/>
      </c>
      <c r="O26" s="28" t="str">
        <f>'PAYG 13'!$B22</f>
        <v/>
      </c>
      <c r="P26" s="28" t="str">
        <f>'PAYG 14'!$B22</f>
        <v/>
      </c>
      <c r="Q26" s="28" t="str">
        <f>'PAYG 15'!$B22</f>
        <v/>
      </c>
    </row>
    <row r="27" spans="1:17" x14ac:dyDescent="0.25">
      <c r="A27" s="7" t="s">
        <v>1322</v>
      </c>
      <c r="B27" s="32" t="s">
        <v>727</v>
      </c>
      <c r="C27" s="28">
        <f>'PAYG 1'!$C22</f>
        <v>0</v>
      </c>
      <c r="D27" s="28">
        <f>'PAYG 2'!$C22</f>
        <v>0</v>
      </c>
      <c r="E27" s="28">
        <f>'PAYG 3'!$C22</f>
        <v>0</v>
      </c>
      <c r="F27" s="28">
        <f>'PAYG 4'!$C22</f>
        <v>0</v>
      </c>
      <c r="G27" s="28">
        <f>'PAYG 5'!$C22</f>
        <v>0</v>
      </c>
      <c r="H27" s="28">
        <f>'PAYG 6'!$C22</f>
        <v>0</v>
      </c>
      <c r="I27" s="28">
        <f>'PAYG 7'!$C22</f>
        <v>0</v>
      </c>
      <c r="J27" s="28">
        <f>'PAYG 8'!$C22</f>
        <v>0</v>
      </c>
      <c r="K27" s="28">
        <f>'PAYG 9'!$C22</f>
        <v>0</v>
      </c>
      <c r="L27" s="28">
        <f>'PAYG 10'!$C22</f>
        <v>0</v>
      </c>
      <c r="M27" s="28">
        <f>'PAYG 11'!$C22</f>
        <v>0</v>
      </c>
      <c r="N27" s="28">
        <f>'PAYG 12'!$C22</f>
        <v>0</v>
      </c>
      <c r="O27" s="28">
        <f>'PAYG 13'!$C22</f>
        <v>0</v>
      </c>
      <c r="P27" s="28">
        <f>'PAYG 14'!$C22</f>
        <v>0</v>
      </c>
      <c r="Q27" s="28">
        <f>'PAYG 15'!$C22</f>
        <v>0</v>
      </c>
    </row>
    <row r="28" spans="1:17" x14ac:dyDescent="0.25">
      <c r="A28" s="7" t="s">
        <v>1323</v>
      </c>
      <c r="B28" s="32" t="s">
        <v>1346</v>
      </c>
      <c r="C28" s="28" t="str">
        <f>'PAYG 1'!$B23</f>
        <v/>
      </c>
      <c r="D28" s="28" t="str">
        <f>'PAYG 2'!$B23</f>
        <v/>
      </c>
      <c r="E28" s="28" t="str">
        <f>'PAYG 3'!$B23</f>
        <v/>
      </c>
      <c r="F28" s="28" t="str">
        <f>'PAYG 4'!$B23</f>
        <v/>
      </c>
      <c r="G28" s="28" t="str">
        <f>'PAYG 5'!$B23</f>
        <v/>
      </c>
      <c r="H28" s="28" t="str">
        <f>'PAYG 6'!$B23</f>
        <v/>
      </c>
      <c r="I28" s="28" t="str">
        <f>'PAYG 7'!$B23</f>
        <v/>
      </c>
      <c r="J28" s="28" t="str">
        <f>'PAYG 8'!$B23</f>
        <v/>
      </c>
      <c r="K28" s="28" t="str">
        <f>'PAYG 9'!$B23</f>
        <v/>
      </c>
      <c r="L28" s="28" t="str">
        <f>'PAYG 10'!$B23</f>
        <v/>
      </c>
      <c r="M28" s="28" t="str">
        <f>'PAYG 11'!$B23</f>
        <v/>
      </c>
      <c r="N28" s="28" t="str">
        <f>'PAYG 12'!$B23</f>
        <v/>
      </c>
      <c r="O28" s="28" t="str">
        <f>'PAYG 13'!$B23</f>
        <v/>
      </c>
      <c r="P28" s="28" t="str">
        <f>'PAYG 14'!$B23</f>
        <v/>
      </c>
      <c r="Q28" s="28" t="str">
        <f>'PAYG 15'!$B23</f>
        <v/>
      </c>
    </row>
    <row r="29" spans="1:17" x14ac:dyDescent="0.25">
      <c r="A29" s="7" t="s">
        <v>1324</v>
      </c>
      <c r="B29" s="32" t="s">
        <v>728</v>
      </c>
      <c r="C29" s="28">
        <f>'PAYG 1'!$C23</f>
        <v>0</v>
      </c>
      <c r="D29" s="28">
        <f>'PAYG 2'!$C23</f>
        <v>0</v>
      </c>
      <c r="E29" s="28">
        <f>'PAYG 3'!$C23</f>
        <v>0</v>
      </c>
      <c r="F29" s="28">
        <f>'PAYG 4'!$C23</f>
        <v>0</v>
      </c>
      <c r="G29" s="28">
        <f>'PAYG 5'!$C23</f>
        <v>0</v>
      </c>
      <c r="H29" s="28">
        <f>'PAYG 6'!$C23</f>
        <v>0</v>
      </c>
      <c r="I29" s="28">
        <f>'PAYG 7'!$C23</f>
        <v>0</v>
      </c>
      <c r="J29" s="28">
        <f>'PAYG 8'!$C23</f>
        <v>0</v>
      </c>
      <c r="K29" s="28">
        <f>'PAYG 9'!$C23</f>
        <v>0</v>
      </c>
      <c r="L29" s="28">
        <f>'PAYG 10'!$C23</f>
        <v>0</v>
      </c>
      <c r="M29" s="28">
        <f>'PAYG 11'!$C23</f>
        <v>0</v>
      </c>
      <c r="N29" s="28">
        <f>'PAYG 12'!$C23</f>
        <v>0</v>
      </c>
      <c r="O29" s="28">
        <f>'PAYG 13'!$C23</f>
        <v>0</v>
      </c>
      <c r="P29" s="28">
        <f>'PAYG 14'!$C23</f>
        <v>0</v>
      </c>
      <c r="Q29" s="28">
        <f>'PAYG 15'!$C23</f>
        <v>0</v>
      </c>
    </row>
    <row r="30" spans="1:17" x14ac:dyDescent="0.25">
      <c r="A30" s="7" t="s">
        <v>1243</v>
      </c>
      <c r="B30" t="s">
        <v>729</v>
      </c>
      <c r="C30" s="28">
        <f>'PAYG 1'!$B25</f>
        <v>49661</v>
      </c>
      <c r="D30" s="28">
        <f>'PAYG 2'!$B25</f>
        <v>11227</v>
      </c>
      <c r="E30" s="28" t="str">
        <f>'PAYG 3'!$B25</f>
        <v/>
      </c>
      <c r="F30" s="28" t="str">
        <f>'PAYG 4'!$B25</f>
        <v/>
      </c>
      <c r="G30" s="28" t="str">
        <f>'PAYG 5'!$B25</f>
        <v/>
      </c>
      <c r="H30" s="28" t="str">
        <f>'PAYG 6'!$B25</f>
        <v/>
      </c>
      <c r="I30" s="28" t="str">
        <f>'PAYG 7'!$B25</f>
        <v/>
      </c>
      <c r="J30" s="28" t="str">
        <f>'PAYG 8'!$B25</f>
        <v/>
      </c>
      <c r="K30" s="28" t="str">
        <f>'PAYG 9'!$B25</f>
        <v/>
      </c>
      <c r="L30" s="28" t="str">
        <f>'PAYG 10'!$B25</f>
        <v/>
      </c>
      <c r="M30" s="28" t="str">
        <f>'PAYG 11'!$B25</f>
        <v/>
      </c>
      <c r="N30" s="28" t="str">
        <f>'PAYG 12'!$B25</f>
        <v/>
      </c>
      <c r="O30" s="28" t="str">
        <f>'PAYG 13'!$B25</f>
        <v/>
      </c>
      <c r="P30" s="28" t="str">
        <f>'PAYG 14'!$B25</f>
        <v/>
      </c>
      <c r="Q30" s="28" t="str">
        <f>'PAYG 15'!$B25</f>
        <v/>
      </c>
    </row>
    <row r="31" spans="1:17" x14ac:dyDescent="0.25">
      <c r="A31" s="7" t="s">
        <v>1244</v>
      </c>
      <c r="B31" t="s">
        <v>730</v>
      </c>
      <c r="C31" s="28">
        <f>'PAYG 1'!$C25</f>
        <v>0</v>
      </c>
      <c r="D31" s="28">
        <f>'PAYG 2'!$C25</f>
        <v>0</v>
      </c>
      <c r="E31" s="28">
        <f>'PAYG 3'!$C25</f>
        <v>0</v>
      </c>
      <c r="F31" s="28">
        <f>'PAYG 4'!$C25</f>
        <v>0</v>
      </c>
      <c r="G31" s="28">
        <f>'PAYG 5'!$C25</f>
        <v>0</v>
      </c>
      <c r="H31" s="28">
        <f>'PAYG 6'!$C25</f>
        <v>0</v>
      </c>
      <c r="I31" s="28">
        <f>'PAYG 7'!$C25</f>
        <v>0</v>
      </c>
      <c r="J31" s="28">
        <f>'PAYG 8'!$C25</f>
        <v>0</v>
      </c>
      <c r="K31" s="28">
        <f>'PAYG 9'!$C25</f>
        <v>0</v>
      </c>
      <c r="L31" s="28">
        <f>'PAYG 10'!$C25</f>
        <v>0</v>
      </c>
      <c r="M31" s="28">
        <f>'PAYG 11'!$C25</f>
        <v>0</v>
      </c>
      <c r="N31" s="28">
        <f>'PAYG 12'!$C25</f>
        <v>0</v>
      </c>
      <c r="O31" s="28">
        <f>'PAYG 13'!$C25</f>
        <v>0</v>
      </c>
      <c r="P31" s="28">
        <f>'PAYG 14'!$C25</f>
        <v>0</v>
      </c>
      <c r="Q31" s="28">
        <f>'PAYG 15'!$C25</f>
        <v>0</v>
      </c>
    </row>
    <row r="32" spans="1:17" x14ac:dyDescent="0.25">
      <c r="A32" s="7" t="s">
        <v>1247</v>
      </c>
      <c r="B32" t="s">
        <v>731</v>
      </c>
      <c r="C32" s="28">
        <f>'PAYG 1'!$B26</f>
        <v>0</v>
      </c>
      <c r="D32" s="28">
        <f>'PAYG 2'!$B26</f>
        <v>0</v>
      </c>
      <c r="E32" s="28" t="str">
        <f>'PAYG 3'!$B26</f>
        <v/>
      </c>
      <c r="F32" s="28" t="str">
        <f>'PAYG 4'!$B26</f>
        <v/>
      </c>
      <c r="G32" s="28" t="str">
        <f>'PAYG 5'!$B26</f>
        <v/>
      </c>
      <c r="H32" s="28" t="str">
        <f>'PAYG 6'!$B26</f>
        <v/>
      </c>
      <c r="I32" s="28" t="str">
        <f>'PAYG 7'!$B26</f>
        <v/>
      </c>
      <c r="J32" s="28" t="str">
        <f>'PAYG 8'!$B26</f>
        <v/>
      </c>
      <c r="K32" s="28" t="str">
        <f>'PAYG 9'!$B26</f>
        <v/>
      </c>
      <c r="L32" s="28" t="str">
        <f>'PAYG 10'!$B26</f>
        <v/>
      </c>
      <c r="M32" s="28" t="str">
        <f>'PAYG 11'!$B26</f>
        <v/>
      </c>
      <c r="N32" s="28" t="str">
        <f>'PAYG 12'!$B26</f>
        <v/>
      </c>
      <c r="O32" s="28" t="str">
        <f>'PAYG 13'!$B26</f>
        <v/>
      </c>
      <c r="P32" s="28" t="str">
        <f>'PAYG 14'!$B26</f>
        <v/>
      </c>
      <c r="Q32" s="28" t="str">
        <f>'PAYG 15'!$B26</f>
        <v/>
      </c>
    </row>
    <row r="33" spans="1:17" x14ac:dyDescent="0.25">
      <c r="A33" s="7" t="s">
        <v>1248</v>
      </c>
      <c r="B33" t="s">
        <v>732</v>
      </c>
      <c r="C33" s="28">
        <f>'PAYG 1'!$C26</f>
        <v>0</v>
      </c>
      <c r="D33" s="28">
        <f>'PAYG 2'!$C26</f>
        <v>0</v>
      </c>
      <c r="E33" s="28">
        <f>'PAYG 3'!$C26</f>
        <v>0</v>
      </c>
      <c r="F33" s="28">
        <f>'PAYG 4'!$C26</f>
        <v>0</v>
      </c>
      <c r="G33" s="28">
        <f>'PAYG 5'!$C26</f>
        <v>0</v>
      </c>
      <c r="H33" s="28">
        <f>'PAYG 6'!$C26</f>
        <v>0</v>
      </c>
      <c r="I33" s="28">
        <f>'PAYG 7'!$C26</f>
        <v>0</v>
      </c>
      <c r="J33" s="28">
        <f>'PAYG 8'!$C26</f>
        <v>0</v>
      </c>
      <c r="K33" s="28">
        <f>'PAYG 9'!$C26</f>
        <v>0</v>
      </c>
      <c r="L33" s="28">
        <f>'PAYG 10'!$C26</f>
        <v>0</v>
      </c>
      <c r="M33" s="28">
        <f>'PAYG 11'!$C26</f>
        <v>0</v>
      </c>
      <c r="N33" s="28">
        <f>'PAYG 12'!$C26</f>
        <v>0</v>
      </c>
      <c r="O33" s="28">
        <f>'PAYG 13'!$C26</f>
        <v>0</v>
      </c>
      <c r="P33" s="28">
        <f>'PAYG 14'!$C26</f>
        <v>0</v>
      </c>
      <c r="Q33" s="28">
        <f>'PAYG 15'!$C26</f>
        <v>0</v>
      </c>
    </row>
    <row r="34" spans="1:17" x14ac:dyDescent="0.25">
      <c r="A34" s="33" t="s">
        <v>1249</v>
      </c>
      <c r="B34" s="36" t="s">
        <v>1347</v>
      </c>
      <c r="C34" s="35">
        <f>'PAYG 1'!$B27</f>
        <v>218982</v>
      </c>
      <c r="D34" s="35">
        <f>'PAYG 2'!$B27</f>
        <v>61898</v>
      </c>
      <c r="E34" s="35" t="str">
        <f>'PAYG 3'!$B27</f>
        <v/>
      </c>
      <c r="F34" s="35" t="str">
        <f>'PAYG 4'!$B27</f>
        <v/>
      </c>
      <c r="G34" s="35" t="str">
        <f>'PAYG 5'!$B27</f>
        <v/>
      </c>
      <c r="H34" s="35" t="str">
        <f>'PAYG 6'!$B27</f>
        <v/>
      </c>
      <c r="I34" s="35" t="str">
        <f>'PAYG 7'!$B27</f>
        <v/>
      </c>
      <c r="J34" s="35" t="str">
        <f>'PAYG 8'!$B27</f>
        <v/>
      </c>
      <c r="K34" s="35" t="str">
        <f>'PAYG 9'!$B27</f>
        <v/>
      </c>
      <c r="L34" s="35" t="str">
        <f>'PAYG 10'!$B27</f>
        <v/>
      </c>
      <c r="M34" s="35" t="str">
        <f>'PAYG 11'!$B27</f>
        <v/>
      </c>
      <c r="N34" s="35" t="str">
        <f>'PAYG 12'!$B27</f>
        <v/>
      </c>
      <c r="O34" s="35" t="str">
        <f>'PAYG 13'!$B27</f>
        <v/>
      </c>
      <c r="P34" s="35" t="str">
        <f>'PAYG 14'!$B27</f>
        <v/>
      </c>
      <c r="Q34" s="35" t="str">
        <f>'PAYG 15'!$B27</f>
        <v/>
      </c>
    </row>
    <row r="35" spans="1:17" x14ac:dyDescent="0.25">
      <c r="A35" s="33" t="s">
        <v>1251</v>
      </c>
      <c r="B35" s="34" t="s">
        <v>733</v>
      </c>
      <c r="C35" s="35">
        <f>'PAYG 1'!$C27</f>
        <v>218982</v>
      </c>
      <c r="D35" s="35">
        <f>'PAYG 2'!$C27</f>
        <v>61898</v>
      </c>
      <c r="E35" s="35" t="str">
        <f>'PAYG 3'!$C27</f>
        <v/>
      </c>
      <c r="F35" s="35" t="str">
        <f>'PAYG 4'!$C27</f>
        <v/>
      </c>
      <c r="G35" s="35" t="str">
        <f>'PAYG 5'!$C27</f>
        <v/>
      </c>
      <c r="H35" s="35" t="str">
        <f>'PAYG 6'!$C27</f>
        <v/>
      </c>
      <c r="I35" s="35" t="str">
        <f>'PAYG 7'!$C27</f>
        <v/>
      </c>
      <c r="J35" s="35" t="str">
        <f>'PAYG 8'!$C27</f>
        <v/>
      </c>
      <c r="K35" s="35" t="str">
        <f>'PAYG 9'!$C27</f>
        <v/>
      </c>
      <c r="L35" s="35" t="str">
        <f>'PAYG 10'!$C27</f>
        <v/>
      </c>
      <c r="M35" s="35" t="str">
        <f>'PAYG 11'!$C27</f>
        <v/>
      </c>
      <c r="N35" s="35" t="str">
        <f>'PAYG 12'!$C27</f>
        <v/>
      </c>
      <c r="O35" s="35" t="str">
        <f>'PAYG 13'!$C27</f>
        <v/>
      </c>
      <c r="P35" s="35" t="str">
        <f>'PAYG 14'!$C27</f>
        <v/>
      </c>
      <c r="Q35" s="35" t="str">
        <f>'PAYG 15'!$C27</f>
        <v/>
      </c>
    </row>
    <row r="36" spans="1:17" x14ac:dyDescent="0.25">
      <c r="A36" s="7" t="s">
        <v>1252</v>
      </c>
      <c r="B36" s="32" t="s">
        <v>1348</v>
      </c>
      <c r="C36" s="28">
        <f>'PAYG 1'!$B28</f>
        <v>0</v>
      </c>
      <c r="D36" s="28">
        <f>'PAYG 2'!$B28</f>
        <v>0</v>
      </c>
      <c r="E36" s="28" t="str">
        <f>'PAYG 3'!$B28</f>
        <v/>
      </c>
      <c r="F36" s="28" t="str">
        <f>'PAYG 4'!$B28</f>
        <v/>
      </c>
      <c r="G36" s="28" t="str">
        <f>'PAYG 5'!$B28</f>
        <v/>
      </c>
      <c r="H36" s="28" t="str">
        <f>'PAYG 6'!$B28</f>
        <v/>
      </c>
      <c r="I36" s="28" t="str">
        <f>'PAYG 7'!$B28</f>
        <v/>
      </c>
      <c r="J36" s="28" t="str">
        <f>'PAYG 8'!$B28</f>
        <v/>
      </c>
      <c r="K36" s="28" t="str">
        <f>'PAYG 9'!$B28</f>
        <v/>
      </c>
      <c r="L36" s="28" t="str">
        <f>'PAYG 10'!$B28</f>
        <v/>
      </c>
      <c r="M36" s="28" t="str">
        <f>'PAYG 11'!$B28</f>
        <v/>
      </c>
      <c r="N36" s="28" t="str">
        <f>'PAYG 12'!$B28</f>
        <v/>
      </c>
      <c r="O36" s="28" t="str">
        <f>'PAYG 13'!$B28</f>
        <v/>
      </c>
      <c r="P36" s="28" t="str">
        <f>'PAYG 14'!$B28</f>
        <v/>
      </c>
      <c r="Q36" s="28" t="str">
        <f>'PAYG 15'!$B28</f>
        <v/>
      </c>
    </row>
    <row r="37" spans="1:17" x14ac:dyDescent="0.25">
      <c r="A37" s="7" t="s">
        <v>1254</v>
      </c>
      <c r="B37" s="32" t="s">
        <v>735</v>
      </c>
      <c r="C37" s="28">
        <f>'PAYG 1'!$C28</f>
        <v>0</v>
      </c>
      <c r="D37" s="28">
        <f>'PAYG 2'!$C28</f>
        <v>0</v>
      </c>
      <c r="E37" s="28">
        <f>'PAYG 3'!$C28</f>
        <v>0</v>
      </c>
      <c r="F37" s="28">
        <f>'PAYG 4'!$C28</f>
        <v>0</v>
      </c>
      <c r="G37" s="28">
        <f>'PAYG 5'!$C28</f>
        <v>0</v>
      </c>
      <c r="H37" s="28">
        <f>'PAYG 6'!$C28</f>
        <v>0</v>
      </c>
      <c r="I37" s="28">
        <f>'PAYG 7'!$C28</f>
        <v>0</v>
      </c>
      <c r="J37" s="28">
        <f>'PAYG 8'!$C28</f>
        <v>0</v>
      </c>
      <c r="K37" s="28">
        <f>'PAYG 9'!$C28</f>
        <v>0</v>
      </c>
      <c r="L37" s="28">
        <f>'PAYG 10'!$C28</f>
        <v>0</v>
      </c>
      <c r="M37" s="28">
        <f>'PAYG 11'!$C28</f>
        <v>0</v>
      </c>
      <c r="N37" s="28">
        <f>'PAYG 12'!$C28</f>
        <v>0</v>
      </c>
      <c r="O37" s="28">
        <f>'PAYG 13'!$C28</f>
        <v>0</v>
      </c>
      <c r="P37" s="28">
        <f>'PAYG 14'!$C28</f>
        <v>0</v>
      </c>
      <c r="Q37" s="28">
        <f>'PAYG 15'!$C28</f>
        <v>0</v>
      </c>
    </row>
    <row r="38" spans="1:17" x14ac:dyDescent="0.25">
      <c r="A38" s="7" t="s">
        <v>1255</v>
      </c>
      <c r="B38" t="s">
        <v>736</v>
      </c>
      <c r="C38" s="28">
        <f>'PAYG 1'!$B29</f>
        <v>0</v>
      </c>
      <c r="D38" s="28">
        <f>'PAYG 2'!$B29</f>
        <v>0</v>
      </c>
      <c r="E38" s="28" t="str">
        <f>'PAYG 3'!$B29</f>
        <v/>
      </c>
      <c r="F38" s="28" t="str">
        <f>'PAYG 4'!$B29</f>
        <v/>
      </c>
      <c r="G38" s="28" t="str">
        <f>'PAYG 5'!$B29</f>
        <v/>
      </c>
      <c r="H38" s="28" t="str">
        <f>'PAYG 6'!$B29</f>
        <v/>
      </c>
      <c r="I38" s="28" t="str">
        <f>'PAYG 7'!$B29</f>
        <v/>
      </c>
      <c r="J38" s="28" t="str">
        <f>'PAYG 8'!$B29</f>
        <v/>
      </c>
      <c r="K38" s="28" t="str">
        <f>'PAYG 9'!$B29</f>
        <v/>
      </c>
      <c r="L38" s="28" t="str">
        <f>'PAYG 10'!$B29</f>
        <v/>
      </c>
      <c r="M38" s="28" t="str">
        <f>'PAYG 11'!$B29</f>
        <v/>
      </c>
      <c r="N38" s="28" t="str">
        <f>'PAYG 12'!$B29</f>
        <v/>
      </c>
      <c r="O38" s="28" t="str">
        <f>'PAYG 13'!$B29</f>
        <v/>
      </c>
      <c r="P38" s="28" t="str">
        <f>'PAYG 14'!$B29</f>
        <v/>
      </c>
      <c r="Q38" s="28" t="str">
        <f>'PAYG 15'!$B29</f>
        <v/>
      </c>
    </row>
    <row r="39" spans="1:17" x14ac:dyDescent="0.25">
      <c r="A39" s="7" t="s">
        <v>1256</v>
      </c>
      <c r="B39" t="s">
        <v>737</v>
      </c>
      <c r="C39" s="28">
        <f>'PAYG 1'!$C29</f>
        <v>0</v>
      </c>
      <c r="D39" s="28">
        <f>'PAYG 2'!$C29</f>
        <v>0</v>
      </c>
      <c r="E39" s="28">
        <f>'PAYG 3'!$C29</f>
        <v>0</v>
      </c>
      <c r="F39" s="28">
        <f>'PAYG 4'!$C29</f>
        <v>0</v>
      </c>
      <c r="G39" s="28">
        <f>'PAYG 5'!$C29</f>
        <v>0</v>
      </c>
      <c r="H39" s="28">
        <f>'PAYG 6'!$C29</f>
        <v>0</v>
      </c>
      <c r="I39" s="28">
        <f>'PAYG 7'!$C29</f>
        <v>0</v>
      </c>
      <c r="J39" s="28">
        <f>'PAYG 8'!$C29</f>
        <v>0</v>
      </c>
      <c r="K39" s="28">
        <f>'PAYG 9'!$C29</f>
        <v>0</v>
      </c>
      <c r="L39" s="28">
        <f>'PAYG 10'!$C29</f>
        <v>0</v>
      </c>
      <c r="M39" s="28">
        <f>'PAYG 11'!$C29</f>
        <v>0</v>
      </c>
      <c r="N39" s="28">
        <f>'PAYG 12'!$C29</f>
        <v>0</v>
      </c>
      <c r="O39" s="28">
        <f>'PAYG 13'!$C29</f>
        <v>0</v>
      </c>
      <c r="P39" s="28">
        <f>'PAYG 14'!$C29</f>
        <v>0</v>
      </c>
      <c r="Q39" s="28">
        <f>'PAYG 15'!$C29</f>
        <v>0</v>
      </c>
    </row>
    <row r="40" spans="1:17" x14ac:dyDescent="0.25">
      <c r="A40" s="7" t="str">
        <f>"Principal Due in "&amp;Year_DestinationYearID+1</f>
        <v>Principal Due in 2025</v>
      </c>
      <c r="B40" t="s">
        <v>734</v>
      </c>
      <c r="C40" s="28">
        <f>'PAYG 1'!$B31</f>
        <v>0</v>
      </c>
      <c r="D40" s="28">
        <f>'PAYG 2'!$B31</f>
        <v>0</v>
      </c>
      <c r="E40" s="28">
        <f>'PAYG 3'!$B31</f>
        <v>0</v>
      </c>
      <c r="F40" s="28">
        <f>'PAYG 4'!$B31</f>
        <v>0</v>
      </c>
      <c r="G40" s="28">
        <f>'PAYG 5'!$B31</f>
        <v>0</v>
      </c>
      <c r="H40" s="28">
        <f>'PAYG 6'!$B31</f>
        <v>0</v>
      </c>
      <c r="I40" s="28">
        <f>'PAYG 7'!$B31</f>
        <v>0</v>
      </c>
      <c r="J40" s="28">
        <f>'PAYG 8'!$B31</f>
        <v>0</v>
      </c>
      <c r="K40" s="28">
        <f>'PAYG 9'!$B31</f>
        <v>0</v>
      </c>
      <c r="L40" s="28">
        <f>'PAYG 10'!$B31</f>
        <v>0</v>
      </c>
      <c r="M40" s="28">
        <f>'PAYG 11'!$B31</f>
        <v>0</v>
      </c>
      <c r="N40" s="28">
        <f>'PAYG 12'!$B31</f>
        <v>0</v>
      </c>
      <c r="O40" s="28">
        <f>'PAYG 13'!$B31</f>
        <v>0</v>
      </c>
      <c r="P40" s="28">
        <f>'PAYG 14'!$B31</f>
        <v>0</v>
      </c>
      <c r="Q40" s="28">
        <f>'PAYG 15'!$B31</f>
        <v>0</v>
      </c>
    </row>
    <row r="41" spans="1:17" x14ac:dyDescent="0.25">
      <c r="A41" s="7" t="s">
        <v>226</v>
      </c>
      <c r="B41" t="s">
        <v>738</v>
      </c>
      <c r="C41" s="28">
        <f>'PAYG 1'!$B32</f>
        <v>0</v>
      </c>
      <c r="D41" s="28">
        <f>'PAYG 2'!$B32</f>
        <v>0</v>
      </c>
      <c r="E41" s="28">
        <f>'PAYG 3'!$B32</f>
        <v>0</v>
      </c>
      <c r="F41" s="28">
        <f>'PAYG 4'!$B32</f>
        <v>0</v>
      </c>
      <c r="G41" s="28">
        <f>'PAYG 5'!$B32</f>
        <v>0</v>
      </c>
      <c r="H41" s="28">
        <f>'PAYG 6'!$B32</f>
        <v>0</v>
      </c>
      <c r="I41" s="28">
        <f>'PAYG 7'!$B32</f>
        <v>0</v>
      </c>
      <c r="J41" s="28">
        <f>'PAYG 8'!$B32</f>
        <v>0</v>
      </c>
      <c r="K41" s="28">
        <f>'PAYG 9'!$B32</f>
        <v>0</v>
      </c>
      <c r="L41" s="28">
        <f>'PAYG 10'!$B32</f>
        <v>0</v>
      </c>
      <c r="M41" s="28">
        <f>'PAYG 11'!$B32</f>
        <v>0</v>
      </c>
      <c r="N41" s="28">
        <f>'PAYG 12'!$B32</f>
        <v>0</v>
      </c>
      <c r="O41" s="28">
        <f>'PAYG 13'!$B32</f>
        <v>0</v>
      </c>
      <c r="P41" s="28">
        <f>'PAYG 14'!$B32</f>
        <v>0</v>
      </c>
      <c r="Q41" s="28">
        <f>'PAYG 15'!$B32</f>
        <v>0</v>
      </c>
    </row>
    <row r="42" spans="1:17" x14ac:dyDescent="0.25">
      <c r="A42" s="7" t="s">
        <v>176</v>
      </c>
      <c r="B42" s="32" t="s">
        <v>753</v>
      </c>
      <c r="C42" s="28">
        <f>'PAYG 1'!$A34</f>
        <v>0</v>
      </c>
      <c r="D42" s="28">
        <f>'PAYG 2'!$A34</f>
        <v>0</v>
      </c>
      <c r="E42" s="28">
        <f>'PAYG 3'!$A34</f>
        <v>0</v>
      </c>
      <c r="F42" s="28">
        <f>'PAYG 4'!$A34</f>
        <v>0</v>
      </c>
      <c r="G42" s="28">
        <f>'PAYG 5'!$A34</f>
        <v>0</v>
      </c>
      <c r="H42" s="28">
        <f>'PAYG 6'!$A34</f>
        <v>0</v>
      </c>
      <c r="I42" s="28">
        <f>'PAYG 7'!$A34</f>
        <v>0</v>
      </c>
      <c r="J42" s="28">
        <f>'PAYG 8'!$A34</f>
        <v>0</v>
      </c>
      <c r="K42" s="28">
        <f>'PAYG 9'!$A34</f>
        <v>0</v>
      </c>
      <c r="L42" s="28">
        <f>'PAYG 10'!$A34</f>
        <v>0</v>
      </c>
      <c r="M42" s="28">
        <f>'PAYG 11'!$A34</f>
        <v>0</v>
      </c>
      <c r="N42" s="28">
        <f>'PAYG 12'!$A34</f>
        <v>0</v>
      </c>
      <c r="O42" s="28">
        <f>'PAYG 13'!$A34</f>
        <v>0</v>
      </c>
      <c r="P42" s="28">
        <f>'PAYG 14'!$A34</f>
        <v>0</v>
      </c>
      <c r="Q42" s="28">
        <f>'PAYG 15'!$A34</f>
        <v>0</v>
      </c>
    </row>
    <row r="43" spans="1:17" x14ac:dyDescent="0.25">
      <c r="A43" s="6"/>
    </row>
    <row r="44" spans="1:17" x14ac:dyDescent="0.25">
      <c r="A44" s="6"/>
      <c r="B44" s="44" t="s">
        <v>692</v>
      </c>
    </row>
    <row r="45" spans="1:17" x14ac:dyDescent="0.25">
      <c r="A45" s="6"/>
    </row>
  </sheetData>
  <conditionalFormatting sqref="A1">
    <cfRule type="expression" dxfId="739" priority="7">
      <formula>#REF!="Exclude"</formula>
    </cfRule>
    <cfRule type="expression" dxfId="738" priority="8">
      <formula>#REF!="Error"</formula>
    </cfRule>
  </conditionalFormatting>
  <conditionalFormatting sqref="A2">
    <cfRule type="expression" dxfId="736" priority="4">
      <formula>#REF!="Exclude"</formula>
    </cfRule>
    <cfRule type="expression" dxfId="735" priority="5">
      <formula>#REF!="Error"</formula>
    </cfRule>
  </conditionalFormatting>
  <conditionalFormatting sqref="A42">
    <cfRule type="expression" dxfId="734" priority="2">
      <formula>#REF!="Exclude"</formula>
    </cfRule>
    <cfRule type="expression" dxfId="733" priority="3">
      <formula>#REF!="Error"</formula>
    </cfRule>
  </conditionalFormatting>
  <conditionalFormatting sqref="C5:Q42">
    <cfRule type="expression" dxfId="732" priority="9">
      <formula>$C5="Error"</formula>
    </cfRule>
  </conditionalFormatting>
  <pageMargins left="0.7" right="0.7" top="0.75" bottom="0.75" header="0.3" footer="0.3"/>
  <pageSetup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6" id="{1826990C-5E62-49AE-AEAE-66109C0180E9}">
            <xm:f>COUNTIFS(Validation!$H:$H,MID(CELL("filename",A1),FIND("]",CELL("filename",A1))+1,255)&amp;CELL("address",A1))&gt;0</xm:f>
            <x14:dxf>
              <font>
                <b/>
                <i val="0"/>
                <color rgb="FFC00000"/>
              </font>
              <numFmt numFmtId="172" formatCode="_(\!* #,##0_);_(\!* \(#,##0\);_(\!* \-??_);_(\!\ @_)"/>
            </x14:dxf>
          </x14:cfRule>
          <xm:sqref>A1:A2 A42</xm:sqref>
        </x14:conditionalFormatting>
      </x14:conditionalFormatting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50BB6-4430-4B66-9AED-2BC94C29217F}">
  <sheetPr>
    <tabColor rgb="FFEED382"/>
  </sheetPr>
  <dimension ref="A1:F51"/>
  <sheetViews>
    <sheetView showGridLines="0" workbookViewId="0">
      <selection activeCell="B7" sqref="B7"/>
    </sheetView>
  </sheetViews>
  <sheetFormatPr defaultRowHeight="15" x14ac:dyDescent="0.25"/>
  <cols>
    <col min="1" max="1" width="55.7109375" style="66" customWidth="1"/>
    <col min="2" max="3" width="20.7109375" style="66" customWidth="1"/>
    <col min="4" max="4" width="80.85546875" style="66" customWidth="1"/>
    <col min="5" max="5" width="14.7109375" style="66" customWidth="1"/>
    <col min="6" max="6" width="0" style="78" hidden="1" customWidth="1"/>
    <col min="7" max="16384" width="9.140625" style="66"/>
  </cols>
  <sheetData>
    <row r="1" spans="1:6" s="59" customFormat="1" ht="24.95" customHeight="1" x14ac:dyDescent="0.25">
      <c r="A1" s="59" t="str">
        <f>_xlfn.CONCAT("Office of the State Auditor  -  TIF Annual Reporting Form  -  ",Year_DestinationYearID)</f>
        <v>Office of the State Auditor  -  TIF Annual Reporting Form  -  2024</v>
      </c>
      <c r="F1" s="61"/>
    </row>
    <row r="2" spans="1:6" s="62" customFormat="1" ht="20.100000000000001" customHeight="1" x14ac:dyDescent="0.25">
      <c r="A2" s="58" t="str">
        <f>_xlfn.CONCAT(GovEntity_GovEntityName_Parent,"  -  ",GovEntity_GovEntityName)</f>
        <v>Spruce City  -  TIF 1-1 Downtown Redev</v>
      </c>
      <c r="F2" s="64"/>
    </row>
    <row r="3" spans="1:6" s="68" customFormat="1" ht="24.95" customHeight="1" x14ac:dyDescent="0.3">
      <c r="A3" s="65" t="s">
        <v>206</v>
      </c>
      <c r="B3" s="66"/>
      <c r="C3" s="66"/>
      <c r="F3" s="69"/>
    </row>
    <row r="4" spans="1:6" s="71" customFormat="1" x14ac:dyDescent="0.25">
      <c r="A4" s="217" t="s">
        <v>207</v>
      </c>
      <c r="B4" s="217"/>
      <c r="C4" s="217"/>
      <c r="D4" s="217"/>
      <c r="E4" s="217"/>
      <c r="F4" s="72" t="s">
        <v>119</v>
      </c>
    </row>
    <row r="5" spans="1:6" s="74" customFormat="1" ht="20.100000000000001" customHeight="1" x14ac:dyDescent="0.25">
      <c r="A5" s="73" t="str">
        <f>HYPERLINK("#'Bonds'!B6","Click here to return to the Bonds Tab")</f>
        <v>Click here to return to the Bonds Tab</v>
      </c>
      <c r="D5" s="74" t="s">
        <v>121</v>
      </c>
      <c r="E5" s="74" t="s">
        <v>102</v>
      </c>
      <c r="F5" s="76"/>
    </row>
    <row r="6" spans="1:6" ht="20.100000000000001" customHeight="1" x14ac:dyDescent="0.25">
      <c r="A6" s="74" t="s">
        <v>208</v>
      </c>
      <c r="D6" s="77" t="str">
        <f ca="1">IFERROR(INDEX(Validation!G:G,MATCH("Bond 8"&amp;CELL("address",D6),Validation!I:I,0)),"")</f>
        <v/>
      </c>
      <c r="E6" s="66" t="str">
        <f ca="1">IFERROR(INDEX(Validation!F:F,MATCH("Bond 8"&amp;CELL("address",D6),Validation!I:I,0)),"")</f>
        <v/>
      </c>
      <c r="F6" s="78" t="s">
        <v>1008</v>
      </c>
    </row>
    <row r="7" spans="1:6" x14ac:dyDescent="0.25">
      <c r="A7" s="79" t="s">
        <v>210</v>
      </c>
      <c r="B7" s="103" t="str">
        <f>IF(NOT(ISBLANK('Bond Input'!J5)),'Bond Input'!J5,"")</f>
        <v/>
      </c>
      <c r="D7" s="77" t="str">
        <f ca="1">IFERROR(INDEX(Validation!G:G,MATCH("Bond 8"&amp;CELL("address",D7),Validation!I:I,0)),"")</f>
        <v/>
      </c>
      <c r="E7" s="66" t="str">
        <f ca="1">IFERROR(INDEX(Validation!F:F,MATCH("Bond 8"&amp;CELL("address",D7),Validation!I:I,0)),"")</f>
        <v/>
      </c>
      <c r="F7" s="85" t="str">
        <f>IF(NOT(ISBLANK('Bond Input'!J4)),'Bond Input'!J4,"")</f>
        <v/>
      </c>
    </row>
    <row r="8" spans="1:6" x14ac:dyDescent="0.25">
      <c r="A8" s="79" t="s">
        <v>209</v>
      </c>
      <c r="B8" s="103" t="str">
        <f>IF(NOT(ISBLANK('Bond Input'!J6)),'Bond Input'!J6,"Select One")</f>
        <v>Select One</v>
      </c>
      <c r="D8" s="77" t="str">
        <f ca="1">IFERROR(INDEX(Validation!G:G,MATCH("Bond 8"&amp;CELL("address",D8),Validation!I:I,0)),"")</f>
        <v/>
      </c>
      <c r="E8" s="66" t="str">
        <f ca="1">IFERROR(INDEX(Validation!F:F,MATCH("Bond 8"&amp;CELL("address",D8),Validation!I:I,0)),"")</f>
        <v/>
      </c>
    </row>
    <row r="9" spans="1:6" x14ac:dyDescent="0.25">
      <c r="A9" s="79" t="s">
        <v>227</v>
      </c>
      <c r="B9" s="103" t="str">
        <f>IF(NOT(ISBLANK('Bond Input'!J7)),'Bond Input'!J7,"Select One")</f>
        <v>Select One</v>
      </c>
      <c r="D9" s="77" t="str">
        <f ca="1">IFERROR(INDEX(Validation!G:G,MATCH("Bond 8"&amp;CELL("address",D9),Validation!I:I,0)),"")</f>
        <v/>
      </c>
      <c r="E9" s="66" t="str">
        <f ca="1">IFERROR(INDEX(Validation!F:F,MATCH("Bond 8"&amp;CELL("address",D9),Validation!I:I,0)),"")</f>
        <v/>
      </c>
    </row>
    <row r="10" spans="1:6" x14ac:dyDescent="0.25">
      <c r="A10" s="79" t="s">
        <v>228</v>
      </c>
      <c r="B10" s="103" t="str">
        <f>IF(NOT(ISBLANK('Bond Input'!J8)),'Bond Input'!J8,"Select One")</f>
        <v>Select One</v>
      </c>
      <c r="D10" s="77" t="str">
        <f ca="1">IFERROR(INDEX(Validation!G:G,MATCH("Bond 8"&amp;CELL("address",D10),Validation!I:I,0)),"")</f>
        <v/>
      </c>
      <c r="E10" s="66" t="str">
        <f ca="1">IFERROR(INDEX(Validation!F:F,MATCH("Bond 8"&amp;CELL("address",D10),Validation!I:I,0)),"")</f>
        <v/>
      </c>
    </row>
    <row r="11" spans="1:6" x14ac:dyDescent="0.25">
      <c r="A11" s="79" t="s">
        <v>229</v>
      </c>
      <c r="B11" s="103" t="str">
        <f>IF(NOT(ISBLANK('Bond Input'!J9)),'Bond Input'!J9,"Select One")</f>
        <v>Select One</v>
      </c>
      <c r="D11" s="77" t="str">
        <f ca="1">IFERROR(INDEX(Validation!G:G,MATCH("Bond 8"&amp;CELL("address",D11),Validation!I:I,0)),"")</f>
        <v/>
      </c>
      <c r="E11" s="66" t="str">
        <f ca="1">IFERROR(INDEX(Validation!F:F,MATCH("Bond 8"&amp;CELL("address",D11),Validation!I:I,0)),"")</f>
        <v/>
      </c>
    </row>
    <row r="12" spans="1:6" x14ac:dyDescent="0.25">
      <c r="A12" s="79" t="s">
        <v>211</v>
      </c>
      <c r="B12" s="120" t="str">
        <f>IF(NOT(ISBLANK('Bond Input'!J10)),'Bond Input'!J10,"")</f>
        <v/>
      </c>
      <c r="C12" s="129"/>
      <c r="D12" s="77" t="str">
        <f ca="1">IFERROR(INDEX(Validation!G:G,MATCH("Bond 8"&amp;CELL("address",D12),Validation!I:I,0)),"")</f>
        <v/>
      </c>
      <c r="E12" s="66" t="str">
        <f ca="1">IFERROR(INDEX(Validation!F:F,MATCH("Bond 8"&amp;CELL("address",D12),Validation!I:I,0)),"")</f>
        <v/>
      </c>
    </row>
    <row r="13" spans="1:6" x14ac:dyDescent="0.25">
      <c r="A13" s="79" t="s">
        <v>212</v>
      </c>
      <c r="B13" s="120" t="str">
        <f>IF(NOT(ISBLANK('Bond Input'!J11)),'Bond Input'!J11,"")</f>
        <v/>
      </c>
      <c r="C13" s="129"/>
      <c r="D13" s="77" t="str">
        <f ca="1">IFERROR(INDEX(Validation!G:G,MATCH("Bond 8"&amp;CELL("address",D13),Validation!I:I,0)),"")</f>
        <v/>
      </c>
      <c r="E13" s="66" t="str">
        <f ca="1">IFERROR(INDEX(Validation!F:F,MATCH("Bond 8"&amp;CELL("address",D13),Validation!I:I,0)),"")</f>
        <v/>
      </c>
    </row>
    <row r="14" spans="1:6" x14ac:dyDescent="0.25">
      <c r="A14" s="79" t="s">
        <v>213</v>
      </c>
      <c r="B14" s="121" t="str">
        <f>IF(NOT(ISBLANK('Bond Input'!J12)),'Bond Input'!J12,"")</f>
        <v/>
      </c>
      <c r="C14" s="132"/>
      <c r="D14" s="77" t="str">
        <f ca="1">IFERROR(INDEX(Validation!G:G,MATCH("Bond 8"&amp;CELL("address",D14),Validation!I:I,0)),"")</f>
        <v/>
      </c>
      <c r="E14" s="66" t="str">
        <f ca="1">IFERROR(INDEX(Validation!F:F,MATCH("Bond 8"&amp;CELL("address",D14),Validation!I:I,0)),"")</f>
        <v/>
      </c>
    </row>
    <row r="15" spans="1:6" x14ac:dyDescent="0.25">
      <c r="A15" s="79" t="s">
        <v>214</v>
      </c>
      <c r="B15" s="121" t="str">
        <f>IF(NOT(ISBLANK('Bond Input'!J13)),'Bond Input'!J13,"")</f>
        <v/>
      </c>
      <c r="C15" s="132"/>
      <c r="D15" s="77" t="str">
        <f ca="1">IFERROR(INDEX(Validation!G:G,MATCH("Bond 8"&amp;CELL("address",D15),Validation!I:I,0)),"")</f>
        <v/>
      </c>
      <c r="E15" s="66" t="str">
        <f ca="1">IFERROR(INDEX(Validation!F:F,MATCH("Bond 8"&amp;CELL("address",D15),Validation!I:I,0)),"")</f>
        <v/>
      </c>
    </row>
    <row r="16" spans="1:6" x14ac:dyDescent="0.25">
      <c r="A16" s="79" t="s">
        <v>535</v>
      </c>
      <c r="B16" s="122" t="str">
        <f>IF(NOT(ISBLANK('Bond Input'!J14)),'Bond Input'!J14,"")</f>
        <v/>
      </c>
      <c r="C16" s="128"/>
      <c r="D16" s="77" t="str">
        <f ca="1">IFERROR(INDEX(Validation!G:G,MATCH("Bond 8"&amp;CELL("address",D16),Validation!I:I,0)),"")</f>
        <v/>
      </c>
      <c r="E16" s="66" t="str">
        <f ca="1">IFERROR(INDEX(Validation!F:F,MATCH("Bond 8"&amp;CELL("address",D16),Validation!I:I,0)),"")</f>
        <v/>
      </c>
    </row>
    <row r="17" spans="1:5" x14ac:dyDescent="0.25">
      <c r="A17" s="79" t="s">
        <v>230</v>
      </c>
      <c r="B17" s="122" t="str">
        <f>IF(NOT(ISBLANK('Bond Input'!J15)),'Bond Input'!J15,"")</f>
        <v/>
      </c>
      <c r="C17" s="128"/>
      <c r="D17" s="77" t="str">
        <f ca="1">IFERROR(INDEX(Validation!G:G,MATCH("Bond 8"&amp;CELL("address",D17),Validation!I:I,0)),"")</f>
        <v/>
      </c>
      <c r="E17" s="66" t="str">
        <f ca="1">IFERROR(INDEX(Validation!F:F,MATCH("Bond 8"&amp;CELL("address",D17),Validation!I:I,0)),"")</f>
        <v/>
      </c>
    </row>
    <row r="18" spans="1:5" x14ac:dyDescent="0.25">
      <c r="A18" s="79" t="s">
        <v>231</v>
      </c>
      <c r="B18" s="122" t="str">
        <f>IF(NOT(ISBLANK('Bond Input'!J16)),'Bond Input'!J16,"")</f>
        <v/>
      </c>
      <c r="C18" s="128"/>
      <c r="D18" s="77" t="str">
        <f ca="1">IFERROR(INDEX(Validation!G:G,MATCH("Bond 8"&amp;CELL("address",D18),Validation!I:I,0)),"")</f>
        <v/>
      </c>
      <c r="E18" s="66" t="str">
        <f ca="1">IFERROR(INDEX(Validation!F:F,MATCH("Bond 8"&amp;CELL("address",D18),Validation!I:I,0)),"")</f>
        <v/>
      </c>
    </row>
    <row r="19" spans="1:5" x14ac:dyDescent="0.25">
      <c r="A19" s="79" t="s">
        <v>216</v>
      </c>
      <c r="B19" s="122" t="str">
        <f>IF(NOT(ISBLANK('Bond Input'!J17)),'Bond Input'!J17,"")</f>
        <v/>
      </c>
      <c r="C19" s="128"/>
      <c r="D19" s="77" t="str">
        <f ca="1">IFERROR(INDEX(Validation!G:G,MATCH("Bond 8"&amp;CELL("address",D19),Validation!I:I,0)),"")</f>
        <v/>
      </c>
      <c r="E19" s="66" t="str">
        <f ca="1">IFERROR(INDEX(Validation!F:F,MATCH("Bond 8"&amp;CELL("address",D19),Validation!I:I,0)),"")</f>
        <v/>
      </c>
    </row>
    <row r="20" spans="1:5" x14ac:dyDescent="0.25">
      <c r="A20" s="79" t="s">
        <v>232</v>
      </c>
      <c r="B20" s="103" t="str">
        <f>IF(ISBLANK('Bond Input'!J18),"Select One",IF('Bond Input'!J18=TRUE,"Yes","No"))</f>
        <v>Select One</v>
      </c>
      <c r="D20" s="77" t="str">
        <f ca="1">IFERROR(INDEX(Validation!G:G,MATCH("Bond 8"&amp;CELL("address",D20),Validation!I:I,0)),"")</f>
        <v/>
      </c>
      <c r="E20" s="66" t="str">
        <f ca="1">IFERROR(INDEX(Validation!F:F,MATCH("Bond 8"&amp;CELL("address",D20),Validation!I:I,0)),"")</f>
        <v/>
      </c>
    </row>
    <row r="21" spans="1:5" ht="20.100000000000001" customHeight="1" x14ac:dyDescent="0.25">
      <c r="A21" s="74" t="s">
        <v>1183</v>
      </c>
      <c r="B21" s="74" t="s">
        <v>283</v>
      </c>
      <c r="C21" s="74" t="str">
        <f>Year_DestinationYearID&amp;" Amount"</f>
        <v>2024 Amount</v>
      </c>
      <c r="D21" s="77" t="str">
        <f ca="1">IFERROR(INDEX(Validation!G:G,MATCH("Bond 8"&amp;CELL("address",D21),Validation!I:I,0)),"")</f>
        <v/>
      </c>
      <c r="E21" s="66" t="str">
        <f ca="1">IFERROR(INDEX(Validation!F:F,MATCH("Bond 8"&amp;CELL("address",D21),Validation!I:I,0)),"")</f>
        <v/>
      </c>
    </row>
    <row r="22" spans="1:5" x14ac:dyDescent="0.25">
      <c r="A22" s="79" t="s">
        <v>266</v>
      </c>
      <c r="B22" s="122" t="str">
        <f>IF(NOT(ISBLANK('Bond Input'!J19)),'Bond Input'!J19,"")</f>
        <v/>
      </c>
      <c r="C22" s="122"/>
      <c r="D22" s="77" t="str">
        <f ca="1">IFERROR(INDEX(Validation!G:G,MATCH("Bond 8"&amp;CELL("address",D22),Validation!I:I,0)),"")</f>
        <v/>
      </c>
      <c r="E22" s="66" t="str">
        <f ca="1">IFERROR(INDEX(Validation!F:F,MATCH("Bond 8"&amp;CELL("address",D22),Validation!I:I,0)),"")</f>
        <v/>
      </c>
    </row>
    <row r="23" spans="1:5" x14ac:dyDescent="0.25">
      <c r="A23" s="79" t="s">
        <v>267</v>
      </c>
      <c r="B23" s="122" t="str">
        <f>IF(NOT(ISBLANK('Bond Input'!J21)),'Bond Input'!J21,"")</f>
        <v/>
      </c>
      <c r="C23" s="122"/>
      <c r="D23" s="77" t="str">
        <f ca="1">IFERROR(INDEX(Validation!G:G,MATCH("Bond 8"&amp;CELL("address",D23),Validation!I:I,0)),"")</f>
        <v/>
      </c>
      <c r="E23" s="66" t="str">
        <f ca="1">IFERROR(INDEX(Validation!F:F,MATCH("Bond 8"&amp;CELL("address",D23),Validation!I:I,0)),"")</f>
        <v/>
      </c>
    </row>
    <row r="24" spans="1:5" x14ac:dyDescent="0.25">
      <c r="A24" s="79" t="s">
        <v>268</v>
      </c>
      <c r="B24" s="122" t="str">
        <f>IF(NOT(ISBLANK('Bond Input'!J23)),'Bond Input'!J23,"")</f>
        <v/>
      </c>
      <c r="C24" s="122"/>
      <c r="D24" s="77" t="str">
        <f ca="1">IFERROR(INDEX(Validation!G:G,MATCH("Bond 8"&amp;CELL("address",D24),Validation!I:I,0)),"")</f>
        <v/>
      </c>
      <c r="E24" s="66" t="str">
        <f ca="1">IFERROR(INDEX(Validation!F:F,MATCH("Bond 8"&amp;CELL("address",D24),Validation!I:I,0)),"")</f>
        <v/>
      </c>
    </row>
    <row r="25" spans="1:5" x14ac:dyDescent="0.25">
      <c r="A25" s="79" t="s">
        <v>269</v>
      </c>
      <c r="B25" s="122" t="str">
        <f>IF(NOT(ISBLANK('Bond Input'!J25)),'Bond Input'!J25,"")</f>
        <v/>
      </c>
      <c r="C25" s="122"/>
      <c r="D25" s="77" t="str">
        <f ca="1">IFERROR(INDEX(Validation!G:G,MATCH("Bond 8"&amp;CELL("address",D25),Validation!I:I,0)),"")</f>
        <v/>
      </c>
      <c r="E25" s="66" t="str">
        <f ca="1">IFERROR(INDEX(Validation!F:F,MATCH("Bond 8"&amp;CELL("address",D25),Validation!I:I,0)),"")</f>
        <v/>
      </c>
    </row>
    <row r="26" spans="1:5" x14ac:dyDescent="0.25">
      <c r="A26" s="79" t="s">
        <v>1101</v>
      </c>
      <c r="B26" s="122" t="str">
        <f>IF(NOT(ISBLANK('Bond Input'!J27)),'Bond Input'!J27,"")</f>
        <v/>
      </c>
      <c r="C26" s="122"/>
      <c r="D26" s="77" t="str">
        <f ca="1">IFERROR(INDEX(Validation!G:G,MATCH("Bond 8"&amp;CELL("address",D26),Validation!I:I,0)),"")</f>
        <v/>
      </c>
      <c r="E26" s="66" t="str">
        <f ca="1">IFERROR(INDEX(Validation!F:F,MATCH("Bond 8"&amp;CELL("address",D26),Validation!I:I,0)),"")</f>
        <v/>
      </c>
    </row>
    <row r="27" spans="1:5" x14ac:dyDescent="0.25">
      <c r="A27" s="79" t="s">
        <v>270</v>
      </c>
      <c r="B27" s="122" t="str">
        <f>IF(NOT(ISBLANK('Bond Input'!J29)),'Bond Input'!J29,"")</f>
        <v/>
      </c>
      <c r="C27" s="122"/>
      <c r="D27" s="77" t="str">
        <f ca="1">IFERROR(INDEX(Validation!G:G,MATCH("Bond 8"&amp;CELL("address",D27),Validation!I:I,0)),"")</f>
        <v/>
      </c>
      <c r="E27" s="66" t="str">
        <f ca="1">IFERROR(INDEX(Validation!F:F,MATCH("Bond 8"&amp;CELL("address",D27),Validation!I:I,0)),"")</f>
        <v/>
      </c>
    </row>
    <row r="28" spans="1:5" x14ac:dyDescent="0.25">
      <c r="A28" s="79" t="s">
        <v>271</v>
      </c>
      <c r="B28" s="122" t="str">
        <f>IF(NOT(ISBLANK('Bond Input'!J31)),'Bond Input'!J31,"")</f>
        <v/>
      </c>
      <c r="C28" s="122"/>
      <c r="D28" s="77" t="str">
        <f ca="1">IFERROR(INDEX(Validation!G:G,MATCH("Bond 8"&amp;CELL("address",D28),Validation!I:I,0)),"")</f>
        <v/>
      </c>
      <c r="E28" s="66" t="str">
        <f ca="1">IFERROR(INDEX(Validation!F:F,MATCH("Bond 8"&amp;CELL("address",D28),Validation!I:I,0)),"")</f>
        <v/>
      </c>
    </row>
    <row r="29" spans="1:5" x14ac:dyDescent="0.25">
      <c r="A29" s="79" t="s">
        <v>272</v>
      </c>
      <c r="B29" s="122" t="str">
        <f>IF(NOT(ISBLANK('Bond Input'!J33)),'Bond Input'!J33,"")</f>
        <v/>
      </c>
      <c r="C29" s="122"/>
      <c r="D29" s="77" t="str">
        <f ca="1">IFERROR(INDEX(Validation!G:G,MATCH("Bond 8"&amp;CELL("address",D29),Validation!I:I,0)),"")</f>
        <v/>
      </c>
      <c r="E29" s="66" t="str">
        <f ca="1">IFERROR(INDEX(Validation!F:F,MATCH("Bond 8"&amp;CELL("address",D29),Validation!I:I,0)),"")</f>
        <v/>
      </c>
    </row>
    <row r="30" spans="1:5" x14ac:dyDescent="0.25">
      <c r="A30" s="79" t="s">
        <v>273</v>
      </c>
      <c r="B30" s="122" t="str">
        <f>IF(NOT(ISBLANK('Bond Input'!J35)),'Bond Input'!J35,"")</f>
        <v/>
      </c>
      <c r="C30" s="122"/>
      <c r="D30" s="77" t="str">
        <f ca="1">IFERROR(INDEX(Validation!G:G,MATCH("Bond 8"&amp;CELL("address",D30),Validation!I:I,0)),"")</f>
        <v/>
      </c>
      <c r="E30" s="66" t="str">
        <f ca="1">IFERROR(INDEX(Validation!F:F,MATCH("Bond 8"&amp;CELL("address",D30),Validation!I:I,0)),"")</f>
        <v/>
      </c>
    </row>
    <row r="31" spans="1:5" x14ac:dyDescent="0.25">
      <c r="A31" s="130" t="s">
        <v>1184</v>
      </c>
      <c r="B31" s="125">
        <f>SUM(B22:B30)</f>
        <v>0</v>
      </c>
      <c r="C31" s="125">
        <f>SUM(C22:C30)</f>
        <v>0</v>
      </c>
      <c r="D31" s="77" t="str">
        <f ca="1">IFERROR(INDEX(Validation!G:G,MATCH("Bond 8"&amp;CELL("address",D31),Validation!I:I,0)),"")</f>
        <v/>
      </c>
      <c r="E31" s="66" t="str">
        <f ca="1">IFERROR(INDEX(Validation!F:F,MATCH("Bond 8"&amp;CELL("address",D31),Validation!I:I,0)),"")</f>
        <v/>
      </c>
    </row>
    <row r="32" spans="1:5" x14ac:dyDescent="0.25">
      <c r="A32" s="130" t="s">
        <v>1185</v>
      </c>
      <c r="B32" s="125">
        <f>IF(B16="",0,B16-B31)</f>
        <v>0</v>
      </c>
      <c r="C32" s="125">
        <f>IF(B16="",0,B16-B31-C31)</f>
        <v>0</v>
      </c>
      <c r="D32" s="77" t="str">
        <f ca="1">IFERROR(INDEX(Validation!G:G,MATCH("Bond 8"&amp;CELL("address",D32),Validation!I:I,0)),"")</f>
        <v/>
      </c>
      <c r="E32" s="66" t="str">
        <f ca="1">IFERROR(INDEX(Validation!F:F,MATCH("Bond 8"&amp;CELL("address",D32),Validation!I:I,0)),"")</f>
        <v/>
      </c>
    </row>
    <row r="33" spans="1:5" x14ac:dyDescent="0.25">
      <c r="A33" s="131" t="s">
        <v>1186</v>
      </c>
      <c r="B33" s="122" t="str">
        <f>IF(NOT(ISBLANK('Bond Input'!J41)),'Bond Input'!J41,"")</f>
        <v/>
      </c>
      <c r="C33" s="122"/>
      <c r="D33" s="77" t="str">
        <f ca="1">IFERROR(INDEX(Validation!G:G,MATCH("Bond 8"&amp;CELL("address",D33),Validation!I:I,0)),"")</f>
        <v/>
      </c>
      <c r="E33" s="66" t="str">
        <f ca="1">IFERROR(INDEX(Validation!F:F,MATCH("Bond 8"&amp;CELL("address",D33),Validation!I:I,0)),"")</f>
        <v/>
      </c>
    </row>
    <row r="34" spans="1:5" x14ac:dyDescent="0.25">
      <c r="A34" s="131" t="s">
        <v>1187</v>
      </c>
      <c r="B34" s="122" t="str">
        <f>IF(NOT(ISBLANK('Bond Input'!J43)),'Bond Input'!J43,"")</f>
        <v/>
      </c>
      <c r="C34" s="122"/>
      <c r="D34" s="77" t="str">
        <f ca="1">IFERROR(INDEX(Validation!G:G,MATCH("Bond 8"&amp;CELL("address",D34),Validation!I:I,0)),"")</f>
        <v/>
      </c>
      <c r="E34" s="66" t="str">
        <f ca="1">IFERROR(INDEX(Validation!F:F,MATCH("Bond 8"&amp;CELL("address",D34),Validation!I:I,0)),"")</f>
        <v/>
      </c>
    </row>
    <row r="35" spans="1:5" ht="20.100000000000001" customHeight="1" x14ac:dyDescent="0.25">
      <c r="A35" s="74" t="s">
        <v>684</v>
      </c>
      <c r="B35" s="74" t="s">
        <v>283</v>
      </c>
      <c r="C35" s="74" t="str">
        <f>Year_DestinationYearID&amp;" Amount"</f>
        <v>2024 Amount</v>
      </c>
      <c r="D35" s="77" t="str">
        <f ca="1">IFERROR(INDEX(Validation!G:G,MATCH("Bond 8"&amp;CELL("address",D35),Validation!I:I,0)),"")</f>
        <v/>
      </c>
      <c r="E35" s="66" t="str">
        <f ca="1">IFERROR(INDEX(Validation!F:F,MATCH("Bond 8"&amp;CELL("address",D35),Validation!I:I,0)),"")</f>
        <v/>
      </c>
    </row>
    <row r="36" spans="1:5" x14ac:dyDescent="0.25">
      <c r="A36" s="79" t="s">
        <v>1188</v>
      </c>
      <c r="B36" s="122" t="str">
        <f>IF(NOT(ISBLANK('Bond Input'!J45)),'Bond Input'!J45,"")</f>
        <v/>
      </c>
      <c r="C36" s="122"/>
      <c r="D36" s="77" t="str">
        <f ca="1">IFERROR(INDEX(Validation!G:G,MATCH("Bond 8"&amp;CELL("address",D36),Validation!I:I,0)),"")</f>
        <v/>
      </c>
      <c r="E36" s="66" t="str">
        <f ca="1">IFERROR(INDEX(Validation!F:F,MATCH("Bond 8"&amp;CELL("address",D36),Validation!I:I,0)),"")</f>
        <v/>
      </c>
    </row>
    <row r="37" spans="1:5" x14ac:dyDescent="0.25">
      <c r="A37" s="79" t="s">
        <v>1189</v>
      </c>
      <c r="B37" s="122" t="str">
        <f>IF(NOT(ISBLANK('Bond Input'!J47)),'Bond Input'!J47,"")</f>
        <v/>
      </c>
      <c r="C37" s="122"/>
      <c r="D37" s="77" t="str">
        <f ca="1">IFERROR(INDEX(Validation!G:G,MATCH("Bond 8"&amp;CELL("address",D37),Validation!I:I,0)),"")</f>
        <v/>
      </c>
      <c r="E37" s="66" t="str">
        <f ca="1">IFERROR(INDEX(Validation!F:F,MATCH("Bond 8"&amp;CELL("address",D37),Validation!I:I,0)),"")</f>
        <v/>
      </c>
    </row>
    <row r="38" spans="1:5" x14ac:dyDescent="0.25">
      <c r="A38" s="79" t="s">
        <v>1190</v>
      </c>
      <c r="B38" s="122" t="str">
        <f>IF(NOT(ISBLANK('Bond Input'!J49)),'Bond Input'!J49,"")</f>
        <v/>
      </c>
      <c r="C38" s="122"/>
      <c r="D38" s="77" t="str">
        <f ca="1">IFERROR(INDEX(Validation!G:G,MATCH("Bond 8"&amp;CELL("address",D38),Validation!I:I,0)),"")</f>
        <v/>
      </c>
      <c r="E38" s="66" t="str">
        <f ca="1">IFERROR(INDEX(Validation!F:F,MATCH("Bond 8"&amp;CELL("address",D38),Validation!I:I,0)),"")</f>
        <v/>
      </c>
    </row>
    <row r="39" spans="1:5" x14ac:dyDescent="0.25">
      <c r="A39" s="79" t="s">
        <v>221</v>
      </c>
      <c r="B39" s="125" t="str">
        <f>IFERROR(IF(B11="Yes","See Pooled Debt",IF(B8="Non-TIF Bond","NA/Non-TIF Bond",B16-B19-B36-B37+B38)),"")</f>
        <v/>
      </c>
      <c r="C39" s="125" t="str">
        <f>IFERROR(IF(B11="Yes","See Pooled Debt",IF(B8="Non-TIF Bond","NA/Non-TIF Bond",B16-B19-B36-B37-C36-C37+B38+C38)),"")</f>
        <v/>
      </c>
      <c r="D39" s="77" t="str">
        <f ca="1">IFERROR(INDEX(Validation!G:G,MATCH("Bond 8"&amp;CELL("address",D39),Validation!I:I,0)),"")</f>
        <v/>
      </c>
      <c r="E39" s="66" t="str">
        <f ca="1">IFERROR(INDEX(Validation!F:F,MATCH("Bond 8"&amp;CELL("address",D39),Validation!I:I,0)),"")</f>
        <v/>
      </c>
    </row>
    <row r="40" spans="1:5" x14ac:dyDescent="0.25">
      <c r="A40" s="79" t="s">
        <v>223</v>
      </c>
      <c r="B40" s="122" t="str">
        <f>IF(NOT(ISBLANK('Bond Input'!J53)),'Bond Input'!J53,"")</f>
        <v/>
      </c>
      <c r="C40" s="122"/>
      <c r="D40" s="77" t="str">
        <f ca="1">IFERROR(INDEX(Validation!G:G,MATCH("Bond 8"&amp;CELL("address",D40),Validation!I:I,0)),"")</f>
        <v/>
      </c>
      <c r="E40" s="66" t="str">
        <f ca="1">IFERROR(INDEX(Validation!F:F,MATCH("Bond 8"&amp;CELL("address",D40),Validation!I:I,0)),"")</f>
        <v/>
      </c>
    </row>
    <row r="41" spans="1:5" x14ac:dyDescent="0.25">
      <c r="A41" s="79" t="s">
        <v>1191</v>
      </c>
      <c r="B41" s="122" t="str">
        <f>IF(NOT(ISBLANK('Bond Input'!J55)),'Bond Input'!J55,"")</f>
        <v/>
      </c>
      <c r="C41" s="122"/>
      <c r="D41" s="77" t="str">
        <f ca="1">IFERROR(INDEX(Validation!G:G,MATCH("Bond 8"&amp;CELL("address",D41),Validation!I:I,0)),"")</f>
        <v/>
      </c>
      <c r="E41" s="66" t="str">
        <f ca="1">IFERROR(INDEX(Validation!F:F,MATCH("Bond 8"&amp;CELL("address",D41),Validation!I:I,0)),"")</f>
        <v/>
      </c>
    </row>
    <row r="42" spans="1:5" x14ac:dyDescent="0.25">
      <c r="A42" s="79" t="s">
        <v>1192</v>
      </c>
      <c r="B42" s="122" t="str">
        <f>IF(NOT(ISBLANK('Bond Input'!J57)),'Bond Input'!J57,"")</f>
        <v/>
      </c>
      <c r="C42" s="122"/>
      <c r="D42" s="77" t="str">
        <f ca="1">IFERROR(INDEX(Validation!G:G,MATCH("Bond 8"&amp;CELL("address",D42),Validation!I:I,0)),"")</f>
        <v/>
      </c>
      <c r="E42" s="66" t="str">
        <f ca="1">IFERROR(INDEX(Validation!F:F,MATCH("Bond 8"&amp;CELL("address",D42),Validation!I:I,0)),"")</f>
        <v/>
      </c>
    </row>
    <row r="43" spans="1:5" ht="20.100000000000001" customHeight="1" x14ac:dyDescent="0.25">
      <c r="A43" s="74" t="str">
        <f>"Principal and Interest Due in "&amp;Year_DestinationYearID+1</f>
        <v>Principal and Interest Due in 2025</v>
      </c>
      <c r="B43" s="128"/>
      <c r="C43" s="128"/>
      <c r="D43" s="77"/>
    </row>
    <row r="44" spans="1:5" x14ac:dyDescent="0.25">
      <c r="A44" s="79" t="str">
        <f>"Principal Due in "&amp;Year_DestinationYearID+1</f>
        <v>Principal Due in 2025</v>
      </c>
      <c r="B44" s="122"/>
      <c r="C44" s="128"/>
      <c r="D44" s="77" t="str">
        <f ca="1">IFERROR(INDEX(Validation!G:G,MATCH("Bond 8"&amp;CELL("address",D44),Validation!I:I,0)),"")</f>
        <v/>
      </c>
      <c r="E44" s="66" t="str">
        <f ca="1">IFERROR(INDEX(Validation!F:F,MATCH("Bond 8"&amp;CELL("address",D44),Validation!I:I,0)),"")</f>
        <v/>
      </c>
    </row>
    <row r="45" spans="1:5" x14ac:dyDescent="0.25">
      <c r="A45" s="79" t="str">
        <f>"Interest Due in "&amp;Year_DestinationYearID+1</f>
        <v>Interest Due in 2025</v>
      </c>
      <c r="B45" s="122"/>
      <c r="C45" s="128"/>
      <c r="D45" s="77" t="str">
        <f ca="1">IFERROR(INDEX(Validation!G:G,MATCH("Bond 8"&amp;CELL("address",D45),Validation!I:I,0)),"")</f>
        <v/>
      </c>
      <c r="E45" s="66" t="str">
        <f ca="1">IFERROR(INDEX(Validation!F:F,MATCH("Bond 8"&amp;CELL("address",D45),Validation!I:I,0)),"")</f>
        <v/>
      </c>
    </row>
    <row r="46" spans="1:5" ht="20.100000000000001" customHeight="1" x14ac:dyDescent="0.25">
      <c r="A46" s="97" t="s">
        <v>176</v>
      </c>
      <c r="D46" s="77" t="str">
        <f ca="1">IF(AND(ISBLANK(A47),OR(COUNTIF(E6:E45,"Alert")&gt;0,SUM(B38:B38)&lt;&gt;0)),"Comment(s) required for remaining alert(s) and/or additions/reductions to principal.",IFERROR(INDEX(Validation!G:G,MATCH("Bond 8"&amp;CELL("address",D47),Validation!I:I,0)),""))</f>
        <v/>
      </c>
      <c r="E46" s="66" t="str">
        <f ca="1">IF(AND(ISBLANK(A47),OR(COUNTIF(E6:E45,"Alert")&gt;0,SUM(B38:B38)&lt;&gt;0)),"Error",IFERROR(INDEX(Validation!F:F,MATCH("Bond 8"&amp;CELL("address",D47),Validation!I:I,0)),""))</f>
        <v/>
      </c>
    </row>
    <row r="47" spans="1:5" ht="150" customHeight="1" x14ac:dyDescent="0.25">
      <c r="A47" s="123"/>
      <c r="B47" s="100" t="str">
        <f>HYPERLINK("#'Bonds'!B6","Click here to return to the Bonds Tab")</f>
        <v>Click here to return to the Bonds Tab</v>
      </c>
      <c r="C47" s="127"/>
    </row>
    <row r="48" spans="1:5" x14ac:dyDescent="0.25">
      <c r="A48" s="98"/>
      <c r="B48" s="98"/>
      <c r="C48" s="98"/>
    </row>
    <row r="49" spans="1:3" x14ac:dyDescent="0.25">
      <c r="A49" s="98"/>
      <c r="B49" s="98"/>
      <c r="C49" s="98"/>
    </row>
    <row r="50" spans="1:3" x14ac:dyDescent="0.25">
      <c r="A50" s="98"/>
      <c r="B50" s="98"/>
      <c r="C50" s="98"/>
    </row>
    <row r="51" spans="1:3" x14ac:dyDescent="0.25">
      <c r="A51" s="98"/>
      <c r="B51" s="98"/>
      <c r="C51" s="98"/>
    </row>
  </sheetData>
  <sheetProtection algorithmName="SHA-512" hashValue="iPJa0MPFzXAGJhVX7mjm7Gck6avj2+yWOzsQI9HEhgs20l2a07YnS1X8e4NwsC/UrbDitW5E/dsPZIXJdPti8A==" saltValue="oO9A6Rxwf3OmhNHSIgY0UQ==" spinCount="100000" sheet="1" objects="1" scenarios="1"/>
  <mergeCells count="1">
    <mergeCell ref="A4:E4"/>
  </mergeCells>
  <conditionalFormatting sqref="A2 D6:E46">
    <cfRule type="expression" dxfId="422" priority="6">
      <formula>$E2="Exclude"</formula>
    </cfRule>
  </conditionalFormatting>
  <conditionalFormatting sqref="A2">
    <cfRule type="expression" dxfId="421" priority="4">
      <formula>$E2="Error"</formula>
    </cfRule>
  </conditionalFormatting>
  <conditionalFormatting sqref="D6:E46">
    <cfRule type="expression" dxfId="419" priority="1">
      <formula>$E6="Information"</formula>
    </cfRule>
    <cfRule type="expression" dxfId="418" priority="2">
      <formula>$E6="Error"</formula>
    </cfRule>
    <cfRule type="expression" dxfId="417" priority="3">
      <formula>$E6="Alert"</formula>
    </cfRule>
  </conditionalFormatting>
  <dataValidations count="2">
    <dataValidation type="list" allowBlank="1" showInputMessage="1" showErrorMessage="1" sqref="B9:C11 B20:C20" xr:uid="{07139300-375A-4557-B58F-542001AA869F}">
      <formula1>SelOneYesNo</formula1>
    </dataValidation>
    <dataValidation type="list" allowBlank="1" showInputMessage="1" showErrorMessage="1" sqref="B8:C8" xr:uid="{7D0A1558-CDD0-4202-B97A-FC6849DC3886}">
      <formula1>BondType</formula1>
    </dataValidation>
  </dataValidations>
  <pageMargins left="0.7" right="0.7" top="0.75" bottom="0.75" header="0.3" footer="0.3"/>
  <pageSetup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5" id="{E3EFA931-1EB9-4F02-906A-25CD626DE6BC}">
            <xm:f>COUNTIFS(Validation!$H:$H,MID(CELL("filename",A2),FIND("]",CELL("filename",A2))+1,255)&amp;CELL("address",A2))&gt;0</xm:f>
            <x14:dxf>
              <font>
                <b/>
                <i val="0"/>
                <color rgb="FFC00000"/>
              </font>
              <numFmt numFmtId="172" formatCode="_(\!* #,##0_);_(\!* \(#,##0\);_(\!* \-??_);_(\!\ @_)"/>
            </x14:dxf>
          </x14:cfRule>
          <xm:sqref>A2</xm:sqref>
        </x14:conditionalFormatting>
      </x14:conditionalFormatting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01CAA-FE78-437F-A7FB-CC7FE4F5CF61}">
  <sheetPr>
    <tabColor rgb="FFEED382"/>
  </sheetPr>
  <dimension ref="A1:F51"/>
  <sheetViews>
    <sheetView showGridLines="0" workbookViewId="0">
      <selection activeCell="B7" sqref="B7"/>
    </sheetView>
  </sheetViews>
  <sheetFormatPr defaultRowHeight="15" x14ac:dyDescent="0.25"/>
  <cols>
    <col min="1" max="1" width="55.7109375" style="66" customWidth="1"/>
    <col min="2" max="3" width="20.7109375" style="66" customWidth="1"/>
    <col min="4" max="4" width="80.85546875" style="66" customWidth="1"/>
    <col min="5" max="5" width="14.7109375" style="66" customWidth="1"/>
    <col min="6" max="6" width="0" style="78" hidden="1" customWidth="1"/>
    <col min="7" max="16384" width="9.140625" style="66"/>
  </cols>
  <sheetData>
    <row r="1" spans="1:6" s="59" customFormat="1" ht="24.95" customHeight="1" x14ac:dyDescent="0.25">
      <c r="A1" s="59" t="str">
        <f>_xlfn.CONCAT("Office of the State Auditor  -  TIF Annual Reporting Form  -  ",Year_DestinationYearID)</f>
        <v>Office of the State Auditor  -  TIF Annual Reporting Form  -  2024</v>
      </c>
      <c r="F1" s="61"/>
    </row>
    <row r="2" spans="1:6" s="62" customFormat="1" ht="20.100000000000001" customHeight="1" x14ac:dyDescent="0.25">
      <c r="A2" s="58" t="str">
        <f>_xlfn.CONCAT(GovEntity_GovEntityName_Parent,"  -  ",GovEntity_GovEntityName)</f>
        <v>Spruce City  -  TIF 1-1 Downtown Redev</v>
      </c>
      <c r="F2" s="64"/>
    </row>
    <row r="3" spans="1:6" s="68" customFormat="1" ht="24.95" customHeight="1" x14ac:dyDescent="0.3">
      <c r="A3" s="65" t="s">
        <v>206</v>
      </c>
      <c r="B3" s="66"/>
      <c r="C3" s="66"/>
      <c r="F3" s="69"/>
    </row>
    <row r="4" spans="1:6" s="71" customFormat="1" x14ac:dyDescent="0.25">
      <c r="A4" s="217" t="s">
        <v>207</v>
      </c>
      <c r="B4" s="217"/>
      <c r="C4" s="217"/>
      <c r="D4" s="217"/>
      <c r="E4" s="217"/>
      <c r="F4" s="72" t="s">
        <v>119</v>
      </c>
    </row>
    <row r="5" spans="1:6" s="74" customFormat="1" ht="20.100000000000001" customHeight="1" x14ac:dyDescent="0.25">
      <c r="A5" s="73" t="str">
        <f>HYPERLINK("#'Bonds'!B6","Click here to return to the Bonds Tab")</f>
        <v>Click here to return to the Bonds Tab</v>
      </c>
      <c r="D5" s="74" t="s">
        <v>121</v>
      </c>
      <c r="E5" s="74" t="s">
        <v>102</v>
      </c>
      <c r="F5" s="76"/>
    </row>
    <row r="6" spans="1:6" ht="20.100000000000001" customHeight="1" x14ac:dyDescent="0.25">
      <c r="A6" s="74" t="s">
        <v>208</v>
      </c>
      <c r="D6" s="77" t="str">
        <f ca="1">IFERROR(INDEX(Validation!G:G,MATCH("Bond 9"&amp;CELL("address",D6),Validation!I:I,0)),"")</f>
        <v/>
      </c>
      <c r="E6" s="66" t="str">
        <f ca="1">IFERROR(INDEX(Validation!F:F,MATCH("Bond 9"&amp;CELL("address",D6),Validation!I:I,0)),"")</f>
        <v/>
      </c>
      <c r="F6" s="78" t="s">
        <v>1008</v>
      </c>
    </row>
    <row r="7" spans="1:6" x14ac:dyDescent="0.25">
      <c r="A7" s="79" t="s">
        <v>210</v>
      </c>
      <c r="B7" s="103" t="str">
        <f>IF(NOT(ISBLANK('Bond Input'!K5)),'Bond Input'!K5,"")</f>
        <v/>
      </c>
      <c r="D7" s="77" t="str">
        <f ca="1">IFERROR(INDEX(Validation!G:G,MATCH("Bond 9"&amp;CELL("address",D7),Validation!I:I,0)),"")</f>
        <v/>
      </c>
      <c r="E7" s="66" t="str">
        <f ca="1">IFERROR(INDEX(Validation!F:F,MATCH("Bond 9"&amp;CELL("address",D7),Validation!I:I,0)),"")</f>
        <v/>
      </c>
      <c r="F7" s="85" t="str">
        <f>IF(NOT(ISBLANK('Bond Input'!K4)),'Bond Input'!K4,"")</f>
        <v/>
      </c>
    </row>
    <row r="8" spans="1:6" x14ac:dyDescent="0.25">
      <c r="A8" s="79" t="s">
        <v>209</v>
      </c>
      <c r="B8" s="103" t="str">
        <f>IF(NOT(ISBLANK('Bond Input'!K6)),'Bond Input'!K6,"Select One")</f>
        <v>Select One</v>
      </c>
      <c r="D8" s="77" t="str">
        <f ca="1">IFERROR(INDEX(Validation!G:G,MATCH("Bond 9"&amp;CELL("address",D8),Validation!I:I,0)),"")</f>
        <v/>
      </c>
      <c r="E8" s="66" t="str">
        <f ca="1">IFERROR(INDEX(Validation!F:F,MATCH("Bond 9"&amp;CELL("address",D8),Validation!I:I,0)),"")</f>
        <v/>
      </c>
    </row>
    <row r="9" spans="1:6" x14ac:dyDescent="0.25">
      <c r="A9" s="79" t="s">
        <v>227</v>
      </c>
      <c r="B9" s="103" t="str">
        <f>IF(NOT(ISBLANK('Bond Input'!K7)),'Bond Input'!K7,"Select One")</f>
        <v>Select One</v>
      </c>
      <c r="D9" s="77" t="str">
        <f ca="1">IFERROR(INDEX(Validation!G:G,MATCH("Bond 9"&amp;CELL("address",D9),Validation!I:I,0)),"")</f>
        <v/>
      </c>
      <c r="E9" s="66" t="str">
        <f ca="1">IFERROR(INDEX(Validation!F:F,MATCH("Bond 9"&amp;CELL("address",D9),Validation!I:I,0)),"")</f>
        <v/>
      </c>
    </row>
    <row r="10" spans="1:6" x14ac:dyDescent="0.25">
      <c r="A10" s="79" t="s">
        <v>228</v>
      </c>
      <c r="B10" s="103" t="str">
        <f>IF(NOT(ISBLANK('Bond Input'!K8)),'Bond Input'!K8,"Select One")</f>
        <v>Select One</v>
      </c>
      <c r="D10" s="77" t="str">
        <f ca="1">IFERROR(INDEX(Validation!G:G,MATCH("Bond 9"&amp;CELL("address",D10),Validation!I:I,0)),"")</f>
        <v/>
      </c>
      <c r="E10" s="66" t="str">
        <f ca="1">IFERROR(INDEX(Validation!F:F,MATCH("Bond 9"&amp;CELL("address",D10),Validation!I:I,0)),"")</f>
        <v/>
      </c>
    </row>
    <row r="11" spans="1:6" x14ac:dyDescent="0.25">
      <c r="A11" s="79" t="s">
        <v>229</v>
      </c>
      <c r="B11" s="103" t="str">
        <f>IF(NOT(ISBLANK('Bond Input'!K9)),'Bond Input'!K9,"Select One")</f>
        <v>Select One</v>
      </c>
      <c r="D11" s="77" t="str">
        <f ca="1">IFERROR(INDEX(Validation!G:G,MATCH("Bond 9"&amp;CELL("address",D11),Validation!I:I,0)),"")</f>
        <v/>
      </c>
      <c r="E11" s="66" t="str">
        <f ca="1">IFERROR(INDEX(Validation!F:F,MATCH("Bond 9"&amp;CELL("address",D11),Validation!I:I,0)),"")</f>
        <v/>
      </c>
    </row>
    <row r="12" spans="1:6" x14ac:dyDescent="0.25">
      <c r="A12" s="79" t="s">
        <v>211</v>
      </c>
      <c r="B12" s="120" t="str">
        <f>IF(NOT(ISBLANK('Bond Input'!K10)),'Bond Input'!K10,"")</f>
        <v/>
      </c>
      <c r="C12" s="129"/>
      <c r="D12" s="77" t="str">
        <f ca="1">IFERROR(INDEX(Validation!G:G,MATCH("Bond 9"&amp;CELL("address",D12),Validation!I:I,0)),"")</f>
        <v/>
      </c>
      <c r="E12" s="66" t="str">
        <f ca="1">IFERROR(INDEX(Validation!F:F,MATCH("Bond 9"&amp;CELL("address",D12),Validation!I:I,0)),"")</f>
        <v/>
      </c>
    </row>
    <row r="13" spans="1:6" x14ac:dyDescent="0.25">
      <c r="A13" s="79" t="s">
        <v>212</v>
      </c>
      <c r="B13" s="120" t="str">
        <f>IF(NOT(ISBLANK('Bond Input'!K11)),'Bond Input'!K11,"")</f>
        <v/>
      </c>
      <c r="C13" s="129"/>
      <c r="D13" s="77" t="str">
        <f ca="1">IFERROR(INDEX(Validation!G:G,MATCH("Bond 9"&amp;CELL("address",D13),Validation!I:I,0)),"")</f>
        <v/>
      </c>
      <c r="E13" s="66" t="str">
        <f ca="1">IFERROR(INDEX(Validation!F:F,MATCH("Bond 9"&amp;CELL("address",D13),Validation!I:I,0)),"")</f>
        <v/>
      </c>
    </row>
    <row r="14" spans="1:6" x14ac:dyDescent="0.25">
      <c r="A14" s="79" t="s">
        <v>213</v>
      </c>
      <c r="B14" s="121" t="str">
        <f>IF(NOT(ISBLANK('Bond Input'!K12)),'Bond Input'!K12,"")</f>
        <v/>
      </c>
      <c r="C14" s="132"/>
      <c r="D14" s="77" t="str">
        <f ca="1">IFERROR(INDEX(Validation!G:G,MATCH("Bond 9"&amp;CELL("address",D14),Validation!I:I,0)),"")</f>
        <v/>
      </c>
      <c r="E14" s="66" t="str">
        <f ca="1">IFERROR(INDEX(Validation!F:F,MATCH("Bond 9"&amp;CELL("address",D14),Validation!I:I,0)),"")</f>
        <v/>
      </c>
    </row>
    <row r="15" spans="1:6" x14ac:dyDescent="0.25">
      <c r="A15" s="79" t="s">
        <v>214</v>
      </c>
      <c r="B15" s="121" t="str">
        <f>IF(NOT(ISBLANK('Bond Input'!K13)),'Bond Input'!K13,"")</f>
        <v/>
      </c>
      <c r="C15" s="132"/>
      <c r="D15" s="77" t="str">
        <f ca="1">IFERROR(INDEX(Validation!G:G,MATCH("Bond 9"&amp;CELL("address",D15),Validation!I:I,0)),"")</f>
        <v/>
      </c>
      <c r="E15" s="66" t="str">
        <f ca="1">IFERROR(INDEX(Validation!F:F,MATCH("Bond 9"&amp;CELL("address",D15),Validation!I:I,0)),"")</f>
        <v/>
      </c>
    </row>
    <row r="16" spans="1:6" x14ac:dyDescent="0.25">
      <c r="A16" s="79" t="s">
        <v>535</v>
      </c>
      <c r="B16" s="122" t="str">
        <f>IF(NOT(ISBLANK('Bond Input'!K14)),'Bond Input'!K14,"")</f>
        <v/>
      </c>
      <c r="C16" s="128"/>
      <c r="D16" s="77" t="str">
        <f ca="1">IFERROR(INDEX(Validation!G:G,MATCH("Bond 9"&amp;CELL("address",D16),Validation!I:I,0)),"")</f>
        <v/>
      </c>
      <c r="E16" s="66" t="str">
        <f ca="1">IFERROR(INDEX(Validation!F:F,MATCH("Bond 9"&amp;CELL("address",D16),Validation!I:I,0)),"")</f>
        <v/>
      </c>
    </row>
    <row r="17" spans="1:5" x14ac:dyDescent="0.25">
      <c r="A17" s="79" t="s">
        <v>230</v>
      </c>
      <c r="B17" s="122" t="str">
        <f>IF(NOT(ISBLANK('Bond Input'!K15)),'Bond Input'!K15,"")</f>
        <v/>
      </c>
      <c r="C17" s="128"/>
      <c r="D17" s="77" t="str">
        <f ca="1">IFERROR(INDEX(Validation!G:G,MATCH("Bond 9"&amp;CELL("address",D17),Validation!I:I,0)),"")</f>
        <v/>
      </c>
      <c r="E17" s="66" t="str">
        <f ca="1">IFERROR(INDEX(Validation!F:F,MATCH("Bond 9"&amp;CELL("address",D17),Validation!I:I,0)),"")</f>
        <v/>
      </c>
    </row>
    <row r="18" spans="1:5" x14ac:dyDescent="0.25">
      <c r="A18" s="79" t="s">
        <v>231</v>
      </c>
      <c r="B18" s="122" t="str">
        <f>IF(NOT(ISBLANK('Bond Input'!K16)),'Bond Input'!K16,"")</f>
        <v/>
      </c>
      <c r="C18" s="128"/>
      <c r="D18" s="77" t="str">
        <f ca="1">IFERROR(INDEX(Validation!G:G,MATCH("Bond 9"&amp;CELL("address",D18),Validation!I:I,0)),"")</f>
        <v/>
      </c>
      <c r="E18" s="66" t="str">
        <f ca="1">IFERROR(INDEX(Validation!F:F,MATCH("Bond 9"&amp;CELL("address",D18),Validation!I:I,0)),"")</f>
        <v/>
      </c>
    </row>
    <row r="19" spans="1:5" x14ac:dyDescent="0.25">
      <c r="A19" s="79" t="s">
        <v>216</v>
      </c>
      <c r="B19" s="122" t="str">
        <f>IF(NOT(ISBLANK('Bond Input'!K17)),'Bond Input'!K17,"")</f>
        <v/>
      </c>
      <c r="C19" s="128"/>
      <c r="D19" s="77" t="str">
        <f ca="1">IFERROR(INDEX(Validation!G:G,MATCH("Bond 9"&amp;CELL("address",D19),Validation!I:I,0)),"")</f>
        <v/>
      </c>
      <c r="E19" s="66" t="str">
        <f ca="1">IFERROR(INDEX(Validation!F:F,MATCH("Bond 9"&amp;CELL("address",D19),Validation!I:I,0)),"")</f>
        <v/>
      </c>
    </row>
    <row r="20" spans="1:5" x14ac:dyDescent="0.25">
      <c r="A20" s="79" t="s">
        <v>232</v>
      </c>
      <c r="B20" s="103" t="str">
        <f>IF(ISBLANK('Bond Input'!K18),"Select One",IF('Bond Input'!K18=TRUE,"Yes","No"))</f>
        <v>Select One</v>
      </c>
      <c r="D20" s="77" t="str">
        <f ca="1">IFERROR(INDEX(Validation!G:G,MATCH("Bond 9"&amp;CELL("address",D20),Validation!I:I,0)),"")</f>
        <v/>
      </c>
      <c r="E20" s="66" t="str">
        <f ca="1">IFERROR(INDEX(Validation!F:F,MATCH("Bond 9"&amp;CELL("address",D20),Validation!I:I,0)),"")</f>
        <v/>
      </c>
    </row>
    <row r="21" spans="1:5" ht="20.100000000000001" customHeight="1" x14ac:dyDescent="0.25">
      <c r="A21" s="74" t="s">
        <v>1183</v>
      </c>
      <c r="B21" s="74" t="s">
        <v>283</v>
      </c>
      <c r="C21" s="74" t="str">
        <f>Year_DestinationYearID&amp;" Amount"</f>
        <v>2024 Amount</v>
      </c>
      <c r="D21" s="77" t="str">
        <f ca="1">IFERROR(INDEX(Validation!G:G,MATCH("Bond 9"&amp;CELL("address",D21),Validation!I:I,0)),"")</f>
        <v/>
      </c>
      <c r="E21" s="66" t="str">
        <f ca="1">IFERROR(INDEX(Validation!F:F,MATCH("Bond 9"&amp;CELL("address",D21),Validation!I:I,0)),"")</f>
        <v/>
      </c>
    </row>
    <row r="22" spans="1:5" x14ac:dyDescent="0.25">
      <c r="A22" s="79" t="s">
        <v>266</v>
      </c>
      <c r="B22" s="122" t="str">
        <f>IF(NOT(ISBLANK('Bond Input'!K19)),'Bond Input'!K19,"")</f>
        <v/>
      </c>
      <c r="C22" s="122"/>
      <c r="D22" s="77" t="str">
        <f ca="1">IFERROR(INDEX(Validation!G:G,MATCH("Bond 9"&amp;CELL("address",D22),Validation!I:I,0)),"")</f>
        <v/>
      </c>
      <c r="E22" s="66" t="str">
        <f ca="1">IFERROR(INDEX(Validation!F:F,MATCH("Bond 9"&amp;CELL("address",D22),Validation!I:I,0)),"")</f>
        <v/>
      </c>
    </row>
    <row r="23" spans="1:5" x14ac:dyDescent="0.25">
      <c r="A23" s="79" t="s">
        <v>267</v>
      </c>
      <c r="B23" s="122" t="str">
        <f>IF(NOT(ISBLANK('Bond Input'!K21)),'Bond Input'!K21,"")</f>
        <v/>
      </c>
      <c r="C23" s="122"/>
      <c r="D23" s="77" t="str">
        <f ca="1">IFERROR(INDEX(Validation!G:G,MATCH("Bond 9"&amp;CELL("address",D23),Validation!I:I,0)),"")</f>
        <v/>
      </c>
      <c r="E23" s="66" t="str">
        <f ca="1">IFERROR(INDEX(Validation!F:F,MATCH("Bond 9"&amp;CELL("address",D23),Validation!I:I,0)),"")</f>
        <v/>
      </c>
    </row>
    <row r="24" spans="1:5" x14ac:dyDescent="0.25">
      <c r="A24" s="79" t="s">
        <v>268</v>
      </c>
      <c r="B24" s="122" t="str">
        <f>IF(NOT(ISBLANK('Bond Input'!K23)),'Bond Input'!K23,"")</f>
        <v/>
      </c>
      <c r="C24" s="122"/>
      <c r="D24" s="77" t="str">
        <f ca="1">IFERROR(INDEX(Validation!G:G,MATCH("Bond 9"&amp;CELL("address",D24),Validation!I:I,0)),"")</f>
        <v/>
      </c>
      <c r="E24" s="66" t="str">
        <f ca="1">IFERROR(INDEX(Validation!F:F,MATCH("Bond 9"&amp;CELL("address",D24),Validation!I:I,0)),"")</f>
        <v/>
      </c>
    </row>
    <row r="25" spans="1:5" x14ac:dyDescent="0.25">
      <c r="A25" s="79" t="s">
        <v>269</v>
      </c>
      <c r="B25" s="122" t="str">
        <f>IF(NOT(ISBLANK('Bond Input'!K25)),'Bond Input'!K25,"")</f>
        <v/>
      </c>
      <c r="C25" s="122"/>
      <c r="D25" s="77" t="str">
        <f ca="1">IFERROR(INDEX(Validation!G:G,MATCH("Bond 9"&amp;CELL("address",D25),Validation!I:I,0)),"")</f>
        <v/>
      </c>
      <c r="E25" s="66" t="str">
        <f ca="1">IFERROR(INDEX(Validation!F:F,MATCH("Bond 9"&amp;CELL("address",D25),Validation!I:I,0)),"")</f>
        <v/>
      </c>
    </row>
    <row r="26" spans="1:5" x14ac:dyDescent="0.25">
      <c r="A26" s="79" t="s">
        <v>1101</v>
      </c>
      <c r="B26" s="122" t="str">
        <f>IF(NOT(ISBLANK('Bond Input'!K27)),'Bond Input'!K27,"")</f>
        <v/>
      </c>
      <c r="C26" s="122"/>
      <c r="D26" s="77" t="str">
        <f ca="1">IFERROR(INDEX(Validation!G:G,MATCH("Bond 9"&amp;CELL("address",D26),Validation!I:I,0)),"")</f>
        <v/>
      </c>
      <c r="E26" s="66" t="str">
        <f ca="1">IFERROR(INDEX(Validation!F:F,MATCH("Bond 9"&amp;CELL("address",D26),Validation!I:I,0)),"")</f>
        <v/>
      </c>
    </row>
    <row r="27" spans="1:5" x14ac:dyDescent="0.25">
      <c r="A27" s="79" t="s">
        <v>270</v>
      </c>
      <c r="B27" s="122" t="str">
        <f>IF(NOT(ISBLANK('Bond Input'!K29)),'Bond Input'!K29,"")</f>
        <v/>
      </c>
      <c r="C27" s="122"/>
      <c r="D27" s="77" t="str">
        <f ca="1">IFERROR(INDEX(Validation!G:G,MATCH("Bond 9"&amp;CELL("address",D27),Validation!I:I,0)),"")</f>
        <v/>
      </c>
      <c r="E27" s="66" t="str">
        <f ca="1">IFERROR(INDEX(Validation!F:F,MATCH("Bond 9"&amp;CELL("address",D27),Validation!I:I,0)),"")</f>
        <v/>
      </c>
    </row>
    <row r="28" spans="1:5" x14ac:dyDescent="0.25">
      <c r="A28" s="79" t="s">
        <v>271</v>
      </c>
      <c r="B28" s="122" t="str">
        <f>IF(NOT(ISBLANK('Bond Input'!K31)),'Bond Input'!K31,"")</f>
        <v/>
      </c>
      <c r="C28" s="122"/>
      <c r="D28" s="77" t="str">
        <f ca="1">IFERROR(INDEX(Validation!G:G,MATCH("Bond 9"&amp;CELL("address",D28),Validation!I:I,0)),"")</f>
        <v/>
      </c>
      <c r="E28" s="66" t="str">
        <f ca="1">IFERROR(INDEX(Validation!F:F,MATCH("Bond 9"&amp;CELL("address",D28),Validation!I:I,0)),"")</f>
        <v/>
      </c>
    </row>
    <row r="29" spans="1:5" x14ac:dyDescent="0.25">
      <c r="A29" s="79" t="s">
        <v>272</v>
      </c>
      <c r="B29" s="122" t="str">
        <f>IF(NOT(ISBLANK('Bond Input'!K33)),'Bond Input'!K33,"")</f>
        <v/>
      </c>
      <c r="C29" s="122"/>
      <c r="D29" s="77" t="str">
        <f ca="1">IFERROR(INDEX(Validation!G:G,MATCH("Bond 9"&amp;CELL("address",D29),Validation!I:I,0)),"")</f>
        <v/>
      </c>
      <c r="E29" s="66" t="str">
        <f ca="1">IFERROR(INDEX(Validation!F:F,MATCH("Bond 9"&amp;CELL("address",D29),Validation!I:I,0)),"")</f>
        <v/>
      </c>
    </row>
    <row r="30" spans="1:5" x14ac:dyDescent="0.25">
      <c r="A30" s="79" t="s">
        <v>273</v>
      </c>
      <c r="B30" s="122" t="str">
        <f>IF(NOT(ISBLANK('Bond Input'!K35)),'Bond Input'!K35,"")</f>
        <v/>
      </c>
      <c r="C30" s="122"/>
      <c r="D30" s="77" t="str">
        <f ca="1">IFERROR(INDEX(Validation!G:G,MATCH("Bond 9"&amp;CELL("address",D30),Validation!I:I,0)),"")</f>
        <v/>
      </c>
      <c r="E30" s="66" t="str">
        <f ca="1">IFERROR(INDEX(Validation!F:F,MATCH("Bond 9"&amp;CELL("address",D30),Validation!I:I,0)),"")</f>
        <v/>
      </c>
    </row>
    <row r="31" spans="1:5" x14ac:dyDescent="0.25">
      <c r="A31" s="130" t="s">
        <v>1184</v>
      </c>
      <c r="B31" s="125">
        <f>SUM(B22:B30)</f>
        <v>0</v>
      </c>
      <c r="C31" s="125">
        <f>SUM(C22:C30)</f>
        <v>0</v>
      </c>
      <c r="D31" s="77" t="str">
        <f ca="1">IFERROR(INDEX(Validation!G:G,MATCH("Bond 9"&amp;CELL("address",D31),Validation!I:I,0)),"")</f>
        <v/>
      </c>
      <c r="E31" s="66" t="str">
        <f ca="1">IFERROR(INDEX(Validation!F:F,MATCH("Bond 9"&amp;CELL("address",D31),Validation!I:I,0)),"")</f>
        <v/>
      </c>
    </row>
    <row r="32" spans="1:5" x14ac:dyDescent="0.25">
      <c r="A32" s="130" t="s">
        <v>1185</v>
      </c>
      <c r="B32" s="125">
        <f>IF(B16="",0,B16-B31)</f>
        <v>0</v>
      </c>
      <c r="C32" s="125">
        <f>IF(B16="",0,B16-B31-C31)</f>
        <v>0</v>
      </c>
      <c r="D32" s="77" t="str">
        <f ca="1">IFERROR(INDEX(Validation!G:G,MATCH("Bond 9"&amp;CELL("address",D32),Validation!I:I,0)),"")</f>
        <v/>
      </c>
      <c r="E32" s="66" t="str">
        <f ca="1">IFERROR(INDEX(Validation!F:F,MATCH("Bond 9"&amp;CELL("address",D32),Validation!I:I,0)),"")</f>
        <v/>
      </c>
    </row>
    <row r="33" spans="1:5" x14ac:dyDescent="0.25">
      <c r="A33" s="131" t="s">
        <v>1186</v>
      </c>
      <c r="B33" s="122" t="str">
        <f>IF(NOT(ISBLANK('Bond Input'!K41)),'Bond Input'!K41,"")</f>
        <v/>
      </c>
      <c r="C33" s="122"/>
      <c r="D33" s="77" t="str">
        <f ca="1">IFERROR(INDEX(Validation!G:G,MATCH("Bond 9"&amp;CELL("address",D33),Validation!I:I,0)),"")</f>
        <v/>
      </c>
      <c r="E33" s="66" t="str">
        <f ca="1">IFERROR(INDEX(Validation!F:F,MATCH("Bond 9"&amp;CELL("address",D33),Validation!I:I,0)),"")</f>
        <v/>
      </c>
    </row>
    <row r="34" spans="1:5" x14ac:dyDescent="0.25">
      <c r="A34" s="131" t="s">
        <v>1187</v>
      </c>
      <c r="B34" s="122" t="str">
        <f>IF(NOT(ISBLANK('Bond Input'!K43)),'Bond Input'!K43,"")</f>
        <v/>
      </c>
      <c r="C34" s="122"/>
      <c r="D34" s="77" t="str">
        <f ca="1">IFERROR(INDEX(Validation!G:G,MATCH("Bond 9"&amp;CELL("address",D34),Validation!I:I,0)),"")</f>
        <v/>
      </c>
      <c r="E34" s="66" t="str">
        <f ca="1">IFERROR(INDEX(Validation!F:F,MATCH("Bond 9"&amp;CELL("address",D34),Validation!I:I,0)),"")</f>
        <v/>
      </c>
    </row>
    <row r="35" spans="1:5" ht="20.100000000000001" customHeight="1" x14ac:dyDescent="0.25">
      <c r="A35" s="74" t="s">
        <v>684</v>
      </c>
      <c r="B35" s="74" t="s">
        <v>283</v>
      </c>
      <c r="C35" s="74" t="str">
        <f>Year_DestinationYearID&amp;" Amount"</f>
        <v>2024 Amount</v>
      </c>
      <c r="D35" s="77" t="str">
        <f ca="1">IFERROR(INDEX(Validation!G:G,MATCH("Bond 9"&amp;CELL("address",D35),Validation!I:I,0)),"")</f>
        <v/>
      </c>
      <c r="E35" s="66" t="str">
        <f ca="1">IFERROR(INDEX(Validation!F:F,MATCH("Bond 9"&amp;CELL("address",D35),Validation!I:I,0)),"")</f>
        <v/>
      </c>
    </row>
    <row r="36" spans="1:5" x14ac:dyDescent="0.25">
      <c r="A36" s="79" t="s">
        <v>1188</v>
      </c>
      <c r="B36" s="122" t="str">
        <f>IF(NOT(ISBLANK('Bond Input'!K45)),'Bond Input'!K45,"")</f>
        <v/>
      </c>
      <c r="C36" s="122"/>
      <c r="D36" s="77" t="str">
        <f ca="1">IFERROR(INDEX(Validation!G:G,MATCH("Bond 9"&amp;CELL("address",D36),Validation!I:I,0)),"")</f>
        <v/>
      </c>
      <c r="E36" s="66" t="str">
        <f ca="1">IFERROR(INDEX(Validation!F:F,MATCH("Bond 9"&amp;CELL("address",D36),Validation!I:I,0)),"")</f>
        <v/>
      </c>
    </row>
    <row r="37" spans="1:5" x14ac:dyDescent="0.25">
      <c r="A37" s="79" t="s">
        <v>1189</v>
      </c>
      <c r="B37" s="122" t="str">
        <f>IF(NOT(ISBLANK('Bond Input'!K47)),'Bond Input'!K47,"")</f>
        <v/>
      </c>
      <c r="C37" s="122"/>
      <c r="D37" s="77" t="str">
        <f ca="1">IFERROR(INDEX(Validation!G:G,MATCH("Bond 9"&amp;CELL("address",D37),Validation!I:I,0)),"")</f>
        <v/>
      </c>
      <c r="E37" s="66" t="str">
        <f ca="1">IFERROR(INDEX(Validation!F:F,MATCH("Bond 9"&amp;CELL("address",D37),Validation!I:I,0)),"")</f>
        <v/>
      </c>
    </row>
    <row r="38" spans="1:5" x14ac:dyDescent="0.25">
      <c r="A38" s="79" t="s">
        <v>1190</v>
      </c>
      <c r="B38" s="122" t="str">
        <f>IF(NOT(ISBLANK('Bond Input'!K49)),'Bond Input'!K49,"")</f>
        <v/>
      </c>
      <c r="C38" s="122"/>
      <c r="D38" s="77" t="str">
        <f ca="1">IFERROR(INDEX(Validation!G:G,MATCH("Bond 9"&amp;CELL("address",D38),Validation!I:I,0)),"")</f>
        <v/>
      </c>
      <c r="E38" s="66" t="str">
        <f ca="1">IFERROR(INDEX(Validation!F:F,MATCH("Bond 9"&amp;CELL("address",D38),Validation!I:I,0)),"")</f>
        <v/>
      </c>
    </row>
    <row r="39" spans="1:5" x14ac:dyDescent="0.25">
      <c r="A39" s="79" t="s">
        <v>221</v>
      </c>
      <c r="B39" s="125" t="str">
        <f>IFERROR(IF(B11="Yes","See Pooled Debt",IF(B8="Non-TIF Bond","NA/Non-TIF Bond",B16-B19-B36-B37+B38)),"")</f>
        <v/>
      </c>
      <c r="C39" s="125" t="str">
        <f>IFERROR(IF(B11="Yes","See Pooled Debt",IF(B8="Non-TIF Bond","NA/Non-TIF Bond",B16-B19-B36-B37-C36-C37+B38+C38)),"")</f>
        <v/>
      </c>
      <c r="D39" s="77" t="str">
        <f ca="1">IFERROR(INDEX(Validation!G:G,MATCH("Bond 9"&amp;CELL("address",D39),Validation!I:I,0)),"")</f>
        <v/>
      </c>
      <c r="E39" s="66" t="str">
        <f ca="1">IFERROR(INDEX(Validation!F:F,MATCH("Bond 9"&amp;CELL("address",D39),Validation!I:I,0)),"")</f>
        <v/>
      </c>
    </row>
    <row r="40" spans="1:5" x14ac:dyDescent="0.25">
      <c r="A40" s="79" t="s">
        <v>223</v>
      </c>
      <c r="B40" s="122" t="str">
        <f>IF(NOT(ISBLANK('Bond Input'!K53)),'Bond Input'!K53,"")</f>
        <v/>
      </c>
      <c r="C40" s="122"/>
      <c r="D40" s="77" t="str">
        <f ca="1">IFERROR(INDEX(Validation!G:G,MATCH("Bond 9"&amp;CELL("address",D40),Validation!I:I,0)),"")</f>
        <v/>
      </c>
      <c r="E40" s="66" t="str">
        <f ca="1">IFERROR(INDEX(Validation!F:F,MATCH("Bond 9"&amp;CELL("address",D40),Validation!I:I,0)),"")</f>
        <v/>
      </c>
    </row>
    <row r="41" spans="1:5" x14ac:dyDescent="0.25">
      <c r="A41" s="79" t="s">
        <v>1191</v>
      </c>
      <c r="B41" s="122" t="str">
        <f>IF(NOT(ISBLANK('Bond Input'!K55)),'Bond Input'!K55,"")</f>
        <v/>
      </c>
      <c r="C41" s="122"/>
      <c r="D41" s="77" t="str">
        <f ca="1">IFERROR(INDEX(Validation!G:G,MATCH("Bond 9"&amp;CELL("address",D41),Validation!I:I,0)),"")</f>
        <v/>
      </c>
      <c r="E41" s="66" t="str">
        <f ca="1">IFERROR(INDEX(Validation!F:F,MATCH("Bond 9"&amp;CELL("address",D41),Validation!I:I,0)),"")</f>
        <v/>
      </c>
    </row>
    <row r="42" spans="1:5" x14ac:dyDescent="0.25">
      <c r="A42" s="79" t="s">
        <v>1192</v>
      </c>
      <c r="B42" s="122" t="str">
        <f>IF(NOT(ISBLANK('Bond Input'!K57)),'Bond Input'!K57,"")</f>
        <v/>
      </c>
      <c r="C42" s="122"/>
      <c r="D42" s="77" t="str">
        <f ca="1">IFERROR(INDEX(Validation!G:G,MATCH("Bond 9"&amp;CELL("address",D42),Validation!I:I,0)),"")</f>
        <v/>
      </c>
      <c r="E42" s="66" t="str">
        <f ca="1">IFERROR(INDEX(Validation!F:F,MATCH("Bond 9"&amp;CELL("address",D42),Validation!I:I,0)),"")</f>
        <v/>
      </c>
    </row>
    <row r="43" spans="1:5" ht="20.100000000000001" customHeight="1" x14ac:dyDescent="0.25">
      <c r="A43" s="74" t="str">
        <f>"Principal and Interest Due in "&amp;Year_DestinationYearID+1</f>
        <v>Principal and Interest Due in 2025</v>
      </c>
      <c r="B43" s="128"/>
      <c r="C43" s="128"/>
      <c r="D43" s="77"/>
    </row>
    <row r="44" spans="1:5" x14ac:dyDescent="0.25">
      <c r="A44" s="79" t="str">
        <f>"Principal Due in "&amp;Year_DestinationYearID+1</f>
        <v>Principal Due in 2025</v>
      </c>
      <c r="B44" s="122"/>
      <c r="C44" s="128"/>
      <c r="D44" s="77" t="str">
        <f ca="1">IFERROR(INDEX(Validation!G:G,MATCH("Bond 9"&amp;CELL("address",D44),Validation!I:I,0)),"")</f>
        <v/>
      </c>
      <c r="E44" s="66" t="str">
        <f ca="1">IFERROR(INDEX(Validation!F:F,MATCH("Bond 9"&amp;CELL("address",D44),Validation!I:I,0)),"")</f>
        <v/>
      </c>
    </row>
    <row r="45" spans="1:5" x14ac:dyDescent="0.25">
      <c r="A45" s="79" t="str">
        <f>"Interest Due in "&amp;Year_DestinationYearID+1</f>
        <v>Interest Due in 2025</v>
      </c>
      <c r="B45" s="122"/>
      <c r="C45" s="128"/>
      <c r="D45" s="77" t="str">
        <f ca="1">IFERROR(INDEX(Validation!G:G,MATCH("Bond 9"&amp;CELL("address",D45),Validation!I:I,0)),"")</f>
        <v/>
      </c>
      <c r="E45" s="66" t="str">
        <f ca="1">IFERROR(INDEX(Validation!F:F,MATCH("Bond 9"&amp;CELL("address",D45),Validation!I:I,0)),"")</f>
        <v/>
      </c>
    </row>
    <row r="46" spans="1:5" ht="20.100000000000001" customHeight="1" x14ac:dyDescent="0.25">
      <c r="A46" s="97" t="s">
        <v>176</v>
      </c>
      <c r="D46" s="77" t="str">
        <f ca="1">IF(AND(ISBLANK(A47),OR(COUNTIF(E6:E45,"Alert")&gt;0,SUM(B38:B38)&lt;&gt;0)),"Comment(s) required for remaining alert(s) and/or additions/reductions to principal.",IFERROR(INDEX(Validation!G:G,MATCH("Bond 9"&amp;CELL("address",D47),Validation!I:I,0)),""))</f>
        <v/>
      </c>
      <c r="E46" s="66" t="str">
        <f ca="1">IF(AND(ISBLANK(A47),OR(COUNTIF(E6:E45,"Alert")&gt;0,SUM(B38:B38)&lt;&gt;0)),"Error",IFERROR(INDEX(Validation!F:F,MATCH("Bond 9"&amp;CELL("address",D47),Validation!I:I,0)),""))</f>
        <v/>
      </c>
    </row>
    <row r="47" spans="1:5" ht="150" customHeight="1" x14ac:dyDescent="0.25">
      <c r="A47" s="123"/>
      <c r="B47" s="100" t="str">
        <f>HYPERLINK("#'Bonds'!B6","Click here to return to the Bonds Tab")</f>
        <v>Click here to return to the Bonds Tab</v>
      </c>
      <c r="C47" s="127"/>
    </row>
    <row r="48" spans="1:5" x14ac:dyDescent="0.25">
      <c r="A48" s="98"/>
      <c r="B48" s="98"/>
      <c r="C48" s="98"/>
    </row>
    <row r="49" spans="1:3" x14ac:dyDescent="0.25">
      <c r="A49" s="98"/>
      <c r="B49" s="98"/>
      <c r="C49" s="98"/>
    </row>
    <row r="50" spans="1:3" x14ac:dyDescent="0.25">
      <c r="A50" s="98"/>
      <c r="B50" s="98"/>
      <c r="C50" s="98"/>
    </row>
    <row r="51" spans="1:3" x14ac:dyDescent="0.25">
      <c r="A51" s="98"/>
      <c r="B51" s="98"/>
      <c r="C51" s="98"/>
    </row>
  </sheetData>
  <sheetProtection algorithmName="SHA-512" hashValue="xkZeXF86N3GrixxfxOHd2twnDrJPED7nfHyusLWqWDap45KOB04veIXDpcsEnV0U3fwISCBQwwVHhPqqqNt3Pw==" saltValue="HjoWhgjRvQhU4GqmVoQbVA==" spinCount="100000" sheet="1" objects="1" scenarios="1"/>
  <mergeCells count="1">
    <mergeCell ref="A4:E4"/>
  </mergeCells>
  <conditionalFormatting sqref="A2 D6:E46">
    <cfRule type="expression" dxfId="416" priority="6">
      <formula>$E2="Exclude"</formula>
    </cfRule>
  </conditionalFormatting>
  <conditionalFormatting sqref="A2">
    <cfRule type="expression" dxfId="415" priority="4">
      <formula>$E2="Error"</formula>
    </cfRule>
  </conditionalFormatting>
  <conditionalFormatting sqref="D6:E46">
    <cfRule type="expression" dxfId="413" priority="1">
      <formula>$E6="Information"</formula>
    </cfRule>
    <cfRule type="expression" dxfId="412" priority="2">
      <formula>$E6="Error"</formula>
    </cfRule>
    <cfRule type="expression" dxfId="411" priority="3">
      <formula>$E6="Alert"</formula>
    </cfRule>
  </conditionalFormatting>
  <dataValidations count="2">
    <dataValidation type="list" allowBlank="1" showInputMessage="1" showErrorMessage="1" sqref="B8:C8" xr:uid="{CD7D0492-06CB-4526-84EF-7D163C6C7B61}">
      <formula1>BondType</formula1>
    </dataValidation>
    <dataValidation type="list" allowBlank="1" showInputMessage="1" showErrorMessage="1" sqref="B9:C11 B20:C20" xr:uid="{1184C968-CE33-4150-A36A-8EB001F7562F}">
      <formula1>SelOneYesNo</formula1>
    </dataValidation>
  </dataValidations>
  <pageMargins left="0.7" right="0.7" top="0.75" bottom="0.75" header="0.3" footer="0.3"/>
  <pageSetup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5" id="{0AB6361E-C4BC-4C03-90AD-3D8F061A1E7E}">
            <xm:f>COUNTIFS(Validation!$H:$H,MID(CELL("filename",A2),FIND("]",CELL("filename",A2))+1,255)&amp;CELL("address",A2))&gt;0</xm:f>
            <x14:dxf>
              <font>
                <b/>
                <i val="0"/>
                <color rgb="FFC00000"/>
              </font>
              <numFmt numFmtId="172" formatCode="_(\!* #,##0_);_(\!* \(#,##0\);_(\!* \-??_);_(\!\ @_)"/>
            </x14:dxf>
          </x14:cfRule>
          <xm:sqref>A2</xm:sqref>
        </x14:conditionalFormatting>
      </x14:conditionalFormatting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BB979-61E1-42C2-8EB3-CA3E5C2C3E4F}">
  <sheetPr>
    <tabColor rgb="FFEED382"/>
  </sheetPr>
  <dimension ref="A1:F51"/>
  <sheetViews>
    <sheetView showGridLines="0" workbookViewId="0">
      <selection activeCell="B7" sqref="B7"/>
    </sheetView>
  </sheetViews>
  <sheetFormatPr defaultRowHeight="15" x14ac:dyDescent="0.25"/>
  <cols>
    <col min="1" max="1" width="55.7109375" style="66" customWidth="1"/>
    <col min="2" max="3" width="20.7109375" style="66" customWidth="1"/>
    <col min="4" max="4" width="80.85546875" style="66" customWidth="1"/>
    <col min="5" max="5" width="14.7109375" style="66" customWidth="1"/>
    <col min="6" max="6" width="0" style="78" hidden="1" customWidth="1"/>
    <col min="7" max="16384" width="9.140625" style="66"/>
  </cols>
  <sheetData>
    <row r="1" spans="1:6" s="59" customFormat="1" ht="24.95" customHeight="1" x14ac:dyDescent="0.25">
      <c r="A1" s="59" t="str">
        <f>_xlfn.CONCAT("Office of the State Auditor  -  TIF Annual Reporting Form  -  ",Year_DestinationYearID)</f>
        <v>Office of the State Auditor  -  TIF Annual Reporting Form  -  2024</v>
      </c>
      <c r="F1" s="61"/>
    </row>
    <row r="2" spans="1:6" s="62" customFormat="1" ht="20.100000000000001" customHeight="1" x14ac:dyDescent="0.25">
      <c r="A2" s="58" t="str">
        <f>_xlfn.CONCAT(GovEntity_GovEntityName_Parent,"  -  ",GovEntity_GovEntityName)</f>
        <v>Spruce City  -  TIF 1-1 Downtown Redev</v>
      </c>
      <c r="F2" s="64"/>
    </row>
    <row r="3" spans="1:6" s="68" customFormat="1" ht="24.95" customHeight="1" x14ac:dyDescent="0.3">
      <c r="A3" s="65" t="s">
        <v>206</v>
      </c>
      <c r="B3" s="66"/>
      <c r="C3" s="66"/>
      <c r="F3" s="69"/>
    </row>
    <row r="4" spans="1:6" s="71" customFormat="1" x14ac:dyDescent="0.25">
      <c r="A4" s="217" t="s">
        <v>207</v>
      </c>
      <c r="B4" s="217"/>
      <c r="C4" s="217"/>
      <c r="D4" s="217"/>
      <c r="E4" s="217"/>
      <c r="F4" s="72" t="s">
        <v>119</v>
      </c>
    </row>
    <row r="5" spans="1:6" s="74" customFormat="1" ht="20.100000000000001" customHeight="1" x14ac:dyDescent="0.25">
      <c r="A5" s="73" t="str">
        <f>HYPERLINK("#'Bonds'!B6","Click here to return to the Bonds Tab")</f>
        <v>Click here to return to the Bonds Tab</v>
      </c>
      <c r="D5" s="74" t="s">
        <v>121</v>
      </c>
      <c r="E5" s="74" t="s">
        <v>102</v>
      </c>
      <c r="F5" s="76"/>
    </row>
    <row r="6" spans="1:6" ht="20.100000000000001" customHeight="1" x14ac:dyDescent="0.25">
      <c r="A6" s="74" t="s">
        <v>208</v>
      </c>
      <c r="D6" s="77" t="str">
        <f ca="1">IFERROR(INDEX(Validation!G:G,MATCH("Bond 10"&amp;CELL("address",D6),Validation!I:I,0)),"")</f>
        <v/>
      </c>
      <c r="E6" s="66" t="str">
        <f ca="1">IFERROR(INDEX(Validation!F:F,MATCH("Bond 10"&amp;CELL("address",D6),Validation!I:I,0)),"")</f>
        <v/>
      </c>
      <c r="F6" s="78" t="s">
        <v>1008</v>
      </c>
    </row>
    <row r="7" spans="1:6" x14ac:dyDescent="0.25">
      <c r="A7" s="79" t="s">
        <v>210</v>
      </c>
      <c r="B7" s="103" t="str">
        <f>IF(NOT(ISBLANK('Bond Input'!L5)),'Bond Input'!L5,"")</f>
        <v/>
      </c>
      <c r="D7" s="77" t="str">
        <f ca="1">IFERROR(INDEX(Validation!G:G,MATCH("Bond 10"&amp;CELL("address",D7),Validation!I:I,0)),"")</f>
        <v/>
      </c>
      <c r="E7" s="66" t="str">
        <f ca="1">IFERROR(INDEX(Validation!F:F,MATCH("Bond 10"&amp;CELL("address",D7),Validation!I:I,0)),"")</f>
        <v/>
      </c>
      <c r="F7" s="85" t="str">
        <f>IF(NOT(ISBLANK('Bond Input'!L4)),'Bond Input'!L4,"")</f>
        <v/>
      </c>
    </row>
    <row r="8" spans="1:6" x14ac:dyDescent="0.25">
      <c r="A8" s="79" t="s">
        <v>209</v>
      </c>
      <c r="B8" s="103" t="str">
        <f>IF(NOT(ISBLANK('Bond Input'!L6)),'Bond Input'!L6,"Select One")</f>
        <v>Select One</v>
      </c>
      <c r="D8" s="77" t="str">
        <f ca="1">IFERROR(INDEX(Validation!G:G,MATCH("Bond 10"&amp;CELL("address",D8),Validation!I:I,0)),"")</f>
        <v/>
      </c>
      <c r="E8" s="66" t="str">
        <f ca="1">IFERROR(INDEX(Validation!F:F,MATCH("Bond 10"&amp;CELL("address",D8),Validation!I:I,0)),"")</f>
        <v/>
      </c>
    </row>
    <row r="9" spans="1:6" x14ac:dyDescent="0.25">
      <c r="A9" s="79" t="s">
        <v>227</v>
      </c>
      <c r="B9" s="103" t="str">
        <f>IF(NOT(ISBLANK('Bond Input'!L7)),'Bond Input'!L7,"Select One")</f>
        <v>Select One</v>
      </c>
      <c r="D9" s="77" t="str">
        <f ca="1">IFERROR(INDEX(Validation!G:G,MATCH("Bond 10"&amp;CELL("address",D9),Validation!I:I,0)),"")</f>
        <v/>
      </c>
      <c r="E9" s="66" t="str">
        <f ca="1">IFERROR(INDEX(Validation!F:F,MATCH("Bond 10"&amp;CELL("address",D9),Validation!I:I,0)),"")</f>
        <v/>
      </c>
    </row>
    <row r="10" spans="1:6" x14ac:dyDescent="0.25">
      <c r="A10" s="79" t="s">
        <v>228</v>
      </c>
      <c r="B10" s="103" t="str">
        <f>IF(NOT(ISBLANK('Bond Input'!L8)),'Bond Input'!L8,"Select One")</f>
        <v>Select One</v>
      </c>
      <c r="D10" s="77" t="str">
        <f ca="1">IFERROR(INDEX(Validation!G:G,MATCH("Bond 10"&amp;CELL("address",D10),Validation!I:I,0)),"")</f>
        <v/>
      </c>
      <c r="E10" s="66" t="str">
        <f ca="1">IFERROR(INDEX(Validation!F:F,MATCH("Bond 10"&amp;CELL("address",D10),Validation!I:I,0)),"")</f>
        <v/>
      </c>
    </row>
    <row r="11" spans="1:6" x14ac:dyDescent="0.25">
      <c r="A11" s="79" t="s">
        <v>229</v>
      </c>
      <c r="B11" s="103" t="str">
        <f>IF(NOT(ISBLANK('Bond Input'!L9)),'Bond Input'!L9,"Select One")</f>
        <v>Select One</v>
      </c>
      <c r="D11" s="77" t="str">
        <f ca="1">IFERROR(INDEX(Validation!G:G,MATCH("Bond 10"&amp;CELL("address",D11),Validation!I:I,0)),"")</f>
        <v/>
      </c>
      <c r="E11" s="66" t="str">
        <f ca="1">IFERROR(INDEX(Validation!F:F,MATCH("Bond 10"&amp;CELL("address",D11),Validation!I:I,0)),"")</f>
        <v/>
      </c>
    </row>
    <row r="12" spans="1:6" x14ac:dyDescent="0.25">
      <c r="A12" s="79" t="s">
        <v>211</v>
      </c>
      <c r="B12" s="120" t="str">
        <f>IF(NOT(ISBLANK('Bond Input'!L10)),'Bond Input'!L10,"")</f>
        <v/>
      </c>
      <c r="C12" s="129"/>
      <c r="D12" s="77" t="str">
        <f ca="1">IFERROR(INDEX(Validation!G:G,MATCH("Bond 10"&amp;CELL("address",D12),Validation!I:I,0)),"")</f>
        <v/>
      </c>
      <c r="E12" s="66" t="str">
        <f ca="1">IFERROR(INDEX(Validation!F:F,MATCH("Bond 10"&amp;CELL("address",D12),Validation!I:I,0)),"")</f>
        <v/>
      </c>
    </row>
    <row r="13" spans="1:6" x14ac:dyDescent="0.25">
      <c r="A13" s="79" t="s">
        <v>212</v>
      </c>
      <c r="B13" s="120" t="str">
        <f>IF(NOT(ISBLANK('Bond Input'!L11)),'Bond Input'!L11,"")</f>
        <v/>
      </c>
      <c r="C13" s="129"/>
      <c r="D13" s="77" t="str">
        <f ca="1">IFERROR(INDEX(Validation!G:G,MATCH("Bond 10"&amp;CELL("address",D13),Validation!I:I,0)),"")</f>
        <v/>
      </c>
      <c r="E13" s="66" t="str">
        <f ca="1">IFERROR(INDEX(Validation!F:F,MATCH("Bond 10"&amp;CELL("address",D13),Validation!I:I,0)),"")</f>
        <v/>
      </c>
    </row>
    <row r="14" spans="1:6" x14ac:dyDescent="0.25">
      <c r="A14" s="79" t="s">
        <v>213</v>
      </c>
      <c r="B14" s="121" t="str">
        <f>IF(NOT(ISBLANK('Bond Input'!L12)),'Bond Input'!L12,"")</f>
        <v/>
      </c>
      <c r="C14" s="132"/>
      <c r="D14" s="77" t="str">
        <f ca="1">IFERROR(INDEX(Validation!G:G,MATCH("Bond 10"&amp;CELL("address",D14),Validation!I:I,0)),"")</f>
        <v/>
      </c>
      <c r="E14" s="66" t="str">
        <f ca="1">IFERROR(INDEX(Validation!F:F,MATCH("Bond 10"&amp;CELL("address",D14),Validation!I:I,0)),"")</f>
        <v/>
      </c>
    </row>
    <row r="15" spans="1:6" x14ac:dyDescent="0.25">
      <c r="A15" s="79" t="s">
        <v>214</v>
      </c>
      <c r="B15" s="121" t="str">
        <f>IF(NOT(ISBLANK('Bond Input'!L13)),'Bond Input'!L13,"")</f>
        <v/>
      </c>
      <c r="C15" s="132"/>
      <c r="D15" s="77" t="str">
        <f ca="1">IFERROR(INDEX(Validation!G:G,MATCH("Bond 10"&amp;CELL("address",D15),Validation!I:I,0)),"")</f>
        <v/>
      </c>
      <c r="E15" s="66" t="str">
        <f ca="1">IFERROR(INDEX(Validation!F:F,MATCH("Bond 10"&amp;CELL("address",D15),Validation!I:I,0)),"")</f>
        <v/>
      </c>
    </row>
    <row r="16" spans="1:6" x14ac:dyDescent="0.25">
      <c r="A16" s="79" t="s">
        <v>535</v>
      </c>
      <c r="B16" s="122" t="str">
        <f>IF(NOT(ISBLANK('Bond Input'!L14)),'Bond Input'!L14,"")</f>
        <v/>
      </c>
      <c r="C16" s="128"/>
      <c r="D16" s="77" t="str">
        <f ca="1">IFERROR(INDEX(Validation!G:G,MATCH("Bond 10"&amp;CELL("address",D16),Validation!I:I,0)),"")</f>
        <v/>
      </c>
      <c r="E16" s="66" t="str">
        <f ca="1">IFERROR(INDEX(Validation!F:F,MATCH("Bond 10"&amp;CELL("address",D16),Validation!I:I,0)),"")</f>
        <v/>
      </c>
    </row>
    <row r="17" spans="1:5" x14ac:dyDescent="0.25">
      <c r="A17" s="79" t="s">
        <v>230</v>
      </c>
      <c r="B17" s="122" t="str">
        <f>IF(NOT(ISBLANK('Bond Input'!L15)),'Bond Input'!L15,"")</f>
        <v/>
      </c>
      <c r="C17" s="128"/>
      <c r="D17" s="77" t="str">
        <f ca="1">IFERROR(INDEX(Validation!G:G,MATCH("Bond 10"&amp;CELL("address",D17),Validation!I:I,0)),"")</f>
        <v/>
      </c>
      <c r="E17" s="66" t="str">
        <f ca="1">IFERROR(INDEX(Validation!F:F,MATCH("Bond 10"&amp;CELL("address",D17),Validation!I:I,0)),"")</f>
        <v/>
      </c>
    </row>
    <row r="18" spans="1:5" x14ac:dyDescent="0.25">
      <c r="A18" s="79" t="s">
        <v>231</v>
      </c>
      <c r="B18" s="122" t="str">
        <f>IF(NOT(ISBLANK('Bond Input'!L16)),'Bond Input'!L16,"")</f>
        <v/>
      </c>
      <c r="C18" s="128"/>
      <c r="D18" s="77" t="str">
        <f ca="1">IFERROR(INDEX(Validation!G:G,MATCH("Bond 10"&amp;CELL("address",D18),Validation!I:I,0)),"")</f>
        <v/>
      </c>
      <c r="E18" s="66" t="str">
        <f ca="1">IFERROR(INDEX(Validation!F:F,MATCH("Bond 10"&amp;CELL("address",D18),Validation!I:I,0)),"")</f>
        <v/>
      </c>
    </row>
    <row r="19" spans="1:5" x14ac:dyDescent="0.25">
      <c r="A19" s="79" t="s">
        <v>216</v>
      </c>
      <c r="B19" s="122" t="str">
        <f>IF(NOT(ISBLANK('Bond Input'!L17)),'Bond Input'!L17,"")</f>
        <v/>
      </c>
      <c r="C19" s="128"/>
      <c r="D19" s="77" t="str">
        <f ca="1">IFERROR(INDEX(Validation!G:G,MATCH("Bond 10"&amp;CELL("address",D19),Validation!I:I,0)),"")</f>
        <v/>
      </c>
      <c r="E19" s="66" t="str">
        <f ca="1">IFERROR(INDEX(Validation!F:F,MATCH("Bond 10"&amp;CELL("address",D19),Validation!I:I,0)),"")</f>
        <v/>
      </c>
    </row>
    <row r="20" spans="1:5" x14ac:dyDescent="0.25">
      <c r="A20" s="79" t="s">
        <v>232</v>
      </c>
      <c r="B20" s="103" t="str">
        <f>IF(ISBLANK('Bond Input'!L18),"Select One",IF('Bond Input'!L18=TRUE,"Yes","No"))</f>
        <v>Select One</v>
      </c>
      <c r="D20" s="77" t="str">
        <f ca="1">IFERROR(INDEX(Validation!G:G,MATCH("Bond 10"&amp;CELL("address",D20),Validation!I:I,0)),"")</f>
        <v/>
      </c>
      <c r="E20" s="66" t="str">
        <f ca="1">IFERROR(INDEX(Validation!F:F,MATCH("Bond 10"&amp;CELL("address",D20),Validation!I:I,0)),"")</f>
        <v/>
      </c>
    </row>
    <row r="21" spans="1:5" ht="20.100000000000001" customHeight="1" x14ac:dyDescent="0.25">
      <c r="A21" s="74" t="s">
        <v>1183</v>
      </c>
      <c r="B21" s="74" t="s">
        <v>283</v>
      </c>
      <c r="C21" s="74" t="str">
        <f>Year_DestinationYearID&amp;" Amount"</f>
        <v>2024 Amount</v>
      </c>
      <c r="D21" s="77" t="str">
        <f ca="1">IFERROR(INDEX(Validation!G:G,MATCH("Bond 10"&amp;CELL("address",D21),Validation!I:I,0)),"")</f>
        <v/>
      </c>
      <c r="E21" s="66" t="str">
        <f ca="1">IFERROR(INDEX(Validation!F:F,MATCH("Bond 10"&amp;CELL("address",D21),Validation!I:I,0)),"")</f>
        <v/>
      </c>
    </row>
    <row r="22" spans="1:5" x14ac:dyDescent="0.25">
      <c r="A22" s="79" t="s">
        <v>266</v>
      </c>
      <c r="B22" s="122" t="str">
        <f>IF(NOT(ISBLANK('Bond Input'!L19)),'Bond Input'!L19,"")</f>
        <v/>
      </c>
      <c r="C22" s="122"/>
      <c r="D22" s="77" t="str">
        <f ca="1">IFERROR(INDEX(Validation!G:G,MATCH("Bond 10"&amp;CELL("address",D22),Validation!I:I,0)),"")</f>
        <v/>
      </c>
      <c r="E22" s="66" t="str">
        <f ca="1">IFERROR(INDEX(Validation!F:F,MATCH("Bond 10"&amp;CELL("address",D22),Validation!I:I,0)),"")</f>
        <v/>
      </c>
    </row>
    <row r="23" spans="1:5" x14ac:dyDescent="0.25">
      <c r="A23" s="79" t="s">
        <v>267</v>
      </c>
      <c r="B23" s="122" t="str">
        <f>IF(NOT(ISBLANK('Bond Input'!L21)),'Bond Input'!L21,"")</f>
        <v/>
      </c>
      <c r="C23" s="122"/>
      <c r="D23" s="77" t="str">
        <f ca="1">IFERROR(INDEX(Validation!G:G,MATCH("Bond 10"&amp;CELL("address",D23),Validation!I:I,0)),"")</f>
        <v/>
      </c>
      <c r="E23" s="66" t="str">
        <f ca="1">IFERROR(INDEX(Validation!F:F,MATCH("Bond 10"&amp;CELL("address",D23),Validation!I:I,0)),"")</f>
        <v/>
      </c>
    </row>
    <row r="24" spans="1:5" x14ac:dyDescent="0.25">
      <c r="A24" s="79" t="s">
        <v>268</v>
      </c>
      <c r="B24" s="122" t="str">
        <f>IF(NOT(ISBLANK('Bond Input'!L23)),'Bond Input'!L23,"")</f>
        <v/>
      </c>
      <c r="C24" s="122"/>
      <c r="D24" s="77" t="str">
        <f ca="1">IFERROR(INDEX(Validation!G:G,MATCH("Bond 10"&amp;CELL("address",D24),Validation!I:I,0)),"")</f>
        <v/>
      </c>
      <c r="E24" s="66" t="str">
        <f ca="1">IFERROR(INDEX(Validation!F:F,MATCH("Bond 10"&amp;CELL("address",D24),Validation!I:I,0)),"")</f>
        <v/>
      </c>
    </row>
    <row r="25" spans="1:5" x14ac:dyDescent="0.25">
      <c r="A25" s="79" t="s">
        <v>269</v>
      </c>
      <c r="B25" s="122" t="str">
        <f>IF(NOT(ISBLANK('Bond Input'!L25)),'Bond Input'!L25,"")</f>
        <v/>
      </c>
      <c r="C25" s="122"/>
      <c r="D25" s="77" t="str">
        <f ca="1">IFERROR(INDEX(Validation!G:G,MATCH("Bond 10"&amp;CELL("address",D25),Validation!I:I,0)),"")</f>
        <v/>
      </c>
      <c r="E25" s="66" t="str">
        <f ca="1">IFERROR(INDEX(Validation!F:F,MATCH("Bond 10"&amp;CELL("address",D25),Validation!I:I,0)),"")</f>
        <v/>
      </c>
    </row>
    <row r="26" spans="1:5" x14ac:dyDescent="0.25">
      <c r="A26" s="79" t="s">
        <v>1101</v>
      </c>
      <c r="B26" s="122" t="str">
        <f>IF(NOT(ISBLANK('Bond Input'!L27)),'Bond Input'!L27,"")</f>
        <v/>
      </c>
      <c r="C26" s="122"/>
      <c r="D26" s="77" t="str">
        <f ca="1">IFERROR(INDEX(Validation!G:G,MATCH("Bond 10"&amp;CELL("address",D26),Validation!I:I,0)),"")</f>
        <v/>
      </c>
      <c r="E26" s="66" t="str">
        <f ca="1">IFERROR(INDEX(Validation!F:F,MATCH("Bond 10"&amp;CELL("address",D26),Validation!I:I,0)),"")</f>
        <v/>
      </c>
    </row>
    <row r="27" spans="1:5" x14ac:dyDescent="0.25">
      <c r="A27" s="79" t="s">
        <v>270</v>
      </c>
      <c r="B27" s="122" t="str">
        <f>IF(NOT(ISBLANK('Bond Input'!L29)),'Bond Input'!L29,"")</f>
        <v/>
      </c>
      <c r="C27" s="122"/>
      <c r="D27" s="77" t="str">
        <f ca="1">IFERROR(INDEX(Validation!G:G,MATCH("Bond 10"&amp;CELL("address",D27),Validation!I:I,0)),"")</f>
        <v/>
      </c>
      <c r="E27" s="66" t="str">
        <f ca="1">IFERROR(INDEX(Validation!F:F,MATCH("Bond 10"&amp;CELL("address",D27),Validation!I:I,0)),"")</f>
        <v/>
      </c>
    </row>
    <row r="28" spans="1:5" x14ac:dyDescent="0.25">
      <c r="A28" s="79" t="s">
        <v>271</v>
      </c>
      <c r="B28" s="122" t="str">
        <f>IF(NOT(ISBLANK('Bond Input'!L31)),'Bond Input'!L31,"")</f>
        <v/>
      </c>
      <c r="C28" s="122"/>
      <c r="D28" s="77" t="str">
        <f ca="1">IFERROR(INDEX(Validation!G:G,MATCH("Bond 10"&amp;CELL("address",D28),Validation!I:I,0)),"")</f>
        <v/>
      </c>
      <c r="E28" s="66" t="str">
        <f ca="1">IFERROR(INDEX(Validation!F:F,MATCH("Bond 10"&amp;CELL("address",D28),Validation!I:I,0)),"")</f>
        <v/>
      </c>
    </row>
    <row r="29" spans="1:5" x14ac:dyDescent="0.25">
      <c r="A29" s="79" t="s">
        <v>272</v>
      </c>
      <c r="B29" s="122" t="str">
        <f>IF(NOT(ISBLANK('Bond Input'!L33)),'Bond Input'!L33,"")</f>
        <v/>
      </c>
      <c r="C29" s="122"/>
      <c r="D29" s="77" t="str">
        <f ca="1">IFERROR(INDEX(Validation!G:G,MATCH("Bond 10"&amp;CELL("address",D29),Validation!I:I,0)),"")</f>
        <v/>
      </c>
      <c r="E29" s="66" t="str">
        <f ca="1">IFERROR(INDEX(Validation!F:F,MATCH("Bond 10"&amp;CELL("address",D29),Validation!I:I,0)),"")</f>
        <v/>
      </c>
    </row>
    <row r="30" spans="1:5" x14ac:dyDescent="0.25">
      <c r="A30" s="79" t="s">
        <v>273</v>
      </c>
      <c r="B30" s="122" t="str">
        <f>IF(NOT(ISBLANK('Bond Input'!L35)),'Bond Input'!L35,"")</f>
        <v/>
      </c>
      <c r="C30" s="122"/>
      <c r="D30" s="77" t="str">
        <f ca="1">IFERROR(INDEX(Validation!G:G,MATCH("Bond 10"&amp;CELL("address",D30),Validation!I:I,0)),"")</f>
        <v/>
      </c>
      <c r="E30" s="66" t="str">
        <f ca="1">IFERROR(INDEX(Validation!F:F,MATCH("Bond 10"&amp;CELL("address",D30),Validation!I:I,0)),"")</f>
        <v/>
      </c>
    </row>
    <row r="31" spans="1:5" x14ac:dyDescent="0.25">
      <c r="A31" s="130" t="s">
        <v>1184</v>
      </c>
      <c r="B31" s="125">
        <f>SUM(B22:B30)</f>
        <v>0</v>
      </c>
      <c r="C31" s="125">
        <f>SUM(C22:C30)</f>
        <v>0</v>
      </c>
      <c r="D31" s="77" t="str">
        <f ca="1">IFERROR(INDEX(Validation!G:G,MATCH("Bond 10"&amp;CELL("address",D31),Validation!I:I,0)),"")</f>
        <v/>
      </c>
      <c r="E31" s="66" t="str">
        <f ca="1">IFERROR(INDEX(Validation!F:F,MATCH("Bond 10"&amp;CELL("address",D31),Validation!I:I,0)),"")</f>
        <v/>
      </c>
    </row>
    <row r="32" spans="1:5" x14ac:dyDescent="0.25">
      <c r="A32" s="130" t="s">
        <v>1185</v>
      </c>
      <c r="B32" s="125">
        <f>IF(B16="",0,B16-B31)</f>
        <v>0</v>
      </c>
      <c r="C32" s="125">
        <f>IF(B16="",0,B16-B31-C31)</f>
        <v>0</v>
      </c>
      <c r="D32" s="77" t="str">
        <f ca="1">IFERROR(INDEX(Validation!G:G,MATCH("Bond 10"&amp;CELL("address",D32),Validation!I:I,0)),"")</f>
        <v/>
      </c>
      <c r="E32" s="66" t="str">
        <f ca="1">IFERROR(INDEX(Validation!F:F,MATCH("Bond 10"&amp;CELL("address",D32),Validation!I:I,0)),"")</f>
        <v/>
      </c>
    </row>
    <row r="33" spans="1:5" x14ac:dyDescent="0.25">
      <c r="A33" s="131" t="s">
        <v>1186</v>
      </c>
      <c r="B33" s="122" t="str">
        <f>IF(NOT(ISBLANK('Bond Input'!L41)),'Bond Input'!L41,"")</f>
        <v/>
      </c>
      <c r="C33" s="122"/>
      <c r="D33" s="77" t="str">
        <f ca="1">IFERROR(INDEX(Validation!G:G,MATCH("Bond 10"&amp;CELL("address",D33),Validation!I:I,0)),"")</f>
        <v/>
      </c>
      <c r="E33" s="66" t="str">
        <f ca="1">IFERROR(INDEX(Validation!F:F,MATCH("Bond 10"&amp;CELL("address",D33),Validation!I:I,0)),"")</f>
        <v/>
      </c>
    </row>
    <row r="34" spans="1:5" x14ac:dyDescent="0.25">
      <c r="A34" s="131" t="s">
        <v>1187</v>
      </c>
      <c r="B34" s="122" t="str">
        <f>IF(NOT(ISBLANK('Bond Input'!L43)),'Bond Input'!L43,"")</f>
        <v/>
      </c>
      <c r="C34" s="122"/>
      <c r="D34" s="77" t="str">
        <f ca="1">IFERROR(INDEX(Validation!G:G,MATCH("Bond 10"&amp;CELL("address",D34),Validation!I:I,0)),"")</f>
        <v/>
      </c>
      <c r="E34" s="66" t="str">
        <f ca="1">IFERROR(INDEX(Validation!F:F,MATCH("Bond 10"&amp;CELL("address",D34),Validation!I:I,0)),"")</f>
        <v/>
      </c>
    </row>
    <row r="35" spans="1:5" ht="20.100000000000001" customHeight="1" x14ac:dyDescent="0.25">
      <c r="A35" s="74" t="s">
        <v>684</v>
      </c>
      <c r="B35" s="74" t="s">
        <v>283</v>
      </c>
      <c r="C35" s="74" t="str">
        <f>Year_DestinationYearID&amp;" Amount"</f>
        <v>2024 Amount</v>
      </c>
      <c r="D35" s="77" t="str">
        <f ca="1">IFERROR(INDEX(Validation!G:G,MATCH("Bond 10"&amp;CELL("address",D35),Validation!I:I,0)),"")</f>
        <v/>
      </c>
      <c r="E35" s="66" t="str">
        <f ca="1">IFERROR(INDEX(Validation!F:F,MATCH("Bond 10"&amp;CELL("address",D35),Validation!I:I,0)),"")</f>
        <v/>
      </c>
    </row>
    <row r="36" spans="1:5" x14ac:dyDescent="0.25">
      <c r="A36" s="79" t="s">
        <v>1188</v>
      </c>
      <c r="B36" s="122" t="str">
        <f>IF(NOT(ISBLANK('Bond Input'!L45)),'Bond Input'!L45,"")</f>
        <v/>
      </c>
      <c r="C36" s="122"/>
      <c r="D36" s="77" t="str">
        <f ca="1">IFERROR(INDEX(Validation!G:G,MATCH("Bond 10"&amp;CELL("address",D36),Validation!I:I,0)),"")</f>
        <v/>
      </c>
      <c r="E36" s="66" t="str">
        <f ca="1">IFERROR(INDEX(Validation!F:F,MATCH("Bond 10"&amp;CELL("address",D36),Validation!I:I,0)),"")</f>
        <v/>
      </c>
    </row>
    <row r="37" spans="1:5" x14ac:dyDescent="0.25">
      <c r="A37" s="79" t="s">
        <v>1189</v>
      </c>
      <c r="B37" s="122" t="str">
        <f>IF(NOT(ISBLANK('Bond Input'!L47)),'Bond Input'!L47,"")</f>
        <v/>
      </c>
      <c r="C37" s="122"/>
      <c r="D37" s="77" t="str">
        <f ca="1">IFERROR(INDEX(Validation!G:G,MATCH("Bond 10"&amp;CELL("address",D37),Validation!I:I,0)),"")</f>
        <v/>
      </c>
      <c r="E37" s="66" t="str">
        <f ca="1">IFERROR(INDEX(Validation!F:F,MATCH("Bond 10"&amp;CELL("address",D37),Validation!I:I,0)),"")</f>
        <v/>
      </c>
    </row>
    <row r="38" spans="1:5" x14ac:dyDescent="0.25">
      <c r="A38" s="79" t="s">
        <v>1190</v>
      </c>
      <c r="B38" s="122" t="str">
        <f>IF(NOT(ISBLANK('Bond Input'!L49)),'Bond Input'!L49,"")</f>
        <v/>
      </c>
      <c r="C38" s="122"/>
      <c r="D38" s="77" t="str">
        <f ca="1">IFERROR(INDEX(Validation!G:G,MATCH("Bond 10"&amp;CELL("address",D38),Validation!I:I,0)),"")</f>
        <v/>
      </c>
      <c r="E38" s="66" t="str">
        <f ca="1">IFERROR(INDEX(Validation!F:F,MATCH("Bond 10"&amp;CELL("address",D38),Validation!I:I,0)),"")</f>
        <v/>
      </c>
    </row>
    <row r="39" spans="1:5" x14ac:dyDescent="0.25">
      <c r="A39" s="79" t="s">
        <v>221</v>
      </c>
      <c r="B39" s="125" t="str">
        <f>IFERROR(IF(B11="Yes","See Pooled Debt",IF(B8="Non-TIF Bond","NA/Non-TIF Bond",B16-B19-B36-B37+B38)),"")</f>
        <v/>
      </c>
      <c r="C39" s="125" t="str">
        <f>IFERROR(IF(B11="Yes","See Pooled Debt",IF(B8="Non-TIF Bond","NA/Non-TIF Bond",B16-B19-B36-B37-C36-C37+B38+C38)),"")</f>
        <v/>
      </c>
      <c r="D39" s="77" t="str">
        <f ca="1">IFERROR(INDEX(Validation!G:G,MATCH("Bond 10"&amp;CELL("address",D39),Validation!I:I,0)),"")</f>
        <v/>
      </c>
      <c r="E39" s="66" t="str">
        <f ca="1">IFERROR(INDEX(Validation!F:F,MATCH("Bond 10"&amp;CELL("address",D39),Validation!I:I,0)),"")</f>
        <v/>
      </c>
    </row>
    <row r="40" spans="1:5" x14ac:dyDescent="0.25">
      <c r="A40" s="79" t="s">
        <v>223</v>
      </c>
      <c r="B40" s="122" t="str">
        <f>IF(NOT(ISBLANK('Bond Input'!L53)),'Bond Input'!L53,"")</f>
        <v/>
      </c>
      <c r="C40" s="122"/>
      <c r="D40" s="77" t="str">
        <f ca="1">IFERROR(INDEX(Validation!G:G,MATCH("Bond 10"&amp;CELL("address",D40),Validation!I:I,0)),"")</f>
        <v/>
      </c>
      <c r="E40" s="66" t="str">
        <f ca="1">IFERROR(INDEX(Validation!F:F,MATCH("Bond 10"&amp;CELL("address",D40),Validation!I:I,0)),"")</f>
        <v/>
      </c>
    </row>
    <row r="41" spans="1:5" x14ac:dyDescent="0.25">
      <c r="A41" s="79" t="s">
        <v>1191</v>
      </c>
      <c r="B41" s="122" t="str">
        <f>IF(NOT(ISBLANK('Bond Input'!L55)),'Bond Input'!L55,"")</f>
        <v/>
      </c>
      <c r="C41" s="122"/>
      <c r="D41" s="77" t="str">
        <f ca="1">IFERROR(INDEX(Validation!G:G,MATCH("Bond 10"&amp;CELL("address",D41),Validation!I:I,0)),"")</f>
        <v/>
      </c>
      <c r="E41" s="66" t="str">
        <f ca="1">IFERROR(INDEX(Validation!F:F,MATCH("Bond 10"&amp;CELL("address",D41),Validation!I:I,0)),"")</f>
        <v/>
      </c>
    </row>
    <row r="42" spans="1:5" x14ac:dyDescent="0.25">
      <c r="A42" s="79" t="s">
        <v>1192</v>
      </c>
      <c r="B42" s="122" t="str">
        <f>IF(NOT(ISBLANK('Bond Input'!L57)),'Bond Input'!L57,"")</f>
        <v/>
      </c>
      <c r="C42" s="122"/>
      <c r="D42" s="77" t="str">
        <f ca="1">IFERROR(INDEX(Validation!G:G,MATCH("Bond 10"&amp;CELL("address",D42),Validation!I:I,0)),"")</f>
        <v/>
      </c>
      <c r="E42" s="66" t="str">
        <f ca="1">IFERROR(INDEX(Validation!F:F,MATCH("Bond 10"&amp;CELL("address",D42),Validation!I:I,0)),"")</f>
        <v/>
      </c>
    </row>
    <row r="43" spans="1:5" ht="20.100000000000001" customHeight="1" x14ac:dyDescent="0.25">
      <c r="A43" s="74" t="str">
        <f>"Principal and Interest Due in "&amp;Year_DestinationYearID+1</f>
        <v>Principal and Interest Due in 2025</v>
      </c>
      <c r="B43" s="128"/>
      <c r="C43" s="128"/>
      <c r="D43" s="77"/>
    </row>
    <row r="44" spans="1:5" x14ac:dyDescent="0.25">
      <c r="A44" s="79" t="str">
        <f>"Principal Due in "&amp;Year_DestinationYearID+1</f>
        <v>Principal Due in 2025</v>
      </c>
      <c r="B44" s="122"/>
      <c r="C44" s="128"/>
      <c r="D44" s="77" t="str">
        <f ca="1">IFERROR(INDEX(Validation!G:G,MATCH("Bond 10"&amp;CELL("address",D44),Validation!I:I,0)),"")</f>
        <v/>
      </c>
      <c r="E44" s="66" t="str">
        <f ca="1">IFERROR(INDEX(Validation!F:F,MATCH("Bond 10"&amp;CELL("address",D44),Validation!I:I,0)),"")</f>
        <v/>
      </c>
    </row>
    <row r="45" spans="1:5" x14ac:dyDescent="0.25">
      <c r="A45" s="79" t="str">
        <f>"Interest Due in "&amp;Year_DestinationYearID+1</f>
        <v>Interest Due in 2025</v>
      </c>
      <c r="B45" s="122"/>
      <c r="C45" s="128"/>
      <c r="D45" s="77" t="str">
        <f ca="1">IFERROR(INDEX(Validation!G:G,MATCH("Bond 10"&amp;CELL("address",D45),Validation!I:I,0)),"")</f>
        <v/>
      </c>
      <c r="E45" s="66" t="str">
        <f ca="1">IFERROR(INDEX(Validation!F:F,MATCH("Bond 10"&amp;CELL("address",D45),Validation!I:I,0)),"")</f>
        <v/>
      </c>
    </row>
    <row r="46" spans="1:5" ht="20.100000000000001" customHeight="1" x14ac:dyDescent="0.25">
      <c r="A46" s="97" t="s">
        <v>176</v>
      </c>
      <c r="D46" s="77" t="str">
        <f ca="1">IF(AND(ISBLANK(A47),OR(COUNTIF(E6:E45,"Alert")&gt;0,SUM(B38:B38)&lt;&gt;0)),"Comment(s) required for remaining alert(s) and/or additions/reductions to principal.",IFERROR(INDEX(Validation!G:G,MATCH("Bond 10"&amp;CELL("address",D47),Validation!I:I,0)),""))</f>
        <v/>
      </c>
      <c r="E46" s="66" t="str">
        <f ca="1">IF(AND(ISBLANK(A47),OR(COUNTIF(E6:E45,"Alert")&gt;0,SUM(B38:B38)&lt;&gt;0)),"Error",IFERROR(INDEX(Validation!F:F,MATCH("Bond 10"&amp;CELL("address",D47),Validation!I:I,0)),""))</f>
        <v/>
      </c>
    </row>
    <row r="47" spans="1:5" ht="150" customHeight="1" x14ac:dyDescent="0.25">
      <c r="A47" s="123"/>
      <c r="B47" s="100" t="str">
        <f>HYPERLINK("#'Bonds'!B6","Click here to return to the Bonds Tab")</f>
        <v>Click here to return to the Bonds Tab</v>
      </c>
      <c r="C47" s="127"/>
    </row>
    <row r="48" spans="1:5" x14ac:dyDescent="0.25">
      <c r="A48" s="98"/>
      <c r="B48" s="98"/>
      <c r="C48" s="98"/>
    </row>
    <row r="49" spans="1:3" x14ac:dyDescent="0.25">
      <c r="A49" s="98"/>
      <c r="B49" s="98"/>
      <c r="C49" s="98"/>
    </row>
    <row r="50" spans="1:3" x14ac:dyDescent="0.25">
      <c r="A50" s="98"/>
      <c r="B50" s="98"/>
      <c r="C50" s="98"/>
    </row>
    <row r="51" spans="1:3" x14ac:dyDescent="0.25">
      <c r="A51" s="98"/>
      <c r="B51" s="98"/>
      <c r="C51" s="98"/>
    </row>
  </sheetData>
  <sheetProtection algorithmName="SHA-512" hashValue="PUhS2bi3qfzPXokp52hhilahcLwZuItWqvF1SuBmkRBgsBpdDd3XCMJJERRkuWHKNGvtht+ugmp6SF0vkLf21w==" saltValue="RDvjjDw+orjWyLNN6JP76Q==" spinCount="100000" sheet="1" objects="1" scenarios="1"/>
  <mergeCells count="1">
    <mergeCell ref="A4:E4"/>
  </mergeCells>
  <conditionalFormatting sqref="A2 D6:E46">
    <cfRule type="expression" dxfId="410" priority="6">
      <formula>$E2="Exclude"</formula>
    </cfRule>
  </conditionalFormatting>
  <conditionalFormatting sqref="A2">
    <cfRule type="expression" dxfId="409" priority="4">
      <formula>$E2="Error"</formula>
    </cfRule>
  </conditionalFormatting>
  <conditionalFormatting sqref="D6:E46">
    <cfRule type="expression" dxfId="407" priority="1">
      <formula>$E6="Information"</formula>
    </cfRule>
    <cfRule type="expression" dxfId="406" priority="2">
      <formula>$E6="Error"</formula>
    </cfRule>
    <cfRule type="expression" dxfId="405" priority="3">
      <formula>$E6="Alert"</formula>
    </cfRule>
  </conditionalFormatting>
  <dataValidations count="2">
    <dataValidation type="list" allowBlank="1" showInputMessage="1" showErrorMessage="1" sqref="B9:C11 B20:C20" xr:uid="{8AE33E24-8F3A-4C2F-8F68-39A17DC65E5D}">
      <formula1>SelOneYesNo</formula1>
    </dataValidation>
    <dataValidation type="list" allowBlank="1" showInputMessage="1" showErrorMessage="1" sqref="B8:C8" xr:uid="{CC39B6C0-42D1-42C1-BBDD-D8B7356FFBEA}">
      <formula1>BondType</formula1>
    </dataValidation>
  </dataValidations>
  <pageMargins left="0.7" right="0.7" top="0.75" bottom="0.75" header="0.3" footer="0.3"/>
  <pageSetup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5" id="{E1FA8A01-95A5-4BEC-A6E4-D6AB9EF2F3DD}">
            <xm:f>COUNTIFS(Validation!$H:$H,MID(CELL("filename",A2),FIND("]",CELL("filename",A2))+1,255)&amp;CELL("address",A2))&gt;0</xm:f>
            <x14:dxf>
              <font>
                <b/>
                <i val="0"/>
                <color rgb="FFC00000"/>
              </font>
              <numFmt numFmtId="172" formatCode="_(\!* #,##0_);_(\!* \(#,##0\);_(\!* \-??_);_(\!\ @_)"/>
            </x14:dxf>
          </x14:cfRule>
          <xm:sqref>A2</xm:sqref>
        </x14:conditionalFormatting>
      </x14:conditionalFormatting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9A00DD-719C-495B-B78A-153D6FEFCCE9}">
  <sheetPr>
    <tabColor rgb="FFEED382"/>
  </sheetPr>
  <dimension ref="A1:F51"/>
  <sheetViews>
    <sheetView showGridLines="0" workbookViewId="0">
      <selection activeCell="B7" sqref="B7"/>
    </sheetView>
  </sheetViews>
  <sheetFormatPr defaultRowHeight="15" x14ac:dyDescent="0.25"/>
  <cols>
    <col min="1" max="1" width="55.7109375" style="66" customWidth="1"/>
    <col min="2" max="3" width="20.7109375" style="66" customWidth="1"/>
    <col min="4" max="4" width="80.85546875" style="66" customWidth="1"/>
    <col min="5" max="5" width="14.7109375" style="66" customWidth="1"/>
    <col min="6" max="6" width="0" style="78" hidden="1" customWidth="1"/>
    <col min="7" max="16384" width="9.140625" style="66"/>
  </cols>
  <sheetData>
    <row r="1" spans="1:6" s="59" customFormat="1" ht="24.95" customHeight="1" x14ac:dyDescent="0.25">
      <c r="A1" s="59" t="str">
        <f>_xlfn.CONCAT("Office of the State Auditor  -  TIF Annual Reporting Form  -  ",Year_DestinationYearID)</f>
        <v>Office of the State Auditor  -  TIF Annual Reporting Form  -  2024</v>
      </c>
      <c r="F1" s="61"/>
    </row>
    <row r="2" spans="1:6" s="62" customFormat="1" ht="20.100000000000001" customHeight="1" x14ac:dyDescent="0.25">
      <c r="A2" s="58" t="str">
        <f>_xlfn.CONCAT(GovEntity_GovEntityName_Parent,"  -  ",GovEntity_GovEntityName)</f>
        <v>Spruce City  -  TIF 1-1 Downtown Redev</v>
      </c>
      <c r="F2" s="64"/>
    </row>
    <row r="3" spans="1:6" s="68" customFormat="1" ht="24.95" customHeight="1" x14ac:dyDescent="0.3">
      <c r="A3" s="65" t="s">
        <v>206</v>
      </c>
      <c r="B3" s="66"/>
      <c r="C3" s="66"/>
      <c r="F3" s="69"/>
    </row>
    <row r="4" spans="1:6" s="71" customFormat="1" x14ac:dyDescent="0.25">
      <c r="A4" s="217" t="s">
        <v>207</v>
      </c>
      <c r="B4" s="217"/>
      <c r="C4" s="217"/>
      <c r="D4" s="217"/>
      <c r="E4" s="217"/>
      <c r="F4" s="72" t="s">
        <v>119</v>
      </c>
    </row>
    <row r="5" spans="1:6" s="74" customFormat="1" ht="20.100000000000001" customHeight="1" x14ac:dyDescent="0.25">
      <c r="A5" s="73" t="str">
        <f>HYPERLINK("#'Bonds'!B6","Click here to return to the Bonds Tab")</f>
        <v>Click here to return to the Bonds Tab</v>
      </c>
      <c r="D5" s="74" t="s">
        <v>121</v>
      </c>
      <c r="E5" s="74" t="s">
        <v>102</v>
      </c>
      <c r="F5" s="76"/>
    </row>
    <row r="6" spans="1:6" ht="20.100000000000001" customHeight="1" x14ac:dyDescent="0.25">
      <c r="A6" s="74" t="s">
        <v>208</v>
      </c>
      <c r="D6" s="77" t="str">
        <f ca="1">IFERROR(INDEX(Validation!G:G,MATCH("Bond 11"&amp;CELL("address",D6),Validation!I:I,0)),"")</f>
        <v/>
      </c>
      <c r="E6" s="66" t="str">
        <f ca="1">IFERROR(INDEX(Validation!F:F,MATCH("Bond 11"&amp;CELL("address",D6),Validation!I:I,0)),"")</f>
        <v/>
      </c>
      <c r="F6" s="78" t="s">
        <v>1008</v>
      </c>
    </row>
    <row r="7" spans="1:6" x14ac:dyDescent="0.25">
      <c r="A7" s="79" t="s">
        <v>210</v>
      </c>
      <c r="B7" s="103" t="str">
        <f>IF(NOT(ISBLANK('Bond Input'!M5)),'Bond Input'!M5,"")</f>
        <v/>
      </c>
      <c r="D7" s="77" t="str">
        <f ca="1">IFERROR(INDEX(Validation!G:G,MATCH("Bond 11"&amp;CELL("address",D7),Validation!I:I,0)),"")</f>
        <v/>
      </c>
      <c r="E7" s="66" t="str">
        <f ca="1">IFERROR(INDEX(Validation!F:F,MATCH("Bond 11"&amp;CELL("address",D7),Validation!I:I,0)),"")</f>
        <v/>
      </c>
      <c r="F7" s="85" t="str">
        <f>IF(NOT(ISBLANK('Bond Input'!M4)),'Bond Input'!M4,"")</f>
        <v/>
      </c>
    </row>
    <row r="8" spans="1:6" x14ac:dyDescent="0.25">
      <c r="A8" s="79" t="s">
        <v>209</v>
      </c>
      <c r="B8" s="103" t="str">
        <f>IF(NOT(ISBLANK('Bond Input'!M6)),'Bond Input'!M6,"Select One")</f>
        <v>Select One</v>
      </c>
      <c r="D8" s="77" t="str">
        <f ca="1">IFERROR(INDEX(Validation!G:G,MATCH("Bond 11"&amp;CELL("address",D8),Validation!I:I,0)),"")</f>
        <v/>
      </c>
      <c r="E8" s="66" t="str">
        <f ca="1">IFERROR(INDEX(Validation!F:F,MATCH("Bond 11"&amp;CELL("address",D8),Validation!I:I,0)),"")</f>
        <v/>
      </c>
    </row>
    <row r="9" spans="1:6" x14ac:dyDescent="0.25">
      <c r="A9" s="79" t="s">
        <v>227</v>
      </c>
      <c r="B9" s="103" t="str">
        <f>IF(NOT(ISBLANK('Bond Input'!M7)),'Bond Input'!M7,"Select One")</f>
        <v>Select One</v>
      </c>
      <c r="D9" s="77" t="str">
        <f ca="1">IFERROR(INDEX(Validation!G:G,MATCH("Bond 11"&amp;CELL("address",D9),Validation!I:I,0)),"")</f>
        <v/>
      </c>
      <c r="E9" s="66" t="str">
        <f ca="1">IFERROR(INDEX(Validation!F:F,MATCH("Bond 11"&amp;CELL("address",D9),Validation!I:I,0)),"")</f>
        <v/>
      </c>
    </row>
    <row r="10" spans="1:6" x14ac:dyDescent="0.25">
      <c r="A10" s="79" t="s">
        <v>228</v>
      </c>
      <c r="B10" s="103" t="str">
        <f>IF(NOT(ISBLANK('Bond Input'!M8)),'Bond Input'!M8,"Select One")</f>
        <v>Select One</v>
      </c>
      <c r="D10" s="77" t="str">
        <f ca="1">IFERROR(INDEX(Validation!G:G,MATCH("Bond 11"&amp;CELL("address",D10),Validation!I:I,0)),"")</f>
        <v/>
      </c>
      <c r="E10" s="66" t="str">
        <f ca="1">IFERROR(INDEX(Validation!F:F,MATCH("Bond 11"&amp;CELL("address",D10),Validation!I:I,0)),"")</f>
        <v/>
      </c>
    </row>
    <row r="11" spans="1:6" x14ac:dyDescent="0.25">
      <c r="A11" s="79" t="s">
        <v>229</v>
      </c>
      <c r="B11" s="103" t="str">
        <f>IF(NOT(ISBLANK('Bond Input'!M9)),'Bond Input'!M9,"Select One")</f>
        <v>Select One</v>
      </c>
      <c r="D11" s="77" t="str">
        <f ca="1">IFERROR(INDEX(Validation!G:G,MATCH("Bond 11"&amp;CELL("address",D11),Validation!I:I,0)),"")</f>
        <v/>
      </c>
      <c r="E11" s="66" t="str">
        <f ca="1">IFERROR(INDEX(Validation!F:F,MATCH("Bond 11"&amp;CELL("address",D11),Validation!I:I,0)),"")</f>
        <v/>
      </c>
    </row>
    <row r="12" spans="1:6" x14ac:dyDescent="0.25">
      <c r="A12" s="79" t="s">
        <v>211</v>
      </c>
      <c r="B12" s="120" t="str">
        <f>IF(NOT(ISBLANK('Bond Input'!M10)),'Bond Input'!M10,"")</f>
        <v/>
      </c>
      <c r="C12" s="129"/>
      <c r="D12" s="77" t="str">
        <f ca="1">IFERROR(INDEX(Validation!G:G,MATCH("Bond 11"&amp;CELL("address",D12),Validation!I:I,0)),"")</f>
        <v/>
      </c>
      <c r="E12" s="66" t="str">
        <f ca="1">IFERROR(INDEX(Validation!F:F,MATCH("Bond 11"&amp;CELL("address",D12),Validation!I:I,0)),"")</f>
        <v/>
      </c>
    </row>
    <row r="13" spans="1:6" x14ac:dyDescent="0.25">
      <c r="A13" s="79" t="s">
        <v>212</v>
      </c>
      <c r="B13" s="120" t="str">
        <f>IF(NOT(ISBLANK('Bond Input'!M11)),'Bond Input'!M11,"")</f>
        <v/>
      </c>
      <c r="C13" s="129"/>
      <c r="D13" s="77" t="str">
        <f ca="1">IFERROR(INDEX(Validation!G:G,MATCH("Bond 11"&amp;CELL("address",D13),Validation!I:I,0)),"")</f>
        <v/>
      </c>
      <c r="E13" s="66" t="str">
        <f ca="1">IFERROR(INDEX(Validation!F:F,MATCH("Bond 11"&amp;CELL("address",D13),Validation!I:I,0)),"")</f>
        <v/>
      </c>
    </row>
    <row r="14" spans="1:6" x14ac:dyDescent="0.25">
      <c r="A14" s="79" t="s">
        <v>213</v>
      </c>
      <c r="B14" s="121" t="str">
        <f>IF(NOT(ISBLANK('Bond Input'!M12)),'Bond Input'!M12,"")</f>
        <v/>
      </c>
      <c r="C14" s="132"/>
      <c r="D14" s="77" t="str">
        <f ca="1">IFERROR(INDEX(Validation!G:G,MATCH("Bond 11"&amp;CELL("address",D14),Validation!I:I,0)),"")</f>
        <v/>
      </c>
      <c r="E14" s="66" t="str">
        <f ca="1">IFERROR(INDEX(Validation!F:F,MATCH("Bond 11"&amp;CELL("address",D14),Validation!I:I,0)),"")</f>
        <v/>
      </c>
    </row>
    <row r="15" spans="1:6" x14ac:dyDescent="0.25">
      <c r="A15" s="79" t="s">
        <v>214</v>
      </c>
      <c r="B15" s="121" t="str">
        <f>IF(NOT(ISBLANK('Bond Input'!M13)),'Bond Input'!M13,"")</f>
        <v/>
      </c>
      <c r="C15" s="132"/>
      <c r="D15" s="77" t="str">
        <f ca="1">IFERROR(INDEX(Validation!G:G,MATCH("Bond 11"&amp;CELL("address",D15),Validation!I:I,0)),"")</f>
        <v/>
      </c>
      <c r="E15" s="66" t="str">
        <f ca="1">IFERROR(INDEX(Validation!F:F,MATCH("Bond 11"&amp;CELL("address",D15),Validation!I:I,0)),"")</f>
        <v/>
      </c>
    </row>
    <row r="16" spans="1:6" x14ac:dyDescent="0.25">
      <c r="A16" s="79" t="s">
        <v>535</v>
      </c>
      <c r="B16" s="122" t="str">
        <f>IF(NOT(ISBLANK('Bond Input'!M14)),'Bond Input'!M14,"")</f>
        <v/>
      </c>
      <c r="C16" s="128"/>
      <c r="D16" s="77" t="str">
        <f ca="1">IFERROR(INDEX(Validation!G:G,MATCH("Bond 11"&amp;CELL("address",D16),Validation!I:I,0)),"")</f>
        <v/>
      </c>
      <c r="E16" s="66" t="str">
        <f ca="1">IFERROR(INDEX(Validation!F:F,MATCH("Bond 11"&amp;CELL("address",D16),Validation!I:I,0)),"")</f>
        <v/>
      </c>
    </row>
    <row r="17" spans="1:5" x14ac:dyDescent="0.25">
      <c r="A17" s="79" t="s">
        <v>230</v>
      </c>
      <c r="B17" s="122" t="str">
        <f>IF(NOT(ISBLANK('Bond Input'!M15)),'Bond Input'!M15,"")</f>
        <v/>
      </c>
      <c r="C17" s="128"/>
      <c r="D17" s="77" t="str">
        <f ca="1">IFERROR(INDEX(Validation!G:G,MATCH("Bond 11"&amp;CELL("address",D17),Validation!I:I,0)),"")</f>
        <v/>
      </c>
      <c r="E17" s="66" t="str">
        <f ca="1">IFERROR(INDEX(Validation!F:F,MATCH("Bond 11"&amp;CELL("address",D17),Validation!I:I,0)),"")</f>
        <v/>
      </c>
    </row>
    <row r="18" spans="1:5" x14ac:dyDescent="0.25">
      <c r="A18" s="79" t="s">
        <v>231</v>
      </c>
      <c r="B18" s="122" t="str">
        <f>IF(NOT(ISBLANK('Bond Input'!M16)),'Bond Input'!M16,"")</f>
        <v/>
      </c>
      <c r="C18" s="128"/>
      <c r="D18" s="77" t="str">
        <f ca="1">IFERROR(INDEX(Validation!G:G,MATCH("Bond 11"&amp;CELL("address",D18),Validation!I:I,0)),"")</f>
        <v/>
      </c>
      <c r="E18" s="66" t="str">
        <f ca="1">IFERROR(INDEX(Validation!F:F,MATCH("Bond 11"&amp;CELL("address",D18),Validation!I:I,0)),"")</f>
        <v/>
      </c>
    </row>
    <row r="19" spans="1:5" x14ac:dyDescent="0.25">
      <c r="A19" s="79" t="s">
        <v>216</v>
      </c>
      <c r="B19" s="122" t="str">
        <f>IF(NOT(ISBLANK('Bond Input'!M17)),'Bond Input'!M17,"")</f>
        <v/>
      </c>
      <c r="C19" s="128"/>
      <c r="D19" s="77" t="str">
        <f ca="1">IFERROR(INDEX(Validation!G:G,MATCH("Bond 11"&amp;CELL("address",D19),Validation!I:I,0)),"")</f>
        <v/>
      </c>
      <c r="E19" s="66" t="str">
        <f ca="1">IFERROR(INDEX(Validation!F:F,MATCH("Bond 11"&amp;CELL("address",D19),Validation!I:I,0)),"")</f>
        <v/>
      </c>
    </row>
    <row r="20" spans="1:5" x14ac:dyDescent="0.25">
      <c r="A20" s="79" t="s">
        <v>232</v>
      </c>
      <c r="B20" s="103" t="str">
        <f>IF(ISBLANK('Bond Input'!M18),"Select One",IF('Bond Input'!M18=TRUE,"Yes","No"))</f>
        <v>Select One</v>
      </c>
      <c r="D20" s="77" t="str">
        <f ca="1">IFERROR(INDEX(Validation!G:G,MATCH("Bond 11"&amp;CELL("address",D20),Validation!I:I,0)),"")</f>
        <v/>
      </c>
      <c r="E20" s="66" t="str">
        <f ca="1">IFERROR(INDEX(Validation!F:F,MATCH("Bond 11"&amp;CELL("address",D20),Validation!I:I,0)),"")</f>
        <v/>
      </c>
    </row>
    <row r="21" spans="1:5" ht="20.100000000000001" customHeight="1" x14ac:dyDescent="0.25">
      <c r="A21" s="74" t="s">
        <v>1183</v>
      </c>
      <c r="B21" s="74" t="s">
        <v>283</v>
      </c>
      <c r="C21" s="74" t="str">
        <f>Year_DestinationYearID&amp;" Amount"</f>
        <v>2024 Amount</v>
      </c>
      <c r="D21" s="77" t="str">
        <f ca="1">IFERROR(INDEX(Validation!G:G,MATCH("Bond 11"&amp;CELL("address",D21),Validation!I:I,0)),"")</f>
        <v/>
      </c>
      <c r="E21" s="66" t="str">
        <f ca="1">IFERROR(INDEX(Validation!F:F,MATCH("Bond 11"&amp;CELL("address",D21),Validation!I:I,0)),"")</f>
        <v/>
      </c>
    </row>
    <row r="22" spans="1:5" x14ac:dyDescent="0.25">
      <c r="A22" s="79" t="s">
        <v>266</v>
      </c>
      <c r="B22" s="122" t="str">
        <f>IF(NOT(ISBLANK('Bond Input'!M19)),'Bond Input'!M19,"")</f>
        <v/>
      </c>
      <c r="C22" s="122"/>
      <c r="D22" s="77" t="str">
        <f ca="1">IFERROR(INDEX(Validation!G:G,MATCH("Bond 11"&amp;CELL("address",D22),Validation!I:I,0)),"")</f>
        <v/>
      </c>
      <c r="E22" s="66" t="str">
        <f ca="1">IFERROR(INDEX(Validation!F:F,MATCH("Bond 11"&amp;CELL("address",D22),Validation!I:I,0)),"")</f>
        <v/>
      </c>
    </row>
    <row r="23" spans="1:5" x14ac:dyDescent="0.25">
      <c r="A23" s="79" t="s">
        <v>267</v>
      </c>
      <c r="B23" s="122" t="str">
        <f>IF(NOT(ISBLANK('Bond Input'!M21)),'Bond Input'!M21,"")</f>
        <v/>
      </c>
      <c r="C23" s="122"/>
      <c r="D23" s="77" t="str">
        <f ca="1">IFERROR(INDEX(Validation!G:G,MATCH("Bond 11"&amp;CELL("address",D23),Validation!I:I,0)),"")</f>
        <v/>
      </c>
      <c r="E23" s="66" t="str">
        <f ca="1">IFERROR(INDEX(Validation!F:F,MATCH("Bond 11"&amp;CELL("address",D23),Validation!I:I,0)),"")</f>
        <v/>
      </c>
    </row>
    <row r="24" spans="1:5" x14ac:dyDescent="0.25">
      <c r="A24" s="79" t="s">
        <v>268</v>
      </c>
      <c r="B24" s="122" t="str">
        <f>IF(NOT(ISBLANK('Bond Input'!M23)),'Bond Input'!M23,"")</f>
        <v/>
      </c>
      <c r="C24" s="122"/>
      <c r="D24" s="77" t="str">
        <f ca="1">IFERROR(INDEX(Validation!G:G,MATCH("Bond 11"&amp;CELL("address",D24),Validation!I:I,0)),"")</f>
        <v/>
      </c>
      <c r="E24" s="66" t="str">
        <f ca="1">IFERROR(INDEX(Validation!F:F,MATCH("Bond 11"&amp;CELL("address",D24),Validation!I:I,0)),"")</f>
        <v/>
      </c>
    </row>
    <row r="25" spans="1:5" x14ac:dyDescent="0.25">
      <c r="A25" s="79" t="s">
        <v>269</v>
      </c>
      <c r="B25" s="122" t="str">
        <f>IF(NOT(ISBLANK('Bond Input'!M25)),'Bond Input'!M25,"")</f>
        <v/>
      </c>
      <c r="C25" s="122"/>
      <c r="D25" s="77" t="str">
        <f ca="1">IFERROR(INDEX(Validation!G:G,MATCH("Bond 11"&amp;CELL("address",D25),Validation!I:I,0)),"")</f>
        <v/>
      </c>
      <c r="E25" s="66" t="str">
        <f ca="1">IFERROR(INDEX(Validation!F:F,MATCH("Bond 11"&amp;CELL("address",D25),Validation!I:I,0)),"")</f>
        <v/>
      </c>
    </row>
    <row r="26" spans="1:5" x14ac:dyDescent="0.25">
      <c r="A26" s="79" t="s">
        <v>1101</v>
      </c>
      <c r="B26" s="122" t="str">
        <f>IF(NOT(ISBLANK('Bond Input'!M27)),'Bond Input'!M27,"")</f>
        <v/>
      </c>
      <c r="C26" s="122"/>
      <c r="D26" s="77" t="str">
        <f ca="1">IFERROR(INDEX(Validation!G:G,MATCH("Bond 11"&amp;CELL("address",D26),Validation!I:I,0)),"")</f>
        <v/>
      </c>
      <c r="E26" s="66" t="str">
        <f ca="1">IFERROR(INDEX(Validation!F:F,MATCH("Bond 11"&amp;CELL("address",D26),Validation!I:I,0)),"")</f>
        <v/>
      </c>
    </row>
    <row r="27" spans="1:5" x14ac:dyDescent="0.25">
      <c r="A27" s="79" t="s">
        <v>270</v>
      </c>
      <c r="B27" s="122" t="str">
        <f>IF(NOT(ISBLANK('Bond Input'!M29)),'Bond Input'!M29,"")</f>
        <v/>
      </c>
      <c r="C27" s="122"/>
      <c r="D27" s="77" t="str">
        <f ca="1">IFERROR(INDEX(Validation!G:G,MATCH("Bond 11"&amp;CELL("address",D27),Validation!I:I,0)),"")</f>
        <v/>
      </c>
      <c r="E27" s="66" t="str">
        <f ca="1">IFERROR(INDEX(Validation!F:F,MATCH("Bond 11"&amp;CELL("address",D27),Validation!I:I,0)),"")</f>
        <v/>
      </c>
    </row>
    <row r="28" spans="1:5" x14ac:dyDescent="0.25">
      <c r="A28" s="79" t="s">
        <v>271</v>
      </c>
      <c r="B28" s="122" t="str">
        <f>IF(NOT(ISBLANK('Bond Input'!M31)),'Bond Input'!M31,"")</f>
        <v/>
      </c>
      <c r="C28" s="122"/>
      <c r="D28" s="77" t="str">
        <f ca="1">IFERROR(INDEX(Validation!G:G,MATCH("Bond 11"&amp;CELL("address",D28),Validation!I:I,0)),"")</f>
        <v/>
      </c>
      <c r="E28" s="66" t="str">
        <f ca="1">IFERROR(INDEX(Validation!F:F,MATCH("Bond 11"&amp;CELL("address",D28),Validation!I:I,0)),"")</f>
        <v/>
      </c>
    </row>
    <row r="29" spans="1:5" x14ac:dyDescent="0.25">
      <c r="A29" s="79" t="s">
        <v>272</v>
      </c>
      <c r="B29" s="122" t="str">
        <f>IF(NOT(ISBLANK('Bond Input'!M33)),'Bond Input'!M33,"")</f>
        <v/>
      </c>
      <c r="C29" s="122"/>
      <c r="D29" s="77" t="str">
        <f ca="1">IFERROR(INDEX(Validation!G:G,MATCH("Bond 11"&amp;CELL("address",D29),Validation!I:I,0)),"")</f>
        <v/>
      </c>
      <c r="E29" s="66" t="str">
        <f ca="1">IFERROR(INDEX(Validation!F:F,MATCH("Bond 11"&amp;CELL("address",D29),Validation!I:I,0)),"")</f>
        <v/>
      </c>
    </row>
    <row r="30" spans="1:5" x14ac:dyDescent="0.25">
      <c r="A30" s="79" t="s">
        <v>273</v>
      </c>
      <c r="B30" s="122" t="str">
        <f>IF(NOT(ISBLANK('Bond Input'!M35)),'Bond Input'!M35,"")</f>
        <v/>
      </c>
      <c r="C30" s="122"/>
      <c r="D30" s="77" t="str">
        <f ca="1">IFERROR(INDEX(Validation!G:G,MATCH("Bond 11"&amp;CELL("address",D30),Validation!I:I,0)),"")</f>
        <v/>
      </c>
      <c r="E30" s="66" t="str">
        <f ca="1">IFERROR(INDEX(Validation!F:F,MATCH("Bond 11"&amp;CELL("address",D30),Validation!I:I,0)),"")</f>
        <v/>
      </c>
    </row>
    <row r="31" spans="1:5" x14ac:dyDescent="0.25">
      <c r="A31" s="130" t="s">
        <v>1184</v>
      </c>
      <c r="B31" s="125">
        <f>SUM(B22:B30)</f>
        <v>0</v>
      </c>
      <c r="C31" s="125">
        <f>SUM(C22:C30)</f>
        <v>0</v>
      </c>
      <c r="D31" s="77" t="str">
        <f ca="1">IFERROR(INDEX(Validation!G:G,MATCH("Bond 11"&amp;CELL("address",D31),Validation!I:I,0)),"")</f>
        <v/>
      </c>
      <c r="E31" s="66" t="str">
        <f ca="1">IFERROR(INDEX(Validation!F:F,MATCH("Bond 11"&amp;CELL("address",D31),Validation!I:I,0)),"")</f>
        <v/>
      </c>
    </row>
    <row r="32" spans="1:5" x14ac:dyDescent="0.25">
      <c r="A32" s="130" t="s">
        <v>1185</v>
      </c>
      <c r="B32" s="125">
        <f>IF(B16="",0,B16-B31)</f>
        <v>0</v>
      </c>
      <c r="C32" s="125">
        <f>IF(B16="",0,B16-B31-C31)</f>
        <v>0</v>
      </c>
      <c r="D32" s="77" t="str">
        <f ca="1">IFERROR(INDEX(Validation!G:G,MATCH("Bond 11"&amp;CELL("address",D32),Validation!I:I,0)),"")</f>
        <v/>
      </c>
      <c r="E32" s="66" t="str">
        <f ca="1">IFERROR(INDEX(Validation!F:F,MATCH("Bond 11"&amp;CELL("address",D32),Validation!I:I,0)),"")</f>
        <v/>
      </c>
    </row>
    <row r="33" spans="1:5" x14ac:dyDescent="0.25">
      <c r="A33" s="131" t="s">
        <v>1186</v>
      </c>
      <c r="B33" s="122" t="str">
        <f>IF(NOT(ISBLANK('Bond Input'!M41)),'Bond Input'!M41,"")</f>
        <v/>
      </c>
      <c r="C33" s="122"/>
      <c r="D33" s="77" t="str">
        <f ca="1">IFERROR(INDEX(Validation!G:G,MATCH("Bond 11"&amp;CELL("address",D33),Validation!I:I,0)),"")</f>
        <v/>
      </c>
      <c r="E33" s="66" t="str">
        <f ca="1">IFERROR(INDEX(Validation!F:F,MATCH("Bond 11"&amp;CELL("address",D33),Validation!I:I,0)),"")</f>
        <v/>
      </c>
    </row>
    <row r="34" spans="1:5" x14ac:dyDescent="0.25">
      <c r="A34" s="131" t="s">
        <v>1187</v>
      </c>
      <c r="B34" s="122" t="str">
        <f>IF(NOT(ISBLANK('Bond Input'!M43)),'Bond Input'!M43,"")</f>
        <v/>
      </c>
      <c r="C34" s="122"/>
      <c r="D34" s="77" t="str">
        <f ca="1">IFERROR(INDEX(Validation!G:G,MATCH("Bond 11"&amp;CELL("address",D34),Validation!I:I,0)),"")</f>
        <v/>
      </c>
      <c r="E34" s="66" t="str">
        <f ca="1">IFERROR(INDEX(Validation!F:F,MATCH("Bond 11"&amp;CELL("address",D34),Validation!I:I,0)),"")</f>
        <v/>
      </c>
    </row>
    <row r="35" spans="1:5" ht="20.100000000000001" customHeight="1" x14ac:dyDescent="0.25">
      <c r="A35" s="74" t="s">
        <v>684</v>
      </c>
      <c r="B35" s="74" t="s">
        <v>283</v>
      </c>
      <c r="C35" s="74" t="str">
        <f>Year_DestinationYearID&amp;" Amount"</f>
        <v>2024 Amount</v>
      </c>
      <c r="D35" s="77" t="str">
        <f ca="1">IFERROR(INDEX(Validation!G:G,MATCH("Bond 11"&amp;CELL("address",D35),Validation!I:I,0)),"")</f>
        <v/>
      </c>
      <c r="E35" s="66" t="str">
        <f ca="1">IFERROR(INDEX(Validation!F:F,MATCH("Bond 11"&amp;CELL("address",D35),Validation!I:I,0)),"")</f>
        <v/>
      </c>
    </row>
    <row r="36" spans="1:5" x14ac:dyDescent="0.25">
      <c r="A36" s="79" t="s">
        <v>1188</v>
      </c>
      <c r="B36" s="122" t="str">
        <f>IF(NOT(ISBLANK('Bond Input'!M45)),'Bond Input'!M45,"")</f>
        <v/>
      </c>
      <c r="C36" s="122"/>
      <c r="D36" s="77" t="str">
        <f ca="1">IFERROR(INDEX(Validation!G:G,MATCH("Bond 11"&amp;CELL("address",D36),Validation!I:I,0)),"")</f>
        <v/>
      </c>
      <c r="E36" s="66" t="str">
        <f ca="1">IFERROR(INDEX(Validation!F:F,MATCH("Bond 11"&amp;CELL("address",D36),Validation!I:I,0)),"")</f>
        <v/>
      </c>
    </row>
    <row r="37" spans="1:5" x14ac:dyDescent="0.25">
      <c r="A37" s="79" t="s">
        <v>1189</v>
      </c>
      <c r="B37" s="122" t="str">
        <f>IF(NOT(ISBLANK('Bond Input'!M47)),'Bond Input'!M47,"")</f>
        <v/>
      </c>
      <c r="C37" s="122"/>
      <c r="D37" s="77" t="str">
        <f ca="1">IFERROR(INDEX(Validation!G:G,MATCH("Bond 11"&amp;CELL("address",D37),Validation!I:I,0)),"")</f>
        <v/>
      </c>
      <c r="E37" s="66" t="str">
        <f ca="1">IFERROR(INDEX(Validation!F:F,MATCH("Bond 11"&amp;CELL("address",D37),Validation!I:I,0)),"")</f>
        <v/>
      </c>
    </row>
    <row r="38" spans="1:5" x14ac:dyDescent="0.25">
      <c r="A38" s="79" t="s">
        <v>1190</v>
      </c>
      <c r="B38" s="122" t="str">
        <f>IF(NOT(ISBLANK('Bond Input'!M49)),'Bond Input'!M49,"")</f>
        <v/>
      </c>
      <c r="C38" s="122"/>
      <c r="D38" s="77" t="str">
        <f ca="1">IFERROR(INDEX(Validation!G:G,MATCH("Bond 11"&amp;CELL("address",D38),Validation!I:I,0)),"")</f>
        <v/>
      </c>
      <c r="E38" s="66" t="str">
        <f ca="1">IFERROR(INDEX(Validation!F:F,MATCH("Bond 11"&amp;CELL("address",D38),Validation!I:I,0)),"")</f>
        <v/>
      </c>
    </row>
    <row r="39" spans="1:5" x14ac:dyDescent="0.25">
      <c r="A39" s="79" t="s">
        <v>221</v>
      </c>
      <c r="B39" s="125" t="str">
        <f>IFERROR(IF(B11="Yes","See Pooled Debt",IF(B8="Non-TIF Bond","NA/Non-TIF Bond",B16-B19-B36-B37+B38)),"")</f>
        <v/>
      </c>
      <c r="C39" s="125" t="str">
        <f>IFERROR(IF(B11="Yes","See Pooled Debt",IF(B8="Non-TIF Bond","NA/Non-TIF Bond",B16-B19-B36-B37-C36-C37+B38+C38)),"")</f>
        <v/>
      </c>
      <c r="D39" s="77" t="str">
        <f ca="1">IFERROR(INDEX(Validation!G:G,MATCH("Bond 11"&amp;CELL("address",D39),Validation!I:I,0)),"")</f>
        <v/>
      </c>
      <c r="E39" s="66" t="str">
        <f ca="1">IFERROR(INDEX(Validation!F:F,MATCH("Bond 11"&amp;CELL("address",D39),Validation!I:I,0)),"")</f>
        <v/>
      </c>
    </row>
    <row r="40" spans="1:5" x14ac:dyDescent="0.25">
      <c r="A40" s="79" t="s">
        <v>223</v>
      </c>
      <c r="B40" s="122" t="str">
        <f>IF(NOT(ISBLANK('Bond Input'!M53)),'Bond Input'!M53,"")</f>
        <v/>
      </c>
      <c r="C40" s="122"/>
      <c r="D40" s="77" t="str">
        <f ca="1">IFERROR(INDEX(Validation!G:G,MATCH("Bond 11"&amp;CELL("address",D40),Validation!I:I,0)),"")</f>
        <v/>
      </c>
      <c r="E40" s="66" t="str">
        <f ca="1">IFERROR(INDEX(Validation!F:F,MATCH("Bond 11"&amp;CELL("address",D40),Validation!I:I,0)),"")</f>
        <v/>
      </c>
    </row>
    <row r="41" spans="1:5" x14ac:dyDescent="0.25">
      <c r="A41" s="79" t="s">
        <v>1191</v>
      </c>
      <c r="B41" s="122" t="str">
        <f>IF(NOT(ISBLANK('Bond Input'!M55)),'Bond Input'!M55,"")</f>
        <v/>
      </c>
      <c r="C41" s="122"/>
      <c r="D41" s="77" t="str">
        <f ca="1">IFERROR(INDEX(Validation!G:G,MATCH("Bond 11"&amp;CELL("address",D41),Validation!I:I,0)),"")</f>
        <v/>
      </c>
      <c r="E41" s="66" t="str">
        <f ca="1">IFERROR(INDEX(Validation!F:F,MATCH("Bond 11"&amp;CELL("address",D41),Validation!I:I,0)),"")</f>
        <v/>
      </c>
    </row>
    <row r="42" spans="1:5" x14ac:dyDescent="0.25">
      <c r="A42" s="79" t="s">
        <v>1192</v>
      </c>
      <c r="B42" s="122" t="str">
        <f>IF(NOT(ISBLANK('Bond Input'!M57)),'Bond Input'!M57,"")</f>
        <v/>
      </c>
      <c r="C42" s="122"/>
      <c r="D42" s="77" t="str">
        <f ca="1">IFERROR(INDEX(Validation!G:G,MATCH("Bond 11"&amp;CELL("address",D42),Validation!I:I,0)),"")</f>
        <v/>
      </c>
      <c r="E42" s="66" t="str">
        <f ca="1">IFERROR(INDEX(Validation!F:F,MATCH("Bond 11"&amp;CELL("address",D42),Validation!I:I,0)),"")</f>
        <v/>
      </c>
    </row>
    <row r="43" spans="1:5" ht="20.100000000000001" customHeight="1" x14ac:dyDescent="0.25">
      <c r="A43" s="74" t="str">
        <f>"Principal and Interest Due in "&amp;Year_DestinationYearID+1</f>
        <v>Principal and Interest Due in 2025</v>
      </c>
      <c r="B43" s="128"/>
      <c r="C43" s="128"/>
      <c r="D43" s="77"/>
    </row>
    <row r="44" spans="1:5" x14ac:dyDescent="0.25">
      <c r="A44" s="79" t="str">
        <f>"Principal Due in "&amp;Year_DestinationYearID+1</f>
        <v>Principal Due in 2025</v>
      </c>
      <c r="B44" s="122"/>
      <c r="C44" s="128"/>
      <c r="D44" s="77" t="str">
        <f ca="1">IFERROR(INDEX(Validation!G:G,MATCH("Bond 11"&amp;CELL("address",D44),Validation!I:I,0)),"")</f>
        <v/>
      </c>
      <c r="E44" s="66" t="str">
        <f ca="1">IFERROR(INDEX(Validation!F:F,MATCH("Bond 11"&amp;CELL("address",D44),Validation!I:I,0)),"")</f>
        <v/>
      </c>
    </row>
    <row r="45" spans="1:5" x14ac:dyDescent="0.25">
      <c r="A45" s="79" t="str">
        <f>"Interest Due in "&amp;Year_DestinationYearID+1</f>
        <v>Interest Due in 2025</v>
      </c>
      <c r="B45" s="122"/>
      <c r="C45" s="128"/>
      <c r="D45" s="77" t="str">
        <f ca="1">IFERROR(INDEX(Validation!G:G,MATCH("Bond 11"&amp;CELL("address",D45),Validation!I:I,0)),"")</f>
        <v/>
      </c>
      <c r="E45" s="66" t="str">
        <f ca="1">IFERROR(INDEX(Validation!F:F,MATCH("Bond 11"&amp;CELL("address",D45),Validation!I:I,0)),"")</f>
        <v/>
      </c>
    </row>
    <row r="46" spans="1:5" ht="20.100000000000001" customHeight="1" x14ac:dyDescent="0.25">
      <c r="A46" s="97" t="s">
        <v>176</v>
      </c>
      <c r="D46" s="77" t="str">
        <f ca="1">IF(AND(ISBLANK(A47),OR(COUNTIF(E6:E45,"Alert")&gt;0,SUM(B38:B38)&lt;&gt;0)),"Comment(s) required for remaining alert(s) and/or additions/reductions to principal.",IFERROR(INDEX(Validation!G:G,MATCH("Bond 11"&amp;CELL("address",D47),Validation!I:I,0)),""))</f>
        <v/>
      </c>
      <c r="E46" s="66" t="str">
        <f ca="1">IF(AND(ISBLANK(A47),OR(COUNTIF(E6:E45,"Alert")&gt;0,SUM(B38:B38)&lt;&gt;0)),"Error",IFERROR(INDEX(Validation!F:F,MATCH("Bond 11"&amp;CELL("address",D47),Validation!I:I,0)),""))</f>
        <v/>
      </c>
    </row>
    <row r="47" spans="1:5" ht="150" customHeight="1" x14ac:dyDescent="0.25">
      <c r="A47" s="123"/>
      <c r="B47" s="100" t="str">
        <f>HYPERLINK("#'Bonds'!B6","Click here to return to the Bonds Tab")</f>
        <v>Click here to return to the Bonds Tab</v>
      </c>
      <c r="C47" s="127"/>
    </row>
    <row r="48" spans="1:5" x14ac:dyDescent="0.25">
      <c r="A48" s="98"/>
      <c r="B48" s="98"/>
      <c r="C48" s="98"/>
    </row>
    <row r="49" spans="1:3" x14ac:dyDescent="0.25">
      <c r="A49" s="98"/>
      <c r="B49" s="98"/>
      <c r="C49" s="98"/>
    </row>
    <row r="50" spans="1:3" x14ac:dyDescent="0.25">
      <c r="A50" s="98"/>
      <c r="B50" s="98"/>
      <c r="C50" s="98"/>
    </row>
    <row r="51" spans="1:3" x14ac:dyDescent="0.25">
      <c r="A51" s="98"/>
      <c r="B51" s="98"/>
      <c r="C51" s="98"/>
    </row>
  </sheetData>
  <sheetProtection algorithmName="SHA-512" hashValue="vh/XtYc/n18suarpOnhkkUfLuUHj5A6X6l574qMcj6LzOKyggGp94ypGBaDarLBcNEHY650QXKpUk0Vxfw+VOw==" saltValue="d7sklYhkuoGPzn8mX/9P7Q==" spinCount="100000" sheet="1" objects="1" scenarios="1"/>
  <mergeCells count="1">
    <mergeCell ref="A4:E4"/>
  </mergeCells>
  <conditionalFormatting sqref="A2 D6:E46">
    <cfRule type="expression" dxfId="404" priority="6">
      <formula>$E2="Exclude"</formula>
    </cfRule>
  </conditionalFormatting>
  <conditionalFormatting sqref="A2">
    <cfRule type="expression" dxfId="403" priority="4">
      <formula>$E2="Error"</formula>
    </cfRule>
  </conditionalFormatting>
  <conditionalFormatting sqref="D6:E46">
    <cfRule type="expression" dxfId="401" priority="1">
      <formula>$E6="Information"</formula>
    </cfRule>
    <cfRule type="expression" dxfId="400" priority="2">
      <formula>$E6="Error"</formula>
    </cfRule>
    <cfRule type="expression" dxfId="399" priority="3">
      <formula>$E6="Alert"</formula>
    </cfRule>
  </conditionalFormatting>
  <dataValidations count="2">
    <dataValidation type="list" allowBlank="1" showInputMessage="1" showErrorMessage="1" sqref="B8:C8" xr:uid="{C309C2AE-C38F-4BFF-9BB5-FC02A9D75E6C}">
      <formula1>BondType</formula1>
    </dataValidation>
    <dataValidation type="list" allowBlank="1" showInputMessage="1" showErrorMessage="1" sqref="B9:C11 B20:C20" xr:uid="{D5F51414-6276-4047-83DA-224636371979}">
      <formula1>SelOneYesNo</formula1>
    </dataValidation>
  </dataValidations>
  <pageMargins left="0.7" right="0.7" top="0.75" bottom="0.75" header="0.3" footer="0.3"/>
  <pageSetup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5" id="{3B60A23F-DD94-44BB-AEF8-676DFA94C373}">
            <xm:f>COUNTIFS(Validation!$H:$H,MID(CELL("filename",A2),FIND("]",CELL("filename",A2))+1,255)&amp;CELL("address",A2))&gt;0</xm:f>
            <x14:dxf>
              <font>
                <b/>
                <i val="0"/>
                <color rgb="FFC00000"/>
              </font>
              <numFmt numFmtId="172" formatCode="_(\!* #,##0_);_(\!* \(#,##0\);_(\!* \-??_);_(\!\ @_)"/>
            </x14:dxf>
          </x14:cfRule>
          <xm:sqref>A2</xm:sqref>
        </x14:conditionalFormatting>
      </x14:conditionalFormatting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0EA2C-120C-4F4C-812C-654A9D11FA84}">
  <sheetPr>
    <tabColor rgb="FFEED382"/>
  </sheetPr>
  <dimension ref="A1:F51"/>
  <sheetViews>
    <sheetView showGridLines="0" workbookViewId="0">
      <selection activeCell="B7" sqref="B7"/>
    </sheetView>
  </sheetViews>
  <sheetFormatPr defaultRowHeight="15" x14ac:dyDescent="0.25"/>
  <cols>
    <col min="1" max="1" width="55.7109375" style="66" customWidth="1"/>
    <col min="2" max="3" width="20.7109375" style="66" customWidth="1"/>
    <col min="4" max="4" width="80.85546875" style="66" customWidth="1"/>
    <col min="5" max="5" width="14.7109375" style="66" customWidth="1"/>
    <col min="6" max="6" width="0" style="78" hidden="1" customWidth="1"/>
    <col min="7" max="16384" width="9.140625" style="66"/>
  </cols>
  <sheetData>
    <row r="1" spans="1:6" s="59" customFormat="1" ht="24.95" customHeight="1" x14ac:dyDescent="0.25">
      <c r="A1" s="59" t="str">
        <f>_xlfn.CONCAT("Office of the State Auditor  -  TIF Annual Reporting Form  -  ",Year_DestinationYearID)</f>
        <v>Office of the State Auditor  -  TIF Annual Reporting Form  -  2024</v>
      </c>
      <c r="F1" s="61"/>
    </row>
    <row r="2" spans="1:6" s="62" customFormat="1" ht="20.100000000000001" customHeight="1" x14ac:dyDescent="0.25">
      <c r="A2" s="58" t="str">
        <f>_xlfn.CONCAT(GovEntity_GovEntityName_Parent,"  -  ",GovEntity_GovEntityName)</f>
        <v>Spruce City  -  TIF 1-1 Downtown Redev</v>
      </c>
      <c r="F2" s="64"/>
    </row>
    <row r="3" spans="1:6" s="68" customFormat="1" ht="24.95" customHeight="1" x14ac:dyDescent="0.3">
      <c r="A3" s="65" t="s">
        <v>206</v>
      </c>
      <c r="B3" s="66"/>
      <c r="C3" s="66"/>
      <c r="F3" s="69"/>
    </row>
    <row r="4" spans="1:6" s="71" customFormat="1" x14ac:dyDescent="0.25">
      <c r="A4" s="217" t="s">
        <v>207</v>
      </c>
      <c r="B4" s="217"/>
      <c r="C4" s="217"/>
      <c r="D4" s="217"/>
      <c r="E4" s="217"/>
      <c r="F4" s="72" t="s">
        <v>119</v>
      </c>
    </row>
    <row r="5" spans="1:6" s="74" customFormat="1" ht="20.100000000000001" customHeight="1" x14ac:dyDescent="0.25">
      <c r="A5" s="73" t="str">
        <f>HYPERLINK("#'Bonds'!B6","Click here to return to the Bonds Tab")</f>
        <v>Click here to return to the Bonds Tab</v>
      </c>
      <c r="D5" s="74" t="s">
        <v>121</v>
      </c>
      <c r="E5" s="74" t="s">
        <v>102</v>
      </c>
      <c r="F5" s="76"/>
    </row>
    <row r="6" spans="1:6" ht="20.100000000000001" customHeight="1" x14ac:dyDescent="0.25">
      <c r="A6" s="74" t="s">
        <v>208</v>
      </c>
      <c r="D6" s="77" t="str">
        <f ca="1">IFERROR(INDEX(Validation!G:G,MATCH("Bond 12"&amp;CELL("address",D6),Validation!I:I,0)),"")</f>
        <v/>
      </c>
      <c r="E6" s="66" t="str">
        <f ca="1">IFERROR(INDEX(Validation!F:F,MATCH("Bond 12"&amp;CELL("address",D6),Validation!I:I,0)),"")</f>
        <v/>
      </c>
      <c r="F6" s="78" t="s">
        <v>1008</v>
      </c>
    </row>
    <row r="7" spans="1:6" x14ac:dyDescent="0.25">
      <c r="A7" s="79" t="s">
        <v>210</v>
      </c>
      <c r="B7" s="103" t="str">
        <f>IF(NOT(ISBLANK('Bond Input'!N5)),'Bond Input'!N5,"")</f>
        <v/>
      </c>
      <c r="D7" s="77" t="str">
        <f ca="1">IFERROR(INDEX(Validation!G:G,MATCH("Bond 12"&amp;CELL("address",D7),Validation!I:I,0)),"")</f>
        <v/>
      </c>
      <c r="E7" s="66" t="str">
        <f ca="1">IFERROR(INDEX(Validation!F:F,MATCH("Bond 12"&amp;CELL("address",D7),Validation!I:I,0)),"")</f>
        <v/>
      </c>
      <c r="F7" s="85" t="str">
        <f>IF(NOT(ISBLANK('Bond Input'!N4)),'Bond Input'!N4,"")</f>
        <v/>
      </c>
    </row>
    <row r="8" spans="1:6" x14ac:dyDescent="0.25">
      <c r="A8" s="79" t="s">
        <v>209</v>
      </c>
      <c r="B8" s="103" t="str">
        <f>IF(NOT(ISBLANK('Bond Input'!N6)),'Bond Input'!N6,"Select One")</f>
        <v>Select One</v>
      </c>
      <c r="D8" s="77" t="str">
        <f ca="1">IFERROR(INDEX(Validation!G:G,MATCH("Bond 12"&amp;CELL("address",D8),Validation!I:I,0)),"")</f>
        <v/>
      </c>
      <c r="E8" s="66" t="str">
        <f ca="1">IFERROR(INDEX(Validation!F:F,MATCH("Bond 12"&amp;CELL("address",D8),Validation!I:I,0)),"")</f>
        <v/>
      </c>
    </row>
    <row r="9" spans="1:6" x14ac:dyDescent="0.25">
      <c r="A9" s="79" t="s">
        <v>227</v>
      </c>
      <c r="B9" s="103" t="str">
        <f>IF(NOT(ISBLANK('Bond Input'!N7)),'Bond Input'!N7,"Select One")</f>
        <v>Select One</v>
      </c>
      <c r="D9" s="77" t="str">
        <f ca="1">IFERROR(INDEX(Validation!G:G,MATCH("Bond 12"&amp;CELL("address",D9),Validation!I:I,0)),"")</f>
        <v/>
      </c>
      <c r="E9" s="66" t="str">
        <f ca="1">IFERROR(INDEX(Validation!F:F,MATCH("Bond 12"&amp;CELL("address",D9),Validation!I:I,0)),"")</f>
        <v/>
      </c>
    </row>
    <row r="10" spans="1:6" x14ac:dyDescent="0.25">
      <c r="A10" s="79" t="s">
        <v>228</v>
      </c>
      <c r="B10" s="103" t="str">
        <f>IF(NOT(ISBLANK('Bond Input'!N8)),'Bond Input'!N8,"Select One")</f>
        <v>Select One</v>
      </c>
      <c r="D10" s="77" t="str">
        <f ca="1">IFERROR(INDEX(Validation!G:G,MATCH("Bond 12"&amp;CELL("address",D10),Validation!I:I,0)),"")</f>
        <v/>
      </c>
      <c r="E10" s="66" t="str">
        <f ca="1">IFERROR(INDEX(Validation!F:F,MATCH("Bond 12"&amp;CELL("address",D10),Validation!I:I,0)),"")</f>
        <v/>
      </c>
    </row>
    <row r="11" spans="1:6" x14ac:dyDescent="0.25">
      <c r="A11" s="79" t="s">
        <v>229</v>
      </c>
      <c r="B11" s="103" t="str">
        <f>IF(NOT(ISBLANK('Bond Input'!N9)),'Bond Input'!N9,"Select One")</f>
        <v>Select One</v>
      </c>
      <c r="D11" s="77" t="str">
        <f ca="1">IFERROR(INDEX(Validation!G:G,MATCH("Bond 12"&amp;CELL("address",D11),Validation!I:I,0)),"")</f>
        <v/>
      </c>
      <c r="E11" s="66" t="str">
        <f ca="1">IFERROR(INDEX(Validation!F:F,MATCH("Bond 12"&amp;CELL("address",D11),Validation!I:I,0)),"")</f>
        <v/>
      </c>
    </row>
    <row r="12" spans="1:6" x14ac:dyDescent="0.25">
      <c r="A12" s="79" t="s">
        <v>211</v>
      </c>
      <c r="B12" s="120" t="str">
        <f>IF(NOT(ISBLANK('Bond Input'!N10)),'Bond Input'!N10,"")</f>
        <v/>
      </c>
      <c r="C12" s="129"/>
      <c r="D12" s="77" t="str">
        <f ca="1">IFERROR(INDEX(Validation!G:G,MATCH("Bond 12"&amp;CELL("address",D12),Validation!I:I,0)),"")</f>
        <v/>
      </c>
      <c r="E12" s="66" t="str">
        <f ca="1">IFERROR(INDEX(Validation!F:F,MATCH("Bond 12"&amp;CELL("address",D12),Validation!I:I,0)),"")</f>
        <v/>
      </c>
    </row>
    <row r="13" spans="1:6" x14ac:dyDescent="0.25">
      <c r="A13" s="79" t="s">
        <v>212</v>
      </c>
      <c r="B13" s="120" t="str">
        <f>IF(NOT(ISBLANK('Bond Input'!N11)),'Bond Input'!N11,"")</f>
        <v/>
      </c>
      <c r="C13" s="129"/>
      <c r="D13" s="77" t="str">
        <f ca="1">IFERROR(INDEX(Validation!G:G,MATCH("Bond 12"&amp;CELL("address",D13),Validation!I:I,0)),"")</f>
        <v/>
      </c>
      <c r="E13" s="66" t="str">
        <f ca="1">IFERROR(INDEX(Validation!F:F,MATCH("Bond 12"&amp;CELL("address",D13),Validation!I:I,0)),"")</f>
        <v/>
      </c>
    </row>
    <row r="14" spans="1:6" x14ac:dyDescent="0.25">
      <c r="A14" s="79" t="s">
        <v>213</v>
      </c>
      <c r="B14" s="121" t="str">
        <f>IF(NOT(ISBLANK('Bond Input'!N12)),'Bond Input'!N12,"")</f>
        <v/>
      </c>
      <c r="C14" s="132"/>
      <c r="D14" s="77" t="str">
        <f ca="1">IFERROR(INDEX(Validation!G:G,MATCH("Bond 12"&amp;CELL("address",D14),Validation!I:I,0)),"")</f>
        <v/>
      </c>
      <c r="E14" s="66" t="str">
        <f ca="1">IFERROR(INDEX(Validation!F:F,MATCH("Bond 12"&amp;CELL("address",D14),Validation!I:I,0)),"")</f>
        <v/>
      </c>
    </row>
    <row r="15" spans="1:6" x14ac:dyDescent="0.25">
      <c r="A15" s="79" t="s">
        <v>214</v>
      </c>
      <c r="B15" s="121" t="str">
        <f>IF(NOT(ISBLANK('Bond Input'!N13)),'Bond Input'!N13,"")</f>
        <v/>
      </c>
      <c r="C15" s="132"/>
      <c r="D15" s="77" t="str">
        <f ca="1">IFERROR(INDEX(Validation!G:G,MATCH("Bond 12"&amp;CELL("address",D15),Validation!I:I,0)),"")</f>
        <v/>
      </c>
      <c r="E15" s="66" t="str">
        <f ca="1">IFERROR(INDEX(Validation!F:F,MATCH("Bond 12"&amp;CELL("address",D15),Validation!I:I,0)),"")</f>
        <v/>
      </c>
    </row>
    <row r="16" spans="1:6" x14ac:dyDescent="0.25">
      <c r="A16" s="79" t="s">
        <v>535</v>
      </c>
      <c r="B16" s="122" t="str">
        <f>IF(NOT(ISBLANK('Bond Input'!N14)),'Bond Input'!N14,"")</f>
        <v/>
      </c>
      <c r="C16" s="128"/>
      <c r="D16" s="77" t="str">
        <f ca="1">IFERROR(INDEX(Validation!G:G,MATCH("Bond 12"&amp;CELL("address",D16),Validation!I:I,0)),"")</f>
        <v/>
      </c>
      <c r="E16" s="66" t="str">
        <f ca="1">IFERROR(INDEX(Validation!F:F,MATCH("Bond 12"&amp;CELL("address",D16),Validation!I:I,0)),"")</f>
        <v/>
      </c>
    </row>
    <row r="17" spans="1:5" x14ac:dyDescent="0.25">
      <c r="A17" s="79" t="s">
        <v>230</v>
      </c>
      <c r="B17" s="122" t="str">
        <f>IF(NOT(ISBLANK('Bond Input'!N15)),'Bond Input'!N15,"")</f>
        <v/>
      </c>
      <c r="C17" s="128"/>
      <c r="D17" s="77" t="str">
        <f ca="1">IFERROR(INDEX(Validation!G:G,MATCH("Bond 12"&amp;CELL("address",D17),Validation!I:I,0)),"")</f>
        <v/>
      </c>
      <c r="E17" s="66" t="str">
        <f ca="1">IFERROR(INDEX(Validation!F:F,MATCH("Bond 12"&amp;CELL("address",D17),Validation!I:I,0)),"")</f>
        <v/>
      </c>
    </row>
    <row r="18" spans="1:5" x14ac:dyDescent="0.25">
      <c r="A18" s="79" t="s">
        <v>231</v>
      </c>
      <c r="B18" s="122" t="str">
        <f>IF(NOT(ISBLANK('Bond Input'!N16)),'Bond Input'!N16,"")</f>
        <v/>
      </c>
      <c r="C18" s="128"/>
      <c r="D18" s="77" t="str">
        <f ca="1">IFERROR(INDEX(Validation!G:G,MATCH("Bond 12"&amp;CELL("address",D18),Validation!I:I,0)),"")</f>
        <v/>
      </c>
      <c r="E18" s="66" t="str">
        <f ca="1">IFERROR(INDEX(Validation!F:F,MATCH("Bond 12"&amp;CELL("address",D18),Validation!I:I,0)),"")</f>
        <v/>
      </c>
    </row>
    <row r="19" spans="1:5" x14ac:dyDescent="0.25">
      <c r="A19" s="79" t="s">
        <v>216</v>
      </c>
      <c r="B19" s="122" t="str">
        <f>IF(NOT(ISBLANK('Bond Input'!N17)),'Bond Input'!N17,"")</f>
        <v/>
      </c>
      <c r="C19" s="128"/>
      <c r="D19" s="77" t="str">
        <f ca="1">IFERROR(INDEX(Validation!G:G,MATCH("Bond 12"&amp;CELL("address",D19),Validation!I:I,0)),"")</f>
        <v/>
      </c>
      <c r="E19" s="66" t="str">
        <f ca="1">IFERROR(INDEX(Validation!F:F,MATCH("Bond 12"&amp;CELL("address",D19),Validation!I:I,0)),"")</f>
        <v/>
      </c>
    </row>
    <row r="20" spans="1:5" x14ac:dyDescent="0.25">
      <c r="A20" s="79" t="s">
        <v>232</v>
      </c>
      <c r="B20" s="103" t="str">
        <f>IF(ISBLANK('Bond Input'!N18),"Select One",IF('Bond Input'!N18=TRUE,"Yes","No"))</f>
        <v>Select One</v>
      </c>
      <c r="D20" s="77" t="str">
        <f ca="1">IFERROR(INDEX(Validation!G:G,MATCH("Bond 12"&amp;CELL("address",D20),Validation!I:I,0)),"")</f>
        <v/>
      </c>
      <c r="E20" s="66" t="str">
        <f ca="1">IFERROR(INDEX(Validation!F:F,MATCH("Bond 12"&amp;CELL("address",D20),Validation!I:I,0)),"")</f>
        <v/>
      </c>
    </row>
    <row r="21" spans="1:5" ht="20.100000000000001" customHeight="1" x14ac:dyDescent="0.25">
      <c r="A21" s="74" t="s">
        <v>1183</v>
      </c>
      <c r="B21" s="74" t="s">
        <v>283</v>
      </c>
      <c r="C21" s="74" t="str">
        <f>Year_DestinationYearID&amp;" Amount"</f>
        <v>2024 Amount</v>
      </c>
      <c r="D21" s="77" t="str">
        <f ca="1">IFERROR(INDEX(Validation!G:G,MATCH("Bond 12"&amp;CELL("address",D21),Validation!I:I,0)),"")</f>
        <v/>
      </c>
      <c r="E21" s="66" t="str">
        <f ca="1">IFERROR(INDEX(Validation!F:F,MATCH("Bond 12"&amp;CELL("address",D21),Validation!I:I,0)),"")</f>
        <v/>
      </c>
    </row>
    <row r="22" spans="1:5" x14ac:dyDescent="0.25">
      <c r="A22" s="79" t="s">
        <v>266</v>
      </c>
      <c r="B22" s="122" t="str">
        <f>IF(NOT(ISBLANK('Bond Input'!N19)),'Bond Input'!N19,"")</f>
        <v/>
      </c>
      <c r="C22" s="122"/>
      <c r="D22" s="77" t="str">
        <f ca="1">IFERROR(INDEX(Validation!G:G,MATCH("Bond 12"&amp;CELL("address",D22),Validation!I:I,0)),"")</f>
        <v/>
      </c>
      <c r="E22" s="66" t="str">
        <f ca="1">IFERROR(INDEX(Validation!F:F,MATCH("Bond 12"&amp;CELL("address",D22),Validation!I:I,0)),"")</f>
        <v/>
      </c>
    </row>
    <row r="23" spans="1:5" x14ac:dyDescent="0.25">
      <c r="A23" s="79" t="s">
        <v>267</v>
      </c>
      <c r="B23" s="122" t="str">
        <f>IF(NOT(ISBLANK('Bond Input'!N21)),'Bond Input'!N21,"")</f>
        <v/>
      </c>
      <c r="C23" s="122"/>
      <c r="D23" s="77" t="str">
        <f ca="1">IFERROR(INDEX(Validation!G:G,MATCH("Bond 12"&amp;CELL("address",D23),Validation!I:I,0)),"")</f>
        <v/>
      </c>
      <c r="E23" s="66" t="str">
        <f ca="1">IFERROR(INDEX(Validation!F:F,MATCH("Bond 12"&amp;CELL("address",D23),Validation!I:I,0)),"")</f>
        <v/>
      </c>
    </row>
    <row r="24" spans="1:5" x14ac:dyDescent="0.25">
      <c r="A24" s="79" t="s">
        <v>268</v>
      </c>
      <c r="B24" s="122" t="str">
        <f>IF(NOT(ISBLANK('Bond Input'!N23)),'Bond Input'!N23,"")</f>
        <v/>
      </c>
      <c r="C24" s="122"/>
      <c r="D24" s="77" t="str">
        <f ca="1">IFERROR(INDEX(Validation!G:G,MATCH("Bond 12"&amp;CELL("address",D24),Validation!I:I,0)),"")</f>
        <v/>
      </c>
      <c r="E24" s="66" t="str">
        <f ca="1">IFERROR(INDEX(Validation!F:F,MATCH("Bond 12"&amp;CELL("address",D24),Validation!I:I,0)),"")</f>
        <v/>
      </c>
    </row>
    <row r="25" spans="1:5" x14ac:dyDescent="0.25">
      <c r="A25" s="79" t="s">
        <v>269</v>
      </c>
      <c r="B25" s="122" t="str">
        <f>IF(NOT(ISBLANK('Bond Input'!N25)),'Bond Input'!N25,"")</f>
        <v/>
      </c>
      <c r="C25" s="122"/>
      <c r="D25" s="77" t="str">
        <f ca="1">IFERROR(INDEX(Validation!G:G,MATCH("Bond 12"&amp;CELL("address",D25),Validation!I:I,0)),"")</f>
        <v/>
      </c>
      <c r="E25" s="66" t="str">
        <f ca="1">IFERROR(INDEX(Validation!F:F,MATCH("Bond 12"&amp;CELL("address",D25),Validation!I:I,0)),"")</f>
        <v/>
      </c>
    </row>
    <row r="26" spans="1:5" x14ac:dyDescent="0.25">
      <c r="A26" s="79" t="s">
        <v>1101</v>
      </c>
      <c r="B26" s="122" t="str">
        <f>IF(NOT(ISBLANK('Bond Input'!N27)),'Bond Input'!N27,"")</f>
        <v/>
      </c>
      <c r="C26" s="122"/>
      <c r="D26" s="77" t="str">
        <f ca="1">IFERROR(INDEX(Validation!G:G,MATCH("Bond 12"&amp;CELL("address",D26),Validation!I:I,0)),"")</f>
        <v/>
      </c>
      <c r="E26" s="66" t="str">
        <f ca="1">IFERROR(INDEX(Validation!F:F,MATCH("Bond 12"&amp;CELL("address",D26),Validation!I:I,0)),"")</f>
        <v/>
      </c>
    </row>
    <row r="27" spans="1:5" x14ac:dyDescent="0.25">
      <c r="A27" s="79" t="s">
        <v>270</v>
      </c>
      <c r="B27" s="122" t="str">
        <f>IF(NOT(ISBLANK('Bond Input'!N29)),'Bond Input'!N29,"")</f>
        <v/>
      </c>
      <c r="C27" s="122"/>
      <c r="D27" s="77" t="str">
        <f ca="1">IFERROR(INDEX(Validation!G:G,MATCH("Bond 12"&amp;CELL("address",D27),Validation!I:I,0)),"")</f>
        <v/>
      </c>
      <c r="E27" s="66" t="str">
        <f ca="1">IFERROR(INDEX(Validation!F:F,MATCH("Bond 12"&amp;CELL("address",D27),Validation!I:I,0)),"")</f>
        <v/>
      </c>
    </row>
    <row r="28" spans="1:5" x14ac:dyDescent="0.25">
      <c r="A28" s="79" t="s">
        <v>271</v>
      </c>
      <c r="B28" s="122" t="str">
        <f>IF(NOT(ISBLANK('Bond Input'!N31)),'Bond Input'!N31,"")</f>
        <v/>
      </c>
      <c r="C28" s="122"/>
      <c r="D28" s="77" t="str">
        <f ca="1">IFERROR(INDEX(Validation!G:G,MATCH("Bond 12"&amp;CELL("address",D28),Validation!I:I,0)),"")</f>
        <v/>
      </c>
      <c r="E28" s="66" t="str">
        <f ca="1">IFERROR(INDEX(Validation!F:F,MATCH("Bond 12"&amp;CELL("address",D28),Validation!I:I,0)),"")</f>
        <v/>
      </c>
    </row>
    <row r="29" spans="1:5" x14ac:dyDescent="0.25">
      <c r="A29" s="79" t="s">
        <v>272</v>
      </c>
      <c r="B29" s="122" t="str">
        <f>IF(NOT(ISBLANK('Bond Input'!N33)),'Bond Input'!N33,"")</f>
        <v/>
      </c>
      <c r="C29" s="122"/>
      <c r="D29" s="77" t="str">
        <f ca="1">IFERROR(INDEX(Validation!G:G,MATCH("Bond 12"&amp;CELL("address",D29),Validation!I:I,0)),"")</f>
        <v/>
      </c>
      <c r="E29" s="66" t="str">
        <f ca="1">IFERROR(INDEX(Validation!F:F,MATCH("Bond 12"&amp;CELL("address",D29),Validation!I:I,0)),"")</f>
        <v/>
      </c>
    </row>
    <row r="30" spans="1:5" x14ac:dyDescent="0.25">
      <c r="A30" s="79" t="s">
        <v>273</v>
      </c>
      <c r="B30" s="122" t="str">
        <f>IF(NOT(ISBLANK('Bond Input'!N35)),'Bond Input'!N35,"")</f>
        <v/>
      </c>
      <c r="C30" s="122"/>
      <c r="D30" s="77" t="str">
        <f ca="1">IFERROR(INDEX(Validation!G:G,MATCH("Bond 12"&amp;CELL("address",D30),Validation!I:I,0)),"")</f>
        <v/>
      </c>
      <c r="E30" s="66" t="str">
        <f ca="1">IFERROR(INDEX(Validation!F:F,MATCH("Bond 12"&amp;CELL("address",D30),Validation!I:I,0)),"")</f>
        <v/>
      </c>
    </row>
    <row r="31" spans="1:5" x14ac:dyDescent="0.25">
      <c r="A31" s="130" t="s">
        <v>1184</v>
      </c>
      <c r="B31" s="125">
        <f>SUM(B22:B30)</f>
        <v>0</v>
      </c>
      <c r="C31" s="125">
        <f>SUM(C22:C30)</f>
        <v>0</v>
      </c>
      <c r="D31" s="77" t="str">
        <f ca="1">IFERROR(INDEX(Validation!G:G,MATCH("Bond 12"&amp;CELL("address",D31),Validation!I:I,0)),"")</f>
        <v/>
      </c>
      <c r="E31" s="66" t="str">
        <f ca="1">IFERROR(INDEX(Validation!F:F,MATCH("Bond 12"&amp;CELL("address",D31),Validation!I:I,0)),"")</f>
        <v/>
      </c>
    </row>
    <row r="32" spans="1:5" x14ac:dyDescent="0.25">
      <c r="A32" s="130" t="s">
        <v>1185</v>
      </c>
      <c r="B32" s="125">
        <f>IF(B16="",0,B16-B31)</f>
        <v>0</v>
      </c>
      <c r="C32" s="125">
        <f>IF(B16="",0,B16-B31-C31)</f>
        <v>0</v>
      </c>
      <c r="D32" s="77" t="str">
        <f ca="1">IFERROR(INDEX(Validation!G:G,MATCH("Bond 12"&amp;CELL("address",D32),Validation!I:I,0)),"")</f>
        <v/>
      </c>
      <c r="E32" s="66" t="str">
        <f ca="1">IFERROR(INDEX(Validation!F:F,MATCH("Bond 12"&amp;CELL("address",D32),Validation!I:I,0)),"")</f>
        <v/>
      </c>
    </row>
    <row r="33" spans="1:5" x14ac:dyDescent="0.25">
      <c r="A33" s="131" t="s">
        <v>1186</v>
      </c>
      <c r="B33" s="122" t="str">
        <f>IF(NOT(ISBLANK('Bond Input'!N41)),'Bond Input'!N41,"")</f>
        <v/>
      </c>
      <c r="C33" s="122"/>
      <c r="D33" s="77" t="str">
        <f ca="1">IFERROR(INDEX(Validation!G:G,MATCH("Bond 12"&amp;CELL("address",D33),Validation!I:I,0)),"")</f>
        <v/>
      </c>
      <c r="E33" s="66" t="str">
        <f ca="1">IFERROR(INDEX(Validation!F:F,MATCH("Bond 12"&amp;CELL("address",D33),Validation!I:I,0)),"")</f>
        <v/>
      </c>
    </row>
    <row r="34" spans="1:5" x14ac:dyDescent="0.25">
      <c r="A34" s="131" t="s">
        <v>1187</v>
      </c>
      <c r="B34" s="122" t="str">
        <f>IF(NOT(ISBLANK('Bond Input'!N43)),'Bond Input'!N43,"")</f>
        <v/>
      </c>
      <c r="C34" s="122"/>
      <c r="D34" s="77" t="str">
        <f ca="1">IFERROR(INDEX(Validation!G:G,MATCH("Bond 12"&amp;CELL("address",D34),Validation!I:I,0)),"")</f>
        <v/>
      </c>
      <c r="E34" s="66" t="str">
        <f ca="1">IFERROR(INDEX(Validation!F:F,MATCH("Bond 12"&amp;CELL("address",D34),Validation!I:I,0)),"")</f>
        <v/>
      </c>
    </row>
    <row r="35" spans="1:5" ht="20.100000000000001" customHeight="1" x14ac:dyDescent="0.25">
      <c r="A35" s="74" t="s">
        <v>684</v>
      </c>
      <c r="B35" s="74" t="s">
        <v>283</v>
      </c>
      <c r="C35" s="74" t="str">
        <f>Year_DestinationYearID&amp;" Amount"</f>
        <v>2024 Amount</v>
      </c>
      <c r="D35" s="77" t="str">
        <f ca="1">IFERROR(INDEX(Validation!G:G,MATCH("Bond 12"&amp;CELL("address",D35),Validation!I:I,0)),"")</f>
        <v/>
      </c>
      <c r="E35" s="66" t="str">
        <f ca="1">IFERROR(INDEX(Validation!F:F,MATCH("Bond 12"&amp;CELL("address",D35),Validation!I:I,0)),"")</f>
        <v/>
      </c>
    </row>
    <row r="36" spans="1:5" x14ac:dyDescent="0.25">
      <c r="A36" s="79" t="s">
        <v>1188</v>
      </c>
      <c r="B36" s="122" t="str">
        <f>IF(NOT(ISBLANK('Bond Input'!N45)),'Bond Input'!N45,"")</f>
        <v/>
      </c>
      <c r="C36" s="122"/>
      <c r="D36" s="77" t="str">
        <f ca="1">IFERROR(INDEX(Validation!G:G,MATCH("Bond 12"&amp;CELL("address",D36),Validation!I:I,0)),"")</f>
        <v/>
      </c>
      <c r="E36" s="66" t="str">
        <f ca="1">IFERROR(INDEX(Validation!F:F,MATCH("Bond 12"&amp;CELL("address",D36),Validation!I:I,0)),"")</f>
        <v/>
      </c>
    </row>
    <row r="37" spans="1:5" x14ac:dyDescent="0.25">
      <c r="A37" s="79" t="s">
        <v>1189</v>
      </c>
      <c r="B37" s="122" t="str">
        <f>IF(NOT(ISBLANK('Bond Input'!N47)),'Bond Input'!N47,"")</f>
        <v/>
      </c>
      <c r="C37" s="122"/>
      <c r="D37" s="77" t="str">
        <f ca="1">IFERROR(INDEX(Validation!G:G,MATCH("Bond 12"&amp;CELL("address",D37),Validation!I:I,0)),"")</f>
        <v/>
      </c>
      <c r="E37" s="66" t="str">
        <f ca="1">IFERROR(INDEX(Validation!F:F,MATCH("Bond 12"&amp;CELL("address",D37),Validation!I:I,0)),"")</f>
        <v/>
      </c>
    </row>
    <row r="38" spans="1:5" x14ac:dyDescent="0.25">
      <c r="A38" s="79" t="s">
        <v>1190</v>
      </c>
      <c r="B38" s="122" t="str">
        <f>IF(NOT(ISBLANK('Bond Input'!N49)),'Bond Input'!N49,"")</f>
        <v/>
      </c>
      <c r="C38" s="122"/>
      <c r="D38" s="77" t="str">
        <f ca="1">IFERROR(INDEX(Validation!G:G,MATCH("Bond 12"&amp;CELL("address",D38),Validation!I:I,0)),"")</f>
        <v/>
      </c>
      <c r="E38" s="66" t="str">
        <f ca="1">IFERROR(INDEX(Validation!F:F,MATCH("Bond 12"&amp;CELL("address",D38),Validation!I:I,0)),"")</f>
        <v/>
      </c>
    </row>
    <row r="39" spans="1:5" x14ac:dyDescent="0.25">
      <c r="A39" s="79" t="s">
        <v>221</v>
      </c>
      <c r="B39" s="125" t="str">
        <f>IFERROR(IF(B11="Yes","See Pooled Debt",IF(B8="Non-TIF Bond","NA/Non-TIF Bond",B16-B19-B36-B37+B38)),"")</f>
        <v/>
      </c>
      <c r="C39" s="125" t="str">
        <f>IFERROR(IF(B11="Yes","See Pooled Debt",IF(B8="Non-TIF Bond","NA/Non-TIF Bond",B16-B19-B36-B37-C36-C37+B38+C38)),"")</f>
        <v/>
      </c>
      <c r="D39" s="77" t="str">
        <f ca="1">IFERROR(INDEX(Validation!G:G,MATCH("Bond 12"&amp;CELL("address",D39),Validation!I:I,0)),"")</f>
        <v/>
      </c>
      <c r="E39" s="66" t="str">
        <f ca="1">IFERROR(INDEX(Validation!F:F,MATCH("Bond 12"&amp;CELL("address",D39),Validation!I:I,0)),"")</f>
        <v/>
      </c>
    </row>
    <row r="40" spans="1:5" x14ac:dyDescent="0.25">
      <c r="A40" s="79" t="s">
        <v>223</v>
      </c>
      <c r="B40" s="122" t="str">
        <f>IF(NOT(ISBLANK('Bond Input'!N53)),'Bond Input'!N53,"")</f>
        <v/>
      </c>
      <c r="C40" s="122"/>
      <c r="D40" s="77" t="str">
        <f ca="1">IFERROR(INDEX(Validation!G:G,MATCH("Bond 12"&amp;CELL("address",D40),Validation!I:I,0)),"")</f>
        <v/>
      </c>
      <c r="E40" s="66" t="str">
        <f ca="1">IFERROR(INDEX(Validation!F:F,MATCH("Bond 12"&amp;CELL("address",D40),Validation!I:I,0)),"")</f>
        <v/>
      </c>
    </row>
    <row r="41" spans="1:5" x14ac:dyDescent="0.25">
      <c r="A41" s="79" t="s">
        <v>1191</v>
      </c>
      <c r="B41" s="122" t="str">
        <f>IF(NOT(ISBLANK('Bond Input'!N55)),'Bond Input'!N55,"")</f>
        <v/>
      </c>
      <c r="C41" s="122"/>
      <c r="D41" s="77" t="str">
        <f ca="1">IFERROR(INDEX(Validation!G:G,MATCH("Bond 12"&amp;CELL("address",D41),Validation!I:I,0)),"")</f>
        <v/>
      </c>
      <c r="E41" s="66" t="str">
        <f ca="1">IFERROR(INDEX(Validation!F:F,MATCH("Bond 12"&amp;CELL("address",D41),Validation!I:I,0)),"")</f>
        <v/>
      </c>
    </row>
    <row r="42" spans="1:5" x14ac:dyDescent="0.25">
      <c r="A42" s="79" t="s">
        <v>1192</v>
      </c>
      <c r="B42" s="122" t="str">
        <f>IF(NOT(ISBLANK('Bond Input'!N57)),'Bond Input'!N57,"")</f>
        <v/>
      </c>
      <c r="C42" s="122"/>
      <c r="D42" s="77" t="str">
        <f ca="1">IFERROR(INDEX(Validation!G:G,MATCH("Bond 12"&amp;CELL("address",D42),Validation!I:I,0)),"")</f>
        <v/>
      </c>
      <c r="E42" s="66" t="str">
        <f ca="1">IFERROR(INDEX(Validation!F:F,MATCH("Bond 12"&amp;CELL("address",D42),Validation!I:I,0)),"")</f>
        <v/>
      </c>
    </row>
    <row r="43" spans="1:5" ht="20.100000000000001" customHeight="1" x14ac:dyDescent="0.25">
      <c r="A43" s="74" t="str">
        <f>"Principal and Interest Due in "&amp;Year_DestinationYearID+1</f>
        <v>Principal and Interest Due in 2025</v>
      </c>
      <c r="B43" s="128"/>
      <c r="C43" s="128"/>
      <c r="D43" s="77"/>
    </row>
    <row r="44" spans="1:5" x14ac:dyDescent="0.25">
      <c r="A44" s="79" t="str">
        <f>"Principal Due in "&amp;Year_DestinationYearID+1</f>
        <v>Principal Due in 2025</v>
      </c>
      <c r="B44" s="122"/>
      <c r="C44" s="128"/>
      <c r="D44" s="77" t="str">
        <f ca="1">IFERROR(INDEX(Validation!G:G,MATCH("Bond 12"&amp;CELL("address",D44),Validation!I:I,0)),"")</f>
        <v/>
      </c>
      <c r="E44" s="66" t="str">
        <f ca="1">IFERROR(INDEX(Validation!F:F,MATCH("Bond 12"&amp;CELL("address",D44),Validation!I:I,0)),"")</f>
        <v/>
      </c>
    </row>
    <row r="45" spans="1:5" x14ac:dyDescent="0.25">
      <c r="A45" s="79" t="str">
        <f>"Interest Due in "&amp;Year_DestinationYearID+1</f>
        <v>Interest Due in 2025</v>
      </c>
      <c r="B45" s="122"/>
      <c r="C45" s="128"/>
      <c r="D45" s="77" t="str">
        <f ca="1">IFERROR(INDEX(Validation!G:G,MATCH("Bond 12"&amp;CELL("address",D45),Validation!I:I,0)),"")</f>
        <v/>
      </c>
      <c r="E45" s="66" t="str">
        <f ca="1">IFERROR(INDEX(Validation!F:F,MATCH("Bond 12"&amp;CELL("address",D45),Validation!I:I,0)),"")</f>
        <v/>
      </c>
    </row>
    <row r="46" spans="1:5" ht="20.100000000000001" customHeight="1" x14ac:dyDescent="0.25">
      <c r="A46" s="97" t="s">
        <v>176</v>
      </c>
      <c r="D46" s="77" t="str">
        <f ca="1">IF(AND(ISBLANK(A47),OR(COUNTIF(E6:E45,"Alert")&gt;0,SUM(B38:B38)&lt;&gt;0)),"Comment(s) required for remaining alert(s) and/or additions/reductions to principal.",IFERROR(INDEX(Validation!G:G,MATCH("Bond 12"&amp;CELL("address",D47),Validation!I:I,0)),""))</f>
        <v/>
      </c>
      <c r="E46" s="66" t="str">
        <f ca="1">IF(AND(ISBLANK(A47),OR(COUNTIF(E6:E45,"Alert")&gt;0,SUM(B38:B38)&lt;&gt;0)),"Error",IFERROR(INDEX(Validation!F:F,MATCH("Bond 12"&amp;CELL("address",D47),Validation!I:I,0)),""))</f>
        <v/>
      </c>
    </row>
    <row r="47" spans="1:5" ht="150" customHeight="1" x14ac:dyDescent="0.25">
      <c r="A47" s="123"/>
      <c r="B47" s="100" t="str">
        <f>HYPERLINK("#'Bonds'!B6","Click here to return to the Bonds Tab")</f>
        <v>Click here to return to the Bonds Tab</v>
      </c>
      <c r="C47" s="127"/>
    </row>
    <row r="48" spans="1:5" x14ac:dyDescent="0.25">
      <c r="A48" s="98"/>
      <c r="B48" s="98"/>
      <c r="C48" s="98"/>
    </row>
    <row r="49" spans="1:3" x14ac:dyDescent="0.25">
      <c r="A49" s="98"/>
      <c r="B49" s="98"/>
      <c r="C49" s="98"/>
    </row>
    <row r="50" spans="1:3" x14ac:dyDescent="0.25">
      <c r="A50" s="98"/>
      <c r="B50" s="98"/>
      <c r="C50" s="98"/>
    </row>
    <row r="51" spans="1:3" x14ac:dyDescent="0.25">
      <c r="A51" s="98"/>
      <c r="B51" s="98"/>
      <c r="C51" s="98"/>
    </row>
  </sheetData>
  <sheetProtection algorithmName="SHA-512" hashValue="RA4vUObRNy3SNvE3cbatFTeAcO2QDT7LuOzJhD8OF7InGj7TyNBSIzN/wkWkbPKUtw0ysJOcpc9gJs/aUR9lzw==" saltValue="CQ6LTUaDPWa1SfNCVlVb1w==" spinCount="100000" sheet="1" objects="1" scenarios="1"/>
  <mergeCells count="1">
    <mergeCell ref="A4:E4"/>
  </mergeCells>
  <conditionalFormatting sqref="A2 D6:E46">
    <cfRule type="expression" dxfId="398" priority="6">
      <formula>$E2="Exclude"</formula>
    </cfRule>
  </conditionalFormatting>
  <conditionalFormatting sqref="A2">
    <cfRule type="expression" dxfId="397" priority="4">
      <formula>$E2="Error"</formula>
    </cfRule>
  </conditionalFormatting>
  <conditionalFormatting sqref="D6:E46">
    <cfRule type="expression" dxfId="395" priority="1">
      <formula>$E6="Information"</formula>
    </cfRule>
    <cfRule type="expression" dxfId="394" priority="2">
      <formula>$E6="Error"</formula>
    </cfRule>
    <cfRule type="expression" dxfId="393" priority="3">
      <formula>$E6="Alert"</formula>
    </cfRule>
  </conditionalFormatting>
  <dataValidations count="2">
    <dataValidation type="list" allowBlank="1" showInputMessage="1" showErrorMessage="1" sqref="B9:C11 B20:C20" xr:uid="{B72C9511-18C7-4BA9-848E-A3B660ABA1D7}">
      <formula1>SelOneYesNo</formula1>
    </dataValidation>
    <dataValidation type="list" allowBlank="1" showInputMessage="1" showErrorMessage="1" sqref="B8:C8" xr:uid="{E99AFB09-0090-47BA-ABD4-09EEE343012A}">
      <formula1>BondType</formula1>
    </dataValidation>
  </dataValidations>
  <pageMargins left="0.7" right="0.7" top="0.75" bottom="0.75" header="0.3" footer="0.3"/>
  <pageSetup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5" id="{98C3A39F-8745-4518-BCF3-E744FBD4235A}">
            <xm:f>COUNTIFS(Validation!$H:$H,MID(CELL("filename",A2),FIND("]",CELL("filename",A2))+1,255)&amp;CELL("address",A2))&gt;0</xm:f>
            <x14:dxf>
              <font>
                <b/>
                <i val="0"/>
                <color rgb="FFC00000"/>
              </font>
              <numFmt numFmtId="172" formatCode="_(\!* #,##0_);_(\!* \(#,##0\);_(\!* \-??_);_(\!\ @_)"/>
            </x14:dxf>
          </x14:cfRule>
          <xm:sqref>A2</xm:sqref>
        </x14:conditionalFormatting>
      </x14:conditionalFormatting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C7AEF-BA29-4228-AC9C-93CD6F787BF1}">
  <sheetPr>
    <tabColor rgb="FFEED382"/>
  </sheetPr>
  <dimension ref="A1:F51"/>
  <sheetViews>
    <sheetView showGridLines="0" workbookViewId="0">
      <selection activeCell="B7" sqref="B7"/>
    </sheetView>
  </sheetViews>
  <sheetFormatPr defaultRowHeight="15" x14ac:dyDescent="0.25"/>
  <cols>
    <col min="1" max="1" width="55.7109375" style="66" customWidth="1"/>
    <col min="2" max="3" width="20.7109375" style="66" customWidth="1"/>
    <col min="4" max="4" width="80.85546875" style="66" customWidth="1"/>
    <col min="5" max="5" width="14.7109375" style="66" customWidth="1"/>
    <col min="6" max="6" width="0" style="78" hidden="1" customWidth="1"/>
    <col min="7" max="16384" width="9.140625" style="66"/>
  </cols>
  <sheetData>
    <row r="1" spans="1:6" s="59" customFormat="1" ht="24.95" customHeight="1" x14ac:dyDescent="0.25">
      <c r="A1" s="59" t="str">
        <f>_xlfn.CONCAT("Office of the State Auditor  -  TIF Annual Reporting Form  -  ",Year_DestinationYearID)</f>
        <v>Office of the State Auditor  -  TIF Annual Reporting Form  -  2024</v>
      </c>
      <c r="F1" s="61"/>
    </row>
    <row r="2" spans="1:6" s="62" customFormat="1" ht="20.100000000000001" customHeight="1" x14ac:dyDescent="0.25">
      <c r="A2" s="58" t="str">
        <f>_xlfn.CONCAT(GovEntity_GovEntityName_Parent,"  -  ",GovEntity_GovEntityName)</f>
        <v>Spruce City  -  TIF 1-1 Downtown Redev</v>
      </c>
      <c r="F2" s="64"/>
    </row>
    <row r="3" spans="1:6" s="68" customFormat="1" ht="24.95" customHeight="1" x14ac:dyDescent="0.3">
      <c r="A3" s="65" t="s">
        <v>206</v>
      </c>
      <c r="B3" s="66"/>
      <c r="C3" s="66"/>
      <c r="F3" s="69"/>
    </row>
    <row r="4" spans="1:6" s="71" customFormat="1" x14ac:dyDescent="0.25">
      <c r="A4" s="217" t="s">
        <v>207</v>
      </c>
      <c r="B4" s="217"/>
      <c r="C4" s="217"/>
      <c r="D4" s="217"/>
      <c r="E4" s="217"/>
      <c r="F4" s="72" t="s">
        <v>119</v>
      </c>
    </row>
    <row r="5" spans="1:6" s="74" customFormat="1" ht="20.100000000000001" customHeight="1" x14ac:dyDescent="0.25">
      <c r="A5" s="73" t="str">
        <f>HYPERLINK("#'Bonds'!B6","Click here to return to the Bonds Tab")</f>
        <v>Click here to return to the Bonds Tab</v>
      </c>
      <c r="D5" s="74" t="s">
        <v>121</v>
      </c>
      <c r="E5" s="74" t="s">
        <v>102</v>
      </c>
      <c r="F5" s="76"/>
    </row>
    <row r="6" spans="1:6" ht="20.100000000000001" customHeight="1" x14ac:dyDescent="0.25">
      <c r="A6" s="74" t="s">
        <v>208</v>
      </c>
      <c r="D6" s="77" t="str">
        <f ca="1">IFERROR(INDEX(Validation!G:G,MATCH("Bond 13"&amp;CELL("address",D6),Validation!I:I,0)),"")</f>
        <v/>
      </c>
      <c r="E6" s="66" t="str">
        <f ca="1">IFERROR(INDEX(Validation!F:F,MATCH("Bond 13"&amp;CELL("address",D6),Validation!I:I,0)),"")</f>
        <v/>
      </c>
      <c r="F6" s="78" t="s">
        <v>1008</v>
      </c>
    </row>
    <row r="7" spans="1:6" x14ac:dyDescent="0.25">
      <c r="A7" s="79" t="s">
        <v>210</v>
      </c>
      <c r="B7" s="103" t="str">
        <f>IF(NOT(ISBLANK('Bond Input'!O5)),'Bond Input'!O5,"")</f>
        <v/>
      </c>
      <c r="D7" s="77" t="str">
        <f ca="1">IFERROR(INDEX(Validation!G:G,MATCH("Bond 13"&amp;CELL("address",D7),Validation!I:I,0)),"")</f>
        <v/>
      </c>
      <c r="E7" s="66" t="str">
        <f ca="1">IFERROR(INDEX(Validation!F:F,MATCH("Bond 13"&amp;CELL("address",D7),Validation!I:I,0)),"")</f>
        <v/>
      </c>
      <c r="F7" s="85" t="str">
        <f>IF(NOT(ISBLANK('Bond Input'!O4)),'Bond Input'!O4,"")</f>
        <v/>
      </c>
    </row>
    <row r="8" spans="1:6" x14ac:dyDescent="0.25">
      <c r="A8" s="79" t="s">
        <v>209</v>
      </c>
      <c r="B8" s="103" t="str">
        <f>IF(NOT(ISBLANK('Bond Input'!O6)),'Bond Input'!O6,"Select One")</f>
        <v>Select One</v>
      </c>
      <c r="D8" s="77" t="str">
        <f ca="1">IFERROR(INDEX(Validation!G:G,MATCH("Bond 13"&amp;CELL("address",D8),Validation!I:I,0)),"")</f>
        <v/>
      </c>
      <c r="E8" s="66" t="str">
        <f ca="1">IFERROR(INDEX(Validation!F:F,MATCH("Bond 13"&amp;CELL("address",D8),Validation!I:I,0)),"")</f>
        <v/>
      </c>
    </row>
    <row r="9" spans="1:6" x14ac:dyDescent="0.25">
      <c r="A9" s="79" t="s">
        <v>227</v>
      </c>
      <c r="B9" s="103" t="str">
        <f>IF(NOT(ISBLANK('Bond Input'!O7)),'Bond Input'!O7,"Select One")</f>
        <v>Select One</v>
      </c>
      <c r="D9" s="77" t="str">
        <f ca="1">IFERROR(INDEX(Validation!G:G,MATCH("Bond 13"&amp;CELL("address",D9),Validation!I:I,0)),"")</f>
        <v/>
      </c>
      <c r="E9" s="66" t="str">
        <f ca="1">IFERROR(INDEX(Validation!F:F,MATCH("Bond 13"&amp;CELL("address",D9),Validation!I:I,0)),"")</f>
        <v/>
      </c>
    </row>
    <row r="10" spans="1:6" x14ac:dyDescent="0.25">
      <c r="A10" s="79" t="s">
        <v>228</v>
      </c>
      <c r="B10" s="103" t="str">
        <f>IF(NOT(ISBLANK('Bond Input'!O8)),'Bond Input'!O8,"Select One")</f>
        <v>Select One</v>
      </c>
      <c r="D10" s="77" t="str">
        <f ca="1">IFERROR(INDEX(Validation!G:G,MATCH("Bond 13"&amp;CELL("address",D10),Validation!I:I,0)),"")</f>
        <v/>
      </c>
      <c r="E10" s="66" t="str">
        <f ca="1">IFERROR(INDEX(Validation!F:F,MATCH("Bond 13"&amp;CELL("address",D10),Validation!I:I,0)),"")</f>
        <v/>
      </c>
    </row>
    <row r="11" spans="1:6" x14ac:dyDescent="0.25">
      <c r="A11" s="79" t="s">
        <v>229</v>
      </c>
      <c r="B11" s="103" t="str">
        <f>IF(NOT(ISBLANK('Bond Input'!O9)),'Bond Input'!O9,"Select One")</f>
        <v>Select One</v>
      </c>
      <c r="D11" s="77" t="str">
        <f ca="1">IFERROR(INDEX(Validation!G:G,MATCH("Bond 13"&amp;CELL("address",D11),Validation!I:I,0)),"")</f>
        <v/>
      </c>
      <c r="E11" s="66" t="str">
        <f ca="1">IFERROR(INDEX(Validation!F:F,MATCH("Bond 13"&amp;CELL("address",D11),Validation!I:I,0)),"")</f>
        <v/>
      </c>
    </row>
    <row r="12" spans="1:6" x14ac:dyDescent="0.25">
      <c r="A12" s="79" t="s">
        <v>211</v>
      </c>
      <c r="B12" s="120" t="str">
        <f>IF(NOT(ISBLANK('Bond Input'!O10)),'Bond Input'!O10,"")</f>
        <v/>
      </c>
      <c r="C12" s="129"/>
      <c r="D12" s="77" t="str">
        <f ca="1">IFERROR(INDEX(Validation!G:G,MATCH("Bond 13"&amp;CELL("address",D12),Validation!I:I,0)),"")</f>
        <v/>
      </c>
      <c r="E12" s="66" t="str">
        <f ca="1">IFERROR(INDEX(Validation!F:F,MATCH("Bond 13"&amp;CELL("address",D12),Validation!I:I,0)),"")</f>
        <v/>
      </c>
    </row>
    <row r="13" spans="1:6" x14ac:dyDescent="0.25">
      <c r="A13" s="79" t="s">
        <v>212</v>
      </c>
      <c r="B13" s="120" t="str">
        <f>IF(NOT(ISBLANK('Bond Input'!O11)),'Bond Input'!O11,"")</f>
        <v/>
      </c>
      <c r="C13" s="129"/>
      <c r="D13" s="77" t="str">
        <f ca="1">IFERROR(INDEX(Validation!G:G,MATCH("Bond 13"&amp;CELL("address",D13),Validation!I:I,0)),"")</f>
        <v/>
      </c>
      <c r="E13" s="66" t="str">
        <f ca="1">IFERROR(INDEX(Validation!F:F,MATCH("Bond 13"&amp;CELL("address",D13),Validation!I:I,0)),"")</f>
        <v/>
      </c>
    </row>
    <row r="14" spans="1:6" x14ac:dyDescent="0.25">
      <c r="A14" s="79" t="s">
        <v>213</v>
      </c>
      <c r="B14" s="121" t="str">
        <f>IF(NOT(ISBLANK('Bond Input'!O12)),'Bond Input'!O12,"")</f>
        <v/>
      </c>
      <c r="C14" s="132"/>
      <c r="D14" s="77" t="str">
        <f ca="1">IFERROR(INDEX(Validation!G:G,MATCH("Bond 13"&amp;CELL("address",D14),Validation!I:I,0)),"")</f>
        <v/>
      </c>
      <c r="E14" s="66" t="str">
        <f ca="1">IFERROR(INDEX(Validation!F:F,MATCH("Bond 13"&amp;CELL("address",D14),Validation!I:I,0)),"")</f>
        <v/>
      </c>
    </row>
    <row r="15" spans="1:6" x14ac:dyDescent="0.25">
      <c r="A15" s="79" t="s">
        <v>214</v>
      </c>
      <c r="B15" s="121" t="str">
        <f>IF(NOT(ISBLANK('Bond Input'!O13)),'Bond Input'!O13,"")</f>
        <v/>
      </c>
      <c r="C15" s="132"/>
      <c r="D15" s="77" t="str">
        <f ca="1">IFERROR(INDEX(Validation!G:G,MATCH("Bond 13"&amp;CELL("address",D15),Validation!I:I,0)),"")</f>
        <v/>
      </c>
      <c r="E15" s="66" t="str">
        <f ca="1">IFERROR(INDEX(Validation!F:F,MATCH("Bond 13"&amp;CELL("address",D15),Validation!I:I,0)),"")</f>
        <v/>
      </c>
    </row>
    <row r="16" spans="1:6" x14ac:dyDescent="0.25">
      <c r="A16" s="79" t="s">
        <v>535</v>
      </c>
      <c r="B16" s="122" t="str">
        <f>IF(NOT(ISBLANK('Bond Input'!O14)),'Bond Input'!O14,"")</f>
        <v/>
      </c>
      <c r="C16" s="128"/>
      <c r="D16" s="77" t="str">
        <f ca="1">IFERROR(INDEX(Validation!G:G,MATCH("Bond 13"&amp;CELL("address",D16),Validation!I:I,0)),"")</f>
        <v/>
      </c>
      <c r="E16" s="66" t="str">
        <f ca="1">IFERROR(INDEX(Validation!F:F,MATCH("Bond 13"&amp;CELL("address",D16),Validation!I:I,0)),"")</f>
        <v/>
      </c>
    </row>
    <row r="17" spans="1:5" x14ac:dyDescent="0.25">
      <c r="A17" s="79" t="s">
        <v>230</v>
      </c>
      <c r="B17" s="122" t="str">
        <f>IF(NOT(ISBLANK('Bond Input'!O15)),'Bond Input'!O15,"")</f>
        <v/>
      </c>
      <c r="C17" s="128"/>
      <c r="D17" s="77" t="str">
        <f ca="1">IFERROR(INDEX(Validation!G:G,MATCH("Bond 13"&amp;CELL("address",D17),Validation!I:I,0)),"")</f>
        <v/>
      </c>
      <c r="E17" s="66" t="str">
        <f ca="1">IFERROR(INDEX(Validation!F:F,MATCH("Bond 13"&amp;CELL("address",D17),Validation!I:I,0)),"")</f>
        <v/>
      </c>
    </row>
    <row r="18" spans="1:5" x14ac:dyDescent="0.25">
      <c r="A18" s="79" t="s">
        <v>231</v>
      </c>
      <c r="B18" s="122" t="str">
        <f>IF(NOT(ISBLANK('Bond Input'!O16)),'Bond Input'!O16,"")</f>
        <v/>
      </c>
      <c r="C18" s="128"/>
      <c r="D18" s="77" t="str">
        <f ca="1">IFERROR(INDEX(Validation!G:G,MATCH("Bond 13"&amp;CELL("address",D18),Validation!I:I,0)),"")</f>
        <v/>
      </c>
      <c r="E18" s="66" t="str">
        <f ca="1">IFERROR(INDEX(Validation!F:F,MATCH("Bond 13"&amp;CELL("address",D18),Validation!I:I,0)),"")</f>
        <v/>
      </c>
    </row>
    <row r="19" spans="1:5" x14ac:dyDescent="0.25">
      <c r="A19" s="79" t="s">
        <v>216</v>
      </c>
      <c r="B19" s="122" t="str">
        <f>IF(NOT(ISBLANK('Bond Input'!O17)),'Bond Input'!O17,"")</f>
        <v/>
      </c>
      <c r="C19" s="128"/>
      <c r="D19" s="77" t="str">
        <f ca="1">IFERROR(INDEX(Validation!G:G,MATCH("Bond 13"&amp;CELL("address",D19),Validation!I:I,0)),"")</f>
        <v/>
      </c>
      <c r="E19" s="66" t="str">
        <f ca="1">IFERROR(INDEX(Validation!F:F,MATCH("Bond 13"&amp;CELL("address",D19),Validation!I:I,0)),"")</f>
        <v/>
      </c>
    </row>
    <row r="20" spans="1:5" x14ac:dyDescent="0.25">
      <c r="A20" s="79" t="s">
        <v>232</v>
      </c>
      <c r="B20" s="103" t="str">
        <f>IF(ISBLANK('Bond Input'!O18),"Select One",IF('Bond Input'!O18=TRUE,"Yes","No"))</f>
        <v>Select One</v>
      </c>
      <c r="D20" s="77" t="str">
        <f ca="1">IFERROR(INDEX(Validation!G:G,MATCH("Bond 13"&amp;CELL("address",D20),Validation!I:I,0)),"")</f>
        <v/>
      </c>
      <c r="E20" s="66" t="str">
        <f ca="1">IFERROR(INDEX(Validation!F:F,MATCH("Bond 13"&amp;CELL("address",D20),Validation!I:I,0)),"")</f>
        <v/>
      </c>
    </row>
    <row r="21" spans="1:5" ht="20.100000000000001" customHeight="1" x14ac:dyDescent="0.25">
      <c r="A21" s="74" t="s">
        <v>1183</v>
      </c>
      <c r="B21" s="74" t="s">
        <v>283</v>
      </c>
      <c r="C21" s="74" t="str">
        <f>Year_DestinationYearID&amp;" Amount"</f>
        <v>2024 Amount</v>
      </c>
      <c r="D21" s="77" t="str">
        <f ca="1">IFERROR(INDEX(Validation!G:G,MATCH("Bond 13"&amp;CELL("address",D21),Validation!I:I,0)),"")</f>
        <v/>
      </c>
      <c r="E21" s="66" t="str">
        <f ca="1">IFERROR(INDEX(Validation!F:F,MATCH("Bond 13"&amp;CELL("address",D21),Validation!I:I,0)),"")</f>
        <v/>
      </c>
    </row>
    <row r="22" spans="1:5" x14ac:dyDescent="0.25">
      <c r="A22" s="79" t="s">
        <v>266</v>
      </c>
      <c r="B22" s="122" t="str">
        <f>IF(NOT(ISBLANK('Bond Input'!O19)),'Bond Input'!O19,"")</f>
        <v/>
      </c>
      <c r="C22" s="122"/>
      <c r="D22" s="77" t="str">
        <f ca="1">IFERROR(INDEX(Validation!G:G,MATCH("Bond 13"&amp;CELL("address",D22),Validation!I:I,0)),"")</f>
        <v/>
      </c>
      <c r="E22" s="66" t="str">
        <f ca="1">IFERROR(INDEX(Validation!F:F,MATCH("Bond 13"&amp;CELL("address",D22),Validation!I:I,0)),"")</f>
        <v/>
      </c>
    </row>
    <row r="23" spans="1:5" x14ac:dyDescent="0.25">
      <c r="A23" s="79" t="s">
        <v>267</v>
      </c>
      <c r="B23" s="122" t="str">
        <f>IF(NOT(ISBLANK('Bond Input'!O21)),'Bond Input'!O21,"")</f>
        <v/>
      </c>
      <c r="C23" s="122"/>
      <c r="D23" s="77" t="str">
        <f ca="1">IFERROR(INDEX(Validation!G:G,MATCH("Bond 13"&amp;CELL("address",D23),Validation!I:I,0)),"")</f>
        <v/>
      </c>
      <c r="E23" s="66" t="str">
        <f ca="1">IFERROR(INDEX(Validation!F:F,MATCH("Bond 13"&amp;CELL("address",D23),Validation!I:I,0)),"")</f>
        <v/>
      </c>
    </row>
    <row r="24" spans="1:5" x14ac:dyDescent="0.25">
      <c r="A24" s="79" t="s">
        <v>268</v>
      </c>
      <c r="B24" s="122" t="str">
        <f>IF(NOT(ISBLANK('Bond Input'!O23)),'Bond Input'!O23,"")</f>
        <v/>
      </c>
      <c r="C24" s="122"/>
      <c r="D24" s="77" t="str">
        <f ca="1">IFERROR(INDEX(Validation!G:G,MATCH("Bond 13"&amp;CELL("address",D24),Validation!I:I,0)),"")</f>
        <v/>
      </c>
      <c r="E24" s="66" t="str">
        <f ca="1">IFERROR(INDEX(Validation!F:F,MATCH("Bond 13"&amp;CELL("address",D24),Validation!I:I,0)),"")</f>
        <v/>
      </c>
    </row>
    <row r="25" spans="1:5" x14ac:dyDescent="0.25">
      <c r="A25" s="79" t="s">
        <v>269</v>
      </c>
      <c r="B25" s="122" t="str">
        <f>IF(NOT(ISBLANK('Bond Input'!O25)),'Bond Input'!O25,"")</f>
        <v/>
      </c>
      <c r="C25" s="122"/>
      <c r="D25" s="77" t="str">
        <f ca="1">IFERROR(INDEX(Validation!G:G,MATCH("Bond 13"&amp;CELL("address",D25),Validation!I:I,0)),"")</f>
        <v/>
      </c>
      <c r="E25" s="66" t="str">
        <f ca="1">IFERROR(INDEX(Validation!F:F,MATCH("Bond 13"&amp;CELL("address",D25),Validation!I:I,0)),"")</f>
        <v/>
      </c>
    </row>
    <row r="26" spans="1:5" x14ac:dyDescent="0.25">
      <c r="A26" s="79" t="s">
        <v>1101</v>
      </c>
      <c r="B26" s="122" t="str">
        <f>IF(NOT(ISBLANK('Bond Input'!O27)),'Bond Input'!O27,"")</f>
        <v/>
      </c>
      <c r="C26" s="122"/>
      <c r="D26" s="77" t="str">
        <f ca="1">IFERROR(INDEX(Validation!G:G,MATCH("Bond 13"&amp;CELL("address",D26),Validation!I:I,0)),"")</f>
        <v/>
      </c>
      <c r="E26" s="66" t="str">
        <f ca="1">IFERROR(INDEX(Validation!F:F,MATCH("Bond 13"&amp;CELL("address",D26),Validation!I:I,0)),"")</f>
        <v/>
      </c>
    </row>
    <row r="27" spans="1:5" x14ac:dyDescent="0.25">
      <c r="A27" s="79" t="s">
        <v>270</v>
      </c>
      <c r="B27" s="122" t="str">
        <f>IF(NOT(ISBLANK('Bond Input'!O29)),'Bond Input'!O29,"")</f>
        <v/>
      </c>
      <c r="C27" s="122"/>
      <c r="D27" s="77" t="str">
        <f ca="1">IFERROR(INDEX(Validation!G:G,MATCH("Bond 13"&amp;CELL("address",D27),Validation!I:I,0)),"")</f>
        <v/>
      </c>
      <c r="E27" s="66" t="str">
        <f ca="1">IFERROR(INDEX(Validation!F:F,MATCH("Bond 13"&amp;CELL("address",D27),Validation!I:I,0)),"")</f>
        <v/>
      </c>
    </row>
    <row r="28" spans="1:5" x14ac:dyDescent="0.25">
      <c r="A28" s="79" t="s">
        <v>271</v>
      </c>
      <c r="B28" s="122" t="str">
        <f>IF(NOT(ISBLANK('Bond Input'!O31)),'Bond Input'!O31,"")</f>
        <v/>
      </c>
      <c r="C28" s="122"/>
      <c r="D28" s="77" t="str">
        <f ca="1">IFERROR(INDEX(Validation!G:G,MATCH("Bond 13"&amp;CELL("address",D28),Validation!I:I,0)),"")</f>
        <v/>
      </c>
      <c r="E28" s="66" t="str">
        <f ca="1">IFERROR(INDEX(Validation!F:F,MATCH("Bond 13"&amp;CELL("address",D28),Validation!I:I,0)),"")</f>
        <v/>
      </c>
    </row>
    <row r="29" spans="1:5" x14ac:dyDescent="0.25">
      <c r="A29" s="79" t="s">
        <v>272</v>
      </c>
      <c r="B29" s="122" t="str">
        <f>IF(NOT(ISBLANK('Bond Input'!O33)),'Bond Input'!O33,"")</f>
        <v/>
      </c>
      <c r="C29" s="122"/>
      <c r="D29" s="77" t="str">
        <f ca="1">IFERROR(INDEX(Validation!G:G,MATCH("Bond 13"&amp;CELL("address",D29),Validation!I:I,0)),"")</f>
        <v/>
      </c>
      <c r="E29" s="66" t="str">
        <f ca="1">IFERROR(INDEX(Validation!F:F,MATCH("Bond 13"&amp;CELL("address",D29),Validation!I:I,0)),"")</f>
        <v/>
      </c>
    </row>
    <row r="30" spans="1:5" x14ac:dyDescent="0.25">
      <c r="A30" s="79" t="s">
        <v>273</v>
      </c>
      <c r="B30" s="122" t="str">
        <f>IF(NOT(ISBLANK('Bond Input'!O35)),'Bond Input'!O35,"")</f>
        <v/>
      </c>
      <c r="C30" s="122"/>
      <c r="D30" s="77" t="str">
        <f ca="1">IFERROR(INDEX(Validation!G:G,MATCH("Bond 13"&amp;CELL("address",D30),Validation!I:I,0)),"")</f>
        <v/>
      </c>
      <c r="E30" s="66" t="str">
        <f ca="1">IFERROR(INDEX(Validation!F:F,MATCH("Bond 13"&amp;CELL("address",D30),Validation!I:I,0)),"")</f>
        <v/>
      </c>
    </row>
    <row r="31" spans="1:5" x14ac:dyDescent="0.25">
      <c r="A31" s="130" t="s">
        <v>1184</v>
      </c>
      <c r="B31" s="125">
        <f>SUM(B22:B30)</f>
        <v>0</v>
      </c>
      <c r="C31" s="125">
        <f>SUM(C22:C30)</f>
        <v>0</v>
      </c>
      <c r="D31" s="77" t="str">
        <f ca="1">IFERROR(INDEX(Validation!G:G,MATCH("Bond 13"&amp;CELL("address",D31),Validation!I:I,0)),"")</f>
        <v/>
      </c>
      <c r="E31" s="66" t="str">
        <f ca="1">IFERROR(INDEX(Validation!F:F,MATCH("Bond 13"&amp;CELL("address",D31),Validation!I:I,0)),"")</f>
        <v/>
      </c>
    </row>
    <row r="32" spans="1:5" x14ac:dyDescent="0.25">
      <c r="A32" s="130" t="s">
        <v>1185</v>
      </c>
      <c r="B32" s="125">
        <f>IF(B16="",0,B16-B31)</f>
        <v>0</v>
      </c>
      <c r="C32" s="125">
        <f>IF(B16="",0,B16-B31-C31)</f>
        <v>0</v>
      </c>
      <c r="D32" s="77" t="str">
        <f ca="1">IFERROR(INDEX(Validation!G:G,MATCH("Bond 13"&amp;CELL("address",D32),Validation!I:I,0)),"")</f>
        <v/>
      </c>
      <c r="E32" s="66" t="str">
        <f ca="1">IFERROR(INDEX(Validation!F:F,MATCH("Bond 13"&amp;CELL("address",D32),Validation!I:I,0)),"")</f>
        <v/>
      </c>
    </row>
    <row r="33" spans="1:5" x14ac:dyDescent="0.25">
      <c r="A33" s="131" t="s">
        <v>1186</v>
      </c>
      <c r="B33" s="122" t="str">
        <f>IF(NOT(ISBLANK('Bond Input'!O41)),'Bond Input'!O41,"")</f>
        <v/>
      </c>
      <c r="C33" s="122"/>
      <c r="D33" s="77" t="str">
        <f ca="1">IFERROR(INDEX(Validation!G:G,MATCH("Bond 13"&amp;CELL("address",D33),Validation!I:I,0)),"")</f>
        <v/>
      </c>
      <c r="E33" s="66" t="str">
        <f ca="1">IFERROR(INDEX(Validation!F:F,MATCH("Bond 13"&amp;CELL("address",D33),Validation!I:I,0)),"")</f>
        <v/>
      </c>
    </row>
    <row r="34" spans="1:5" x14ac:dyDescent="0.25">
      <c r="A34" s="131" t="s">
        <v>1187</v>
      </c>
      <c r="B34" s="122" t="str">
        <f>IF(NOT(ISBLANK('Bond Input'!O43)),'Bond Input'!O43,"")</f>
        <v/>
      </c>
      <c r="C34" s="122"/>
      <c r="D34" s="77" t="str">
        <f ca="1">IFERROR(INDEX(Validation!G:G,MATCH("Bond 13"&amp;CELL("address",D34),Validation!I:I,0)),"")</f>
        <v/>
      </c>
      <c r="E34" s="66" t="str">
        <f ca="1">IFERROR(INDEX(Validation!F:F,MATCH("Bond 13"&amp;CELL("address",D34),Validation!I:I,0)),"")</f>
        <v/>
      </c>
    </row>
    <row r="35" spans="1:5" ht="20.100000000000001" customHeight="1" x14ac:dyDescent="0.25">
      <c r="A35" s="74" t="s">
        <v>684</v>
      </c>
      <c r="B35" s="74" t="s">
        <v>283</v>
      </c>
      <c r="C35" s="74" t="str">
        <f>Year_DestinationYearID&amp;" Amount"</f>
        <v>2024 Amount</v>
      </c>
      <c r="D35" s="77" t="str">
        <f ca="1">IFERROR(INDEX(Validation!G:G,MATCH("Bond 13"&amp;CELL("address",D35),Validation!I:I,0)),"")</f>
        <v/>
      </c>
      <c r="E35" s="66" t="str">
        <f ca="1">IFERROR(INDEX(Validation!F:F,MATCH("Bond 13"&amp;CELL("address",D35),Validation!I:I,0)),"")</f>
        <v/>
      </c>
    </row>
    <row r="36" spans="1:5" x14ac:dyDescent="0.25">
      <c r="A36" s="79" t="s">
        <v>1188</v>
      </c>
      <c r="B36" s="122" t="str">
        <f>IF(NOT(ISBLANK('Bond Input'!O45)),'Bond Input'!O45,"")</f>
        <v/>
      </c>
      <c r="C36" s="122"/>
      <c r="D36" s="77" t="str">
        <f ca="1">IFERROR(INDEX(Validation!G:G,MATCH("Bond 13"&amp;CELL("address",D36),Validation!I:I,0)),"")</f>
        <v/>
      </c>
      <c r="E36" s="66" t="str">
        <f ca="1">IFERROR(INDEX(Validation!F:F,MATCH("Bond 13"&amp;CELL("address",D36),Validation!I:I,0)),"")</f>
        <v/>
      </c>
    </row>
    <row r="37" spans="1:5" x14ac:dyDescent="0.25">
      <c r="A37" s="79" t="s">
        <v>1189</v>
      </c>
      <c r="B37" s="122" t="str">
        <f>IF(NOT(ISBLANK('Bond Input'!O47)),'Bond Input'!O47,"")</f>
        <v/>
      </c>
      <c r="C37" s="122"/>
      <c r="D37" s="77" t="str">
        <f ca="1">IFERROR(INDEX(Validation!G:G,MATCH("Bond 13"&amp;CELL("address",D37),Validation!I:I,0)),"")</f>
        <v/>
      </c>
      <c r="E37" s="66" t="str">
        <f ca="1">IFERROR(INDEX(Validation!F:F,MATCH("Bond 13"&amp;CELL("address",D37),Validation!I:I,0)),"")</f>
        <v/>
      </c>
    </row>
    <row r="38" spans="1:5" x14ac:dyDescent="0.25">
      <c r="A38" s="79" t="s">
        <v>1190</v>
      </c>
      <c r="B38" s="122" t="str">
        <f>IF(NOT(ISBLANK('Bond Input'!O49)),'Bond Input'!O49,"")</f>
        <v/>
      </c>
      <c r="C38" s="122"/>
      <c r="D38" s="77" t="str">
        <f ca="1">IFERROR(INDEX(Validation!G:G,MATCH("Bond 13"&amp;CELL("address",D38),Validation!I:I,0)),"")</f>
        <v/>
      </c>
      <c r="E38" s="66" t="str">
        <f ca="1">IFERROR(INDEX(Validation!F:F,MATCH("Bond 13"&amp;CELL("address",D38),Validation!I:I,0)),"")</f>
        <v/>
      </c>
    </row>
    <row r="39" spans="1:5" x14ac:dyDescent="0.25">
      <c r="A39" s="79" t="s">
        <v>221</v>
      </c>
      <c r="B39" s="125" t="str">
        <f>IFERROR(IF(B11="Yes","See Pooled Debt",IF(B8="Non-TIF Bond","NA/Non-TIF Bond",B16-B19-B36-B37+B38)),"")</f>
        <v/>
      </c>
      <c r="C39" s="125" t="str">
        <f>IFERROR(IF(B11="Yes","See Pooled Debt",IF(B8="Non-TIF Bond","NA/Non-TIF Bond",B16-B19-B36-B37-C36-C37+B38+C38)),"")</f>
        <v/>
      </c>
      <c r="D39" s="77" t="str">
        <f ca="1">IFERROR(INDEX(Validation!G:G,MATCH("Bond 13"&amp;CELL("address",D39),Validation!I:I,0)),"")</f>
        <v/>
      </c>
      <c r="E39" s="66" t="str">
        <f ca="1">IFERROR(INDEX(Validation!F:F,MATCH("Bond 13"&amp;CELL("address",D39),Validation!I:I,0)),"")</f>
        <v/>
      </c>
    </row>
    <row r="40" spans="1:5" x14ac:dyDescent="0.25">
      <c r="A40" s="79" t="s">
        <v>223</v>
      </c>
      <c r="B40" s="122" t="str">
        <f>IF(NOT(ISBLANK('Bond Input'!O53)),'Bond Input'!O53,"")</f>
        <v/>
      </c>
      <c r="C40" s="122"/>
      <c r="D40" s="77" t="str">
        <f ca="1">IFERROR(INDEX(Validation!G:G,MATCH("Bond 13"&amp;CELL("address",D40),Validation!I:I,0)),"")</f>
        <v/>
      </c>
      <c r="E40" s="66" t="str">
        <f ca="1">IFERROR(INDEX(Validation!F:F,MATCH("Bond 13"&amp;CELL("address",D40),Validation!I:I,0)),"")</f>
        <v/>
      </c>
    </row>
    <row r="41" spans="1:5" x14ac:dyDescent="0.25">
      <c r="A41" s="79" t="s">
        <v>1191</v>
      </c>
      <c r="B41" s="122" t="str">
        <f>IF(NOT(ISBLANK('Bond Input'!O55)),'Bond Input'!O55,"")</f>
        <v/>
      </c>
      <c r="C41" s="122"/>
      <c r="D41" s="77" t="str">
        <f ca="1">IFERROR(INDEX(Validation!G:G,MATCH("Bond 13"&amp;CELL("address",D41),Validation!I:I,0)),"")</f>
        <v/>
      </c>
      <c r="E41" s="66" t="str">
        <f ca="1">IFERROR(INDEX(Validation!F:F,MATCH("Bond 13"&amp;CELL("address",D41),Validation!I:I,0)),"")</f>
        <v/>
      </c>
    </row>
    <row r="42" spans="1:5" x14ac:dyDescent="0.25">
      <c r="A42" s="79" t="s">
        <v>1192</v>
      </c>
      <c r="B42" s="122" t="str">
        <f>IF(NOT(ISBLANK('Bond Input'!O57)),'Bond Input'!O57,"")</f>
        <v/>
      </c>
      <c r="C42" s="122"/>
      <c r="D42" s="77" t="str">
        <f ca="1">IFERROR(INDEX(Validation!G:G,MATCH("Bond 13"&amp;CELL("address",D42),Validation!I:I,0)),"")</f>
        <v/>
      </c>
      <c r="E42" s="66" t="str">
        <f ca="1">IFERROR(INDEX(Validation!F:F,MATCH("Bond 13"&amp;CELL("address",D42),Validation!I:I,0)),"")</f>
        <v/>
      </c>
    </row>
    <row r="43" spans="1:5" ht="20.100000000000001" customHeight="1" x14ac:dyDescent="0.25">
      <c r="A43" s="74" t="str">
        <f>"Principal and Interest Due in "&amp;Year_DestinationYearID+1</f>
        <v>Principal and Interest Due in 2025</v>
      </c>
      <c r="B43" s="128"/>
      <c r="C43" s="128"/>
      <c r="D43" s="77"/>
    </row>
    <row r="44" spans="1:5" x14ac:dyDescent="0.25">
      <c r="A44" s="79" t="str">
        <f>"Principal Due in "&amp;Year_DestinationYearID+1</f>
        <v>Principal Due in 2025</v>
      </c>
      <c r="B44" s="122"/>
      <c r="C44" s="128"/>
      <c r="D44" s="77" t="str">
        <f ca="1">IFERROR(INDEX(Validation!G:G,MATCH("Bond 13"&amp;CELL("address",D44),Validation!I:I,0)),"")</f>
        <v/>
      </c>
      <c r="E44" s="66" t="str">
        <f ca="1">IFERROR(INDEX(Validation!F:F,MATCH("Bond 13"&amp;CELL("address",D44),Validation!I:I,0)),"")</f>
        <v/>
      </c>
    </row>
    <row r="45" spans="1:5" x14ac:dyDescent="0.25">
      <c r="A45" s="79" t="str">
        <f>"Interest Due in "&amp;Year_DestinationYearID+1</f>
        <v>Interest Due in 2025</v>
      </c>
      <c r="B45" s="122"/>
      <c r="C45" s="128"/>
      <c r="D45" s="77" t="str">
        <f ca="1">IFERROR(INDEX(Validation!G:G,MATCH("Bond 13"&amp;CELL("address",D45),Validation!I:I,0)),"")</f>
        <v/>
      </c>
      <c r="E45" s="66" t="str">
        <f ca="1">IFERROR(INDEX(Validation!F:F,MATCH("Bond 13"&amp;CELL("address",D45),Validation!I:I,0)),"")</f>
        <v/>
      </c>
    </row>
    <row r="46" spans="1:5" ht="20.100000000000001" customHeight="1" x14ac:dyDescent="0.25">
      <c r="A46" s="97" t="s">
        <v>176</v>
      </c>
      <c r="D46" s="77" t="str">
        <f ca="1">IF(AND(ISBLANK(A47),OR(COUNTIF(E6:E45,"Alert")&gt;0,SUM(B38:B38)&lt;&gt;0)),"Comment(s) required for remaining alert(s) and/or additions/reductions to principal.",IFERROR(INDEX(Validation!G:G,MATCH("Bond 13"&amp;CELL("address",D47),Validation!I:I,0)),""))</f>
        <v/>
      </c>
      <c r="E46" s="66" t="str">
        <f ca="1">IF(AND(ISBLANK(A47),OR(COUNTIF(E6:E45,"Alert")&gt;0,SUM(B38:B38)&lt;&gt;0)),"Error",IFERROR(INDEX(Validation!F:F,MATCH("Bond 13"&amp;CELL("address",D47),Validation!I:I,0)),""))</f>
        <v/>
      </c>
    </row>
    <row r="47" spans="1:5" ht="150" customHeight="1" x14ac:dyDescent="0.25">
      <c r="A47" s="123"/>
      <c r="B47" s="100" t="str">
        <f>HYPERLINK("#'Bonds'!B6","Click here to return to the Bonds Tab")</f>
        <v>Click here to return to the Bonds Tab</v>
      </c>
      <c r="C47" s="127"/>
    </row>
    <row r="48" spans="1:5" x14ac:dyDescent="0.25">
      <c r="A48" s="98"/>
      <c r="B48" s="98"/>
      <c r="C48" s="98"/>
    </row>
    <row r="49" spans="1:3" x14ac:dyDescent="0.25">
      <c r="A49" s="98"/>
      <c r="B49" s="98"/>
      <c r="C49" s="98"/>
    </row>
    <row r="50" spans="1:3" x14ac:dyDescent="0.25">
      <c r="A50" s="98"/>
      <c r="B50" s="98"/>
      <c r="C50" s="98"/>
    </row>
    <row r="51" spans="1:3" x14ac:dyDescent="0.25">
      <c r="A51" s="98"/>
      <c r="B51" s="98"/>
      <c r="C51" s="98"/>
    </row>
  </sheetData>
  <sheetProtection algorithmName="SHA-512" hashValue="Y7P02+7eWVPfsdS9WcSllO+rtP8tueXop+RvB3f5w7JwAZInyC0eeLmZ5cJLq0XlLEhOR1Hsw+4PasghWVNbMA==" saltValue="sMSiHjYDSEuvFZQpLSIh6w==" spinCount="100000" sheet="1" objects="1" scenarios="1"/>
  <mergeCells count="1">
    <mergeCell ref="A4:E4"/>
  </mergeCells>
  <conditionalFormatting sqref="A2 D6:E46">
    <cfRule type="expression" dxfId="392" priority="6">
      <formula>$E2="Exclude"</formula>
    </cfRule>
  </conditionalFormatting>
  <conditionalFormatting sqref="A2">
    <cfRule type="expression" dxfId="391" priority="4">
      <formula>$E2="Error"</formula>
    </cfRule>
  </conditionalFormatting>
  <conditionalFormatting sqref="D6:E46">
    <cfRule type="expression" dxfId="389" priority="1">
      <formula>$E6="Information"</formula>
    </cfRule>
    <cfRule type="expression" dxfId="388" priority="2">
      <formula>$E6="Error"</formula>
    </cfRule>
    <cfRule type="expression" dxfId="387" priority="3">
      <formula>$E6="Alert"</formula>
    </cfRule>
  </conditionalFormatting>
  <dataValidations count="2">
    <dataValidation type="list" allowBlank="1" showInputMessage="1" showErrorMessage="1" sqref="B9:C11 B20:C20" xr:uid="{252D1DFB-73F4-42AA-AB11-FFBDA356B457}">
      <formula1>SelOneYesNo</formula1>
    </dataValidation>
    <dataValidation type="list" allowBlank="1" showInputMessage="1" showErrorMessage="1" sqref="B8:C8" xr:uid="{0DA47652-17F4-41E8-AACF-98717FC4D11C}">
      <formula1>BondType</formula1>
    </dataValidation>
  </dataValidations>
  <pageMargins left="0.7" right="0.7" top="0.75" bottom="0.75" header="0.3" footer="0.3"/>
  <pageSetup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5" id="{8FF2B41E-32EC-4CE5-B8EC-13DDE9586CD4}">
            <xm:f>COUNTIFS(Validation!$H:$H,MID(CELL("filename",A2),FIND("]",CELL("filename",A2))+1,255)&amp;CELL("address",A2))&gt;0</xm:f>
            <x14:dxf>
              <font>
                <b/>
                <i val="0"/>
                <color rgb="FFC00000"/>
              </font>
              <numFmt numFmtId="172" formatCode="_(\!* #,##0_);_(\!* \(#,##0\);_(\!* \-??_);_(\!\ @_)"/>
            </x14:dxf>
          </x14:cfRule>
          <xm:sqref>A2</xm:sqref>
        </x14:conditionalFormatting>
      </x14:conditionalFormatting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575EA8-907A-474A-B84F-702C0D6E2ACC}">
  <sheetPr>
    <tabColor rgb="FFEED382"/>
  </sheetPr>
  <dimension ref="A1:F51"/>
  <sheetViews>
    <sheetView showGridLines="0" workbookViewId="0">
      <selection activeCell="B7" sqref="B7"/>
    </sheetView>
  </sheetViews>
  <sheetFormatPr defaultRowHeight="15" x14ac:dyDescent="0.25"/>
  <cols>
    <col min="1" max="1" width="55.7109375" style="66" customWidth="1"/>
    <col min="2" max="3" width="20.7109375" style="66" customWidth="1"/>
    <col min="4" max="4" width="80.85546875" style="66" customWidth="1"/>
    <col min="5" max="5" width="14.7109375" style="66" customWidth="1"/>
    <col min="6" max="6" width="0" style="78" hidden="1" customWidth="1"/>
    <col min="7" max="16384" width="9.140625" style="66"/>
  </cols>
  <sheetData>
    <row r="1" spans="1:6" s="59" customFormat="1" ht="24.95" customHeight="1" x14ac:dyDescent="0.25">
      <c r="A1" s="59" t="str">
        <f>_xlfn.CONCAT("Office of the State Auditor  -  TIF Annual Reporting Form  -  ",Year_DestinationYearID)</f>
        <v>Office of the State Auditor  -  TIF Annual Reporting Form  -  2024</v>
      </c>
      <c r="F1" s="61"/>
    </row>
    <row r="2" spans="1:6" s="62" customFormat="1" ht="20.100000000000001" customHeight="1" x14ac:dyDescent="0.25">
      <c r="A2" s="58" t="str">
        <f>_xlfn.CONCAT(GovEntity_GovEntityName_Parent,"  -  ",GovEntity_GovEntityName)</f>
        <v>Spruce City  -  TIF 1-1 Downtown Redev</v>
      </c>
      <c r="F2" s="64"/>
    </row>
    <row r="3" spans="1:6" s="68" customFormat="1" ht="24.95" customHeight="1" x14ac:dyDescent="0.3">
      <c r="A3" s="65" t="s">
        <v>206</v>
      </c>
      <c r="B3" s="66"/>
      <c r="C3" s="66"/>
      <c r="F3" s="69"/>
    </row>
    <row r="4" spans="1:6" s="71" customFormat="1" x14ac:dyDescent="0.25">
      <c r="A4" s="217" t="s">
        <v>207</v>
      </c>
      <c r="B4" s="217"/>
      <c r="C4" s="217"/>
      <c r="D4" s="217"/>
      <c r="E4" s="217"/>
      <c r="F4" s="72" t="s">
        <v>119</v>
      </c>
    </row>
    <row r="5" spans="1:6" s="74" customFormat="1" ht="20.100000000000001" customHeight="1" x14ac:dyDescent="0.25">
      <c r="A5" s="73" t="str">
        <f>HYPERLINK("#'Bonds'!B6","Click here to return to the Bonds Tab")</f>
        <v>Click here to return to the Bonds Tab</v>
      </c>
      <c r="D5" s="74" t="s">
        <v>121</v>
      </c>
      <c r="E5" s="74" t="s">
        <v>102</v>
      </c>
      <c r="F5" s="76"/>
    </row>
    <row r="6" spans="1:6" ht="20.100000000000001" customHeight="1" x14ac:dyDescent="0.25">
      <c r="A6" s="74" t="s">
        <v>208</v>
      </c>
      <c r="D6" s="77" t="str">
        <f ca="1">IFERROR(INDEX(Validation!G:G,MATCH("Bond 14"&amp;CELL("address",D6),Validation!I:I,0)),"")</f>
        <v/>
      </c>
      <c r="E6" s="66" t="str">
        <f ca="1">IFERROR(INDEX(Validation!F:F,MATCH("Bond 14"&amp;CELL("address",D6),Validation!I:I,0)),"")</f>
        <v/>
      </c>
      <c r="F6" s="78" t="s">
        <v>1008</v>
      </c>
    </row>
    <row r="7" spans="1:6" x14ac:dyDescent="0.25">
      <c r="A7" s="79" t="s">
        <v>210</v>
      </c>
      <c r="B7" s="103" t="str">
        <f>IF(NOT(ISBLANK('Bond Input'!P5)),'Bond Input'!P5,"")</f>
        <v/>
      </c>
      <c r="D7" s="77" t="str">
        <f ca="1">IFERROR(INDEX(Validation!G:G,MATCH("Bond 14"&amp;CELL("address",D7),Validation!I:I,0)),"")</f>
        <v/>
      </c>
      <c r="E7" s="66" t="str">
        <f ca="1">IFERROR(INDEX(Validation!F:F,MATCH("Bond 14"&amp;CELL("address",D7),Validation!I:I,0)),"")</f>
        <v/>
      </c>
      <c r="F7" s="85" t="str">
        <f>IF(NOT(ISBLANK('Bond Input'!P4)),'Bond Input'!P4,"")</f>
        <v/>
      </c>
    </row>
    <row r="8" spans="1:6" x14ac:dyDescent="0.25">
      <c r="A8" s="79" t="s">
        <v>209</v>
      </c>
      <c r="B8" s="103" t="str">
        <f>IF(NOT(ISBLANK('Bond Input'!P6)),'Bond Input'!P6,"Select One")</f>
        <v>Select One</v>
      </c>
      <c r="D8" s="77" t="str">
        <f ca="1">IFERROR(INDEX(Validation!G:G,MATCH("Bond 14"&amp;CELL("address",D8),Validation!I:I,0)),"")</f>
        <v/>
      </c>
      <c r="E8" s="66" t="str">
        <f ca="1">IFERROR(INDEX(Validation!F:F,MATCH("Bond 14"&amp;CELL("address",D8),Validation!I:I,0)),"")</f>
        <v/>
      </c>
    </row>
    <row r="9" spans="1:6" x14ac:dyDescent="0.25">
      <c r="A9" s="79" t="s">
        <v>227</v>
      </c>
      <c r="B9" s="103" t="str">
        <f>IF(NOT(ISBLANK('Bond Input'!P7)),'Bond Input'!P7,"Select One")</f>
        <v>Select One</v>
      </c>
      <c r="D9" s="77" t="str">
        <f ca="1">IFERROR(INDEX(Validation!G:G,MATCH("Bond 14"&amp;CELL("address",D9),Validation!I:I,0)),"")</f>
        <v/>
      </c>
      <c r="E9" s="66" t="str">
        <f ca="1">IFERROR(INDEX(Validation!F:F,MATCH("Bond 14"&amp;CELL("address",D9),Validation!I:I,0)),"")</f>
        <v/>
      </c>
    </row>
    <row r="10" spans="1:6" x14ac:dyDescent="0.25">
      <c r="A10" s="79" t="s">
        <v>228</v>
      </c>
      <c r="B10" s="103" t="str">
        <f>IF(NOT(ISBLANK('Bond Input'!P8)),'Bond Input'!P8,"Select One")</f>
        <v>Select One</v>
      </c>
      <c r="D10" s="77" t="str">
        <f ca="1">IFERROR(INDEX(Validation!G:G,MATCH("Bond 14"&amp;CELL("address",D10),Validation!I:I,0)),"")</f>
        <v/>
      </c>
      <c r="E10" s="66" t="str">
        <f ca="1">IFERROR(INDEX(Validation!F:F,MATCH("Bond 14"&amp;CELL("address",D10),Validation!I:I,0)),"")</f>
        <v/>
      </c>
    </row>
    <row r="11" spans="1:6" x14ac:dyDescent="0.25">
      <c r="A11" s="79" t="s">
        <v>229</v>
      </c>
      <c r="B11" s="103" t="str">
        <f>IF(NOT(ISBLANK('Bond Input'!P9)),'Bond Input'!P9,"Select One")</f>
        <v>Select One</v>
      </c>
      <c r="D11" s="77" t="str">
        <f ca="1">IFERROR(INDEX(Validation!G:G,MATCH("Bond 14"&amp;CELL("address",D11),Validation!I:I,0)),"")</f>
        <v/>
      </c>
      <c r="E11" s="66" t="str">
        <f ca="1">IFERROR(INDEX(Validation!F:F,MATCH("Bond 14"&amp;CELL("address",D11),Validation!I:I,0)),"")</f>
        <v/>
      </c>
    </row>
    <row r="12" spans="1:6" x14ac:dyDescent="0.25">
      <c r="A12" s="79" t="s">
        <v>211</v>
      </c>
      <c r="B12" s="120" t="str">
        <f>IF(NOT(ISBLANK('Bond Input'!P10)),'Bond Input'!P10,"")</f>
        <v/>
      </c>
      <c r="C12" s="129"/>
      <c r="D12" s="77" t="str">
        <f ca="1">IFERROR(INDEX(Validation!G:G,MATCH("Bond 14"&amp;CELL("address",D12),Validation!I:I,0)),"")</f>
        <v/>
      </c>
      <c r="E12" s="66" t="str">
        <f ca="1">IFERROR(INDEX(Validation!F:F,MATCH("Bond 14"&amp;CELL("address",D12),Validation!I:I,0)),"")</f>
        <v/>
      </c>
    </row>
    <row r="13" spans="1:6" x14ac:dyDescent="0.25">
      <c r="A13" s="79" t="s">
        <v>212</v>
      </c>
      <c r="B13" s="120" t="str">
        <f>IF(NOT(ISBLANK('Bond Input'!P11)),'Bond Input'!P11,"")</f>
        <v/>
      </c>
      <c r="C13" s="129"/>
      <c r="D13" s="77" t="str">
        <f ca="1">IFERROR(INDEX(Validation!G:G,MATCH("Bond 14"&amp;CELL("address",D13),Validation!I:I,0)),"")</f>
        <v/>
      </c>
      <c r="E13" s="66" t="str">
        <f ca="1">IFERROR(INDEX(Validation!F:F,MATCH("Bond 14"&amp;CELL("address",D13),Validation!I:I,0)),"")</f>
        <v/>
      </c>
    </row>
    <row r="14" spans="1:6" x14ac:dyDescent="0.25">
      <c r="A14" s="79" t="s">
        <v>213</v>
      </c>
      <c r="B14" s="121" t="str">
        <f>IF(NOT(ISBLANK('Bond Input'!P12)),'Bond Input'!P12,"")</f>
        <v/>
      </c>
      <c r="C14" s="132"/>
      <c r="D14" s="77" t="str">
        <f ca="1">IFERROR(INDEX(Validation!G:G,MATCH("Bond 14"&amp;CELL("address",D14),Validation!I:I,0)),"")</f>
        <v/>
      </c>
      <c r="E14" s="66" t="str">
        <f ca="1">IFERROR(INDEX(Validation!F:F,MATCH("Bond 14"&amp;CELL("address",D14),Validation!I:I,0)),"")</f>
        <v/>
      </c>
    </row>
    <row r="15" spans="1:6" x14ac:dyDescent="0.25">
      <c r="A15" s="79" t="s">
        <v>214</v>
      </c>
      <c r="B15" s="121" t="str">
        <f>IF(NOT(ISBLANK('Bond Input'!P13)),'Bond Input'!P13,"")</f>
        <v/>
      </c>
      <c r="C15" s="132"/>
      <c r="D15" s="77" t="str">
        <f ca="1">IFERROR(INDEX(Validation!G:G,MATCH("Bond 14"&amp;CELL("address",D15),Validation!I:I,0)),"")</f>
        <v/>
      </c>
      <c r="E15" s="66" t="str">
        <f ca="1">IFERROR(INDEX(Validation!F:F,MATCH("Bond 14"&amp;CELL("address",D15),Validation!I:I,0)),"")</f>
        <v/>
      </c>
    </row>
    <row r="16" spans="1:6" x14ac:dyDescent="0.25">
      <c r="A16" s="79" t="s">
        <v>535</v>
      </c>
      <c r="B16" s="122" t="str">
        <f>IF(NOT(ISBLANK('Bond Input'!P14)),'Bond Input'!P14,"")</f>
        <v/>
      </c>
      <c r="C16" s="128"/>
      <c r="D16" s="77" t="str">
        <f ca="1">IFERROR(INDEX(Validation!G:G,MATCH("Bond 14"&amp;CELL("address",D16),Validation!I:I,0)),"")</f>
        <v/>
      </c>
      <c r="E16" s="66" t="str">
        <f ca="1">IFERROR(INDEX(Validation!F:F,MATCH("Bond 14"&amp;CELL("address",D16),Validation!I:I,0)),"")</f>
        <v/>
      </c>
    </row>
    <row r="17" spans="1:5" x14ac:dyDescent="0.25">
      <c r="A17" s="79" t="s">
        <v>230</v>
      </c>
      <c r="B17" s="122" t="str">
        <f>IF(NOT(ISBLANK('Bond Input'!P15)),'Bond Input'!P15,"")</f>
        <v/>
      </c>
      <c r="C17" s="128"/>
      <c r="D17" s="77" t="str">
        <f ca="1">IFERROR(INDEX(Validation!G:G,MATCH("Bond 14"&amp;CELL("address",D17),Validation!I:I,0)),"")</f>
        <v/>
      </c>
      <c r="E17" s="66" t="str">
        <f ca="1">IFERROR(INDEX(Validation!F:F,MATCH("Bond 14"&amp;CELL("address",D17),Validation!I:I,0)),"")</f>
        <v/>
      </c>
    </row>
    <row r="18" spans="1:5" x14ac:dyDescent="0.25">
      <c r="A18" s="79" t="s">
        <v>231</v>
      </c>
      <c r="B18" s="122" t="str">
        <f>IF(NOT(ISBLANK('Bond Input'!P16)),'Bond Input'!P16,"")</f>
        <v/>
      </c>
      <c r="C18" s="128"/>
      <c r="D18" s="77" t="str">
        <f ca="1">IFERROR(INDEX(Validation!G:G,MATCH("Bond 14"&amp;CELL("address",D18),Validation!I:I,0)),"")</f>
        <v/>
      </c>
      <c r="E18" s="66" t="str">
        <f ca="1">IFERROR(INDEX(Validation!F:F,MATCH("Bond 14"&amp;CELL("address",D18),Validation!I:I,0)),"")</f>
        <v/>
      </c>
    </row>
    <row r="19" spans="1:5" x14ac:dyDescent="0.25">
      <c r="A19" s="79" t="s">
        <v>216</v>
      </c>
      <c r="B19" s="122" t="str">
        <f>IF(NOT(ISBLANK('Bond Input'!P17)),'Bond Input'!P17,"")</f>
        <v/>
      </c>
      <c r="C19" s="128"/>
      <c r="D19" s="77" t="str">
        <f ca="1">IFERROR(INDEX(Validation!G:G,MATCH("Bond 14"&amp;CELL("address",D19),Validation!I:I,0)),"")</f>
        <v/>
      </c>
      <c r="E19" s="66" t="str">
        <f ca="1">IFERROR(INDEX(Validation!F:F,MATCH("Bond 14"&amp;CELL("address",D19),Validation!I:I,0)),"")</f>
        <v/>
      </c>
    </row>
    <row r="20" spans="1:5" x14ac:dyDescent="0.25">
      <c r="A20" s="79" t="s">
        <v>232</v>
      </c>
      <c r="B20" s="103" t="str">
        <f>IF(ISBLANK('Bond Input'!P18),"Select One",IF('Bond Input'!P18=TRUE,"Yes","No"))</f>
        <v>Select One</v>
      </c>
      <c r="D20" s="77" t="str">
        <f ca="1">IFERROR(INDEX(Validation!G:G,MATCH("Bond 14"&amp;CELL("address",D20),Validation!I:I,0)),"")</f>
        <v/>
      </c>
      <c r="E20" s="66" t="str">
        <f ca="1">IFERROR(INDEX(Validation!F:F,MATCH("Bond 14"&amp;CELL("address",D20),Validation!I:I,0)),"")</f>
        <v/>
      </c>
    </row>
    <row r="21" spans="1:5" ht="20.100000000000001" customHeight="1" x14ac:dyDescent="0.25">
      <c r="A21" s="74" t="s">
        <v>1183</v>
      </c>
      <c r="B21" s="74" t="s">
        <v>283</v>
      </c>
      <c r="C21" s="74" t="str">
        <f>Year_DestinationYearID&amp;" Amount"</f>
        <v>2024 Amount</v>
      </c>
      <c r="D21" s="77" t="str">
        <f ca="1">IFERROR(INDEX(Validation!G:G,MATCH("Bond 14"&amp;CELL("address",D21),Validation!I:I,0)),"")</f>
        <v/>
      </c>
      <c r="E21" s="66" t="str">
        <f ca="1">IFERROR(INDEX(Validation!F:F,MATCH("Bond 14"&amp;CELL("address",D21),Validation!I:I,0)),"")</f>
        <v/>
      </c>
    </row>
    <row r="22" spans="1:5" x14ac:dyDescent="0.25">
      <c r="A22" s="79" t="s">
        <v>266</v>
      </c>
      <c r="B22" s="122" t="str">
        <f>IF(NOT(ISBLANK('Bond Input'!P19)),'Bond Input'!P19,"")</f>
        <v/>
      </c>
      <c r="C22" s="122"/>
      <c r="D22" s="77" t="str">
        <f ca="1">IFERROR(INDEX(Validation!G:G,MATCH("Bond 14"&amp;CELL("address",D22),Validation!I:I,0)),"")</f>
        <v/>
      </c>
      <c r="E22" s="66" t="str">
        <f ca="1">IFERROR(INDEX(Validation!F:F,MATCH("Bond 14"&amp;CELL("address",D22),Validation!I:I,0)),"")</f>
        <v/>
      </c>
    </row>
    <row r="23" spans="1:5" x14ac:dyDescent="0.25">
      <c r="A23" s="79" t="s">
        <v>267</v>
      </c>
      <c r="B23" s="122" t="str">
        <f>IF(NOT(ISBLANK('Bond Input'!P21)),'Bond Input'!P21,"")</f>
        <v/>
      </c>
      <c r="C23" s="122"/>
      <c r="D23" s="77" t="str">
        <f ca="1">IFERROR(INDEX(Validation!G:G,MATCH("Bond 14"&amp;CELL("address",D23),Validation!I:I,0)),"")</f>
        <v/>
      </c>
      <c r="E23" s="66" t="str">
        <f ca="1">IFERROR(INDEX(Validation!F:F,MATCH("Bond 14"&amp;CELL("address",D23),Validation!I:I,0)),"")</f>
        <v/>
      </c>
    </row>
    <row r="24" spans="1:5" x14ac:dyDescent="0.25">
      <c r="A24" s="79" t="s">
        <v>268</v>
      </c>
      <c r="B24" s="122" t="str">
        <f>IF(NOT(ISBLANK('Bond Input'!P23)),'Bond Input'!P23,"")</f>
        <v/>
      </c>
      <c r="C24" s="122"/>
      <c r="D24" s="77" t="str">
        <f ca="1">IFERROR(INDEX(Validation!G:G,MATCH("Bond 14"&amp;CELL("address",D24),Validation!I:I,0)),"")</f>
        <v/>
      </c>
      <c r="E24" s="66" t="str">
        <f ca="1">IFERROR(INDEX(Validation!F:F,MATCH("Bond 14"&amp;CELL("address",D24),Validation!I:I,0)),"")</f>
        <v/>
      </c>
    </row>
    <row r="25" spans="1:5" x14ac:dyDescent="0.25">
      <c r="A25" s="79" t="s">
        <v>269</v>
      </c>
      <c r="B25" s="122" t="str">
        <f>IF(NOT(ISBLANK('Bond Input'!P25)),'Bond Input'!P25,"")</f>
        <v/>
      </c>
      <c r="C25" s="122"/>
      <c r="D25" s="77" t="str">
        <f ca="1">IFERROR(INDEX(Validation!G:G,MATCH("Bond 14"&amp;CELL("address",D25),Validation!I:I,0)),"")</f>
        <v/>
      </c>
      <c r="E25" s="66" t="str">
        <f ca="1">IFERROR(INDEX(Validation!F:F,MATCH("Bond 14"&amp;CELL("address",D25),Validation!I:I,0)),"")</f>
        <v/>
      </c>
    </row>
    <row r="26" spans="1:5" x14ac:dyDescent="0.25">
      <c r="A26" s="79" t="s">
        <v>1101</v>
      </c>
      <c r="B26" s="122" t="str">
        <f>IF(NOT(ISBLANK('Bond Input'!P27)),'Bond Input'!P27,"")</f>
        <v/>
      </c>
      <c r="C26" s="122"/>
      <c r="D26" s="77" t="str">
        <f ca="1">IFERROR(INDEX(Validation!G:G,MATCH("Bond 14"&amp;CELL("address",D26),Validation!I:I,0)),"")</f>
        <v/>
      </c>
      <c r="E26" s="66" t="str">
        <f ca="1">IFERROR(INDEX(Validation!F:F,MATCH("Bond 14"&amp;CELL("address",D26),Validation!I:I,0)),"")</f>
        <v/>
      </c>
    </row>
    <row r="27" spans="1:5" x14ac:dyDescent="0.25">
      <c r="A27" s="79" t="s">
        <v>270</v>
      </c>
      <c r="B27" s="122" t="str">
        <f>IF(NOT(ISBLANK('Bond Input'!P29)),'Bond Input'!P29,"")</f>
        <v/>
      </c>
      <c r="C27" s="122"/>
      <c r="D27" s="77" t="str">
        <f ca="1">IFERROR(INDEX(Validation!G:G,MATCH("Bond 14"&amp;CELL("address",D27),Validation!I:I,0)),"")</f>
        <v/>
      </c>
      <c r="E27" s="66" t="str">
        <f ca="1">IFERROR(INDEX(Validation!F:F,MATCH("Bond 14"&amp;CELL("address",D27),Validation!I:I,0)),"")</f>
        <v/>
      </c>
    </row>
    <row r="28" spans="1:5" x14ac:dyDescent="0.25">
      <c r="A28" s="79" t="s">
        <v>271</v>
      </c>
      <c r="B28" s="122" t="str">
        <f>IF(NOT(ISBLANK('Bond Input'!P31)),'Bond Input'!P31,"")</f>
        <v/>
      </c>
      <c r="C28" s="122"/>
      <c r="D28" s="77" t="str">
        <f ca="1">IFERROR(INDEX(Validation!G:G,MATCH("Bond 14"&amp;CELL("address",D28),Validation!I:I,0)),"")</f>
        <v/>
      </c>
      <c r="E28" s="66" t="str">
        <f ca="1">IFERROR(INDEX(Validation!F:F,MATCH("Bond 14"&amp;CELL("address",D28),Validation!I:I,0)),"")</f>
        <v/>
      </c>
    </row>
    <row r="29" spans="1:5" x14ac:dyDescent="0.25">
      <c r="A29" s="79" t="s">
        <v>272</v>
      </c>
      <c r="B29" s="122" t="str">
        <f>IF(NOT(ISBLANK('Bond Input'!P33)),'Bond Input'!P33,"")</f>
        <v/>
      </c>
      <c r="C29" s="122"/>
      <c r="D29" s="77" t="str">
        <f ca="1">IFERROR(INDEX(Validation!G:G,MATCH("Bond 14"&amp;CELL("address",D29),Validation!I:I,0)),"")</f>
        <v/>
      </c>
      <c r="E29" s="66" t="str">
        <f ca="1">IFERROR(INDEX(Validation!F:F,MATCH("Bond 14"&amp;CELL("address",D29),Validation!I:I,0)),"")</f>
        <v/>
      </c>
    </row>
    <row r="30" spans="1:5" x14ac:dyDescent="0.25">
      <c r="A30" s="79" t="s">
        <v>273</v>
      </c>
      <c r="B30" s="122" t="str">
        <f>IF(NOT(ISBLANK('Bond Input'!P35)),'Bond Input'!P35,"")</f>
        <v/>
      </c>
      <c r="C30" s="122"/>
      <c r="D30" s="77" t="str">
        <f ca="1">IFERROR(INDEX(Validation!G:G,MATCH("Bond 14"&amp;CELL("address",D30),Validation!I:I,0)),"")</f>
        <v/>
      </c>
      <c r="E30" s="66" t="str">
        <f ca="1">IFERROR(INDEX(Validation!F:F,MATCH("Bond 14"&amp;CELL("address",D30),Validation!I:I,0)),"")</f>
        <v/>
      </c>
    </row>
    <row r="31" spans="1:5" x14ac:dyDescent="0.25">
      <c r="A31" s="130" t="s">
        <v>1184</v>
      </c>
      <c r="B31" s="125">
        <f>SUM(B22:B30)</f>
        <v>0</v>
      </c>
      <c r="C31" s="125">
        <f>SUM(C22:C30)</f>
        <v>0</v>
      </c>
      <c r="D31" s="77" t="str">
        <f ca="1">IFERROR(INDEX(Validation!G:G,MATCH("Bond 14"&amp;CELL("address",D31),Validation!I:I,0)),"")</f>
        <v/>
      </c>
      <c r="E31" s="66" t="str">
        <f ca="1">IFERROR(INDEX(Validation!F:F,MATCH("Bond 14"&amp;CELL("address",D31),Validation!I:I,0)),"")</f>
        <v/>
      </c>
    </row>
    <row r="32" spans="1:5" x14ac:dyDescent="0.25">
      <c r="A32" s="130" t="s">
        <v>1185</v>
      </c>
      <c r="B32" s="125">
        <f>IF(B16="",0,B16-B31)</f>
        <v>0</v>
      </c>
      <c r="C32" s="125">
        <f>IF(B16="",0,B16-B31-C31)</f>
        <v>0</v>
      </c>
      <c r="D32" s="77" t="str">
        <f ca="1">IFERROR(INDEX(Validation!G:G,MATCH("Bond 14"&amp;CELL("address",D32),Validation!I:I,0)),"")</f>
        <v/>
      </c>
      <c r="E32" s="66" t="str">
        <f ca="1">IFERROR(INDEX(Validation!F:F,MATCH("Bond 14"&amp;CELL("address",D32),Validation!I:I,0)),"")</f>
        <v/>
      </c>
    </row>
    <row r="33" spans="1:5" x14ac:dyDescent="0.25">
      <c r="A33" s="131" t="s">
        <v>1186</v>
      </c>
      <c r="B33" s="122" t="str">
        <f>IF(NOT(ISBLANK('Bond Input'!P41)),'Bond Input'!P41,"")</f>
        <v/>
      </c>
      <c r="C33" s="122"/>
      <c r="D33" s="77" t="str">
        <f ca="1">IFERROR(INDEX(Validation!G:G,MATCH("Bond 14"&amp;CELL("address",D33),Validation!I:I,0)),"")</f>
        <v/>
      </c>
      <c r="E33" s="66" t="str">
        <f ca="1">IFERROR(INDEX(Validation!F:F,MATCH("Bond 14"&amp;CELL("address",D33),Validation!I:I,0)),"")</f>
        <v/>
      </c>
    </row>
    <row r="34" spans="1:5" x14ac:dyDescent="0.25">
      <c r="A34" s="131" t="s">
        <v>1187</v>
      </c>
      <c r="B34" s="122" t="str">
        <f>IF(NOT(ISBLANK('Bond Input'!P43)),'Bond Input'!P43,"")</f>
        <v/>
      </c>
      <c r="C34" s="122"/>
      <c r="D34" s="77" t="str">
        <f ca="1">IFERROR(INDEX(Validation!G:G,MATCH("Bond 14"&amp;CELL("address",D34),Validation!I:I,0)),"")</f>
        <v/>
      </c>
      <c r="E34" s="66" t="str">
        <f ca="1">IFERROR(INDEX(Validation!F:F,MATCH("Bond 14"&amp;CELL("address",D34),Validation!I:I,0)),"")</f>
        <v/>
      </c>
    </row>
    <row r="35" spans="1:5" ht="20.100000000000001" customHeight="1" x14ac:dyDescent="0.25">
      <c r="A35" s="74" t="s">
        <v>684</v>
      </c>
      <c r="B35" s="74" t="s">
        <v>283</v>
      </c>
      <c r="C35" s="74" t="str">
        <f>Year_DestinationYearID&amp;" Amount"</f>
        <v>2024 Amount</v>
      </c>
      <c r="D35" s="77" t="str">
        <f ca="1">IFERROR(INDEX(Validation!G:G,MATCH("Bond 14"&amp;CELL("address",D35),Validation!I:I,0)),"")</f>
        <v/>
      </c>
      <c r="E35" s="66" t="str">
        <f ca="1">IFERROR(INDEX(Validation!F:F,MATCH("Bond 14"&amp;CELL("address",D35),Validation!I:I,0)),"")</f>
        <v/>
      </c>
    </row>
    <row r="36" spans="1:5" x14ac:dyDescent="0.25">
      <c r="A36" s="79" t="s">
        <v>1188</v>
      </c>
      <c r="B36" s="122" t="str">
        <f>IF(NOT(ISBLANK('Bond Input'!P45)),'Bond Input'!P45,"")</f>
        <v/>
      </c>
      <c r="C36" s="122"/>
      <c r="D36" s="77" t="str">
        <f ca="1">IFERROR(INDEX(Validation!G:G,MATCH("Bond 14"&amp;CELL("address",D36),Validation!I:I,0)),"")</f>
        <v/>
      </c>
      <c r="E36" s="66" t="str">
        <f ca="1">IFERROR(INDEX(Validation!F:F,MATCH("Bond 14"&amp;CELL("address",D36),Validation!I:I,0)),"")</f>
        <v/>
      </c>
    </row>
    <row r="37" spans="1:5" x14ac:dyDescent="0.25">
      <c r="A37" s="79" t="s">
        <v>1189</v>
      </c>
      <c r="B37" s="122" t="str">
        <f>IF(NOT(ISBLANK('Bond Input'!P47)),'Bond Input'!P47,"")</f>
        <v/>
      </c>
      <c r="C37" s="122"/>
      <c r="D37" s="77" t="str">
        <f ca="1">IFERROR(INDEX(Validation!G:G,MATCH("Bond 14"&amp;CELL("address",D37),Validation!I:I,0)),"")</f>
        <v/>
      </c>
      <c r="E37" s="66" t="str">
        <f ca="1">IFERROR(INDEX(Validation!F:F,MATCH("Bond 14"&amp;CELL("address",D37),Validation!I:I,0)),"")</f>
        <v/>
      </c>
    </row>
    <row r="38" spans="1:5" x14ac:dyDescent="0.25">
      <c r="A38" s="79" t="s">
        <v>1190</v>
      </c>
      <c r="B38" s="122" t="str">
        <f>IF(NOT(ISBLANK('Bond Input'!P49)),'Bond Input'!P49,"")</f>
        <v/>
      </c>
      <c r="C38" s="122"/>
      <c r="D38" s="77" t="str">
        <f ca="1">IFERROR(INDEX(Validation!G:G,MATCH("Bond 14"&amp;CELL("address",D38),Validation!I:I,0)),"")</f>
        <v/>
      </c>
      <c r="E38" s="66" t="str">
        <f ca="1">IFERROR(INDEX(Validation!F:F,MATCH("Bond 14"&amp;CELL("address",D38),Validation!I:I,0)),"")</f>
        <v/>
      </c>
    </row>
    <row r="39" spans="1:5" x14ac:dyDescent="0.25">
      <c r="A39" s="79" t="s">
        <v>221</v>
      </c>
      <c r="B39" s="125" t="str">
        <f>IFERROR(IF(B11="Yes","See Pooled Debt",IF(B8="Non-TIF Bond","NA/Non-TIF Bond",B16-B19-B36-B37+B38)),"")</f>
        <v/>
      </c>
      <c r="C39" s="125" t="str">
        <f>IFERROR(IF(B11="Yes","See Pooled Debt",IF(B8="Non-TIF Bond","NA/Non-TIF Bond",B16-B19-B36-B37-C36-C37+B38+C38)),"")</f>
        <v/>
      </c>
      <c r="D39" s="77" t="str">
        <f ca="1">IFERROR(INDEX(Validation!G:G,MATCH("Bond 14"&amp;CELL("address",D39),Validation!I:I,0)),"")</f>
        <v/>
      </c>
      <c r="E39" s="66" t="str">
        <f ca="1">IFERROR(INDEX(Validation!F:F,MATCH("Bond 14"&amp;CELL("address",D39),Validation!I:I,0)),"")</f>
        <v/>
      </c>
    </row>
    <row r="40" spans="1:5" x14ac:dyDescent="0.25">
      <c r="A40" s="79" t="s">
        <v>223</v>
      </c>
      <c r="B40" s="122" t="str">
        <f>IF(NOT(ISBLANK('Bond Input'!P53)),'Bond Input'!P53,"")</f>
        <v/>
      </c>
      <c r="C40" s="122"/>
      <c r="D40" s="77" t="str">
        <f ca="1">IFERROR(INDEX(Validation!G:G,MATCH("Bond 14"&amp;CELL("address",D40),Validation!I:I,0)),"")</f>
        <v/>
      </c>
      <c r="E40" s="66" t="str">
        <f ca="1">IFERROR(INDEX(Validation!F:F,MATCH("Bond 14"&amp;CELL("address",D40),Validation!I:I,0)),"")</f>
        <v/>
      </c>
    </row>
    <row r="41" spans="1:5" x14ac:dyDescent="0.25">
      <c r="A41" s="79" t="s">
        <v>1191</v>
      </c>
      <c r="B41" s="122" t="str">
        <f>IF(NOT(ISBLANK('Bond Input'!P55)),'Bond Input'!P55,"")</f>
        <v/>
      </c>
      <c r="C41" s="122"/>
      <c r="D41" s="77" t="str">
        <f ca="1">IFERROR(INDEX(Validation!G:G,MATCH("Bond 14"&amp;CELL("address",D41),Validation!I:I,0)),"")</f>
        <v/>
      </c>
      <c r="E41" s="66" t="str">
        <f ca="1">IFERROR(INDEX(Validation!F:F,MATCH("Bond 14"&amp;CELL("address",D41),Validation!I:I,0)),"")</f>
        <v/>
      </c>
    </row>
    <row r="42" spans="1:5" x14ac:dyDescent="0.25">
      <c r="A42" s="79" t="s">
        <v>1192</v>
      </c>
      <c r="B42" s="122" t="str">
        <f>IF(NOT(ISBLANK('Bond Input'!P57)),'Bond Input'!P57,"")</f>
        <v/>
      </c>
      <c r="C42" s="122"/>
      <c r="D42" s="77" t="str">
        <f ca="1">IFERROR(INDEX(Validation!G:G,MATCH("Bond 14"&amp;CELL("address",D42),Validation!I:I,0)),"")</f>
        <v/>
      </c>
      <c r="E42" s="66" t="str">
        <f ca="1">IFERROR(INDEX(Validation!F:F,MATCH("Bond 14"&amp;CELL("address",D42),Validation!I:I,0)),"")</f>
        <v/>
      </c>
    </row>
    <row r="43" spans="1:5" ht="20.100000000000001" customHeight="1" x14ac:dyDescent="0.25">
      <c r="A43" s="74" t="str">
        <f>"Principal and Interest Due in "&amp;Year_DestinationYearID+1</f>
        <v>Principal and Interest Due in 2025</v>
      </c>
      <c r="B43" s="128"/>
      <c r="C43" s="128"/>
      <c r="D43" s="77"/>
    </row>
    <row r="44" spans="1:5" x14ac:dyDescent="0.25">
      <c r="A44" s="79" t="str">
        <f>"Principal Due in "&amp;Year_DestinationYearID+1</f>
        <v>Principal Due in 2025</v>
      </c>
      <c r="B44" s="122"/>
      <c r="C44" s="128"/>
      <c r="D44" s="77" t="str">
        <f ca="1">IFERROR(INDEX(Validation!G:G,MATCH("Bond 14"&amp;CELL("address",D44),Validation!I:I,0)),"")</f>
        <v/>
      </c>
      <c r="E44" s="66" t="str">
        <f ca="1">IFERROR(INDEX(Validation!F:F,MATCH("Bond 14"&amp;CELL("address",D44),Validation!I:I,0)),"")</f>
        <v/>
      </c>
    </row>
    <row r="45" spans="1:5" x14ac:dyDescent="0.25">
      <c r="A45" s="79" t="str">
        <f>"Interest Due in "&amp;Year_DestinationYearID+1</f>
        <v>Interest Due in 2025</v>
      </c>
      <c r="B45" s="122"/>
      <c r="C45" s="128"/>
      <c r="D45" s="77" t="str">
        <f ca="1">IFERROR(INDEX(Validation!G:G,MATCH("Bond 14"&amp;CELL("address",D45),Validation!I:I,0)),"")</f>
        <v/>
      </c>
      <c r="E45" s="66" t="str">
        <f ca="1">IFERROR(INDEX(Validation!F:F,MATCH("Bond 14"&amp;CELL("address",D45),Validation!I:I,0)),"")</f>
        <v/>
      </c>
    </row>
    <row r="46" spans="1:5" ht="20.100000000000001" customHeight="1" x14ac:dyDescent="0.25">
      <c r="A46" s="97" t="s">
        <v>176</v>
      </c>
      <c r="D46" s="77" t="str">
        <f ca="1">IF(AND(ISBLANK(A47),OR(COUNTIF(E6:E45,"Alert")&gt;0,SUM(B38:B38)&lt;&gt;0)),"Comment(s) required for remaining alert(s) and/or additions/reductions to principal.",IFERROR(INDEX(Validation!G:G,MATCH("Bond 14"&amp;CELL("address",D47),Validation!I:I,0)),""))</f>
        <v/>
      </c>
      <c r="E46" s="66" t="str">
        <f ca="1">IF(AND(ISBLANK(A47),OR(COUNTIF(E6:E45,"Alert")&gt;0,SUM(B38:B38)&lt;&gt;0)),"Error",IFERROR(INDEX(Validation!F:F,MATCH("Bond 14"&amp;CELL("address",D47),Validation!I:I,0)),""))</f>
        <v/>
      </c>
    </row>
    <row r="47" spans="1:5" ht="150" customHeight="1" x14ac:dyDescent="0.25">
      <c r="A47" s="123"/>
      <c r="B47" s="100" t="str">
        <f>HYPERLINK("#'Bonds'!B6","Click here to return to the Bonds Tab")</f>
        <v>Click here to return to the Bonds Tab</v>
      </c>
      <c r="C47" s="127"/>
    </row>
    <row r="48" spans="1:5" x14ac:dyDescent="0.25">
      <c r="A48" s="98"/>
      <c r="B48" s="98"/>
      <c r="C48" s="98"/>
    </row>
    <row r="49" spans="1:3" x14ac:dyDescent="0.25">
      <c r="A49" s="98"/>
      <c r="B49" s="98"/>
      <c r="C49" s="98"/>
    </row>
    <row r="50" spans="1:3" x14ac:dyDescent="0.25">
      <c r="A50" s="98"/>
      <c r="B50" s="98"/>
      <c r="C50" s="98"/>
    </row>
    <row r="51" spans="1:3" x14ac:dyDescent="0.25">
      <c r="A51" s="98"/>
      <c r="B51" s="98"/>
      <c r="C51" s="98"/>
    </row>
  </sheetData>
  <sheetProtection algorithmName="SHA-512" hashValue="j6O/eKJ51xU2c/cboyyo31Ln1YBonCL34JvhEWGVemb1tsac0YF8cLMd7UuyRxUEf96I7M8gPHNehb9hMuJJGw==" saltValue="WUt9YgGWGqtKgC9fQN5HBQ==" spinCount="100000" sheet="1" objects="1" scenarios="1"/>
  <mergeCells count="1">
    <mergeCell ref="A4:E4"/>
  </mergeCells>
  <conditionalFormatting sqref="A2 D6:E46">
    <cfRule type="expression" dxfId="386" priority="6">
      <formula>$E2="Exclude"</formula>
    </cfRule>
  </conditionalFormatting>
  <conditionalFormatting sqref="A2">
    <cfRule type="expression" dxfId="385" priority="4">
      <formula>$E2="Error"</formula>
    </cfRule>
  </conditionalFormatting>
  <conditionalFormatting sqref="D6:E46">
    <cfRule type="expression" dxfId="383" priority="1">
      <formula>$E6="Information"</formula>
    </cfRule>
    <cfRule type="expression" dxfId="382" priority="2">
      <formula>$E6="Error"</formula>
    </cfRule>
    <cfRule type="expression" dxfId="381" priority="3">
      <formula>$E6="Alert"</formula>
    </cfRule>
  </conditionalFormatting>
  <dataValidations count="2">
    <dataValidation type="list" allowBlank="1" showInputMessage="1" showErrorMessage="1" sqref="B8:C8" xr:uid="{5AC75AEB-A24D-4603-9753-62529BBB32E4}">
      <formula1>BondType</formula1>
    </dataValidation>
    <dataValidation type="list" allowBlank="1" showInputMessage="1" showErrorMessage="1" sqref="B9:C11 B20:C20" xr:uid="{D7BC45AD-0779-4741-BE66-17EBBB78A920}">
      <formula1>SelOneYesNo</formula1>
    </dataValidation>
  </dataValidations>
  <pageMargins left="0.7" right="0.7" top="0.75" bottom="0.75" header="0.3" footer="0.3"/>
  <pageSetup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5" id="{82A5D314-5B44-416B-8F20-EC9ED202CE2E}">
            <xm:f>COUNTIFS(Validation!$H:$H,MID(CELL("filename",A2),FIND("]",CELL("filename",A2))+1,255)&amp;CELL("address",A2))&gt;0</xm:f>
            <x14:dxf>
              <font>
                <b/>
                <i val="0"/>
                <color rgb="FFC00000"/>
              </font>
              <numFmt numFmtId="172" formatCode="_(\!* #,##0_);_(\!* \(#,##0\);_(\!* \-??_);_(\!\ @_)"/>
            </x14:dxf>
          </x14:cfRule>
          <xm:sqref>A2</xm:sqref>
        </x14:conditionalFormatting>
      </x14:conditionalFormatting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039598-70F7-4D03-A58D-96651692B459}">
  <sheetPr>
    <tabColor rgb="FFEED382"/>
  </sheetPr>
  <dimension ref="A1:F51"/>
  <sheetViews>
    <sheetView showGridLines="0" workbookViewId="0">
      <selection activeCell="B7" sqref="B7"/>
    </sheetView>
  </sheetViews>
  <sheetFormatPr defaultRowHeight="15" x14ac:dyDescent="0.25"/>
  <cols>
    <col min="1" max="1" width="55.7109375" style="66" customWidth="1"/>
    <col min="2" max="3" width="20.7109375" style="66" customWidth="1"/>
    <col min="4" max="4" width="80.85546875" style="66" customWidth="1"/>
    <col min="5" max="5" width="14.7109375" style="66" customWidth="1"/>
    <col min="6" max="6" width="0" style="78" hidden="1" customWidth="1"/>
    <col min="7" max="16384" width="9.140625" style="66"/>
  </cols>
  <sheetData>
    <row r="1" spans="1:6" s="59" customFormat="1" ht="24.95" customHeight="1" x14ac:dyDescent="0.25">
      <c r="A1" s="59" t="str">
        <f>_xlfn.CONCAT("Office of the State Auditor  -  TIF Annual Reporting Form  -  ",Year_DestinationYearID)</f>
        <v>Office of the State Auditor  -  TIF Annual Reporting Form  -  2024</v>
      </c>
      <c r="F1" s="61"/>
    </row>
    <row r="2" spans="1:6" s="62" customFormat="1" ht="20.100000000000001" customHeight="1" x14ac:dyDescent="0.25">
      <c r="A2" s="58" t="str">
        <f>_xlfn.CONCAT(GovEntity_GovEntityName_Parent,"  -  ",GovEntity_GovEntityName)</f>
        <v>Spruce City  -  TIF 1-1 Downtown Redev</v>
      </c>
      <c r="F2" s="64"/>
    </row>
    <row r="3" spans="1:6" s="68" customFormat="1" ht="24.95" customHeight="1" x14ac:dyDescent="0.3">
      <c r="A3" s="65" t="s">
        <v>206</v>
      </c>
      <c r="B3" s="66"/>
      <c r="C3" s="66"/>
      <c r="F3" s="69"/>
    </row>
    <row r="4" spans="1:6" s="71" customFormat="1" x14ac:dyDescent="0.25">
      <c r="A4" s="217" t="s">
        <v>207</v>
      </c>
      <c r="B4" s="217"/>
      <c r="C4" s="217"/>
      <c r="D4" s="217"/>
      <c r="E4" s="217"/>
      <c r="F4" s="72" t="s">
        <v>119</v>
      </c>
    </row>
    <row r="5" spans="1:6" s="74" customFormat="1" ht="20.100000000000001" customHeight="1" x14ac:dyDescent="0.25">
      <c r="A5" s="73" t="str">
        <f>HYPERLINK("#'Bonds'!B6","Click here to return to the Bonds Tab")</f>
        <v>Click here to return to the Bonds Tab</v>
      </c>
      <c r="D5" s="74" t="s">
        <v>121</v>
      </c>
      <c r="E5" s="74" t="s">
        <v>102</v>
      </c>
      <c r="F5" s="76"/>
    </row>
    <row r="6" spans="1:6" ht="20.100000000000001" customHeight="1" x14ac:dyDescent="0.25">
      <c r="A6" s="74" t="s">
        <v>208</v>
      </c>
      <c r="D6" s="77" t="str">
        <f ca="1">IFERROR(INDEX(Validation!G:G,MATCH("Bond 15"&amp;CELL("address",D6),Validation!I:I,0)),"")</f>
        <v/>
      </c>
      <c r="E6" s="66" t="str">
        <f ca="1">IFERROR(INDEX(Validation!F:F,MATCH("Bond 15"&amp;CELL("address",D6),Validation!I:I,0)),"")</f>
        <v/>
      </c>
      <c r="F6" s="78" t="s">
        <v>1008</v>
      </c>
    </row>
    <row r="7" spans="1:6" x14ac:dyDescent="0.25">
      <c r="A7" s="79" t="s">
        <v>210</v>
      </c>
      <c r="B7" s="103" t="str">
        <f>IF(NOT(ISBLANK('Bond Input'!Q5)),'Bond Input'!Q5,"")</f>
        <v/>
      </c>
      <c r="D7" s="77" t="str">
        <f ca="1">IFERROR(INDEX(Validation!G:G,MATCH("Bond 15"&amp;CELL("address",D7),Validation!I:I,0)),"")</f>
        <v/>
      </c>
      <c r="E7" s="66" t="str">
        <f ca="1">IFERROR(INDEX(Validation!F:F,MATCH("Bond 15"&amp;CELL("address",D7),Validation!I:I,0)),"")</f>
        <v/>
      </c>
      <c r="F7" s="85" t="str">
        <f>IF(NOT(ISBLANK('Bond Input'!Q4)),'Bond Input'!Q4,"")</f>
        <v/>
      </c>
    </row>
    <row r="8" spans="1:6" x14ac:dyDescent="0.25">
      <c r="A8" s="79" t="s">
        <v>209</v>
      </c>
      <c r="B8" s="103" t="str">
        <f>IF(NOT(ISBLANK('Bond Input'!Q6)),'Bond Input'!Q6,"Select One")</f>
        <v>Select One</v>
      </c>
      <c r="D8" s="77" t="str">
        <f ca="1">IFERROR(INDEX(Validation!G:G,MATCH("Bond 15"&amp;CELL("address",D8),Validation!I:I,0)),"")</f>
        <v/>
      </c>
      <c r="E8" s="66" t="str">
        <f ca="1">IFERROR(INDEX(Validation!F:F,MATCH("Bond 15"&amp;CELL("address",D8),Validation!I:I,0)),"")</f>
        <v/>
      </c>
    </row>
    <row r="9" spans="1:6" x14ac:dyDescent="0.25">
      <c r="A9" s="79" t="s">
        <v>227</v>
      </c>
      <c r="B9" s="103" t="str">
        <f>IF(NOT(ISBLANK('Bond Input'!Q7)),'Bond Input'!Q7,"Select One")</f>
        <v>Select One</v>
      </c>
      <c r="D9" s="77" t="str">
        <f ca="1">IFERROR(INDEX(Validation!G:G,MATCH("Bond 15"&amp;CELL("address",D9),Validation!I:I,0)),"")</f>
        <v/>
      </c>
      <c r="E9" s="66" t="str">
        <f ca="1">IFERROR(INDEX(Validation!F:F,MATCH("Bond 15"&amp;CELL("address",D9),Validation!I:I,0)),"")</f>
        <v/>
      </c>
    </row>
    <row r="10" spans="1:6" x14ac:dyDescent="0.25">
      <c r="A10" s="79" t="s">
        <v>228</v>
      </c>
      <c r="B10" s="103" t="str">
        <f>IF(NOT(ISBLANK('Bond Input'!Q8)),'Bond Input'!Q8,"Select One")</f>
        <v>Select One</v>
      </c>
      <c r="D10" s="77" t="str">
        <f ca="1">IFERROR(INDEX(Validation!G:G,MATCH("Bond 15"&amp;CELL("address",D10),Validation!I:I,0)),"")</f>
        <v/>
      </c>
      <c r="E10" s="66" t="str">
        <f ca="1">IFERROR(INDEX(Validation!F:F,MATCH("Bond 15"&amp;CELL("address",D10),Validation!I:I,0)),"")</f>
        <v/>
      </c>
    </row>
    <row r="11" spans="1:6" x14ac:dyDescent="0.25">
      <c r="A11" s="79" t="s">
        <v>229</v>
      </c>
      <c r="B11" s="103" t="str">
        <f>IF(NOT(ISBLANK('Bond Input'!Q9)),'Bond Input'!Q9,"Select One")</f>
        <v>Select One</v>
      </c>
      <c r="D11" s="77" t="str">
        <f ca="1">IFERROR(INDEX(Validation!G:G,MATCH("Bond 15"&amp;CELL("address",D11),Validation!I:I,0)),"")</f>
        <v/>
      </c>
      <c r="E11" s="66" t="str">
        <f ca="1">IFERROR(INDEX(Validation!F:F,MATCH("Bond 15"&amp;CELL("address",D11),Validation!I:I,0)),"")</f>
        <v/>
      </c>
    </row>
    <row r="12" spans="1:6" x14ac:dyDescent="0.25">
      <c r="A12" s="79" t="s">
        <v>211</v>
      </c>
      <c r="B12" s="120" t="str">
        <f>IF(NOT(ISBLANK('Bond Input'!Q10)),'Bond Input'!Q10,"")</f>
        <v/>
      </c>
      <c r="C12" s="129"/>
      <c r="D12" s="77" t="str">
        <f ca="1">IFERROR(INDEX(Validation!G:G,MATCH("Bond 15"&amp;CELL("address",D12),Validation!I:I,0)),"")</f>
        <v/>
      </c>
      <c r="E12" s="66" t="str">
        <f ca="1">IFERROR(INDEX(Validation!F:F,MATCH("Bond 15"&amp;CELL("address",D12),Validation!I:I,0)),"")</f>
        <v/>
      </c>
    </row>
    <row r="13" spans="1:6" x14ac:dyDescent="0.25">
      <c r="A13" s="79" t="s">
        <v>212</v>
      </c>
      <c r="B13" s="120" t="str">
        <f>IF(NOT(ISBLANK('Bond Input'!Q11)),'Bond Input'!Q11,"")</f>
        <v/>
      </c>
      <c r="C13" s="129"/>
      <c r="D13" s="77" t="str">
        <f ca="1">IFERROR(INDEX(Validation!G:G,MATCH("Bond 15"&amp;CELL("address",D13),Validation!I:I,0)),"")</f>
        <v/>
      </c>
      <c r="E13" s="66" t="str">
        <f ca="1">IFERROR(INDEX(Validation!F:F,MATCH("Bond 15"&amp;CELL("address",D13),Validation!I:I,0)),"")</f>
        <v/>
      </c>
    </row>
    <row r="14" spans="1:6" x14ac:dyDescent="0.25">
      <c r="A14" s="79" t="s">
        <v>213</v>
      </c>
      <c r="B14" s="121" t="str">
        <f>IF(NOT(ISBLANK('Bond Input'!Q12)),'Bond Input'!Q12,"")</f>
        <v/>
      </c>
      <c r="C14" s="132"/>
      <c r="D14" s="77" t="str">
        <f ca="1">IFERROR(INDEX(Validation!G:G,MATCH("Bond 15"&amp;CELL("address",D14),Validation!I:I,0)),"")</f>
        <v/>
      </c>
      <c r="E14" s="66" t="str">
        <f ca="1">IFERROR(INDEX(Validation!F:F,MATCH("Bond 15"&amp;CELL("address",D14),Validation!I:I,0)),"")</f>
        <v/>
      </c>
    </row>
    <row r="15" spans="1:6" x14ac:dyDescent="0.25">
      <c r="A15" s="79" t="s">
        <v>214</v>
      </c>
      <c r="B15" s="121" t="str">
        <f>IF(NOT(ISBLANK('Bond Input'!Q13)),'Bond Input'!Q13,"")</f>
        <v/>
      </c>
      <c r="C15" s="132"/>
      <c r="D15" s="77" t="str">
        <f ca="1">IFERROR(INDEX(Validation!G:G,MATCH("Bond 15"&amp;CELL("address",D15),Validation!I:I,0)),"")</f>
        <v/>
      </c>
      <c r="E15" s="66" t="str">
        <f ca="1">IFERROR(INDEX(Validation!F:F,MATCH("Bond 15"&amp;CELL("address",D15),Validation!I:I,0)),"")</f>
        <v/>
      </c>
    </row>
    <row r="16" spans="1:6" x14ac:dyDescent="0.25">
      <c r="A16" s="79" t="s">
        <v>535</v>
      </c>
      <c r="B16" s="122" t="str">
        <f>IF(NOT(ISBLANK('Bond Input'!Q14)),'Bond Input'!Q14,"")</f>
        <v/>
      </c>
      <c r="C16" s="128"/>
      <c r="D16" s="77" t="str">
        <f ca="1">IFERROR(INDEX(Validation!G:G,MATCH("Bond 15"&amp;CELL("address",D16),Validation!I:I,0)),"")</f>
        <v/>
      </c>
      <c r="E16" s="66" t="str">
        <f ca="1">IFERROR(INDEX(Validation!F:F,MATCH("Bond 15"&amp;CELL("address",D16),Validation!I:I,0)),"")</f>
        <v/>
      </c>
    </row>
    <row r="17" spans="1:5" x14ac:dyDescent="0.25">
      <c r="A17" s="79" t="s">
        <v>230</v>
      </c>
      <c r="B17" s="122" t="str">
        <f>IF(NOT(ISBLANK('Bond Input'!Q15)),'Bond Input'!Q15,"")</f>
        <v/>
      </c>
      <c r="C17" s="128"/>
      <c r="D17" s="77" t="str">
        <f ca="1">IFERROR(INDEX(Validation!G:G,MATCH("Bond 15"&amp;CELL("address",D17),Validation!I:I,0)),"")</f>
        <v/>
      </c>
      <c r="E17" s="66" t="str">
        <f ca="1">IFERROR(INDEX(Validation!F:F,MATCH("Bond 15"&amp;CELL("address",D17),Validation!I:I,0)),"")</f>
        <v/>
      </c>
    </row>
    <row r="18" spans="1:5" x14ac:dyDescent="0.25">
      <c r="A18" s="79" t="s">
        <v>231</v>
      </c>
      <c r="B18" s="122" t="str">
        <f>IF(NOT(ISBLANK('Bond Input'!Q16)),'Bond Input'!Q16,"")</f>
        <v/>
      </c>
      <c r="C18" s="128"/>
      <c r="D18" s="77" t="str">
        <f ca="1">IFERROR(INDEX(Validation!G:G,MATCH("Bond 15"&amp;CELL("address",D18),Validation!I:I,0)),"")</f>
        <v/>
      </c>
      <c r="E18" s="66" t="str">
        <f ca="1">IFERROR(INDEX(Validation!F:F,MATCH("Bond 15"&amp;CELL("address",D18),Validation!I:I,0)),"")</f>
        <v/>
      </c>
    </row>
    <row r="19" spans="1:5" x14ac:dyDescent="0.25">
      <c r="A19" s="79" t="s">
        <v>216</v>
      </c>
      <c r="B19" s="122" t="str">
        <f>IF(NOT(ISBLANK('Bond Input'!Q17)),'Bond Input'!Q17,"")</f>
        <v/>
      </c>
      <c r="C19" s="128"/>
      <c r="D19" s="77" t="str">
        <f ca="1">IFERROR(INDEX(Validation!G:G,MATCH("Bond 15"&amp;CELL("address",D19),Validation!I:I,0)),"")</f>
        <v/>
      </c>
      <c r="E19" s="66" t="str">
        <f ca="1">IFERROR(INDEX(Validation!F:F,MATCH("Bond 15"&amp;CELL("address",D19),Validation!I:I,0)),"")</f>
        <v/>
      </c>
    </row>
    <row r="20" spans="1:5" x14ac:dyDescent="0.25">
      <c r="A20" s="79" t="s">
        <v>232</v>
      </c>
      <c r="B20" s="103" t="str">
        <f>IF(ISBLANK('Bond Input'!Q18),"Select One",IF('Bond Input'!Q18=TRUE,"Yes","No"))</f>
        <v>Select One</v>
      </c>
      <c r="D20" s="77" t="str">
        <f ca="1">IFERROR(INDEX(Validation!G:G,MATCH("Bond 15"&amp;CELL("address",D20),Validation!I:I,0)),"")</f>
        <v/>
      </c>
      <c r="E20" s="66" t="str">
        <f ca="1">IFERROR(INDEX(Validation!F:F,MATCH("Bond 15"&amp;CELL("address",D20),Validation!I:I,0)),"")</f>
        <v/>
      </c>
    </row>
    <row r="21" spans="1:5" ht="20.100000000000001" customHeight="1" x14ac:dyDescent="0.25">
      <c r="A21" s="74" t="s">
        <v>1183</v>
      </c>
      <c r="B21" s="74" t="s">
        <v>283</v>
      </c>
      <c r="C21" s="74" t="str">
        <f>Year_DestinationYearID&amp;" Amount"</f>
        <v>2024 Amount</v>
      </c>
      <c r="D21" s="77" t="str">
        <f ca="1">IFERROR(INDEX(Validation!G:G,MATCH("Bond 15"&amp;CELL("address",D21),Validation!I:I,0)),"")</f>
        <v/>
      </c>
      <c r="E21" s="66" t="str">
        <f ca="1">IFERROR(INDEX(Validation!F:F,MATCH("Bond 15"&amp;CELL("address",D21),Validation!I:I,0)),"")</f>
        <v/>
      </c>
    </row>
    <row r="22" spans="1:5" x14ac:dyDescent="0.25">
      <c r="A22" s="79" t="s">
        <v>266</v>
      </c>
      <c r="B22" s="122" t="str">
        <f>IF(NOT(ISBLANK('Bond Input'!Q19)),'Bond Input'!Q19,"")</f>
        <v/>
      </c>
      <c r="C22" s="122"/>
      <c r="D22" s="77" t="str">
        <f ca="1">IFERROR(INDEX(Validation!G:G,MATCH("Bond 15"&amp;CELL("address",D22),Validation!I:I,0)),"")</f>
        <v/>
      </c>
      <c r="E22" s="66" t="str">
        <f ca="1">IFERROR(INDEX(Validation!F:F,MATCH("Bond 15"&amp;CELL("address",D22),Validation!I:I,0)),"")</f>
        <v/>
      </c>
    </row>
    <row r="23" spans="1:5" x14ac:dyDescent="0.25">
      <c r="A23" s="79" t="s">
        <v>267</v>
      </c>
      <c r="B23" s="122" t="str">
        <f>IF(NOT(ISBLANK('Bond Input'!Q21)),'Bond Input'!Q21,"")</f>
        <v/>
      </c>
      <c r="C23" s="122"/>
      <c r="D23" s="77" t="str">
        <f ca="1">IFERROR(INDEX(Validation!G:G,MATCH("Bond 15"&amp;CELL("address",D23),Validation!I:I,0)),"")</f>
        <v/>
      </c>
      <c r="E23" s="66" t="str">
        <f ca="1">IFERROR(INDEX(Validation!F:F,MATCH("Bond 15"&amp;CELL("address",D23),Validation!I:I,0)),"")</f>
        <v/>
      </c>
    </row>
    <row r="24" spans="1:5" x14ac:dyDescent="0.25">
      <c r="A24" s="79" t="s">
        <v>268</v>
      </c>
      <c r="B24" s="122" t="str">
        <f>IF(NOT(ISBLANK('Bond Input'!Q23)),'Bond Input'!Q23,"")</f>
        <v/>
      </c>
      <c r="C24" s="122"/>
      <c r="D24" s="77" t="str">
        <f ca="1">IFERROR(INDEX(Validation!G:G,MATCH("Bond 15"&amp;CELL("address",D24),Validation!I:I,0)),"")</f>
        <v/>
      </c>
      <c r="E24" s="66" t="str">
        <f ca="1">IFERROR(INDEX(Validation!F:F,MATCH("Bond 15"&amp;CELL("address",D24),Validation!I:I,0)),"")</f>
        <v/>
      </c>
    </row>
    <row r="25" spans="1:5" x14ac:dyDescent="0.25">
      <c r="A25" s="79" t="s">
        <v>269</v>
      </c>
      <c r="B25" s="122" t="str">
        <f>IF(NOT(ISBLANK('Bond Input'!Q25)),'Bond Input'!Q25,"")</f>
        <v/>
      </c>
      <c r="C25" s="122"/>
      <c r="D25" s="77" t="str">
        <f ca="1">IFERROR(INDEX(Validation!G:G,MATCH("Bond 15"&amp;CELL("address",D25),Validation!I:I,0)),"")</f>
        <v/>
      </c>
      <c r="E25" s="66" t="str">
        <f ca="1">IFERROR(INDEX(Validation!F:F,MATCH("Bond 15"&amp;CELL("address",D25),Validation!I:I,0)),"")</f>
        <v/>
      </c>
    </row>
    <row r="26" spans="1:5" x14ac:dyDescent="0.25">
      <c r="A26" s="79" t="s">
        <v>1101</v>
      </c>
      <c r="B26" s="122" t="str">
        <f>IF(NOT(ISBLANK('Bond Input'!Q27)),'Bond Input'!Q27,"")</f>
        <v/>
      </c>
      <c r="C26" s="122"/>
      <c r="D26" s="77" t="str">
        <f ca="1">IFERROR(INDEX(Validation!G:G,MATCH("Bond 15"&amp;CELL("address",D26),Validation!I:I,0)),"")</f>
        <v/>
      </c>
      <c r="E26" s="66" t="str">
        <f ca="1">IFERROR(INDEX(Validation!F:F,MATCH("Bond 15"&amp;CELL("address",D26),Validation!I:I,0)),"")</f>
        <v/>
      </c>
    </row>
    <row r="27" spans="1:5" x14ac:dyDescent="0.25">
      <c r="A27" s="79" t="s">
        <v>270</v>
      </c>
      <c r="B27" s="122" t="str">
        <f>IF(NOT(ISBLANK('Bond Input'!Q29)),'Bond Input'!Q29,"")</f>
        <v/>
      </c>
      <c r="C27" s="122"/>
      <c r="D27" s="77" t="str">
        <f ca="1">IFERROR(INDEX(Validation!G:G,MATCH("Bond 15"&amp;CELL("address",D27),Validation!I:I,0)),"")</f>
        <v/>
      </c>
      <c r="E27" s="66" t="str">
        <f ca="1">IFERROR(INDEX(Validation!F:F,MATCH("Bond 15"&amp;CELL("address",D27),Validation!I:I,0)),"")</f>
        <v/>
      </c>
    </row>
    <row r="28" spans="1:5" x14ac:dyDescent="0.25">
      <c r="A28" s="79" t="s">
        <v>271</v>
      </c>
      <c r="B28" s="122" t="str">
        <f>IF(NOT(ISBLANK('Bond Input'!Q31)),'Bond Input'!Q31,"")</f>
        <v/>
      </c>
      <c r="C28" s="122"/>
      <c r="D28" s="77" t="str">
        <f ca="1">IFERROR(INDEX(Validation!G:G,MATCH("Bond 15"&amp;CELL("address",D28),Validation!I:I,0)),"")</f>
        <v/>
      </c>
      <c r="E28" s="66" t="str">
        <f ca="1">IFERROR(INDEX(Validation!F:F,MATCH("Bond 15"&amp;CELL("address",D28),Validation!I:I,0)),"")</f>
        <v/>
      </c>
    </row>
    <row r="29" spans="1:5" x14ac:dyDescent="0.25">
      <c r="A29" s="79" t="s">
        <v>272</v>
      </c>
      <c r="B29" s="122" t="str">
        <f>IF(NOT(ISBLANK('Bond Input'!Q33)),'Bond Input'!Q33,"")</f>
        <v/>
      </c>
      <c r="C29" s="122"/>
      <c r="D29" s="77" t="str">
        <f ca="1">IFERROR(INDEX(Validation!G:G,MATCH("Bond 15"&amp;CELL("address",D29),Validation!I:I,0)),"")</f>
        <v/>
      </c>
      <c r="E29" s="66" t="str">
        <f ca="1">IFERROR(INDEX(Validation!F:F,MATCH("Bond 15"&amp;CELL("address",D29),Validation!I:I,0)),"")</f>
        <v/>
      </c>
    </row>
    <row r="30" spans="1:5" x14ac:dyDescent="0.25">
      <c r="A30" s="79" t="s">
        <v>273</v>
      </c>
      <c r="B30" s="122" t="str">
        <f>IF(NOT(ISBLANK('Bond Input'!Q35)),'Bond Input'!Q35,"")</f>
        <v/>
      </c>
      <c r="C30" s="122"/>
      <c r="D30" s="77" t="str">
        <f ca="1">IFERROR(INDEX(Validation!G:G,MATCH("Bond 15"&amp;CELL("address",D30),Validation!I:I,0)),"")</f>
        <v/>
      </c>
      <c r="E30" s="66" t="str">
        <f ca="1">IFERROR(INDEX(Validation!F:F,MATCH("Bond 15"&amp;CELL("address",D30),Validation!I:I,0)),"")</f>
        <v/>
      </c>
    </row>
    <row r="31" spans="1:5" x14ac:dyDescent="0.25">
      <c r="A31" s="130" t="s">
        <v>1184</v>
      </c>
      <c r="B31" s="125">
        <f>SUM(B22:B30)</f>
        <v>0</v>
      </c>
      <c r="C31" s="125">
        <f>SUM(C22:C30)</f>
        <v>0</v>
      </c>
      <c r="D31" s="77" t="str">
        <f ca="1">IFERROR(INDEX(Validation!G:G,MATCH("Bond 15"&amp;CELL("address",D31),Validation!I:I,0)),"")</f>
        <v/>
      </c>
      <c r="E31" s="66" t="str">
        <f ca="1">IFERROR(INDEX(Validation!F:F,MATCH("Bond 15"&amp;CELL("address",D31),Validation!I:I,0)),"")</f>
        <v/>
      </c>
    </row>
    <row r="32" spans="1:5" x14ac:dyDescent="0.25">
      <c r="A32" s="130" t="s">
        <v>1185</v>
      </c>
      <c r="B32" s="125">
        <f>IF(B16="",0,B16-B31)</f>
        <v>0</v>
      </c>
      <c r="C32" s="125">
        <f>IF(B16="",0,B16-B31-C31)</f>
        <v>0</v>
      </c>
      <c r="D32" s="77" t="str">
        <f ca="1">IFERROR(INDEX(Validation!G:G,MATCH("Bond 15"&amp;CELL("address",D32),Validation!I:I,0)),"")</f>
        <v/>
      </c>
      <c r="E32" s="66" t="str">
        <f ca="1">IFERROR(INDEX(Validation!F:F,MATCH("Bond 15"&amp;CELL("address",D32),Validation!I:I,0)),"")</f>
        <v/>
      </c>
    </row>
    <row r="33" spans="1:5" x14ac:dyDescent="0.25">
      <c r="A33" s="131" t="s">
        <v>1186</v>
      </c>
      <c r="B33" s="122" t="str">
        <f>IF(NOT(ISBLANK('Bond Input'!Q41)),'Bond Input'!Q41,"")</f>
        <v/>
      </c>
      <c r="C33" s="122"/>
      <c r="D33" s="77" t="str">
        <f ca="1">IFERROR(INDEX(Validation!G:G,MATCH("Bond 15"&amp;CELL("address",D33),Validation!I:I,0)),"")</f>
        <v/>
      </c>
      <c r="E33" s="66" t="str">
        <f ca="1">IFERROR(INDEX(Validation!F:F,MATCH("Bond 15"&amp;CELL("address",D33),Validation!I:I,0)),"")</f>
        <v/>
      </c>
    </row>
    <row r="34" spans="1:5" x14ac:dyDescent="0.25">
      <c r="A34" s="131" t="s">
        <v>1187</v>
      </c>
      <c r="B34" s="122" t="str">
        <f>IF(NOT(ISBLANK('Bond Input'!Q43)),'Bond Input'!Q43,"")</f>
        <v/>
      </c>
      <c r="C34" s="122"/>
      <c r="D34" s="77" t="str">
        <f ca="1">IFERROR(INDEX(Validation!G:G,MATCH("Bond 15"&amp;CELL("address",D34),Validation!I:I,0)),"")</f>
        <v/>
      </c>
      <c r="E34" s="66" t="str">
        <f ca="1">IFERROR(INDEX(Validation!F:F,MATCH("Bond 15"&amp;CELL("address",D34),Validation!I:I,0)),"")</f>
        <v/>
      </c>
    </row>
    <row r="35" spans="1:5" ht="20.100000000000001" customHeight="1" x14ac:dyDescent="0.25">
      <c r="A35" s="74" t="s">
        <v>684</v>
      </c>
      <c r="B35" s="74" t="s">
        <v>283</v>
      </c>
      <c r="C35" s="74" t="str">
        <f>Year_DestinationYearID&amp;" Amount"</f>
        <v>2024 Amount</v>
      </c>
      <c r="D35" s="77" t="str">
        <f ca="1">IFERROR(INDEX(Validation!G:G,MATCH("Bond 15"&amp;CELL("address",D35),Validation!I:I,0)),"")</f>
        <v/>
      </c>
      <c r="E35" s="66" t="str">
        <f ca="1">IFERROR(INDEX(Validation!F:F,MATCH("Bond 15"&amp;CELL("address",D35),Validation!I:I,0)),"")</f>
        <v/>
      </c>
    </row>
    <row r="36" spans="1:5" x14ac:dyDescent="0.25">
      <c r="A36" s="79" t="s">
        <v>1188</v>
      </c>
      <c r="B36" s="122" t="str">
        <f>IF(NOT(ISBLANK('Bond Input'!Q45)),'Bond Input'!Q45,"")</f>
        <v/>
      </c>
      <c r="C36" s="122"/>
      <c r="D36" s="77" t="str">
        <f ca="1">IFERROR(INDEX(Validation!G:G,MATCH("Bond 15"&amp;CELL("address",D36),Validation!I:I,0)),"")</f>
        <v/>
      </c>
      <c r="E36" s="66" t="str">
        <f ca="1">IFERROR(INDEX(Validation!F:F,MATCH("Bond 15"&amp;CELL("address",D36),Validation!I:I,0)),"")</f>
        <v/>
      </c>
    </row>
    <row r="37" spans="1:5" x14ac:dyDescent="0.25">
      <c r="A37" s="79" t="s">
        <v>1189</v>
      </c>
      <c r="B37" s="122" t="str">
        <f>IF(NOT(ISBLANK('Bond Input'!Q47)),'Bond Input'!Q47,"")</f>
        <v/>
      </c>
      <c r="C37" s="122"/>
      <c r="D37" s="77" t="str">
        <f ca="1">IFERROR(INDEX(Validation!G:G,MATCH("Bond 15"&amp;CELL("address",D37),Validation!I:I,0)),"")</f>
        <v/>
      </c>
      <c r="E37" s="66" t="str">
        <f ca="1">IFERROR(INDEX(Validation!F:F,MATCH("Bond 15"&amp;CELL("address",D37),Validation!I:I,0)),"")</f>
        <v/>
      </c>
    </row>
    <row r="38" spans="1:5" x14ac:dyDescent="0.25">
      <c r="A38" s="79" t="s">
        <v>1190</v>
      </c>
      <c r="B38" s="122" t="str">
        <f>IF(NOT(ISBLANK('Bond Input'!Q49)),'Bond Input'!Q49,"")</f>
        <v/>
      </c>
      <c r="C38" s="122"/>
      <c r="D38" s="77" t="str">
        <f ca="1">IFERROR(INDEX(Validation!G:G,MATCH("Bond 15"&amp;CELL("address",D38),Validation!I:I,0)),"")</f>
        <v/>
      </c>
      <c r="E38" s="66" t="str">
        <f ca="1">IFERROR(INDEX(Validation!F:F,MATCH("Bond 15"&amp;CELL("address",D38),Validation!I:I,0)),"")</f>
        <v/>
      </c>
    </row>
    <row r="39" spans="1:5" x14ac:dyDescent="0.25">
      <c r="A39" s="79" t="s">
        <v>221</v>
      </c>
      <c r="B39" s="125" t="str">
        <f>IFERROR(IF(B11="Yes","See Pooled Debt",IF(B8="Non-TIF Bond","NA/Non-TIF Bond",B16-B19-B36-B37+B38)),"")</f>
        <v/>
      </c>
      <c r="C39" s="125" t="str">
        <f>IFERROR(IF(B11="Yes","See Pooled Debt",IF(B8="Non-TIF Bond","NA/Non-TIF Bond",B16-B19-B36-B37-C36-C37+B38+C38)),"")</f>
        <v/>
      </c>
      <c r="D39" s="77" t="str">
        <f ca="1">IFERROR(INDEX(Validation!G:G,MATCH("Bond 15"&amp;CELL("address",D39),Validation!I:I,0)),"")</f>
        <v/>
      </c>
      <c r="E39" s="66" t="str">
        <f ca="1">IFERROR(INDEX(Validation!F:F,MATCH("Bond 15"&amp;CELL("address",D39),Validation!I:I,0)),"")</f>
        <v/>
      </c>
    </row>
    <row r="40" spans="1:5" x14ac:dyDescent="0.25">
      <c r="A40" s="79" t="s">
        <v>223</v>
      </c>
      <c r="B40" s="122" t="str">
        <f>IF(NOT(ISBLANK('Bond Input'!Q53)),'Bond Input'!Q53,"")</f>
        <v/>
      </c>
      <c r="C40" s="122"/>
      <c r="D40" s="77" t="str">
        <f ca="1">IFERROR(INDEX(Validation!G:G,MATCH("Bond 15"&amp;CELL("address",D40),Validation!I:I,0)),"")</f>
        <v/>
      </c>
      <c r="E40" s="66" t="str">
        <f ca="1">IFERROR(INDEX(Validation!F:F,MATCH("Bond 15"&amp;CELL("address",D40),Validation!I:I,0)),"")</f>
        <v/>
      </c>
    </row>
    <row r="41" spans="1:5" x14ac:dyDescent="0.25">
      <c r="A41" s="79" t="s">
        <v>1191</v>
      </c>
      <c r="B41" s="122" t="str">
        <f>IF(NOT(ISBLANK('Bond Input'!Q55)),'Bond Input'!Q55,"")</f>
        <v/>
      </c>
      <c r="C41" s="122"/>
      <c r="D41" s="77" t="str">
        <f ca="1">IFERROR(INDEX(Validation!G:G,MATCH("Bond 15"&amp;CELL("address",D41),Validation!I:I,0)),"")</f>
        <v/>
      </c>
      <c r="E41" s="66" t="str">
        <f ca="1">IFERROR(INDEX(Validation!F:F,MATCH("Bond 15"&amp;CELL("address",D41),Validation!I:I,0)),"")</f>
        <v/>
      </c>
    </row>
    <row r="42" spans="1:5" x14ac:dyDescent="0.25">
      <c r="A42" s="79" t="s">
        <v>1192</v>
      </c>
      <c r="B42" s="122" t="str">
        <f>IF(NOT(ISBLANK('Bond Input'!Q57)),'Bond Input'!Q57,"")</f>
        <v/>
      </c>
      <c r="C42" s="122"/>
      <c r="D42" s="77" t="str">
        <f ca="1">IFERROR(INDEX(Validation!G:G,MATCH("Bond 15"&amp;CELL("address",D42),Validation!I:I,0)),"")</f>
        <v/>
      </c>
      <c r="E42" s="66" t="str">
        <f ca="1">IFERROR(INDEX(Validation!F:F,MATCH("Bond 15"&amp;CELL("address",D42),Validation!I:I,0)),"")</f>
        <v/>
      </c>
    </row>
    <row r="43" spans="1:5" ht="20.100000000000001" customHeight="1" x14ac:dyDescent="0.25">
      <c r="A43" s="74" t="str">
        <f>"Principal and Interest Due in "&amp;Year_DestinationYearID+1</f>
        <v>Principal and Interest Due in 2025</v>
      </c>
      <c r="B43" s="128"/>
      <c r="C43" s="128"/>
      <c r="D43" s="77"/>
    </row>
    <row r="44" spans="1:5" x14ac:dyDescent="0.25">
      <c r="A44" s="79" t="str">
        <f>"Principal Due in "&amp;Year_DestinationYearID+1</f>
        <v>Principal Due in 2025</v>
      </c>
      <c r="B44" s="122"/>
      <c r="C44" s="128"/>
      <c r="D44" s="77" t="str">
        <f ca="1">IFERROR(INDEX(Validation!G:G,MATCH("Bond 15"&amp;CELL("address",D44),Validation!I:I,0)),"")</f>
        <v/>
      </c>
      <c r="E44" s="66" t="str">
        <f ca="1">IFERROR(INDEX(Validation!F:F,MATCH("Bond 15"&amp;CELL("address",D44),Validation!I:I,0)),"")</f>
        <v/>
      </c>
    </row>
    <row r="45" spans="1:5" x14ac:dyDescent="0.25">
      <c r="A45" s="79" t="str">
        <f>"Interest Due in "&amp;Year_DestinationYearID+1</f>
        <v>Interest Due in 2025</v>
      </c>
      <c r="B45" s="122"/>
      <c r="C45" s="128"/>
      <c r="D45" s="77" t="str">
        <f ca="1">IFERROR(INDEX(Validation!G:G,MATCH("Bond 15"&amp;CELL("address",D45),Validation!I:I,0)),"")</f>
        <v/>
      </c>
      <c r="E45" s="66" t="str">
        <f ca="1">IFERROR(INDEX(Validation!F:F,MATCH("Bond 15"&amp;CELL("address",D45),Validation!I:I,0)),"")</f>
        <v/>
      </c>
    </row>
    <row r="46" spans="1:5" ht="20.100000000000001" customHeight="1" x14ac:dyDescent="0.25">
      <c r="A46" s="97" t="s">
        <v>176</v>
      </c>
      <c r="D46" s="77" t="str">
        <f ca="1">IF(AND(ISBLANK(A47),OR(COUNTIF(E6:E45,"Alert")&gt;0,SUM(B38:B38)&lt;&gt;0)),"Comment(s) required for remaining alert(s) and/or additions/reductions to principal.",IFERROR(INDEX(Validation!G:G,MATCH("Bond 15"&amp;CELL("address",D47),Validation!I:I,0)),""))</f>
        <v/>
      </c>
      <c r="E46" s="66" t="str">
        <f ca="1">IF(AND(ISBLANK(A47),OR(COUNTIF(E6:E45,"Alert")&gt;0,SUM(B38:B38)&lt;&gt;0)),"Error",IFERROR(INDEX(Validation!F:F,MATCH("Bond 15"&amp;CELL("address",D47),Validation!I:I,0)),""))</f>
        <v/>
      </c>
    </row>
    <row r="47" spans="1:5" ht="150" customHeight="1" x14ac:dyDescent="0.25">
      <c r="A47" s="123"/>
      <c r="B47" s="100" t="str">
        <f>HYPERLINK("#'Bonds'!B6","Click here to return to the Bonds Tab")</f>
        <v>Click here to return to the Bonds Tab</v>
      </c>
      <c r="C47" s="127"/>
    </row>
    <row r="48" spans="1:5" x14ac:dyDescent="0.25">
      <c r="A48" s="98"/>
      <c r="B48" s="98"/>
      <c r="C48" s="98"/>
    </row>
    <row r="49" spans="1:3" x14ac:dyDescent="0.25">
      <c r="A49" s="98"/>
      <c r="B49" s="98"/>
      <c r="C49" s="98"/>
    </row>
    <row r="50" spans="1:3" x14ac:dyDescent="0.25">
      <c r="A50" s="98"/>
      <c r="B50" s="98"/>
      <c r="C50" s="98"/>
    </row>
    <row r="51" spans="1:3" x14ac:dyDescent="0.25">
      <c r="A51" s="98"/>
      <c r="B51" s="98"/>
      <c r="C51" s="98"/>
    </row>
  </sheetData>
  <sheetProtection algorithmName="SHA-512" hashValue="xU3RYiRp/qLM0hLdYBSVGgYwJLWwH2+BYgY2v3paV/smzm8r0x92UNytRQYE3l1234IL044mXPZRaeMfom7gUA==" saltValue="oyUaxO3Ux92YlfK3unAQwQ==" spinCount="100000" sheet="1" objects="1" scenarios="1"/>
  <mergeCells count="1">
    <mergeCell ref="A4:E4"/>
  </mergeCells>
  <conditionalFormatting sqref="A2 D6:E46">
    <cfRule type="expression" dxfId="380" priority="6">
      <formula>$E2="Exclude"</formula>
    </cfRule>
  </conditionalFormatting>
  <conditionalFormatting sqref="A2">
    <cfRule type="expression" dxfId="379" priority="4">
      <formula>$E2="Error"</formula>
    </cfRule>
  </conditionalFormatting>
  <conditionalFormatting sqref="D6:E46">
    <cfRule type="expression" dxfId="377" priority="1">
      <formula>$E6="Information"</formula>
    </cfRule>
    <cfRule type="expression" dxfId="376" priority="2">
      <formula>$E6="Error"</formula>
    </cfRule>
    <cfRule type="expression" dxfId="375" priority="3">
      <formula>$E6="Alert"</formula>
    </cfRule>
  </conditionalFormatting>
  <dataValidations count="2">
    <dataValidation type="list" allowBlank="1" showInputMessage="1" showErrorMessage="1" sqref="B9:C11 B20:C20" xr:uid="{2D4BCB97-8B4B-442C-9F41-0334A8903808}">
      <formula1>SelOneYesNo</formula1>
    </dataValidation>
    <dataValidation type="list" allowBlank="1" showInputMessage="1" showErrorMessage="1" sqref="B8:C8" xr:uid="{855D4679-F2B4-4B85-AAB1-977411762C12}">
      <formula1>BondType</formula1>
    </dataValidation>
  </dataValidations>
  <pageMargins left="0.7" right="0.7" top="0.75" bottom="0.75" header="0.3" footer="0.3"/>
  <pageSetup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5" id="{E4C1B019-2A53-4625-B8CD-A0B4476044E3}">
            <xm:f>COUNTIFS(Validation!$H:$H,MID(CELL("filename",A2),FIND("]",CELL("filename",A2))+1,255)&amp;CELL("address",A2))&gt;0</xm:f>
            <x14:dxf>
              <font>
                <b/>
                <i val="0"/>
                <color rgb="FFC00000"/>
              </font>
              <numFmt numFmtId="172" formatCode="_(\!* #,##0_);_(\!* \(#,##0\);_(\!* \-??_);_(\!\ @_)"/>
            </x14:dxf>
          </x14:cfRule>
          <xm:sqref>A2</xm:sqref>
        </x14:conditionalFormatting>
      </x14:conditionalFormatting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04760-20D9-40FE-A439-0B4A38597C7B}">
  <sheetPr>
    <tabColor rgb="FFEED382"/>
  </sheetPr>
  <dimension ref="A1:F38"/>
  <sheetViews>
    <sheetView showGridLines="0" workbookViewId="0">
      <selection activeCell="B7" sqref="B7"/>
    </sheetView>
  </sheetViews>
  <sheetFormatPr defaultRowHeight="15" x14ac:dyDescent="0.25"/>
  <cols>
    <col min="1" max="1" width="55.7109375" style="66" customWidth="1"/>
    <col min="2" max="3" width="20.7109375" style="66" customWidth="1"/>
    <col min="4" max="4" width="80.85546875" style="66" customWidth="1"/>
    <col min="5" max="5" width="14.7109375" style="66" customWidth="1"/>
    <col min="6" max="6" width="0" style="78" hidden="1" customWidth="1"/>
    <col min="7" max="16384" width="9.140625" style="66"/>
  </cols>
  <sheetData>
    <row r="1" spans="1:6" s="59" customFormat="1" ht="24.95" customHeight="1" x14ac:dyDescent="0.25">
      <c r="A1" s="59" t="str">
        <f>_xlfn.CONCAT("Office of the State Auditor  -  TIF Annual Reporting Form  -  ",Year_DestinationYearID)</f>
        <v>Office of the State Auditor  -  TIF Annual Reporting Form  -  2024</v>
      </c>
      <c r="F1" s="61"/>
    </row>
    <row r="2" spans="1:6" s="62" customFormat="1" ht="20.100000000000001" customHeight="1" x14ac:dyDescent="0.25">
      <c r="A2" s="58" t="str">
        <f>_xlfn.CONCAT(GovEntity_GovEntityName_Parent,"  -  ",GovEntity_GovEntityName)</f>
        <v>Spruce City  -  TIF 1-1 Downtown Redev</v>
      </c>
      <c r="F2" s="64"/>
    </row>
    <row r="3" spans="1:6" s="68" customFormat="1" ht="24.95" customHeight="1" x14ac:dyDescent="0.3">
      <c r="A3" s="65" t="s">
        <v>233</v>
      </c>
      <c r="B3" s="66"/>
      <c r="C3" s="66"/>
      <c r="F3" s="69"/>
    </row>
    <row r="4" spans="1:6" s="71" customFormat="1" x14ac:dyDescent="0.25">
      <c r="A4" s="217" t="s">
        <v>207</v>
      </c>
      <c r="B4" s="217"/>
      <c r="C4" s="217"/>
      <c r="D4" s="217"/>
      <c r="E4" s="217"/>
      <c r="F4" s="72" t="s">
        <v>119</v>
      </c>
    </row>
    <row r="5" spans="1:6" s="74" customFormat="1" ht="20.100000000000001" customHeight="1" x14ac:dyDescent="0.25">
      <c r="A5" s="73" t="str">
        <f>HYPERLINK("#'PAYGs'!B6","Click here to return to the PAYGs Tab")</f>
        <v>Click here to return to the PAYGs Tab</v>
      </c>
      <c r="D5" s="74" t="s">
        <v>121</v>
      </c>
      <c r="E5" s="74" t="s">
        <v>102</v>
      </c>
      <c r="F5" s="76"/>
    </row>
    <row r="6" spans="1:6" ht="20.100000000000001" customHeight="1" x14ac:dyDescent="0.25">
      <c r="A6" s="74" t="s">
        <v>234</v>
      </c>
      <c r="D6" s="77" t="str">
        <f ca="1">IFERROR(INDEX(Validation!G:G,MATCH("PAYG 1"&amp;CELL("address",D6),Validation!I:I,0)),"")</f>
        <v xml:space="preserve">Complete entry of all rows on this tab. (Enter zero when appropriate.) </v>
      </c>
      <c r="E6" s="66" t="str">
        <f ca="1">IFERROR(INDEX(Validation!F:F,MATCH("PAYG 1"&amp;CELL("address",D6),Validation!I:I,0)),"")</f>
        <v>Error</v>
      </c>
      <c r="F6" s="78" t="s">
        <v>1006</v>
      </c>
    </row>
    <row r="7" spans="1:6" x14ac:dyDescent="0.25">
      <c r="A7" s="79" t="s">
        <v>210</v>
      </c>
      <c r="B7" s="103" t="str">
        <f>IF(NOT(ISBLANK('PAYG Input'!C5)),'PAYG Input'!C5,"")</f>
        <v>Elevator Inc</v>
      </c>
      <c r="D7" s="77" t="str">
        <f ca="1">IFERROR(INDEX(Validation!G:G,MATCH("PAYG 1"&amp;CELL("address",D7),Validation!I:I,0)),"")</f>
        <v/>
      </c>
      <c r="E7" s="66" t="str">
        <f ca="1">IFERROR(INDEX(Validation!F:F,MATCH("PAYG 1"&amp;CELL("address",D7),Validation!I:I,0)),"")</f>
        <v/>
      </c>
      <c r="F7" s="85">
        <f>IF(NOT(ISBLANK('PAYG Input'!C4)),'PAYG Input'!C4,"")</f>
        <v>2346</v>
      </c>
    </row>
    <row r="8" spans="1:6" x14ac:dyDescent="0.25">
      <c r="A8" s="79" t="s">
        <v>211</v>
      </c>
      <c r="B8" s="120">
        <f>IF(NOT(ISBLANK('PAYG Input'!C6)),'PAYG Input'!C6,"")</f>
        <v>42870</v>
      </c>
      <c r="C8" s="129"/>
      <c r="D8" s="77" t="str">
        <f ca="1">IFERROR(INDEX(Validation!G:G,MATCH("PAYG 1"&amp;CELL("address",D8),Validation!I:I,0)),"")</f>
        <v/>
      </c>
      <c r="E8" s="66" t="str">
        <f ca="1">IFERROR(INDEX(Validation!F:F,MATCH("PAYG 1"&amp;CELL("address",D8),Validation!I:I,0)),"")</f>
        <v/>
      </c>
    </row>
    <row r="9" spans="1:6" x14ac:dyDescent="0.25">
      <c r="A9" s="79" t="s">
        <v>212</v>
      </c>
      <c r="B9" s="120">
        <f>IF(NOT(ISBLANK('PAYG Input'!C7)),'PAYG Input'!C7,"")</f>
        <v>47118</v>
      </c>
      <c r="C9" s="129"/>
      <c r="D9" s="77" t="str">
        <f ca="1">IFERROR(INDEX(Validation!G:G,MATCH("PAYG 1"&amp;CELL("address",D9),Validation!I:I,0)),"")</f>
        <v/>
      </c>
      <c r="E9" s="66" t="str">
        <f ca="1">IFERROR(INDEX(Validation!F:F,MATCH("PAYG 1"&amp;CELL("address",D9),Validation!I:I,0)),"")</f>
        <v/>
      </c>
    </row>
    <row r="10" spans="1:6" x14ac:dyDescent="0.25">
      <c r="A10" s="79" t="s">
        <v>213</v>
      </c>
      <c r="B10" s="121">
        <f>IF(NOT(ISBLANK('PAYG Input'!C8)),'PAYG Input'!C8,"")</f>
        <v>0</v>
      </c>
      <c r="C10" s="132"/>
      <c r="D10" s="77" t="str">
        <f ca="1">IFERROR(INDEX(Validation!G:G,MATCH("PAYG 1"&amp;CELL("address",D10),Validation!I:I,0)),"")</f>
        <v/>
      </c>
      <c r="E10" s="66" t="str">
        <f ca="1">IFERROR(INDEX(Validation!F:F,MATCH("PAYG 1"&amp;CELL("address",D10),Validation!I:I,0)),"")</f>
        <v/>
      </c>
    </row>
    <row r="11" spans="1:6" x14ac:dyDescent="0.25">
      <c r="A11" s="79" t="s">
        <v>214</v>
      </c>
      <c r="B11" s="121">
        <f>IF(NOT(ISBLANK('PAYG Input'!C9)),'PAYG Input'!C9,"")</f>
        <v>0</v>
      </c>
      <c r="C11" s="132"/>
      <c r="D11" s="77" t="str">
        <f ca="1">IFERROR(INDEX(Validation!G:G,MATCH("PAYG 1"&amp;CELL("address",D11),Validation!I:I,0)),"")</f>
        <v/>
      </c>
      <c r="E11" s="66" t="str">
        <f ca="1">IFERROR(INDEX(Validation!F:F,MATCH("PAYG 1"&amp;CELL("address",D11),Validation!I:I,0)),"")</f>
        <v/>
      </c>
    </row>
    <row r="12" spans="1:6" x14ac:dyDescent="0.25">
      <c r="A12" s="79" t="s">
        <v>235</v>
      </c>
      <c r="B12" s="122">
        <f>IF(NOT(ISBLANK('PAYG Input'!C10)),'PAYG Input'!C10,"")</f>
        <v>268643</v>
      </c>
      <c r="C12" s="128"/>
      <c r="D12" s="77" t="str">
        <f ca="1">IFERROR(INDEX(Validation!G:G,MATCH("PAYG 1"&amp;CELL("address",D12),Validation!I:I,0)),"")</f>
        <v/>
      </c>
      <c r="E12" s="66" t="str">
        <f ca="1">IFERROR(INDEX(Validation!F:F,MATCH("PAYG 1"&amp;CELL("address",D12),Validation!I:I,0)),"")</f>
        <v/>
      </c>
    </row>
    <row r="13" spans="1:6" x14ac:dyDescent="0.25">
      <c r="A13" s="79" t="s">
        <v>232</v>
      </c>
      <c r="B13" s="103" t="str">
        <f>IF(ISBLANK('PAYG Input'!C11),"Select One",IF('PAYG Input'!C11=TRUE,"Yes","No"))</f>
        <v>Yes</v>
      </c>
      <c r="D13" s="77" t="str">
        <f ca="1">IFERROR(INDEX(Validation!G:G,MATCH("PAYG 1"&amp;CELL("address",D13),Validation!I:I,0)),"")</f>
        <v/>
      </c>
      <c r="E13" s="66" t="str">
        <f ca="1">IFERROR(INDEX(Validation!F:F,MATCH("PAYG 1"&amp;CELL("address",D13),Validation!I:I,0)),"")</f>
        <v/>
      </c>
    </row>
    <row r="14" spans="1:6" ht="20.100000000000001" customHeight="1" x14ac:dyDescent="0.25">
      <c r="A14" s="74" t="s">
        <v>681</v>
      </c>
      <c r="B14" s="74" t="s">
        <v>283</v>
      </c>
      <c r="C14" s="74" t="str">
        <f>Year_DestinationYearID&amp;" Amount"</f>
        <v>2024 Amount</v>
      </c>
      <c r="D14" s="77"/>
    </row>
    <row r="15" spans="1:6" x14ac:dyDescent="0.25">
      <c r="A15" s="79" t="s">
        <v>266</v>
      </c>
      <c r="B15" s="122">
        <f>IF(NOT(ISBLANK('PAYG Input'!C12)),'PAYG Input'!C12,"")</f>
        <v>0</v>
      </c>
      <c r="C15" s="122"/>
      <c r="D15" s="77" t="str">
        <f ca="1">IFERROR(INDEX(Validation!G:G,MATCH("PAYG 1"&amp;CELL("address",D15),Validation!I:I,0)),"")</f>
        <v/>
      </c>
      <c r="E15" s="66" t="str">
        <f ca="1">IFERROR(INDEX(Validation!F:F,MATCH("PAYG 1"&amp;CELL("address",D15),Validation!I:I,0)),"")</f>
        <v/>
      </c>
    </row>
    <row r="16" spans="1:6" x14ac:dyDescent="0.25">
      <c r="A16" s="79" t="s">
        <v>267</v>
      </c>
      <c r="B16" s="122">
        <f>IF(NOT(ISBLANK('PAYG Input'!C14)),'PAYG Input'!C14,"")</f>
        <v>268643</v>
      </c>
      <c r="C16" s="122"/>
      <c r="D16" s="77" t="str">
        <f ca="1">IFERROR(INDEX(Validation!G:G,MATCH("PAYG 1"&amp;CELL("address",D16),Validation!I:I,0)),"")</f>
        <v/>
      </c>
      <c r="E16" s="66" t="str">
        <f ca="1">IFERROR(INDEX(Validation!F:F,MATCH("PAYG 1"&amp;CELL("address",D16),Validation!I:I,0)),"")</f>
        <v/>
      </c>
    </row>
    <row r="17" spans="1:5" x14ac:dyDescent="0.25">
      <c r="A17" s="79" t="s">
        <v>268</v>
      </c>
      <c r="B17" s="122">
        <f>IF(NOT(ISBLANK('PAYG Input'!C16)),'PAYG Input'!C16,"")</f>
        <v>0</v>
      </c>
      <c r="C17" s="122"/>
      <c r="D17" s="77" t="str">
        <f ca="1">IFERROR(INDEX(Validation!G:G,MATCH("PAYG 1"&amp;CELL("address",D17),Validation!I:I,0)),"")</f>
        <v/>
      </c>
      <c r="E17" s="66" t="str">
        <f ca="1">IFERROR(INDEX(Validation!F:F,MATCH("PAYG 1"&amp;CELL("address",D17),Validation!I:I,0)),"")</f>
        <v/>
      </c>
    </row>
    <row r="18" spans="1:5" x14ac:dyDescent="0.25">
      <c r="A18" s="79" t="s">
        <v>269</v>
      </c>
      <c r="B18" s="122">
        <f>IF(NOT(ISBLANK('PAYG Input'!C18)),'PAYG Input'!C18,"")</f>
        <v>0</v>
      </c>
      <c r="C18" s="122"/>
      <c r="D18" s="77" t="str">
        <f ca="1">IFERROR(INDEX(Validation!G:G,MATCH("PAYG 1"&amp;CELL("address",D18),Validation!I:I,0)),"")</f>
        <v/>
      </c>
      <c r="E18" s="66" t="str">
        <f ca="1">IFERROR(INDEX(Validation!F:F,MATCH("PAYG 1"&amp;CELL("address",D18),Validation!I:I,0)),"")</f>
        <v/>
      </c>
    </row>
    <row r="19" spans="1:5" x14ac:dyDescent="0.25">
      <c r="A19" s="79" t="s">
        <v>270</v>
      </c>
      <c r="B19" s="122">
        <f>IF(NOT(ISBLANK('PAYG Input'!C20)),'PAYG Input'!C20,"")</f>
        <v>0</v>
      </c>
      <c r="C19" s="122"/>
      <c r="D19" s="77" t="str">
        <f ca="1">IFERROR(INDEX(Validation!G:G,MATCH("PAYG 1"&amp;CELL("address",D19),Validation!I:I,0)),"")</f>
        <v/>
      </c>
      <c r="E19" s="66" t="str">
        <f ca="1">IFERROR(INDEX(Validation!F:F,MATCH("PAYG 1"&amp;CELL("address",D19),Validation!I:I,0)),"")</f>
        <v/>
      </c>
    </row>
    <row r="20" spans="1:5" x14ac:dyDescent="0.25">
      <c r="A20" s="79" t="s">
        <v>272</v>
      </c>
      <c r="B20" s="122">
        <f>IF(NOT(ISBLANK('PAYG Input'!C22)),'PAYG Input'!C22,"")</f>
        <v>0</v>
      </c>
      <c r="C20" s="122"/>
      <c r="D20" s="77" t="str">
        <f ca="1">IFERROR(INDEX(Validation!G:G,MATCH("PAYG 1"&amp;CELL("address",D20),Validation!I:I,0)),"")</f>
        <v/>
      </c>
      <c r="E20" s="66" t="str">
        <f ca="1">IFERROR(INDEX(Validation!F:F,MATCH("PAYG 1"&amp;CELL("address",D20),Validation!I:I,0)),"")</f>
        <v/>
      </c>
    </row>
    <row r="21" spans="1:5" x14ac:dyDescent="0.25">
      <c r="A21" s="130" t="s">
        <v>236</v>
      </c>
      <c r="B21" s="125">
        <f>SUM(B15:B20)</f>
        <v>268643</v>
      </c>
      <c r="C21" s="125">
        <f>SUM(C15:C20)</f>
        <v>0</v>
      </c>
      <c r="D21" s="77" t="str">
        <f ca="1">IFERROR(INDEX(Validation!G:G,MATCH("PAYG 1"&amp;CELL("address",D21),Validation!I:I,0)),"")</f>
        <v/>
      </c>
      <c r="E21" s="66" t="str">
        <f ca="1">IFERROR(INDEX(Validation!F:F,MATCH("PAYG 1"&amp;CELL("address",D21),Validation!I:I,0)),"")</f>
        <v/>
      </c>
    </row>
    <row r="22" spans="1:5" x14ac:dyDescent="0.25">
      <c r="A22" s="131" t="s">
        <v>682</v>
      </c>
      <c r="B22" s="122" t="str">
        <f>IF(NOT(ISBLANK('PAYG Input'!C26)),'PAYG Input'!C26,"")</f>
        <v/>
      </c>
      <c r="C22" s="122"/>
      <c r="D22" s="77" t="str">
        <f ca="1">IFERROR(INDEX(Validation!G:G,MATCH("PAYG 1"&amp;CELL("address",D22),Validation!I:I,0)),"")</f>
        <v/>
      </c>
      <c r="E22" s="66" t="str">
        <f ca="1">IFERROR(INDEX(Validation!F:F,MATCH("PAYG 1"&amp;CELL("address",D22),Validation!I:I,0)),"")</f>
        <v/>
      </c>
    </row>
    <row r="23" spans="1:5" x14ac:dyDescent="0.25">
      <c r="A23" s="131" t="s">
        <v>683</v>
      </c>
      <c r="B23" s="122" t="str">
        <f>IF(NOT(ISBLANK('PAYG Input'!C28)),'PAYG Input'!C28,"")</f>
        <v/>
      </c>
      <c r="C23" s="122"/>
      <c r="D23" s="77" t="str">
        <f ca="1">IFERROR(INDEX(Validation!G:G,MATCH("PAYG 1"&amp;CELL("address",D23),Validation!I:I,0)),"")</f>
        <v/>
      </c>
      <c r="E23" s="66" t="str">
        <f ca="1">IFERROR(INDEX(Validation!F:F,MATCH("PAYG 1"&amp;CELL("address",D23),Validation!I:I,0)),"")</f>
        <v/>
      </c>
    </row>
    <row r="24" spans="1:5" ht="20.100000000000001" customHeight="1" x14ac:dyDescent="0.25">
      <c r="A24" s="74" t="s">
        <v>1311</v>
      </c>
      <c r="B24" s="74" t="s">
        <v>283</v>
      </c>
      <c r="C24" s="74" t="str">
        <f>Year_DestinationYearID&amp;" Amount"</f>
        <v>2024 Amount</v>
      </c>
      <c r="D24" s="77"/>
    </row>
    <row r="25" spans="1:5" x14ac:dyDescent="0.25">
      <c r="A25" s="79" t="s">
        <v>1188</v>
      </c>
      <c r="B25" s="122">
        <f>IF(NOT(ISBLANK('PAYG Input'!C30)),'PAYG Input'!C30,"")</f>
        <v>49661</v>
      </c>
      <c r="C25" s="122"/>
      <c r="D25" s="77" t="str">
        <f ca="1">IFERROR(INDEX(Validation!G:G,MATCH("PAYG 1"&amp;CELL("address",D25),Validation!I:I,0)),"")</f>
        <v/>
      </c>
      <c r="E25" s="66" t="str">
        <f ca="1">IFERROR(INDEX(Validation!F:F,MATCH("PAYG 1"&amp;CELL("address",D25),Validation!I:I,0)),"")</f>
        <v/>
      </c>
    </row>
    <row r="26" spans="1:5" x14ac:dyDescent="0.25">
      <c r="A26" s="79" t="s">
        <v>1190</v>
      </c>
      <c r="B26" s="122">
        <f>IF(NOT(ISBLANK('PAYG Input'!C32)),'PAYG Input'!C32,"")</f>
        <v>0</v>
      </c>
      <c r="C26" s="122"/>
      <c r="D26" s="77" t="str">
        <f ca="1">IFERROR(INDEX(Validation!G:G,MATCH("PAYG 1"&amp;CELL("address",D26),Validation!I:I,0)),"")</f>
        <v/>
      </c>
      <c r="E26" s="66" t="str">
        <f ca="1">IFERROR(INDEX(Validation!F:F,MATCH("PAYG 1"&amp;CELL("address",D26),Validation!I:I,0)),"")</f>
        <v/>
      </c>
    </row>
    <row r="27" spans="1:5" x14ac:dyDescent="0.25">
      <c r="A27" s="79" t="s">
        <v>221</v>
      </c>
      <c r="B27" s="125">
        <f>IFERROR(B21-B25+B26,"")</f>
        <v>218982</v>
      </c>
      <c r="C27" s="125">
        <f>IFERROR(B21+C21-B25-C25+B26+C26,"")</f>
        <v>218982</v>
      </c>
      <c r="D27" s="77" t="str">
        <f ca="1">IFERROR(INDEX(Validation!G:G,MATCH("PAYG 1"&amp;CELL("address",D27),Validation!I:I,0)),"")</f>
        <v/>
      </c>
      <c r="E27" s="66" t="str">
        <f ca="1">IFERROR(INDEX(Validation!F:F,MATCH("PAYG 1"&amp;CELL("address",D27),Validation!I:I,0)),"")</f>
        <v/>
      </c>
    </row>
    <row r="28" spans="1:5" x14ac:dyDescent="0.25">
      <c r="A28" s="79" t="s">
        <v>223</v>
      </c>
      <c r="B28" s="122">
        <f>IF(NOT(ISBLANK('PAYG Input'!C36)),'PAYG Input'!C36,"")</f>
        <v>0</v>
      </c>
      <c r="C28" s="122"/>
      <c r="D28" s="77" t="str">
        <f ca="1">IFERROR(INDEX(Validation!G:G,MATCH("PAYG 1"&amp;CELL("address",D28),Validation!I:I,0)),"")</f>
        <v/>
      </c>
      <c r="E28" s="66" t="str">
        <f ca="1">IFERROR(INDEX(Validation!F:F,MATCH("PAYG 1"&amp;CELL("address",D28),Validation!I:I,0)),"")</f>
        <v/>
      </c>
    </row>
    <row r="29" spans="1:5" x14ac:dyDescent="0.25">
      <c r="A29" s="79" t="s">
        <v>1191</v>
      </c>
      <c r="B29" s="122">
        <f>IF(NOT(ISBLANK('PAYG Input'!C38)),'PAYG Input'!C38,"")</f>
        <v>0</v>
      </c>
      <c r="C29" s="122"/>
      <c r="D29" s="77" t="str">
        <f ca="1">IFERROR(INDEX(Validation!G:G,MATCH("PAYG 1"&amp;CELL("address",D29),Validation!I:I,0)),"")</f>
        <v/>
      </c>
      <c r="E29" s="66" t="str">
        <f ca="1">IFERROR(INDEX(Validation!F:F,MATCH("PAYG 1"&amp;CELL("address",D29),Validation!I:I,0)),"")</f>
        <v/>
      </c>
    </row>
    <row r="30" spans="1:5" ht="20.100000000000001" customHeight="1" x14ac:dyDescent="0.25">
      <c r="A30" s="74" t="str">
        <f>"Principal and Interest Due in "&amp;Year_DestinationYearID+1</f>
        <v>Principal and Interest Due in 2025</v>
      </c>
      <c r="B30" s="74"/>
      <c r="C30" s="128"/>
      <c r="D30" s="77"/>
    </row>
    <row r="31" spans="1:5" x14ac:dyDescent="0.25">
      <c r="A31" s="79" t="str">
        <f>"Principal Due in "&amp;Year_DestinationYearID+1</f>
        <v>Principal Due in 2025</v>
      </c>
      <c r="B31" s="122"/>
      <c r="C31" s="128"/>
      <c r="D31" s="77" t="str">
        <f ca="1">IFERROR(INDEX(Validation!G:G,MATCH("PAYG 1"&amp;CELL("address",D31),Validation!I:I,0)),"")</f>
        <v/>
      </c>
      <c r="E31" s="66" t="str">
        <f ca="1">IFERROR(INDEX(Validation!F:F,MATCH("PAYG 1"&amp;CELL("address",D31),Validation!I:I,0)),"")</f>
        <v/>
      </c>
    </row>
    <row r="32" spans="1:5" x14ac:dyDescent="0.25">
      <c r="A32" s="79" t="str">
        <f>"Interest Due in "&amp;Year_DestinationYearID+1</f>
        <v>Interest Due in 2025</v>
      </c>
      <c r="B32" s="122"/>
      <c r="C32" s="128"/>
      <c r="D32" s="77" t="str">
        <f ca="1">IFERROR(INDEX(Validation!G:G,MATCH("PAYG 1"&amp;CELL("address",D32),Validation!I:I,0)),"")</f>
        <v/>
      </c>
      <c r="E32" s="66" t="str">
        <f ca="1">IFERROR(INDEX(Validation!F:F,MATCH("PAYG 1"&amp;CELL("address",D32),Validation!I:I,0)),"")</f>
        <v/>
      </c>
    </row>
    <row r="33" spans="1:5" ht="20.100000000000001" customHeight="1" x14ac:dyDescent="0.25">
      <c r="A33" s="97" t="s">
        <v>176</v>
      </c>
      <c r="D33" s="77" t="str">
        <f ca="1">IF(AND(ISBLANK(A34),OR(COUNTIF(E6:E32,"Alert")&gt;0,SUM(B26:B26)&lt;&gt;0)),"Comment(s) required for remaining alert(s) and/or additions to principal.",IFERROR(INDEX(Validation!G:G,MATCH("PAYG 1"&amp;CELL("address",D34),Validation!I:I,0)),""))</f>
        <v/>
      </c>
      <c r="E33" s="66" t="str">
        <f ca="1">IF(AND(ISBLANK(A34),OR(COUNTIF(E6:E32,"Alert")&gt;0,SUM(B26:B26)&lt;&gt;0)),"Error",IFERROR(INDEX(Validation!F:F,MATCH("PAYG 1"&amp;CELL("address",D34),Validation!I:I,0)),""))</f>
        <v/>
      </c>
    </row>
    <row r="34" spans="1:5" ht="150" customHeight="1" x14ac:dyDescent="0.25">
      <c r="A34" s="123"/>
      <c r="B34" s="100" t="str">
        <f>HYPERLINK("#'PAYGs'!B6","Click here to return to the PAYGs Tab")</f>
        <v>Click here to return to the PAYGs Tab</v>
      </c>
      <c r="C34" s="127"/>
    </row>
    <row r="35" spans="1:5" x14ac:dyDescent="0.25">
      <c r="A35" s="98"/>
      <c r="B35" s="98"/>
      <c r="C35" s="98"/>
    </row>
    <row r="36" spans="1:5" x14ac:dyDescent="0.25">
      <c r="A36" s="98"/>
      <c r="B36" s="98"/>
      <c r="C36" s="98"/>
    </row>
    <row r="37" spans="1:5" x14ac:dyDescent="0.25">
      <c r="A37" s="98"/>
      <c r="B37" s="98"/>
      <c r="C37" s="98"/>
    </row>
    <row r="38" spans="1:5" x14ac:dyDescent="0.25">
      <c r="A38" s="98"/>
      <c r="B38" s="98"/>
      <c r="C38" s="98"/>
    </row>
  </sheetData>
  <sheetProtection algorithmName="SHA-512" hashValue="bRd5eWdoKn43cnf6PFdxYpPPl849gUDs0az2Kbr+mYHvx64V1ZfAJX1nA7Ku3vCjeFrv/32w361LX/ItIXXXxA==" saltValue="9dYk44vQm4OZMe2c88pCUQ==" spinCount="100000" sheet="1" objects="1" scenarios="1"/>
  <mergeCells count="1">
    <mergeCell ref="A4:E4"/>
  </mergeCells>
  <conditionalFormatting sqref="A2">
    <cfRule type="expression" dxfId="374" priority="14">
      <formula>$E2="Error"</formula>
    </cfRule>
    <cfRule type="expression" dxfId="372" priority="16">
      <formula>$E2="Exclude"</formula>
    </cfRule>
  </conditionalFormatting>
  <conditionalFormatting sqref="D6:E33">
    <cfRule type="expression" dxfId="371" priority="1">
      <formula>$E6="Information"</formula>
    </cfRule>
    <cfRule type="expression" dxfId="370" priority="2">
      <formula>$E6="Error"</formula>
    </cfRule>
    <cfRule type="expression" dxfId="369" priority="3">
      <formula>$E6="Alert"</formula>
    </cfRule>
    <cfRule type="expression" dxfId="368" priority="4">
      <formula>$E6="Exclude"</formula>
    </cfRule>
  </conditionalFormatting>
  <dataValidations count="1">
    <dataValidation type="list" allowBlank="1" showInputMessage="1" showErrorMessage="1" sqref="B13:C13" xr:uid="{217D15E5-08E1-41B6-9C5F-E9D735730F39}">
      <formula1>SelOneYesNo</formula1>
    </dataValidation>
  </dataValidations>
  <pageMargins left="0.7" right="0.7" top="0.75" bottom="0.75" header="0.3" footer="0.3"/>
  <pageSetup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15" id="{F7E003A6-A08D-48A4-BE81-C03B81D66D2C}">
            <xm:f>COUNTIFS(Validation!$H:$H,MID(CELL("filename",A2),FIND("]",CELL("filename",A2))+1,255)&amp;CELL("address",A2))&gt;0</xm:f>
            <x14:dxf>
              <font>
                <b/>
                <i val="0"/>
                <color rgb="FFC00000"/>
              </font>
              <numFmt numFmtId="172" formatCode="_(\!* #,##0_);_(\!* \(#,##0\);_(\!* \-??_);_(\!\ @_)"/>
            </x14:dxf>
          </x14:cfRule>
          <xm:sqref>A2</xm:sqref>
        </x14:conditionalFormatting>
      </x14:conditionalFormatting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39B64-C2C5-4CDE-9102-F81122DDFC4D}">
  <sheetPr>
    <tabColor rgb="FFEED382"/>
  </sheetPr>
  <dimension ref="A1:F38"/>
  <sheetViews>
    <sheetView showGridLines="0" workbookViewId="0">
      <selection activeCell="B7" sqref="B7"/>
    </sheetView>
  </sheetViews>
  <sheetFormatPr defaultRowHeight="15" x14ac:dyDescent="0.25"/>
  <cols>
    <col min="1" max="1" width="55.7109375" style="66" customWidth="1"/>
    <col min="2" max="3" width="20.7109375" style="66" customWidth="1"/>
    <col min="4" max="4" width="80.85546875" style="66" customWidth="1"/>
    <col min="5" max="5" width="14.7109375" style="66" customWidth="1"/>
    <col min="6" max="6" width="0" style="78" hidden="1" customWidth="1"/>
    <col min="7" max="16384" width="9.140625" style="66"/>
  </cols>
  <sheetData>
    <row r="1" spans="1:6" s="59" customFormat="1" ht="24.95" customHeight="1" x14ac:dyDescent="0.25">
      <c r="A1" s="59" t="str">
        <f>_xlfn.CONCAT("Office of the State Auditor  -  TIF Annual Reporting Form  -  ",Year_DestinationYearID)</f>
        <v>Office of the State Auditor  -  TIF Annual Reporting Form  -  2024</v>
      </c>
      <c r="F1" s="61"/>
    </row>
    <row r="2" spans="1:6" s="62" customFormat="1" ht="20.100000000000001" customHeight="1" x14ac:dyDescent="0.25">
      <c r="A2" s="58" t="str">
        <f>_xlfn.CONCAT(GovEntity_GovEntityName_Parent,"  -  ",GovEntity_GovEntityName)</f>
        <v>Spruce City  -  TIF 1-1 Downtown Redev</v>
      </c>
      <c r="F2" s="64"/>
    </row>
    <row r="3" spans="1:6" s="68" customFormat="1" ht="24.95" customHeight="1" x14ac:dyDescent="0.3">
      <c r="A3" s="65" t="s">
        <v>233</v>
      </c>
      <c r="B3" s="66"/>
      <c r="C3" s="66"/>
      <c r="F3" s="69"/>
    </row>
    <row r="4" spans="1:6" s="71" customFormat="1" x14ac:dyDescent="0.25">
      <c r="A4" s="217" t="s">
        <v>207</v>
      </c>
      <c r="B4" s="217"/>
      <c r="C4" s="217"/>
      <c r="D4" s="217"/>
      <c r="E4" s="217"/>
      <c r="F4" s="72" t="s">
        <v>119</v>
      </c>
    </row>
    <row r="5" spans="1:6" s="74" customFormat="1" ht="20.100000000000001" customHeight="1" x14ac:dyDescent="0.25">
      <c r="A5" s="73" t="str">
        <f>HYPERLINK("#'PAYGs'!B6","Click here to return to the PAYGs Tab")</f>
        <v>Click here to return to the PAYGs Tab</v>
      </c>
      <c r="D5" s="74" t="s">
        <v>121</v>
      </c>
      <c r="E5" s="74" t="s">
        <v>102</v>
      </c>
      <c r="F5" s="76"/>
    </row>
    <row r="6" spans="1:6" ht="20.100000000000001" customHeight="1" x14ac:dyDescent="0.25">
      <c r="A6" s="74" t="s">
        <v>234</v>
      </c>
      <c r="D6" s="77" t="str">
        <f ca="1">IFERROR(INDEX(Validation!G:G,MATCH("PAYG 2"&amp;CELL("address",D6),Validation!I:I,0)),"")</f>
        <v xml:space="preserve">Complete entry of all rows on this tab. (Enter zero when appropriate.) </v>
      </c>
      <c r="E6" s="66" t="str">
        <f ca="1">IFERROR(INDEX(Validation!F:F,MATCH("PAYG 2"&amp;CELL("address",D6),Validation!I:I,0)),"")</f>
        <v>Error</v>
      </c>
      <c r="F6" s="78" t="s">
        <v>1006</v>
      </c>
    </row>
    <row r="7" spans="1:6" x14ac:dyDescent="0.25">
      <c r="A7" s="79" t="s">
        <v>210</v>
      </c>
      <c r="B7" s="103" t="str">
        <f>IF(NOT(ISBLANK('PAYG Input'!D5)),'PAYG Input'!D5,"")</f>
        <v>Ricks Lumber</v>
      </c>
      <c r="D7" s="77" t="str">
        <f ca="1">IFERROR(INDEX(Validation!G:G,MATCH("PAYG 2"&amp;CELL("address",D7),Validation!I:I,0)),"")</f>
        <v/>
      </c>
      <c r="E7" s="66" t="str">
        <f ca="1">IFERROR(INDEX(Validation!F:F,MATCH("PAYG 2"&amp;CELL("address",D7),Validation!I:I,0)),"")</f>
        <v/>
      </c>
      <c r="F7" s="85">
        <f>IF(NOT(ISBLANK('PAYG Input'!D4)),'PAYG Input'!D4,"")</f>
        <v>2347</v>
      </c>
    </row>
    <row r="8" spans="1:6" x14ac:dyDescent="0.25">
      <c r="A8" s="79" t="s">
        <v>211</v>
      </c>
      <c r="B8" s="120">
        <f>IF(NOT(ISBLANK('PAYG Input'!D6)),'PAYG Input'!D6,"")</f>
        <v>42968</v>
      </c>
      <c r="C8" s="129"/>
      <c r="D8" s="77" t="str">
        <f ca="1">IFERROR(INDEX(Validation!G:G,MATCH("PAYG 2"&amp;CELL("address",D8),Validation!I:I,0)),"")</f>
        <v/>
      </c>
      <c r="E8" s="66" t="str">
        <f ca="1">IFERROR(INDEX(Validation!F:F,MATCH("PAYG 2"&amp;CELL("address",D8),Validation!I:I,0)),"")</f>
        <v/>
      </c>
    </row>
    <row r="9" spans="1:6" x14ac:dyDescent="0.25">
      <c r="A9" s="79" t="s">
        <v>212</v>
      </c>
      <c r="B9" s="120">
        <f>IF(NOT(ISBLANK('PAYG Input'!D7)),'PAYG Input'!D7,"")</f>
        <v>47483</v>
      </c>
      <c r="C9" s="129"/>
      <c r="D9" s="77" t="str">
        <f ca="1">IFERROR(INDEX(Validation!G:G,MATCH("PAYG 2"&amp;CELL("address",D9),Validation!I:I,0)),"")</f>
        <v/>
      </c>
      <c r="E9" s="66" t="str">
        <f ca="1">IFERROR(INDEX(Validation!F:F,MATCH("PAYG 2"&amp;CELL("address",D9),Validation!I:I,0)),"")</f>
        <v/>
      </c>
    </row>
    <row r="10" spans="1:6" x14ac:dyDescent="0.25">
      <c r="A10" s="79" t="s">
        <v>213</v>
      </c>
      <c r="B10" s="121">
        <f>IF(NOT(ISBLANK('PAYG Input'!D8)),'PAYG Input'!D8,"")</f>
        <v>0</v>
      </c>
      <c r="C10" s="132"/>
      <c r="D10" s="77" t="str">
        <f ca="1">IFERROR(INDEX(Validation!G:G,MATCH("PAYG 2"&amp;CELL("address",D10),Validation!I:I,0)),"")</f>
        <v/>
      </c>
      <c r="E10" s="66" t="str">
        <f ca="1">IFERROR(INDEX(Validation!F:F,MATCH("PAYG 2"&amp;CELL("address",D10),Validation!I:I,0)),"")</f>
        <v/>
      </c>
    </row>
    <row r="11" spans="1:6" x14ac:dyDescent="0.25">
      <c r="A11" s="79" t="s">
        <v>214</v>
      </c>
      <c r="B11" s="121">
        <f>IF(NOT(ISBLANK('PAYG Input'!D9)),'PAYG Input'!D9,"")</f>
        <v>0</v>
      </c>
      <c r="C11" s="132"/>
      <c r="D11" s="77" t="str">
        <f ca="1">IFERROR(INDEX(Validation!G:G,MATCH("PAYG 2"&amp;CELL("address",D11),Validation!I:I,0)),"")</f>
        <v/>
      </c>
      <c r="E11" s="66" t="str">
        <f ca="1">IFERROR(INDEX(Validation!F:F,MATCH("PAYG 2"&amp;CELL("address",D11),Validation!I:I,0)),"")</f>
        <v/>
      </c>
    </row>
    <row r="12" spans="1:6" x14ac:dyDescent="0.25">
      <c r="A12" s="79" t="s">
        <v>235</v>
      </c>
      <c r="B12" s="122">
        <f>IF(NOT(ISBLANK('PAYG Input'!D10)),'PAYG Input'!D10,"")</f>
        <v>73125</v>
      </c>
      <c r="C12" s="128"/>
      <c r="D12" s="77" t="str">
        <f ca="1">IFERROR(INDEX(Validation!G:G,MATCH("PAYG 2"&amp;CELL("address",D12),Validation!I:I,0)),"")</f>
        <v/>
      </c>
      <c r="E12" s="66" t="str">
        <f ca="1">IFERROR(INDEX(Validation!F:F,MATCH("PAYG 2"&amp;CELL("address",D12),Validation!I:I,0)),"")</f>
        <v/>
      </c>
    </row>
    <row r="13" spans="1:6" x14ac:dyDescent="0.25">
      <c r="A13" s="79" t="s">
        <v>232</v>
      </c>
      <c r="B13" s="103" t="str">
        <f>IF(ISBLANK('PAYG Input'!D11),"Select One",IF('PAYG Input'!D11=TRUE,"Yes","No"))</f>
        <v>Yes</v>
      </c>
      <c r="D13" s="77" t="str">
        <f ca="1">IFERROR(INDEX(Validation!G:G,MATCH("PAYG 2"&amp;CELL("address",D13),Validation!I:I,0)),"")</f>
        <v/>
      </c>
      <c r="E13" s="66" t="str">
        <f ca="1">IFERROR(INDEX(Validation!F:F,MATCH("PAYG 2"&amp;CELL("address",D13),Validation!I:I,0)),"")</f>
        <v/>
      </c>
    </row>
    <row r="14" spans="1:6" ht="20.100000000000001" customHeight="1" x14ac:dyDescent="0.25">
      <c r="A14" s="74" t="s">
        <v>681</v>
      </c>
      <c r="B14" s="74" t="s">
        <v>283</v>
      </c>
      <c r="C14" s="74" t="str">
        <f>Year_DestinationYearID&amp;" Amount"</f>
        <v>2024 Amount</v>
      </c>
      <c r="D14" s="77"/>
    </row>
    <row r="15" spans="1:6" x14ac:dyDescent="0.25">
      <c r="A15" s="79" t="s">
        <v>266</v>
      </c>
      <c r="B15" s="122">
        <f>IF(NOT(ISBLANK('PAYG Input'!D12)),'PAYG Input'!D12,"")</f>
        <v>0</v>
      </c>
      <c r="C15" s="122"/>
      <c r="D15" s="77" t="str">
        <f ca="1">IFERROR(INDEX(Validation!G:G,MATCH("PAYG 2"&amp;CELL("address",D15),Validation!I:I,0)),"")</f>
        <v/>
      </c>
      <c r="E15" s="66" t="str">
        <f ca="1">IFERROR(INDEX(Validation!F:F,MATCH("PAYG 2"&amp;CELL("address",D15),Validation!I:I,0)),"")</f>
        <v/>
      </c>
    </row>
    <row r="16" spans="1:6" x14ac:dyDescent="0.25">
      <c r="A16" s="79" t="s">
        <v>267</v>
      </c>
      <c r="B16" s="122">
        <f>IF(NOT(ISBLANK('PAYG Input'!D14)),'PAYG Input'!D14,"")</f>
        <v>73125</v>
      </c>
      <c r="C16" s="122"/>
      <c r="D16" s="77" t="str">
        <f ca="1">IFERROR(INDEX(Validation!G:G,MATCH("PAYG 2"&amp;CELL("address",D16),Validation!I:I,0)),"")</f>
        <v/>
      </c>
      <c r="E16" s="66" t="str">
        <f ca="1">IFERROR(INDEX(Validation!F:F,MATCH("PAYG 2"&amp;CELL("address",D16),Validation!I:I,0)),"")</f>
        <v/>
      </c>
    </row>
    <row r="17" spans="1:5" x14ac:dyDescent="0.25">
      <c r="A17" s="79" t="s">
        <v>268</v>
      </c>
      <c r="B17" s="122">
        <f>IF(NOT(ISBLANK('PAYG Input'!D16)),'PAYG Input'!D16,"")</f>
        <v>0</v>
      </c>
      <c r="C17" s="122"/>
      <c r="D17" s="77" t="str">
        <f ca="1">IFERROR(INDEX(Validation!G:G,MATCH("PAYG 2"&amp;CELL("address",D17),Validation!I:I,0)),"")</f>
        <v/>
      </c>
      <c r="E17" s="66" t="str">
        <f ca="1">IFERROR(INDEX(Validation!F:F,MATCH("PAYG 2"&amp;CELL("address",D17),Validation!I:I,0)),"")</f>
        <v/>
      </c>
    </row>
    <row r="18" spans="1:5" x14ac:dyDescent="0.25">
      <c r="A18" s="79" t="s">
        <v>269</v>
      </c>
      <c r="B18" s="122">
        <f>IF(NOT(ISBLANK('PAYG Input'!D18)),'PAYG Input'!D18,"")</f>
        <v>0</v>
      </c>
      <c r="C18" s="122"/>
      <c r="D18" s="77" t="str">
        <f ca="1">IFERROR(INDEX(Validation!G:G,MATCH("PAYG 2"&amp;CELL("address",D18),Validation!I:I,0)),"")</f>
        <v/>
      </c>
      <c r="E18" s="66" t="str">
        <f ca="1">IFERROR(INDEX(Validation!F:F,MATCH("PAYG 2"&amp;CELL("address",D18),Validation!I:I,0)),"")</f>
        <v/>
      </c>
    </row>
    <row r="19" spans="1:5" x14ac:dyDescent="0.25">
      <c r="A19" s="79" t="s">
        <v>270</v>
      </c>
      <c r="B19" s="122">
        <f>IF(NOT(ISBLANK('PAYG Input'!D20)),'PAYG Input'!D20,"")</f>
        <v>0</v>
      </c>
      <c r="C19" s="122"/>
      <c r="D19" s="77" t="str">
        <f ca="1">IFERROR(INDEX(Validation!G:G,MATCH("PAYG 2"&amp;CELL("address",D19),Validation!I:I,0)),"")</f>
        <v/>
      </c>
      <c r="E19" s="66" t="str">
        <f ca="1">IFERROR(INDEX(Validation!F:F,MATCH("PAYG 2"&amp;CELL("address",D19),Validation!I:I,0)),"")</f>
        <v/>
      </c>
    </row>
    <row r="20" spans="1:5" x14ac:dyDescent="0.25">
      <c r="A20" s="79" t="s">
        <v>272</v>
      </c>
      <c r="B20" s="122">
        <f>IF(NOT(ISBLANK('PAYG Input'!D22)),'PAYG Input'!D22,"")</f>
        <v>0</v>
      </c>
      <c r="C20" s="122"/>
      <c r="D20" s="77" t="str">
        <f ca="1">IFERROR(INDEX(Validation!G:G,MATCH("PAYG 2"&amp;CELL("address",D20),Validation!I:I,0)),"")</f>
        <v/>
      </c>
      <c r="E20" s="66" t="str">
        <f ca="1">IFERROR(INDEX(Validation!F:F,MATCH("PAYG 2"&amp;CELL("address",D20),Validation!I:I,0)),"")</f>
        <v/>
      </c>
    </row>
    <row r="21" spans="1:5" x14ac:dyDescent="0.25">
      <c r="A21" s="130" t="s">
        <v>236</v>
      </c>
      <c r="B21" s="125">
        <f>SUM(B15:B20)</f>
        <v>73125</v>
      </c>
      <c r="C21" s="125">
        <f>SUM(C15:C20)</f>
        <v>0</v>
      </c>
      <c r="D21" s="77" t="str">
        <f ca="1">IFERROR(INDEX(Validation!G:G,MATCH("PAYG 2"&amp;CELL("address",D21),Validation!I:I,0)),"")</f>
        <v/>
      </c>
      <c r="E21" s="66" t="str">
        <f ca="1">IFERROR(INDEX(Validation!F:F,MATCH("PAYG 2"&amp;CELL("address",D21),Validation!I:I,0)),"")</f>
        <v/>
      </c>
    </row>
    <row r="22" spans="1:5" x14ac:dyDescent="0.25">
      <c r="A22" s="131" t="s">
        <v>682</v>
      </c>
      <c r="B22" s="122" t="str">
        <f>IF(NOT(ISBLANK('PAYG Input'!D26)),'PAYG Input'!D26,"")</f>
        <v/>
      </c>
      <c r="C22" s="122"/>
      <c r="D22" s="77" t="str">
        <f ca="1">IFERROR(INDEX(Validation!G:G,MATCH("PAYG 2"&amp;CELL("address",D22),Validation!I:I,0)),"")</f>
        <v/>
      </c>
      <c r="E22" s="66" t="str">
        <f ca="1">IFERROR(INDEX(Validation!F:F,MATCH("PAYG 2"&amp;CELL("address",D22),Validation!I:I,0)),"")</f>
        <v/>
      </c>
    </row>
    <row r="23" spans="1:5" x14ac:dyDescent="0.25">
      <c r="A23" s="131" t="s">
        <v>683</v>
      </c>
      <c r="B23" s="122" t="str">
        <f>IF(NOT(ISBLANK('PAYG Input'!D28)),'PAYG Input'!D28,"")</f>
        <v/>
      </c>
      <c r="C23" s="122"/>
      <c r="D23" s="77" t="str">
        <f ca="1">IFERROR(INDEX(Validation!G:G,MATCH("PAYG 2"&amp;CELL("address",D23),Validation!I:I,0)),"")</f>
        <v/>
      </c>
      <c r="E23" s="66" t="str">
        <f ca="1">IFERROR(INDEX(Validation!F:F,MATCH("PAYG 2"&amp;CELL("address",D23),Validation!I:I,0)),"")</f>
        <v/>
      </c>
    </row>
    <row r="24" spans="1:5" ht="20.100000000000001" customHeight="1" x14ac:dyDescent="0.25">
      <c r="A24" s="74" t="s">
        <v>1311</v>
      </c>
      <c r="B24" s="74" t="s">
        <v>283</v>
      </c>
      <c r="C24" s="74" t="str">
        <f>Year_DestinationYearID&amp;" Amount"</f>
        <v>2024 Amount</v>
      </c>
      <c r="D24" s="77"/>
    </row>
    <row r="25" spans="1:5" x14ac:dyDescent="0.25">
      <c r="A25" s="79" t="s">
        <v>1188</v>
      </c>
      <c r="B25" s="122">
        <f>IF(NOT(ISBLANK('PAYG Input'!D30)),'PAYG Input'!D30,"")</f>
        <v>11227</v>
      </c>
      <c r="C25" s="122"/>
      <c r="D25" s="77" t="str">
        <f ca="1">IFERROR(INDEX(Validation!G:G,MATCH("PAYG 2"&amp;CELL("address",D25),Validation!I:I,0)),"")</f>
        <v/>
      </c>
      <c r="E25" s="66" t="str">
        <f ca="1">IFERROR(INDEX(Validation!F:F,MATCH("PAYG 2"&amp;CELL("address",D25),Validation!I:I,0)),"")</f>
        <v/>
      </c>
    </row>
    <row r="26" spans="1:5" x14ac:dyDescent="0.25">
      <c r="A26" s="79" t="s">
        <v>1190</v>
      </c>
      <c r="B26" s="122">
        <f>IF(NOT(ISBLANK('PAYG Input'!D32)),'PAYG Input'!D32,"")</f>
        <v>0</v>
      </c>
      <c r="C26" s="122"/>
      <c r="D26" s="77" t="str">
        <f ca="1">IFERROR(INDEX(Validation!G:G,MATCH("PAYG 2"&amp;CELL("address",D26),Validation!I:I,0)),"")</f>
        <v/>
      </c>
      <c r="E26" s="66" t="str">
        <f ca="1">IFERROR(INDEX(Validation!F:F,MATCH("PAYG 2"&amp;CELL("address",D26),Validation!I:I,0)),"")</f>
        <v/>
      </c>
    </row>
    <row r="27" spans="1:5" x14ac:dyDescent="0.25">
      <c r="A27" s="79" t="s">
        <v>221</v>
      </c>
      <c r="B27" s="125">
        <f>IFERROR(B21-B25+B26,"")</f>
        <v>61898</v>
      </c>
      <c r="C27" s="125">
        <f>IFERROR(B21+C21-B25-C25+B26+C26,"")</f>
        <v>61898</v>
      </c>
      <c r="D27" s="77" t="str">
        <f ca="1">IFERROR(INDEX(Validation!G:G,MATCH("PAYG 2"&amp;CELL("address",D27),Validation!I:I,0)),"")</f>
        <v/>
      </c>
      <c r="E27" s="66" t="str">
        <f ca="1">IFERROR(INDEX(Validation!F:F,MATCH("PAYG 2"&amp;CELL("address",D27),Validation!I:I,0)),"")</f>
        <v/>
      </c>
    </row>
    <row r="28" spans="1:5" x14ac:dyDescent="0.25">
      <c r="A28" s="79" t="s">
        <v>223</v>
      </c>
      <c r="B28" s="122">
        <f>IF(NOT(ISBLANK('PAYG Input'!D36)),'PAYG Input'!D36,"")</f>
        <v>0</v>
      </c>
      <c r="C28" s="122"/>
      <c r="D28" s="77" t="str">
        <f ca="1">IFERROR(INDEX(Validation!G:G,MATCH("PAYG 2"&amp;CELL("address",D28),Validation!I:I,0)),"")</f>
        <v/>
      </c>
      <c r="E28" s="66" t="str">
        <f ca="1">IFERROR(INDEX(Validation!F:F,MATCH("PAYG 2"&amp;CELL("address",D28),Validation!I:I,0)),"")</f>
        <v/>
      </c>
    </row>
    <row r="29" spans="1:5" x14ac:dyDescent="0.25">
      <c r="A29" s="79" t="s">
        <v>1191</v>
      </c>
      <c r="B29" s="122">
        <f>IF(NOT(ISBLANK('PAYG Input'!D38)),'PAYG Input'!D38,"")</f>
        <v>0</v>
      </c>
      <c r="C29" s="122"/>
      <c r="D29" s="77" t="str">
        <f ca="1">IFERROR(INDEX(Validation!G:G,MATCH("PAYG 2"&amp;CELL("address",D29),Validation!I:I,0)),"")</f>
        <v/>
      </c>
      <c r="E29" s="66" t="str">
        <f ca="1">IFERROR(INDEX(Validation!F:F,MATCH("PAYG 2"&amp;CELL("address",D29),Validation!I:I,0)),"")</f>
        <v/>
      </c>
    </row>
    <row r="30" spans="1:5" ht="20.100000000000001" customHeight="1" x14ac:dyDescent="0.25">
      <c r="A30" s="74" t="str">
        <f>"Principal and Interest Due in "&amp;Year_DestinationYearID+1</f>
        <v>Principal and Interest Due in 2025</v>
      </c>
      <c r="B30" s="74"/>
      <c r="C30" s="128"/>
      <c r="D30" s="77"/>
    </row>
    <row r="31" spans="1:5" x14ac:dyDescent="0.25">
      <c r="A31" s="79" t="str">
        <f>"Principal Due in "&amp;Year_DestinationYearID+1</f>
        <v>Principal Due in 2025</v>
      </c>
      <c r="B31" s="122"/>
      <c r="C31" s="128"/>
      <c r="D31" s="77" t="str">
        <f ca="1">IFERROR(INDEX(Validation!G:G,MATCH("PAYG 2"&amp;CELL("address",D31),Validation!I:I,0)),"")</f>
        <v/>
      </c>
      <c r="E31" s="66" t="str">
        <f ca="1">IFERROR(INDEX(Validation!F:F,MATCH("PAYG 2"&amp;CELL("address",D31),Validation!I:I,0)),"")</f>
        <v/>
      </c>
    </row>
    <row r="32" spans="1:5" x14ac:dyDescent="0.25">
      <c r="A32" s="79" t="str">
        <f>"Interest Due in "&amp;Year_DestinationYearID+1</f>
        <v>Interest Due in 2025</v>
      </c>
      <c r="B32" s="122"/>
      <c r="C32" s="128"/>
      <c r="D32" s="77" t="str">
        <f ca="1">IFERROR(INDEX(Validation!G:G,MATCH("PAYG 2"&amp;CELL("address",D32),Validation!I:I,0)),"")</f>
        <v/>
      </c>
      <c r="E32" s="66" t="str">
        <f ca="1">IFERROR(INDEX(Validation!F:F,MATCH("PAYG 2"&amp;CELL("address",D32),Validation!I:I,0)),"")</f>
        <v/>
      </c>
    </row>
    <row r="33" spans="1:5" ht="20.100000000000001" customHeight="1" x14ac:dyDescent="0.25">
      <c r="A33" s="97" t="s">
        <v>176</v>
      </c>
      <c r="D33" s="77" t="str">
        <f ca="1">IF(AND(ISBLANK(A34),OR(COUNTIF(E6:E32,"Alert")&gt;0,SUM(B26:B26)&lt;&gt;0)),"Comment(s) required for remaining alert(s) and/or additions to principal.",IFERROR(INDEX(Validation!G:G,MATCH("PAYG 2"&amp;CELL("address",D34),Validation!I:I,0)),""))</f>
        <v/>
      </c>
      <c r="E33" s="66" t="str">
        <f ca="1">IF(AND(ISBLANK(A34),OR(COUNTIF(E6:E32,"Alert")&gt;0,SUM(B26:B26)&lt;&gt;0)),"Error",IFERROR(INDEX(Validation!F:F,MATCH("PAYG 2"&amp;CELL("address",D34),Validation!I:I,0)),""))</f>
        <v/>
      </c>
    </row>
    <row r="34" spans="1:5" ht="150" customHeight="1" x14ac:dyDescent="0.25">
      <c r="A34" s="123"/>
      <c r="B34" s="100" t="str">
        <f>HYPERLINK("#'PAYGs'!B6","Click here to return to the PAYGs Tab")</f>
        <v>Click here to return to the PAYGs Tab</v>
      </c>
      <c r="C34" s="127"/>
    </row>
    <row r="35" spans="1:5" x14ac:dyDescent="0.25">
      <c r="A35" s="98"/>
      <c r="B35" s="98"/>
      <c r="C35" s="98"/>
    </row>
    <row r="36" spans="1:5" x14ac:dyDescent="0.25">
      <c r="A36" s="98"/>
      <c r="B36" s="98"/>
      <c r="C36" s="98"/>
    </row>
    <row r="37" spans="1:5" x14ac:dyDescent="0.25">
      <c r="A37" s="98"/>
      <c r="B37" s="98"/>
      <c r="C37" s="98"/>
    </row>
    <row r="38" spans="1:5" x14ac:dyDescent="0.25">
      <c r="A38" s="98"/>
      <c r="B38" s="98"/>
      <c r="C38" s="98"/>
    </row>
  </sheetData>
  <sheetProtection algorithmName="SHA-512" hashValue="u/OUW96n4bVBcoXaK49OmAhJV0V7BxlBEx79Ji9FboDxPuzFaG9H483X9nrhyxKPah8qVZoEkkd356irRfmNyg==" saltValue="yaqZkSycFDmDGf/yUcdHiQ==" spinCount="100000" sheet="1" objects="1" scenarios="1"/>
  <mergeCells count="1">
    <mergeCell ref="A4:E4"/>
  </mergeCells>
  <conditionalFormatting sqref="A2">
    <cfRule type="expression" dxfId="367" priority="5">
      <formula>$E2="Error"</formula>
    </cfRule>
    <cfRule type="expression" dxfId="365" priority="7">
      <formula>$E2="Exclude"</formula>
    </cfRule>
  </conditionalFormatting>
  <conditionalFormatting sqref="D6:E33">
    <cfRule type="expression" dxfId="364" priority="1">
      <formula>$E6="Information"</formula>
    </cfRule>
    <cfRule type="expression" dxfId="363" priority="2">
      <formula>$E6="Error"</formula>
    </cfRule>
    <cfRule type="expression" dxfId="362" priority="3">
      <formula>$E6="Alert"</formula>
    </cfRule>
    <cfRule type="expression" dxfId="361" priority="4">
      <formula>$E6="Exclude"</formula>
    </cfRule>
  </conditionalFormatting>
  <dataValidations count="1">
    <dataValidation type="list" allowBlank="1" showInputMessage="1" showErrorMessage="1" sqref="B13:C13" xr:uid="{DDF03676-72C2-46E9-AADF-790E1800717C}">
      <formula1>SelOneYesNo</formula1>
    </dataValidation>
  </dataValidations>
  <pageMargins left="0.7" right="0.7" top="0.75" bottom="0.75" header="0.3" footer="0.3"/>
  <pageSetup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6" id="{8633B24E-47E5-4517-8FF6-954C78E2AD0A}">
            <xm:f>COUNTIFS(Validation!$H:$H,MID(CELL("filename",A2),FIND("]",CELL("filename",A2))+1,255)&amp;CELL("address",A2))&gt;0</xm:f>
            <x14:dxf>
              <font>
                <b/>
                <i val="0"/>
                <color rgb="FFC00000"/>
              </font>
              <numFmt numFmtId="172" formatCode="_(\!* #,##0_);_(\!* \(#,##0\);_(\!* \-??_);_(\!\ @_)"/>
            </x14:dxf>
          </x14:cfRule>
          <xm:sqref>A2</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96ADB-DB3D-48A0-A797-59CC46B02E35}">
  <sheetPr>
    <tabColor rgb="FFFFC000"/>
  </sheetPr>
  <dimension ref="A1:R78"/>
  <sheetViews>
    <sheetView topLeftCell="A33" workbookViewId="0">
      <selection activeCell="C17" sqref="C17"/>
    </sheetView>
  </sheetViews>
  <sheetFormatPr defaultRowHeight="15" x14ac:dyDescent="0.25"/>
  <cols>
    <col min="1" max="1" width="55.7109375" customWidth="1"/>
    <col min="2" max="2" width="55.7109375" bestFit="1" customWidth="1"/>
    <col min="3" max="3" width="10.7109375" bestFit="1" customWidth="1"/>
  </cols>
  <sheetData>
    <row r="1" spans="1:17" s="43" customFormat="1" ht="24.95" customHeight="1" x14ac:dyDescent="0.3">
      <c r="A1" s="29" t="s">
        <v>852</v>
      </c>
    </row>
    <row r="2" spans="1:17" s="8" customFormat="1" ht="45" customHeight="1" x14ac:dyDescent="0.25">
      <c r="A2" s="9" t="s">
        <v>850</v>
      </c>
    </row>
    <row r="3" spans="1:17" x14ac:dyDescent="0.25">
      <c r="A3" s="1"/>
      <c r="B3" t="s">
        <v>506</v>
      </c>
      <c r="C3" s="45" t="s">
        <v>853</v>
      </c>
      <c r="D3" s="45" t="s">
        <v>854</v>
      </c>
      <c r="E3" s="45" t="s">
        <v>855</v>
      </c>
      <c r="F3" s="45" t="s">
        <v>856</v>
      </c>
      <c r="G3" s="45" t="s">
        <v>857</v>
      </c>
      <c r="H3" s="45" t="s">
        <v>858</v>
      </c>
      <c r="I3" s="45" t="s">
        <v>859</v>
      </c>
      <c r="J3" s="45" t="s">
        <v>860</v>
      </c>
      <c r="K3" s="45" t="s">
        <v>861</v>
      </c>
      <c r="L3" s="45" t="s">
        <v>862</v>
      </c>
      <c r="M3" s="45" t="s">
        <v>863</v>
      </c>
      <c r="N3" s="45" t="s">
        <v>864</v>
      </c>
      <c r="O3" s="45" t="s">
        <v>865</v>
      </c>
      <c r="P3" s="45" t="s">
        <v>866</v>
      </c>
      <c r="Q3" s="45" t="s">
        <v>867</v>
      </c>
    </row>
    <row r="4" spans="1:17" x14ac:dyDescent="0.25">
      <c r="A4" s="7" t="s">
        <v>873</v>
      </c>
      <c r="B4" t="s">
        <v>874</v>
      </c>
      <c r="C4" s="45">
        <v>904</v>
      </c>
      <c r="D4" s="45"/>
      <c r="E4" s="45"/>
      <c r="F4" s="45"/>
      <c r="G4" s="45"/>
      <c r="H4" s="45"/>
      <c r="I4" s="45"/>
      <c r="J4" s="45"/>
      <c r="K4" s="45"/>
      <c r="L4" s="45"/>
      <c r="M4" s="45"/>
      <c r="N4" s="45"/>
      <c r="O4" s="45"/>
      <c r="P4" s="45"/>
      <c r="Q4" s="45"/>
    </row>
    <row r="5" spans="1:17" x14ac:dyDescent="0.25">
      <c r="A5" s="7" t="s">
        <v>761</v>
      </c>
      <c r="B5" t="s">
        <v>782</v>
      </c>
      <c r="C5" s="28" t="s">
        <v>841</v>
      </c>
      <c r="D5" s="28"/>
      <c r="E5" s="28"/>
      <c r="F5" s="28"/>
      <c r="G5" s="28"/>
      <c r="H5" s="28"/>
      <c r="I5" s="28"/>
      <c r="J5" s="28"/>
      <c r="K5" s="28"/>
      <c r="L5" s="28"/>
      <c r="M5" s="28"/>
      <c r="N5" s="28"/>
      <c r="O5" s="28"/>
      <c r="P5" s="28"/>
      <c r="Q5" s="28"/>
    </row>
    <row r="6" spans="1:17" x14ac:dyDescent="0.25">
      <c r="A6" s="7" t="s">
        <v>769</v>
      </c>
      <c r="B6" t="s">
        <v>783</v>
      </c>
      <c r="C6" s="28"/>
      <c r="D6" s="28"/>
      <c r="E6" s="28"/>
      <c r="F6" s="28"/>
      <c r="G6" s="28"/>
      <c r="H6" s="28"/>
      <c r="I6" s="28"/>
      <c r="J6" s="28"/>
      <c r="K6" s="28"/>
      <c r="L6" s="28"/>
      <c r="M6" s="28"/>
      <c r="N6" s="28"/>
      <c r="O6" s="28"/>
      <c r="P6" s="28"/>
      <c r="Q6" s="28"/>
    </row>
    <row r="7" spans="1:17" x14ac:dyDescent="0.25">
      <c r="A7" s="7" t="s">
        <v>770</v>
      </c>
      <c r="B7" t="s">
        <v>784</v>
      </c>
      <c r="C7" s="28" t="s">
        <v>1676</v>
      </c>
      <c r="D7" s="28"/>
      <c r="E7" s="28"/>
      <c r="F7" s="28"/>
      <c r="G7" s="28"/>
      <c r="H7" s="28"/>
      <c r="I7" s="28"/>
      <c r="J7" s="28"/>
      <c r="K7" s="28"/>
      <c r="L7" s="28"/>
      <c r="M7" s="28"/>
      <c r="N7" s="28"/>
      <c r="O7" s="28"/>
      <c r="P7" s="28"/>
      <c r="Q7" s="28"/>
    </row>
    <row r="8" spans="1:17" x14ac:dyDescent="0.25">
      <c r="A8" s="7" t="s">
        <v>240</v>
      </c>
      <c r="B8" t="s">
        <v>785</v>
      </c>
      <c r="C8" s="37">
        <v>41092</v>
      </c>
      <c r="D8" s="37"/>
      <c r="E8" s="37"/>
      <c r="F8" s="37"/>
      <c r="G8" s="37"/>
      <c r="H8" s="37"/>
      <c r="I8" s="28"/>
      <c r="J8" s="28"/>
      <c r="K8" s="28"/>
      <c r="L8" s="28"/>
      <c r="M8" s="28"/>
      <c r="N8" s="28"/>
      <c r="O8" s="28"/>
      <c r="P8" s="28"/>
      <c r="Q8" s="28"/>
    </row>
    <row r="9" spans="1:17" x14ac:dyDescent="0.25">
      <c r="A9" s="7" t="s">
        <v>212</v>
      </c>
      <c r="B9" t="s">
        <v>786</v>
      </c>
      <c r="C9" s="37">
        <v>51135</v>
      </c>
      <c r="D9" s="37"/>
      <c r="E9" s="37"/>
      <c r="F9" s="37"/>
      <c r="G9" s="37"/>
      <c r="H9" s="37"/>
      <c r="I9" s="28"/>
      <c r="J9" s="28"/>
      <c r="K9" s="28"/>
      <c r="L9" s="28"/>
      <c r="M9" s="28"/>
      <c r="N9" s="28"/>
      <c r="O9" s="28"/>
      <c r="P9" s="28"/>
      <c r="Q9" s="28"/>
    </row>
    <row r="10" spans="1:17" x14ac:dyDescent="0.25">
      <c r="A10" s="7" t="s">
        <v>213</v>
      </c>
      <c r="B10" t="s">
        <v>787</v>
      </c>
      <c r="C10" s="28">
        <v>4</v>
      </c>
      <c r="D10" s="28"/>
      <c r="E10" s="28"/>
      <c r="F10" s="28"/>
      <c r="G10" s="28"/>
      <c r="H10" s="28"/>
      <c r="I10" s="28"/>
      <c r="J10" s="28"/>
      <c r="K10" s="28"/>
      <c r="L10" s="28"/>
      <c r="M10" s="28"/>
      <c r="N10" s="28"/>
      <c r="O10" s="28"/>
      <c r="P10" s="28"/>
      <c r="Q10" s="28"/>
    </row>
    <row r="11" spans="1:17" x14ac:dyDescent="0.25">
      <c r="A11" s="7" t="s">
        <v>214</v>
      </c>
      <c r="B11" t="s">
        <v>788</v>
      </c>
      <c r="C11" s="28">
        <v>4</v>
      </c>
      <c r="D11" s="28"/>
      <c r="E11" s="28"/>
      <c r="F11" s="28"/>
      <c r="G11" s="28"/>
      <c r="H11" s="28"/>
      <c r="I11" s="28"/>
      <c r="J11" s="28"/>
      <c r="K11" s="28"/>
      <c r="L11" s="28"/>
      <c r="M11" s="28"/>
      <c r="N11" s="28"/>
      <c r="O11" s="28"/>
      <c r="P11" s="28"/>
      <c r="Q11" s="28"/>
    </row>
    <row r="12" spans="1:17" x14ac:dyDescent="0.25">
      <c r="A12" s="7" t="s">
        <v>241</v>
      </c>
      <c r="B12" s="32" t="s">
        <v>789</v>
      </c>
      <c r="C12" s="28" t="s">
        <v>86</v>
      </c>
      <c r="D12" s="28"/>
      <c r="E12" s="28"/>
      <c r="F12" s="28"/>
      <c r="G12" s="28"/>
      <c r="H12" s="28"/>
      <c r="I12" s="28"/>
      <c r="J12" s="28"/>
      <c r="K12" s="28"/>
      <c r="L12" s="28"/>
      <c r="M12" s="28"/>
      <c r="N12" s="28"/>
      <c r="O12" s="28"/>
      <c r="P12" s="28"/>
      <c r="Q12" s="28"/>
    </row>
    <row r="13" spans="1:17" x14ac:dyDescent="0.25">
      <c r="A13" s="7" t="s">
        <v>242</v>
      </c>
      <c r="B13" t="s">
        <v>790</v>
      </c>
      <c r="C13" s="28">
        <v>1572222</v>
      </c>
      <c r="D13" s="28"/>
      <c r="E13" s="28"/>
      <c r="F13" s="28"/>
      <c r="G13" s="28"/>
      <c r="H13" s="28"/>
      <c r="I13" s="28"/>
      <c r="J13" s="28"/>
      <c r="K13" s="28"/>
      <c r="L13" s="28"/>
      <c r="M13" s="28"/>
      <c r="N13" s="28"/>
      <c r="O13" s="28"/>
      <c r="P13" s="28"/>
      <c r="Q13" s="28"/>
    </row>
    <row r="14" spans="1:17" x14ac:dyDescent="0.25">
      <c r="A14" s="7" t="s">
        <v>232</v>
      </c>
      <c r="B14" s="32" t="s">
        <v>780</v>
      </c>
      <c r="C14" s="28" t="b">
        <v>1</v>
      </c>
      <c r="D14" s="28"/>
      <c r="E14" s="28"/>
      <c r="F14" s="28"/>
      <c r="G14" s="28"/>
      <c r="H14" s="28"/>
      <c r="I14" s="28"/>
      <c r="J14" s="28"/>
      <c r="K14" s="28"/>
      <c r="L14" s="28"/>
      <c r="M14" s="28"/>
      <c r="N14" s="28"/>
      <c r="O14" s="28"/>
      <c r="P14" s="28"/>
      <c r="Q14" s="28"/>
    </row>
    <row r="15" spans="1:17" x14ac:dyDescent="0.25">
      <c r="A15" s="33" t="s">
        <v>237</v>
      </c>
      <c r="B15" s="34" t="s">
        <v>779</v>
      </c>
      <c r="C15" s="35"/>
      <c r="D15" s="35"/>
      <c r="E15" s="35"/>
      <c r="F15" s="35"/>
      <c r="G15" s="35"/>
      <c r="H15" s="35"/>
      <c r="I15" s="35"/>
      <c r="J15" s="35"/>
      <c r="K15" s="35"/>
      <c r="L15" s="35"/>
      <c r="M15" s="35"/>
      <c r="N15" s="35"/>
      <c r="O15" s="35"/>
      <c r="P15" s="35"/>
      <c r="Q15" s="35"/>
    </row>
    <row r="16" spans="1:17" x14ac:dyDescent="0.25">
      <c r="A16" s="7" t="s">
        <v>1193</v>
      </c>
      <c r="B16" s="32" t="s">
        <v>1351</v>
      </c>
      <c r="C16" s="28"/>
      <c r="D16" s="28"/>
      <c r="E16" s="28"/>
      <c r="F16" s="28"/>
      <c r="G16" s="28"/>
      <c r="H16" s="28"/>
      <c r="I16" s="28"/>
      <c r="J16" s="28"/>
      <c r="K16" s="28"/>
      <c r="L16" s="28"/>
      <c r="M16" s="28"/>
      <c r="N16" s="28"/>
      <c r="O16" s="28"/>
      <c r="P16" s="28"/>
      <c r="Q16" s="28"/>
    </row>
    <row r="17" spans="1:17" x14ac:dyDescent="0.25">
      <c r="A17" s="33" t="s">
        <v>1195</v>
      </c>
      <c r="B17" s="36" t="s">
        <v>1352</v>
      </c>
      <c r="C17" s="35"/>
      <c r="D17" s="35"/>
      <c r="E17" s="35"/>
      <c r="F17" s="35"/>
      <c r="G17" s="35"/>
      <c r="H17" s="35"/>
      <c r="I17" s="35"/>
      <c r="J17" s="35"/>
      <c r="K17" s="35"/>
      <c r="L17" s="35"/>
      <c r="M17" s="35"/>
      <c r="N17" s="35"/>
      <c r="O17" s="35"/>
      <c r="P17" s="35"/>
      <c r="Q17" s="35"/>
    </row>
    <row r="18" spans="1:17" x14ac:dyDescent="0.25">
      <c r="A18" s="7" t="s">
        <v>1197</v>
      </c>
      <c r="B18" s="32" t="s">
        <v>1353</v>
      </c>
      <c r="C18" s="28"/>
      <c r="D18" s="28"/>
      <c r="E18" s="28"/>
      <c r="F18" s="28"/>
      <c r="G18" s="28"/>
      <c r="H18" s="28"/>
      <c r="I18" s="28"/>
      <c r="J18" s="28"/>
      <c r="K18" s="28"/>
      <c r="L18" s="28"/>
      <c r="M18" s="28"/>
      <c r="N18" s="28"/>
      <c r="O18" s="28"/>
      <c r="P18" s="28"/>
      <c r="Q18" s="28"/>
    </row>
    <row r="19" spans="1:17" x14ac:dyDescent="0.25">
      <c r="A19" s="33" t="s">
        <v>1199</v>
      </c>
      <c r="B19" s="36" t="s">
        <v>1354</v>
      </c>
      <c r="C19" s="35"/>
      <c r="D19" s="35"/>
      <c r="E19" s="35"/>
      <c r="F19" s="35"/>
      <c r="G19" s="35"/>
      <c r="H19" s="35"/>
      <c r="I19" s="35"/>
      <c r="J19" s="35"/>
      <c r="K19" s="35"/>
      <c r="L19" s="35"/>
      <c r="M19" s="35"/>
      <c r="N19" s="35"/>
      <c r="O19" s="35"/>
      <c r="P19" s="35"/>
      <c r="Q19" s="35"/>
    </row>
    <row r="20" spans="1:17" x14ac:dyDescent="0.25">
      <c r="A20" s="7" t="s">
        <v>1201</v>
      </c>
      <c r="B20" s="32" t="s">
        <v>1355</v>
      </c>
      <c r="C20" s="28"/>
      <c r="D20" s="28"/>
      <c r="E20" s="28"/>
      <c r="F20" s="28"/>
      <c r="G20" s="28"/>
      <c r="H20" s="28"/>
      <c r="I20" s="28"/>
      <c r="J20" s="28"/>
      <c r="K20" s="28"/>
      <c r="L20" s="28"/>
      <c r="M20" s="28"/>
      <c r="N20" s="28"/>
      <c r="O20" s="28"/>
      <c r="P20" s="28"/>
      <c r="Q20" s="28"/>
    </row>
    <row r="21" spans="1:17" x14ac:dyDescent="0.25">
      <c r="A21" s="33" t="s">
        <v>1203</v>
      </c>
      <c r="B21" s="36" t="s">
        <v>1356</v>
      </c>
      <c r="C21" s="35"/>
      <c r="D21" s="35"/>
      <c r="E21" s="35"/>
      <c r="F21" s="35"/>
      <c r="G21" s="35"/>
      <c r="H21" s="35"/>
      <c r="I21" s="35"/>
      <c r="J21" s="35"/>
      <c r="K21" s="35"/>
      <c r="L21" s="35"/>
      <c r="M21" s="35"/>
      <c r="N21" s="35"/>
      <c r="O21" s="35"/>
      <c r="P21" s="35"/>
      <c r="Q21" s="35"/>
    </row>
    <row r="22" spans="1:17" x14ac:dyDescent="0.25">
      <c r="A22" s="7" t="s">
        <v>1205</v>
      </c>
      <c r="B22" s="32" t="s">
        <v>1357</v>
      </c>
      <c r="C22" s="28"/>
      <c r="D22" s="28"/>
      <c r="E22" s="28"/>
      <c r="F22" s="28"/>
      <c r="G22" s="28"/>
      <c r="H22" s="28"/>
      <c r="I22" s="28"/>
      <c r="J22" s="28"/>
      <c r="K22" s="28"/>
      <c r="L22" s="28"/>
      <c r="M22" s="28"/>
      <c r="N22" s="28"/>
      <c r="O22" s="28"/>
      <c r="P22" s="28"/>
      <c r="Q22" s="28"/>
    </row>
    <row r="23" spans="1:17" x14ac:dyDescent="0.25">
      <c r="A23" s="33" t="s">
        <v>1207</v>
      </c>
      <c r="B23" s="36" t="s">
        <v>1358</v>
      </c>
      <c r="C23" s="35"/>
      <c r="D23" s="35"/>
      <c r="E23" s="35"/>
      <c r="F23" s="35"/>
      <c r="G23" s="35"/>
      <c r="H23" s="35"/>
      <c r="I23" s="35"/>
      <c r="J23" s="35"/>
      <c r="K23" s="35"/>
      <c r="L23" s="35"/>
      <c r="M23" s="35"/>
      <c r="N23" s="35"/>
      <c r="O23" s="35"/>
      <c r="P23" s="35"/>
      <c r="Q23" s="35"/>
    </row>
    <row r="24" spans="1:17" x14ac:dyDescent="0.25">
      <c r="A24" s="7" t="s">
        <v>1209</v>
      </c>
      <c r="B24" s="32" t="s">
        <v>1375</v>
      </c>
      <c r="C24" s="28"/>
      <c r="D24" s="28"/>
      <c r="E24" s="28"/>
      <c r="F24" s="28"/>
      <c r="G24" s="28"/>
      <c r="H24" s="28"/>
      <c r="I24" s="28"/>
      <c r="J24" s="28"/>
      <c r="K24" s="28"/>
      <c r="L24" s="28"/>
      <c r="M24" s="28"/>
      <c r="N24" s="28"/>
      <c r="O24" s="28"/>
      <c r="P24" s="28"/>
      <c r="Q24" s="28"/>
    </row>
    <row r="25" spans="1:17" x14ac:dyDescent="0.25">
      <c r="A25" s="33" t="s">
        <v>1210</v>
      </c>
      <c r="B25" s="36" t="s">
        <v>1376</v>
      </c>
      <c r="C25" s="35"/>
      <c r="D25" s="35"/>
      <c r="E25" s="35"/>
      <c r="F25" s="35"/>
      <c r="G25" s="35"/>
      <c r="H25" s="35"/>
      <c r="I25" s="35"/>
      <c r="J25" s="35"/>
      <c r="K25" s="35"/>
      <c r="L25" s="35"/>
      <c r="M25" s="35"/>
      <c r="N25" s="35"/>
      <c r="O25" s="35"/>
      <c r="P25" s="35"/>
      <c r="Q25" s="35"/>
    </row>
    <row r="26" spans="1:17" x14ac:dyDescent="0.25">
      <c r="A26" s="7" t="s">
        <v>1211</v>
      </c>
      <c r="B26" s="32" t="s">
        <v>1359</v>
      </c>
      <c r="C26" s="28"/>
      <c r="D26" s="28"/>
      <c r="E26" s="28"/>
      <c r="F26" s="28"/>
      <c r="G26" s="28"/>
      <c r="H26" s="28"/>
      <c r="I26" s="28"/>
      <c r="J26" s="28"/>
      <c r="K26" s="28"/>
      <c r="L26" s="28"/>
      <c r="M26" s="28"/>
      <c r="N26" s="28"/>
      <c r="O26" s="28"/>
      <c r="P26" s="28"/>
      <c r="Q26" s="28"/>
    </row>
    <row r="27" spans="1:17" x14ac:dyDescent="0.25">
      <c r="A27" s="33" t="s">
        <v>1213</v>
      </c>
      <c r="B27" s="36" t="s">
        <v>1360</v>
      </c>
      <c r="C27" s="35"/>
      <c r="D27" s="35"/>
      <c r="E27" s="35"/>
      <c r="F27" s="35"/>
      <c r="G27" s="35"/>
      <c r="H27" s="35"/>
      <c r="I27" s="35"/>
      <c r="J27" s="35"/>
      <c r="K27" s="35"/>
      <c r="L27" s="35"/>
      <c r="M27" s="35"/>
      <c r="N27" s="35"/>
      <c r="O27" s="35"/>
      <c r="P27" s="35"/>
      <c r="Q27" s="35"/>
    </row>
    <row r="28" spans="1:17" x14ac:dyDescent="0.25">
      <c r="A28" s="7" t="s">
        <v>1215</v>
      </c>
      <c r="B28" s="32" t="s">
        <v>1361</v>
      </c>
      <c r="C28" s="28"/>
      <c r="D28" s="28"/>
      <c r="E28" s="28"/>
      <c r="F28" s="28"/>
      <c r="G28" s="28"/>
      <c r="H28" s="28"/>
      <c r="I28" s="28"/>
      <c r="J28" s="28"/>
      <c r="K28" s="28"/>
      <c r="L28" s="28"/>
      <c r="M28" s="28"/>
      <c r="N28" s="28"/>
      <c r="O28" s="28"/>
      <c r="P28" s="28"/>
      <c r="Q28" s="28"/>
    </row>
    <row r="29" spans="1:17" x14ac:dyDescent="0.25">
      <c r="A29" s="33" t="s">
        <v>1217</v>
      </c>
      <c r="B29" s="36" t="s">
        <v>1362</v>
      </c>
      <c r="C29" s="35"/>
      <c r="D29" s="35"/>
      <c r="E29" s="35"/>
      <c r="F29" s="35"/>
      <c r="G29" s="35"/>
      <c r="H29" s="35"/>
      <c r="I29" s="35"/>
      <c r="J29" s="35"/>
      <c r="K29" s="35"/>
      <c r="L29" s="35"/>
      <c r="M29" s="35"/>
      <c r="N29" s="35"/>
      <c r="O29" s="35"/>
      <c r="P29" s="35"/>
      <c r="Q29" s="35"/>
    </row>
    <row r="30" spans="1:17" x14ac:dyDescent="0.25">
      <c r="A30" s="7" t="s">
        <v>1494</v>
      </c>
      <c r="B30" s="32" t="s">
        <v>1492</v>
      </c>
      <c r="C30" s="28"/>
      <c r="D30" s="28"/>
      <c r="E30" s="28"/>
      <c r="F30" s="28"/>
      <c r="G30" s="28"/>
      <c r="H30" s="28"/>
      <c r="I30" s="28"/>
      <c r="J30" s="28"/>
      <c r="K30" s="28"/>
      <c r="L30" s="28"/>
      <c r="M30" s="28"/>
      <c r="N30" s="28"/>
      <c r="O30" s="28"/>
      <c r="P30" s="28"/>
      <c r="Q30" s="28"/>
    </row>
    <row r="31" spans="1:17" x14ac:dyDescent="0.25">
      <c r="A31" s="33" t="s">
        <v>1495</v>
      </c>
      <c r="B31" s="36" t="s">
        <v>1493</v>
      </c>
      <c r="C31" s="35"/>
      <c r="D31" s="35"/>
      <c r="E31" s="35"/>
      <c r="F31" s="35"/>
      <c r="G31" s="35"/>
      <c r="H31" s="35"/>
      <c r="I31" s="35"/>
      <c r="J31" s="35"/>
      <c r="K31" s="35"/>
      <c r="L31" s="35"/>
      <c r="M31" s="35"/>
      <c r="N31" s="35"/>
      <c r="O31" s="35"/>
      <c r="P31" s="35"/>
      <c r="Q31" s="35"/>
    </row>
    <row r="32" spans="1:17" x14ac:dyDescent="0.25">
      <c r="A32" s="7" t="s">
        <v>1219</v>
      </c>
      <c r="B32" s="32" t="s">
        <v>1363</v>
      </c>
      <c r="C32" s="28"/>
      <c r="D32" s="28"/>
      <c r="E32" s="28"/>
      <c r="F32" s="28"/>
      <c r="G32" s="28"/>
      <c r="H32" s="28"/>
      <c r="I32" s="28"/>
      <c r="J32" s="28"/>
      <c r="K32" s="28"/>
      <c r="L32" s="28"/>
      <c r="M32" s="28"/>
      <c r="N32" s="28"/>
      <c r="O32" s="28"/>
      <c r="P32" s="28"/>
      <c r="Q32" s="28"/>
    </row>
    <row r="33" spans="1:18" x14ac:dyDescent="0.25">
      <c r="A33" s="33" t="s">
        <v>1221</v>
      </c>
      <c r="B33" s="36" t="s">
        <v>1364</v>
      </c>
      <c r="C33" s="35"/>
      <c r="D33" s="35"/>
      <c r="E33" s="35"/>
      <c r="F33" s="35"/>
      <c r="G33" s="35"/>
      <c r="H33" s="35"/>
      <c r="I33" s="35"/>
      <c r="J33" s="35"/>
      <c r="K33" s="35"/>
      <c r="L33" s="35"/>
      <c r="M33" s="35"/>
      <c r="N33" s="35"/>
      <c r="O33" s="35"/>
      <c r="P33" s="35"/>
      <c r="Q33" s="35"/>
    </row>
    <row r="34" spans="1:18" x14ac:dyDescent="0.25">
      <c r="A34" s="7" t="s">
        <v>1223</v>
      </c>
      <c r="B34" s="32" t="s">
        <v>1365</v>
      </c>
      <c r="C34" s="28"/>
      <c r="D34" s="28"/>
      <c r="E34" s="28"/>
      <c r="F34" s="28"/>
      <c r="G34" s="28"/>
      <c r="H34" s="28"/>
      <c r="I34" s="28"/>
      <c r="J34" s="28"/>
      <c r="K34" s="28"/>
      <c r="L34" s="28"/>
      <c r="M34" s="28"/>
      <c r="N34" s="28"/>
      <c r="O34" s="28"/>
      <c r="P34" s="28"/>
      <c r="Q34" s="28"/>
    </row>
    <row r="35" spans="1:18" x14ac:dyDescent="0.25">
      <c r="A35" s="33" t="s">
        <v>1225</v>
      </c>
      <c r="B35" s="36" t="s">
        <v>1366</v>
      </c>
      <c r="C35" s="35"/>
      <c r="D35" s="35"/>
      <c r="E35" s="35"/>
      <c r="F35" s="35"/>
      <c r="G35" s="35"/>
      <c r="H35" s="35"/>
      <c r="I35" s="35"/>
      <c r="J35" s="35"/>
      <c r="K35" s="35"/>
      <c r="L35" s="35"/>
      <c r="M35" s="35"/>
      <c r="N35" s="35"/>
      <c r="O35" s="35"/>
      <c r="P35" s="35"/>
      <c r="Q35" s="35"/>
    </row>
    <row r="36" spans="1:18" x14ac:dyDescent="0.25">
      <c r="A36" s="33" t="s">
        <v>1227</v>
      </c>
      <c r="B36" s="36" t="s">
        <v>1367</v>
      </c>
      <c r="C36" s="35"/>
      <c r="D36" s="35"/>
      <c r="E36" s="35"/>
      <c r="F36" s="35"/>
      <c r="G36" s="35"/>
      <c r="H36" s="35"/>
      <c r="I36" s="35"/>
      <c r="J36" s="35"/>
      <c r="K36" s="35"/>
      <c r="L36" s="35"/>
      <c r="M36" s="35"/>
      <c r="N36" s="35"/>
      <c r="O36" s="35"/>
      <c r="P36" s="35"/>
      <c r="Q36" s="35"/>
    </row>
    <row r="37" spans="1:18" x14ac:dyDescent="0.25">
      <c r="A37" s="33" t="s">
        <v>1229</v>
      </c>
      <c r="B37" s="36" t="s">
        <v>1368</v>
      </c>
      <c r="C37" s="35"/>
      <c r="D37" s="35"/>
      <c r="E37" s="35"/>
      <c r="F37" s="35"/>
      <c r="G37" s="35"/>
      <c r="H37" s="35"/>
      <c r="I37" s="35"/>
      <c r="J37" s="35"/>
      <c r="K37" s="35"/>
      <c r="L37" s="35"/>
      <c r="M37" s="35"/>
      <c r="N37" s="35"/>
      <c r="O37" s="35"/>
      <c r="P37" s="35"/>
      <c r="Q37" s="35"/>
    </row>
    <row r="38" spans="1:18" x14ac:dyDescent="0.25">
      <c r="A38" s="33" t="s">
        <v>1231</v>
      </c>
      <c r="B38" s="36" t="s">
        <v>1369</v>
      </c>
      <c r="C38" s="35"/>
      <c r="D38" s="35"/>
      <c r="E38" s="35"/>
      <c r="F38" s="35"/>
      <c r="G38" s="35"/>
      <c r="H38" s="35"/>
      <c r="I38" s="35"/>
      <c r="J38" s="35"/>
      <c r="K38" s="35"/>
      <c r="L38" s="35"/>
      <c r="M38" s="35"/>
      <c r="N38" s="35"/>
      <c r="O38" s="35"/>
      <c r="P38" s="35"/>
      <c r="Q38" s="35"/>
    </row>
    <row r="39" spans="1:18" x14ac:dyDescent="0.25">
      <c r="A39" s="33" t="s">
        <v>1233</v>
      </c>
      <c r="B39" s="36" t="s">
        <v>1370</v>
      </c>
      <c r="C39" s="35"/>
      <c r="D39" s="35"/>
      <c r="E39" s="35"/>
      <c r="F39" s="35"/>
      <c r="G39" s="35"/>
      <c r="H39" s="35"/>
      <c r="I39" s="35"/>
      <c r="J39" s="35"/>
      <c r="K39" s="35"/>
      <c r="L39" s="35"/>
      <c r="M39" s="35"/>
      <c r="N39" s="35"/>
      <c r="O39" s="35"/>
      <c r="P39" s="35"/>
      <c r="Q39" s="35"/>
    </row>
    <row r="40" spans="1:18" x14ac:dyDescent="0.25">
      <c r="A40" s="7" t="s">
        <v>1237</v>
      </c>
      <c r="B40" s="32" t="s">
        <v>1371</v>
      </c>
      <c r="C40" s="28"/>
      <c r="D40" s="28"/>
      <c r="E40" s="28"/>
      <c r="F40" s="28"/>
      <c r="G40" s="28"/>
      <c r="H40" s="28"/>
      <c r="I40" s="28"/>
      <c r="J40" s="28"/>
      <c r="K40" s="28"/>
      <c r="L40" s="28"/>
      <c r="M40" s="28"/>
      <c r="N40" s="28"/>
      <c r="O40" s="28"/>
      <c r="P40" s="28"/>
      <c r="Q40" s="28"/>
    </row>
    <row r="41" spans="1:18" x14ac:dyDescent="0.25">
      <c r="A41" s="33" t="s">
        <v>1235</v>
      </c>
      <c r="B41" s="36" t="s">
        <v>1372</v>
      </c>
      <c r="C41" s="35"/>
      <c r="D41" s="35"/>
      <c r="E41" s="35"/>
      <c r="F41" s="35"/>
      <c r="G41" s="35"/>
      <c r="H41" s="35"/>
      <c r="I41" s="35"/>
      <c r="J41" s="35"/>
      <c r="K41" s="35"/>
      <c r="L41" s="35"/>
      <c r="M41" s="35"/>
      <c r="N41" s="35"/>
      <c r="O41" s="35"/>
      <c r="P41" s="35"/>
      <c r="Q41" s="35"/>
    </row>
    <row r="42" spans="1:18" x14ac:dyDescent="0.25">
      <c r="A42" s="7" t="s">
        <v>1241</v>
      </c>
      <c r="B42" s="32" t="s">
        <v>1373</v>
      </c>
      <c r="C42" s="28"/>
      <c r="D42" s="28"/>
      <c r="E42" s="28"/>
      <c r="F42" s="28"/>
      <c r="G42" s="28"/>
      <c r="H42" s="28"/>
      <c r="I42" s="28"/>
      <c r="J42" s="28"/>
      <c r="K42" s="28"/>
      <c r="L42" s="28"/>
      <c r="M42" s="28"/>
      <c r="N42" s="28"/>
      <c r="O42" s="28"/>
      <c r="P42" s="28"/>
      <c r="Q42" s="28"/>
    </row>
    <row r="43" spans="1:18" x14ac:dyDescent="0.25">
      <c r="A43" s="33" t="s">
        <v>1239</v>
      </c>
      <c r="B43" s="36" t="s">
        <v>1374</v>
      </c>
      <c r="C43" s="35"/>
      <c r="D43" s="35"/>
      <c r="E43" s="35"/>
      <c r="F43" s="35"/>
      <c r="G43" s="35"/>
      <c r="H43" s="35"/>
      <c r="I43" s="35"/>
      <c r="J43" s="35"/>
      <c r="K43" s="35"/>
      <c r="L43" s="35"/>
      <c r="M43" s="35"/>
      <c r="N43" s="35"/>
      <c r="O43" s="35"/>
      <c r="P43" s="35"/>
      <c r="Q43" s="35"/>
    </row>
    <row r="44" spans="1:18" x14ac:dyDescent="0.25">
      <c r="A44" s="7" t="s">
        <v>1377</v>
      </c>
      <c r="B44" t="s">
        <v>791</v>
      </c>
      <c r="C44" s="28">
        <v>40173</v>
      </c>
      <c r="D44" s="28"/>
      <c r="E44" s="28"/>
      <c r="F44" s="28"/>
      <c r="G44" s="28"/>
      <c r="H44" s="28"/>
      <c r="I44" s="28"/>
      <c r="J44" s="28"/>
      <c r="K44" s="28"/>
      <c r="L44" s="28"/>
      <c r="M44" s="28"/>
      <c r="N44" s="28"/>
      <c r="O44" s="28"/>
      <c r="P44" s="28"/>
      <c r="Q44" s="28"/>
    </row>
    <row r="45" spans="1:18" x14ac:dyDescent="0.25">
      <c r="A45" s="33" t="s">
        <v>1378</v>
      </c>
      <c r="B45" s="34" t="s">
        <v>792</v>
      </c>
      <c r="C45" s="35"/>
      <c r="D45" s="35"/>
      <c r="E45" s="35"/>
      <c r="F45" s="35"/>
      <c r="G45" s="35"/>
      <c r="H45" s="35"/>
      <c r="I45" s="35"/>
      <c r="J45" s="35"/>
      <c r="K45" s="35"/>
      <c r="L45" s="35"/>
      <c r="M45" s="35"/>
      <c r="N45" s="35"/>
      <c r="O45" s="35"/>
      <c r="P45" s="35"/>
      <c r="Q45" s="35"/>
    </row>
    <row r="46" spans="1:18" x14ac:dyDescent="0.25">
      <c r="A46" s="33" t="s">
        <v>245</v>
      </c>
      <c r="B46" s="34" t="s">
        <v>806</v>
      </c>
      <c r="C46" s="35"/>
      <c r="D46" s="35"/>
      <c r="E46" s="35"/>
      <c r="F46" s="35"/>
      <c r="G46" s="35"/>
      <c r="H46" s="35"/>
      <c r="I46" s="35"/>
      <c r="J46" s="35"/>
      <c r="K46" s="35"/>
      <c r="L46" s="35"/>
      <c r="M46" s="35"/>
      <c r="N46" s="35"/>
      <c r="O46" s="35"/>
      <c r="P46" s="35"/>
      <c r="Q46" s="35"/>
    </row>
    <row r="47" spans="1:18" x14ac:dyDescent="0.25">
      <c r="A47" s="7" t="s">
        <v>1243</v>
      </c>
      <c r="B47" t="s">
        <v>793</v>
      </c>
      <c r="C47" s="28">
        <v>8332</v>
      </c>
      <c r="D47" s="28"/>
      <c r="E47" s="28"/>
      <c r="F47" s="28"/>
      <c r="G47" s="28"/>
      <c r="H47" s="28"/>
      <c r="I47" s="28"/>
      <c r="J47" s="28"/>
      <c r="K47" s="28"/>
      <c r="L47" s="28"/>
      <c r="M47" s="28"/>
      <c r="N47" s="28"/>
      <c r="O47" s="28"/>
      <c r="P47" s="28"/>
      <c r="Q47" s="28"/>
      <c r="R47" s="46"/>
    </row>
    <row r="48" spans="1:18" x14ac:dyDescent="0.25">
      <c r="A48" s="33" t="s">
        <v>1244</v>
      </c>
      <c r="B48" s="34" t="s">
        <v>795</v>
      </c>
      <c r="C48" s="35"/>
      <c r="D48" s="35"/>
      <c r="E48" s="35"/>
      <c r="F48" s="35"/>
      <c r="G48" s="35"/>
      <c r="H48" s="35"/>
      <c r="I48" s="35"/>
      <c r="J48" s="35"/>
      <c r="K48" s="35"/>
      <c r="L48" s="35"/>
      <c r="M48" s="35"/>
      <c r="N48" s="35"/>
      <c r="O48" s="35"/>
      <c r="P48" s="35"/>
      <c r="Q48" s="35"/>
    </row>
    <row r="49" spans="1:17" x14ac:dyDescent="0.25">
      <c r="A49" s="7" t="s">
        <v>1245</v>
      </c>
      <c r="B49" s="32" t="s">
        <v>794</v>
      </c>
      <c r="C49" s="28">
        <v>0</v>
      </c>
      <c r="D49" s="28"/>
      <c r="E49" s="28"/>
      <c r="F49" s="28"/>
      <c r="G49" s="28"/>
      <c r="H49" s="28"/>
      <c r="I49" s="28"/>
      <c r="J49" s="28"/>
      <c r="K49" s="28"/>
      <c r="L49" s="28"/>
      <c r="M49" s="28"/>
      <c r="N49" s="28"/>
      <c r="O49" s="28"/>
      <c r="P49" s="28"/>
      <c r="Q49" s="28"/>
    </row>
    <row r="50" spans="1:17" x14ac:dyDescent="0.25">
      <c r="A50" s="33" t="s">
        <v>1246</v>
      </c>
      <c r="B50" s="36" t="s">
        <v>796</v>
      </c>
      <c r="C50" s="35"/>
      <c r="D50" s="35"/>
      <c r="E50" s="35"/>
      <c r="F50" s="35"/>
      <c r="G50" s="35"/>
      <c r="H50" s="35"/>
      <c r="I50" s="35"/>
      <c r="J50" s="35"/>
      <c r="K50" s="35"/>
      <c r="L50" s="35"/>
      <c r="M50" s="35"/>
      <c r="N50" s="35"/>
      <c r="O50" s="35"/>
      <c r="P50" s="35"/>
      <c r="Q50" s="35"/>
    </row>
    <row r="51" spans="1:17" x14ac:dyDescent="0.25">
      <c r="A51" s="7" t="s">
        <v>1247</v>
      </c>
      <c r="B51" t="s">
        <v>797</v>
      </c>
      <c r="C51" s="28">
        <v>0</v>
      </c>
      <c r="D51" s="28"/>
      <c r="E51" s="28"/>
      <c r="F51" s="28"/>
      <c r="G51" s="28"/>
      <c r="H51" s="28"/>
      <c r="I51" s="28"/>
      <c r="J51" s="28"/>
      <c r="K51" s="28"/>
      <c r="L51" s="28"/>
      <c r="M51" s="28"/>
      <c r="N51" s="28"/>
      <c r="O51" s="28"/>
      <c r="P51" s="28"/>
      <c r="Q51" s="28"/>
    </row>
    <row r="52" spans="1:17" x14ac:dyDescent="0.25">
      <c r="A52" s="33" t="s">
        <v>1248</v>
      </c>
      <c r="B52" s="34" t="s">
        <v>798</v>
      </c>
      <c r="C52" s="35"/>
      <c r="D52" s="35"/>
      <c r="E52" s="35"/>
      <c r="F52" s="35"/>
      <c r="G52" s="35"/>
      <c r="H52" s="35"/>
      <c r="I52" s="35"/>
      <c r="J52" s="35"/>
      <c r="K52" s="35"/>
      <c r="L52" s="35"/>
      <c r="M52" s="35"/>
      <c r="N52" s="35"/>
      <c r="O52" s="35"/>
      <c r="P52" s="35"/>
      <c r="Q52" s="35"/>
    </row>
    <row r="53" spans="1:17" x14ac:dyDescent="0.25">
      <c r="A53" s="33" t="s">
        <v>1249</v>
      </c>
      <c r="B53" s="34" t="s">
        <v>1379</v>
      </c>
      <c r="C53" s="35"/>
      <c r="D53" s="35"/>
      <c r="E53" s="35"/>
      <c r="F53" s="35"/>
      <c r="G53" s="35"/>
      <c r="H53" s="35"/>
      <c r="I53" s="35"/>
      <c r="J53" s="35"/>
      <c r="K53" s="35"/>
      <c r="L53" s="35"/>
      <c r="M53" s="35"/>
      <c r="N53" s="35"/>
      <c r="O53" s="35"/>
      <c r="P53" s="35"/>
      <c r="Q53" s="35"/>
    </row>
    <row r="54" spans="1:17" x14ac:dyDescent="0.25">
      <c r="A54" s="33" t="s">
        <v>1251</v>
      </c>
      <c r="B54" s="34" t="s">
        <v>799</v>
      </c>
      <c r="C54" s="35"/>
      <c r="D54" s="35"/>
      <c r="E54" s="35"/>
      <c r="F54" s="35"/>
      <c r="G54" s="35"/>
      <c r="H54" s="35"/>
      <c r="I54" s="35"/>
      <c r="J54" s="35"/>
      <c r="K54" s="35"/>
      <c r="L54" s="35"/>
      <c r="M54" s="35"/>
      <c r="N54" s="35"/>
      <c r="O54" s="35"/>
      <c r="P54" s="35"/>
      <c r="Q54" s="35"/>
    </row>
    <row r="55" spans="1:17" x14ac:dyDescent="0.25">
      <c r="A55" s="7" t="s">
        <v>1252</v>
      </c>
      <c r="B55" s="32" t="s">
        <v>1380</v>
      </c>
      <c r="C55" s="28">
        <v>0</v>
      </c>
      <c r="D55" s="28"/>
      <c r="E55" s="28"/>
      <c r="F55" s="28"/>
      <c r="G55" s="28"/>
      <c r="H55" s="28"/>
      <c r="I55" s="28"/>
      <c r="J55" s="28"/>
      <c r="K55" s="28"/>
      <c r="L55" s="28"/>
      <c r="M55" s="28"/>
      <c r="N55" s="28"/>
      <c r="O55" s="28"/>
      <c r="P55" s="28"/>
      <c r="Q55" s="28"/>
    </row>
    <row r="56" spans="1:17" x14ac:dyDescent="0.25">
      <c r="A56" s="33" t="s">
        <v>1254</v>
      </c>
      <c r="B56" s="36" t="s">
        <v>805</v>
      </c>
      <c r="C56" s="35"/>
      <c r="D56" s="35"/>
      <c r="E56" s="35"/>
      <c r="F56" s="35"/>
      <c r="G56" s="35"/>
      <c r="H56" s="35"/>
      <c r="I56" s="35"/>
      <c r="J56" s="35"/>
      <c r="K56" s="35"/>
      <c r="L56" s="35"/>
      <c r="M56" s="35"/>
      <c r="N56" s="35"/>
      <c r="O56" s="35"/>
      <c r="P56" s="35"/>
      <c r="Q56" s="35"/>
    </row>
    <row r="57" spans="1:17" x14ac:dyDescent="0.25">
      <c r="A57" s="7" t="s">
        <v>1255</v>
      </c>
      <c r="B57" t="s">
        <v>801</v>
      </c>
      <c r="C57" s="28">
        <v>11940</v>
      </c>
      <c r="D57" s="28"/>
      <c r="E57" s="28"/>
      <c r="F57" s="28"/>
      <c r="G57" s="28"/>
      <c r="H57" s="28"/>
      <c r="I57" s="28"/>
      <c r="J57" s="28"/>
      <c r="K57" s="28"/>
      <c r="L57" s="28"/>
      <c r="M57" s="28"/>
      <c r="N57" s="28"/>
      <c r="O57" s="28"/>
      <c r="P57" s="28"/>
      <c r="Q57" s="28"/>
    </row>
    <row r="58" spans="1:17" x14ac:dyDescent="0.25">
      <c r="A58" s="33" t="s">
        <v>1256</v>
      </c>
      <c r="B58" s="34" t="s">
        <v>803</v>
      </c>
      <c r="C58" s="35"/>
      <c r="D58" s="35"/>
      <c r="E58" s="35"/>
      <c r="F58" s="35"/>
      <c r="G58" s="35"/>
      <c r="H58" s="35"/>
      <c r="I58" s="35"/>
      <c r="J58" s="35"/>
      <c r="K58" s="35"/>
      <c r="L58" s="35"/>
      <c r="M58" s="35"/>
      <c r="N58" s="35"/>
      <c r="O58" s="35"/>
      <c r="P58" s="35"/>
      <c r="Q58" s="35"/>
    </row>
    <row r="59" spans="1:17" x14ac:dyDescent="0.25">
      <c r="A59" s="7" t="s">
        <v>1257</v>
      </c>
      <c r="B59" s="32" t="s">
        <v>802</v>
      </c>
      <c r="C59" s="28">
        <v>0</v>
      </c>
      <c r="D59" s="28"/>
      <c r="E59" s="28"/>
      <c r="F59" s="28"/>
      <c r="G59" s="28"/>
      <c r="H59" s="28"/>
      <c r="I59" s="28"/>
      <c r="J59" s="28"/>
      <c r="K59" s="28"/>
      <c r="L59" s="28"/>
      <c r="M59" s="28"/>
      <c r="N59" s="28"/>
      <c r="O59" s="28"/>
      <c r="P59" s="28"/>
      <c r="Q59" s="28"/>
    </row>
    <row r="60" spans="1:17" x14ac:dyDescent="0.25">
      <c r="A60" s="33" t="s">
        <v>1258</v>
      </c>
      <c r="B60" s="36" t="s">
        <v>804</v>
      </c>
      <c r="C60" s="35"/>
      <c r="D60" s="35"/>
      <c r="E60" s="35"/>
      <c r="F60" s="35"/>
      <c r="G60" s="35"/>
      <c r="H60" s="35"/>
      <c r="I60" s="35"/>
      <c r="J60" s="35"/>
      <c r="K60" s="35"/>
      <c r="L60" s="35"/>
      <c r="M60" s="35"/>
      <c r="N60" s="35"/>
      <c r="O60" s="35"/>
      <c r="P60" s="35"/>
      <c r="Q60" s="35"/>
    </row>
    <row r="61" spans="1:17" x14ac:dyDescent="0.25">
      <c r="A61" s="33" t="str">
        <f>"Principal Due in "&amp;Year_DestinationYearID+1</f>
        <v>Principal Due in 2025</v>
      </c>
      <c r="B61" s="34" t="s">
        <v>800</v>
      </c>
      <c r="C61" s="35"/>
      <c r="D61" s="35"/>
      <c r="E61" s="35"/>
      <c r="F61" s="35"/>
      <c r="G61" s="35"/>
      <c r="H61" s="35"/>
      <c r="I61" s="35"/>
      <c r="J61" s="35"/>
      <c r="K61" s="35"/>
      <c r="L61" s="35"/>
      <c r="M61" s="35"/>
      <c r="N61" s="35"/>
      <c r="O61" s="35"/>
      <c r="P61" s="35"/>
      <c r="Q61" s="35"/>
    </row>
    <row r="62" spans="1:17" x14ac:dyDescent="0.25">
      <c r="A62" s="33" t="str">
        <f>"Interest Due in "&amp;Year_DestinationYearID+1</f>
        <v>Interest Due in 2025</v>
      </c>
      <c r="B62" s="34" t="s">
        <v>781</v>
      </c>
      <c r="C62" s="35"/>
      <c r="D62" s="35"/>
      <c r="E62" s="35"/>
      <c r="F62" s="35"/>
      <c r="G62" s="35"/>
      <c r="H62" s="35"/>
      <c r="I62" s="35"/>
      <c r="J62" s="35"/>
      <c r="K62" s="35"/>
      <c r="L62" s="35"/>
      <c r="M62" s="35"/>
      <c r="N62" s="35"/>
      <c r="O62" s="35"/>
      <c r="P62" s="35"/>
      <c r="Q62" s="35"/>
    </row>
    <row r="63" spans="1:17" x14ac:dyDescent="0.25">
      <c r="A63" s="6"/>
    </row>
    <row r="64" spans="1:17" x14ac:dyDescent="0.25">
      <c r="A64" s="6"/>
      <c r="C64" s="47" t="s">
        <v>845</v>
      </c>
    </row>
    <row r="65" spans="1:3" x14ac:dyDescent="0.25">
      <c r="C65" t="str" cm="1">
        <f t="array" ref="C65:C69">IFERROR(_xlfn._xlws.FILTER(C3:Q7,ISNUMBER(SEARCH("fm",TIF_InterfundLoanType_TypeName_Input))),"")</f>
        <v>1</v>
      </c>
    </row>
    <row r="66" spans="1:3" x14ac:dyDescent="0.25">
      <c r="A66" s="6"/>
      <c r="C66">
        <v>904</v>
      </c>
    </row>
    <row r="67" spans="1:3" x14ac:dyDescent="0.25">
      <c r="C67" t="str">
        <v>fma</v>
      </c>
    </row>
    <row r="68" spans="1:3" x14ac:dyDescent="0.25">
      <c r="C68">
        <v>0</v>
      </c>
    </row>
    <row r="69" spans="1:3" x14ac:dyDescent="0.25">
      <c r="C69" t="str">
        <v>General Fund</v>
      </c>
    </row>
    <row r="71" spans="1:3" x14ac:dyDescent="0.25">
      <c r="C71" s="1" t="s">
        <v>846</v>
      </c>
    </row>
    <row r="72" spans="1:3" x14ac:dyDescent="0.25">
      <c r="C72" t="str" cm="1">
        <f t="array" ref="C72">IFERROR(_xlfn._xlws.FILTER(C3:Q7,ISNUMBER(SEARCH("to",TIF_InterfundLoanType_TypeName_Input))),"")</f>
        <v/>
      </c>
    </row>
    <row r="78" spans="1:3" x14ac:dyDescent="0.25">
      <c r="C78" s="1"/>
    </row>
  </sheetData>
  <phoneticPr fontId="7" type="noConversion"/>
  <conditionalFormatting sqref="A1">
    <cfRule type="expression" dxfId="731" priority="4">
      <formula>#REF!="Exclude"</formula>
    </cfRule>
    <cfRule type="expression" dxfId="730" priority="5">
      <formula>#REF!="Error"</formula>
    </cfRule>
  </conditionalFormatting>
  <conditionalFormatting sqref="A2">
    <cfRule type="expression" dxfId="728" priority="1">
      <formula>#REF!="Exclude"</formula>
    </cfRule>
    <cfRule type="expression" dxfId="727" priority="2">
      <formula>#REF!="Error"</formula>
    </cfRule>
  </conditionalFormatting>
  <pageMargins left="0.7" right="0.7" top="0.75" bottom="0.75" header="0.3" footer="0.3"/>
  <pageSetup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3" id="{D57EE28B-C9FD-419C-86F4-DC45942536A6}">
            <xm:f>COUNTIFS(Validation!$H:$H,MID(CELL("filename",A1),FIND("]",CELL("filename",A1))+1,255)&amp;CELL("address",A1))&gt;0</xm:f>
            <x14:dxf>
              <font>
                <b/>
                <i val="0"/>
                <color rgb="FFC00000"/>
              </font>
              <numFmt numFmtId="172" formatCode="_(\!* #,##0_);_(\!* \(#,##0\);_(\!* \-??_);_(\!\ @_)"/>
            </x14:dxf>
          </x14:cfRule>
          <xm:sqref>A1:A2</xm:sqref>
        </x14:conditionalFormatting>
      </x14:conditionalFormatting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AFE89-FC04-47C2-92E2-7B7C107E89C2}">
  <sheetPr>
    <tabColor rgb="FFEED382"/>
  </sheetPr>
  <dimension ref="A1:F38"/>
  <sheetViews>
    <sheetView showGridLines="0" workbookViewId="0">
      <selection activeCell="B7" sqref="B7"/>
    </sheetView>
  </sheetViews>
  <sheetFormatPr defaultRowHeight="15" x14ac:dyDescent="0.25"/>
  <cols>
    <col min="1" max="1" width="55.7109375" style="66" customWidth="1"/>
    <col min="2" max="3" width="20.7109375" style="66" customWidth="1"/>
    <col min="4" max="4" width="80.85546875" style="66" customWidth="1"/>
    <col min="5" max="5" width="14.7109375" style="66" customWidth="1"/>
    <col min="6" max="6" width="0" style="78" hidden="1" customWidth="1"/>
    <col min="7" max="16384" width="9.140625" style="66"/>
  </cols>
  <sheetData>
    <row r="1" spans="1:6" s="59" customFormat="1" ht="24.95" customHeight="1" x14ac:dyDescent="0.25">
      <c r="A1" s="59" t="str">
        <f>_xlfn.CONCAT("Office of the State Auditor  -  TIF Annual Reporting Form  -  ",Year_DestinationYearID)</f>
        <v>Office of the State Auditor  -  TIF Annual Reporting Form  -  2024</v>
      </c>
      <c r="F1" s="61"/>
    </row>
    <row r="2" spans="1:6" s="62" customFormat="1" ht="20.100000000000001" customHeight="1" x14ac:dyDescent="0.25">
      <c r="A2" s="58" t="str">
        <f>_xlfn.CONCAT(GovEntity_GovEntityName_Parent,"  -  ",GovEntity_GovEntityName)</f>
        <v>Spruce City  -  TIF 1-1 Downtown Redev</v>
      </c>
      <c r="F2" s="64"/>
    </row>
    <row r="3" spans="1:6" s="68" customFormat="1" ht="24.95" customHeight="1" x14ac:dyDescent="0.3">
      <c r="A3" s="65" t="s">
        <v>233</v>
      </c>
      <c r="B3" s="66"/>
      <c r="C3" s="66"/>
      <c r="F3" s="69"/>
    </row>
    <row r="4" spans="1:6" s="71" customFormat="1" x14ac:dyDescent="0.25">
      <c r="A4" s="217" t="s">
        <v>207</v>
      </c>
      <c r="B4" s="217"/>
      <c r="C4" s="217"/>
      <c r="D4" s="217"/>
      <c r="E4" s="217"/>
      <c r="F4" s="72" t="s">
        <v>119</v>
      </c>
    </row>
    <row r="5" spans="1:6" s="74" customFormat="1" ht="20.100000000000001" customHeight="1" x14ac:dyDescent="0.25">
      <c r="A5" s="73" t="str">
        <f>HYPERLINK("#'PAYGs'!B6","Click here to return to the PAYGs Tab")</f>
        <v>Click here to return to the PAYGs Tab</v>
      </c>
      <c r="D5" s="74" t="s">
        <v>121</v>
      </c>
      <c r="E5" s="74" t="s">
        <v>102</v>
      </c>
      <c r="F5" s="76"/>
    </row>
    <row r="6" spans="1:6" ht="20.100000000000001" customHeight="1" x14ac:dyDescent="0.25">
      <c r="A6" s="74" t="s">
        <v>234</v>
      </c>
      <c r="D6" s="77" t="str">
        <f ca="1">IFERROR(INDEX(Validation!G:G,MATCH("PAYG 3"&amp;CELL("address",D6),Validation!I:I,0)),"")</f>
        <v/>
      </c>
      <c r="E6" s="66" t="str">
        <f ca="1">IFERROR(INDEX(Validation!F:F,MATCH("PAYG 3"&amp;CELL("address",D6),Validation!I:I,0)),"")</f>
        <v/>
      </c>
      <c r="F6" s="78" t="s">
        <v>1006</v>
      </c>
    </row>
    <row r="7" spans="1:6" x14ac:dyDescent="0.25">
      <c r="A7" s="79" t="s">
        <v>210</v>
      </c>
      <c r="B7" s="103" t="str">
        <f>IF(NOT(ISBLANK('PAYG Input'!E5)),'PAYG Input'!E5,"")</f>
        <v/>
      </c>
      <c r="D7" s="77" t="str">
        <f ca="1">IFERROR(INDEX(Validation!G:G,MATCH("PAYG 3"&amp;CELL("address",D7),Validation!I:I,0)),"")</f>
        <v/>
      </c>
      <c r="E7" s="66" t="str">
        <f ca="1">IFERROR(INDEX(Validation!F:F,MATCH("PAYG 3"&amp;CELL("address",D7),Validation!I:I,0)),"")</f>
        <v/>
      </c>
      <c r="F7" s="85" t="str">
        <f>IF(NOT(ISBLANK('PAYG Input'!E4)),'PAYG Input'!E4,"")</f>
        <v/>
      </c>
    </row>
    <row r="8" spans="1:6" x14ac:dyDescent="0.25">
      <c r="A8" s="79" t="s">
        <v>211</v>
      </c>
      <c r="B8" s="120" t="str">
        <f>IF(NOT(ISBLANK('PAYG Input'!E6)),'PAYG Input'!E6,"")</f>
        <v/>
      </c>
      <c r="C8" s="129"/>
      <c r="D8" s="77" t="str">
        <f ca="1">IFERROR(INDEX(Validation!G:G,MATCH("PAYG 3"&amp;CELL("address",D8),Validation!I:I,0)),"")</f>
        <v/>
      </c>
      <c r="E8" s="66" t="str">
        <f ca="1">IFERROR(INDEX(Validation!F:F,MATCH("PAYG 3"&amp;CELL("address",D8),Validation!I:I,0)),"")</f>
        <v/>
      </c>
    </row>
    <row r="9" spans="1:6" x14ac:dyDescent="0.25">
      <c r="A9" s="79" t="s">
        <v>212</v>
      </c>
      <c r="B9" s="120" t="str">
        <f>IF(NOT(ISBLANK('PAYG Input'!E7)),'PAYG Input'!E7,"")</f>
        <v/>
      </c>
      <c r="C9" s="129"/>
      <c r="D9" s="77" t="str">
        <f ca="1">IFERROR(INDEX(Validation!G:G,MATCH("PAYG 3"&amp;CELL("address",D9),Validation!I:I,0)),"")</f>
        <v/>
      </c>
      <c r="E9" s="66" t="str">
        <f ca="1">IFERROR(INDEX(Validation!F:F,MATCH("PAYG 3"&amp;CELL("address",D9),Validation!I:I,0)),"")</f>
        <v/>
      </c>
    </row>
    <row r="10" spans="1:6" x14ac:dyDescent="0.25">
      <c r="A10" s="79" t="s">
        <v>213</v>
      </c>
      <c r="B10" s="121" t="str">
        <f>IF(NOT(ISBLANK('PAYG Input'!E8)),'PAYG Input'!E8,"")</f>
        <v/>
      </c>
      <c r="C10" s="132"/>
      <c r="D10" s="77" t="str">
        <f ca="1">IFERROR(INDEX(Validation!G:G,MATCH("PAYG 3"&amp;CELL("address",D10),Validation!I:I,0)),"")</f>
        <v/>
      </c>
      <c r="E10" s="66" t="str">
        <f ca="1">IFERROR(INDEX(Validation!F:F,MATCH("PAYG 3"&amp;CELL("address",D10),Validation!I:I,0)),"")</f>
        <v/>
      </c>
    </row>
    <row r="11" spans="1:6" x14ac:dyDescent="0.25">
      <c r="A11" s="79" t="s">
        <v>214</v>
      </c>
      <c r="B11" s="121" t="str">
        <f>IF(NOT(ISBLANK('PAYG Input'!E9)),'PAYG Input'!E9,"")</f>
        <v/>
      </c>
      <c r="C11" s="132"/>
      <c r="D11" s="77" t="str">
        <f ca="1">IFERROR(INDEX(Validation!G:G,MATCH("PAYG 3"&amp;CELL("address",D11),Validation!I:I,0)),"")</f>
        <v/>
      </c>
      <c r="E11" s="66" t="str">
        <f ca="1">IFERROR(INDEX(Validation!F:F,MATCH("PAYG 3"&amp;CELL("address",D11),Validation!I:I,0)),"")</f>
        <v/>
      </c>
    </row>
    <row r="12" spans="1:6" x14ac:dyDescent="0.25">
      <c r="A12" s="79" t="s">
        <v>235</v>
      </c>
      <c r="B12" s="122" t="str">
        <f>IF(NOT(ISBLANK('PAYG Input'!E10)),'PAYG Input'!E10,"")</f>
        <v/>
      </c>
      <c r="C12" s="128"/>
      <c r="D12" s="77" t="str">
        <f ca="1">IFERROR(INDEX(Validation!G:G,MATCH("PAYG 3"&amp;CELL("address",D12),Validation!I:I,0)),"")</f>
        <v/>
      </c>
      <c r="E12" s="66" t="str">
        <f ca="1">IFERROR(INDEX(Validation!F:F,MATCH("PAYG 3"&amp;CELL("address",D12),Validation!I:I,0)),"")</f>
        <v/>
      </c>
    </row>
    <row r="13" spans="1:6" x14ac:dyDescent="0.25">
      <c r="A13" s="79" t="s">
        <v>232</v>
      </c>
      <c r="B13" s="103" t="str">
        <f>IF(ISBLANK('PAYG Input'!E11),"Select One",IF('PAYG Input'!E11=TRUE,"Yes","No"))</f>
        <v>Select One</v>
      </c>
      <c r="D13" s="77" t="str">
        <f ca="1">IFERROR(INDEX(Validation!G:G,MATCH("PAYG 3"&amp;CELL("address",D13),Validation!I:I,0)),"")</f>
        <v/>
      </c>
      <c r="E13" s="66" t="str">
        <f ca="1">IFERROR(INDEX(Validation!F:F,MATCH("PAYG 3"&amp;CELL("address",D13),Validation!I:I,0)),"")</f>
        <v/>
      </c>
    </row>
    <row r="14" spans="1:6" ht="20.100000000000001" customHeight="1" x14ac:dyDescent="0.25">
      <c r="A14" s="74" t="s">
        <v>681</v>
      </c>
      <c r="B14" s="74" t="s">
        <v>283</v>
      </c>
      <c r="C14" s="74" t="str">
        <f>Year_DestinationYearID&amp;" Amount"</f>
        <v>2024 Amount</v>
      </c>
      <c r="D14" s="77"/>
    </row>
    <row r="15" spans="1:6" x14ac:dyDescent="0.25">
      <c r="A15" s="79" t="s">
        <v>266</v>
      </c>
      <c r="B15" s="122" t="str">
        <f>IF(NOT(ISBLANK('PAYG Input'!E12)),'PAYG Input'!E12,"")</f>
        <v/>
      </c>
      <c r="C15" s="122"/>
      <c r="D15" s="77" t="str">
        <f ca="1">IFERROR(INDEX(Validation!G:G,MATCH("PAYG 3"&amp;CELL("address",D15),Validation!I:I,0)),"")</f>
        <v/>
      </c>
      <c r="E15" s="66" t="str">
        <f ca="1">IFERROR(INDEX(Validation!F:F,MATCH("PAYG 3"&amp;CELL("address",D15),Validation!I:I,0)),"")</f>
        <v/>
      </c>
    </row>
    <row r="16" spans="1:6" x14ac:dyDescent="0.25">
      <c r="A16" s="79" t="s">
        <v>267</v>
      </c>
      <c r="B16" s="122" t="str">
        <f>IF(NOT(ISBLANK('PAYG Input'!E14)),'PAYG Input'!E14,"")</f>
        <v/>
      </c>
      <c r="C16" s="122"/>
      <c r="D16" s="77" t="str">
        <f ca="1">IFERROR(INDEX(Validation!G:G,MATCH("PAYG 3"&amp;CELL("address",D16),Validation!I:I,0)),"")</f>
        <v/>
      </c>
      <c r="E16" s="66" t="str">
        <f ca="1">IFERROR(INDEX(Validation!F:F,MATCH("PAYG 3"&amp;CELL("address",D16),Validation!I:I,0)),"")</f>
        <v/>
      </c>
    </row>
    <row r="17" spans="1:5" x14ac:dyDescent="0.25">
      <c r="A17" s="79" t="s">
        <v>268</v>
      </c>
      <c r="B17" s="122" t="str">
        <f>IF(NOT(ISBLANK('PAYG Input'!E16)),'PAYG Input'!E16,"")</f>
        <v/>
      </c>
      <c r="C17" s="122"/>
      <c r="D17" s="77" t="str">
        <f ca="1">IFERROR(INDEX(Validation!G:G,MATCH("PAYG 3"&amp;CELL("address",D17),Validation!I:I,0)),"")</f>
        <v/>
      </c>
      <c r="E17" s="66" t="str">
        <f ca="1">IFERROR(INDEX(Validation!F:F,MATCH("PAYG 3"&amp;CELL("address",D17),Validation!I:I,0)),"")</f>
        <v/>
      </c>
    </row>
    <row r="18" spans="1:5" x14ac:dyDescent="0.25">
      <c r="A18" s="79" t="s">
        <v>269</v>
      </c>
      <c r="B18" s="122" t="str">
        <f>IF(NOT(ISBLANK('PAYG Input'!E18)),'PAYG Input'!E18,"")</f>
        <v/>
      </c>
      <c r="C18" s="122"/>
      <c r="D18" s="77" t="str">
        <f ca="1">IFERROR(INDEX(Validation!G:G,MATCH("PAYG 3"&amp;CELL("address",D18),Validation!I:I,0)),"")</f>
        <v/>
      </c>
      <c r="E18" s="66" t="str">
        <f ca="1">IFERROR(INDEX(Validation!F:F,MATCH("PAYG 3"&amp;CELL("address",D18),Validation!I:I,0)),"")</f>
        <v/>
      </c>
    </row>
    <row r="19" spans="1:5" x14ac:dyDescent="0.25">
      <c r="A19" s="79" t="s">
        <v>270</v>
      </c>
      <c r="B19" s="122" t="str">
        <f>IF(NOT(ISBLANK('PAYG Input'!E20)),'PAYG Input'!E20,"")</f>
        <v/>
      </c>
      <c r="C19" s="122"/>
      <c r="D19" s="77" t="str">
        <f ca="1">IFERROR(INDEX(Validation!G:G,MATCH("PAYG 3"&amp;CELL("address",D19),Validation!I:I,0)),"")</f>
        <v/>
      </c>
      <c r="E19" s="66" t="str">
        <f ca="1">IFERROR(INDEX(Validation!F:F,MATCH("PAYG 3"&amp;CELL("address",D19),Validation!I:I,0)),"")</f>
        <v/>
      </c>
    </row>
    <row r="20" spans="1:5" x14ac:dyDescent="0.25">
      <c r="A20" s="79" t="s">
        <v>272</v>
      </c>
      <c r="B20" s="122" t="str">
        <f>IF(NOT(ISBLANK('PAYG Input'!E22)),'PAYG Input'!E22,"")</f>
        <v/>
      </c>
      <c r="C20" s="122"/>
      <c r="D20" s="77" t="str">
        <f ca="1">IFERROR(INDEX(Validation!G:G,MATCH("PAYG 3"&amp;CELL("address",D20),Validation!I:I,0)),"")</f>
        <v/>
      </c>
      <c r="E20" s="66" t="str">
        <f ca="1">IFERROR(INDEX(Validation!F:F,MATCH("PAYG 3"&amp;CELL("address",D20),Validation!I:I,0)),"")</f>
        <v/>
      </c>
    </row>
    <row r="21" spans="1:5" x14ac:dyDescent="0.25">
      <c r="A21" s="130" t="s">
        <v>236</v>
      </c>
      <c r="B21" s="125">
        <f>SUM(B15:B20)</f>
        <v>0</v>
      </c>
      <c r="C21" s="125">
        <f>SUM(C15:C20)</f>
        <v>0</v>
      </c>
      <c r="D21" s="77" t="str">
        <f ca="1">IFERROR(INDEX(Validation!G:G,MATCH("PAYG 3"&amp;CELL("address",D21),Validation!I:I,0)),"")</f>
        <v/>
      </c>
      <c r="E21" s="66" t="str">
        <f ca="1">IFERROR(INDEX(Validation!F:F,MATCH("PAYG 3"&amp;CELL("address",D21),Validation!I:I,0)),"")</f>
        <v/>
      </c>
    </row>
    <row r="22" spans="1:5" x14ac:dyDescent="0.25">
      <c r="A22" s="131" t="s">
        <v>682</v>
      </c>
      <c r="B22" s="122" t="str">
        <f>IF(NOT(ISBLANK('PAYG Input'!E26)),'PAYG Input'!E26,"")</f>
        <v/>
      </c>
      <c r="C22" s="122"/>
      <c r="D22" s="77" t="str">
        <f ca="1">IFERROR(INDEX(Validation!G:G,MATCH("PAYG 3"&amp;CELL("address",D22),Validation!I:I,0)),"")</f>
        <v/>
      </c>
      <c r="E22" s="66" t="str">
        <f ca="1">IFERROR(INDEX(Validation!F:F,MATCH("PAYG 3"&amp;CELL("address",D22),Validation!I:I,0)),"")</f>
        <v/>
      </c>
    </row>
    <row r="23" spans="1:5" x14ac:dyDescent="0.25">
      <c r="A23" s="131" t="s">
        <v>683</v>
      </c>
      <c r="B23" s="122" t="str">
        <f>IF(NOT(ISBLANK('PAYG Input'!E28)),'PAYG Input'!E28,"")</f>
        <v/>
      </c>
      <c r="C23" s="122"/>
      <c r="D23" s="77" t="str">
        <f ca="1">IFERROR(INDEX(Validation!G:G,MATCH("PAYG 3"&amp;CELL("address",D23),Validation!I:I,0)),"")</f>
        <v/>
      </c>
      <c r="E23" s="66" t="str">
        <f ca="1">IFERROR(INDEX(Validation!F:F,MATCH("PAYG 3"&amp;CELL("address",D23),Validation!I:I,0)),"")</f>
        <v/>
      </c>
    </row>
    <row r="24" spans="1:5" ht="20.100000000000001" customHeight="1" x14ac:dyDescent="0.25">
      <c r="A24" s="74" t="s">
        <v>1311</v>
      </c>
      <c r="B24" s="74" t="s">
        <v>283</v>
      </c>
      <c r="C24" s="74" t="str">
        <f>Year_DestinationYearID&amp;" Amount"</f>
        <v>2024 Amount</v>
      </c>
      <c r="D24" s="77"/>
    </row>
    <row r="25" spans="1:5" x14ac:dyDescent="0.25">
      <c r="A25" s="79" t="s">
        <v>1188</v>
      </c>
      <c r="B25" s="122" t="str">
        <f>IF(NOT(ISBLANK('PAYG Input'!E30)),'PAYG Input'!E30,"")</f>
        <v/>
      </c>
      <c r="C25" s="122"/>
      <c r="D25" s="77" t="str">
        <f ca="1">IFERROR(INDEX(Validation!G:G,MATCH("PAYG 3"&amp;CELL("address",D25),Validation!I:I,0)),"")</f>
        <v/>
      </c>
      <c r="E25" s="66" t="str">
        <f ca="1">IFERROR(INDEX(Validation!F:F,MATCH("PAYG 3"&amp;CELL("address",D25),Validation!I:I,0)),"")</f>
        <v/>
      </c>
    </row>
    <row r="26" spans="1:5" x14ac:dyDescent="0.25">
      <c r="A26" s="79" t="s">
        <v>1190</v>
      </c>
      <c r="B26" s="122" t="str">
        <f>IF(NOT(ISBLANK('PAYG Input'!E32)),'PAYG Input'!E32,"")</f>
        <v/>
      </c>
      <c r="C26" s="122"/>
      <c r="D26" s="77" t="str">
        <f ca="1">IFERROR(INDEX(Validation!G:G,MATCH("PAYG 3"&amp;CELL("address",D26),Validation!I:I,0)),"")</f>
        <v/>
      </c>
      <c r="E26" s="66" t="str">
        <f ca="1">IFERROR(INDEX(Validation!F:F,MATCH("PAYG 3"&amp;CELL("address",D26),Validation!I:I,0)),"")</f>
        <v/>
      </c>
    </row>
    <row r="27" spans="1:5" x14ac:dyDescent="0.25">
      <c r="A27" s="79" t="s">
        <v>221</v>
      </c>
      <c r="B27" s="125" t="str">
        <f>IFERROR(B21-B25+B26,"")</f>
        <v/>
      </c>
      <c r="C27" s="125" t="str">
        <f>IFERROR(B21+C21-B25-C25+B26+C26,"")</f>
        <v/>
      </c>
      <c r="D27" s="77" t="str">
        <f ca="1">IFERROR(INDEX(Validation!G:G,MATCH("PAYG 3"&amp;CELL("address",D27),Validation!I:I,0)),"")</f>
        <v/>
      </c>
      <c r="E27" s="66" t="str">
        <f ca="1">IFERROR(INDEX(Validation!F:F,MATCH("PAYG 3"&amp;CELL("address",D27),Validation!I:I,0)),"")</f>
        <v/>
      </c>
    </row>
    <row r="28" spans="1:5" x14ac:dyDescent="0.25">
      <c r="A28" s="79" t="s">
        <v>223</v>
      </c>
      <c r="B28" s="122" t="str">
        <f>IF(NOT(ISBLANK('PAYG Input'!E36)),'PAYG Input'!E36,"")</f>
        <v/>
      </c>
      <c r="C28" s="122"/>
      <c r="D28" s="77" t="str">
        <f ca="1">IFERROR(INDEX(Validation!G:G,MATCH("PAYG 3"&amp;CELL("address",D28),Validation!I:I,0)),"")</f>
        <v/>
      </c>
      <c r="E28" s="66" t="str">
        <f ca="1">IFERROR(INDEX(Validation!F:F,MATCH("PAYG 3"&amp;CELL("address",D28),Validation!I:I,0)),"")</f>
        <v/>
      </c>
    </row>
    <row r="29" spans="1:5" x14ac:dyDescent="0.25">
      <c r="A29" s="79" t="s">
        <v>1191</v>
      </c>
      <c r="B29" s="122" t="str">
        <f>IF(NOT(ISBLANK('PAYG Input'!E38)),'PAYG Input'!E38,"")</f>
        <v/>
      </c>
      <c r="C29" s="122"/>
      <c r="D29" s="77" t="str">
        <f ca="1">IFERROR(INDEX(Validation!G:G,MATCH("PAYG 3"&amp;CELL("address",D29),Validation!I:I,0)),"")</f>
        <v/>
      </c>
      <c r="E29" s="66" t="str">
        <f ca="1">IFERROR(INDEX(Validation!F:F,MATCH("PAYG 3"&amp;CELL("address",D29),Validation!I:I,0)),"")</f>
        <v/>
      </c>
    </row>
    <row r="30" spans="1:5" ht="20.100000000000001" customHeight="1" x14ac:dyDescent="0.25">
      <c r="A30" s="74" t="str">
        <f>"Principal and Interest Due in "&amp;Year_DestinationYearID+1</f>
        <v>Principal and Interest Due in 2025</v>
      </c>
      <c r="B30" s="74"/>
      <c r="C30" s="128"/>
      <c r="D30" s="77"/>
    </row>
    <row r="31" spans="1:5" x14ac:dyDescent="0.25">
      <c r="A31" s="79" t="str">
        <f>"Principal Due in "&amp;Year_DestinationYearID+1</f>
        <v>Principal Due in 2025</v>
      </c>
      <c r="B31" s="122"/>
      <c r="C31" s="128"/>
      <c r="D31" s="77" t="str">
        <f ca="1">IFERROR(INDEX(Validation!G:G,MATCH("PAYG 3"&amp;CELL("address",D31),Validation!I:I,0)),"")</f>
        <v/>
      </c>
      <c r="E31" s="66" t="str">
        <f ca="1">IFERROR(INDEX(Validation!F:F,MATCH("PAYG 3"&amp;CELL("address",D31),Validation!I:I,0)),"")</f>
        <v/>
      </c>
    </row>
    <row r="32" spans="1:5" x14ac:dyDescent="0.25">
      <c r="A32" s="79" t="str">
        <f>"Interest Due in "&amp;Year_DestinationYearID+1</f>
        <v>Interest Due in 2025</v>
      </c>
      <c r="B32" s="122"/>
      <c r="C32" s="128"/>
      <c r="D32" s="77" t="str">
        <f ca="1">IFERROR(INDEX(Validation!G:G,MATCH("PAYG 3"&amp;CELL("address",D32),Validation!I:I,0)),"")</f>
        <v/>
      </c>
      <c r="E32" s="66" t="str">
        <f ca="1">IFERROR(INDEX(Validation!F:F,MATCH("PAYG 3"&amp;CELL("address",D32),Validation!I:I,0)),"")</f>
        <v/>
      </c>
    </row>
    <row r="33" spans="1:5" ht="20.100000000000001" customHeight="1" x14ac:dyDescent="0.25">
      <c r="A33" s="97" t="s">
        <v>176</v>
      </c>
      <c r="D33" s="77" t="str">
        <f ca="1">IF(AND(ISBLANK(A34),OR(COUNTIF(E6:E32,"Alert")&gt;0,SUM(B26:B26)&lt;&gt;0)),"Comment(s) required for remaining alert(s) and/or additions to principal.",IFERROR(INDEX(Validation!G:G,MATCH("PAYG 3"&amp;CELL("address",D34),Validation!I:I,0)),""))</f>
        <v/>
      </c>
      <c r="E33" s="66" t="str">
        <f ca="1">IF(AND(ISBLANK(A34),OR(COUNTIF(E6:E32,"Alert")&gt;0,SUM(B26:B26)&lt;&gt;0)),"Error",IFERROR(INDEX(Validation!F:F,MATCH("PAYG 3"&amp;CELL("address",D34),Validation!I:I,0)),""))</f>
        <v/>
      </c>
    </row>
    <row r="34" spans="1:5" ht="150" customHeight="1" x14ac:dyDescent="0.25">
      <c r="A34" s="123"/>
      <c r="B34" s="100" t="str">
        <f>HYPERLINK("#'PAYGs'!B6","Click here to return to the PAYGs Tab")</f>
        <v>Click here to return to the PAYGs Tab</v>
      </c>
      <c r="C34" s="127"/>
    </row>
    <row r="35" spans="1:5" x14ac:dyDescent="0.25">
      <c r="A35" s="98"/>
      <c r="B35" s="98"/>
      <c r="C35" s="98"/>
    </row>
    <row r="36" spans="1:5" x14ac:dyDescent="0.25">
      <c r="A36" s="98"/>
      <c r="B36" s="98"/>
      <c r="C36" s="98"/>
    </row>
    <row r="37" spans="1:5" x14ac:dyDescent="0.25">
      <c r="A37" s="98"/>
      <c r="B37" s="98"/>
      <c r="C37" s="98"/>
    </row>
    <row r="38" spans="1:5" x14ac:dyDescent="0.25">
      <c r="A38" s="98"/>
      <c r="B38" s="98"/>
      <c r="C38" s="98"/>
    </row>
  </sheetData>
  <sheetProtection algorithmName="SHA-512" hashValue="R4ZtdKT/4myJQL6ML08286BEB2mjLNlPd5a2N1q1KFBpkSt72OSNpJ529jDuCKGHr9/MbduLNIZVdhItnulkow==" saltValue="nFgEYgnJobQRICRXaZ9zww==" spinCount="100000" sheet="1" objects="1" scenarios="1"/>
  <mergeCells count="1">
    <mergeCell ref="A4:E4"/>
  </mergeCells>
  <conditionalFormatting sqref="A2">
    <cfRule type="expression" dxfId="360" priority="5">
      <formula>$E2="Error"</formula>
    </cfRule>
    <cfRule type="expression" dxfId="358" priority="7">
      <formula>$E2="Exclude"</formula>
    </cfRule>
  </conditionalFormatting>
  <conditionalFormatting sqref="D6:E33">
    <cfRule type="expression" dxfId="357" priority="1">
      <formula>$E6="Information"</formula>
    </cfRule>
    <cfRule type="expression" dxfId="356" priority="2">
      <formula>$E6="Error"</formula>
    </cfRule>
    <cfRule type="expression" dxfId="355" priority="3">
      <formula>$E6="Alert"</formula>
    </cfRule>
    <cfRule type="expression" dxfId="354" priority="4">
      <formula>$E6="Exclude"</formula>
    </cfRule>
  </conditionalFormatting>
  <dataValidations count="1">
    <dataValidation type="list" allowBlank="1" showInputMessage="1" showErrorMessage="1" sqref="B13:C13" xr:uid="{7C051C15-5A1D-4086-979E-1A5FBF11A2D3}">
      <formula1>SelOneYesNo</formula1>
    </dataValidation>
  </dataValidations>
  <pageMargins left="0.7" right="0.7" top="0.75" bottom="0.75" header="0.3" footer="0.3"/>
  <pageSetup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6" id="{8276DFDB-45BD-4685-BA8A-492650D418C0}">
            <xm:f>COUNTIFS(Validation!$H:$H,MID(CELL("filename",A2),FIND("]",CELL("filename",A2))+1,255)&amp;CELL("address",A2))&gt;0</xm:f>
            <x14:dxf>
              <font>
                <b/>
                <i val="0"/>
                <color rgb="FFC00000"/>
              </font>
              <numFmt numFmtId="172" formatCode="_(\!* #,##0_);_(\!* \(#,##0\);_(\!* \-??_);_(\!\ @_)"/>
            </x14:dxf>
          </x14:cfRule>
          <xm:sqref>A2</xm:sqref>
        </x14:conditionalFormatting>
      </x14:conditionalFormatting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1ADA73-9294-4AA6-8494-1CAA665ECF2E}">
  <sheetPr>
    <tabColor rgb="FFEED382"/>
  </sheetPr>
  <dimension ref="A1:F38"/>
  <sheetViews>
    <sheetView showGridLines="0" workbookViewId="0">
      <selection activeCell="B7" sqref="B7"/>
    </sheetView>
  </sheetViews>
  <sheetFormatPr defaultRowHeight="15" x14ac:dyDescent="0.25"/>
  <cols>
    <col min="1" max="1" width="55.7109375" style="66" customWidth="1"/>
    <col min="2" max="3" width="20.7109375" style="66" customWidth="1"/>
    <col min="4" max="4" width="80.85546875" style="66" customWidth="1"/>
    <col min="5" max="5" width="14.7109375" style="66" customWidth="1"/>
    <col min="6" max="6" width="0" style="78" hidden="1" customWidth="1"/>
    <col min="7" max="16384" width="9.140625" style="66"/>
  </cols>
  <sheetData>
    <row r="1" spans="1:6" s="59" customFormat="1" ht="24.95" customHeight="1" x14ac:dyDescent="0.25">
      <c r="A1" s="59" t="str">
        <f>_xlfn.CONCAT("Office of the State Auditor  -  TIF Annual Reporting Form  -  ",Year_DestinationYearID)</f>
        <v>Office of the State Auditor  -  TIF Annual Reporting Form  -  2024</v>
      </c>
      <c r="F1" s="61"/>
    </row>
    <row r="2" spans="1:6" s="62" customFormat="1" ht="20.100000000000001" customHeight="1" x14ac:dyDescent="0.25">
      <c r="A2" s="58" t="str">
        <f>_xlfn.CONCAT(GovEntity_GovEntityName_Parent,"  -  ",GovEntity_GovEntityName)</f>
        <v>Spruce City  -  TIF 1-1 Downtown Redev</v>
      </c>
      <c r="F2" s="64"/>
    </row>
    <row r="3" spans="1:6" s="68" customFormat="1" ht="24.95" customHeight="1" x14ac:dyDescent="0.3">
      <c r="A3" s="65" t="s">
        <v>233</v>
      </c>
      <c r="B3" s="66"/>
      <c r="C3" s="66"/>
      <c r="F3" s="69"/>
    </row>
    <row r="4" spans="1:6" s="71" customFormat="1" x14ac:dyDescent="0.25">
      <c r="A4" s="217" t="s">
        <v>207</v>
      </c>
      <c r="B4" s="217"/>
      <c r="C4" s="217"/>
      <c r="D4" s="217"/>
      <c r="E4" s="217"/>
      <c r="F4" s="72" t="s">
        <v>119</v>
      </c>
    </row>
    <row r="5" spans="1:6" s="74" customFormat="1" ht="20.100000000000001" customHeight="1" x14ac:dyDescent="0.25">
      <c r="A5" s="73" t="str">
        <f>HYPERLINK("#'PAYGs'!B6","Click here to return to the PAYGs Tab")</f>
        <v>Click here to return to the PAYGs Tab</v>
      </c>
      <c r="D5" s="74" t="s">
        <v>121</v>
      </c>
      <c r="E5" s="74" t="s">
        <v>102</v>
      </c>
      <c r="F5" s="76"/>
    </row>
    <row r="6" spans="1:6" ht="20.100000000000001" customHeight="1" x14ac:dyDescent="0.25">
      <c r="A6" s="74" t="s">
        <v>234</v>
      </c>
      <c r="D6" s="77" t="str">
        <f ca="1">IFERROR(INDEX(Validation!G:G,MATCH("PAYG 4"&amp;CELL("address",D6),Validation!I:I,0)),"")</f>
        <v/>
      </c>
      <c r="E6" s="66" t="str">
        <f ca="1">IFERROR(INDEX(Validation!F:F,MATCH("PAYG 4"&amp;CELL("address",D6),Validation!I:I,0)),"")</f>
        <v/>
      </c>
      <c r="F6" s="78" t="s">
        <v>1006</v>
      </c>
    </row>
    <row r="7" spans="1:6" x14ac:dyDescent="0.25">
      <c r="A7" s="79" t="s">
        <v>210</v>
      </c>
      <c r="B7" s="103" t="str">
        <f>IF(NOT(ISBLANK('PAYG Input'!F5)),'PAYG Input'!F5,"")</f>
        <v/>
      </c>
      <c r="D7" s="77" t="str">
        <f ca="1">IFERROR(INDEX(Validation!G:G,MATCH("PAYG 4"&amp;CELL("address",D7),Validation!I:I,0)),"")</f>
        <v/>
      </c>
      <c r="E7" s="66" t="str">
        <f ca="1">IFERROR(INDEX(Validation!F:F,MATCH("PAYG 4"&amp;CELL("address",D7),Validation!I:I,0)),"")</f>
        <v/>
      </c>
      <c r="F7" s="85" t="str">
        <f>IF(NOT(ISBLANK('PAYG Input'!F4)),'PAYG Input'!F4,"")</f>
        <v/>
      </c>
    </row>
    <row r="8" spans="1:6" x14ac:dyDescent="0.25">
      <c r="A8" s="79" t="s">
        <v>211</v>
      </c>
      <c r="B8" s="120" t="str">
        <f>IF(NOT(ISBLANK('PAYG Input'!F6)),'PAYG Input'!F6,"")</f>
        <v/>
      </c>
      <c r="C8" s="129"/>
      <c r="D8" s="77" t="str">
        <f ca="1">IFERROR(INDEX(Validation!G:G,MATCH("PAYG 4"&amp;CELL("address",D8),Validation!I:I,0)),"")</f>
        <v/>
      </c>
      <c r="E8" s="66" t="str">
        <f ca="1">IFERROR(INDEX(Validation!F:F,MATCH("PAYG 4"&amp;CELL("address",D8),Validation!I:I,0)),"")</f>
        <v/>
      </c>
    </row>
    <row r="9" spans="1:6" x14ac:dyDescent="0.25">
      <c r="A9" s="79" t="s">
        <v>212</v>
      </c>
      <c r="B9" s="120" t="str">
        <f>IF(NOT(ISBLANK('PAYG Input'!F7)),'PAYG Input'!F7,"")</f>
        <v/>
      </c>
      <c r="C9" s="129"/>
      <c r="D9" s="77" t="str">
        <f ca="1">IFERROR(INDEX(Validation!G:G,MATCH("PAYG 4"&amp;CELL("address",D9),Validation!I:I,0)),"")</f>
        <v/>
      </c>
      <c r="E9" s="66" t="str">
        <f ca="1">IFERROR(INDEX(Validation!F:F,MATCH("PAYG 4"&amp;CELL("address",D9),Validation!I:I,0)),"")</f>
        <v/>
      </c>
    </row>
    <row r="10" spans="1:6" x14ac:dyDescent="0.25">
      <c r="A10" s="79" t="s">
        <v>213</v>
      </c>
      <c r="B10" s="121" t="str">
        <f>IF(NOT(ISBLANK('PAYG Input'!F8)),'PAYG Input'!F8,"")</f>
        <v/>
      </c>
      <c r="C10" s="132"/>
      <c r="D10" s="77" t="str">
        <f ca="1">IFERROR(INDEX(Validation!G:G,MATCH("PAYG 4"&amp;CELL("address",D10),Validation!I:I,0)),"")</f>
        <v/>
      </c>
      <c r="E10" s="66" t="str">
        <f ca="1">IFERROR(INDEX(Validation!F:F,MATCH("PAYG 4"&amp;CELL("address",D10),Validation!I:I,0)),"")</f>
        <v/>
      </c>
    </row>
    <row r="11" spans="1:6" x14ac:dyDescent="0.25">
      <c r="A11" s="79" t="s">
        <v>214</v>
      </c>
      <c r="B11" s="121" t="str">
        <f>IF(NOT(ISBLANK('PAYG Input'!F9)),'PAYG Input'!F9,"")</f>
        <v/>
      </c>
      <c r="C11" s="132"/>
      <c r="D11" s="77" t="str">
        <f ca="1">IFERROR(INDEX(Validation!G:G,MATCH("PAYG 4"&amp;CELL("address",D11),Validation!I:I,0)),"")</f>
        <v/>
      </c>
      <c r="E11" s="66" t="str">
        <f ca="1">IFERROR(INDEX(Validation!F:F,MATCH("PAYG 4"&amp;CELL("address",D11),Validation!I:I,0)),"")</f>
        <v/>
      </c>
    </row>
    <row r="12" spans="1:6" x14ac:dyDescent="0.25">
      <c r="A12" s="79" t="s">
        <v>235</v>
      </c>
      <c r="B12" s="122" t="str">
        <f>IF(NOT(ISBLANK('PAYG Input'!F10)),'PAYG Input'!F10,"")</f>
        <v/>
      </c>
      <c r="C12" s="128"/>
      <c r="D12" s="77" t="str">
        <f ca="1">IFERROR(INDEX(Validation!G:G,MATCH("PAYG 4"&amp;CELL("address",D12),Validation!I:I,0)),"")</f>
        <v/>
      </c>
      <c r="E12" s="66" t="str">
        <f ca="1">IFERROR(INDEX(Validation!F:F,MATCH("PAYG 4"&amp;CELL("address",D12),Validation!I:I,0)),"")</f>
        <v/>
      </c>
    </row>
    <row r="13" spans="1:6" x14ac:dyDescent="0.25">
      <c r="A13" s="79" t="s">
        <v>232</v>
      </c>
      <c r="B13" s="103" t="str">
        <f>IF(ISBLANK('PAYG Input'!F11),"Select One",IF('PAYG Input'!F11=TRUE,"Yes","No"))</f>
        <v>Select One</v>
      </c>
      <c r="D13" s="77" t="str">
        <f ca="1">IFERROR(INDEX(Validation!G:G,MATCH("PAYG 4"&amp;CELL("address",D13),Validation!I:I,0)),"")</f>
        <v/>
      </c>
      <c r="E13" s="66" t="str">
        <f ca="1">IFERROR(INDEX(Validation!F:F,MATCH("PAYG 4"&amp;CELL("address",D13),Validation!I:I,0)),"")</f>
        <v/>
      </c>
    </row>
    <row r="14" spans="1:6" ht="20.100000000000001" customHeight="1" x14ac:dyDescent="0.25">
      <c r="A14" s="74" t="s">
        <v>681</v>
      </c>
      <c r="B14" s="74" t="s">
        <v>283</v>
      </c>
      <c r="C14" s="74" t="str">
        <f>Year_DestinationYearID&amp;" Amount"</f>
        <v>2024 Amount</v>
      </c>
      <c r="D14" s="77"/>
    </row>
    <row r="15" spans="1:6" x14ac:dyDescent="0.25">
      <c r="A15" s="79" t="s">
        <v>266</v>
      </c>
      <c r="B15" s="122" t="str">
        <f>IF(NOT(ISBLANK('PAYG Input'!F12)),'PAYG Input'!F12,"")</f>
        <v/>
      </c>
      <c r="C15" s="122"/>
      <c r="D15" s="77" t="str">
        <f ca="1">IFERROR(INDEX(Validation!G:G,MATCH("PAYG 4"&amp;CELL("address",D15),Validation!I:I,0)),"")</f>
        <v/>
      </c>
      <c r="E15" s="66" t="str">
        <f ca="1">IFERROR(INDEX(Validation!F:F,MATCH("PAYG 4"&amp;CELL("address",D15),Validation!I:I,0)),"")</f>
        <v/>
      </c>
    </row>
    <row r="16" spans="1:6" x14ac:dyDescent="0.25">
      <c r="A16" s="79" t="s">
        <v>267</v>
      </c>
      <c r="B16" s="122" t="str">
        <f>IF(NOT(ISBLANK('PAYG Input'!F14)),'PAYG Input'!F14,"")</f>
        <v/>
      </c>
      <c r="C16" s="122"/>
      <c r="D16" s="77" t="str">
        <f ca="1">IFERROR(INDEX(Validation!G:G,MATCH("PAYG 4"&amp;CELL("address",D16),Validation!I:I,0)),"")</f>
        <v/>
      </c>
      <c r="E16" s="66" t="str">
        <f ca="1">IFERROR(INDEX(Validation!F:F,MATCH("PAYG 4"&amp;CELL("address",D16),Validation!I:I,0)),"")</f>
        <v/>
      </c>
    </row>
    <row r="17" spans="1:5" x14ac:dyDescent="0.25">
      <c r="A17" s="79" t="s">
        <v>268</v>
      </c>
      <c r="B17" s="122" t="str">
        <f>IF(NOT(ISBLANK('PAYG Input'!F16)),'PAYG Input'!F16,"")</f>
        <v/>
      </c>
      <c r="C17" s="122"/>
      <c r="D17" s="77" t="str">
        <f ca="1">IFERROR(INDEX(Validation!G:G,MATCH("PAYG 4"&amp;CELL("address",D17),Validation!I:I,0)),"")</f>
        <v/>
      </c>
      <c r="E17" s="66" t="str">
        <f ca="1">IFERROR(INDEX(Validation!F:F,MATCH("PAYG 4"&amp;CELL("address",D17),Validation!I:I,0)),"")</f>
        <v/>
      </c>
    </row>
    <row r="18" spans="1:5" x14ac:dyDescent="0.25">
      <c r="A18" s="79" t="s">
        <v>269</v>
      </c>
      <c r="B18" s="122" t="str">
        <f>IF(NOT(ISBLANK('PAYG Input'!F18)),'PAYG Input'!F18,"")</f>
        <v/>
      </c>
      <c r="C18" s="122"/>
      <c r="D18" s="77" t="str">
        <f ca="1">IFERROR(INDEX(Validation!G:G,MATCH("PAYG 4"&amp;CELL("address",D18),Validation!I:I,0)),"")</f>
        <v/>
      </c>
      <c r="E18" s="66" t="str">
        <f ca="1">IFERROR(INDEX(Validation!F:F,MATCH("PAYG 4"&amp;CELL("address",D18),Validation!I:I,0)),"")</f>
        <v/>
      </c>
    </row>
    <row r="19" spans="1:5" x14ac:dyDescent="0.25">
      <c r="A19" s="79" t="s">
        <v>270</v>
      </c>
      <c r="B19" s="122" t="str">
        <f>IF(NOT(ISBLANK('PAYG Input'!F20)),'PAYG Input'!F20,"")</f>
        <v/>
      </c>
      <c r="C19" s="122"/>
      <c r="D19" s="77" t="str">
        <f ca="1">IFERROR(INDEX(Validation!G:G,MATCH("PAYG 4"&amp;CELL("address",D19),Validation!I:I,0)),"")</f>
        <v/>
      </c>
      <c r="E19" s="66" t="str">
        <f ca="1">IFERROR(INDEX(Validation!F:F,MATCH("PAYG 4"&amp;CELL("address",D19),Validation!I:I,0)),"")</f>
        <v/>
      </c>
    </row>
    <row r="20" spans="1:5" x14ac:dyDescent="0.25">
      <c r="A20" s="79" t="s">
        <v>272</v>
      </c>
      <c r="B20" s="122" t="str">
        <f>IF(NOT(ISBLANK('PAYG Input'!F22)),'PAYG Input'!F22,"")</f>
        <v/>
      </c>
      <c r="C20" s="122"/>
      <c r="D20" s="77" t="str">
        <f ca="1">IFERROR(INDEX(Validation!G:G,MATCH("PAYG 4"&amp;CELL("address",D20),Validation!I:I,0)),"")</f>
        <v/>
      </c>
      <c r="E20" s="66" t="str">
        <f ca="1">IFERROR(INDEX(Validation!F:F,MATCH("PAYG 4"&amp;CELL("address",D20),Validation!I:I,0)),"")</f>
        <v/>
      </c>
    </row>
    <row r="21" spans="1:5" x14ac:dyDescent="0.25">
      <c r="A21" s="130" t="s">
        <v>236</v>
      </c>
      <c r="B21" s="125">
        <f>SUM(B15:B20)</f>
        <v>0</v>
      </c>
      <c r="C21" s="125">
        <f>SUM(C15:C20)</f>
        <v>0</v>
      </c>
      <c r="D21" s="77" t="str">
        <f ca="1">IFERROR(INDEX(Validation!G:G,MATCH("PAYG 4"&amp;CELL("address",D21),Validation!I:I,0)),"")</f>
        <v/>
      </c>
      <c r="E21" s="66" t="str">
        <f ca="1">IFERROR(INDEX(Validation!F:F,MATCH("PAYG 4"&amp;CELL("address",D21),Validation!I:I,0)),"")</f>
        <v/>
      </c>
    </row>
    <row r="22" spans="1:5" x14ac:dyDescent="0.25">
      <c r="A22" s="131" t="s">
        <v>682</v>
      </c>
      <c r="B22" s="122" t="str">
        <f>IF(NOT(ISBLANK('PAYG Input'!F26)),'PAYG Input'!F26,"")</f>
        <v/>
      </c>
      <c r="C22" s="122"/>
      <c r="D22" s="77" t="str">
        <f ca="1">IFERROR(INDEX(Validation!G:G,MATCH("PAYG 4"&amp;CELL("address",D22),Validation!I:I,0)),"")</f>
        <v/>
      </c>
      <c r="E22" s="66" t="str">
        <f ca="1">IFERROR(INDEX(Validation!F:F,MATCH("PAYG 4"&amp;CELL("address",D22),Validation!I:I,0)),"")</f>
        <v/>
      </c>
    </row>
    <row r="23" spans="1:5" x14ac:dyDescent="0.25">
      <c r="A23" s="131" t="s">
        <v>683</v>
      </c>
      <c r="B23" s="122" t="str">
        <f>IF(NOT(ISBLANK('PAYG Input'!F28)),'PAYG Input'!F28,"")</f>
        <v/>
      </c>
      <c r="C23" s="122"/>
      <c r="D23" s="77" t="str">
        <f ca="1">IFERROR(INDEX(Validation!G:G,MATCH("PAYG 4"&amp;CELL("address",D23),Validation!I:I,0)),"")</f>
        <v/>
      </c>
      <c r="E23" s="66" t="str">
        <f ca="1">IFERROR(INDEX(Validation!F:F,MATCH("PAYG 4"&amp;CELL("address",D23),Validation!I:I,0)),"")</f>
        <v/>
      </c>
    </row>
    <row r="24" spans="1:5" ht="20.100000000000001" customHeight="1" x14ac:dyDescent="0.25">
      <c r="A24" s="74" t="s">
        <v>1311</v>
      </c>
      <c r="B24" s="74" t="s">
        <v>283</v>
      </c>
      <c r="C24" s="74" t="str">
        <f>Year_DestinationYearID&amp;" Amount"</f>
        <v>2024 Amount</v>
      </c>
      <c r="D24" s="77"/>
    </row>
    <row r="25" spans="1:5" x14ac:dyDescent="0.25">
      <c r="A25" s="79" t="s">
        <v>1188</v>
      </c>
      <c r="B25" s="122" t="str">
        <f>IF(NOT(ISBLANK('PAYG Input'!F30)),'PAYG Input'!F30,"")</f>
        <v/>
      </c>
      <c r="C25" s="122"/>
      <c r="D25" s="77" t="str">
        <f ca="1">IFERROR(INDEX(Validation!G:G,MATCH("PAYG 4"&amp;CELL("address",D25),Validation!I:I,0)),"")</f>
        <v/>
      </c>
      <c r="E25" s="66" t="str">
        <f ca="1">IFERROR(INDEX(Validation!F:F,MATCH("PAYG 4"&amp;CELL("address",D25),Validation!I:I,0)),"")</f>
        <v/>
      </c>
    </row>
    <row r="26" spans="1:5" x14ac:dyDescent="0.25">
      <c r="A26" s="79" t="s">
        <v>1190</v>
      </c>
      <c r="B26" s="122" t="str">
        <f>IF(NOT(ISBLANK('PAYG Input'!F32)),'PAYG Input'!F32,"")</f>
        <v/>
      </c>
      <c r="C26" s="122"/>
      <c r="D26" s="77" t="str">
        <f ca="1">IFERROR(INDEX(Validation!G:G,MATCH("PAYG 4"&amp;CELL("address",D26),Validation!I:I,0)),"")</f>
        <v/>
      </c>
      <c r="E26" s="66" t="str">
        <f ca="1">IFERROR(INDEX(Validation!F:F,MATCH("PAYG 4"&amp;CELL("address",D26),Validation!I:I,0)),"")</f>
        <v/>
      </c>
    </row>
    <row r="27" spans="1:5" x14ac:dyDescent="0.25">
      <c r="A27" s="79" t="s">
        <v>221</v>
      </c>
      <c r="B27" s="125" t="str">
        <f>IFERROR(B21-B25+B26,"")</f>
        <v/>
      </c>
      <c r="C27" s="125" t="str">
        <f>IFERROR(B21+C21-B25-C25+B26+C26,"")</f>
        <v/>
      </c>
      <c r="D27" s="77" t="str">
        <f ca="1">IFERROR(INDEX(Validation!G:G,MATCH("PAYG 4"&amp;CELL("address",D27),Validation!I:I,0)),"")</f>
        <v/>
      </c>
      <c r="E27" s="66" t="str">
        <f ca="1">IFERROR(INDEX(Validation!F:F,MATCH("PAYG 4"&amp;CELL("address",D27),Validation!I:I,0)),"")</f>
        <v/>
      </c>
    </row>
    <row r="28" spans="1:5" x14ac:dyDescent="0.25">
      <c r="A28" s="79" t="s">
        <v>223</v>
      </c>
      <c r="B28" s="122" t="str">
        <f>IF(NOT(ISBLANK('PAYG Input'!F36)),'PAYG Input'!F36,"")</f>
        <v/>
      </c>
      <c r="C28" s="122"/>
      <c r="D28" s="77" t="str">
        <f ca="1">IFERROR(INDEX(Validation!G:G,MATCH("PAYG 4"&amp;CELL("address",D28),Validation!I:I,0)),"")</f>
        <v/>
      </c>
      <c r="E28" s="66" t="str">
        <f ca="1">IFERROR(INDEX(Validation!F:F,MATCH("PAYG 4"&amp;CELL("address",D28),Validation!I:I,0)),"")</f>
        <v/>
      </c>
    </row>
    <row r="29" spans="1:5" x14ac:dyDescent="0.25">
      <c r="A29" s="79" t="s">
        <v>1191</v>
      </c>
      <c r="B29" s="122" t="str">
        <f>IF(NOT(ISBLANK('PAYG Input'!F38)),'PAYG Input'!F38,"")</f>
        <v/>
      </c>
      <c r="C29" s="122"/>
      <c r="D29" s="77" t="str">
        <f ca="1">IFERROR(INDEX(Validation!G:G,MATCH("PAYG 4"&amp;CELL("address",D29),Validation!I:I,0)),"")</f>
        <v/>
      </c>
      <c r="E29" s="66" t="str">
        <f ca="1">IFERROR(INDEX(Validation!F:F,MATCH("PAYG 4"&amp;CELL("address",D29),Validation!I:I,0)),"")</f>
        <v/>
      </c>
    </row>
    <row r="30" spans="1:5" ht="20.100000000000001" customHeight="1" x14ac:dyDescent="0.25">
      <c r="A30" s="74" t="str">
        <f>"Principal and Interest Due in "&amp;Year_DestinationYearID+1</f>
        <v>Principal and Interest Due in 2025</v>
      </c>
      <c r="B30" s="74"/>
      <c r="C30" s="128"/>
      <c r="D30" s="77"/>
    </row>
    <row r="31" spans="1:5" x14ac:dyDescent="0.25">
      <c r="A31" s="79" t="str">
        <f>"Principal Due in "&amp;Year_DestinationYearID+1</f>
        <v>Principal Due in 2025</v>
      </c>
      <c r="B31" s="122"/>
      <c r="C31" s="128"/>
      <c r="D31" s="77" t="str">
        <f ca="1">IFERROR(INDEX(Validation!G:G,MATCH("PAYG 4"&amp;CELL("address",D31),Validation!I:I,0)),"")</f>
        <v/>
      </c>
      <c r="E31" s="66" t="str">
        <f ca="1">IFERROR(INDEX(Validation!F:F,MATCH("PAYG 4"&amp;CELL("address",D31),Validation!I:I,0)),"")</f>
        <v/>
      </c>
    </row>
    <row r="32" spans="1:5" x14ac:dyDescent="0.25">
      <c r="A32" s="79" t="str">
        <f>"Interest Due in "&amp;Year_DestinationYearID+1</f>
        <v>Interest Due in 2025</v>
      </c>
      <c r="B32" s="122"/>
      <c r="C32" s="128"/>
      <c r="D32" s="77" t="str">
        <f ca="1">IFERROR(INDEX(Validation!G:G,MATCH("PAYG 4"&amp;CELL("address",D32),Validation!I:I,0)),"")</f>
        <v/>
      </c>
      <c r="E32" s="66" t="str">
        <f ca="1">IFERROR(INDEX(Validation!F:F,MATCH("PAYG 4"&amp;CELL("address",D32),Validation!I:I,0)),"")</f>
        <v/>
      </c>
    </row>
    <row r="33" spans="1:5" ht="20.100000000000001" customHeight="1" x14ac:dyDescent="0.25">
      <c r="A33" s="97" t="s">
        <v>176</v>
      </c>
      <c r="D33" s="77" t="str">
        <f ca="1">IF(AND(ISBLANK(A34),OR(COUNTIF(E6:E32,"Alert")&gt;0,SUM(B26:B26)&lt;&gt;0)),"Comment(s) required for remaining alert(s) and/or additions to principal.",IFERROR(INDEX(Validation!G:G,MATCH("PAYG 4"&amp;CELL("address",D34),Validation!I:I,0)),""))</f>
        <v/>
      </c>
      <c r="E33" s="66" t="str">
        <f ca="1">IF(AND(ISBLANK(A34),OR(COUNTIF(E6:E32,"Alert")&gt;0,SUM(B26:B26)&lt;&gt;0)),"Error",IFERROR(INDEX(Validation!F:F,MATCH("PAYG 4"&amp;CELL("address",D34),Validation!I:I,0)),""))</f>
        <v/>
      </c>
    </row>
    <row r="34" spans="1:5" ht="150" customHeight="1" x14ac:dyDescent="0.25">
      <c r="A34" s="123"/>
      <c r="B34" s="100" t="str">
        <f>HYPERLINK("#'PAYGs'!B6","Click here to return to the PAYGs Tab")</f>
        <v>Click here to return to the PAYGs Tab</v>
      </c>
      <c r="C34" s="127"/>
    </row>
    <row r="35" spans="1:5" x14ac:dyDescent="0.25">
      <c r="A35" s="98"/>
      <c r="B35" s="98"/>
      <c r="C35" s="98"/>
    </row>
    <row r="36" spans="1:5" x14ac:dyDescent="0.25">
      <c r="A36" s="98"/>
      <c r="B36" s="98"/>
      <c r="C36" s="98"/>
    </row>
    <row r="37" spans="1:5" x14ac:dyDescent="0.25">
      <c r="A37" s="98"/>
      <c r="B37" s="98"/>
      <c r="C37" s="98"/>
    </row>
    <row r="38" spans="1:5" x14ac:dyDescent="0.25">
      <c r="A38" s="98"/>
      <c r="B38" s="98"/>
      <c r="C38" s="98"/>
    </row>
  </sheetData>
  <sheetProtection algorithmName="SHA-512" hashValue="f3vtNR+kk6te3FymKYu0WxtrlI3c7g5DjM1a8fTIqz/YpoF2VaAxmcaoV/SfIE1XfEpvXddN6DVbciGECyDDtA==" saltValue="qVR/efzLr6xoU2XToP525g==" spinCount="100000" sheet="1" objects="1" scenarios="1"/>
  <mergeCells count="1">
    <mergeCell ref="A4:E4"/>
  </mergeCells>
  <conditionalFormatting sqref="A2">
    <cfRule type="expression" dxfId="353" priority="5">
      <formula>$E2="Error"</formula>
    </cfRule>
    <cfRule type="expression" dxfId="351" priority="7">
      <formula>$E2="Exclude"</formula>
    </cfRule>
  </conditionalFormatting>
  <conditionalFormatting sqref="D6:E33">
    <cfRule type="expression" dxfId="350" priority="1">
      <formula>$E6="Information"</formula>
    </cfRule>
    <cfRule type="expression" dxfId="349" priority="2">
      <formula>$E6="Error"</formula>
    </cfRule>
    <cfRule type="expression" dxfId="348" priority="3">
      <formula>$E6="Alert"</formula>
    </cfRule>
    <cfRule type="expression" dxfId="347" priority="4">
      <formula>$E6="Exclude"</formula>
    </cfRule>
  </conditionalFormatting>
  <dataValidations count="1">
    <dataValidation type="list" allowBlank="1" showInputMessage="1" showErrorMessage="1" sqref="B13:C13" xr:uid="{22869A61-872F-4645-B1ED-CB0E70680B0A}">
      <formula1>SelOneYesNo</formula1>
    </dataValidation>
  </dataValidations>
  <pageMargins left="0.7" right="0.7" top="0.75" bottom="0.75" header="0.3" footer="0.3"/>
  <pageSetup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6" id="{A96151BB-DBB7-4542-8144-439D65E56369}">
            <xm:f>COUNTIFS(Validation!$H:$H,MID(CELL("filename",A2),FIND("]",CELL("filename",A2))+1,255)&amp;CELL("address",A2))&gt;0</xm:f>
            <x14:dxf>
              <font>
                <b/>
                <i val="0"/>
                <color rgb="FFC00000"/>
              </font>
              <numFmt numFmtId="172" formatCode="_(\!* #,##0_);_(\!* \(#,##0\);_(\!* \-??_);_(\!\ @_)"/>
            </x14:dxf>
          </x14:cfRule>
          <xm:sqref>A2</xm:sqref>
        </x14:conditionalFormatting>
      </x14:conditionalFormatting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7587C7-05E2-4F60-93C0-11E8DA3AD20E}">
  <sheetPr>
    <tabColor rgb="FFEED382"/>
  </sheetPr>
  <dimension ref="A1:F38"/>
  <sheetViews>
    <sheetView showGridLines="0" workbookViewId="0">
      <selection activeCell="B7" sqref="B7"/>
    </sheetView>
  </sheetViews>
  <sheetFormatPr defaultRowHeight="15" x14ac:dyDescent="0.25"/>
  <cols>
    <col min="1" max="1" width="55.7109375" style="66" customWidth="1"/>
    <col min="2" max="3" width="20.7109375" style="66" customWidth="1"/>
    <col min="4" max="4" width="80.85546875" style="66" customWidth="1"/>
    <col min="5" max="5" width="14.7109375" style="66" customWidth="1"/>
    <col min="6" max="6" width="9.140625" style="78" hidden="1" customWidth="1"/>
    <col min="7" max="16384" width="9.140625" style="66"/>
  </cols>
  <sheetData>
    <row r="1" spans="1:6" s="59" customFormat="1" ht="24.95" customHeight="1" x14ac:dyDescent="0.25">
      <c r="A1" s="59" t="str">
        <f>_xlfn.CONCAT("Office of the State Auditor  -  TIF Annual Reporting Form  -  ",Year_DestinationYearID)</f>
        <v>Office of the State Auditor  -  TIF Annual Reporting Form  -  2024</v>
      </c>
      <c r="F1" s="61"/>
    </row>
    <row r="2" spans="1:6" s="62" customFormat="1" ht="20.100000000000001" customHeight="1" x14ac:dyDescent="0.25">
      <c r="A2" s="58" t="str">
        <f>_xlfn.CONCAT(GovEntity_GovEntityName_Parent,"  -  ",GovEntity_GovEntityName)</f>
        <v>Spruce City  -  TIF 1-1 Downtown Redev</v>
      </c>
      <c r="F2" s="64"/>
    </row>
    <row r="3" spans="1:6" s="68" customFormat="1" ht="24.95" customHeight="1" x14ac:dyDescent="0.3">
      <c r="A3" s="65" t="s">
        <v>233</v>
      </c>
      <c r="B3" s="66"/>
      <c r="C3" s="66"/>
      <c r="F3" s="69"/>
    </row>
    <row r="4" spans="1:6" s="71" customFormat="1" x14ac:dyDescent="0.25">
      <c r="A4" s="217" t="s">
        <v>207</v>
      </c>
      <c r="B4" s="217"/>
      <c r="C4" s="217"/>
      <c r="D4" s="217"/>
      <c r="E4" s="217"/>
      <c r="F4" s="72" t="s">
        <v>119</v>
      </c>
    </row>
    <row r="5" spans="1:6" s="74" customFormat="1" ht="20.100000000000001" customHeight="1" x14ac:dyDescent="0.25">
      <c r="A5" s="73" t="str">
        <f>HYPERLINK("#'PAYGs'!B6","Click here to return to the PAYGs Tab")</f>
        <v>Click here to return to the PAYGs Tab</v>
      </c>
      <c r="D5" s="74" t="s">
        <v>121</v>
      </c>
      <c r="E5" s="74" t="s">
        <v>102</v>
      </c>
      <c r="F5" s="76"/>
    </row>
    <row r="6" spans="1:6" ht="20.100000000000001" customHeight="1" x14ac:dyDescent="0.25">
      <c r="A6" s="74" t="s">
        <v>234</v>
      </c>
      <c r="D6" s="77" t="str">
        <f ca="1">IFERROR(INDEX(Validation!G:G,MATCH("PAYG 5"&amp;CELL("address",D6),Validation!I:I,0)),"")</f>
        <v/>
      </c>
      <c r="E6" s="66" t="str">
        <f ca="1">IFERROR(INDEX(Validation!F:F,MATCH("PAYG 5"&amp;CELL("address",D6),Validation!I:I,0)),"")</f>
        <v/>
      </c>
      <c r="F6" s="78" t="s">
        <v>1006</v>
      </c>
    </row>
    <row r="7" spans="1:6" x14ac:dyDescent="0.25">
      <c r="A7" s="79" t="s">
        <v>210</v>
      </c>
      <c r="B7" s="103" t="str">
        <f>IF(NOT(ISBLANK('PAYG Input'!G5)),'PAYG Input'!G5,"")</f>
        <v/>
      </c>
      <c r="D7" s="77" t="str">
        <f ca="1">IFERROR(INDEX(Validation!G:G,MATCH("PAYG 5"&amp;CELL("address",D7),Validation!I:I,0)),"")</f>
        <v/>
      </c>
      <c r="E7" s="66" t="str">
        <f ca="1">IFERROR(INDEX(Validation!F:F,MATCH("PAYG 5"&amp;CELL("address",D7),Validation!I:I,0)),"")</f>
        <v/>
      </c>
      <c r="F7" s="85" t="str">
        <f>IF(NOT(ISBLANK('PAYG Input'!G4)),'PAYG Input'!G4,"")</f>
        <v/>
      </c>
    </row>
    <row r="8" spans="1:6" x14ac:dyDescent="0.25">
      <c r="A8" s="79" t="s">
        <v>211</v>
      </c>
      <c r="B8" s="120" t="str">
        <f>IF(NOT(ISBLANK('PAYG Input'!G6)),'PAYG Input'!G6,"")</f>
        <v/>
      </c>
      <c r="C8" s="129"/>
      <c r="D8" s="77" t="str">
        <f ca="1">IFERROR(INDEX(Validation!G:G,MATCH("PAYG 5"&amp;CELL("address",D8),Validation!I:I,0)),"")</f>
        <v/>
      </c>
      <c r="E8" s="66" t="str">
        <f ca="1">IFERROR(INDEX(Validation!F:F,MATCH("PAYG 5"&amp;CELL("address",D8),Validation!I:I,0)),"")</f>
        <v/>
      </c>
    </row>
    <row r="9" spans="1:6" x14ac:dyDescent="0.25">
      <c r="A9" s="79" t="s">
        <v>212</v>
      </c>
      <c r="B9" s="120" t="str">
        <f>IF(NOT(ISBLANK('PAYG Input'!G7)),'PAYG Input'!G7,"")</f>
        <v/>
      </c>
      <c r="C9" s="129"/>
      <c r="D9" s="77" t="str">
        <f ca="1">IFERROR(INDEX(Validation!G:G,MATCH("PAYG 5"&amp;CELL("address",D9),Validation!I:I,0)),"")</f>
        <v/>
      </c>
      <c r="E9" s="66" t="str">
        <f ca="1">IFERROR(INDEX(Validation!F:F,MATCH("PAYG 5"&amp;CELL("address",D9),Validation!I:I,0)),"")</f>
        <v/>
      </c>
    </row>
    <row r="10" spans="1:6" x14ac:dyDescent="0.25">
      <c r="A10" s="79" t="s">
        <v>213</v>
      </c>
      <c r="B10" s="121" t="str">
        <f>IF(NOT(ISBLANK('PAYG Input'!G8)),'PAYG Input'!G8,"")</f>
        <v/>
      </c>
      <c r="C10" s="132"/>
      <c r="D10" s="77" t="str">
        <f ca="1">IFERROR(INDEX(Validation!G:G,MATCH("PAYG 5"&amp;CELL("address",D10),Validation!I:I,0)),"")</f>
        <v/>
      </c>
      <c r="E10" s="66" t="str">
        <f ca="1">IFERROR(INDEX(Validation!F:F,MATCH("PAYG 5"&amp;CELL("address",D10),Validation!I:I,0)),"")</f>
        <v/>
      </c>
    </row>
    <row r="11" spans="1:6" x14ac:dyDescent="0.25">
      <c r="A11" s="79" t="s">
        <v>214</v>
      </c>
      <c r="B11" s="121" t="str">
        <f>IF(NOT(ISBLANK('PAYG Input'!G9)),'PAYG Input'!G9,"")</f>
        <v/>
      </c>
      <c r="C11" s="132"/>
      <c r="D11" s="77" t="str">
        <f ca="1">IFERROR(INDEX(Validation!G:G,MATCH("PAYG 5"&amp;CELL("address",D11),Validation!I:I,0)),"")</f>
        <v/>
      </c>
      <c r="E11" s="66" t="str">
        <f ca="1">IFERROR(INDEX(Validation!F:F,MATCH("PAYG 5"&amp;CELL("address",D11),Validation!I:I,0)),"")</f>
        <v/>
      </c>
    </row>
    <row r="12" spans="1:6" x14ac:dyDescent="0.25">
      <c r="A12" s="79" t="s">
        <v>235</v>
      </c>
      <c r="B12" s="122" t="str">
        <f>IF(NOT(ISBLANK('PAYG Input'!G10)),'PAYG Input'!G10,"")</f>
        <v/>
      </c>
      <c r="C12" s="128"/>
      <c r="D12" s="77" t="str">
        <f ca="1">IFERROR(INDEX(Validation!G:G,MATCH("PAYG 5"&amp;CELL("address",D12),Validation!I:I,0)),"")</f>
        <v/>
      </c>
      <c r="E12" s="66" t="str">
        <f ca="1">IFERROR(INDEX(Validation!F:F,MATCH("PAYG 5"&amp;CELL("address",D12),Validation!I:I,0)),"")</f>
        <v/>
      </c>
    </row>
    <row r="13" spans="1:6" x14ac:dyDescent="0.25">
      <c r="A13" s="79" t="s">
        <v>232</v>
      </c>
      <c r="B13" s="103" t="str">
        <f>IF(ISBLANK('PAYG Input'!G11),"Select One",IF('PAYG Input'!G11=TRUE,"Yes","No"))</f>
        <v>Select One</v>
      </c>
      <c r="D13" s="77" t="str">
        <f ca="1">IFERROR(INDEX(Validation!G:G,MATCH("PAYG 5"&amp;CELL("address",D13),Validation!I:I,0)),"")</f>
        <v/>
      </c>
      <c r="E13" s="66" t="str">
        <f ca="1">IFERROR(INDEX(Validation!F:F,MATCH("PAYG 5"&amp;CELL("address",D13),Validation!I:I,0)),"")</f>
        <v/>
      </c>
    </row>
    <row r="14" spans="1:6" ht="20.100000000000001" customHeight="1" x14ac:dyDescent="0.25">
      <c r="A14" s="74" t="s">
        <v>681</v>
      </c>
      <c r="B14" s="74" t="s">
        <v>283</v>
      </c>
      <c r="C14" s="74" t="str">
        <f>Year_DestinationYearID&amp;" Amount"</f>
        <v>2024 Amount</v>
      </c>
      <c r="D14" s="77"/>
    </row>
    <row r="15" spans="1:6" x14ac:dyDescent="0.25">
      <c r="A15" s="79" t="s">
        <v>266</v>
      </c>
      <c r="B15" s="122" t="str">
        <f>IF(NOT(ISBLANK('PAYG Input'!G12)),'PAYG Input'!G12,"")</f>
        <v/>
      </c>
      <c r="C15" s="122"/>
      <c r="D15" s="77" t="str">
        <f ca="1">IFERROR(INDEX(Validation!G:G,MATCH("PAYG 5"&amp;CELL("address",D15),Validation!I:I,0)),"")</f>
        <v/>
      </c>
      <c r="E15" s="66" t="str">
        <f ca="1">IFERROR(INDEX(Validation!F:F,MATCH("PAYG 5"&amp;CELL("address",D15),Validation!I:I,0)),"")</f>
        <v/>
      </c>
    </row>
    <row r="16" spans="1:6" x14ac:dyDescent="0.25">
      <c r="A16" s="79" t="s">
        <v>267</v>
      </c>
      <c r="B16" s="122" t="str">
        <f>IF(NOT(ISBLANK('PAYG Input'!G14)),'PAYG Input'!G14,"")</f>
        <v/>
      </c>
      <c r="C16" s="122"/>
      <c r="D16" s="77" t="str">
        <f ca="1">IFERROR(INDEX(Validation!G:G,MATCH("PAYG 5"&amp;CELL("address",D16),Validation!I:I,0)),"")</f>
        <v/>
      </c>
      <c r="E16" s="66" t="str">
        <f ca="1">IFERROR(INDEX(Validation!F:F,MATCH("PAYG 5"&amp;CELL("address",D16),Validation!I:I,0)),"")</f>
        <v/>
      </c>
    </row>
    <row r="17" spans="1:5" x14ac:dyDescent="0.25">
      <c r="A17" s="79" t="s">
        <v>268</v>
      </c>
      <c r="B17" s="122" t="str">
        <f>IF(NOT(ISBLANK('PAYG Input'!G16)),'PAYG Input'!G16,"")</f>
        <v/>
      </c>
      <c r="C17" s="122"/>
      <c r="D17" s="77" t="str">
        <f ca="1">IFERROR(INDEX(Validation!G:G,MATCH("PAYG 5"&amp;CELL("address",D17),Validation!I:I,0)),"")</f>
        <v/>
      </c>
      <c r="E17" s="66" t="str">
        <f ca="1">IFERROR(INDEX(Validation!F:F,MATCH("PAYG 5"&amp;CELL("address",D17),Validation!I:I,0)),"")</f>
        <v/>
      </c>
    </row>
    <row r="18" spans="1:5" x14ac:dyDescent="0.25">
      <c r="A18" s="79" t="s">
        <v>269</v>
      </c>
      <c r="B18" s="122" t="str">
        <f>IF(NOT(ISBLANK('PAYG Input'!G18)),'PAYG Input'!G18,"")</f>
        <v/>
      </c>
      <c r="C18" s="122"/>
      <c r="D18" s="77" t="str">
        <f ca="1">IFERROR(INDEX(Validation!G:G,MATCH("PAYG 5"&amp;CELL("address",D18),Validation!I:I,0)),"")</f>
        <v/>
      </c>
      <c r="E18" s="66" t="str">
        <f ca="1">IFERROR(INDEX(Validation!F:F,MATCH("PAYG 5"&amp;CELL("address",D18),Validation!I:I,0)),"")</f>
        <v/>
      </c>
    </row>
    <row r="19" spans="1:5" x14ac:dyDescent="0.25">
      <c r="A19" s="79" t="s">
        <v>270</v>
      </c>
      <c r="B19" s="122" t="str">
        <f>IF(NOT(ISBLANK('PAYG Input'!G20)),'PAYG Input'!G20,"")</f>
        <v/>
      </c>
      <c r="C19" s="122"/>
      <c r="D19" s="77" t="str">
        <f ca="1">IFERROR(INDEX(Validation!G:G,MATCH("PAYG 5"&amp;CELL("address",D19),Validation!I:I,0)),"")</f>
        <v/>
      </c>
      <c r="E19" s="66" t="str">
        <f ca="1">IFERROR(INDEX(Validation!F:F,MATCH("PAYG 5"&amp;CELL("address",D19),Validation!I:I,0)),"")</f>
        <v/>
      </c>
    </row>
    <row r="20" spans="1:5" x14ac:dyDescent="0.25">
      <c r="A20" s="79" t="s">
        <v>272</v>
      </c>
      <c r="B20" s="122" t="str">
        <f>IF(NOT(ISBLANK('PAYG Input'!G22)),'PAYG Input'!G22,"")</f>
        <v/>
      </c>
      <c r="C20" s="122"/>
      <c r="D20" s="77" t="str">
        <f ca="1">IFERROR(INDEX(Validation!G:G,MATCH("PAYG 5"&amp;CELL("address",D20),Validation!I:I,0)),"")</f>
        <v/>
      </c>
      <c r="E20" s="66" t="str">
        <f ca="1">IFERROR(INDEX(Validation!F:F,MATCH("PAYG 5"&amp;CELL("address",D20),Validation!I:I,0)),"")</f>
        <v/>
      </c>
    </row>
    <row r="21" spans="1:5" x14ac:dyDescent="0.25">
      <c r="A21" s="130" t="s">
        <v>236</v>
      </c>
      <c r="B21" s="125">
        <f>SUM(B15:B20)</f>
        <v>0</v>
      </c>
      <c r="C21" s="125">
        <f>SUM(C15:C20)</f>
        <v>0</v>
      </c>
      <c r="D21" s="77" t="str">
        <f ca="1">IFERROR(INDEX(Validation!G:G,MATCH("PAYG 5"&amp;CELL("address",D21),Validation!I:I,0)),"")</f>
        <v/>
      </c>
      <c r="E21" s="66" t="str">
        <f ca="1">IFERROR(INDEX(Validation!F:F,MATCH("PAYG 5"&amp;CELL("address",D21),Validation!I:I,0)),"")</f>
        <v/>
      </c>
    </row>
    <row r="22" spans="1:5" x14ac:dyDescent="0.25">
      <c r="A22" s="131" t="s">
        <v>682</v>
      </c>
      <c r="B22" s="122" t="str">
        <f>IF(NOT(ISBLANK('PAYG Input'!G26)),'PAYG Input'!G26,"")</f>
        <v/>
      </c>
      <c r="C22" s="122"/>
      <c r="D22" s="77" t="str">
        <f ca="1">IFERROR(INDEX(Validation!G:G,MATCH("PAYG 5"&amp;CELL("address",D22),Validation!I:I,0)),"")</f>
        <v/>
      </c>
      <c r="E22" s="66" t="str">
        <f ca="1">IFERROR(INDEX(Validation!F:F,MATCH("PAYG 5"&amp;CELL("address",D22),Validation!I:I,0)),"")</f>
        <v/>
      </c>
    </row>
    <row r="23" spans="1:5" x14ac:dyDescent="0.25">
      <c r="A23" s="131" t="s">
        <v>683</v>
      </c>
      <c r="B23" s="122" t="str">
        <f>IF(NOT(ISBLANK('PAYG Input'!G28)),'PAYG Input'!G28,"")</f>
        <v/>
      </c>
      <c r="C23" s="122"/>
      <c r="D23" s="77" t="str">
        <f ca="1">IFERROR(INDEX(Validation!G:G,MATCH("PAYG 5"&amp;CELL("address",D23),Validation!I:I,0)),"")</f>
        <v/>
      </c>
      <c r="E23" s="66" t="str">
        <f ca="1">IFERROR(INDEX(Validation!F:F,MATCH("PAYG 5"&amp;CELL("address",D23),Validation!I:I,0)),"")</f>
        <v/>
      </c>
    </row>
    <row r="24" spans="1:5" ht="20.100000000000001" customHeight="1" x14ac:dyDescent="0.25">
      <c r="A24" s="74" t="s">
        <v>1311</v>
      </c>
      <c r="B24" s="74" t="s">
        <v>283</v>
      </c>
      <c r="C24" s="74" t="str">
        <f>Year_DestinationYearID&amp;" Amount"</f>
        <v>2024 Amount</v>
      </c>
      <c r="D24" s="77"/>
    </row>
    <row r="25" spans="1:5" x14ac:dyDescent="0.25">
      <c r="A25" s="79" t="s">
        <v>1188</v>
      </c>
      <c r="B25" s="122" t="str">
        <f>IF(NOT(ISBLANK('PAYG Input'!G30)),'PAYG Input'!G30,"")</f>
        <v/>
      </c>
      <c r="C25" s="122"/>
      <c r="D25" s="77" t="str">
        <f ca="1">IFERROR(INDEX(Validation!G:G,MATCH("PAYG 5"&amp;CELL("address",D25),Validation!I:I,0)),"")</f>
        <v/>
      </c>
      <c r="E25" s="66" t="str">
        <f ca="1">IFERROR(INDEX(Validation!F:F,MATCH("PAYG 5"&amp;CELL("address",D25),Validation!I:I,0)),"")</f>
        <v/>
      </c>
    </row>
    <row r="26" spans="1:5" x14ac:dyDescent="0.25">
      <c r="A26" s="79" t="s">
        <v>1190</v>
      </c>
      <c r="B26" s="122" t="str">
        <f>IF(NOT(ISBLANK('PAYG Input'!G32)),'PAYG Input'!G32,"")</f>
        <v/>
      </c>
      <c r="C26" s="122"/>
      <c r="D26" s="77" t="str">
        <f ca="1">IFERROR(INDEX(Validation!G:G,MATCH("PAYG 5"&amp;CELL("address",D26),Validation!I:I,0)),"")</f>
        <v/>
      </c>
      <c r="E26" s="66" t="str">
        <f ca="1">IFERROR(INDEX(Validation!F:F,MATCH("PAYG 5"&amp;CELL("address",D26),Validation!I:I,0)),"")</f>
        <v/>
      </c>
    </row>
    <row r="27" spans="1:5" x14ac:dyDescent="0.25">
      <c r="A27" s="79" t="s">
        <v>221</v>
      </c>
      <c r="B27" s="125" t="str">
        <f>IFERROR(B21-B25+B26,"")</f>
        <v/>
      </c>
      <c r="C27" s="125" t="str">
        <f>IFERROR(B21+C21-B25-C25+B26+C26,"")</f>
        <v/>
      </c>
      <c r="D27" s="77" t="str">
        <f ca="1">IFERROR(INDEX(Validation!G:G,MATCH("PAYG 5"&amp;CELL("address",D27),Validation!I:I,0)),"")</f>
        <v/>
      </c>
      <c r="E27" s="66" t="str">
        <f ca="1">IFERROR(INDEX(Validation!F:F,MATCH("PAYG 5"&amp;CELL("address",D27),Validation!I:I,0)),"")</f>
        <v/>
      </c>
    </row>
    <row r="28" spans="1:5" x14ac:dyDescent="0.25">
      <c r="A28" s="79" t="s">
        <v>223</v>
      </c>
      <c r="B28" s="122" t="str">
        <f>IF(NOT(ISBLANK('PAYG Input'!G36)),'PAYG Input'!G36,"")</f>
        <v/>
      </c>
      <c r="C28" s="122"/>
      <c r="D28" s="77" t="str">
        <f ca="1">IFERROR(INDEX(Validation!G:G,MATCH("PAYG 5"&amp;CELL("address",D28),Validation!I:I,0)),"")</f>
        <v/>
      </c>
      <c r="E28" s="66" t="str">
        <f ca="1">IFERROR(INDEX(Validation!F:F,MATCH("PAYG 5"&amp;CELL("address",D28),Validation!I:I,0)),"")</f>
        <v/>
      </c>
    </row>
    <row r="29" spans="1:5" x14ac:dyDescent="0.25">
      <c r="A29" s="79" t="s">
        <v>1191</v>
      </c>
      <c r="B29" s="122" t="str">
        <f>IF(NOT(ISBLANK('PAYG Input'!G38)),'PAYG Input'!G38,"")</f>
        <v/>
      </c>
      <c r="C29" s="122"/>
      <c r="D29" s="77" t="str">
        <f ca="1">IFERROR(INDEX(Validation!G:G,MATCH("PAYG 5"&amp;CELL("address",D29),Validation!I:I,0)),"")</f>
        <v/>
      </c>
      <c r="E29" s="66" t="str">
        <f ca="1">IFERROR(INDEX(Validation!F:F,MATCH("PAYG 5"&amp;CELL("address",D29),Validation!I:I,0)),"")</f>
        <v/>
      </c>
    </row>
    <row r="30" spans="1:5" ht="20.100000000000001" customHeight="1" x14ac:dyDescent="0.25">
      <c r="A30" s="74" t="str">
        <f>"Principal and Interest Due in "&amp;Year_DestinationYearID+1</f>
        <v>Principal and Interest Due in 2025</v>
      </c>
      <c r="B30" s="74"/>
      <c r="C30" s="128"/>
      <c r="D30" s="77"/>
    </row>
    <row r="31" spans="1:5" x14ac:dyDescent="0.25">
      <c r="A31" s="79" t="str">
        <f>"Principal Due in "&amp;Year_DestinationYearID+1</f>
        <v>Principal Due in 2025</v>
      </c>
      <c r="B31" s="122"/>
      <c r="C31" s="128"/>
      <c r="D31" s="77" t="str">
        <f ca="1">IFERROR(INDEX(Validation!G:G,MATCH("PAYG 5"&amp;CELL("address",D31),Validation!I:I,0)),"")</f>
        <v/>
      </c>
      <c r="E31" s="66" t="str">
        <f ca="1">IFERROR(INDEX(Validation!F:F,MATCH("PAYG 5"&amp;CELL("address",D31),Validation!I:I,0)),"")</f>
        <v/>
      </c>
    </row>
    <row r="32" spans="1:5" x14ac:dyDescent="0.25">
      <c r="A32" s="79" t="str">
        <f>"Interest Due in "&amp;Year_DestinationYearID+1</f>
        <v>Interest Due in 2025</v>
      </c>
      <c r="B32" s="122"/>
      <c r="C32" s="128"/>
      <c r="D32" s="77" t="str">
        <f ca="1">IFERROR(INDEX(Validation!G:G,MATCH("PAYG 5"&amp;CELL("address",D32),Validation!I:I,0)),"")</f>
        <v/>
      </c>
      <c r="E32" s="66" t="str">
        <f ca="1">IFERROR(INDEX(Validation!F:F,MATCH("PAYG 5"&amp;CELL("address",D32),Validation!I:I,0)),"")</f>
        <v/>
      </c>
    </row>
    <row r="33" spans="1:5" ht="20.100000000000001" customHeight="1" x14ac:dyDescent="0.25">
      <c r="A33" s="97" t="s">
        <v>176</v>
      </c>
      <c r="D33" s="77" t="str">
        <f ca="1">IF(AND(ISBLANK(A34),OR(COUNTIF(E6:E32,"Alert")&gt;0,SUM(B26:B26)&lt;&gt;0)),"Comment(s) required for remaining alert(s) and/or additions to principal.",IFERROR(INDEX(Validation!G:G,MATCH("PAYG 5"&amp;CELL("address",D34),Validation!I:I,0)),""))</f>
        <v/>
      </c>
      <c r="E33" s="66" t="str">
        <f ca="1">IF(AND(ISBLANK(A34),OR(COUNTIF(E6:E32,"Alert")&gt;0,SUM(B26:B26)&lt;&gt;0)),"Error",IFERROR(INDEX(Validation!F:F,MATCH("PAYG 5"&amp;CELL("address",D34),Validation!I:I,0)),""))</f>
        <v/>
      </c>
    </row>
    <row r="34" spans="1:5" ht="150" customHeight="1" x14ac:dyDescent="0.25">
      <c r="A34" s="123"/>
      <c r="B34" s="100" t="str">
        <f>HYPERLINK("#'PAYGs'!B6","Click here to return to the PAYGs Tab")</f>
        <v>Click here to return to the PAYGs Tab</v>
      </c>
      <c r="C34" s="127"/>
    </row>
    <row r="35" spans="1:5" x14ac:dyDescent="0.25">
      <c r="A35" s="98"/>
      <c r="B35" s="98"/>
      <c r="C35" s="98"/>
    </row>
    <row r="36" spans="1:5" x14ac:dyDescent="0.25">
      <c r="A36" s="98"/>
      <c r="B36" s="98"/>
      <c r="C36" s="98"/>
    </row>
    <row r="37" spans="1:5" x14ac:dyDescent="0.25">
      <c r="A37" s="98"/>
      <c r="B37" s="98"/>
      <c r="C37" s="98"/>
    </row>
    <row r="38" spans="1:5" x14ac:dyDescent="0.25">
      <c r="A38" s="98"/>
      <c r="B38" s="98"/>
      <c r="C38" s="98"/>
    </row>
  </sheetData>
  <sheetProtection algorithmName="SHA-512" hashValue="OTJyjqSeH9wgTlIYXWe4MbkxuR4b2r5o8xscxnqQtzEe+rXxm/FDg4CBsgKw1E0V86NakzZ+5Btz0KPB/4YtCQ==" saltValue="Ax0ZvDpKN1rypm3C+dTqPg==" spinCount="100000" sheet="1" objects="1" scenarios="1"/>
  <mergeCells count="1">
    <mergeCell ref="A4:E4"/>
  </mergeCells>
  <conditionalFormatting sqref="A2">
    <cfRule type="expression" dxfId="346" priority="5">
      <formula>$E2="Error"</formula>
    </cfRule>
    <cfRule type="expression" dxfId="344" priority="7">
      <formula>$E2="Exclude"</formula>
    </cfRule>
  </conditionalFormatting>
  <conditionalFormatting sqref="D6:E33">
    <cfRule type="expression" dxfId="343" priority="1">
      <formula>$E6="Information"</formula>
    </cfRule>
    <cfRule type="expression" dxfId="342" priority="2">
      <formula>$E6="Error"</formula>
    </cfRule>
    <cfRule type="expression" dxfId="341" priority="3">
      <formula>$E6="Alert"</formula>
    </cfRule>
    <cfRule type="expression" dxfId="340" priority="4">
      <formula>$E6="Exclude"</formula>
    </cfRule>
  </conditionalFormatting>
  <dataValidations count="1">
    <dataValidation type="list" allowBlank="1" showInputMessage="1" showErrorMessage="1" sqref="B13:C13" xr:uid="{2E4BC061-C2C7-44B8-83FE-6959388B5906}">
      <formula1>SelOneYesNo</formula1>
    </dataValidation>
  </dataValidations>
  <pageMargins left="0.7" right="0.7" top="0.75" bottom="0.75" header="0.3" footer="0.3"/>
  <pageSetup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6" id="{7102D375-3299-4A43-83B4-6C78F97AA3BB}">
            <xm:f>COUNTIFS(Validation!$H:$H,MID(CELL("filename",A2),FIND("]",CELL("filename",A2))+1,255)&amp;CELL("address",A2))&gt;0</xm:f>
            <x14:dxf>
              <font>
                <b/>
                <i val="0"/>
                <color rgb="FFC00000"/>
              </font>
              <numFmt numFmtId="172" formatCode="_(\!* #,##0_);_(\!* \(#,##0\);_(\!* \-??_);_(\!\ @_)"/>
            </x14:dxf>
          </x14:cfRule>
          <xm:sqref>A2</xm:sqref>
        </x14:conditionalFormatting>
      </x14:conditionalFormatting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F577C8-D208-478C-86B4-45DEC1F8189F}">
  <sheetPr>
    <tabColor rgb="FFEED382"/>
  </sheetPr>
  <dimension ref="A1:F38"/>
  <sheetViews>
    <sheetView showGridLines="0" workbookViewId="0">
      <selection activeCell="B7" sqref="B7"/>
    </sheetView>
  </sheetViews>
  <sheetFormatPr defaultRowHeight="15" x14ac:dyDescent="0.25"/>
  <cols>
    <col min="1" max="1" width="55.7109375" style="66" customWidth="1"/>
    <col min="2" max="3" width="20.7109375" style="66" customWidth="1"/>
    <col min="4" max="4" width="80.85546875" style="66" customWidth="1"/>
    <col min="5" max="5" width="14.7109375" style="66" customWidth="1"/>
    <col min="6" max="6" width="0" style="78" hidden="1" customWidth="1"/>
    <col min="7" max="16384" width="9.140625" style="66"/>
  </cols>
  <sheetData>
    <row r="1" spans="1:6" s="59" customFormat="1" ht="24.95" customHeight="1" x14ac:dyDescent="0.25">
      <c r="A1" s="59" t="str">
        <f>_xlfn.CONCAT("Office of the State Auditor  -  TIF Annual Reporting Form  -  ",Year_DestinationYearID)</f>
        <v>Office of the State Auditor  -  TIF Annual Reporting Form  -  2024</v>
      </c>
      <c r="F1" s="61"/>
    </row>
    <row r="2" spans="1:6" s="62" customFormat="1" ht="20.100000000000001" customHeight="1" x14ac:dyDescent="0.25">
      <c r="A2" s="58" t="str">
        <f>_xlfn.CONCAT(GovEntity_GovEntityName_Parent,"  -  ",GovEntity_GovEntityName)</f>
        <v>Spruce City  -  TIF 1-1 Downtown Redev</v>
      </c>
      <c r="F2" s="64"/>
    </row>
    <row r="3" spans="1:6" s="68" customFormat="1" ht="24.95" customHeight="1" x14ac:dyDescent="0.3">
      <c r="A3" s="65" t="s">
        <v>233</v>
      </c>
      <c r="B3" s="66"/>
      <c r="C3" s="66"/>
      <c r="F3" s="69"/>
    </row>
    <row r="4" spans="1:6" s="71" customFormat="1" x14ac:dyDescent="0.25">
      <c r="A4" s="217" t="s">
        <v>207</v>
      </c>
      <c r="B4" s="217"/>
      <c r="C4" s="217"/>
      <c r="D4" s="217"/>
      <c r="E4" s="217"/>
      <c r="F4" s="72" t="s">
        <v>119</v>
      </c>
    </row>
    <row r="5" spans="1:6" s="74" customFormat="1" ht="20.100000000000001" customHeight="1" x14ac:dyDescent="0.25">
      <c r="A5" s="73" t="str">
        <f>HYPERLINK("#'PAYGs'!B6","Click here to return to the PAYGs Tab")</f>
        <v>Click here to return to the PAYGs Tab</v>
      </c>
      <c r="D5" s="74" t="s">
        <v>121</v>
      </c>
      <c r="E5" s="74" t="s">
        <v>102</v>
      </c>
      <c r="F5" s="76"/>
    </row>
    <row r="6" spans="1:6" ht="20.100000000000001" customHeight="1" x14ac:dyDescent="0.25">
      <c r="A6" s="74" t="s">
        <v>234</v>
      </c>
      <c r="D6" s="77" t="str">
        <f ca="1">IFERROR(INDEX(Validation!G:G,MATCH("PAYG 6"&amp;CELL("address",D6),Validation!I:I,0)),"")</f>
        <v/>
      </c>
      <c r="E6" s="66" t="str">
        <f ca="1">IFERROR(INDEX(Validation!F:F,MATCH("PAYG 6"&amp;CELL("address",D6),Validation!I:I,0)),"")</f>
        <v/>
      </c>
      <c r="F6" s="78" t="s">
        <v>1006</v>
      </c>
    </row>
    <row r="7" spans="1:6" x14ac:dyDescent="0.25">
      <c r="A7" s="79" t="s">
        <v>210</v>
      </c>
      <c r="B7" s="103" t="str">
        <f>IF(NOT(ISBLANK('PAYG Input'!H5)),'PAYG Input'!H5,"")</f>
        <v/>
      </c>
      <c r="D7" s="77" t="str">
        <f ca="1">IFERROR(INDEX(Validation!G:G,MATCH("PAYG 6"&amp;CELL("address",D7),Validation!I:I,0)),"")</f>
        <v/>
      </c>
      <c r="E7" s="66" t="str">
        <f ca="1">IFERROR(INDEX(Validation!F:F,MATCH("PAYG 6"&amp;CELL("address",D7),Validation!I:I,0)),"")</f>
        <v/>
      </c>
      <c r="F7" s="85" t="str">
        <f>IF(NOT(ISBLANK('PAYG Input'!H4)),'PAYG Input'!H4,"")</f>
        <v/>
      </c>
    </row>
    <row r="8" spans="1:6" x14ac:dyDescent="0.25">
      <c r="A8" s="79" t="s">
        <v>211</v>
      </c>
      <c r="B8" s="120" t="str">
        <f>IF(NOT(ISBLANK('PAYG Input'!H6)),'PAYG Input'!H6,"")</f>
        <v/>
      </c>
      <c r="C8" s="129"/>
      <c r="D8" s="77" t="str">
        <f ca="1">IFERROR(INDEX(Validation!G:G,MATCH("PAYG 6"&amp;CELL("address",D8),Validation!I:I,0)),"")</f>
        <v/>
      </c>
      <c r="E8" s="66" t="str">
        <f ca="1">IFERROR(INDEX(Validation!F:F,MATCH("PAYG 6"&amp;CELL("address",D8),Validation!I:I,0)),"")</f>
        <v/>
      </c>
    </row>
    <row r="9" spans="1:6" x14ac:dyDescent="0.25">
      <c r="A9" s="79" t="s">
        <v>212</v>
      </c>
      <c r="B9" s="120" t="str">
        <f>IF(NOT(ISBLANK('PAYG Input'!H7)),'PAYG Input'!H7,"")</f>
        <v/>
      </c>
      <c r="C9" s="129"/>
      <c r="D9" s="77" t="str">
        <f ca="1">IFERROR(INDEX(Validation!G:G,MATCH("PAYG 6"&amp;CELL("address",D9),Validation!I:I,0)),"")</f>
        <v/>
      </c>
      <c r="E9" s="66" t="str">
        <f ca="1">IFERROR(INDEX(Validation!F:F,MATCH("PAYG 6"&amp;CELL("address",D9),Validation!I:I,0)),"")</f>
        <v/>
      </c>
    </row>
    <row r="10" spans="1:6" x14ac:dyDescent="0.25">
      <c r="A10" s="79" t="s">
        <v>213</v>
      </c>
      <c r="B10" s="121" t="str">
        <f>IF(NOT(ISBLANK('PAYG Input'!H8)),'PAYG Input'!H8,"")</f>
        <v/>
      </c>
      <c r="C10" s="132"/>
      <c r="D10" s="77" t="str">
        <f ca="1">IFERROR(INDEX(Validation!G:G,MATCH("PAYG 6"&amp;CELL("address",D10),Validation!I:I,0)),"")</f>
        <v/>
      </c>
      <c r="E10" s="66" t="str">
        <f ca="1">IFERROR(INDEX(Validation!F:F,MATCH("PAYG 6"&amp;CELL("address",D10),Validation!I:I,0)),"")</f>
        <v/>
      </c>
    </row>
    <row r="11" spans="1:6" x14ac:dyDescent="0.25">
      <c r="A11" s="79" t="s">
        <v>214</v>
      </c>
      <c r="B11" s="121" t="str">
        <f>IF(NOT(ISBLANK('PAYG Input'!H9)),'PAYG Input'!H9,"")</f>
        <v/>
      </c>
      <c r="C11" s="132"/>
      <c r="D11" s="77" t="str">
        <f ca="1">IFERROR(INDEX(Validation!G:G,MATCH("PAYG 6"&amp;CELL("address",D11),Validation!I:I,0)),"")</f>
        <v/>
      </c>
      <c r="E11" s="66" t="str">
        <f ca="1">IFERROR(INDEX(Validation!F:F,MATCH("PAYG 6"&amp;CELL("address",D11),Validation!I:I,0)),"")</f>
        <v/>
      </c>
    </row>
    <row r="12" spans="1:6" x14ac:dyDescent="0.25">
      <c r="A12" s="79" t="s">
        <v>235</v>
      </c>
      <c r="B12" s="122" t="str">
        <f>IF(NOT(ISBLANK('PAYG Input'!H10)),'PAYG Input'!H10,"")</f>
        <v/>
      </c>
      <c r="C12" s="128"/>
      <c r="D12" s="77" t="str">
        <f ca="1">IFERROR(INDEX(Validation!G:G,MATCH("PAYG 6"&amp;CELL("address",D12),Validation!I:I,0)),"")</f>
        <v/>
      </c>
      <c r="E12" s="66" t="str">
        <f ca="1">IFERROR(INDEX(Validation!F:F,MATCH("PAYG 6"&amp;CELL("address",D12),Validation!I:I,0)),"")</f>
        <v/>
      </c>
    </row>
    <row r="13" spans="1:6" x14ac:dyDescent="0.25">
      <c r="A13" s="79" t="s">
        <v>232</v>
      </c>
      <c r="B13" s="103" t="str">
        <f>IF(ISBLANK('PAYG Input'!H11),"Select One",IF('PAYG Input'!H11=TRUE,"Yes","No"))</f>
        <v>Select One</v>
      </c>
      <c r="D13" s="77" t="str">
        <f ca="1">IFERROR(INDEX(Validation!G:G,MATCH("PAYG 6"&amp;CELL("address",D13),Validation!I:I,0)),"")</f>
        <v/>
      </c>
      <c r="E13" s="66" t="str">
        <f ca="1">IFERROR(INDEX(Validation!F:F,MATCH("PAYG 6"&amp;CELL("address",D13),Validation!I:I,0)),"")</f>
        <v/>
      </c>
    </row>
    <row r="14" spans="1:6" ht="20.100000000000001" customHeight="1" x14ac:dyDescent="0.25">
      <c r="A14" s="74" t="s">
        <v>681</v>
      </c>
      <c r="B14" s="74" t="s">
        <v>283</v>
      </c>
      <c r="C14" s="74" t="str">
        <f>Year_DestinationYearID&amp;" Amount"</f>
        <v>2024 Amount</v>
      </c>
      <c r="D14" s="77"/>
    </row>
    <row r="15" spans="1:6" x14ac:dyDescent="0.25">
      <c r="A15" s="79" t="s">
        <v>266</v>
      </c>
      <c r="B15" s="122" t="str">
        <f>IF(NOT(ISBLANK('PAYG Input'!H12)),'PAYG Input'!H12,"")</f>
        <v/>
      </c>
      <c r="C15" s="122"/>
      <c r="D15" s="77" t="str">
        <f ca="1">IFERROR(INDEX(Validation!G:G,MATCH("PAYG 6"&amp;CELL("address",D15),Validation!I:I,0)),"")</f>
        <v/>
      </c>
      <c r="E15" s="66" t="str">
        <f ca="1">IFERROR(INDEX(Validation!F:F,MATCH("PAYG 6"&amp;CELL("address",D15),Validation!I:I,0)),"")</f>
        <v/>
      </c>
    </row>
    <row r="16" spans="1:6" x14ac:dyDescent="0.25">
      <c r="A16" s="79" t="s">
        <v>267</v>
      </c>
      <c r="B16" s="122" t="str">
        <f>IF(NOT(ISBLANK('PAYG Input'!H14)),'PAYG Input'!H14,"")</f>
        <v/>
      </c>
      <c r="C16" s="122"/>
      <c r="D16" s="77" t="str">
        <f ca="1">IFERROR(INDEX(Validation!G:G,MATCH("PAYG 6"&amp;CELL("address",D16),Validation!I:I,0)),"")</f>
        <v/>
      </c>
      <c r="E16" s="66" t="str">
        <f ca="1">IFERROR(INDEX(Validation!F:F,MATCH("PAYG 6"&amp;CELL("address",D16),Validation!I:I,0)),"")</f>
        <v/>
      </c>
    </row>
    <row r="17" spans="1:5" x14ac:dyDescent="0.25">
      <c r="A17" s="79" t="s">
        <v>268</v>
      </c>
      <c r="B17" s="122" t="str">
        <f>IF(NOT(ISBLANK('PAYG Input'!H16)),'PAYG Input'!H16,"")</f>
        <v/>
      </c>
      <c r="C17" s="122"/>
      <c r="D17" s="77" t="str">
        <f ca="1">IFERROR(INDEX(Validation!G:G,MATCH("PAYG 6"&amp;CELL("address",D17),Validation!I:I,0)),"")</f>
        <v/>
      </c>
      <c r="E17" s="66" t="str">
        <f ca="1">IFERROR(INDEX(Validation!F:F,MATCH("PAYG 6"&amp;CELL("address",D17),Validation!I:I,0)),"")</f>
        <v/>
      </c>
    </row>
    <row r="18" spans="1:5" x14ac:dyDescent="0.25">
      <c r="A18" s="79" t="s">
        <v>269</v>
      </c>
      <c r="B18" s="122" t="str">
        <f>IF(NOT(ISBLANK('PAYG Input'!H18)),'PAYG Input'!H18,"")</f>
        <v/>
      </c>
      <c r="C18" s="122"/>
      <c r="D18" s="77" t="str">
        <f ca="1">IFERROR(INDEX(Validation!G:G,MATCH("PAYG 6"&amp;CELL("address",D18),Validation!I:I,0)),"")</f>
        <v/>
      </c>
      <c r="E18" s="66" t="str">
        <f ca="1">IFERROR(INDEX(Validation!F:F,MATCH("PAYG 6"&amp;CELL("address",D18),Validation!I:I,0)),"")</f>
        <v/>
      </c>
    </row>
    <row r="19" spans="1:5" x14ac:dyDescent="0.25">
      <c r="A19" s="79" t="s">
        <v>270</v>
      </c>
      <c r="B19" s="122" t="str">
        <f>IF(NOT(ISBLANK('PAYG Input'!H20)),'PAYG Input'!H20,"")</f>
        <v/>
      </c>
      <c r="C19" s="122"/>
      <c r="D19" s="77" t="str">
        <f ca="1">IFERROR(INDEX(Validation!G:G,MATCH("PAYG 6"&amp;CELL("address",D19),Validation!I:I,0)),"")</f>
        <v/>
      </c>
      <c r="E19" s="66" t="str">
        <f ca="1">IFERROR(INDEX(Validation!F:F,MATCH("PAYG 6"&amp;CELL("address",D19),Validation!I:I,0)),"")</f>
        <v/>
      </c>
    </row>
    <row r="20" spans="1:5" x14ac:dyDescent="0.25">
      <c r="A20" s="79" t="s">
        <v>272</v>
      </c>
      <c r="B20" s="122" t="str">
        <f>IF(NOT(ISBLANK('PAYG Input'!H22)),'PAYG Input'!H22,"")</f>
        <v/>
      </c>
      <c r="C20" s="122"/>
      <c r="D20" s="77" t="str">
        <f ca="1">IFERROR(INDEX(Validation!G:G,MATCH("PAYG 6"&amp;CELL("address",D20),Validation!I:I,0)),"")</f>
        <v/>
      </c>
      <c r="E20" s="66" t="str">
        <f ca="1">IFERROR(INDEX(Validation!F:F,MATCH("PAYG 6"&amp;CELL("address",D20),Validation!I:I,0)),"")</f>
        <v/>
      </c>
    </row>
    <row r="21" spans="1:5" x14ac:dyDescent="0.25">
      <c r="A21" s="130" t="s">
        <v>236</v>
      </c>
      <c r="B21" s="125">
        <f>SUM(B15:B20)</f>
        <v>0</v>
      </c>
      <c r="C21" s="125">
        <f>SUM(C15:C20)</f>
        <v>0</v>
      </c>
      <c r="D21" s="77" t="str">
        <f ca="1">IFERROR(INDEX(Validation!G:G,MATCH("PAYG 6"&amp;CELL("address",D21),Validation!I:I,0)),"")</f>
        <v/>
      </c>
      <c r="E21" s="66" t="str">
        <f ca="1">IFERROR(INDEX(Validation!F:F,MATCH("PAYG 6"&amp;CELL("address",D21),Validation!I:I,0)),"")</f>
        <v/>
      </c>
    </row>
    <row r="22" spans="1:5" x14ac:dyDescent="0.25">
      <c r="A22" s="131" t="s">
        <v>682</v>
      </c>
      <c r="B22" s="122" t="str">
        <f>IF(NOT(ISBLANK('PAYG Input'!H26)),'PAYG Input'!H26,"")</f>
        <v/>
      </c>
      <c r="C22" s="122"/>
      <c r="D22" s="77" t="str">
        <f ca="1">IFERROR(INDEX(Validation!G:G,MATCH("PAYG 6"&amp;CELL("address",D22),Validation!I:I,0)),"")</f>
        <v/>
      </c>
      <c r="E22" s="66" t="str">
        <f ca="1">IFERROR(INDEX(Validation!F:F,MATCH("PAYG 6"&amp;CELL("address",D22),Validation!I:I,0)),"")</f>
        <v/>
      </c>
    </row>
    <row r="23" spans="1:5" x14ac:dyDescent="0.25">
      <c r="A23" s="131" t="s">
        <v>683</v>
      </c>
      <c r="B23" s="122" t="str">
        <f>IF(NOT(ISBLANK('PAYG Input'!H28)),'PAYG Input'!H28,"")</f>
        <v/>
      </c>
      <c r="C23" s="122"/>
      <c r="D23" s="77" t="str">
        <f ca="1">IFERROR(INDEX(Validation!G:G,MATCH("PAYG 6"&amp;CELL("address",D23),Validation!I:I,0)),"")</f>
        <v/>
      </c>
      <c r="E23" s="66" t="str">
        <f ca="1">IFERROR(INDEX(Validation!F:F,MATCH("PAYG 6"&amp;CELL("address",D23),Validation!I:I,0)),"")</f>
        <v/>
      </c>
    </row>
    <row r="24" spans="1:5" ht="20.100000000000001" customHeight="1" x14ac:dyDescent="0.25">
      <c r="A24" s="74" t="s">
        <v>1311</v>
      </c>
      <c r="B24" s="74" t="s">
        <v>283</v>
      </c>
      <c r="C24" s="74" t="str">
        <f>Year_DestinationYearID&amp;" Amount"</f>
        <v>2024 Amount</v>
      </c>
      <c r="D24" s="77"/>
    </row>
    <row r="25" spans="1:5" x14ac:dyDescent="0.25">
      <c r="A25" s="79" t="s">
        <v>1188</v>
      </c>
      <c r="B25" s="122" t="str">
        <f>IF(NOT(ISBLANK('PAYG Input'!H30)),'PAYG Input'!H30,"")</f>
        <v/>
      </c>
      <c r="C25" s="122"/>
      <c r="D25" s="77" t="str">
        <f ca="1">IFERROR(INDEX(Validation!G:G,MATCH("PAYG 6"&amp;CELL("address",D25),Validation!I:I,0)),"")</f>
        <v/>
      </c>
      <c r="E25" s="66" t="str">
        <f ca="1">IFERROR(INDEX(Validation!F:F,MATCH("PAYG 6"&amp;CELL("address",D25),Validation!I:I,0)),"")</f>
        <v/>
      </c>
    </row>
    <row r="26" spans="1:5" x14ac:dyDescent="0.25">
      <c r="A26" s="79" t="s">
        <v>1190</v>
      </c>
      <c r="B26" s="122" t="str">
        <f>IF(NOT(ISBLANK('PAYG Input'!H32)),'PAYG Input'!H32,"")</f>
        <v/>
      </c>
      <c r="C26" s="122"/>
      <c r="D26" s="77" t="str">
        <f ca="1">IFERROR(INDEX(Validation!G:G,MATCH("PAYG 6"&amp;CELL("address",D26),Validation!I:I,0)),"")</f>
        <v/>
      </c>
      <c r="E26" s="66" t="str">
        <f ca="1">IFERROR(INDEX(Validation!F:F,MATCH("PAYG 6"&amp;CELL("address",D26),Validation!I:I,0)),"")</f>
        <v/>
      </c>
    </row>
    <row r="27" spans="1:5" x14ac:dyDescent="0.25">
      <c r="A27" s="79" t="s">
        <v>221</v>
      </c>
      <c r="B27" s="125" t="str">
        <f>IFERROR(B21-B25+B26,"")</f>
        <v/>
      </c>
      <c r="C27" s="125" t="str">
        <f>IFERROR(B21+C21-B25-C25+B26+C26,"")</f>
        <v/>
      </c>
      <c r="D27" s="77" t="str">
        <f ca="1">IFERROR(INDEX(Validation!G:G,MATCH("PAYG 6"&amp;CELL("address",D27),Validation!I:I,0)),"")</f>
        <v/>
      </c>
      <c r="E27" s="66" t="str">
        <f ca="1">IFERROR(INDEX(Validation!F:F,MATCH("PAYG 6"&amp;CELL("address",D27),Validation!I:I,0)),"")</f>
        <v/>
      </c>
    </row>
    <row r="28" spans="1:5" x14ac:dyDescent="0.25">
      <c r="A28" s="79" t="s">
        <v>223</v>
      </c>
      <c r="B28" s="122" t="str">
        <f>IF(NOT(ISBLANK('PAYG Input'!H36)),'PAYG Input'!H36,"")</f>
        <v/>
      </c>
      <c r="C28" s="122"/>
      <c r="D28" s="77" t="str">
        <f ca="1">IFERROR(INDEX(Validation!G:G,MATCH("PAYG 6"&amp;CELL("address",D28),Validation!I:I,0)),"")</f>
        <v/>
      </c>
      <c r="E28" s="66" t="str">
        <f ca="1">IFERROR(INDEX(Validation!F:F,MATCH("PAYG 6"&amp;CELL("address",D28),Validation!I:I,0)),"")</f>
        <v/>
      </c>
    </row>
    <row r="29" spans="1:5" x14ac:dyDescent="0.25">
      <c r="A29" s="79" t="s">
        <v>1191</v>
      </c>
      <c r="B29" s="122" t="str">
        <f>IF(NOT(ISBLANK('PAYG Input'!H38)),'PAYG Input'!H38,"")</f>
        <v/>
      </c>
      <c r="C29" s="122"/>
      <c r="D29" s="77" t="str">
        <f ca="1">IFERROR(INDEX(Validation!G:G,MATCH("PAYG 6"&amp;CELL("address",D29),Validation!I:I,0)),"")</f>
        <v/>
      </c>
      <c r="E29" s="66" t="str">
        <f ca="1">IFERROR(INDEX(Validation!F:F,MATCH("PAYG 6"&amp;CELL("address",D29),Validation!I:I,0)),"")</f>
        <v/>
      </c>
    </row>
    <row r="30" spans="1:5" ht="20.100000000000001" customHeight="1" x14ac:dyDescent="0.25">
      <c r="A30" s="74" t="str">
        <f>"Principal and Interest Due in "&amp;Year_DestinationYearID+1</f>
        <v>Principal and Interest Due in 2025</v>
      </c>
      <c r="B30" s="74"/>
      <c r="C30" s="128"/>
      <c r="D30" s="77"/>
    </row>
    <row r="31" spans="1:5" x14ac:dyDescent="0.25">
      <c r="A31" s="79" t="str">
        <f>"Principal Due in "&amp;Year_DestinationYearID+1</f>
        <v>Principal Due in 2025</v>
      </c>
      <c r="B31" s="122"/>
      <c r="C31" s="128"/>
      <c r="D31" s="77" t="str">
        <f ca="1">IFERROR(INDEX(Validation!G:G,MATCH("PAYG 6"&amp;CELL("address",D31),Validation!I:I,0)),"")</f>
        <v/>
      </c>
      <c r="E31" s="66" t="str">
        <f ca="1">IFERROR(INDEX(Validation!F:F,MATCH("PAYG 6"&amp;CELL("address",D31),Validation!I:I,0)),"")</f>
        <v/>
      </c>
    </row>
    <row r="32" spans="1:5" x14ac:dyDescent="0.25">
      <c r="A32" s="79" t="str">
        <f>"Interest Due in "&amp;Year_DestinationYearID+1</f>
        <v>Interest Due in 2025</v>
      </c>
      <c r="B32" s="122"/>
      <c r="C32" s="128"/>
      <c r="D32" s="77" t="str">
        <f ca="1">IFERROR(INDEX(Validation!G:G,MATCH("PAYG 6"&amp;CELL("address",D32),Validation!I:I,0)),"")</f>
        <v/>
      </c>
      <c r="E32" s="66" t="str">
        <f ca="1">IFERROR(INDEX(Validation!F:F,MATCH("PAYG 6"&amp;CELL("address",D32),Validation!I:I,0)),"")</f>
        <v/>
      </c>
    </row>
    <row r="33" spans="1:5" ht="20.100000000000001" customHeight="1" x14ac:dyDescent="0.25">
      <c r="A33" s="97" t="s">
        <v>176</v>
      </c>
      <c r="D33" s="77" t="str">
        <f ca="1">IF(AND(ISBLANK(A34),OR(COUNTIF(E6:E32,"Alert")&gt;0,SUM(B26:B26)&lt;&gt;0)),"Comment(s) required for remaining alert(s) and/or additions to principal.",IFERROR(INDEX(Validation!G:G,MATCH("PAYG 6"&amp;CELL("address",D34),Validation!I:I,0)),""))</f>
        <v/>
      </c>
      <c r="E33" s="66" t="str">
        <f ca="1">IF(AND(ISBLANK(A34),OR(COUNTIF(E6:E32,"Alert")&gt;0,SUM(B26:B26)&lt;&gt;0)),"Error",IFERROR(INDEX(Validation!F:F,MATCH("PAYG 6"&amp;CELL("address",D34),Validation!I:I,0)),""))</f>
        <v/>
      </c>
    </row>
    <row r="34" spans="1:5" ht="150" customHeight="1" x14ac:dyDescent="0.25">
      <c r="A34" s="123"/>
      <c r="B34" s="100" t="str">
        <f>HYPERLINK("#'PAYGs'!B6","Click here to return to the PAYGs Tab")</f>
        <v>Click here to return to the PAYGs Tab</v>
      </c>
      <c r="C34" s="127"/>
    </row>
    <row r="35" spans="1:5" x14ac:dyDescent="0.25">
      <c r="A35" s="98"/>
      <c r="B35" s="98"/>
      <c r="C35" s="98"/>
    </row>
    <row r="36" spans="1:5" x14ac:dyDescent="0.25">
      <c r="A36" s="98"/>
      <c r="B36" s="98"/>
      <c r="C36" s="98"/>
    </row>
    <row r="37" spans="1:5" x14ac:dyDescent="0.25">
      <c r="A37" s="98"/>
      <c r="B37" s="98"/>
      <c r="C37" s="98"/>
    </row>
    <row r="38" spans="1:5" x14ac:dyDescent="0.25">
      <c r="A38" s="98"/>
      <c r="B38" s="98"/>
      <c r="C38" s="98"/>
    </row>
  </sheetData>
  <sheetProtection algorithmName="SHA-512" hashValue="gHbUsmLW4J2Kw64/hl+pN4FitgnmSqkFpMtb7Gw+xlxfisQGNc/t0L27uenerW38fxLyiPKWNBvOsRngr2V2zg==" saltValue="gUCfT3G8z0si4+owjHT0Qw==" spinCount="100000" sheet="1" objects="1" scenarios="1"/>
  <mergeCells count="1">
    <mergeCell ref="A4:E4"/>
  </mergeCells>
  <conditionalFormatting sqref="A2">
    <cfRule type="expression" dxfId="339" priority="5">
      <formula>$E2="Error"</formula>
    </cfRule>
    <cfRule type="expression" dxfId="337" priority="7">
      <formula>$E2="Exclude"</formula>
    </cfRule>
  </conditionalFormatting>
  <conditionalFormatting sqref="D6:E33">
    <cfRule type="expression" dxfId="336" priority="1">
      <formula>$E6="Information"</formula>
    </cfRule>
    <cfRule type="expression" dxfId="335" priority="2">
      <formula>$E6="Error"</formula>
    </cfRule>
    <cfRule type="expression" dxfId="334" priority="3">
      <formula>$E6="Alert"</formula>
    </cfRule>
    <cfRule type="expression" dxfId="333" priority="4">
      <formula>$E6="Exclude"</formula>
    </cfRule>
  </conditionalFormatting>
  <dataValidations count="1">
    <dataValidation type="list" allowBlank="1" showInputMessage="1" showErrorMessage="1" sqref="B13:C13" xr:uid="{7415DBEA-AF87-4EFA-AB6E-971B22782AE0}">
      <formula1>SelOneYesNo</formula1>
    </dataValidation>
  </dataValidations>
  <pageMargins left="0.7" right="0.7" top="0.75" bottom="0.75" header="0.3" footer="0.3"/>
  <pageSetup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6" id="{58C1E021-D6D9-4328-939A-508C5845CBD5}">
            <xm:f>COUNTIFS(Validation!$H:$H,MID(CELL("filename",A2),FIND("]",CELL("filename",A2))+1,255)&amp;CELL("address",A2))&gt;0</xm:f>
            <x14:dxf>
              <font>
                <b/>
                <i val="0"/>
                <color rgb="FFC00000"/>
              </font>
              <numFmt numFmtId="172" formatCode="_(\!* #,##0_);_(\!* \(#,##0\);_(\!* \-??_);_(\!\ @_)"/>
            </x14:dxf>
          </x14:cfRule>
          <xm:sqref>A2</xm:sqref>
        </x14:conditionalFormatting>
      </x14:conditionalFormatting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6F1F1-3FE0-47AF-BF89-060A0A6396CB}">
  <sheetPr>
    <tabColor rgb="FFEED382"/>
  </sheetPr>
  <dimension ref="A1:F38"/>
  <sheetViews>
    <sheetView showGridLines="0" workbookViewId="0">
      <selection activeCell="B7" sqref="B7"/>
    </sheetView>
  </sheetViews>
  <sheetFormatPr defaultRowHeight="15" x14ac:dyDescent="0.25"/>
  <cols>
    <col min="1" max="1" width="55.7109375" style="66" customWidth="1"/>
    <col min="2" max="3" width="20.7109375" style="66" customWidth="1"/>
    <col min="4" max="4" width="80.85546875" style="66" customWidth="1"/>
    <col min="5" max="5" width="14.7109375" style="66" customWidth="1"/>
    <col min="6" max="6" width="0" style="78" hidden="1" customWidth="1"/>
    <col min="7" max="16384" width="9.140625" style="66"/>
  </cols>
  <sheetData>
    <row r="1" spans="1:6" s="59" customFormat="1" ht="24.95" customHeight="1" x14ac:dyDescent="0.25">
      <c r="A1" s="59" t="str">
        <f>_xlfn.CONCAT("Office of the State Auditor  -  TIF Annual Reporting Form  -  ",Year_DestinationYearID)</f>
        <v>Office of the State Auditor  -  TIF Annual Reporting Form  -  2024</v>
      </c>
      <c r="F1" s="61"/>
    </row>
    <row r="2" spans="1:6" s="62" customFormat="1" ht="20.100000000000001" customHeight="1" x14ac:dyDescent="0.25">
      <c r="A2" s="58" t="str">
        <f>_xlfn.CONCAT(GovEntity_GovEntityName_Parent,"  -  ",GovEntity_GovEntityName)</f>
        <v>Spruce City  -  TIF 1-1 Downtown Redev</v>
      </c>
      <c r="F2" s="64"/>
    </row>
    <row r="3" spans="1:6" s="68" customFormat="1" ht="24.95" customHeight="1" x14ac:dyDescent="0.3">
      <c r="A3" s="65" t="s">
        <v>233</v>
      </c>
      <c r="B3" s="66"/>
      <c r="C3" s="66"/>
      <c r="F3" s="69"/>
    </row>
    <row r="4" spans="1:6" s="71" customFormat="1" x14ac:dyDescent="0.25">
      <c r="A4" s="217" t="s">
        <v>207</v>
      </c>
      <c r="B4" s="217"/>
      <c r="C4" s="217"/>
      <c r="D4" s="217"/>
      <c r="E4" s="217"/>
      <c r="F4" s="72" t="s">
        <v>119</v>
      </c>
    </row>
    <row r="5" spans="1:6" s="74" customFormat="1" ht="20.100000000000001" customHeight="1" x14ac:dyDescent="0.25">
      <c r="A5" s="73" t="str">
        <f>HYPERLINK("#'PAYGs'!B6","Click here to return to the PAYGs Tab")</f>
        <v>Click here to return to the PAYGs Tab</v>
      </c>
      <c r="D5" s="74" t="s">
        <v>121</v>
      </c>
      <c r="E5" s="74" t="s">
        <v>102</v>
      </c>
      <c r="F5" s="76"/>
    </row>
    <row r="6" spans="1:6" ht="20.100000000000001" customHeight="1" x14ac:dyDescent="0.25">
      <c r="A6" s="74" t="s">
        <v>234</v>
      </c>
      <c r="D6" s="77" t="str">
        <f ca="1">IFERROR(INDEX(Validation!G:G,MATCH("PAYG 7"&amp;CELL("address",D6),Validation!I:I,0)),"")</f>
        <v/>
      </c>
      <c r="E6" s="66" t="str">
        <f ca="1">IFERROR(INDEX(Validation!F:F,MATCH("PAYG 7"&amp;CELL("address",D6),Validation!I:I,0)),"")</f>
        <v/>
      </c>
      <c r="F6" s="78" t="s">
        <v>1006</v>
      </c>
    </row>
    <row r="7" spans="1:6" x14ac:dyDescent="0.25">
      <c r="A7" s="79" t="s">
        <v>210</v>
      </c>
      <c r="B7" s="103" t="str">
        <f>IF(NOT(ISBLANK('PAYG Input'!I5)),'PAYG Input'!I5,"")</f>
        <v/>
      </c>
      <c r="D7" s="77" t="str">
        <f ca="1">IFERROR(INDEX(Validation!G:G,MATCH("PAYG 7"&amp;CELL("address",D7),Validation!I:I,0)),"")</f>
        <v/>
      </c>
      <c r="E7" s="66" t="str">
        <f ca="1">IFERROR(INDEX(Validation!F:F,MATCH("PAYG 7"&amp;CELL("address",D7),Validation!I:I,0)),"")</f>
        <v/>
      </c>
      <c r="F7" s="85" t="str">
        <f>IF(NOT(ISBLANK('PAYG Input'!I4)),'PAYG Input'!I4,"")</f>
        <v/>
      </c>
    </row>
    <row r="8" spans="1:6" x14ac:dyDescent="0.25">
      <c r="A8" s="79" t="s">
        <v>211</v>
      </c>
      <c r="B8" s="120" t="str">
        <f>IF(NOT(ISBLANK('PAYG Input'!I6)),'PAYG Input'!I6,"")</f>
        <v/>
      </c>
      <c r="C8" s="129"/>
      <c r="D8" s="77" t="str">
        <f ca="1">IFERROR(INDEX(Validation!G:G,MATCH("PAYG 7"&amp;CELL("address",D8),Validation!I:I,0)),"")</f>
        <v/>
      </c>
      <c r="E8" s="66" t="str">
        <f ca="1">IFERROR(INDEX(Validation!F:F,MATCH("PAYG 7"&amp;CELL("address",D8),Validation!I:I,0)),"")</f>
        <v/>
      </c>
    </row>
    <row r="9" spans="1:6" x14ac:dyDescent="0.25">
      <c r="A9" s="79" t="s">
        <v>212</v>
      </c>
      <c r="B9" s="120" t="str">
        <f>IF(NOT(ISBLANK('PAYG Input'!I7)),'PAYG Input'!I7,"")</f>
        <v/>
      </c>
      <c r="C9" s="129"/>
      <c r="D9" s="77" t="str">
        <f ca="1">IFERROR(INDEX(Validation!G:G,MATCH("PAYG 7"&amp;CELL("address",D9),Validation!I:I,0)),"")</f>
        <v/>
      </c>
      <c r="E9" s="66" t="str">
        <f ca="1">IFERROR(INDEX(Validation!F:F,MATCH("PAYG 7"&amp;CELL("address",D9),Validation!I:I,0)),"")</f>
        <v/>
      </c>
    </row>
    <row r="10" spans="1:6" x14ac:dyDescent="0.25">
      <c r="A10" s="79" t="s">
        <v>213</v>
      </c>
      <c r="B10" s="121" t="str">
        <f>IF(NOT(ISBLANK('PAYG Input'!I8)),'PAYG Input'!I8,"")</f>
        <v/>
      </c>
      <c r="C10" s="132"/>
      <c r="D10" s="77" t="str">
        <f ca="1">IFERROR(INDEX(Validation!G:G,MATCH("PAYG 7"&amp;CELL("address",D10),Validation!I:I,0)),"")</f>
        <v/>
      </c>
      <c r="E10" s="66" t="str">
        <f ca="1">IFERROR(INDEX(Validation!F:F,MATCH("PAYG 7"&amp;CELL("address",D10),Validation!I:I,0)),"")</f>
        <v/>
      </c>
    </row>
    <row r="11" spans="1:6" x14ac:dyDescent="0.25">
      <c r="A11" s="79" t="s">
        <v>214</v>
      </c>
      <c r="B11" s="121" t="str">
        <f>IF(NOT(ISBLANK('PAYG Input'!I9)),'PAYG Input'!I9,"")</f>
        <v/>
      </c>
      <c r="C11" s="132"/>
      <c r="D11" s="77" t="str">
        <f ca="1">IFERROR(INDEX(Validation!G:G,MATCH("PAYG 7"&amp;CELL("address",D11),Validation!I:I,0)),"")</f>
        <v/>
      </c>
      <c r="E11" s="66" t="str">
        <f ca="1">IFERROR(INDEX(Validation!F:F,MATCH("PAYG 7"&amp;CELL("address",D11),Validation!I:I,0)),"")</f>
        <v/>
      </c>
    </row>
    <row r="12" spans="1:6" x14ac:dyDescent="0.25">
      <c r="A12" s="79" t="s">
        <v>235</v>
      </c>
      <c r="B12" s="122" t="str">
        <f>IF(NOT(ISBLANK('PAYG Input'!I10)),'PAYG Input'!I10,"")</f>
        <v/>
      </c>
      <c r="C12" s="128"/>
      <c r="D12" s="77" t="str">
        <f ca="1">IFERROR(INDEX(Validation!G:G,MATCH("PAYG 7"&amp;CELL("address",D12),Validation!I:I,0)),"")</f>
        <v/>
      </c>
      <c r="E12" s="66" t="str">
        <f ca="1">IFERROR(INDEX(Validation!F:F,MATCH("PAYG 7"&amp;CELL("address",D12),Validation!I:I,0)),"")</f>
        <v/>
      </c>
    </row>
    <row r="13" spans="1:6" x14ac:dyDescent="0.25">
      <c r="A13" s="79" t="s">
        <v>232</v>
      </c>
      <c r="B13" s="103" t="str">
        <f>IF(ISBLANK('PAYG Input'!I11),"Select One",IF('PAYG Input'!I11=TRUE,"Yes","No"))</f>
        <v>Select One</v>
      </c>
      <c r="D13" s="77" t="str">
        <f ca="1">IFERROR(INDEX(Validation!G:G,MATCH("PAYG 7"&amp;CELL("address",D13),Validation!I:I,0)),"")</f>
        <v/>
      </c>
      <c r="E13" s="66" t="str">
        <f ca="1">IFERROR(INDEX(Validation!F:F,MATCH("PAYG 7"&amp;CELL("address",D13),Validation!I:I,0)),"")</f>
        <v/>
      </c>
    </row>
    <row r="14" spans="1:6" ht="20.100000000000001" customHeight="1" x14ac:dyDescent="0.25">
      <c r="A14" s="74" t="s">
        <v>681</v>
      </c>
      <c r="B14" s="74" t="s">
        <v>283</v>
      </c>
      <c r="C14" s="74" t="str">
        <f>Year_DestinationYearID&amp;" Amount"</f>
        <v>2024 Amount</v>
      </c>
      <c r="D14" s="77"/>
    </row>
    <row r="15" spans="1:6" x14ac:dyDescent="0.25">
      <c r="A15" s="79" t="s">
        <v>266</v>
      </c>
      <c r="B15" s="122" t="str">
        <f>IF(NOT(ISBLANK('PAYG Input'!I12)),'PAYG Input'!I12,"")</f>
        <v/>
      </c>
      <c r="C15" s="122"/>
      <c r="D15" s="77" t="str">
        <f ca="1">IFERROR(INDEX(Validation!G:G,MATCH("PAYG 7"&amp;CELL("address",D15),Validation!I:I,0)),"")</f>
        <v/>
      </c>
      <c r="E15" s="66" t="str">
        <f ca="1">IFERROR(INDEX(Validation!F:F,MATCH("PAYG 7"&amp;CELL("address",D15),Validation!I:I,0)),"")</f>
        <v/>
      </c>
    </row>
    <row r="16" spans="1:6" x14ac:dyDescent="0.25">
      <c r="A16" s="79" t="s">
        <v>267</v>
      </c>
      <c r="B16" s="122" t="str">
        <f>IF(NOT(ISBLANK('PAYG Input'!I14)),'PAYG Input'!I14,"")</f>
        <v/>
      </c>
      <c r="C16" s="122"/>
      <c r="D16" s="77" t="str">
        <f ca="1">IFERROR(INDEX(Validation!G:G,MATCH("PAYG 7"&amp;CELL("address",D16),Validation!I:I,0)),"")</f>
        <v/>
      </c>
      <c r="E16" s="66" t="str">
        <f ca="1">IFERROR(INDEX(Validation!F:F,MATCH("PAYG 7"&amp;CELL("address",D16),Validation!I:I,0)),"")</f>
        <v/>
      </c>
    </row>
    <row r="17" spans="1:5" x14ac:dyDescent="0.25">
      <c r="A17" s="79" t="s">
        <v>268</v>
      </c>
      <c r="B17" s="122" t="str">
        <f>IF(NOT(ISBLANK('PAYG Input'!I16)),'PAYG Input'!I16,"")</f>
        <v/>
      </c>
      <c r="C17" s="122"/>
      <c r="D17" s="77" t="str">
        <f ca="1">IFERROR(INDEX(Validation!G:G,MATCH("PAYG 7"&amp;CELL("address",D17),Validation!I:I,0)),"")</f>
        <v/>
      </c>
      <c r="E17" s="66" t="str">
        <f ca="1">IFERROR(INDEX(Validation!F:F,MATCH("PAYG 7"&amp;CELL("address",D17),Validation!I:I,0)),"")</f>
        <v/>
      </c>
    </row>
    <row r="18" spans="1:5" x14ac:dyDescent="0.25">
      <c r="A18" s="79" t="s">
        <v>269</v>
      </c>
      <c r="B18" s="122" t="str">
        <f>IF(NOT(ISBLANK('PAYG Input'!I18)),'PAYG Input'!I18,"")</f>
        <v/>
      </c>
      <c r="C18" s="122"/>
      <c r="D18" s="77" t="str">
        <f ca="1">IFERROR(INDEX(Validation!G:G,MATCH("PAYG 7"&amp;CELL("address",D18),Validation!I:I,0)),"")</f>
        <v/>
      </c>
      <c r="E18" s="66" t="str">
        <f ca="1">IFERROR(INDEX(Validation!F:F,MATCH("PAYG 7"&amp;CELL("address",D18),Validation!I:I,0)),"")</f>
        <v/>
      </c>
    </row>
    <row r="19" spans="1:5" x14ac:dyDescent="0.25">
      <c r="A19" s="79" t="s">
        <v>270</v>
      </c>
      <c r="B19" s="122" t="str">
        <f>IF(NOT(ISBLANK('PAYG Input'!I20)),'PAYG Input'!I20,"")</f>
        <v/>
      </c>
      <c r="C19" s="122"/>
      <c r="D19" s="77" t="str">
        <f ca="1">IFERROR(INDEX(Validation!G:G,MATCH("PAYG 7"&amp;CELL("address",D19),Validation!I:I,0)),"")</f>
        <v/>
      </c>
      <c r="E19" s="66" t="str">
        <f ca="1">IFERROR(INDEX(Validation!F:F,MATCH("PAYG 7"&amp;CELL("address",D19),Validation!I:I,0)),"")</f>
        <v/>
      </c>
    </row>
    <row r="20" spans="1:5" x14ac:dyDescent="0.25">
      <c r="A20" s="79" t="s">
        <v>272</v>
      </c>
      <c r="B20" s="122" t="str">
        <f>IF(NOT(ISBLANK('PAYG Input'!I22)),'PAYG Input'!I22,"")</f>
        <v/>
      </c>
      <c r="C20" s="122"/>
      <c r="D20" s="77" t="str">
        <f ca="1">IFERROR(INDEX(Validation!G:G,MATCH("PAYG 7"&amp;CELL("address",D20),Validation!I:I,0)),"")</f>
        <v/>
      </c>
      <c r="E20" s="66" t="str">
        <f ca="1">IFERROR(INDEX(Validation!F:F,MATCH("PAYG 7"&amp;CELL("address",D20),Validation!I:I,0)),"")</f>
        <v/>
      </c>
    </row>
    <row r="21" spans="1:5" x14ac:dyDescent="0.25">
      <c r="A21" s="130" t="s">
        <v>236</v>
      </c>
      <c r="B21" s="125">
        <f>SUM(B15:B20)</f>
        <v>0</v>
      </c>
      <c r="C21" s="125">
        <f>SUM(C15:C20)</f>
        <v>0</v>
      </c>
      <c r="D21" s="77" t="str">
        <f ca="1">IFERROR(INDEX(Validation!G:G,MATCH("PAYG 7"&amp;CELL("address",D21),Validation!I:I,0)),"")</f>
        <v/>
      </c>
      <c r="E21" s="66" t="str">
        <f ca="1">IFERROR(INDEX(Validation!F:F,MATCH("PAYG 7"&amp;CELL("address",D21),Validation!I:I,0)),"")</f>
        <v/>
      </c>
    </row>
    <row r="22" spans="1:5" x14ac:dyDescent="0.25">
      <c r="A22" s="131" t="s">
        <v>682</v>
      </c>
      <c r="B22" s="122" t="str">
        <f>IF(NOT(ISBLANK('PAYG Input'!I26)),'PAYG Input'!I26,"")</f>
        <v/>
      </c>
      <c r="C22" s="122"/>
      <c r="D22" s="77" t="str">
        <f ca="1">IFERROR(INDEX(Validation!G:G,MATCH("PAYG 7"&amp;CELL("address",D22),Validation!I:I,0)),"")</f>
        <v/>
      </c>
      <c r="E22" s="66" t="str">
        <f ca="1">IFERROR(INDEX(Validation!F:F,MATCH("PAYG 7"&amp;CELL("address",D22),Validation!I:I,0)),"")</f>
        <v/>
      </c>
    </row>
    <row r="23" spans="1:5" x14ac:dyDescent="0.25">
      <c r="A23" s="131" t="s">
        <v>683</v>
      </c>
      <c r="B23" s="122" t="str">
        <f>IF(NOT(ISBLANK('PAYG Input'!I28)),'PAYG Input'!I28,"")</f>
        <v/>
      </c>
      <c r="C23" s="122"/>
      <c r="D23" s="77" t="str">
        <f ca="1">IFERROR(INDEX(Validation!G:G,MATCH("PAYG 7"&amp;CELL("address",D23),Validation!I:I,0)),"")</f>
        <v/>
      </c>
      <c r="E23" s="66" t="str">
        <f ca="1">IFERROR(INDEX(Validation!F:F,MATCH("PAYG 7"&amp;CELL("address",D23),Validation!I:I,0)),"")</f>
        <v/>
      </c>
    </row>
    <row r="24" spans="1:5" ht="20.100000000000001" customHeight="1" x14ac:dyDescent="0.25">
      <c r="A24" s="74" t="s">
        <v>1311</v>
      </c>
      <c r="B24" s="74" t="s">
        <v>283</v>
      </c>
      <c r="C24" s="74" t="str">
        <f>Year_DestinationYearID&amp;" Amount"</f>
        <v>2024 Amount</v>
      </c>
      <c r="D24" s="77"/>
    </row>
    <row r="25" spans="1:5" x14ac:dyDescent="0.25">
      <c r="A25" s="79" t="s">
        <v>1188</v>
      </c>
      <c r="B25" s="122" t="str">
        <f>IF(NOT(ISBLANK('PAYG Input'!I30)),'PAYG Input'!I30,"")</f>
        <v/>
      </c>
      <c r="C25" s="122"/>
      <c r="D25" s="77" t="str">
        <f ca="1">IFERROR(INDEX(Validation!G:G,MATCH("PAYG 7"&amp;CELL("address",D25),Validation!I:I,0)),"")</f>
        <v/>
      </c>
      <c r="E25" s="66" t="str">
        <f ca="1">IFERROR(INDEX(Validation!F:F,MATCH("PAYG 7"&amp;CELL("address",D25),Validation!I:I,0)),"")</f>
        <v/>
      </c>
    </row>
    <row r="26" spans="1:5" x14ac:dyDescent="0.25">
      <c r="A26" s="79" t="s">
        <v>1190</v>
      </c>
      <c r="B26" s="122" t="str">
        <f>IF(NOT(ISBLANK('PAYG Input'!I32)),'PAYG Input'!I32,"")</f>
        <v/>
      </c>
      <c r="C26" s="122"/>
      <c r="D26" s="77" t="str">
        <f ca="1">IFERROR(INDEX(Validation!G:G,MATCH("PAYG 7"&amp;CELL("address",D26),Validation!I:I,0)),"")</f>
        <v/>
      </c>
      <c r="E26" s="66" t="str">
        <f ca="1">IFERROR(INDEX(Validation!F:F,MATCH("PAYG 7"&amp;CELL("address",D26),Validation!I:I,0)),"")</f>
        <v/>
      </c>
    </row>
    <row r="27" spans="1:5" x14ac:dyDescent="0.25">
      <c r="A27" s="79" t="s">
        <v>221</v>
      </c>
      <c r="B27" s="125" t="str">
        <f>IFERROR(B21-B25+B26,"")</f>
        <v/>
      </c>
      <c r="C27" s="125" t="str">
        <f>IFERROR(B21+C21-B25-C25+B26+C26,"")</f>
        <v/>
      </c>
      <c r="D27" s="77" t="str">
        <f ca="1">IFERROR(INDEX(Validation!G:G,MATCH("PAYG 7"&amp;CELL("address",D27),Validation!I:I,0)),"")</f>
        <v/>
      </c>
      <c r="E27" s="66" t="str">
        <f ca="1">IFERROR(INDEX(Validation!F:F,MATCH("PAYG 7"&amp;CELL("address",D27),Validation!I:I,0)),"")</f>
        <v/>
      </c>
    </row>
    <row r="28" spans="1:5" x14ac:dyDescent="0.25">
      <c r="A28" s="79" t="s">
        <v>223</v>
      </c>
      <c r="B28" s="122" t="str">
        <f>IF(NOT(ISBLANK('PAYG Input'!I36)),'PAYG Input'!I36,"")</f>
        <v/>
      </c>
      <c r="C28" s="122"/>
      <c r="D28" s="77" t="str">
        <f ca="1">IFERROR(INDEX(Validation!G:G,MATCH("PAYG 7"&amp;CELL("address",D28),Validation!I:I,0)),"")</f>
        <v/>
      </c>
      <c r="E28" s="66" t="str">
        <f ca="1">IFERROR(INDEX(Validation!F:F,MATCH("PAYG 7"&amp;CELL("address",D28),Validation!I:I,0)),"")</f>
        <v/>
      </c>
    </row>
    <row r="29" spans="1:5" x14ac:dyDescent="0.25">
      <c r="A29" s="79" t="s">
        <v>1191</v>
      </c>
      <c r="B29" s="122" t="str">
        <f>IF(NOT(ISBLANK('PAYG Input'!I38)),'PAYG Input'!I38,"")</f>
        <v/>
      </c>
      <c r="C29" s="122"/>
      <c r="D29" s="77" t="str">
        <f ca="1">IFERROR(INDEX(Validation!G:G,MATCH("PAYG 7"&amp;CELL("address",D29),Validation!I:I,0)),"")</f>
        <v/>
      </c>
      <c r="E29" s="66" t="str">
        <f ca="1">IFERROR(INDEX(Validation!F:F,MATCH("PAYG 7"&amp;CELL("address",D29),Validation!I:I,0)),"")</f>
        <v/>
      </c>
    </row>
    <row r="30" spans="1:5" ht="20.100000000000001" customHeight="1" x14ac:dyDescent="0.25">
      <c r="A30" s="74" t="str">
        <f>"Principal and Interest Due in "&amp;Year_DestinationYearID+1</f>
        <v>Principal and Interest Due in 2025</v>
      </c>
      <c r="B30" s="74"/>
      <c r="C30" s="128"/>
      <c r="D30" s="77"/>
    </row>
    <row r="31" spans="1:5" x14ac:dyDescent="0.25">
      <c r="A31" s="79" t="str">
        <f>"Principal Due in "&amp;Year_DestinationYearID+1</f>
        <v>Principal Due in 2025</v>
      </c>
      <c r="B31" s="122"/>
      <c r="C31" s="128"/>
      <c r="D31" s="77" t="str">
        <f ca="1">IFERROR(INDEX(Validation!G:G,MATCH("PAYG 7"&amp;CELL("address",D31),Validation!I:I,0)),"")</f>
        <v/>
      </c>
      <c r="E31" s="66" t="str">
        <f ca="1">IFERROR(INDEX(Validation!F:F,MATCH("PAYG 7"&amp;CELL("address",D31),Validation!I:I,0)),"")</f>
        <v/>
      </c>
    </row>
    <row r="32" spans="1:5" x14ac:dyDescent="0.25">
      <c r="A32" s="79" t="str">
        <f>"Interest Due in "&amp;Year_DestinationYearID+1</f>
        <v>Interest Due in 2025</v>
      </c>
      <c r="B32" s="122"/>
      <c r="C32" s="128"/>
      <c r="D32" s="77" t="str">
        <f ca="1">IFERROR(INDEX(Validation!G:G,MATCH("PAYG 7"&amp;CELL("address",D32),Validation!I:I,0)),"")</f>
        <v/>
      </c>
      <c r="E32" s="66" t="str">
        <f ca="1">IFERROR(INDEX(Validation!F:F,MATCH("PAYG 7"&amp;CELL("address",D32),Validation!I:I,0)),"")</f>
        <v/>
      </c>
    </row>
    <row r="33" spans="1:5" ht="20.100000000000001" customHeight="1" x14ac:dyDescent="0.25">
      <c r="A33" s="97" t="s">
        <v>176</v>
      </c>
      <c r="D33" s="77" t="str">
        <f ca="1">IF(AND(ISBLANK(A34),OR(COUNTIF(E6:E32,"Alert")&gt;0,SUM(B26:B26)&lt;&gt;0)),"Comment(s) required for remaining alert(s) and/or additions to principal.",IFERROR(INDEX(Validation!G:G,MATCH("PAYG 7"&amp;CELL("address",D34),Validation!I:I,0)),""))</f>
        <v/>
      </c>
      <c r="E33" s="66" t="str">
        <f ca="1">IF(AND(ISBLANK(A34),OR(COUNTIF(E6:E32,"Alert")&gt;0,SUM(B26:B26)&lt;&gt;0)),"Error",IFERROR(INDEX(Validation!F:F,MATCH("PAYG 7"&amp;CELL("address",D34),Validation!I:I,0)),""))</f>
        <v/>
      </c>
    </row>
    <row r="34" spans="1:5" ht="150" customHeight="1" x14ac:dyDescent="0.25">
      <c r="A34" s="123"/>
      <c r="B34" s="100" t="str">
        <f>HYPERLINK("#'PAYGs'!B6","Click here to return to the PAYGs Tab")</f>
        <v>Click here to return to the PAYGs Tab</v>
      </c>
      <c r="C34" s="127"/>
    </row>
    <row r="35" spans="1:5" x14ac:dyDescent="0.25">
      <c r="A35" s="98"/>
      <c r="B35" s="98"/>
      <c r="C35" s="98"/>
    </row>
    <row r="36" spans="1:5" x14ac:dyDescent="0.25">
      <c r="A36" s="98"/>
      <c r="B36" s="98"/>
      <c r="C36" s="98"/>
    </row>
    <row r="37" spans="1:5" x14ac:dyDescent="0.25">
      <c r="A37" s="98"/>
      <c r="B37" s="98"/>
      <c r="C37" s="98"/>
    </row>
    <row r="38" spans="1:5" x14ac:dyDescent="0.25">
      <c r="A38" s="98"/>
      <c r="B38" s="98"/>
      <c r="C38" s="98"/>
    </row>
  </sheetData>
  <sheetProtection algorithmName="SHA-512" hashValue="7C6TWYiJ9mg/+g9Rlk9SPh2oV7lHcX4qiqL7Tm8dPGjWB3AOJXs5lW5F3si0zf/KTxGKlJRC4PQEJXSyM5uDhQ==" saltValue="1UnbtW/C/KNlS17e6/OHXA==" spinCount="100000" sheet="1" objects="1" scenarios="1"/>
  <mergeCells count="1">
    <mergeCell ref="A4:E4"/>
  </mergeCells>
  <conditionalFormatting sqref="A2">
    <cfRule type="expression" dxfId="332" priority="5">
      <formula>$E2="Error"</formula>
    </cfRule>
    <cfRule type="expression" dxfId="330" priority="7">
      <formula>$E2="Exclude"</formula>
    </cfRule>
  </conditionalFormatting>
  <conditionalFormatting sqref="D6:E33">
    <cfRule type="expression" dxfId="329" priority="1">
      <formula>$E6="Information"</formula>
    </cfRule>
    <cfRule type="expression" dxfId="328" priority="2">
      <formula>$E6="Error"</formula>
    </cfRule>
    <cfRule type="expression" dxfId="327" priority="3">
      <formula>$E6="Alert"</formula>
    </cfRule>
    <cfRule type="expression" dxfId="326" priority="4">
      <formula>$E6="Exclude"</formula>
    </cfRule>
  </conditionalFormatting>
  <dataValidations count="1">
    <dataValidation type="list" allowBlank="1" showInputMessage="1" showErrorMessage="1" sqref="B13:C13" xr:uid="{728242AF-9D76-4B77-8B06-C68E66BAC310}">
      <formula1>SelOneYesNo</formula1>
    </dataValidation>
  </dataValidations>
  <pageMargins left="0.7" right="0.7" top="0.75" bottom="0.75" header="0.3" footer="0.3"/>
  <pageSetup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6" id="{64036A32-BF38-4BA7-955A-F196399A3A53}">
            <xm:f>COUNTIFS(Validation!$H:$H,MID(CELL("filename",A2),FIND("]",CELL("filename",A2))+1,255)&amp;CELL("address",A2))&gt;0</xm:f>
            <x14:dxf>
              <font>
                <b/>
                <i val="0"/>
                <color rgb="FFC00000"/>
              </font>
              <numFmt numFmtId="172" formatCode="_(\!* #,##0_);_(\!* \(#,##0\);_(\!* \-??_);_(\!\ @_)"/>
            </x14:dxf>
          </x14:cfRule>
          <xm:sqref>A2</xm:sqref>
        </x14:conditionalFormatting>
      </x14:conditionalFormatting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0572D-3451-4748-B63B-9FF6459D9459}">
  <sheetPr>
    <tabColor rgb="FFEED382"/>
  </sheetPr>
  <dimension ref="A1:F38"/>
  <sheetViews>
    <sheetView showGridLines="0" workbookViewId="0">
      <selection activeCell="B7" sqref="B7"/>
    </sheetView>
  </sheetViews>
  <sheetFormatPr defaultRowHeight="15" x14ac:dyDescent="0.25"/>
  <cols>
    <col min="1" max="1" width="55.7109375" style="66" customWidth="1"/>
    <col min="2" max="3" width="20.7109375" style="66" customWidth="1"/>
    <col min="4" max="4" width="80.85546875" style="66" customWidth="1"/>
    <col min="5" max="5" width="14.7109375" style="66" customWidth="1"/>
    <col min="6" max="6" width="0" style="78" hidden="1" customWidth="1"/>
    <col min="7" max="16384" width="9.140625" style="66"/>
  </cols>
  <sheetData>
    <row r="1" spans="1:6" s="59" customFormat="1" ht="24.95" customHeight="1" x14ac:dyDescent="0.25">
      <c r="A1" s="59" t="str">
        <f>_xlfn.CONCAT("Office of the State Auditor  -  TIF Annual Reporting Form  -  ",Year_DestinationYearID)</f>
        <v>Office of the State Auditor  -  TIF Annual Reporting Form  -  2024</v>
      </c>
      <c r="F1" s="61"/>
    </row>
    <row r="2" spans="1:6" s="62" customFormat="1" ht="20.100000000000001" customHeight="1" x14ac:dyDescent="0.25">
      <c r="A2" s="58" t="str">
        <f>_xlfn.CONCAT(GovEntity_GovEntityName_Parent,"  -  ",GovEntity_GovEntityName)</f>
        <v>Spruce City  -  TIF 1-1 Downtown Redev</v>
      </c>
      <c r="F2" s="64"/>
    </row>
    <row r="3" spans="1:6" s="68" customFormat="1" ht="24.95" customHeight="1" x14ac:dyDescent="0.3">
      <c r="A3" s="65" t="s">
        <v>233</v>
      </c>
      <c r="B3" s="66"/>
      <c r="C3" s="66"/>
      <c r="F3" s="69"/>
    </row>
    <row r="4" spans="1:6" s="71" customFormat="1" x14ac:dyDescent="0.25">
      <c r="A4" s="217" t="s">
        <v>207</v>
      </c>
      <c r="B4" s="217"/>
      <c r="C4" s="217"/>
      <c r="D4" s="217"/>
      <c r="E4" s="217"/>
      <c r="F4" s="72" t="s">
        <v>119</v>
      </c>
    </row>
    <row r="5" spans="1:6" s="74" customFormat="1" ht="20.100000000000001" customHeight="1" x14ac:dyDescent="0.25">
      <c r="A5" s="73" t="str">
        <f>HYPERLINK("#'PAYGs'!B6","Click here to return to the PAYGs Tab")</f>
        <v>Click here to return to the PAYGs Tab</v>
      </c>
      <c r="D5" s="74" t="s">
        <v>121</v>
      </c>
      <c r="E5" s="74" t="s">
        <v>102</v>
      </c>
      <c r="F5" s="76"/>
    </row>
    <row r="6" spans="1:6" ht="20.100000000000001" customHeight="1" x14ac:dyDescent="0.25">
      <c r="A6" s="74" t="s">
        <v>234</v>
      </c>
      <c r="D6" s="77" t="str">
        <f ca="1">IFERROR(INDEX(Validation!G:G,MATCH("PAYG 8"&amp;CELL("address",D6),Validation!I:I,0)),"")</f>
        <v/>
      </c>
      <c r="E6" s="66" t="str">
        <f ca="1">IFERROR(INDEX(Validation!F:F,MATCH("PAYG 8"&amp;CELL("address",D6),Validation!I:I,0)),"")</f>
        <v/>
      </c>
      <c r="F6" s="78" t="s">
        <v>1006</v>
      </c>
    </row>
    <row r="7" spans="1:6" x14ac:dyDescent="0.25">
      <c r="A7" s="79" t="s">
        <v>210</v>
      </c>
      <c r="B7" s="103" t="str">
        <f>IF(NOT(ISBLANK('PAYG Input'!J5)),'PAYG Input'!J5,"")</f>
        <v/>
      </c>
      <c r="D7" s="77" t="str">
        <f ca="1">IFERROR(INDEX(Validation!G:G,MATCH("PAYG 8"&amp;CELL("address",D7),Validation!I:I,0)),"")</f>
        <v/>
      </c>
      <c r="E7" s="66" t="str">
        <f ca="1">IFERROR(INDEX(Validation!F:F,MATCH("PAYG 8"&amp;CELL("address",D7),Validation!I:I,0)),"")</f>
        <v/>
      </c>
      <c r="F7" s="85" t="str">
        <f>IF(NOT(ISBLANK('PAYG Input'!J4)),'PAYG Input'!J4,"")</f>
        <v/>
      </c>
    </row>
    <row r="8" spans="1:6" x14ac:dyDescent="0.25">
      <c r="A8" s="79" t="s">
        <v>211</v>
      </c>
      <c r="B8" s="120" t="str">
        <f>IF(NOT(ISBLANK('PAYG Input'!J6)),'PAYG Input'!J6,"")</f>
        <v/>
      </c>
      <c r="C8" s="129"/>
      <c r="D8" s="77" t="str">
        <f ca="1">IFERROR(INDEX(Validation!G:G,MATCH("PAYG 8"&amp;CELL("address",D8),Validation!I:I,0)),"")</f>
        <v/>
      </c>
      <c r="E8" s="66" t="str">
        <f ca="1">IFERROR(INDEX(Validation!F:F,MATCH("PAYG 8"&amp;CELL("address",D8),Validation!I:I,0)),"")</f>
        <v/>
      </c>
    </row>
    <row r="9" spans="1:6" x14ac:dyDescent="0.25">
      <c r="A9" s="79" t="s">
        <v>212</v>
      </c>
      <c r="B9" s="120" t="str">
        <f>IF(NOT(ISBLANK('PAYG Input'!J7)),'PAYG Input'!J7,"")</f>
        <v/>
      </c>
      <c r="C9" s="129"/>
      <c r="D9" s="77" t="str">
        <f ca="1">IFERROR(INDEX(Validation!G:G,MATCH("PAYG 8"&amp;CELL("address",D9),Validation!I:I,0)),"")</f>
        <v/>
      </c>
      <c r="E9" s="66" t="str">
        <f ca="1">IFERROR(INDEX(Validation!F:F,MATCH("PAYG 8"&amp;CELL("address",D9),Validation!I:I,0)),"")</f>
        <v/>
      </c>
    </row>
    <row r="10" spans="1:6" x14ac:dyDescent="0.25">
      <c r="A10" s="79" t="s">
        <v>213</v>
      </c>
      <c r="B10" s="121" t="str">
        <f>IF(NOT(ISBLANK('PAYG Input'!J8)),'PAYG Input'!J8,"")</f>
        <v/>
      </c>
      <c r="C10" s="132"/>
      <c r="D10" s="77" t="str">
        <f ca="1">IFERROR(INDEX(Validation!G:G,MATCH("PAYG 8"&amp;CELL("address",D10),Validation!I:I,0)),"")</f>
        <v/>
      </c>
      <c r="E10" s="66" t="str">
        <f ca="1">IFERROR(INDEX(Validation!F:F,MATCH("PAYG 8"&amp;CELL("address",D10),Validation!I:I,0)),"")</f>
        <v/>
      </c>
    </row>
    <row r="11" spans="1:6" x14ac:dyDescent="0.25">
      <c r="A11" s="79" t="s">
        <v>214</v>
      </c>
      <c r="B11" s="121" t="str">
        <f>IF(NOT(ISBLANK('PAYG Input'!J9)),'PAYG Input'!J9,"")</f>
        <v/>
      </c>
      <c r="C11" s="132"/>
      <c r="D11" s="77" t="str">
        <f ca="1">IFERROR(INDEX(Validation!G:G,MATCH("PAYG 8"&amp;CELL("address",D11),Validation!I:I,0)),"")</f>
        <v/>
      </c>
      <c r="E11" s="66" t="str">
        <f ca="1">IFERROR(INDEX(Validation!F:F,MATCH("PAYG 8"&amp;CELL("address",D11),Validation!I:I,0)),"")</f>
        <v/>
      </c>
    </row>
    <row r="12" spans="1:6" x14ac:dyDescent="0.25">
      <c r="A12" s="79" t="s">
        <v>235</v>
      </c>
      <c r="B12" s="122" t="str">
        <f>IF(NOT(ISBLANK('PAYG Input'!J10)),'PAYG Input'!J10,"")</f>
        <v/>
      </c>
      <c r="C12" s="128"/>
      <c r="D12" s="77" t="str">
        <f ca="1">IFERROR(INDEX(Validation!G:G,MATCH("PAYG 8"&amp;CELL("address",D12),Validation!I:I,0)),"")</f>
        <v/>
      </c>
      <c r="E12" s="66" t="str">
        <f ca="1">IFERROR(INDEX(Validation!F:F,MATCH("PAYG 8"&amp;CELL("address",D12),Validation!I:I,0)),"")</f>
        <v/>
      </c>
    </row>
    <row r="13" spans="1:6" x14ac:dyDescent="0.25">
      <c r="A13" s="79" t="s">
        <v>232</v>
      </c>
      <c r="B13" s="103" t="str">
        <f>IF(ISBLANK('PAYG Input'!J11),"Select One",IF('PAYG Input'!J11=TRUE,"Yes","No"))</f>
        <v>Select One</v>
      </c>
      <c r="D13" s="77" t="str">
        <f ca="1">IFERROR(INDEX(Validation!G:G,MATCH("PAYG 8"&amp;CELL("address",D13),Validation!I:I,0)),"")</f>
        <v/>
      </c>
      <c r="E13" s="66" t="str">
        <f ca="1">IFERROR(INDEX(Validation!F:F,MATCH("PAYG 8"&amp;CELL("address",D13),Validation!I:I,0)),"")</f>
        <v/>
      </c>
    </row>
    <row r="14" spans="1:6" ht="20.100000000000001" customHeight="1" x14ac:dyDescent="0.25">
      <c r="A14" s="74" t="s">
        <v>681</v>
      </c>
      <c r="B14" s="74" t="s">
        <v>283</v>
      </c>
      <c r="C14" s="74" t="str">
        <f>Year_DestinationYearID&amp;" Amount"</f>
        <v>2024 Amount</v>
      </c>
      <c r="D14" s="77"/>
    </row>
    <row r="15" spans="1:6" x14ac:dyDescent="0.25">
      <c r="A15" s="79" t="s">
        <v>266</v>
      </c>
      <c r="B15" s="122" t="str">
        <f>IF(NOT(ISBLANK('PAYG Input'!J12)),'PAYG Input'!J12,"")</f>
        <v/>
      </c>
      <c r="C15" s="122"/>
      <c r="D15" s="77" t="str">
        <f ca="1">IFERROR(INDEX(Validation!G:G,MATCH("PAYG 8"&amp;CELL("address",D15),Validation!I:I,0)),"")</f>
        <v/>
      </c>
      <c r="E15" s="66" t="str">
        <f ca="1">IFERROR(INDEX(Validation!F:F,MATCH("PAYG 8"&amp;CELL("address",D15),Validation!I:I,0)),"")</f>
        <v/>
      </c>
    </row>
    <row r="16" spans="1:6" x14ac:dyDescent="0.25">
      <c r="A16" s="79" t="s">
        <v>267</v>
      </c>
      <c r="B16" s="122" t="str">
        <f>IF(NOT(ISBLANK('PAYG Input'!J14)),'PAYG Input'!J14,"")</f>
        <v/>
      </c>
      <c r="C16" s="122"/>
      <c r="D16" s="77" t="str">
        <f ca="1">IFERROR(INDEX(Validation!G:G,MATCH("PAYG 8"&amp;CELL("address",D16),Validation!I:I,0)),"")</f>
        <v/>
      </c>
      <c r="E16" s="66" t="str">
        <f ca="1">IFERROR(INDEX(Validation!F:F,MATCH("PAYG 8"&amp;CELL("address",D16),Validation!I:I,0)),"")</f>
        <v/>
      </c>
    </row>
    <row r="17" spans="1:5" x14ac:dyDescent="0.25">
      <c r="A17" s="79" t="s">
        <v>268</v>
      </c>
      <c r="B17" s="122" t="str">
        <f>IF(NOT(ISBLANK('PAYG Input'!J16)),'PAYG Input'!J16,"")</f>
        <v/>
      </c>
      <c r="C17" s="122"/>
      <c r="D17" s="77" t="str">
        <f ca="1">IFERROR(INDEX(Validation!G:G,MATCH("PAYG 8"&amp;CELL("address",D17),Validation!I:I,0)),"")</f>
        <v/>
      </c>
      <c r="E17" s="66" t="str">
        <f ca="1">IFERROR(INDEX(Validation!F:F,MATCH("PAYG 8"&amp;CELL("address",D17),Validation!I:I,0)),"")</f>
        <v/>
      </c>
    </row>
    <row r="18" spans="1:5" x14ac:dyDescent="0.25">
      <c r="A18" s="79" t="s">
        <v>269</v>
      </c>
      <c r="B18" s="122" t="str">
        <f>IF(NOT(ISBLANK('PAYG Input'!J18)),'PAYG Input'!J18,"")</f>
        <v/>
      </c>
      <c r="C18" s="122"/>
      <c r="D18" s="77" t="str">
        <f ca="1">IFERROR(INDEX(Validation!G:G,MATCH("PAYG 8"&amp;CELL("address",D18),Validation!I:I,0)),"")</f>
        <v/>
      </c>
      <c r="E18" s="66" t="str">
        <f ca="1">IFERROR(INDEX(Validation!F:F,MATCH("PAYG 8"&amp;CELL("address",D18),Validation!I:I,0)),"")</f>
        <v/>
      </c>
    </row>
    <row r="19" spans="1:5" x14ac:dyDescent="0.25">
      <c r="A19" s="79" t="s">
        <v>270</v>
      </c>
      <c r="B19" s="122" t="str">
        <f>IF(NOT(ISBLANK('PAYG Input'!J20)),'PAYG Input'!J20,"")</f>
        <v/>
      </c>
      <c r="C19" s="122"/>
      <c r="D19" s="77" t="str">
        <f ca="1">IFERROR(INDEX(Validation!G:G,MATCH("PAYG 8"&amp;CELL("address",D19),Validation!I:I,0)),"")</f>
        <v/>
      </c>
      <c r="E19" s="66" t="str">
        <f ca="1">IFERROR(INDEX(Validation!F:F,MATCH("PAYG 8"&amp;CELL("address",D19),Validation!I:I,0)),"")</f>
        <v/>
      </c>
    </row>
    <row r="20" spans="1:5" x14ac:dyDescent="0.25">
      <c r="A20" s="79" t="s">
        <v>272</v>
      </c>
      <c r="B20" s="122" t="str">
        <f>IF(NOT(ISBLANK('PAYG Input'!J22)),'PAYG Input'!J22,"")</f>
        <v/>
      </c>
      <c r="C20" s="122"/>
      <c r="D20" s="77" t="str">
        <f ca="1">IFERROR(INDEX(Validation!G:G,MATCH("PAYG 8"&amp;CELL("address",D20),Validation!I:I,0)),"")</f>
        <v/>
      </c>
      <c r="E20" s="66" t="str">
        <f ca="1">IFERROR(INDEX(Validation!F:F,MATCH("PAYG 8"&amp;CELL("address",D20),Validation!I:I,0)),"")</f>
        <v/>
      </c>
    </row>
    <row r="21" spans="1:5" x14ac:dyDescent="0.25">
      <c r="A21" s="130" t="s">
        <v>236</v>
      </c>
      <c r="B21" s="125">
        <f>SUM(B15:B20)</f>
        <v>0</v>
      </c>
      <c r="C21" s="125">
        <f>SUM(C15:C20)</f>
        <v>0</v>
      </c>
      <c r="D21" s="77" t="str">
        <f ca="1">IFERROR(INDEX(Validation!G:G,MATCH("PAYG 8"&amp;CELL("address",D21),Validation!I:I,0)),"")</f>
        <v/>
      </c>
      <c r="E21" s="66" t="str">
        <f ca="1">IFERROR(INDEX(Validation!F:F,MATCH("PAYG 8"&amp;CELL("address",D21),Validation!I:I,0)),"")</f>
        <v/>
      </c>
    </row>
    <row r="22" spans="1:5" x14ac:dyDescent="0.25">
      <c r="A22" s="131" t="s">
        <v>682</v>
      </c>
      <c r="B22" s="122" t="str">
        <f>IF(NOT(ISBLANK('PAYG Input'!J26)),'PAYG Input'!J26,"")</f>
        <v/>
      </c>
      <c r="C22" s="122"/>
      <c r="D22" s="77" t="str">
        <f ca="1">IFERROR(INDEX(Validation!G:G,MATCH("PAYG 8"&amp;CELL("address",D22),Validation!I:I,0)),"")</f>
        <v/>
      </c>
      <c r="E22" s="66" t="str">
        <f ca="1">IFERROR(INDEX(Validation!F:F,MATCH("PAYG 8"&amp;CELL("address",D22),Validation!I:I,0)),"")</f>
        <v/>
      </c>
    </row>
    <row r="23" spans="1:5" x14ac:dyDescent="0.25">
      <c r="A23" s="131" t="s">
        <v>683</v>
      </c>
      <c r="B23" s="122" t="str">
        <f>IF(NOT(ISBLANK('PAYG Input'!J28)),'PAYG Input'!J28,"")</f>
        <v/>
      </c>
      <c r="C23" s="122"/>
      <c r="D23" s="77" t="str">
        <f ca="1">IFERROR(INDEX(Validation!G:G,MATCH("PAYG 8"&amp;CELL("address",D23),Validation!I:I,0)),"")</f>
        <v/>
      </c>
      <c r="E23" s="66" t="str">
        <f ca="1">IFERROR(INDEX(Validation!F:F,MATCH("PAYG 8"&amp;CELL("address",D23),Validation!I:I,0)),"")</f>
        <v/>
      </c>
    </row>
    <row r="24" spans="1:5" ht="20.100000000000001" customHeight="1" x14ac:dyDescent="0.25">
      <c r="A24" s="74" t="s">
        <v>1311</v>
      </c>
      <c r="B24" s="74" t="s">
        <v>283</v>
      </c>
      <c r="C24" s="74" t="str">
        <f>Year_DestinationYearID&amp;" Amount"</f>
        <v>2024 Amount</v>
      </c>
      <c r="D24" s="77"/>
    </row>
    <row r="25" spans="1:5" x14ac:dyDescent="0.25">
      <c r="A25" s="79" t="s">
        <v>1188</v>
      </c>
      <c r="B25" s="122" t="str">
        <f>IF(NOT(ISBLANK('PAYG Input'!J30)),'PAYG Input'!J30,"")</f>
        <v/>
      </c>
      <c r="C25" s="122"/>
      <c r="D25" s="77" t="str">
        <f ca="1">IFERROR(INDEX(Validation!G:G,MATCH("PAYG 8"&amp;CELL("address",D25),Validation!I:I,0)),"")</f>
        <v/>
      </c>
      <c r="E25" s="66" t="str">
        <f ca="1">IFERROR(INDEX(Validation!F:F,MATCH("PAYG 8"&amp;CELL("address",D25),Validation!I:I,0)),"")</f>
        <v/>
      </c>
    </row>
    <row r="26" spans="1:5" x14ac:dyDescent="0.25">
      <c r="A26" s="79" t="s">
        <v>1190</v>
      </c>
      <c r="B26" s="122" t="str">
        <f>IF(NOT(ISBLANK('PAYG Input'!J32)),'PAYG Input'!J32,"")</f>
        <v/>
      </c>
      <c r="C26" s="122"/>
      <c r="D26" s="77" t="str">
        <f ca="1">IFERROR(INDEX(Validation!G:G,MATCH("PAYG 8"&amp;CELL("address",D26),Validation!I:I,0)),"")</f>
        <v/>
      </c>
      <c r="E26" s="66" t="str">
        <f ca="1">IFERROR(INDEX(Validation!F:F,MATCH("PAYG 8"&amp;CELL("address",D26),Validation!I:I,0)),"")</f>
        <v/>
      </c>
    </row>
    <row r="27" spans="1:5" x14ac:dyDescent="0.25">
      <c r="A27" s="79" t="s">
        <v>221</v>
      </c>
      <c r="B27" s="125" t="str">
        <f>IFERROR(B21-B25+B26,"")</f>
        <v/>
      </c>
      <c r="C27" s="125" t="str">
        <f>IFERROR(B21+C21-B25-C25+B26+C26,"")</f>
        <v/>
      </c>
      <c r="D27" s="77" t="str">
        <f ca="1">IFERROR(INDEX(Validation!G:G,MATCH("PAYG 8"&amp;CELL("address",D27),Validation!I:I,0)),"")</f>
        <v/>
      </c>
      <c r="E27" s="66" t="str">
        <f ca="1">IFERROR(INDEX(Validation!F:F,MATCH("PAYG 8"&amp;CELL("address",D27),Validation!I:I,0)),"")</f>
        <v/>
      </c>
    </row>
    <row r="28" spans="1:5" x14ac:dyDescent="0.25">
      <c r="A28" s="79" t="s">
        <v>223</v>
      </c>
      <c r="B28" s="122" t="str">
        <f>IF(NOT(ISBLANK('PAYG Input'!J36)),'PAYG Input'!J36,"")</f>
        <v/>
      </c>
      <c r="C28" s="122"/>
      <c r="D28" s="77" t="str">
        <f ca="1">IFERROR(INDEX(Validation!G:G,MATCH("PAYG 8"&amp;CELL("address",D28),Validation!I:I,0)),"")</f>
        <v/>
      </c>
      <c r="E28" s="66" t="str">
        <f ca="1">IFERROR(INDEX(Validation!F:F,MATCH("PAYG 8"&amp;CELL("address",D28),Validation!I:I,0)),"")</f>
        <v/>
      </c>
    </row>
    <row r="29" spans="1:5" x14ac:dyDescent="0.25">
      <c r="A29" s="79" t="s">
        <v>1191</v>
      </c>
      <c r="B29" s="122" t="str">
        <f>IF(NOT(ISBLANK('PAYG Input'!J38)),'PAYG Input'!J38,"")</f>
        <v/>
      </c>
      <c r="C29" s="122"/>
      <c r="D29" s="77" t="str">
        <f ca="1">IFERROR(INDEX(Validation!G:G,MATCH("PAYG 8"&amp;CELL("address",D29),Validation!I:I,0)),"")</f>
        <v/>
      </c>
      <c r="E29" s="66" t="str">
        <f ca="1">IFERROR(INDEX(Validation!F:F,MATCH("PAYG 8"&amp;CELL("address",D29),Validation!I:I,0)),"")</f>
        <v/>
      </c>
    </row>
    <row r="30" spans="1:5" ht="20.100000000000001" customHeight="1" x14ac:dyDescent="0.25">
      <c r="A30" s="74" t="str">
        <f>"Principal and Interest Due in "&amp;Year_DestinationYearID+1</f>
        <v>Principal and Interest Due in 2025</v>
      </c>
      <c r="B30" s="74"/>
      <c r="C30" s="128"/>
      <c r="D30" s="77"/>
    </row>
    <row r="31" spans="1:5" x14ac:dyDescent="0.25">
      <c r="A31" s="79" t="str">
        <f>"Principal Due in "&amp;Year_DestinationYearID+1</f>
        <v>Principal Due in 2025</v>
      </c>
      <c r="B31" s="122"/>
      <c r="C31" s="128"/>
      <c r="D31" s="77" t="str">
        <f ca="1">IFERROR(INDEX(Validation!G:G,MATCH("PAYG 8"&amp;CELL("address",D31),Validation!I:I,0)),"")</f>
        <v/>
      </c>
      <c r="E31" s="66" t="str">
        <f ca="1">IFERROR(INDEX(Validation!F:F,MATCH("PAYG 8"&amp;CELL("address",D31),Validation!I:I,0)),"")</f>
        <v/>
      </c>
    </row>
    <row r="32" spans="1:5" x14ac:dyDescent="0.25">
      <c r="A32" s="79" t="str">
        <f>"Interest Due in "&amp;Year_DestinationYearID+1</f>
        <v>Interest Due in 2025</v>
      </c>
      <c r="B32" s="122"/>
      <c r="C32" s="128"/>
      <c r="D32" s="77" t="str">
        <f ca="1">IFERROR(INDEX(Validation!G:G,MATCH("PAYG 8"&amp;CELL("address",D32),Validation!I:I,0)),"")</f>
        <v/>
      </c>
      <c r="E32" s="66" t="str">
        <f ca="1">IFERROR(INDEX(Validation!F:F,MATCH("PAYG 8"&amp;CELL("address",D32),Validation!I:I,0)),"")</f>
        <v/>
      </c>
    </row>
    <row r="33" spans="1:5" ht="20.100000000000001" customHeight="1" x14ac:dyDescent="0.25">
      <c r="A33" s="97" t="s">
        <v>176</v>
      </c>
      <c r="D33" s="77" t="str">
        <f ca="1">IF(AND(ISBLANK(A34),OR(COUNTIF(E6:E32,"Alert")&gt;0,SUM(B26:B26)&lt;&gt;0)),"Comment(s) required for remaining alert(s) and/or additions to principal.",IFERROR(INDEX(Validation!G:G,MATCH("PAYG 8"&amp;CELL("address",D34),Validation!I:I,0)),""))</f>
        <v/>
      </c>
      <c r="E33" s="66" t="str">
        <f ca="1">IF(AND(ISBLANK(A34),OR(COUNTIF(E6:E32,"Alert")&gt;0,SUM(B26:B26)&lt;&gt;0)),"Error",IFERROR(INDEX(Validation!F:F,MATCH("PAYG 8"&amp;CELL("address",D34),Validation!I:I,0)),""))</f>
        <v/>
      </c>
    </row>
    <row r="34" spans="1:5" ht="150" customHeight="1" x14ac:dyDescent="0.25">
      <c r="A34" s="123"/>
      <c r="B34" s="100" t="str">
        <f>HYPERLINK("#'PAYGs'!B6","Click here to return to the PAYGs Tab")</f>
        <v>Click here to return to the PAYGs Tab</v>
      </c>
      <c r="C34" s="127"/>
    </row>
    <row r="35" spans="1:5" x14ac:dyDescent="0.25">
      <c r="A35" s="98"/>
      <c r="B35" s="98"/>
      <c r="C35" s="98"/>
    </row>
    <row r="36" spans="1:5" x14ac:dyDescent="0.25">
      <c r="A36" s="98"/>
      <c r="B36" s="98"/>
      <c r="C36" s="98"/>
    </row>
    <row r="37" spans="1:5" x14ac:dyDescent="0.25">
      <c r="A37" s="98"/>
      <c r="B37" s="98"/>
      <c r="C37" s="98"/>
    </row>
    <row r="38" spans="1:5" x14ac:dyDescent="0.25">
      <c r="A38" s="98"/>
      <c r="B38" s="98"/>
      <c r="C38" s="98"/>
    </row>
  </sheetData>
  <sheetProtection algorithmName="SHA-512" hashValue="CMHmN1ZKAMVGAWAiqdWKjv4TUSCzUsLzgGJby4+tjZcNoDH0tgClDXV1+w6/Ul8IP3+GeptPckjhB8pVyMNyqA==" saltValue="Sb3i4bkGMO5VAgu0UrUupA==" spinCount="100000" sheet="1" objects="1" scenarios="1"/>
  <mergeCells count="1">
    <mergeCell ref="A4:E4"/>
  </mergeCells>
  <conditionalFormatting sqref="A2">
    <cfRule type="expression" dxfId="325" priority="5">
      <formula>$E2="Error"</formula>
    </cfRule>
    <cfRule type="expression" dxfId="323" priority="7">
      <formula>$E2="Exclude"</formula>
    </cfRule>
  </conditionalFormatting>
  <conditionalFormatting sqref="D6:E33">
    <cfRule type="expression" dxfId="322" priority="1">
      <formula>$E6="Information"</formula>
    </cfRule>
    <cfRule type="expression" dxfId="321" priority="2">
      <formula>$E6="Error"</formula>
    </cfRule>
    <cfRule type="expression" dxfId="320" priority="3">
      <formula>$E6="Alert"</formula>
    </cfRule>
    <cfRule type="expression" dxfId="319" priority="4">
      <formula>$E6="Exclude"</formula>
    </cfRule>
  </conditionalFormatting>
  <dataValidations count="1">
    <dataValidation type="list" allowBlank="1" showInputMessage="1" showErrorMessage="1" sqref="B13:C13" xr:uid="{FC46D2A3-B8B5-4C95-8909-ADF3B1DBA9BC}">
      <formula1>SelOneYesNo</formula1>
    </dataValidation>
  </dataValidations>
  <pageMargins left="0.7" right="0.7" top="0.75" bottom="0.75" header="0.3" footer="0.3"/>
  <pageSetup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6" id="{245C37F1-9292-42CC-8500-20EA59159A8B}">
            <xm:f>COUNTIFS(Validation!$H:$H,MID(CELL("filename",A2),FIND("]",CELL("filename",A2))+1,255)&amp;CELL("address",A2))&gt;0</xm:f>
            <x14:dxf>
              <font>
                <b/>
                <i val="0"/>
                <color rgb="FFC00000"/>
              </font>
              <numFmt numFmtId="172" formatCode="_(\!* #,##0_);_(\!* \(#,##0\);_(\!* \-??_);_(\!\ @_)"/>
            </x14:dxf>
          </x14:cfRule>
          <xm:sqref>A2</xm:sqref>
        </x14:conditionalFormatting>
      </x14:conditionalFormatting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046C1-DB10-4BF6-B25C-0A333CC7D265}">
  <sheetPr>
    <tabColor rgb="FFEED382"/>
  </sheetPr>
  <dimension ref="A1:F38"/>
  <sheetViews>
    <sheetView showGridLines="0" workbookViewId="0">
      <selection activeCell="B7" sqref="B7"/>
    </sheetView>
  </sheetViews>
  <sheetFormatPr defaultRowHeight="15" x14ac:dyDescent="0.25"/>
  <cols>
    <col min="1" max="1" width="55.7109375" style="66" customWidth="1"/>
    <col min="2" max="3" width="20.7109375" style="66" customWidth="1"/>
    <col min="4" max="4" width="80.85546875" style="66" customWidth="1"/>
    <col min="5" max="5" width="14.7109375" style="66" customWidth="1"/>
    <col min="6" max="6" width="0" style="78" hidden="1" customWidth="1"/>
    <col min="7" max="16384" width="9.140625" style="66"/>
  </cols>
  <sheetData>
    <row r="1" spans="1:6" s="59" customFormat="1" ht="24.95" customHeight="1" x14ac:dyDescent="0.25">
      <c r="A1" s="59" t="str">
        <f>_xlfn.CONCAT("Office of the State Auditor  -  TIF Annual Reporting Form  -  ",Year_DestinationYearID)</f>
        <v>Office of the State Auditor  -  TIF Annual Reporting Form  -  2024</v>
      </c>
      <c r="F1" s="61"/>
    </row>
    <row r="2" spans="1:6" s="62" customFormat="1" ht="20.100000000000001" customHeight="1" x14ac:dyDescent="0.25">
      <c r="A2" s="58" t="str">
        <f>_xlfn.CONCAT(GovEntity_GovEntityName_Parent,"  -  ",GovEntity_GovEntityName)</f>
        <v>Spruce City  -  TIF 1-1 Downtown Redev</v>
      </c>
      <c r="F2" s="64"/>
    </row>
    <row r="3" spans="1:6" s="68" customFormat="1" ht="24.95" customHeight="1" x14ac:dyDescent="0.3">
      <c r="A3" s="65" t="s">
        <v>233</v>
      </c>
      <c r="B3" s="66"/>
      <c r="C3" s="66"/>
      <c r="F3" s="69"/>
    </row>
    <row r="4" spans="1:6" s="71" customFormat="1" x14ac:dyDescent="0.25">
      <c r="A4" s="217" t="s">
        <v>207</v>
      </c>
      <c r="B4" s="217"/>
      <c r="C4" s="217"/>
      <c r="D4" s="217"/>
      <c r="E4" s="217"/>
      <c r="F4" s="72" t="s">
        <v>119</v>
      </c>
    </row>
    <row r="5" spans="1:6" s="74" customFormat="1" ht="20.100000000000001" customHeight="1" x14ac:dyDescent="0.25">
      <c r="A5" s="73" t="str">
        <f>HYPERLINK("#'PAYGs'!B6","Click here to return to the PAYGs Tab")</f>
        <v>Click here to return to the PAYGs Tab</v>
      </c>
      <c r="D5" s="74" t="s">
        <v>121</v>
      </c>
      <c r="E5" s="74" t="s">
        <v>102</v>
      </c>
      <c r="F5" s="76"/>
    </row>
    <row r="6" spans="1:6" ht="20.100000000000001" customHeight="1" x14ac:dyDescent="0.25">
      <c r="A6" s="74" t="s">
        <v>234</v>
      </c>
      <c r="D6" s="77" t="str">
        <f ca="1">IFERROR(INDEX(Validation!G:G,MATCH("PAYG 9"&amp;CELL("address",D6),Validation!I:I,0)),"")</f>
        <v/>
      </c>
      <c r="E6" s="66" t="str">
        <f ca="1">IFERROR(INDEX(Validation!F:F,MATCH("PAYG 9"&amp;CELL("address",D6),Validation!I:I,0)),"")</f>
        <v/>
      </c>
      <c r="F6" s="78" t="s">
        <v>1006</v>
      </c>
    </row>
    <row r="7" spans="1:6" x14ac:dyDescent="0.25">
      <c r="A7" s="79" t="s">
        <v>210</v>
      </c>
      <c r="B7" s="103" t="str">
        <f>IF(NOT(ISBLANK('PAYG Input'!K5)),'PAYG Input'!K5,"")</f>
        <v/>
      </c>
      <c r="D7" s="77" t="str">
        <f ca="1">IFERROR(INDEX(Validation!G:G,MATCH("PAYG 9"&amp;CELL("address",D7),Validation!I:I,0)),"")</f>
        <v/>
      </c>
      <c r="E7" s="66" t="str">
        <f ca="1">IFERROR(INDEX(Validation!F:F,MATCH("PAYG 9"&amp;CELL("address",D7),Validation!I:I,0)),"")</f>
        <v/>
      </c>
      <c r="F7" s="85" t="str">
        <f>IF(NOT(ISBLANK('PAYG Input'!K4)),'PAYG Input'!K4,"")</f>
        <v/>
      </c>
    </row>
    <row r="8" spans="1:6" x14ac:dyDescent="0.25">
      <c r="A8" s="79" t="s">
        <v>211</v>
      </c>
      <c r="B8" s="120" t="str">
        <f>IF(NOT(ISBLANK('PAYG Input'!K6)),'PAYG Input'!K6,"")</f>
        <v/>
      </c>
      <c r="C8" s="129"/>
      <c r="D8" s="77" t="str">
        <f ca="1">IFERROR(INDEX(Validation!G:G,MATCH("PAYG 9"&amp;CELL("address",D8),Validation!I:I,0)),"")</f>
        <v/>
      </c>
      <c r="E8" s="66" t="str">
        <f ca="1">IFERROR(INDEX(Validation!F:F,MATCH("PAYG 9"&amp;CELL("address",D8),Validation!I:I,0)),"")</f>
        <v/>
      </c>
    </row>
    <row r="9" spans="1:6" x14ac:dyDescent="0.25">
      <c r="A9" s="79" t="s">
        <v>212</v>
      </c>
      <c r="B9" s="120" t="str">
        <f>IF(NOT(ISBLANK('PAYG Input'!K7)),'PAYG Input'!K7,"")</f>
        <v/>
      </c>
      <c r="C9" s="129"/>
      <c r="D9" s="77" t="str">
        <f ca="1">IFERROR(INDEX(Validation!G:G,MATCH("PAYG 9"&amp;CELL("address",D9),Validation!I:I,0)),"")</f>
        <v/>
      </c>
      <c r="E9" s="66" t="str">
        <f ca="1">IFERROR(INDEX(Validation!F:F,MATCH("PAYG 9"&amp;CELL("address",D9),Validation!I:I,0)),"")</f>
        <v/>
      </c>
    </row>
    <row r="10" spans="1:6" x14ac:dyDescent="0.25">
      <c r="A10" s="79" t="s">
        <v>213</v>
      </c>
      <c r="B10" s="121" t="str">
        <f>IF(NOT(ISBLANK('PAYG Input'!K8)),'PAYG Input'!K8,"")</f>
        <v/>
      </c>
      <c r="C10" s="132"/>
      <c r="D10" s="77" t="str">
        <f ca="1">IFERROR(INDEX(Validation!G:G,MATCH("PAYG 9"&amp;CELL("address",D10),Validation!I:I,0)),"")</f>
        <v/>
      </c>
      <c r="E10" s="66" t="str">
        <f ca="1">IFERROR(INDEX(Validation!F:F,MATCH("PAYG 9"&amp;CELL("address",D10),Validation!I:I,0)),"")</f>
        <v/>
      </c>
    </row>
    <row r="11" spans="1:6" x14ac:dyDescent="0.25">
      <c r="A11" s="79" t="s">
        <v>214</v>
      </c>
      <c r="B11" s="121" t="str">
        <f>IF(NOT(ISBLANK('PAYG Input'!K9)),'PAYG Input'!K9,"")</f>
        <v/>
      </c>
      <c r="C11" s="132"/>
      <c r="D11" s="77" t="str">
        <f ca="1">IFERROR(INDEX(Validation!G:G,MATCH("PAYG 9"&amp;CELL("address",D11),Validation!I:I,0)),"")</f>
        <v/>
      </c>
      <c r="E11" s="66" t="str">
        <f ca="1">IFERROR(INDEX(Validation!F:F,MATCH("PAYG 9"&amp;CELL("address",D11),Validation!I:I,0)),"")</f>
        <v/>
      </c>
    </row>
    <row r="12" spans="1:6" x14ac:dyDescent="0.25">
      <c r="A12" s="79" t="s">
        <v>235</v>
      </c>
      <c r="B12" s="122" t="str">
        <f>IF(NOT(ISBLANK('PAYG Input'!K10)),'PAYG Input'!K10,"")</f>
        <v/>
      </c>
      <c r="C12" s="128"/>
      <c r="D12" s="77" t="str">
        <f ca="1">IFERROR(INDEX(Validation!G:G,MATCH("PAYG 9"&amp;CELL("address",D12),Validation!I:I,0)),"")</f>
        <v/>
      </c>
      <c r="E12" s="66" t="str">
        <f ca="1">IFERROR(INDEX(Validation!F:F,MATCH("PAYG 9"&amp;CELL("address",D12),Validation!I:I,0)),"")</f>
        <v/>
      </c>
    </row>
    <row r="13" spans="1:6" x14ac:dyDescent="0.25">
      <c r="A13" s="79" t="s">
        <v>232</v>
      </c>
      <c r="B13" s="103" t="str">
        <f>IF(ISBLANK('PAYG Input'!K11),"Select One",IF('PAYG Input'!K11=TRUE,"Yes","No"))</f>
        <v>Select One</v>
      </c>
      <c r="D13" s="77" t="str">
        <f ca="1">IFERROR(INDEX(Validation!G:G,MATCH("PAYG 9"&amp;CELL("address",D13),Validation!I:I,0)),"")</f>
        <v/>
      </c>
      <c r="E13" s="66" t="str">
        <f ca="1">IFERROR(INDEX(Validation!F:F,MATCH("PAYG 9"&amp;CELL("address",D13),Validation!I:I,0)),"")</f>
        <v/>
      </c>
    </row>
    <row r="14" spans="1:6" ht="20.100000000000001" customHeight="1" x14ac:dyDescent="0.25">
      <c r="A14" s="74" t="s">
        <v>681</v>
      </c>
      <c r="B14" s="74" t="s">
        <v>283</v>
      </c>
      <c r="C14" s="74" t="str">
        <f>Year_DestinationYearID&amp;" Amount"</f>
        <v>2024 Amount</v>
      </c>
      <c r="D14" s="77"/>
    </row>
    <row r="15" spans="1:6" x14ac:dyDescent="0.25">
      <c r="A15" s="79" t="s">
        <v>266</v>
      </c>
      <c r="B15" s="122" t="str">
        <f>IF(NOT(ISBLANK('PAYG Input'!K12)),'PAYG Input'!K12,"")</f>
        <v/>
      </c>
      <c r="C15" s="122"/>
      <c r="D15" s="77" t="str">
        <f ca="1">IFERROR(INDEX(Validation!G:G,MATCH("PAYG 9"&amp;CELL("address",D15),Validation!I:I,0)),"")</f>
        <v/>
      </c>
      <c r="E15" s="66" t="str">
        <f ca="1">IFERROR(INDEX(Validation!F:F,MATCH("PAYG 9"&amp;CELL("address",D15),Validation!I:I,0)),"")</f>
        <v/>
      </c>
    </row>
    <row r="16" spans="1:6" x14ac:dyDescent="0.25">
      <c r="A16" s="79" t="s">
        <v>267</v>
      </c>
      <c r="B16" s="122" t="str">
        <f>IF(NOT(ISBLANK('PAYG Input'!K14)),'PAYG Input'!K14,"")</f>
        <v/>
      </c>
      <c r="C16" s="122"/>
      <c r="D16" s="77" t="str">
        <f ca="1">IFERROR(INDEX(Validation!G:G,MATCH("PAYG 9"&amp;CELL("address",D16),Validation!I:I,0)),"")</f>
        <v/>
      </c>
      <c r="E16" s="66" t="str">
        <f ca="1">IFERROR(INDEX(Validation!F:F,MATCH("PAYG 9"&amp;CELL("address",D16),Validation!I:I,0)),"")</f>
        <v/>
      </c>
    </row>
    <row r="17" spans="1:5" x14ac:dyDescent="0.25">
      <c r="A17" s="79" t="s">
        <v>268</v>
      </c>
      <c r="B17" s="122" t="str">
        <f>IF(NOT(ISBLANK('PAYG Input'!K16)),'PAYG Input'!K16,"")</f>
        <v/>
      </c>
      <c r="C17" s="122"/>
      <c r="D17" s="77" t="str">
        <f ca="1">IFERROR(INDEX(Validation!G:G,MATCH("PAYG 9"&amp;CELL("address",D17),Validation!I:I,0)),"")</f>
        <v/>
      </c>
      <c r="E17" s="66" t="str">
        <f ca="1">IFERROR(INDEX(Validation!F:F,MATCH("PAYG 9"&amp;CELL("address",D17),Validation!I:I,0)),"")</f>
        <v/>
      </c>
    </row>
    <row r="18" spans="1:5" x14ac:dyDescent="0.25">
      <c r="A18" s="79" t="s">
        <v>269</v>
      </c>
      <c r="B18" s="122" t="str">
        <f>IF(NOT(ISBLANK('PAYG Input'!K18)),'PAYG Input'!K18,"")</f>
        <v/>
      </c>
      <c r="C18" s="122"/>
      <c r="D18" s="77" t="str">
        <f ca="1">IFERROR(INDEX(Validation!G:G,MATCH("PAYG 9"&amp;CELL("address",D18),Validation!I:I,0)),"")</f>
        <v/>
      </c>
      <c r="E18" s="66" t="str">
        <f ca="1">IFERROR(INDEX(Validation!F:F,MATCH("PAYG 9"&amp;CELL("address",D18),Validation!I:I,0)),"")</f>
        <v/>
      </c>
    </row>
    <row r="19" spans="1:5" x14ac:dyDescent="0.25">
      <c r="A19" s="79" t="s">
        <v>270</v>
      </c>
      <c r="B19" s="122" t="str">
        <f>IF(NOT(ISBLANK('PAYG Input'!K20)),'PAYG Input'!K20,"")</f>
        <v/>
      </c>
      <c r="C19" s="122"/>
      <c r="D19" s="77" t="str">
        <f ca="1">IFERROR(INDEX(Validation!G:G,MATCH("PAYG 9"&amp;CELL("address",D19),Validation!I:I,0)),"")</f>
        <v/>
      </c>
      <c r="E19" s="66" t="str">
        <f ca="1">IFERROR(INDEX(Validation!F:F,MATCH("PAYG 9"&amp;CELL("address",D19),Validation!I:I,0)),"")</f>
        <v/>
      </c>
    </row>
    <row r="20" spans="1:5" x14ac:dyDescent="0.25">
      <c r="A20" s="79" t="s">
        <v>272</v>
      </c>
      <c r="B20" s="122" t="str">
        <f>IF(NOT(ISBLANK('PAYG Input'!K22)),'PAYG Input'!K22,"")</f>
        <v/>
      </c>
      <c r="C20" s="122"/>
      <c r="D20" s="77" t="str">
        <f ca="1">IFERROR(INDEX(Validation!G:G,MATCH("PAYG 9"&amp;CELL("address",D20),Validation!I:I,0)),"")</f>
        <v/>
      </c>
      <c r="E20" s="66" t="str">
        <f ca="1">IFERROR(INDEX(Validation!F:F,MATCH("PAYG 9"&amp;CELL("address",D20),Validation!I:I,0)),"")</f>
        <v/>
      </c>
    </row>
    <row r="21" spans="1:5" x14ac:dyDescent="0.25">
      <c r="A21" s="130" t="s">
        <v>236</v>
      </c>
      <c r="B21" s="125">
        <f>SUM(B15:B20)</f>
        <v>0</v>
      </c>
      <c r="C21" s="125">
        <f>SUM(C15:C20)</f>
        <v>0</v>
      </c>
      <c r="D21" s="77" t="str">
        <f ca="1">IFERROR(INDEX(Validation!G:G,MATCH("PAYG 9"&amp;CELL("address",D21),Validation!I:I,0)),"")</f>
        <v/>
      </c>
      <c r="E21" s="66" t="str">
        <f ca="1">IFERROR(INDEX(Validation!F:F,MATCH("PAYG 9"&amp;CELL("address",D21),Validation!I:I,0)),"")</f>
        <v/>
      </c>
    </row>
    <row r="22" spans="1:5" x14ac:dyDescent="0.25">
      <c r="A22" s="131" t="s">
        <v>682</v>
      </c>
      <c r="B22" s="122" t="str">
        <f>IF(NOT(ISBLANK('PAYG Input'!K26)),'PAYG Input'!K26,"")</f>
        <v/>
      </c>
      <c r="C22" s="122"/>
      <c r="D22" s="77" t="str">
        <f ca="1">IFERROR(INDEX(Validation!G:G,MATCH("PAYG 9"&amp;CELL("address",D22),Validation!I:I,0)),"")</f>
        <v/>
      </c>
      <c r="E22" s="66" t="str">
        <f ca="1">IFERROR(INDEX(Validation!F:F,MATCH("PAYG 9"&amp;CELL("address",D22),Validation!I:I,0)),"")</f>
        <v/>
      </c>
    </row>
    <row r="23" spans="1:5" x14ac:dyDescent="0.25">
      <c r="A23" s="131" t="s">
        <v>683</v>
      </c>
      <c r="B23" s="122" t="str">
        <f>IF(NOT(ISBLANK('PAYG Input'!K28)),'PAYG Input'!K28,"")</f>
        <v/>
      </c>
      <c r="C23" s="122"/>
      <c r="D23" s="77" t="str">
        <f ca="1">IFERROR(INDEX(Validation!G:G,MATCH("PAYG 9"&amp;CELL("address",D23),Validation!I:I,0)),"")</f>
        <v/>
      </c>
      <c r="E23" s="66" t="str">
        <f ca="1">IFERROR(INDEX(Validation!F:F,MATCH("PAYG 9"&amp;CELL("address",D23),Validation!I:I,0)),"")</f>
        <v/>
      </c>
    </row>
    <row r="24" spans="1:5" ht="20.100000000000001" customHeight="1" x14ac:dyDescent="0.25">
      <c r="A24" s="74" t="s">
        <v>1311</v>
      </c>
      <c r="B24" s="74" t="s">
        <v>283</v>
      </c>
      <c r="C24" s="74" t="str">
        <f>Year_DestinationYearID&amp;" Amount"</f>
        <v>2024 Amount</v>
      </c>
      <c r="D24" s="77"/>
    </row>
    <row r="25" spans="1:5" x14ac:dyDescent="0.25">
      <c r="A25" s="79" t="s">
        <v>1188</v>
      </c>
      <c r="B25" s="122" t="str">
        <f>IF(NOT(ISBLANK('PAYG Input'!K30)),'PAYG Input'!K30,"")</f>
        <v/>
      </c>
      <c r="C25" s="122"/>
      <c r="D25" s="77" t="str">
        <f ca="1">IFERROR(INDEX(Validation!G:G,MATCH("PAYG 9"&amp;CELL("address",D25),Validation!I:I,0)),"")</f>
        <v/>
      </c>
      <c r="E25" s="66" t="str">
        <f ca="1">IFERROR(INDEX(Validation!F:F,MATCH("PAYG 9"&amp;CELL("address",D25),Validation!I:I,0)),"")</f>
        <v/>
      </c>
    </row>
    <row r="26" spans="1:5" x14ac:dyDescent="0.25">
      <c r="A26" s="79" t="s">
        <v>1190</v>
      </c>
      <c r="B26" s="122" t="str">
        <f>IF(NOT(ISBLANK('PAYG Input'!K32)),'PAYG Input'!K32,"")</f>
        <v/>
      </c>
      <c r="C26" s="122"/>
      <c r="D26" s="77" t="str">
        <f ca="1">IFERROR(INDEX(Validation!G:G,MATCH("PAYG 9"&amp;CELL("address",D26),Validation!I:I,0)),"")</f>
        <v/>
      </c>
      <c r="E26" s="66" t="str">
        <f ca="1">IFERROR(INDEX(Validation!F:F,MATCH("PAYG 9"&amp;CELL("address",D26),Validation!I:I,0)),"")</f>
        <v/>
      </c>
    </row>
    <row r="27" spans="1:5" x14ac:dyDescent="0.25">
      <c r="A27" s="79" t="s">
        <v>221</v>
      </c>
      <c r="B27" s="125" t="str">
        <f>IFERROR(B21-B25+B26,"")</f>
        <v/>
      </c>
      <c r="C27" s="125" t="str">
        <f>IFERROR(B21+C21-B25-C25+B26+C26,"")</f>
        <v/>
      </c>
      <c r="D27" s="77" t="str">
        <f ca="1">IFERROR(INDEX(Validation!G:G,MATCH("PAYG 9"&amp;CELL("address",D27),Validation!I:I,0)),"")</f>
        <v/>
      </c>
      <c r="E27" s="66" t="str">
        <f ca="1">IFERROR(INDEX(Validation!F:F,MATCH("PAYG 9"&amp;CELL("address",D27),Validation!I:I,0)),"")</f>
        <v/>
      </c>
    </row>
    <row r="28" spans="1:5" x14ac:dyDescent="0.25">
      <c r="A28" s="79" t="s">
        <v>223</v>
      </c>
      <c r="B28" s="122" t="str">
        <f>IF(NOT(ISBLANK('PAYG Input'!K36)),'PAYG Input'!K36,"")</f>
        <v/>
      </c>
      <c r="C28" s="122"/>
      <c r="D28" s="77" t="str">
        <f ca="1">IFERROR(INDEX(Validation!G:G,MATCH("PAYG 9"&amp;CELL("address",D28),Validation!I:I,0)),"")</f>
        <v/>
      </c>
      <c r="E28" s="66" t="str">
        <f ca="1">IFERROR(INDEX(Validation!F:F,MATCH("PAYG 9"&amp;CELL("address",D28),Validation!I:I,0)),"")</f>
        <v/>
      </c>
    </row>
    <row r="29" spans="1:5" x14ac:dyDescent="0.25">
      <c r="A29" s="79" t="s">
        <v>1191</v>
      </c>
      <c r="B29" s="122" t="str">
        <f>IF(NOT(ISBLANK('PAYG Input'!K38)),'PAYG Input'!K38,"")</f>
        <v/>
      </c>
      <c r="C29" s="122"/>
      <c r="D29" s="77" t="str">
        <f ca="1">IFERROR(INDEX(Validation!G:G,MATCH("PAYG 9"&amp;CELL("address",D29),Validation!I:I,0)),"")</f>
        <v/>
      </c>
      <c r="E29" s="66" t="str">
        <f ca="1">IFERROR(INDEX(Validation!F:F,MATCH("PAYG 9"&amp;CELL("address",D29),Validation!I:I,0)),"")</f>
        <v/>
      </c>
    </row>
    <row r="30" spans="1:5" ht="20.100000000000001" customHeight="1" x14ac:dyDescent="0.25">
      <c r="A30" s="74" t="str">
        <f>"Principal and Interest Due in "&amp;Year_DestinationYearID+1</f>
        <v>Principal and Interest Due in 2025</v>
      </c>
      <c r="B30" s="74"/>
      <c r="C30" s="128"/>
      <c r="D30" s="77"/>
    </row>
    <row r="31" spans="1:5" x14ac:dyDescent="0.25">
      <c r="A31" s="79" t="str">
        <f>"Principal Due in "&amp;Year_DestinationYearID+1</f>
        <v>Principal Due in 2025</v>
      </c>
      <c r="B31" s="122"/>
      <c r="C31" s="128"/>
      <c r="D31" s="77" t="str">
        <f ca="1">IFERROR(INDEX(Validation!G:G,MATCH("PAYG 9"&amp;CELL("address",D31),Validation!I:I,0)),"")</f>
        <v/>
      </c>
      <c r="E31" s="66" t="str">
        <f ca="1">IFERROR(INDEX(Validation!F:F,MATCH("PAYG 9"&amp;CELL("address",D31),Validation!I:I,0)),"")</f>
        <v/>
      </c>
    </row>
    <row r="32" spans="1:5" x14ac:dyDescent="0.25">
      <c r="A32" s="79" t="str">
        <f>"Interest Due in "&amp;Year_DestinationYearID+1</f>
        <v>Interest Due in 2025</v>
      </c>
      <c r="B32" s="122"/>
      <c r="C32" s="128"/>
      <c r="D32" s="77" t="str">
        <f ca="1">IFERROR(INDEX(Validation!G:G,MATCH("PAYG 9"&amp;CELL("address",D32),Validation!I:I,0)),"")</f>
        <v/>
      </c>
      <c r="E32" s="66" t="str">
        <f ca="1">IFERROR(INDEX(Validation!F:F,MATCH("PAYG 9"&amp;CELL("address",D32),Validation!I:I,0)),"")</f>
        <v/>
      </c>
    </row>
    <row r="33" spans="1:5" ht="20.100000000000001" customHeight="1" x14ac:dyDescent="0.25">
      <c r="A33" s="97" t="s">
        <v>176</v>
      </c>
      <c r="D33" s="77" t="str">
        <f ca="1">IF(AND(ISBLANK(A34),OR(COUNTIF(E6:E32,"Alert")&gt;0,SUM(B26:B26)&lt;&gt;0)),"Comment(s) required for remaining alert(s) and/or additions to principal.",IFERROR(INDEX(Validation!G:G,MATCH("PAYG 9"&amp;CELL("address",D34),Validation!I:I,0)),""))</f>
        <v/>
      </c>
      <c r="E33" s="66" t="str">
        <f ca="1">IF(AND(ISBLANK(A34),OR(COUNTIF(E6:E32,"Alert")&gt;0,SUM(B26:B26)&lt;&gt;0)),"Error",IFERROR(INDEX(Validation!F:F,MATCH("PAYG 9"&amp;CELL("address",D34),Validation!I:I,0)),""))</f>
        <v/>
      </c>
    </row>
    <row r="34" spans="1:5" ht="150" customHeight="1" x14ac:dyDescent="0.25">
      <c r="A34" s="123"/>
      <c r="B34" s="100" t="str">
        <f>HYPERLINK("#'PAYGs'!B6","Click here to return to the PAYGs Tab")</f>
        <v>Click here to return to the PAYGs Tab</v>
      </c>
      <c r="C34" s="127"/>
    </row>
    <row r="35" spans="1:5" x14ac:dyDescent="0.25">
      <c r="A35" s="98"/>
      <c r="B35" s="98"/>
      <c r="C35" s="98"/>
    </row>
    <row r="36" spans="1:5" x14ac:dyDescent="0.25">
      <c r="A36" s="98"/>
      <c r="B36" s="98"/>
      <c r="C36" s="98"/>
    </row>
    <row r="37" spans="1:5" x14ac:dyDescent="0.25">
      <c r="A37" s="98"/>
      <c r="B37" s="98"/>
      <c r="C37" s="98"/>
    </row>
    <row r="38" spans="1:5" x14ac:dyDescent="0.25">
      <c r="A38" s="98"/>
      <c r="B38" s="98"/>
      <c r="C38" s="98"/>
    </row>
  </sheetData>
  <sheetProtection algorithmName="SHA-512" hashValue="W6xvT+3fa/h+x2/tmgaJcewI4U0Cm4F8H+U+e6MEHQ4IxuVQbxyN+KNgFn3DWtlmUCbvHdgR2twQ3ilyZETtrA==" saltValue="I7m0jqmJozfAe+W/uSzviQ==" spinCount="100000" sheet="1" objects="1" scenarios="1"/>
  <mergeCells count="1">
    <mergeCell ref="A4:E4"/>
  </mergeCells>
  <conditionalFormatting sqref="A2">
    <cfRule type="expression" dxfId="318" priority="5">
      <formula>$E2="Error"</formula>
    </cfRule>
    <cfRule type="expression" dxfId="316" priority="7">
      <formula>$E2="Exclude"</formula>
    </cfRule>
  </conditionalFormatting>
  <conditionalFormatting sqref="D6:E33">
    <cfRule type="expression" dxfId="315" priority="1">
      <formula>$E6="Information"</formula>
    </cfRule>
    <cfRule type="expression" dxfId="314" priority="2">
      <formula>$E6="Error"</formula>
    </cfRule>
    <cfRule type="expression" dxfId="313" priority="3">
      <formula>$E6="Alert"</formula>
    </cfRule>
    <cfRule type="expression" dxfId="312" priority="4">
      <formula>$E6="Exclude"</formula>
    </cfRule>
  </conditionalFormatting>
  <dataValidations count="1">
    <dataValidation type="list" allowBlank="1" showInputMessage="1" showErrorMessage="1" sqref="B13:C13" xr:uid="{FDE420C9-890F-455F-AB44-22818B9DB907}">
      <formula1>SelOneYesNo</formula1>
    </dataValidation>
  </dataValidations>
  <pageMargins left="0.7" right="0.7" top="0.75" bottom="0.75" header="0.3" footer="0.3"/>
  <pageSetup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6" id="{2C547B48-9396-4E1A-8295-D76678843078}">
            <xm:f>COUNTIFS(Validation!$H:$H,MID(CELL("filename",A2),FIND("]",CELL("filename",A2))+1,255)&amp;CELL("address",A2))&gt;0</xm:f>
            <x14:dxf>
              <font>
                <b/>
                <i val="0"/>
                <color rgb="FFC00000"/>
              </font>
              <numFmt numFmtId="172" formatCode="_(\!* #,##0_);_(\!* \(#,##0\);_(\!* \-??_);_(\!\ @_)"/>
            </x14:dxf>
          </x14:cfRule>
          <xm:sqref>A2</xm:sqref>
        </x14:conditionalFormatting>
      </x14:conditionalFormatting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08036F-7BE7-496E-B1AD-7E9B562FF783}">
  <sheetPr>
    <tabColor rgb="FFEED382"/>
  </sheetPr>
  <dimension ref="A1:F38"/>
  <sheetViews>
    <sheetView showGridLines="0" workbookViewId="0">
      <selection activeCell="B7" sqref="B7"/>
    </sheetView>
  </sheetViews>
  <sheetFormatPr defaultRowHeight="15" x14ac:dyDescent="0.25"/>
  <cols>
    <col min="1" max="1" width="55.7109375" style="66" customWidth="1"/>
    <col min="2" max="3" width="20.7109375" style="66" customWidth="1"/>
    <col min="4" max="4" width="80.85546875" style="66" customWidth="1"/>
    <col min="5" max="5" width="14.7109375" style="66" customWidth="1"/>
    <col min="6" max="6" width="0" style="78" hidden="1" customWidth="1"/>
    <col min="7" max="16384" width="9.140625" style="66"/>
  </cols>
  <sheetData>
    <row r="1" spans="1:6" s="59" customFormat="1" ht="24.95" customHeight="1" x14ac:dyDescent="0.25">
      <c r="A1" s="59" t="str">
        <f>_xlfn.CONCAT("Office of the State Auditor  -  TIF Annual Reporting Form  -  ",Year_DestinationYearID)</f>
        <v>Office of the State Auditor  -  TIF Annual Reporting Form  -  2024</v>
      </c>
      <c r="F1" s="61"/>
    </row>
    <row r="2" spans="1:6" s="62" customFormat="1" ht="20.100000000000001" customHeight="1" x14ac:dyDescent="0.25">
      <c r="A2" s="58" t="str">
        <f>_xlfn.CONCAT(GovEntity_GovEntityName_Parent,"  -  ",GovEntity_GovEntityName)</f>
        <v>Spruce City  -  TIF 1-1 Downtown Redev</v>
      </c>
      <c r="F2" s="64"/>
    </row>
    <row r="3" spans="1:6" s="68" customFormat="1" ht="24.95" customHeight="1" x14ac:dyDescent="0.3">
      <c r="A3" s="65" t="s">
        <v>233</v>
      </c>
      <c r="B3" s="66"/>
      <c r="C3" s="66"/>
      <c r="F3" s="69"/>
    </row>
    <row r="4" spans="1:6" s="71" customFormat="1" x14ac:dyDescent="0.25">
      <c r="A4" s="217" t="s">
        <v>207</v>
      </c>
      <c r="B4" s="217"/>
      <c r="C4" s="217"/>
      <c r="D4" s="217"/>
      <c r="E4" s="217"/>
      <c r="F4" s="72" t="s">
        <v>119</v>
      </c>
    </row>
    <row r="5" spans="1:6" s="74" customFormat="1" ht="20.100000000000001" customHeight="1" x14ac:dyDescent="0.25">
      <c r="A5" s="73" t="str">
        <f>HYPERLINK("#'PAYGs'!B6","Click here to return to the PAYGs Tab")</f>
        <v>Click here to return to the PAYGs Tab</v>
      </c>
      <c r="D5" s="74" t="s">
        <v>121</v>
      </c>
      <c r="E5" s="74" t="s">
        <v>102</v>
      </c>
      <c r="F5" s="76"/>
    </row>
    <row r="6" spans="1:6" ht="20.100000000000001" customHeight="1" x14ac:dyDescent="0.25">
      <c r="A6" s="74" t="s">
        <v>234</v>
      </c>
      <c r="D6" s="77" t="str">
        <f ca="1">IFERROR(INDEX(Validation!G:G,MATCH("PAYG 10"&amp;CELL("address",D6),Validation!I:I,0)),"")</f>
        <v/>
      </c>
      <c r="E6" s="66" t="str">
        <f ca="1">IFERROR(INDEX(Validation!F:F,MATCH("PAYG 10"&amp;CELL("address",D6),Validation!I:I,0)),"")</f>
        <v/>
      </c>
      <c r="F6" s="78" t="s">
        <v>1006</v>
      </c>
    </row>
    <row r="7" spans="1:6" x14ac:dyDescent="0.25">
      <c r="A7" s="79" t="s">
        <v>210</v>
      </c>
      <c r="B7" s="103" t="str">
        <f>IF(NOT(ISBLANK('PAYG Input'!L5)),'PAYG Input'!L5,"")</f>
        <v/>
      </c>
      <c r="D7" s="77" t="str">
        <f ca="1">IFERROR(INDEX(Validation!G:G,MATCH("PAYG 10"&amp;CELL("address",D7),Validation!I:I,0)),"")</f>
        <v/>
      </c>
      <c r="E7" s="66" t="str">
        <f ca="1">IFERROR(INDEX(Validation!F:F,MATCH("PAYG 10"&amp;CELL("address",D7),Validation!I:I,0)),"")</f>
        <v/>
      </c>
      <c r="F7" s="85" t="str">
        <f>IF(NOT(ISBLANK('PAYG Input'!L4)),'PAYG Input'!L4,"")</f>
        <v/>
      </c>
    </row>
    <row r="8" spans="1:6" x14ac:dyDescent="0.25">
      <c r="A8" s="79" t="s">
        <v>211</v>
      </c>
      <c r="B8" s="120" t="str">
        <f>IF(NOT(ISBLANK('PAYG Input'!L6)),'PAYG Input'!L6,"")</f>
        <v/>
      </c>
      <c r="C8" s="129"/>
      <c r="D8" s="77" t="str">
        <f ca="1">IFERROR(INDEX(Validation!G:G,MATCH("PAYG 10"&amp;CELL("address",D8),Validation!I:I,0)),"")</f>
        <v/>
      </c>
      <c r="E8" s="66" t="str">
        <f ca="1">IFERROR(INDEX(Validation!F:F,MATCH("PAYG 10"&amp;CELL("address",D8),Validation!I:I,0)),"")</f>
        <v/>
      </c>
    </row>
    <row r="9" spans="1:6" x14ac:dyDescent="0.25">
      <c r="A9" s="79" t="s">
        <v>212</v>
      </c>
      <c r="B9" s="120" t="str">
        <f>IF(NOT(ISBLANK('PAYG Input'!L7)),'PAYG Input'!L7,"")</f>
        <v/>
      </c>
      <c r="C9" s="129"/>
      <c r="D9" s="77" t="str">
        <f ca="1">IFERROR(INDEX(Validation!G:G,MATCH("PAYG 10"&amp;CELL("address",D9),Validation!I:I,0)),"")</f>
        <v/>
      </c>
      <c r="E9" s="66" t="str">
        <f ca="1">IFERROR(INDEX(Validation!F:F,MATCH("PAYG 10"&amp;CELL("address",D9),Validation!I:I,0)),"")</f>
        <v/>
      </c>
    </row>
    <row r="10" spans="1:6" x14ac:dyDescent="0.25">
      <c r="A10" s="79" t="s">
        <v>213</v>
      </c>
      <c r="B10" s="121" t="str">
        <f>IF(NOT(ISBLANK('PAYG Input'!L8)),'PAYG Input'!L8,"")</f>
        <v/>
      </c>
      <c r="C10" s="132"/>
      <c r="D10" s="77" t="str">
        <f ca="1">IFERROR(INDEX(Validation!G:G,MATCH("PAYG 10"&amp;CELL("address",D10),Validation!I:I,0)),"")</f>
        <v/>
      </c>
      <c r="E10" s="66" t="str">
        <f ca="1">IFERROR(INDEX(Validation!F:F,MATCH("PAYG 10"&amp;CELL("address",D10),Validation!I:I,0)),"")</f>
        <v/>
      </c>
    </row>
    <row r="11" spans="1:6" x14ac:dyDescent="0.25">
      <c r="A11" s="79" t="s">
        <v>214</v>
      </c>
      <c r="B11" s="121" t="str">
        <f>IF(NOT(ISBLANK('PAYG Input'!L9)),'PAYG Input'!L9,"")</f>
        <v/>
      </c>
      <c r="C11" s="132"/>
      <c r="D11" s="77" t="str">
        <f ca="1">IFERROR(INDEX(Validation!G:G,MATCH("PAYG 10"&amp;CELL("address",D11),Validation!I:I,0)),"")</f>
        <v/>
      </c>
      <c r="E11" s="66" t="str">
        <f ca="1">IFERROR(INDEX(Validation!F:F,MATCH("PAYG 10"&amp;CELL("address",D11),Validation!I:I,0)),"")</f>
        <v/>
      </c>
    </row>
    <row r="12" spans="1:6" x14ac:dyDescent="0.25">
      <c r="A12" s="79" t="s">
        <v>235</v>
      </c>
      <c r="B12" s="122" t="str">
        <f>IF(NOT(ISBLANK('PAYG Input'!L10)),'PAYG Input'!L10,"")</f>
        <v/>
      </c>
      <c r="C12" s="128"/>
      <c r="D12" s="77" t="str">
        <f ca="1">IFERROR(INDEX(Validation!G:G,MATCH("PAYG 10"&amp;CELL("address",D12),Validation!I:I,0)),"")</f>
        <v/>
      </c>
      <c r="E12" s="66" t="str">
        <f ca="1">IFERROR(INDEX(Validation!F:F,MATCH("PAYG 10"&amp;CELL("address",D12),Validation!I:I,0)),"")</f>
        <v/>
      </c>
    </row>
    <row r="13" spans="1:6" x14ac:dyDescent="0.25">
      <c r="A13" s="79" t="s">
        <v>232</v>
      </c>
      <c r="B13" s="103" t="str">
        <f>IF(ISBLANK('PAYG Input'!L11),"Select One",IF('PAYG Input'!L11=TRUE,"Yes","No"))</f>
        <v>Select One</v>
      </c>
      <c r="D13" s="77" t="str">
        <f ca="1">IFERROR(INDEX(Validation!G:G,MATCH("PAYG 10"&amp;CELL("address",D13),Validation!I:I,0)),"")</f>
        <v/>
      </c>
      <c r="E13" s="66" t="str">
        <f ca="1">IFERROR(INDEX(Validation!F:F,MATCH("PAYG 10"&amp;CELL("address",D13),Validation!I:I,0)),"")</f>
        <v/>
      </c>
    </row>
    <row r="14" spans="1:6" ht="20.100000000000001" customHeight="1" x14ac:dyDescent="0.25">
      <c r="A14" s="74" t="s">
        <v>681</v>
      </c>
      <c r="B14" s="74" t="s">
        <v>283</v>
      </c>
      <c r="C14" s="74" t="str">
        <f>Year_DestinationYearID&amp;" Amount"</f>
        <v>2024 Amount</v>
      </c>
      <c r="D14" s="77"/>
    </row>
    <row r="15" spans="1:6" x14ac:dyDescent="0.25">
      <c r="A15" s="79" t="s">
        <v>266</v>
      </c>
      <c r="B15" s="122" t="str">
        <f>IF(NOT(ISBLANK('PAYG Input'!L12)),'PAYG Input'!L12,"")</f>
        <v/>
      </c>
      <c r="C15" s="122"/>
      <c r="D15" s="77" t="str">
        <f ca="1">IFERROR(INDEX(Validation!G:G,MATCH("PAYG 10"&amp;CELL("address",D15),Validation!I:I,0)),"")</f>
        <v/>
      </c>
      <c r="E15" s="66" t="str">
        <f ca="1">IFERROR(INDEX(Validation!F:F,MATCH("PAYG 10"&amp;CELL("address",D15),Validation!I:I,0)),"")</f>
        <v/>
      </c>
    </row>
    <row r="16" spans="1:6" x14ac:dyDescent="0.25">
      <c r="A16" s="79" t="s">
        <v>267</v>
      </c>
      <c r="B16" s="122" t="str">
        <f>IF(NOT(ISBLANK('PAYG Input'!L14)),'PAYG Input'!L14,"")</f>
        <v/>
      </c>
      <c r="C16" s="122"/>
      <c r="D16" s="77" t="str">
        <f ca="1">IFERROR(INDEX(Validation!G:G,MATCH("PAYG 10"&amp;CELL("address",D16),Validation!I:I,0)),"")</f>
        <v/>
      </c>
      <c r="E16" s="66" t="str">
        <f ca="1">IFERROR(INDEX(Validation!F:F,MATCH("PAYG 10"&amp;CELL("address",D16),Validation!I:I,0)),"")</f>
        <v/>
      </c>
    </row>
    <row r="17" spans="1:5" x14ac:dyDescent="0.25">
      <c r="A17" s="79" t="s">
        <v>268</v>
      </c>
      <c r="B17" s="122" t="str">
        <f>IF(NOT(ISBLANK('PAYG Input'!L16)),'PAYG Input'!L16,"")</f>
        <v/>
      </c>
      <c r="C17" s="122"/>
      <c r="D17" s="77" t="str">
        <f ca="1">IFERROR(INDEX(Validation!G:G,MATCH("PAYG 10"&amp;CELL("address",D17),Validation!I:I,0)),"")</f>
        <v/>
      </c>
      <c r="E17" s="66" t="str">
        <f ca="1">IFERROR(INDEX(Validation!F:F,MATCH("PAYG 10"&amp;CELL("address",D17),Validation!I:I,0)),"")</f>
        <v/>
      </c>
    </row>
    <row r="18" spans="1:5" x14ac:dyDescent="0.25">
      <c r="A18" s="79" t="s">
        <v>269</v>
      </c>
      <c r="B18" s="122" t="str">
        <f>IF(NOT(ISBLANK('PAYG Input'!L18)),'PAYG Input'!L18,"")</f>
        <v/>
      </c>
      <c r="C18" s="122"/>
      <c r="D18" s="77" t="str">
        <f ca="1">IFERROR(INDEX(Validation!G:G,MATCH("PAYG 10"&amp;CELL("address",D18),Validation!I:I,0)),"")</f>
        <v/>
      </c>
      <c r="E18" s="66" t="str">
        <f ca="1">IFERROR(INDEX(Validation!F:F,MATCH("PAYG 10"&amp;CELL("address",D18),Validation!I:I,0)),"")</f>
        <v/>
      </c>
    </row>
    <row r="19" spans="1:5" x14ac:dyDescent="0.25">
      <c r="A19" s="79" t="s">
        <v>270</v>
      </c>
      <c r="B19" s="122" t="str">
        <f>IF(NOT(ISBLANK('PAYG Input'!L20)),'PAYG Input'!L20,"")</f>
        <v/>
      </c>
      <c r="C19" s="122"/>
      <c r="D19" s="77" t="str">
        <f ca="1">IFERROR(INDEX(Validation!G:G,MATCH("PAYG 10"&amp;CELL("address",D19),Validation!I:I,0)),"")</f>
        <v/>
      </c>
      <c r="E19" s="66" t="str">
        <f ca="1">IFERROR(INDEX(Validation!F:F,MATCH("PAYG 10"&amp;CELL("address",D19),Validation!I:I,0)),"")</f>
        <v/>
      </c>
    </row>
    <row r="20" spans="1:5" x14ac:dyDescent="0.25">
      <c r="A20" s="79" t="s">
        <v>272</v>
      </c>
      <c r="B20" s="122" t="str">
        <f>IF(NOT(ISBLANK('PAYG Input'!L22)),'PAYG Input'!L22,"")</f>
        <v/>
      </c>
      <c r="C20" s="122"/>
      <c r="D20" s="77" t="str">
        <f ca="1">IFERROR(INDEX(Validation!G:G,MATCH("PAYG 10"&amp;CELL("address",D20),Validation!I:I,0)),"")</f>
        <v/>
      </c>
      <c r="E20" s="66" t="str">
        <f ca="1">IFERROR(INDEX(Validation!F:F,MATCH("PAYG 10"&amp;CELL("address",D20),Validation!I:I,0)),"")</f>
        <v/>
      </c>
    </row>
    <row r="21" spans="1:5" x14ac:dyDescent="0.25">
      <c r="A21" s="130" t="s">
        <v>236</v>
      </c>
      <c r="B21" s="125">
        <f>SUM(B15:B20)</f>
        <v>0</v>
      </c>
      <c r="C21" s="125">
        <f>SUM(C15:C20)</f>
        <v>0</v>
      </c>
      <c r="D21" s="77" t="str">
        <f ca="1">IFERROR(INDEX(Validation!G:G,MATCH("PAYG 10"&amp;CELL("address",D21),Validation!I:I,0)),"")</f>
        <v/>
      </c>
      <c r="E21" s="66" t="str">
        <f ca="1">IFERROR(INDEX(Validation!F:F,MATCH("PAYG 10"&amp;CELL("address",D21),Validation!I:I,0)),"")</f>
        <v/>
      </c>
    </row>
    <row r="22" spans="1:5" x14ac:dyDescent="0.25">
      <c r="A22" s="131" t="s">
        <v>682</v>
      </c>
      <c r="B22" s="122" t="str">
        <f>IF(NOT(ISBLANK('PAYG Input'!L26)),'PAYG Input'!L26,"")</f>
        <v/>
      </c>
      <c r="C22" s="122"/>
      <c r="D22" s="77" t="str">
        <f ca="1">IFERROR(INDEX(Validation!G:G,MATCH("PAYG 10"&amp;CELL("address",D22),Validation!I:I,0)),"")</f>
        <v/>
      </c>
      <c r="E22" s="66" t="str">
        <f ca="1">IFERROR(INDEX(Validation!F:F,MATCH("PAYG 10"&amp;CELL("address",D22),Validation!I:I,0)),"")</f>
        <v/>
      </c>
    </row>
    <row r="23" spans="1:5" x14ac:dyDescent="0.25">
      <c r="A23" s="131" t="s">
        <v>683</v>
      </c>
      <c r="B23" s="122" t="str">
        <f>IF(NOT(ISBLANK('PAYG Input'!L28)),'PAYG Input'!L28,"")</f>
        <v/>
      </c>
      <c r="C23" s="122"/>
      <c r="D23" s="77" t="str">
        <f ca="1">IFERROR(INDEX(Validation!G:G,MATCH("PAYG 10"&amp;CELL("address",D23),Validation!I:I,0)),"")</f>
        <v/>
      </c>
      <c r="E23" s="66" t="str">
        <f ca="1">IFERROR(INDEX(Validation!F:F,MATCH("PAYG 10"&amp;CELL("address",D23),Validation!I:I,0)),"")</f>
        <v/>
      </c>
    </row>
    <row r="24" spans="1:5" ht="20.100000000000001" customHeight="1" x14ac:dyDescent="0.25">
      <c r="A24" s="74" t="s">
        <v>1311</v>
      </c>
      <c r="B24" s="74" t="s">
        <v>283</v>
      </c>
      <c r="C24" s="74" t="str">
        <f>Year_DestinationYearID&amp;" Amount"</f>
        <v>2024 Amount</v>
      </c>
      <c r="D24" s="77"/>
    </row>
    <row r="25" spans="1:5" x14ac:dyDescent="0.25">
      <c r="A25" s="79" t="s">
        <v>1188</v>
      </c>
      <c r="B25" s="122" t="str">
        <f>IF(NOT(ISBLANK('PAYG Input'!L30)),'PAYG Input'!L30,"")</f>
        <v/>
      </c>
      <c r="C25" s="122"/>
      <c r="D25" s="77" t="str">
        <f ca="1">IFERROR(INDEX(Validation!G:G,MATCH("PAYG 10"&amp;CELL("address",D25),Validation!I:I,0)),"")</f>
        <v/>
      </c>
      <c r="E25" s="66" t="str">
        <f ca="1">IFERROR(INDEX(Validation!F:F,MATCH("PAYG 10"&amp;CELL("address",D25),Validation!I:I,0)),"")</f>
        <v/>
      </c>
    </row>
    <row r="26" spans="1:5" x14ac:dyDescent="0.25">
      <c r="A26" s="79" t="s">
        <v>1190</v>
      </c>
      <c r="B26" s="122" t="str">
        <f>IF(NOT(ISBLANK('PAYG Input'!L32)),'PAYG Input'!L32,"")</f>
        <v/>
      </c>
      <c r="C26" s="122"/>
      <c r="D26" s="77" t="str">
        <f ca="1">IFERROR(INDEX(Validation!G:G,MATCH("PAYG 10"&amp;CELL("address",D26),Validation!I:I,0)),"")</f>
        <v/>
      </c>
      <c r="E26" s="66" t="str">
        <f ca="1">IFERROR(INDEX(Validation!F:F,MATCH("PAYG 10"&amp;CELL("address",D26),Validation!I:I,0)),"")</f>
        <v/>
      </c>
    </row>
    <row r="27" spans="1:5" x14ac:dyDescent="0.25">
      <c r="A27" s="79" t="s">
        <v>221</v>
      </c>
      <c r="B27" s="125" t="str">
        <f>IFERROR(B21-B25+B26,"")</f>
        <v/>
      </c>
      <c r="C27" s="125" t="str">
        <f>IFERROR(B21+C21-B25-C25+B26+C26,"")</f>
        <v/>
      </c>
      <c r="D27" s="77" t="str">
        <f ca="1">IFERROR(INDEX(Validation!G:G,MATCH("PAYG 10"&amp;CELL("address",D27),Validation!I:I,0)),"")</f>
        <v/>
      </c>
      <c r="E27" s="66" t="str">
        <f ca="1">IFERROR(INDEX(Validation!F:F,MATCH("PAYG 10"&amp;CELL("address",D27),Validation!I:I,0)),"")</f>
        <v/>
      </c>
    </row>
    <row r="28" spans="1:5" x14ac:dyDescent="0.25">
      <c r="A28" s="79" t="s">
        <v>223</v>
      </c>
      <c r="B28" s="122" t="str">
        <f>IF(NOT(ISBLANK('PAYG Input'!L36)),'PAYG Input'!L36,"")</f>
        <v/>
      </c>
      <c r="C28" s="122"/>
      <c r="D28" s="77" t="str">
        <f ca="1">IFERROR(INDEX(Validation!G:G,MATCH("PAYG 10"&amp;CELL("address",D28),Validation!I:I,0)),"")</f>
        <v/>
      </c>
      <c r="E28" s="66" t="str">
        <f ca="1">IFERROR(INDEX(Validation!F:F,MATCH("PAYG 10"&amp;CELL("address",D28),Validation!I:I,0)),"")</f>
        <v/>
      </c>
    </row>
    <row r="29" spans="1:5" x14ac:dyDescent="0.25">
      <c r="A29" s="79" t="s">
        <v>1191</v>
      </c>
      <c r="B29" s="122" t="str">
        <f>IF(NOT(ISBLANK('PAYG Input'!L38)),'PAYG Input'!L38,"")</f>
        <v/>
      </c>
      <c r="C29" s="122"/>
      <c r="D29" s="77" t="str">
        <f ca="1">IFERROR(INDEX(Validation!G:G,MATCH("PAYG 10"&amp;CELL("address",D29),Validation!I:I,0)),"")</f>
        <v/>
      </c>
      <c r="E29" s="66" t="str">
        <f ca="1">IFERROR(INDEX(Validation!F:F,MATCH("PAYG 10"&amp;CELL("address",D29),Validation!I:I,0)),"")</f>
        <v/>
      </c>
    </row>
    <row r="30" spans="1:5" ht="20.100000000000001" customHeight="1" x14ac:dyDescent="0.25">
      <c r="A30" s="74" t="str">
        <f>"Principal and Interest Due in "&amp;Year_DestinationYearID+1</f>
        <v>Principal and Interest Due in 2025</v>
      </c>
      <c r="B30" s="74"/>
      <c r="C30" s="128"/>
      <c r="D30" s="77"/>
    </row>
    <row r="31" spans="1:5" x14ac:dyDescent="0.25">
      <c r="A31" s="79" t="str">
        <f>"Principal Due in "&amp;Year_DestinationYearID+1</f>
        <v>Principal Due in 2025</v>
      </c>
      <c r="B31" s="122"/>
      <c r="C31" s="128"/>
      <c r="D31" s="77" t="str">
        <f ca="1">IFERROR(INDEX(Validation!G:G,MATCH("PAYG 10"&amp;CELL("address",D31),Validation!I:I,0)),"")</f>
        <v/>
      </c>
      <c r="E31" s="66" t="str">
        <f ca="1">IFERROR(INDEX(Validation!F:F,MATCH("PAYG 10"&amp;CELL("address",D31),Validation!I:I,0)),"")</f>
        <v/>
      </c>
    </row>
    <row r="32" spans="1:5" x14ac:dyDescent="0.25">
      <c r="A32" s="79" t="str">
        <f>"Interest Due in "&amp;Year_DestinationYearID+1</f>
        <v>Interest Due in 2025</v>
      </c>
      <c r="B32" s="122"/>
      <c r="C32" s="128"/>
      <c r="D32" s="77" t="str">
        <f ca="1">IFERROR(INDEX(Validation!G:G,MATCH("PAYG 10"&amp;CELL("address",D32),Validation!I:I,0)),"")</f>
        <v/>
      </c>
      <c r="E32" s="66" t="str">
        <f ca="1">IFERROR(INDEX(Validation!F:F,MATCH("PAYG 10"&amp;CELL("address",D32),Validation!I:I,0)),"")</f>
        <v/>
      </c>
    </row>
    <row r="33" spans="1:5" ht="20.100000000000001" customHeight="1" x14ac:dyDescent="0.25">
      <c r="A33" s="97" t="s">
        <v>176</v>
      </c>
      <c r="D33" s="77" t="str">
        <f ca="1">IF(AND(ISBLANK(A34),OR(COUNTIF(E6:E32,"Alert")&gt;0,SUM(B26:B26)&lt;&gt;0)),"Comment(s) required for remaining alert(s) and/or additions to principal.",IFERROR(INDEX(Validation!G:G,MATCH("PAYG 10"&amp;CELL("address",D34),Validation!I:I,0)),""))</f>
        <v/>
      </c>
      <c r="E33" s="66" t="str">
        <f ca="1">IF(AND(ISBLANK(A34),OR(COUNTIF(E6:E32,"Alert")&gt;0,SUM(B26:B26)&lt;&gt;0)),"Error",IFERROR(INDEX(Validation!F:F,MATCH("PAYG 10"&amp;CELL("address",D34),Validation!I:I,0)),""))</f>
        <v/>
      </c>
    </row>
    <row r="34" spans="1:5" ht="150" customHeight="1" x14ac:dyDescent="0.25">
      <c r="A34" s="123"/>
      <c r="B34" s="100" t="str">
        <f>HYPERLINK("#'PAYGs'!B6","Click here to return to the PAYGs Tab")</f>
        <v>Click here to return to the PAYGs Tab</v>
      </c>
      <c r="C34" s="127"/>
    </row>
    <row r="35" spans="1:5" x14ac:dyDescent="0.25">
      <c r="A35" s="98"/>
      <c r="B35" s="98"/>
      <c r="C35" s="98"/>
    </row>
    <row r="36" spans="1:5" x14ac:dyDescent="0.25">
      <c r="A36" s="98"/>
      <c r="B36" s="98"/>
      <c r="C36" s="98"/>
    </row>
    <row r="37" spans="1:5" x14ac:dyDescent="0.25">
      <c r="A37" s="98"/>
      <c r="B37" s="98"/>
      <c r="C37" s="98"/>
    </row>
    <row r="38" spans="1:5" x14ac:dyDescent="0.25">
      <c r="A38" s="98"/>
      <c r="B38" s="98"/>
      <c r="C38" s="98"/>
    </row>
  </sheetData>
  <sheetProtection algorithmName="SHA-512" hashValue="/fveBjHVfBV5y5ncInh86vxHC4W2yAj67pKU/YrdYs7GXdeGnCi7J4cdI9bqVIHcII+ug70pvXSFccgiDkYmyA==" saltValue="1QwhhmUZ3SSSSxFkql+SNg==" spinCount="100000" sheet="1" objects="1" scenarios="1"/>
  <mergeCells count="1">
    <mergeCell ref="A4:E4"/>
  </mergeCells>
  <conditionalFormatting sqref="A2">
    <cfRule type="expression" dxfId="311" priority="5">
      <formula>$E2="Error"</formula>
    </cfRule>
    <cfRule type="expression" dxfId="309" priority="7">
      <formula>$E2="Exclude"</formula>
    </cfRule>
  </conditionalFormatting>
  <conditionalFormatting sqref="D6:E33">
    <cfRule type="expression" dxfId="308" priority="1">
      <formula>$E6="Information"</formula>
    </cfRule>
    <cfRule type="expression" dxfId="307" priority="2">
      <formula>$E6="Error"</formula>
    </cfRule>
    <cfRule type="expression" dxfId="306" priority="3">
      <formula>$E6="Alert"</formula>
    </cfRule>
    <cfRule type="expression" dxfId="305" priority="4">
      <formula>$E6="Exclude"</formula>
    </cfRule>
  </conditionalFormatting>
  <dataValidations count="1">
    <dataValidation type="list" allowBlank="1" showInputMessage="1" showErrorMessage="1" sqref="B13:C13" xr:uid="{E67307BE-D96B-4F90-AC98-66E5865E7124}">
      <formula1>SelOneYesNo</formula1>
    </dataValidation>
  </dataValidations>
  <pageMargins left="0.7" right="0.7" top="0.75" bottom="0.75" header="0.3" footer="0.3"/>
  <pageSetup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6" id="{9B3ED413-B524-40C0-BB4D-8188021E5140}">
            <xm:f>COUNTIFS(Validation!$H:$H,MID(CELL("filename",A2),FIND("]",CELL("filename",A2))+1,255)&amp;CELL("address",A2))&gt;0</xm:f>
            <x14:dxf>
              <font>
                <b/>
                <i val="0"/>
                <color rgb="FFC00000"/>
              </font>
              <numFmt numFmtId="172" formatCode="_(\!* #,##0_);_(\!* \(#,##0\);_(\!* \-??_);_(\!\ @_)"/>
            </x14:dxf>
          </x14:cfRule>
          <xm:sqref>A2</xm:sqref>
        </x14:conditionalFormatting>
      </x14:conditionalFormatting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762536-F5AF-4E18-B255-7B8B8DE36092}">
  <sheetPr>
    <tabColor rgb="FFEED382"/>
  </sheetPr>
  <dimension ref="A1:F38"/>
  <sheetViews>
    <sheetView showGridLines="0" workbookViewId="0">
      <selection activeCell="B7" sqref="B7"/>
    </sheetView>
  </sheetViews>
  <sheetFormatPr defaultRowHeight="15" x14ac:dyDescent="0.25"/>
  <cols>
    <col min="1" max="1" width="55.7109375" style="66" customWidth="1"/>
    <col min="2" max="3" width="20.7109375" style="66" customWidth="1"/>
    <col min="4" max="4" width="80.85546875" style="66" customWidth="1"/>
    <col min="5" max="5" width="14.7109375" style="66" customWidth="1"/>
    <col min="6" max="6" width="0" style="78" hidden="1" customWidth="1"/>
    <col min="7" max="16384" width="9.140625" style="66"/>
  </cols>
  <sheetData>
    <row r="1" spans="1:6" s="59" customFormat="1" ht="24.95" customHeight="1" x14ac:dyDescent="0.25">
      <c r="A1" s="59" t="str">
        <f>_xlfn.CONCAT("Office of the State Auditor  -  TIF Annual Reporting Form  -  ",Year_DestinationYearID)</f>
        <v>Office of the State Auditor  -  TIF Annual Reporting Form  -  2024</v>
      </c>
      <c r="F1" s="61"/>
    </row>
    <row r="2" spans="1:6" s="62" customFormat="1" ht="20.100000000000001" customHeight="1" x14ac:dyDescent="0.25">
      <c r="A2" s="58" t="str">
        <f>_xlfn.CONCAT(GovEntity_GovEntityName_Parent,"  -  ",GovEntity_GovEntityName)</f>
        <v>Spruce City  -  TIF 1-1 Downtown Redev</v>
      </c>
      <c r="F2" s="64"/>
    </row>
    <row r="3" spans="1:6" s="68" customFormat="1" ht="24.95" customHeight="1" x14ac:dyDescent="0.3">
      <c r="A3" s="65" t="s">
        <v>233</v>
      </c>
      <c r="B3" s="66"/>
      <c r="C3" s="66"/>
      <c r="F3" s="69"/>
    </row>
    <row r="4" spans="1:6" s="71" customFormat="1" x14ac:dyDescent="0.25">
      <c r="A4" s="217" t="s">
        <v>207</v>
      </c>
      <c r="B4" s="217"/>
      <c r="C4" s="217"/>
      <c r="D4" s="217"/>
      <c r="E4" s="217"/>
      <c r="F4" s="72" t="s">
        <v>119</v>
      </c>
    </row>
    <row r="5" spans="1:6" s="74" customFormat="1" ht="20.100000000000001" customHeight="1" x14ac:dyDescent="0.25">
      <c r="A5" s="73" t="str">
        <f>HYPERLINK("#'PAYGs'!B6","Click here to return to the PAYGs Tab")</f>
        <v>Click here to return to the PAYGs Tab</v>
      </c>
      <c r="D5" s="74" t="s">
        <v>121</v>
      </c>
      <c r="E5" s="74" t="s">
        <v>102</v>
      </c>
      <c r="F5" s="76"/>
    </row>
    <row r="6" spans="1:6" ht="20.100000000000001" customHeight="1" x14ac:dyDescent="0.25">
      <c r="A6" s="74" t="s">
        <v>234</v>
      </c>
      <c r="D6" s="77" t="str">
        <f ca="1">IFERROR(INDEX(Validation!G:G,MATCH("PAYG 11"&amp;CELL("address",D6),Validation!I:I,0)),"")</f>
        <v/>
      </c>
      <c r="E6" s="66" t="str">
        <f ca="1">IFERROR(INDEX(Validation!F:F,MATCH("PAYG 11"&amp;CELL("address",D6),Validation!I:I,0)),"")</f>
        <v/>
      </c>
      <c r="F6" s="78" t="s">
        <v>1006</v>
      </c>
    </row>
    <row r="7" spans="1:6" x14ac:dyDescent="0.25">
      <c r="A7" s="79" t="s">
        <v>210</v>
      </c>
      <c r="B7" s="103" t="str">
        <f>IF(NOT(ISBLANK('PAYG Input'!M5)),'PAYG Input'!M5,"")</f>
        <v/>
      </c>
      <c r="D7" s="77" t="str">
        <f ca="1">IFERROR(INDEX(Validation!G:G,MATCH("PAYG 11"&amp;CELL("address",D7),Validation!I:I,0)),"")</f>
        <v/>
      </c>
      <c r="E7" s="66" t="str">
        <f ca="1">IFERROR(INDEX(Validation!F:F,MATCH("PAYG 11"&amp;CELL("address",D7),Validation!I:I,0)),"")</f>
        <v/>
      </c>
      <c r="F7" s="85" t="str">
        <f>IF(NOT(ISBLANK('PAYG Input'!M4)),'PAYG Input'!M4,"")</f>
        <v/>
      </c>
    </row>
    <row r="8" spans="1:6" x14ac:dyDescent="0.25">
      <c r="A8" s="79" t="s">
        <v>211</v>
      </c>
      <c r="B8" s="120" t="str">
        <f>IF(NOT(ISBLANK('PAYG Input'!M6)),'PAYG Input'!M6,"")</f>
        <v/>
      </c>
      <c r="C8" s="129"/>
      <c r="D8" s="77" t="str">
        <f ca="1">IFERROR(INDEX(Validation!G:G,MATCH("PAYG 11"&amp;CELL("address",D8),Validation!I:I,0)),"")</f>
        <v/>
      </c>
      <c r="E8" s="66" t="str">
        <f ca="1">IFERROR(INDEX(Validation!F:F,MATCH("PAYG 11"&amp;CELL("address",D8),Validation!I:I,0)),"")</f>
        <v/>
      </c>
    </row>
    <row r="9" spans="1:6" x14ac:dyDescent="0.25">
      <c r="A9" s="79" t="s">
        <v>212</v>
      </c>
      <c r="B9" s="120" t="str">
        <f>IF(NOT(ISBLANK('PAYG Input'!M7)),'PAYG Input'!M7,"")</f>
        <v/>
      </c>
      <c r="C9" s="129"/>
      <c r="D9" s="77" t="str">
        <f ca="1">IFERROR(INDEX(Validation!G:G,MATCH("PAYG 11"&amp;CELL("address",D9),Validation!I:I,0)),"")</f>
        <v/>
      </c>
      <c r="E9" s="66" t="str">
        <f ca="1">IFERROR(INDEX(Validation!F:F,MATCH("PAYG 11"&amp;CELL("address",D9),Validation!I:I,0)),"")</f>
        <v/>
      </c>
    </row>
    <row r="10" spans="1:6" x14ac:dyDescent="0.25">
      <c r="A10" s="79" t="s">
        <v>213</v>
      </c>
      <c r="B10" s="121" t="str">
        <f>IF(NOT(ISBLANK('PAYG Input'!M8)),'PAYG Input'!M8,"")</f>
        <v/>
      </c>
      <c r="C10" s="132"/>
      <c r="D10" s="77" t="str">
        <f ca="1">IFERROR(INDEX(Validation!G:G,MATCH("PAYG 11"&amp;CELL("address",D10),Validation!I:I,0)),"")</f>
        <v/>
      </c>
      <c r="E10" s="66" t="str">
        <f ca="1">IFERROR(INDEX(Validation!F:F,MATCH("PAYG 11"&amp;CELL("address",D10),Validation!I:I,0)),"")</f>
        <v/>
      </c>
    </row>
    <row r="11" spans="1:6" x14ac:dyDescent="0.25">
      <c r="A11" s="79" t="s">
        <v>214</v>
      </c>
      <c r="B11" s="121" t="str">
        <f>IF(NOT(ISBLANK('PAYG Input'!M9)),'PAYG Input'!M9,"")</f>
        <v/>
      </c>
      <c r="C11" s="132"/>
      <c r="D11" s="77" t="str">
        <f ca="1">IFERROR(INDEX(Validation!G:G,MATCH("PAYG 11"&amp;CELL("address",D11),Validation!I:I,0)),"")</f>
        <v/>
      </c>
      <c r="E11" s="66" t="str">
        <f ca="1">IFERROR(INDEX(Validation!F:F,MATCH("PAYG 11"&amp;CELL("address",D11),Validation!I:I,0)),"")</f>
        <v/>
      </c>
    </row>
    <row r="12" spans="1:6" x14ac:dyDescent="0.25">
      <c r="A12" s="79" t="s">
        <v>235</v>
      </c>
      <c r="B12" s="122" t="str">
        <f>IF(NOT(ISBLANK('PAYG Input'!M10)),'PAYG Input'!M10,"")</f>
        <v/>
      </c>
      <c r="C12" s="128"/>
      <c r="D12" s="77" t="str">
        <f ca="1">IFERROR(INDEX(Validation!G:G,MATCH("PAYG 11"&amp;CELL("address",D12),Validation!I:I,0)),"")</f>
        <v/>
      </c>
      <c r="E12" s="66" t="str">
        <f ca="1">IFERROR(INDEX(Validation!F:F,MATCH("PAYG 11"&amp;CELL("address",D12),Validation!I:I,0)),"")</f>
        <v/>
      </c>
    </row>
    <row r="13" spans="1:6" x14ac:dyDescent="0.25">
      <c r="A13" s="79" t="s">
        <v>232</v>
      </c>
      <c r="B13" s="103" t="str">
        <f>IF(ISBLANK('PAYG Input'!M11),"Select One",IF('PAYG Input'!M11=TRUE,"Yes","No"))</f>
        <v>Select One</v>
      </c>
      <c r="D13" s="77" t="str">
        <f ca="1">IFERROR(INDEX(Validation!G:G,MATCH("PAYG 11"&amp;CELL("address",D13),Validation!I:I,0)),"")</f>
        <v/>
      </c>
      <c r="E13" s="66" t="str">
        <f ca="1">IFERROR(INDEX(Validation!F:F,MATCH("PAYG 11"&amp;CELL("address",D13),Validation!I:I,0)),"")</f>
        <v/>
      </c>
    </row>
    <row r="14" spans="1:6" ht="20.100000000000001" customHeight="1" x14ac:dyDescent="0.25">
      <c r="A14" s="74" t="s">
        <v>681</v>
      </c>
      <c r="B14" s="74" t="s">
        <v>283</v>
      </c>
      <c r="C14" s="74" t="str">
        <f>Year_DestinationYearID&amp;" Amount"</f>
        <v>2024 Amount</v>
      </c>
      <c r="D14" s="77"/>
    </row>
    <row r="15" spans="1:6" x14ac:dyDescent="0.25">
      <c r="A15" s="79" t="s">
        <v>266</v>
      </c>
      <c r="B15" s="122" t="str">
        <f>IF(NOT(ISBLANK('PAYG Input'!M12)),'PAYG Input'!M12,"")</f>
        <v/>
      </c>
      <c r="C15" s="122"/>
      <c r="D15" s="77" t="str">
        <f ca="1">IFERROR(INDEX(Validation!G:G,MATCH("PAYG 11"&amp;CELL("address",D15),Validation!I:I,0)),"")</f>
        <v/>
      </c>
      <c r="E15" s="66" t="str">
        <f ca="1">IFERROR(INDEX(Validation!F:F,MATCH("PAYG 11"&amp;CELL("address",D15),Validation!I:I,0)),"")</f>
        <v/>
      </c>
    </row>
    <row r="16" spans="1:6" x14ac:dyDescent="0.25">
      <c r="A16" s="79" t="s">
        <v>267</v>
      </c>
      <c r="B16" s="122" t="str">
        <f>IF(NOT(ISBLANK('PAYG Input'!M14)),'PAYG Input'!M14,"")</f>
        <v/>
      </c>
      <c r="C16" s="122"/>
      <c r="D16" s="77" t="str">
        <f ca="1">IFERROR(INDEX(Validation!G:G,MATCH("PAYG 11"&amp;CELL("address",D16),Validation!I:I,0)),"")</f>
        <v/>
      </c>
      <c r="E16" s="66" t="str">
        <f ca="1">IFERROR(INDEX(Validation!F:F,MATCH("PAYG 11"&amp;CELL("address",D16),Validation!I:I,0)),"")</f>
        <v/>
      </c>
    </row>
    <row r="17" spans="1:5" x14ac:dyDescent="0.25">
      <c r="A17" s="79" t="s">
        <v>268</v>
      </c>
      <c r="B17" s="122" t="str">
        <f>IF(NOT(ISBLANK('PAYG Input'!M16)),'PAYG Input'!M16,"")</f>
        <v/>
      </c>
      <c r="C17" s="122"/>
      <c r="D17" s="77" t="str">
        <f ca="1">IFERROR(INDEX(Validation!G:G,MATCH("PAYG 11"&amp;CELL("address",D17),Validation!I:I,0)),"")</f>
        <v/>
      </c>
      <c r="E17" s="66" t="str">
        <f ca="1">IFERROR(INDEX(Validation!F:F,MATCH("PAYG 11"&amp;CELL("address",D17),Validation!I:I,0)),"")</f>
        <v/>
      </c>
    </row>
    <row r="18" spans="1:5" x14ac:dyDescent="0.25">
      <c r="A18" s="79" t="s">
        <v>269</v>
      </c>
      <c r="B18" s="122" t="str">
        <f>IF(NOT(ISBLANK('PAYG Input'!M18)),'PAYG Input'!M18,"")</f>
        <v/>
      </c>
      <c r="C18" s="122"/>
      <c r="D18" s="77" t="str">
        <f ca="1">IFERROR(INDEX(Validation!G:G,MATCH("PAYG 11"&amp;CELL("address",D18),Validation!I:I,0)),"")</f>
        <v/>
      </c>
      <c r="E18" s="66" t="str">
        <f ca="1">IFERROR(INDEX(Validation!F:F,MATCH("PAYG 11"&amp;CELL("address",D18),Validation!I:I,0)),"")</f>
        <v/>
      </c>
    </row>
    <row r="19" spans="1:5" x14ac:dyDescent="0.25">
      <c r="A19" s="79" t="s">
        <v>270</v>
      </c>
      <c r="B19" s="122" t="str">
        <f>IF(NOT(ISBLANK('PAYG Input'!M20)),'PAYG Input'!M20,"")</f>
        <v/>
      </c>
      <c r="C19" s="122"/>
      <c r="D19" s="77" t="str">
        <f ca="1">IFERROR(INDEX(Validation!G:G,MATCH("PAYG 11"&amp;CELL("address",D19),Validation!I:I,0)),"")</f>
        <v/>
      </c>
      <c r="E19" s="66" t="str">
        <f ca="1">IFERROR(INDEX(Validation!F:F,MATCH("PAYG 11"&amp;CELL("address",D19),Validation!I:I,0)),"")</f>
        <v/>
      </c>
    </row>
    <row r="20" spans="1:5" x14ac:dyDescent="0.25">
      <c r="A20" s="79" t="s">
        <v>272</v>
      </c>
      <c r="B20" s="122" t="str">
        <f>IF(NOT(ISBLANK('PAYG Input'!M22)),'PAYG Input'!M22,"")</f>
        <v/>
      </c>
      <c r="C20" s="122"/>
      <c r="D20" s="77" t="str">
        <f ca="1">IFERROR(INDEX(Validation!G:G,MATCH("PAYG 11"&amp;CELL("address",D20),Validation!I:I,0)),"")</f>
        <v/>
      </c>
      <c r="E20" s="66" t="str">
        <f ca="1">IFERROR(INDEX(Validation!F:F,MATCH("PAYG 11"&amp;CELL("address",D20),Validation!I:I,0)),"")</f>
        <v/>
      </c>
    </row>
    <row r="21" spans="1:5" x14ac:dyDescent="0.25">
      <c r="A21" s="130" t="s">
        <v>236</v>
      </c>
      <c r="B21" s="125">
        <f>SUM(B15:B20)</f>
        <v>0</v>
      </c>
      <c r="C21" s="125">
        <f>SUM(C15:C20)</f>
        <v>0</v>
      </c>
      <c r="D21" s="77" t="str">
        <f ca="1">IFERROR(INDEX(Validation!G:G,MATCH("PAYG 11"&amp;CELL("address",D21),Validation!I:I,0)),"")</f>
        <v/>
      </c>
      <c r="E21" s="66" t="str">
        <f ca="1">IFERROR(INDEX(Validation!F:F,MATCH("PAYG 11"&amp;CELL("address",D21),Validation!I:I,0)),"")</f>
        <v/>
      </c>
    </row>
    <row r="22" spans="1:5" x14ac:dyDescent="0.25">
      <c r="A22" s="131" t="s">
        <v>682</v>
      </c>
      <c r="B22" s="122" t="str">
        <f>IF(NOT(ISBLANK('PAYG Input'!M26)),'PAYG Input'!M26,"")</f>
        <v/>
      </c>
      <c r="C22" s="122"/>
      <c r="D22" s="77" t="str">
        <f ca="1">IFERROR(INDEX(Validation!G:G,MATCH("PAYG 11"&amp;CELL("address",D22),Validation!I:I,0)),"")</f>
        <v/>
      </c>
      <c r="E22" s="66" t="str">
        <f ca="1">IFERROR(INDEX(Validation!F:F,MATCH("PAYG 11"&amp;CELL("address",D22),Validation!I:I,0)),"")</f>
        <v/>
      </c>
    </row>
    <row r="23" spans="1:5" x14ac:dyDescent="0.25">
      <c r="A23" s="131" t="s">
        <v>683</v>
      </c>
      <c r="B23" s="122" t="str">
        <f>IF(NOT(ISBLANK('PAYG Input'!M28)),'PAYG Input'!M28,"")</f>
        <v/>
      </c>
      <c r="C23" s="122"/>
      <c r="D23" s="77" t="str">
        <f ca="1">IFERROR(INDEX(Validation!G:G,MATCH("PAYG 11"&amp;CELL("address",D23),Validation!I:I,0)),"")</f>
        <v/>
      </c>
      <c r="E23" s="66" t="str">
        <f ca="1">IFERROR(INDEX(Validation!F:F,MATCH("PAYG 11"&amp;CELL("address",D23),Validation!I:I,0)),"")</f>
        <v/>
      </c>
    </row>
    <row r="24" spans="1:5" ht="20.100000000000001" customHeight="1" x14ac:dyDescent="0.25">
      <c r="A24" s="74" t="s">
        <v>1311</v>
      </c>
      <c r="B24" s="74" t="s">
        <v>283</v>
      </c>
      <c r="C24" s="74" t="str">
        <f>Year_DestinationYearID&amp;" Amount"</f>
        <v>2024 Amount</v>
      </c>
      <c r="D24" s="77"/>
    </row>
    <row r="25" spans="1:5" x14ac:dyDescent="0.25">
      <c r="A25" s="79" t="s">
        <v>1188</v>
      </c>
      <c r="B25" s="122" t="str">
        <f>IF(NOT(ISBLANK('PAYG Input'!M30)),'PAYG Input'!M30,"")</f>
        <v/>
      </c>
      <c r="C25" s="122"/>
      <c r="D25" s="77" t="str">
        <f ca="1">IFERROR(INDEX(Validation!G:G,MATCH("PAYG 11"&amp;CELL("address",D25),Validation!I:I,0)),"")</f>
        <v/>
      </c>
      <c r="E25" s="66" t="str">
        <f ca="1">IFERROR(INDEX(Validation!F:F,MATCH("PAYG 11"&amp;CELL("address",D25),Validation!I:I,0)),"")</f>
        <v/>
      </c>
    </row>
    <row r="26" spans="1:5" x14ac:dyDescent="0.25">
      <c r="A26" s="79" t="s">
        <v>1190</v>
      </c>
      <c r="B26" s="122" t="str">
        <f>IF(NOT(ISBLANK('PAYG Input'!M32)),'PAYG Input'!M32,"")</f>
        <v/>
      </c>
      <c r="C26" s="122"/>
      <c r="D26" s="77" t="str">
        <f ca="1">IFERROR(INDEX(Validation!G:G,MATCH("PAYG 11"&amp;CELL("address",D26),Validation!I:I,0)),"")</f>
        <v/>
      </c>
      <c r="E26" s="66" t="str">
        <f ca="1">IFERROR(INDEX(Validation!F:F,MATCH("PAYG 11"&amp;CELL("address",D26),Validation!I:I,0)),"")</f>
        <v/>
      </c>
    </row>
    <row r="27" spans="1:5" x14ac:dyDescent="0.25">
      <c r="A27" s="79" t="s">
        <v>221</v>
      </c>
      <c r="B27" s="125" t="str">
        <f>IFERROR(B21-B25+B26,"")</f>
        <v/>
      </c>
      <c r="C27" s="125" t="str">
        <f>IFERROR(B21+C21-B25-C25+B26+C26,"")</f>
        <v/>
      </c>
      <c r="D27" s="77" t="str">
        <f ca="1">IFERROR(INDEX(Validation!G:G,MATCH("PAYG 11"&amp;CELL("address",D27),Validation!I:I,0)),"")</f>
        <v/>
      </c>
      <c r="E27" s="66" t="str">
        <f ca="1">IFERROR(INDEX(Validation!F:F,MATCH("PAYG 11"&amp;CELL("address",D27),Validation!I:I,0)),"")</f>
        <v/>
      </c>
    </row>
    <row r="28" spans="1:5" x14ac:dyDescent="0.25">
      <c r="A28" s="79" t="s">
        <v>223</v>
      </c>
      <c r="B28" s="122" t="str">
        <f>IF(NOT(ISBLANK('PAYG Input'!M36)),'PAYG Input'!M36,"")</f>
        <v/>
      </c>
      <c r="C28" s="122"/>
      <c r="D28" s="77" t="str">
        <f ca="1">IFERROR(INDEX(Validation!G:G,MATCH("PAYG 11"&amp;CELL("address",D28),Validation!I:I,0)),"")</f>
        <v/>
      </c>
      <c r="E28" s="66" t="str">
        <f ca="1">IFERROR(INDEX(Validation!F:F,MATCH("PAYG 11"&amp;CELL("address",D28),Validation!I:I,0)),"")</f>
        <v/>
      </c>
    </row>
    <row r="29" spans="1:5" x14ac:dyDescent="0.25">
      <c r="A29" s="79" t="s">
        <v>1191</v>
      </c>
      <c r="B29" s="122" t="str">
        <f>IF(NOT(ISBLANK('PAYG Input'!M38)),'PAYG Input'!M38,"")</f>
        <v/>
      </c>
      <c r="C29" s="122"/>
      <c r="D29" s="77" t="str">
        <f ca="1">IFERROR(INDEX(Validation!G:G,MATCH("PAYG 11"&amp;CELL("address",D29),Validation!I:I,0)),"")</f>
        <v/>
      </c>
      <c r="E29" s="66" t="str">
        <f ca="1">IFERROR(INDEX(Validation!F:F,MATCH("PAYG 11"&amp;CELL("address",D29),Validation!I:I,0)),"")</f>
        <v/>
      </c>
    </row>
    <row r="30" spans="1:5" ht="20.100000000000001" customHeight="1" x14ac:dyDescent="0.25">
      <c r="A30" s="74" t="str">
        <f>"Principal and Interest Due in "&amp;Year_DestinationYearID+1</f>
        <v>Principal and Interest Due in 2025</v>
      </c>
      <c r="B30" s="74"/>
      <c r="C30" s="128"/>
      <c r="D30" s="77"/>
    </row>
    <row r="31" spans="1:5" x14ac:dyDescent="0.25">
      <c r="A31" s="79" t="str">
        <f>"Principal Due in "&amp;Year_DestinationYearID+1</f>
        <v>Principal Due in 2025</v>
      </c>
      <c r="B31" s="122"/>
      <c r="C31" s="128"/>
      <c r="D31" s="77" t="str">
        <f ca="1">IFERROR(INDEX(Validation!G:G,MATCH("PAYG 11"&amp;CELL("address",D31),Validation!I:I,0)),"")</f>
        <v/>
      </c>
      <c r="E31" s="66" t="str">
        <f ca="1">IFERROR(INDEX(Validation!F:F,MATCH("PAYG 11"&amp;CELL("address",D31),Validation!I:I,0)),"")</f>
        <v/>
      </c>
    </row>
    <row r="32" spans="1:5" x14ac:dyDescent="0.25">
      <c r="A32" s="79" t="str">
        <f>"Interest Due in "&amp;Year_DestinationYearID+1</f>
        <v>Interest Due in 2025</v>
      </c>
      <c r="B32" s="122"/>
      <c r="C32" s="128"/>
      <c r="D32" s="77" t="str">
        <f ca="1">IFERROR(INDEX(Validation!G:G,MATCH("PAYG 11"&amp;CELL("address",D32),Validation!I:I,0)),"")</f>
        <v/>
      </c>
      <c r="E32" s="66" t="str">
        <f ca="1">IFERROR(INDEX(Validation!F:F,MATCH("PAYG 11"&amp;CELL("address",D32),Validation!I:I,0)),"")</f>
        <v/>
      </c>
    </row>
    <row r="33" spans="1:5" ht="20.100000000000001" customHeight="1" x14ac:dyDescent="0.25">
      <c r="A33" s="97" t="s">
        <v>176</v>
      </c>
      <c r="D33" s="77" t="str">
        <f ca="1">IF(AND(ISBLANK(A34),OR(COUNTIF(E6:E32,"Alert")&gt;0,SUM(B26:B26)&lt;&gt;0)),"Comment(s) required for remaining alert(s) and/or additions to principal.",IFERROR(INDEX(Validation!G:G,MATCH("PAYG 11"&amp;CELL("address",D34),Validation!I:I,0)),""))</f>
        <v/>
      </c>
      <c r="E33" s="66" t="str">
        <f ca="1">IF(AND(ISBLANK(A34),OR(COUNTIF(E6:E32,"Alert")&gt;0,SUM(B26:B26)&lt;&gt;0)),"Error",IFERROR(INDEX(Validation!F:F,MATCH("PAYG 11"&amp;CELL("address",D34),Validation!I:I,0)),""))</f>
        <v/>
      </c>
    </row>
    <row r="34" spans="1:5" ht="150" customHeight="1" x14ac:dyDescent="0.25">
      <c r="A34" s="123"/>
      <c r="B34" s="100" t="str">
        <f>HYPERLINK("#'PAYGs'!B6","Click here to return to the PAYGs Tab")</f>
        <v>Click here to return to the PAYGs Tab</v>
      </c>
      <c r="C34" s="127"/>
    </row>
    <row r="35" spans="1:5" x14ac:dyDescent="0.25">
      <c r="A35" s="98"/>
      <c r="B35" s="98"/>
      <c r="C35" s="98"/>
    </row>
    <row r="36" spans="1:5" x14ac:dyDescent="0.25">
      <c r="A36" s="98"/>
      <c r="B36" s="98"/>
      <c r="C36" s="98"/>
    </row>
    <row r="37" spans="1:5" x14ac:dyDescent="0.25">
      <c r="A37" s="98"/>
      <c r="B37" s="98"/>
      <c r="C37" s="98"/>
    </row>
    <row r="38" spans="1:5" x14ac:dyDescent="0.25">
      <c r="A38" s="98"/>
      <c r="B38" s="98"/>
      <c r="C38" s="98"/>
    </row>
  </sheetData>
  <sheetProtection algorithmName="SHA-512" hashValue="EvORPyM3PCzA3W89MD+fXSCgRbIv5fvQmGfS8vdT7IwKZ5l0yvvs7m5LuTu00t/4Nr5JkydVFWBlLeyTWEaFfw==" saltValue="liXdrWCruc4wMob8VNotYQ==" spinCount="100000" sheet="1" objects="1" scenarios="1"/>
  <mergeCells count="1">
    <mergeCell ref="A4:E4"/>
  </mergeCells>
  <conditionalFormatting sqref="A2">
    <cfRule type="expression" dxfId="304" priority="5">
      <formula>$E2="Error"</formula>
    </cfRule>
    <cfRule type="expression" dxfId="302" priority="7">
      <formula>$E2="Exclude"</formula>
    </cfRule>
  </conditionalFormatting>
  <conditionalFormatting sqref="D6:E33">
    <cfRule type="expression" dxfId="301" priority="1">
      <formula>$E6="Information"</formula>
    </cfRule>
    <cfRule type="expression" dxfId="300" priority="2">
      <formula>$E6="Error"</formula>
    </cfRule>
    <cfRule type="expression" dxfId="299" priority="3">
      <formula>$E6="Alert"</formula>
    </cfRule>
    <cfRule type="expression" dxfId="298" priority="4">
      <formula>$E6="Exclude"</formula>
    </cfRule>
  </conditionalFormatting>
  <dataValidations count="1">
    <dataValidation type="list" allowBlank="1" showInputMessage="1" showErrorMessage="1" sqref="B13:C13" xr:uid="{C8B3D3C1-4817-4EBD-9152-446A882F9A67}">
      <formula1>SelOneYesNo</formula1>
    </dataValidation>
  </dataValidations>
  <pageMargins left="0.7" right="0.7" top="0.75" bottom="0.75" header="0.3" footer="0.3"/>
  <pageSetup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6" id="{CD9CFAB4-4669-4DB6-881C-C6B0E82A2664}">
            <xm:f>COUNTIFS(Validation!$H:$H,MID(CELL("filename",A2),FIND("]",CELL("filename",A2))+1,255)&amp;CELL("address",A2))&gt;0</xm:f>
            <x14:dxf>
              <font>
                <b/>
                <i val="0"/>
                <color rgb="FFC00000"/>
              </font>
              <numFmt numFmtId="172" formatCode="_(\!* #,##0_);_(\!* \(#,##0\);_(\!* \-??_);_(\!\ @_)"/>
            </x14:dxf>
          </x14:cfRule>
          <xm:sqref>A2</xm:sqref>
        </x14:conditionalFormatting>
      </x14:conditionalFormattings>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21F9ED-CB9A-46DA-A103-66C1FA27E3C7}">
  <sheetPr>
    <tabColor rgb="FFEED382"/>
  </sheetPr>
  <dimension ref="A1:F38"/>
  <sheetViews>
    <sheetView showGridLines="0" workbookViewId="0">
      <selection activeCell="B7" sqref="B7"/>
    </sheetView>
  </sheetViews>
  <sheetFormatPr defaultRowHeight="15" x14ac:dyDescent="0.25"/>
  <cols>
    <col min="1" max="1" width="55.7109375" style="66" customWidth="1"/>
    <col min="2" max="3" width="20.7109375" style="66" customWidth="1"/>
    <col min="4" max="4" width="80.85546875" style="66" customWidth="1"/>
    <col min="5" max="5" width="14.7109375" style="66" customWidth="1"/>
    <col min="6" max="6" width="0" style="78" hidden="1" customWidth="1"/>
    <col min="7" max="16384" width="9.140625" style="66"/>
  </cols>
  <sheetData>
    <row r="1" spans="1:6" s="59" customFormat="1" ht="24.95" customHeight="1" x14ac:dyDescent="0.25">
      <c r="A1" s="59" t="str">
        <f>_xlfn.CONCAT("Office of the State Auditor  -  TIF Annual Reporting Form  -  ",Year_DestinationYearID)</f>
        <v>Office of the State Auditor  -  TIF Annual Reporting Form  -  2024</v>
      </c>
      <c r="F1" s="61"/>
    </row>
    <row r="2" spans="1:6" s="62" customFormat="1" ht="20.100000000000001" customHeight="1" x14ac:dyDescent="0.25">
      <c r="A2" s="58" t="str">
        <f>_xlfn.CONCAT(GovEntity_GovEntityName_Parent,"  -  ",GovEntity_GovEntityName)</f>
        <v>Spruce City  -  TIF 1-1 Downtown Redev</v>
      </c>
      <c r="F2" s="64"/>
    </row>
    <row r="3" spans="1:6" s="68" customFormat="1" ht="24.95" customHeight="1" x14ac:dyDescent="0.3">
      <c r="A3" s="65" t="s">
        <v>233</v>
      </c>
      <c r="B3" s="66"/>
      <c r="C3" s="66"/>
      <c r="F3" s="69"/>
    </row>
    <row r="4" spans="1:6" s="71" customFormat="1" x14ac:dyDescent="0.25">
      <c r="A4" s="217" t="s">
        <v>207</v>
      </c>
      <c r="B4" s="217"/>
      <c r="C4" s="217"/>
      <c r="D4" s="217"/>
      <c r="E4" s="217"/>
      <c r="F4" s="72" t="s">
        <v>119</v>
      </c>
    </row>
    <row r="5" spans="1:6" s="74" customFormat="1" ht="20.100000000000001" customHeight="1" x14ac:dyDescent="0.25">
      <c r="A5" s="73" t="str">
        <f>HYPERLINK("#'PAYGs'!B6","Click here to return to the PAYGs Tab")</f>
        <v>Click here to return to the PAYGs Tab</v>
      </c>
      <c r="D5" s="74" t="s">
        <v>121</v>
      </c>
      <c r="E5" s="74" t="s">
        <v>102</v>
      </c>
      <c r="F5" s="76"/>
    </row>
    <row r="6" spans="1:6" ht="20.100000000000001" customHeight="1" x14ac:dyDescent="0.25">
      <c r="A6" s="74" t="s">
        <v>234</v>
      </c>
      <c r="D6" s="77" t="str">
        <f ca="1">IFERROR(INDEX(Validation!G:G,MATCH("PAYG 12"&amp;CELL("address",D6),Validation!I:I,0)),"")</f>
        <v/>
      </c>
      <c r="E6" s="66" t="str">
        <f ca="1">IFERROR(INDEX(Validation!F:F,MATCH("PAYG 12"&amp;CELL("address",D6),Validation!I:I,0)),"")</f>
        <v/>
      </c>
      <c r="F6" s="78" t="s">
        <v>1006</v>
      </c>
    </row>
    <row r="7" spans="1:6" x14ac:dyDescent="0.25">
      <c r="A7" s="79" t="s">
        <v>210</v>
      </c>
      <c r="B7" s="103" t="str">
        <f>IF(NOT(ISBLANK('PAYG Input'!N5)),'PAYG Input'!N5,"")</f>
        <v/>
      </c>
      <c r="D7" s="77" t="str">
        <f ca="1">IFERROR(INDEX(Validation!G:G,MATCH("PAYG 12"&amp;CELL("address",D7),Validation!I:I,0)),"")</f>
        <v/>
      </c>
      <c r="E7" s="66" t="str">
        <f ca="1">IFERROR(INDEX(Validation!F:F,MATCH("PAYG 12"&amp;CELL("address",D7),Validation!I:I,0)),"")</f>
        <v/>
      </c>
      <c r="F7" s="85" t="str">
        <f>IF(NOT(ISBLANK('PAYG Input'!N4)),'PAYG Input'!N4,"")</f>
        <v/>
      </c>
    </row>
    <row r="8" spans="1:6" x14ac:dyDescent="0.25">
      <c r="A8" s="79" t="s">
        <v>211</v>
      </c>
      <c r="B8" s="120" t="str">
        <f>IF(NOT(ISBLANK('PAYG Input'!N6)),'PAYG Input'!N6,"")</f>
        <v/>
      </c>
      <c r="C8" s="129"/>
      <c r="D8" s="77" t="str">
        <f ca="1">IFERROR(INDEX(Validation!G:G,MATCH("PAYG 12"&amp;CELL("address",D8),Validation!I:I,0)),"")</f>
        <v/>
      </c>
      <c r="E8" s="66" t="str">
        <f ca="1">IFERROR(INDEX(Validation!F:F,MATCH("PAYG 12"&amp;CELL("address",D8),Validation!I:I,0)),"")</f>
        <v/>
      </c>
    </row>
    <row r="9" spans="1:6" x14ac:dyDescent="0.25">
      <c r="A9" s="79" t="s">
        <v>212</v>
      </c>
      <c r="B9" s="120" t="str">
        <f>IF(NOT(ISBLANK('PAYG Input'!N7)),'PAYG Input'!N7,"")</f>
        <v/>
      </c>
      <c r="C9" s="129"/>
      <c r="D9" s="77" t="str">
        <f ca="1">IFERROR(INDEX(Validation!G:G,MATCH("PAYG 12"&amp;CELL("address",D9),Validation!I:I,0)),"")</f>
        <v/>
      </c>
      <c r="E9" s="66" t="str">
        <f ca="1">IFERROR(INDEX(Validation!F:F,MATCH("PAYG 12"&amp;CELL("address",D9),Validation!I:I,0)),"")</f>
        <v/>
      </c>
    </row>
    <row r="10" spans="1:6" x14ac:dyDescent="0.25">
      <c r="A10" s="79" t="s">
        <v>213</v>
      </c>
      <c r="B10" s="121" t="str">
        <f>IF(NOT(ISBLANK('PAYG Input'!N8)),'PAYG Input'!N8,"")</f>
        <v/>
      </c>
      <c r="C10" s="132"/>
      <c r="D10" s="77" t="str">
        <f ca="1">IFERROR(INDEX(Validation!G:G,MATCH("PAYG 12"&amp;CELL("address",D10),Validation!I:I,0)),"")</f>
        <v/>
      </c>
      <c r="E10" s="66" t="str">
        <f ca="1">IFERROR(INDEX(Validation!F:F,MATCH("PAYG 12"&amp;CELL("address",D10),Validation!I:I,0)),"")</f>
        <v/>
      </c>
    </row>
    <row r="11" spans="1:6" x14ac:dyDescent="0.25">
      <c r="A11" s="79" t="s">
        <v>214</v>
      </c>
      <c r="B11" s="121" t="str">
        <f>IF(NOT(ISBLANK('PAYG Input'!N9)),'PAYG Input'!N9,"")</f>
        <v/>
      </c>
      <c r="C11" s="132"/>
      <c r="D11" s="77" t="str">
        <f ca="1">IFERROR(INDEX(Validation!G:G,MATCH("PAYG 12"&amp;CELL("address",D11),Validation!I:I,0)),"")</f>
        <v/>
      </c>
      <c r="E11" s="66" t="str">
        <f ca="1">IFERROR(INDEX(Validation!F:F,MATCH("PAYG 12"&amp;CELL("address",D11),Validation!I:I,0)),"")</f>
        <v/>
      </c>
    </row>
    <row r="12" spans="1:6" x14ac:dyDescent="0.25">
      <c r="A12" s="79" t="s">
        <v>235</v>
      </c>
      <c r="B12" s="122" t="str">
        <f>IF(NOT(ISBLANK('PAYG Input'!N10)),'PAYG Input'!N10,"")</f>
        <v/>
      </c>
      <c r="C12" s="128"/>
      <c r="D12" s="77" t="str">
        <f ca="1">IFERROR(INDEX(Validation!G:G,MATCH("PAYG 12"&amp;CELL("address",D12),Validation!I:I,0)),"")</f>
        <v/>
      </c>
      <c r="E12" s="66" t="str">
        <f ca="1">IFERROR(INDEX(Validation!F:F,MATCH("PAYG 12"&amp;CELL("address",D12),Validation!I:I,0)),"")</f>
        <v/>
      </c>
    </row>
    <row r="13" spans="1:6" x14ac:dyDescent="0.25">
      <c r="A13" s="79" t="s">
        <v>232</v>
      </c>
      <c r="B13" s="103" t="str">
        <f>IF(ISBLANK('PAYG Input'!N11),"Select One",IF('PAYG Input'!N11=TRUE,"Yes","No"))</f>
        <v>Select One</v>
      </c>
      <c r="D13" s="77" t="str">
        <f ca="1">IFERROR(INDEX(Validation!G:G,MATCH("PAYG 12"&amp;CELL("address",D13),Validation!I:I,0)),"")</f>
        <v/>
      </c>
      <c r="E13" s="66" t="str">
        <f ca="1">IFERROR(INDEX(Validation!F:F,MATCH("PAYG 12"&amp;CELL("address",D13),Validation!I:I,0)),"")</f>
        <v/>
      </c>
    </row>
    <row r="14" spans="1:6" ht="20.100000000000001" customHeight="1" x14ac:dyDescent="0.25">
      <c r="A14" s="74" t="s">
        <v>681</v>
      </c>
      <c r="B14" s="74" t="s">
        <v>283</v>
      </c>
      <c r="C14" s="74" t="str">
        <f>Year_DestinationYearID&amp;" Amount"</f>
        <v>2024 Amount</v>
      </c>
      <c r="D14" s="77"/>
    </row>
    <row r="15" spans="1:6" x14ac:dyDescent="0.25">
      <c r="A15" s="79" t="s">
        <v>266</v>
      </c>
      <c r="B15" s="122" t="str">
        <f>IF(NOT(ISBLANK('PAYG Input'!N12)),'PAYG Input'!N12,"")</f>
        <v/>
      </c>
      <c r="C15" s="122"/>
      <c r="D15" s="77" t="str">
        <f ca="1">IFERROR(INDEX(Validation!G:G,MATCH("PAYG 12"&amp;CELL("address",D15),Validation!I:I,0)),"")</f>
        <v/>
      </c>
      <c r="E15" s="66" t="str">
        <f ca="1">IFERROR(INDEX(Validation!F:F,MATCH("PAYG 12"&amp;CELL("address",D15),Validation!I:I,0)),"")</f>
        <v/>
      </c>
    </row>
    <row r="16" spans="1:6" x14ac:dyDescent="0.25">
      <c r="A16" s="79" t="s">
        <v>267</v>
      </c>
      <c r="B16" s="122" t="str">
        <f>IF(NOT(ISBLANK('PAYG Input'!N14)),'PAYG Input'!N14,"")</f>
        <v/>
      </c>
      <c r="C16" s="122"/>
      <c r="D16" s="77" t="str">
        <f ca="1">IFERROR(INDEX(Validation!G:G,MATCH("PAYG 12"&amp;CELL("address",D16),Validation!I:I,0)),"")</f>
        <v/>
      </c>
      <c r="E16" s="66" t="str">
        <f ca="1">IFERROR(INDEX(Validation!F:F,MATCH("PAYG 12"&amp;CELL("address",D16),Validation!I:I,0)),"")</f>
        <v/>
      </c>
    </row>
    <row r="17" spans="1:5" x14ac:dyDescent="0.25">
      <c r="A17" s="79" t="s">
        <v>268</v>
      </c>
      <c r="B17" s="122" t="str">
        <f>IF(NOT(ISBLANK('PAYG Input'!N16)),'PAYG Input'!N16,"")</f>
        <v/>
      </c>
      <c r="C17" s="122"/>
      <c r="D17" s="77" t="str">
        <f ca="1">IFERROR(INDEX(Validation!G:G,MATCH("PAYG 12"&amp;CELL("address",D17),Validation!I:I,0)),"")</f>
        <v/>
      </c>
      <c r="E17" s="66" t="str">
        <f ca="1">IFERROR(INDEX(Validation!F:F,MATCH("PAYG 12"&amp;CELL("address",D17),Validation!I:I,0)),"")</f>
        <v/>
      </c>
    </row>
    <row r="18" spans="1:5" x14ac:dyDescent="0.25">
      <c r="A18" s="79" t="s">
        <v>269</v>
      </c>
      <c r="B18" s="122" t="str">
        <f>IF(NOT(ISBLANK('PAYG Input'!N18)),'PAYG Input'!N18,"")</f>
        <v/>
      </c>
      <c r="C18" s="122"/>
      <c r="D18" s="77" t="str">
        <f ca="1">IFERROR(INDEX(Validation!G:G,MATCH("PAYG 12"&amp;CELL("address",D18),Validation!I:I,0)),"")</f>
        <v/>
      </c>
      <c r="E18" s="66" t="str">
        <f ca="1">IFERROR(INDEX(Validation!F:F,MATCH("PAYG 12"&amp;CELL("address",D18),Validation!I:I,0)),"")</f>
        <v/>
      </c>
    </row>
    <row r="19" spans="1:5" x14ac:dyDescent="0.25">
      <c r="A19" s="79" t="s">
        <v>270</v>
      </c>
      <c r="B19" s="122" t="str">
        <f>IF(NOT(ISBLANK('PAYG Input'!N20)),'PAYG Input'!N20,"")</f>
        <v/>
      </c>
      <c r="C19" s="122"/>
      <c r="D19" s="77" t="str">
        <f ca="1">IFERROR(INDEX(Validation!G:G,MATCH("PAYG 12"&amp;CELL("address",D19),Validation!I:I,0)),"")</f>
        <v/>
      </c>
      <c r="E19" s="66" t="str">
        <f ca="1">IFERROR(INDEX(Validation!F:F,MATCH("PAYG 12"&amp;CELL("address",D19),Validation!I:I,0)),"")</f>
        <v/>
      </c>
    </row>
    <row r="20" spans="1:5" x14ac:dyDescent="0.25">
      <c r="A20" s="79" t="s">
        <v>272</v>
      </c>
      <c r="B20" s="122" t="str">
        <f>IF(NOT(ISBLANK('PAYG Input'!N22)),'PAYG Input'!N22,"")</f>
        <v/>
      </c>
      <c r="C20" s="122"/>
      <c r="D20" s="77" t="str">
        <f ca="1">IFERROR(INDEX(Validation!G:G,MATCH("PAYG 12"&amp;CELL("address",D20),Validation!I:I,0)),"")</f>
        <v/>
      </c>
      <c r="E20" s="66" t="str">
        <f ca="1">IFERROR(INDEX(Validation!F:F,MATCH("PAYG 12"&amp;CELL("address",D20),Validation!I:I,0)),"")</f>
        <v/>
      </c>
    </row>
    <row r="21" spans="1:5" x14ac:dyDescent="0.25">
      <c r="A21" s="130" t="s">
        <v>236</v>
      </c>
      <c r="B21" s="125">
        <f>SUM(B15:B20)</f>
        <v>0</v>
      </c>
      <c r="C21" s="125">
        <f>SUM(C15:C20)</f>
        <v>0</v>
      </c>
      <c r="D21" s="77" t="str">
        <f ca="1">IFERROR(INDEX(Validation!G:G,MATCH("PAYG 12"&amp;CELL("address",D21),Validation!I:I,0)),"")</f>
        <v/>
      </c>
      <c r="E21" s="66" t="str">
        <f ca="1">IFERROR(INDEX(Validation!F:F,MATCH("PAYG 12"&amp;CELL("address",D21),Validation!I:I,0)),"")</f>
        <v/>
      </c>
    </row>
    <row r="22" spans="1:5" x14ac:dyDescent="0.25">
      <c r="A22" s="131" t="s">
        <v>682</v>
      </c>
      <c r="B22" s="122" t="str">
        <f>IF(NOT(ISBLANK('PAYG Input'!N26)),'PAYG Input'!N26,"")</f>
        <v/>
      </c>
      <c r="C22" s="122"/>
      <c r="D22" s="77" t="str">
        <f ca="1">IFERROR(INDEX(Validation!G:G,MATCH("PAYG 12"&amp;CELL("address",D22),Validation!I:I,0)),"")</f>
        <v/>
      </c>
      <c r="E22" s="66" t="str">
        <f ca="1">IFERROR(INDEX(Validation!F:F,MATCH("PAYG 12"&amp;CELL("address",D22),Validation!I:I,0)),"")</f>
        <v/>
      </c>
    </row>
    <row r="23" spans="1:5" x14ac:dyDescent="0.25">
      <c r="A23" s="131" t="s">
        <v>683</v>
      </c>
      <c r="B23" s="122" t="str">
        <f>IF(NOT(ISBLANK('PAYG Input'!N28)),'PAYG Input'!N28,"")</f>
        <v/>
      </c>
      <c r="C23" s="122"/>
      <c r="D23" s="77" t="str">
        <f ca="1">IFERROR(INDEX(Validation!G:G,MATCH("PAYG 12"&amp;CELL("address",D23),Validation!I:I,0)),"")</f>
        <v/>
      </c>
      <c r="E23" s="66" t="str">
        <f ca="1">IFERROR(INDEX(Validation!F:F,MATCH("PAYG 12"&amp;CELL("address",D23),Validation!I:I,0)),"")</f>
        <v/>
      </c>
    </row>
    <row r="24" spans="1:5" ht="20.100000000000001" customHeight="1" x14ac:dyDescent="0.25">
      <c r="A24" s="74" t="s">
        <v>1311</v>
      </c>
      <c r="B24" s="74" t="s">
        <v>283</v>
      </c>
      <c r="C24" s="74" t="str">
        <f>Year_DestinationYearID&amp;" Amount"</f>
        <v>2024 Amount</v>
      </c>
      <c r="D24" s="77"/>
    </row>
    <row r="25" spans="1:5" x14ac:dyDescent="0.25">
      <c r="A25" s="79" t="s">
        <v>1188</v>
      </c>
      <c r="B25" s="122" t="str">
        <f>IF(NOT(ISBLANK('PAYG Input'!N30)),'PAYG Input'!N30,"")</f>
        <v/>
      </c>
      <c r="C25" s="122"/>
      <c r="D25" s="77" t="str">
        <f ca="1">IFERROR(INDEX(Validation!G:G,MATCH("PAYG 12"&amp;CELL("address",D25),Validation!I:I,0)),"")</f>
        <v/>
      </c>
      <c r="E25" s="66" t="str">
        <f ca="1">IFERROR(INDEX(Validation!F:F,MATCH("PAYG 12"&amp;CELL("address",D25),Validation!I:I,0)),"")</f>
        <v/>
      </c>
    </row>
    <row r="26" spans="1:5" x14ac:dyDescent="0.25">
      <c r="A26" s="79" t="s">
        <v>1190</v>
      </c>
      <c r="B26" s="122" t="str">
        <f>IF(NOT(ISBLANK('PAYG Input'!N32)),'PAYG Input'!N32,"")</f>
        <v/>
      </c>
      <c r="C26" s="122"/>
      <c r="D26" s="77" t="str">
        <f ca="1">IFERROR(INDEX(Validation!G:G,MATCH("PAYG 12"&amp;CELL("address",D26),Validation!I:I,0)),"")</f>
        <v/>
      </c>
      <c r="E26" s="66" t="str">
        <f ca="1">IFERROR(INDEX(Validation!F:F,MATCH("PAYG 12"&amp;CELL("address",D26),Validation!I:I,0)),"")</f>
        <v/>
      </c>
    </row>
    <row r="27" spans="1:5" x14ac:dyDescent="0.25">
      <c r="A27" s="79" t="s">
        <v>221</v>
      </c>
      <c r="B27" s="125" t="str">
        <f>IFERROR(B21-B25+B26,"")</f>
        <v/>
      </c>
      <c r="C27" s="125" t="str">
        <f>IFERROR(B21+C21-B25-C25+B26+C26,"")</f>
        <v/>
      </c>
      <c r="D27" s="77" t="str">
        <f ca="1">IFERROR(INDEX(Validation!G:G,MATCH("PAYG 12"&amp;CELL("address",D27),Validation!I:I,0)),"")</f>
        <v/>
      </c>
      <c r="E27" s="66" t="str">
        <f ca="1">IFERROR(INDEX(Validation!F:F,MATCH("PAYG 12"&amp;CELL("address",D27),Validation!I:I,0)),"")</f>
        <v/>
      </c>
    </row>
    <row r="28" spans="1:5" x14ac:dyDescent="0.25">
      <c r="A28" s="79" t="s">
        <v>223</v>
      </c>
      <c r="B28" s="122" t="str">
        <f>IF(NOT(ISBLANK('PAYG Input'!N36)),'PAYG Input'!N36,"")</f>
        <v/>
      </c>
      <c r="C28" s="122"/>
      <c r="D28" s="77" t="str">
        <f ca="1">IFERROR(INDEX(Validation!G:G,MATCH("PAYG 12"&amp;CELL("address",D28),Validation!I:I,0)),"")</f>
        <v/>
      </c>
      <c r="E28" s="66" t="str">
        <f ca="1">IFERROR(INDEX(Validation!F:F,MATCH("PAYG 12"&amp;CELL("address",D28),Validation!I:I,0)),"")</f>
        <v/>
      </c>
    </row>
    <row r="29" spans="1:5" x14ac:dyDescent="0.25">
      <c r="A29" s="79" t="s">
        <v>1191</v>
      </c>
      <c r="B29" s="122" t="str">
        <f>IF(NOT(ISBLANK('PAYG Input'!N38)),'PAYG Input'!N38,"")</f>
        <v/>
      </c>
      <c r="C29" s="122"/>
      <c r="D29" s="77" t="str">
        <f ca="1">IFERROR(INDEX(Validation!G:G,MATCH("PAYG 12"&amp;CELL("address",D29),Validation!I:I,0)),"")</f>
        <v/>
      </c>
      <c r="E29" s="66" t="str">
        <f ca="1">IFERROR(INDEX(Validation!F:F,MATCH("PAYG 12"&amp;CELL("address",D29),Validation!I:I,0)),"")</f>
        <v/>
      </c>
    </row>
    <row r="30" spans="1:5" ht="20.100000000000001" customHeight="1" x14ac:dyDescent="0.25">
      <c r="A30" s="74" t="str">
        <f>"Principal and Interest Due in "&amp;Year_DestinationYearID+1</f>
        <v>Principal and Interest Due in 2025</v>
      </c>
      <c r="B30" s="74"/>
      <c r="C30" s="128"/>
      <c r="D30" s="77"/>
    </row>
    <row r="31" spans="1:5" x14ac:dyDescent="0.25">
      <c r="A31" s="79" t="str">
        <f>"Principal Due in "&amp;Year_DestinationYearID+1</f>
        <v>Principal Due in 2025</v>
      </c>
      <c r="B31" s="122"/>
      <c r="C31" s="128"/>
      <c r="D31" s="77" t="str">
        <f ca="1">IFERROR(INDEX(Validation!G:G,MATCH("PAYG 12"&amp;CELL("address",D31),Validation!I:I,0)),"")</f>
        <v/>
      </c>
      <c r="E31" s="66" t="str">
        <f ca="1">IFERROR(INDEX(Validation!F:F,MATCH("PAYG 12"&amp;CELL("address",D31),Validation!I:I,0)),"")</f>
        <v/>
      </c>
    </row>
    <row r="32" spans="1:5" x14ac:dyDescent="0.25">
      <c r="A32" s="79" t="str">
        <f>"Interest Due in "&amp;Year_DestinationYearID+1</f>
        <v>Interest Due in 2025</v>
      </c>
      <c r="B32" s="122"/>
      <c r="C32" s="128"/>
      <c r="D32" s="77" t="str">
        <f ca="1">IFERROR(INDEX(Validation!G:G,MATCH("PAYG 12"&amp;CELL("address",D32),Validation!I:I,0)),"")</f>
        <v/>
      </c>
      <c r="E32" s="66" t="str">
        <f ca="1">IFERROR(INDEX(Validation!F:F,MATCH("PAYG 12"&amp;CELL("address",D32),Validation!I:I,0)),"")</f>
        <v/>
      </c>
    </row>
    <row r="33" spans="1:5" ht="20.100000000000001" customHeight="1" x14ac:dyDescent="0.25">
      <c r="A33" s="97" t="s">
        <v>176</v>
      </c>
      <c r="D33" s="77" t="str">
        <f ca="1">IF(AND(ISBLANK(A34),OR(COUNTIF(E6:E32,"Alert")&gt;0,SUM(B26:B26)&lt;&gt;0)),"Comment(s) required for remaining alert(s) and/or additions to principal.",IFERROR(INDEX(Validation!G:G,MATCH("PAYG 12"&amp;CELL("address",D34),Validation!I:I,0)),""))</f>
        <v/>
      </c>
      <c r="E33" s="66" t="str">
        <f ca="1">IF(AND(ISBLANK(A34),OR(COUNTIF(E6:E32,"Alert")&gt;0,SUM(B26:B26)&lt;&gt;0)),"Error",IFERROR(INDEX(Validation!F:F,MATCH("PAYG 12"&amp;CELL("address",D34),Validation!I:I,0)),""))</f>
        <v/>
      </c>
    </row>
    <row r="34" spans="1:5" ht="150" customHeight="1" x14ac:dyDescent="0.25">
      <c r="A34" s="123"/>
      <c r="B34" s="100" t="str">
        <f>HYPERLINK("#'PAYGs'!B6","Click here to return to the PAYGs Tab")</f>
        <v>Click here to return to the PAYGs Tab</v>
      </c>
      <c r="C34" s="127"/>
    </row>
    <row r="35" spans="1:5" x14ac:dyDescent="0.25">
      <c r="A35" s="98"/>
      <c r="B35" s="98"/>
      <c r="C35" s="98"/>
    </row>
    <row r="36" spans="1:5" x14ac:dyDescent="0.25">
      <c r="A36" s="98"/>
      <c r="B36" s="98"/>
      <c r="C36" s="98"/>
    </row>
    <row r="37" spans="1:5" x14ac:dyDescent="0.25">
      <c r="A37" s="98"/>
      <c r="B37" s="98"/>
      <c r="C37" s="98"/>
    </row>
    <row r="38" spans="1:5" x14ac:dyDescent="0.25">
      <c r="A38" s="98"/>
      <c r="B38" s="98"/>
      <c r="C38" s="98"/>
    </row>
  </sheetData>
  <sheetProtection algorithmName="SHA-512" hashValue="Cf4CflXt/F2AKIC0KiXulnFWB5+O1Pd751ZgKOjYxWIuG5LLvpTeYAm1nUEI/gkqH0Q1tGFYWvNAE+FUFWIVEw==" saltValue="O7SPdkQRTgvZg4BCHmCxQA==" spinCount="100000" sheet="1" objects="1" scenarios="1"/>
  <mergeCells count="1">
    <mergeCell ref="A4:E4"/>
  </mergeCells>
  <conditionalFormatting sqref="A2">
    <cfRule type="expression" dxfId="297" priority="5">
      <formula>$E2="Error"</formula>
    </cfRule>
    <cfRule type="expression" dxfId="295" priority="7">
      <formula>$E2="Exclude"</formula>
    </cfRule>
  </conditionalFormatting>
  <conditionalFormatting sqref="D6:E33">
    <cfRule type="expression" dxfId="294" priority="1">
      <formula>$E6="Information"</formula>
    </cfRule>
    <cfRule type="expression" dxfId="293" priority="2">
      <formula>$E6="Error"</formula>
    </cfRule>
    <cfRule type="expression" dxfId="292" priority="3">
      <formula>$E6="Alert"</formula>
    </cfRule>
    <cfRule type="expression" dxfId="291" priority="4">
      <formula>$E6="Exclude"</formula>
    </cfRule>
  </conditionalFormatting>
  <dataValidations count="1">
    <dataValidation type="list" allowBlank="1" showInputMessage="1" showErrorMessage="1" sqref="B13:C13" xr:uid="{36B0FA1C-EFB3-4D39-B0DD-063B454D1365}">
      <formula1>SelOneYesNo</formula1>
    </dataValidation>
  </dataValidations>
  <pageMargins left="0.7" right="0.7" top="0.75" bottom="0.75" header="0.3" footer="0.3"/>
  <pageSetup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6" id="{B8D9479A-5655-4D0F-8822-341884C73AC4}">
            <xm:f>COUNTIFS(Validation!$H:$H,MID(CELL("filename",A2),FIND("]",CELL("filename",A2))+1,255)&amp;CELL("address",A2))&gt;0</xm:f>
            <x14:dxf>
              <font>
                <b/>
                <i val="0"/>
                <color rgb="FFC00000"/>
              </font>
              <numFmt numFmtId="172" formatCode="_(\!* #,##0_);_(\!* \(#,##0\);_(\!* \-??_);_(\!\ @_)"/>
            </x14:dxf>
          </x14:cfRule>
          <xm:sqref>A2</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008781-EE65-4539-84F0-DBC5685E252E}">
  <sheetPr>
    <tabColor rgb="FFFFC000"/>
  </sheetPr>
  <dimension ref="A1:R69"/>
  <sheetViews>
    <sheetView workbookViewId="0">
      <selection activeCell="C17" sqref="C17"/>
    </sheetView>
  </sheetViews>
  <sheetFormatPr defaultRowHeight="15" x14ac:dyDescent="0.25"/>
  <cols>
    <col min="1" max="1" width="52" customWidth="1"/>
    <col min="2" max="2" width="54.42578125" customWidth="1"/>
    <col min="3" max="17" width="10.7109375" customWidth="1"/>
  </cols>
  <sheetData>
    <row r="1" spans="1:17" s="43" customFormat="1" ht="24.95" customHeight="1" x14ac:dyDescent="0.3">
      <c r="A1" s="29" t="s">
        <v>851</v>
      </c>
    </row>
    <row r="2" spans="1:17" s="8" customFormat="1" ht="45" customHeight="1" x14ac:dyDescent="0.25">
      <c r="A2" s="9" t="s">
        <v>808</v>
      </c>
    </row>
    <row r="3" spans="1:17" x14ac:dyDescent="0.25">
      <c r="A3" s="1"/>
      <c r="B3" t="s">
        <v>506</v>
      </c>
      <c r="C3" s="45">
        <v>1</v>
      </c>
      <c r="D3" s="45">
        <v>2</v>
      </c>
      <c r="E3" s="45">
        <v>3</v>
      </c>
      <c r="F3" s="45">
        <v>4</v>
      </c>
      <c r="G3" s="45">
        <v>5</v>
      </c>
      <c r="H3" s="45">
        <v>6</v>
      </c>
      <c r="I3" s="45">
        <v>7</v>
      </c>
      <c r="J3" s="45">
        <v>8</v>
      </c>
      <c r="K3" s="45">
        <v>9</v>
      </c>
      <c r="L3" s="45">
        <v>10</v>
      </c>
      <c r="M3" s="45">
        <v>11</v>
      </c>
      <c r="N3" s="45">
        <v>12</v>
      </c>
      <c r="O3" s="45">
        <v>13</v>
      </c>
      <c r="P3" s="45">
        <v>14</v>
      </c>
      <c r="Q3" s="45">
        <v>15</v>
      </c>
    </row>
    <row r="4" spans="1:17" x14ac:dyDescent="0.25">
      <c r="A4" s="7" t="s">
        <v>879</v>
      </c>
      <c r="B4" t="s">
        <v>876</v>
      </c>
      <c r="C4" s="28" cm="1">
        <f t="array" aca="1" ref="C4" ca="1">IF($R$66&gt;=C$3,INDIRECT("'Loan "&amp;C$3&amp;"'!$F$7"),IF($R$66+$R$67&gt;=C$3,INDIRECT("'DFLoan"&amp;C$3-$R$66&amp;"'!$E$7"),""))</f>
        <v>904</v>
      </c>
      <c r="D4" s="28" t="str" cm="1">
        <f t="array" aca="1" ref="D4" ca="1">IF($R$66&gt;=D$3,INDIRECT("'Loan "&amp;D$3&amp;"'!$F$7"),IF($R$66+$R$67&gt;=D$3,INDIRECT("'DFLoan"&amp;D$3-$R$66&amp;"'!$E$7"),""))</f>
        <v/>
      </c>
      <c r="E4" s="28" t="str" cm="1">
        <f t="array" aca="1" ref="E4" ca="1">IF($R$66&gt;=E$3,INDIRECT("'Loan "&amp;E$3&amp;"'!$F$7"),IF($R$66+$R$67&gt;=E$3,INDIRECT("'DFLoan"&amp;E$3-$R$66&amp;"'!$E$7"),""))</f>
        <v/>
      </c>
      <c r="F4" s="28" t="str" cm="1">
        <f t="array" aca="1" ref="F4" ca="1">IF($R$66&gt;=F$3,INDIRECT("'Loan "&amp;F$3&amp;"'!$F$7"),IF($R$66+$R$67&gt;=F$3,INDIRECT("'DFLoan"&amp;F$3-$R$66&amp;"'!$E$7"),""))</f>
        <v/>
      </c>
      <c r="G4" s="28" t="str" cm="1">
        <f t="array" aca="1" ref="G4" ca="1">IF($R$66&gt;=G$3,INDIRECT("'Loan "&amp;G$3&amp;"'!$F$7"),IF($R$66+$R$67&gt;=G$3,INDIRECT("'DFLoan"&amp;G$3-$R$66&amp;"'!$E$7"),""))</f>
        <v/>
      </c>
      <c r="H4" s="28" t="str" cm="1">
        <f t="array" aca="1" ref="H4" ca="1">IF($R$66&gt;=H$3,INDIRECT("'Loan "&amp;H$3&amp;"'!$F$7"),IF($R$66+$R$67&gt;=H$3,INDIRECT("'DFLoan"&amp;H$3-$R$66&amp;"'!$E$7"),""))</f>
        <v/>
      </c>
      <c r="I4" s="28" t="str" cm="1">
        <f t="array" aca="1" ref="I4" ca="1">IF($R$66&gt;=I$3,INDIRECT("'Loan "&amp;I$3&amp;"'!$F$7"),IF($R$66+$R$67&gt;=I$3,INDIRECT("'DFLoan"&amp;I$3-$R$66&amp;"'!$E$7"),""))</f>
        <v/>
      </c>
      <c r="J4" s="28" t="str" cm="1">
        <f t="array" aca="1" ref="J4" ca="1">IF($R$66&gt;=J$3,INDIRECT("'Loan "&amp;J$3&amp;"'!$F$7"),IF($R$66+$R$67&gt;=J$3,INDIRECT("'DFLoan"&amp;J$3-$R$66&amp;"'!$E$7"),""))</f>
        <v/>
      </c>
      <c r="K4" s="28" t="str" cm="1">
        <f t="array" aca="1" ref="K4" ca="1">IF($R$66&gt;=K$3,INDIRECT("'Loan "&amp;K$3&amp;"'!$F$7"),IF($R$66+$R$67&gt;=K$3,INDIRECT("'DFLoan"&amp;K$3-$R$66&amp;"'!$E$7"),""))</f>
        <v/>
      </c>
      <c r="L4" s="28" t="str" cm="1">
        <f t="array" aca="1" ref="L4" ca="1">IF($R$66&gt;=L$3,INDIRECT("'Loan "&amp;L$3&amp;"'!$F$7"),IF($R$66+$R$67&gt;=L$3,INDIRECT("'DFLoan"&amp;L$3-$R$66&amp;"'!$E$7"),""))</f>
        <v/>
      </c>
      <c r="M4" s="28" t="str" cm="1">
        <f t="array" aca="1" ref="M4" ca="1">IF($R$66&gt;=M$3,INDIRECT("'Loan "&amp;M$3&amp;"'!$F$7"),IF($R$66+$R$67&gt;=M$3,INDIRECT("'DFLoan"&amp;M$3-$R$66&amp;"'!$E$7"),""))</f>
        <v/>
      </c>
      <c r="N4" s="28" t="str" cm="1">
        <f t="array" aca="1" ref="N4" ca="1">IF($R$66&gt;=N$3,INDIRECT("'Loan "&amp;N$3&amp;"'!$F$7"),IF($R$66+$R$67&gt;=N$3,INDIRECT("'DFLoan"&amp;N$3-$R$66&amp;"'!$E$7"),""))</f>
        <v/>
      </c>
      <c r="O4" s="28" t="str" cm="1">
        <f t="array" aca="1" ref="O4" ca="1">IF($R$66&gt;=O$3,INDIRECT("'Loan "&amp;O$3&amp;"'!$F$7"),IF($R$66+$R$67&gt;=O$3,INDIRECT("'DFLoan"&amp;O$3-$R$66&amp;"'!$E$7"),""))</f>
        <v/>
      </c>
      <c r="P4" s="28" t="str" cm="1">
        <f t="array" aca="1" ref="P4" ca="1">IF($R$66&gt;=P$3,INDIRECT("'Loan "&amp;P$3&amp;"'!$F$7"),IF($R$66+$R$67&gt;=P$3,INDIRECT("'DFLoan"&amp;P$3-$R$66&amp;"'!$E$7"),""))</f>
        <v/>
      </c>
      <c r="Q4" s="28" t="str" cm="1">
        <f t="array" aca="1" ref="Q4" ca="1">IF($R$66&gt;=Q$3,INDIRECT("'Loan "&amp;Q$3&amp;"'!$F$7"),IF($R$66+$R$67&gt;=Q$3,INDIRECT("'DFLoan"&amp;Q$3-$R$66&amp;"'!$E$7"),""))</f>
        <v/>
      </c>
    </row>
    <row r="5" spans="1:17" x14ac:dyDescent="0.25">
      <c r="A5" s="7" t="s">
        <v>761</v>
      </c>
      <c r="B5" t="s">
        <v>810</v>
      </c>
      <c r="C5" s="28" t="str" cm="1">
        <f t="array" aca="1" ref="C5" ca="1">IF($R$66&gt;=C$3,_xlfn.XLOOKUP(INDIRECT("'Loan "&amp;C$3&amp;"'!$B$7"),Lists!$AH$2:$AH$5,Lists!$AG$2:$AG$5),IF($R$66+$R$67&gt;=C$3,_xlfn.XLOOKUP(INDIRECT("'DFLoan"&amp;C$3-$R$66&amp;"'!$B$7"),Lists!$AH$2:$AH$5,Lists!$AG$2:$AG$5),""))</f>
        <v>fma</v>
      </c>
      <c r="D5" s="28" t="str" cm="1">
        <f t="array" aca="1" ref="D5" ca="1">IF($R$66&gt;=D$3,_xlfn.XLOOKUP(INDIRECT("'Loan "&amp;D$3&amp;"'!$B$7"),Lists!$AH$2:$AH$5,Lists!$AG$2:$AG$5),IF($R$66+$R$67&gt;=D$3,_xlfn.XLOOKUP(INDIRECT("'DFLoan"&amp;D$3-$R$66&amp;"'!$B$7"),Lists!$AH$2:$AH$5,Lists!$AG$2:$AG$5),""))</f>
        <v/>
      </c>
      <c r="E5" s="28" t="str" cm="1">
        <f t="array" aca="1" ref="E5" ca="1">IF($R$66&gt;=E$3,_xlfn.XLOOKUP(INDIRECT("'Loan "&amp;E$3&amp;"'!$B$7"),Lists!$AH$2:$AH$5,Lists!$AG$2:$AG$5),IF($R$66+$R$67&gt;=E$3,_xlfn.XLOOKUP(INDIRECT("'DFLoan"&amp;E$3-$R$66&amp;"'!$B$7"),Lists!$AH$2:$AH$5,Lists!$AG$2:$AG$5),""))</f>
        <v/>
      </c>
      <c r="F5" s="28" t="str" cm="1">
        <f t="array" aca="1" ref="F5" ca="1">IF($R$66&gt;=F$3,_xlfn.XLOOKUP(INDIRECT("'Loan "&amp;F$3&amp;"'!$B$7"),Lists!$AH$2:$AH$5,Lists!$AG$2:$AG$5),IF($R$66+$R$67&gt;=F$3,_xlfn.XLOOKUP(INDIRECT("'DFLoan"&amp;F$3-$R$66&amp;"'!$B$7"),Lists!$AH$2:$AH$5,Lists!$AG$2:$AG$5),""))</f>
        <v/>
      </c>
      <c r="G5" s="28" t="str" cm="1">
        <f t="array" aca="1" ref="G5" ca="1">IF($R$66&gt;=G$3,_xlfn.XLOOKUP(INDIRECT("'Loan "&amp;G$3&amp;"'!$B$7"),Lists!$AH$2:$AH$5,Lists!$AG$2:$AG$5),IF($R$66+$R$67&gt;=G$3,_xlfn.XLOOKUP(INDIRECT("'DFLoan"&amp;G$3-$R$66&amp;"'!$B$7"),Lists!$AH$2:$AH$5,Lists!$AG$2:$AG$5),""))</f>
        <v/>
      </c>
      <c r="H5" s="28" t="str" cm="1">
        <f t="array" aca="1" ref="H5" ca="1">IF($R$66&gt;=H$3,_xlfn.XLOOKUP(INDIRECT("'Loan "&amp;H$3&amp;"'!$B$7"),Lists!$AH$2:$AH$5,Lists!$AG$2:$AG$5),IF($R$66+$R$67&gt;=H$3,_xlfn.XLOOKUP(INDIRECT("'DFLoan"&amp;H$3-$R$66&amp;"'!$B$7"),Lists!$AH$2:$AH$5,Lists!$AG$2:$AG$5),""))</f>
        <v/>
      </c>
      <c r="I5" s="28" t="str" cm="1">
        <f t="array" aca="1" ref="I5" ca="1">IF($R$66&gt;=I$3,_xlfn.XLOOKUP(INDIRECT("'Loan "&amp;I$3&amp;"'!$B$7"),Lists!$AH$2:$AH$5,Lists!$AG$2:$AG$5),IF($R$66+$R$67&gt;=I$3,_xlfn.XLOOKUP(INDIRECT("'DFLoan"&amp;I$3-$R$66&amp;"'!$B$7"),Lists!$AH$2:$AH$5,Lists!$AG$2:$AG$5),""))</f>
        <v/>
      </c>
      <c r="J5" s="28" t="str" cm="1">
        <f t="array" aca="1" ref="J5" ca="1">IF($R$66&gt;=J$3,_xlfn.XLOOKUP(INDIRECT("'Loan "&amp;J$3&amp;"'!$B$7"),Lists!$AH$2:$AH$5,Lists!$AG$2:$AG$5),IF($R$66+$R$67&gt;=J$3,_xlfn.XLOOKUP(INDIRECT("'DFLoan"&amp;J$3-$R$66&amp;"'!$B$7"),Lists!$AH$2:$AH$5,Lists!$AG$2:$AG$5),""))</f>
        <v/>
      </c>
      <c r="K5" s="28" t="str" cm="1">
        <f t="array" aca="1" ref="K5" ca="1">IF($R$66&gt;=K$3,_xlfn.XLOOKUP(INDIRECT("'Loan "&amp;K$3&amp;"'!$B$7"),Lists!$AH$2:$AH$5,Lists!$AG$2:$AG$5),IF($R$66+$R$67&gt;=K$3,_xlfn.XLOOKUP(INDIRECT("'DFLoan"&amp;K$3-$R$66&amp;"'!$B$7"),Lists!$AH$2:$AH$5,Lists!$AG$2:$AG$5),""))</f>
        <v/>
      </c>
      <c r="L5" s="28" t="str" cm="1">
        <f t="array" aca="1" ref="L5" ca="1">IF($R$66&gt;=L$3,_xlfn.XLOOKUP(INDIRECT("'Loan "&amp;L$3&amp;"'!$B$7"),Lists!$AH$2:$AH$5,Lists!$AG$2:$AG$5),IF($R$66+$R$67&gt;=L$3,_xlfn.XLOOKUP(INDIRECT("'DFLoan"&amp;L$3-$R$66&amp;"'!$B$7"),Lists!$AH$2:$AH$5,Lists!$AG$2:$AG$5),""))</f>
        <v/>
      </c>
      <c r="M5" s="28" t="str" cm="1">
        <f t="array" aca="1" ref="M5" ca="1">IF($R$66&gt;=M$3,_xlfn.XLOOKUP(INDIRECT("'Loan "&amp;M$3&amp;"'!$B$7"),Lists!$AH$2:$AH$5,Lists!$AG$2:$AG$5),IF($R$66+$R$67&gt;=M$3,_xlfn.XLOOKUP(INDIRECT("'DFLoan"&amp;M$3-$R$66&amp;"'!$B$7"),Lists!$AH$2:$AH$5,Lists!$AG$2:$AG$5),""))</f>
        <v/>
      </c>
      <c r="N5" s="28" t="str" cm="1">
        <f t="array" aca="1" ref="N5" ca="1">IF($R$66&gt;=N$3,_xlfn.XLOOKUP(INDIRECT("'Loan "&amp;N$3&amp;"'!$B$7"),Lists!$AH$2:$AH$5,Lists!$AG$2:$AG$5),IF($R$66+$R$67&gt;=N$3,_xlfn.XLOOKUP(INDIRECT("'DFLoan"&amp;N$3-$R$66&amp;"'!$B$7"),Lists!$AH$2:$AH$5,Lists!$AG$2:$AG$5),""))</f>
        <v/>
      </c>
      <c r="O5" s="28" t="str" cm="1">
        <f t="array" aca="1" ref="O5" ca="1">IF($R$66&gt;=O$3,_xlfn.XLOOKUP(INDIRECT("'Loan "&amp;O$3&amp;"'!$B$7"),Lists!$AH$2:$AH$5,Lists!$AG$2:$AG$5),IF($R$66+$R$67&gt;=O$3,_xlfn.XLOOKUP(INDIRECT("'DFLoan"&amp;O$3-$R$66&amp;"'!$B$7"),Lists!$AH$2:$AH$5,Lists!$AG$2:$AG$5),""))</f>
        <v/>
      </c>
      <c r="P5" s="28" t="str" cm="1">
        <f t="array" aca="1" ref="P5" ca="1">IF($R$66&gt;=P$3,_xlfn.XLOOKUP(INDIRECT("'Loan "&amp;P$3&amp;"'!$B$7"),Lists!$AH$2:$AH$5,Lists!$AG$2:$AG$5),IF($R$66+$R$67&gt;=P$3,_xlfn.XLOOKUP(INDIRECT("'DFLoan"&amp;P$3-$R$66&amp;"'!$B$7"),Lists!$AH$2:$AH$5,Lists!$AG$2:$AG$5),""))</f>
        <v/>
      </c>
      <c r="Q5" s="28" t="str" cm="1">
        <f t="array" aca="1" ref="Q5" ca="1">IF($R$66&gt;=Q$3,_xlfn.XLOOKUP(INDIRECT("'Loan "&amp;Q$3&amp;"'!$B$7"),Lists!$AH$2:$AH$5,Lists!$AG$2:$AG$5),IF($R$66+$R$67&gt;=Q$3,_xlfn.XLOOKUP(INDIRECT("'DFLoan"&amp;Q$3-$R$66&amp;"'!$B$7"),Lists!$AH$2:$AH$5,Lists!$AG$2:$AG$5),""))</f>
        <v/>
      </c>
    </row>
    <row r="6" spans="1:17" x14ac:dyDescent="0.25">
      <c r="A6" s="7" t="s">
        <v>769</v>
      </c>
      <c r="B6" t="s">
        <v>811</v>
      </c>
      <c r="C6" s="28" t="str" cm="1">
        <f t="array" aca="1" ref="C6" ca="1">IF($R$66&gt;=C$3,IF(INDIRECT("'Loan "&amp;C$3&amp;"'!$B$8")="Select One","",INDIRECT("'Loan "&amp;C$3&amp;"'!$B$8")),IF($R$66+$R$67&gt;=C$3,IF(INDIRECT("'DFLoan"&amp;C$3-$R$66&amp;"'!$B$8")="Select One","",INDIRECT("'DFLoan"&amp;C$3-$R$66&amp;"'!$B$8")),""))</f>
        <v/>
      </c>
      <c r="D6" s="28" t="str" cm="1">
        <f t="array" aca="1" ref="D6" ca="1">IF($R$66&gt;=D$3,IF(INDIRECT("'Loan "&amp;D$3&amp;"'!$B$8")="Select One","",INDIRECT("'Loan "&amp;D$3&amp;"'!$B$8")),IF($R$66+$R$67&gt;=D$3,IF(INDIRECT("'DFLoan"&amp;D$3-$R$66&amp;"'!$B$8")="Select One","",INDIRECT("'DFLoan"&amp;D$3-$R$66&amp;"'!$B$8")),""))</f>
        <v/>
      </c>
      <c r="E6" s="28" t="str" cm="1">
        <f t="array" aca="1" ref="E6" ca="1">IF($R$66&gt;=E$3,IF(INDIRECT("'Loan "&amp;E$3&amp;"'!$B$8")="Select One","",INDIRECT("'Loan "&amp;E$3&amp;"'!$B$8")),IF($R$66+$R$67&gt;=E$3,IF(INDIRECT("'DFLoan"&amp;E$3-$R$66&amp;"'!$B$8")="Select One","",INDIRECT("'DFLoan"&amp;E$3-$R$66&amp;"'!$B$8")),""))</f>
        <v/>
      </c>
      <c r="F6" s="28" t="str" cm="1">
        <f t="array" aca="1" ref="F6" ca="1">IF($R$66&gt;=F$3,IF(INDIRECT("'Loan "&amp;F$3&amp;"'!$B$8")="Select One","",INDIRECT("'Loan "&amp;F$3&amp;"'!$B$8")),IF($R$66+$R$67&gt;=F$3,IF(INDIRECT("'DFLoan"&amp;F$3-$R$66&amp;"'!$B$8")="Select One","",INDIRECT("'DFLoan"&amp;F$3-$R$66&amp;"'!$B$8")),""))</f>
        <v/>
      </c>
      <c r="G6" s="28" t="str" cm="1">
        <f t="array" aca="1" ref="G6" ca="1">IF($R$66&gt;=G$3,IF(INDIRECT("'Loan "&amp;G$3&amp;"'!$B$8")="Select One","",INDIRECT("'Loan "&amp;G$3&amp;"'!$B$8")),IF($R$66+$R$67&gt;=G$3,IF(INDIRECT("'DFLoan"&amp;G$3-$R$66&amp;"'!$B$8")="Select One","",INDIRECT("'DFLoan"&amp;G$3-$R$66&amp;"'!$B$8")),""))</f>
        <v/>
      </c>
      <c r="H6" s="28" t="str" cm="1">
        <f t="array" aca="1" ref="H6" ca="1">IF($R$66&gt;=H$3,IF(INDIRECT("'Loan "&amp;H$3&amp;"'!$B$8")="Select One","",INDIRECT("'Loan "&amp;H$3&amp;"'!$B$8")),IF($R$66+$R$67&gt;=H$3,IF(INDIRECT("'DFLoan"&amp;H$3-$R$66&amp;"'!$B$8")="Select One","",INDIRECT("'DFLoan"&amp;H$3-$R$66&amp;"'!$B$8")),""))</f>
        <v/>
      </c>
      <c r="I6" s="28" t="str" cm="1">
        <f t="array" aca="1" ref="I6" ca="1">IF($R$66&gt;=I$3,IF(INDIRECT("'Loan "&amp;I$3&amp;"'!$B$8")="Select One","",INDIRECT("'Loan "&amp;I$3&amp;"'!$B$8")),IF($R$66+$R$67&gt;=I$3,IF(INDIRECT("'DFLoan"&amp;I$3-$R$66&amp;"'!$B$8")="Select One","",INDIRECT("'DFLoan"&amp;I$3-$R$66&amp;"'!$B$8")),""))</f>
        <v/>
      </c>
      <c r="J6" s="28" t="str" cm="1">
        <f t="array" aca="1" ref="J6" ca="1">IF($R$66&gt;=J$3,IF(INDIRECT("'Loan "&amp;J$3&amp;"'!$B$8")="Select One","",INDIRECT("'Loan "&amp;J$3&amp;"'!$B$8")),IF($R$66+$R$67&gt;=J$3,IF(INDIRECT("'DFLoan"&amp;J$3-$R$66&amp;"'!$B$8")="Select One","",INDIRECT("'DFLoan"&amp;J$3-$R$66&amp;"'!$B$8")),""))</f>
        <v/>
      </c>
      <c r="K6" s="28" t="str" cm="1">
        <f t="array" aca="1" ref="K6" ca="1">IF($R$66&gt;=K$3,IF(INDIRECT("'Loan "&amp;K$3&amp;"'!$B$8")="Select One","",INDIRECT("'Loan "&amp;K$3&amp;"'!$B$8")),IF($R$66+$R$67&gt;=K$3,IF(INDIRECT("'DFLoan"&amp;K$3-$R$66&amp;"'!$B$8")="Select One","",INDIRECT("'DFLoan"&amp;K$3-$R$66&amp;"'!$B$8")),""))</f>
        <v/>
      </c>
      <c r="L6" s="28" t="str" cm="1">
        <f t="array" aca="1" ref="L6" ca="1">IF($R$66&gt;=L$3,IF(INDIRECT("'Loan "&amp;L$3&amp;"'!$B$8")="Select One","",INDIRECT("'Loan "&amp;L$3&amp;"'!$B$8")),IF($R$66+$R$67&gt;=L$3,IF(INDIRECT("'DFLoan"&amp;L$3-$R$66&amp;"'!$B$8")="Select One","",INDIRECT("'DFLoan"&amp;L$3-$R$66&amp;"'!$B$8")),""))</f>
        <v/>
      </c>
      <c r="M6" s="28" t="str" cm="1">
        <f t="array" aca="1" ref="M6" ca="1">IF($R$66&gt;=M$3,IF(INDIRECT("'Loan "&amp;M$3&amp;"'!$B$8")="Select One","",INDIRECT("'Loan "&amp;M$3&amp;"'!$B$8")),IF($R$66+$R$67&gt;=M$3,IF(INDIRECT("'DFLoan"&amp;M$3-$R$66&amp;"'!$B$8")="Select One","",INDIRECT("'DFLoan"&amp;M$3-$R$66&amp;"'!$B$8")),""))</f>
        <v/>
      </c>
      <c r="N6" s="28" t="str" cm="1">
        <f t="array" aca="1" ref="N6" ca="1">IF($R$66&gt;=N$3,IF(INDIRECT("'Loan "&amp;N$3&amp;"'!$B$8")="Select One","",INDIRECT("'Loan "&amp;N$3&amp;"'!$B$8")),IF($R$66+$R$67&gt;=N$3,IF(INDIRECT("'DFLoan"&amp;N$3-$R$66&amp;"'!$B$8")="Select One","",INDIRECT("'DFLoan"&amp;N$3-$R$66&amp;"'!$B$8")),""))</f>
        <v/>
      </c>
      <c r="O6" s="28" t="str" cm="1">
        <f t="array" aca="1" ref="O6" ca="1">IF($R$66&gt;=O$3,IF(INDIRECT("'Loan "&amp;O$3&amp;"'!$B$8")="Select One","",INDIRECT("'Loan "&amp;O$3&amp;"'!$B$8")),IF($R$66+$R$67&gt;=O$3,IF(INDIRECT("'DFLoan"&amp;O$3-$R$66&amp;"'!$B$8")="Select One","",INDIRECT("'DFLoan"&amp;O$3-$R$66&amp;"'!$B$8")),""))</f>
        <v/>
      </c>
      <c r="P6" s="28" t="str" cm="1">
        <f t="array" aca="1" ref="P6" ca="1">IF($R$66&gt;=P$3,IF(INDIRECT("'Loan "&amp;P$3&amp;"'!$B$8")="Select One","",INDIRECT("'Loan "&amp;P$3&amp;"'!$B$8")),IF($R$66+$R$67&gt;=P$3,IF(INDIRECT("'DFLoan"&amp;P$3-$R$66&amp;"'!$B$8")="Select One","",INDIRECT("'DFLoan"&amp;P$3-$R$66&amp;"'!$B$8")),""))</f>
        <v/>
      </c>
      <c r="Q6" s="28" t="str" cm="1">
        <f t="array" aca="1" ref="Q6" ca="1">IF($R$66&gt;=Q$3,IF(INDIRECT("'Loan "&amp;Q$3&amp;"'!$B$8")="Select One","",INDIRECT("'Loan "&amp;Q$3&amp;"'!$B$8")),IF($R$66+$R$67&gt;=Q$3,IF(INDIRECT("'DFLoan"&amp;Q$3-$R$66&amp;"'!$B$8")="Select One","",INDIRECT("'DFLoan"&amp;Q$3-$R$66&amp;"'!$B$8")),""))</f>
        <v/>
      </c>
    </row>
    <row r="7" spans="1:17" x14ac:dyDescent="0.25">
      <c r="A7" s="7" t="s">
        <v>770</v>
      </c>
      <c r="B7" t="s">
        <v>812</v>
      </c>
      <c r="C7" s="28" t="str" cm="1">
        <f t="array" aca="1" ref="C7" ca="1">IF($R$66&gt;=C$3,INDIRECT("'Loan "&amp;C$3&amp;"'!$B$9"),IF($R$66+$R$67&gt;=C$3,INDIRECT("'DFLoan"&amp;C$3-$R$66&amp;"'!$B$9"),""))</f>
        <v>General Fund</v>
      </c>
      <c r="D7" s="28" t="str" cm="1">
        <f t="array" aca="1" ref="D7" ca="1">IF($R$66&gt;=D$3,INDIRECT("'Loan "&amp;D$3&amp;"'!$B$9"),IF($R$66+$R$67&gt;=D$3,INDIRECT("'DFLoan"&amp;D$3-$R$66&amp;"'!$B$9"),""))</f>
        <v/>
      </c>
      <c r="E7" s="28" t="str" cm="1">
        <f t="array" aca="1" ref="E7" ca="1">IF($R$66&gt;=E$3,INDIRECT("'Loan "&amp;E$3&amp;"'!$B$9"),IF($R$66+$R$67&gt;=E$3,INDIRECT("'DFLoan"&amp;E$3-$R$66&amp;"'!$B$9"),""))</f>
        <v/>
      </c>
      <c r="F7" s="28" t="str" cm="1">
        <f t="array" aca="1" ref="F7" ca="1">IF($R$66&gt;=F$3,INDIRECT("'Loan "&amp;F$3&amp;"'!$B$9"),IF($R$66+$R$67&gt;=F$3,INDIRECT("'DFLoan"&amp;F$3-$R$66&amp;"'!$B$9"),""))</f>
        <v/>
      </c>
      <c r="G7" s="28" t="str" cm="1">
        <f t="array" aca="1" ref="G7" ca="1">IF($R$66&gt;=G$3,INDIRECT("'Loan "&amp;G$3&amp;"'!$B$9"),IF($R$66+$R$67&gt;=G$3,INDIRECT("'DFLoan"&amp;G$3-$R$66&amp;"'!$B$9"),""))</f>
        <v/>
      </c>
      <c r="H7" s="28" t="str" cm="1">
        <f t="array" aca="1" ref="H7" ca="1">IF($R$66&gt;=H$3,INDIRECT("'Loan "&amp;H$3&amp;"'!$B$9"),IF($R$66+$R$67&gt;=H$3,INDIRECT("'DFLoan"&amp;H$3-$R$66&amp;"'!$B$9"),""))</f>
        <v/>
      </c>
      <c r="I7" s="28" t="str" cm="1">
        <f t="array" aca="1" ref="I7" ca="1">IF($R$66&gt;=I$3,INDIRECT("'Loan "&amp;I$3&amp;"'!$B$9"),IF($R$66+$R$67&gt;=I$3,INDIRECT("'DFLoan"&amp;I$3-$R$66&amp;"'!$B$9"),""))</f>
        <v/>
      </c>
      <c r="J7" s="28" t="str" cm="1">
        <f t="array" aca="1" ref="J7" ca="1">IF($R$66&gt;=J$3,INDIRECT("'Loan "&amp;J$3&amp;"'!$B$9"),IF($R$66+$R$67&gt;=J$3,INDIRECT("'DFLoan"&amp;J$3-$R$66&amp;"'!$B$9"),""))</f>
        <v/>
      </c>
      <c r="K7" s="28" t="str" cm="1">
        <f t="array" aca="1" ref="K7" ca="1">IF($R$66&gt;=K$3,INDIRECT("'Loan "&amp;K$3&amp;"'!$B$9"),IF($R$66+$R$67&gt;=K$3,INDIRECT("'DFLoan"&amp;K$3-$R$66&amp;"'!$B$9"),""))</f>
        <v/>
      </c>
      <c r="L7" s="28" t="str" cm="1">
        <f t="array" aca="1" ref="L7" ca="1">IF($R$66&gt;=L$3,INDIRECT("'Loan "&amp;L$3&amp;"'!$B$9"),IF($R$66+$R$67&gt;=L$3,INDIRECT("'DFLoan"&amp;L$3-$R$66&amp;"'!$B$9"),""))</f>
        <v/>
      </c>
      <c r="M7" s="28" t="str" cm="1">
        <f t="array" aca="1" ref="M7" ca="1">IF($R$66&gt;=M$3,INDIRECT("'Loan "&amp;M$3&amp;"'!$B$9"),IF($R$66+$R$67&gt;=M$3,INDIRECT("'DFLoan"&amp;M$3-$R$66&amp;"'!$B$9"),""))</f>
        <v/>
      </c>
      <c r="N7" s="28" t="str" cm="1">
        <f t="array" aca="1" ref="N7" ca="1">IF($R$66&gt;=N$3,INDIRECT("'Loan "&amp;N$3&amp;"'!$B$9"),IF($R$66+$R$67&gt;=N$3,INDIRECT("'DFLoan"&amp;N$3-$R$66&amp;"'!$B$9"),""))</f>
        <v/>
      </c>
      <c r="O7" s="28" t="str" cm="1">
        <f t="array" aca="1" ref="O7" ca="1">IF($R$66&gt;=O$3,INDIRECT("'Loan "&amp;O$3&amp;"'!$B$9"),IF($R$66+$R$67&gt;=O$3,INDIRECT("'DFLoan"&amp;O$3-$R$66&amp;"'!$B$9"),""))</f>
        <v/>
      </c>
      <c r="P7" s="28" t="str" cm="1">
        <f t="array" aca="1" ref="P7" ca="1">IF($R$66&gt;=P$3,INDIRECT("'Loan "&amp;P$3&amp;"'!$B$9"),IF($R$66+$R$67&gt;=P$3,INDIRECT("'DFLoan"&amp;P$3-$R$66&amp;"'!$B$9"),""))</f>
        <v/>
      </c>
      <c r="Q7" s="28" t="str" cm="1">
        <f t="array" aca="1" ref="Q7" ca="1">IF($R$66&gt;=Q$3,INDIRECT("'Loan "&amp;Q$3&amp;"'!$B$9"),IF($R$66+$R$67&gt;=Q$3,INDIRECT("'DFLoan"&amp;Q$3-$R$66&amp;"'!$B$9"),""))</f>
        <v/>
      </c>
    </row>
    <row r="8" spans="1:17" x14ac:dyDescent="0.25">
      <c r="A8" s="7" t="s">
        <v>240</v>
      </c>
      <c r="B8" t="s">
        <v>813</v>
      </c>
      <c r="C8" s="37" cm="1">
        <f t="array" aca="1" ref="C8" ca="1">IF($R$66&gt;=C$3,INDIRECT("'Loan "&amp;C$3&amp;"'!$B$10"),IF($R$66+$R$67&gt;=C$3,INDIRECT("'DFLoan"&amp;C$3-$R$66&amp;"'!$B$10"),""))</f>
        <v>41092</v>
      </c>
      <c r="D8" s="37" t="str" cm="1">
        <f t="array" aca="1" ref="D8" ca="1">IF($R$66&gt;=D$3,INDIRECT("'Loan "&amp;D$3&amp;"'!$B$10"),IF($R$66+$R$67&gt;=D$3,INDIRECT("'DFLoan"&amp;D$3-$R$66&amp;"'!$B$10"),""))</f>
        <v/>
      </c>
      <c r="E8" s="37" t="str" cm="1">
        <f t="array" aca="1" ref="E8" ca="1">IF($R$66&gt;=E$3,INDIRECT("'Loan "&amp;E$3&amp;"'!$B$10"),IF($R$66+$R$67&gt;=E$3,INDIRECT("'DFLoan"&amp;E$3-$R$66&amp;"'!$B$10"),""))</f>
        <v/>
      </c>
      <c r="F8" s="37" t="str" cm="1">
        <f t="array" aca="1" ref="F8" ca="1">IF($R$66&gt;=F$3,INDIRECT("'Loan "&amp;F$3&amp;"'!$B$10"),IF($R$66+$R$67&gt;=F$3,INDIRECT("'DFLoan"&amp;F$3-$R$66&amp;"'!$B$10"),""))</f>
        <v/>
      </c>
      <c r="G8" s="37" t="str" cm="1">
        <f t="array" aca="1" ref="G8" ca="1">IF($R$66&gt;=G$3,INDIRECT("'Loan "&amp;G$3&amp;"'!$B$10"),IF($R$66+$R$67&gt;=G$3,INDIRECT("'DFLoan"&amp;G$3-$R$66&amp;"'!$B$10"),""))</f>
        <v/>
      </c>
      <c r="H8" s="37" t="str" cm="1">
        <f t="array" aca="1" ref="H8" ca="1">IF($R$66&gt;=H$3,INDIRECT("'Loan "&amp;H$3&amp;"'!$B$10"),IF($R$66+$R$67&gt;=H$3,INDIRECT("'DFLoan"&amp;H$3-$R$66&amp;"'!$B$10"),""))</f>
        <v/>
      </c>
      <c r="I8" s="37" t="str" cm="1">
        <f t="array" aca="1" ref="I8" ca="1">IF($R$66&gt;=I$3,INDIRECT("'Loan "&amp;I$3&amp;"'!$B$10"),IF($R$66+$R$67&gt;=I$3,INDIRECT("'DFLoan"&amp;I$3-$R$66&amp;"'!$B$10"),""))</f>
        <v/>
      </c>
      <c r="J8" s="37" t="str" cm="1">
        <f t="array" aca="1" ref="J8" ca="1">IF($R$66&gt;=J$3,INDIRECT("'Loan "&amp;J$3&amp;"'!$B$10"),IF($R$66+$R$67&gt;=J$3,INDIRECT("'DFLoan"&amp;J$3-$R$66&amp;"'!$B$10"),""))</f>
        <v/>
      </c>
      <c r="K8" s="37" t="str" cm="1">
        <f t="array" aca="1" ref="K8" ca="1">IF($R$66&gt;=K$3,INDIRECT("'Loan "&amp;K$3&amp;"'!$B$10"),IF($R$66+$R$67&gt;=K$3,INDIRECT("'DFLoan"&amp;K$3-$R$66&amp;"'!$B$10"),""))</f>
        <v/>
      </c>
      <c r="L8" s="37" t="str" cm="1">
        <f t="array" aca="1" ref="L8" ca="1">IF($R$66&gt;=L$3,INDIRECT("'Loan "&amp;L$3&amp;"'!$B$10"),IF($R$66+$R$67&gt;=L$3,INDIRECT("'DFLoan"&amp;L$3-$R$66&amp;"'!$B$10"),""))</f>
        <v/>
      </c>
      <c r="M8" s="37" t="str" cm="1">
        <f t="array" aca="1" ref="M8" ca="1">IF($R$66&gt;=M$3,INDIRECT("'Loan "&amp;M$3&amp;"'!$B$10"),IF($R$66+$R$67&gt;=M$3,INDIRECT("'DFLoan"&amp;M$3-$R$66&amp;"'!$B$10"),""))</f>
        <v/>
      </c>
      <c r="N8" s="37" t="str" cm="1">
        <f t="array" aca="1" ref="N8" ca="1">IF($R$66&gt;=N$3,INDIRECT("'Loan "&amp;N$3&amp;"'!$B$10"),IF($R$66+$R$67&gt;=N$3,INDIRECT("'DFLoan"&amp;N$3-$R$66&amp;"'!$B$10"),""))</f>
        <v/>
      </c>
      <c r="O8" s="37" t="str" cm="1">
        <f t="array" aca="1" ref="O8" ca="1">IF($R$66&gt;=O$3,INDIRECT("'Loan "&amp;O$3&amp;"'!$B$10"),IF($R$66+$R$67&gt;=O$3,INDIRECT("'DFLoan"&amp;O$3-$R$66&amp;"'!$B$10"),""))</f>
        <v/>
      </c>
      <c r="P8" s="37" t="str" cm="1">
        <f t="array" aca="1" ref="P8" ca="1">IF($R$66&gt;=P$3,INDIRECT("'Loan "&amp;P$3&amp;"'!$B$10"),IF($R$66+$R$67&gt;=P$3,INDIRECT("'DFLoan"&amp;P$3-$R$66&amp;"'!$B$10"),""))</f>
        <v/>
      </c>
      <c r="Q8" s="37" t="str" cm="1">
        <f t="array" aca="1" ref="Q8" ca="1">IF($R$66&gt;=Q$3,INDIRECT("'Loan "&amp;Q$3&amp;"'!$B$10"),IF($R$66+$R$67&gt;=Q$3,INDIRECT("'DFLoan"&amp;Q$3-$R$66&amp;"'!$B$10"),""))</f>
        <v/>
      </c>
    </row>
    <row r="9" spans="1:17" x14ac:dyDescent="0.25">
      <c r="A9" s="7" t="s">
        <v>212</v>
      </c>
      <c r="B9" t="s">
        <v>814</v>
      </c>
      <c r="C9" s="37" cm="1">
        <f t="array" aca="1" ref="C9" ca="1">IF($R$66&gt;=C$3,INDIRECT("'Loan "&amp;C$3&amp;"'!$B$11"),IF($R$66+$R$67&gt;=C$3,INDIRECT("'DFLoan"&amp;C$3-$R$66&amp;"'!$B$11"),""))</f>
        <v>51135</v>
      </c>
      <c r="D9" s="37" t="str" cm="1">
        <f t="array" aca="1" ref="D9" ca="1">IF($R$66&gt;=D$3,INDIRECT("'Loan "&amp;D$3&amp;"'!$B$11"),IF($R$66+$R$67&gt;=D$3,INDIRECT("'DFLoan"&amp;D$3-$R$66&amp;"'!$B$11"),""))</f>
        <v/>
      </c>
      <c r="E9" s="37" t="str" cm="1">
        <f t="array" aca="1" ref="E9" ca="1">IF($R$66&gt;=E$3,INDIRECT("'Loan "&amp;E$3&amp;"'!$B$11"),IF($R$66+$R$67&gt;=E$3,INDIRECT("'DFLoan"&amp;E$3-$R$66&amp;"'!$B$11"),""))</f>
        <v/>
      </c>
      <c r="F9" s="37" t="str" cm="1">
        <f t="array" aca="1" ref="F9" ca="1">IF($R$66&gt;=F$3,INDIRECT("'Loan "&amp;F$3&amp;"'!$B$11"),IF($R$66+$R$67&gt;=F$3,INDIRECT("'DFLoan"&amp;F$3-$R$66&amp;"'!$B$11"),""))</f>
        <v/>
      </c>
      <c r="G9" s="37" t="str" cm="1">
        <f t="array" aca="1" ref="G9" ca="1">IF($R$66&gt;=G$3,INDIRECT("'Loan "&amp;G$3&amp;"'!$B$11"),IF($R$66+$R$67&gt;=G$3,INDIRECT("'DFLoan"&amp;G$3-$R$66&amp;"'!$B$11"),""))</f>
        <v/>
      </c>
      <c r="H9" s="37" t="str" cm="1">
        <f t="array" aca="1" ref="H9" ca="1">IF($R$66&gt;=H$3,INDIRECT("'Loan "&amp;H$3&amp;"'!$B$11"),IF($R$66+$R$67&gt;=H$3,INDIRECT("'DFLoan"&amp;H$3-$R$66&amp;"'!$B$11"),""))</f>
        <v/>
      </c>
      <c r="I9" s="37" t="str" cm="1">
        <f t="array" aca="1" ref="I9" ca="1">IF($R$66&gt;=I$3,INDIRECT("'Loan "&amp;I$3&amp;"'!$B$11"),IF($R$66+$R$67&gt;=I$3,INDIRECT("'DFLoan"&amp;I$3-$R$66&amp;"'!$B$11"),""))</f>
        <v/>
      </c>
      <c r="J9" s="37" t="str" cm="1">
        <f t="array" aca="1" ref="J9" ca="1">IF($R$66&gt;=J$3,INDIRECT("'Loan "&amp;J$3&amp;"'!$B$11"),IF($R$66+$R$67&gt;=J$3,INDIRECT("'DFLoan"&amp;J$3-$R$66&amp;"'!$B$11"),""))</f>
        <v/>
      </c>
      <c r="K9" s="37" t="str" cm="1">
        <f t="array" aca="1" ref="K9" ca="1">IF($R$66&gt;=K$3,INDIRECT("'Loan "&amp;K$3&amp;"'!$B$11"),IF($R$66+$R$67&gt;=K$3,INDIRECT("'DFLoan"&amp;K$3-$R$66&amp;"'!$B$11"),""))</f>
        <v/>
      </c>
      <c r="L9" s="37" t="str" cm="1">
        <f t="array" aca="1" ref="L9" ca="1">IF($R$66&gt;=L$3,INDIRECT("'Loan "&amp;L$3&amp;"'!$B$11"),IF($R$66+$R$67&gt;=L$3,INDIRECT("'DFLoan"&amp;L$3-$R$66&amp;"'!$B$11"),""))</f>
        <v/>
      </c>
      <c r="M9" s="37" t="str" cm="1">
        <f t="array" aca="1" ref="M9" ca="1">IF($R$66&gt;=M$3,INDIRECT("'Loan "&amp;M$3&amp;"'!$B$11"),IF($R$66+$R$67&gt;=M$3,INDIRECT("'DFLoan"&amp;M$3-$R$66&amp;"'!$B$11"),""))</f>
        <v/>
      </c>
      <c r="N9" s="37" t="str" cm="1">
        <f t="array" aca="1" ref="N9" ca="1">IF($R$66&gt;=N$3,INDIRECT("'Loan "&amp;N$3&amp;"'!$B$11"),IF($R$66+$R$67&gt;=N$3,INDIRECT("'DFLoan"&amp;N$3-$R$66&amp;"'!$B$11"),""))</f>
        <v/>
      </c>
      <c r="O9" s="37" t="str" cm="1">
        <f t="array" aca="1" ref="O9" ca="1">IF($R$66&gt;=O$3,INDIRECT("'Loan "&amp;O$3&amp;"'!$B$11"),IF($R$66+$R$67&gt;=O$3,INDIRECT("'DFLoan"&amp;O$3-$R$66&amp;"'!$B$11"),""))</f>
        <v/>
      </c>
      <c r="P9" s="37" t="str" cm="1">
        <f t="array" aca="1" ref="P9" ca="1">IF($R$66&gt;=P$3,INDIRECT("'Loan "&amp;P$3&amp;"'!$B$11"),IF($R$66+$R$67&gt;=P$3,INDIRECT("'DFLoan"&amp;P$3-$R$66&amp;"'!$B$11"),""))</f>
        <v/>
      </c>
      <c r="Q9" s="37" t="str" cm="1">
        <f t="array" aca="1" ref="Q9" ca="1">IF($R$66&gt;=Q$3,INDIRECT("'Loan "&amp;Q$3&amp;"'!$B$11"),IF($R$66+$R$67&gt;=Q$3,INDIRECT("'DFLoan"&amp;Q$3-$R$66&amp;"'!$B$11"),""))</f>
        <v/>
      </c>
    </row>
    <row r="10" spans="1:17" x14ac:dyDescent="0.25">
      <c r="A10" s="7" t="s">
        <v>213</v>
      </c>
      <c r="B10" t="s">
        <v>815</v>
      </c>
      <c r="C10" s="28" cm="1">
        <f t="array" aca="1" ref="C10" ca="1">IF($R$66&gt;=C$3,INDIRECT("'Loan "&amp;C$3&amp;"'!$B$12"),IF($R$66+$R$67&gt;=C$3,INDIRECT("'DFLoan"&amp;C$3-$R$66&amp;"'!$B$12"),""))</f>
        <v>4</v>
      </c>
      <c r="D10" s="28" t="str" cm="1">
        <f t="array" aca="1" ref="D10" ca="1">IF($R$66&gt;=D$3,INDIRECT("'Loan "&amp;D$3&amp;"'!$B$12"),IF($R$66+$R$67&gt;=D$3,INDIRECT("'DFLoan"&amp;D$3-$R$66&amp;"'!$B$12"),""))</f>
        <v/>
      </c>
      <c r="E10" s="28" t="str" cm="1">
        <f t="array" aca="1" ref="E10" ca="1">IF($R$66&gt;=E$3,INDIRECT("'Loan "&amp;E$3&amp;"'!$B$12"),IF($R$66+$R$67&gt;=E$3,INDIRECT("'DFLoan"&amp;E$3-$R$66&amp;"'!$B$12"),""))</f>
        <v/>
      </c>
      <c r="F10" s="28" t="str" cm="1">
        <f t="array" aca="1" ref="F10" ca="1">IF($R$66&gt;=F$3,INDIRECT("'Loan "&amp;F$3&amp;"'!$B$12"),IF($R$66+$R$67&gt;=F$3,INDIRECT("'DFLoan"&amp;F$3-$R$66&amp;"'!$B$12"),""))</f>
        <v/>
      </c>
      <c r="G10" s="28" t="str" cm="1">
        <f t="array" aca="1" ref="G10" ca="1">IF($R$66&gt;=G$3,INDIRECT("'Loan "&amp;G$3&amp;"'!$B$12"),IF($R$66+$R$67&gt;=G$3,INDIRECT("'DFLoan"&amp;G$3-$R$66&amp;"'!$B$12"),""))</f>
        <v/>
      </c>
      <c r="H10" s="28" t="str" cm="1">
        <f t="array" aca="1" ref="H10" ca="1">IF($R$66&gt;=H$3,INDIRECT("'Loan "&amp;H$3&amp;"'!$B$12"),IF($R$66+$R$67&gt;=H$3,INDIRECT("'DFLoan"&amp;H$3-$R$66&amp;"'!$B$12"),""))</f>
        <v/>
      </c>
      <c r="I10" s="28" t="str" cm="1">
        <f t="array" aca="1" ref="I10" ca="1">IF($R$66&gt;=I$3,INDIRECT("'Loan "&amp;I$3&amp;"'!$B$12"),IF($R$66+$R$67&gt;=I$3,INDIRECT("'DFLoan"&amp;I$3-$R$66&amp;"'!$B$12"),""))</f>
        <v/>
      </c>
      <c r="J10" s="28" t="str" cm="1">
        <f t="array" aca="1" ref="J10" ca="1">IF($R$66&gt;=J$3,INDIRECT("'Loan "&amp;J$3&amp;"'!$B$12"),IF($R$66+$R$67&gt;=J$3,INDIRECT("'DFLoan"&amp;J$3-$R$66&amp;"'!$B$12"),""))</f>
        <v/>
      </c>
      <c r="K10" s="28" t="str" cm="1">
        <f t="array" aca="1" ref="K10" ca="1">IF($R$66&gt;=K$3,INDIRECT("'Loan "&amp;K$3&amp;"'!$B$12"),IF($R$66+$R$67&gt;=K$3,INDIRECT("'DFLoan"&amp;K$3-$R$66&amp;"'!$B$12"),""))</f>
        <v/>
      </c>
      <c r="L10" s="28" t="str" cm="1">
        <f t="array" aca="1" ref="L10" ca="1">IF($R$66&gt;=L$3,INDIRECT("'Loan "&amp;L$3&amp;"'!$B$12"),IF($R$66+$R$67&gt;=L$3,INDIRECT("'DFLoan"&amp;L$3-$R$66&amp;"'!$B$12"),""))</f>
        <v/>
      </c>
      <c r="M10" s="28" t="str" cm="1">
        <f t="array" aca="1" ref="M10" ca="1">IF($R$66&gt;=M$3,INDIRECT("'Loan "&amp;M$3&amp;"'!$B$12"),IF($R$66+$R$67&gt;=M$3,INDIRECT("'DFLoan"&amp;M$3-$R$66&amp;"'!$B$12"),""))</f>
        <v/>
      </c>
      <c r="N10" s="28" t="str" cm="1">
        <f t="array" aca="1" ref="N10" ca="1">IF($R$66&gt;=N$3,INDIRECT("'Loan "&amp;N$3&amp;"'!$B$12"),IF($R$66+$R$67&gt;=N$3,INDIRECT("'DFLoan"&amp;N$3-$R$66&amp;"'!$B$12"),""))</f>
        <v/>
      </c>
      <c r="O10" s="28" t="str" cm="1">
        <f t="array" aca="1" ref="O10" ca="1">IF($R$66&gt;=O$3,INDIRECT("'Loan "&amp;O$3&amp;"'!$B$12"),IF($R$66+$R$67&gt;=O$3,INDIRECT("'DFLoan"&amp;O$3-$R$66&amp;"'!$B$12"),""))</f>
        <v/>
      </c>
      <c r="P10" s="28" t="str" cm="1">
        <f t="array" aca="1" ref="P10" ca="1">IF($R$66&gt;=P$3,INDIRECT("'Loan "&amp;P$3&amp;"'!$B$12"),IF($R$66+$R$67&gt;=P$3,INDIRECT("'DFLoan"&amp;P$3-$R$66&amp;"'!$B$12"),""))</f>
        <v/>
      </c>
      <c r="Q10" s="28" t="str" cm="1">
        <f t="array" aca="1" ref="Q10" ca="1">IF($R$66&gt;=Q$3,INDIRECT("'Loan "&amp;Q$3&amp;"'!$B$12"),IF($R$66+$R$67&gt;=Q$3,INDIRECT("'DFLoan"&amp;Q$3-$R$66&amp;"'!$B$12"),""))</f>
        <v/>
      </c>
    </row>
    <row r="11" spans="1:17" x14ac:dyDescent="0.25">
      <c r="A11" s="7" t="s">
        <v>214</v>
      </c>
      <c r="B11" t="s">
        <v>816</v>
      </c>
      <c r="C11" s="28" cm="1">
        <f t="array" aca="1" ref="C11" ca="1">IF($R$66&gt;=C$3,INDIRECT("'Loan "&amp;C$3&amp;"'!$B$13"),IF($R$66+$R$67&gt;=C$3,INDIRECT("'DFLoan"&amp;C$3-$R$66&amp;"'!$B$13"),""))</f>
        <v>4</v>
      </c>
      <c r="D11" s="28" t="str" cm="1">
        <f t="array" aca="1" ref="D11" ca="1">IF($R$66&gt;=D$3,INDIRECT("'Loan "&amp;D$3&amp;"'!$B$13"),IF($R$66+$R$67&gt;=D$3,INDIRECT("'DFLoan"&amp;D$3-$R$66&amp;"'!$B$13"),""))</f>
        <v/>
      </c>
      <c r="E11" s="28" t="str" cm="1">
        <f t="array" aca="1" ref="E11" ca="1">IF($R$66&gt;=E$3,INDIRECT("'Loan "&amp;E$3&amp;"'!$B$13"),IF($R$66+$R$67&gt;=E$3,INDIRECT("'DFLoan"&amp;E$3-$R$66&amp;"'!$B$13"),""))</f>
        <v/>
      </c>
      <c r="F11" s="28" t="str" cm="1">
        <f t="array" aca="1" ref="F11" ca="1">IF($R$66&gt;=F$3,INDIRECT("'Loan "&amp;F$3&amp;"'!$B$13"),IF($R$66+$R$67&gt;=F$3,INDIRECT("'DFLoan"&amp;F$3-$R$66&amp;"'!$B$13"),""))</f>
        <v/>
      </c>
      <c r="G11" s="28" t="str" cm="1">
        <f t="array" aca="1" ref="G11" ca="1">IF($R$66&gt;=G$3,INDIRECT("'Loan "&amp;G$3&amp;"'!$B$13"),IF($R$66+$R$67&gt;=G$3,INDIRECT("'DFLoan"&amp;G$3-$R$66&amp;"'!$B$13"),""))</f>
        <v/>
      </c>
      <c r="H11" s="28" t="str" cm="1">
        <f t="array" aca="1" ref="H11" ca="1">IF($R$66&gt;=H$3,INDIRECT("'Loan "&amp;H$3&amp;"'!$B$13"),IF($R$66+$R$67&gt;=H$3,INDIRECT("'DFLoan"&amp;H$3-$R$66&amp;"'!$B$13"),""))</f>
        <v/>
      </c>
      <c r="I11" s="28" t="str" cm="1">
        <f t="array" aca="1" ref="I11" ca="1">IF($R$66&gt;=I$3,INDIRECT("'Loan "&amp;I$3&amp;"'!$B$13"),IF($R$66+$R$67&gt;=I$3,INDIRECT("'DFLoan"&amp;I$3-$R$66&amp;"'!$B$13"),""))</f>
        <v/>
      </c>
      <c r="J11" s="28" t="str" cm="1">
        <f t="array" aca="1" ref="J11" ca="1">IF($R$66&gt;=J$3,INDIRECT("'Loan "&amp;J$3&amp;"'!$B$13"),IF($R$66+$R$67&gt;=J$3,INDIRECT("'DFLoan"&amp;J$3-$R$66&amp;"'!$B$13"),""))</f>
        <v/>
      </c>
      <c r="K11" s="28" t="str" cm="1">
        <f t="array" aca="1" ref="K11" ca="1">IF($R$66&gt;=K$3,INDIRECT("'Loan "&amp;K$3&amp;"'!$B$13"),IF($R$66+$R$67&gt;=K$3,INDIRECT("'DFLoan"&amp;K$3-$R$66&amp;"'!$B$13"),""))</f>
        <v/>
      </c>
      <c r="L11" s="28" t="str" cm="1">
        <f t="array" aca="1" ref="L11" ca="1">IF($R$66&gt;=L$3,INDIRECT("'Loan "&amp;L$3&amp;"'!$B$13"),IF($R$66+$R$67&gt;=L$3,INDIRECT("'DFLoan"&amp;L$3-$R$66&amp;"'!$B$13"),""))</f>
        <v/>
      </c>
      <c r="M11" s="28" t="str" cm="1">
        <f t="array" aca="1" ref="M11" ca="1">IF($R$66&gt;=M$3,INDIRECT("'Loan "&amp;M$3&amp;"'!$B$13"),IF($R$66+$R$67&gt;=M$3,INDIRECT("'DFLoan"&amp;M$3-$R$66&amp;"'!$B$13"),""))</f>
        <v/>
      </c>
      <c r="N11" s="28" t="str" cm="1">
        <f t="array" aca="1" ref="N11" ca="1">IF($R$66&gt;=N$3,INDIRECT("'Loan "&amp;N$3&amp;"'!$B$13"),IF($R$66+$R$67&gt;=N$3,INDIRECT("'DFLoan"&amp;N$3-$R$66&amp;"'!$B$13"),""))</f>
        <v/>
      </c>
      <c r="O11" s="28" t="str" cm="1">
        <f t="array" aca="1" ref="O11" ca="1">IF($R$66&gt;=O$3,INDIRECT("'Loan "&amp;O$3&amp;"'!$B$13"),IF($R$66+$R$67&gt;=O$3,INDIRECT("'DFLoan"&amp;O$3-$R$66&amp;"'!$B$13"),""))</f>
        <v/>
      </c>
      <c r="P11" s="28" t="str" cm="1">
        <f t="array" aca="1" ref="P11" ca="1">IF($R$66&gt;=P$3,INDIRECT("'Loan "&amp;P$3&amp;"'!$B$13"),IF($R$66+$R$67&gt;=P$3,INDIRECT("'DFLoan"&amp;P$3-$R$66&amp;"'!$B$13"),""))</f>
        <v/>
      </c>
      <c r="Q11" s="28" t="str" cm="1">
        <f t="array" aca="1" ref="Q11" ca="1">IF($R$66&gt;=Q$3,INDIRECT("'Loan "&amp;Q$3&amp;"'!$B$13"),IF($R$66+$R$67&gt;=Q$3,INDIRECT("'DFLoan"&amp;Q$3-$R$66&amp;"'!$B$13"),""))</f>
        <v/>
      </c>
    </row>
    <row r="12" spans="1:17" x14ac:dyDescent="0.25">
      <c r="A12" s="7" t="s">
        <v>241</v>
      </c>
      <c r="B12" s="49" t="s">
        <v>817</v>
      </c>
      <c r="C12" s="37" t="str" cm="1">
        <f t="array" aca="1" ref="C12" ca="1">IF($R$66&gt;=C$3,INDIRECT("'Loan "&amp;C$3&amp;"'!$B$14"),"")</f>
        <v>Fixed</v>
      </c>
      <c r="D12" s="37" t="str" cm="1">
        <f t="array" aca="1" ref="D12" ca="1">IF($R$66&gt;=D$3,INDIRECT("'Loan "&amp;D$3&amp;"'!$B$14"),"")</f>
        <v/>
      </c>
      <c r="E12" s="37" t="str" cm="1">
        <f t="array" aca="1" ref="E12" ca="1">IF($R$66&gt;=E$3,INDIRECT("'Loan "&amp;E$3&amp;"'!$B$14"),"")</f>
        <v/>
      </c>
      <c r="F12" s="37" t="str" cm="1">
        <f t="array" aca="1" ref="F12" ca="1">IF($R$66&gt;=F$3,INDIRECT("'Loan "&amp;F$3&amp;"'!$B$14"),"")</f>
        <v/>
      </c>
      <c r="G12" s="37" t="str" cm="1">
        <f t="array" aca="1" ref="G12" ca="1">IF($R$66&gt;=G$3,INDIRECT("'Loan "&amp;G$3&amp;"'!$B$14"),"")</f>
        <v/>
      </c>
      <c r="H12" s="37" t="str" cm="1">
        <f t="array" aca="1" ref="H12" ca="1">IF($R$66&gt;=H$3,INDIRECT("'Loan "&amp;H$3&amp;"'!$B$14"),"")</f>
        <v/>
      </c>
      <c r="I12" s="37" t="str" cm="1">
        <f t="array" aca="1" ref="I12" ca="1">IF($R$66&gt;=I$3,INDIRECT("'Loan "&amp;I$3&amp;"'!$B$14"),"")</f>
        <v/>
      </c>
      <c r="J12" s="37" t="str" cm="1">
        <f t="array" aca="1" ref="J12" ca="1">IF($R$66&gt;=J$3,INDIRECT("'Loan "&amp;J$3&amp;"'!$B$14"),"")</f>
        <v/>
      </c>
      <c r="K12" s="37" t="str" cm="1">
        <f t="array" aca="1" ref="K12" ca="1">IF($R$66&gt;=K$3,INDIRECT("'Loan "&amp;K$3&amp;"'!$B$14"),"")</f>
        <v/>
      </c>
      <c r="L12" s="37" t="str" cm="1">
        <f t="array" aca="1" ref="L12" ca="1">IF($R$66&gt;=L$3,INDIRECT("'Loan "&amp;L$3&amp;"'!$B$14"),"")</f>
        <v/>
      </c>
      <c r="M12" s="37" t="str" cm="1">
        <f t="array" aca="1" ref="M12" ca="1">IF($R$66&gt;=M$3,INDIRECT("'Loan "&amp;M$3&amp;"'!$B$14"),"")</f>
        <v/>
      </c>
      <c r="N12" s="37" t="str" cm="1">
        <f t="array" aca="1" ref="N12" ca="1">IF($R$66&gt;=N$3,INDIRECT("'Loan "&amp;N$3&amp;"'!$B$14"),"")</f>
        <v/>
      </c>
      <c r="O12" s="37" t="str" cm="1">
        <f t="array" aca="1" ref="O12" ca="1">IF($R$66&gt;=O$3,INDIRECT("'Loan "&amp;O$3&amp;"'!$B$14"),"")</f>
        <v/>
      </c>
      <c r="P12" s="37" t="str" cm="1">
        <f t="array" aca="1" ref="P12" ca="1">IF($R$66&gt;=P$3,INDIRECT("'Loan "&amp;P$3&amp;"'!$B$14"),"")</f>
        <v/>
      </c>
      <c r="Q12" s="37" t="str" cm="1">
        <f t="array" aca="1" ref="Q12" ca="1">IF($R$66&gt;=Q$3,INDIRECT("'Loan "&amp;Q$3&amp;"'!$B$14"),"")</f>
        <v/>
      </c>
    </row>
    <row r="13" spans="1:17" x14ac:dyDescent="0.25">
      <c r="A13" s="7" t="s">
        <v>242</v>
      </c>
      <c r="B13" t="s">
        <v>818</v>
      </c>
      <c r="C13" s="28" cm="1">
        <f t="array" aca="1" ref="C13" ca="1">IF($R$66&gt;=C$3,INDIRECT("'Loan "&amp;C$3&amp;"'!$B$15"),IF($R$66+$R$67&gt;=C$3,INDIRECT("'DFLoan"&amp;C$3-$R$66&amp;"'!$B$14"),""))</f>
        <v>1572222</v>
      </c>
      <c r="D13" s="28" t="str" cm="1">
        <f t="array" aca="1" ref="D13" ca="1">IF($R$66&gt;=D$3,INDIRECT("'Loan "&amp;D$3&amp;"'!$B$15"),IF($R$66+$R$67&gt;=D$3,INDIRECT("'DFLoan"&amp;D$3-$R$66&amp;"'!$B$14"),""))</f>
        <v/>
      </c>
      <c r="E13" s="28" t="str" cm="1">
        <f t="array" aca="1" ref="E13" ca="1">IF($R$66&gt;=E$3,INDIRECT("'Loan "&amp;E$3&amp;"'!$B$15"),IF($R$66+$R$67&gt;=E$3,INDIRECT("'DFLoan"&amp;E$3-$R$66&amp;"'!$B$14"),""))</f>
        <v/>
      </c>
      <c r="F13" s="28" t="str" cm="1">
        <f t="array" aca="1" ref="F13" ca="1">IF($R$66&gt;=F$3,INDIRECT("'Loan "&amp;F$3&amp;"'!$B$15"),IF($R$66+$R$67&gt;=F$3,INDIRECT("'DFLoan"&amp;F$3-$R$66&amp;"'!$B$14"),""))</f>
        <v/>
      </c>
      <c r="G13" s="28" t="str" cm="1">
        <f t="array" aca="1" ref="G13" ca="1">IF($R$66&gt;=G$3,INDIRECT("'Loan "&amp;G$3&amp;"'!$B$15"),IF($R$66+$R$67&gt;=G$3,INDIRECT("'DFLoan"&amp;G$3-$R$66&amp;"'!$B$14"),""))</f>
        <v/>
      </c>
      <c r="H13" s="28" t="str" cm="1">
        <f t="array" aca="1" ref="H13" ca="1">IF($R$66&gt;=H$3,INDIRECT("'Loan "&amp;H$3&amp;"'!$B$15"),IF($R$66+$R$67&gt;=H$3,INDIRECT("'DFLoan"&amp;H$3-$R$66&amp;"'!$B$14"),""))</f>
        <v/>
      </c>
      <c r="I13" s="28" t="str" cm="1">
        <f t="array" aca="1" ref="I13" ca="1">IF($R$66&gt;=I$3,INDIRECT("'Loan "&amp;I$3&amp;"'!$B$15"),IF($R$66+$R$67&gt;=I$3,INDIRECT("'DFLoan"&amp;I$3-$R$66&amp;"'!$B$14"),""))</f>
        <v/>
      </c>
      <c r="J13" s="28" t="str" cm="1">
        <f t="array" aca="1" ref="J13" ca="1">IF($R$66&gt;=J$3,INDIRECT("'Loan "&amp;J$3&amp;"'!$B$15"),IF($R$66+$R$67&gt;=J$3,INDIRECT("'DFLoan"&amp;J$3-$R$66&amp;"'!$B$14"),""))</f>
        <v/>
      </c>
      <c r="K13" s="28" t="str" cm="1">
        <f t="array" aca="1" ref="K13" ca="1">IF($R$66&gt;=K$3,INDIRECT("'Loan "&amp;K$3&amp;"'!$B$15"),IF($R$66+$R$67&gt;=K$3,INDIRECT("'DFLoan"&amp;K$3-$R$66&amp;"'!$B$14"),""))</f>
        <v/>
      </c>
      <c r="L13" s="28" t="str" cm="1">
        <f t="array" aca="1" ref="L13" ca="1">IF($R$66&gt;=L$3,INDIRECT("'Loan "&amp;L$3&amp;"'!$B$15"),IF($R$66+$R$67&gt;=L$3,INDIRECT("'DFLoan"&amp;L$3-$R$66&amp;"'!$B$14"),""))</f>
        <v/>
      </c>
      <c r="M13" s="28" t="str" cm="1">
        <f t="array" aca="1" ref="M13" ca="1">IF($R$66&gt;=M$3,INDIRECT("'Loan "&amp;M$3&amp;"'!$B$15"),IF($R$66+$R$67&gt;=M$3,INDIRECT("'DFLoan"&amp;M$3-$R$66&amp;"'!$B$14"),""))</f>
        <v/>
      </c>
      <c r="N13" s="28" t="str" cm="1">
        <f t="array" aca="1" ref="N13" ca="1">IF($R$66&gt;=N$3,INDIRECT("'Loan "&amp;N$3&amp;"'!$B$15"),IF($R$66+$R$67&gt;=N$3,INDIRECT("'DFLoan"&amp;N$3-$R$66&amp;"'!$B$14"),""))</f>
        <v/>
      </c>
      <c r="O13" s="28" t="str" cm="1">
        <f t="array" aca="1" ref="O13" ca="1">IF($R$66&gt;=O$3,INDIRECT("'Loan "&amp;O$3&amp;"'!$B$15"),IF($R$66+$R$67&gt;=O$3,INDIRECT("'DFLoan"&amp;O$3-$R$66&amp;"'!$B$14"),""))</f>
        <v/>
      </c>
      <c r="P13" s="28" t="str" cm="1">
        <f t="array" aca="1" ref="P13" ca="1">IF($R$66&gt;=P$3,INDIRECT("'Loan "&amp;P$3&amp;"'!$B$15"),IF($R$66+$R$67&gt;=P$3,INDIRECT("'DFLoan"&amp;P$3-$R$66&amp;"'!$B$14"),""))</f>
        <v/>
      </c>
      <c r="Q13" s="28" t="str" cm="1">
        <f t="array" aca="1" ref="Q13" ca="1">IF($R$66&gt;=Q$3,INDIRECT("'Loan "&amp;Q$3&amp;"'!$B$15"),IF($R$66+$R$67&gt;=Q$3,INDIRECT("'DFLoan"&amp;Q$3-$R$66&amp;"'!$B$14"),""))</f>
        <v/>
      </c>
    </row>
    <row r="14" spans="1:17" x14ac:dyDescent="0.25">
      <c r="A14" s="7" t="s">
        <v>232</v>
      </c>
      <c r="B14" s="49" t="s">
        <v>819</v>
      </c>
      <c r="C14" s="28" t="b" cm="1">
        <f t="array" aca="1" ref="C14" ca="1">IF($R$66&lt;C$3,"",IF(INDIRECT("'Loan "&amp;C$3&amp;"'!$B$16")="Yes",TRUE,IF(INDIRECT("'Loan "&amp;C$3&amp;"'!$B$16")="No",FALSE,"")))</f>
        <v>1</v>
      </c>
      <c r="D14" s="28" t="str" cm="1">
        <f t="array" aca="1" ref="D14" ca="1">IF($R$66&lt;D$3,"",IF(INDIRECT("'Loan "&amp;D$3&amp;"'!$B$16")="Yes",TRUE,IF(INDIRECT("'Loan "&amp;D$3&amp;"'!$B$16")="No",FALSE,"")))</f>
        <v/>
      </c>
      <c r="E14" s="28" t="str" cm="1">
        <f t="array" aca="1" ref="E14" ca="1">IF($R$66&lt;E$3,"",IF(INDIRECT("'Loan "&amp;E$3&amp;"'!$B$16")="Yes",TRUE,IF(INDIRECT("'Loan "&amp;E$3&amp;"'!$B$16")="No",FALSE,"")))</f>
        <v/>
      </c>
      <c r="F14" s="28" t="str" cm="1">
        <f t="array" aca="1" ref="F14" ca="1">IF($R$66&lt;F$3,"",IF(INDIRECT("'Loan "&amp;F$3&amp;"'!$B$16")="Yes",TRUE,IF(INDIRECT("'Loan "&amp;F$3&amp;"'!$B$16")="No",FALSE,"")))</f>
        <v/>
      </c>
      <c r="G14" s="28" t="str" cm="1">
        <f t="array" aca="1" ref="G14" ca="1">IF($R$66&lt;G$3,"",IF(INDIRECT("'Loan "&amp;G$3&amp;"'!$B$16")="Yes",TRUE,IF(INDIRECT("'Loan "&amp;G$3&amp;"'!$B$16")="No",FALSE,"")))</f>
        <v/>
      </c>
      <c r="H14" s="28" t="str" cm="1">
        <f t="array" aca="1" ref="H14" ca="1">IF($R$66&lt;H$3,"",IF(INDIRECT("'Loan "&amp;H$3&amp;"'!$B$16")="Yes",TRUE,IF(INDIRECT("'Loan "&amp;H$3&amp;"'!$B$16")="No",FALSE,"")))</f>
        <v/>
      </c>
      <c r="I14" s="28" t="str" cm="1">
        <f t="array" aca="1" ref="I14" ca="1">IF($R$66&lt;I$3,"",IF(INDIRECT("'Loan "&amp;I$3&amp;"'!$B$16")="Yes",TRUE,IF(INDIRECT("'Loan "&amp;I$3&amp;"'!$B$16")="No",FALSE,"")))</f>
        <v/>
      </c>
      <c r="J14" s="28" t="str" cm="1">
        <f t="array" aca="1" ref="J14" ca="1">IF($R$66&lt;J$3,"",IF(INDIRECT("'Loan "&amp;J$3&amp;"'!$B$16")="Yes",TRUE,IF(INDIRECT("'Loan "&amp;J$3&amp;"'!$B$16")="No",FALSE,"")))</f>
        <v/>
      </c>
      <c r="K14" s="28" t="str" cm="1">
        <f t="array" aca="1" ref="K14" ca="1">IF($R$66&lt;K$3,"",IF(INDIRECT("'Loan "&amp;K$3&amp;"'!$B$16")="Yes",TRUE,IF(INDIRECT("'Loan "&amp;K$3&amp;"'!$B$16")="No",FALSE,"")))</f>
        <v/>
      </c>
      <c r="L14" s="28" t="str" cm="1">
        <f t="array" aca="1" ref="L14" ca="1">IF($R$66&lt;L$3,"",IF(INDIRECT("'Loan "&amp;L$3&amp;"'!$B$16")="Yes",TRUE,IF(INDIRECT("'Loan "&amp;L$3&amp;"'!$B$16")="No",FALSE,"")))</f>
        <v/>
      </c>
      <c r="M14" s="28" t="str" cm="1">
        <f t="array" aca="1" ref="M14" ca="1">IF($R$66&lt;M$3,"",IF(INDIRECT("'Loan "&amp;M$3&amp;"'!$B$16")="Yes",TRUE,IF(INDIRECT("'Loan "&amp;M$3&amp;"'!$B$16")="No",FALSE,"")))</f>
        <v/>
      </c>
      <c r="N14" s="28" t="str" cm="1">
        <f t="array" aca="1" ref="N14" ca="1">IF($R$66&lt;N$3,"",IF(INDIRECT("'Loan "&amp;N$3&amp;"'!$B$16")="Yes",TRUE,IF(INDIRECT("'Loan "&amp;N$3&amp;"'!$B$16")="No",FALSE,"")))</f>
        <v/>
      </c>
      <c r="O14" s="28" t="str" cm="1">
        <f t="array" aca="1" ref="O14" ca="1">IF($R$66&lt;O$3,"",IF(INDIRECT("'Loan "&amp;O$3&amp;"'!$B$16")="Yes",TRUE,IF(INDIRECT("'Loan "&amp;O$3&amp;"'!$B$16")="No",FALSE,"")))</f>
        <v/>
      </c>
      <c r="P14" s="28" t="str" cm="1">
        <f t="array" aca="1" ref="P14" ca="1">IF($R$66&lt;P$3,"",IF(INDIRECT("'Loan "&amp;P$3&amp;"'!$B$16")="Yes",TRUE,IF(INDIRECT("'Loan "&amp;P$3&amp;"'!$B$16")="No",FALSE,"")))</f>
        <v/>
      </c>
      <c r="Q14" s="28" t="str" cm="1">
        <f t="array" aca="1" ref="Q14" ca="1">IF($R$66&lt;Q$3,"",IF(INDIRECT("'Loan "&amp;Q$3&amp;"'!$B$16")="Yes",TRUE,IF(INDIRECT("'Loan "&amp;Q$3&amp;"'!$B$16")="No",FALSE,"")))</f>
        <v/>
      </c>
    </row>
    <row r="15" spans="1:17" x14ac:dyDescent="0.25">
      <c r="A15" s="7" t="s">
        <v>237</v>
      </c>
      <c r="B15" s="50" t="s">
        <v>837</v>
      </c>
      <c r="C15" s="28" t="str" cm="1">
        <f t="array" aca="1" ref="C15" ca="1">IF($R$66&gt;=C$3,INDIRECT("'Loan "&amp;C$3&amp;"'!$B$17"),"")</f>
        <v>Select One</v>
      </c>
      <c r="D15" s="28" t="str" cm="1">
        <f t="array" aca="1" ref="D15" ca="1">IF($R$66&gt;=D$3,INDIRECT("'Loan "&amp;D$3&amp;"'!$B$17"),"")</f>
        <v/>
      </c>
      <c r="E15" s="28" t="str" cm="1">
        <f t="array" aca="1" ref="E15" ca="1">IF($R$66&gt;=E$3,INDIRECT("'Loan "&amp;E$3&amp;"'!$B$17"),"")</f>
        <v/>
      </c>
      <c r="F15" s="28" t="str" cm="1">
        <f t="array" aca="1" ref="F15" ca="1">IF($R$66&gt;=F$3,INDIRECT("'Loan "&amp;F$3&amp;"'!$B$17"),"")</f>
        <v/>
      </c>
      <c r="G15" s="28" t="str" cm="1">
        <f t="array" aca="1" ref="G15" ca="1">IF($R$66&gt;=G$3,INDIRECT("'Loan "&amp;G$3&amp;"'!$B$17"),"")</f>
        <v/>
      </c>
      <c r="H15" s="28" t="str" cm="1">
        <f t="array" aca="1" ref="H15" ca="1">IF($R$66&gt;=H$3,INDIRECT("'Loan "&amp;H$3&amp;"'!$B$17"),"")</f>
        <v/>
      </c>
      <c r="I15" s="28" t="str" cm="1">
        <f t="array" aca="1" ref="I15" ca="1">IF($R$66&gt;=I$3,INDIRECT("'Loan "&amp;I$3&amp;"'!$B$17"),"")</f>
        <v/>
      </c>
      <c r="J15" s="28" t="str" cm="1">
        <f t="array" aca="1" ref="J15" ca="1">IF($R$66&gt;=J$3,INDIRECT("'Loan "&amp;J$3&amp;"'!$B$17"),"")</f>
        <v/>
      </c>
      <c r="K15" s="28" t="str" cm="1">
        <f t="array" aca="1" ref="K15" ca="1">IF($R$66&gt;=K$3,INDIRECT("'Loan "&amp;K$3&amp;"'!$B$17"),"")</f>
        <v/>
      </c>
      <c r="L15" s="28" t="str" cm="1">
        <f t="array" aca="1" ref="L15" ca="1">IF($R$66&gt;=L$3,INDIRECT("'Loan "&amp;L$3&amp;"'!$B$17"),"")</f>
        <v/>
      </c>
      <c r="M15" s="28" t="str" cm="1">
        <f t="array" aca="1" ref="M15" ca="1">IF($R$66&gt;=M$3,INDIRECT("'Loan "&amp;M$3&amp;"'!$B$17"),"")</f>
        <v/>
      </c>
      <c r="N15" s="28" t="str" cm="1">
        <f t="array" aca="1" ref="N15" ca="1">IF($R$66&gt;=N$3,INDIRECT("'Loan "&amp;N$3&amp;"'!$B$17"),"")</f>
        <v/>
      </c>
      <c r="O15" s="28" t="str" cm="1">
        <f t="array" aca="1" ref="O15" ca="1">IF($R$66&gt;=O$3,INDIRECT("'Loan "&amp;O$3&amp;"'!$B$17"),"")</f>
        <v/>
      </c>
      <c r="P15" s="28" t="str" cm="1">
        <f t="array" aca="1" ref="P15" ca="1">IF($R$66&gt;=P$3,INDIRECT("'Loan "&amp;P$3&amp;"'!$B$17"),"")</f>
        <v/>
      </c>
      <c r="Q15" s="28" t="str" cm="1">
        <f t="array" aca="1" ref="Q15" ca="1">IF($R$66&gt;=Q$3,INDIRECT("'Loan "&amp;Q$3&amp;"'!$B$17"),"")</f>
        <v/>
      </c>
    </row>
    <row r="16" spans="1:17" x14ac:dyDescent="0.25">
      <c r="A16" s="7" t="s">
        <v>1193</v>
      </c>
      <c r="B16" s="49" t="s">
        <v>1390</v>
      </c>
      <c r="C16" s="28" cm="1">
        <f t="array" aca="1" ref="C16" ca="1">IF($R$66&gt;=C$3,INDIRECT("'Loan "&amp;C$3&amp;"'!$B$19"),"")</f>
        <v>0</v>
      </c>
      <c r="D16" s="28" t="str" cm="1">
        <f t="array" aca="1" ref="D16" ca="1">IF($R$66&gt;=D$3,INDIRECT("'Loan "&amp;D$3&amp;"'!$B$19"),"")</f>
        <v/>
      </c>
      <c r="E16" s="28" t="str" cm="1">
        <f t="array" aca="1" ref="E16" ca="1">IF($R$66&gt;=E$3,INDIRECT("'Loan "&amp;E$3&amp;"'!$B$19"),"")</f>
        <v/>
      </c>
      <c r="F16" s="28" t="str" cm="1">
        <f t="array" aca="1" ref="F16" ca="1">IF($R$66&gt;=F$3,INDIRECT("'Loan "&amp;F$3&amp;"'!$B$19"),"")</f>
        <v/>
      </c>
      <c r="G16" s="28" t="str" cm="1">
        <f t="array" aca="1" ref="G16" ca="1">IF($R$66&gt;=G$3,INDIRECT("'Loan "&amp;G$3&amp;"'!$B$19"),"")</f>
        <v/>
      </c>
      <c r="H16" s="28" t="str" cm="1">
        <f t="array" aca="1" ref="H16" ca="1">IF($R$66&gt;=H$3,INDIRECT("'Loan "&amp;H$3&amp;"'!$B$19"),"")</f>
        <v/>
      </c>
      <c r="I16" s="28" t="str" cm="1">
        <f t="array" aca="1" ref="I16" ca="1">IF($R$66&gt;=I$3,INDIRECT("'Loan "&amp;I$3&amp;"'!$B$19"),"")</f>
        <v/>
      </c>
      <c r="J16" s="28" t="str" cm="1">
        <f t="array" aca="1" ref="J16" ca="1">IF($R$66&gt;=J$3,INDIRECT("'Loan "&amp;J$3&amp;"'!$B$19"),"")</f>
        <v/>
      </c>
      <c r="K16" s="28" t="str" cm="1">
        <f t="array" aca="1" ref="K16" ca="1">IF($R$66&gt;=K$3,INDIRECT("'Loan "&amp;K$3&amp;"'!$B$19"),"")</f>
        <v/>
      </c>
      <c r="L16" s="28" t="str" cm="1">
        <f t="array" aca="1" ref="L16" ca="1">IF($R$66&gt;=L$3,INDIRECT("'Loan "&amp;L$3&amp;"'!$B$19"),"")</f>
        <v/>
      </c>
      <c r="M16" s="28" t="str" cm="1">
        <f t="array" aca="1" ref="M16" ca="1">IF($R$66&gt;=M$3,INDIRECT("'Loan "&amp;M$3&amp;"'!$B$19"),"")</f>
        <v/>
      </c>
      <c r="N16" s="28" t="str" cm="1">
        <f t="array" aca="1" ref="N16" ca="1">IF($R$66&gt;=N$3,INDIRECT("'Loan "&amp;N$3&amp;"'!$B$19"),"")</f>
        <v/>
      </c>
      <c r="O16" s="28" t="str" cm="1">
        <f t="array" aca="1" ref="O16" ca="1">IF($R$66&gt;=O$3,INDIRECT("'Loan "&amp;O$3&amp;"'!$B$19"),"")</f>
        <v/>
      </c>
      <c r="P16" s="28" t="str" cm="1">
        <f t="array" aca="1" ref="P16" ca="1">IF($R$66&gt;=P$3,INDIRECT("'Loan "&amp;P$3&amp;"'!$B$19"),"")</f>
        <v/>
      </c>
      <c r="Q16" s="28" t="str" cm="1">
        <f t="array" aca="1" ref="Q16" ca="1">IF($R$66&gt;=Q$3,INDIRECT("'Loan "&amp;Q$3&amp;"'!$B$19"),"")</f>
        <v/>
      </c>
    </row>
    <row r="17" spans="1:17" x14ac:dyDescent="0.25">
      <c r="A17" s="7" t="s">
        <v>1195</v>
      </c>
      <c r="B17" s="49" t="s">
        <v>1391</v>
      </c>
      <c r="C17" s="28" cm="1">
        <f t="array" aca="1" ref="C17" ca="1">IF($R$66&gt;=C$3,INDIRECT("'Loan "&amp;C$3&amp;"'!$C$19"),"")</f>
        <v>0</v>
      </c>
      <c r="D17" s="28" t="str" cm="1">
        <f t="array" aca="1" ref="D17" ca="1">IF($R$66&gt;=D$3,INDIRECT("'Loan "&amp;D$3&amp;"'!$C$19"),"")</f>
        <v/>
      </c>
      <c r="E17" s="28" t="str" cm="1">
        <f t="array" aca="1" ref="E17" ca="1">IF($R$66&gt;=E$3,INDIRECT("'Loan "&amp;E$3&amp;"'!$C$19"),"")</f>
        <v/>
      </c>
      <c r="F17" s="28" t="str" cm="1">
        <f t="array" aca="1" ref="F17" ca="1">IF($R$66&gt;=F$3,INDIRECT("'Loan "&amp;F$3&amp;"'!$C$19"),"")</f>
        <v/>
      </c>
      <c r="G17" s="28" t="str" cm="1">
        <f t="array" aca="1" ref="G17" ca="1">IF($R$66&gt;=G$3,INDIRECT("'Loan "&amp;G$3&amp;"'!$C$19"),"")</f>
        <v/>
      </c>
      <c r="H17" s="28" t="str" cm="1">
        <f t="array" aca="1" ref="H17" ca="1">IF($R$66&gt;=H$3,INDIRECT("'Loan "&amp;H$3&amp;"'!$C$19"),"")</f>
        <v/>
      </c>
      <c r="I17" s="28" t="str" cm="1">
        <f t="array" aca="1" ref="I17" ca="1">IF($R$66&gt;=I$3,INDIRECT("'Loan "&amp;I$3&amp;"'!$C$19"),"")</f>
        <v/>
      </c>
      <c r="J17" s="28" t="str" cm="1">
        <f t="array" aca="1" ref="J17" ca="1">IF($R$66&gt;=J$3,INDIRECT("'Loan "&amp;J$3&amp;"'!$C$19"),"")</f>
        <v/>
      </c>
      <c r="K17" s="28" t="str" cm="1">
        <f t="array" aca="1" ref="K17" ca="1">IF($R$66&gt;=K$3,INDIRECT("'Loan "&amp;K$3&amp;"'!$C$19"),"")</f>
        <v/>
      </c>
      <c r="L17" s="28" t="str" cm="1">
        <f t="array" aca="1" ref="L17" ca="1">IF($R$66&gt;=L$3,INDIRECT("'Loan "&amp;L$3&amp;"'!$C$19"),"")</f>
        <v/>
      </c>
      <c r="M17" s="28" t="str" cm="1">
        <f t="array" aca="1" ref="M17" ca="1">IF($R$66&gt;=M$3,INDIRECT("'Loan "&amp;M$3&amp;"'!$C$19"),"")</f>
        <v/>
      </c>
      <c r="N17" s="28" t="str" cm="1">
        <f t="array" aca="1" ref="N17" ca="1">IF($R$66&gt;=N$3,INDIRECT("'Loan "&amp;N$3&amp;"'!$C$19"),"")</f>
        <v/>
      </c>
      <c r="O17" s="28" t="str" cm="1">
        <f t="array" aca="1" ref="O17" ca="1">IF($R$66&gt;=O$3,INDIRECT("'Loan "&amp;O$3&amp;"'!$C$19"),"")</f>
        <v/>
      </c>
      <c r="P17" s="28" t="str" cm="1">
        <f t="array" aca="1" ref="P17" ca="1">IF($R$66&gt;=P$3,INDIRECT("'Loan "&amp;P$3&amp;"'!$C$19"),"")</f>
        <v/>
      </c>
      <c r="Q17" s="28" t="str" cm="1">
        <f t="array" aca="1" ref="Q17" ca="1">IF($R$66&gt;=Q$3,INDIRECT("'Loan "&amp;Q$3&amp;"'!$C$19"),"")</f>
        <v/>
      </c>
    </row>
    <row r="18" spans="1:17" x14ac:dyDescent="0.25">
      <c r="A18" s="7" t="s">
        <v>1197</v>
      </c>
      <c r="B18" s="49" t="s">
        <v>1392</v>
      </c>
      <c r="C18" s="28" cm="1">
        <f t="array" aca="1" ref="C18" ca="1">IF($R$66&gt;=C$3,INDIRECT("'Loan "&amp;C$3&amp;"'!$B$20"),"")</f>
        <v>0</v>
      </c>
      <c r="D18" s="28" t="str" cm="1">
        <f t="array" aca="1" ref="D18" ca="1">IF($R$66&gt;=D$3,INDIRECT("'Loan "&amp;D$3&amp;"'!$B$20"),"")</f>
        <v/>
      </c>
      <c r="E18" s="28" t="str" cm="1">
        <f t="array" aca="1" ref="E18" ca="1">IF($R$66&gt;=E$3,INDIRECT("'Loan "&amp;E$3&amp;"'!$B$20"),"")</f>
        <v/>
      </c>
      <c r="F18" s="28" t="str" cm="1">
        <f t="array" aca="1" ref="F18" ca="1">IF($R$66&gt;=F$3,INDIRECT("'Loan "&amp;F$3&amp;"'!$B$20"),"")</f>
        <v/>
      </c>
      <c r="G18" s="28" t="str" cm="1">
        <f t="array" aca="1" ref="G18" ca="1">IF($R$66&gt;=G$3,INDIRECT("'Loan "&amp;G$3&amp;"'!$B$20"),"")</f>
        <v/>
      </c>
      <c r="H18" s="28" t="str" cm="1">
        <f t="array" aca="1" ref="H18" ca="1">IF($R$66&gt;=H$3,INDIRECT("'Loan "&amp;H$3&amp;"'!$B$20"),"")</f>
        <v/>
      </c>
      <c r="I18" s="28" t="str" cm="1">
        <f t="array" aca="1" ref="I18" ca="1">IF($R$66&gt;=I$3,INDIRECT("'Loan "&amp;I$3&amp;"'!$B$20"),"")</f>
        <v/>
      </c>
      <c r="J18" s="28" t="str" cm="1">
        <f t="array" aca="1" ref="J18" ca="1">IF($R$66&gt;=J$3,INDIRECT("'Loan "&amp;J$3&amp;"'!$B$20"),"")</f>
        <v/>
      </c>
      <c r="K18" s="28" t="str" cm="1">
        <f t="array" aca="1" ref="K18" ca="1">IF($R$66&gt;=K$3,INDIRECT("'Loan "&amp;K$3&amp;"'!$B$20"),"")</f>
        <v/>
      </c>
      <c r="L18" s="28" t="str" cm="1">
        <f t="array" aca="1" ref="L18" ca="1">IF($R$66&gt;=L$3,INDIRECT("'Loan "&amp;L$3&amp;"'!$B$20"),"")</f>
        <v/>
      </c>
      <c r="M18" s="28" t="str" cm="1">
        <f t="array" aca="1" ref="M18" ca="1">IF($R$66&gt;=M$3,INDIRECT("'Loan "&amp;M$3&amp;"'!$B$20"),"")</f>
        <v/>
      </c>
      <c r="N18" s="28" t="str" cm="1">
        <f t="array" aca="1" ref="N18" ca="1">IF($R$66&gt;=N$3,INDIRECT("'Loan "&amp;N$3&amp;"'!$B$20"),"")</f>
        <v/>
      </c>
      <c r="O18" s="28" t="str" cm="1">
        <f t="array" aca="1" ref="O18" ca="1">IF($R$66&gt;=O$3,INDIRECT("'Loan "&amp;O$3&amp;"'!$B$20"),"")</f>
        <v/>
      </c>
      <c r="P18" s="28" t="str" cm="1">
        <f t="array" aca="1" ref="P18" ca="1">IF($R$66&gt;=P$3,INDIRECT("'Loan "&amp;P$3&amp;"'!$B$20"),"")</f>
        <v/>
      </c>
      <c r="Q18" s="28" t="str" cm="1">
        <f t="array" aca="1" ref="Q18" ca="1">IF($R$66&gt;=Q$3,INDIRECT("'Loan "&amp;Q$3&amp;"'!$B$20"),"")</f>
        <v/>
      </c>
    </row>
    <row r="19" spans="1:17" x14ac:dyDescent="0.25">
      <c r="A19" s="7" t="s">
        <v>1199</v>
      </c>
      <c r="B19" s="49" t="s">
        <v>1393</v>
      </c>
      <c r="C19" s="28" cm="1">
        <f t="array" aca="1" ref="C19" ca="1">IF($R$66&gt;=C$3,INDIRECT("'Loan "&amp;C$3&amp;"'!$C$20"),"")</f>
        <v>0</v>
      </c>
      <c r="D19" s="28" t="str" cm="1">
        <f t="array" aca="1" ref="D19" ca="1">IF($R$66&gt;=D$3,INDIRECT("'Loan "&amp;D$3&amp;"'!$C$20"),"")</f>
        <v/>
      </c>
      <c r="E19" s="28" t="str" cm="1">
        <f t="array" aca="1" ref="E19" ca="1">IF($R$66&gt;=E$3,INDIRECT("'Loan "&amp;E$3&amp;"'!$C$20"),"")</f>
        <v/>
      </c>
      <c r="F19" s="28" t="str" cm="1">
        <f t="array" aca="1" ref="F19" ca="1">IF($R$66&gt;=F$3,INDIRECT("'Loan "&amp;F$3&amp;"'!$C$20"),"")</f>
        <v/>
      </c>
      <c r="G19" s="28" t="str" cm="1">
        <f t="array" aca="1" ref="G19" ca="1">IF($R$66&gt;=G$3,INDIRECT("'Loan "&amp;G$3&amp;"'!$C$20"),"")</f>
        <v/>
      </c>
      <c r="H19" s="28" t="str" cm="1">
        <f t="array" aca="1" ref="H19" ca="1">IF($R$66&gt;=H$3,INDIRECT("'Loan "&amp;H$3&amp;"'!$C$20"),"")</f>
        <v/>
      </c>
      <c r="I19" s="28" t="str" cm="1">
        <f t="array" aca="1" ref="I19" ca="1">IF($R$66&gt;=I$3,INDIRECT("'Loan "&amp;I$3&amp;"'!$C$20"),"")</f>
        <v/>
      </c>
      <c r="J19" s="28" t="str" cm="1">
        <f t="array" aca="1" ref="J19" ca="1">IF($R$66&gt;=J$3,INDIRECT("'Loan "&amp;J$3&amp;"'!$C$20"),"")</f>
        <v/>
      </c>
      <c r="K19" s="28" t="str" cm="1">
        <f t="array" aca="1" ref="K19" ca="1">IF($R$66&gt;=K$3,INDIRECT("'Loan "&amp;K$3&amp;"'!$C$20"),"")</f>
        <v/>
      </c>
      <c r="L19" s="28" t="str" cm="1">
        <f t="array" aca="1" ref="L19" ca="1">IF($R$66&gt;=L$3,INDIRECT("'Loan "&amp;L$3&amp;"'!$C$20"),"")</f>
        <v/>
      </c>
      <c r="M19" s="28" t="str" cm="1">
        <f t="array" aca="1" ref="M19" ca="1">IF($R$66&gt;=M$3,INDIRECT("'Loan "&amp;M$3&amp;"'!$C$20"),"")</f>
        <v/>
      </c>
      <c r="N19" s="28" t="str" cm="1">
        <f t="array" aca="1" ref="N19" ca="1">IF($R$66&gt;=N$3,INDIRECT("'Loan "&amp;N$3&amp;"'!$C$20"),"")</f>
        <v/>
      </c>
      <c r="O19" s="28" t="str" cm="1">
        <f t="array" aca="1" ref="O19" ca="1">IF($R$66&gt;=O$3,INDIRECT("'Loan "&amp;O$3&amp;"'!$C$20"),"")</f>
        <v/>
      </c>
      <c r="P19" s="28" t="str" cm="1">
        <f t="array" aca="1" ref="P19" ca="1">IF($R$66&gt;=P$3,INDIRECT("'Loan "&amp;P$3&amp;"'!$C$20"),"")</f>
        <v/>
      </c>
      <c r="Q19" s="28" t="str" cm="1">
        <f t="array" aca="1" ref="Q19" ca="1">IF($R$66&gt;=Q$3,INDIRECT("'Loan "&amp;Q$3&amp;"'!$C$20"),"")</f>
        <v/>
      </c>
    </row>
    <row r="20" spans="1:17" x14ac:dyDescent="0.25">
      <c r="A20" s="7" t="s">
        <v>1201</v>
      </c>
      <c r="B20" s="49" t="s">
        <v>1394</v>
      </c>
      <c r="C20" s="28" cm="1">
        <f t="array" aca="1" ref="C20" ca="1">IF($R$66&gt;=C$3,INDIRECT("'Loan "&amp;C$3&amp;"'!$B$21"),"")</f>
        <v>0</v>
      </c>
      <c r="D20" s="28" t="str" cm="1">
        <f t="array" aca="1" ref="D20" ca="1">IF($R$66&gt;=D$3,INDIRECT("'Loan "&amp;D$3&amp;"'!$B$21"),"")</f>
        <v/>
      </c>
      <c r="E20" s="28" t="str" cm="1">
        <f t="array" aca="1" ref="E20" ca="1">IF($R$66&gt;=E$3,INDIRECT("'Loan "&amp;E$3&amp;"'!$B$21"),"")</f>
        <v/>
      </c>
      <c r="F20" s="28" t="str" cm="1">
        <f t="array" aca="1" ref="F20" ca="1">IF($R$66&gt;=F$3,INDIRECT("'Loan "&amp;F$3&amp;"'!$B$21"),"")</f>
        <v/>
      </c>
      <c r="G20" s="28" t="str" cm="1">
        <f t="array" aca="1" ref="G20" ca="1">IF($R$66&gt;=G$3,INDIRECT("'Loan "&amp;G$3&amp;"'!$B$21"),"")</f>
        <v/>
      </c>
      <c r="H20" s="28" t="str" cm="1">
        <f t="array" aca="1" ref="H20" ca="1">IF($R$66&gt;=H$3,INDIRECT("'Loan "&amp;H$3&amp;"'!$B$21"),"")</f>
        <v/>
      </c>
      <c r="I20" s="28" t="str" cm="1">
        <f t="array" aca="1" ref="I20" ca="1">IF($R$66&gt;=I$3,INDIRECT("'Loan "&amp;I$3&amp;"'!$B$21"),"")</f>
        <v/>
      </c>
      <c r="J20" s="28" t="str" cm="1">
        <f t="array" aca="1" ref="J20" ca="1">IF($R$66&gt;=J$3,INDIRECT("'Loan "&amp;J$3&amp;"'!$B$21"),"")</f>
        <v/>
      </c>
      <c r="K20" s="28" t="str" cm="1">
        <f t="array" aca="1" ref="K20" ca="1">IF($R$66&gt;=K$3,INDIRECT("'Loan "&amp;K$3&amp;"'!$B$21"),"")</f>
        <v/>
      </c>
      <c r="L20" s="28" t="str" cm="1">
        <f t="array" aca="1" ref="L20" ca="1">IF($R$66&gt;=L$3,INDIRECT("'Loan "&amp;L$3&amp;"'!$B$21"),"")</f>
        <v/>
      </c>
      <c r="M20" s="28" t="str" cm="1">
        <f t="array" aca="1" ref="M20" ca="1">IF($R$66&gt;=M$3,INDIRECT("'Loan "&amp;M$3&amp;"'!$B$21"),"")</f>
        <v/>
      </c>
      <c r="N20" s="28" t="str" cm="1">
        <f t="array" aca="1" ref="N20" ca="1">IF($R$66&gt;=N$3,INDIRECT("'Loan "&amp;N$3&amp;"'!$B$21"),"")</f>
        <v/>
      </c>
      <c r="O20" s="28" t="str" cm="1">
        <f t="array" aca="1" ref="O20" ca="1">IF($R$66&gt;=O$3,INDIRECT("'Loan "&amp;O$3&amp;"'!$B$21"),"")</f>
        <v/>
      </c>
      <c r="P20" s="28" t="str" cm="1">
        <f t="array" aca="1" ref="P20" ca="1">IF($R$66&gt;=P$3,INDIRECT("'Loan "&amp;P$3&amp;"'!$B$21"),"")</f>
        <v/>
      </c>
      <c r="Q20" s="28" t="str" cm="1">
        <f t="array" aca="1" ref="Q20" ca="1">IF($R$66&gt;=Q$3,INDIRECT("'Loan "&amp;Q$3&amp;"'!$B$21"),"")</f>
        <v/>
      </c>
    </row>
    <row r="21" spans="1:17" x14ac:dyDescent="0.25">
      <c r="A21" s="7" t="s">
        <v>1203</v>
      </c>
      <c r="B21" s="49" t="s">
        <v>1395</v>
      </c>
      <c r="C21" s="28" cm="1">
        <f t="array" aca="1" ref="C21" ca="1">IF($R$66&gt;=C$3,INDIRECT("'Loan "&amp;C$3&amp;"'!$C$21"),"")</f>
        <v>0</v>
      </c>
      <c r="D21" s="28" t="str" cm="1">
        <f t="array" aca="1" ref="D21" ca="1">IF($R$66&gt;=D$3,INDIRECT("'Loan "&amp;D$3&amp;"'!$C$21"),"")</f>
        <v/>
      </c>
      <c r="E21" s="28" t="str" cm="1">
        <f t="array" aca="1" ref="E21" ca="1">IF($R$66&gt;=E$3,INDIRECT("'Loan "&amp;E$3&amp;"'!$C$21"),"")</f>
        <v/>
      </c>
      <c r="F21" s="28" t="str" cm="1">
        <f t="array" aca="1" ref="F21" ca="1">IF($R$66&gt;=F$3,INDIRECT("'Loan "&amp;F$3&amp;"'!$C$21"),"")</f>
        <v/>
      </c>
      <c r="G21" s="28" t="str" cm="1">
        <f t="array" aca="1" ref="G21" ca="1">IF($R$66&gt;=G$3,INDIRECT("'Loan "&amp;G$3&amp;"'!$C$21"),"")</f>
        <v/>
      </c>
      <c r="H21" s="28" t="str" cm="1">
        <f t="array" aca="1" ref="H21" ca="1">IF($R$66&gt;=H$3,INDIRECT("'Loan "&amp;H$3&amp;"'!$C$21"),"")</f>
        <v/>
      </c>
      <c r="I21" s="28" t="str" cm="1">
        <f t="array" aca="1" ref="I21" ca="1">IF($R$66&gt;=I$3,INDIRECT("'Loan "&amp;I$3&amp;"'!$C$21"),"")</f>
        <v/>
      </c>
      <c r="J21" s="28" t="str" cm="1">
        <f t="array" aca="1" ref="J21" ca="1">IF($R$66&gt;=J$3,INDIRECT("'Loan "&amp;J$3&amp;"'!$C$21"),"")</f>
        <v/>
      </c>
      <c r="K21" s="28" t="str" cm="1">
        <f t="array" aca="1" ref="K21" ca="1">IF($R$66&gt;=K$3,INDIRECT("'Loan "&amp;K$3&amp;"'!$C$21"),"")</f>
        <v/>
      </c>
      <c r="L21" s="28" t="str" cm="1">
        <f t="array" aca="1" ref="L21" ca="1">IF($R$66&gt;=L$3,INDIRECT("'Loan "&amp;L$3&amp;"'!$C$21"),"")</f>
        <v/>
      </c>
      <c r="M21" s="28" t="str" cm="1">
        <f t="array" aca="1" ref="M21" ca="1">IF($R$66&gt;=M$3,INDIRECT("'Loan "&amp;M$3&amp;"'!$C$21"),"")</f>
        <v/>
      </c>
      <c r="N21" s="28" t="str" cm="1">
        <f t="array" aca="1" ref="N21" ca="1">IF($R$66&gt;=N$3,INDIRECT("'Loan "&amp;N$3&amp;"'!$C$21"),"")</f>
        <v/>
      </c>
      <c r="O21" s="28" t="str" cm="1">
        <f t="array" aca="1" ref="O21" ca="1">IF($R$66&gt;=O$3,INDIRECT("'Loan "&amp;O$3&amp;"'!$C$21"),"")</f>
        <v/>
      </c>
      <c r="P21" s="28" t="str" cm="1">
        <f t="array" aca="1" ref="P21" ca="1">IF($R$66&gt;=P$3,INDIRECT("'Loan "&amp;P$3&amp;"'!$C$21"),"")</f>
        <v/>
      </c>
      <c r="Q21" s="28" t="str" cm="1">
        <f t="array" aca="1" ref="Q21" ca="1">IF($R$66&gt;=Q$3,INDIRECT("'Loan "&amp;Q$3&amp;"'!$C$21"),"")</f>
        <v/>
      </c>
    </row>
    <row r="22" spans="1:17" x14ac:dyDescent="0.25">
      <c r="A22" s="7" t="s">
        <v>1205</v>
      </c>
      <c r="B22" s="49" t="s">
        <v>1396</v>
      </c>
      <c r="C22" s="28" cm="1">
        <f t="array" aca="1" ref="C22" ca="1">IF($R$66&gt;=C$3,INDIRECT("'Loan "&amp;C$3&amp;"'!$B$22"),"")</f>
        <v>0</v>
      </c>
      <c r="D22" s="28" t="str" cm="1">
        <f t="array" aca="1" ref="D22" ca="1">IF($R$66&gt;=D$3,INDIRECT("'Loan "&amp;D$3&amp;"'!$B$22"),"")</f>
        <v/>
      </c>
      <c r="E22" s="28" t="str" cm="1">
        <f t="array" aca="1" ref="E22" ca="1">IF($R$66&gt;=E$3,INDIRECT("'Loan "&amp;E$3&amp;"'!$B$22"),"")</f>
        <v/>
      </c>
      <c r="F22" s="28" t="str" cm="1">
        <f t="array" aca="1" ref="F22" ca="1">IF($R$66&gt;=F$3,INDIRECT("'Loan "&amp;F$3&amp;"'!$B$22"),"")</f>
        <v/>
      </c>
      <c r="G22" s="28" t="str" cm="1">
        <f t="array" aca="1" ref="G22" ca="1">IF($R$66&gt;=G$3,INDIRECT("'Loan "&amp;G$3&amp;"'!$B$22"),"")</f>
        <v/>
      </c>
      <c r="H22" s="28" t="str" cm="1">
        <f t="array" aca="1" ref="H22" ca="1">IF($R$66&gt;=H$3,INDIRECT("'Loan "&amp;H$3&amp;"'!$B$22"),"")</f>
        <v/>
      </c>
      <c r="I22" s="28" t="str" cm="1">
        <f t="array" aca="1" ref="I22" ca="1">IF($R$66&gt;=I$3,INDIRECT("'Loan "&amp;I$3&amp;"'!$B$22"),"")</f>
        <v/>
      </c>
      <c r="J22" s="28" t="str" cm="1">
        <f t="array" aca="1" ref="J22" ca="1">IF($R$66&gt;=J$3,INDIRECT("'Loan "&amp;J$3&amp;"'!$B$22"),"")</f>
        <v/>
      </c>
      <c r="K22" s="28" t="str" cm="1">
        <f t="array" aca="1" ref="K22" ca="1">IF($R$66&gt;=K$3,INDIRECT("'Loan "&amp;K$3&amp;"'!$B$22"),"")</f>
        <v/>
      </c>
      <c r="L22" s="28" t="str" cm="1">
        <f t="array" aca="1" ref="L22" ca="1">IF($R$66&gt;=L$3,INDIRECT("'Loan "&amp;L$3&amp;"'!$B$22"),"")</f>
        <v/>
      </c>
      <c r="M22" s="28" t="str" cm="1">
        <f t="array" aca="1" ref="M22" ca="1">IF($R$66&gt;=M$3,INDIRECT("'Loan "&amp;M$3&amp;"'!$B$22"),"")</f>
        <v/>
      </c>
      <c r="N22" s="28" t="str" cm="1">
        <f t="array" aca="1" ref="N22" ca="1">IF($R$66&gt;=N$3,INDIRECT("'Loan "&amp;N$3&amp;"'!$B$22"),"")</f>
        <v/>
      </c>
      <c r="O22" s="28" t="str" cm="1">
        <f t="array" aca="1" ref="O22" ca="1">IF($R$66&gt;=O$3,INDIRECT("'Loan "&amp;O$3&amp;"'!$B$22"),"")</f>
        <v/>
      </c>
      <c r="P22" s="28" t="str" cm="1">
        <f t="array" aca="1" ref="P22" ca="1">IF($R$66&gt;=P$3,INDIRECT("'Loan "&amp;P$3&amp;"'!$B$22"),"")</f>
        <v/>
      </c>
      <c r="Q22" s="28" t="str" cm="1">
        <f t="array" aca="1" ref="Q22" ca="1">IF($R$66&gt;=Q$3,INDIRECT("'Loan "&amp;Q$3&amp;"'!$B$22"),"")</f>
        <v/>
      </c>
    </row>
    <row r="23" spans="1:17" x14ac:dyDescent="0.25">
      <c r="A23" s="7" t="s">
        <v>1207</v>
      </c>
      <c r="B23" s="49" t="s">
        <v>1397</v>
      </c>
      <c r="C23" s="28" cm="1">
        <f t="array" aca="1" ref="C23" ca="1">IF($R$66&gt;=C$3,INDIRECT("'Loan "&amp;C$3&amp;"'!$C$22"),"")</f>
        <v>0</v>
      </c>
      <c r="D23" s="28" t="str" cm="1">
        <f t="array" aca="1" ref="D23" ca="1">IF($R$66&gt;=D$3,INDIRECT("'Loan "&amp;D$3&amp;"'!$C$22"),"")</f>
        <v/>
      </c>
      <c r="E23" s="28" t="str" cm="1">
        <f t="array" aca="1" ref="E23" ca="1">IF($R$66&gt;=E$3,INDIRECT("'Loan "&amp;E$3&amp;"'!$C$22"),"")</f>
        <v/>
      </c>
      <c r="F23" s="28" t="str" cm="1">
        <f t="array" aca="1" ref="F23" ca="1">IF($R$66&gt;=F$3,INDIRECT("'Loan "&amp;F$3&amp;"'!$C$22"),"")</f>
        <v/>
      </c>
      <c r="G23" s="28" t="str" cm="1">
        <f t="array" aca="1" ref="G23" ca="1">IF($R$66&gt;=G$3,INDIRECT("'Loan "&amp;G$3&amp;"'!$C$22"),"")</f>
        <v/>
      </c>
      <c r="H23" s="28" t="str" cm="1">
        <f t="array" aca="1" ref="H23" ca="1">IF($R$66&gt;=H$3,INDIRECT("'Loan "&amp;H$3&amp;"'!$C$22"),"")</f>
        <v/>
      </c>
      <c r="I23" s="28" t="str" cm="1">
        <f t="array" aca="1" ref="I23" ca="1">IF($R$66&gt;=I$3,INDIRECT("'Loan "&amp;I$3&amp;"'!$C$22"),"")</f>
        <v/>
      </c>
      <c r="J23" s="28" t="str" cm="1">
        <f t="array" aca="1" ref="J23" ca="1">IF($R$66&gt;=J$3,INDIRECT("'Loan "&amp;J$3&amp;"'!$C$22"),"")</f>
        <v/>
      </c>
      <c r="K23" s="28" t="str" cm="1">
        <f t="array" aca="1" ref="K23" ca="1">IF($R$66&gt;=K$3,INDIRECT("'Loan "&amp;K$3&amp;"'!$C$22"),"")</f>
        <v/>
      </c>
      <c r="L23" s="28" t="str" cm="1">
        <f t="array" aca="1" ref="L23" ca="1">IF($R$66&gt;=L$3,INDIRECT("'Loan "&amp;L$3&amp;"'!$C$22"),"")</f>
        <v/>
      </c>
      <c r="M23" s="28" t="str" cm="1">
        <f t="array" aca="1" ref="M23" ca="1">IF($R$66&gt;=M$3,INDIRECT("'Loan "&amp;M$3&amp;"'!$C$22"),"")</f>
        <v/>
      </c>
      <c r="N23" s="28" t="str" cm="1">
        <f t="array" aca="1" ref="N23" ca="1">IF($R$66&gt;=N$3,INDIRECT("'Loan "&amp;N$3&amp;"'!$C$22"),"")</f>
        <v/>
      </c>
      <c r="O23" s="28" t="str" cm="1">
        <f t="array" aca="1" ref="O23" ca="1">IF($R$66&gt;=O$3,INDIRECT("'Loan "&amp;O$3&amp;"'!$C$22"),"")</f>
        <v/>
      </c>
      <c r="P23" s="28" t="str" cm="1">
        <f t="array" aca="1" ref="P23" ca="1">IF($R$66&gt;=P$3,INDIRECT("'Loan "&amp;P$3&amp;"'!$C$22"),"")</f>
        <v/>
      </c>
      <c r="Q23" s="28" t="str" cm="1">
        <f t="array" aca="1" ref="Q23" ca="1">IF($R$66&gt;=Q$3,INDIRECT("'Loan "&amp;Q$3&amp;"'!$C$22"),"")</f>
        <v/>
      </c>
    </row>
    <row r="24" spans="1:17" x14ac:dyDescent="0.25">
      <c r="A24" s="7" t="s">
        <v>1209</v>
      </c>
      <c r="B24" s="49" t="s">
        <v>1416</v>
      </c>
      <c r="C24" s="28" cm="1">
        <f t="array" aca="1" ref="C24" ca="1">IF($R$66&gt;=C$3,INDIRECT("'Loan "&amp;C$3&amp;"'!$B$23"),"")</f>
        <v>0</v>
      </c>
      <c r="D24" s="28" t="str" cm="1">
        <f t="array" aca="1" ref="D24" ca="1">IF($R$66&gt;=D$3,INDIRECT("'Loan "&amp;D$3&amp;"'!$B$23"),"")</f>
        <v/>
      </c>
      <c r="E24" s="28" t="str" cm="1">
        <f t="array" aca="1" ref="E24" ca="1">IF($R$66&gt;=E$3,INDIRECT("'Loan "&amp;E$3&amp;"'!$B$23"),"")</f>
        <v/>
      </c>
      <c r="F24" s="28" t="str" cm="1">
        <f t="array" aca="1" ref="F24" ca="1">IF($R$66&gt;=F$3,INDIRECT("'Loan "&amp;F$3&amp;"'!$B$23"),"")</f>
        <v/>
      </c>
      <c r="G24" s="28" t="str" cm="1">
        <f t="array" aca="1" ref="G24" ca="1">IF($R$66&gt;=G$3,INDIRECT("'Loan "&amp;G$3&amp;"'!$B$23"),"")</f>
        <v/>
      </c>
      <c r="H24" s="28" t="str" cm="1">
        <f t="array" aca="1" ref="H24" ca="1">IF($R$66&gt;=H$3,INDIRECT("'Loan "&amp;H$3&amp;"'!$B$23"),"")</f>
        <v/>
      </c>
      <c r="I24" s="28" t="str" cm="1">
        <f t="array" aca="1" ref="I24" ca="1">IF($R$66&gt;=I$3,INDIRECT("'Loan "&amp;I$3&amp;"'!$B$23"),"")</f>
        <v/>
      </c>
      <c r="J24" s="28" t="str" cm="1">
        <f t="array" aca="1" ref="J24" ca="1">IF($R$66&gt;=J$3,INDIRECT("'Loan "&amp;J$3&amp;"'!$B$23"),"")</f>
        <v/>
      </c>
      <c r="K24" s="28" t="str" cm="1">
        <f t="array" aca="1" ref="K24" ca="1">IF($R$66&gt;=K$3,INDIRECT("'Loan "&amp;K$3&amp;"'!$B$23"),"")</f>
        <v/>
      </c>
      <c r="L24" s="28" t="str" cm="1">
        <f t="array" aca="1" ref="L24" ca="1">IF($R$66&gt;=L$3,INDIRECT("'Loan "&amp;L$3&amp;"'!$B$23"),"")</f>
        <v/>
      </c>
      <c r="M24" s="28" t="str" cm="1">
        <f t="array" aca="1" ref="M24" ca="1">IF($R$66&gt;=M$3,INDIRECT("'Loan "&amp;M$3&amp;"'!$B$23"),"")</f>
        <v/>
      </c>
      <c r="N24" s="28" t="str" cm="1">
        <f t="array" aca="1" ref="N24" ca="1">IF($R$66&gt;=N$3,INDIRECT("'Loan "&amp;N$3&amp;"'!$B$23"),"")</f>
        <v/>
      </c>
      <c r="O24" s="28" t="str" cm="1">
        <f t="array" aca="1" ref="O24" ca="1">IF($R$66&gt;=O$3,INDIRECT("'Loan "&amp;O$3&amp;"'!$B$23"),"")</f>
        <v/>
      </c>
      <c r="P24" s="28" t="str" cm="1">
        <f t="array" aca="1" ref="P24" ca="1">IF($R$66&gt;=P$3,INDIRECT("'Loan "&amp;P$3&amp;"'!$B$23"),"")</f>
        <v/>
      </c>
      <c r="Q24" s="28" t="str" cm="1">
        <f t="array" aca="1" ref="Q24" ca="1">IF($R$66&gt;=Q$3,INDIRECT("'Loan "&amp;Q$3&amp;"'!$B$23"),"")</f>
        <v/>
      </c>
    </row>
    <row r="25" spans="1:17" x14ac:dyDescent="0.25">
      <c r="A25" s="7" t="s">
        <v>1210</v>
      </c>
      <c r="B25" s="49" t="s">
        <v>1417</v>
      </c>
      <c r="C25" s="28" cm="1">
        <f t="array" aca="1" ref="C25" ca="1">IF($R$66&gt;=C$3,INDIRECT("'Loan "&amp;C$3&amp;"'!$C$23"),"")</f>
        <v>0</v>
      </c>
      <c r="D25" s="28" t="str" cm="1">
        <f t="array" aca="1" ref="D25" ca="1">IF($R$66&gt;=D$3,INDIRECT("'Loan "&amp;D$3&amp;"'!$C$23"),"")</f>
        <v/>
      </c>
      <c r="E25" s="28" t="str" cm="1">
        <f t="array" aca="1" ref="E25" ca="1">IF($R$66&gt;=E$3,INDIRECT("'Loan "&amp;E$3&amp;"'!$C$23"),"")</f>
        <v/>
      </c>
      <c r="F25" s="28" t="str" cm="1">
        <f t="array" aca="1" ref="F25" ca="1">IF($R$66&gt;=F$3,INDIRECT("'Loan "&amp;F$3&amp;"'!$C$23"),"")</f>
        <v/>
      </c>
      <c r="G25" s="28" t="str" cm="1">
        <f t="array" aca="1" ref="G25" ca="1">IF($R$66&gt;=G$3,INDIRECT("'Loan "&amp;G$3&amp;"'!$C$23"),"")</f>
        <v/>
      </c>
      <c r="H25" s="28" t="str" cm="1">
        <f t="array" aca="1" ref="H25" ca="1">IF($R$66&gt;=H$3,INDIRECT("'Loan "&amp;H$3&amp;"'!$C$23"),"")</f>
        <v/>
      </c>
      <c r="I25" s="28" t="str" cm="1">
        <f t="array" aca="1" ref="I25" ca="1">IF($R$66&gt;=I$3,INDIRECT("'Loan "&amp;I$3&amp;"'!$C$23"),"")</f>
        <v/>
      </c>
      <c r="J25" s="28" t="str" cm="1">
        <f t="array" aca="1" ref="J25" ca="1">IF($R$66&gt;=J$3,INDIRECT("'Loan "&amp;J$3&amp;"'!$C$23"),"")</f>
        <v/>
      </c>
      <c r="K25" s="28" t="str" cm="1">
        <f t="array" aca="1" ref="K25" ca="1">IF($R$66&gt;=K$3,INDIRECT("'Loan "&amp;K$3&amp;"'!$C$23"),"")</f>
        <v/>
      </c>
      <c r="L25" s="28" t="str" cm="1">
        <f t="array" aca="1" ref="L25" ca="1">IF($R$66&gt;=L$3,INDIRECT("'Loan "&amp;L$3&amp;"'!$C$23"),"")</f>
        <v/>
      </c>
      <c r="M25" s="28" t="str" cm="1">
        <f t="array" aca="1" ref="M25" ca="1">IF($R$66&gt;=M$3,INDIRECT("'Loan "&amp;M$3&amp;"'!$C$23"),"")</f>
        <v/>
      </c>
      <c r="N25" s="28" t="str" cm="1">
        <f t="array" aca="1" ref="N25" ca="1">IF($R$66&gt;=N$3,INDIRECT("'Loan "&amp;N$3&amp;"'!$C$23"),"")</f>
        <v/>
      </c>
      <c r="O25" s="28" t="str" cm="1">
        <f t="array" aca="1" ref="O25" ca="1">IF($R$66&gt;=O$3,INDIRECT("'Loan "&amp;O$3&amp;"'!$C$23"),"")</f>
        <v/>
      </c>
      <c r="P25" s="28" t="str" cm="1">
        <f t="array" aca="1" ref="P25" ca="1">IF($R$66&gt;=P$3,INDIRECT("'Loan "&amp;P$3&amp;"'!$C$23"),"")</f>
        <v/>
      </c>
      <c r="Q25" s="28" t="str" cm="1">
        <f t="array" aca="1" ref="Q25" ca="1">IF($R$66&gt;=Q$3,INDIRECT("'Loan "&amp;Q$3&amp;"'!$C$23"),"")</f>
        <v/>
      </c>
    </row>
    <row r="26" spans="1:17" x14ac:dyDescent="0.25">
      <c r="A26" s="7" t="s">
        <v>1211</v>
      </c>
      <c r="B26" s="49" t="s">
        <v>1398</v>
      </c>
      <c r="C26" s="28" cm="1">
        <f t="array" aca="1" ref="C26" ca="1">IF($R$66&gt;=C$3,INDIRECT("'Loan "&amp;C$3&amp;"'!$B$24"),"")</f>
        <v>0</v>
      </c>
      <c r="D26" s="28" t="str" cm="1">
        <f t="array" aca="1" ref="D26" ca="1">IF($R$66&gt;=D$3,INDIRECT("'Loan "&amp;D$3&amp;"'!$B$24"),"")</f>
        <v/>
      </c>
      <c r="E26" s="28" t="str" cm="1">
        <f t="array" aca="1" ref="E26" ca="1">IF($R$66&gt;=E$3,INDIRECT("'Loan "&amp;E$3&amp;"'!$B$24"),"")</f>
        <v/>
      </c>
      <c r="F26" s="28" t="str" cm="1">
        <f t="array" aca="1" ref="F26" ca="1">IF($R$66&gt;=F$3,INDIRECT("'Loan "&amp;F$3&amp;"'!$B$24"),"")</f>
        <v/>
      </c>
      <c r="G26" s="28" t="str" cm="1">
        <f t="array" aca="1" ref="G26" ca="1">IF($R$66&gt;=G$3,INDIRECT("'Loan "&amp;G$3&amp;"'!$B$24"),"")</f>
        <v/>
      </c>
      <c r="H26" s="28" t="str" cm="1">
        <f t="array" aca="1" ref="H26" ca="1">IF($R$66&gt;=H$3,INDIRECT("'Loan "&amp;H$3&amp;"'!$B$24"),"")</f>
        <v/>
      </c>
      <c r="I26" s="28" t="str" cm="1">
        <f t="array" aca="1" ref="I26" ca="1">IF($R$66&gt;=I$3,INDIRECT("'Loan "&amp;I$3&amp;"'!$B$24"),"")</f>
        <v/>
      </c>
      <c r="J26" s="28" t="str" cm="1">
        <f t="array" aca="1" ref="J26" ca="1">IF($R$66&gt;=J$3,INDIRECT("'Loan "&amp;J$3&amp;"'!$B$24"),"")</f>
        <v/>
      </c>
      <c r="K26" s="28" t="str" cm="1">
        <f t="array" aca="1" ref="K26" ca="1">IF($R$66&gt;=K$3,INDIRECT("'Loan "&amp;K$3&amp;"'!$B$24"),"")</f>
        <v/>
      </c>
      <c r="L26" s="28" t="str" cm="1">
        <f t="array" aca="1" ref="L26" ca="1">IF($R$66&gt;=L$3,INDIRECT("'Loan "&amp;L$3&amp;"'!$B$24"),"")</f>
        <v/>
      </c>
      <c r="M26" s="28" t="str" cm="1">
        <f t="array" aca="1" ref="M26" ca="1">IF($R$66&gt;=M$3,INDIRECT("'Loan "&amp;M$3&amp;"'!$B$24"),"")</f>
        <v/>
      </c>
      <c r="N26" s="28" t="str" cm="1">
        <f t="array" aca="1" ref="N26" ca="1">IF($R$66&gt;=N$3,INDIRECT("'Loan "&amp;N$3&amp;"'!$B$24"),"")</f>
        <v/>
      </c>
      <c r="O26" s="28" t="str" cm="1">
        <f t="array" aca="1" ref="O26" ca="1">IF($R$66&gt;=O$3,INDIRECT("'Loan "&amp;O$3&amp;"'!$B$24"),"")</f>
        <v/>
      </c>
      <c r="P26" s="28" t="str" cm="1">
        <f t="array" aca="1" ref="P26" ca="1">IF($R$66&gt;=P$3,INDIRECT("'Loan "&amp;P$3&amp;"'!$B$24"),"")</f>
        <v/>
      </c>
      <c r="Q26" s="28" t="str" cm="1">
        <f t="array" aca="1" ref="Q26" ca="1">IF($R$66&gt;=Q$3,INDIRECT("'Loan "&amp;Q$3&amp;"'!$B$24"),"")</f>
        <v/>
      </c>
    </row>
    <row r="27" spans="1:17" x14ac:dyDescent="0.25">
      <c r="A27" s="7" t="s">
        <v>1213</v>
      </c>
      <c r="B27" s="49" t="s">
        <v>1399</v>
      </c>
      <c r="C27" s="28" cm="1">
        <f t="array" aca="1" ref="C27" ca="1">IF($R$66&gt;=C$3,INDIRECT("'Loan "&amp;C$3&amp;"'!$C$24"),"")</f>
        <v>0</v>
      </c>
      <c r="D27" s="28" t="str" cm="1">
        <f t="array" aca="1" ref="D27" ca="1">IF($R$66&gt;=D$3,INDIRECT("'Loan "&amp;D$3&amp;"'!$C$24"),"")</f>
        <v/>
      </c>
      <c r="E27" s="28" t="str" cm="1">
        <f t="array" aca="1" ref="E27" ca="1">IF($R$66&gt;=E$3,INDIRECT("'Loan "&amp;E$3&amp;"'!$C$24"),"")</f>
        <v/>
      </c>
      <c r="F27" s="28" t="str" cm="1">
        <f t="array" aca="1" ref="F27" ca="1">IF($R$66&gt;=F$3,INDIRECT("'Loan "&amp;F$3&amp;"'!$C$24"),"")</f>
        <v/>
      </c>
      <c r="G27" s="28" t="str" cm="1">
        <f t="array" aca="1" ref="G27" ca="1">IF($R$66&gt;=G$3,INDIRECT("'Loan "&amp;G$3&amp;"'!$C$24"),"")</f>
        <v/>
      </c>
      <c r="H27" s="28" t="str" cm="1">
        <f t="array" aca="1" ref="H27" ca="1">IF($R$66&gt;=H$3,INDIRECT("'Loan "&amp;H$3&amp;"'!$C$24"),"")</f>
        <v/>
      </c>
      <c r="I27" s="28" t="str" cm="1">
        <f t="array" aca="1" ref="I27" ca="1">IF($R$66&gt;=I$3,INDIRECT("'Loan "&amp;I$3&amp;"'!$C$24"),"")</f>
        <v/>
      </c>
      <c r="J27" s="28" t="str" cm="1">
        <f t="array" aca="1" ref="J27" ca="1">IF($R$66&gt;=J$3,INDIRECT("'Loan "&amp;J$3&amp;"'!$C$24"),"")</f>
        <v/>
      </c>
      <c r="K27" s="28" t="str" cm="1">
        <f t="array" aca="1" ref="K27" ca="1">IF($R$66&gt;=K$3,INDIRECT("'Loan "&amp;K$3&amp;"'!$C$24"),"")</f>
        <v/>
      </c>
      <c r="L27" s="28" t="str" cm="1">
        <f t="array" aca="1" ref="L27" ca="1">IF($R$66&gt;=L$3,INDIRECT("'Loan "&amp;L$3&amp;"'!$C$24"),"")</f>
        <v/>
      </c>
      <c r="M27" s="28" t="str" cm="1">
        <f t="array" aca="1" ref="M27" ca="1">IF($R$66&gt;=M$3,INDIRECT("'Loan "&amp;M$3&amp;"'!$C$24"),"")</f>
        <v/>
      </c>
      <c r="N27" s="28" t="str" cm="1">
        <f t="array" aca="1" ref="N27" ca="1">IF($R$66&gt;=N$3,INDIRECT("'Loan "&amp;N$3&amp;"'!$C$24"),"")</f>
        <v/>
      </c>
      <c r="O27" s="28" t="str" cm="1">
        <f t="array" aca="1" ref="O27" ca="1">IF($R$66&gt;=O$3,INDIRECT("'Loan "&amp;O$3&amp;"'!$C$24"),"")</f>
        <v/>
      </c>
      <c r="P27" s="28" t="str" cm="1">
        <f t="array" aca="1" ref="P27" ca="1">IF($R$66&gt;=P$3,INDIRECT("'Loan "&amp;P$3&amp;"'!$C$24"),"")</f>
        <v/>
      </c>
      <c r="Q27" s="28" t="str" cm="1">
        <f t="array" aca="1" ref="Q27" ca="1">IF($R$66&gt;=Q$3,INDIRECT("'Loan "&amp;Q$3&amp;"'!$C$24"),"")</f>
        <v/>
      </c>
    </row>
    <row r="28" spans="1:17" x14ac:dyDescent="0.25">
      <c r="A28" s="7" t="s">
        <v>1215</v>
      </c>
      <c r="B28" s="49" t="s">
        <v>1400</v>
      </c>
      <c r="C28" s="28" cm="1">
        <f t="array" aca="1" ref="C28" ca="1">IF($R$66&gt;=C$3,INDIRECT("'Loan "&amp;C$3&amp;"'!$B$25"),"")</f>
        <v>0</v>
      </c>
      <c r="D28" s="28" t="str" cm="1">
        <f t="array" aca="1" ref="D28" ca="1">IF($R$66&gt;=D$3,INDIRECT("'Loan "&amp;D$3&amp;"'!$B$25"),"")</f>
        <v/>
      </c>
      <c r="E28" s="28" t="str" cm="1">
        <f t="array" aca="1" ref="E28" ca="1">IF($R$66&gt;=E$3,INDIRECT("'Loan "&amp;E$3&amp;"'!$B$25"),"")</f>
        <v/>
      </c>
      <c r="F28" s="28" t="str" cm="1">
        <f t="array" aca="1" ref="F28" ca="1">IF($R$66&gt;=F$3,INDIRECT("'Loan "&amp;F$3&amp;"'!$B$25"),"")</f>
        <v/>
      </c>
      <c r="G28" s="28" t="str" cm="1">
        <f t="array" aca="1" ref="G28" ca="1">IF($R$66&gt;=G$3,INDIRECT("'Loan "&amp;G$3&amp;"'!$B$25"),"")</f>
        <v/>
      </c>
      <c r="H28" s="28" t="str" cm="1">
        <f t="array" aca="1" ref="H28" ca="1">IF($R$66&gt;=H$3,INDIRECT("'Loan "&amp;H$3&amp;"'!$B$25"),"")</f>
        <v/>
      </c>
      <c r="I28" s="28" t="str" cm="1">
        <f t="array" aca="1" ref="I28" ca="1">IF($R$66&gt;=I$3,INDIRECT("'Loan "&amp;I$3&amp;"'!$B$25"),"")</f>
        <v/>
      </c>
      <c r="J28" s="28" t="str" cm="1">
        <f t="array" aca="1" ref="J28" ca="1">IF($R$66&gt;=J$3,INDIRECT("'Loan "&amp;J$3&amp;"'!$B$25"),"")</f>
        <v/>
      </c>
      <c r="K28" s="28" t="str" cm="1">
        <f t="array" aca="1" ref="K28" ca="1">IF($R$66&gt;=K$3,INDIRECT("'Loan "&amp;K$3&amp;"'!$B$25"),"")</f>
        <v/>
      </c>
      <c r="L28" s="28" t="str" cm="1">
        <f t="array" aca="1" ref="L28" ca="1">IF($R$66&gt;=L$3,INDIRECT("'Loan "&amp;L$3&amp;"'!$B$25"),"")</f>
        <v/>
      </c>
      <c r="M28" s="28" t="str" cm="1">
        <f t="array" aca="1" ref="M28" ca="1">IF($R$66&gt;=M$3,INDIRECT("'Loan "&amp;M$3&amp;"'!$B$25"),"")</f>
        <v/>
      </c>
      <c r="N28" s="28" t="str" cm="1">
        <f t="array" aca="1" ref="N28" ca="1">IF($R$66&gt;=N$3,INDIRECT("'Loan "&amp;N$3&amp;"'!$B$25"),"")</f>
        <v/>
      </c>
      <c r="O28" s="28" t="str" cm="1">
        <f t="array" aca="1" ref="O28" ca="1">IF($R$66&gt;=O$3,INDIRECT("'Loan "&amp;O$3&amp;"'!$B$25"),"")</f>
        <v/>
      </c>
      <c r="P28" s="28" t="str" cm="1">
        <f t="array" aca="1" ref="P28" ca="1">IF($R$66&gt;=P$3,INDIRECT("'Loan "&amp;P$3&amp;"'!$B$25"),"")</f>
        <v/>
      </c>
      <c r="Q28" s="28" t="str" cm="1">
        <f t="array" aca="1" ref="Q28" ca="1">IF($R$66&gt;=Q$3,INDIRECT("'Loan "&amp;Q$3&amp;"'!$B$25"),"")</f>
        <v/>
      </c>
    </row>
    <row r="29" spans="1:17" x14ac:dyDescent="0.25">
      <c r="A29" s="7" t="s">
        <v>1217</v>
      </c>
      <c r="B29" s="49" t="s">
        <v>1401</v>
      </c>
      <c r="C29" s="28" cm="1">
        <f t="array" aca="1" ref="C29" ca="1">IF($R$66&gt;=C$3,INDIRECT("'Loan "&amp;C$3&amp;"'!$C$25"),"")</f>
        <v>0</v>
      </c>
      <c r="D29" s="28" t="str" cm="1">
        <f t="array" aca="1" ref="D29" ca="1">IF($R$66&gt;=D$3,INDIRECT("'Loan "&amp;D$3&amp;"'!$C$25"),"")</f>
        <v/>
      </c>
      <c r="E29" s="28" t="str" cm="1">
        <f t="array" aca="1" ref="E29" ca="1">IF($R$66&gt;=E$3,INDIRECT("'Loan "&amp;E$3&amp;"'!$C$25"),"")</f>
        <v/>
      </c>
      <c r="F29" s="28" t="str" cm="1">
        <f t="array" aca="1" ref="F29" ca="1">IF($R$66&gt;=F$3,INDIRECT("'Loan "&amp;F$3&amp;"'!$C$25"),"")</f>
        <v/>
      </c>
      <c r="G29" s="28" t="str" cm="1">
        <f t="array" aca="1" ref="G29" ca="1">IF($R$66&gt;=G$3,INDIRECT("'Loan "&amp;G$3&amp;"'!$C$25"),"")</f>
        <v/>
      </c>
      <c r="H29" s="28" t="str" cm="1">
        <f t="array" aca="1" ref="H29" ca="1">IF($R$66&gt;=H$3,INDIRECT("'Loan "&amp;H$3&amp;"'!$C$25"),"")</f>
        <v/>
      </c>
      <c r="I29" s="28" t="str" cm="1">
        <f t="array" aca="1" ref="I29" ca="1">IF($R$66&gt;=I$3,INDIRECT("'Loan "&amp;I$3&amp;"'!$C$25"),"")</f>
        <v/>
      </c>
      <c r="J29" s="28" t="str" cm="1">
        <f t="array" aca="1" ref="J29" ca="1">IF($R$66&gt;=J$3,INDIRECT("'Loan "&amp;J$3&amp;"'!$C$25"),"")</f>
        <v/>
      </c>
      <c r="K29" s="28" t="str" cm="1">
        <f t="array" aca="1" ref="K29" ca="1">IF($R$66&gt;=K$3,INDIRECT("'Loan "&amp;K$3&amp;"'!$C$25"),"")</f>
        <v/>
      </c>
      <c r="L29" s="28" t="str" cm="1">
        <f t="array" aca="1" ref="L29" ca="1">IF($R$66&gt;=L$3,INDIRECT("'Loan "&amp;L$3&amp;"'!$C$25"),"")</f>
        <v/>
      </c>
      <c r="M29" s="28" t="str" cm="1">
        <f t="array" aca="1" ref="M29" ca="1">IF($R$66&gt;=M$3,INDIRECT("'Loan "&amp;M$3&amp;"'!$C$25"),"")</f>
        <v/>
      </c>
      <c r="N29" s="28" t="str" cm="1">
        <f t="array" aca="1" ref="N29" ca="1">IF($R$66&gt;=N$3,INDIRECT("'Loan "&amp;N$3&amp;"'!$C$25"),"")</f>
        <v/>
      </c>
      <c r="O29" s="28" t="str" cm="1">
        <f t="array" aca="1" ref="O29" ca="1">IF($R$66&gt;=O$3,INDIRECT("'Loan "&amp;O$3&amp;"'!$C$25"),"")</f>
        <v/>
      </c>
      <c r="P29" s="28" t="str" cm="1">
        <f t="array" aca="1" ref="P29" ca="1">IF($R$66&gt;=P$3,INDIRECT("'Loan "&amp;P$3&amp;"'!$C$25"),"")</f>
        <v/>
      </c>
      <c r="Q29" s="28" t="str" cm="1">
        <f t="array" aca="1" ref="Q29" ca="1">IF($R$66&gt;=Q$3,INDIRECT("'Loan "&amp;Q$3&amp;"'!$C$25"),"")</f>
        <v/>
      </c>
    </row>
    <row r="30" spans="1:17" x14ac:dyDescent="0.25">
      <c r="A30" s="7" t="s">
        <v>1494</v>
      </c>
      <c r="B30" s="49" t="s">
        <v>1502</v>
      </c>
      <c r="C30" s="28" cm="1">
        <f t="array" aca="1" ref="C30" ca="1">IF($R$66&gt;=C$3,INDIRECT("'Loan "&amp;C$3&amp;"'!$B$26"),"")</f>
        <v>0</v>
      </c>
      <c r="D30" s="28" t="str" cm="1">
        <f t="array" aca="1" ref="D30" ca="1">IF($R$66&gt;=D$3,INDIRECT("'Loan "&amp;D$3&amp;"'!$B$26"),"")</f>
        <v/>
      </c>
      <c r="E30" s="28" t="str" cm="1">
        <f t="array" aca="1" ref="E30" ca="1">IF($R$66&gt;=E$3,INDIRECT("'Loan "&amp;E$3&amp;"'!$B$26"),"")</f>
        <v/>
      </c>
      <c r="F30" s="28" t="str" cm="1">
        <f t="array" aca="1" ref="F30" ca="1">IF($R$66&gt;=F$3,INDIRECT("'Loan "&amp;F$3&amp;"'!$B$26"),"")</f>
        <v/>
      </c>
      <c r="G30" s="28" t="str" cm="1">
        <f t="array" aca="1" ref="G30" ca="1">IF($R$66&gt;=G$3,INDIRECT("'Loan "&amp;G$3&amp;"'!$B$26"),"")</f>
        <v/>
      </c>
      <c r="H30" s="28" t="str" cm="1">
        <f t="array" aca="1" ref="H30" ca="1">IF($R$66&gt;=H$3,INDIRECT("'Loan "&amp;H$3&amp;"'!$B$26"),"")</f>
        <v/>
      </c>
      <c r="I30" s="28" t="str" cm="1">
        <f t="array" aca="1" ref="I30" ca="1">IF($R$66&gt;=I$3,INDIRECT("'Loan "&amp;I$3&amp;"'!$B$26"),"")</f>
        <v/>
      </c>
      <c r="J30" s="28" t="str" cm="1">
        <f t="array" aca="1" ref="J30" ca="1">IF($R$66&gt;=J$3,INDIRECT("'Loan "&amp;J$3&amp;"'!$B$26"),"")</f>
        <v/>
      </c>
      <c r="K30" s="28" t="str" cm="1">
        <f t="array" aca="1" ref="K30" ca="1">IF($R$66&gt;=K$3,INDIRECT("'Loan "&amp;K$3&amp;"'!$B$26"),"")</f>
        <v/>
      </c>
      <c r="L30" s="28" t="str" cm="1">
        <f t="array" aca="1" ref="L30" ca="1">IF($R$66&gt;=L$3,INDIRECT("'Loan "&amp;L$3&amp;"'!$B$26"),"")</f>
        <v/>
      </c>
      <c r="M30" s="28" t="str" cm="1">
        <f t="array" aca="1" ref="M30" ca="1">IF($R$66&gt;=M$3,INDIRECT("'Loan "&amp;M$3&amp;"'!$B$26"),"")</f>
        <v/>
      </c>
      <c r="N30" s="28" t="str" cm="1">
        <f t="array" aca="1" ref="N30" ca="1">IF($R$66&gt;=N$3,INDIRECT("'Loan "&amp;N$3&amp;"'!$B$26"),"")</f>
        <v/>
      </c>
      <c r="O30" s="28" t="str" cm="1">
        <f t="array" aca="1" ref="O30" ca="1">IF($R$66&gt;=O$3,INDIRECT("'Loan "&amp;O$3&amp;"'!$B$26"),"")</f>
        <v/>
      </c>
      <c r="P30" s="28" t="str" cm="1">
        <f t="array" aca="1" ref="P30" ca="1">IF($R$66&gt;=P$3,INDIRECT("'Loan "&amp;P$3&amp;"'!$B$26"),"")</f>
        <v/>
      </c>
      <c r="Q30" s="28" t="str" cm="1">
        <f t="array" aca="1" ref="Q30" ca="1">IF($R$66&gt;=Q$3,INDIRECT("'Loan "&amp;Q$3&amp;"'!$B$26"),"")</f>
        <v/>
      </c>
    </row>
    <row r="31" spans="1:17" x14ac:dyDescent="0.25">
      <c r="A31" s="7" t="s">
        <v>1495</v>
      </c>
      <c r="B31" s="49" t="s">
        <v>1503</v>
      </c>
      <c r="C31" s="28" cm="1">
        <f t="array" aca="1" ref="C31" ca="1">IF($R$66&gt;=C$3,INDIRECT("'Loan "&amp;C$3&amp;"'!$C$26"),"")</f>
        <v>0</v>
      </c>
      <c r="D31" s="28" t="str" cm="1">
        <f t="array" aca="1" ref="D31" ca="1">IF($R$66&gt;=D$3,INDIRECT("'Loan "&amp;D$3&amp;"'!$C$26"),"")</f>
        <v/>
      </c>
      <c r="E31" s="28" t="str" cm="1">
        <f t="array" aca="1" ref="E31" ca="1">IF($R$66&gt;=E$3,INDIRECT("'Loan "&amp;E$3&amp;"'!$C$26"),"")</f>
        <v/>
      </c>
      <c r="F31" s="28" t="str" cm="1">
        <f t="array" aca="1" ref="F31" ca="1">IF($R$66&gt;=F$3,INDIRECT("'Loan "&amp;F$3&amp;"'!$C$26"),"")</f>
        <v/>
      </c>
      <c r="G31" s="28" t="str" cm="1">
        <f t="array" aca="1" ref="G31" ca="1">IF($R$66&gt;=G$3,INDIRECT("'Loan "&amp;G$3&amp;"'!$C$26"),"")</f>
        <v/>
      </c>
      <c r="H31" s="28" t="str" cm="1">
        <f t="array" aca="1" ref="H31" ca="1">IF($R$66&gt;=H$3,INDIRECT("'Loan "&amp;H$3&amp;"'!$C$26"),"")</f>
        <v/>
      </c>
      <c r="I31" s="28" t="str" cm="1">
        <f t="array" aca="1" ref="I31" ca="1">IF($R$66&gt;=I$3,INDIRECT("'Loan "&amp;I$3&amp;"'!$C$26"),"")</f>
        <v/>
      </c>
      <c r="J31" s="28" t="str" cm="1">
        <f t="array" aca="1" ref="J31" ca="1">IF($R$66&gt;=J$3,INDIRECT("'Loan "&amp;J$3&amp;"'!$C$26"),"")</f>
        <v/>
      </c>
      <c r="K31" s="28" t="str" cm="1">
        <f t="array" aca="1" ref="K31" ca="1">IF($R$66&gt;=K$3,INDIRECT("'Loan "&amp;K$3&amp;"'!$C$26"),"")</f>
        <v/>
      </c>
      <c r="L31" s="28" t="str" cm="1">
        <f t="array" aca="1" ref="L31" ca="1">IF($R$66&gt;=L$3,INDIRECT("'Loan "&amp;L$3&amp;"'!$C$26"),"")</f>
        <v/>
      </c>
      <c r="M31" s="28" t="str" cm="1">
        <f t="array" aca="1" ref="M31" ca="1">IF($R$66&gt;=M$3,INDIRECT("'Loan "&amp;M$3&amp;"'!$C$26"),"")</f>
        <v/>
      </c>
      <c r="N31" s="28" t="str" cm="1">
        <f t="array" aca="1" ref="N31" ca="1">IF($R$66&gt;=N$3,INDIRECT("'Loan "&amp;N$3&amp;"'!$C$26"),"")</f>
        <v/>
      </c>
      <c r="O31" s="28" t="str" cm="1">
        <f t="array" aca="1" ref="O31" ca="1">IF($R$66&gt;=O$3,INDIRECT("'Loan "&amp;O$3&amp;"'!$C$26"),"")</f>
        <v/>
      </c>
      <c r="P31" s="28" t="str" cm="1">
        <f t="array" aca="1" ref="P31" ca="1">IF($R$66&gt;=P$3,INDIRECT("'Loan "&amp;P$3&amp;"'!$C$26"),"")</f>
        <v/>
      </c>
      <c r="Q31" s="28" t="str" cm="1">
        <f t="array" aca="1" ref="Q31" ca="1">IF($R$66&gt;=Q$3,INDIRECT("'Loan "&amp;Q$3&amp;"'!$C$26"),"")</f>
        <v/>
      </c>
    </row>
    <row r="32" spans="1:17" x14ac:dyDescent="0.25">
      <c r="A32" s="7" t="s">
        <v>1219</v>
      </c>
      <c r="B32" s="49" t="s">
        <v>1402</v>
      </c>
      <c r="C32" s="28" cm="1">
        <f t="array" aca="1" ref="C32" ca="1">IF($R$66&gt;=C$3,INDIRECT("'Loan "&amp;C$3&amp;"'!$B$27"),"")</f>
        <v>0</v>
      </c>
      <c r="D32" s="28" t="str" cm="1">
        <f t="array" aca="1" ref="D32" ca="1">IF($R$66&gt;=D$3,INDIRECT("'Loan "&amp;D$3&amp;"'!$B$27"),"")</f>
        <v/>
      </c>
      <c r="E32" s="28" t="str" cm="1">
        <f t="array" aca="1" ref="E32" ca="1">IF($R$66&gt;=E$3,INDIRECT("'Loan "&amp;E$3&amp;"'!$B$27"),"")</f>
        <v/>
      </c>
      <c r="F32" s="28" t="str" cm="1">
        <f t="array" aca="1" ref="F32" ca="1">IF($R$66&gt;=F$3,INDIRECT("'Loan "&amp;F$3&amp;"'!$B$27"),"")</f>
        <v/>
      </c>
      <c r="G32" s="28" t="str" cm="1">
        <f t="array" aca="1" ref="G32" ca="1">IF($R$66&gt;=G$3,INDIRECT("'Loan "&amp;G$3&amp;"'!$B$27"),"")</f>
        <v/>
      </c>
      <c r="H32" s="28" t="str" cm="1">
        <f t="array" aca="1" ref="H32" ca="1">IF($R$66&gt;=H$3,INDIRECT("'Loan "&amp;H$3&amp;"'!$B$27"),"")</f>
        <v/>
      </c>
      <c r="I32" s="28" t="str" cm="1">
        <f t="array" aca="1" ref="I32" ca="1">IF($R$66&gt;=I$3,INDIRECT("'Loan "&amp;I$3&amp;"'!$B$27"),"")</f>
        <v/>
      </c>
      <c r="J32" s="28" t="str" cm="1">
        <f t="array" aca="1" ref="J32" ca="1">IF($R$66&gt;=J$3,INDIRECT("'Loan "&amp;J$3&amp;"'!$B$27"),"")</f>
        <v/>
      </c>
      <c r="K32" s="28" t="str" cm="1">
        <f t="array" aca="1" ref="K32" ca="1">IF($R$66&gt;=K$3,INDIRECT("'Loan "&amp;K$3&amp;"'!$B$27"),"")</f>
        <v/>
      </c>
      <c r="L32" s="28" t="str" cm="1">
        <f t="array" aca="1" ref="L32" ca="1">IF($R$66&gt;=L$3,INDIRECT("'Loan "&amp;L$3&amp;"'!$B$27"),"")</f>
        <v/>
      </c>
      <c r="M32" s="28" t="str" cm="1">
        <f t="array" aca="1" ref="M32" ca="1">IF($R$66&gt;=M$3,INDIRECT("'Loan "&amp;M$3&amp;"'!$B$27"),"")</f>
        <v/>
      </c>
      <c r="N32" s="28" t="str" cm="1">
        <f t="array" aca="1" ref="N32" ca="1">IF($R$66&gt;=N$3,INDIRECT("'Loan "&amp;N$3&amp;"'!$B$27"),"")</f>
        <v/>
      </c>
      <c r="O32" s="28" t="str" cm="1">
        <f t="array" aca="1" ref="O32" ca="1">IF($R$66&gt;=O$3,INDIRECT("'Loan "&amp;O$3&amp;"'!$B$27"),"")</f>
        <v/>
      </c>
      <c r="P32" s="28" t="str" cm="1">
        <f t="array" aca="1" ref="P32" ca="1">IF($R$66&gt;=P$3,INDIRECT("'Loan "&amp;P$3&amp;"'!$B$27"),"")</f>
        <v/>
      </c>
      <c r="Q32" s="28" t="str" cm="1">
        <f t="array" aca="1" ref="Q32" ca="1">IF($R$66&gt;=Q$3,INDIRECT("'Loan "&amp;Q$3&amp;"'!$B$27"),"")</f>
        <v/>
      </c>
    </row>
    <row r="33" spans="1:18" x14ac:dyDescent="0.25">
      <c r="A33" s="7" t="s">
        <v>1221</v>
      </c>
      <c r="B33" s="49" t="s">
        <v>1403</v>
      </c>
      <c r="C33" s="28" cm="1">
        <f t="array" aca="1" ref="C33" ca="1">IF($R$66&gt;=C$3,INDIRECT("'Loan "&amp;C$3&amp;"'!$C$27"),"")</f>
        <v>0</v>
      </c>
      <c r="D33" s="28" t="str" cm="1">
        <f t="array" aca="1" ref="D33" ca="1">IF($R$66&gt;=D$3,INDIRECT("'Loan "&amp;D$3&amp;"'!$C$27"),"")</f>
        <v/>
      </c>
      <c r="E33" s="28" t="str" cm="1">
        <f t="array" aca="1" ref="E33" ca="1">IF($R$66&gt;=E$3,INDIRECT("'Loan "&amp;E$3&amp;"'!$C$27"),"")</f>
        <v/>
      </c>
      <c r="F33" s="28" t="str" cm="1">
        <f t="array" aca="1" ref="F33" ca="1">IF($R$66&gt;=F$3,INDIRECT("'Loan "&amp;F$3&amp;"'!$C$27"),"")</f>
        <v/>
      </c>
      <c r="G33" s="28" t="str" cm="1">
        <f t="array" aca="1" ref="G33" ca="1">IF($R$66&gt;=G$3,INDIRECT("'Loan "&amp;G$3&amp;"'!$C$27"),"")</f>
        <v/>
      </c>
      <c r="H33" s="28" t="str" cm="1">
        <f t="array" aca="1" ref="H33" ca="1">IF($R$66&gt;=H$3,INDIRECT("'Loan "&amp;H$3&amp;"'!$C$27"),"")</f>
        <v/>
      </c>
      <c r="I33" s="28" t="str" cm="1">
        <f t="array" aca="1" ref="I33" ca="1">IF($R$66&gt;=I$3,INDIRECT("'Loan "&amp;I$3&amp;"'!$C$27"),"")</f>
        <v/>
      </c>
      <c r="J33" s="28" t="str" cm="1">
        <f t="array" aca="1" ref="J33" ca="1">IF($R$66&gt;=J$3,INDIRECT("'Loan "&amp;J$3&amp;"'!$C$27"),"")</f>
        <v/>
      </c>
      <c r="K33" s="28" t="str" cm="1">
        <f t="array" aca="1" ref="K33" ca="1">IF($R$66&gt;=K$3,INDIRECT("'Loan "&amp;K$3&amp;"'!$C$27"),"")</f>
        <v/>
      </c>
      <c r="L33" s="28" t="str" cm="1">
        <f t="array" aca="1" ref="L33" ca="1">IF($R$66&gt;=L$3,INDIRECT("'Loan "&amp;L$3&amp;"'!$C$27"),"")</f>
        <v/>
      </c>
      <c r="M33" s="28" t="str" cm="1">
        <f t="array" aca="1" ref="M33" ca="1">IF($R$66&gt;=M$3,INDIRECT("'Loan "&amp;M$3&amp;"'!$C$27"),"")</f>
        <v/>
      </c>
      <c r="N33" s="28" t="str" cm="1">
        <f t="array" aca="1" ref="N33" ca="1">IF($R$66&gt;=N$3,INDIRECT("'Loan "&amp;N$3&amp;"'!$C$27"),"")</f>
        <v/>
      </c>
      <c r="O33" s="28" t="str" cm="1">
        <f t="array" aca="1" ref="O33" ca="1">IF($R$66&gt;=O$3,INDIRECT("'Loan "&amp;O$3&amp;"'!$C$27"),"")</f>
        <v/>
      </c>
      <c r="P33" s="28" t="str" cm="1">
        <f t="array" aca="1" ref="P33" ca="1">IF($R$66&gt;=P$3,INDIRECT("'Loan "&amp;P$3&amp;"'!$C$27"),"")</f>
        <v/>
      </c>
      <c r="Q33" s="28" t="str" cm="1">
        <f t="array" aca="1" ref="Q33" ca="1">IF($R$66&gt;=Q$3,INDIRECT("'Loan "&amp;Q$3&amp;"'!$C$27"),"")</f>
        <v/>
      </c>
    </row>
    <row r="34" spans="1:18" x14ac:dyDescent="0.25">
      <c r="A34" s="7" t="s">
        <v>1223</v>
      </c>
      <c r="B34" s="49" t="s">
        <v>1404</v>
      </c>
      <c r="C34" s="28" cm="1">
        <f t="array" aca="1" ref="C34" ca="1">IF($R$66&gt;=C$3,INDIRECT("'Loan "&amp;C$3&amp;"'!$B$28"),"")</f>
        <v>0</v>
      </c>
      <c r="D34" s="28" t="str" cm="1">
        <f t="array" aca="1" ref="D34" ca="1">IF($R$66&gt;=D$3,INDIRECT("'Loan "&amp;D$3&amp;"'!$B$28"),"")</f>
        <v/>
      </c>
      <c r="E34" s="28" t="str" cm="1">
        <f t="array" aca="1" ref="E34" ca="1">IF($R$66&gt;=E$3,INDIRECT("'Loan "&amp;E$3&amp;"'!$B$28"),"")</f>
        <v/>
      </c>
      <c r="F34" s="28" t="str" cm="1">
        <f t="array" aca="1" ref="F34" ca="1">IF($R$66&gt;=F$3,INDIRECT("'Loan "&amp;F$3&amp;"'!$B$28"),"")</f>
        <v/>
      </c>
      <c r="G34" s="28" t="str" cm="1">
        <f t="array" aca="1" ref="G34" ca="1">IF($R$66&gt;=G$3,INDIRECT("'Loan "&amp;G$3&amp;"'!$B$28"),"")</f>
        <v/>
      </c>
      <c r="H34" s="28" t="str" cm="1">
        <f t="array" aca="1" ref="H34" ca="1">IF($R$66&gt;=H$3,INDIRECT("'Loan "&amp;H$3&amp;"'!$B$28"),"")</f>
        <v/>
      </c>
      <c r="I34" s="28" t="str" cm="1">
        <f t="array" aca="1" ref="I34" ca="1">IF($R$66&gt;=I$3,INDIRECT("'Loan "&amp;I$3&amp;"'!$B$28"),"")</f>
        <v/>
      </c>
      <c r="J34" s="28" t="str" cm="1">
        <f t="array" aca="1" ref="J34" ca="1">IF($R$66&gt;=J$3,INDIRECT("'Loan "&amp;J$3&amp;"'!$B$28"),"")</f>
        <v/>
      </c>
      <c r="K34" s="28" t="str" cm="1">
        <f t="array" aca="1" ref="K34" ca="1">IF($R$66&gt;=K$3,INDIRECT("'Loan "&amp;K$3&amp;"'!$B$28"),"")</f>
        <v/>
      </c>
      <c r="L34" s="28" t="str" cm="1">
        <f t="array" aca="1" ref="L34" ca="1">IF($R$66&gt;=L$3,INDIRECT("'Loan "&amp;L$3&amp;"'!$B$28"),"")</f>
        <v/>
      </c>
      <c r="M34" s="28" t="str" cm="1">
        <f t="array" aca="1" ref="M34" ca="1">IF($R$66&gt;=M$3,INDIRECT("'Loan "&amp;M$3&amp;"'!$B$28"),"")</f>
        <v/>
      </c>
      <c r="N34" s="28" t="str" cm="1">
        <f t="array" aca="1" ref="N34" ca="1">IF($R$66&gt;=N$3,INDIRECT("'Loan "&amp;N$3&amp;"'!$B$28"),"")</f>
        <v/>
      </c>
      <c r="O34" s="28" t="str" cm="1">
        <f t="array" aca="1" ref="O34" ca="1">IF($R$66&gt;=O$3,INDIRECT("'Loan "&amp;O$3&amp;"'!$B$28"),"")</f>
        <v/>
      </c>
      <c r="P34" s="28" t="str" cm="1">
        <f t="array" aca="1" ref="P34" ca="1">IF($R$66&gt;=P$3,INDIRECT("'Loan "&amp;P$3&amp;"'!$B$28"),"")</f>
        <v/>
      </c>
      <c r="Q34" s="28" t="str" cm="1">
        <f t="array" aca="1" ref="Q34" ca="1">IF($R$66&gt;=Q$3,INDIRECT("'Loan "&amp;Q$3&amp;"'!$B$28"),"")</f>
        <v/>
      </c>
    </row>
    <row r="35" spans="1:18" x14ac:dyDescent="0.25">
      <c r="A35" s="7" t="s">
        <v>1225</v>
      </c>
      <c r="B35" s="49" t="s">
        <v>1405</v>
      </c>
      <c r="C35" s="28" cm="1">
        <f t="array" aca="1" ref="C35" ca="1">IF($R$66&gt;=C$3,INDIRECT("'Loan "&amp;C$3&amp;"'!$C$28"),"")</f>
        <v>0</v>
      </c>
      <c r="D35" s="28" t="str" cm="1">
        <f t="array" aca="1" ref="D35" ca="1">IF($R$66&gt;=D$3,INDIRECT("'Loan "&amp;D$3&amp;"'!$C$28"),"")</f>
        <v/>
      </c>
      <c r="E35" s="28" t="str" cm="1">
        <f t="array" aca="1" ref="E35" ca="1">IF($R$66&gt;=E$3,INDIRECT("'Loan "&amp;E$3&amp;"'!$C$28"),"")</f>
        <v/>
      </c>
      <c r="F35" s="28" t="str" cm="1">
        <f t="array" aca="1" ref="F35" ca="1">IF($R$66&gt;=F$3,INDIRECT("'Loan "&amp;F$3&amp;"'!$C$28"),"")</f>
        <v/>
      </c>
      <c r="G35" s="28" t="str" cm="1">
        <f t="array" aca="1" ref="G35" ca="1">IF($R$66&gt;=G$3,INDIRECT("'Loan "&amp;G$3&amp;"'!$C$28"),"")</f>
        <v/>
      </c>
      <c r="H35" s="28" t="str" cm="1">
        <f t="array" aca="1" ref="H35" ca="1">IF($R$66&gt;=H$3,INDIRECT("'Loan "&amp;H$3&amp;"'!$C$28"),"")</f>
        <v/>
      </c>
      <c r="I35" s="28" t="str" cm="1">
        <f t="array" aca="1" ref="I35" ca="1">IF($R$66&gt;=I$3,INDIRECT("'Loan "&amp;I$3&amp;"'!$C$28"),"")</f>
        <v/>
      </c>
      <c r="J35" s="28" t="str" cm="1">
        <f t="array" aca="1" ref="J35" ca="1">IF($R$66&gt;=J$3,INDIRECT("'Loan "&amp;J$3&amp;"'!$C$28"),"")</f>
        <v/>
      </c>
      <c r="K35" s="28" t="str" cm="1">
        <f t="array" aca="1" ref="K35" ca="1">IF($R$66&gt;=K$3,INDIRECT("'Loan "&amp;K$3&amp;"'!$C$28"),"")</f>
        <v/>
      </c>
      <c r="L35" s="28" t="str" cm="1">
        <f t="array" aca="1" ref="L35" ca="1">IF($R$66&gt;=L$3,INDIRECT("'Loan "&amp;L$3&amp;"'!$C$28"),"")</f>
        <v/>
      </c>
      <c r="M35" s="28" t="str" cm="1">
        <f t="array" aca="1" ref="M35" ca="1">IF($R$66&gt;=M$3,INDIRECT("'Loan "&amp;M$3&amp;"'!$C$28"),"")</f>
        <v/>
      </c>
      <c r="N35" s="28" t="str" cm="1">
        <f t="array" aca="1" ref="N35" ca="1">IF($R$66&gt;=N$3,INDIRECT("'Loan "&amp;N$3&amp;"'!$C$28"),"")</f>
        <v/>
      </c>
      <c r="O35" s="28" t="str" cm="1">
        <f t="array" aca="1" ref="O35" ca="1">IF($R$66&gt;=O$3,INDIRECT("'Loan "&amp;O$3&amp;"'!$C$28"),"")</f>
        <v/>
      </c>
      <c r="P35" s="28" t="str" cm="1">
        <f t="array" aca="1" ref="P35" ca="1">IF($R$66&gt;=P$3,INDIRECT("'Loan "&amp;P$3&amp;"'!$C$28"),"")</f>
        <v/>
      </c>
      <c r="Q35" s="28" t="str" cm="1">
        <f t="array" aca="1" ref="Q35" ca="1">IF($R$66&gt;=Q$3,INDIRECT("'Loan "&amp;Q$3&amp;"'!$C$28"),"")</f>
        <v/>
      </c>
    </row>
    <row r="36" spans="1:18" x14ac:dyDescent="0.25">
      <c r="A36" s="33" t="s">
        <v>1227</v>
      </c>
      <c r="B36" s="36" t="s">
        <v>1406</v>
      </c>
      <c r="C36" s="35" cm="1">
        <f t="array" aca="1" ref="C36" ca="1">IF($R$66&gt;=C$3,INDIRECT("'Loan "&amp;C$3&amp;"'!$B$29"),"")</f>
        <v>0</v>
      </c>
      <c r="D36" s="35" t="str" cm="1">
        <f t="array" aca="1" ref="D36" ca="1">IF($R$66&gt;=D$3,INDIRECT("'Loan "&amp;D$3&amp;"'!$B$29"),"")</f>
        <v/>
      </c>
      <c r="E36" s="35" t="str" cm="1">
        <f t="array" aca="1" ref="E36" ca="1">IF($R$66&gt;=E$3,INDIRECT("'Loan "&amp;E$3&amp;"'!$B$29"),"")</f>
        <v/>
      </c>
      <c r="F36" s="35" t="str" cm="1">
        <f t="array" aca="1" ref="F36" ca="1">IF($R$66&gt;=F$3,INDIRECT("'Loan "&amp;F$3&amp;"'!$B$29"),"")</f>
        <v/>
      </c>
      <c r="G36" s="35" t="str" cm="1">
        <f t="array" aca="1" ref="G36" ca="1">IF($R$66&gt;=G$3,INDIRECT("'Loan "&amp;G$3&amp;"'!$B$29"),"")</f>
        <v/>
      </c>
      <c r="H36" s="35" t="str" cm="1">
        <f t="array" aca="1" ref="H36" ca="1">IF($R$66&gt;=H$3,INDIRECT("'Loan "&amp;H$3&amp;"'!$B$29"),"")</f>
        <v/>
      </c>
      <c r="I36" s="35" t="str" cm="1">
        <f t="array" aca="1" ref="I36" ca="1">IF($R$66&gt;=I$3,INDIRECT("'Loan "&amp;I$3&amp;"'!$B$29"),"")</f>
        <v/>
      </c>
      <c r="J36" s="35" t="str" cm="1">
        <f t="array" aca="1" ref="J36" ca="1">IF($R$66&gt;=J$3,INDIRECT("'Loan "&amp;J$3&amp;"'!$B$29"),"")</f>
        <v/>
      </c>
      <c r="K36" s="35" t="str" cm="1">
        <f t="array" aca="1" ref="K36" ca="1">IF($R$66&gt;=K$3,INDIRECT("'Loan "&amp;K$3&amp;"'!$B$29"),"")</f>
        <v/>
      </c>
      <c r="L36" s="35" t="str" cm="1">
        <f t="array" aca="1" ref="L36" ca="1">IF($R$66&gt;=L$3,INDIRECT("'Loan "&amp;L$3&amp;"'!$B$29"),"")</f>
        <v/>
      </c>
      <c r="M36" s="35" t="str" cm="1">
        <f t="array" aca="1" ref="M36" ca="1">IF($R$66&gt;=M$3,INDIRECT("'Loan "&amp;M$3&amp;"'!$B$29"),"")</f>
        <v/>
      </c>
      <c r="N36" s="35" t="str" cm="1">
        <f t="array" aca="1" ref="N36" ca="1">IF($R$66&gt;=N$3,INDIRECT("'Loan "&amp;N$3&amp;"'!$B$29"),"")</f>
        <v/>
      </c>
      <c r="O36" s="35" t="str" cm="1">
        <f t="array" aca="1" ref="O36" ca="1">IF($R$66&gt;=O$3,INDIRECT("'Loan "&amp;O$3&amp;"'!$B$29"),"")</f>
        <v/>
      </c>
      <c r="P36" s="35" t="str" cm="1">
        <f t="array" aca="1" ref="P36" ca="1">IF($R$66&gt;=P$3,INDIRECT("'Loan "&amp;P$3&amp;"'!$B$29"),"")</f>
        <v/>
      </c>
      <c r="Q36" s="35" t="str" cm="1">
        <f t="array" aca="1" ref="Q36" ca="1">IF($R$66&gt;=Q$3,INDIRECT("'Loan "&amp;Q$3&amp;"'!$B$29"),"")</f>
        <v/>
      </c>
    </row>
    <row r="37" spans="1:18" x14ac:dyDescent="0.25">
      <c r="A37" s="33" t="s">
        <v>1229</v>
      </c>
      <c r="B37" s="36" t="s">
        <v>1407</v>
      </c>
      <c r="C37" s="35" cm="1">
        <f t="array" aca="1" ref="C37" ca="1">IF($R$66&gt;=C$3,INDIRECT("'Loan "&amp;C$3&amp;"'!$C$29"),"")</f>
        <v>0</v>
      </c>
      <c r="D37" s="35" t="str" cm="1">
        <f t="array" aca="1" ref="D37" ca="1">IF($R$66&gt;=D$3,INDIRECT("'Loan "&amp;D$3&amp;"'!$C$29"),"")</f>
        <v/>
      </c>
      <c r="E37" s="35" t="str" cm="1">
        <f t="array" aca="1" ref="E37" ca="1">IF($R$66&gt;=E$3,INDIRECT("'Loan "&amp;E$3&amp;"'!$C$29"),"")</f>
        <v/>
      </c>
      <c r="F37" s="35" t="str" cm="1">
        <f t="array" aca="1" ref="F37" ca="1">IF($R$66&gt;=F$3,INDIRECT("'Loan "&amp;F$3&amp;"'!$C$29"),"")</f>
        <v/>
      </c>
      <c r="G37" s="35" t="str" cm="1">
        <f t="array" aca="1" ref="G37" ca="1">IF($R$66&gt;=G$3,INDIRECT("'Loan "&amp;G$3&amp;"'!$C$29"),"")</f>
        <v/>
      </c>
      <c r="H37" s="35" t="str" cm="1">
        <f t="array" aca="1" ref="H37" ca="1">IF($R$66&gt;=H$3,INDIRECT("'Loan "&amp;H$3&amp;"'!$C$29"),"")</f>
        <v/>
      </c>
      <c r="I37" s="35" t="str" cm="1">
        <f t="array" aca="1" ref="I37" ca="1">IF($R$66&gt;=I$3,INDIRECT("'Loan "&amp;I$3&amp;"'!$C$29"),"")</f>
        <v/>
      </c>
      <c r="J37" s="35" t="str" cm="1">
        <f t="array" aca="1" ref="J37" ca="1">IF($R$66&gt;=J$3,INDIRECT("'Loan "&amp;J$3&amp;"'!$C$29"),"")</f>
        <v/>
      </c>
      <c r="K37" s="35" t="str" cm="1">
        <f t="array" aca="1" ref="K37" ca="1">IF($R$66&gt;=K$3,INDIRECT("'Loan "&amp;K$3&amp;"'!$C$29"),"")</f>
        <v/>
      </c>
      <c r="L37" s="35" t="str" cm="1">
        <f t="array" aca="1" ref="L37" ca="1">IF($R$66&gt;=L$3,INDIRECT("'Loan "&amp;L$3&amp;"'!$C$29"),"")</f>
        <v/>
      </c>
      <c r="M37" s="35" t="str" cm="1">
        <f t="array" aca="1" ref="M37" ca="1">IF($R$66&gt;=M$3,INDIRECT("'Loan "&amp;M$3&amp;"'!$C$29"),"")</f>
        <v/>
      </c>
      <c r="N37" s="35" t="str" cm="1">
        <f t="array" aca="1" ref="N37" ca="1">IF($R$66&gt;=N$3,INDIRECT("'Loan "&amp;N$3&amp;"'!$C$29"),"")</f>
        <v/>
      </c>
      <c r="O37" s="35" t="str" cm="1">
        <f t="array" aca="1" ref="O37" ca="1">IF($R$66&gt;=O$3,INDIRECT("'Loan "&amp;O$3&amp;"'!$C$29"),"")</f>
        <v/>
      </c>
      <c r="P37" s="35" t="str" cm="1">
        <f t="array" aca="1" ref="P37" ca="1">IF($R$66&gt;=P$3,INDIRECT("'Loan "&amp;P$3&amp;"'!$C$29"),"")</f>
        <v/>
      </c>
      <c r="Q37" s="35" t="str" cm="1">
        <f t="array" aca="1" ref="Q37" ca="1">IF($R$66&gt;=Q$3,INDIRECT("'Loan "&amp;Q$3&amp;"'!$C$29"),"")</f>
        <v/>
      </c>
    </row>
    <row r="38" spans="1:18" x14ac:dyDescent="0.25">
      <c r="A38" s="33" t="s">
        <v>1231</v>
      </c>
      <c r="B38" s="36" t="s">
        <v>1408</v>
      </c>
      <c r="C38" s="35" cm="1">
        <f t="array" aca="1" ref="C38" ca="1">IF($R$66&gt;=C$3,INDIRECT("'Loan "&amp;C$3&amp;"'!$B$30"),"")</f>
        <v>40173</v>
      </c>
      <c r="D38" s="35" t="str" cm="1">
        <f t="array" aca="1" ref="D38" ca="1">IF($R$66&gt;=D$3,INDIRECT("'Loan "&amp;D$3&amp;"'!$B$30"),"")</f>
        <v/>
      </c>
      <c r="E38" s="35" t="str" cm="1">
        <f t="array" aca="1" ref="E38" ca="1">IF($R$66&gt;=E$3,INDIRECT("'Loan "&amp;E$3&amp;"'!$B$30"),"")</f>
        <v/>
      </c>
      <c r="F38" s="35" t="str" cm="1">
        <f t="array" aca="1" ref="F38" ca="1">IF($R$66&gt;=F$3,INDIRECT("'Loan "&amp;F$3&amp;"'!$B$30"),"")</f>
        <v/>
      </c>
      <c r="G38" s="35" t="str" cm="1">
        <f t="array" aca="1" ref="G38" ca="1">IF($R$66&gt;=G$3,INDIRECT("'Loan "&amp;G$3&amp;"'!$B$30"),"")</f>
        <v/>
      </c>
      <c r="H38" s="35" t="str" cm="1">
        <f t="array" aca="1" ref="H38" ca="1">IF($R$66&gt;=H$3,INDIRECT("'Loan "&amp;H$3&amp;"'!$B$30"),"")</f>
        <v/>
      </c>
      <c r="I38" s="35" t="str" cm="1">
        <f t="array" aca="1" ref="I38" ca="1">IF($R$66&gt;=I$3,INDIRECT("'Loan "&amp;I$3&amp;"'!$B$30"),"")</f>
        <v/>
      </c>
      <c r="J38" s="35" t="str" cm="1">
        <f t="array" aca="1" ref="J38" ca="1">IF($R$66&gt;=J$3,INDIRECT("'Loan "&amp;J$3&amp;"'!$B$30"),"")</f>
        <v/>
      </c>
      <c r="K38" s="35" t="str" cm="1">
        <f t="array" aca="1" ref="K38" ca="1">IF($R$66&gt;=K$3,INDIRECT("'Loan "&amp;K$3&amp;"'!$B$30"),"")</f>
        <v/>
      </c>
      <c r="L38" s="35" t="str" cm="1">
        <f t="array" aca="1" ref="L38" ca="1">IF($R$66&gt;=L$3,INDIRECT("'Loan "&amp;L$3&amp;"'!$B$30"),"")</f>
        <v/>
      </c>
      <c r="M38" s="35" t="str" cm="1">
        <f t="array" aca="1" ref="M38" ca="1">IF($R$66&gt;=M$3,INDIRECT("'Loan "&amp;M$3&amp;"'!$B$30"),"")</f>
        <v/>
      </c>
      <c r="N38" s="35" t="str" cm="1">
        <f t="array" aca="1" ref="N38" ca="1">IF($R$66&gt;=N$3,INDIRECT("'Loan "&amp;N$3&amp;"'!$B$30"),"")</f>
        <v/>
      </c>
      <c r="O38" s="35" t="str" cm="1">
        <f t="array" aca="1" ref="O38" ca="1">IF($R$66&gt;=O$3,INDIRECT("'Loan "&amp;O$3&amp;"'!$B$30"),"")</f>
        <v/>
      </c>
      <c r="P38" s="35" t="str" cm="1">
        <f t="array" aca="1" ref="P38" ca="1">IF($R$66&gt;=P$3,INDIRECT("'Loan "&amp;P$3&amp;"'!$B$30"),"")</f>
        <v/>
      </c>
      <c r="Q38" s="35" t="str" cm="1">
        <f t="array" aca="1" ref="Q38" ca="1">IF($R$66&gt;=Q$3,INDIRECT("'Loan "&amp;Q$3&amp;"'!$B$30"),"")</f>
        <v/>
      </c>
    </row>
    <row r="39" spans="1:18" x14ac:dyDescent="0.25">
      <c r="A39" s="33" t="s">
        <v>1233</v>
      </c>
      <c r="B39" s="36" t="s">
        <v>1409</v>
      </c>
      <c r="C39" s="35" cm="1">
        <f t="array" aca="1" ref="C39" ca="1">IF($R$66&gt;=C$3,INDIRECT("'Loan "&amp;C$3&amp;"'!$C$30"),"")</f>
        <v>40173</v>
      </c>
      <c r="D39" s="35" t="str" cm="1">
        <f t="array" aca="1" ref="D39" ca="1">IF($R$66&gt;=D$3,INDIRECT("'Loan "&amp;D$3&amp;"'!$C$30"),"")</f>
        <v/>
      </c>
      <c r="E39" s="35" t="str" cm="1">
        <f t="array" aca="1" ref="E39" ca="1">IF($R$66&gt;=E$3,INDIRECT("'Loan "&amp;E$3&amp;"'!$C$30"),"")</f>
        <v/>
      </c>
      <c r="F39" s="35" t="str" cm="1">
        <f t="array" aca="1" ref="F39" ca="1">IF($R$66&gt;=F$3,INDIRECT("'Loan "&amp;F$3&amp;"'!$C$30"),"")</f>
        <v/>
      </c>
      <c r="G39" s="35" t="str" cm="1">
        <f t="array" aca="1" ref="G39" ca="1">IF($R$66&gt;=G$3,INDIRECT("'Loan "&amp;G$3&amp;"'!$C$30"),"")</f>
        <v/>
      </c>
      <c r="H39" s="35" t="str" cm="1">
        <f t="array" aca="1" ref="H39" ca="1">IF($R$66&gt;=H$3,INDIRECT("'Loan "&amp;H$3&amp;"'!$C$30"),"")</f>
        <v/>
      </c>
      <c r="I39" s="35" t="str" cm="1">
        <f t="array" aca="1" ref="I39" ca="1">IF($R$66&gt;=I$3,INDIRECT("'Loan "&amp;I$3&amp;"'!$C$30"),"")</f>
        <v/>
      </c>
      <c r="J39" s="35" t="str" cm="1">
        <f t="array" aca="1" ref="J39" ca="1">IF($R$66&gt;=J$3,INDIRECT("'Loan "&amp;J$3&amp;"'!$C$30"),"")</f>
        <v/>
      </c>
      <c r="K39" s="35" t="str" cm="1">
        <f t="array" aca="1" ref="K39" ca="1">IF($R$66&gt;=K$3,INDIRECT("'Loan "&amp;K$3&amp;"'!$C$30"),"")</f>
        <v/>
      </c>
      <c r="L39" s="35" t="str" cm="1">
        <f t="array" aca="1" ref="L39" ca="1">IF($R$66&gt;=L$3,INDIRECT("'Loan "&amp;L$3&amp;"'!$C$30"),"")</f>
        <v/>
      </c>
      <c r="M39" s="35" t="str" cm="1">
        <f t="array" aca="1" ref="M39" ca="1">IF($R$66&gt;=M$3,INDIRECT("'Loan "&amp;M$3&amp;"'!$C$30"),"")</f>
        <v/>
      </c>
      <c r="N39" s="35" t="str" cm="1">
        <f t="array" aca="1" ref="N39" ca="1">IF($R$66&gt;=N$3,INDIRECT("'Loan "&amp;N$3&amp;"'!$C$30"),"")</f>
        <v/>
      </c>
      <c r="O39" s="35" t="str" cm="1">
        <f t="array" aca="1" ref="O39" ca="1">IF($R$66&gt;=O$3,INDIRECT("'Loan "&amp;O$3&amp;"'!$C$30"),"")</f>
        <v/>
      </c>
      <c r="P39" s="35" t="str" cm="1">
        <f t="array" aca="1" ref="P39" ca="1">IF($R$66&gt;=P$3,INDIRECT("'Loan "&amp;P$3&amp;"'!$C$30"),"")</f>
        <v/>
      </c>
      <c r="Q39" s="35" t="str" cm="1">
        <f t="array" aca="1" ref="Q39" ca="1">IF($R$66&gt;=Q$3,INDIRECT("'Loan "&amp;Q$3&amp;"'!$C$30"),"")</f>
        <v/>
      </c>
    </row>
    <row r="40" spans="1:18" x14ac:dyDescent="0.25">
      <c r="A40" s="7" t="s">
        <v>1237</v>
      </c>
      <c r="B40" s="49" t="s">
        <v>1410</v>
      </c>
      <c r="C40" s="28" cm="1">
        <f t="array" aca="1" ref="C40" ca="1">IF($R$66&gt;=C$3,INDIRECT("'Loan "&amp;C$3&amp;"'!$B$31"),"")</f>
        <v>0</v>
      </c>
      <c r="D40" s="28" t="str" cm="1">
        <f t="array" aca="1" ref="D40" ca="1">IF($R$66&gt;=D$3,INDIRECT("'Loan "&amp;D$3&amp;"'!$B$31"),"")</f>
        <v/>
      </c>
      <c r="E40" s="28" t="str" cm="1">
        <f t="array" aca="1" ref="E40" ca="1">IF($R$66&gt;=E$3,INDIRECT("'Loan "&amp;E$3&amp;"'!$B$31"),"")</f>
        <v/>
      </c>
      <c r="F40" s="28" t="str" cm="1">
        <f t="array" aca="1" ref="F40" ca="1">IF($R$66&gt;=F$3,INDIRECT("'Loan "&amp;F$3&amp;"'!$B$31"),"")</f>
        <v/>
      </c>
      <c r="G40" s="28" t="str" cm="1">
        <f t="array" aca="1" ref="G40" ca="1">IF($R$66&gt;=G$3,INDIRECT("'Loan "&amp;G$3&amp;"'!$B$31"),"")</f>
        <v/>
      </c>
      <c r="H40" s="28" t="str" cm="1">
        <f t="array" aca="1" ref="H40" ca="1">IF($R$66&gt;=H$3,INDIRECT("'Loan "&amp;H$3&amp;"'!$B$31"),"")</f>
        <v/>
      </c>
      <c r="I40" s="28" t="str" cm="1">
        <f t="array" aca="1" ref="I40" ca="1">IF($R$66&gt;=I$3,INDIRECT("'Loan "&amp;I$3&amp;"'!$B$31"),"")</f>
        <v/>
      </c>
      <c r="J40" s="28" t="str" cm="1">
        <f t="array" aca="1" ref="J40" ca="1">IF($R$66&gt;=J$3,INDIRECT("'Loan "&amp;J$3&amp;"'!$B$31"),"")</f>
        <v/>
      </c>
      <c r="K40" s="28" t="str" cm="1">
        <f t="array" aca="1" ref="K40" ca="1">IF($R$66&gt;=K$3,INDIRECT("'Loan "&amp;K$3&amp;"'!$B$31"),"")</f>
        <v/>
      </c>
      <c r="L40" s="28" t="str" cm="1">
        <f t="array" aca="1" ref="L40" ca="1">IF($R$66&gt;=L$3,INDIRECT("'Loan "&amp;L$3&amp;"'!$B$31"),"")</f>
        <v/>
      </c>
      <c r="M40" s="28" t="str" cm="1">
        <f t="array" aca="1" ref="M40" ca="1">IF($R$66&gt;=M$3,INDIRECT("'Loan "&amp;M$3&amp;"'!$B$31"),"")</f>
        <v/>
      </c>
      <c r="N40" s="28" t="str" cm="1">
        <f t="array" aca="1" ref="N40" ca="1">IF($R$66&gt;=N$3,INDIRECT("'Loan "&amp;N$3&amp;"'!$B$31"),"")</f>
        <v/>
      </c>
      <c r="O40" s="28" t="str" cm="1">
        <f t="array" aca="1" ref="O40" ca="1">IF($R$66&gt;=O$3,INDIRECT("'Loan "&amp;O$3&amp;"'!$B$31"),"")</f>
        <v/>
      </c>
      <c r="P40" s="28" t="str" cm="1">
        <f t="array" aca="1" ref="P40" ca="1">IF($R$66&gt;=P$3,INDIRECT("'Loan "&amp;P$3&amp;"'!$B$31"),"")</f>
        <v/>
      </c>
      <c r="Q40" s="28" t="str" cm="1">
        <f t="array" aca="1" ref="Q40" ca="1">IF($R$66&gt;=Q$3,INDIRECT("'Loan "&amp;Q$3&amp;"'!$B$31"),"")</f>
        <v/>
      </c>
    </row>
    <row r="41" spans="1:18" x14ac:dyDescent="0.25">
      <c r="A41" s="7" t="s">
        <v>1235</v>
      </c>
      <c r="B41" s="49" t="s">
        <v>1411</v>
      </c>
      <c r="C41" s="28" cm="1">
        <f t="array" aca="1" ref="C41" ca="1">IF($R$66&gt;=C$3,INDIRECT("'Loan "&amp;C$3&amp;"'!$C$31"),"")</f>
        <v>0</v>
      </c>
      <c r="D41" s="28" t="str" cm="1">
        <f t="array" aca="1" ref="D41" ca="1">IF($R$66&gt;=D$3,INDIRECT("'Loan "&amp;D$3&amp;"'!$C$31"),"")</f>
        <v/>
      </c>
      <c r="E41" s="28" t="str" cm="1">
        <f t="array" aca="1" ref="E41" ca="1">IF($R$66&gt;=E$3,INDIRECT("'Loan "&amp;E$3&amp;"'!$C$31"),"")</f>
        <v/>
      </c>
      <c r="F41" s="28" t="str" cm="1">
        <f t="array" aca="1" ref="F41" ca="1">IF($R$66&gt;=F$3,INDIRECT("'Loan "&amp;F$3&amp;"'!$C$31"),"")</f>
        <v/>
      </c>
      <c r="G41" s="28" t="str" cm="1">
        <f t="array" aca="1" ref="G41" ca="1">IF($R$66&gt;=G$3,INDIRECT("'Loan "&amp;G$3&amp;"'!$C$31"),"")</f>
        <v/>
      </c>
      <c r="H41" s="28" t="str" cm="1">
        <f t="array" aca="1" ref="H41" ca="1">IF($R$66&gt;=H$3,INDIRECT("'Loan "&amp;H$3&amp;"'!$C$31"),"")</f>
        <v/>
      </c>
      <c r="I41" s="28" t="str" cm="1">
        <f t="array" aca="1" ref="I41" ca="1">IF($R$66&gt;=I$3,INDIRECT("'Loan "&amp;I$3&amp;"'!$C$31"),"")</f>
        <v/>
      </c>
      <c r="J41" s="28" t="str" cm="1">
        <f t="array" aca="1" ref="J41" ca="1">IF($R$66&gt;=J$3,INDIRECT("'Loan "&amp;J$3&amp;"'!$C$31"),"")</f>
        <v/>
      </c>
      <c r="K41" s="28" t="str" cm="1">
        <f t="array" aca="1" ref="K41" ca="1">IF($R$66&gt;=K$3,INDIRECT("'Loan "&amp;K$3&amp;"'!$C$31"),"")</f>
        <v/>
      </c>
      <c r="L41" s="28" t="str" cm="1">
        <f t="array" aca="1" ref="L41" ca="1">IF($R$66&gt;=L$3,INDIRECT("'Loan "&amp;L$3&amp;"'!$C$31"),"")</f>
        <v/>
      </c>
      <c r="M41" s="28" t="str" cm="1">
        <f t="array" aca="1" ref="M41" ca="1">IF($R$66&gt;=M$3,INDIRECT("'Loan "&amp;M$3&amp;"'!$C$31"),"")</f>
        <v/>
      </c>
      <c r="N41" s="28" t="str" cm="1">
        <f t="array" aca="1" ref="N41" ca="1">IF($R$66&gt;=N$3,INDIRECT("'Loan "&amp;N$3&amp;"'!$C$31"),"")</f>
        <v/>
      </c>
      <c r="O41" s="28" t="str" cm="1">
        <f t="array" aca="1" ref="O41" ca="1">IF($R$66&gt;=O$3,INDIRECT("'Loan "&amp;O$3&amp;"'!$C$31"),"")</f>
        <v/>
      </c>
      <c r="P41" s="28" t="str" cm="1">
        <f t="array" aca="1" ref="P41" ca="1">IF($R$66&gt;=P$3,INDIRECT("'Loan "&amp;P$3&amp;"'!$C$31"),"")</f>
        <v/>
      </c>
      <c r="Q41" s="28" t="str" cm="1">
        <f t="array" aca="1" ref="Q41" ca="1">IF($R$66&gt;=Q$3,INDIRECT("'Loan "&amp;Q$3&amp;"'!$C$31"),"")</f>
        <v/>
      </c>
    </row>
    <row r="42" spans="1:18" x14ac:dyDescent="0.25">
      <c r="A42" s="7" t="s">
        <v>1241</v>
      </c>
      <c r="B42" s="49" t="s">
        <v>1412</v>
      </c>
      <c r="C42" s="28" cm="1">
        <f t="array" aca="1" ref="C42" ca="1">IF($R$66&gt;=C$3,INDIRECT("'Loan "&amp;C$3&amp;"'!$B$32"),"")</f>
        <v>0</v>
      </c>
      <c r="D42" s="28" t="str" cm="1">
        <f t="array" aca="1" ref="D42" ca="1">IF($R$66&gt;=D$3,INDIRECT("'Loan "&amp;D$3&amp;"'!$B$32"),"")</f>
        <v/>
      </c>
      <c r="E42" s="28" t="str" cm="1">
        <f t="array" aca="1" ref="E42" ca="1">IF($R$66&gt;=E$3,INDIRECT("'Loan "&amp;E$3&amp;"'!$B$32"),"")</f>
        <v/>
      </c>
      <c r="F42" s="28" t="str" cm="1">
        <f t="array" aca="1" ref="F42" ca="1">IF($R$66&gt;=F$3,INDIRECT("'Loan "&amp;F$3&amp;"'!$B$32"),"")</f>
        <v/>
      </c>
      <c r="G42" s="28" t="str" cm="1">
        <f t="array" aca="1" ref="G42" ca="1">IF($R$66&gt;=G$3,INDIRECT("'Loan "&amp;G$3&amp;"'!$B$32"),"")</f>
        <v/>
      </c>
      <c r="H42" s="28" t="str" cm="1">
        <f t="array" aca="1" ref="H42" ca="1">IF($R$66&gt;=H$3,INDIRECT("'Loan "&amp;H$3&amp;"'!$B$32"),"")</f>
        <v/>
      </c>
      <c r="I42" s="28" t="str" cm="1">
        <f t="array" aca="1" ref="I42" ca="1">IF($R$66&gt;=I$3,INDIRECT("'Loan "&amp;I$3&amp;"'!$B$32"),"")</f>
        <v/>
      </c>
      <c r="J42" s="28" t="str" cm="1">
        <f t="array" aca="1" ref="J42" ca="1">IF($R$66&gt;=J$3,INDIRECT("'Loan "&amp;J$3&amp;"'!$B$32"),"")</f>
        <v/>
      </c>
      <c r="K42" s="28" t="str" cm="1">
        <f t="array" aca="1" ref="K42" ca="1">IF($R$66&gt;=K$3,INDIRECT("'Loan "&amp;K$3&amp;"'!$B$32"),"")</f>
        <v/>
      </c>
      <c r="L42" s="28" t="str" cm="1">
        <f t="array" aca="1" ref="L42" ca="1">IF($R$66&gt;=L$3,INDIRECT("'Loan "&amp;L$3&amp;"'!$B$32"),"")</f>
        <v/>
      </c>
      <c r="M42" s="28" t="str" cm="1">
        <f t="array" aca="1" ref="M42" ca="1">IF($R$66&gt;=M$3,INDIRECT("'Loan "&amp;M$3&amp;"'!$B$32"),"")</f>
        <v/>
      </c>
      <c r="N42" s="28" t="str" cm="1">
        <f t="array" aca="1" ref="N42" ca="1">IF($R$66&gt;=N$3,INDIRECT("'Loan "&amp;N$3&amp;"'!$B$32"),"")</f>
        <v/>
      </c>
      <c r="O42" s="28" t="str" cm="1">
        <f t="array" aca="1" ref="O42" ca="1">IF($R$66&gt;=O$3,INDIRECT("'Loan "&amp;O$3&amp;"'!$B$32"),"")</f>
        <v/>
      </c>
      <c r="P42" s="28" t="str" cm="1">
        <f t="array" aca="1" ref="P42" ca="1">IF($R$66&gt;=P$3,INDIRECT("'Loan "&amp;P$3&amp;"'!$B$32"),"")</f>
        <v/>
      </c>
      <c r="Q42" s="28" t="str" cm="1">
        <f t="array" aca="1" ref="Q42" ca="1">IF($R$66&gt;=Q$3,INDIRECT("'Loan "&amp;Q$3&amp;"'!$B$32"),"")</f>
        <v/>
      </c>
    </row>
    <row r="43" spans="1:18" x14ac:dyDescent="0.25">
      <c r="A43" s="7" t="s">
        <v>1239</v>
      </c>
      <c r="B43" s="49" t="s">
        <v>1413</v>
      </c>
      <c r="C43" s="28" cm="1">
        <f t="array" aca="1" ref="C43" ca="1">IF($R$66&gt;=C$3,INDIRECT("'Loan "&amp;C$3&amp;"'!$C$32"),"")</f>
        <v>0</v>
      </c>
      <c r="D43" s="28" t="str" cm="1">
        <f t="array" aca="1" ref="D43" ca="1">IF($R$66&gt;=D$3,INDIRECT("'Loan "&amp;D$3&amp;"'!$C$32"),"")</f>
        <v/>
      </c>
      <c r="E43" s="28" t="str" cm="1">
        <f t="array" aca="1" ref="E43" ca="1">IF($R$66&gt;=E$3,INDIRECT("'Loan "&amp;E$3&amp;"'!$C$32"),"")</f>
        <v/>
      </c>
      <c r="F43" s="28" t="str" cm="1">
        <f t="array" aca="1" ref="F43" ca="1">IF($R$66&gt;=F$3,INDIRECT("'Loan "&amp;F$3&amp;"'!$C$32"),"")</f>
        <v/>
      </c>
      <c r="G43" s="28" t="str" cm="1">
        <f t="array" aca="1" ref="G43" ca="1">IF($R$66&gt;=G$3,INDIRECT("'Loan "&amp;G$3&amp;"'!$C$32"),"")</f>
        <v/>
      </c>
      <c r="H43" s="28" t="str" cm="1">
        <f t="array" aca="1" ref="H43" ca="1">IF($R$66&gt;=H$3,INDIRECT("'Loan "&amp;H$3&amp;"'!$C$32"),"")</f>
        <v/>
      </c>
      <c r="I43" s="28" t="str" cm="1">
        <f t="array" aca="1" ref="I43" ca="1">IF($R$66&gt;=I$3,INDIRECT("'Loan "&amp;I$3&amp;"'!$C$32"),"")</f>
        <v/>
      </c>
      <c r="J43" s="28" t="str" cm="1">
        <f t="array" aca="1" ref="J43" ca="1">IF($R$66&gt;=J$3,INDIRECT("'Loan "&amp;J$3&amp;"'!$C$32"),"")</f>
        <v/>
      </c>
      <c r="K43" s="28" t="str" cm="1">
        <f t="array" aca="1" ref="K43" ca="1">IF($R$66&gt;=K$3,INDIRECT("'Loan "&amp;K$3&amp;"'!$C$32"),"")</f>
        <v/>
      </c>
      <c r="L43" s="28" t="str" cm="1">
        <f t="array" aca="1" ref="L43" ca="1">IF($R$66&gt;=L$3,INDIRECT("'Loan "&amp;L$3&amp;"'!$C$32"),"")</f>
        <v/>
      </c>
      <c r="M43" s="28" t="str" cm="1">
        <f t="array" aca="1" ref="M43" ca="1">IF($R$66&gt;=M$3,INDIRECT("'Loan "&amp;M$3&amp;"'!$C$32"),"")</f>
        <v/>
      </c>
      <c r="N43" s="28" t="str" cm="1">
        <f t="array" aca="1" ref="N43" ca="1">IF($R$66&gt;=N$3,INDIRECT("'Loan "&amp;N$3&amp;"'!$C$32"),"")</f>
        <v/>
      </c>
      <c r="O43" s="28" t="str" cm="1">
        <f t="array" aca="1" ref="O43" ca="1">IF($R$66&gt;=O$3,INDIRECT("'Loan "&amp;O$3&amp;"'!$C$32"),"")</f>
        <v/>
      </c>
      <c r="P43" s="28" t="str" cm="1">
        <f t="array" aca="1" ref="P43" ca="1">IF($R$66&gt;=P$3,INDIRECT("'Loan "&amp;P$3&amp;"'!$C$32"),"")</f>
        <v/>
      </c>
      <c r="Q43" s="28" t="str" cm="1">
        <f t="array" aca="1" ref="Q43" ca="1">IF($R$66&gt;=Q$3,INDIRECT("'Loan "&amp;Q$3&amp;"'!$C$32"),"")</f>
        <v/>
      </c>
    </row>
    <row r="44" spans="1:18" x14ac:dyDescent="0.25">
      <c r="A44" s="7" t="s">
        <v>1377</v>
      </c>
      <c r="B44" t="s">
        <v>820</v>
      </c>
      <c r="C44" s="28" cm="1">
        <f t="array" aca="1" ref="C44" ca="1">IF($R$66&gt;=C$3,INDIRECT("'Loan "&amp;C$3&amp;"'!$B$34"),IF($R$66+$R$67&gt;=C$3,INDIRECT("'DFLoan"&amp;C$3-$R$66&amp;"'!$B$16"),""))</f>
        <v>40173</v>
      </c>
      <c r="D44" s="28" t="str" cm="1">
        <f t="array" aca="1" ref="D44" ca="1">IF($R$66&gt;=D$3,INDIRECT("'Loan "&amp;D$3&amp;"'!$B$34"),IF($R$66+$R$67&gt;=D$3,INDIRECT("'DFLoan"&amp;D$3-$R$66&amp;"'!$B$16"),""))</f>
        <v/>
      </c>
      <c r="E44" s="28" t="str" cm="1">
        <f t="array" aca="1" ref="E44" ca="1">IF($R$66&gt;=E$3,INDIRECT("'Loan "&amp;E$3&amp;"'!$B$34"),IF($R$66+$R$67&gt;=E$3,INDIRECT("'DFLoan"&amp;E$3-$R$66&amp;"'!$B$16"),""))</f>
        <v/>
      </c>
      <c r="F44" s="28" t="str" cm="1">
        <f t="array" aca="1" ref="F44" ca="1">IF($R$66&gt;=F$3,INDIRECT("'Loan "&amp;F$3&amp;"'!$B$34"),IF($R$66+$R$67&gt;=F$3,INDIRECT("'DFLoan"&amp;F$3-$R$66&amp;"'!$B$16"),""))</f>
        <v/>
      </c>
      <c r="G44" s="28" t="str" cm="1">
        <f t="array" aca="1" ref="G44" ca="1">IF($R$66&gt;=G$3,INDIRECT("'Loan "&amp;G$3&amp;"'!$B$34"),IF($R$66+$R$67&gt;=G$3,INDIRECT("'DFLoan"&amp;G$3-$R$66&amp;"'!$B$16"),""))</f>
        <v/>
      </c>
      <c r="H44" s="28" t="str" cm="1">
        <f t="array" aca="1" ref="H44" ca="1">IF($R$66&gt;=H$3,INDIRECT("'Loan "&amp;H$3&amp;"'!$B$34"),IF($R$66+$R$67&gt;=H$3,INDIRECT("'DFLoan"&amp;H$3-$R$66&amp;"'!$B$16"),""))</f>
        <v/>
      </c>
      <c r="I44" s="28" t="str" cm="1">
        <f t="array" aca="1" ref="I44" ca="1">IF($R$66&gt;=I$3,INDIRECT("'Loan "&amp;I$3&amp;"'!$B$34"),IF($R$66+$R$67&gt;=I$3,INDIRECT("'DFLoan"&amp;I$3-$R$66&amp;"'!$B$16"),""))</f>
        <v/>
      </c>
      <c r="J44" s="28" t="str" cm="1">
        <f t="array" aca="1" ref="J44" ca="1">IF($R$66&gt;=J$3,INDIRECT("'Loan "&amp;J$3&amp;"'!$B$34"),IF($R$66+$R$67&gt;=J$3,INDIRECT("'DFLoan"&amp;J$3-$R$66&amp;"'!$B$16"),""))</f>
        <v/>
      </c>
      <c r="K44" s="28" t="str" cm="1">
        <f t="array" aca="1" ref="K44" ca="1">IF($R$66&gt;=K$3,INDIRECT("'Loan "&amp;K$3&amp;"'!$B$34"),IF($R$66+$R$67&gt;=K$3,INDIRECT("'DFLoan"&amp;K$3-$R$66&amp;"'!$B$16"),""))</f>
        <v/>
      </c>
      <c r="L44" s="28" t="str" cm="1">
        <f t="array" aca="1" ref="L44" ca="1">IF($R$66&gt;=L$3,INDIRECT("'Loan "&amp;L$3&amp;"'!$B$34"),IF($R$66+$R$67&gt;=L$3,INDIRECT("'DFLoan"&amp;L$3-$R$66&amp;"'!$B$16"),""))</f>
        <v/>
      </c>
      <c r="M44" s="28" t="str" cm="1">
        <f t="array" aca="1" ref="M44" ca="1">IF($R$66&gt;=M$3,INDIRECT("'Loan "&amp;M$3&amp;"'!$B$34"),IF($R$66+$R$67&gt;=M$3,INDIRECT("'DFLoan"&amp;M$3-$R$66&amp;"'!$B$16"),""))</f>
        <v/>
      </c>
      <c r="N44" s="28" t="str" cm="1">
        <f t="array" aca="1" ref="N44" ca="1">IF($R$66&gt;=N$3,INDIRECT("'Loan "&amp;N$3&amp;"'!$B$34"),IF($R$66+$R$67&gt;=N$3,INDIRECT("'DFLoan"&amp;N$3-$R$66&amp;"'!$B$16"),""))</f>
        <v/>
      </c>
      <c r="O44" s="28" t="str" cm="1">
        <f t="array" aca="1" ref="O44" ca="1">IF($R$66&gt;=O$3,INDIRECT("'Loan "&amp;O$3&amp;"'!$B$34"),IF($R$66+$R$67&gt;=O$3,INDIRECT("'DFLoan"&amp;O$3-$R$66&amp;"'!$B$16"),""))</f>
        <v/>
      </c>
      <c r="P44" s="28" t="str" cm="1">
        <f t="array" aca="1" ref="P44" ca="1">IF($R$66&gt;=P$3,INDIRECT("'Loan "&amp;P$3&amp;"'!$B$34"),IF($R$66+$R$67&gt;=P$3,INDIRECT("'DFLoan"&amp;P$3-$R$66&amp;"'!$B$16"),""))</f>
        <v/>
      </c>
      <c r="Q44" s="28" t="str" cm="1">
        <f t="array" aca="1" ref="Q44" ca="1">IF($R$66&gt;=Q$3,INDIRECT("'Loan "&amp;Q$3&amp;"'!$B$34"),IF($R$66+$R$67&gt;=Q$3,INDIRECT("'DFLoan"&amp;Q$3-$R$66&amp;"'!$B$16"),""))</f>
        <v/>
      </c>
    </row>
    <row r="45" spans="1:18" x14ac:dyDescent="0.25">
      <c r="A45" s="7" t="s">
        <v>1378</v>
      </c>
      <c r="B45" t="s">
        <v>821</v>
      </c>
      <c r="C45" s="28" cm="1">
        <f t="array" aca="1" ref="C45" ca="1">IF($R$66&gt;=C$3,INDIRECT("'Loan "&amp;C$3&amp;"'!$C$34"),IF($R$66+$R$67&gt;=C$3,INDIRECT("'DFLoan"&amp;C$3-$R$66&amp;"'!$B$17"),""))</f>
        <v>0</v>
      </c>
      <c r="D45" s="28" t="str" cm="1">
        <f t="array" aca="1" ref="D45" ca="1">IF($R$66&gt;=D$3,INDIRECT("'Loan "&amp;D$3&amp;"'!$C$34"),IF($R$66+$R$67&gt;=D$3,INDIRECT("'DFLoan"&amp;D$3-$R$66&amp;"'!$B$17"),""))</f>
        <v/>
      </c>
      <c r="E45" s="28" t="str" cm="1">
        <f t="array" aca="1" ref="E45" ca="1">IF($R$66&gt;=E$3,INDIRECT("'Loan "&amp;E$3&amp;"'!$C$34"),IF($R$66+$R$67&gt;=E$3,INDIRECT("'DFLoan"&amp;E$3-$R$66&amp;"'!$B$17"),""))</f>
        <v/>
      </c>
      <c r="F45" s="28" t="str" cm="1">
        <f t="array" aca="1" ref="F45" ca="1">IF($R$66&gt;=F$3,INDIRECT("'Loan "&amp;F$3&amp;"'!$C$34"),IF($R$66+$R$67&gt;=F$3,INDIRECT("'DFLoan"&amp;F$3-$R$66&amp;"'!$B$17"),""))</f>
        <v/>
      </c>
      <c r="G45" s="28" t="str" cm="1">
        <f t="array" aca="1" ref="G45" ca="1">IF($R$66&gt;=G$3,INDIRECT("'Loan "&amp;G$3&amp;"'!$C$34"),IF($R$66+$R$67&gt;=G$3,INDIRECT("'DFLoan"&amp;G$3-$R$66&amp;"'!$B$17"),""))</f>
        <v/>
      </c>
      <c r="H45" s="28" t="str" cm="1">
        <f t="array" aca="1" ref="H45" ca="1">IF($R$66&gt;=H$3,INDIRECT("'Loan "&amp;H$3&amp;"'!$C$34"),IF($R$66+$R$67&gt;=H$3,INDIRECT("'DFLoan"&amp;H$3-$R$66&amp;"'!$B$17"),""))</f>
        <v/>
      </c>
      <c r="I45" s="28" t="str" cm="1">
        <f t="array" aca="1" ref="I45" ca="1">IF($R$66&gt;=I$3,INDIRECT("'Loan "&amp;I$3&amp;"'!$C$34"),IF($R$66+$R$67&gt;=I$3,INDIRECT("'DFLoan"&amp;I$3-$R$66&amp;"'!$B$17"),""))</f>
        <v/>
      </c>
      <c r="J45" s="28" t="str" cm="1">
        <f t="array" aca="1" ref="J45" ca="1">IF($R$66&gt;=J$3,INDIRECT("'Loan "&amp;J$3&amp;"'!$C$34"),IF($R$66+$R$67&gt;=J$3,INDIRECT("'DFLoan"&amp;J$3-$R$66&amp;"'!$B$17"),""))</f>
        <v/>
      </c>
      <c r="K45" s="28" t="str" cm="1">
        <f t="array" aca="1" ref="K45" ca="1">IF($R$66&gt;=K$3,INDIRECT("'Loan "&amp;K$3&amp;"'!$C$34"),IF($R$66+$R$67&gt;=K$3,INDIRECT("'DFLoan"&amp;K$3-$R$66&amp;"'!$B$17"),""))</f>
        <v/>
      </c>
      <c r="L45" s="28" t="str" cm="1">
        <f t="array" aca="1" ref="L45" ca="1">IF($R$66&gt;=L$3,INDIRECT("'Loan "&amp;L$3&amp;"'!$C$34"),IF($R$66+$R$67&gt;=L$3,INDIRECT("'DFLoan"&amp;L$3-$R$66&amp;"'!$B$17"),""))</f>
        <v/>
      </c>
      <c r="M45" s="28" t="str" cm="1">
        <f t="array" aca="1" ref="M45" ca="1">IF($R$66&gt;=M$3,INDIRECT("'Loan "&amp;M$3&amp;"'!$C$34"),IF($R$66+$R$67&gt;=M$3,INDIRECT("'DFLoan"&amp;M$3-$R$66&amp;"'!$B$17"),""))</f>
        <v/>
      </c>
      <c r="N45" s="28" t="str" cm="1">
        <f t="array" aca="1" ref="N45" ca="1">IF($R$66&gt;=N$3,INDIRECT("'Loan "&amp;N$3&amp;"'!$C$34"),IF($R$66+$R$67&gt;=N$3,INDIRECT("'DFLoan"&amp;N$3-$R$66&amp;"'!$B$17"),""))</f>
        <v/>
      </c>
      <c r="O45" s="28" t="str" cm="1">
        <f t="array" aca="1" ref="O45" ca="1">IF($R$66&gt;=O$3,INDIRECT("'Loan "&amp;O$3&amp;"'!$C$34"),IF($R$66+$R$67&gt;=O$3,INDIRECT("'DFLoan"&amp;O$3-$R$66&amp;"'!$B$17"),""))</f>
        <v/>
      </c>
      <c r="P45" s="28" t="str" cm="1">
        <f t="array" aca="1" ref="P45" ca="1">IF($R$66&gt;=P$3,INDIRECT("'Loan "&amp;P$3&amp;"'!$C$34"),IF($R$66+$R$67&gt;=P$3,INDIRECT("'DFLoan"&amp;P$3-$R$66&amp;"'!$B$17"),""))</f>
        <v/>
      </c>
      <c r="Q45" s="28" t="str" cm="1">
        <f t="array" aca="1" ref="Q45" ca="1">IF($R$66&gt;=Q$3,INDIRECT("'Loan "&amp;Q$3&amp;"'!$C$34"),IF($R$66+$R$67&gt;=Q$3,INDIRECT("'DFLoan"&amp;Q$3-$R$66&amp;"'!$B$17"),""))</f>
        <v/>
      </c>
    </row>
    <row r="46" spans="1:18" x14ac:dyDescent="0.25">
      <c r="A46" s="33" t="s">
        <v>245</v>
      </c>
      <c r="B46" s="34" t="s">
        <v>822</v>
      </c>
      <c r="C46" s="35">
        <f ca="1">IFERROR(C44+C45,"")</f>
        <v>40173</v>
      </c>
      <c r="D46" s="35" t="str">
        <f t="shared" ref="D46:Q46" ca="1" si="0">IFERROR(D44+D45,"")</f>
        <v/>
      </c>
      <c r="E46" s="35" t="str">
        <f t="shared" ca="1" si="0"/>
        <v/>
      </c>
      <c r="F46" s="35" t="str">
        <f t="shared" ca="1" si="0"/>
        <v/>
      </c>
      <c r="G46" s="35" t="str">
        <f t="shared" ca="1" si="0"/>
        <v/>
      </c>
      <c r="H46" s="35" t="str">
        <f t="shared" ca="1" si="0"/>
        <v/>
      </c>
      <c r="I46" s="35" t="str">
        <f t="shared" ca="1" si="0"/>
        <v/>
      </c>
      <c r="J46" s="35" t="str">
        <f t="shared" ca="1" si="0"/>
        <v/>
      </c>
      <c r="K46" s="35" t="str">
        <f t="shared" ca="1" si="0"/>
        <v/>
      </c>
      <c r="L46" s="35" t="str">
        <f t="shared" ca="1" si="0"/>
        <v/>
      </c>
      <c r="M46" s="35" t="str">
        <f t="shared" ca="1" si="0"/>
        <v/>
      </c>
      <c r="N46" s="35" t="str">
        <f t="shared" ca="1" si="0"/>
        <v/>
      </c>
      <c r="O46" s="35" t="str">
        <f t="shared" ca="1" si="0"/>
        <v/>
      </c>
      <c r="P46" s="35" t="str">
        <f t="shared" ca="1" si="0"/>
        <v/>
      </c>
      <c r="Q46" s="35" t="str">
        <f t="shared" ca="1" si="0"/>
        <v/>
      </c>
    </row>
    <row r="47" spans="1:18" x14ac:dyDescent="0.25">
      <c r="A47" s="7" t="s">
        <v>1243</v>
      </c>
      <c r="B47" t="s">
        <v>823</v>
      </c>
      <c r="C47" s="28" cm="1">
        <f t="array" aca="1" ref="C47" ca="1">IF($R$66&gt;=C$3,INDIRECT("'Loan "&amp;C$3&amp;"'!$B$35"),IF($R$66+$R$67&gt;=C$3,INDIRECT("'DFLoan"&amp;C$3-$R$66&amp;"'!$B$19"),""))</f>
        <v>8332</v>
      </c>
      <c r="D47" s="28" t="str" cm="1">
        <f t="array" aca="1" ref="D47" ca="1">IF($R$66&gt;=D$3,INDIRECT("'Loan "&amp;D$3&amp;"'!$B$35"),IF($R$66+$R$67&gt;=D$3,INDIRECT("'DFLoan"&amp;D$3-$R$66&amp;"'!$B$19"),""))</f>
        <v/>
      </c>
      <c r="E47" s="28" t="str" cm="1">
        <f t="array" aca="1" ref="E47" ca="1">IF($R$66&gt;=E$3,INDIRECT("'Loan "&amp;E$3&amp;"'!$B$35"),IF($R$66+$R$67&gt;=E$3,INDIRECT("'DFLoan"&amp;E$3-$R$66&amp;"'!$B$19"),""))</f>
        <v/>
      </c>
      <c r="F47" s="28" t="str" cm="1">
        <f t="array" aca="1" ref="F47" ca="1">IF($R$66&gt;=F$3,INDIRECT("'Loan "&amp;F$3&amp;"'!$B$35"),IF($R$66+$R$67&gt;=F$3,INDIRECT("'DFLoan"&amp;F$3-$R$66&amp;"'!$B$19"),""))</f>
        <v/>
      </c>
      <c r="G47" s="28" t="str" cm="1">
        <f t="array" aca="1" ref="G47" ca="1">IF($R$66&gt;=G$3,INDIRECT("'Loan "&amp;G$3&amp;"'!$B$35"),IF($R$66+$R$67&gt;=G$3,INDIRECT("'DFLoan"&amp;G$3-$R$66&amp;"'!$B$19"),""))</f>
        <v/>
      </c>
      <c r="H47" s="28" t="str" cm="1">
        <f t="array" aca="1" ref="H47" ca="1">IF($R$66&gt;=H$3,INDIRECT("'Loan "&amp;H$3&amp;"'!$B$35"),IF($R$66+$R$67&gt;=H$3,INDIRECT("'DFLoan"&amp;H$3-$R$66&amp;"'!$B$19"),""))</f>
        <v/>
      </c>
      <c r="I47" s="28" t="str" cm="1">
        <f t="array" aca="1" ref="I47" ca="1">IF($R$66&gt;=I$3,INDIRECT("'Loan "&amp;I$3&amp;"'!$B$35"),IF($R$66+$R$67&gt;=I$3,INDIRECT("'DFLoan"&amp;I$3-$R$66&amp;"'!$B$19"),""))</f>
        <v/>
      </c>
      <c r="J47" s="28" t="str" cm="1">
        <f t="array" aca="1" ref="J47" ca="1">IF($R$66&gt;=J$3,INDIRECT("'Loan "&amp;J$3&amp;"'!$B$35"),IF($R$66+$R$67&gt;=J$3,INDIRECT("'DFLoan"&amp;J$3-$R$66&amp;"'!$B$19"),""))</f>
        <v/>
      </c>
      <c r="K47" s="28" t="str" cm="1">
        <f t="array" aca="1" ref="K47" ca="1">IF($R$66&gt;=K$3,INDIRECT("'Loan "&amp;K$3&amp;"'!$B$35"),IF($R$66+$R$67&gt;=K$3,INDIRECT("'DFLoan"&amp;K$3-$R$66&amp;"'!$B$19"),""))</f>
        <v/>
      </c>
      <c r="L47" s="28" t="str" cm="1">
        <f t="array" aca="1" ref="L47" ca="1">IF($R$66&gt;=L$3,INDIRECT("'Loan "&amp;L$3&amp;"'!$B$35"),IF($R$66+$R$67&gt;=L$3,INDIRECT("'DFLoan"&amp;L$3-$R$66&amp;"'!$B$19"),""))</f>
        <v/>
      </c>
      <c r="M47" s="28" t="str" cm="1">
        <f t="array" aca="1" ref="M47" ca="1">IF($R$66&gt;=M$3,INDIRECT("'Loan "&amp;M$3&amp;"'!$B$35"),IF($R$66+$R$67&gt;=M$3,INDIRECT("'DFLoan"&amp;M$3-$R$66&amp;"'!$B$19"),""))</f>
        <v/>
      </c>
      <c r="N47" s="28" t="str" cm="1">
        <f t="array" aca="1" ref="N47" ca="1">IF($R$66&gt;=N$3,INDIRECT("'Loan "&amp;N$3&amp;"'!$B$35"),IF($R$66+$R$67&gt;=N$3,INDIRECT("'DFLoan"&amp;N$3-$R$66&amp;"'!$B$19"),""))</f>
        <v/>
      </c>
      <c r="O47" s="28" t="str" cm="1">
        <f t="array" aca="1" ref="O47" ca="1">IF($R$66&gt;=O$3,INDIRECT("'Loan "&amp;O$3&amp;"'!$B$35"),IF($R$66+$R$67&gt;=O$3,INDIRECT("'DFLoan"&amp;O$3-$R$66&amp;"'!$B$19"),""))</f>
        <v/>
      </c>
      <c r="P47" s="28" t="str" cm="1">
        <f t="array" aca="1" ref="P47" ca="1">IF($R$66&gt;=P$3,INDIRECT("'Loan "&amp;P$3&amp;"'!$B$35"),IF($R$66+$R$67&gt;=P$3,INDIRECT("'DFLoan"&amp;P$3-$R$66&amp;"'!$B$19"),""))</f>
        <v/>
      </c>
      <c r="Q47" s="28" t="str" cm="1">
        <f t="array" aca="1" ref="Q47" ca="1">IF($R$66&gt;=Q$3,INDIRECT("'Loan "&amp;Q$3&amp;"'!$B$35"),IF($R$66+$R$67&gt;=Q$3,INDIRECT("'DFLoan"&amp;Q$3-$R$66&amp;"'!$B$19"),""))</f>
        <v/>
      </c>
      <c r="R47" s="46"/>
    </row>
    <row r="48" spans="1:18" x14ac:dyDescent="0.25">
      <c r="A48" s="7" t="s">
        <v>1244</v>
      </c>
      <c r="B48" t="s">
        <v>825</v>
      </c>
      <c r="C48" s="28" cm="1">
        <f t="array" aca="1" ref="C48" ca="1">IF($R$66&gt;=C$3,INDIRECT("'Loan "&amp;C$3&amp;"'!$C$35"),IF($R$66+$R$67&gt;=C$3,INDIRECT("'DFLoan"&amp;C$3-$R$66&amp;"'!$B$20"),""))</f>
        <v>0</v>
      </c>
      <c r="D48" s="28" t="str" cm="1">
        <f t="array" aca="1" ref="D48" ca="1">IF($R$66&gt;=D$3,INDIRECT("'Loan "&amp;D$3&amp;"'!$C$35"),IF($R$66+$R$67&gt;=D$3,INDIRECT("'DFLoan"&amp;D$3-$R$66&amp;"'!$B$20"),""))</f>
        <v/>
      </c>
      <c r="E48" s="28" t="str" cm="1">
        <f t="array" aca="1" ref="E48" ca="1">IF($R$66&gt;=E$3,INDIRECT("'Loan "&amp;E$3&amp;"'!$C$35"),IF($R$66+$R$67&gt;=E$3,INDIRECT("'DFLoan"&amp;E$3-$R$66&amp;"'!$B$20"),""))</f>
        <v/>
      </c>
      <c r="F48" s="28" t="str" cm="1">
        <f t="array" aca="1" ref="F48" ca="1">IF($R$66&gt;=F$3,INDIRECT("'Loan "&amp;F$3&amp;"'!$C$35"),IF($R$66+$R$67&gt;=F$3,INDIRECT("'DFLoan"&amp;F$3-$R$66&amp;"'!$B$20"),""))</f>
        <v/>
      </c>
      <c r="G48" s="28" t="str" cm="1">
        <f t="array" aca="1" ref="G48" ca="1">IF($R$66&gt;=G$3,INDIRECT("'Loan "&amp;G$3&amp;"'!$C$35"),IF($R$66+$R$67&gt;=G$3,INDIRECT("'DFLoan"&amp;G$3-$R$66&amp;"'!$B$20"),""))</f>
        <v/>
      </c>
      <c r="H48" s="28" t="str" cm="1">
        <f t="array" aca="1" ref="H48" ca="1">IF($R$66&gt;=H$3,INDIRECT("'Loan "&amp;H$3&amp;"'!$C$35"),IF($R$66+$R$67&gt;=H$3,INDIRECT("'DFLoan"&amp;H$3-$R$66&amp;"'!$B$20"),""))</f>
        <v/>
      </c>
      <c r="I48" s="28" t="str" cm="1">
        <f t="array" aca="1" ref="I48" ca="1">IF($R$66&gt;=I$3,INDIRECT("'Loan "&amp;I$3&amp;"'!$C$35"),IF($R$66+$R$67&gt;=I$3,INDIRECT("'DFLoan"&amp;I$3-$R$66&amp;"'!$B$20"),""))</f>
        <v/>
      </c>
      <c r="J48" s="28" t="str" cm="1">
        <f t="array" aca="1" ref="J48" ca="1">IF($R$66&gt;=J$3,INDIRECT("'Loan "&amp;J$3&amp;"'!$C$35"),IF($R$66+$R$67&gt;=J$3,INDIRECT("'DFLoan"&amp;J$3-$R$66&amp;"'!$B$20"),""))</f>
        <v/>
      </c>
      <c r="K48" s="28" t="str" cm="1">
        <f t="array" aca="1" ref="K48" ca="1">IF($R$66&gt;=K$3,INDIRECT("'Loan "&amp;K$3&amp;"'!$C$35"),IF($R$66+$R$67&gt;=K$3,INDIRECT("'DFLoan"&amp;K$3-$R$66&amp;"'!$B$20"),""))</f>
        <v/>
      </c>
      <c r="L48" s="28" t="str" cm="1">
        <f t="array" aca="1" ref="L48" ca="1">IF($R$66&gt;=L$3,INDIRECT("'Loan "&amp;L$3&amp;"'!$C$35"),IF($R$66+$R$67&gt;=L$3,INDIRECT("'DFLoan"&amp;L$3-$R$66&amp;"'!$B$20"),""))</f>
        <v/>
      </c>
      <c r="M48" s="28" t="str" cm="1">
        <f t="array" aca="1" ref="M48" ca="1">IF($R$66&gt;=M$3,INDIRECT("'Loan "&amp;M$3&amp;"'!$C$35"),IF($R$66+$R$67&gt;=M$3,INDIRECT("'DFLoan"&amp;M$3-$R$66&amp;"'!$B$20"),""))</f>
        <v/>
      </c>
      <c r="N48" s="28" t="str" cm="1">
        <f t="array" aca="1" ref="N48" ca="1">IF($R$66&gt;=N$3,INDIRECT("'Loan "&amp;N$3&amp;"'!$C$35"),IF($R$66+$R$67&gt;=N$3,INDIRECT("'DFLoan"&amp;N$3-$R$66&amp;"'!$B$20"),""))</f>
        <v/>
      </c>
      <c r="O48" s="28" t="str" cm="1">
        <f t="array" aca="1" ref="O48" ca="1">IF($R$66&gt;=O$3,INDIRECT("'Loan "&amp;O$3&amp;"'!$C$35"),IF($R$66+$R$67&gt;=O$3,INDIRECT("'DFLoan"&amp;O$3-$R$66&amp;"'!$B$20"),""))</f>
        <v/>
      </c>
      <c r="P48" s="28" t="str" cm="1">
        <f t="array" aca="1" ref="P48" ca="1">IF($R$66&gt;=P$3,INDIRECT("'Loan "&amp;P$3&amp;"'!$C$35"),IF($R$66+$R$67&gt;=P$3,INDIRECT("'DFLoan"&amp;P$3-$R$66&amp;"'!$B$20"),""))</f>
        <v/>
      </c>
      <c r="Q48" s="28" t="str" cm="1">
        <f t="array" aca="1" ref="Q48" ca="1">IF($R$66&gt;=Q$3,INDIRECT("'Loan "&amp;Q$3&amp;"'!$C$35"),IF($R$66+$R$67&gt;=Q$3,INDIRECT("'DFLoan"&amp;Q$3-$R$66&amp;"'!$B$20"),""))</f>
        <v/>
      </c>
    </row>
    <row r="49" spans="1:17" x14ac:dyDescent="0.25">
      <c r="A49" s="7" t="s">
        <v>1245</v>
      </c>
      <c r="B49" s="49" t="s">
        <v>824</v>
      </c>
      <c r="C49" s="28" cm="1">
        <f t="array" aca="1" ref="C49" ca="1">IF($R$66&gt;=C$3,INDIRECT("'Loan "&amp;C$3&amp;"'!$B$36"),"")</f>
        <v>0</v>
      </c>
      <c r="D49" s="28" t="str" cm="1">
        <f t="array" aca="1" ref="D49" ca="1">IF($R$66&gt;=D$3,INDIRECT("'Loan "&amp;D$3&amp;"'!$B$36"),"")</f>
        <v/>
      </c>
      <c r="E49" s="28" t="str" cm="1">
        <f t="array" aca="1" ref="E49" ca="1">IF($R$66&gt;=E$3,INDIRECT("'Loan "&amp;E$3&amp;"'!$B$36"),"")</f>
        <v/>
      </c>
      <c r="F49" s="28" t="str" cm="1">
        <f t="array" aca="1" ref="F49" ca="1">IF($R$66&gt;=F$3,INDIRECT("'Loan "&amp;F$3&amp;"'!$B$36"),"")</f>
        <v/>
      </c>
      <c r="G49" s="28" t="str" cm="1">
        <f t="array" aca="1" ref="G49" ca="1">IF($R$66&gt;=G$3,INDIRECT("'Loan "&amp;G$3&amp;"'!$B$36"),"")</f>
        <v/>
      </c>
      <c r="H49" s="28" t="str" cm="1">
        <f t="array" aca="1" ref="H49" ca="1">IF($R$66&gt;=H$3,INDIRECT("'Loan "&amp;H$3&amp;"'!$B$36"),"")</f>
        <v/>
      </c>
      <c r="I49" s="28" t="str" cm="1">
        <f t="array" aca="1" ref="I49" ca="1">IF($R$66&gt;=I$3,INDIRECT("'Loan "&amp;I$3&amp;"'!$B$36"),"")</f>
        <v/>
      </c>
      <c r="J49" s="28" t="str" cm="1">
        <f t="array" aca="1" ref="J49" ca="1">IF($R$66&gt;=J$3,INDIRECT("'Loan "&amp;J$3&amp;"'!$B$36"),"")</f>
        <v/>
      </c>
      <c r="K49" s="28" t="str" cm="1">
        <f t="array" aca="1" ref="K49" ca="1">IF($R$66&gt;=K$3,INDIRECT("'Loan "&amp;K$3&amp;"'!$B$36"),"")</f>
        <v/>
      </c>
      <c r="L49" s="28" t="str" cm="1">
        <f t="array" aca="1" ref="L49" ca="1">IF($R$66&gt;=L$3,INDIRECT("'Loan "&amp;L$3&amp;"'!$B$36"),"")</f>
        <v/>
      </c>
      <c r="M49" s="28" t="str" cm="1">
        <f t="array" aca="1" ref="M49" ca="1">IF($R$66&gt;=M$3,INDIRECT("'Loan "&amp;M$3&amp;"'!$B$36"),"")</f>
        <v/>
      </c>
      <c r="N49" s="28" t="str" cm="1">
        <f t="array" aca="1" ref="N49" ca="1">IF($R$66&gt;=N$3,INDIRECT("'Loan "&amp;N$3&amp;"'!$B$36"),"")</f>
        <v/>
      </c>
      <c r="O49" s="28" t="str" cm="1">
        <f t="array" aca="1" ref="O49" ca="1">IF($R$66&gt;=O$3,INDIRECT("'Loan "&amp;O$3&amp;"'!$B$36"),"")</f>
        <v/>
      </c>
      <c r="P49" s="28" t="str" cm="1">
        <f t="array" aca="1" ref="P49" ca="1">IF($R$66&gt;=P$3,INDIRECT("'Loan "&amp;P$3&amp;"'!$B$36"),"")</f>
        <v/>
      </c>
      <c r="Q49" s="28" t="str" cm="1">
        <f t="array" aca="1" ref="Q49" ca="1">IF($R$66&gt;=Q$3,INDIRECT("'Loan "&amp;Q$3&amp;"'!$B$36"),"")</f>
        <v/>
      </c>
    </row>
    <row r="50" spans="1:17" x14ac:dyDescent="0.25">
      <c r="A50" s="7" t="s">
        <v>1246</v>
      </c>
      <c r="B50" s="49" t="s">
        <v>826</v>
      </c>
      <c r="C50" s="28" cm="1">
        <f t="array" aca="1" ref="C50" ca="1">IF($R$66&gt;=C$3,INDIRECT("'Loan "&amp;C$3&amp;"'!$C$36"),"")</f>
        <v>0</v>
      </c>
      <c r="D50" s="28" t="str" cm="1">
        <f t="array" aca="1" ref="D50" ca="1">IF($R$66&gt;=D$3,INDIRECT("'Loan "&amp;D$3&amp;"'!$C$36"),"")</f>
        <v/>
      </c>
      <c r="E50" s="28" t="str" cm="1">
        <f t="array" aca="1" ref="E50" ca="1">IF($R$66&gt;=E$3,INDIRECT("'Loan "&amp;E$3&amp;"'!$C$36"),"")</f>
        <v/>
      </c>
      <c r="F50" s="28" t="str" cm="1">
        <f t="array" aca="1" ref="F50" ca="1">IF($R$66&gt;=F$3,INDIRECT("'Loan "&amp;F$3&amp;"'!$C$36"),"")</f>
        <v/>
      </c>
      <c r="G50" s="28" t="str" cm="1">
        <f t="array" aca="1" ref="G50" ca="1">IF($R$66&gt;=G$3,INDIRECT("'Loan "&amp;G$3&amp;"'!$C$36"),"")</f>
        <v/>
      </c>
      <c r="H50" s="28" t="str" cm="1">
        <f t="array" aca="1" ref="H50" ca="1">IF($R$66&gt;=H$3,INDIRECT("'Loan "&amp;H$3&amp;"'!$C$36"),"")</f>
        <v/>
      </c>
      <c r="I50" s="28" t="str" cm="1">
        <f t="array" aca="1" ref="I50" ca="1">IF($R$66&gt;=I$3,INDIRECT("'Loan "&amp;I$3&amp;"'!$C$36"),"")</f>
        <v/>
      </c>
      <c r="J50" s="28" t="str" cm="1">
        <f t="array" aca="1" ref="J50" ca="1">IF($R$66&gt;=J$3,INDIRECT("'Loan "&amp;J$3&amp;"'!$C$36"),"")</f>
        <v/>
      </c>
      <c r="K50" s="28" t="str" cm="1">
        <f t="array" aca="1" ref="K50" ca="1">IF($R$66&gt;=K$3,INDIRECT("'Loan "&amp;K$3&amp;"'!$C$36"),"")</f>
        <v/>
      </c>
      <c r="L50" s="28" t="str" cm="1">
        <f t="array" aca="1" ref="L50" ca="1">IF($R$66&gt;=L$3,INDIRECT("'Loan "&amp;L$3&amp;"'!$C$36"),"")</f>
        <v/>
      </c>
      <c r="M50" s="28" t="str" cm="1">
        <f t="array" aca="1" ref="M50" ca="1">IF($R$66&gt;=M$3,INDIRECT("'Loan "&amp;M$3&amp;"'!$C$36"),"")</f>
        <v/>
      </c>
      <c r="N50" s="28" t="str" cm="1">
        <f t="array" aca="1" ref="N50" ca="1">IF($R$66&gt;=N$3,INDIRECT("'Loan "&amp;N$3&amp;"'!$C$36"),"")</f>
        <v/>
      </c>
      <c r="O50" s="28" t="str" cm="1">
        <f t="array" aca="1" ref="O50" ca="1">IF($R$66&gt;=O$3,INDIRECT("'Loan "&amp;O$3&amp;"'!$C$36"),"")</f>
        <v/>
      </c>
      <c r="P50" s="28" t="str" cm="1">
        <f t="array" aca="1" ref="P50" ca="1">IF($R$66&gt;=P$3,INDIRECT("'Loan "&amp;P$3&amp;"'!$C$36"),"")</f>
        <v/>
      </c>
      <c r="Q50" s="28" t="str" cm="1">
        <f t="array" aca="1" ref="Q50" ca="1">IF($R$66&gt;=Q$3,INDIRECT("'Loan "&amp;Q$3&amp;"'!$C$36"),"")</f>
        <v/>
      </c>
    </row>
    <row r="51" spans="1:17" x14ac:dyDescent="0.25">
      <c r="A51" s="7" t="s">
        <v>1247</v>
      </c>
      <c r="B51" t="s">
        <v>827</v>
      </c>
      <c r="C51" s="28" cm="1">
        <f t="array" aca="1" ref="C51" ca="1">IF($R$66&gt;=C$3,INDIRECT("'Loan "&amp;C$3&amp;"'!$B$37"),IF($R$66+$R$67&gt;=C$3,INDIRECT("'DFLoan"&amp;C$3-$R$66&amp;"'!$B$21"),""))</f>
        <v>0</v>
      </c>
      <c r="D51" s="28" t="str" cm="1">
        <f t="array" aca="1" ref="D51" ca="1">IF($R$66&gt;=D$3,INDIRECT("'Loan "&amp;D$3&amp;"'!$B$37"),IF($R$66+$R$67&gt;=D$3,INDIRECT("'DFLoan"&amp;D$3-$R$66&amp;"'!$B$21"),""))</f>
        <v/>
      </c>
      <c r="E51" s="28" t="str" cm="1">
        <f t="array" aca="1" ref="E51" ca="1">IF($R$66&gt;=E$3,INDIRECT("'Loan "&amp;E$3&amp;"'!$B$37"),IF($R$66+$R$67&gt;=E$3,INDIRECT("'DFLoan"&amp;E$3-$R$66&amp;"'!$B$21"),""))</f>
        <v/>
      </c>
      <c r="F51" s="28" t="str" cm="1">
        <f t="array" aca="1" ref="F51" ca="1">IF($R$66&gt;=F$3,INDIRECT("'Loan "&amp;F$3&amp;"'!$B$37"),IF($R$66+$R$67&gt;=F$3,INDIRECT("'DFLoan"&amp;F$3-$R$66&amp;"'!$B$21"),""))</f>
        <v/>
      </c>
      <c r="G51" s="28" t="str" cm="1">
        <f t="array" aca="1" ref="G51" ca="1">IF($R$66&gt;=G$3,INDIRECT("'Loan "&amp;G$3&amp;"'!$B$37"),IF($R$66+$R$67&gt;=G$3,INDIRECT("'DFLoan"&amp;G$3-$R$66&amp;"'!$B$21"),""))</f>
        <v/>
      </c>
      <c r="H51" s="28" t="str" cm="1">
        <f t="array" aca="1" ref="H51" ca="1">IF($R$66&gt;=H$3,INDIRECT("'Loan "&amp;H$3&amp;"'!$B$37"),IF($R$66+$R$67&gt;=H$3,INDIRECT("'DFLoan"&amp;H$3-$R$66&amp;"'!$B$21"),""))</f>
        <v/>
      </c>
      <c r="I51" s="28" t="str" cm="1">
        <f t="array" aca="1" ref="I51" ca="1">IF($R$66&gt;=I$3,INDIRECT("'Loan "&amp;I$3&amp;"'!$B$37"),IF($R$66+$R$67&gt;=I$3,INDIRECT("'DFLoan"&amp;I$3-$R$66&amp;"'!$B$21"),""))</f>
        <v/>
      </c>
      <c r="J51" s="28" t="str" cm="1">
        <f t="array" aca="1" ref="J51" ca="1">IF($R$66&gt;=J$3,INDIRECT("'Loan "&amp;J$3&amp;"'!$B$37"),IF($R$66+$R$67&gt;=J$3,INDIRECT("'DFLoan"&amp;J$3-$R$66&amp;"'!$B$21"),""))</f>
        <v/>
      </c>
      <c r="K51" s="28" t="str" cm="1">
        <f t="array" aca="1" ref="K51" ca="1">IF($R$66&gt;=K$3,INDIRECT("'Loan "&amp;K$3&amp;"'!$B$37"),IF($R$66+$R$67&gt;=K$3,INDIRECT("'DFLoan"&amp;K$3-$R$66&amp;"'!$B$21"),""))</f>
        <v/>
      </c>
      <c r="L51" s="28" t="str" cm="1">
        <f t="array" aca="1" ref="L51" ca="1">IF($R$66&gt;=L$3,INDIRECT("'Loan "&amp;L$3&amp;"'!$B$37"),IF($R$66+$R$67&gt;=L$3,INDIRECT("'DFLoan"&amp;L$3-$R$66&amp;"'!$B$21"),""))</f>
        <v/>
      </c>
      <c r="M51" s="28" t="str" cm="1">
        <f t="array" aca="1" ref="M51" ca="1">IF($R$66&gt;=M$3,INDIRECT("'Loan "&amp;M$3&amp;"'!$B$37"),IF($R$66+$R$67&gt;=M$3,INDIRECT("'DFLoan"&amp;M$3-$R$66&amp;"'!$B$21"),""))</f>
        <v/>
      </c>
      <c r="N51" s="28" t="str" cm="1">
        <f t="array" aca="1" ref="N51" ca="1">IF($R$66&gt;=N$3,INDIRECT("'Loan "&amp;N$3&amp;"'!$B$37"),IF($R$66+$R$67&gt;=N$3,INDIRECT("'DFLoan"&amp;N$3-$R$66&amp;"'!$B$21"),""))</f>
        <v/>
      </c>
      <c r="O51" s="28" t="str" cm="1">
        <f t="array" aca="1" ref="O51" ca="1">IF($R$66&gt;=O$3,INDIRECT("'Loan "&amp;O$3&amp;"'!$B$37"),IF($R$66+$R$67&gt;=O$3,INDIRECT("'DFLoan"&amp;O$3-$R$66&amp;"'!$B$21"),""))</f>
        <v/>
      </c>
      <c r="P51" s="28" t="str" cm="1">
        <f t="array" aca="1" ref="P51" ca="1">IF($R$66&gt;=P$3,INDIRECT("'Loan "&amp;P$3&amp;"'!$B$37"),IF($R$66+$R$67&gt;=P$3,INDIRECT("'DFLoan"&amp;P$3-$R$66&amp;"'!$B$21"),""))</f>
        <v/>
      </c>
      <c r="Q51" s="28" t="str" cm="1">
        <f t="array" aca="1" ref="Q51" ca="1">IF($R$66&gt;=Q$3,INDIRECT("'Loan "&amp;Q$3&amp;"'!$B$37"),IF($R$66+$R$67&gt;=Q$3,INDIRECT("'DFLoan"&amp;Q$3-$R$66&amp;"'!$B$21"),""))</f>
        <v/>
      </c>
    </row>
    <row r="52" spans="1:17" x14ac:dyDescent="0.25">
      <c r="A52" s="7" t="s">
        <v>1248</v>
      </c>
      <c r="B52" t="s">
        <v>828</v>
      </c>
      <c r="C52" s="28" cm="1">
        <f t="array" aca="1" ref="C52" ca="1">IF($R$66&gt;=C$3,INDIRECT("'Loan "&amp;C$3&amp;"'!$C$37"),IF($R$66+$R$67&gt;=C$3,INDIRECT("'DFLoan"&amp;C$3-$R$66&amp;"'!$B$22"),""))</f>
        <v>0</v>
      </c>
      <c r="D52" s="28" t="str" cm="1">
        <f t="array" aca="1" ref="D52" ca="1">IF($R$66&gt;=D$3,INDIRECT("'Loan "&amp;D$3&amp;"'!$C$37"),IF($R$66+$R$67&gt;=D$3,INDIRECT("'DFLoan"&amp;D$3-$R$66&amp;"'!$B$22"),""))</f>
        <v/>
      </c>
      <c r="E52" s="28" t="str" cm="1">
        <f t="array" aca="1" ref="E52" ca="1">IF($R$66&gt;=E$3,INDIRECT("'Loan "&amp;E$3&amp;"'!$C$37"),IF($R$66+$R$67&gt;=E$3,INDIRECT("'DFLoan"&amp;E$3-$R$66&amp;"'!$B$22"),""))</f>
        <v/>
      </c>
      <c r="F52" s="28" t="str" cm="1">
        <f t="array" aca="1" ref="F52" ca="1">IF($R$66&gt;=F$3,INDIRECT("'Loan "&amp;F$3&amp;"'!$C$37"),IF($R$66+$R$67&gt;=F$3,INDIRECT("'DFLoan"&amp;F$3-$R$66&amp;"'!$B$22"),""))</f>
        <v/>
      </c>
      <c r="G52" s="28" t="str" cm="1">
        <f t="array" aca="1" ref="G52" ca="1">IF($R$66&gt;=G$3,INDIRECT("'Loan "&amp;G$3&amp;"'!$C$37"),IF($R$66+$R$67&gt;=G$3,INDIRECT("'DFLoan"&amp;G$3-$R$66&amp;"'!$B$22"),""))</f>
        <v/>
      </c>
      <c r="H52" s="28" t="str" cm="1">
        <f t="array" aca="1" ref="H52" ca="1">IF($R$66&gt;=H$3,INDIRECT("'Loan "&amp;H$3&amp;"'!$C$37"),IF($R$66+$R$67&gt;=H$3,INDIRECT("'DFLoan"&amp;H$3-$R$66&amp;"'!$B$22"),""))</f>
        <v/>
      </c>
      <c r="I52" s="28" t="str" cm="1">
        <f t="array" aca="1" ref="I52" ca="1">IF($R$66&gt;=I$3,INDIRECT("'Loan "&amp;I$3&amp;"'!$C$37"),IF($R$66+$R$67&gt;=I$3,INDIRECT("'DFLoan"&amp;I$3-$R$66&amp;"'!$B$22"),""))</f>
        <v/>
      </c>
      <c r="J52" s="28" t="str" cm="1">
        <f t="array" aca="1" ref="J52" ca="1">IF($R$66&gt;=J$3,INDIRECT("'Loan "&amp;J$3&amp;"'!$C$37"),IF($R$66+$R$67&gt;=J$3,INDIRECT("'DFLoan"&amp;J$3-$R$66&amp;"'!$B$22"),""))</f>
        <v/>
      </c>
      <c r="K52" s="28" t="str" cm="1">
        <f t="array" aca="1" ref="K52" ca="1">IF($R$66&gt;=K$3,INDIRECT("'Loan "&amp;K$3&amp;"'!$C$37"),IF($R$66+$R$67&gt;=K$3,INDIRECT("'DFLoan"&amp;K$3-$R$66&amp;"'!$B$22"),""))</f>
        <v/>
      </c>
      <c r="L52" s="28" t="str" cm="1">
        <f t="array" aca="1" ref="L52" ca="1">IF($R$66&gt;=L$3,INDIRECT("'Loan "&amp;L$3&amp;"'!$C$37"),IF($R$66+$R$67&gt;=L$3,INDIRECT("'DFLoan"&amp;L$3-$R$66&amp;"'!$B$22"),""))</f>
        <v/>
      </c>
      <c r="M52" s="28" t="str" cm="1">
        <f t="array" aca="1" ref="M52" ca="1">IF($R$66&gt;=M$3,INDIRECT("'Loan "&amp;M$3&amp;"'!$C$37"),IF($R$66+$R$67&gt;=M$3,INDIRECT("'DFLoan"&amp;M$3-$R$66&amp;"'!$B$22"),""))</f>
        <v/>
      </c>
      <c r="N52" s="28" t="str" cm="1">
        <f t="array" aca="1" ref="N52" ca="1">IF($R$66&gt;=N$3,INDIRECT("'Loan "&amp;N$3&amp;"'!$C$37"),IF($R$66+$R$67&gt;=N$3,INDIRECT("'DFLoan"&amp;N$3-$R$66&amp;"'!$B$22"),""))</f>
        <v/>
      </c>
      <c r="O52" s="28" t="str" cm="1">
        <f t="array" aca="1" ref="O52" ca="1">IF($R$66&gt;=O$3,INDIRECT("'Loan "&amp;O$3&amp;"'!$C$37"),IF($R$66+$R$67&gt;=O$3,INDIRECT("'DFLoan"&amp;O$3-$R$66&amp;"'!$B$22"),""))</f>
        <v/>
      </c>
      <c r="P52" s="28" t="str" cm="1">
        <f t="array" aca="1" ref="P52" ca="1">IF($R$66&gt;=P$3,INDIRECT("'Loan "&amp;P$3&amp;"'!$C$37"),IF($R$66+$R$67&gt;=P$3,INDIRECT("'DFLoan"&amp;P$3-$R$66&amp;"'!$B$22"),""))</f>
        <v/>
      </c>
      <c r="Q52" s="28" t="str" cm="1">
        <f t="array" aca="1" ref="Q52" ca="1">IF($R$66&gt;=Q$3,INDIRECT("'Loan "&amp;Q$3&amp;"'!$C$37"),IF($R$66+$R$67&gt;=Q$3,INDIRECT("'DFLoan"&amp;Q$3-$R$66&amp;"'!$B$22"),""))</f>
        <v/>
      </c>
    </row>
    <row r="53" spans="1:17" x14ac:dyDescent="0.25">
      <c r="A53" s="33" t="s">
        <v>1249</v>
      </c>
      <c r="B53" s="36" t="s">
        <v>1414</v>
      </c>
      <c r="C53" s="35" cm="1">
        <f t="array" aca="1" ref="C53" ca="1">IF($R$66&gt;=C$3,INDIRECT("'Loan "&amp;C$3&amp;"'!$B$38"),IF($R$66+$R$67&gt;=C$3,INDIRECT("'DFLoan"&amp;C$3-$R$66&amp;"'!$B$23"),""))</f>
        <v>31841</v>
      </c>
      <c r="D53" s="35" t="str" cm="1">
        <f t="array" aca="1" ref="D53" ca="1">IF($R$66&gt;=D$3,INDIRECT("'Loan "&amp;D$3&amp;"'!$B$38"),IF($R$66+$R$67&gt;=D$3,INDIRECT("'DFLoan"&amp;D$3-$R$66&amp;"'!$B$23"),""))</f>
        <v/>
      </c>
      <c r="E53" s="35" t="str" cm="1">
        <f t="array" aca="1" ref="E53" ca="1">IF($R$66&gt;=E$3,INDIRECT("'Loan "&amp;E$3&amp;"'!$B$38"),IF($R$66+$R$67&gt;=E$3,INDIRECT("'DFLoan"&amp;E$3-$R$66&amp;"'!$B$23"),""))</f>
        <v/>
      </c>
      <c r="F53" s="35" t="str" cm="1">
        <f t="array" aca="1" ref="F53" ca="1">IF($R$66&gt;=F$3,INDIRECT("'Loan "&amp;F$3&amp;"'!$B$38"),IF($R$66+$R$67&gt;=F$3,INDIRECT("'DFLoan"&amp;F$3-$R$66&amp;"'!$B$23"),""))</f>
        <v/>
      </c>
      <c r="G53" s="35" t="str" cm="1">
        <f t="array" aca="1" ref="G53" ca="1">IF($R$66&gt;=G$3,INDIRECT("'Loan "&amp;G$3&amp;"'!$B$38"),IF($R$66+$R$67&gt;=G$3,INDIRECT("'DFLoan"&amp;G$3-$R$66&amp;"'!$B$23"),""))</f>
        <v/>
      </c>
      <c r="H53" s="35" t="str" cm="1">
        <f t="array" aca="1" ref="H53" ca="1">IF($R$66&gt;=H$3,INDIRECT("'Loan "&amp;H$3&amp;"'!$B$38"),IF($R$66+$R$67&gt;=H$3,INDIRECT("'DFLoan"&amp;H$3-$R$66&amp;"'!$B$23"),""))</f>
        <v/>
      </c>
      <c r="I53" s="35" t="str" cm="1">
        <f t="array" aca="1" ref="I53" ca="1">IF($R$66&gt;=I$3,INDIRECT("'Loan "&amp;I$3&amp;"'!$B$38"),IF($R$66+$R$67&gt;=I$3,INDIRECT("'DFLoan"&amp;I$3-$R$66&amp;"'!$B$23"),""))</f>
        <v/>
      </c>
      <c r="J53" s="35" t="str" cm="1">
        <f t="array" aca="1" ref="J53" ca="1">IF($R$66&gt;=J$3,INDIRECT("'Loan "&amp;J$3&amp;"'!$B$38"),IF($R$66+$R$67&gt;=J$3,INDIRECT("'DFLoan"&amp;J$3-$R$66&amp;"'!$B$23"),""))</f>
        <v/>
      </c>
      <c r="K53" s="35" t="str" cm="1">
        <f t="array" aca="1" ref="K53" ca="1">IF($R$66&gt;=K$3,INDIRECT("'Loan "&amp;K$3&amp;"'!$B$38"),IF($R$66+$R$67&gt;=K$3,INDIRECT("'DFLoan"&amp;K$3-$R$66&amp;"'!$B$23"),""))</f>
        <v/>
      </c>
      <c r="L53" s="35" t="str" cm="1">
        <f t="array" aca="1" ref="L53" ca="1">IF($R$66&gt;=L$3,INDIRECT("'Loan "&amp;L$3&amp;"'!$B$38"),IF($R$66+$R$67&gt;=L$3,INDIRECT("'DFLoan"&amp;L$3-$R$66&amp;"'!$B$23"),""))</f>
        <v/>
      </c>
      <c r="M53" s="35" t="str" cm="1">
        <f t="array" aca="1" ref="M53" ca="1">IF($R$66&gt;=M$3,INDIRECT("'Loan "&amp;M$3&amp;"'!$B$38"),IF($R$66+$R$67&gt;=M$3,INDIRECT("'DFLoan"&amp;M$3-$R$66&amp;"'!$B$23"),""))</f>
        <v/>
      </c>
      <c r="N53" s="35" t="str" cm="1">
        <f t="array" aca="1" ref="N53" ca="1">IF($R$66&gt;=N$3,INDIRECT("'Loan "&amp;N$3&amp;"'!$B$38"),IF($R$66+$R$67&gt;=N$3,INDIRECT("'DFLoan"&amp;N$3-$R$66&amp;"'!$B$23"),""))</f>
        <v/>
      </c>
      <c r="O53" s="35" t="str" cm="1">
        <f t="array" aca="1" ref="O53" ca="1">IF($R$66&gt;=O$3,INDIRECT("'Loan "&amp;O$3&amp;"'!$B$38"),IF($R$66+$R$67&gt;=O$3,INDIRECT("'DFLoan"&amp;O$3-$R$66&amp;"'!$B$23"),""))</f>
        <v/>
      </c>
      <c r="P53" s="35" t="str" cm="1">
        <f t="array" aca="1" ref="P53" ca="1">IF($R$66&gt;=P$3,INDIRECT("'Loan "&amp;P$3&amp;"'!$B$38"),IF($R$66+$R$67&gt;=P$3,INDIRECT("'DFLoan"&amp;P$3-$R$66&amp;"'!$B$23"),""))</f>
        <v/>
      </c>
      <c r="Q53" s="35" t="str" cm="1">
        <f t="array" aca="1" ref="Q53" ca="1">IF($R$66&gt;=Q$3,INDIRECT("'Loan "&amp;Q$3&amp;"'!$B$38"),IF($R$66+$R$67&gt;=Q$3,INDIRECT("'DFLoan"&amp;Q$3-$R$66&amp;"'!$B$23"),""))</f>
        <v/>
      </c>
    </row>
    <row r="54" spans="1:17" x14ac:dyDescent="0.25">
      <c r="A54" s="33" t="s">
        <v>1251</v>
      </c>
      <c r="B54" s="34" t="s">
        <v>829</v>
      </c>
      <c r="C54" s="35" cm="1">
        <f t="array" aca="1" ref="C54" ca="1">IF($R$66&gt;=C$3,INDIRECT("'Loan "&amp;C$3&amp;"'!$C$38"),IF($R$66+$R$67&gt;=C$3,INDIRECT("'DFLoan"&amp;C$3-$R$66&amp;"'!$B$23"),""))</f>
        <v>31841</v>
      </c>
      <c r="D54" s="35" t="str" cm="1">
        <f t="array" aca="1" ref="D54" ca="1">IF($R$66&gt;=D$3,INDIRECT("'Loan "&amp;D$3&amp;"'!$C$38"),IF($R$66+$R$67&gt;=D$3,INDIRECT("'DFLoan"&amp;D$3-$R$66&amp;"'!$B$23"),""))</f>
        <v/>
      </c>
      <c r="E54" s="35" t="str" cm="1">
        <f t="array" aca="1" ref="E54" ca="1">IF($R$66&gt;=E$3,INDIRECT("'Loan "&amp;E$3&amp;"'!$C$38"),IF($R$66+$R$67&gt;=E$3,INDIRECT("'DFLoan"&amp;E$3-$R$66&amp;"'!$B$23"),""))</f>
        <v/>
      </c>
      <c r="F54" s="35" t="str" cm="1">
        <f t="array" aca="1" ref="F54" ca="1">IF($R$66&gt;=F$3,INDIRECT("'Loan "&amp;F$3&amp;"'!$C$38"),IF($R$66+$R$67&gt;=F$3,INDIRECT("'DFLoan"&amp;F$3-$R$66&amp;"'!$B$23"),""))</f>
        <v/>
      </c>
      <c r="G54" s="35" t="str" cm="1">
        <f t="array" aca="1" ref="G54" ca="1">IF($R$66&gt;=G$3,INDIRECT("'Loan "&amp;G$3&amp;"'!$C$38"),IF($R$66+$R$67&gt;=G$3,INDIRECT("'DFLoan"&amp;G$3-$R$66&amp;"'!$B$23"),""))</f>
        <v/>
      </c>
      <c r="H54" s="35" t="str" cm="1">
        <f t="array" aca="1" ref="H54" ca="1">IF($R$66&gt;=H$3,INDIRECT("'Loan "&amp;H$3&amp;"'!$C$38"),IF($R$66+$R$67&gt;=H$3,INDIRECT("'DFLoan"&amp;H$3-$R$66&amp;"'!$B$23"),""))</f>
        <v/>
      </c>
      <c r="I54" s="35" t="str" cm="1">
        <f t="array" aca="1" ref="I54" ca="1">IF($R$66&gt;=I$3,INDIRECT("'Loan "&amp;I$3&amp;"'!$C$38"),IF($R$66+$R$67&gt;=I$3,INDIRECT("'DFLoan"&amp;I$3-$R$66&amp;"'!$B$23"),""))</f>
        <v/>
      </c>
      <c r="J54" s="35" t="str" cm="1">
        <f t="array" aca="1" ref="J54" ca="1">IF($R$66&gt;=J$3,INDIRECT("'Loan "&amp;J$3&amp;"'!$C$38"),IF($R$66+$R$67&gt;=J$3,INDIRECT("'DFLoan"&amp;J$3-$R$66&amp;"'!$B$23"),""))</f>
        <v/>
      </c>
      <c r="K54" s="35" t="str" cm="1">
        <f t="array" aca="1" ref="K54" ca="1">IF($R$66&gt;=K$3,INDIRECT("'Loan "&amp;K$3&amp;"'!$C$38"),IF($R$66+$R$67&gt;=K$3,INDIRECT("'DFLoan"&amp;K$3-$R$66&amp;"'!$B$23"),""))</f>
        <v/>
      </c>
      <c r="L54" s="35" t="str" cm="1">
        <f t="array" aca="1" ref="L54" ca="1">IF($R$66&gt;=L$3,INDIRECT("'Loan "&amp;L$3&amp;"'!$C$38"),IF($R$66+$R$67&gt;=L$3,INDIRECT("'DFLoan"&amp;L$3-$R$66&amp;"'!$B$23"),""))</f>
        <v/>
      </c>
      <c r="M54" s="35" t="str" cm="1">
        <f t="array" aca="1" ref="M54" ca="1">IF($R$66&gt;=M$3,INDIRECT("'Loan "&amp;M$3&amp;"'!$C$38"),IF($R$66+$R$67&gt;=M$3,INDIRECT("'DFLoan"&amp;M$3-$R$66&amp;"'!$B$23"),""))</f>
        <v/>
      </c>
      <c r="N54" s="35" t="str" cm="1">
        <f t="array" aca="1" ref="N54" ca="1">IF($R$66&gt;=N$3,INDIRECT("'Loan "&amp;N$3&amp;"'!$C$38"),IF($R$66+$R$67&gt;=N$3,INDIRECT("'DFLoan"&amp;N$3-$R$66&amp;"'!$B$23"),""))</f>
        <v/>
      </c>
      <c r="O54" s="35" t="str" cm="1">
        <f t="array" aca="1" ref="O54" ca="1">IF($R$66&gt;=O$3,INDIRECT("'Loan "&amp;O$3&amp;"'!$C$38"),IF($R$66+$R$67&gt;=O$3,INDIRECT("'DFLoan"&amp;O$3-$R$66&amp;"'!$B$23"),""))</f>
        <v/>
      </c>
      <c r="P54" s="35" t="str" cm="1">
        <f t="array" aca="1" ref="P54" ca="1">IF($R$66&gt;=P$3,INDIRECT("'Loan "&amp;P$3&amp;"'!$C$38"),IF($R$66+$R$67&gt;=P$3,INDIRECT("'DFLoan"&amp;P$3-$R$66&amp;"'!$B$23"),""))</f>
        <v/>
      </c>
      <c r="Q54" s="35" t="str" cm="1">
        <f t="array" aca="1" ref="Q54" ca="1">IF($R$66&gt;=Q$3,INDIRECT("'Loan "&amp;Q$3&amp;"'!$C$38"),IF($R$66+$R$67&gt;=Q$3,INDIRECT("'DFLoan"&amp;Q$3-$R$66&amp;"'!$B$23"),""))</f>
        <v/>
      </c>
    </row>
    <row r="55" spans="1:17" x14ac:dyDescent="0.25">
      <c r="A55" s="7" t="s">
        <v>1252</v>
      </c>
      <c r="B55" s="49" t="s">
        <v>1415</v>
      </c>
      <c r="C55" s="28" cm="1">
        <f t="array" aca="1" ref="C55" ca="1">IF($R$66&gt;=C$3,INDIRECT("'Loan "&amp;C$3&amp;"'!$B$39"),"")</f>
        <v>0</v>
      </c>
      <c r="D55" s="28" t="str" cm="1">
        <f t="array" aca="1" ref="D55" ca="1">IF($R$66&gt;=D$3,INDIRECT("'Loan "&amp;D$3&amp;"'!$B$39"),"")</f>
        <v/>
      </c>
      <c r="E55" s="28" t="str" cm="1">
        <f t="array" aca="1" ref="E55" ca="1">IF($R$66&gt;=E$3,INDIRECT("'Loan "&amp;E$3&amp;"'!$B$39"),"")</f>
        <v/>
      </c>
      <c r="F55" s="28" t="str" cm="1">
        <f t="array" aca="1" ref="F55" ca="1">IF($R$66&gt;=F$3,INDIRECT("'Loan "&amp;F$3&amp;"'!$B$39"),"")</f>
        <v/>
      </c>
      <c r="G55" s="28" t="str" cm="1">
        <f t="array" aca="1" ref="G55" ca="1">IF($R$66&gt;=G$3,INDIRECT("'Loan "&amp;G$3&amp;"'!$B$39"),"")</f>
        <v/>
      </c>
      <c r="H55" s="28" t="str" cm="1">
        <f t="array" aca="1" ref="H55" ca="1">IF($R$66&gt;=H$3,INDIRECT("'Loan "&amp;H$3&amp;"'!$B$39"),"")</f>
        <v/>
      </c>
      <c r="I55" s="28" t="str" cm="1">
        <f t="array" aca="1" ref="I55" ca="1">IF($R$66&gt;=I$3,INDIRECT("'Loan "&amp;I$3&amp;"'!$B$39"),"")</f>
        <v/>
      </c>
      <c r="J55" s="28" t="str" cm="1">
        <f t="array" aca="1" ref="J55" ca="1">IF($R$66&gt;=J$3,INDIRECT("'Loan "&amp;J$3&amp;"'!$B$39"),"")</f>
        <v/>
      </c>
      <c r="K55" s="28" t="str" cm="1">
        <f t="array" aca="1" ref="K55" ca="1">IF($R$66&gt;=K$3,INDIRECT("'Loan "&amp;K$3&amp;"'!$B$39"),"")</f>
        <v/>
      </c>
      <c r="L55" s="28" t="str" cm="1">
        <f t="array" aca="1" ref="L55" ca="1">IF($R$66&gt;=L$3,INDIRECT("'Loan "&amp;L$3&amp;"'!$B$39"),"")</f>
        <v/>
      </c>
      <c r="M55" s="28" t="str" cm="1">
        <f t="array" aca="1" ref="M55" ca="1">IF($R$66&gt;=M$3,INDIRECT("'Loan "&amp;M$3&amp;"'!$B$39"),"")</f>
        <v/>
      </c>
      <c r="N55" s="28" t="str" cm="1">
        <f t="array" aca="1" ref="N55" ca="1">IF($R$66&gt;=N$3,INDIRECT("'Loan "&amp;N$3&amp;"'!$B$39"),"")</f>
        <v/>
      </c>
      <c r="O55" s="28" t="str" cm="1">
        <f t="array" aca="1" ref="O55" ca="1">IF($R$66&gt;=O$3,INDIRECT("'Loan "&amp;O$3&amp;"'!$B$39"),"")</f>
        <v/>
      </c>
      <c r="P55" s="28" t="str" cm="1">
        <f t="array" aca="1" ref="P55" ca="1">IF($R$66&gt;=P$3,INDIRECT("'Loan "&amp;P$3&amp;"'!$B$39"),"")</f>
        <v/>
      </c>
      <c r="Q55" s="28" t="str" cm="1">
        <f t="array" aca="1" ref="Q55" ca="1">IF($R$66&gt;=Q$3,INDIRECT("'Loan "&amp;Q$3&amp;"'!$B$39"),"")</f>
        <v/>
      </c>
    </row>
    <row r="56" spans="1:17" x14ac:dyDescent="0.25">
      <c r="A56" s="7" t="s">
        <v>1254</v>
      </c>
      <c r="B56" s="49" t="s">
        <v>831</v>
      </c>
      <c r="C56" s="28" cm="1">
        <f t="array" aca="1" ref="C56" ca="1">IF($R$66&gt;=C$3,INDIRECT("'Loan "&amp;C$3&amp;"'!$C$39"),"")</f>
        <v>0</v>
      </c>
      <c r="D56" s="28" t="str" cm="1">
        <f t="array" aca="1" ref="D56" ca="1">IF($R$66&gt;=D$3,INDIRECT("'Loan "&amp;D$3&amp;"'!$C$39"),"")</f>
        <v/>
      </c>
      <c r="E56" s="28" t="str" cm="1">
        <f t="array" aca="1" ref="E56" ca="1">IF($R$66&gt;=E$3,INDIRECT("'Loan "&amp;E$3&amp;"'!$C$39"),"")</f>
        <v/>
      </c>
      <c r="F56" s="28" t="str" cm="1">
        <f t="array" aca="1" ref="F56" ca="1">IF($R$66&gt;=F$3,INDIRECT("'Loan "&amp;F$3&amp;"'!$C$39"),"")</f>
        <v/>
      </c>
      <c r="G56" s="28" t="str" cm="1">
        <f t="array" aca="1" ref="G56" ca="1">IF($R$66&gt;=G$3,INDIRECT("'Loan "&amp;G$3&amp;"'!$C$39"),"")</f>
        <v/>
      </c>
      <c r="H56" s="28" t="str" cm="1">
        <f t="array" aca="1" ref="H56" ca="1">IF($R$66&gt;=H$3,INDIRECT("'Loan "&amp;H$3&amp;"'!$C$39"),"")</f>
        <v/>
      </c>
      <c r="I56" s="28" t="str" cm="1">
        <f t="array" aca="1" ref="I56" ca="1">IF($R$66&gt;=I$3,INDIRECT("'Loan "&amp;I$3&amp;"'!$C$39"),"")</f>
        <v/>
      </c>
      <c r="J56" s="28" t="str" cm="1">
        <f t="array" aca="1" ref="J56" ca="1">IF($R$66&gt;=J$3,INDIRECT("'Loan "&amp;J$3&amp;"'!$C$39"),"")</f>
        <v/>
      </c>
      <c r="K56" s="28" t="str" cm="1">
        <f t="array" aca="1" ref="K56" ca="1">IF($R$66&gt;=K$3,INDIRECT("'Loan "&amp;K$3&amp;"'!$C$39"),"")</f>
        <v/>
      </c>
      <c r="L56" s="28" t="str" cm="1">
        <f t="array" aca="1" ref="L56" ca="1">IF($R$66&gt;=L$3,INDIRECT("'Loan "&amp;L$3&amp;"'!$C$39"),"")</f>
        <v/>
      </c>
      <c r="M56" s="28" t="str" cm="1">
        <f t="array" aca="1" ref="M56" ca="1">IF($R$66&gt;=M$3,INDIRECT("'Loan "&amp;M$3&amp;"'!$C$39"),"")</f>
        <v/>
      </c>
      <c r="N56" s="28" t="str" cm="1">
        <f t="array" aca="1" ref="N56" ca="1">IF($R$66&gt;=N$3,INDIRECT("'Loan "&amp;N$3&amp;"'!$C$39"),"")</f>
        <v/>
      </c>
      <c r="O56" s="28" t="str" cm="1">
        <f t="array" aca="1" ref="O56" ca="1">IF($R$66&gt;=O$3,INDIRECT("'Loan "&amp;O$3&amp;"'!$C$39"),"")</f>
        <v/>
      </c>
      <c r="P56" s="28" t="str" cm="1">
        <f t="array" aca="1" ref="P56" ca="1">IF($R$66&gt;=P$3,INDIRECT("'Loan "&amp;P$3&amp;"'!$C$39"),"")</f>
        <v/>
      </c>
      <c r="Q56" s="28" t="str" cm="1">
        <f t="array" aca="1" ref="Q56" ca="1">IF($R$66&gt;=Q$3,INDIRECT("'Loan "&amp;Q$3&amp;"'!$C$39"),"")</f>
        <v/>
      </c>
    </row>
    <row r="57" spans="1:17" x14ac:dyDescent="0.25">
      <c r="A57" s="7" t="s">
        <v>1255</v>
      </c>
      <c r="B57" t="s">
        <v>832</v>
      </c>
      <c r="C57" s="28" cm="1">
        <f t="array" aca="1" ref="C57" ca="1">IF($R$66&gt;=C$3,INDIRECT("'Loan "&amp;C$3&amp;"'!$B$40"),IF($R$66+$R$67&gt;=C$3,INDIRECT("'DFLoan"&amp;C$3-$R$66&amp;"'!$B$25"),""))</f>
        <v>11940</v>
      </c>
      <c r="D57" s="28" t="str" cm="1">
        <f t="array" aca="1" ref="D57" ca="1">IF($R$66&gt;=D$3,INDIRECT("'Loan "&amp;D$3&amp;"'!$B$40"),IF($R$66+$R$67&gt;=D$3,INDIRECT("'DFLoan"&amp;D$3-$R$66&amp;"'!$B$25"),""))</f>
        <v/>
      </c>
      <c r="E57" s="28" t="str" cm="1">
        <f t="array" aca="1" ref="E57" ca="1">IF($R$66&gt;=E$3,INDIRECT("'Loan "&amp;E$3&amp;"'!$B$40"),IF($R$66+$R$67&gt;=E$3,INDIRECT("'DFLoan"&amp;E$3-$R$66&amp;"'!$B$25"),""))</f>
        <v/>
      </c>
      <c r="F57" s="28" t="str" cm="1">
        <f t="array" aca="1" ref="F57" ca="1">IF($R$66&gt;=F$3,INDIRECT("'Loan "&amp;F$3&amp;"'!$B$40"),IF($R$66+$R$67&gt;=F$3,INDIRECT("'DFLoan"&amp;F$3-$R$66&amp;"'!$B$25"),""))</f>
        <v/>
      </c>
      <c r="G57" s="28" t="str" cm="1">
        <f t="array" aca="1" ref="G57" ca="1">IF($R$66&gt;=G$3,INDIRECT("'Loan "&amp;G$3&amp;"'!$B$40"),IF($R$66+$R$67&gt;=G$3,INDIRECT("'DFLoan"&amp;G$3-$R$66&amp;"'!$B$25"),""))</f>
        <v/>
      </c>
      <c r="H57" s="28" t="str" cm="1">
        <f t="array" aca="1" ref="H57" ca="1">IF($R$66&gt;=H$3,INDIRECT("'Loan "&amp;H$3&amp;"'!$B$40"),IF($R$66+$R$67&gt;=H$3,INDIRECT("'DFLoan"&amp;H$3-$R$66&amp;"'!$B$25"),""))</f>
        <v/>
      </c>
      <c r="I57" s="28" t="str" cm="1">
        <f t="array" aca="1" ref="I57" ca="1">IF($R$66&gt;=I$3,INDIRECT("'Loan "&amp;I$3&amp;"'!$B$40"),IF($R$66+$R$67&gt;=I$3,INDIRECT("'DFLoan"&amp;I$3-$R$66&amp;"'!$B$25"),""))</f>
        <v/>
      </c>
      <c r="J57" s="28" t="str" cm="1">
        <f t="array" aca="1" ref="J57" ca="1">IF($R$66&gt;=J$3,INDIRECT("'Loan "&amp;J$3&amp;"'!$B$40"),IF($R$66+$R$67&gt;=J$3,INDIRECT("'DFLoan"&amp;J$3-$R$66&amp;"'!$B$25"),""))</f>
        <v/>
      </c>
      <c r="K57" s="28" t="str" cm="1">
        <f t="array" aca="1" ref="K57" ca="1">IF($R$66&gt;=K$3,INDIRECT("'Loan "&amp;K$3&amp;"'!$B$40"),IF($R$66+$R$67&gt;=K$3,INDIRECT("'DFLoan"&amp;K$3-$R$66&amp;"'!$B$25"),""))</f>
        <v/>
      </c>
      <c r="L57" s="28" t="str" cm="1">
        <f t="array" aca="1" ref="L57" ca="1">IF($R$66&gt;=L$3,INDIRECT("'Loan "&amp;L$3&amp;"'!$B$40"),IF($R$66+$R$67&gt;=L$3,INDIRECT("'DFLoan"&amp;L$3-$R$66&amp;"'!$B$25"),""))</f>
        <v/>
      </c>
      <c r="M57" s="28" t="str" cm="1">
        <f t="array" aca="1" ref="M57" ca="1">IF($R$66&gt;=M$3,INDIRECT("'Loan "&amp;M$3&amp;"'!$B$40"),IF($R$66+$R$67&gt;=M$3,INDIRECT("'DFLoan"&amp;M$3-$R$66&amp;"'!$B$25"),""))</f>
        <v/>
      </c>
      <c r="N57" s="28" t="str" cm="1">
        <f t="array" aca="1" ref="N57" ca="1">IF($R$66&gt;=N$3,INDIRECT("'Loan "&amp;N$3&amp;"'!$B$40"),IF($R$66+$R$67&gt;=N$3,INDIRECT("'DFLoan"&amp;N$3-$R$66&amp;"'!$B$25"),""))</f>
        <v/>
      </c>
      <c r="O57" s="28" t="str" cm="1">
        <f t="array" aca="1" ref="O57" ca="1">IF($R$66&gt;=O$3,INDIRECT("'Loan "&amp;O$3&amp;"'!$B$40"),IF($R$66+$R$67&gt;=O$3,INDIRECT("'DFLoan"&amp;O$3-$R$66&amp;"'!$B$25"),""))</f>
        <v/>
      </c>
      <c r="P57" s="28" t="str" cm="1">
        <f t="array" aca="1" ref="P57" ca="1">IF($R$66&gt;=P$3,INDIRECT("'Loan "&amp;P$3&amp;"'!$B$40"),IF($R$66+$R$67&gt;=P$3,INDIRECT("'DFLoan"&amp;P$3-$R$66&amp;"'!$B$25"),""))</f>
        <v/>
      </c>
      <c r="Q57" s="28" t="str" cm="1">
        <f t="array" aca="1" ref="Q57" ca="1">IF($R$66&gt;=Q$3,INDIRECT("'Loan "&amp;Q$3&amp;"'!$B$40"),IF($R$66+$R$67&gt;=Q$3,INDIRECT("'DFLoan"&amp;Q$3-$R$66&amp;"'!$B$25"),""))</f>
        <v/>
      </c>
    </row>
    <row r="58" spans="1:17" x14ac:dyDescent="0.25">
      <c r="A58" s="7" t="s">
        <v>1256</v>
      </c>
      <c r="B58" t="s">
        <v>834</v>
      </c>
      <c r="C58" s="28" cm="1">
        <f t="array" aca="1" ref="C58" ca="1">IF($R$66&gt;=C$3,INDIRECT("'Loan "&amp;C$3&amp;"'!$C$40"),IF($R$66+$R$67&gt;=C$3,INDIRECT("'DFLoan"&amp;C$3-$R$66&amp;"'!$B$26"),""))</f>
        <v>0</v>
      </c>
      <c r="D58" s="28" t="str" cm="1">
        <f t="array" aca="1" ref="D58" ca="1">IF($R$66&gt;=D$3,INDIRECT("'Loan "&amp;D$3&amp;"'!$C$40"),IF($R$66+$R$67&gt;=D$3,INDIRECT("'DFLoan"&amp;D$3-$R$66&amp;"'!$B$26"),""))</f>
        <v/>
      </c>
      <c r="E58" s="28" t="str" cm="1">
        <f t="array" aca="1" ref="E58" ca="1">IF($R$66&gt;=E$3,INDIRECT("'Loan "&amp;E$3&amp;"'!$C$40"),IF($R$66+$R$67&gt;=E$3,INDIRECT("'DFLoan"&amp;E$3-$R$66&amp;"'!$B$26"),""))</f>
        <v/>
      </c>
      <c r="F58" s="28" t="str" cm="1">
        <f t="array" aca="1" ref="F58" ca="1">IF($R$66&gt;=F$3,INDIRECT("'Loan "&amp;F$3&amp;"'!$C$40"),IF($R$66+$R$67&gt;=F$3,INDIRECT("'DFLoan"&amp;F$3-$R$66&amp;"'!$B$26"),""))</f>
        <v/>
      </c>
      <c r="G58" s="28" t="str" cm="1">
        <f t="array" aca="1" ref="G58" ca="1">IF($R$66&gt;=G$3,INDIRECT("'Loan "&amp;G$3&amp;"'!$C$40"),IF($R$66+$R$67&gt;=G$3,INDIRECT("'DFLoan"&amp;G$3-$R$66&amp;"'!$B$26"),""))</f>
        <v/>
      </c>
      <c r="H58" s="28" t="str" cm="1">
        <f t="array" aca="1" ref="H58" ca="1">IF($R$66&gt;=H$3,INDIRECT("'Loan "&amp;H$3&amp;"'!$C$40"),IF($R$66+$R$67&gt;=H$3,INDIRECT("'DFLoan"&amp;H$3-$R$66&amp;"'!$B$26"),""))</f>
        <v/>
      </c>
      <c r="I58" s="28" t="str" cm="1">
        <f t="array" aca="1" ref="I58" ca="1">IF($R$66&gt;=I$3,INDIRECT("'Loan "&amp;I$3&amp;"'!$C$40"),IF($R$66+$R$67&gt;=I$3,INDIRECT("'DFLoan"&amp;I$3-$R$66&amp;"'!$B$26"),""))</f>
        <v/>
      </c>
      <c r="J58" s="28" t="str" cm="1">
        <f t="array" aca="1" ref="J58" ca="1">IF($R$66&gt;=J$3,INDIRECT("'Loan "&amp;J$3&amp;"'!$C$40"),IF($R$66+$R$67&gt;=J$3,INDIRECT("'DFLoan"&amp;J$3-$R$66&amp;"'!$B$26"),""))</f>
        <v/>
      </c>
      <c r="K58" s="28" t="str" cm="1">
        <f t="array" aca="1" ref="K58" ca="1">IF($R$66&gt;=K$3,INDIRECT("'Loan "&amp;K$3&amp;"'!$C$40"),IF($R$66+$R$67&gt;=K$3,INDIRECT("'DFLoan"&amp;K$3-$R$66&amp;"'!$B$26"),""))</f>
        <v/>
      </c>
      <c r="L58" s="28" t="str" cm="1">
        <f t="array" aca="1" ref="L58" ca="1">IF($R$66&gt;=L$3,INDIRECT("'Loan "&amp;L$3&amp;"'!$C$40"),IF($R$66+$R$67&gt;=L$3,INDIRECT("'DFLoan"&amp;L$3-$R$66&amp;"'!$B$26"),""))</f>
        <v/>
      </c>
      <c r="M58" s="28" t="str" cm="1">
        <f t="array" aca="1" ref="M58" ca="1">IF($R$66&gt;=M$3,INDIRECT("'Loan "&amp;M$3&amp;"'!$C$40"),IF($R$66+$R$67&gt;=M$3,INDIRECT("'DFLoan"&amp;M$3-$R$66&amp;"'!$B$26"),""))</f>
        <v/>
      </c>
      <c r="N58" s="28" t="str" cm="1">
        <f t="array" aca="1" ref="N58" ca="1">IF($R$66&gt;=N$3,INDIRECT("'Loan "&amp;N$3&amp;"'!$C$40"),IF($R$66+$R$67&gt;=N$3,INDIRECT("'DFLoan"&amp;N$3-$R$66&amp;"'!$B$26"),""))</f>
        <v/>
      </c>
      <c r="O58" s="28" t="str" cm="1">
        <f t="array" aca="1" ref="O58" ca="1">IF($R$66&gt;=O$3,INDIRECT("'Loan "&amp;O$3&amp;"'!$C$40"),IF($R$66+$R$67&gt;=O$3,INDIRECT("'DFLoan"&amp;O$3-$R$66&amp;"'!$B$26"),""))</f>
        <v/>
      </c>
      <c r="P58" s="28" t="str" cm="1">
        <f t="array" aca="1" ref="P58" ca="1">IF($R$66&gt;=P$3,INDIRECT("'Loan "&amp;P$3&amp;"'!$C$40"),IF($R$66+$R$67&gt;=P$3,INDIRECT("'DFLoan"&amp;P$3-$R$66&amp;"'!$B$26"),""))</f>
        <v/>
      </c>
      <c r="Q58" s="28" t="str" cm="1">
        <f t="array" aca="1" ref="Q58" ca="1">IF($R$66&gt;=Q$3,INDIRECT("'Loan "&amp;Q$3&amp;"'!$C$40"),IF($R$66+$R$67&gt;=Q$3,INDIRECT("'DFLoan"&amp;Q$3-$R$66&amp;"'!$B$26"),""))</f>
        <v/>
      </c>
    </row>
    <row r="59" spans="1:17" x14ac:dyDescent="0.25">
      <c r="A59" s="7" t="s">
        <v>1257</v>
      </c>
      <c r="B59" s="49" t="s">
        <v>833</v>
      </c>
      <c r="C59" s="28" cm="1">
        <f t="array" aca="1" ref="C59" ca="1">IF($R$66&gt;=C$3,INDIRECT("'Loan "&amp;C$3&amp;"'!$B$41"),"")</f>
        <v>0</v>
      </c>
      <c r="D59" s="28" t="str" cm="1">
        <f t="array" aca="1" ref="D59" ca="1">IF($R$66&gt;=D$3,INDIRECT("'Loan "&amp;D$3&amp;"'!$B$41"),"")</f>
        <v/>
      </c>
      <c r="E59" s="28" t="str" cm="1">
        <f t="array" aca="1" ref="E59" ca="1">IF($R$66&gt;=E$3,INDIRECT("'Loan "&amp;E$3&amp;"'!$B$41"),"")</f>
        <v/>
      </c>
      <c r="F59" s="28" t="str" cm="1">
        <f t="array" aca="1" ref="F59" ca="1">IF($R$66&gt;=F$3,INDIRECT("'Loan "&amp;F$3&amp;"'!$B$41"),"")</f>
        <v/>
      </c>
      <c r="G59" s="28" t="str" cm="1">
        <f t="array" aca="1" ref="G59" ca="1">IF($R$66&gt;=G$3,INDIRECT("'Loan "&amp;G$3&amp;"'!$B$41"),"")</f>
        <v/>
      </c>
      <c r="H59" s="28" t="str" cm="1">
        <f t="array" aca="1" ref="H59" ca="1">IF($R$66&gt;=H$3,INDIRECT("'Loan "&amp;H$3&amp;"'!$B$41"),"")</f>
        <v/>
      </c>
      <c r="I59" s="28" t="str" cm="1">
        <f t="array" aca="1" ref="I59" ca="1">IF($R$66&gt;=I$3,INDIRECT("'Loan "&amp;I$3&amp;"'!$B$41"),"")</f>
        <v/>
      </c>
      <c r="J59" s="28" t="str" cm="1">
        <f t="array" aca="1" ref="J59" ca="1">IF($R$66&gt;=J$3,INDIRECT("'Loan "&amp;J$3&amp;"'!$B$41"),"")</f>
        <v/>
      </c>
      <c r="K59" s="28" t="str" cm="1">
        <f t="array" aca="1" ref="K59" ca="1">IF($R$66&gt;=K$3,INDIRECT("'Loan "&amp;K$3&amp;"'!$B$41"),"")</f>
        <v/>
      </c>
      <c r="L59" s="28" t="str" cm="1">
        <f t="array" aca="1" ref="L59" ca="1">IF($R$66&gt;=L$3,INDIRECT("'Loan "&amp;L$3&amp;"'!$B$41"),"")</f>
        <v/>
      </c>
      <c r="M59" s="28" t="str" cm="1">
        <f t="array" aca="1" ref="M59" ca="1">IF($R$66&gt;=M$3,INDIRECT("'Loan "&amp;M$3&amp;"'!$B$41"),"")</f>
        <v/>
      </c>
      <c r="N59" s="28" t="str" cm="1">
        <f t="array" aca="1" ref="N59" ca="1">IF($R$66&gt;=N$3,INDIRECT("'Loan "&amp;N$3&amp;"'!$B$41"),"")</f>
        <v/>
      </c>
      <c r="O59" s="28" t="str" cm="1">
        <f t="array" aca="1" ref="O59" ca="1">IF($R$66&gt;=O$3,INDIRECT("'Loan "&amp;O$3&amp;"'!$B$41"),"")</f>
        <v/>
      </c>
      <c r="P59" s="28" t="str" cm="1">
        <f t="array" aca="1" ref="P59" ca="1">IF($R$66&gt;=P$3,INDIRECT("'Loan "&amp;P$3&amp;"'!$B$41"),"")</f>
        <v/>
      </c>
      <c r="Q59" s="28" t="str" cm="1">
        <f t="array" aca="1" ref="Q59" ca="1">IF($R$66&gt;=Q$3,INDIRECT("'Loan "&amp;Q$3&amp;"'!$B$41"),"")</f>
        <v/>
      </c>
    </row>
    <row r="60" spans="1:17" x14ac:dyDescent="0.25">
      <c r="A60" s="7" t="s">
        <v>1258</v>
      </c>
      <c r="B60" s="49" t="s">
        <v>835</v>
      </c>
      <c r="C60" s="28" cm="1">
        <f t="array" aca="1" ref="C60" ca="1">IF($R$66&gt;=C$3,INDIRECT("'Loan "&amp;C$3&amp;"'!$C$41"),"")</f>
        <v>0</v>
      </c>
      <c r="D60" s="28" t="str" cm="1">
        <f t="array" aca="1" ref="D60" ca="1">IF($R$66&gt;=D$3,INDIRECT("'Loan "&amp;D$3&amp;"'!$C$41"),"")</f>
        <v/>
      </c>
      <c r="E60" s="28" t="str" cm="1">
        <f t="array" aca="1" ref="E60" ca="1">IF($R$66&gt;=E$3,INDIRECT("'Loan "&amp;E$3&amp;"'!$C$41"),"")</f>
        <v/>
      </c>
      <c r="F60" s="28" t="str" cm="1">
        <f t="array" aca="1" ref="F60" ca="1">IF($R$66&gt;=F$3,INDIRECT("'Loan "&amp;F$3&amp;"'!$C$41"),"")</f>
        <v/>
      </c>
      <c r="G60" s="28" t="str" cm="1">
        <f t="array" aca="1" ref="G60" ca="1">IF($R$66&gt;=G$3,INDIRECT("'Loan "&amp;G$3&amp;"'!$C$41"),"")</f>
        <v/>
      </c>
      <c r="H60" s="28" t="str" cm="1">
        <f t="array" aca="1" ref="H60" ca="1">IF($R$66&gt;=H$3,INDIRECT("'Loan "&amp;H$3&amp;"'!$C$41"),"")</f>
        <v/>
      </c>
      <c r="I60" s="28" t="str" cm="1">
        <f t="array" aca="1" ref="I60" ca="1">IF($R$66&gt;=I$3,INDIRECT("'Loan "&amp;I$3&amp;"'!$C$41"),"")</f>
        <v/>
      </c>
      <c r="J60" s="28" t="str" cm="1">
        <f t="array" aca="1" ref="J60" ca="1">IF($R$66&gt;=J$3,INDIRECT("'Loan "&amp;J$3&amp;"'!$C$41"),"")</f>
        <v/>
      </c>
      <c r="K60" s="28" t="str" cm="1">
        <f t="array" aca="1" ref="K60" ca="1">IF($R$66&gt;=K$3,INDIRECT("'Loan "&amp;K$3&amp;"'!$C$41"),"")</f>
        <v/>
      </c>
      <c r="L60" s="28" t="str" cm="1">
        <f t="array" aca="1" ref="L60" ca="1">IF($R$66&gt;=L$3,INDIRECT("'Loan "&amp;L$3&amp;"'!$C$41"),"")</f>
        <v/>
      </c>
      <c r="M60" s="28" t="str" cm="1">
        <f t="array" aca="1" ref="M60" ca="1">IF($R$66&gt;=M$3,INDIRECT("'Loan "&amp;M$3&amp;"'!$C$41"),"")</f>
        <v/>
      </c>
      <c r="N60" s="28" t="str" cm="1">
        <f t="array" aca="1" ref="N60" ca="1">IF($R$66&gt;=N$3,INDIRECT("'Loan "&amp;N$3&amp;"'!$C$41"),"")</f>
        <v/>
      </c>
      <c r="O60" s="28" t="str" cm="1">
        <f t="array" aca="1" ref="O60" ca="1">IF($R$66&gt;=O$3,INDIRECT("'Loan "&amp;O$3&amp;"'!$C$41"),"")</f>
        <v/>
      </c>
      <c r="P60" s="28" t="str" cm="1">
        <f t="array" aca="1" ref="P60" ca="1">IF($R$66&gt;=P$3,INDIRECT("'Loan "&amp;P$3&amp;"'!$C$41"),"")</f>
        <v/>
      </c>
      <c r="Q60" s="28" t="str" cm="1">
        <f t="array" aca="1" ref="Q60" ca="1">IF($R$66&gt;=Q$3,INDIRECT("'Loan "&amp;Q$3&amp;"'!$C$41"),"")</f>
        <v/>
      </c>
    </row>
    <row r="61" spans="1:17" x14ac:dyDescent="0.25">
      <c r="A61" s="7" t="str">
        <f>"Principal Due in "&amp;Year_DestinationYearID+1</f>
        <v>Principal Due in 2025</v>
      </c>
      <c r="B61" t="s">
        <v>830</v>
      </c>
      <c r="C61" s="28" cm="1">
        <f t="array" aca="1" ref="C61" ca="1">IF($R$66&gt;=C$3,INDIRECT("'Loan "&amp;C$3&amp;"'!$B$43"),IF($R$66+$R$67&gt;=C$3,INDIRECT("'DFLoan"&amp;C$3-$R$66&amp;"'!$B$24"),""))</f>
        <v>0</v>
      </c>
      <c r="D61" s="28" t="str" cm="1">
        <f t="array" aca="1" ref="D61" ca="1">IF($R$66&gt;=D$3,INDIRECT("'Loan "&amp;D$3&amp;"'!$B$43"),IF($R$66+$R$67&gt;=D$3,INDIRECT("'DFLoan"&amp;D$3-$R$66&amp;"'!$B$24"),""))</f>
        <v/>
      </c>
      <c r="E61" s="28" t="str" cm="1">
        <f t="array" aca="1" ref="E61" ca="1">IF($R$66&gt;=E$3,INDIRECT("'Loan "&amp;E$3&amp;"'!$B$43"),IF($R$66+$R$67&gt;=E$3,INDIRECT("'DFLoan"&amp;E$3-$R$66&amp;"'!$B$24"),""))</f>
        <v/>
      </c>
      <c r="F61" s="28" t="str" cm="1">
        <f t="array" aca="1" ref="F61" ca="1">IF($R$66&gt;=F$3,INDIRECT("'Loan "&amp;F$3&amp;"'!$B$43"),IF($R$66+$R$67&gt;=F$3,INDIRECT("'DFLoan"&amp;F$3-$R$66&amp;"'!$B$24"),""))</f>
        <v/>
      </c>
      <c r="G61" s="28" t="str" cm="1">
        <f t="array" aca="1" ref="G61" ca="1">IF($R$66&gt;=G$3,INDIRECT("'Loan "&amp;G$3&amp;"'!$B$43"),IF($R$66+$R$67&gt;=G$3,INDIRECT("'DFLoan"&amp;G$3-$R$66&amp;"'!$B$24"),""))</f>
        <v/>
      </c>
      <c r="H61" s="28" t="str" cm="1">
        <f t="array" aca="1" ref="H61" ca="1">IF($R$66&gt;=H$3,INDIRECT("'Loan "&amp;H$3&amp;"'!$B$43"),IF($R$66+$R$67&gt;=H$3,INDIRECT("'DFLoan"&amp;H$3-$R$66&amp;"'!$B$24"),""))</f>
        <v/>
      </c>
      <c r="I61" s="28" t="str" cm="1">
        <f t="array" aca="1" ref="I61" ca="1">IF($R$66&gt;=I$3,INDIRECT("'Loan "&amp;I$3&amp;"'!$B$43"),IF($R$66+$R$67&gt;=I$3,INDIRECT("'DFLoan"&amp;I$3-$R$66&amp;"'!$B$24"),""))</f>
        <v/>
      </c>
      <c r="J61" s="28" t="str" cm="1">
        <f t="array" aca="1" ref="J61" ca="1">IF($R$66&gt;=J$3,INDIRECT("'Loan "&amp;J$3&amp;"'!$B$43"),IF($R$66+$R$67&gt;=J$3,INDIRECT("'DFLoan"&amp;J$3-$R$66&amp;"'!$B$24"),""))</f>
        <v/>
      </c>
      <c r="K61" s="28" t="str" cm="1">
        <f t="array" aca="1" ref="K61" ca="1">IF($R$66&gt;=K$3,INDIRECT("'Loan "&amp;K$3&amp;"'!$B$43"),IF($R$66+$R$67&gt;=K$3,INDIRECT("'DFLoan"&amp;K$3-$R$66&amp;"'!$B$24"),""))</f>
        <v/>
      </c>
      <c r="L61" s="28" t="str" cm="1">
        <f t="array" aca="1" ref="L61" ca="1">IF($R$66&gt;=L$3,INDIRECT("'Loan "&amp;L$3&amp;"'!$B$43"),IF($R$66+$R$67&gt;=L$3,INDIRECT("'DFLoan"&amp;L$3-$R$66&amp;"'!$B$24"),""))</f>
        <v/>
      </c>
      <c r="M61" s="28" t="str" cm="1">
        <f t="array" aca="1" ref="M61" ca="1">IF($R$66&gt;=M$3,INDIRECT("'Loan "&amp;M$3&amp;"'!$B$43"),IF($R$66+$R$67&gt;=M$3,INDIRECT("'DFLoan"&amp;M$3-$R$66&amp;"'!$B$24"),""))</f>
        <v/>
      </c>
      <c r="N61" s="28" t="str" cm="1">
        <f t="array" aca="1" ref="N61" ca="1">IF($R$66&gt;=N$3,INDIRECT("'Loan "&amp;N$3&amp;"'!$B$43"),IF($R$66+$R$67&gt;=N$3,INDIRECT("'DFLoan"&amp;N$3-$R$66&amp;"'!$B$24"),""))</f>
        <v/>
      </c>
      <c r="O61" s="28" t="str" cm="1">
        <f t="array" aca="1" ref="O61" ca="1">IF($R$66&gt;=O$3,INDIRECT("'Loan "&amp;O$3&amp;"'!$B$43"),IF($R$66+$R$67&gt;=O$3,INDIRECT("'DFLoan"&amp;O$3-$R$66&amp;"'!$B$24"),""))</f>
        <v/>
      </c>
      <c r="P61" s="28" t="str" cm="1">
        <f t="array" aca="1" ref="P61" ca="1">IF($R$66&gt;=P$3,INDIRECT("'Loan "&amp;P$3&amp;"'!$B$43"),IF($R$66+$R$67&gt;=P$3,INDIRECT("'DFLoan"&amp;P$3-$R$66&amp;"'!$B$24"),""))</f>
        <v/>
      </c>
      <c r="Q61" s="28" t="str" cm="1">
        <f t="array" aca="1" ref="Q61" ca="1">IF($R$66&gt;=Q$3,INDIRECT("'Loan "&amp;Q$3&amp;"'!$B$43"),IF($R$66+$R$67&gt;=Q$3,INDIRECT("'DFLoan"&amp;Q$3-$R$66&amp;"'!$B$24"),""))</f>
        <v/>
      </c>
    </row>
    <row r="62" spans="1:17" x14ac:dyDescent="0.25">
      <c r="A62" s="7" t="str">
        <f>"Interest Due in "&amp;Year_DestinationYearID+1</f>
        <v>Interest Due in 2025</v>
      </c>
      <c r="B62" t="s">
        <v>836</v>
      </c>
      <c r="C62" s="28" cm="1">
        <f t="array" aca="1" ref="C62" ca="1">IF($R$66&gt;=C$3,INDIRECT("'Loan "&amp;C$3&amp;"'!$B$44"),IF($R$66+$R$67&gt;=C$3,INDIRECT("'DFLoan"&amp;C$3-$R$66&amp;"'!$B$27"),""))</f>
        <v>0</v>
      </c>
      <c r="D62" s="28" t="str" cm="1">
        <f t="array" aca="1" ref="D62" ca="1">IF($R$66&gt;=D$3,INDIRECT("'Loan "&amp;D$3&amp;"'!$B$44"),IF($R$66+$R$67&gt;=D$3,INDIRECT("'DFLoan"&amp;D$3-$R$66&amp;"'!$B$27"),""))</f>
        <v/>
      </c>
      <c r="E62" s="28" t="str" cm="1">
        <f t="array" aca="1" ref="E62" ca="1">IF($R$66&gt;=E$3,INDIRECT("'Loan "&amp;E$3&amp;"'!$B$44"),IF($R$66+$R$67&gt;=E$3,INDIRECT("'DFLoan"&amp;E$3-$R$66&amp;"'!$B$27"),""))</f>
        <v/>
      </c>
      <c r="F62" s="28" t="str" cm="1">
        <f t="array" aca="1" ref="F62" ca="1">IF($R$66&gt;=F$3,INDIRECT("'Loan "&amp;F$3&amp;"'!$B$44"),IF($R$66+$R$67&gt;=F$3,INDIRECT("'DFLoan"&amp;F$3-$R$66&amp;"'!$B$27"),""))</f>
        <v/>
      </c>
      <c r="G62" s="28" t="str" cm="1">
        <f t="array" aca="1" ref="G62" ca="1">IF($R$66&gt;=G$3,INDIRECT("'Loan "&amp;G$3&amp;"'!$B$44"),IF($R$66+$R$67&gt;=G$3,INDIRECT("'DFLoan"&amp;G$3-$R$66&amp;"'!$B$27"),""))</f>
        <v/>
      </c>
      <c r="H62" s="28" t="str" cm="1">
        <f t="array" aca="1" ref="H62" ca="1">IF($R$66&gt;=H$3,INDIRECT("'Loan "&amp;H$3&amp;"'!$B$44"),IF($R$66+$R$67&gt;=H$3,INDIRECT("'DFLoan"&amp;H$3-$R$66&amp;"'!$B$27"),""))</f>
        <v/>
      </c>
      <c r="I62" s="28" t="str" cm="1">
        <f t="array" aca="1" ref="I62" ca="1">IF($R$66&gt;=I$3,INDIRECT("'Loan "&amp;I$3&amp;"'!$B$44"),IF($R$66+$R$67&gt;=I$3,INDIRECT("'DFLoan"&amp;I$3-$R$66&amp;"'!$B$27"),""))</f>
        <v/>
      </c>
      <c r="J62" s="28" t="str" cm="1">
        <f t="array" aca="1" ref="J62" ca="1">IF($R$66&gt;=J$3,INDIRECT("'Loan "&amp;J$3&amp;"'!$B$44"),IF($R$66+$R$67&gt;=J$3,INDIRECT("'DFLoan"&amp;J$3-$R$66&amp;"'!$B$27"),""))</f>
        <v/>
      </c>
      <c r="K62" s="28" t="str" cm="1">
        <f t="array" aca="1" ref="K62" ca="1">IF($R$66&gt;=K$3,INDIRECT("'Loan "&amp;K$3&amp;"'!$B$44"),IF($R$66+$R$67&gt;=K$3,INDIRECT("'DFLoan"&amp;K$3-$R$66&amp;"'!$B$27"),""))</f>
        <v/>
      </c>
      <c r="L62" s="28" t="str" cm="1">
        <f t="array" aca="1" ref="L62" ca="1">IF($R$66&gt;=L$3,INDIRECT("'Loan "&amp;L$3&amp;"'!$B$44"),IF($R$66+$R$67&gt;=L$3,INDIRECT("'DFLoan"&amp;L$3-$R$66&amp;"'!$B$27"),""))</f>
        <v/>
      </c>
      <c r="M62" s="28" t="str" cm="1">
        <f t="array" aca="1" ref="M62" ca="1">IF($R$66&gt;=M$3,INDIRECT("'Loan "&amp;M$3&amp;"'!$B$44"),IF($R$66+$R$67&gt;=M$3,INDIRECT("'DFLoan"&amp;M$3-$R$66&amp;"'!$B$27"),""))</f>
        <v/>
      </c>
      <c r="N62" s="28" t="str" cm="1">
        <f t="array" aca="1" ref="N62" ca="1">IF($R$66&gt;=N$3,INDIRECT("'Loan "&amp;N$3&amp;"'!$B$44"),IF($R$66+$R$67&gt;=N$3,INDIRECT("'DFLoan"&amp;N$3-$R$66&amp;"'!$B$27"),""))</f>
        <v/>
      </c>
      <c r="O62" s="28" t="str" cm="1">
        <f t="array" aca="1" ref="O62" ca="1">IF($R$66&gt;=O$3,INDIRECT("'Loan "&amp;O$3&amp;"'!$B$44"),IF($R$66+$R$67&gt;=O$3,INDIRECT("'DFLoan"&amp;O$3-$R$66&amp;"'!$B$27"),""))</f>
        <v/>
      </c>
      <c r="P62" s="28" t="str" cm="1">
        <f t="array" aca="1" ref="P62" ca="1">IF($R$66&gt;=P$3,INDIRECT("'Loan "&amp;P$3&amp;"'!$B$44"),IF($R$66+$R$67&gt;=P$3,INDIRECT("'DFLoan"&amp;P$3-$R$66&amp;"'!$B$27"),""))</f>
        <v/>
      </c>
      <c r="Q62" s="28" t="str" cm="1">
        <f t="array" aca="1" ref="Q62" ca="1">IF($R$66&gt;=Q$3,INDIRECT("'Loan "&amp;Q$3&amp;"'!$B$44"),IF($R$66+$R$67&gt;=Q$3,INDIRECT("'DFLoan"&amp;Q$3-$R$66&amp;"'!$B$27"),""))</f>
        <v/>
      </c>
    </row>
    <row r="63" spans="1:17" x14ac:dyDescent="0.25">
      <c r="A63" s="7" t="s">
        <v>176</v>
      </c>
      <c r="B63" t="s">
        <v>840</v>
      </c>
      <c r="C63" s="28" cm="1">
        <f t="array" aca="1" ref="C63" ca="1">IF($R$66&gt;=C$3,INDIRECT("'Loan "&amp;C$3&amp;"'!$A$46"),IF($R$66+$R$67&gt;=C$3,INDIRECT("'DFLoan"&amp;C$3-$R$66&amp;"'!$A$29"),""))</f>
        <v>0</v>
      </c>
      <c r="D63" s="28" t="str" cm="1">
        <f t="array" aca="1" ref="D63" ca="1">IF($R$66&gt;=D$3,INDIRECT("'Loan "&amp;D$3&amp;"'!$A$46"),IF($R$66+$R$67&gt;=D$3,INDIRECT("'DFLoan"&amp;D$3-$R$66&amp;"'!$A$29"),""))</f>
        <v/>
      </c>
      <c r="E63" s="28" t="str" cm="1">
        <f t="array" aca="1" ref="E63" ca="1">IF($R$66&gt;=E$3,INDIRECT("'Loan "&amp;E$3&amp;"'!$A$46"),IF($R$66+$R$67&gt;=E$3,INDIRECT("'DFLoan"&amp;E$3-$R$66&amp;"'!$A$29"),""))</f>
        <v/>
      </c>
      <c r="F63" s="28" t="str" cm="1">
        <f t="array" aca="1" ref="F63" ca="1">IF($R$66&gt;=F$3,INDIRECT("'Loan "&amp;F$3&amp;"'!$A$46"),IF($R$66+$R$67&gt;=F$3,INDIRECT("'DFLoan"&amp;F$3-$R$66&amp;"'!$A$29"),""))</f>
        <v/>
      </c>
      <c r="G63" s="28" t="str" cm="1">
        <f t="array" aca="1" ref="G63" ca="1">IF($R$66&gt;=G$3,INDIRECT("'Loan "&amp;G$3&amp;"'!$A$46"),IF($R$66+$R$67&gt;=G$3,INDIRECT("'DFLoan"&amp;G$3-$R$66&amp;"'!$A$29"),""))</f>
        <v/>
      </c>
      <c r="H63" s="28" t="str" cm="1">
        <f t="array" aca="1" ref="H63" ca="1">IF($R$66&gt;=H$3,INDIRECT("'Loan "&amp;H$3&amp;"'!$A$46"),IF($R$66+$R$67&gt;=H$3,INDIRECT("'DFLoan"&amp;H$3-$R$66&amp;"'!$A$29"),""))</f>
        <v/>
      </c>
      <c r="I63" s="28" t="str" cm="1">
        <f t="array" aca="1" ref="I63" ca="1">IF($R$66&gt;=I$3,INDIRECT("'Loan "&amp;I$3&amp;"'!$A$46"),IF($R$66+$R$67&gt;=I$3,INDIRECT("'DFLoan"&amp;I$3-$R$66&amp;"'!$A$29"),""))</f>
        <v/>
      </c>
      <c r="J63" s="28" t="str" cm="1">
        <f t="array" aca="1" ref="J63" ca="1">IF($R$66&gt;=J$3,INDIRECT("'Loan "&amp;J$3&amp;"'!$A$46"),IF($R$66+$R$67&gt;=J$3,INDIRECT("'DFLoan"&amp;J$3-$R$66&amp;"'!$A$29"),""))</f>
        <v/>
      </c>
      <c r="K63" s="28" t="str" cm="1">
        <f t="array" aca="1" ref="K63" ca="1">IF($R$66&gt;=K$3,INDIRECT("'Loan "&amp;K$3&amp;"'!$A$46"),IF($R$66+$R$67&gt;=K$3,INDIRECT("'DFLoan"&amp;K$3-$R$66&amp;"'!$A$29"),""))</f>
        <v/>
      </c>
      <c r="L63" s="28" t="str" cm="1">
        <f t="array" aca="1" ref="L63" ca="1">IF($R$66&gt;=L$3,INDIRECT("'Loan "&amp;L$3&amp;"'!$A$46"),IF($R$66+$R$67&gt;=L$3,INDIRECT("'DFLoan"&amp;L$3-$R$66&amp;"'!$A$29"),""))</f>
        <v/>
      </c>
      <c r="M63" s="28" t="str" cm="1">
        <f t="array" aca="1" ref="M63" ca="1">IF($R$66&gt;=M$3,INDIRECT("'Loan "&amp;M$3&amp;"'!$A$46"),IF($R$66+$R$67&gt;=M$3,INDIRECT("'DFLoan"&amp;M$3-$R$66&amp;"'!$A$29"),""))</f>
        <v/>
      </c>
      <c r="N63" s="28" t="str" cm="1">
        <f t="array" aca="1" ref="N63" ca="1">IF($R$66&gt;=N$3,INDIRECT("'Loan "&amp;N$3&amp;"'!$A$46"),IF($R$66+$R$67&gt;=N$3,INDIRECT("'DFLoan"&amp;N$3-$R$66&amp;"'!$A$29"),""))</f>
        <v/>
      </c>
      <c r="O63" s="28" t="str" cm="1">
        <f t="array" aca="1" ref="O63" ca="1">IF($R$66&gt;=O$3,INDIRECT("'Loan "&amp;O$3&amp;"'!$A$46"),IF($R$66+$R$67&gt;=O$3,INDIRECT("'DFLoan"&amp;O$3-$R$66&amp;"'!$A$29"),""))</f>
        <v/>
      </c>
      <c r="P63" s="28" t="str" cm="1">
        <f t="array" aca="1" ref="P63" ca="1">IF($R$66&gt;=P$3,INDIRECT("'Loan "&amp;P$3&amp;"'!$A$46"),IF($R$66+$R$67&gt;=P$3,INDIRECT("'DFLoan"&amp;P$3-$R$66&amp;"'!$A$29"),""))</f>
        <v/>
      </c>
      <c r="Q63" s="28" t="str" cm="1">
        <f t="array" aca="1" ref="Q63" ca="1">IF($R$66&gt;=Q$3,INDIRECT("'Loan "&amp;Q$3&amp;"'!$A$46"),IF($R$66+$R$67&gt;=Q$3,INDIRECT("'DFLoan"&amp;Q$3-$R$66&amp;"'!$A$29"),""))</f>
        <v/>
      </c>
    </row>
    <row r="64" spans="1:17" x14ac:dyDescent="0.25">
      <c r="A64" s="7" t="s">
        <v>839</v>
      </c>
      <c r="B64" t="s">
        <v>838</v>
      </c>
      <c r="C64" s="28">
        <f ca="1">IF(C5="","",1)</f>
        <v>1</v>
      </c>
      <c r="D64" s="28" t="str">
        <f t="shared" ref="D64:Q64" ca="1" si="1">IF(D5="","",1)</f>
        <v/>
      </c>
      <c r="E64" s="28" t="str">
        <f t="shared" ca="1" si="1"/>
        <v/>
      </c>
      <c r="F64" s="28" t="str">
        <f t="shared" ca="1" si="1"/>
        <v/>
      </c>
      <c r="G64" s="28" t="str">
        <f t="shared" ca="1" si="1"/>
        <v/>
      </c>
      <c r="H64" s="28" t="str">
        <f t="shared" ca="1" si="1"/>
        <v/>
      </c>
      <c r="I64" s="28" t="str">
        <f t="shared" ca="1" si="1"/>
        <v/>
      </c>
      <c r="J64" s="28" t="str">
        <f t="shared" ca="1" si="1"/>
        <v/>
      </c>
      <c r="K64" s="28" t="str">
        <f t="shared" ca="1" si="1"/>
        <v/>
      </c>
      <c r="L64" s="28" t="str">
        <f t="shared" ca="1" si="1"/>
        <v/>
      </c>
      <c r="M64" s="28" t="str">
        <f t="shared" ca="1" si="1"/>
        <v/>
      </c>
      <c r="N64" s="28" t="str">
        <f t="shared" ca="1" si="1"/>
        <v/>
      </c>
      <c r="O64" s="28" t="str">
        <f t="shared" ca="1" si="1"/>
        <v/>
      </c>
      <c r="P64" s="28" t="str">
        <f t="shared" ca="1" si="1"/>
        <v/>
      </c>
      <c r="Q64" s="28" t="str">
        <f t="shared" ca="1" si="1"/>
        <v/>
      </c>
    </row>
    <row r="65" spans="1:18" ht="15.75" thickBot="1" x14ac:dyDescent="0.3">
      <c r="A65" s="6"/>
    </row>
    <row r="66" spans="1:18" ht="15.75" thickBot="1" x14ac:dyDescent="0.3">
      <c r="A66" s="51" t="s">
        <v>880</v>
      </c>
      <c r="B66" s="48" t="s">
        <v>877</v>
      </c>
      <c r="C66" s="41">
        <f>'Loan 1'!$B10</f>
        <v>41092</v>
      </c>
      <c r="D66" s="41" t="str">
        <f>'Loan 2'!$B10</f>
        <v/>
      </c>
      <c r="E66" s="41" t="str">
        <f>'Loan 3'!$B10</f>
        <v/>
      </c>
      <c r="F66" s="41" t="str">
        <f>'Loan 4'!$B10</f>
        <v/>
      </c>
      <c r="G66" s="41" t="str">
        <f>'Loan 5'!$B10</f>
        <v/>
      </c>
      <c r="H66" s="41" t="str">
        <f>'Loan 6'!$B10</f>
        <v/>
      </c>
      <c r="I66" s="41" t="str">
        <f>'Loan 7'!$B10</f>
        <v/>
      </c>
      <c r="J66" s="41" t="str">
        <f>'Loan 8'!$B10</f>
        <v/>
      </c>
      <c r="K66" s="41" t="str">
        <f>'Loan 9'!$B10</f>
        <v/>
      </c>
      <c r="L66" s="41" t="str">
        <f>'Loan 10'!$B10</f>
        <v/>
      </c>
      <c r="M66" s="41" t="str">
        <f>'Loan 11'!$B10</f>
        <v/>
      </c>
      <c r="N66" s="41" t="str">
        <f>'Loan 12'!$B10</f>
        <v/>
      </c>
      <c r="O66" s="41" t="str">
        <f>'Loan 13'!$B10</f>
        <v/>
      </c>
      <c r="P66" s="41" t="str">
        <f>'Loan 14'!$B10</f>
        <v/>
      </c>
      <c r="Q66" s="41" t="str">
        <f>'Loan 15'!$B10</f>
        <v/>
      </c>
      <c r="R66" s="52">
        <f>15-COUNTIF(C66:Q66,"*")</f>
        <v>1</v>
      </c>
    </row>
    <row r="67" spans="1:18" ht="15.75" thickBot="1" x14ac:dyDescent="0.3">
      <c r="B67" s="48" t="s">
        <v>878</v>
      </c>
      <c r="C67" s="41" t="str">
        <f>DFLoan1!$B10</f>
        <v/>
      </c>
      <c r="D67" s="41" t="str">
        <f>DFLoan2!$B10</f>
        <v/>
      </c>
      <c r="E67" s="41" t="str">
        <f>DFLoan3!$B10</f>
        <v/>
      </c>
      <c r="F67" s="41" t="str">
        <f>DFLoan4!$B10</f>
        <v/>
      </c>
      <c r="G67" s="41" t="str">
        <f>DFLoan5!$B10</f>
        <v/>
      </c>
      <c r="H67" s="41" t="str">
        <f>DFLoan6!$B10</f>
        <v/>
      </c>
      <c r="I67" s="41" t="str">
        <f>DFLoan7!$B10</f>
        <v/>
      </c>
      <c r="J67" s="41" t="str">
        <f>DFLoan8!$B10</f>
        <v/>
      </c>
      <c r="K67" s="41" t="str">
        <f>DFLoan9!$B10</f>
        <v/>
      </c>
      <c r="L67" s="41" t="str">
        <f>DFLoan10!$B10</f>
        <v/>
      </c>
      <c r="M67" s="41" t="str">
        <f>DFLoan11!$B10</f>
        <v/>
      </c>
      <c r="N67" s="41" t="str">
        <f>DFLoan12!$B10</f>
        <v/>
      </c>
      <c r="O67" s="41" t="str">
        <f>DFLoan13!$B10</f>
        <v/>
      </c>
      <c r="P67" s="41" t="str">
        <f>DFLoan14!$B10</f>
        <v/>
      </c>
      <c r="Q67" s="41" t="str">
        <f>DFLoan15!$B10</f>
        <v/>
      </c>
      <c r="R67" s="52">
        <f>15-COUNTIF(C67:Q67,"*")</f>
        <v>0</v>
      </c>
    </row>
    <row r="69" spans="1:18" x14ac:dyDescent="0.25">
      <c r="C69" s="1"/>
    </row>
  </sheetData>
  <phoneticPr fontId="7" type="noConversion"/>
  <conditionalFormatting sqref="A1">
    <cfRule type="expression" dxfId="726" priority="4">
      <formula>#REF!="Exclude"</formula>
    </cfRule>
    <cfRule type="expression" dxfId="725" priority="5">
      <formula>#REF!="Error"</formula>
    </cfRule>
  </conditionalFormatting>
  <conditionalFormatting sqref="A2">
    <cfRule type="expression" dxfId="723" priority="1">
      <formula>#REF!="Exclude"</formula>
    </cfRule>
    <cfRule type="expression" dxfId="722" priority="2">
      <formula>#REF!="Error"</formula>
    </cfRule>
  </conditionalFormatting>
  <pageMargins left="0.7" right="0.7" top="0.75" bottom="0.75" header="0.3" footer="0.3"/>
  <pageSetup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3" id="{D9E9114D-912E-4D6D-B5B9-459C5BB34CCD}">
            <xm:f>COUNTIFS(Validation!$H:$H,MID(CELL("filename",A1),FIND("]",CELL("filename",A1))+1,255)&amp;CELL("address",A1))&gt;0</xm:f>
            <x14:dxf>
              <font>
                <b/>
                <i val="0"/>
                <color rgb="FFC00000"/>
              </font>
              <numFmt numFmtId="172" formatCode="_(\!* #,##0_);_(\!* \(#,##0\);_(\!* \-??_);_(\!\ @_)"/>
            </x14:dxf>
          </x14:cfRule>
          <xm:sqref>A1:A2</xm:sqref>
        </x14:conditionalFormatting>
      </x14:conditionalFormattings>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32B7E-0146-4733-8FAA-37956C8CFAB4}">
  <sheetPr>
    <tabColor rgb="FFEED382"/>
  </sheetPr>
  <dimension ref="A1:F38"/>
  <sheetViews>
    <sheetView showGridLines="0" workbookViewId="0">
      <selection activeCell="B7" sqref="B7"/>
    </sheetView>
  </sheetViews>
  <sheetFormatPr defaultRowHeight="15" x14ac:dyDescent="0.25"/>
  <cols>
    <col min="1" max="1" width="55.7109375" style="66" customWidth="1"/>
    <col min="2" max="3" width="20.7109375" style="66" customWidth="1"/>
    <col min="4" max="4" width="80.85546875" style="66" customWidth="1"/>
    <col min="5" max="5" width="14.7109375" style="66" customWidth="1"/>
    <col min="6" max="6" width="0" style="78" hidden="1" customWidth="1"/>
    <col min="7" max="16384" width="9.140625" style="66"/>
  </cols>
  <sheetData>
    <row r="1" spans="1:6" s="59" customFormat="1" ht="24.95" customHeight="1" x14ac:dyDescent="0.25">
      <c r="A1" s="59" t="str">
        <f>_xlfn.CONCAT("Office of the State Auditor  -  TIF Annual Reporting Form  -  ",Year_DestinationYearID)</f>
        <v>Office of the State Auditor  -  TIF Annual Reporting Form  -  2024</v>
      </c>
      <c r="F1" s="61"/>
    </row>
    <row r="2" spans="1:6" s="62" customFormat="1" ht="20.100000000000001" customHeight="1" x14ac:dyDescent="0.25">
      <c r="A2" s="58" t="str">
        <f>_xlfn.CONCAT(GovEntity_GovEntityName_Parent,"  -  ",GovEntity_GovEntityName)</f>
        <v>Spruce City  -  TIF 1-1 Downtown Redev</v>
      </c>
      <c r="F2" s="64"/>
    </row>
    <row r="3" spans="1:6" s="68" customFormat="1" ht="24.95" customHeight="1" x14ac:dyDescent="0.3">
      <c r="A3" s="65" t="s">
        <v>233</v>
      </c>
      <c r="B3" s="66"/>
      <c r="C3" s="66"/>
      <c r="F3" s="69"/>
    </row>
    <row r="4" spans="1:6" s="71" customFormat="1" x14ac:dyDescent="0.25">
      <c r="A4" s="217" t="s">
        <v>207</v>
      </c>
      <c r="B4" s="217"/>
      <c r="C4" s="217"/>
      <c r="D4" s="217"/>
      <c r="E4" s="217"/>
      <c r="F4" s="72" t="s">
        <v>119</v>
      </c>
    </row>
    <row r="5" spans="1:6" s="74" customFormat="1" ht="20.100000000000001" customHeight="1" x14ac:dyDescent="0.25">
      <c r="A5" s="73" t="str">
        <f>HYPERLINK("#'PAYGs'!B6","Click here to return to the PAYGs Tab")</f>
        <v>Click here to return to the PAYGs Tab</v>
      </c>
      <c r="D5" s="74" t="s">
        <v>121</v>
      </c>
      <c r="E5" s="74" t="s">
        <v>102</v>
      </c>
      <c r="F5" s="76"/>
    </row>
    <row r="6" spans="1:6" ht="20.100000000000001" customHeight="1" x14ac:dyDescent="0.25">
      <c r="A6" s="74" t="s">
        <v>234</v>
      </c>
      <c r="D6" s="77" t="str">
        <f ca="1">IFERROR(INDEX(Validation!G:G,MATCH("PAYG 13"&amp;CELL("address",D6),Validation!I:I,0)),"")</f>
        <v/>
      </c>
      <c r="E6" s="66" t="str">
        <f ca="1">IFERROR(INDEX(Validation!F:F,MATCH("PAYG 13"&amp;CELL("address",D6),Validation!I:I,0)),"")</f>
        <v/>
      </c>
      <c r="F6" s="78" t="s">
        <v>1006</v>
      </c>
    </row>
    <row r="7" spans="1:6" x14ac:dyDescent="0.25">
      <c r="A7" s="79" t="s">
        <v>210</v>
      </c>
      <c r="B7" s="103" t="str">
        <f>IF(NOT(ISBLANK('PAYG Input'!O5)),'PAYG Input'!O5,"")</f>
        <v/>
      </c>
      <c r="D7" s="77" t="str">
        <f ca="1">IFERROR(INDEX(Validation!G:G,MATCH("PAYG 13"&amp;CELL("address",D7),Validation!I:I,0)),"")</f>
        <v/>
      </c>
      <c r="E7" s="66" t="str">
        <f ca="1">IFERROR(INDEX(Validation!F:F,MATCH("PAYG 13"&amp;CELL("address",D7),Validation!I:I,0)),"")</f>
        <v/>
      </c>
      <c r="F7" s="85" t="str">
        <f>IF(NOT(ISBLANK('PAYG Input'!O4)),'PAYG Input'!O4,"")</f>
        <v/>
      </c>
    </row>
    <row r="8" spans="1:6" x14ac:dyDescent="0.25">
      <c r="A8" s="79" t="s">
        <v>211</v>
      </c>
      <c r="B8" s="120" t="str">
        <f>IF(NOT(ISBLANK('PAYG Input'!O6)),'PAYG Input'!O6,"")</f>
        <v/>
      </c>
      <c r="C8" s="129"/>
      <c r="D8" s="77" t="str">
        <f ca="1">IFERROR(INDEX(Validation!G:G,MATCH("PAYG 13"&amp;CELL("address",D8),Validation!I:I,0)),"")</f>
        <v/>
      </c>
      <c r="E8" s="66" t="str">
        <f ca="1">IFERROR(INDEX(Validation!F:F,MATCH("PAYG 13"&amp;CELL("address",D8),Validation!I:I,0)),"")</f>
        <v/>
      </c>
    </row>
    <row r="9" spans="1:6" x14ac:dyDescent="0.25">
      <c r="A9" s="79" t="s">
        <v>212</v>
      </c>
      <c r="B9" s="120" t="str">
        <f>IF(NOT(ISBLANK('PAYG Input'!O7)),'PAYG Input'!O7,"")</f>
        <v/>
      </c>
      <c r="C9" s="129"/>
      <c r="D9" s="77" t="str">
        <f ca="1">IFERROR(INDEX(Validation!G:G,MATCH("PAYG 13"&amp;CELL("address",D9),Validation!I:I,0)),"")</f>
        <v/>
      </c>
      <c r="E9" s="66" t="str">
        <f ca="1">IFERROR(INDEX(Validation!F:F,MATCH("PAYG 13"&amp;CELL("address",D9),Validation!I:I,0)),"")</f>
        <v/>
      </c>
    </row>
    <row r="10" spans="1:6" x14ac:dyDescent="0.25">
      <c r="A10" s="79" t="s">
        <v>213</v>
      </c>
      <c r="B10" s="121" t="str">
        <f>IF(NOT(ISBLANK('PAYG Input'!O8)),'PAYG Input'!O8,"")</f>
        <v/>
      </c>
      <c r="C10" s="132"/>
      <c r="D10" s="77" t="str">
        <f ca="1">IFERROR(INDEX(Validation!G:G,MATCH("PAYG 13"&amp;CELL("address",D10),Validation!I:I,0)),"")</f>
        <v/>
      </c>
      <c r="E10" s="66" t="str">
        <f ca="1">IFERROR(INDEX(Validation!F:F,MATCH("PAYG 13"&amp;CELL("address",D10),Validation!I:I,0)),"")</f>
        <v/>
      </c>
    </row>
    <row r="11" spans="1:6" x14ac:dyDescent="0.25">
      <c r="A11" s="79" t="s">
        <v>214</v>
      </c>
      <c r="B11" s="121" t="str">
        <f>IF(NOT(ISBLANK('PAYG Input'!O9)),'PAYG Input'!O9,"")</f>
        <v/>
      </c>
      <c r="C11" s="132"/>
      <c r="D11" s="77" t="str">
        <f ca="1">IFERROR(INDEX(Validation!G:G,MATCH("PAYG 13"&amp;CELL("address",D11),Validation!I:I,0)),"")</f>
        <v/>
      </c>
      <c r="E11" s="66" t="str">
        <f ca="1">IFERROR(INDEX(Validation!F:F,MATCH("PAYG 13"&amp;CELL("address",D11),Validation!I:I,0)),"")</f>
        <v/>
      </c>
    </row>
    <row r="12" spans="1:6" x14ac:dyDescent="0.25">
      <c r="A12" s="79" t="s">
        <v>235</v>
      </c>
      <c r="B12" s="122" t="str">
        <f>IF(NOT(ISBLANK('PAYG Input'!O10)),'PAYG Input'!O10,"")</f>
        <v/>
      </c>
      <c r="C12" s="128"/>
      <c r="D12" s="77" t="str">
        <f ca="1">IFERROR(INDEX(Validation!G:G,MATCH("PAYG 13"&amp;CELL("address",D12),Validation!I:I,0)),"")</f>
        <v/>
      </c>
      <c r="E12" s="66" t="str">
        <f ca="1">IFERROR(INDEX(Validation!F:F,MATCH("PAYG 13"&amp;CELL("address",D12),Validation!I:I,0)),"")</f>
        <v/>
      </c>
    </row>
    <row r="13" spans="1:6" x14ac:dyDescent="0.25">
      <c r="A13" s="79" t="s">
        <v>232</v>
      </c>
      <c r="B13" s="103" t="s">
        <v>41</v>
      </c>
      <c r="D13" s="77" t="str">
        <f ca="1">IFERROR(INDEX(Validation!G:G,MATCH("PAYG 13"&amp;CELL("address",D13),Validation!I:I,0)),"")</f>
        <v/>
      </c>
      <c r="E13" s="66" t="str">
        <f ca="1">IFERROR(INDEX(Validation!F:F,MATCH("PAYG 13"&amp;CELL("address",D13),Validation!I:I,0)),"")</f>
        <v/>
      </c>
    </row>
    <row r="14" spans="1:6" ht="20.100000000000001" customHeight="1" x14ac:dyDescent="0.25">
      <c r="A14" s="74" t="s">
        <v>681</v>
      </c>
      <c r="B14" s="74" t="s">
        <v>283</v>
      </c>
      <c r="C14" s="74" t="str">
        <f>Year_DestinationYearID&amp;" Amount"</f>
        <v>2024 Amount</v>
      </c>
      <c r="D14" s="77"/>
    </row>
    <row r="15" spans="1:6" x14ac:dyDescent="0.25">
      <c r="A15" s="79" t="s">
        <v>266</v>
      </c>
      <c r="B15" s="122" t="str">
        <f>IF(NOT(ISBLANK('PAYG Input'!O12)),'PAYG Input'!O12,"")</f>
        <v/>
      </c>
      <c r="C15" s="122"/>
      <c r="D15" s="77" t="str">
        <f ca="1">IFERROR(INDEX(Validation!G:G,MATCH("PAYG 13"&amp;CELL("address",D15),Validation!I:I,0)),"")</f>
        <v/>
      </c>
      <c r="E15" s="66" t="str">
        <f ca="1">IFERROR(INDEX(Validation!F:F,MATCH("PAYG 13"&amp;CELL("address",D15),Validation!I:I,0)),"")</f>
        <v/>
      </c>
    </row>
    <row r="16" spans="1:6" x14ac:dyDescent="0.25">
      <c r="A16" s="79" t="s">
        <v>267</v>
      </c>
      <c r="B16" s="122" t="str">
        <f>IF(NOT(ISBLANK('PAYG Input'!O14)),'PAYG Input'!O14,"")</f>
        <v/>
      </c>
      <c r="C16" s="122"/>
      <c r="D16" s="77" t="str">
        <f ca="1">IFERROR(INDEX(Validation!G:G,MATCH("PAYG 13"&amp;CELL("address",D16),Validation!I:I,0)),"")</f>
        <v/>
      </c>
      <c r="E16" s="66" t="str">
        <f ca="1">IFERROR(INDEX(Validation!F:F,MATCH("PAYG 13"&amp;CELL("address",D16),Validation!I:I,0)),"")</f>
        <v/>
      </c>
    </row>
    <row r="17" spans="1:5" x14ac:dyDescent="0.25">
      <c r="A17" s="79" t="s">
        <v>268</v>
      </c>
      <c r="B17" s="122" t="str">
        <f>IF(NOT(ISBLANK('PAYG Input'!O16)),'PAYG Input'!O16,"")</f>
        <v/>
      </c>
      <c r="C17" s="122"/>
      <c r="D17" s="77" t="str">
        <f ca="1">IFERROR(INDEX(Validation!G:G,MATCH("PAYG 13"&amp;CELL("address",D17),Validation!I:I,0)),"")</f>
        <v/>
      </c>
      <c r="E17" s="66" t="str">
        <f ca="1">IFERROR(INDEX(Validation!F:F,MATCH("PAYG 13"&amp;CELL("address",D17),Validation!I:I,0)),"")</f>
        <v/>
      </c>
    </row>
    <row r="18" spans="1:5" x14ac:dyDescent="0.25">
      <c r="A18" s="79" t="s">
        <v>269</v>
      </c>
      <c r="B18" s="122" t="str">
        <f>IF(NOT(ISBLANK('PAYG Input'!O18)),'PAYG Input'!O18,"")</f>
        <v/>
      </c>
      <c r="C18" s="122"/>
      <c r="D18" s="77" t="str">
        <f ca="1">IFERROR(INDEX(Validation!G:G,MATCH("PAYG 13"&amp;CELL("address",D18),Validation!I:I,0)),"")</f>
        <v/>
      </c>
      <c r="E18" s="66" t="str">
        <f ca="1">IFERROR(INDEX(Validation!F:F,MATCH("PAYG 13"&amp;CELL("address",D18),Validation!I:I,0)),"")</f>
        <v/>
      </c>
    </row>
    <row r="19" spans="1:5" x14ac:dyDescent="0.25">
      <c r="A19" s="79" t="s">
        <v>270</v>
      </c>
      <c r="B19" s="122" t="str">
        <f>IF(NOT(ISBLANK('PAYG Input'!O20)),'PAYG Input'!O20,"")</f>
        <v/>
      </c>
      <c r="C19" s="122"/>
      <c r="D19" s="77" t="str">
        <f ca="1">IFERROR(INDEX(Validation!G:G,MATCH("PAYG 13"&amp;CELL("address",D19),Validation!I:I,0)),"")</f>
        <v/>
      </c>
      <c r="E19" s="66" t="str">
        <f ca="1">IFERROR(INDEX(Validation!F:F,MATCH("PAYG 13"&amp;CELL("address",D19),Validation!I:I,0)),"")</f>
        <v/>
      </c>
    </row>
    <row r="20" spans="1:5" x14ac:dyDescent="0.25">
      <c r="A20" s="79" t="s">
        <v>272</v>
      </c>
      <c r="B20" s="122" t="str">
        <f>IF(NOT(ISBLANK('PAYG Input'!O22)),'PAYG Input'!O22,"")</f>
        <v/>
      </c>
      <c r="C20" s="122"/>
      <c r="D20" s="77" t="str">
        <f ca="1">IFERROR(INDEX(Validation!G:G,MATCH("PAYG 13"&amp;CELL("address",D20),Validation!I:I,0)),"")</f>
        <v/>
      </c>
      <c r="E20" s="66" t="str">
        <f ca="1">IFERROR(INDEX(Validation!F:F,MATCH("PAYG 13"&amp;CELL("address",D20),Validation!I:I,0)),"")</f>
        <v/>
      </c>
    </row>
    <row r="21" spans="1:5" x14ac:dyDescent="0.25">
      <c r="A21" s="130" t="s">
        <v>236</v>
      </c>
      <c r="B21" s="125">
        <f>SUM(B15:B20)</f>
        <v>0</v>
      </c>
      <c r="C21" s="125">
        <f>SUM(C15:C20)</f>
        <v>0</v>
      </c>
      <c r="D21" s="77" t="str">
        <f ca="1">IFERROR(INDEX(Validation!G:G,MATCH("PAYG 13"&amp;CELL("address",D21),Validation!I:I,0)),"")</f>
        <v/>
      </c>
      <c r="E21" s="66" t="str">
        <f ca="1">IFERROR(INDEX(Validation!F:F,MATCH("PAYG 13"&amp;CELL("address",D21),Validation!I:I,0)),"")</f>
        <v/>
      </c>
    </row>
    <row r="22" spans="1:5" x14ac:dyDescent="0.25">
      <c r="A22" s="131" t="s">
        <v>682</v>
      </c>
      <c r="B22" s="122" t="str">
        <f>IF(NOT(ISBLANK('PAYG Input'!O26)),'PAYG Input'!O26,"")</f>
        <v/>
      </c>
      <c r="C22" s="122"/>
      <c r="D22" s="77" t="str">
        <f ca="1">IFERROR(INDEX(Validation!G:G,MATCH("PAYG 13"&amp;CELL("address",D22),Validation!I:I,0)),"")</f>
        <v/>
      </c>
      <c r="E22" s="66" t="str">
        <f ca="1">IFERROR(INDEX(Validation!F:F,MATCH("PAYG 13"&amp;CELL("address",D22),Validation!I:I,0)),"")</f>
        <v/>
      </c>
    </row>
    <row r="23" spans="1:5" x14ac:dyDescent="0.25">
      <c r="A23" s="131" t="s">
        <v>683</v>
      </c>
      <c r="B23" s="122" t="str">
        <f>IF(NOT(ISBLANK('PAYG Input'!O28)),'PAYG Input'!O28,"")</f>
        <v/>
      </c>
      <c r="C23" s="122"/>
      <c r="D23" s="77" t="str">
        <f ca="1">IFERROR(INDEX(Validation!G:G,MATCH("PAYG 13"&amp;CELL("address",D23),Validation!I:I,0)),"")</f>
        <v/>
      </c>
      <c r="E23" s="66" t="str">
        <f ca="1">IFERROR(INDEX(Validation!F:F,MATCH("PAYG 13"&amp;CELL("address",D23),Validation!I:I,0)),"")</f>
        <v/>
      </c>
    </row>
    <row r="24" spans="1:5" ht="20.100000000000001" customHeight="1" x14ac:dyDescent="0.25">
      <c r="A24" s="74" t="s">
        <v>1311</v>
      </c>
      <c r="B24" s="74" t="s">
        <v>283</v>
      </c>
      <c r="C24" s="74" t="str">
        <f>Year_DestinationYearID&amp;" Amount"</f>
        <v>2024 Amount</v>
      </c>
      <c r="D24" s="77"/>
    </row>
    <row r="25" spans="1:5" x14ac:dyDescent="0.25">
      <c r="A25" s="79" t="s">
        <v>1188</v>
      </c>
      <c r="B25" s="122" t="str">
        <f>IF(NOT(ISBLANK('PAYG Input'!O30)),'PAYG Input'!O30,"")</f>
        <v/>
      </c>
      <c r="C25" s="122"/>
      <c r="D25" s="77" t="str">
        <f ca="1">IFERROR(INDEX(Validation!G:G,MATCH("PAYG 13"&amp;CELL("address",D25),Validation!I:I,0)),"")</f>
        <v/>
      </c>
      <c r="E25" s="66" t="str">
        <f ca="1">IFERROR(INDEX(Validation!F:F,MATCH("PAYG 13"&amp;CELL("address",D25),Validation!I:I,0)),"")</f>
        <v/>
      </c>
    </row>
    <row r="26" spans="1:5" x14ac:dyDescent="0.25">
      <c r="A26" s="79" t="s">
        <v>1190</v>
      </c>
      <c r="B26" s="122" t="str">
        <f>IF(NOT(ISBLANK('PAYG Input'!O32)),'PAYG Input'!O32,"")</f>
        <v/>
      </c>
      <c r="C26" s="122"/>
      <c r="D26" s="77" t="str">
        <f ca="1">IFERROR(INDEX(Validation!G:G,MATCH("PAYG 13"&amp;CELL("address",D26),Validation!I:I,0)),"")</f>
        <v/>
      </c>
      <c r="E26" s="66" t="str">
        <f ca="1">IFERROR(INDEX(Validation!F:F,MATCH("PAYG 13"&amp;CELL("address",D26),Validation!I:I,0)),"")</f>
        <v/>
      </c>
    </row>
    <row r="27" spans="1:5" x14ac:dyDescent="0.25">
      <c r="A27" s="79" t="s">
        <v>221</v>
      </c>
      <c r="B27" s="125" t="str">
        <f>IFERROR(B21-B25+B26,"")</f>
        <v/>
      </c>
      <c r="C27" s="125" t="str">
        <f>IFERROR(B21+C21-B25-C25+B26+C26,"")</f>
        <v/>
      </c>
      <c r="D27" s="77" t="str">
        <f ca="1">IFERROR(INDEX(Validation!G:G,MATCH("PAYG 13"&amp;CELL("address",D27),Validation!I:I,0)),"")</f>
        <v/>
      </c>
      <c r="E27" s="66" t="str">
        <f ca="1">IFERROR(INDEX(Validation!F:F,MATCH("PAYG 13"&amp;CELL("address",D27),Validation!I:I,0)),"")</f>
        <v/>
      </c>
    </row>
    <row r="28" spans="1:5" x14ac:dyDescent="0.25">
      <c r="A28" s="79" t="s">
        <v>223</v>
      </c>
      <c r="B28" s="122" t="str">
        <f>IF(NOT(ISBLANK('PAYG Input'!O36)),'PAYG Input'!O36,"")</f>
        <v/>
      </c>
      <c r="C28" s="122"/>
      <c r="D28" s="77" t="str">
        <f ca="1">IFERROR(INDEX(Validation!G:G,MATCH("PAYG 13"&amp;CELL("address",D28),Validation!I:I,0)),"")</f>
        <v/>
      </c>
      <c r="E28" s="66" t="str">
        <f ca="1">IFERROR(INDEX(Validation!F:F,MATCH("PAYG 13"&amp;CELL("address",D28),Validation!I:I,0)),"")</f>
        <v/>
      </c>
    </row>
    <row r="29" spans="1:5" x14ac:dyDescent="0.25">
      <c r="A29" s="79" t="s">
        <v>1191</v>
      </c>
      <c r="B29" s="122" t="str">
        <f>IF(NOT(ISBLANK('PAYG Input'!O38)),'PAYG Input'!O38,"")</f>
        <v/>
      </c>
      <c r="C29" s="122"/>
      <c r="D29" s="77" t="str">
        <f ca="1">IFERROR(INDEX(Validation!G:G,MATCH("PAYG 13"&amp;CELL("address",D29),Validation!I:I,0)),"")</f>
        <v/>
      </c>
      <c r="E29" s="66" t="str">
        <f ca="1">IFERROR(INDEX(Validation!F:F,MATCH("PAYG 13"&amp;CELL("address",D29),Validation!I:I,0)),"")</f>
        <v/>
      </c>
    </row>
    <row r="30" spans="1:5" ht="20.100000000000001" customHeight="1" x14ac:dyDescent="0.25">
      <c r="A30" s="74" t="str">
        <f>"Principal and Interest Due in "&amp;Year_DestinationYearID+1</f>
        <v>Principal and Interest Due in 2025</v>
      </c>
      <c r="B30" s="74"/>
      <c r="C30" s="128"/>
      <c r="D30" s="77"/>
    </row>
    <row r="31" spans="1:5" x14ac:dyDescent="0.25">
      <c r="A31" s="79" t="str">
        <f>"Principal Due in "&amp;Year_DestinationYearID+1</f>
        <v>Principal Due in 2025</v>
      </c>
      <c r="B31" s="122"/>
      <c r="C31" s="128"/>
      <c r="D31" s="77" t="str">
        <f ca="1">IFERROR(INDEX(Validation!G:G,MATCH("PAYG 13"&amp;CELL("address",D31),Validation!I:I,0)),"")</f>
        <v/>
      </c>
      <c r="E31" s="66" t="str">
        <f ca="1">IFERROR(INDEX(Validation!F:F,MATCH("PAYG 13"&amp;CELL("address",D31),Validation!I:I,0)),"")</f>
        <v/>
      </c>
    </row>
    <row r="32" spans="1:5" x14ac:dyDescent="0.25">
      <c r="A32" s="79" t="str">
        <f>"Interest Due in "&amp;Year_DestinationYearID+1</f>
        <v>Interest Due in 2025</v>
      </c>
      <c r="B32" s="122"/>
      <c r="C32" s="128"/>
      <c r="D32" s="77" t="str">
        <f ca="1">IFERROR(INDEX(Validation!G:G,MATCH("PAYG 13"&amp;CELL("address",D32),Validation!I:I,0)),"")</f>
        <v/>
      </c>
      <c r="E32" s="66" t="str">
        <f ca="1">IFERROR(INDEX(Validation!F:F,MATCH("PAYG 13"&amp;CELL("address",D32),Validation!I:I,0)),"")</f>
        <v/>
      </c>
    </row>
    <row r="33" spans="1:5" ht="20.100000000000001" customHeight="1" x14ac:dyDescent="0.25">
      <c r="A33" s="97" t="s">
        <v>176</v>
      </c>
      <c r="D33" s="77" t="str">
        <f ca="1">IF(AND(ISBLANK(A34),OR(COUNTIF(E6:E32,"Alert")&gt;0,SUM(B26:B26)&lt;&gt;0)),"Comment(s) required for remaining alert(s) and/or additions to principal.",IFERROR(INDEX(Validation!G:G,MATCH("PAYG 13"&amp;CELL("address",D34),Validation!I:I,0)),""))</f>
        <v/>
      </c>
      <c r="E33" s="66" t="str">
        <f ca="1">IF(AND(ISBLANK(A34),OR(COUNTIF(E6:E32,"Alert")&gt;0,SUM(B26:B26)&lt;&gt;0)),"Error",IFERROR(INDEX(Validation!F:F,MATCH("PAYG 13"&amp;CELL("address",D34),Validation!I:I,0)),""))</f>
        <v/>
      </c>
    </row>
    <row r="34" spans="1:5" ht="150" customHeight="1" x14ac:dyDescent="0.25">
      <c r="A34" s="123"/>
      <c r="B34" s="100" t="str">
        <f>HYPERLINK("#'PAYGs'!B6","Click here to return to the PAYGs Tab")</f>
        <v>Click here to return to the PAYGs Tab</v>
      </c>
      <c r="C34" s="127"/>
    </row>
    <row r="35" spans="1:5" x14ac:dyDescent="0.25">
      <c r="A35" s="98"/>
      <c r="B35" s="98"/>
      <c r="C35" s="98"/>
    </row>
    <row r="36" spans="1:5" x14ac:dyDescent="0.25">
      <c r="A36" s="98"/>
      <c r="B36" s="98"/>
      <c r="C36" s="98"/>
    </row>
    <row r="37" spans="1:5" x14ac:dyDescent="0.25">
      <c r="A37" s="98"/>
      <c r="B37" s="98"/>
      <c r="C37" s="98"/>
    </row>
    <row r="38" spans="1:5" x14ac:dyDescent="0.25">
      <c r="A38" s="98"/>
      <c r="B38" s="98"/>
      <c r="C38" s="98"/>
    </row>
  </sheetData>
  <sheetProtection algorithmName="SHA-512" hashValue="lMRQb/a2zpbvyDn7CGqhDU5S7VDEACIp9U3s8yUbFB2mon+ltSWh2DtL/k24N+5375w79pM3eJ3lTZ5DbbCJhw==" saltValue="lPG5ZDxJ6HmmuWs+NJ6c7A==" spinCount="100000" sheet="1" objects="1" scenarios="1"/>
  <mergeCells count="1">
    <mergeCell ref="A4:E4"/>
  </mergeCells>
  <conditionalFormatting sqref="A2">
    <cfRule type="expression" dxfId="290" priority="5">
      <formula>$E2="Error"</formula>
    </cfRule>
    <cfRule type="expression" dxfId="288" priority="7">
      <formula>$E2="Exclude"</formula>
    </cfRule>
  </conditionalFormatting>
  <conditionalFormatting sqref="D6:E33">
    <cfRule type="expression" dxfId="287" priority="1">
      <formula>$E6="Information"</formula>
    </cfRule>
    <cfRule type="expression" dxfId="286" priority="2">
      <formula>$E6="Error"</formula>
    </cfRule>
    <cfRule type="expression" dxfId="285" priority="3">
      <formula>$E6="Alert"</formula>
    </cfRule>
    <cfRule type="expression" dxfId="284" priority="4">
      <formula>$E6="Exclude"</formula>
    </cfRule>
  </conditionalFormatting>
  <dataValidations count="1">
    <dataValidation type="list" allowBlank="1" showInputMessage="1" showErrorMessage="1" sqref="B13:C13" xr:uid="{8D282FB4-0192-4DD8-8919-FACDB8C1D101}">
      <formula1>SelOneYesNo</formula1>
    </dataValidation>
  </dataValidations>
  <pageMargins left="0.7" right="0.7" top="0.75" bottom="0.75" header="0.3" footer="0.3"/>
  <pageSetup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6" id="{1D590080-B1BD-425C-9439-8DE69F47B60F}">
            <xm:f>COUNTIFS(Validation!$H:$H,MID(CELL("filename",A2),FIND("]",CELL("filename",A2))+1,255)&amp;CELL("address",A2))&gt;0</xm:f>
            <x14:dxf>
              <font>
                <b/>
                <i val="0"/>
                <color rgb="FFC00000"/>
              </font>
              <numFmt numFmtId="172" formatCode="_(\!* #,##0_);_(\!* \(#,##0\);_(\!* \-??_);_(\!\ @_)"/>
            </x14:dxf>
          </x14:cfRule>
          <xm:sqref>A2</xm:sqref>
        </x14:conditionalFormatting>
      </x14:conditionalFormatting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51524-9D77-40C8-B5C3-E5374DA6D11A}">
  <sheetPr>
    <tabColor rgb="FFEED382"/>
  </sheetPr>
  <dimension ref="A1:F38"/>
  <sheetViews>
    <sheetView showGridLines="0" workbookViewId="0">
      <selection activeCell="B7" sqref="B7"/>
    </sheetView>
  </sheetViews>
  <sheetFormatPr defaultRowHeight="15" x14ac:dyDescent="0.25"/>
  <cols>
    <col min="1" max="1" width="55.7109375" style="66" customWidth="1"/>
    <col min="2" max="3" width="20.7109375" style="66" customWidth="1"/>
    <col min="4" max="4" width="80.85546875" style="66" customWidth="1"/>
    <col min="5" max="5" width="14.7109375" style="66" customWidth="1"/>
    <col min="6" max="6" width="0" style="78" hidden="1" customWidth="1"/>
    <col min="7" max="16384" width="9.140625" style="66"/>
  </cols>
  <sheetData>
    <row r="1" spans="1:6" s="59" customFormat="1" ht="24.95" customHeight="1" x14ac:dyDescent="0.25">
      <c r="A1" s="59" t="str">
        <f>_xlfn.CONCAT("Office of the State Auditor  -  TIF Annual Reporting Form  -  ",Year_DestinationYearID)</f>
        <v>Office of the State Auditor  -  TIF Annual Reporting Form  -  2024</v>
      </c>
      <c r="F1" s="61"/>
    </row>
    <row r="2" spans="1:6" s="62" customFormat="1" ht="20.100000000000001" customHeight="1" x14ac:dyDescent="0.25">
      <c r="A2" s="58" t="str">
        <f>_xlfn.CONCAT(GovEntity_GovEntityName_Parent,"  -  ",GovEntity_GovEntityName)</f>
        <v>Spruce City  -  TIF 1-1 Downtown Redev</v>
      </c>
      <c r="F2" s="64"/>
    </row>
    <row r="3" spans="1:6" s="68" customFormat="1" ht="24.95" customHeight="1" x14ac:dyDescent="0.3">
      <c r="A3" s="65" t="s">
        <v>233</v>
      </c>
      <c r="B3" s="66"/>
      <c r="C3" s="66"/>
      <c r="F3" s="69"/>
    </row>
    <row r="4" spans="1:6" s="71" customFormat="1" x14ac:dyDescent="0.25">
      <c r="A4" s="217" t="s">
        <v>207</v>
      </c>
      <c r="B4" s="217"/>
      <c r="C4" s="217"/>
      <c r="D4" s="217"/>
      <c r="E4" s="217"/>
      <c r="F4" s="72" t="s">
        <v>119</v>
      </c>
    </row>
    <row r="5" spans="1:6" s="74" customFormat="1" ht="20.100000000000001" customHeight="1" x14ac:dyDescent="0.25">
      <c r="A5" s="73" t="str">
        <f>HYPERLINK("#'PAYGs'!B6","Click here to return to the PAYGs Tab")</f>
        <v>Click here to return to the PAYGs Tab</v>
      </c>
      <c r="D5" s="74" t="s">
        <v>121</v>
      </c>
      <c r="E5" s="74" t="s">
        <v>102</v>
      </c>
      <c r="F5" s="76"/>
    </row>
    <row r="6" spans="1:6" ht="20.100000000000001" customHeight="1" x14ac:dyDescent="0.25">
      <c r="A6" s="74" t="s">
        <v>234</v>
      </c>
      <c r="D6" s="77" t="str">
        <f ca="1">IFERROR(INDEX(Validation!G:G,MATCH("PAYG 14"&amp;CELL("address",D6),Validation!I:I,0)),"")</f>
        <v/>
      </c>
      <c r="E6" s="66" t="str">
        <f ca="1">IFERROR(INDEX(Validation!F:F,MATCH("PAYG 14"&amp;CELL("address",D6),Validation!I:I,0)),"")</f>
        <v/>
      </c>
      <c r="F6" s="78" t="s">
        <v>1006</v>
      </c>
    </row>
    <row r="7" spans="1:6" x14ac:dyDescent="0.25">
      <c r="A7" s="79" t="s">
        <v>210</v>
      </c>
      <c r="B7" s="103" t="str">
        <f>IF(NOT(ISBLANK('PAYG Input'!P5)),'PAYG Input'!P5,"")</f>
        <v/>
      </c>
      <c r="D7" s="77" t="str">
        <f ca="1">IFERROR(INDEX(Validation!G:G,MATCH("PAYG 14"&amp;CELL("address",D7),Validation!I:I,0)),"")</f>
        <v/>
      </c>
      <c r="E7" s="66" t="str">
        <f ca="1">IFERROR(INDEX(Validation!F:F,MATCH("PAYG 14"&amp;CELL("address",D7),Validation!I:I,0)),"")</f>
        <v/>
      </c>
      <c r="F7" s="85" t="str">
        <f>IF(NOT(ISBLANK('PAYG Input'!P4)),'PAYG Input'!P4,"")</f>
        <v/>
      </c>
    </row>
    <row r="8" spans="1:6" x14ac:dyDescent="0.25">
      <c r="A8" s="79" t="s">
        <v>211</v>
      </c>
      <c r="B8" s="120" t="str">
        <f>IF(NOT(ISBLANK('PAYG Input'!P6)),'PAYG Input'!P6,"")</f>
        <v/>
      </c>
      <c r="C8" s="129"/>
      <c r="D8" s="77" t="str">
        <f ca="1">IFERROR(INDEX(Validation!G:G,MATCH("PAYG 14"&amp;CELL("address",D8),Validation!I:I,0)),"")</f>
        <v/>
      </c>
      <c r="E8" s="66" t="str">
        <f ca="1">IFERROR(INDEX(Validation!F:F,MATCH("PAYG 14"&amp;CELL("address",D8),Validation!I:I,0)),"")</f>
        <v/>
      </c>
    </row>
    <row r="9" spans="1:6" x14ac:dyDescent="0.25">
      <c r="A9" s="79" t="s">
        <v>212</v>
      </c>
      <c r="B9" s="120" t="str">
        <f>IF(NOT(ISBLANK('PAYG Input'!P7)),'PAYG Input'!P7,"")</f>
        <v/>
      </c>
      <c r="C9" s="129"/>
      <c r="D9" s="77" t="str">
        <f ca="1">IFERROR(INDEX(Validation!G:G,MATCH("PAYG 14"&amp;CELL("address",D9),Validation!I:I,0)),"")</f>
        <v/>
      </c>
      <c r="E9" s="66" t="str">
        <f ca="1">IFERROR(INDEX(Validation!F:F,MATCH("PAYG 14"&amp;CELL("address",D9),Validation!I:I,0)),"")</f>
        <v/>
      </c>
    </row>
    <row r="10" spans="1:6" x14ac:dyDescent="0.25">
      <c r="A10" s="79" t="s">
        <v>213</v>
      </c>
      <c r="B10" s="121" t="str">
        <f>IF(NOT(ISBLANK('PAYG Input'!P8)),'PAYG Input'!P8,"")</f>
        <v/>
      </c>
      <c r="C10" s="132"/>
      <c r="D10" s="77" t="str">
        <f ca="1">IFERROR(INDEX(Validation!G:G,MATCH("PAYG 14"&amp;CELL("address",D10),Validation!I:I,0)),"")</f>
        <v/>
      </c>
      <c r="E10" s="66" t="str">
        <f ca="1">IFERROR(INDEX(Validation!F:F,MATCH("PAYG 14"&amp;CELL("address",D10),Validation!I:I,0)),"")</f>
        <v/>
      </c>
    </row>
    <row r="11" spans="1:6" x14ac:dyDescent="0.25">
      <c r="A11" s="79" t="s">
        <v>214</v>
      </c>
      <c r="B11" s="121" t="str">
        <f>IF(NOT(ISBLANK('PAYG Input'!P9)),'PAYG Input'!P9,"")</f>
        <v/>
      </c>
      <c r="C11" s="132"/>
      <c r="D11" s="77" t="str">
        <f ca="1">IFERROR(INDEX(Validation!G:G,MATCH("PAYG 14"&amp;CELL("address",D11),Validation!I:I,0)),"")</f>
        <v/>
      </c>
      <c r="E11" s="66" t="str">
        <f ca="1">IFERROR(INDEX(Validation!F:F,MATCH("PAYG 14"&amp;CELL("address",D11),Validation!I:I,0)),"")</f>
        <v/>
      </c>
    </row>
    <row r="12" spans="1:6" x14ac:dyDescent="0.25">
      <c r="A12" s="79" t="s">
        <v>235</v>
      </c>
      <c r="B12" s="122" t="str">
        <f>IF(NOT(ISBLANK('PAYG Input'!P10)),'PAYG Input'!P10,"")</f>
        <v/>
      </c>
      <c r="C12" s="128"/>
      <c r="D12" s="77" t="str">
        <f ca="1">IFERROR(INDEX(Validation!G:G,MATCH("PAYG 14"&amp;CELL("address",D12),Validation!I:I,0)),"")</f>
        <v/>
      </c>
      <c r="E12" s="66" t="str">
        <f ca="1">IFERROR(INDEX(Validation!F:F,MATCH("PAYG 14"&amp;CELL("address",D12),Validation!I:I,0)),"")</f>
        <v/>
      </c>
    </row>
    <row r="13" spans="1:6" x14ac:dyDescent="0.25">
      <c r="A13" s="79" t="s">
        <v>232</v>
      </c>
      <c r="B13" s="103" t="str">
        <f>IF(ISBLANK('PAYG Input'!P11),"Select One",IF('PAYG Input'!P11=TRUE,"Yes","No"))</f>
        <v>Select One</v>
      </c>
      <c r="D13" s="77" t="str">
        <f ca="1">IFERROR(INDEX(Validation!G:G,MATCH("PAYG 14"&amp;CELL("address",D13),Validation!I:I,0)),"")</f>
        <v/>
      </c>
      <c r="E13" s="66" t="str">
        <f ca="1">IFERROR(INDEX(Validation!F:F,MATCH("PAYG 14"&amp;CELL("address",D13),Validation!I:I,0)),"")</f>
        <v/>
      </c>
    </row>
    <row r="14" spans="1:6" ht="20.100000000000001" customHeight="1" x14ac:dyDescent="0.25">
      <c r="A14" s="74" t="s">
        <v>681</v>
      </c>
      <c r="B14" s="74" t="s">
        <v>283</v>
      </c>
      <c r="C14" s="74" t="str">
        <f>Year_DestinationYearID&amp;" Amount"</f>
        <v>2024 Amount</v>
      </c>
      <c r="D14" s="77"/>
    </row>
    <row r="15" spans="1:6" x14ac:dyDescent="0.25">
      <c r="A15" s="79" t="s">
        <v>266</v>
      </c>
      <c r="B15" s="122" t="str">
        <f>IF(NOT(ISBLANK('PAYG Input'!P12)),'PAYG Input'!P12,"")</f>
        <v/>
      </c>
      <c r="C15" s="122"/>
      <c r="D15" s="77" t="str">
        <f ca="1">IFERROR(INDEX(Validation!G:G,MATCH("PAYG 14"&amp;CELL("address",D15),Validation!I:I,0)),"")</f>
        <v/>
      </c>
      <c r="E15" s="66" t="str">
        <f ca="1">IFERROR(INDEX(Validation!F:F,MATCH("PAYG 14"&amp;CELL("address",D15),Validation!I:I,0)),"")</f>
        <v/>
      </c>
    </row>
    <row r="16" spans="1:6" x14ac:dyDescent="0.25">
      <c r="A16" s="79" t="s">
        <v>267</v>
      </c>
      <c r="B16" s="122" t="str">
        <f>IF(NOT(ISBLANK('PAYG Input'!P14)),'PAYG Input'!P14,"")</f>
        <v/>
      </c>
      <c r="C16" s="122"/>
      <c r="D16" s="77" t="str">
        <f ca="1">IFERROR(INDEX(Validation!G:G,MATCH("PAYG 14"&amp;CELL("address",D16),Validation!I:I,0)),"")</f>
        <v/>
      </c>
      <c r="E16" s="66" t="str">
        <f ca="1">IFERROR(INDEX(Validation!F:F,MATCH("PAYG 14"&amp;CELL("address",D16),Validation!I:I,0)),"")</f>
        <v/>
      </c>
    </row>
    <row r="17" spans="1:5" x14ac:dyDescent="0.25">
      <c r="A17" s="79" t="s">
        <v>268</v>
      </c>
      <c r="B17" s="122" t="str">
        <f>IF(NOT(ISBLANK('PAYG Input'!P16)),'PAYG Input'!P16,"")</f>
        <v/>
      </c>
      <c r="C17" s="122"/>
      <c r="D17" s="77" t="str">
        <f ca="1">IFERROR(INDEX(Validation!G:G,MATCH("PAYG 14"&amp;CELL("address",D17),Validation!I:I,0)),"")</f>
        <v/>
      </c>
      <c r="E17" s="66" t="str">
        <f ca="1">IFERROR(INDEX(Validation!F:F,MATCH("PAYG 14"&amp;CELL("address",D17),Validation!I:I,0)),"")</f>
        <v/>
      </c>
    </row>
    <row r="18" spans="1:5" x14ac:dyDescent="0.25">
      <c r="A18" s="79" t="s">
        <v>269</v>
      </c>
      <c r="B18" s="122" t="str">
        <f>IF(NOT(ISBLANK('PAYG Input'!P18)),'PAYG Input'!P18,"")</f>
        <v/>
      </c>
      <c r="C18" s="122"/>
      <c r="D18" s="77" t="str">
        <f ca="1">IFERROR(INDEX(Validation!G:G,MATCH("PAYG 14"&amp;CELL("address",D18),Validation!I:I,0)),"")</f>
        <v/>
      </c>
      <c r="E18" s="66" t="str">
        <f ca="1">IFERROR(INDEX(Validation!F:F,MATCH("PAYG 14"&amp;CELL("address",D18),Validation!I:I,0)),"")</f>
        <v/>
      </c>
    </row>
    <row r="19" spans="1:5" x14ac:dyDescent="0.25">
      <c r="A19" s="79" t="s">
        <v>270</v>
      </c>
      <c r="B19" s="122" t="str">
        <f>IF(NOT(ISBLANK('PAYG Input'!P20)),'PAYG Input'!P20,"")</f>
        <v/>
      </c>
      <c r="C19" s="122"/>
      <c r="D19" s="77" t="str">
        <f ca="1">IFERROR(INDEX(Validation!G:G,MATCH("PAYG 14"&amp;CELL("address",D19),Validation!I:I,0)),"")</f>
        <v/>
      </c>
      <c r="E19" s="66" t="str">
        <f ca="1">IFERROR(INDEX(Validation!F:F,MATCH("PAYG 14"&amp;CELL("address",D19),Validation!I:I,0)),"")</f>
        <v/>
      </c>
    </row>
    <row r="20" spans="1:5" x14ac:dyDescent="0.25">
      <c r="A20" s="79" t="s">
        <v>272</v>
      </c>
      <c r="B20" s="122" t="str">
        <f>IF(NOT(ISBLANK('PAYG Input'!P22)),'PAYG Input'!P22,"")</f>
        <v/>
      </c>
      <c r="C20" s="122"/>
      <c r="D20" s="77" t="str">
        <f ca="1">IFERROR(INDEX(Validation!G:G,MATCH("PAYG 14"&amp;CELL("address",D20),Validation!I:I,0)),"")</f>
        <v/>
      </c>
      <c r="E20" s="66" t="str">
        <f ca="1">IFERROR(INDEX(Validation!F:F,MATCH("PAYG 14"&amp;CELL("address",D20),Validation!I:I,0)),"")</f>
        <v/>
      </c>
    </row>
    <row r="21" spans="1:5" x14ac:dyDescent="0.25">
      <c r="A21" s="130" t="s">
        <v>236</v>
      </c>
      <c r="B21" s="125">
        <f>SUM(B15:B20)</f>
        <v>0</v>
      </c>
      <c r="C21" s="125">
        <f>SUM(C15:C20)</f>
        <v>0</v>
      </c>
      <c r="D21" s="77" t="str">
        <f ca="1">IFERROR(INDEX(Validation!G:G,MATCH("PAYG 14"&amp;CELL("address",D21),Validation!I:I,0)),"")</f>
        <v/>
      </c>
      <c r="E21" s="66" t="str">
        <f ca="1">IFERROR(INDEX(Validation!F:F,MATCH("PAYG 14"&amp;CELL("address",D21),Validation!I:I,0)),"")</f>
        <v/>
      </c>
    </row>
    <row r="22" spans="1:5" x14ac:dyDescent="0.25">
      <c r="A22" s="131" t="s">
        <v>682</v>
      </c>
      <c r="B22" s="122" t="str">
        <f>IF(NOT(ISBLANK('PAYG Input'!P26)),'PAYG Input'!P26,"")</f>
        <v/>
      </c>
      <c r="C22" s="122"/>
      <c r="D22" s="77" t="str">
        <f ca="1">IFERROR(INDEX(Validation!G:G,MATCH("PAYG 14"&amp;CELL("address",D22),Validation!I:I,0)),"")</f>
        <v/>
      </c>
      <c r="E22" s="66" t="str">
        <f ca="1">IFERROR(INDEX(Validation!F:F,MATCH("PAYG 14"&amp;CELL("address",D22),Validation!I:I,0)),"")</f>
        <v/>
      </c>
    </row>
    <row r="23" spans="1:5" x14ac:dyDescent="0.25">
      <c r="A23" s="131" t="s">
        <v>683</v>
      </c>
      <c r="B23" s="122" t="str">
        <f>IF(NOT(ISBLANK('PAYG Input'!P28)),'PAYG Input'!P28,"")</f>
        <v/>
      </c>
      <c r="C23" s="122"/>
      <c r="D23" s="77" t="str">
        <f ca="1">IFERROR(INDEX(Validation!G:G,MATCH("PAYG 14"&amp;CELL("address",D23),Validation!I:I,0)),"")</f>
        <v/>
      </c>
      <c r="E23" s="66" t="str">
        <f ca="1">IFERROR(INDEX(Validation!F:F,MATCH("PAYG 14"&amp;CELL("address",D23),Validation!I:I,0)),"")</f>
        <v/>
      </c>
    </row>
    <row r="24" spans="1:5" ht="20.100000000000001" customHeight="1" x14ac:dyDescent="0.25">
      <c r="A24" s="74" t="s">
        <v>1311</v>
      </c>
      <c r="B24" s="74" t="s">
        <v>283</v>
      </c>
      <c r="C24" s="74" t="str">
        <f>Year_DestinationYearID&amp;" Amount"</f>
        <v>2024 Amount</v>
      </c>
      <c r="D24" s="77"/>
    </row>
    <row r="25" spans="1:5" x14ac:dyDescent="0.25">
      <c r="A25" s="79" t="s">
        <v>1188</v>
      </c>
      <c r="B25" s="122" t="str">
        <f>IF(NOT(ISBLANK('PAYG Input'!P30)),'PAYG Input'!P30,"")</f>
        <v/>
      </c>
      <c r="C25" s="122"/>
      <c r="D25" s="77" t="str">
        <f ca="1">IFERROR(INDEX(Validation!G:G,MATCH("PAYG 14"&amp;CELL("address",D25),Validation!I:I,0)),"")</f>
        <v/>
      </c>
      <c r="E25" s="66" t="str">
        <f ca="1">IFERROR(INDEX(Validation!F:F,MATCH("PAYG 14"&amp;CELL("address",D25),Validation!I:I,0)),"")</f>
        <v/>
      </c>
    </row>
    <row r="26" spans="1:5" x14ac:dyDescent="0.25">
      <c r="A26" s="79" t="s">
        <v>1190</v>
      </c>
      <c r="B26" s="122" t="str">
        <f>IF(NOT(ISBLANK('PAYG Input'!P32)),'PAYG Input'!P32,"")</f>
        <v/>
      </c>
      <c r="C26" s="122"/>
      <c r="D26" s="77" t="str">
        <f ca="1">IFERROR(INDEX(Validation!G:G,MATCH("PAYG 14"&amp;CELL("address",D26),Validation!I:I,0)),"")</f>
        <v/>
      </c>
      <c r="E26" s="66" t="str">
        <f ca="1">IFERROR(INDEX(Validation!F:F,MATCH("PAYG 14"&amp;CELL("address",D26),Validation!I:I,0)),"")</f>
        <v/>
      </c>
    </row>
    <row r="27" spans="1:5" x14ac:dyDescent="0.25">
      <c r="A27" s="79" t="s">
        <v>221</v>
      </c>
      <c r="B27" s="125" t="str">
        <f>IFERROR(B21-B25+B26,"")</f>
        <v/>
      </c>
      <c r="C27" s="125" t="str">
        <f>IFERROR(B21+C21-B25-C25+B26+C26,"")</f>
        <v/>
      </c>
      <c r="D27" s="77" t="str">
        <f ca="1">IFERROR(INDEX(Validation!G:G,MATCH("PAYG 14"&amp;CELL("address",D27),Validation!I:I,0)),"")</f>
        <v/>
      </c>
      <c r="E27" s="66" t="str">
        <f ca="1">IFERROR(INDEX(Validation!F:F,MATCH("PAYG 14"&amp;CELL("address",D27),Validation!I:I,0)),"")</f>
        <v/>
      </c>
    </row>
    <row r="28" spans="1:5" x14ac:dyDescent="0.25">
      <c r="A28" s="79" t="s">
        <v>223</v>
      </c>
      <c r="B28" s="122" t="str">
        <f>IF(NOT(ISBLANK('PAYG Input'!P36)),'PAYG Input'!P36,"")</f>
        <v/>
      </c>
      <c r="C28" s="122"/>
      <c r="D28" s="77" t="str">
        <f ca="1">IFERROR(INDEX(Validation!G:G,MATCH("PAYG 14"&amp;CELL("address",D28),Validation!I:I,0)),"")</f>
        <v/>
      </c>
      <c r="E28" s="66" t="str">
        <f ca="1">IFERROR(INDEX(Validation!F:F,MATCH("PAYG 14"&amp;CELL("address",D28),Validation!I:I,0)),"")</f>
        <v/>
      </c>
    </row>
    <row r="29" spans="1:5" x14ac:dyDescent="0.25">
      <c r="A29" s="79" t="s">
        <v>1191</v>
      </c>
      <c r="B29" s="122" t="str">
        <f>IF(NOT(ISBLANK('PAYG Input'!P38)),'PAYG Input'!P38,"")</f>
        <v/>
      </c>
      <c r="C29" s="122"/>
      <c r="D29" s="77" t="str">
        <f ca="1">IFERROR(INDEX(Validation!G:G,MATCH("PAYG 14"&amp;CELL("address",D29),Validation!I:I,0)),"")</f>
        <v/>
      </c>
      <c r="E29" s="66" t="str">
        <f ca="1">IFERROR(INDEX(Validation!F:F,MATCH("PAYG 14"&amp;CELL("address",D29),Validation!I:I,0)),"")</f>
        <v/>
      </c>
    </row>
    <row r="30" spans="1:5" ht="20.100000000000001" customHeight="1" x14ac:dyDescent="0.25">
      <c r="A30" s="74" t="str">
        <f>"Principal and Interest Due in "&amp;Year_DestinationYearID+1</f>
        <v>Principal and Interest Due in 2025</v>
      </c>
      <c r="B30" s="74"/>
      <c r="C30" s="128"/>
      <c r="D30" s="77"/>
    </row>
    <row r="31" spans="1:5" x14ac:dyDescent="0.25">
      <c r="A31" s="79" t="str">
        <f>"Principal Due in "&amp;Year_DestinationYearID+1</f>
        <v>Principal Due in 2025</v>
      </c>
      <c r="B31" s="122"/>
      <c r="C31" s="128"/>
      <c r="D31" s="77" t="str">
        <f ca="1">IFERROR(INDEX(Validation!G:G,MATCH("PAYG 14"&amp;CELL("address",D31),Validation!I:I,0)),"")</f>
        <v/>
      </c>
      <c r="E31" s="66" t="str">
        <f ca="1">IFERROR(INDEX(Validation!F:F,MATCH("PAYG 14"&amp;CELL("address",D31),Validation!I:I,0)),"")</f>
        <v/>
      </c>
    </row>
    <row r="32" spans="1:5" x14ac:dyDescent="0.25">
      <c r="A32" s="79" t="str">
        <f>"Interest Due in "&amp;Year_DestinationYearID+1</f>
        <v>Interest Due in 2025</v>
      </c>
      <c r="B32" s="122"/>
      <c r="C32" s="128"/>
      <c r="D32" s="77" t="str">
        <f ca="1">IFERROR(INDEX(Validation!G:G,MATCH("PAYG 14"&amp;CELL("address",D32),Validation!I:I,0)),"")</f>
        <v/>
      </c>
      <c r="E32" s="66" t="str">
        <f ca="1">IFERROR(INDEX(Validation!F:F,MATCH("PAYG 14"&amp;CELL("address",D32),Validation!I:I,0)),"")</f>
        <v/>
      </c>
    </row>
    <row r="33" spans="1:5" ht="20.100000000000001" customHeight="1" x14ac:dyDescent="0.25">
      <c r="A33" s="97" t="s">
        <v>176</v>
      </c>
      <c r="D33" s="77" t="str">
        <f ca="1">IF(AND(ISBLANK(A34),OR(COUNTIF(E6:E32,"Alert")&gt;0,SUM(B26:B26)&lt;&gt;0)),"Comment(s) required for remaining alert(s) and/or additions to principal.",IFERROR(INDEX(Validation!G:G,MATCH("PAYG 14"&amp;CELL("address",D34),Validation!I:I,0)),""))</f>
        <v/>
      </c>
      <c r="E33" s="66" t="str">
        <f ca="1">IF(AND(ISBLANK(A34),OR(COUNTIF(E6:E32,"Alert")&gt;0,SUM(B26:B26)&lt;&gt;0)),"Error",IFERROR(INDEX(Validation!F:F,MATCH("PAYG 14"&amp;CELL("address",D34),Validation!I:I,0)),""))</f>
        <v/>
      </c>
    </row>
    <row r="34" spans="1:5" ht="150" customHeight="1" x14ac:dyDescent="0.25">
      <c r="A34" s="123"/>
      <c r="B34" s="100" t="str">
        <f>HYPERLINK("#'PAYGs'!B6","Click here to return to the PAYGs Tab")</f>
        <v>Click here to return to the PAYGs Tab</v>
      </c>
      <c r="C34" s="127"/>
    </row>
    <row r="35" spans="1:5" x14ac:dyDescent="0.25">
      <c r="A35" s="98"/>
      <c r="B35" s="98"/>
      <c r="C35" s="98"/>
    </row>
    <row r="36" spans="1:5" x14ac:dyDescent="0.25">
      <c r="A36" s="98"/>
      <c r="B36" s="98"/>
      <c r="C36" s="98"/>
    </row>
    <row r="37" spans="1:5" x14ac:dyDescent="0.25">
      <c r="A37" s="98"/>
      <c r="B37" s="98"/>
      <c r="C37" s="98"/>
    </row>
    <row r="38" spans="1:5" x14ac:dyDescent="0.25">
      <c r="A38" s="98"/>
      <c r="B38" s="98"/>
      <c r="C38" s="98"/>
    </row>
  </sheetData>
  <sheetProtection algorithmName="SHA-512" hashValue="Is+jhVNk2J1IEZ82jh/SaB7lQHBWS/Qmn7QdEiWLX85dlaWOgTUuY0Fj7f0ZkZQCJl98dd+TKMWdsnFi9GchzQ==" saltValue="xNbUqG09owgDNrKiFR6nuw==" spinCount="100000" sheet="1" objects="1" scenarios="1"/>
  <mergeCells count="1">
    <mergeCell ref="A4:E4"/>
  </mergeCells>
  <conditionalFormatting sqref="A2">
    <cfRule type="expression" dxfId="283" priority="5">
      <formula>$E2="Error"</formula>
    </cfRule>
    <cfRule type="expression" dxfId="281" priority="7">
      <formula>$E2="Exclude"</formula>
    </cfRule>
  </conditionalFormatting>
  <conditionalFormatting sqref="D6:E33">
    <cfRule type="expression" dxfId="280" priority="1">
      <formula>$E6="Information"</formula>
    </cfRule>
    <cfRule type="expression" dxfId="279" priority="2">
      <formula>$E6="Error"</formula>
    </cfRule>
    <cfRule type="expression" dxfId="278" priority="3">
      <formula>$E6="Alert"</formula>
    </cfRule>
    <cfRule type="expression" dxfId="277" priority="4">
      <formula>$E6="Exclude"</formula>
    </cfRule>
  </conditionalFormatting>
  <dataValidations count="1">
    <dataValidation type="list" allowBlank="1" showInputMessage="1" showErrorMessage="1" sqref="B13:C13" xr:uid="{E7B3C215-060B-461D-BCF9-0C1A58D75164}">
      <formula1>SelOneYesNo</formula1>
    </dataValidation>
  </dataValidations>
  <pageMargins left="0.7" right="0.7" top="0.75" bottom="0.75" header="0.3" footer="0.3"/>
  <pageSetup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6" id="{59192040-ACD0-476B-9CF1-6E48981909B6}">
            <xm:f>COUNTIFS(Validation!$H:$H,MID(CELL("filename",A2),FIND("]",CELL("filename",A2))+1,255)&amp;CELL("address",A2))&gt;0</xm:f>
            <x14:dxf>
              <font>
                <b/>
                <i val="0"/>
                <color rgb="FFC00000"/>
              </font>
              <numFmt numFmtId="172" formatCode="_(\!* #,##0_);_(\!* \(#,##0\);_(\!* \-??_);_(\!\ @_)"/>
            </x14:dxf>
          </x14:cfRule>
          <xm:sqref>A2</xm:sqref>
        </x14:conditionalFormatting>
      </x14:conditionalFormatting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5EFCC-B50D-40CA-AC5D-A84911970252}">
  <sheetPr>
    <tabColor rgb="FFEED382"/>
  </sheetPr>
  <dimension ref="A1:F38"/>
  <sheetViews>
    <sheetView showGridLines="0" workbookViewId="0">
      <selection activeCell="B7" sqref="B7"/>
    </sheetView>
  </sheetViews>
  <sheetFormatPr defaultRowHeight="15" x14ac:dyDescent="0.25"/>
  <cols>
    <col min="1" max="1" width="55.7109375" style="66" customWidth="1"/>
    <col min="2" max="3" width="20.7109375" style="66" customWidth="1"/>
    <col min="4" max="4" width="80.85546875" style="66" customWidth="1"/>
    <col min="5" max="5" width="14.7109375" style="66" customWidth="1"/>
    <col min="6" max="6" width="0" style="78" hidden="1" customWidth="1"/>
    <col min="7" max="16384" width="9.140625" style="66"/>
  </cols>
  <sheetData>
    <row r="1" spans="1:6" s="59" customFormat="1" ht="24.95" customHeight="1" x14ac:dyDescent="0.25">
      <c r="A1" s="59" t="str">
        <f>_xlfn.CONCAT("Office of the State Auditor  -  TIF Annual Reporting Form  -  ",Year_DestinationYearID)</f>
        <v>Office of the State Auditor  -  TIF Annual Reporting Form  -  2024</v>
      </c>
      <c r="F1" s="61"/>
    </row>
    <row r="2" spans="1:6" s="62" customFormat="1" ht="20.100000000000001" customHeight="1" x14ac:dyDescent="0.25">
      <c r="A2" s="58" t="str">
        <f>_xlfn.CONCAT(GovEntity_GovEntityName_Parent,"  -  ",GovEntity_GovEntityName)</f>
        <v>Spruce City  -  TIF 1-1 Downtown Redev</v>
      </c>
      <c r="F2" s="64"/>
    </row>
    <row r="3" spans="1:6" s="68" customFormat="1" ht="24.95" customHeight="1" x14ac:dyDescent="0.3">
      <c r="A3" s="65" t="s">
        <v>233</v>
      </c>
      <c r="B3" s="66"/>
      <c r="C3" s="66"/>
      <c r="F3" s="69"/>
    </row>
    <row r="4" spans="1:6" s="71" customFormat="1" x14ac:dyDescent="0.25">
      <c r="A4" s="217" t="s">
        <v>207</v>
      </c>
      <c r="B4" s="217"/>
      <c r="C4" s="217"/>
      <c r="D4" s="217"/>
      <c r="E4" s="217"/>
      <c r="F4" s="72" t="s">
        <v>119</v>
      </c>
    </row>
    <row r="5" spans="1:6" s="74" customFormat="1" ht="20.100000000000001" customHeight="1" x14ac:dyDescent="0.25">
      <c r="A5" s="73" t="str">
        <f>HYPERLINK("#'PAYGs'!B6","Click here to return to the PAYGs Tab")</f>
        <v>Click here to return to the PAYGs Tab</v>
      </c>
      <c r="D5" s="74" t="s">
        <v>121</v>
      </c>
      <c r="E5" s="74" t="s">
        <v>102</v>
      </c>
      <c r="F5" s="76"/>
    </row>
    <row r="6" spans="1:6" ht="20.100000000000001" customHeight="1" x14ac:dyDescent="0.25">
      <c r="A6" s="74" t="s">
        <v>234</v>
      </c>
      <c r="D6" s="77" t="str">
        <f ca="1">IFERROR(INDEX(Validation!G:G,MATCH("PAYG 15"&amp;CELL("address",D6),Validation!I:I,0)),"")</f>
        <v/>
      </c>
      <c r="E6" s="66" t="str">
        <f ca="1">IFERROR(INDEX(Validation!F:F,MATCH("PAYG 15"&amp;CELL("address",D6),Validation!I:I,0)),"")</f>
        <v/>
      </c>
      <c r="F6" s="78" t="s">
        <v>1006</v>
      </c>
    </row>
    <row r="7" spans="1:6" x14ac:dyDescent="0.25">
      <c r="A7" s="79" t="s">
        <v>210</v>
      </c>
      <c r="B7" s="103" t="str">
        <f>IF(NOT(ISBLANK('PAYG Input'!Q5)),'PAYG Input'!Q5,"")</f>
        <v/>
      </c>
      <c r="D7" s="77" t="str">
        <f ca="1">IFERROR(INDEX(Validation!G:G,MATCH("PAYG 15"&amp;CELL("address",D7),Validation!I:I,0)),"")</f>
        <v/>
      </c>
      <c r="E7" s="66" t="str">
        <f ca="1">IFERROR(INDEX(Validation!F:F,MATCH("PAYG 15"&amp;CELL("address",D7),Validation!I:I,0)),"")</f>
        <v/>
      </c>
      <c r="F7" s="85" t="str">
        <f>IF(NOT(ISBLANK('PAYG Input'!Q4)),'PAYG Input'!Q4,"")</f>
        <v/>
      </c>
    </row>
    <row r="8" spans="1:6" x14ac:dyDescent="0.25">
      <c r="A8" s="79" t="s">
        <v>211</v>
      </c>
      <c r="B8" s="120" t="str">
        <f>IF(NOT(ISBLANK('PAYG Input'!Q6)),'PAYG Input'!Q6,"")</f>
        <v/>
      </c>
      <c r="C8" s="129"/>
      <c r="D8" s="77" t="str">
        <f ca="1">IFERROR(INDEX(Validation!G:G,MATCH("PAYG 15"&amp;CELL("address",D8),Validation!I:I,0)),"")</f>
        <v/>
      </c>
      <c r="E8" s="66" t="str">
        <f ca="1">IFERROR(INDEX(Validation!F:F,MATCH("PAYG 15"&amp;CELL("address",D8),Validation!I:I,0)),"")</f>
        <v/>
      </c>
    </row>
    <row r="9" spans="1:6" x14ac:dyDescent="0.25">
      <c r="A9" s="79" t="s">
        <v>212</v>
      </c>
      <c r="B9" s="120" t="str">
        <f>IF(NOT(ISBLANK('PAYG Input'!Q7)),'PAYG Input'!Q7,"")</f>
        <v/>
      </c>
      <c r="C9" s="129"/>
      <c r="D9" s="77" t="str">
        <f ca="1">IFERROR(INDEX(Validation!G:G,MATCH("PAYG 15"&amp;CELL("address",D9),Validation!I:I,0)),"")</f>
        <v/>
      </c>
      <c r="E9" s="66" t="str">
        <f ca="1">IFERROR(INDEX(Validation!F:F,MATCH("PAYG 15"&amp;CELL("address",D9),Validation!I:I,0)),"")</f>
        <v/>
      </c>
    </row>
    <row r="10" spans="1:6" x14ac:dyDescent="0.25">
      <c r="A10" s="79" t="s">
        <v>213</v>
      </c>
      <c r="B10" s="121" t="str">
        <f>IF(NOT(ISBLANK('PAYG Input'!Q8)),'PAYG Input'!Q8,"")</f>
        <v/>
      </c>
      <c r="C10" s="132"/>
      <c r="D10" s="77" t="str">
        <f ca="1">IFERROR(INDEX(Validation!G:G,MATCH("PAYG 15"&amp;CELL("address",D10),Validation!I:I,0)),"")</f>
        <v/>
      </c>
      <c r="E10" s="66" t="str">
        <f ca="1">IFERROR(INDEX(Validation!F:F,MATCH("PAYG 15"&amp;CELL("address",D10),Validation!I:I,0)),"")</f>
        <v/>
      </c>
    </row>
    <row r="11" spans="1:6" x14ac:dyDescent="0.25">
      <c r="A11" s="79" t="s">
        <v>214</v>
      </c>
      <c r="B11" s="121" t="str">
        <f>IF(NOT(ISBLANK('PAYG Input'!Q9)),'PAYG Input'!Q9,"")</f>
        <v/>
      </c>
      <c r="C11" s="132"/>
      <c r="D11" s="77" t="str">
        <f ca="1">IFERROR(INDEX(Validation!G:G,MATCH("PAYG 15"&amp;CELL("address",D11),Validation!I:I,0)),"")</f>
        <v/>
      </c>
      <c r="E11" s="66" t="str">
        <f ca="1">IFERROR(INDEX(Validation!F:F,MATCH("PAYG 15"&amp;CELL("address",D11),Validation!I:I,0)),"")</f>
        <v/>
      </c>
    </row>
    <row r="12" spans="1:6" x14ac:dyDescent="0.25">
      <c r="A12" s="79" t="s">
        <v>235</v>
      </c>
      <c r="B12" s="122" t="str">
        <f>IF(NOT(ISBLANK('PAYG Input'!Q10)),'PAYG Input'!Q10,"")</f>
        <v/>
      </c>
      <c r="C12" s="128"/>
      <c r="D12" s="77" t="str">
        <f ca="1">IFERROR(INDEX(Validation!G:G,MATCH("PAYG 15"&amp;CELL("address",D12),Validation!I:I,0)),"")</f>
        <v/>
      </c>
      <c r="E12" s="66" t="str">
        <f ca="1">IFERROR(INDEX(Validation!F:F,MATCH("PAYG 15"&amp;CELL("address",D12),Validation!I:I,0)),"")</f>
        <v/>
      </c>
    </row>
    <row r="13" spans="1:6" x14ac:dyDescent="0.25">
      <c r="A13" s="79" t="s">
        <v>232</v>
      </c>
      <c r="B13" s="103" t="str">
        <f>IF(ISBLANK('PAYG Input'!Q11),"Select One",IF('PAYG Input'!Q11=TRUE,"Yes","No"))</f>
        <v>Select One</v>
      </c>
      <c r="D13" s="77" t="str">
        <f ca="1">IFERROR(INDEX(Validation!G:G,MATCH("PAYG 15"&amp;CELL("address",D13),Validation!I:I,0)),"")</f>
        <v/>
      </c>
      <c r="E13" s="66" t="str">
        <f ca="1">IFERROR(INDEX(Validation!F:F,MATCH("PAYG 15"&amp;CELL("address",D13),Validation!I:I,0)),"")</f>
        <v/>
      </c>
    </row>
    <row r="14" spans="1:6" ht="20.100000000000001" customHeight="1" x14ac:dyDescent="0.25">
      <c r="A14" s="74" t="s">
        <v>681</v>
      </c>
      <c r="B14" s="74" t="s">
        <v>283</v>
      </c>
      <c r="C14" s="74" t="str">
        <f>Year_DestinationYearID&amp;" Amount"</f>
        <v>2024 Amount</v>
      </c>
      <c r="D14" s="77"/>
    </row>
    <row r="15" spans="1:6" x14ac:dyDescent="0.25">
      <c r="A15" s="79" t="s">
        <v>266</v>
      </c>
      <c r="B15" s="122" t="str">
        <f>IF(NOT(ISBLANK('PAYG Input'!Q12)),'PAYG Input'!Q12,"")</f>
        <v/>
      </c>
      <c r="C15" s="122"/>
      <c r="D15" s="77" t="str">
        <f ca="1">IFERROR(INDEX(Validation!G:G,MATCH("PAYG 15"&amp;CELL("address",D15),Validation!I:I,0)),"")</f>
        <v/>
      </c>
      <c r="E15" s="66" t="str">
        <f ca="1">IFERROR(INDEX(Validation!F:F,MATCH("PAYG 15"&amp;CELL("address",D15),Validation!I:I,0)),"")</f>
        <v/>
      </c>
    </row>
    <row r="16" spans="1:6" x14ac:dyDescent="0.25">
      <c r="A16" s="79" t="s">
        <v>267</v>
      </c>
      <c r="B16" s="122" t="str">
        <f>IF(NOT(ISBLANK('PAYG Input'!Q14)),'PAYG Input'!Q14,"")</f>
        <v/>
      </c>
      <c r="C16" s="122"/>
      <c r="D16" s="77" t="str">
        <f ca="1">IFERROR(INDEX(Validation!G:G,MATCH("PAYG 15"&amp;CELL("address",D16),Validation!I:I,0)),"")</f>
        <v/>
      </c>
      <c r="E16" s="66" t="str">
        <f ca="1">IFERROR(INDEX(Validation!F:F,MATCH("PAYG 15"&amp;CELL("address",D16),Validation!I:I,0)),"")</f>
        <v/>
      </c>
    </row>
    <row r="17" spans="1:5" x14ac:dyDescent="0.25">
      <c r="A17" s="79" t="s">
        <v>268</v>
      </c>
      <c r="B17" s="122" t="str">
        <f>IF(NOT(ISBLANK('PAYG Input'!Q16)),'PAYG Input'!Q16,"")</f>
        <v/>
      </c>
      <c r="C17" s="122"/>
      <c r="D17" s="77" t="str">
        <f ca="1">IFERROR(INDEX(Validation!G:G,MATCH("PAYG 15"&amp;CELL("address",D17),Validation!I:I,0)),"")</f>
        <v/>
      </c>
      <c r="E17" s="66" t="str">
        <f ca="1">IFERROR(INDEX(Validation!F:F,MATCH("PAYG 15"&amp;CELL("address",D17),Validation!I:I,0)),"")</f>
        <v/>
      </c>
    </row>
    <row r="18" spans="1:5" x14ac:dyDescent="0.25">
      <c r="A18" s="79" t="s">
        <v>269</v>
      </c>
      <c r="B18" s="122" t="str">
        <f>IF(NOT(ISBLANK('PAYG Input'!Q18)),'PAYG Input'!Q18,"")</f>
        <v/>
      </c>
      <c r="C18" s="122"/>
      <c r="D18" s="77" t="str">
        <f ca="1">IFERROR(INDEX(Validation!G:G,MATCH("PAYG 15"&amp;CELL("address",D18),Validation!I:I,0)),"")</f>
        <v/>
      </c>
      <c r="E18" s="66" t="str">
        <f ca="1">IFERROR(INDEX(Validation!F:F,MATCH("PAYG 15"&amp;CELL("address",D18),Validation!I:I,0)),"")</f>
        <v/>
      </c>
    </row>
    <row r="19" spans="1:5" x14ac:dyDescent="0.25">
      <c r="A19" s="79" t="s">
        <v>270</v>
      </c>
      <c r="B19" s="122" t="str">
        <f>IF(NOT(ISBLANK('PAYG Input'!Q20)),'PAYG Input'!Q20,"")</f>
        <v/>
      </c>
      <c r="C19" s="122"/>
      <c r="D19" s="77" t="str">
        <f ca="1">IFERROR(INDEX(Validation!G:G,MATCH("PAYG 15"&amp;CELL("address",D19),Validation!I:I,0)),"")</f>
        <v/>
      </c>
      <c r="E19" s="66" t="str">
        <f ca="1">IFERROR(INDEX(Validation!F:F,MATCH("PAYG 15"&amp;CELL("address",D19),Validation!I:I,0)),"")</f>
        <v/>
      </c>
    </row>
    <row r="20" spans="1:5" x14ac:dyDescent="0.25">
      <c r="A20" s="79" t="s">
        <v>272</v>
      </c>
      <c r="B20" s="122" t="str">
        <f>IF(NOT(ISBLANK('PAYG Input'!Q22)),'PAYG Input'!Q22,"")</f>
        <v/>
      </c>
      <c r="C20" s="122"/>
      <c r="D20" s="77" t="str">
        <f ca="1">IFERROR(INDEX(Validation!G:G,MATCH("PAYG 15"&amp;CELL("address",D20),Validation!I:I,0)),"")</f>
        <v/>
      </c>
      <c r="E20" s="66" t="str">
        <f ca="1">IFERROR(INDEX(Validation!F:F,MATCH("PAYG 15"&amp;CELL("address",D20),Validation!I:I,0)),"")</f>
        <v/>
      </c>
    </row>
    <row r="21" spans="1:5" x14ac:dyDescent="0.25">
      <c r="A21" s="130" t="s">
        <v>236</v>
      </c>
      <c r="B21" s="125">
        <f>SUM(B15:B20)</f>
        <v>0</v>
      </c>
      <c r="C21" s="125">
        <f>SUM(C15:C20)</f>
        <v>0</v>
      </c>
      <c r="D21" s="77" t="str">
        <f ca="1">IFERROR(INDEX(Validation!G:G,MATCH("PAYG 15"&amp;CELL("address",D21),Validation!I:I,0)),"")</f>
        <v/>
      </c>
      <c r="E21" s="66" t="str">
        <f ca="1">IFERROR(INDEX(Validation!F:F,MATCH("PAYG 15"&amp;CELL("address",D21),Validation!I:I,0)),"")</f>
        <v/>
      </c>
    </row>
    <row r="22" spans="1:5" x14ac:dyDescent="0.25">
      <c r="A22" s="131" t="s">
        <v>682</v>
      </c>
      <c r="B22" s="122" t="str">
        <f>IF(NOT(ISBLANK('PAYG Input'!Q26)),'PAYG Input'!Q26,"")</f>
        <v/>
      </c>
      <c r="C22" s="122"/>
      <c r="D22" s="77" t="str">
        <f ca="1">IFERROR(INDEX(Validation!G:G,MATCH("PAYG 15"&amp;CELL("address",D22),Validation!I:I,0)),"")</f>
        <v/>
      </c>
      <c r="E22" s="66" t="str">
        <f ca="1">IFERROR(INDEX(Validation!F:F,MATCH("PAYG 15"&amp;CELL("address",D22),Validation!I:I,0)),"")</f>
        <v/>
      </c>
    </row>
    <row r="23" spans="1:5" x14ac:dyDescent="0.25">
      <c r="A23" s="131" t="s">
        <v>683</v>
      </c>
      <c r="B23" s="122" t="str">
        <f>IF(NOT(ISBLANK('PAYG Input'!Q28)),'PAYG Input'!Q28,"")</f>
        <v/>
      </c>
      <c r="C23" s="122"/>
      <c r="D23" s="77" t="str">
        <f ca="1">IFERROR(INDEX(Validation!G:G,MATCH("PAYG 15"&amp;CELL("address",D23),Validation!I:I,0)),"")</f>
        <v/>
      </c>
      <c r="E23" s="66" t="str">
        <f ca="1">IFERROR(INDEX(Validation!F:F,MATCH("PAYG 15"&amp;CELL("address",D23),Validation!I:I,0)),"")</f>
        <v/>
      </c>
    </row>
    <row r="24" spans="1:5" ht="20.100000000000001" customHeight="1" x14ac:dyDescent="0.25">
      <c r="A24" s="74" t="s">
        <v>1311</v>
      </c>
      <c r="B24" s="74" t="s">
        <v>283</v>
      </c>
      <c r="C24" s="74" t="str">
        <f>Year_DestinationYearID&amp;" Amount"</f>
        <v>2024 Amount</v>
      </c>
      <c r="D24" s="77"/>
    </row>
    <row r="25" spans="1:5" x14ac:dyDescent="0.25">
      <c r="A25" s="79" t="s">
        <v>1188</v>
      </c>
      <c r="B25" s="122" t="str">
        <f>IF(NOT(ISBLANK('PAYG Input'!Q30)),'PAYG Input'!Q30,"")</f>
        <v/>
      </c>
      <c r="C25" s="122"/>
      <c r="D25" s="77" t="str">
        <f ca="1">IFERROR(INDEX(Validation!G:G,MATCH("PAYG 15"&amp;CELL("address",D25),Validation!I:I,0)),"")</f>
        <v/>
      </c>
      <c r="E25" s="66" t="str">
        <f ca="1">IFERROR(INDEX(Validation!F:F,MATCH("PAYG 15"&amp;CELL("address",D25),Validation!I:I,0)),"")</f>
        <v/>
      </c>
    </row>
    <row r="26" spans="1:5" x14ac:dyDescent="0.25">
      <c r="A26" s="79" t="s">
        <v>1190</v>
      </c>
      <c r="B26" s="122" t="str">
        <f>IF(NOT(ISBLANK('PAYG Input'!Q32)),'PAYG Input'!Q32,"")</f>
        <v/>
      </c>
      <c r="C26" s="122"/>
      <c r="D26" s="77" t="str">
        <f ca="1">IFERROR(INDEX(Validation!G:G,MATCH("PAYG 15"&amp;CELL("address",D26),Validation!I:I,0)),"")</f>
        <v/>
      </c>
      <c r="E26" s="66" t="str">
        <f ca="1">IFERROR(INDEX(Validation!F:F,MATCH("PAYG 15"&amp;CELL("address",D26),Validation!I:I,0)),"")</f>
        <v/>
      </c>
    </row>
    <row r="27" spans="1:5" x14ac:dyDescent="0.25">
      <c r="A27" s="79" t="s">
        <v>221</v>
      </c>
      <c r="B27" s="125" t="str">
        <f>IFERROR(B21-B25+B26,"")</f>
        <v/>
      </c>
      <c r="C27" s="125" t="str">
        <f>IFERROR(B21+C21-B25-C25+B26+C26,"")</f>
        <v/>
      </c>
      <c r="D27" s="77" t="str">
        <f ca="1">IFERROR(INDEX(Validation!G:G,MATCH("PAYG 15"&amp;CELL("address",D27),Validation!I:I,0)),"")</f>
        <v/>
      </c>
      <c r="E27" s="66" t="str">
        <f ca="1">IFERROR(INDEX(Validation!F:F,MATCH("PAYG 15"&amp;CELL("address",D27),Validation!I:I,0)),"")</f>
        <v/>
      </c>
    </row>
    <row r="28" spans="1:5" x14ac:dyDescent="0.25">
      <c r="A28" s="79" t="s">
        <v>223</v>
      </c>
      <c r="B28" s="122" t="str">
        <f>IF(NOT(ISBLANK('PAYG Input'!Q36)),'PAYG Input'!Q36,"")</f>
        <v/>
      </c>
      <c r="C28" s="122"/>
      <c r="D28" s="77" t="str">
        <f ca="1">IFERROR(INDEX(Validation!G:G,MATCH("PAYG 15"&amp;CELL("address",D28),Validation!I:I,0)),"")</f>
        <v/>
      </c>
      <c r="E28" s="66" t="str">
        <f ca="1">IFERROR(INDEX(Validation!F:F,MATCH("PAYG 15"&amp;CELL("address",D28),Validation!I:I,0)),"")</f>
        <v/>
      </c>
    </row>
    <row r="29" spans="1:5" x14ac:dyDescent="0.25">
      <c r="A29" s="79" t="s">
        <v>1191</v>
      </c>
      <c r="B29" s="122" t="str">
        <f>IF(NOT(ISBLANK('PAYG Input'!Q38)),'PAYG Input'!Q38,"")</f>
        <v/>
      </c>
      <c r="C29" s="122"/>
      <c r="D29" s="77" t="str">
        <f ca="1">IFERROR(INDEX(Validation!G:G,MATCH("PAYG 15"&amp;CELL("address",D29),Validation!I:I,0)),"")</f>
        <v/>
      </c>
      <c r="E29" s="66" t="str">
        <f ca="1">IFERROR(INDEX(Validation!F:F,MATCH("PAYG 15"&amp;CELL("address",D29),Validation!I:I,0)),"")</f>
        <v/>
      </c>
    </row>
    <row r="30" spans="1:5" ht="20.100000000000001" customHeight="1" x14ac:dyDescent="0.25">
      <c r="A30" s="74" t="str">
        <f>"Principal and Interest Due in "&amp;Year_DestinationYearID+1</f>
        <v>Principal and Interest Due in 2025</v>
      </c>
      <c r="B30" s="74"/>
      <c r="C30" s="128"/>
      <c r="D30" s="77"/>
    </row>
    <row r="31" spans="1:5" x14ac:dyDescent="0.25">
      <c r="A31" s="79" t="str">
        <f>"Principal Due in "&amp;Year_DestinationYearID+1</f>
        <v>Principal Due in 2025</v>
      </c>
      <c r="B31" s="122"/>
      <c r="C31" s="128"/>
      <c r="D31" s="77" t="str">
        <f ca="1">IFERROR(INDEX(Validation!G:G,MATCH("PAYG 15"&amp;CELL("address",D31),Validation!I:I,0)),"")</f>
        <v/>
      </c>
      <c r="E31" s="66" t="str">
        <f ca="1">IFERROR(INDEX(Validation!F:F,MATCH("PAYG 15"&amp;CELL("address",D31),Validation!I:I,0)),"")</f>
        <v/>
      </c>
    </row>
    <row r="32" spans="1:5" x14ac:dyDescent="0.25">
      <c r="A32" s="79" t="str">
        <f>"Interest Due in "&amp;Year_DestinationYearID+1</f>
        <v>Interest Due in 2025</v>
      </c>
      <c r="B32" s="122"/>
      <c r="C32" s="128"/>
      <c r="D32" s="77" t="str">
        <f ca="1">IFERROR(INDEX(Validation!G:G,MATCH("PAYG 15"&amp;CELL("address",D32),Validation!I:I,0)),"")</f>
        <v/>
      </c>
      <c r="E32" s="66" t="str">
        <f ca="1">IFERROR(INDEX(Validation!F:F,MATCH("PAYG 15"&amp;CELL("address",D32),Validation!I:I,0)),"")</f>
        <v/>
      </c>
    </row>
    <row r="33" spans="1:5" ht="20.100000000000001" customHeight="1" x14ac:dyDescent="0.25">
      <c r="A33" s="97" t="s">
        <v>176</v>
      </c>
      <c r="D33" s="77" t="str">
        <f ca="1">IF(AND(ISBLANK(A34),OR(COUNTIF(E6:E32,"Alert")&gt;0,SUM(B26:B26)&lt;&gt;0)),"Comment(s) required for remaining alert(s) and/or additions to principal.",IFERROR(INDEX(Validation!G:G,MATCH("PAYG 15"&amp;CELL("address",D34),Validation!I:I,0)),""))</f>
        <v/>
      </c>
      <c r="E33" s="66" t="str">
        <f ca="1">IF(AND(ISBLANK(A34),OR(COUNTIF(E6:E32,"Alert")&gt;0,SUM(B26:B26)&lt;&gt;0)),"Error",IFERROR(INDEX(Validation!F:F,MATCH("PAYG 15"&amp;CELL("address",D34),Validation!I:I,0)),""))</f>
        <v/>
      </c>
    </row>
    <row r="34" spans="1:5" ht="150" customHeight="1" x14ac:dyDescent="0.25">
      <c r="A34" s="123"/>
      <c r="B34" s="100" t="str">
        <f>HYPERLINK("#'PAYGs'!B6","Click here to return to the PAYGs Tab")</f>
        <v>Click here to return to the PAYGs Tab</v>
      </c>
      <c r="C34" s="127"/>
    </row>
    <row r="35" spans="1:5" x14ac:dyDescent="0.25">
      <c r="A35" s="98"/>
      <c r="B35" s="98"/>
      <c r="C35" s="98"/>
    </row>
    <row r="36" spans="1:5" x14ac:dyDescent="0.25">
      <c r="A36" s="98"/>
      <c r="B36" s="98"/>
      <c r="C36" s="98"/>
    </row>
    <row r="37" spans="1:5" x14ac:dyDescent="0.25">
      <c r="A37" s="98"/>
      <c r="B37" s="98"/>
      <c r="C37" s="98"/>
    </row>
    <row r="38" spans="1:5" x14ac:dyDescent="0.25">
      <c r="A38" s="98"/>
      <c r="B38" s="98"/>
      <c r="C38" s="98"/>
    </row>
  </sheetData>
  <sheetProtection algorithmName="SHA-512" hashValue="pohtFojqIENWLWKD8kEVSLPFRFOO7QYrQL1HA3Z2Gz4NrCmdpnd5OruIyVbhAd0gAwOv3ClsBG6HihN6CU/M4w==" saltValue="SSDNoMHaluumYhvP2wNYsg==" spinCount="100000" sheet="1" objects="1" scenarios="1"/>
  <mergeCells count="1">
    <mergeCell ref="A4:E4"/>
  </mergeCells>
  <conditionalFormatting sqref="A2">
    <cfRule type="expression" dxfId="276" priority="5">
      <formula>$E2="Error"</formula>
    </cfRule>
    <cfRule type="expression" dxfId="274" priority="7">
      <formula>$E2="Exclude"</formula>
    </cfRule>
  </conditionalFormatting>
  <conditionalFormatting sqref="D6:E33">
    <cfRule type="expression" dxfId="273" priority="1">
      <formula>$E6="Information"</formula>
    </cfRule>
    <cfRule type="expression" dxfId="272" priority="2">
      <formula>$E6="Error"</formula>
    </cfRule>
    <cfRule type="expression" dxfId="271" priority="3">
      <formula>$E6="Alert"</formula>
    </cfRule>
    <cfRule type="expression" dxfId="270" priority="4">
      <formula>$E6="Exclude"</formula>
    </cfRule>
  </conditionalFormatting>
  <dataValidations count="1">
    <dataValidation type="list" allowBlank="1" showInputMessage="1" showErrorMessage="1" sqref="B13:C13" xr:uid="{1EF9588C-A1C6-47C6-B446-A2D874181041}">
      <formula1>SelOneYesNo</formula1>
    </dataValidation>
  </dataValidations>
  <pageMargins left="0.7" right="0.7" top="0.75" bottom="0.75" header="0.3" footer="0.3"/>
  <pageSetup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6" id="{1BF1C22F-87C4-4DEF-B2D5-8774FFE9AD11}">
            <xm:f>COUNTIFS(Validation!$H:$H,MID(CELL("filename",A2),FIND("]",CELL("filename",A2))+1,255)&amp;CELL("address",A2))&gt;0</xm:f>
            <x14:dxf>
              <font>
                <b/>
                <i val="0"/>
                <color rgb="FFC00000"/>
              </font>
              <numFmt numFmtId="172" formatCode="_(\!* #,##0_);_(\!* \(#,##0\);_(\!* \-??_);_(\!\ @_)"/>
            </x14:dxf>
          </x14:cfRule>
          <xm:sqref>A2</xm:sqref>
        </x14:conditionalFormatting>
      </x14:conditionalFormatting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0A587-3716-4EE2-B286-32523376B636}">
  <sheetPr codeName="Sheet9">
    <tabColor rgb="FFEED382"/>
  </sheetPr>
  <dimension ref="A1:F50"/>
  <sheetViews>
    <sheetView showGridLines="0" workbookViewId="0">
      <selection activeCell="B7" sqref="B7"/>
    </sheetView>
  </sheetViews>
  <sheetFormatPr defaultRowHeight="15" x14ac:dyDescent="0.25"/>
  <cols>
    <col min="1" max="1" width="55.7109375" style="66" customWidth="1"/>
    <col min="2" max="3" width="22.7109375" style="66" customWidth="1"/>
    <col min="4" max="4" width="80.85546875" style="66" customWidth="1"/>
    <col min="5" max="5" width="14.7109375" style="66" customWidth="1"/>
    <col min="6" max="6" width="10.7109375" style="78" hidden="1" customWidth="1"/>
    <col min="7" max="16384" width="9.140625" style="66"/>
  </cols>
  <sheetData>
    <row r="1" spans="1:6" s="59" customFormat="1" ht="24.95" customHeight="1" x14ac:dyDescent="0.25">
      <c r="A1" s="59" t="str">
        <f>_xlfn.CONCAT("Office of the State Auditor  -  TIF Annual Reporting Form  -  ",Year_DestinationYearID)</f>
        <v>Office of the State Auditor  -  TIF Annual Reporting Form  -  2024</v>
      </c>
      <c r="F1" s="61"/>
    </row>
    <row r="2" spans="1:6" s="62" customFormat="1" ht="20.100000000000001" customHeight="1" x14ac:dyDescent="0.25">
      <c r="A2" s="58" t="str">
        <f>_xlfn.CONCAT(GovEntity_GovEntityName_Parent,"  -  ",GovEntity_GovEntityName)</f>
        <v>Spruce City  -  TIF 1-1 Downtown Redev</v>
      </c>
      <c r="F2" s="64"/>
    </row>
    <row r="3" spans="1:6" s="68" customFormat="1" ht="24.95" customHeight="1" x14ac:dyDescent="0.3">
      <c r="A3" s="65" t="s">
        <v>238</v>
      </c>
      <c r="B3" s="66"/>
      <c r="C3" s="66"/>
      <c r="F3" s="69"/>
    </row>
    <row r="4" spans="1:6" s="71" customFormat="1" x14ac:dyDescent="0.25">
      <c r="A4" s="217" t="s">
        <v>207</v>
      </c>
      <c r="B4" s="217"/>
      <c r="C4" s="217"/>
      <c r="D4" s="217"/>
      <c r="E4" s="217"/>
      <c r="F4" s="72" t="s">
        <v>119</v>
      </c>
    </row>
    <row r="5" spans="1:6" s="74" customFormat="1" ht="20.100000000000001" customHeight="1" x14ac:dyDescent="0.25">
      <c r="A5" s="73" t="str">
        <f>HYPERLINK("#'Loans'!B6","Click here to return to the Loans Tab")</f>
        <v>Click here to return to the Loans Tab</v>
      </c>
      <c r="D5" s="74" t="s">
        <v>121</v>
      </c>
      <c r="E5" s="74" t="s">
        <v>102</v>
      </c>
      <c r="F5" s="76"/>
    </row>
    <row r="6" spans="1:6" ht="20.100000000000001" customHeight="1" x14ac:dyDescent="0.25">
      <c r="A6" s="74" t="s">
        <v>239</v>
      </c>
      <c r="D6" s="77" t="str">
        <f ca="1">IFERROR(INDEX(Validation!G:G,MATCH("Loan 1"&amp;CELL("address",D6),Validation!I:I,0)),"")</f>
        <v xml:space="preserve">Complete entry of all rows on this tab. (Enter zero when appropriate.) </v>
      </c>
      <c r="E6" s="66" t="str">
        <f ca="1">IFERROR(INDEX(Validation!F:F,MATCH("Loan 1"&amp;CELL("address",D6),Validation!I:I,0)),"")</f>
        <v>Error</v>
      </c>
      <c r="F6" s="78" t="s">
        <v>875</v>
      </c>
    </row>
    <row r="7" spans="1:6" x14ac:dyDescent="0.25">
      <c r="A7" s="79" t="s">
        <v>761</v>
      </c>
      <c r="B7" s="103" t="str">
        <f>IF(AND(NOT(ISBLANK('Loan Input'!C5)),OR('Loan Input'!C$5=Lists!$AG$2,'Loan Input'!C$5=Lists!$AG$3)),_xlfn.XLOOKUP('Loan Input'!C5,Lists!AG2:AG5,Lists!AH2:AH5),Lists!$AH$1)</f>
        <v>Due To Non-TIF Fund</v>
      </c>
      <c r="C7" s="128"/>
      <c r="D7" s="77" t="str">
        <f ca="1">'Rev Exp Bal'!E7</f>
        <v/>
      </c>
      <c r="E7" s="66" t="str">
        <f ca="1">IFERROR(INDEX(Validation!F:F,MATCH("Loan 1"&amp;CELL("address",D7),Validation!I:I,0)),"")</f>
        <v/>
      </c>
      <c r="F7" s="85">
        <f>IF(NOT(ISBLANK('Loan Input'!C4)),'Loan Input'!C4,"")</f>
        <v>904</v>
      </c>
    </row>
    <row r="8" spans="1:6" x14ac:dyDescent="0.25">
      <c r="A8" s="79" t="s">
        <v>769</v>
      </c>
      <c r="B8" s="103" t="str">
        <f>IF(AND(NOT(ISBLANK('Loan Input'!C6)),'Loan Input'!C$5=Lists!$AG$2),'Loan Input'!C6,Lists!$AJ$1)</f>
        <v>Select One</v>
      </c>
      <c r="C8" s="128"/>
      <c r="D8" s="77" t="str">
        <f ca="1">IFERROR(INDEX(Validation!G:G,MATCH("Loan 1"&amp;CELL("address",D8),Validation!I:I,0)),"")</f>
        <v>Skip this line for this loan type. Enter a Non-TIF fund/account on next line instead.</v>
      </c>
      <c r="E8" s="66" t="str">
        <f ca="1">IFERROR(INDEX(Validation!F:F,MATCH("Loan 1"&amp;CELL("address",D8),Validation!I:I,0)),"")</f>
        <v>Information</v>
      </c>
    </row>
    <row r="9" spans="1:6" x14ac:dyDescent="0.25">
      <c r="A9" s="79" t="s">
        <v>770</v>
      </c>
      <c r="B9" s="103" t="str">
        <f>IF(AND(NOT(ISBLANK('Loan Input'!C7)),'Loan Input'!C$5=Lists!$AG$3),'Loan Input'!C7,"")</f>
        <v>General Fund</v>
      </c>
      <c r="C9" s="128"/>
      <c r="D9" s="77" t="str">
        <f ca="1">IFERROR(INDEX(Validation!G:G,MATCH("Loan 1"&amp;CELL("address",D9),Validation!I:I,0)),"")</f>
        <v/>
      </c>
      <c r="E9" s="66" t="str">
        <f ca="1">IFERROR(INDEX(Validation!F:F,MATCH("Loan 1"&amp;CELL("address",D9),Validation!I:I,0)),"")</f>
        <v/>
      </c>
    </row>
    <row r="10" spans="1:6" x14ac:dyDescent="0.25">
      <c r="A10" s="79" t="s">
        <v>931</v>
      </c>
      <c r="B10" s="120">
        <f>IF(AND(NOT(ISBLANK('Loan Input'!C8)),OR('Loan Input'!C$5=Lists!$AG$2,'Loan Input'!C$5=Lists!$AG$3)),'Loan Input'!C8,"")</f>
        <v>41092</v>
      </c>
      <c r="C10" s="128"/>
      <c r="D10" s="77" t="str">
        <f ca="1">IFERROR(INDEX(Validation!G:G,MATCH("Loan 1"&amp;CELL("address",D10),Validation!I:I,0)),"")</f>
        <v/>
      </c>
      <c r="E10" s="66" t="str">
        <f ca="1">IFERROR(INDEX(Validation!F:F,MATCH("Loan 1"&amp;CELL("address",D10),Validation!I:I,0)),"")</f>
        <v/>
      </c>
    </row>
    <row r="11" spans="1:6" x14ac:dyDescent="0.25">
      <c r="A11" s="79" t="s">
        <v>212</v>
      </c>
      <c r="B11" s="120">
        <f>IF(AND(NOT(ISBLANK('Loan Input'!C9)),OR('Loan Input'!C$5=Lists!$AG$2,'Loan Input'!C$5=Lists!$AG$3)),'Loan Input'!C9,"")</f>
        <v>51135</v>
      </c>
      <c r="C11" s="128"/>
      <c r="D11" s="77" t="str">
        <f ca="1">IFERROR(INDEX(Validation!G:G,MATCH("Loan 1"&amp;CELL("address",D11),Validation!I:I,0)),"")</f>
        <v/>
      </c>
      <c r="E11" s="66" t="str">
        <f ca="1">IFERROR(INDEX(Validation!F:F,MATCH("Loan 1"&amp;CELL("address",D11),Validation!I:I,0)),"")</f>
        <v/>
      </c>
    </row>
    <row r="12" spans="1:6" x14ac:dyDescent="0.25">
      <c r="A12" s="79" t="s">
        <v>213</v>
      </c>
      <c r="B12" s="121">
        <f>IF(AND(NOT(ISBLANK('Loan Input'!C10)),OR('Loan Input'!C$5=Lists!$AG$2,'Loan Input'!C$5=Lists!$AG$3)),'Loan Input'!C10,"")</f>
        <v>4</v>
      </c>
      <c r="C12" s="128"/>
      <c r="D12" s="77" t="str">
        <f ca="1">IFERROR(INDEX(Validation!G:G,MATCH("Loan 1"&amp;CELL("address",D12),Validation!I:I,0)),"")</f>
        <v/>
      </c>
      <c r="E12" s="66" t="str">
        <f ca="1">IFERROR(INDEX(Validation!F:F,MATCH("Loan 1"&amp;CELL("address",D12),Validation!I:I,0)),"")</f>
        <v/>
      </c>
    </row>
    <row r="13" spans="1:6" x14ac:dyDescent="0.25">
      <c r="A13" s="79" t="s">
        <v>214</v>
      </c>
      <c r="B13" s="121">
        <f>IF(AND(NOT(ISBLANK('Loan Input'!C11)),OR('Loan Input'!C$5=Lists!$AG$2,'Loan Input'!C$5=Lists!$AG$3)),'Loan Input'!C11,"")</f>
        <v>4</v>
      </c>
      <c r="C13" s="128"/>
      <c r="D13" s="77" t="str">
        <f ca="1">IFERROR(INDEX(Validation!G:G,MATCH("Loan 1"&amp;CELL("address",D13),Validation!I:I,0)),"")</f>
        <v/>
      </c>
      <c r="E13" s="66" t="str">
        <f ca="1">IFERROR(INDEX(Validation!F:F,MATCH("Loan 1"&amp;CELL("address",D13),Validation!I:I,0)),"")</f>
        <v/>
      </c>
    </row>
    <row r="14" spans="1:6" x14ac:dyDescent="0.25">
      <c r="A14" s="79" t="s">
        <v>241</v>
      </c>
      <c r="B14" s="120" t="str">
        <f>IF(AND(NOT(ISBLANK('Loan Input'!C12)),OR('Loan Input'!C$5=Lists!$AG$2,'Loan Input'!C$5=Lists!$AG$3)),'Loan Input'!C12,Lists!$AM$1)</f>
        <v>Fixed</v>
      </c>
      <c r="C14" s="129"/>
      <c r="D14" s="77" t="str">
        <f ca="1">IFERROR(INDEX(Validation!G:G,MATCH("Loan 1"&amp;CELL("address",D14),Validation!I:I,0)),"")</f>
        <v/>
      </c>
      <c r="E14" s="66" t="str">
        <f ca="1">IFERROR(INDEX(Validation!F:F,MATCH("Loan 1"&amp;CELL("address",D14),Validation!I:I,0)),"")</f>
        <v/>
      </c>
    </row>
    <row r="15" spans="1:6" x14ac:dyDescent="0.25">
      <c r="A15" s="79" t="s">
        <v>242</v>
      </c>
      <c r="B15" s="122">
        <f>IF(AND(NOT(ISBLANK('Loan Input'!C13)),OR('Loan Input'!C$5=Lists!$AG$2,'Loan Input'!C$5=Lists!$AG$3)),'Loan Input'!C13,"")</f>
        <v>1572222</v>
      </c>
      <c r="C15" s="128"/>
      <c r="D15" s="77" t="str">
        <f ca="1">IFERROR(INDEX(Validation!G:G,MATCH("Loan 1"&amp;CELL("address",D15),Validation!I:I,0)),"")</f>
        <v/>
      </c>
      <c r="E15" s="66" t="str">
        <f ca="1">IFERROR(INDEX(Validation!F:F,MATCH("Loan 1"&amp;CELL("address",D15),Validation!I:I,0)),"")</f>
        <v/>
      </c>
    </row>
    <row r="16" spans="1:6" x14ac:dyDescent="0.25">
      <c r="A16" s="79" t="s">
        <v>232</v>
      </c>
      <c r="B16" s="103" t="str">
        <f>IF(OR('Loan Input'!C14="",'Loan Input'!C14=0),"Select One",IF('Loan Input'!C14=TRUE,"Yes","No"))</f>
        <v>Yes</v>
      </c>
      <c r="C16" s="128"/>
      <c r="D16" s="77" t="str">
        <f ca="1">IFERROR(INDEX(Validation!G:G,MATCH("Loan 1"&amp;CELL("address",D16),Validation!I:I,0)),"")</f>
        <v/>
      </c>
      <c r="E16" s="66" t="str">
        <f ca="1">IFERROR(INDEX(Validation!F:F,MATCH("Loan 1"&amp;CELL("address",D16),Validation!I:I,0)),"")</f>
        <v/>
      </c>
    </row>
    <row r="17" spans="1:5" x14ac:dyDescent="0.25">
      <c r="A17" s="79" t="str">
        <f>"Were the terms of this obligation modified in "&amp;Year_DestinationYearID&amp;"?"</f>
        <v>Were the terms of this obligation modified in 2024?</v>
      </c>
      <c r="B17" s="103" t="s">
        <v>41</v>
      </c>
      <c r="C17" s="128"/>
      <c r="D17" s="77" t="str">
        <f ca="1">IFERROR(INDEX(Validation!G:G,MATCH("Loan 1"&amp;CELL("address",D17),Validation!I:I,0)),"")</f>
        <v>You must make a selection from the dropdown list.</v>
      </c>
      <c r="E17" s="66" t="str">
        <f ca="1">IFERROR(INDEX(Validation!F:F,MATCH("Loan 1"&amp;CELL("address",D17),Validation!I:I,0)),"")</f>
        <v>Error</v>
      </c>
    </row>
    <row r="18" spans="1:5" ht="20.100000000000001" customHeight="1" x14ac:dyDescent="0.25">
      <c r="A18" s="74" t="s">
        <v>1183</v>
      </c>
      <c r="B18" s="74" t="s">
        <v>283</v>
      </c>
      <c r="C18" s="74" t="str">
        <f>Year_DestinationYearID&amp;" Amount"</f>
        <v>2024 Amount</v>
      </c>
      <c r="D18" s="77" t="str">
        <f ca="1">IFERROR(INDEX(Validation!G:G,MATCH("Loan 1"&amp;CELL("address",D18),Validation!I:I,0)),"")</f>
        <v/>
      </c>
      <c r="E18" s="66" t="str">
        <f ca="1">IFERROR(INDEX(Validation!F:F,MATCH("Loan 1"&amp;CELL("address",D18),Validation!I:I,0)),"")</f>
        <v/>
      </c>
    </row>
    <row r="19" spans="1:5" x14ac:dyDescent="0.25">
      <c r="A19" s="79" t="s">
        <v>266</v>
      </c>
      <c r="B19" s="122">
        <f>IF(AND(NOT(ISBLANK('Loan Input'!C16)),OR('Loan Input'!C$5=Lists!$AG$2,'Loan Input'!C$5=Lists!$AG$3)),'Loan Input'!C16,"")</f>
        <v>0</v>
      </c>
      <c r="C19" s="103"/>
      <c r="D19" s="77" t="str">
        <f ca="1">IFERROR(INDEX(Validation!G:G,MATCH("Loan 1"&amp;CELL("address",D19),Validation!I:I,0)),"")</f>
        <v/>
      </c>
      <c r="E19" s="66" t="str">
        <f ca="1">IFERROR(INDEX(Validation!F:F,MATCH("Loan 1"&amp;CELL("address",D19),Validation!I:I,0)),"")</f>
        <v/>
      </c>
    </row>
    <row r="20" spans="1:5" x14ac:dyDescent="0.25">
      <c r="A20" s="79" t="s">
        <v>267</v>
      </c>
      <c r="B20" s="122">
        <f>IF(AND(NOT(ISBLANK('Loan Input'!C18)),OR('Loan Input'!C$5=Lists!$AG$2,'Loan Input'!C$5=Lists!$AG$3)),'Loan Input'!C18,"")</f>
        <v>0</v>
      </c>
      <c r="C20" s="103"/>
      <c r="D20" s="77" t="str">
        <f ca="1">IFERROR(INDEX(Validation!G:G,MATCH("Loan 1"&amp;CELL("address",D20),Validation!I:I,0)),"")</f>
        <v/>
      </c>
      <c r="E20" s="66" t="str">
        <f ca="1">IFERROR(INDEX(Validation!F:F,MATCH("Loan 1"&amp;CELL("address",D20),Validation!I:I,0)),"")</f>
        <v/>
      </c>
    </row>
    <row r="21" spans="1:5" x14ac:dyDescent="0.25">
      <c r="A21" s="79" t="s">
        <v>268</v>
      </c>
      <c r="B21" s="122">
        <f>IF(AND(NOT(ISBLANK('Loan Input'!C20)),OR('Loan Input'!C$5=Lists!$AG$2,'Loan Input'!C$5=Lists!$AG$3)),'Loan Input'!C20,"")</f>
        <v>0</v>
      </c>
      <c r="C21" s="103"/>
      <c r="D21" s="77" t="str">
        <f ca="1">IFERROR(INDEX(Validation!G:G,MATCH("Loan 1"&amp;CELL("address",D21),Validation!I:I,0)),"")</f>
        <v/>
      </c>
      <c r="E21" s="66" t="str">
        <f ca="1">IFERROR(INDEX(Validation!F:F,MATCH("Loan 1"&amp;CELL("address",D21),Validation!I:I,0)),"")</f>
        <v/>
      </c>
    </row>
    <row r="22" spans="1:5" x14ac:dyDescent="0.25">
      <c r="A22" s="79" t="s">
        <v>269</v>
      </c>
      <c r="B22" s="122">
        <f>IF(AND(NOT(ISBLANK('Loan Input'!C22)),OR('Loan Input'!C$5=Lists!$AG$2,'Loan Input'!C$5=Lists!$AG$3)),'Loan Input'!C22,"")</f>
        <v>0</v>
      </c>
      <c r="C22" s="103"/>
      <c r="D22" s="77" t="str">
        <f ca="1">IFERROR(INDEX(Validation!G:G,MATCH("Loan 1"&amp;CELL("address",D22),Validation!I:I,0)),"")</f>
        <v/>
      </c>
      <c r="E22" s="66" t="str">
        <f ca="1">IFERROR(INDEX(Validation!F:F,MATCH("Loan 1"&amp;CELL("address",D22),Validation!I:I,0)),"")</f>
        <v/>
      </c>
    </row>
    <row r="23" spans="1:5" x14ac:dyDescent="0.25">
      <c r="A23" s="79" t="s">
        <v>1101</v>
      </c>
      <c r="B23" s="122">
        <f>IF(AND(NOT(ISBLANK('Loan Input'!C24)),OR('Loan Input'!C$5=Lists!$AG$2,'Loan Input'!C$5=Lists!$AG$3)),'Loan Input'!C24,"")</f>
        <v>0</v>
      </c>
      <c r="C23" s="103"/>
      <c r="D23" s="77" t="str">
        <f ca="1">IFERROR(INDEX(Validation!G:G,MATCH("Loan 1"&amp;CELL("address",D23),Validation!I:I,0)),"")</f>
        <v/>
      </c>
      <c r="E23" s="66" t="str">
        <f ca="1">IFERROR(INDEX(Validation!F:F,MATCH("Loan 1"&amp;CELL("address",D23),Validation!I:I,0)),"")</f>
        <v/>
      </c>
    </row>
    <row r="24" spans="1:5" x14ac:dyDescent="0.25">
      <c r="A24" s="79" t="s">
        <v>270</v>
      </c>
      <c r="B24" s="122">
        <f>IF(AND(NOT(ISBLANK('Loan Input'!C26)),OR('Loan Input'!C$5=Lists!$AG$2,'Loan Input'!C$5=Lists!$AG$3)),'Loan Input'!C26,"")</f>
        <v>0</v>
      </c>
      <c r="C24" s="103"/>
      <c r="D24" s="77" t="str">
        <f ca="1">IFERROR(INDEX(Validation!G:G,MATCH("Loan 1"&amp;CELL("address",D24),Validation!I:I,0)),"")</f>
        <v/>
      </c>
      <c r="E24" s="66" t="str">
        <f ca="1">IFERROR(INDEX(Validation!F:F,MATCH("Loan 1"&amp;CELL("address",D24),Validation!I:I,0)),"")</f>
        <v/>
      </c>
    </row>
    <row r="25" spans="1:5" x14ac:dyDescent="0.25">
      <c r="A25" s="79" t="s">
        <v>271</v>
      </c>
      <c r="B25" s="122">
        <f>IF(AND(NOT(ISBLANK('Loan Input'!C28)),OR('Loan Input'!C$5=Lists!$AG$2,'Loan Input'!C$5=Lists!$AG$3)),'Loan Input'!C28,"")</f>
        <v>0</v>
      </c>
      <c r="C25" s="103"/>
      <c r="D25" s="77" t="str">
        <f ca="1">IFERROR(INDEX(Validation!G:G,MATCH("Loan 1"&amp;CELL("address",D25),Validation!I:I,0)),"")</f>
        <v/>
      </c>
      <c r="E25" s="66" t="str">
        <f ca="1">IFERROR(INDEX(Validation!F:F,MATCH("Loan 1"&amp;CELL("address",D25),Validation!I:I,0)),"")</f>
        <v/>
      </c>
    </row>
    <row r="26" spans="1:5" x14ac:dyDescent="0.25">
      <c r="A26" s="79" t="s">
        <v>276</v>
      </c>
      <c r="B26" s="122">
        <f>IF(AND(NOT(ISBLANK('Loan Input'!C30)),OR('Loan Input'!C$5=Lists!$AG$2,'Loan Input'!C$5=Lists!$AG$3)),'Loan Input'!C30,"")</f>
        <v>0</v>
      </c>
      <c r="C26" s="103"/>
      <c r="D26" s="77" t="str">
        <f ca="1">IFERROR(INDEX(Validation!G:G,MATCH("Loan 1"&amp;CELL("address",D26),Validation!I:I,0)),"")</f>
        <v/>
      </c>
      <c r="E26" s="66" t="str">
        <f ca="1">IFERROR(INDEX(Validation!F:F,MATCH("Loan 1"&amp;CELL("address",D26),Validation!I:I,0)),"")</f>
        <v/>
      </c>
    </row>
    <row r="27" spans="1:5" x14ac:dyDescent="0.25">
      <c r="A27" s="79" t="s">
        <v>272</v>
      </c>
      <c r="B27" s="122">
        <f>IF(AND(NOT(ISBLANK('Loan Input'!C32)),OR('Loan Input'!C$5=Lists!$AG$2,'Loan Input'!C$5=Lists!$AG$3)),'Loan Input'!C32,"")</f>
        <v>0</v>
      </c>
      <c r="C27" s="103"/>
      <c r="D27" s="77" t="str">
        <f ca="1">IFERROR(INDEX(Validation!G:G,MATCH("Loan 1"&amp;CELL("address",D27),Validation!I:I,0)),"")</f>
        <v/>
      </c>
      <c r="E27" s="66" t="str">
        <f ca="1">IFERROR(INDEX(Validation!F:F,MATCH("Loan 1"&amp;CELL("address",D27),Validation!I:I,0)),"")</f>
        <v/>
      </c>
    </row>
    <row r="28" spans="1:5" x14ac:dyDescent="0.25">
      <c r="A28" s="79" t="s">
        <v>273</v>
      </c>
      <c r="B28" s="122">
        <f>IF(AND(NOT(ISBLANK('Loan Input'!C34)),OR('Loan Input'!C$5=Lists!$AG$2,'Loan Input'!C$5=Lists!$AG$3)),'Loan Input'!C34,"")</f>
        <v>0</v>
      </c>
      <c r="C28" s="103"/>
      <c r="D28" s="77" t="str">
        <f ca="1">IFERROR(INDEX(Validation!G:G,MATCH("Loan 1"&amp;CELL("address",D28),Validation!I:I,0)),"")</f>
        <v/>
      </c>
      <c r="E28" s="66" t="str">
        <f ca="1">IFERROR(INDEX(Validation!F:F,MATCH("Loan 1"&amp;CELL("address",D28),Validation!I:I,0)),"")</f>
        <v/>
      </c>
    </row>
    <row r="29" spans="1:5" x14ac:dyDescent="0.25">
      <c r="A29" s="130" t="s">
        <v>1184</v>
      </c>
      <c r="B29" s="125">
        <f>SUM(B19:B28)</f>
        <v>0</v>
      </c>
      <c r="C29" s="125">
        <f>SUM(C19:C28)</f>
        <v>0</v>
      </c>
      <c r="D29" s="77" t="str">
        <f ca="1">IFERROR(INDEX(Validation!G:G,MATCH("Loan 1"&amp;CELL("address",D29),Validation!I:I,0)),"")</f>
        <v/>
      </c>
      <c r="E29" s="66" t="str">
        <f ca="1">IFERROR(INDEX(Validation!F:F,MATCH("Loan 1"&amp;CELL("address",D29),Validation!I:I,0)),"")</f>
        <v/>
      </c>
    </row>
    <row r="30" spans="1:5" x14ac:dyDescent="0.25">
      <c r="A30" s="130" t="s">
        <v>1185</v>
      </c>
      <c r="B30" s="125">
        <f>IFERROR(B34-B29,"")</f>
        <v>40173</v>
      </c>
      <c r="C30" s="125">
        <f>IFERROR(B34+C34-B29-C29,"")</f>
        <v>40173</v>
      </c>
      <c r="D30" s="77" t="str">
        <f ca="1">IFERROR(INDEX(Validation!G:G,MATCH("Loan 1"&amp;CELL("address",D30),Validation!I:I,0)),"")</f>
        <v>The sum of Rows 31 and 32 must equal Row 29.</v>
      </c>
      <c r="E30" s="66" t="str">
        <f ca="1">IFERROR(INDEX(Validation!F:F,MATCH("Loan 1"&amp;CELL("address",D30),Validation!I:I,0)),"")</f>
        <v>Error</v>
      </c>
    </row>
    <row r="31" spans="1:5" x14ac:dyDescent="0.25">
      <c r="A31" s="131" t="s">
        <v>1186</v>
      </c>
      <c r="B31" s="122">
        <f>IF(AND(NOT(ISBLANK('Loan Input'!C41)),OR('Loan Input'!C$5=Lists!$AG$2,'Loan Input'!C$5=Lists!$AG$3)),'Loan Input'!C41,"")</f>
        <v>0</v>
      </c>
      <c r="C31" s="103"/>
      <c r="D31" s="77" t="str">
        <f ca="1">IFERROR(INDEX(Validation!G:G,MATCH("Loan 1"&amp;CELL("address",D31),Validation!I:I,0)),"")</f>
        <v/>
      </c>
      <c r="E31" s="66" t="str">
        <f ca="1">IFERROR(INDEX(Validation!F:F,MATCH("Loan 1"&amp;CELL("address",D31),Validation!I:I,0)),"")</f>
        <v/>
      </c>
    </row>
    <row r="32" spans="1:5" x14ac:dyDescent="0.25">
      <c r="A32" s="131" t="s">
        <v>1187</v>
      </c>
      <c r="B32" s="122">
        <f>IF(AND(NOT(ISBLANK('Loan Input'!C43)),OR('Loan Input'!C$5=Lists!$AG$2,'Loan Input'!C$5=Lists!$AG$3)),'Loan Input'!C43,"")</f>
        <v>0</v>
      </c>
      <c r="C32" s="103"/>
      <c r="D32" s="77" t="str">
        <f ca="1">IFERROR(INDEX(Validation!G:G,MATCH("Loan 1"&amp;CELL("address",D32),Validation!I:I,0)),"")</f>
        <v/>
      </c>
      <c r="E32" s="66" t="str">
        <f ca="1">IFERROR(INDEX(Validation!F:F,MATCH("Loan 1"&amp;CELL("address",D32),Validation!I:I,0)),"")</f>
        <v/>
      </c>
    </row>
    <row r="33" spans="1:6" ht="20.100000000000001" customHeight="1" x14ac:dyDescent="0.25">
      <c r="A33" s="74" t="s">
        <v>754</v>
      </c>
      <c r="B33" s="74" t="s">
        <v>283</v>
      </c>
      <c r="C33" s="74" t="str">
        <f>Year_DestinationYearID&amp;" Amount"</f>
        <v>2024 Amount</v>
      </c>
      <c r="D33" s="77" t="str">
        <f ca="1">IFERROR(INDEX(Validation!G:G,MATCH("Loan 1"&amp;CELL("address",D33),Validation!I:I,0)),"")</f>
        <v/>
      </c>
      <c r="E33" s="66" t="str">
        <f ca="1">IFERROR(INDEX(Validation!F:F,MATCH("Loan 1"&amp;CELL("address",D33),Validation!I:I,0)),"")</f>
        <v/>
      </c>
    </row>
    <row r="34" spans="1:6" x14ac:dyDescent="0.25">
      <c r="A34" s="79" t="s">
        <v>1350</v>
      </c>
      <c r="B34" s="122">
        <f>IF(AND(NOT(ISBLANK('Loan Input'!C44)),OR('Loan Input'!C$5=Lists!$AG$2,'Loan Input'!C$5=Lists!$AG$3)),'Loan Input'!C44,"")</f>
        <v>40173</v>
      </c>
      <c r="C34" s="122"/>
      <c r="D34" s="77" t="str">
        <f ca="1">IFERROR(INDEX(Validation!G:G,MATCH("Loan 1"&amp;CELL("address",D34),Validation!I:I,0)),"")</f>
        <v/>
      </c>
      <c r="E34" s="66" t="str">
        <f ca="1">IFERROR(INDEX(Validation!F:F,MATCH("Loan 1"&amp;CELL("address",D34),Validation!I:I,0)),"")</f>
        <v/>
      </c>
    </row>
    <row r="35" spans="1:6" x14ac:dyDescent="0.25">
      <c r="A35" s="79" t="s">
        <v>1188</v>
      </c>
      <c r="B35" s="122">
        <f>IF(AND(NOT(ISBLANK('Loan Input'!C47)),OR('Loan Input'!C$5=Lists!$AG$2,'Loan Input'!C$5=Lists!$AG$3)),'Loan Input'!C47,"")</f>
        <v>8332</v>
      </c>
      <c r="C35" s="122"/>
      <c r="D35" s="77" t="str">
        <f ca="1">IFERROR(INDEX(Validation!G:G,MATCH("Loan 1"&amp;CELL("address",D35),Validation!I:I,0)),"")</f>
        <v/>
      </c>
      <c r="E35" s="66" t="str">
        <f ca="1">IFERROR(INDEX(Validation!F:F,MATCH("Loan 1"&amp;CELL("address",D35),Validation!I:I,0)),"")</f>
        <v/>
      </c>
    </row>
    <row r="36" spans="1:6" x14ac:dyDescent="0.25">
      <c r="A36" s="79" t="s">
        <v>1189</v>
      </c>
      <c r="B36" s="122">
        <f>IF(AND(NOT(ISBLANK('Loan Input'!C49)),OR('Loan Input'!C$5=Lists!$AG$2,'Loan Input'!C$5=Lists!$AG$3)),'Loan Input'!C49,"")</f>
        <v>0</v>
      </c>
      <c r="C36" s="122"/>
      <c r="D36" s="77" t="str">
        <f ca="1">IFERROR(INDEX(Validation!G:G,MATCH("Loan 1"&amp;CELL("address",D36),Validation!I:I,0)),"")</f>
        <v/>
      </c>
      <c r="E36" s="66" t="str">
        <f ca="1">IFERROR(INDEX(Validation!F:F,MATCH("Loan 1"&amp;CELL("address",D36),Validation!I:I,0)),"")</f>
        <v/>
      </c>
    </row>
    <row r="37" spans="1:6" x14ac:dyDescent="0.25">
      <c r="A37" s="79" t="s">
        <v>1190</v>
      </c>
      <c r="B37" s="122">
        <f>IF(AND(NOT(ISBLANK('Loan Input'!C51)),OR('Loan Input'!C$5=Lists!$AG$2,'Loan Input'!C$5=Lists!$AG$3)),'Loan Input'!C51,"")</f>
        <v>0</v>
      </c>
      <c r="C37" s="122"/>
      <c r="D37" s="77" t="str">
        <f ca="1">IFERROR(INDEX(Validation!G:G,MATCH("Loan 1"&amp;CELL("address",D37),Validation!I:I,0)),"")</f>
        <v/>
      </c>
      <c r="E37" s="66" t="str">
        <f ca="1">IFERROR(INDEX(Validation!F:F,MATCH("Loan 1"&amp;CELL("address",D37),Validation!I:I,0)),"")</f>
        <v/>
      </c>
    </row>
    <row r="38" spans="1:6" x14ac:dyDescent="0.25">
      <c r="A38" s="79" t="s">
        <v>221</v>
      </c>
      <c r="B38" s="125">
        <f>IFERROR(B34-B35-B36+B37,"")</f>
        <v>31841</v>
      </c>
      <c r="C38" s="125">
        <f>IFERROR(B34+C34-B35-B36-C35-C36+B37+C37,"")</f>
        <v>31841</v>
      </c>
      <c r="D38" s="77" t="str">
        <f ca="1">IFERROR(INDEX(Validation!G:G,MATCH("Loan 1"&amp;CELL("address",D38),Validation!I:I,0)),"")</f>
        <v/>
      </c>
      <c r="E38" s="66" t="str">
        <f ca="1">IFERROR(INDEX(Validation!F:F,MATCH("Loan 1"&amp;CELL("address",D38),Validation!I:I,0)),"")</f>
        <v/>
      </c>
      <c r="F38" s="126"/>
    </row>
    <row r="39" spans="1:6" x14ac:dyDescent="0.25">
      <c r="A39" s="79" t="s">
        <v>223</v>
      </c>
      <c r="B39" s="122">
        <f>IF(AND(NOT(ISBLANK('Loan Input'!C55)),OR('Loan Input'!C$5=Lists!$AG$2,'Loan Input'!C$5=Lists!$AG$3)),'Loan Input'!C55,"")</f>
        <v>0</v>
      </c>
      <c r="C39" s="122"/>
      <c r="D39" s="77" t="str">
        <f ca="1">IFERROR(INDEX(Validation!G:G,MATCH("Loan 1"&amp;CELL("address",D39),Validation!I:I,0)),"")</f>
        <v/>
      </c>
      <c r="E39" s="66" t="str">
        <f ca="1">IFERROR(INDEX(Validation!F:F,MATCH("Loan 1"&amp;CELL("address",D39),Validation!I:I,0)),"")</f>
        <v/>
      </c>
    </row>
    <row r="40" spans="1:6" x14ac:dyDescent="0.25">
      <c r="A40" s="79" t="s">
        <v>1191</v>
      </c>
      <c r="B40" s="122">
        <f>IF(AND(NOT(ISBLANK('Loan Input'!C57)),OR('Loan Input'!C$5=Lists!$AG$2,'Loan Input'!C$5=Lists!$AG$3)),'Loan Input'!C57,"")</f>
        <v>11940</v>
      </c>
      <c r="C40" s="122"/>
      <c r="D40" s="77" t="str">
        <f ca="1">IFERROR(INDEX(Validation!G:G,MATCH("Loan 1"&amp;CELL("address",D40),Validation!I:I,0)),"")</f>
        <v/>
      </c>
      <c r="E40" s="66" t="str">
        <f ca="1">IFERROR(INDEX(Validation!F:F,MATCH("Loan 1"&amp;CELL("address",D40),Validation!I:I,0)),"")</f>
        <v/>
      </c>
    </row>
    <row r="41" spans="1:6" x14ac:dyDescent="0.25">
      <c r="A41" s="79" t="s">
        <v>1192</v>
      </c>
      <c r="B41" s="122">
        <f>IF(AND(NOT(ISBLANK('Loan Input'!C59)),OR('Loan Input'!C$5=Lists!$AG$2,'Loan Input'!C$5=Lists!$AG$3)),'Loan Input'!C59,"")</f>
        <v>0</v>
      </c>
      <c r="C41" s="122"/>
      <c r="D41" s="77" t="str">
        <f ca="1">IFERROR(INDEX(Validation!G:G,MATCH("Loan 1"&amp;CELL("address",D41),Validation!I:I,0)),"")</f>
        <v/>
      </c>
      <c r="E41" s="66" t="str">
        <f ca="1">IFERROR(INDEX(Validation!F:F,MATCH("Loan 1"&amp;CELL("address",D41),Validation!I:I,0)),"")</f>
        <v/>
      </c>
    </row>
    <row r="42" spans="1:6" ht="20.100000000000001" customHeight="1" x14ac:dyDescent="0.25">
      <c r="A42" s="74" t="str">
        <f>"Principal and Interest Due in "&amp;Year_DestinationYearID+1</f>
        <v>Principal and Interest Due in 2025</v>
      </c>
      <c r="B42" s="74"/>
      <c r="C42" s="74"/>
      <c r="D42" s="77" t="str">
        <f ca="1">IFERROR(INDEX(Validation!G:G,MATCH("Loan 1"&amp;CELL("address",D42),Validation!I:I,0)),"")</f>
        <v/>
      </c>
      <c r="E42" s="66" t="str">
        <f ca="1">IFERROR(INDEX(Validation!F:F,MATCH("Loan 1"&amp;CELL("address",D42),Validation!I:I,0)),"")</f>
        <v/>
      </c>
    </row>
    <row r="43" spans="1:6" x14ac:dyDescent="0.25">
      <c r="A43" s="79" t="str">
        <f>"Principal Due in "&amp;Year_DestinationYearID+1</f>
        <v>Principal Due in 2025</v>
      </c>
      <c r="B43" s="122"/>
      <c r="C43" s="128"/>
      <c r="D43" s="77" t="str">
        <f ca="1">IFERROR(INDEX(Validation!G:G,MATCH("Loan 1"&amp;CELL("address",D43),Validation!I:I,0)),"")</f>
        <v/>
      </c>
      <c r="E43" s="66" t="str">
        <f ca="1">IFERROR(INDEX(Validation!F:F,MATCH("Loan 1"&amp;CELL("address",D43),Validation!I:I,0)),"")</f>
        <v/>
      </c>
    </row>
    <row r="44" spans="1:6" x14ac:dyDescent="0.25">
      <c r="A44" s="79" t="str">
        <f>"Interest Due in "&amp;Year_DestinationYearID+1</f>
        <v>Interest Due in 2025</v>
      </c>
      <c r="B44" s="122"/>
      <c r="C44" s="128"/>
      <c r="D44" s="77" t="str">
        <f ca="1">IFERROR(INDEX(Validation!G:G,MATCH("Loan 1"&amp;CELL("address",D44),Validation!I:I,0)),"")</f>
        <v/>
      </c>
      <c r="E44" s="66" t="str">
        <f ca="1">IFERROR(INDEX(Validation!F:F,MATCH("Loan 1"&amp;CELL("address",D44),Validation!I:I,0)),"")</f>
        <v/>
      </c>
    </row>
    <row r="45" spans="1:6" ht="20.100000000000001" customHeight="1" x14ac:dyDescent="0.25">
      <c r="A45" s="97" t="s">
        <v>176</v>
      </c>
      <c r="D45" s="77" t="str">
        <f ca="1">IF(AND(ISBLANK(A46),OR(COUNTIF(E6:E44,"Alert")&gt;0,SUM(B37:B37)&lt;&gt;0)),"Comment(s) required for remaining alert(s) and/or additions to principal.",IFERROR(INDEX(Validation!G:G,MATCH("Loan 1"&amp;CELL("address",D45),Validation!I:I,0)),""))</f>
        <v/>
      </c>
      <c r="E45" s="66" t="str">
        <f ca="1">IF(AND(ISBLANK(A46),OR(COUNTIF(E6:E44,"Alert")&gt;0,SUM(B37:B37)&lt;&gt;0)),"Error",IFERROR(INDEX(Validation!F:F,MATCH("Loan 1"&amp;CELL("address",D45),Validation!I:I,0)),""))</f>
        <v/>
      </c>
    </row>
    <row r="46" spans="1:6" ht="150" customHeight="1" x14ac:dyDescent="0.25">
      <c r="A46" s="123"/>
      <c r="B46" s="100" t="str">
        <f>HYPERLINK("#'Loans'!B6","Click here to return to the Loans Tab")</f>
        <v>Click here to return to the Loans Tab</v>
      </c>
      <c r="C46" s="127"/>
    </row>
    <row r="47" spans="1:6" x14ac:dyDescent="0.25">
      <c r="A47" s="98"/>
      <c r="B47" s="98"/>
      <c r="C47" s="98"/>
    </row>
    <row r="48" spans="1:6" x14ac:dyDescent="0.25">
      <c r="A48" s="98"/>
      <c r="B48" s="98"/>
      <c r="C48" s="98"/>
    </row>
    <row r="49" spans="1:3" x14ac:dyDescent="0.25">
      <c r="A49" s="98"/>
      <c r="B49" s="98"/>
      <c r="C49" s="98"/>
    </row>
    <row r="50" spans="1:3" x14ac:dyDescent="0.25">
      <c r="A50" s="98"/>
      <c r="B50" s="98"/>
      <c r="C50" s="98"/>
    </row>
  </sheetData>
  <sheetProtection algorithmName="SHA-512" hashValue="7pU7tO/4cSQTTmYPUULUzCNMNvLFh9FyPTqBjgJ7t6Stee+XBbnlb7m44bQwP31lFWQnyKqm7DxPsK8HYzlhyg==" saltValue="TArgPh9EC9uHWhCP/3Lj9A==" spinCount="100000" sheet="1" objects="1" scenarios="1"/>
  <mergeCells count="1">
    <mergeCell ref="A4:E4"/>
  </mergeCells>
  <conditionalFormatting sqref="A2">
    <cfRule type="expression" dxfId="269" priority="19">
      <formula>$E2="Error"</formula>
    </cfRule>
    <cfRule type="expression" dxfId="267" priority="21">
      <formula>$E2="Exclude"</formula>
    </cfRule>
  </conditionalFormatting>
  <conditionalFormatting sqref="D6:E45">
    <cfRule type="expression" dxfId="264" priority="1">
      <formula>$E6="Information"</formula>
    </cfRule>
    <cfRule type="expression" dxfId="263" priority="2">
      <formula>$E6="Error"</formula>
    </cfRule>
    <cfRule type="expression" dxfId="262" priority="3">
      <formula>$E6="Alert"</formula>
    </cfRule>
    <cfRule type="expression" dxfId="261" priority="4">
      <formula>$E6="Exclude"</formula>
    </cfRule>
  </conditionalFormatting>
  <dataValidations count="4">
    <dataValidation type="list" allowBlank="1" showInputMessage="1" showErrorMessage="1" sqref="B7" xr:uid="{E9ACE408-474C-4A93-B62E-5F14202BC257}">
      <formula1>DueToType</formula1>
    </dataValidation>
    <dataValidation type="list" allowBlank="1" showInputMessage="1" showErrorMessage="1" sqref="B8" xr:uid="{6283A229-6DFE-422F-99D1-801B40903204}">
      <formula1>DistrictDropDown</formula1>
    </dataValidation>
    <dataValidation type="list" allowBlank="1" showInputMessage="1" showErrorMessage="1" sqref="B14:C14" xr:uid="{BC9E591F-CC04-4AAB-B4A6-4B1F1F3BD949}">
      <formula1>InterestRateType</formula1>
    </dataValidation>
    <dataValidation type="list" allowBlank="1" showInputMessage="1" showErrorMessage="1" sqref="B16:B17" xr:uid="{386B26C2-08C5-450D-8E0D-96ABA6A5155B}">
      <formula1>SelOneYesNo</formula1>
    </dataValidation>
  </dataValidations>
  <pageMargins left="0.7" right="0.7" top="0.75" bottom="0.75" header="0.3" footer="0.3"/>
  <pageSetup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20" id="{B1621077-E5D6-45E2-BAAA-9C638A5B49DC}">
            <xm:f>COUNTIFS(Validation!$H:$H,MID(CELL("filename",A2),FIND("]",CELL("filename",A2))+1,255)&amp;CELL("address",A2))&gt;0</xm:f>
            <x14:dxf>
              <font>
                <b/>
                <i val="0"/>
                <color rgb="FFC00000"/>
              </font>
              <numFmt numFmtId="172" formatCode="_(\!* #,##0_);_(\!* \(#,##0\);_(\!* \-??_);_(\!\ @_)"/>
            </x14:dxf>
          </x14:cfRule>
          <xm:sqref>A2</xm:sqref>
        </x14:conditionalFormatting>
        <x14:conditionalFormatting xmlns:xm="http://schemas.microsoft.com/office/excel/2006/main">
          <x14:cfRule type="expression" priority="10" id="{00000000-000E-0000-2E00-000002000000}">
            <xm:f>$B$7=Lists!$AH$3</xm:f>
            <x14:dxf>
              <fill>
                <patternFill>
                  <bgColor rgb="FFEAEAEA"/>
                </patternFill>
              </fill>
            </x14:dxf>
          </x14:cfRule>
          <xm:sqref>B8</xm:sqref>
        </x14:conditionalFormatting>
        <x14:conditionalFormatting xmlns:xm="http://schemas.microsoft.com/office/excel/2006/main">
          <x14:cfRule type="expression" priority="9" id="{00000000-000E-0000-2E00-000001000000}">
            <xm:f>$B$7=Lists!$AH$2</xm:f>
            <x14:dxf>
              <fill>
                <patternFill>
                  <bgColor rgb="FFEAEAEA"/>
                </patternFill>
              </fill>
            </x14:dxf>
          </x14:cfRule>
          <xm:sqref>B9</xm:sqref>
        </x14:conditionalFormatting>
      </x14:conditionalFormatting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8E9EF-842B-45AE-9D01-A2709212CD69}">
  <sheetPr>
    <tabColor rgb="FFEED382"/>
  </sheetPr>
  <dimension ref="A1:F50"/>
  <sheetViews>
    <sheetView showGridLines="0" workbookViewId="0">
      <selection activeCell="B7" sqref="B7"/>
    </sheetView>
  </sheetViews>
  <sheetFormatPr defaultRowHeight="15" x14ac:dyDescent="0.25"/>
  <cols>
    <col min="1" max="1" width="55.7109375" style="66" customWidth="1"/>
    <col min="2" max="3" width="22.7109375" style="66" customWidth="1"/>
    <col min="4" max="4" width="80.85546875" style="66" customWidth="1"/>
    <col min="5" max="5" width="14.7109375" style="66" customWidth="1"/>
    <col min="6" max="6" width="10.7109375" style="78" hidden="1" customWidth="1"/>
    <col min="7" max="16384" width="9.140625" style="66"/>
  </cols>
  <sheetData>
    <row r="1" spans="1:6" s="59" customFormat="1" ht="24.95" customHeight="1" x14ac:dyDescent="0.25">
      <c r="A1" s="59" t="str">
        <f>_xlfn.CONCAT("Office of the State Auditor  -  TIF Annual Reporting Form  -  ",Year_DestinationYearID)</f>
        <v>Office of the State Auditor  -  TIF Annual Reporting Form  -  2024</v>
      </c>
      <c r="F1" s="61"/>
    </row>
    <row r="2" spans="1:6" s="62" customFormat="1" ht="20.100000000000001" customHeight="1" x14ac:dyDescent="0.25">
      <c r="A2" s="58" t="str">
        <f>_xlfn.CONCAT(GovEntity_GovEntityName_Parent,"  -  ",GovEntity_GovEntityName)</f>
        <v>Spruce City  -  TIF 1-1 Downtown Redev</v>
      </c>
      <c r="F2" s="64"/>
    </row>
    <row r="3" spans="1:6" s="68" customFormat="1" ht="24.95" customHeight="1" x14ac:dyDescent="0.3">
      <c r="A3" s="65" t="s">
        <v>238</v>
      </c>
      <c r="B3" s="66"/>
      <c r="C3" s="66"/>
      <c r="F3" s="69"/>
    </row>
    <row r="4" spans="1:6" s="71" customFormat="1" x14ac:dyDescent="0.25">
      <c r="A4" s="217" t="s">
        <v>207</v>
      </c>
      <c r="B4" s="217"/>
      <c r="C4" s="217"/>
      <c r="D4" s="217"/>
      <c r="E4" s="217"/>
      <c r="F4" s="72" t="s">
        <v>119</v>
      </c>
    </row>
    <row r="5" spans="1:6" s="74" customFormat="1" ht="20.100000000000001" customHeight="1" x14ac:dyDescent="0.25">
      <c r="A5" s="73" t="str">
        <f>HYPERLINK("#'Loans'!B6","Click here to return to the Loans Tab")</f>
        <v>Click here to return to the Loans Tab</v>
      </c>
      <c r="D5" s="74" t="s">
        <v>121</v>
      </c>
      <c r="E5" s="74" t="s">
        <v>102</v>
      </c>
      <c r="F5" s="76"/>
    </row>
    <row r="6" spans="1:6" ht="20.100000000000001" customHeight="1" x14ac:dyDescent="0.25">
      <c r="A6" s="74" t="s">
        <v>239</v>
      </c>
      <c r="D6" s="77" t="str">
        <f ca="1">IFERROR(INDEX(Validation!G:G,MATCH("Loan 2"&amp;CELL("address",D6),Validation!I:I,0)),"")</f>
        <v/>
      </c>
      <c r="E6" s="66" t="str">
        <f ca="1">IFERROR(INDEX(Validation!F:F,MATCH("Loan 2"&amp;CELL("address",D6),Validation!I:I,0)),"")</f>
        <v/>
      </c>
      <c r="F6" s="78" t="s">
        <v>875</v>
      </c>
    </row>
    <row r="7" spans="1:6" x14ac:dyDescent="0.25">
      <c r="A7" s="79" t="s">
        <v>761</v>
      </c>
      <c r="B7" s="103" t="str">
        <f>IF(AND(NOT(ISBLANK('Loan Input'!D5)),OR('Loan Input'!D$5=Lists!$AG$2,'Loan Input'!D$5=Lists!$AG$3)),_xlfn.XLOOKUP('Loan Input'!D5,Lists!AG2:AG5,Lists!AH2:AH5),Lists!$AH$1)</f>
        <v>Select One</v>
      </c>
      <c r="C7" s="128"/>
      <c r="D7" s="77" t="str">
        <f ca="1">'Rev Exp Bal'!E7</f>
        <v/>
      </c>
      <c r="E7" s="66" t="str">
        <f ca="1">IFERROR(INDEX(Validation!F:F,MATCH("Loan 2"&amp;CELL("address",D7),Validation!I:I,0)),"")</f>
        <v/>
      </c>
      <c r="F7" s="85" t="str">
        <f>IF(NOT(ISBLANK('Loan Input'!D4)),'Loan Input'!D4,"")</f>
        <v/>
      </c>
    </row>
    <row r="8" spans="1:6" x14ac:dyDescent="0.25">
      <c r="A8" s="79" t="s">
        <v>769</v>
      </c>
      <c r="B8" s="103" t="str">
        <f>IF(AND(NOT(ISBLANK('Loan Input'!D6)),'Loan Input'!D$5=Lists!$AG$2),'Loan Input'!D6,Lists!$AJ$1)</f>
        <v>Select One</v>
      </c>
      <c r="C8" s="128"/>
      <c r="D8" s="77" t="str">
        <f ca="1">IFERROR(INDEX(Validation!G:G,MATCH("Loan 2"&amp;CELL("address",D8),Validation!I:I,0)),"")</f>
        <v/>
      </c>
      <c r="E8" s="66" t="str">
        <f ca="1">IFERROR(INDEX(Validation!F:F,MATCH("Loan 2"&amp;CELL("address",D8),Validation!I:I,0)),"")</f>
        <v/>
      </c>
    </row>
    <row r="9" spans="1:6" x14ac:dyDescent="0.25">
      <c r="A9" s="79" t="s">
        <v>770</v>
      </c>
      <c r="B9" s="103" t="str">
        <f>IF(AND(NOT(ISBLANK('Loan Input'!D7)),'Loan Input'!D$5=Lists!$AG$3),'Loan Input'!D7,"")</f>
        <v/>
      </c>
      <c r="C9" s="128"/>
      <c r="D9" s="77" t="str">
        <f ca="1">IFERROR(INDEX(Validation!G:G,MATCH("Loan 2"&amp;CELL("address",D9),Validation!I:I,0)),"")</f>
        <v/>
      </c>
      <c r="E9" s="66" t="str">
        <f ca="1">IFERROR(INDEX(Validation!F:F,MATCH("Loan 2"&amp;CELL("address",D9),Validation!I:I,0)),"")</f>
        <v/>
      </c>
    </row>
    <row r="10" spans="1:6" x14ac:dyDescent="0.25">
      <c r="A10" s="79" t="s">
        <v>931</v>
      </c>
      <c r="B10" s="120" t="str">
        <f>IF(AND(NOT(ISBLANK('Loan Input'!D8)),OR('Loan Input'!D$5=Lists!$AG$2,'Loan Input'!D$5=Lists!$AG$3)),'Loan Input'!D8,"")</f>
        <v/>
      </c>
      <c r="C10" s="128"/>
      <c r="D10" s="77" t="str">
        <f ca="1">IFERROR(INDEX(Validation!G:G,MATCH("Loan 2"&amp;CELL("address",D10),Validation!I:I,0)),"")</f>
        <v/>
      </c>
      <c r="E10" s="66" t="str">
        <f ca="1">IFERROR(INDEX(Validation!F:F,MATCH("Loan 2"&amp;CELL("address",D10),Validation!I:I,0)),"")</f>
        <v/>
      </c>
    </row>
    <row r="11" spans="1:6" x14ac:dyDescent="0.25">
      <c r="A11" s="79" t="s">
        <v>212</v>
      </c>
      <c r="B11" s="120" t="str">
        <f>IF(AND(NOT(ISBLANK('Loan Input'!D9)),OR('Loan Input'!D$5=Lists!$AG$2,'Loan Input'!D$5=Lists!$AG$3)),'Loan Input'!D9,"")</f>
        <v/>
      </c>
      <c r="C11" s="128"/>
      <c r="D11" s="77" t="str">
        <f ca="1">IFERROR(INDEX(Validation!G:G,MATCH("Loan 2"&amp;CELL("address",D11),Validation!I:I,0)),"")</f>
        <v/>
      </c>
      <c r="E11" s="66" t="str">
        <f ca="1">IFERROR(INDEX(Validation!F:F,MATCH("Loan 2"&amp;CELL("address",D11),Validation!I:I,0)),"")</f>
        <v/>
      </c>
    </row>
    <row r="12" spans="1:6" x14ac:dyDescent="0.25">
      <c r="A12" s="79" t="s">
        <v>213</v>
      </c>
      <c r="B12" s="121" t="str">
        <f>IF(AND(NOT(ISBLANK('Loan Input'!D10)),OR('Loan Input'!D$5=Lists!$AG$2,'Loan Input'!D$5=Lists!$AG$3)),'Loan Input'!D10,"")</f>
        <v/>
      </c>
      <c r="C12" s="128"/>
      <c r="D12" s="77" t="str">
        <f ca="1">IFERROR(INDEX(Validation!G:G,MATCH("Loan 2"&amp;CELL("address",D12),Validation!I:I,0)),"")</f>
        <v/>
      </c>
      <c r="E12" s="66" t="str">
        <f ca="1">IFERROR(INDEX(Validation!F:F,MATCH("Loan 2"&amp;CELL("address",D12),Validation!I:I,0)),"")</f>
        <v/>
      </c>
    </row>
    <row r="13" spans="1:6" x14ac:dyDescent="0.25">
      <c r="A13" s="79" t="s">
        <v>214</v>
      </c>
      <c r="B13" s="121" t="str">
        <f>IF(AND(NOT(ISBLANK('Loan Input'!D11)),OR('Loan Input'!D$5=Lists!$AG$2,'Loan Input'!D$5=Lists!$AG$3)),'Loan Input'!D11,"")</f>
        <v/>
      </c>
      <c r="C13" s="128"/>
      <c r="D13" s="77" t="str">
        <f ca="1">IFERROR(INDEX(Validation!G:G,MATCH("Loan 2"&amp;CELL("address",D13),Validation!I:I,0)),"")</f>
        <v/>
      </c>
      <c r="E13" s="66" t="str">
        <f ca="1">IFERROR(INDEX(Validation!F:F,MATCH("Loan 2"&amp;CELL("address",D13),Validation!I:I,0)),"")</f>
        <v/>
      </c>
    </row>
    <row r="14" spans="1:6" x14ac:dyDescent="0.25">
      <c r="A14" s="79" t="s">
        <v>241</v>
      </c>
      <c r="B14" s="120" t="str">
        <f>IF(AND(NOT(ISBLANK('Loan Input'!D12)),OR('Loan Input'!D$5=Lists!$AG$2,'Loan Input'!D$5=Lists!$AG$3)),'Loan Input'!D12,Lists!$AM$1)</f>
        <v>Select One</v>
      </c>
      <c r="C14" s="129"/>
      <c r="D14" s="77" t="str">
        <f ca="1">IFERROR(INDEX(Validation!G:G,MATCH("Loan 2"&amp;CELL("address",D14),Validation!I:I,0)),"")</f>
        <v/>
      </c>
      <c r="E14" s="66" t="str">
        <f ca="1">IFERROR(INDEX(Validation!F:F,MATCH("Loan 2"&amp;CELL("address",D14),Validation!I:I,0)),"")</f>
        <v/>
      </c>
    </row>
    <row r="15" spans="1:6" x14ac:dyDescent="0.25">
      <c r="A15" s="79" t="s">
        <v>242</v>
      </c>
      <c r="B15" s="122" t="str">
        <f>IF(AND(NOT(ISBLANK('Loan Input'!D13)),OR('Loan Input'!D$5=Lists!$AG$2,'Loan Input'!D$5=Lists!$AG$3)),'Loan Input'!D13,"")</f>
        <v/>
      </c>
      <c r="C15" s="128"/>
      <c r="D15" s="77" t="str">
        <f ca="1">IFERROR(INDEX(Validation!G:G,MATCH("Loan 2"&amp;CELL("address",D15),Validation!I:I,0)),"")</f>
        <v/>
      </c>
      <c r="E15" s="66" t="str">
        <f ca="1">IFERROR(INDEX(Validation!F:F,MATCH("Loan 2"&amp;CELL("address",D15),Validation!I:I,0)),"")</f>
        <v/>
      </c>
    </row>
    <row r="16" spans="1:6" x14ac:dyDescent="0.25">
      <c r="A16" s="79" t="s">
        <v>232</v>
      </c>
      <c r="B16" s="103" t="str">
        <f>IF(OR('Loan Input'!D14="",'Loan Input'!D14=0),"Select One",IF('Loan Input'!D14=TRUE,"Yes","No"))</f>
        <v>Select One</v>
      </c>
      <c r="C16" s="128"/>
      <c r="D16" s="77" t="str">
        <f ca="1">IFERROR(INDEX(Validation!G:G,MATCH("Loan 2"&amp;CELL("address",D16),Validation!I:I,0)),"")</f>
        <v/>
      </c>
      <c r="E16" s="66" t="str">
        <f ca="1">IFERROR(INDEX(Validation!F:F,MATCH("Loan 2"&amp;CELL("address",D16),Validation!I:I,0)),"")</f>
        <v/>
      </c>
    </row>
    <row r="17" spans="1:5" x14ac:dyDescent="0.25">
      <c r="A17" s="79" t="str">
        <f>"Were the terms of this obligation modified in "&amp;Year_DestinationYearID&amp;"?"</f>
        <v>Were the terms of this obligation modified in 2024?</v>
      </c>
      <c r="B17" s="103" t="s">
        <v>41</v>
      </c>
      <c r="C17" s="128"/>
      <c r="D17" s="77" t="str">
        <f ca="1">IFERROR(INDEX(Validation!G:G,MATCH("Loan 2"&amp;CELL("address",D17),Validation!I:I,0)),"")</f>
        <v/>
      </c>
      <c r="E17" s="66" t="str">
        <f ca="1">IFERROR(INDEX(Validation!F:F,MATCH("Loan 2"&amp;CELL("address",D17),Validation!I:I,0)),"")</f>
        <v/>
      </c>
    </row>
    <row r="18" spans="1:5" ht="20.100000000000001" customHeight="1" x14ac:dyDescent="0.25">
      <c r="A18" s="74" t="s">
        <v>1183</v>
      </c>
      <c r="B18" s="74" t="s">
        <v>283</v>
      </c>
      <c r="C18" s="74" t="str">
        <f>Year_DestinationYearID&amp;" Amount"</f>
        <v>2024 Amount</v>
      </c>
      <c r="D18" s="77" t="str">
        <f ca="1">IFERROR(INDEX(Validation!G:G,MATCH("Loan 2"&amp;CELL("address",D18),Validation!I:I,0)),"")</f>
        <v/>
      </c>
      <c r="E18" s="66" t="str">
        <f ca="1">IFERROR(INDEX(Validation!F:F,MATCH("Loan 2"&amp;CELL("address",D18),Validation!I:I,0)),"")</f>
        <v/>
      </c>
    </row>
    <row r="19" spans="1:5" x14ac:dyDescent="0.25">
      <c r="A19" s="79" t="s">
        <v>266</v>
      </c>
      <c r="B19" s="122" t="str">
        <f>IF(AND(NOT(ISBLANK('Loan Input'!D16)),OR('Loan Input'!D$5=Lists!$AG$2,'Loan Input'!D$5=Lists!$AG$3)),'Loan Input'!D16,"")</f>
        <v/>
      </c>
      <c r="C19" s="103"/>
      <c r="D19" s="77" t="str">
        <f ca="1">IFERROR(INDEX(Validation!G:G,MATCH("Loan 2"&amp;CELL("address",D19),Validation!I:I,0)),"")</f>
        <v/>
      </c>
      <c r="E19" s="66" t="str">
        <f ca="1">IFERROR(INDEX(Validation!F:F,MATCH("Loan 2"&amp;CELL("address",D19),Validation!I:I,0)),"")</f>
        <v/>
      </c>
    </row>
    <row r="20" spans="1:5" x14ac:dyDescent="0.25">
      <c r="A20" s="79" t="s">
        <v>267</v>
      </c>
      <c r="B20" s="122" t="str">
        <f>IF(AND(NOT(ISBLANK('Loan Input'!D18)),OR('Loan Input'!D$5=Lists!$AG$2,'Loan Input'!D$5=Lists!$AG$3)),'Loan Input'!D18,"")</f>
        <v/>
      </c>
      <c r="C20" s="103"/>
      <c r="D20" s="77" t="str">
        <f ca="1">IFERROR(INDEX(Validation!G:G,MATCH("Loan 2"&amp;CELL("address",D20),Validation!I:I,0)),"")</f>
        <v/>
      </c>
      <c r="E20" s="66" t="str">
        <f ca="1">IFERROR(INDEX(Validation!F:F,MATCH("Loan 2"&amp;CELL("address",D20),Validation!I:I,0)),"")</f>
        <v/>
      </c>
    </row>
    <row r="21" spans="1:5" x14ac:dyDescent="0.25">
      <c r="A21" s="79" t="s">
        <v>268</v>
      </c>
      <c r="B21" s="122" t="str">
        <f>IF(AND(NOT(ISBLANK('Loan Input'!D20)),OR('Loan Input'!D$5=Lists!$AG$2,'Loan Input'!D$5=Lists!$AG$3)),'Loan Input'!D20,"")</f>
        <v/>
      </c>
      <c r="C21" s="103"/>
      <c r="D21" s="77" t="str">
        <f ca="1">IFERROR(INDEX(Validation!G:G,MATCH("Loan 2"&amp;CELL("address",D21),Validation!I:I,0)),"")</f>
        <v/>
      </c>
      <c r="E21" s="66" t="str">
        <f ca="1">IFERROR(INDEX(Validation!F:F,MATCH("Loan 2"&amp;CELL("address",D21),Validation!I:I,0)),"")</f>
        <v/>
      </c>
    </row>
    <row r="22" spans="1:5" x14ac:dyDescent="0.25">
      <c r="A22" s="79" t="s">
        <v>269</v>
      </c>
      <c r="B22" s="122" t="str">
        <f>IF(AND(NOT(ISBLANK('Loan Input'!D22)),OR('Loan Input'!D$5=Lists!$AG$2,'Loan Input'!D$5=Lists!$AG$3)),'Loan Input'!D22,"")</f>
        <v/>
      </c>
      <c r="C22" s="103"/>
      <c r="D22" s="77" t="str">
        <f ca="1">IFERROR(INDEX(Validation!G:G,MATCH("Loan 2"&amp;CELL("address",D22),Validation!I:I,0)),"")</f>
        <v/>
      </c>
      <c r="E22" s="66" t="str">
        <f ca="1">IFERROR(INDEX(Validation!F:F,MATCH("Loan 2"&amp;CELL("address",D22),Validation!I:I,0)),"")</f>
        <v/>
      </c>
    </row>
    <row r="23" spans="1:5" x14ac:dyDescent="0.25">
      <c r="A23" s="79" t="s">
        <v>1101</v>
      </c>
      <c r="B23" s="122" t="str">
        <f>IF(AND(NOT(ISBLANK('Loan Input'!D24)),OR('Loan Input'!D$5=Lists!$AG$2,'Loan Input'!D$5=Lists!$AG$3)),'Loan Input'!D24,"")</f>
        <v/>
      </c>
      <c r="C23" s="103"/>
      <c r="D23" s="77" t="str">
        <f ca="1">IFERROR(INDEX(Validation!G:G,MATCH("Loan 2"&amp;CELL("address",D23),Validation!I:I,0)),"")</f>
        <v/>
      </c>
      <c r="E23" s="66" t="str">
        <f ca="1">IFERROR(INDEX(Validation!F:F,MATCH("Loan 2"&amp;CELL("address",D23),Validation!I:I,0)),"")</f>
        <v/>
      </c>
    </row>
    <row r="24" spans="1:5" x14ac:dyDescent="0.25">
      <c r="A24" s="79" t="s">
        <v>270</v>
      </c>
      <c r="B24" s="122" t="str">
        <f>IF(AND(NOT(ISBLANK('Loan Input'!D26)),OR('Loan Input'!D$5=Lists!$AG$2,'Loan Input'!D$5=Lists!$AG$3)),'Loan Input'!D26,"")</f>
        <v/>
      </c>
      <c r="C24" s="103"/>
      <c r="D24" s="77" t="str">
        <f ca="1">IFERROR(INDEX(Validation!G:G,MATCH("Loan 2"&amp;CELL("address",D24),Validation!I:I,0)),"")</f>
        <v/>
      </c>
      <c r="E24" s="66" t="str">
        <f ca="1">IFERROR(INDEX(Validation!F:F,MATCH("Loan 2"&amp;CELL("address",D24),Validation!I:I,0)),"")</f>
        <v/>
      </c>
    </row>
    <row r="25" spans="1:5" x14ac:dyDescent="0.25">
      <c r="A25" s="79" t="s">
        <v>271</v>
      </c>
      <c r="B25" s="122" t="str">
        <f>IF(AND(NOT(ISBLANK('Loan Input'!D28)),OR('Loan Input'!D$5=Lists!$AG$2,'Loan Input'!D$5=Lists!$AG$3)),'Loan Input'!D28,"")</f>
        <v/>
      </c>
      <c r="C25" s="103"/>
      <c r="D25" s="77" t="str">
        <f ca="1">IFERROR(INDEX(Validation!G:G,MATCH("Loan 2"&amp;CELL("address",D25),Validation!I:I,0)),"")</f>
        <v/>
      </c>
      <c r="E25" s="66" t="str">
        <f ca="1">IFERROR(INDEX(Validation!F:F,MATCH("Loan 2"&amp;CELL("address",D25),Validation!I:I,0)),"")</f>
        <v/>
      </c>
    </row>
    <row r="26" spans="1:5" x14ac:dyDescent="0.25">
      <c r="A26" s="79" t="s">
        <v>276</v>
      </c>
      <c r="B26" s="122" t="str">
        <f>IF(AND(NOT(ISBLANK('Loan Input'!D30)),OR('Loan Input'!C$5=Lists!$AG$2,'Loan Input'!C$5=Lists!$AG$3)),'Loan Input'!D30,"")</f>
        <v/>
      </c>
      <c r="C26" s="103"/>
      <c r="D26" s="77" t="str">
        <f ca="1">IFERROR(INDEX(Validation!G:G,MATCH("Loan 2"&amp;CELL("address",D26),Validation!I:I,0)),"")</f>
        <v/>
      </c>
      <c r="E26" s="66" t="str">
        <f ca="1">IFERROR(INDEX(Validation!F:F,MATCH("Loan 2"&amp;CELL("address",D26),Validation!I:I,0)),"")</f>
        <v/>
      </c>
    </row>
    <row r="27" spans="1:5" x14ac:dyDescent="0.25">
      <c r="A27" s="79" t="s">
        <v>272</v>
      </c>
      <c r="B27" s="122" t="str">
        <f>IF(AND(NOT(ISBLANK('Loan Input'!D32)),OR('Loan Input'!D$5=Lists!$AG$2,'Loan Input'!D$5=Lists!$AG$3)),'Loan Input'!D32,"")</f>
        <v/>
      </c>
      <c r="C27" s="103"/>
      <c r="D27" s="77" t="str">
        <f ca="1">IFERROR(INDEX(Validation!G:G,MATCH("Loan 2"&amp;CELL("address",D27),Validation!I:I,0)),"")</f>
        <v/>
      </c>
      <c r="E27" s="66" t="str">
        <f ca="1">IFERROR(INDEX(Validation!F:F,MATCH("Loan 2"&amp;CELL("address",D27),Validation!I:I,0)),"")</f>
        <v/>
      </c>
    </row>
    <row r="28" spans="1:5" x14ac:dyDescent="0.25">
      <c r="A28" s="79" t="s">
        <v>273</v>
      </c>
      <c r="B28" s="122" t="str">
        <f>IF(AND(NOT(ISBLANK('Loan Input'!D34)),OR('Loan Input'!D$5=Lists!$AG$2,'Loan Input'!D$5=Lists!$AG$3)),'Loan Input'!D34,"")</f>
        <v/>
      </c>
      <c r="C28" s="103"/>
      <c r="D28" s="77" t="str">
        <f ca="1">IFERROR(INDEX(Validation!G:G,MATCH("Loan 2"&amp;CELL("address",D28),Validation!I:I,0)),"")</f>
        <v/>
      </c>
      <c r="E28" s="66" t="str">
        <f ca="1">IFERROR(INDEX(Validation!F:F,MATCH("Loan 2"&amp;CELL("address",D28),Validation!I:I,0)),"")</f>
        <v/>
      </c>
    </row>
    <row r="29" spans="1:5" x14ac:dyDescent="0.25">
      <c r="A29" s="130" t="s">
        <v>1184</v>
      </c>
      <c r="B29" s="125">
        <f>SUM(B19:B28)</f>
        <v>0</v>
      </c>
      <c r="C29" s="125">
        <f>SUM(C19:C28)</f>
        <v>0</v>
      </c>
      <c r="D29" s="77" t="str">
        <f ca="1">IFERROR(INDEX(Validation!G:G,MATCH("Loan 2"&amp;CELL("address",D29),Validation!I:I,0)),"")</f>
        <v/>
      </c>
      <c r="E29" s="66" t="str">
        <f ca="1">IFERROR(INDEX(Validation!F:F,MATCH("Loan 2"&amp;CELL("address",D29),Validation!I:I,0)),"")</f>
        <v/>
      </c>
    </row>
    <row r="30" spans="1:5" x14ac:dyDescent="0.25">
      <c r="A30" s="130" t="s">
        <v>1185</v>
      </c>
      <c r="B30" s="125" t="str">
        <f>IFERROR(B34-B29,"")</f>
        <v/>
      </c>
      <c r="C30" s="125" t="str">
        <f>IFERROR(B34+C34-B29-C29,"")</f>
        <v/>
      </c>
      <c r="D30" s="77" t="str">
        <f ca="1">IFERROR(INDEX(Validation!G:G,MATCH("Loan 2"&amp;CELL("address",D30),Validation!I:I,0)),"")</f>
        <v/>
      </c>
      <c r="E30" s="66" t="str">
        <f ca="1">IFERROR(INDEX(Validation!F:F,MATCH("Loan 2"&amp;CELL("address",D30),Validation!I:I,0)),"")</f>
        <v/>
      </c>
    </row>
    <row r="31" spans="1:5" x14ac:dyDescent="0.25">
      <c r="A31" s="131" t="s">
        <v>1186</v>
      </c>
      <c r="B31" s="122" t="str">
        <f>IF(AND(NOT(ISBLANK('Loan Input'!D41)),OR('Loan Input'!D$5=Lists!$AG$2,'Loan Input'!D$5=Lists!$AG$3)),'Loan Input'!D41,"")</f>
        <v/>
      </c>
      <c r="C31" s="103"/>
      <c r="D31" s="77" t="str">
        <f ca="1">IFERROR(INDEX(Validation!G:G,MATCH("Loan 2"&amp;CELL("address",D31),Validation!I:I,0)),"")</f>
        <v/>
      </c>
      <c r="E31" s="66" t="str">
        <f ca="1">IFERROR(INDEX(Validation!F:F,MATCH("Loan 2"&amp;CELL("address",D31),Validation!I:I,0)),"")</f>
        <v/>
      </c>
    </row>
    <row r="32" spans="1:5" x14ac:dyDescent="0.25">
      <c r="A32" s="131" t="s">
        <v>1187</v>
      </c>
      <c r="B32" s="122" t="str">
        <f>IF(AND(NOT(ISBLANK('Loan Input'!D43)),OR('Loan Input'!D$5=Lists!$AG$2,'Loan Input'!D$5=Lists!$AG$3)),'Loan Input'!D43,"")</f>
        <v/>
      </c>
      <c r="C32" s="103"/>
      <c r="D32" s="77" t="str">
        <f ca="1">IFERROR(INDEX(Validation!G:G,MATCH("Loan 2"&amp;CELL("address",D32),Validation!I:I,0)),"")</f>
        <v/>
      </c>
      <c r="E32" s="66" t="str">
        <f ca="1">IFERROR(INDEX(Validation!F:F,MATCH("Loan 2"&amp;CELL("address",D32),Validation!I:I,0)),"")</f>
        <v/>
      </c>
    </row>
    <row r="33" spans="1:6" ht="20.100000000000001" customHeight="1" x14ac:dyDescent="0.25">
      <c r="A33" s="74" t="s">
        <v>754</v>
      </c>
      <c r="B33" s="74" t="s">
        <v>283</v>
      </c>
      <c r="C33" s="74" t="str">
        <f>Year_DestinationYearID&amp;" Amount"</f>
        <v>2024 Amount</v>
      </c>
      <c r="D33" s="77" t="str">
        <f ca="1">IFERROR(INDEX(Validation!G:G,MATCH("Loan 2"&amp;CELL("address",D33),Validation!I:I,0)),"")</f>
        <v/>
      </c>
      <c r="E33" s="66" t="str">
        <f ca="1">IFERROR(INDEX(Validation!F:F,MATCH("Loan 2"&amp;CELL("address",D33),Validation!I:I,0)),"")</f>
        <v/>
      </c>
    </row>
    <row r="34" spans="1:6" x14ac:dyDescent="0.25">
      <c r="A34" s="79" t="s">
        <v>1350</v>
      </c>
      <c r="B34" s="122" t="str">
        <f>IF(AND(NOT(ISBLANK('Loan Input'!D44)),OR('Loan Input'!D$5=Lists!$AG$2,'Loan Input'!D$5=Lists!$AG$3)),'Loan Input'!D44,"")</f>
        <v/>
      </c>
      <c r="C34" s="122"/>
      <c r="D34" s="77" t="str">
        <f ca="1">IFERROR(INDEX(Validation!G:G,MATCH("Loan 2"&amp;CELL("address",D34),Validation!I:I,0)),"")</f>
        <v/>
      </c>
      <c r="E34" s="66" t="str">
        <f ca="1">IFERROR(INDEX(Validation!F:F,MATCH("Loan 2"&amp;CELL("address",D34),Validation!I:I,0)),"")</f>
        <v/>
      </c>
    </row>
    <row r="35" spans="1:6" x14ac:dyDescent="0.25">
      <c r="A35" s="79" t="s">
        <v>1188</v>
      </c>
      <c r="B35" s="122" t="str">
        <f>IF(AND(NOT(ISBLANK('Loan Input'!D47)),OR('Loan Input'!D$5=Lists!$AG$2,'Loan Input'!D$5=Lists!$AG$3)),'Loan Input'!D47,"")</f>
        <v/>
      </c>
      <c r="C35" s="122"/>
      <c r="D35" s="77" t="str">
        <f ca="1">IFERROR(INDEX(Validation!G:G,MATCH("Loan 2"&amp;CELL("address",D35),Validation!I:I,0)),"")</f>
        <v/>
      </c>
      <c r="E35" s="66" t="str">
        <f ca="1">IFERROR(INDEX(Validation!F:F,MATCH("Loan 2"&amp;CELL("address",D35),Validation!I:I,0)),"")</f>
        <v/>
      </c>
    </row>
    <row r="36" spans="1:6" x14ac:dyDescent="0.25">
      <c r="A36" s="79" t="s">
        <v>1189</v>
      </c>
      <c r="B36" s="122" t="str">
        <f>IF(AND(NOT(ISBLANK('Loan Input'!D49)),OR('Loan Input'!D$5=Lists!$AG$2,'Loan Input'!D$5=Lists!$AG$3)),'Loan Input'!D49,"")</f>
        <v/>
      </c>
      <c r="C36" s="122"/>
      <c r="D36" s="77" t="str">
        <f ca="1">IFERROR(INDEX(Validation!G:G,MATCH("Loan 2"&amp;CELL("address",D36),Validation!I:I,0)),"")</f>
        <v/>
      </c>
      <c r="E36" s="66" t="str">
        <f ca="1">IFERROR(INDEX(Validation!F:F,MATCH("Loan 2"&amp;CELL("address",D36),Validation!I:I,0)),"")</f>
        <v/>
      </c>
    </row>
    <row r="37" spans="1:6" x14ac:dyDescent="0.25">
      <c r="A37" s="79" t="s">
        <v>1190</v>
      </c>
      <c r="B37" s="122" t="str">
        <f>IF(AND(NOT(ISBLANK('Loan Input'!D51)),OR('Loan Input'!D$5=Lists!$AG$2,'Loan Input'!D$5=Lists!$AG$3)),'Loan Input'!D51,"")</f>
        <v/>
      </c>
      <c r="C37" s="122"/>
      <c r="D37" s="77" t="str">
        <f ca="1">IFERROR(INDEX(Validation!G:G,MATCH("Loan 2"&amp;CELL("address",D37),Validation!I:I,0)),"")</f>
        <v/>
      </c>
      <c r="E37" s="66" t="str">
        <f ca="1">IFERROR(INDEX(Validation!F:F,MATCH("Loan 2"&amp;CELL("address",D37),Validation!I:I,0)),"")</f>
        <v/>
      </c>
    </row>
    <row r="38" spans="1:6" x14ac:dyDescent="0.25">
      <c r="A38" s="79" t="s">
        <v>221</v>
      </c>
      <c r="B38" s="125" t="str">
        <f>IFERROR(B34-B35-B36+B37,"")</f>
        <v/>
      </c>
      <c r="C38" s="125" t="str">
        <f>IFERROR(B34+C34-B35-B36-C35-C36+B37+C37,"")</f>
        <v/>
      </c>
      <c r="D38" s="77" t="str">
        <f ca="1">IFERROR(INDEX(Validation!G:G,MATCH("Loan 2"&amp;CELL("address",D38),Validation!I:I,0)),"")</f>
        <v/>
      </c>
      <c r="E38" s="66" t="str">
        <f ca="1">IFERROR(INDEX(Validation!F:F,MATCH("Loan 2"&amp;CELL("address",D38),Validation!I:I,0)),"")</f>
        <v/>
      </c>
      <c r="F38" s="126"/>
    </row>
    <row r="39" spans="1:6" x14ac:dyDescent="0.25">
      <c r="A39" s="79" t="s">
        <v>223</v>
      </c>
      <c r="B39" s="122" t="str">
        <f>IF(AND(NOT(ISBLANK('Loan Input'!D55)),OR('Loan Input'!D$5=Lists!$AG$2,'Loan Input'!D$5=Lists!$AG$3)),'Loan Input'!D55,"")</f>
        <v/>
      </c>
      <c r="C39" s="122"/>
      <c r="D39" s="77" t="str">
        <f ca="1">IFERROR(INDEX(Validation!G:G,MATCH("Loan 2"&amp;CELL("address",D39),Validation!I:I,0)),"")</f>
        <v/>
      </c>
      <c r="E39" s="66" t="str">
        <f ca="1">IFERROR(INDEX(Validation!F:F,MATCH("Loan 2"&amp;CELL("address",D39),Validation!I:I,0)),"")</f>
        <v/>
      </c>
    </row>
    <row r="40" spans="1:6" x14ac:dyDescent="0.25">
      <c r="A40" s="79" t="s">
        <v>1191</v>
      </c>
      <c r="B40" s="122" t="str">
        <f>IF(AND(NOT(ISBLANK('Loan Input'!D57)),OR('Loan Input'!D$5=Lists!$AG$2,'Loan Input'!D$5=Lists!$AG$3)),'Loan Input'!D57,"")</f>
        <v/>
      </c>
      <c r="C40" s="122"/>
      <c r="D40" s="77" t="str">
        <f ca="1">IFERROR(INDEX(Validation!G:G,MATCH("Loan 2"&amp;CELL("address",D40),Validation!I:I,0)),"")</f>
        <v/>
      </c>
      <c r="E40" s="66" t="str">
        <f ca="1">IFERROR(INDEX(Validation!F:F,MATCH("Loan 2"&amp;CELL("address",D40),Validation!I:I,0)),"")</f>
        <v/>
      </c>
    </row>
    <row r="41" spans="1:6" x14ac:dyDescent="0.25">
      <c r="A41" s="79" t="s">
        <v>1192</v>
      </c>
      <c r="B41" s="122" t="str">
        <f>IF(AND(NOT(ISBLANK('Loan Input'!D59)),OR('Loan Input'!D$5=Lists!$AG$2,'Loan Input'!D$5=Lists!$AG$3)),'Loan Input'!D59,"")</f>
        <v/>
      </c>
      <c r="C41" s="122"/>
      <c r="D41" s="77" t="str">
        <f ca="1">IFERROR(INDEX(Validation!G:G,MATCH("Loan 2"&amp;CELL("address",D41),Validation!I:I,0)),"")</f>
        <v/>
      </c>
      <c r="E41" s="66" t="str">
        <f ca="1">IFERROR(INDEX(Validation!F:F,MATCH("Loan 2"&amp;CELL("address",D41),Validation!I:I,0)),"")</f>
        <v/>
      </c>
    </row>
    <row r="42" spans="1:6" ht="20.100000000000001" customHeight="1" x14ac:dyDescent="0.25">
      <c r="A42" s="74" t="str">
        <f>"Principal and Interest Due in "&amp;Year_DestinationYearID+1</f>
        <v>Principal and Interest Due in 2025</v>
      </c>
      <c r="B42" s="74"/>
      <c r="C42" s="74"/>
      <c r="D42" s="77" t="str">
        <f ca="1">IFERROR(INDEX(Validation!G:G,MATCH("Loan 2"&amp;CELL("address",D42),Validation!I:I,0)),"")</f>
        <v/>
      </c>
      <c r="E42" s="66" t="str">
        <f ca="1">IFERROR(INDEX(Validation!F:F,MATCH("Loan 2"&amp;CELL("address",D42),Validation!I:I,0)),"")</f>
        <v/>
      </c>
    </row>
    <row r="43" spans="1:6" x14ac:dyDescent="0.25">
      <c r="A43" s="79" t="str">
        <f>"Principal Due in "&amp;Year_DestinationYearID+1</f>
        <v>Principal Due in 2025</v>
      </c>
      <c r="B43" s="122"/>
      <c r="C43" s="128"/>
      <c r="D43" s="77" t="str">
        <f ca="1">IFERROR(INDEX(Validation!G:G,MATCH("Loan 2"&amp;CELL("address",D43),Validation!I:I,0)),"")</f>
        <v/>
      </c>
      <c r="E43" s="66" t="str">
        <f ca="1">IFERROR(INDEX(Validation!F:F,MATCH("Loan 2"&amp;CELL("address",D43),Validation!I:I,0)),"")</f>
        <v/>
      </c>
    </row>
    <row r="44" spans="1:6" x14ac:dyDescent="0.25">
      <c r="A44" s="79" t="str">
        <f>"Interest Due in "&amp;Year_DestinationYearID+1</f>
        <v>Interest Due in 2025</v>
      </c>
      <c r="B44" s="122"/>
      <c r="C44" s="128"/>
      <c r="D44" s="77" t="str">
        <f ca="1">IFERROR(INDEX(Validation!G:G,MATCH("Loan 2"&amp;CELL("address",D44),Validation!I:I,0)),"")</f>
        <v/>
      </c>
      <c r="E44" s="66" t="str">
        <f ca="1">IFERROR(INDEX(Validation!F:F,MATCH("Loan 2"&amp;CELL("address",D44),Validation!I:I,0)),"")</f>
        <v/>
      </c>
    </row>
    <row r="45" spans="1:6" ht="20.100000000000001" customHeight="1" x14ac:dyDescent="0.25">
      <c r="A45" s="97" t="s">
        <v>176</v>
      </c>
      <c r="D45" s="77" t="str">
        <f ca="1">IF(AND(ISBLANK(A46),OR(COUNTIF(E6:E44,"Alert")&gt;0,SUM(B37:B37)&lt;&gt;0)),"Comment(s) required for remaining alert(s) and/or additions to principal.",IFERROR(INDEX(Validation!G:G,MATCH("Loan 2"&amp;CELL("address",D45),Validation!I:I,0)),""))</f>
        <v/>
      </c>
      <c r="E45" s="66" t="str">
        <f ca="1">IF(AND(ISBLANK(A46),OR(COUNTIF(E6:E44,"Alert")&gt;0,SUM(B37:B37)&lt;&gt;0)),"Error",IFERROR(INDEX(Validation!F:F,MATCH("Loan 2"&amp;CELL("address",D45),Validation!I:I,0)),""))</f>
        <v/>
      </c>
    </row>
    <row r="46" spans="1:6" ht="150" customHeight="1" x14ac:dyDescent="0.25">
      <c r="A46" s="123"/>
      <c r="B46" s="100" t="str">
        <f>HYPERLINK("#'Loans'!B6","Click here to return to the Loans Tab")</f>
        <v>Click here to return to the Loans Tab</v>
      </c>
      <c r="C46" s="127"/>
    </row>
    <row r="47" spans="1:6" x14ac:dyDescent="0.25">
      <c r="A47" s="98"/>
      <c r="B47" s="98"/>
      <c r="C47" s="98"/>
    </row>
    <row r="48" spans="1:6" x14ac:dyDescent="0.25">
      <c r="A48" s="98"/>
      <c r="B48" s="98"/>
      <c r="C48" s="98"/>
    </row>
    <row r="49" spans="1:3" x14ac:dyDescent="0.25">
      <c r="A49" s="98"/>
      <c r="B49" s="98"/>
      <c r="C49" s="98"/>
    </row>
    <row r="50" spans="1:3" x14ac:dyDescent="0.25">
      <c r="A50" s="98"/>
      <c r="B50" s="98"/>
      <c r="C50" s="98"/>
    </row>
  </sheetData>
  <sheetProtection algorithmName="SHA-512" hashValue="NibgICvfq40v1ak8tXxKUSky+K6Hbutn9DH2pzHiK5o2STO7SOj8Jh2bW23Zc2HlhNMJFsGYVi4IiVZjIEreLw==" saltValue="/gvoPNUPbBmYnLljoqNyZQ==" spinCount="100000" sheet="1" objects="1" scenarios="1"/>
  <mergeCells count="1">
    <mergeCell ref="A4:E4"/>
  </mergeCells>
  <conditionalFormatting sqref="A2">
    <cfRule type="expression" dxfId="260" priority="11">
      <formula>$E2="Error"</formula>
    </cfRule>
    <cfRule type="expression" dxfId="258" priority="13">
      <formula>$E2="Exclude"</formula>
    </cfRule>
  </conditionalFormatting>
  <conditionalFormatting sqref="D6:E45">
    <cfRule type="expression" dxfId="255" priority="5">
      <formula>$E6="Information"</formula>
    </cfRule>
    <cfRule type="expression" dxfId="254" priority="6">
      <formula>$E6="Error"</formula>
    </cfRule>
    <cfRule type="expression" dxfId="253" priority="7">
      <formula>$E6="Alert"</formula>
    </cfRule>
    <cfRule type="expression" dxfId="252" priority="8">
      <formula>$E6="Exclude"</formula>
    </cfRule>
  </conditionalFormatting>
  <dataValidations count="4">
    <dataValidation type="list" allowBlank="1" showInputMessage="1" showErrorMessage="1" sqref="B16:B17" xr:uid="{0D49927B-1F3E-4A1F-8BA8-F264645DDB53}">
      <formula1>SelOneYesNo</formula1>
    </dataValidation>
    <dataValidation type="list" allowBlank="1" showInputMessage="1" showErrorMessage="1" sqref="B14:C14" xr:uid="{0F53412A-B903-47C0-B364-05B123522752}">
      <formula1>InterestRateType</formula1>
    </dataValidation>
    <dataValidation type="list" allowBlank="1" showInputMessage="1" showErrorMessage="1" sqref="B8" xr:uid="{EF00827D-7AB2-4474-8F1C-38C25AB24C9E}">
      <formula1>DistrictDropDown</formula1>
    </dataValidation>
    <dataValidation type="list" allowBlank="1" showInputMessage="1" showErrorMessage="1" sqref="B7" xr:uid="{06122CCA-99F0-4A57-9B8E-6C9643638C90}">
      <formula1>DueToType</formula1>
    </dataValidation>
  </dataValidations>
  <pageMargins left="0.7" right="0.7" top="0.75" bottom="0.75" header="0.3" footer="0.3"/>
  <pageSetup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12" id="{F0604F5D-FB04-429F-A3BA-F2B8A5F9EAB2}">
            <xm:f>COUNTIFS(Validation!$H:$H,MID(CELL("filename",A2),FIND("]",CELL("filename",A2))+1,255)&amp;CELL("address",A2))&gt;0</xm:f>
            <x14:dxf>
              <font>
                <b/>
                <i val="0"/>
                <color rgb="FFC00000"/>
              </font>
              <numFmt numFmtId="172" formatCode="_(\!* #,##0_);_(\!* \(#,##0\);_(\!* \-??_);_(\!\ @_)"/>
            </x14:dxf>
          </x14:cfRule>
          <xm:sqref>A2</xm:sqref>
        </x14:conditionalFormatting>
        <x14:conditionalFormatting xmlns:xm="http://schemas.microsoft.com/office/excel/2006/main">
          <x14:cfRule type="expression" priority="10" id="{491C92FA-44B7-4A2A-B5F3-E2D01AA8A2BD}">
            <xm:f>$B$7=Lists!$AH$3</xm:f>
            <x14:dxf>
              <fill>
                <patternFill>
                  <bgColor rgb="FFEAEAEA"/>
                </patternFill>
              </fill>
            </x14:dxf>
          </x14:cfRule>
          <xm:sqref>B8</xm:sqref>
        </x14:conditionalFormatting>
        <x14:conditionalFormatting xmlns:xm="http://schemas.microsoft.com/office/excel/2006/main">
          <x14:cfRule type="expression" priority="9" id="{52FEB0BC-2130-4954-8B3D-E3D63E023FF8}">
            <xm:f>$B$7=Lists!$AH$2</xm:f>
            <x14:dxf>
              <fill>
                <patternFill>
                  <bgColor rgb="FFEAEAEA"/>
                </patternFill>
              </fill>
            </x14:dxf>
          </x14:cfRule>
          <xm:sqref>B9</xm:sqref>
        </x14:conditionalFormatting>
      </x14:conditionalFormattings>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29063D-42DD-4E07-A50F-97EF82407A67}">
  <sheetPr>
    <tabColor rgb="FFEED382"/>
  </sheetPr>
  <dimension ref="A1:F50"/>
  <sheetViews>
    <sheetView showGridLines="0" workbookViewId="0">
      <selection activeCell="B7" sqref="B7"/>
    </sheetView>
  </sheetViews>
  <sheetFormatPr defaultRowHeight="15" x14ac:dyDescent="0.25"/>
  <cols>
    <col min="1" max="1" width="55.7109375" style="66" customWidth="1"/>
    <col min="2" max="3" width="22.7109375" style="66" customWidth="1"/>
    <col min="4" max="4" width="80.85546875" style="66" customWidth="1"/>
    <col min="5" max="5" width="14.7109375" style="66" customWidth="1"/>
    <col min="6" max="6" width="10.7109375" style="78" hidden="1" customWidth="1"/>
    <col min="7" max="16384" width="9.140625" style="66"/>
  </cols>
  <sheetData>
    <row r="1" spans="1:6" s="59" customFormat="1" ht="24.95" customHeight="1" x14ac:dyDescent="0.25">
      <c r="A1" s="59" t="str">
        <f>_xlfn.CONCAT("Office of the State Auditor  -  TIF Annual Reporting Form  -  ",Year_DestinationYearID)</f>
        <v>Office of the State Auditor  -  TIF Annual Reporting Form  -  2024</v>
      </c>
      <c r="F1" s="61"/>
    </row>
    <row r="2" spans="1:6" s="62" customFormat="1" ht="20.100000000000001" customHeight="1" x14ac:dyDescent="0.25">
      <c r="A2" s="58" t="str">
        <f>_xlfn.CONCAT(GovEntity_GovEntityName_Parent,"  -  ",GovEntity_GovEntityName)</f>
        <v>Spruce City  -  TIF 1-1 Downtown Redev</v>
      </c>
      <c r="F2" s="64"/>
    </row>
    <row r="3" spans="1:6" s="68" customFormat="1" ht="24.95" customHeight="1" x14ac:dyDescent="0.3">
      <c r="A3" s="65" t="s">
        <v>238</v>
      </c>
      <c r="B3" s="66"/>
      <c r="C3" s="66"/>
      <c r="F3" s="69"/>
    </row>
    <row r="4" spans="1:6" s="71" customFormat="1" x14ac:dyDescent="0.25">
      <c r="A4" s="217" t="s">
        <v>207</v>
      </c>
      <c r="B4" s="217"/>
      <c r="C4" s="217"/>
      <c r="D4" s="217"/>
      <c r="E4" s="217"/>
      <c r="F4" s="72" t="s">
        <v>119</v>
      </c>
    </row>
    <row r="5" spans="1:6" s="74" customFormat="1" ht="20.100000000000001" customHeight="1" x14ac:dyDescent="0.25">
      <c r="A5" s="73" t="str">
        <f>HYPERLINK("#'Loans'!B6","Click here to return to the Loans Tab")</f>
        <v>Click here to return to the Loans Tab</v>
      </c>
      <c r="D5" s="74" t="s">
        <v>121</v>
      </c>
      <c r="E5" s="74" t="s">
        <v>102</v>
      </c>
      <c r="F5" s="76"/>
    </row>
    <row r="6" spans="1:6" ht="20.100000000000001" customHeight="1" x14ac:dyDescent="0.25">
      <c r="A6" s="74" t="s">
        <v>239</v>
      </c>
      <c r="D6" s="77" t="str">
        <f ca="1">IFERROR(INDEX(Validation!G:G,MATCH("Loan 3"&amp;CELL("address",D6),Validation!I:I,0)),"")</f>
        <v/>
      </c>
      <c r="E6" s="66" t="str">
        <f ca="1">IFERROR(INDEX(Validation!F:F,MATCH("Loan 3"&amp;CELL("address",D6),Validation!I:I,0)),"")</f>
        <v/>
      </c>
      <c r="F6" s="78" t="s">
        <v>875</v>
      </c>
    </row>
    <row r="7" spans="1:6" x14ac:dyDescent="0.25">
      <c r="A7" s="79" t="s">
        <v>761</v>
      </c>
      <c r="B7" s="103" t="str">
        <f>IF(AND(NOT(ISBLANK('Loan Input'!E5)),OR('Loan Input'!E$5=Lists!$AG$2,'Loan Input'!E$5=Lists!$AG$3)),_xlfn.XLOOKUP('Loan Input'!E5,Lists!AG2:AG5,Lists!AH2:AH5),Lists!$AH$1)</f>
        <v>Select One</v>
      </c>
      <c r="C7" s="128"/>
      <c r="D7" s="77" t="str">
        <f ca="1">'Rev Exp Bal'!E7</f>
        <v/>
      </c>
      <c r="E7" s="66" t="str">
        <f ca="1">IFERROR(INDEX(Validation!F:F,MATCH("Loan 3"&amp;CELL("address",D7),Validation!I:I,0)),"")</f>
        <v/>
      </c>
      <c r="F7" s="85" t="str">
        <f>IF(NOT(ISBLANK('Loan Input'!E4)),'Loan Input'!E4,"")</f>
        <v/>
      </c>
    </row>
    <row r="8" spans="1:6" x14ac:dyDescent="0.25">
      <c r="A8" s="79" t="s">
        <v>769</v>
      </c>
      <c r="B8" s="103" t="str">
        <f>IF(AND(NOT(ISBLANK('Loan Input'!E6)),'Loan Input'!E$5=Lists!$AG$2),'Loan Input'!E6,Lists!$AJ$1)</f>
        <v>Select One</v>
      </c>
      <c r="C8" s="128"/>
      <c r="D8" s="77" t="str">
        <f ca="1">IFERROR(INDEX(Validation!G:G,MATCH("Loan 3"&amp;CELL("address",D8),Validation!I:I,0)),"")</f>
        <v/>
      </c>
      <c r="E8" s="66" t="str">
        <f ca="1">IFERROR(INDEX(Validation!F:F,MATCH("Loan 3"&amp;CELL("address",D8),Validation!I:I,0)),"")</f>
        <v/>
      </c>
    </row>
    <row r="9" spans="1:6" x14ac:dyDescent="0.25">
      <c r="A9" s="79" t="s">
        <v>770</v>
      </c>
      <c r="B9" s="103" t="str">
        <f>IF(AND(NOT(ISBLANK('Loan Input'!E7)),'Loan Input'!E$5=Lists!$AG$3),'Loan Input'!E7,"")</f>
        <v/>
      </c>
      <c r="C9" s="128"/>
      <c r="D9" s="77" t="str">
        <f ca="1">IFERROR(INDEX(Validation!G:G,MATCH("Loan 3"&amp;CELL("address",D9),Validation!I:I,0)),"")</f>
        <v/>
      </c>
      <c r="E9" s="66" t="str">
        <f ca="1">IFERROR(INDEX(Validation!F:F,MATCH("Loan 3"&amp;CELL("address",D9),Validation!I:I,0)),"")</f>
        <v/>
      </c>
    </row>
    <row r="10" spans="1:6" x14ac:dyDescent="0.25">
      <c r="A10" s="79" t="s">
        <v>931</v>
      </c>
      <c r="B10" s="120" t="str">
        <f>IF(AND(NOT(ISBLANK('Loan Input'!E8)),OR('Loan Input'!E$5=Lists!$AG$2,'Loan Input'!E$5=Lists!$AG$3)),'Loan Input'!E8,"")</f>
        <v/>
      </c>
      <c r="C10" s="128"/>
      <c r="D10" s="77" t="str">
        <f ca="1">IFERROR(INDEX(Validation!G:G,MATCH("Loan 3"&amp;CELL("address",D10),Validation!I:I,0)),"")</f>
        <v/>
      </c>
      <c r="E10" s="66" t="str">
        <f ca="1">IFERROR(INDEX(Validation!F:F,MATCH("Loan 3"&amp;CELL("address",D10),Validation!I:I,0)),"")</f>
        <v/>
      </c>
    </row>
    <row r="11" spans="1:6" x14ac:dyDescent="0.25">
      <c r="A11" s="79" t="s">
        <v>212</v>
      </c>
      <c r="B11" s="120" t="str">
        <f>IF(AND(NOT(ISBLANK('Loan Input'!E9)),OR('Loan Input'!E$5=Lists!$AG$2,'Loan Input'!E$5=Lists!$AG$3)),'Loan Input'!E9,"")</f>
        <v/>
      </c>
      <c r="C11" s="128"/>
      <c r="D11" s="77" t="str">
        <f ca="1">IFERROR(INDEX(Validation!G:G,MATCH("Loan 3"&amp;CELL("address",D11),Validation!I:I,0)),"")</f>
        <v/>
      </c>
      <c r="E11" s="66" t="str">
        <f ca="1">IFERROR(INDEX(Validation!F:F,MATCH("Loan 3"&amp;CELL("address",D11),Validation!I:I,0)),"")</f>
        <v/>
      </c>
    </row>
    <row r="12" spans="1:6" x14ac:dyDescent="0.25">
      <c r="A12" s="79" t="s">
        <v>213</v>
      </c>
      <c r="B12" s="121" t="str">
        <f>IF(AND(NOT(ISBLANK('Loan Input'!E10)),OR('Loan Input'!E$5=Lists!$AG$2,'Loan Input'!E$5=Lists!$AG$3)),'Loan Input'!E10,"")</f>
        <v/>
      </c>
      <c r="C12" s="128"/>
      <c r="D12" s="77" t="str">
        <f ca="1">IFERROR(INDEX(Validation!G:G,MATCH("Loan 3"&amp;CELL("address",D12),Validation!I:I,0)),"")</f>
        <v/>
      </c>
      <c r="E12" s="66" t="str">
        <f ca="1">IFERROR(INDEX(Validation!F:F,MATCH("Loan 3"&amp;CELL("address",D12),Validation!I:I,0)),"")</f>
        <v/>
      </c>
    </row>
    <row r="13" spans="1:6" x14ac:dyDescent="0.25">
      <c r="A13" s="79" t="s">
        <v>214</v>
      </c>
      <c r="B13" s="121" t="str">
        <f>IF(AND(NOT(ISBLANK('Loan Input'!E11)),OR('Loan Input'!E$5=Lists!$AG$2,'Loan Input'!E$5=Lists!$AG$3)),'Loan Input'!E11,"")</f>
        <v/>
      </c>
      <c r="C13" s="128"/>
      <c r="D13" s="77" t="str">
        <f ca="1">IFERROR(INDEX(Validation!G:G,MATCH("Loan 3"&amp;CELL("address",D13),Validation!I:I,0)),"")</f>
        <v/>
      </c>
      <c r="E13" s="66" t="str">
        <f ca="1">IFERROR(INDEX(Validation!F:F,MATCH("Loan 3"&amp;CELL("address",D13),Validation!I:I,0)),"")</f>
        <v/>
      </c>
    </row>
    <row r="14" spans="1:6" x14ac:dyDescent="0.25">
      <c r="A14" s="79" t="s">
        <v>241</v>
      </c>
      <c r="B14" s="120" t="str">
        <f>IF(AND(NOT(ISBLANK('Loan Input'!E12)),OR('Loan Input'!E$5=Lists!$AG$2,'Loan Input'!E$5=Lists!$AG$3)),'Loan Input'!E12,Lists!$AM$1)</f>
        <v>Select One</v>
      </c>
      <c r="C14" s="129"/>
      <c r="D14" s="77" t="str">
        <f ca="1">IFERROR(INDEX(Validation!G:G,MATCH("Loan 3"&amp;CELL("address",D14),Validation!I:I,0)),"")</f>
        <v/>
      </c>
      <c r="E14" s="66" t="str">
        <f ca="1">IFERROR(INDEX(Validation!F:F,MATCH("Loan 3"&amp;CELL("address",D14),Validation!I:I,0)),"")</f>
        <v/>
      </c>
    </row>
    <row r="15" spans="1:6" x14ac:dyDescent="0.25">
      <c r="A15" s="79" t="s">
        <v>242</v>
      </c>
      <c r="B15" s="122" t="str">
        <f>IF(AND(NOT(ISBLANK('Loan Input'!E13)),OR('Loan Input'!E$5=Lists!$AG$2,'Loan Input'!E$5=Lists!$AG$3)),'Loan Input'!E13,"")</f>
        <v/>
      </c>
      <c r="C15" s="128"/>
      <c r="D15" s="77" t="str">
        <f ca="1">IFERROR(INDEX(Validation!G:G,MATCH("Loan 3"&amp;CELL("address",D15),Validation!I:I,0)),"")</f>
        <v/>
      </c>
      <c r="E15" s="66" t="str">
        <f ca="1">IFERROR(INDEX(Validation!F:F,MATCH("Loan 3"&amp;CELL("address",D15),Validation!I:I,0)),"")</f>
        <v/>
      </c>
    </row>
    <row r="16" spans="1:6" x14ac:dyDescent="0.25">
      <c r="A16" s="79" t="s">
        <v>232</v>
      </c>
      <c r="B16" s="103" t="str">
        <f>IF(OR('Loan Input'!E14="",'Loan Input'!E14=0),"Select One",IF('Loan Input'!E14=TRUE,"Yes","No"))</f>
        <v>Select One</v>
      </c>
      <c r="C16" s="128"/>
      <c r="D16" s="77" t="str">
        <f ca="1">IFERROR(INDEX(Validation!G:G,MATCH("Loan 3"&amp;CELL("address",D16),Validation!I:I,0)),"")</f>
        <v/>
      </c>
      <c r="E16" s="66" t="str">
        <f ca="1">IFERROR(INDEX(Validation!F:F,MATCH("Loan 3"&amp;CELL("address",D16),Validation!I:I,0)),"")</f>
        <v/>
      </c>
    </row>
    <row r="17" spans="1:5" x14ac:dyDescent="0.25">
      <c r="A17" s="79" t="str">
        <f>"Were the terms of this obligation modified in "&amp;Year_DestinationYearID&amp;"?"</f>
        <v>Were the terms of this obligation modified in 2024?</v>
      </c>
      <c r="B17" s="103" t="s">
        <v>41</v>
      </c>
      <c r="C17" s="128"/>
      <c r="D17" s="77" t="str">
        <f ca="1">IFERROR(INDEX(Validation!G:G,MATCH("Loan 3"&amp;CELL("address",D17),Validation!I:I,0)),"")</f>
        <v/>
      </c>
      <c r="E17" s="66" t="str">
        <f ca="1">IFERROR(INDEX(Validation!F:F,MATCH("Loan 3"&amp;CELL("address",D17),Validation!I:I,0)),"")</f>
        <v/>
      </c>
    </row>
    <row r="18" spans="1:5" ht="20.100000000000001" customHeight="1" x14ac:dyDescent="0.25">
      <c r="A18" s="74" t="s">
        <v>1183</v>
      </c>
      <c r="B18" s="74" t="s">
        <v>283</v>
      </c>
      <c r="C18" s="74" t="str">
        <f>Year_DestinationYearID&amp;" Amount"</f>
        <v>2024 Amount</v>
      </c>
      <c r="D18" s="77" t="str">
        <f ca="1">IFERROR(INDEX(Validation!G:G,MATCH("Loan 3"&amp;CELL("address",D18),Validation!I:I,0)),"")</f>
        <v/>
      </c>
      <c r="E18" s="66" t="str">
        <f ca="1">IFERROR(INDEX(Validation!F:F,MATCH("Loan 3"&amp;CELL("address",D18),Validation!I:I,0)),"")</f>
        <v/>
      </c>
    </row>
    <row r="19" spans="1:5" x14ac:dyDescent="0.25">
      <c r="A19" s="79" t="s">
        <v>266</v>
      </c>
      <c r="B19" s="122" t="str">
        <f>IF(AND(NOT(ISBLANK('Loan Input'!E16)),OR('Loan Input'!E$5=Lists!$AG$2,'Loan Input'!E$5=Lists!$AG$3)),'Loan Input'!E16,"")</f>
        <v/>
      </c>
      <c r="C19" s="103"/>
      <c r="D19" s="77" t="str">
        <f ca="1">IFERROR(INDEX(Validation!G:G,MATCH("Loan 3"&amp;CELL("address",D19),Validation!I:I,0)),"")</f>
        <v/>
      </c>
      <c r="E19" s="66" t="str">
        <f ca="1">IFERROR(INDEX(Validation!F:F,MATCH("Loan 3"&amp;CELL("address",D19),Validation!I:I,0)),"")</f>
        <v/>
      </c>
    </row>
    <row r="20" spans="1:5" x14ac:dyDescent="0.25">
      <c r="A20" s="79" t="s">
        <v>267</v>
      </c>
      <c r="B20" s="122" t="str">
        <f>IF(AND(NOT(ISBLANK('Loan Input'!E18)),OR('Loan Input'!E$5=Lists!$AG$2,'Loan Input'!E$5=Lists!$AG$3)),'Loan Input'!E18,"")</f>
        <v/>
      </c>
      <c r="C20" s="103"/>
      <c r="D20" s="77" t="str">
        <f ca="1">IFERROR(INDEX(Validation!G:G,MATCH("Loan 3"&amp;CELL("address",D20),Validation!I:I,0)),"")</f>
        <v/>
      </c>
      <c r="E20" s="66" t="str">
        <f ca="1">IFERROR(INDEX(Validation!F:F,MATCH("Loan 3"&amp;CELL("address",D20),Validation!I:I,0)),"")</f>
        <v/>
      </c>
    </row>
    <row r="21" spans="1:5" x14ac:dyDescent="0.25">
      <c r="A21" s="79" t="s">
        <v>268</v>
      </c>
      <c r="B21" s="122" t="str">
        <f>IF(AND(NOT(ISBLANK('Loan Input'!E20)),OR('Loan Input'!E$5=Lists!$AG$2,'Loan Input'!E$5=Lists!$AG$3)),'Loan Input'!E20,"")</f>
        <v/>
      </c>
      <c r="C21" s="103"/>
      <c r="D21" s="77" t="str">
        <f ca="1">IFERROR(INDEX(Validation!G:G,MATCH("Loan 3"&amp;CELL("address",D21),Validation!I:I,0)),"")</f>
        <v/>
      </c>
      <c r="E21" s="66" t="str">
        <f ca="1">IFERROR(INDEX(Validation!F:F,MATCH("Loan 3"&amp;CELL("address",D21),Validation!I:I,0)),"")</f>
        <v/>
      </c>
    </row>
    <row r="22" spans="1:5" x14ac:dyDescent="0.25">
      <c r="A22" s="79" t="s">
        <v>269</v>
      </c>
      <c r="B22" s="122" t="str">
        <f>IF(AND(NOT(ISBLANK('Loan Input'!E22)),OR('Loan Input'!E$5=Lists!$AG$2,'Loan Input'!E$5=Lists!$AG$3)),'Loan Input'!E22,"")</f>
        <v/>
      </c>
      <c r="C22" s="103"/>
      <c r="D22" s="77" t="str">
        <f ca="1">IFERROR(INDEX(Validation!G:G,MATCH("Loan 3"&amp;CELL("address",D22),Validation!I:I,0)),"")</f>
        <v/>
      </c>
      <c r="E22" s="66" t="str">
        <f ca="1">IFERROR(INDEX(Validation!F:F,MATCH("Loan 3"&amp;CELL("address",D22),Validation!I:I,0)),"")</f>
        <v/>
      </c>
    </row>
    <row r="23" spans="1:5" x14ac:dyDescent="0.25">
      <c r="A23" s="79" t="s">
        <v>1101</v>
      </c>
      <c r="B23" s="122" t="str">
        <f>IF(AND(NOT(ISBLANK('Loan Input'!E24)),OR('Loan Input'!E$5=Lists!$AG$2,'Loan Input'!E$5=Lists!$AG$3)),'Loan Input'!E24,"")</f>
        <v/>
      </c>
      <c r="C23" s="103"/>
      <c r="D23" s="77" t="str">
        <f ca="1">IFERROR(INDEX(Validation!G:G,MATCH("Loan 3"&amp;CELL("address",D23),Validation!I:I,0)),"")</f>
        <v/>
      </c>
      <c r="E23" s="66" t="str">
        <f ca="1">IFERROR(INDEX(Validation!F:F,MATCH("Loan 3"&amp;CELL("address",D23),Validation!I:I,0)),"")</f>
        <v/>
      </c>
    </row>
    <row r="24" spans="1:5" x14ac:dyDescent="0.25">
      <c r="A24" s="79" t="s">
        <v>270</v>
      </c>
      <c r="B24" s="122" t="str">
        <f>IF(AND(NOT(ISBLANK('Loan Input'!E26)),OR('Loan Input'!E$5=Lists!$AG$2,'Loan Input'!E$5=Lists!$AG$3)),'Loan Input'!E26,"")</f>
        <v/>
      </c>
      <c r="C24" s="103"/>
      <c r="D24" s="77" t="str">
        <f ca="1">IFERROR(INDEX(Validation!G:G,MATCH("Loan 3"&amp;CELL("address",D24),Validation!I:I,0)),"")</f>
        <v/>
      </c>
      <c r="E24" s="66" t="str">
        <f ca="1">IFERROR(INDEX(Validation!F:F,MATCH("Loan 3"&amp;CELL("address",D24),Validation!I:I,0)),"")</f>
        <v/>
      </c>
    </row>
    <row r="25" spans="1:5" x14ac:dyDescent="0.25">
      <c r="A25" s="79" t="s">
        <v>271</v>
      </c>
      <c r="B25" s="122" t="str">
        <f>IF(AND(NOT(ISBLANK('Loan Input'!E28)),OR('Loan Input'!E$5=Lists!$AG$2,'Loan Input'!E$5=Lists!$AG$3)),'Loan Input'!E28,"")</f>
        <v/>
      </c>
      <c r="C25" s="103"/>
      <c r="D25" s="77" t="str">
        <f ca="1">IFERROR(INDEX(Validation!G:G,MATCH("Loan 3"&amp;CELL("address",D25),Validation!I:I,0)),"")</f>
        <v/>
      </c>
      <c r="E25" s="66" t="str">
        <f ca="1">IFERROR(INDEX(Validation!F:F,MATCH("Loan 3"&amp;CELL("address",D25),Validation!I:I,0)),"")</f>
        <v/>
      </c>
    </row>
    <row r="26" spans="1:5" x14ac:dyDescent="0.25">
      <c r="A26" s="79" t="s">
        <v>276</v>
      </c>
      <c r="B26" s="122" t="str">
        <f>IF(AND(NOT(ISBLANK('Loan Input'!E30)),OR('Loan Input'!C$5=Lists!$AG$2,'Loan Input'!C$5=Lists!$AG$3)),'Loan Input'!E30,"")</f>
        <v/>
      </c>
      <c r="C26" s="103"/>
      <c r="D26" s="77" t="str">
        <f ca="1">IFERROR(INDEX(Validation!G:G,MATCH("Loan 3"&amp;CELL("address",D26),Validation!I:I,0)),"")</f>
        <v/>
      </c>
      <c r="E26" s="66" t="str">
        <f ca="1">IFERROR(INDEX(Validation!F:F,MATCH("Loan 3"&amp;CELL("address",D26),Validation!I:I,0)),"")</f>
        <v/>
      </c>
    </row>
    <row r="27" spans="1:5" x14ac:dyDescent="0.25">
      <c r="A27" s="79" t="s">
        <v>272</v>
      </c>
      <c r="B27" s="122" t="str">
        <f>IF(AND(NOT(ISBLANK('Loan Input'!E32)),OR('Loan Input'!E$5=Lists!$AG$2,'Loan Input'!E$5=Lists!$AG$3)),'Loan Input'!E32,"")</f>
        <v/>
      </c>
      <c r="C27" s="103"/>
      <c r="D27" s="77" t="str">
        <f ca="1">IFERROR(INDEX(Validation!G:G,MATCH("Loan 3"&amp;CELL("address",D27),Validation!I:I,0)),"")</f>
        <v/>
      </c>
      <c r="E27" s="66" t="str">
        <f ca="1">IFERROR(INDEX(Validation!F:F,MATCH("Loan 3"&amp;CELL("address",D27),Validation!I:I,0)),"")</f>
        <v/>
      </c>
    </row>
    <row r="28" spans="1:5" x14ac:dyDescent="0.25">
      <c r="A28" s="79" t="s">
        <v>273</v>
      </c>
      <c r="B28" s="122" t="str">
        <f>IF(AND(NOT(ISBLANK('Loan Input'!E34)),OR('Loan Input'!E$5=Lists!$AG$2,'Loan Input'!E$5=Lists!$AG$3)),'Loan Input'!E34,"")</f>
        <v/>
      </c>
      <c r="C28" s="103"/>
      <c r="D28" s="77" t="str">
        <f ca="1">IFERROR(INDEX(Validation!G:G,MATCH("Loan 3"&amp;CELL("address",D28),Validation!I:I,0)),"")</f>
        <v/>
      </c>
      <c r="E28" s="66" t="str">
        <f ca="1">IFERROR(INDEX(Validation!F:F,MATCH("Loan 3"&amp;CELL("address",D28),Validation!I:I,0)),"")</f>
        <v/>
      </c>
    </row>
    <row r="29" spans="1:5" x14ac:dyDescent="0.25">
      <c r="A29" s="130" t="s">
        <v>1184</v>
      </c>
      <c r="B29" s="125">
        <f>SUM(B19:B28)</f>
        <v>0</v>
      </c>
      <c r="C29" s="125">
        <f>SUM(C19:C28)</f>
        <v>0</v>
      </c>
      <c r="D29" s="77" t="str">
        <f ca="1">IFERROR(INDEX(Validation!G:G,MATCH("Loan 3"&amp;CELL("address",D29),Validation!I:I,0)),"")</f>
        <v/>
      </c>
      <c r="E29" s="66" t="str">
        <f ca="1">IFERROR(INDEX(Validation!F:F,MATCH("Loan 3"&amp;CELL("address",D29),Validation!I:I,0)),"")</f>
        <v/>
      </c>
    </row>
    <row r="30" spans="1:5" x14ac:dyDescent="0.25">
      <c r="A30" s="130" t="s">
        <v>1185</v>
      </c>
      <c r="B30" s="125" t="str">
        <f>IFERROR(B34-B29,"")</f>
        <v/>
      </c>
      <c r="C30" s="125" t="str">
        <f>IFERROR(B34+C34-B29-C29,"")</f>
        <v/>
      </c>
      <c r="D30" s="77" t="str">
        <f ca="1">IFERROR(INDEX(Validation!G:G,MATCH("Loan 3"&amp;CELL("address",D30),Validation!I:I,0)),"")</f>
        <v/>
      </c>
      <c r="E30" s="66" t="str">
        <f ca="1">IFERROR(INDEX(Validation!F:F,MATCH("Loan 3"&amp;CELL("address",D30),Validation!I:I,0)),"")</f>
        <v/>
      </c>
    </row>
    <row r="31" spans="1:5" x14ac:dyDescent="0.25">
      <c r="A31" s="131" t="s">
        <v>1186</v>
      </c>
      <c r="B31" s="122" t="str">
        <f>IF(AND(NOT(ISBLANK('Loan Input'!E41)),OR('Loan Input'!E$5=Lists!$AG$2,'Loan Input'!E$5=Lists!$AG$3)),'Loan Input'!E41,"")</f>
        <v/>
      </c>
      <c r="C31" s="103"/>
      <c r="D31" s="77" t="str">
        <f ca="1">IFERROR(INDEX(Validation!G:G,MATCH("Loan 3"&amp;CELL("address",D31),Validation!I:I,0)),"")</f>
        <v/>
      </c>
      <c r="E31" s="66" t="str">
        <f ca="1">IFERROR(INDEX(Validation!F:F,MATCH("Loan 3"&amp;CELL("address",D31),Validation!I:I,0)),"")</f>
        <v/>
      </c>
    </row>
    <row r="32" spans="1:5" x14ac:dyDescent="0.25">
      <c r="A32" s="131" t="s">
        <v>1187</v>
      </c>
      <c r="B32" s="122" t="str">
        <f>IF(AND(NOT(ISBLANK('Loan Input'!E43)),OR('Loan Input'!E$5=Lists!$AG$2,'Loan Input'!E$5=Lists!$AG$3)),'Loan Input'!E43,"")</f>
        <v/>
      </c>
      <c r="C32" s="103"/>
      <c r="D32" s="77" t="str">
        <f ca="1">IFERROR(INDEX(Validation!G:G,MATCH("Loan 3"&amp;CELL("address",D32),Validation!I:I,0)),"")</f>
        <v/>
      </c>
      <c r="E32" s="66" t="str">
        <f ca="1">IFERROR(INDEX(Validation!F:F,MATCH("Loan 3"&amp;CELL("address",D32),Validation!I:I,0)),"")</f>
        <v/>
      </c>
    </row>
    <row r="33" spans="1:6" ht="20.100000000000001" customHeight="1" x14ac:dyDescent="0.25">
      <c r="A33" s="74" t="s">
        <v>754</v>
      </c>
      <c r="B33" s="74" t="s">
        <v>283</v>
      </c>
      <c r="C33" s="74" t="str">
        <f>Year_DestinationYearID&amp;" Amount"</f>
        <v>2024 Amount</v>
      </c>
      <c r="D33" s="77" t="str">
        <f ca="1">IFERROR(INDEX(Validation!G:G,MATCH("Loan 3"&amp;CELL("address",D33),Validation!I:I,0)),"")</f>
        <v/>
      </c>
      <c r="E33" s="66" t="str">
        <f ca="1">IFERROR(INDEX(Validation!F:F,MATCH("Loan 3"&amp;CELL("address",D33),Validation!I:I,0)),"")</f>
        <v/>
      </c>
    </row>
    <row r="34" spans="1:6" x14ac:dyDescent="0.25">
      <c r="A34" s="79" t="s">
        <v>1350</v>
      </c>
      <c r="B34" s="122" t="str">
        <f>IF(AND(NOT(ISBLANK('Loan Input'!E44)),OR('Loan Input'!E$5=Lists!$AG$2,'Loan Input'!E$5=Lists!$AG$3)),'Loan Input'!E44,"")</f>
        <v/>
      </c>
      <c r="C34" s="122"/>
      <c r="D34" s="77" t="str">
        <f ca="1">IFERROR(INDEX(Validation!G:G,MATCH("Loan 3"&amp;CELL("address",D34),Validation!I:I,0)),"")</f>
        <v/>
      </c>
      <c r="E34" s="66" t="str">
        <f ca="1">IFERROR(INDEX(Validation!F:F,MATCH("Loan 3"&amp;CELL("address",D34),Validation!I:I,0)),"")</f>
        <v/>
      </c>
    </row>
    <row r="35" spans="1:6" x14ac:dyDescent="0.25">
      <c r="A35" s="79" t="s">
        <v>1188</v>
      </c>
      <c r="B35" s="122" t="str">
        <f>IF(AND(NOT(ISBLANK('Loan Input'!E47)),OR('Loan Input'!E$5=Lists!$AG$2,'Loan Input'!E$5=Lists!$AG$3)),'Loan Input'!E47,"")</f>
        <v/>
      </c>
      <c r="C35" s="122"/>
      <c r="D35" s="77" t="str">
        <f ca="1">IFERROR(INDEX(Validation!G:G,MATCH("Loan 3"&amp;CELL("address",D35),Validation!I:I,0)),"")</f>
        <v/>
      </c>
      <c r="E35" s="66" t="str">
        <f ca="1">IFERROR(INDEX(Validation!F:F,MATCH("Loan 3"&amp;CELL("address",D35),Validation!I:I,0)),"")</f>
        <v/>
      </c>
    </row>
    <row r="36" spans="1:6" x14ac:dyDescent="0.25">
      <c r="A36" s="79" t="s">
        <v>1189</v>
      </c>
      <c r="B36" s="122" t="str">
        <f>IF(AND(NOT(ISBLANK('Loan Input'!E49)),OR('Loan Input'!E$5=Lists!$AG$2,'Loan Input'!E$5=Lists!$AG$3)),'Loan Input'!E49,"")</f>
        <v/>
      </c>
      <c r="C36" s="122"/>
      <c r="D36" s="77" t="str">
        <f ca="1">IFERROR(INDEX(Validation!G:G,MATCH("Loan 3"&amp;CELL("address",D36),Validation!I:I,0)),"")</f>
        <v/>
      </c>
      <c r="E36" s="66" t="str">
        <f ca="1">IFERROR(INDEX(Validation!F:F,MATCH("Loan 3"&amp;CELL("address",D36),Validation!I:I,0)),"")</f>
        <v/>
      </c>
    </row>
    <row r="37" spans="1:6" x14ac:dyDescent="0.25">
      <c r="A37" s="79" t="s">
        <v>1190</v>
      </c>
      <c r="B37" s="122" t="str">
        <f>IF(AND(NOT(ISBLANK('Loan Input'!E51)),OR('Loan Input'!E$5=Lists!$AG$2,'Loan Input'!E$5=Lists!$AG$3)),'Loan Input'!E51,"")</f>
        <v/>
      </c>
      <c r="C37" s="122"/>
      <c r="D37" s="77" t="str">
        <f ca="1">IFERROR(INDEX(Validation!G:G,MATCH("Loan 3"&amp;CELL("address",D37),Validation!I:I,0)),"")</f>
        <v/>
      </c>
      <c r="E37" s="66" t="str">
        <f ca="1">IFERROR(INDEX(Validation!F:F,MATCH("Loan 3"&amp;CELL("address",D37),Validation!I:I,0)),"")</f>
        <v/>
      </c>
    </row>
    <row r="38" spans="1:6" x14ac:dyDescent="0.25">
      <c r="A38" s="79" t="s">
        <v>221</v>
      </c>
      <c r="B38" s="125" t="str">
        <f>IFERROR(B34-B35-B36+B37,"")</f>
        <v/>
      </c>
      <c r="C38" s="125" t="str">
        <f>IFERROR(B34+C34-B35-B36-C35-C36+B37+C37,"")</f>
        <v/>
      </c>
      <c r="D38" s="77" t="str">
        <f ca="1">IFERROR(INDEX(Validation!G:G,MATCH("Loan 3"&amp;CELL("address",D38),Validation!I:I,0)),"")</f>
        <v/>
      </c>
      <c r="E38" s="66" t="str">
        <f ca="1">IFERROR(INDEX(Validation!F:F,MATCH("Loan 3"&amp;CELL("address",D38),Validation!I:I,0)),"")</f>
        <v/>
      </c>
      <c r="F38" s="126"/>
    </row>
    <row r="39" spans="1:6" x14ac:dyDescent="0.25">
      <c r="A39" s="79" t="s">
        <v>223</v>
      </c>
      <c r="B39" s="122" t="str">
        <f>IF(AND(NOT(ISBLANK('Loan Input'!E55)),OR('Loan Input'!E$5=Lists!$AG$2,'Loan Input'!E$5=Lists!$AG$3)),'Loan Input'!E55,"")</f>
        <v/>
      </c>
      <c r="C39" s="122"/>
      <c r="D39" s="77" t="str">
        <f ca="1">IFERROR(INDEX(Validation!G:G,MATCH("Loan 3"&amp;CELL("address",D39),Validation!I:I,0)),"")</f>
        <v/>
      </c>
      <c r="E39" s="66" t="str">
        <f ca="1">IFERROR(INDEX(Validation!F:F,MATCH("Loan 3"&amp;CELL("address",D39),Validation!I:I,0)),"")</f>
        <v/>
      </c>
    </row>
    <row r="40" spans="1:6" x14ac:dyDescent="0.25">
      <c r="A40" s="79" t="s">
        <v>1191</v>
      </c>
      <c r="B40" s="122" t="str">
        <f>IF(AND(NOT(ISBLANK('Loan Input'!E57)),OR('Loan Input'!E$5=Lists!$AG$2,'Loan Input'!E$5=Lists!$AG$3)),'Loan Input'!E57,"")</f>
        <v/>
      </c>
      <c r="C40" s="122"/>
      <c r="D40" s="77" t="str">
        <f ca="1">IFERROR(INDEX(Validation!G:G,MATCH("Loan 3"&amp;CELL("address",D40),Validation!I:I,0)),"")</f>
        <v/>
      </c>
      <c r="E40" s="66" t="str">
        <f ca="1">IFERROR(INDEX(Validation!F:F,MATCH("Loan 3"&amp;CELL("address",D40),Validation!I:I,0)),"")</f>
        <v/>
      </c>
    </row>
    <row r="41" spans="1:6" x14ac:dyDescent="0.25">
      <c r="A41" s="79" t="s">
        <v>1192</v>
      </c>
      <c r="B41" s="122" t="str">
        <f>IF(AND(NOT(ISBLANK('Loan Input'!E59)),OR('Loan Input'!E$5=Lists!$AG$2,'Loan Input'!E$5=Lists!$AG$3)),'Loan Input'!E59,"")</f>
        <v/>
      </c>
      <c r="C41" s="122"/>
      <c r="D41" s="77" t="str">
        <f ca="1">IFERROR(INDEX(Validation!G:G,MATCH("Loan 3"&amp;CELL("address",D41),Validation!I:I,0)),"")</f>
        <v/>
      </c>
      <c r="E41" s="66" t="str">
        <f ca="1">IFERROR(INDEX(Validation!F:F,MATCH("Loan 3"&amp;CELL("address",D41),Validation!I:I,0)),"")</f>
        <v/>
      </c>
    </row>
    <row r="42" spans="1:6" ht="20.100000000000001" customHeight="1" x14ac:dyDescent="0.25">
      <c r="A42" s="74" t="str">
        <f>"Principal and Interest Due in "&amp;Year_DestinationYearID+1</f>
        <v>Principal and Interest Due in 2025</v>
      </c>
      <c r="B42" s="74"/>
      <c r="C42" s="74"/>
      <c r="D42" s="77" t="str">
        <f ca="1">IFERROR(INDEX(Validation!G:G,MATCH("Loan 3"&amp;CELL("address",D42),Validation!I:I,0)),"")</f>
        <v/>
      </c>
      <c r="E42" s="66" t="str">
        <f ca="1">IFERROR(INDEX(Validation!F:F,MATCH("Loan 3"&amp;CELL("address",D42),Validation!I:I,0)),"")</f>
        <v/>
      </c>
    </row>
    <row r="43" spans="1:6" x14ac:dyDescent="0.25">
      <c r="A43" s="79" t="str">
        <f>"Principal Due in "&amp;Year_DestinationYearID+1</f>
        <v>Principal Due in 2025</v>
      </c>
      <c r="B43" s="122"/>
      <c r="C43" s="128"/>
      <c r="D43" s="77" t="str">
        <f ca="1">IFERROR(INDEX(Validation!G:G,MATCH("Loan 3"&amp;CELL("address",D43),Validation!I:I,0)),"")</f>
        <v/>
      </c>
      <c r="E43" s="66" t="str">
        <f ca="1">IFERROR(INDEX(Validation!F:F,MATCH("Loan 3"&amp;CELL("address",D43),Validation!I:I,0)),"")</f>
        <v/>
      </c>
    </row>
    <row r="44" spans="1:6" x14ac:dyDescent="0.25">
      <c r="A44" s="79" t="str">
        <f>"Interest Due in "&amp;Year_DestinationYearID+1</f>
        <v>Interest Due in 2025</v>
      </c>
      <c r="B44" s="122"/>
      <c r="C44" s="128"/>
      <c r="D44" s="77" t="str">
        <f ca="1">IFERROR(INDEX(Validation!G:G,MATCH("Loan 3"&amp;CELL("address",D44),Validation!I:I,0)),"")</f>
        <v/>
      </c>
      <c r="E44" s="66" t="str">
        <f ca="1">IFERROR(INDEX(Validation!F:F,MATCH("Loan 3"&amp;CELL("address",D44),Validation!I:I,0)),"")</f>
        <v/>
      </c>
    </row>
    <row r="45" spans="1:6" ht="20.100000000000001" customHeight="1" x14ac:dyDescent="0.25">
      <c r="A45" s="97" t="s">
        <v>176</v>
      </c>
      <c r="D45" s="77" t="str">
        <f ca="1">IF(AND(ISBLANK(A46),OR(COUNTIF(E6:E44,"Alert")&gt;0,SUM(B37:B37)&lt;&gt;0)),"Comment(s) required for remaining alert(s) and/or additions to principal.",IFERROR(INDEX(Validation!G:G,MATCH("Loan 3"&amp;CELL("address",D45),Validation!I:I,0)),""))</f>
        <v/>
      </c>
      <c r="E45" s="66" t="str">
        <f ca="1">IF(AND(ISBLANK(A46),OR(COUNTIF(E6:E44,"Alert")&gt;0,SUM(B37:B37)&lt;&gt;0)),"Error",IFERROR(INDEX(Validation!F:F,MATCH("Loan 3"&amp;CELL("address",D45),Validation!I:I,0)),""))</f>
        <v/>
      </c>
    </row>
    <row r="46" spans="1:6" ht="150" customHeight="1" x14ac:dyDescent="0.25">
      <c r="A46" s="123"/>
      <c r="B46" s="100" t="str">
        <f>HYPERLINK("#'Loans'!B6","Click here to return to the Loans Tab")</f>
        <v>Click here to return to the Loans Tab</v>
      </c>
      <c r="C46" s="127"/>
    </row>
    <row r="47" spans="1:6" x14ac:dyDescent="0.25">
      <c r="A47" s="98"/>
      <c r="B47" s="98"/>
      <c r="C47" s="98"/>
    </row>
    <row r="48" spans="1:6" x14ac:dyDescent="0.25">
      <c r="A48" s="98"/>
      <c r="B48" s="98"/>
      <c r="C48" s="98"/>
    </row>
    <row r="49" spans="1:3" x14ac:dyDescent="0.25">
      <c r="A49" s="98"/>
      <c r="B49" s="98"/>
      <c r="C49" s="98"/>
    </row>
    <row r="50" spans="1:3" x14ac:dyDescent="0.25">
      <c r="A50" s="98"/>
      <c r="B50" s="98"/>
      <c r="C50" s="98"/>
    </row>
  </sheetData>
  <sheetProtection algorithmName="SHA-512" hashValue="+T4PJIqw98LcKLejZ0Xh7tiT1UaxciYRIeLZvgtDM5mLob2fl+7sSGiytw6rYctxuuZOjFYtt3odS/oNFRGv2Q==" saltValue="bS/7VzjZJ1iMEj4xifk1xg==" spinCount="100000" sheet="1" objects="1" scenarios="1"/>
  <mergeCells count="1">
    <mergeCell ref="A4:E4"/>
  </mergeCells>
  <conditionalFormatting sqref="A2">
    <cfRule type="expression" dxfId="251" priority="11">
      <formula>$E2="Error"</formula>
    </cfRule>
    <cfRule type="expression" dxfId="249" priority="13">
      <formula>$E2="Exclude"</formula>
    </cfRule>
  </conditionalFormatting>
  <conditionalFormatting sqref="D6:E45">
    <cfRule type="expression" dxfId="246" priority="5">
      <formula>$E6="Information"</formula>
    </cfRule>
    <cfRule type="expression" dxfId="245" priority="6">
      <formula>$E6="Error"</formula>
    </cfRule>
    <cfRule type="expression" dxfId="244" priority="7">
      <formula>$E6="Alert"</formula>
    </cfRule>
    <cfRule type="expression" dxfId="243" priority="8">
      <formula>$E6="Exclude"</formula>
    </cfRule>
  </conditionalFormatting>
  <dataValidations count="4">
    <dataValidation type="list" allowBlank="1" showInputMessage="1" showErrorMessage="1" sqref="B16:B17" xr:uid="{2A30A83A-6A23-495E-9845-E7943E309D8B}">
      <formula1>SelOneYesNo</formula1>
    </dataValidation>
    <dataValidation type="list" allowBlank="1" showInputMessage="1" showErrorMessage="1" sqref="B14:C14" xr:uid="{4E891029-DFC3-4C14-87CA-98B2F94DCBCE}">
      <formula1>InterestRateType</formula1>
    </dataValidation>
    <dataValidation type="list" allowBlank="1" showInputMessage="1" showErrorMessage="1" sqref="B8" xr:uid="{636AA351-A269-495F-9317-5D7353C35B4C}">
      <formula1>DistrictDropDown</formula1>
    </dataValidation>
    <dataValidation type="list" allowBlank="1" showInputMessage="1" showErrorMessage="1" sqref="B7" xr:uid="{19B59E43-2899-4A30-9064-0DE9938CAE69}">
      <formula1>DueToType</formula1>
    </dataValidation>
  </dataValidations>
  <pageMargins left="0.7" right="0.7" top="0.75" bottom="0.75" header="0.3" footer="0.3"/>
  <pageSetup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12" id="{0E5FAE13-79FA-4BC9-8C60-E41552F6BB8A}">
            <xm:f>COUNTIFS(Validation!$H:$H,MID(CELL("filename",A2),FIND("]",CELL("filename",A2))+1,255)&amp;CELL("address",A2))&gt;0</xm:f>
            <x14:dxf>
              <font>
                <b/>
                <i val="0"/>
                <color rgb="FFC00000"/>
              </font>
              <numFmt numFmtId="172" formatCode="_(\!* #,##0_);_(\!* \(#,##0\);_(\!* \-??_);_(\!\ @_)"/>
            </x14:dxf>
          </x14:cfRule>
          <xm:sqref>A2</xm:sqref>
        </x14:conditionalFormatting>
        <x14:conditionalFormatting xmlns:xm="http://schemas.microsoft.com/office/excel/2006/main">
          <x14:cfRule type="expression" priority="10" id="{AE94C855-082F-4C6A-A533-F9BEE1956D93}">
            <xm:f>$B$7=Lists!$AH$3</xm:f>
            <x14:dxf>
              <fill>
                <patternFill>
                  <bgColor rgb="FFEAEAEA"/>
                </patternFill>
              </fill>
            </x14:dxf>
          </x14:cfRule>
          <xm:sqref>B8</xm:sqref>
        </x14:conditionalFormatting>
        <x14:conditionalFormatting xmlns:xm="http://schemas.microsoft.com/office/excel/2006/main">
          <x14:cfRule type="expression" priority="9" id="{F029B464-E7AA-4B7E-B25B-A5ADC31EE39C}">
            <xm:f>$B$7=Lists!$AH$2</xm:f>
            <x14:dxf>
              <fill>
                <patternFill>
                  <bgColor rgb="FFEAEAEA"/>
                </patternFill>
              </fill>
            </x14:dxf>
          </x14:cfRule>
          <xm:sqref>B9</xm:sqref>
        </x14:conditionalFormatting>
      </x14:conditionalFormatting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212FC-DD45-4C7B-A20F-A66D81533B41}">
  <sheetPr>
    <tabColor rgb="FFEED382"/>
  </sheetPr>
  <dimension ref="A1:F50"/>
  <sheetViews>
    <sheetView showGridLines="0" workbookViewId="0">
      <selection activeCell="B7" sqref="B7"/>
    </sheetView>
  </sheetViews>
  <sheetFormatPr defaultRowHeight="15" x14ac:dyDescent="0.25"/>
  <cols>
    <col min="1" max="1" width="55.7109375" style="66" customWidth="1"/>
    <col min="2" max="3" width="22.7109375" style="66" customWidth="1"/>
    <col min="4" max="4" width="80.85546875" style="66" customWidth="1"/>
    <col min="5" max="5" width="14.7109375" style="66" customWidth="1"/>
    <col min="6" max="6" width="10.7109375" style="78" hidden="1" customWidth="1"/>
    <col min="7" max="16384" width="9.140625" style="66"/>
  </cols>
  <sheetData>
    <row r="1" spans="1:6" s="59" customFormat="1" ht="24.95" customHeight="1" x14ac:dyDescent="0.25">
      <c r="A1" s="59" t="str">
        <f>_xlfn.CONCAT("Office of the State Auditor  -  TIF Annual Reporting Form  -  ",Year_DestinationYearID)</f>
        <v>Office of the State Auditor  -  TIF Annual Reporting Form  -  2024</v>
      </c>
      <c r="F1" s="61"/>
    </row>
    <row r="2" spans="1:6" s="62" customFormat="1" ht="20.100000000000001" customHeight="1" x14ac:dyDescent="0.25">
      <c r="A2" s="58" t="str">
        <f>_xlfn.CONCAT(GovEntity_GovEntityName_Parent,"  -  ",GovEntity_GovEntityName)</f>
        <v>Spruce City  -  TIF 1-1 Downtown Redev</v>
      </c>
      <c r="F2" s="64"/>
    </row>
    <row r="3" spans="1:6" s="68" customFormat="1" ht="24.95" customHeight="1" x14ac:dyDescent="0.3">
      <c r="A3" s="65" t="s">
        <v>238</v>
      </c>
      <c r="B3" s="66"/>
      <c r="C3" s="66"/>
      <c r="F3" s="69"/>
    </row>
    <row r="4" spans="1:6" s="71" customFormat="1" x14ac:dyDescent="0.25">
      <c r="A4" s="217" t="s">
        <v>207</v>
      </c>
      <c r="B4" s="217"/>
      <c r="C4" s="217"/>
      <c r="D4" s="217"/>
      <c r="E4" s="217"/>
      <c r="F4" s="72" t="s">
        <v>119</v>
      </c>
    </row>
    <row r="5" spans="1:6" s="74" customFormat="1" ht="20.100000000000001" customHeight="1" x14ac:dyDescent="0.25">
      <c r="A5" s="73" t="str">
        <f>HYPERLINK("#'Loans'!B6","Click here to return to the Loans Tab")</f>
        <v>Click here to return to the Loans Tab</v>
      </c>
      <c r="D5" s="74" t="s">
        <v>121</v>
      </c>
      <c r="E5" s="74" t="s">
        <v>102</v>
      </c>
      <c r="F5" s="76"/>
    </row>
    <row r="6" spans="1:6" ht="20.100000000000001" customHeight="1" x14ac:dyDescent="0.25">
      <c r="A6" s="74" t="s">
        <v>239</v>
      </c>
      <c r="D6" s="77" t="str">
        <f ca="1">IFERROR(INDEX(Validation!G:G,MATCH("Loan 4"&amp;CELL("address",D6),Validation!I:I,0)),"")</f>
        <v/>
      </c>
      <c r="E6" s="66" t="str">
        <f ca="1">IFERROR(INDEX(Validation!F:F,MATCH("Loan 4"&amp;CELL("address",D6),Validation!I:I,0)),"")</f>
        <v/>
      </c>
      <c r="F6" s="78" t="s">
        <v>875</v>
      </c>
    </row>
    <row r="7" spans="1:6" x14ac:dyDescent="0.25">
      <c r="A7" s="79" t="s">
        <v>761</v>
      </c>
      <c r="B7" s="103" t="str">
        <f>IF(AND(NOT(ISBLANK('Loan Input'!F5)),OR('Loan Input'!F$5=Lists!$AG$2,'Loan Input'!F$5=Lists!$AG$3)),_xlfn.XLOOKUP('Loan Input'!F5,Lists!AG2:AG5,Lists!AH2:AH5),Lists!$AH$1)</f>
        <v>Select One</v>
      </c>
      <c r="C7" s="128"/>
      <c r="D7" s="77" t="str">
        <f ca="1">IFERROR(INDEX(Validation!G:G,MATCH("Loan 4"&amp;CELL("address",D7),Validation!I:I,0)),"")</f>
        <v/>
      </c>
      <c r="E7" s="66" t="str">
        <f ca="1">IFERROR(INDEX(Validation!F:F,MATCH("Loan 4"&amp;CELL("address",D7),Validation!I:I,0)),"")</f>
        <v/>
      </c>
      <c r="F7" s="85" t="str">
        <f>IF(NOT(ISBLANK('Loan Input'!F4)),'Loan Input'!F4,"")</f>
        <v/>
      </c>
    </row>
    <row r="8" spans="1:6" x14ac:dyDescent="0.25">
      <c r="A8" s="79" t="s">
        <v>769</v>
      </c>
      <c r="B8" s="103" t="str">
        <f>IF(AND(NOT(ISBLANK('Loan Input'!F6)),'Loan Input'!F$5=Lists!$AG$2),'Loan Input'!F6,Lists!$AJ$1)</f>
        <v>Select One</v>
      </c>
      <c r="C8" s="128"/>
      <c r="D8" s="77" t="str">
        <f ca="1">IFERROR(INDEX(Validation!G:G,MATCH("Loan 4"&amp;CELL("address",D8),Validation!I:I,0)),"")</f>
        <v/>
      </c>
      <c r="E8" s="66" t="str">
        <f ca="1">IFERROR(INDEX(Validation!F:F,MATCH("Loan 4"&amp;CELL("address",D8),Validation!I:I,0)),"")</f>
        <v/>
      </c>
    </row>
    <row r="9" spans="1:6" x14ac:dyDescent="0.25">
      <c r="A9" s="79" t="s">
        <v>770</v>
      </c>
      <c r="B9" s="103" t="str">
        <f>IF(AND(NOT(ISBLANK('Loan Input'!F7)),'Loan Input'!F$5=Lists!$AG$3),'Loan Input'!F7,"")</f>
        <v/>
      </c>
      <c r="C9" s="128"/>
      <c r="D9" s="77" t="str">
        <f ca="1">IFERROR(INDEX(Validation!G:G,MATCH("Loan 4"&amp;CELL("address",D9),Validation!I:I,0)),"")</f>
        <v/>
      </c>
      <c r="E9" s="66" t="str">
        <f ca="1">IFERROR(INDEX(Validation!F:F,MATCH("Loan 4"&amp;CELL("address",D9),Validation!I:I,0)),"")</f>
        <v/>
      </c>
    </row>
    <row r="10" spans="1:6" x14ac:dyDescent="0.25">
      <c r="A10" s="79" t="s">
        <v>931</v>
      </c>
      <c r="B10" s="120" t="str">
        <f>IF(AND(NOT(ISBLANK('Loan Input'!F8)),OR('Loan Input'!F$5=Lists!$AG$2,'Loan Input'!F$5=Lists!$AG$3)),'Loan Input'!F8,"")</f>
        <v/>
      </c>
      <c r="C10" s="128"/>
      <c r="D10" s="77" t="str">
        <f ca="1">IFERROR(INDEX(Validation!G:G,MATCH("Loan 4"&amp;CELL("address",D10),Validation!I:I,0)),"")</f>
        <v/>
      </c>
      <c r="E10" s="66" t="str">
        <f ca="1">IFERROR(INDEX(Validation!F:F,MATCH("Loan 4"&amp;CELL("address",D10),Validation!I:I,0)),"")</f>
        <v/>
      </c>
    </row>
    <row r="11" spans="1:6" x14ac:dyDescent="0.25">
      <c r="A11" s="79" t="s">
        <v>212</v>
      </c>
      <c r="B11" s="120" t="str">
        <f>IF(AND(NOT(ISBLANK('Loan Input'!F9)),OR('Loan Input'!F$5=Lists!$AG$2,'Loan Input'!F$5=Lists!$AG$3)),'Loan Input'!F9,"")</f>
        <v/>
      </c>
      <c r="C11" s="128"/>
      <c r="D11" s="77" t="str">
        <f ca="1">IFERROR(INDEX(Validation!G:G,MATCH("Loan 4"&amp;CELL("address",D11),Validation!I:I,0)),"")</f>
        <v/>
      </c>
      <c r="E11" s="66" t="str">
        <f ca="1">IFERROR(INDEX(Validation!F:F,MATCH("Loan 4"&amp;CELL("address",D11),Validation!I:I,0)),"")</f>
        <v/>
      </c>
    </row>
    <row r="12" spans="1:6" x14ac:dyDescent="0.25">
      <c r="A12" s="79" t="s">
        <v>213</v>
      </c>
      <c r="B12" s="121" t="str">
        <f>IF(AND(NOT(ISBLANK('Loan Input'!F10)),OR('Loan Input'!F$5=Lists!$AG$2,'Loan Input'!F$5=Lists!$AG$3)),'Loan Input'!F10,"")</f>
        <v/>
      </c>
      <c r="C12" s="128"/>
      <c r="D12" s="77" t="str">
        <f ca="1">IFERROR(INDEX(Validation!G:G,MATCH("Loan 4"&amp;CELL("address",D12),Validation!I:I,0)),"")</f>
        <v/>
      </c>
      <c r="E12" s="66" t="str">
        <f ca="1">IFERROR(INDEX(Validation!F:F,MATCH("Loan 4"&amp;CELL("address",D12),Validation!I:I,0)),"")</f>
        <v/>
      </c>
    </row>
    <row r="13" spans="1:6" x14ac:dyDescent="0.25">
      <c r="A13" s="79" t="s">
        <v>214</v>
      </c>
      <c r="B13" s="121" t="str">
        <f>IF(AND(NOT(ISBLANK('Loan Input'!F11)),OR('Loan Input'!F$5=Lists!$AG$2,'Loan Input'!F$5=Lists!$AG$3)),'Loan Input'!F11,"")</f>
        <v/>
      </c>
      <c r="C13" s="128"/>
      <c r="D13" s="77" t="str">
        <f ca="1">IFERROR(INDEX(Validation!G:G,MATCH("Loan 4"&amp;CELL("address",D13),Validation!I:I,0)),"")</f>
        <v/>
      </c>
      <c r="E13" s="66" t="str">
        <f ca="1">IFERROR(INDEX(Validation!F:F,MATCH("Loan 4"&amp;CELL("address",D13),Validation!I:I,0)),"")</f>
        <v/>
      </c>
    </row>
    <row r="14" spans="1:6" x14ac:dyDescent="0.25">
      <c r="A14" s="79" t="s">
        <v>241</v>
      </c>
      <c r="B14" s="120" t="str">
        <f>IF(AND(NOT(ISBLANK('Loan Input'!F12)),OR('Loan Input'!F$5=Lists!$AG$2,'Loan Input'!F$5=Lists!$AG$3)),'Loan Input'!F12,Lists!$AM$1)</f>
        <v>Select One</v>
      </c>
      <c r="C14" s="129"/>
      <c r="D14" s="77" t="str">
        <f ca="1">IFERROR(INDEX(Validation!G:G,MATCH("Loan 4"&amp;CELL("address",D14),Validation!I:I,0)),"")</f>
        <v/>
      </c>
      <c r="E14" s="66" t="str">
        <f ca="1">IFERROR(INDEX(Validation!F:F,MATCH("Loan 4"&amp;CELL("address",D14),Validation!I:I,0)),"")</f>
        <v/>
      </c>
    </row>
    <row r="15" spans="1:6" x14ac:dyDescent="0.25">
      <c r="A15" s="79" t="s">
        <v>242</v>
      </c>
      <c r="B15" s="122" t="str">
        <f>IF(AND(NOT(ISBLANK('Loan Input'!F13)),OR('Loan Input'!F$5=Lists!$AG$2,'Loan Input'!F$5=Lists!$AG$3)),'Loan Input'!F13,"")</f>
        <v/>
      </c>
      <c r="C15" s="128"/>
      <c r="D15" s="77" t="str">
        <f ca="1">IFERROR(INDEX(Validation!G:G,MATCH("Loan 4"&amp;CELL("address",D15),Validation!I:I,0)),"")</f>
        <v/>
      </c>
      <c r="E15" s="66" t="str">
        <f ca="1">IFERROR(INDEX(Validation!F:F,MATCH("Loan 4"&amp;CELL("address",D15),Validation!I:I,0)),"")</f>
        <v/>
      </c>
    </row>
    <row r="16" spans="1:6" x14ac:dyDescent="0.25">
      <c r="A16" s="79" t="s">
        <v>232</v>
      </c>
      <c r="B16" s="103" t="str">
        <f>IF(OR('Loan Input'!F14="",'Loan Input'!F14=0),"Select One",IF('Loan Input'!F14=TRUE,"Yes","No"))</f>
        <v>Select One</v>
      </c>
      <c r="C16" s="128"/>
      <c r="D16" s="77" t="str">
        <f ca="1">IFERROR(INDEX(Validation!G:G,MATCH("Loan 4"&amp;CELL("address",D16),Validation!I:I,0)),"")</f>
        <v/>
      </c>
      <c r="E16" s="66" t="str">
        <f ca="1">IFERROR(INDEX(Validation!F:F,MATCH("Loan 4"&amp;CELL("address",D16),Validation!I:I,0)),"")</f>
        <v/>
      </c>
    </row>
    <row r="17" spans="1:5" x14ac:dyDescent="0.25">
      <c r="A17" s="79" t="str">
        <f>"Were the terms of this obligation modified in "&amp;Year_DestinationYearID&amp;"?"</f>
        <v>Were the terms of this obligation modified in 2024?</v>
      </c>
      <c r="B17" s="103" t="s">
        <v>41</v>
      </c>
      <c r="C17" s="128"/>
      <c r="D17" s="77" t="str">
        <f ca="1">IFERROR(INDEX(Validation!G:G,MATCH("Loan 4"&amp;CELL("address",D17),Validation!I:I,0)),"")</f>
        <v/>
      </c>
      <c r="E17" s="66" t="str">
        <f ca="1">IFERROR(INDEX(Validation!F:F,MATCH("Loan 4"&amp;CELL("address",D17),Validation!I:I,0)),"")</f>
        <v/>
      </c>
    </row>
    <row r="18" spans="1:5" ht="20.100000000000001" customHeight="1" x14ac:dyDescent="0.25">
      <c r="A18" s="74" t="s">
        <v>1183</v>
      </c>
      <c r="B18" s="74" t="s">
        <v>283</v>
      </c>
      <c r="C18" s="74" t="str">
        <f>Year_DestinationYearID&amp;" Amount"</f>
        <v>2024 Amount</v>
      </c>
      <c r="D18" s="77" t="str">
        <f ca="1">IFERROR(INDEX(Validation!G:G,MATCH("Loan 4"&amp;CELL("address",D18),Validation!I:I,0)),"")</f>
        <v/>
      </c>
      <c r="E18" s="66" t="str">
        <f ca="1">IFERROR(INDEX(Validation!F:F,MATCH("Loan 4"&amp;CELL("address",D18),Validation!I:I,0)),"")</f>
        <v/>
      </c>
    </row>
    <row r="19" spans="1:5" x14ac:dyDescent="0.25">
      <c r="A19" s="79" t="s">
        <v>266</v>
      </c>
      <c r="B19" s="122" t="str">
        <f>IF(AND(NOT(ISBLANK('Loan Input'!F16)),OR('Loan Input'!F$5=Lists!$AG$2,'Loan Input'!F$5=Lists!$AG$3)),'Loan Input'!F16,"")</f>
        <v/>
      </c>
      <c r="C19" s="103"/>
      <c r="D19" s="77" t="str">
        <f ca="1">IFERROR(INDEX(Validation!G:G,MATCH("Loan 4"&amp;CELL("address",D19),Validation!I:I,0)),"")</f>
        <v/>
      </c>
      <c r="E19" s="66" t="str">
        <f ca="1">IFERROR(INDEX(Validation!F:F,MATCH("Loan 4"&amp;CELL("address",D19),Validation!I:I,0)),"")</f>
        <v/>
      </c>
    </row>
    <row r="20" spans="1:5" x14ac:dyDescent="0.25">
      <c r="A20" s="79" t="s">
        <v>267</v>
      </c>
      <c r="B20" s="122" t="str">
        <f>IF(AND(NOT(ISBLANK('Loan Input'!F18)),OR('Loan Input'!F$5=Lists!$AG$2,'Loan Input'!F$5=Lists!$AG$3)),'Loan Input'!F18,"")</f>
        <v/>
      </c>
      <c r="C20" s="103"/>
      <c r="D20" s="77" t="str">
        <f ca="1">IFERROR(INDEX(Validation!G:G,MATCH("Loan 4"&amp;CELL("address",D20),Validation!I:I,0)),"")</f>
        <v/>
      </c>
      <c r="E20" s="66" t="str">
        <f ca="1">IFERROR(INDEX(Validation!F:F,MATCH("Loan 4"&amp;CELL("address",D20),Validation!I:I,0)),"")</f>
        <v/>
      </c>
    </row>
    <row r="21" spans="1:5" x14ac:dyDescent="0.25">
      <c r="A21" s="79" t="s">
        <v>268</v>
      </c>
      <c r="B21" s="122" t="str">
        <f>IF(AND(NOT(ISBLANK('Loan Input'!F20)),OR('Loan Input'!F$5=Lists!$AG$2,'Loan Input'!F$5=Lists!$AG$3)),'Loan Input'!F20,"")</f>
        <v/>
      </c>
      <c r="C21" s="103"/>
      <c r="D21" s="77" t="str">
        <f ca="1">IFERROR(INDEX(Validation!G:G,MATCH("Loan 4"&amp;CELL("address",D21),Validation!I:I,0)),"")</f>
        <v/>
      </c>
      <c r="E21" s="66" t="str">
        <f ca="1">IFERROR(INDEX(Validation!F:F,MATCH("Loan 4"&amp;CELL("address",D21),Validation!I:I,0)),"")</f>
        <v/>
      </c>
    </row>
    <row r="22" spans="1:5" x14ac:dyDescent="0.25">
      <c r="A22" s="79" t="s">
        <v>269</v>
      </c>
      <c r="B22" s="122" t="str">
        <f>IF(AND(NOT(ISBLANK('Loan Input'!F22)),OR('Loan Input'!F$5=Lists!$AG$2,'Loan Input'!F$5=Lists!$AG$3)),'Loan Input'!F22,"")</f>
        <v/>
      </c>
      <c r="C22" s="103"/>
      <c r="D22" s="77" t="str">
        <f ca="1">IFERROR(INDEX(Validation!G:G,MATCH("Loan 4"&amp;CELL("address",D22),Validation!I:I,0)),"")</f>
        <v/>
      </c>
      <c r="E22" s="66" t="str">
        <f ca="1">IFERROR(INDEX(Validation!F:F,MATCH("Loan 4"&amp;CELL("address",D22),Validation!I:I,0)),"")</f>
        <v/>
      </c>
    </row>
    <row r="23" spans="1:5" x14ac:dyDescent="0.25">
      <c r="A23" s="79" t="s">
        <v>1101</v>
      </c>
      <c r="B23" s="122" t="str">
        <f>IF(AND(NOT(ISBLANK('Loan Input'!F24)),OR('Loan Input'!F$5=Lists!$AG$2,'Loan Input'!F$5=Lists!$AG$3)),'Loan Input'!F24,"")</f>
        <v/>
      </c>
      <c r="C23" s="103"/>
      <c r="D23" s="77" t="str">
        <f ca="1">IFERROR(INDEX(Validation!G:G,MATCH("Loan 4"&amp;CELL("address",D23),Validation!I:I,0)),"")</f>
        <v/>
      </c>
      <c r="E23" s="66" t="str">
        <f ca="1">IFERROR(INDEX(Validation!F:F,MATCH("Loan 4"&amp;CELL("address",D23),Validation!I:I,0)),"")</f>
        <v/>
      </c>
    </row>
    <row r="24" spans="1:5" x14ac:dyDescent="0.25">
      <c r="A24" s="79" t="s">
        <v>270</v>
      </c>
      <c r="B24" s="122" t="str">
        <f>IF(AND(NOT(ISBLANK('Loan Input'!F26)),OR('Loan Input'!F$5=Lists!$AG$2,'Loan Input'!F$5=Lists!$AG$3)),'Loan Input'!F26,"")</f>
        <v/>
      </c>
      <c r="C24" s="103"/>
      <c r="D24" s="77" t="str">
        <f ca="1">IFERROR(INDEX(Validation!G:G,MATCH("Loan 4"&amp;CELL("address",D24),Validation!I:I,0)),"")</f>
        <v/>
      </c>
      <c r="E24" s="66" t="str">
        <f ca="1">IFERROR(INDEX(Validation!F:F,MATCH("Loan 4"&amp;CELL("address",D24),Validation!I:I,0)),"")</f>
        <v/>
      </c>
    </row>
    <row r="25" spans="1:5" x14ac:dyDescent="0.25">
      <c r="A25" s="79" t="s">
        <v>271</v>
      </c>
      <c r="B25" s="122" t="str">
        <f>IF(AND(NOT(ISBLANK('Loan Input'!F28)),OR('Loan Input'!F$5=Lists!$AG$2,'Loan Input'!F$5=Lists!$AG$3)),'Loan Input'!F28,"")</f>
        <v/>
      </c>
      <c r="C25" s="103"/>
      <c r="D25" s="77" t="str">
        <f ca="1">IFERROR(INDEX(Validation!G:G,MATCH("Loan 4"&amp;CELL("address",D25),Validation!I:I,0)),"")</f>
        <v/>
      </c>
      <c r="E25" s="66" t="str">
        <f ca="1">IFERROR(INDEX(Validation!F:F,MATCH("Loan 4"&amp;CELL("address",D25),Validation!I:I,0)),"")</f>
        <v/>
      </c>
    </row>
    <row r="26" spans="1:5" x14ac:dyDescent="0.25">
      <c r="A26" s="79" t="s">
        <v>276</v>
      </c>
      <c r="B26" s="122" t="str">
        <f>IF(AND(NOT(ISBLANK('Loan Input'!F30)),OR('Loan Input'!C$5=Lists!$AG$2,'Loan Input'!C$5=Lists!$AG$3)),'Loan Input'!F30,"")</f>
        <v/>
      </c>
      <c r="C26" s="103"/>
      <c r="D26" s="77" t="str">
        <f ca="1">IFERROR(INDEX(Validation!G:G,MATCH("Loan 4"&amp;CELL("address",D26),Validation!I:I,0)),"")</f>
        <v/>
      </c>
      <c r="E26" s="66" t="str">
        <f ca="1">IFERROR(INDEX(Validation!F:F,MATCH("Loan 4"&amp;CELL("address",D26),Validation!I:I,0)),"")</f>
        <v/>
      </c>
    </row>
    <row r="27" spans="1:5" x14ac:dyDescent="0.25">
      <c r="A27" s="79" t="s">
        <v>272</v>
      </c>
      <c r="B27" s="122" t="str">
        <f>IF(AND(NOT(ISBLANK('Loan Input'!F32)),OR('Loan Input'!F$5=Lists!$AG$2,'Loan Input'!F$5=Lists!$AG$3)),'Loan Input'!F32,"")</f>
        <v/>
      </c>
      <c r="C27" s="103"/>
      <c r="D27" s="77" t="str">
        <f ca="1">IFERROR(INDEX(Validation!G:G,MATCH("Loan 4"&amp;CELL("address",D27),Validation!I:I,0)),"")</f>
        <v/>
      </c>
      <c r="E27" s="66" t="str">
        <f ca="1">IFERROR(INDEX(Validation!F:F,MATCH("Loan 4"&amp;CELL("address",D27),Validation!I:I,0)),"")</f>
        <v/>
      </c>
    </row>
    <row r="28" spans="1:5" x14ac:dyDescent="0.25">
      <c r="A28" s="79" t="s">
        <v>273</v>
      </c>
      <c r="B28" s="122" t="str">
        <f>IF(AND(NOT(ISBLANK('Loan Input'!F34)),OR('Loan Input'!F$5=Lists!$AG$2,'Loan Input'!F$5=Lists!$AG$3)),'Loan Input'!F34,"")</f>
        <v/>
      </c>
      <c r="C28" s="103"/>
      <c r="D28" s="77" t="str">
        <f ca="1">IFERROR(INDEX(Validation!G:G,MATCH("Loan 4"&amp;CELL("address",D28),Validation!I:I,0)),"")</f>
        <v/>
      </c>
      <c r="E28" s="66" t="str">
        <f ca="1">IFERROR(INDEX(Validation!F:F,MATCH("Loan 4"&amp;CELL("address",D28),Validation!I:I,0)),"")</f>
        <v/>
      </c>
    </row>
    <row r="29" spans="1:5" x14ac:dyDescent="0.25">
      <c r="A29" s="130" t="s">
        <v>1184</v>
      </c>
      <c r="B29" s="125">
        <f>SUM(B19:B28)</f>
        <v>0</v>
      </c>
      <c r="C29" s="125">
        <f>SUM(C19:C28)</f>
        <v>0</v>
      </c>
      <c r="D29" s="77" t="str">
        <f ca="1">IFERROR(INDEX(Validation!G:G,MATCH("Loan 4"&amp;CELL("address",D29),Validation!I:I,0)),"")</f>
        <v/>
      </c>
      <c r="E29" s="66" t="str">
        <f ca="1">IFERROR(INDEX(Validation!F:F,MATCH("Loan 4"&amp;CELL("address",D29),Validation!I:I,0)),"")</f>
        <v/>
      </c>
    </row>
    <row r="30" spans="1:5" x14ac:dyDescent="0.25">
      <c r="A30" s="130" t="s">
        <v>1185</v>
      </c>
      <c r="B30" s="125" t="str">
        <f>IFERROR(B34-B29,"")</f>
        <v/>
      </c>
      <c r="C30" s="125" t="str">
        <f>IFERROR(B34+C34-B29-C29,"")</f>
        <v/>
      </c>
      <c r="D30" s="77" t="str">
        <f ca="1">IFERROR(INDEX(Validation!G:G,MATCH("Loan 4"&amp;CELL("address",D30),Validation!I:I,0)),"")</f>
        <v/>
      </c>
      <c r="E30" s="66" t="str">
        <f ca="1">IFERROR(INDEX(Validation!F:F,MATCH("Loan 4"&amp;CELL("address",D30),Validation!I:I,0)),"")</f>
        <v/>
      </c>
    </row>
    <row r="31" spans="1:5" x14ac:dyDescent="0.25">
      <c r="A31" s="131" t="s">
        <v>1186</v>
      </c>
      <c r="B31" s="122" t="str">
        <f>IF(AND(NOT(ISBLANK('Loan Input'!F41)),OR('Loan Input'!F$5=Lists!$AG$2,'Loan Input'!F$5=Lists!$AG$3)),'Loan Input'!F41,"")</f>
        <v/>
      </c>
      <c r="C31" s="103"/>
      <c r="D31" s="77" t="str">
        <f ca="1">IFERROR(INDEX(Validation!G:G,MATCH("Loan 4"&amp;CELL("address",D31),Validation!I:I,0)),"")</f>
        <v/>
      </c>
      <c r="E31" s="66" t="str">
        <f ca="1">IFERROR(INDEX(Validation!F:F,MATCH("Loan 4"&amp;CELL("address",D31),Validation!I:I,0)),"")</f>
        <v/>
      </c>
    </row>
    <row r="32" spans="1:5" x14ac:dyDescent="0.25">
      <c r="A32" s="131" t="s">
        <v>1187</v>
      </c>
      <c r="B32" s="122" t="str">
        <f>IF(AND(NOT(ISBLANK('Loan Input'!F43)),OR('Loan Input'!F$5=Lists!$AG$2,'Loan Input'!F$5=Lists!$AG$3)),'Loan Input'!F43,"")</f>
        <v/>
      </c>
      <c r="C32" s="103"/>
      <c r="D32" s="77" t="str">
        <f ca="1">IFERROR(INDEX(Validation!G:G,MATCH("Loan 4"&amp;CELL("address",D32),Validation!I:I,0)),"")</f>
        <v/>
      </c>
      <c r="E32" s="66" t="str">
        <f ca="1">IFERROR(INDEX(Validation!F:F,MATCH("Loan 4"&amp;CELL("address",D32),Validation!I:I,0)),"")</f>
        <v/>
      </c>
    </row>
    <row r="33" spans="1:6" ht="20.100000000000001" customHeight="1" x14ac:dyDescent="0.25">
      <c r="A33" s="74" t="s">
        <v>754</v>
      </c>
      <c r="B33" s="74" t="s">
        <v>283</v>
      </c>
      <c r="C33" s="74" t="str">
        <f>Year_DestinationYearID&amp;" Amount"</f>
        <v>2024 Amount</v>
      </c>
      <c r="D33" s="77" t="str">
        <f ca="1">IFERROR(INDEX(Validation!G:G,MATCH("Loan 4"&amp;CELL("address",D33),Validation!I:I,0)),"")</f>
        <v/>
      </c>
      <c r="E33" s="66" t="str">
        <f ca="1">IFERROR(INDEX(Validation!F:F,MATCH("Loan 4"&amp;CELL("address",D33),Validation!I:I,0)),"")</f>
        <v/>
      </c>
    </row>
    <row r="34" spans="1:6" x14ac:dyDescent="0.25">
      <c r="A34" s="79" t="s">
        <v>1350</v>
      </c>
      <c r="B34" s="122" t="str">
        <f>IF(AND(NOT(ISBLANK('Loan Input'!F44)),OR('Loan Input'!F$5=Lists!$AG$2,'Loan Input'!F$5=Lists!$AG$3)),'Loan Input'!F44,"")</f>
        <v/>
      </c>
      <c r="C34" s="122"/>
      <c r="D34" s="77" t="str">
        <f ca="1">IFERROR(INDEX(Validation!G:G,MATCH("Loan 4"&amp;CELL("address",D34),Validation!I:I,0)),"")</f>
        <v/>
      </c>
      <c r="E34" s="66" t="str">
        <f ca="1">IFERROR(INDEX(Validation!F:F,MATCH("Loan 4"&amp;CELL("address",D34),Validation!I:I,0)),"")</f>
        <v/>
      </c>
    </row>
    <row r="35" spans="1:6" x14ac:dyDescent="0.25">
      <c r="A35" s="79" t="s">
        <v>1188</v>
      </c>
      <c r="B35" s="122" t="str">
        <f>IF(AND(NOT(ISBLANK('Loan Input'!F47)),OR('Loan Input'!F$5=Lists!$AG$2,'Loan Input'!F$5=Lists!$AG$3)),'Loan Input'!F47,"")</f>
        <v/>
      </c>
      <c r="C35" s="122"/>
      <c r="D35" s="77" t="str">
        <f ca="1">IFERROR(INDEX(Validation!G:G,MATCH("Loan 4"&amp;CELL("address",D35),Validation!I:I,0)),"")</f>
        <v/>
      </c>
      <c r="E35" s="66" t="str">
        <f ca="1">IFERROR(INDEX(Validation!F:F,MATCH("Loan 4"&amp;CELL("address",D35),Validation!I:I,0)),"")</f>
        <v/>
      </c>
    </row>
    <row r="36" spans="1:6" x14ac:dyDescent="0.25">
      <c r="A36" s="79" t="s">
        <v>1189</v>
      </c>
      <c r="B36" s="122" t="str">
        <f>IF(AND(NOT(ISBLANK('Loan Input'!F49)),OR('Loan Input'!F$5=Lists!$AG$2,'Loan Input'!F$5=Lists!$AG$3)),'Loan Input'!F49,"")</f>
        <v/>
      </c>
      <c r="C36" s="122"/>
      <c r="D36" s="77" t="str">
        <f ca="1">IFERROR(INDEX(Validation!G:G,MATCH("Loan 4"&amp;CELL("address",D36),Validation!I:I,0)),"")</f>
        <v/>
      </c>
      <c r="E36" s="66" t="str">
        <f ca="1">IFERROR(INDEX(Validation!F:F,MATCH("Loan 4"&amp;CELL("address",D36),Validation!I:I,0)),"")</f>
        <v/>
      </c>
    </row>
    <row r="37" spans="1:6" x14ac:dyDescent="0.25">
      <c r="A37" s="79" t="s">
        <v>1190</v>
      </c>
      <c r="B37" s="122" t="str">
        <f>IF(AND(NOT(ISBLANK('Loan Input'!F51)),OR('Loan Input'!F$5=Lists!$AG$2,'Loan Input'!F$5=Lists!$AG$3)),'Loan Input'!F51,"")</f>
        <v/>
      </c>
      <c r="C37" s="122"/>
      <c r="D37" s="77" t="str">
        <f ca="1">IFERROR(INDEX(Validation!G:G,MATCH("Loan 4"&amp;CELL("address",D37),Validation!I:I,0)),"")</f>
        <v/>
      </c>
      <c r="E37" s="66" t="str">
        <f ca="1">IFERROR(INDEX(Validation!F:F,MATCH("Loan 4"&amp;CELL("address",D37),Validation!I:I,0)),"")</f>
        <v/>
      </c>
    </row>
    <row r="38" spans="1:6" x14ac:dyDescent="0.25">
      <c r="A38" s="79" t="s">
        <v>221</v>
      </c>
      <c r="B38" s="125" t="str">
        <f>IFERROR(B34-B35-B36+B37,"")</f>
        <v/>
      </c>
      <c r="C38" s="125" t="str">
        <f>IFERROR(B34+C34-B35-B36-C35-C36+B37+C37,"")</f>
        <v/>
      </c>
      <c r="D38" s="77" t="str">
        <f ca="1">IFERROR(INDEX(Validation!G:G,MATCH("Loan 4"&amp;CELL("address",D38),Validation!I:I,0)),"")</f>
        <v/>
      </c>
      <c r="E38" s="66" t="str">
        <f ca="1">IFERROR(INDEX(Validation!F:F,MATCH("Loan 4"&amp;CELL("address",D38),Validation!I:I,0)),"")</f>
        <v/>
      </c>
      <c r="F38" s="126"/>
    </row>
    <row r="39" spans="1:6" x14ac:dyDescent="0.25">
      <c r="A39" s="79" t="s">
        <v>223</v>
      </c>
      <c r="B39" s="122" t="str">
        <f>IF(AND(NOT(ISBLANK('Loan Input'!F55)),OR('Loan Input'!F$5=Lists!$AG$2,'Loan Input'!F$5=Lists!$AG$3)),'Loan Input'!F55,"")</f>
        <v/>
      </c>
      <c r="C39" s="122"/>
      <c r="D39" s="77" t="str">
        <f ca="1">IFERROR(INDEX(Validation!G:G,MATCH("Loan 4"&amp;CELL("address",D39),Validation!I:I,0)),"")</f>
        <v/>
      </c>
      <c r="E39" s="66" t="str">
        <f ca="1">IFERROR(INDEX(Validation!F:F,MATCH("Loan 4"&amp;CELL("address",D39),Validation!I:I,0)),"")</f>
        <v/>
      </c>
    </row>
    <row r="40" spans="1:6" x14ac:dyDescent="0.25">
      <c r="A40" s="79" t="s">
        <v>1191</v>
      </c>
      <c r="B40" s="122" t="str">
        <f>IF(AND(NOT(ISBLANK('Loan Input'!F57)),OR('Loan Input'!F$5=Lists!$AG$2,'Loan Input'!F$5=Lists!$AG$3)),'Loan Input'!F57,"")</f>
        <v/>
      </c>
      <c r="C40" s="122"/>
      <c r="D40" s="77" t="str">
        <f ca="1">IFERROR(INDEX(Validation!G:G,MATCH("Loan 4"&amp;CELL("address",D40),Validation!I:I,0)),"")</f>
        <v/>
      </c>
      <c r="E40" s="66" t="str">
        <f ca="1">IFERROR(INDEX(Validation!F:F,MATCH("Loan 4"&amp;CELL("address",D40),Validation!I:I,0)),"")</f>
        <v/>
      </c>
    </row>
    <row r="41" spans="1:6" x14ac:dyDescent="0.25">
      <c r="A41" s="79" t="s">
        <v>1192</v>
      </c>
      <c r="B41" s="122" t="str">
        <f>IF(AND(NOT(ISBLANK('Loan Input'!F59)),OR('Loan Input'!F$5=Lists!$AG$2,'Loan Input'!F$5=Lists!$AG$3)),'Loan Input'!F59,"")</f>
        <v/>
      </c>
      <c r="C41" s="122"/>
      <c r="D41" s="77" t="str">
        <f ca="1">IFERROR(INDEX(Validation!G:G,MATCH("Loan 4"&amp;CELL("address",D41),Validation!I:I,0)),"")</f>
        <v/>
      </c>
      <c r="E41" s="66" t="str">
        <f ca="1">IFERROR(INDEX(Validation!F:F,MATCH("Loan 4"&amp;CELL("address",D41),Validation!I:I,0)),"")</f>
        <v/>
      </c>
    </row>
    <row r="42" spans="1:6" ht="20.100000000000001" customHeight="1" x14ac:dyDescent="0.25">
      <c r="A42" s="74" t="str">
        <f>"Principal and Interest Due in "&amp;Year_DestinationYearID+1</f>
        <v>Principal and Interest Due in 2025</v>
      </c>
      <c r="B42" s="74"/>
      <c r="C42" s="74"/>
      <c r="D42" s="77" t="str">
        <f ca="1">IFERROR(INDEX(Validation!G:G,MATCH("Loan 4"&amp;CELL("address",D42),Validation!I:I,0)),"")</f>
        <v/>
      </c>
      <c r="E42" s="66" t="str">
        <f ca="1">IFERROR(INDEX(Validation!F:F,MATCH("Loan 4"&amp;CELL("address",D42),Validation!I:I,0)),"")</f>
        <v/>
      </c>
    </row>
    <row r="43" spans="1:6" x14ac:dyDescent="0.25">
      <c r="A43" s="79" t="str">
        <f>"Principal Due in "&amp;Year_DestinationYearID+1</f>
        <v>Principal Due in 2025</v>
      </c>
      <c r="B43" s="122"/>
      <c r="C43" s="128"/>
      <c r="D43" s="77" t="str">
        <f ca="1">IFERROR(INDEX(Validation!G:G,MATCH("Loan 4"&amp;CELL("address",D43),Validation!I:I,0)),"")</f>
        <v/>
      </c>
      <c r="E43" s="66" t="str">
        <f ca="1">IFERROR(INDEX(Validation!F:F,MATCH("Loan 4"&amp;CELL("address",D43),Validation!I:I,0)),"")</f>
        <v/>
      </c>
    </row>
    <row r="44" spans="1:6" x14ac:dyDescent="0.25">
      <c r="A44" s="79" t="str">
        <f>"Interest Due in "&amp;Year_DestinationYearID+1</f>
        <v>Interest Due in 2025</v>
      </c>
      <c r="B44" s="122"/>
      <c r="C44" s="128"/>
      <c r="D44" s="77" t="str">
        <f ca="1">IFERROR(INDEX(Validation!G:G,MATCH("Loan 4"&amp;CELL("address",D44),Validation!I:I,0)),"")</f>
        <v/>
      </c>
      <c r="E44" s="66" t="str">
        <f ca="1">IFERROR(INDEX(Validation!F:F,MATCH("Loan 4"&amp;CELL("address",D44),Validation!I:I,0)),"")</f>
        <v/>
      </c>
    </row>
    <row r="45" spans="1:6" ht="20.100000000000001" customHeight="1" x14ac:dyDescent="0.25">
      <c r="A45" s="97" t="s">
        <v>176</v>
      </c>
      <c r="D45" s="77" t="str">
        <f ca="1">IF(AND(ISBLANK(A46),OR(COUNTIF(E6:E44,"Alert")&gt;0,SUM(B37:B37)&lt;&gt;0)),"Comment(s) required for remaining alert(s) and/or additions to principal.",IFERROR(INDEX(Validation!G:G,MATCH("Loan 4"&amp;CELL("address",D45),Validation!I:I,0)),""))</f>
        <v/>
      </c>
      <c r="E45" s="66" t="str">
        <f ca="1">IF(AND(ISBLANK(A46),OR(COUNTIF(E6:E44,"Alert")&gt;0,SUM(B37:B37)&lt;&gt;0)),"Error",IFERROR(INDEX(Validation!F:F,MATCH("Loan 4"&amp;CELL("address",D45),Validation!I:I,0)),""))</f>
        <v/>
      </c>
    </row>
    <row r="46" spans="1:6" ht="150" customHeight="1" x14ac:dyDescent="0.25">
      <c r="A46" s="123"/>
      <c r="B46" s="100" t="str">
        <f>HYPERLINK("#'Loans'!B6","Click here to return to the Loans Tab")</f>
        <v>Click here to return to the Loans Tab</v>
      </c>
      <c r="C46" s="127"/>
    </row>
    <row r="47" spans="1:6" x14ac:dyDescent="0.25">
      <c r="A47" s="98"/>
      <c r="B47" s="98"/>
      <c r="C47" s="98"/>
    </row>
    <row r="48" spans="1:6" x14ac:dyDescent="0.25">
      <c r="A48" s="98"/>
      <c r="B48" s="98"/>
      <c r="C48" s="98"/>
    </row>
    <row r="49" spans="1:3" x14ac:dyDescent="0.25">
      <c r="A49" s="98"/>
      <c r="B49" s="98"/>
      <c r="C49" s="98"/>
    </row>
    <row r="50" spans="1:3" x14ac:dyDescent="0.25">
      <c r="A50" s="98"/>
      <c r="B50" s="98"/>
      <c r="C50" s="98"/>
    </row>
  </sheetData>
  <sheetProtection algorithmName="SHA-512" hashValue="/B9DtuOLyfCO7tjsmap2oFneWCXBtMUlDtTZWOwC8Ol2F5Nj/LBX42zMSiwIoZLiCcxpaGFJzzR9Xau7WjMl7w==" saltValue="Y9w0J7KPWxWg0z30dmCieQ==" spinCount="100000" sheet="1" objects="1" scenarios="1"/>
  <mergeCells count="1">
    <mergeCell ref="A4:E4"/>
  </mergeCells>
  <conditionalFormatting sqref="A2">
    <cfRule type="expression" dxfId="242" priority="11">
      <formula>$E2="Error"</formula>
    </cfRule>
    <cfRule type="expression" dxfId="240" priority="13">
      <formula>$E2="Exclude"</formula>
    </cfRule>
  </conditionalFormatting>
  <conditionalFormatting sqref="D6:E45">
    <cfRule type="expression" dxfId="237" priority="5">
      <formula>$E6="Information"</formula>
    </cfRule>
    <cfRule type="expression" dxfId="236" priority="6">
      <formula>$E6="Error"</formula>
    </cfRule>
    <cfRule type="expression" dxfId="235" priority="7">
      <formula>$E6="Alert"</formula>
    </cfRule>
    <cfRule type="expression" dxfId="234" priority="8">
      <formula>$E6="Exclude"</formula>
    </cfRule>
  </conditionalFormatting>
  <dataValidations count="4">
    <dataValidation type="list" allowBlank="1" showInputMessage="1" showErrorMessage="1" sqref="B16:B17" xr:uid="{A9D484D6-CDB6-4C3C-B338-D9DA85E46381}">
      <formula1>SelOneYesNo</formula1>
    </dataValidation>
    <dataValidation type="list" allowBlank="1" showInputMessage="1" showErrorMessage="1" sqref="B14:C14" xr:uid="{AC24907C-CD91-462C-AA28-D903ED263AE8}">
      <formula1>InterestRateType</formula1>
    </dataValidation>
    <dataValidation type="list" allowBlank="1" showInputMessage="1" showErrorMessage="1" sqref="B8" xr:uid="{38AD8ACA-9041-4A67-90A8-595ADA5EC3A6}">
      <formula1>DistrictDropDown</formula1>
    </dataValidation>
    <dataValidation type="list" allowBlank="1" showInputMessage="1" showErrorMessage="1" sqref="B7" xr:uid="{5459F70C-956E-4128-9FBD-AE319F3685CC}">
      <formula1>DueToType</formula1>
    </dataValidation>
  </dataValidations>
  <pageMargins left="0.7" right="0.7" top="0.75" bottom="0.75" header="0.3" footer="0.3"/>
  <pageSetup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12" id="{56D97246-64E6-4944-AD38-CC0F54B48A1F}">
            <xm:f>COUNTIFS(Validation!$H:$H,MID(CELL("filename",A2),FIND("]",CELL("filename",A2))+1,255)&amp;CELL("address",A2))&gt;0</xm:f>
            <x14:dxf>
              <font>
                <b/>
                <i val="0"/>
                <color rgb="FFC00000"/>
              </font>
              <numFmt numFmtId="172" formatCode="_(\!* #,##0_);_(\!* \(#,##0\);_(\!* \-??_);_(\!\ @_)"/>
            </x14:dxf>
          </x14:cfRule>
          <xm:sqref>A2</xm:sqref>
        </x14:conditionalFormatting>
        <x14:conditionalFormatting xmlns:xm="http://schemas.microsoft.com/office/excel/2006/main">
          <x14:cfRule type="expression" priority="10" id="{280C4FF1-7ACE-434D-B531-8232F2E9D8E5}">
            <xm:f>$B$7=Lists!$AH$3</xm:f>
            <x14:dxf>
              <fill>
                <patternFill>
                  <bgColor rgb="FFEAEAEA"/>
                </patternFill>
              </fill>
            </x14:dxf>
          </x14:cfRule>
          <xm:sqref>B8</xm:sqref>
        </x14:conditionalFormatting>
        <x14:conditionalFormatting xmlns:xm="http://schemas.microsoft.com/office/excel/2006/main">
          <x14:cfRule type="expression" priority="9" id="{8B304960-0A9E-45C7-8DEC-F35DCE78DAAE}">
            <xm:f>$B$7=Lists!$AH$2</xm:f>
            <x14:dxf>
              <fill>
                <patternFill>
                  <bgColor rgb="FFEAEAEA"/>
                </patternFill>
              </fill>
            </x14:dxf>
          </x14:cfRule>
          <xm:sqref>B9</xm:sqref>
        </x14:conditionalFormatting>
      </x14:conditionalFormatting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AA0CBF-71F2-4CDF-93FC-30CB527E8B6D}">
  <sheetPr>
    <tabColor rgb="FFEED382"/>
  </sheetPr>
  <dimension ref="A1:F50"/>
  <sheetViews>
    <sheetView showGridLines="0" workbookViewId="0">
      <selection activeCell="B7" sqref="B7"/>
    </sheetView>
  </sheetViews>
  <sheetFormatPr defaultRowHeight="15" x14ac:dyDescent="0.25"/>
  <cols>
    <col min="1" max="1" width="55.7109375" style="66" customWidth="1"/>
    <col min="2" max="3" width="22.7109375" style="66" customWidth="1"/>
    <col min="4" max="4" width="80.85546875" style="66" customWidth="1"/>
    <col min="5" max="5" width="14.7109375" style="66" customWidth="1"/>
    <col min="6" max="6" width="10.7109375" style="78" hidden="1" customWidth="1"/>
    <col min="7" max="16384" width="9.140625" style="66"/>
  </cols>
  <sheetData>
    <row r="1" spans="1:6" s="59" customFormat="1" ht="24.95" customHeight="1" x14ac:dyDescent="0.25">
      <c r="A1" s="59" t="str">
        <f>_xlfn.CONCAT("Office of the State Auditor  -  TIF Annual Reporting Form  -  ",Year_DestinationYearID)</f>
        <v>Office of the State Auditor  -  TIF Annual Reporting Form  -  2024</v>
      </c>
      <c r="F1" s="61"/>
    </row>
    <row r="2" spans="1:6" s="62" customFormat="1" ht="20.100000000000001" customHeight="1" x14ac:dyDescent="0.25">
      <c r="A2" s="58" t="str">
        <f>_xlfn.CONCAT(GovEntity_GovEntityName_Parent,"  -  ",GovEntity_GovEntityName)</f>
        <v>Spruce City  -  TIF 1-1 Downtown Redev</v>
      </c>
      <c r="F2" s="64"/>
    </row>
    <row r="3" spans="1:6" s="68" customFormat="1" ht="24.95" customHeight="1" x14ac:dyDescent="0.3">
      <c r="A3" s="65" t="s">
        <v>238</v>
      </c>
      <c r="B3" s="66"/>
      <c r="C3" s="66"/>
      <c r="F3" s="69"/>
    </row>
    <row r="4" spans="1:6" s="71" customFormat="1" x14ac:dyDescent="0.25">
      <c r="A4" s="217" t="s">
        <v>207</v>
      </c>
      <c r="B4" s="217"/>
      <c r="C4" s="217"/>
      <c r="D4" s="217"/>
      <c r="E4" s="217"/>
      <c r="F4" s="72" t="s">
        <v>119</v>
      </c>
    </row>
    <row r="5" spans="1:6" s="74" customFormat="1" ht="20.100000000000001" customHeight="1" x14ac:dyDescent="0.25">
      <c r="A5" s="73" t="str">
        <f>HYPERLINK("#'Loans'!B6","Click here to return to the Loans Tab")</f>
        <v>Click here to return to the Loans Tab</v>
      </c>
      <c r="D5" s="74" t="s">
        <v>121</v>
      </c>
      <c r="E5" s="74" t="s">
        <v>102</v>
      </c>
      <c r="F5" s="76"/>
    </row>
    <row r="6" spans="1:6" ht="20.100000000000001" customHeight="1" x14ac:dyDescent="0.25">
      <c r="A6" s="74" t="s">
        <v>239</v>
      </c>
      <c r="D6" s="77" t="str">
        <f ca="1">IFERROR(INDEX(Validation!G:G,MATCH("Loan 5"&amp;CELL("address",D6),Validation!I:I,0)),"")</f>
        <v/>
      </c>
      <c r="E6" s="66" t="str">
        <f ca="1">IFERROR(INDEX(Validation!F:F,MATCH("Loan 5"&amp;CELL("address",D6),Validation!I:I,0)),"")</f>
        <v/>
      </c>
      <c r="F6" s="78" t="s">
        <v>875</v>
      </c>
    </row>
    <row r="7" spans="1:6" x14ac:dyDescent="0.25">
      <c r="A7" s="79" t="s">
        <v>761</v>
      </c>
      <c r="B7" s="103" t="str">
        <f>IF(AND(NOT(ISBLANK('Loan Input'!G5)),OR('Loan Input'!G$5=Lists!$AG$2,'Loan Input'!G$5=Lists!$AG$3)),_xlfn.XLOOKUP('Loan Input'!G5,Lists!AG2:AG5,Lists!AH2:AH5),Lists!$AH$1)</f>
        <v>Select One</v>
      </c>
      <c r="C7" s="128"/>
      <c r="D7" s="77" t="str">
        <f ca="1">IFERROR(INDEX(Validation!G:G,MATCH("Loan 5"&amp;CELL("address",D7),Validation!I:I,0)),"")</f>
        <v/>
      </c>
      <c r="E7" s="66" t="str">
        <f ca="1">IFERROR(INDEX(Validation!F:F,MATCH("Loan 5"&amp;CELL("address",D7),Validation!I:I,0)),"")</f>
        <v/>
      </c>
      <c r="F7" s="85" t="str">
        <f>IF(NOT(ISBLANK('Loan Input'!G4)),'Loan Input'!G4,"")</f>
        <v/>
      </c>
    </row>
    <row r="8" spans="1:6" x14ac:dyDescent="0.25">
      <c r="A8" s="79" t="s">
        <v>769</v>
      </c>
      <c r="B8" s="103" t="str">
        <f>IF(AND(NOT(ISBLANK('Loan Input'!G6)),'Loan Input'!G$5=Lists!$AG$2),'Loan Input'!G6,Lists!$AJ$1)</f>
        <v>Select One</v>
      </c>
      <c r="C8" s="128"/>
      <c r="D8" s="77" t="str">
        <f ca="1">IFERROR(INDEX(Validation!G:G,MATCH("Loan 5"&amp;CELL("address",D8),Validation!I:I,0)),"")</f>
        <v/>
      </c>
      <c r="E8" s="66" t="str">
        <f ca="1">IFERROR(INDEX(Validation!F:F,MATCH("Loan 5"&amp;CELL("address",D8),Validation!I:I,0)),"")</f>
        <v/>
      </c>
    </row>
    <row r="9" spans="1:6" x14ac:dyDescent="0.25">
      <c r="A9" s="79" t="s">
        <v>770</v>
      </c>
      <c r="B9" s="103" t="str">
        <f>IF(AND(NOT(ISBLANK('Loan Input'!G7)),'Loan Input'!G$5=Lists!$AG$3),'Loan Input'!G7,"")</f>
        <v/>
      </c>
      <c r="C9" s="128"/>
      <c r="D9" s="77" t="str">
        <f ca="1">IFERROR(INDEX(Validation!G:G,MATCH("Loan 5"&amp;CELL("address",D9),Validation!I:I,0)),"")</f>
        <v/>
      </c>
      <c r="E9" s="66" t="str">
        <f ca="1">IFERROR(INDEX(Validation!F:F,MATCH("Loan 5"&amp;CELL("address",D9),Validation!I:I,0)),"")</f>
        <v/>
      </c>
    </row>
    <row r="10" spans="1:6" x14ac:dyDescent="0.25">
      <c r="A10" s="79" t="s">
        <v>931</v>
      </c>
      <c r="B10" s="120" t="str">
        <f>IF(AND(NOT(ISBLANK('Loan Input'!G8)),OR('Loan Input'!G$5=Lists!$AG$2,'Loan Input'!G$5=Lists!$AG$3)),'Loan Input'!G8,"")</f>
        <v/>
      </c>
      <c r="C10" s="128"/>
      <c r="D10" s="77" t="str">
        <f ca="1">IFERROR(INDEX(Validation!G:G,MATCH("Loan 5"&amp;CELL("address",D10),Validation!I:I,0)),"")</f>
        <v/>
      </c>
      <c r="E10" s="66" t="str">
        <f ca="1">IFERROR(INDEX(Validation!F:F,MATCH("Loan 5"&amp;CELL("address",D10),Validation!I:I,0)),"")</f>
        <v/>
      </c>
    </row>
    <row r="11" spans="1:6" x14ac:dyDescent="0.25">
      <c r="A11" s="79" t="s">
        <v>212</v>
      </c>
      <c r="B11" s="120" t="str">
        <f>IF(AND(NOT(ISBLANK('Loan Input'!G9)),OR('Loan Input'!G$5=Lists!$AG$2,'Loan Input'!G$5=Lists!$AG$3)),'Loan Input'!G9,"")</f>
        <v/>
      </c>
      <c r="C11" s="128"/>
      <c r="D11" s="77" t="str">
        <f ca="1">IFERROR(INDEX(Validation!G:G,MATCH("Loan 5"&amp;CELL("address",D11),Validation!I:I,0)),"")</f>
        <v/>
      </c>
      <c r="E11" s="66" t="str">
        <f ca="1">IFERROR(INDEX(Validation!F:F,MATCH("Loan 5"&amp;CELL("address",D11),Validation!I:I,0)),"")</f>
        <v/>
      </c>
    </row>
    <row r="12" spans="1:6" x14ac:dyDescent="0.25">
      <c r="A12" s="79" t="s">
        <v>213</v>
      </c>
      <c r="B12" s="121" t="str">
        <f>IF(AND(NOT(ISBLANK('Loan Input'!G10)),OR('Loan Input'!G$5=Lists!$AG$2,'Loan Input'!G$5=Lists!$AG$3)),'Loan Input'!G10,"")</f>
        <v/>
      </c>
      <c r="C12" s="128"/>
      <c r="D12" s="77" t="str">
        <f ca="1">IFERROR(INDEX(Validation!G:G,MATCH("Loan 5"&amp;CELL("address",D12),Validation!I:I,0)),"")</f>
        <v/>
      </c>
      <c r="E12" s="66" t="str">
        <f ca="1">IFERROR(INDEX(Validation!F:F,MATCH("Loan 5"&amp;CELL("address",D12),Validation!I:I,0)),"")</f>
        <v/>
      </c>
    </row>
    <row r="13" spans="1:6" x14ac:dyDescent="0.25">
      <c r="A13" s="79" t="s">
        <v>214</v>
      </c>
      <c r="B13" s="121" t="str">
        <f>IF(AND(NOT(ISBLANK('Loan Input'!G11)),OR('Loan Input'!G$5=Lists!$AG$2,'Loan Input'!G$5=Lists!$AG$3)),'Loan Input'!G11,"")</f>
        <v/>
      </c>
      <c r="C13" s="128"/>
      <c r="D13" s="77" t="str">
        <f ca="1">IFERROR(INDEX(Validation!G:G,MATCH("Loan 5"&amp;CELL("address",D13),Validation!I:I,0)),"")</f>
        <v/>
      </c>
      <c r="E13" s="66" t="str">
        <f ca="1">IFERROR(INDEX(Validation!F:F,MATCH("Loan 5"&amp;CELL("address",D13),Validation!I:I,0)),"")</f>
        <v/>
      </c>
    </row>
    <row r="14" spans="1:6" x14ac:dyDescent="0.25">
      <c r="A14" s="79" t="s">
        <v>241</v>
      </c>
      <c r="B14" s="120" t="str">
        <f>IF(AND(NOT(ISBLANK('Loan Input'!G12)),OR('Loan Input'!G$5=Lists!$AG$2,'Loan Input'!G$5=Lists!$AG$3)),'Loan Input'!G12,Lists!$AM$1)</f>
        <v>Select One</v>
      </c>
      <c r="C14" s="129"/>
      <c r="D14" s="77" t="str">
        <f ca="1">IFERROR(INDEX(Validation!G:G,MATCH("Loan 5"&amp;CELL("address",D14),Validation!I:I,0)),"")</f>
        <v/>
      </c>
      <c r="E14" s="66" t="str">
        <f ca="1">IFERROR(INDEX(Validation!F:F,MATCH("Loan 5"&amp;CELL("address",D14),Validation!I:I,0)),"")</f>
        <v/>
      </c>
    </row>
    <row r="15" spans="1:6" x14ac:dyDescent="0.25">
      <c r="A15" s="79" t="s">
        <v>242</v>
      </c>
      <c r="B15" s="122" t="str">
        <f>IF(AND(NOT(ISBLANK('Loan Input'!G13)),OR('Loan Input'!G$5=Lists!$AG$2,'Loan Input'!G$5=Lists!$AG$3)),'Loan Input'!G13,"")</f>
        <v/>
      </c>
      <c r="C15" s="128"/>
      <c r="D15" s="77" t="str">
        <f ca="1">IFERROR(INDEX(Validation!G:G,MATCH("Loan 5"&amp;CELL("address",D15),Validation!I:I,0)),"")</f>
        <v/>
      </c>
      <c r="E15" s="66" t="str">
        <f ca="1">IFERROR(INDEX(Validation!F:F,MATCH("Loan 5"&amp;CELL("address",D15),Validation!I:I,0)),"")</f>
        <v/>
      </c>
    </row>
    <row r="16" spans="1:6" x14ac:dyDescent="0.25">
      <c r="A16" s="79" t="s">
        <v>232</v>
      </c>
      <c r="B16" s="103" t="str">
        <f>IF(OR('Loan Input'!G14="",'Loan Input'!G14=0),"Select One",IF('Loan Input'!G14=TRUE,"Yes","No"))</f>
        <v>Select One</v>
      </c>
      <c r="C16" s="128"/>
      <c r="D16" s="77" t="str">
        <f ca="1">IFERROR(INDEX(Validation!G:G,MATCH("Loan 5"&amp;CELL("address",D16),Validation!I:I,0)),"")</f>
        <v/>
      </c>
      <c r="E16" s="66" t="str">
        <f ca="1">IFERROR(INDEX(Validation!F:F,MATCH("Loan 5"&amp;CELL("address",D16),Validation!I:I,0)),"")</f>
        <v/>
      </c>
    </row>
    <row r="17" spans="1:5" x14ac:dyDescent="0.25">
      <c r="A17" s="79" t="str">
        <f>"Were the terms of this obligation modified in "&amp;Year_DestinationYearID&amp;"?"</f>
        <v>Were the terms of this obligation modified in 2024?</v>
      </c>
      <c r="B17" s="103" t="s">
        <v>41</v>
      </c>
      <c r="C17" s="128"/>
      <c r="D17" s="77" t="str">
        <f ca="1">IFERROR(INDEX(Validation!G:G,MATCH("Loan 5"&amp;CELL("address",D17),Validation!I:I,0)),"")</f>
        <v/>
      </c>
      <c r="E17" s="66" t="str">
        <f ca="1">IFERROR(INDEX(Validation!F:F,MATCH("Loan 5"&amp;CELL("address",D17),Validation!I:I,0)),"")</f>
        <v/>
      </c>
    </row>
    <row r="18" spans="1:5" ht="20.100000000000001" customHeight="1" x14ac:dyDescent="0.25">
      <c r="A18" s="74" t="s">
        <v>1183</v>
      </c>
      <c r="B18" s="74" t="s">
        <v>283</v>
      </c>
      <c r="C18" s="74" t="str">
        <f>Year_DestinationYearID&amp;" Amount"</f>
        <v>2024 Amount</v>
      </c>
      <c r="D18" s="77" t="str">
        <f ca="1">IFERROR(INDEX(Validation!G:G,MATCH("Loan 5"&amp;CELL("address",D18),Validation!I:I,0)),"")</f>
        <v/>
      </c>
      <c r="E18" s="66" t="str">
        <f ca="1">IFERROR(INDEX(Validation!F:F,MATCH("Loan 5"&amp;CELL("address",D18),Validation!I:I,0)),"")</f>
        <v/>
      </c>
    </row>
    <row r="19" spans="1:5" x14ac:dyDescent="0.25">
      <c r="A19" s="79" t="s">
        <v>266</v>
      </c>
      <c r="B19" s="122" t="str">
        <f>IF(AND(NOT(ISBLANK('Loan Input'!G16)),OR('Loan Input'!G$5=Lists!$AG$2,'Loan Input'!G$5=Lists!$AG$3)),'Loan Input'!G16,"")</f>
        <v/>
      </c>
      <c r="C19" s="103"/>
      <c r="D19" s="77" t="str">
        <f ca="1">IFERROR(INDEX(Validation!G:G,MATCH("Loan 5"&amp;CELL("address",D19),Validation!I:I,0)),"")</f>
        <v/>
      </c>
      <c r="E19" s="66" t="str">
        <f ca="1">IFERROR(INDEX(Validation!F:F,MATCH("Loan 5"&amp;CELL("address",D19),Validation!I:I,0)),"")</f>
        <v/>
      </c>
    </row>
    <row r="20" spans="1:5" x14ac:dyDescent="0.25">
      <c r="A20" s="79" t="s">
        <v>267</v>
      </c>
      <c r="B20" s="122" t="str">
        <f>IF(AND(NOT(ISBLANK('Loan Input'!G18)),OR('Loan Input'!G$5=Lists!$AG$2,'Loan Input'!G$5=Lists!$AG$3)),'Loan Input'!G18,"")</f>
        <v/>
      </c>
      <c r="C20" s="103"/>
      <c r="D20" s="77" t="str">
        <f ca="1">IFERROR(INDEX(Validation!G:G,MATCH("Loan 5"&amp;CELL("address",D20),Validation!I:I,0)),"")</f>
        <v/>
      </c>
      <c r="E20" s="66" t="str">
        <f ca="1">IFERROR(INDEX(Validation!F:F,MATCH("Loan 5"&amp;CELL("address",D20),Validation!I:I,0)),"")</f>
        <v/>
      </c>
    </row>
    <row r="21" spans="1:5" x14ac:dyDescent="0.25">
      <c r="A21" s="79" t="s">
        <v>268</v>
      </c>
      <c r="B21" s="122" t="str">
        <f>IF(AND(NOT(ISBLANK('Loan Input'!G20)),OR('Loan Input'!G$5=Lists!$AG$2,'Loan Input'!G$5=Lists!$AG$3)),'Loan Input'!G20,"")</f>
        <v/>
      </c>
      <c r="C21" s="103"/>
      <c r="D21" s="77" t="str">
        <f ca="1">IFERROR(INDEX(Validation!G:G,MATCH("Loan 5"&amp;CELL("address",D21),Validation!I:I,0)),"")</f>
        <v/>
      </c>
      <c r="E21" s="66" t="str">
        <f ca="1">IFERROR(INDEX(Validation!F:F,MATCH("Loan 5"&amp;CELL("address",D21),Validation!I:I,0)),"")</f>
        <v/>
      </c>
    </row>
    <row r="22" spans="1:5" x14ac:dyDescent="0.25">
      <c r="A22" s="79" t="s">
        <v>269</v>
      </c>
      <c r="B22" s="122" t="str">
        <f>IF(AND(NOT(ISBLANK('Loan Input'!G22)),OR('Loan Input'!G$5=Lists!$AG$2,'Loan Input'!G$5=Lists!$AG$3)),'Loan Input'!G22,"")</f>
        <v/>
      </c>
      <c r="C22" s="103"/>
      <c r="D22" s="77" t="str">
        <f ca="1">IFERROR(INDEX(Validation!G:G,MATCH("Loan 5"&amp;CELL("address",D22),Validation!I:I,0)),"")</f>
        <v/>
      </c>
      <c r="E22" s="66" t="str">
        <f ca="1">IFERROR(INDEX(Validation!F:F,MATCH("Loan 5"&amp;CELL("address",D22),Validation!I:I,0)),"")</f>
        <v/>
      </c>
    </row>
    <row r="23" spans="1:5" x14ac:dyDescent="0.25">
      <c r="A23" s="79" t="s">
        <v>1101</v>
      </c>
      <c r="B23" s="122" t="str">
        <f>IF(AND(NOT(ISBLANK('Loan Input'!G24)),OR('Loan Input'!G$5=Lists!$AG$2,'Loan Input'!G$5=Lists!$AG$3)),'Loan Input'!G24,"")</f>
        <v/>
      </c>
      <c r="C23" s="103"/>
      <c r="D23" s="77" t="str">
        <f ca="1">IFERROR(INDEX(Validation!G:G,MATCH("Loan 5"&amp;CELL("address",D23),Validation!I:I,0)),"")</f>
        <v/>
      </c>
      <c r="E23" s="66" t="str">
        <f ca="1">IFERROR(INDEX(Validation!F:F,MATCH("Loan 5"&amp;CELL("address",D23),Validation!I:I,0)),"")</f>
        <v/>
      </c>
    </row>
    <row r="24" spans="1:5" x14ac:dyDescent="0.25">
      <c r="A24" s="79" t="s">
        <v>270</v>
      </c>
      <c r="B24" s="122" t="str">
        <f>IF(AND(NOT(ISBLANK('Loan Input'!G26)),OR('Loan Input'!G$5=Lists!$AG$2,'Loan Input'!G$5=Lists!$AG$3)),'Loan Input'!G26,"")</f>
        <v/>
      </c>
      <c r="C24" s="103"/>
      <c r="D24" s="77" t="str">
        <f ca="1">IFERROR(INDEX(Validation!G:G,MATCH("Loan 5"&amp;CELL("address",D24),Validation!I:I,0)),"")</f>
        <v/>
      </c>
      <c r="E24" s="66" t="str">
        <f ca="1">IFERROR(INDEX(Validation!F:F,MATCH("Loan 5"&amp;CELL("address",D24),Validation!I:I,0)),"")</f>
        <v/>
      </c>
    </row>
    <row r="25" spans="1:5" x14ac:dyDescent="0.25">
      <c r="A25" s="79" t="s">
        <v>271</v>
      </c>
      <c r="B25" s="122" t="str">
        <f>IF(AND(NOT(ISBLANK('Loan Input'!G28)),OR('Loan Input'!G$5=Lists!$AG$2,'Loan Input'!G$5=Lists!$AG$3)),'Loan Input'!G28,"")</f>
        <v/>
      </c>
      <c r="C25" s="103"/>
      <c r="D25" s="77" t="str">
        <f ca="1">IFERROR(INDEX(Validation!G:G,MATCH("Loan 5"&amp;CELL("address",D25),Validation!I:I,0)),"")</f>
        <v/>
      </c>
      <c r="E25" s="66" t="str">
        <f ca="1">IFERROR(INDEX(Validation!F:F,MATCH("Loan 5"&amp;CELL("address",D25),Validation!I:I,0)),"")</f>
        <v/>
      </c>
    </row>
    <row r="26" spans="1:5" x14ac:dyDescent="0.25">
      <c r="A26" s="79" t="s">
        <v>276</v>
      </c>
      <c r="B26" s="122" t="str">
        <f>IF(AND(NOT(ISBLANK('Loan Input'!G30)),OR('Loan Input'!C$5=Lists!$AG$2,'Loan Input'!C$5=Lists!$AG$3)),'Loan Input'!G30,"")</f>
        <v/>
      </c>
      <c r="C26" s="103"/>
      <c r="D26" s="77" t="str">
        <f ca="1">IFERROR(INDEX(Validation!G:G,MATCH("Loan 5"&amp;CELL("address",D26),Validation!I:I,0)),"")</f>
        <v/>
      </c>
      <c r="E26" s="66" t="str">
        <f ca="1">IFERROR(INDEX(Validation!F:F,MATCH("Loan 5"&amp;CELL("address",D26),Validation!I:I,0)),"")</f>
        <v/>
      </c>
    </row>
    <row r="27" spans="1:5" x14ac:dyDescent="0.25">
      <c r="A27" s="79" t="s">
        <v>272</v>
      </c>
      <c r="B27" s="122" t="str">
        <f>IF(AND(NOT(ISBLANK('Loan Input'!G32)),OR('Loan Input'!G$5=Lists!$AG$2,'Loan Input'!G$5=Lists!$AG$3)),'Loan Input'!G32,"")</f>
        <v/>
      </c>
      <c r="C27" s="103"/>
      <c r="D27" s="77" t="str">
        <f ca="1">IFERROR(INDEX(Validation!G:G,MATCH("Loan 5"&amp;CELL("address",D27),Validation!I:I,0)),"")</f>
        <v/>
      </c>
      <c r="E27" s="66" t="str">
        <f ca="1">IFERROR(INDEX(Validation!F:F,MATCH("Loan 5"&amp;CELL("address",D27),Validation!I:I,0)),"")</f>
        <v/>
      </c>
    </row>
    <row r="28" spans="1:5" x14ac:dyDescent="0.25">
      <c r="A28" s="79" t="s">
        <v>273</v>
      </c>
      <c r="B28" s="122" t="str">
        <f>IF(AND(NOT(ISBLANK('Loan Input'!G34)),OR('Loan Input'!G$5=Lists!$AG$2,'Loan Input'!G$5=Lists!$AG$3)),'Loan Input'!G34,"")</f>
        <v/>
      </c>
      <c r="C28" s="103"/>
      <c r="D28" s="77" t="str">
        <f ca="1">IFERROR(INDEX(Validation!G:G,MATCH("Loan 5"&amp;CELL("address",D28),Validation!I:I,0)),"")</f>
        <v/>
      </c>
      <c r="E28" s="66" t="str">
        <f ca="1">IFERROR(INDEX(Validation!F:F,MATCH("Loan 5"&amp;CELL("address",D28),Validation!I:I,0)),"")</f>
        <v/>
      </c>
    </row>
    <row r="29" spans="1:5" x14ac:dyDescent="0.25">
      <c r="A29" s="130" t="s">
        <v>1184</v>
      </c>
      <c r="B29" s="125">
        <f>SUM(B19:B28)</f>
        <v>0</v>
      </c>
      <c r="C29" s="125">
        <f>SUM(C19:C28)</f>
        <v>0</v>
      </c>
      <c r="D29" s="77" t="str">
        <f ca="1">IFERROR(INDEX(Validation!G:G,MATCH("Loan 5"&amp;CELL("address",D29),Validation!I:I,0)),"")</f>
        <v/>
      </c>
      <c r="E29" s="66" t="str">
        <f ca="1">IFERROR(INDEX(Validation!F:F,MATCH("Loan 5"&amp;CELL("address",D29),Validation!I:I,0)),"")</f>
        <v/>
      </c>
    </row>
    <row r="30" spans="1:5" x14ac:dyDescent="0.25">
      <c r="A30" s="130" t="s">
        <v>1185</v>
      </c>
      <c r="B30" s="125" t="str">
        <f>IFERROR(B34-B29,"")</f>
        <v/>
      </c>
      <c r="C30" s="125" t="str">
        <f>IFERROR(B34+C34-B29-C29,"")</f>
        <v/>
      </c>
      <c r="D30" s="77" t="str">
        <f ca="1">IFERROR(INDEX(Validation!G:G,MATCH("Loan 5"&amp;CELL("address",D30),Validation!I:I,0)),"")</f>
        <v/>
      </c>
      <c r="E30" s="66" t="str">
        <f ca="1">IFERROR(INDEX(Validation!F:F,MATCH("Loan 5"&amp;CELL("address",D30),Validation!I:I,0)),"")</f>
        <v/>
      </c>
    </row>
    <row r="31" spans="1:5" x14ac:dyDescent="0.25">
      <c r="A31" s="131" t="s">
        <v>1186</v>
      </c>
      <c r="B31" s="122" t="str">
        <f>IF(AND(NOT(ISBLANK('Loan Input'!G41)),OR('Loan Input'!G$5=Lists!$AG$2,'Loan Input'!G$5=Lists!$AG$3)),'Loan Input'!G41,"")</f>
        <v/>
      </c>
      <c r="C31" s="103"/>
      <c r="D31" s="77" t="str">
        <f ca="1">IFERROR(INDEX(Validation!G:G,MATCH("Loan 5"&amp;CELL("address",D31),Validation!I:I,0)),"")</f>
        <v/>
      </c>
      <c r="E31" s="66" t="str">
        <f ca="1">IFERROR(INDEX(Validation!F:F,MATCH("Loan 5"&amp;CELL("address",D31),Validation!I:I,0)),"")</f>
        <v/>
      </c>
    </row>
    <row r="32" spans="1:5" x14ac:dyDescent="0.25">
      <c r="A32" s="131" t="s">
        <v>1187</v>
      </c>
      <c r="B32" s="122" t="str">
        <f>IF(AND(NOT(ISBLANK('Loan Input'!G43)),OR('Loan Input'!G$5=Lists!$AG$2,'Loan Input'!G$5=Lists!$AG$3)),'Loan Input'!G43,"")</f>
        <v/>
      </c>
      <c r="C32" s="103"/>
      <c r="D32" s="77" t="str">
        <f ca="1">IFERROR(INDEX(Validation!G:G,MATCH("Loan 5"&amp;CELL("address",D32),Validation!I:I,0)),"")</f>
        <v/>
      </c>
      <c r="E32" s="66" t="str">
        <f ca="1">IFERROR(INDEX(Validation!F:F,MATCH("Loan 5"&amp;CELL("address",D32),Validation!I:I,0)),"")</f>
        <v/>
      </c>
    </row>
    <row r="33" spans="1:6" ht="20.100000000000001" customHeight="1" x14ac:dyDescent="0.25">
      <c r="A33" s="74" t="s">
        <v>754</v>
      </c>
      <c r="B33" s="74" t="s">
        <v>283</v>
      </c>
      <c r="C33" s="74" t="str">
        <f>Year_DestinationYearID&amp;" Amount"</f>
        <v>2024 Amount</v>
      </c>
      <c r="D33" s="77" t="str">
        <f ca="1">IFERROR(INDEX(Validation!G:G,MATCH("Loan 5"&amp;CELL("address",D33),Validation!I:I,0)),"")</f>
        <v/>
      </c>
      <c r="E33" s="66" t="str">
        <f ca="1">IFERROR(INDEX(Validation!F:F,MATCH("Loan 5"&amp;CELL("address",D33),Validation!I:I,0)),"")</f>
        <v/>
      </c>
    </row>
    <row r="34" spans="1:6" x14ac:dyDescent="0.25">
      <c r="A34" s="79" t="s">
        <v>1350</v>
      </c>
      <c r="B34" s="122" t="str">
        <f>IF(AND(NOT(ISBLANK('Loan Input'!G44)),OR('Loan Input'!G$5=Lists!$AG$2,'Loan Input'!G$5=Lists!$AG$3)),'Loan Input'!G44,"")</f>
        <v/>
      </c>
      <c r="C34" s="122"/>
      <c r="D34" s="77" t="str">
        <f ca="1">IFERROR(INDEX(Validation!G:G,MATCH("Loan 5"&amp;CELL("address",D34),Validation!I:I,0)),"")</f>
        <v/>
      </c>
      <c r="E34" s="66" t="str">
        <f ca="1">IFERROR(INDEX(Validation!F:F,MATCH("Loan 5"&amp;CELL("address",D34),Validation!I:I,0)),"")</f>
        <v/>
      </c>
    </row>
    <row r="35" spans="1:6" x14ac:dyDescent="0.25">
      <c r="A35" s="79" t="s">
        <v>1188</v>
      </c>
      <c r="B35" s="122" t="str">
        <f>IF(AND(NOT(ISBLANK('Loan Input'!G47)),OR('Loan Input'!G$5=Lists!$AG$2,'Loan Input'!G$5=Lists!$AG$3)),'Loan Input'!G47,"")</f>
        <v/>
      </c>
      <c r="C35" s="122"/>
      <c r="D35" s="77" t="str">
        <f ca="1">IFERROR(INDEX(Validation!G:G,MATCH("Loan 5"&amp;CELL("address",D35),Validation!I:I,0)),"")</f>
        <v/>
      </c>
      <c r="E35" s="66" t="str">
        <f ca="1">IFERROR(INDEX(Validation!F:F,MATCH("Loan 5"&amp;CELL("address",D35),Validation!I:I,0)),"")</f>
        <v/>
      </c>
    </row>
    <row r="36" spans="1:6" x14ac:dyDescent="0.25">
      <c r="A36" s="79" t="s">
        <v>1189</v>
      </c>
      <c r="B36" s="122" t="str">
        <f>IF(AND(NOT(ISBLANK('Loan Input'!G49)),OR('Loan Input'!G$5=Lists!$AG$2,'Loan Input'!G$5=Lists!$AG$3)),'Loan Input'!G49,"")</f>
        <v/>
      </c>
      <c r="C36" s="122"/>
      <c r="D36" s="77" t="str">
        <f ca="1">IFERROR(INDEX(Validation!G:G,MATCH("Loan 5"&amp;CELL("address",D36),Validation!I:I,0)),"")</f>
        <v/>
      </c>
      <c r="E36" s="66" t="str">
        <f ca="1">IFERROR(INDEX(Validation!F:F,MATCH("Loan 5"&amp;CELL("address",D36),Validation!I:I,0)),"")</f>
        <v/>
      </c>
    </row>
    <row r="37" spans="1:6" x14ac:dyDescent="0.25">
      <c r="A37" s="79" t="s">
        <v>1190</v>
      </c>
      <c r="B37" s="122" t="str">
        <f>IF(AND(NOT(ISBLANK('Loan Input'!G51)),OR('Loan Input'!G$5=Lists!$AG$2,'Loan Input'!G$5=Lists!$AG$3)),'Loan Input'!G51,"")</f>
        <v/>
      </c>
      <c r="C37" s="122"/>
      <c r="D37" s="77" t="str">
        <f ca="1">IFERROR(INDEX(Validation!G:G,MATCH("Loan 5"&amp;CELL("address",D37),Validation!I:I,0)),"")</f>
        <v/>
      </c>
      <c r="E37" s="66" t="str">
        <f ca="1">IFERROR(INDEX(Validation!F:F,MATCH("Loan 5"&amp;CELL("address",D37),Validation!I:I,0)),"")</f>
        <v/>
      </c>
    </row>
    <row r="38" spans="1:6" x14ac:dyDescent="0.25">
      <c r="A38" s="79" t="s">
        <v>221</v>
      </c>
      <c r="B38" s="125" t="str">
        <f>IFERROR(B34-B35-B36+B37,"")</f>
        <v/>
      </c>
      <c r="C38" s="125" t="str">
        <f>IFERROR(B34+C34-B35-B36-C35-C36+B37+C37,"")</f>
        <v/>
      </c>
      <c r="D38" s="77" t="str">
        <f ca="1">IFERROR(INDEX(Validation!G:G,MATCH("Loan 5"&amp;CELL("address",D38),Validation!I:I,0)),"")</f>
        <v/>
      </c>
      <c r="E38" s="66" t="str">
        <f ca="1">IFERROR(INDEX(Validation!F:F,MATCH("Loan 5"&amp;CELL("address",D38),Validation!I:I,0)),"")</f>
        <v/>
      </c>
      <c r="F38" s="126"/>
    </row>
    <row r="39" spans="1:6" x14ac:dyDescent="0.25">
      <c r="A39" s="79" t="s">
        <v>223</v>
      </c>
      <c r="B39" s="122" t="str">
        <f>IF(AND(NOT(ISBLANK('Loan Input'!G55)),OR('Loan Input'!G$5=Lists!$AG$2,'Loan Input'!G$5=Lists!$AG$3)),'Loan Input'!G55,"")</f>
        <v/>
      </c>
      <c r="C39" s="122"/>
      <c r="D39" s="77" t="str">
        <f ca="1">IFERROR(INDEX(Validation!G:G,MATCH("Loan 5"&amp;CELL("address",D39),Validation!I:I,0)),"")</f>
        <v/>
      </c>
      <c r="E39" s="66" t="str">
        <f ca="1">IFERROR(INDEX(Validation!F:F,MATCH("Loan 5"&amp;CELL("address",D39),Validation!I:I,0)),"")</f>
        <v/>
      </c>
    </row>
    <row r="40" spans="1:6" x14ac:dyDescent="0.25">
      <c r="A40" s="79" t="s">
        <v>1191</v>
      </c>
      <c r="B40" s="122" t="str">
        <f>IF(AND(NOT(ISBLANK('Loan Input'!G57)),OR('Loan Input'!G$5=Lists!$AG$2,'Loan Input'!G$5=Lists!$AG$3)),'Loan Input'!G57,"")</f>
        <v/>
      </c>
      <c r="C40" s="122"/>
      <c r="D40" s="77" t="str">
        <f ca="1">IFERROR(INDEX(Validation!G:G,MATCH("Loan 5"&amp;CELL("address",D40),Validation!I:I,0)),"")</f>
        <v/>
      </c>
      <c r="E40" s="66" t="str">
        <f ca="1">IFERROR(INDEX(Validation!F:F,MATCH("Loan 5"&amp;CELL("address",D40),Validation!I:I,0)),"")</f>
        <v/>
      </c>
    </row>
    <row r="41" spans="1:6" x14ac:dyDescent="0.25">
      <c r="A41" s="79" t="s">
        <v>1192</v>
      </c>
      <c r="B41" s="122" t="str">
        <f>IF(AND(NOT(ISBLANK('Loan Input'!G59)),OR('Loan Input'!G$5=Lists!$AG$2,'Loan Input'!G$5=Lists!$AG$3)),'Loan Input'!G59,"")</f>
        <v/>
      </c>
      <c r="C41" s="122"/>
      <c r="D41" s="77" t="str">
        <f ca="1">IFERROR(INDEX(Validation!G:G,MATCH("Loan 5"&amp;CELL("address",D41),Validation!I:I,0)),"")</f>
        <v/>
      </c>
      <c r="E41" s="66" t="str">
        <f ca="1">IFERROR(INDEX(Validation!F:F,MATCH("Loan 5"&amp;CELL("address",D41),Validation!I:I,0)),"")</f>
        <v/>
      </c>
    </row>
    <row r="42" spans="1:6" ht="20.100000000000001" customHeight="1" x14ac:dyDescent="0.25">
      <c r="A42" s="74" t="str">
        <f>"Principal and Interest Due in "&amp;Year_DestinationYearID+1</f>
        <v>Principal and Interest Due in 2025</v>
      </c>
      <c r="B42" s="74"/>
      <c r="C42" s="74"/>
    </row>
    <row r="43" spans="1:6" x14ac:dyDescent="0.25">
      <c r="A43" s="79" t="str">
        <f>"Principal Due in "&amp;Year_DestinationYearID+1</f>
        <v>Principal Due in 2025</v>
      </c>
      <c r="B43" s="122"/>
      <c r="C43" s="128"/>
      <c r="D43" s="77" t="str">
        <f ca="1">IFERROR(INDEX(Validation!G:G,MATCH("Loan 5"&amp;CELL("address",D43),Validation!I:I,0)),"")</f>
        <v/>
      </c>
      <c r="E43" s="66" t="str">
        <f ca="1">IFERROR(INDEX(Validation!F:F,MATCH("Loan 5"&amp;CELL("address",D43),Validation!I:I,0)),"")</f>
        <v/>
      </c>
    </row>
    <row r="44" spans="1:6" x14ac:dyDescent="0.25">
      <c r="A44" s="79" t="str">
        <f>"Interest Due in "&amp;Year_DestinationYearID+1</f>
        <v>Interest Due in 2025</v>
      </c>
      <c r="B44" s="122"/>
      <c r="C44" s="128"/>
      <c r="D44" s="77" t="str">
        <f ca="1">IFERROR(INDEX(Validation!G:G,MATCH("Loan 5"&amp;CELL("address",D44),Validation!I:I,0)),"")</f>
        <v/>
      </c>
      <c r="E44" s="66" t="str">
        <f ca="1">IFERROR(INDEX(Validation!F:F,MATCH("Loan 5"&amp;CELL("address",D44),Validation!I:I,0)),"")</f>
        <v/>
      </c>
    </row>
    <row r="45" spans="1:6" ht="20.100000000000001" customHeight="1" x14ac:dyDescent="0.25">
      <c r="A45" s="97" t="s">
        <v>176</v>
      </c>
      <c r="D45" s="77" t="str">
        <f ca="1">IF(AND(ISBLANK(A46),OR(COUNTIF(E6:E44,"Alert")&gt;0,SUM(B37:B37)&lt;&gt;0)),"Comment(s) required for remaining alert(s) and/or additions to principal.",IFERROR(INDEX(Validation!G:G,MATCH("Loan 5"&amp;CELL("address",D45),Validation!I:I,0)),""))</f>
        <v/>
      </c>
      <c r="E45" s="66" t="str">
        <f ca="1">IF(AND(ISBLANK(A46),OR(COUNTIF(E6:E44,"Alert")&gt;0,SUM(B37:B37)&lt;&gt;0)),"Error",IFERROR(INDEX(Validation!F:F,MATCH("Loan 5"&amp;CELL("address",D45),Validation!I:I,0)),""))</f>
        <v/>
      </c>
    </row>
    <row r="46" spans="1:6" ht="150" customHeight="1" x14ac:dyDescent="0.25">
      <c r="A46" s="123"/>
      <c r="B46" s="100" t="str">
        <f>HYPERLINK("#'Loans'!B6","Click here to return to the Loans Tab")</f>
        <v>Click here to return to the Loans Tab</v>
      </c>
      <c r="C46" s="127"/>
    </row>
    <row r="47" spans="1:6" x14ac:dyDescent="0.25">
      <c r="A47" s="98"/>
      <c r="B47" s="98"/>
      <c r="C47" s="98"/>
    </row>
    <row r="48" spans="1:6" x14ac:dyDescent="0.25">
      <c r="A48" s="98"/>
      <c r="B48" s="98"/>
      <c r="C48" s="98"/>
    </row>
    <row r="49" spans="1:3" x14ac:dyDescent="0.25">
      <c r="A49" s="98"/>
      <c r="B49" s="98"/>
      <c r="C49" s="98"/>
    </row>
    <row r="50" spans="1:3" x14ac:dyDescent="0.25">
      <c r="A50" s="98"/>
      <c r="B50" s="98"/>
      <c r="C50" s="98"/>
    </row>
  </sheetData>
  <sheetProtection algorithmName="SHA-512" hashValue="smR0gZ1f+YujoR83ZxCLNul0coN0tWPxPVfLcSFzU+58umqfXYvFIhlttdyXpbcaBslj5ehNSJx1+9QtiEzA1Q==" saltValue="PpzjW9/L/41GynYM1XF3UQ==" spinCount="100000" sheet="1" objects="1" scenarios="1"/>
  <mergeCells count="1">
    <mergeCell ref="A4:E4"/>
  </mergeCells>
  <conditionalFormatting sqref="A2">
    <cfRule type="expression" dxfId="233" priority="11">
      <formula>$E2="Error"</formula>
    </cfRule>
    <cfRule type="expression" dxfId="231" priority="13">
      <formula>$E2="Exclude"</formula>
    </cfRule>
  </conditionalFormatting>
  <conditionalFormatting sqref="D6:E41 D43:E45">
    <cfRule type="expression" dxfId="228" priority="5">
      <formula>$E6="Information"</formula>
    </cfRule>
    <cfRule type="expression" dxfId="227" priority="6">
      <formula>$E6="Error"</formula>
    </cfRule>
    <cfRule type="expression" dxfId="226" priority="7">
      <formula>$E6="Alert"</formula>
    </cfRule>
    <cfRule type="expression" dxfId="225" priority="8">
      <formula>$E6="Exclude"</formula>
    </cfRule>
  </conditionalFormatting>
  <dataValidations count="4">
    <dataValidation type="list" allowBlank="1" showInputMessage="1" showErrorMessage="1" sqref="B16:B17" xr:uid="{175D59A1-B750-4A7A-953A-994FA701AA51}">
      <formula1>SelOneYesNo</formula1>
    </dataValidation>
    <dataValidation type="list" allowBlank="1" showInputMessage="1" showErrorMessage="1" sqref="B14:C14" xr:uid="{B87E026D-951B-4E89-A550-7C0720C0D51E}">
      <formula1>InterestRateType</formula1>
    </dataValidation>
    <dataValidation type="list" allowBlank="1" showInputMessage="1" showErrorMessage="1" sqref="B8" xr:uid="{3CA379D9-1123-4871-9E56-8CC62A47C5D3}">
      <formula1>DistrictDropDown</formula1>
    </dataValidation>
    <dataValidation type="list" allowBlank="1" showInputMessage="1" showErrorMessage="1" sqref="B7" xr:uid="{AFC038EA-7FFA-4910-8C0C-5BC34313A966}">
      <formula1>DueToType</formula1>
    </dataValidation>
  </dataValidations>
  <pageMargins left="0.7" right="0.7" top="0.75" bottom="0.75" header="0.3" footer="0.3"/>
  <pageSetup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12" id="{58AE069E-E9A3-43A1-9A16-8B92D76A800E}">
            <xm:f>COUNTIFS(Validation!$H:$H,MID(CELL("filename",A2),FIND("]",CELL("filename",A2))+1,255)&amp;CELL("address",A2))&gt;0</xm:f>
            <x14:dxf>
              <font>
                <b/>
                <i val="0"/>
                <color rgb="FFC00000"/>
              </font>
              <numFmt numFmtId="172" formatCode="_(\!* #,##0_);_(\!* \(#,##0\);_(\!* \-??_);_(\!\ @_)"/>
            </x14:dxf>
          </x14:cfRule>
          <xm:sqref>A2</xm:sqref>
        </x14:conditionalFormatting>
        <x14:conditionalFormatting xmlns:xm="http://schemas.microsoft.com/office/excel/2006/main">
          <x14:cfRule type="expression" priority="10" id="{3CFCD774-1145-41D3-9EF5-C89EAD7C86B6}">
            <xm:f>$B$7=Lists!$AH$3</xm:f>
            <x14:dxf>
              <fill>
                <patternFill>
                  <bgColor rgb="FFEAEAEA"/>
                </patternFill>
              </fill>
            </x14:dxf>
          </x14:cfRule>
          <xm:sqref>B8</xm:sqref>
        </x14:conditionalFormatting>
        <x14:conditionalFormatting xmlns:xm="http://schemas.microsoft.com/office/excel/2006/main">
          <x14:cfRule type="expression" priority="9" id="{89591B29-1689-4255-A6FA-33B8C24722A2}">
            <xm:f>$B$7=Lists!$AH$2</xm:f>
            <x14:dxf>
              <fill>
                <patternFill>
                  <bgColor rgb="FFEAEAEA"/>
                </patternFill>
              </fill>
            </x14:dxf>
          </x14:cfRule>
          <xm:sqref>B9</xm:sqref>
        </x14:conditionalFormatting>
      </x14:conditionalFormatting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20A5A7-5E74-4D3F-A807-FF33875CF10C}">
  <sheetPr>
    <tabColor rgb="FFEED382"/>
  </sheetPr>
  <dimension ref="A1:F50"/>
  <sheetViews>
    <sheetView showGridLines="0" workbookViewId="0">
      <selection activeCell="B7" sqref="B7"/>
    </sheetView>
  </sheetViews>
  <sheetFormatPr defaultRowHeight="15" x14ac:dyDescent="0.25"/>
  <cols>
    <col min="1" max="1" width="55.7109375" style="66" customWidth="1"/>
    <col min="2" max="3" width="22.7109375" style="66" customWidth="1"/>
    <col min="4" max="4" width="80.85546875" style="66" customWidth="1"/>
    <col min="5" max="5" width="14.7109375" style="66" customWidth="1"/>
    <col min="6" max="6" width="10.7109375" style="78" hidden="1" customWidth="1"/>
    <col min="7" max="16384" width="9.140625" style="66"/>
  </cols>
  <sheetData>
    <row r="1" spans="1:6" s="59" customFormat="1" ht="24.95" customHeight="1" x14ac:dyDescent="0.25">
      <c r="A1" s="59" t="str">
        <f>_xlfn.CONCAT("Office of the State Auditor  -  TIF Annual Reporting Form  -  ",Year_DestinationYearID)</f>
        <v>Office of the State Auditor  -  TIF Annual Reporting Form  -  2024</v>
      </c>
      <c r="F1" s="61"/>
    </row>
    <row r="2" spans="1:6" s="62" customFormat="1" ht="20.100000000000001" customHeight="1" x14ac:dyDescent="0.25">
      <c r="A2" s="58" t="str">
        <f>_xlfn.CONCAT(GovEntity_GovEntityName_Parent,"  -  ",GovEntity_GovEntityName)</f>
        <v>Spruce City  -  TIF 1-1 Downtown Redev</v>
      </c>
      <c r="F2" s="64"/>
    </row>
    <row r="3" spans="1:6" s="68" customFormat="1" ht="24.95" customHeight="1" x14ac:dyDescent="0.3">
      <c r="A3" s="65" t="s">
        <v>238</v>
      </c>
      <c r="B3" s="66"/>
      <c r="C3" s="66"/>
      <c r="F3" s="69"/>
    </row>
    <row r="4" spans="1:6" s="71" customFormat="1" x14ac:dyDescent="0.25">
      <c r="A4" s="217" t="s">
        <v>207</v>
      </c>
      <c r="B4" s="217"/>
      <c r="C4" s="217"/>
      <c r="D4" s="217"/>
      <c r="E4" s="217"/>
      <c r="F4" s="72" t="s">
        <v>119</v>
      </c>
    </row>
    <row r="5" spans="1:6" s="74" customFormat="1" ht="20.100000000000001" customHeight="1" x14ac:dyDescent="0.25">
      <c r="A5" s="73" t="str">
        <f>HYPERLINK("#'Loans'!B6","Click here to return to the Loans Tab")</f>
        <v>Click here to return to the Loans Tab</v>
      </c>
      <c r="D5" s="74" t="s">
        <v>121</v>
      </c>
      <c r="E5" s="74" t="s">
        <v>102</v>
      </c>
      <c r="F5" s="76"/>
    </row>
    <row r="6" spans="1:6" ht="20.100000000000001" customHeight="1" x14ac:dyDescent="0.25">
      <c r="A6" s="74" t="s">
        <v>239</v>
      </c>
      <c r="D6" s="77" t="str">
        <f ca="1">IFERROR(INDEX(Validation!G:G,MATCH("Loan 6"&amp;CELL("address",D6),Validation!I:I,0)),"")</f>
        <v/>
      </c>
      <c r="E6" s="66" t="str">
        <f ca="1">IFERROR(INDEX(Validation!F:F,MATCH("Loan 6"&amp;CELL("address",D6),Validation!I:I,0)),"")</f>
        <v/>
      </c>
      <c r="F6" s="78" t="s">
        <v>875</v>
      </c>
    </row>
    <row r="7" spans="1:6" x14ac:dyDescent="0.25">
      <c r="A7" s="79" t="s">
        <v>761</v>
      </c>
      <c r="B7" s="103" t="str">
        <f>IF(AND(NOT(ISBLANK('Loan Input'!H5)),OR('Loan Input'!H$5=Lists!$AG$2,'Loan Input'!H$5=Lists!$AG$3)),_xlfn.XLOOKUP('Loan Input'!H5,Lists!AG2:AG5,Lists!AH2:AH5),Lists!$AH$1)</f>
        <v>Select One</v>
      </c>
      <c r="C7" s="128"/>
      <c r="D7" s="77" t="str">
        <f ca="1">IFERROR(INDEX(Validation!G:G,MATCH("Loan 6"&amp;CELL("address",D7),Validation!I:I,0)),"")</f>
        <v/>
      </c>
      <c r="E7" s="66" t="str">
        <f ca="1">IFERROR(INDEX(Validation!F:F,MATCH("Loan 6"&amp;CELL("address",D7),Validation!I:I,0)),"")</f>
        <v/>
      </c>
      <c r="F7" s="85" t="str">
        <f>IF(NOT(ISBLANK('Loan Input'!H4)),'Loan Input'!H4,"")</f>
        <v/>
      </c>
    </row>
    <row r="8" spans="1:6" x14ac:dyDescent="0.25">
      <c r="A8" s="79" t="s">
        <v>769</v>
      </c>
      <c r="B8" s="103" t="str">
        <f>IF(AND(NOT(ISBLANK('Loan Input'!H6)),'Loan Input'!H$5=Lists!$AG$2),'Loan Input'!H6,Lists!$AJ$1)</f>
        <v>Select One</v>
      </c>
      <c r="C8" s="128"/>
      <c r="D8" s="77" t="str">
        <f ca="1">IFERROR(INDEX(Validation!G:G,MATCH("Loan 6"&amp;CELL("address",D8),Validation!I:I,0)),"")</f>
        <v/>
      </c>
      <c r="E8" s="66" t="str">
        <f ca="1">IFERROR(INDEX(Validation!F:F,MATCH("Loan 6"&amp;CELL("address",D8),Validation!I:I,0)),"")</f>
        <v/>
      </c>
    </row>
    <row r="9" spans="1:6" x14ac:dyDescent="0.25">
      <c r="A9" s="79" t="s">
        <v>770</v>
      </c>
      <c r="B9" s="103" t="str">
        <f>IF(AND(NOT(ISBLANK('Loan Input'!H7)),'Loan Input'!H$5=Lists!$AG$3),'Loan Input'!H7,"")</f>
        <v/>
      </c>
      <c r="C9" s="128"/>
      <c r="D9" s="77" t="str">
        <f ca="1">IFERROR(INDEX(Validation!G:G,MATCH("Loan 6"&amp;CELL("address",D9),Validation!I:I,0)),"")</f>
        <v/>
      </c>
      <c r="E9" s="66" t="str">
        <f ca="1">IFERROR(INDEX(Validation!F:F,MATCH("Loan 6"&amp;CELL("address",D9),Validation!I:I,0)),"")</f>
        <v/>
      </c>
    </row>
    <row r="10" spans="1:6" x14ac:dyDescent="0.25">
      <c r="A10" s="79" t="s">
        <v>931</v>
      </c>
      <c r="B10" s="120" t="str">
        <f>IF(AND(NOT(ISBLANK('Loan Input'!H8)),OR('Loan Input'!H$5=Lists!$AG$2,'Loan Input'!H$5=Lists!$AG$3)),'Loan Input'!H8,"")</f>
        <v/>
      </c>
      <c r="C10" s="128"/>
      <c r="D10" s="77" t="str">
        <f ca="1">IFERROR(INDEX(Validation!G:G,MATCH("Loan 6"&amp;CELL("address",D10),Validation!I:I,0)),"")</f>
        <v/>
      </c>
      <c r="E10" s="66" t="str">
        <f ca="1">IFERROR(INDEX(Validation!F:F,MATCH("Loan 6"&amp;CELL("address",D10),Validation!I:I,0)),"")</f>
        <v/>
      </c>
    </row>
    <row r="11" spans="1:6" x14ac:dyDescent="0.25">
      <c r="A11" s="79" t="s">
        <v>212</v>
      </c>
      <c r="B11" s="120" t="str">
        <f>IF(AND(NOT(ISBLANK('Loan Input'!H9)),OR('Loan Input'!H$5=Lists!$AG$2,'Loan Input'!H$5=Lists!$AG$3)),'Loan Input'!H9,"")</f>
        <v/>
      </c>
      <c r="C11" s="128"/>
      <c r="D11" s="77" t="str">
        <f ca="1">IFERROR(INDEX(Validation!G:G,MATCH("Loan 6"&amp;CELL("address",D11),Validation!I:I,0)),"")</f>
        <v/>
      </c>
      <c r="E11" s="66" t="str">
        <f ca="1">IFERROR(INDEX(Validation!F:F,MATCH("Loan 6"&amp;CELL("address",D11),Validation!I:I,0)),"")</f>
        <v/>
      </c>
    </row>
    <row r="12" spans="1:6" x14ac:dyDescent="0.25">
      <c r="A12" s="79" t="s">
        <v>213</v>
      </c>
      <c r="B12" s="121" t="str">
        <f>IF(AND(NOT(ISBLANK('Loan Input'!H10)),OR('Loan Input'!H$5=Lists!$AG$2,'Loan Input'!H$5=Lists!$AG$3)),'Loan Input'!H10,"")</f>
        <v/>
      </c>
      <c r="C12" s="128"/>
      <c r="D12" s="77" t="str">
        <f ca="1">IFERROR(INDEX(Validation!G:G,MATCH("Loan 6"&amp;CELL("address",D12),Validation!I:I,0)),"")</f>
        <v/>
      </c>
      <c r="E12" s="66" t="str">
        <f ca="1">IFERROR(INDEX(Validation!F:F,MATCH("Loan 6"&amp;CELL("address",D12),Validation!I:I,0)),"")</f>
        <v/>
      </c>
    </row>
    <row r="13" spans="1:6" x14ac:dyDescent="0.25">
      <c r="A13" s="79" t="s">
        <v>214</v>
      </c>
      <c r="B13" s="121" t="str">
        <f>IF(AND(NOT(ISBLANK('Loan Input'!H11)),OR('Loan Input'!H$5=Lists!$AG$2,'Loan Input'!H$5=Lists!$AG$3)),'Loan Input'!H11,"")</f>
        <v/>
      </c>
      <c r="C13" s="128"/>
      <c r="D13" s="77" t="str">
        <f ca="1">IFERROR(INDEX(Validation!G:G,MATCH("Loan 6"&amp;CELL("address",D13),Validation!I:I,0)),"")</f>
        <v/>
      </c>
      <c r="E13" s="66" t="str">
        <f ca="1">IFERROR(INDEX(Validation!F:F,MATCH("Loan 6"&amp;CELL("address",D13),Validation!I:I,0)),"")</f>
        <v/>
      </c>
    </row>
    <row r="14" spans="1:6" x14ac:dyDescent="0.25">
      <c r="A14" s="79" t="s">
        <v>241</v>
      </c>
      <c r="B14" s="120" t="str">
        <f>IF(AND(NOT(ISBLANK('Loan Input'!H12)),OR('Loan Input'!H$5=Lists!$AG$2,'Loan Input'!H$5=Lists!$AG$3)),'Loan Input'!H12,Lists!$AM$1)</f>
        <v>Select One</v>
      </c>
      <c r="C14" s="129"/>
      <c r="D14" s="77" t="str">
        <f ca="1">IFERROR(INDEX(Validation!G:G,MATCH("Loan 6"&amp;CELL("address",D14),Validation!I:I,0)),"")</f>
        <v/>
      </c>
      <c r="E14" s="66" t="str">
        <f ca="1">IFERROR(INDEX(Validation!F:F,MATCH("Loan 6"&amp;CELL("address",D14),Validation!I:I,0)),"")</f>
        <v/>
      </c>
    </row>
    <row r="15" spans="1:6" x14ac:dyDescent="0.25">
      <c r="A15" s="79" t="s">
        <v>242</v>
      </c>
      <c r="B15" s="122" t="str">
        <f>IF(AND(NOT(ISBLANK('Loan Input'!H13)),OR('Loan Input'!H$5=Lists!$AG$2,'Loan Input'!H$5=Lists!$AG$3)),'Loan Input'!H13,"")</f>
        <v/>
      </c>
      <c r="C15" s="128"/>
      <c r="D15" s="77" t="str">
        <f ca="1">IFERROR(INDEX(Validation!G:G,MATCH("Loan 6"&amp;CELL("address",D15),Validation!I:I,0)),"")</f>
        <v/>
      </c>
      <c r="E15" s="66" t="str">
        <f ca="1">IFERROR(INDEX(Validation!F:F,MATCH("Loan 6"&amp;CELL("address",D15),Validation!I:I,0)),"")</f>
        <v/>
      </c>
    </row>
    <row r="16" spans="1:6" x14ac:dyDescent="0.25">
      <c r="A16" s="79" t="s">
        <v>232</v>
      </c>
      <c r="B16" s="103" t="str">
        <f>IF(OR('Loan Input'!H14="",'Loan Input'!H14=0),"Select One",IF('Loan Input'!H14=TRUE,"Yes","No"))</f>
        <v>Select One</v>
      </c>
      <c r="C16" s="128"/>
      <c r="D16" s="77" t="str">
        <f ca="1">IFERROR(INDEX(Validation!G:G,MATCH("Loan 6"&amp;CELL("address",D16),Validation!I:I,0)),"")</f>
        <v/>
      </c>
      <c r="E16" s="66" t="str">
        <f ca="1">IFERROR(INDEX(Validation!F:F,MATCH("Loan 6"&amp;CELL("address",D16),Validation!I:I,0)),"")</f>
        <v/>
      </c>
    </row>
    <row r="17" spans="1:5" x14ac:dyDescent="0.25">
      <c r="A17" s="79" t="str">
        <f>"Were the terms of this obligation modified in "&amp;Year_DestinationYearID&amp;"?"</f>
        <v>Were the terms of this obligation modified in 2024?</v>
      </c>
      <c r="B17" s="103" t="s">
        <v>41</v>
      </c>
      <c r="C17" s="128"/>
      <c r="D17" s="77" t="str">
        <f ca="1">IFERROR(INDEX(Validation!G:G,MATCH("Loan 6"&amp;CELL("address",D17),Validation!I:I,0)),"")</f>
        <v/>
      </c>
      <c r="E17" s="66" t="str">
        <f ca="1">IFERROR(INDEX(Validation!F:F,MATCH("Loan 6"&amp;CELL("address",D17),Validation!I:I,0)),"")</f>
        <v/>
      </c>
    </row>
    <row r="18" spans="1:5" ht="20.100000000000001" customHeight="1" x14ac:dyDescent="0.25">
      <c r="A18" s="74" t="s">
        <v>1183</v>
      </c>
      <c r="B18" s="74" t="s">
        <v>283</v>
      </c>
      <c r="C18" s="74" t="str">
        <f>Year_DestinationYearID&amp;" Amount"</f>
        <v>2024 Amount</v>
      </c>
      <c r="D18" s="77" t="str">
        <f ca="1">IFERROR(INDEX(Validation!G:G,MATCH("Loan 6"&amp;CELL("address",D18),Validation!I:I,0)),"")</f>
        <v/>
      </c>
      <c r="E18" s="66" t="str">
        <f ca="1">IFERROR(INDEX(Validation!F:F,MATCH("Loan 6"&amp;CELL("address",D18),Validation!I:I,0)),"")</f>
        <v/>
      </c>
    </row>
    <row r="19" spans="1:5" x14ac:dyDescent="0.25">
      <c r="A19" s="79" t="s">
        <v>266</v>
      </c>
      <c r="B19" s="122" t="str">
        <f>IF(AND(NOT(ISBLANK('Loan Input'!H16)),OR('Loan Input'!H$5=Lists!$AG$2,'Loan Input'!H$5=Lists!$AG$3)),'Loan Input'!H16,"")</f>
        <v/>
      </c>
      <c r="C19" s="103"/>
      <c r="D19" s="77" t="str">
        <f ca="1">IFERROR(INDEX(Validation!G:G,MATCH("Loan 6"&amp;CELL("address",D19),Validation!I:I,0)),"")</f>
        <v/>
      </c>
      <c r="E19" s="66" t="str">
        <f ca="1">IFERROR(INDEX(Validation!F:F,MATCH("Loan 6"&amp;CELL("address",D19),Validation!I:I,0)),"")</f>
        <v/>
      </c>
    </row>
    <row r="20" spans="1:5" x14ac:dyDescent="0.25">
      <c r="A20" s="79" t="s">
        <v>267</v>
      </c>
      <c r="B20" s="122" t="str">
        <f>IF(AND(NOT(ISBLANK('Loan Input'!H18)),OR('Loan Input'!H$5=Lists!$AG$2,'Loan Input'!H$5=Lists!$AG$3)),'Loan Input'!H18,"")</f>
        <v/>
      </c>
      <c r="C20" s="103"/>
      <c r="D20" s="77" t="str">
        <f ca="1">IFERROR(INDEX(Validation!G:G,MATCH("Loan 6"&amp;CELL("address",D20),Validation!I:I,0)),"")</f>
        <v/>
      </c>
      <c r="E20" s="66" t="str">
        <f ca="1">IFERROR(INDEX(Validation!F:F,MATCH("Loan 6"&amp;CELL("address",D20),Validation!I:I,0)),"")</f>
        <v/>
      </c>
    </row>
    <row r="21" spans="1:5" x14ac:dyDescent="0.25">
      <c r="A21" s="79" t="s">
        <v>268</v>
      </c>
      <c r="B21" s="122" t="str">
        <f>IF(AND(NOT(ISBLANK('Loan Input'!H20)),OR('Loan Input'!H$5=Lists!$AG$2,'Loan Input'!H$5=Lists!$AG$3)),'Loan Input'!H20,"")</f>
        <v/>
      </c>
      <c r="C21" s="103"/>
      <c r="D21" s="77" t="str">
        <f ca="1">IFERROR(INDEX(Validation!G:G,MATCH("Loan 6"&amp;CELL("address",D21),Validation!I:I,0)),"")</f>
        <v/>
      </c>
      <c r="E21" s="66" t="str">
        <f ca="1">IFERROR(INDEX(Validation!F:F,MATCH("Loan 6"&amp;CELL("address",D21),Validation!I:I,0)),"")</f>
        <v/>
      </c>
    </row>
    <row r="22" spans="1:5" x14ac:dyDescent="0.25">
      <c r="A22" s="79" t="s">
        <v>269</v>
      </c>
      <c r="B22" s="122" t="str">
        <f>IF(AND(NOT(ISBLANK('Loan Input'!H22)),OR('Loan Input'!H$5=Lists!$AG$2,'Loan Input'!H$5=Lists!$AG$3)),'Loan Input'!H22,"")</f>
        <v/>
      </c>
      <c r="C22" s="103"/>
      <c r="D22" s="77" t="str">
        <f ca="1">IFERROR(INDEX(Validation!G:G,MATCH("Loan 6"&amp;CELL("address",D22),Validation!I:I,0)),"")</f>
        <v/>
      </c>
      <c r="E22" s="66" t="str">
        <f ca="1">IFERROR(INDEX(Validation!F:F,MATCH("Loan 6"&amp;CELL("address",D22),Validation!I:I,0)),"")</f>
        <v/>
      </c>
    </row>
    <row r="23" spans="1:5" x14ac:dyDescent="0.25">
      <c r="A23" s="79" t="s">
        <v>1101</v>
      </c>
      <c r="B23" s="122" t="str">
        <f>IF(AND(NOT(ISBLANK('Loan Input'!H24)),OR('Loan Input'!H$5=Lists!$AG$2,'Loan Input'!H$5=Lists!$AG$3)),'Loan Input'!H24,"")</f>
        <v/>
      </c>
      <c r="C23" s="103"/>
      <c r="D23" s="77" t="str">
        <f ca="1">IFERROR(INDEX(Validation!G:G,MATCH("Loan 6"&amp;CELL("address",D23),Validation!I:I,0)),"")</f>
        <v/>
      </c>
      <c r="E23" s="66" t="str">
        <f ca="1">IFERROR(INDEX(Validation!F:F,MATCH("Loan 6"&amp;CELL("address",D23),Validation!I:I,0)),"")</f>
        <v/>
      </c>
    </row>
    <row r="24" spans="1:5" x14ac:dyDescent="0.25">
      <c r="A24" s="79" t="s">
        <v>270</v>
      </c>
      <c r="B24" s="122" t="str">
        <f>IF(AND(NOT(ISBLANK('Loan Input'!H26)),OR('Loan Input'!H$5=Lists!$AG$2,'Loan Input'!H$5=Lists!$AG$3)),'Loan Input'!H26,"")</f>
        <v/>
      </c>
      <c r="C24" s="103"/>
      <c r="D24" s="77" t="str">
        <f ca="1">IFERROR(INDEX(Validation!G:G,MATCH("Loan 6"&amp;CELL("address",D24),Validation!I:I,0)),"")</f>
        <v/>
      </c>
      <c r="E24" s="66" t="str">
        <f ca="1">IFERROR(INDEX(Validation!F:F,MATCH("Loan 6"&amp;CELL("address",D24),Validation!I:I,0)),"")</f>
        <v/>
      </c>
    </row>
    <row r="25" spans="1:5" x14ac:dyDescent="0.25">
      <c r="A25" s="79" t="s">
        <v>271</v>
      </c>
      <c r="B25" s="122" t="str">
        <f>IF(AND(NOT(ISBLANK('Loan Input'!H28)),OR('Loan Input'!H$5=Lists!$AG$2,'Loan Input'!H$5=Lists!$AG$3)),'Loan Input'!H28,"")</f>
        <v/>
      </c>
      <c r="C25" s="103"/>
      <c r="D25" s="77" t="str">
        <f ca="1">IFERROR(INDEX(Validation!G:G,MATCH("Loan 6"&amp;CELL("address",D25),Validation!I:I,0)),"")</f>
        <v/>
      </c>
      <c r="E25" s="66" t="str">
        <f ca="1">IFERROR(INDEX(Validation!F:F,MATCH("Loan 6"&amp;CELL("address",D25),Validation!I:I,0)),"")</f>
        <v/>
      </c>
    </row>
    <row r="26" spans="1:5" x14ac:dyDescent="0.25">
      <c r="A26" s="79" t="s">
        <v>276</v>
      </c>
      <c r="B26" s="122" t="str">
        <f>IF(AND(NOT(ISBLANK('Loan Input'!H30)),OR('Loan Input'!C$5=Lists!$AG$2,'Loan Input'!C$5=Lists!$AG$3)),'Loan Input'!H30,"")</f>
        <v/>
      </c>
      <c r="C26" s="103"/>
      <c r="D26" s="77" t="str">
        <f ca="1">IFERROR(INDEX(Validation!G:G,MATCH("Loan 6"&amp;CELL("address",D26),Validation!I:I,0)),"")</f>
        <v/>
      </c>
      <c r="E26" s="66" t="str">
        <f ca="1">IFERROR(INDEX(Validation!F:F,MATCH("Loan 6"&amp;CELL("address",D26),Validation!I:I,0)),"")</f>
        <v/>
      </c>
    </row>
    <row r="27" spans="1:5" x14ac:dyDescent="0.25">
      <c r="A27" s="79" t="s">
        <v>272</v>
      </c>
      <c r="B27" s="122" t="str">
        <f>IF(AND(NOT(ISBLANK('Loan Input'!H32)),OR('Loan Input'!H$5=Lists!$AG$2,'Loan Input'!H$5=Lists!$AG$3)),'Loan Input'!H32,"")</f>
        <v/>
      </c>
      <c r="C27" s="103"/>
      <c r="D27" s="77" t="str">
        <f ca="1">IFERROR(INDEX(Validation!G:G,MATCH("Loan 6"&amp;CELL("address",D27),Validation!I:I,0)),"")</f>
        <v/>
      </c>
      <c r="E27" s="66" t="str">
        <f ca="1">IFERROR(INDEX(Validation!F:F,MATCH("Loan 6"&amp;CELL("address",D27),Validation!I:I,0)),"")</f>
        <v/>
      </c>
    </row>
    <row r="28" spans="1:5" x14ac:dyDescent="0.25">
      <c r="A28" s="79" t="s">
        <v>273</v>
      </c>
      <c r="B28" s="122" t="str">
        <f>IF(AND(NOT(ISBLANK('Loan Input'!H34)),OR('Loan Input'!H$5=Lists!$AG$2,'Loan Input'!H$5=Lists!$AG$3)),'Loan Input'!H34,"")</f>
        <v/>
      </c>
      <c r="C28" s="103"/>
      <c r="D28" s="77" t="str">
        <f ca="1">IFERROR(INDEX(Validation!G:G,MATCH("Loan 6"&amp;CELL("address",D28),Validation!I:I,0)),"")</f>
        <v/>
      </c>
      <c r="E28" s="66" t="str">
        <f ca="1">IFERROR(INDEX(Validation!F:F,MATCH("Loan 6"&amp;CELL("address",D28),Validation!I:I,0)),"")</f>
        <v/>
      </c>
    </row>
    <row r="29" spans="1:5" x14ac:dyDescent="0.25">
      <c r="A29" s="130" t="s">
        <v>1184</v>
      </c>
      <c r="B29" s="125">
        <f>SUM(B19:B28)</f>
        <v>0</v>
      </c>
      <c r="C29" s="125">
        <f>SUM(C19:C28)</f>
        <v>0</v>
      </c>
      <c r="D29" s="77" t="str">
        <f ca="1">IFERROR(INDEX(Validation!G:G,MATCH("Loan 6"&amp;CELL("address",D29),Validation!I:I,0)),"")</f>
        <v/>
      </c>
      <c r="E29" s="66" t="str">
        <f ca="1">IFERROR(INDEX(Validation!F:F,MATCH("Loan 6"&amp;CELL("address",D29),Validation!I:I,0)),"")</f>
        <v/>
      </c>
    </row>
    <row r="30" spans="1:5" x14ac:dyDescent="0.25">
      <c r="A30" s="130" t="s">
        <v>1185</v>
      </c>
      <c r="B30" s="125" t="str">
        <f>IFERROR(B34-B29,"")</f>
        <v/>
      </c>
      <c r="C30" s="125" t="str">
        <f>IFERROR(B34+C34-B29-C29,"")</f>
        <v/>
      </c>
      <c r="D30" s="77" t="str">
        <f ca="1">IFERROR(INDEX(Validation!G:G,MATCH("Loan 6"&amp;CELL("address",D30),Validation!I:I,0)),"")</f>
        <v/>
      </c>
      <c r="E30" s="66" t="str">
        <f ca="1">IFERROR(INDEX(Validation!F:F,MATCH("Loan 6"&amp;CELL("address",D30),Validation!I:I,0)),"")</f>
        <v/>
      </c>
    </row>
    <row r="31" spans="1:5" x14ac:dyDescent="0.25">
      <c r="A31" s="131" t="s">
        <v>1186</v>
      </c>
      <c r="B31" s="122" t="str">
        <f>IF(AND(NOT(ISBLANK('Loan Input'!H41)),OR('Loan Input'!H$5=Lists!$AG$2,'Loan Input'!H$5=Lists!$AG$3)),'Loan Input'!H41,"")</f>
        <v/>
      </c>
      <c r="C31" s="103"/>
      <c r="D31" s="77" t="str">
        <f ca="1">IFERROR(INDEX(Validation!G:G,MATCH("Loan 6"&amp;CELL("address",D31),Validation!I:I,0)),"")</f>
        <v/>
      </c>
      <c r="E31" s="66" t="str">
        <f ca="1">IFERROR(INDEX(Validation!F:F,MATCH("Loan 6"&amp;CELL("address",D31),Validation!I:I,0)),"")</f>
        <v/>
      </c>
    </row>
    <row r="32" spans="1:5" x14ac:dyDescent="0.25">
      <c r="A32" s="131" t="s">
        <v>1187</v>
      </c>
      <c r="B32" s="122" t="str">
        <f>IF(AND(NOT(ISBLANK('Loan Input'!H43)),OR('Loan Input'!H$5=Lists!$AG$2,'Loan Input'!H$5=Lists!$AG$3)),'Loan Input'!H43,"")</f>
        <v/>
      </c>
      <c r="C32" s="103"/>
      <c r="D32" s="77" t="str">
        <f ca="1">IFERROR(INDEX(Validation!G:G,MATCH("Loan 6"&amp;CELL("address",D32),Validation!I:I,0)),"")</f>
        <v/>
      </c>
      <c r="E32" s="66" t="str">
        <f ca="1">IFERROR(INDEX(Validation!F:F,MATCH("Loan 6"&amp;CELL("address",D32),Validation!I:I,0)),"")</f>
        <v/>
      </c>
    </row>
    <row r="33" spans="1:6" ht="20.100000000000001" customHeight="1" x14ac:dyDescent="0.25">
      <c r="A33" s="74" t="s">
        <v>754</v>
      </c>
      <c r="B33" s="74" t="s">
        <v>283</v>
      </c>
      <c r="C33" s="74" t="str">
        <f>Year_DestinationYearID&amp;" Amount"</f>
        <v>2024 Amount</v>
      </c>
      <c r="D33" s="77" t="str">
        <f ca="1">IFERROR(INDEX(Validation!G:G,MATCH("Loan 6"&amp;CELL("address",D33),Validation!I:I,0)),"")</f>
        <v/>
      </c>
      <c r="E33" s="66" t="str">
        <f ca="1">IFERROR(INDEX(Validation!F:F,MATCH("Loan 6"&amp;CELL("address",D33),Validation!I:I,0)),"")</f>
        <v/>
      </c>
    </row>
    <row r="34" spans="1:6" x14ac:dyDescent="0.25">
      <c r="A34" s="79" t="s">
        <v>1350</v>
      </c>
      <c r="B34" s="122" t="str">
        <f>IF(AND(NOT(ISBLANK('Loan Input'!H44)),OR('Loan Input'!H$5=Lists!$AG$2,'Loan Input'!H$5=Lists!$AG$3)),'Loan Input'!H44,"")</f>
        <v/>
      </c>
      <c r="C34" s="122"/>
      <c r="D34" s="77" t="str">
        <f ca="1">IFERROR(INDEX(Validation!G:G,MATCH("Loan 6"&amp;CELL("address",D34),Validation!I:I,0)),"")</f>
        <v/>
      </c>
      <c r="E34" s="66" t="str">
        <f ca="1">IFERROR(INDEX(Validation!F:F,MATCH("Loan 6"&amp;CELL("address",D34),Validation!I:I,0)),"")</f>
        <v/>
      </c>
    </row>
    <row r="35" spans="1:6" x14ac:dyDescent="0.25">
      <c r="A35" s="79" t="s">
        <v>1188</v>
      </c>
      <c r="B35" s="122" t="str">
        <f>IF(AND(NOT(ISBLANK('Loan Input'!H47)),OR('Loan Input'!H$5=Lists!$AG$2,'Loan Input'!H$5=Lists!$AG$3)),'Loan Input'!H47,"")</f>
        <v/>
      </c>
      <c r="C35" s="122"/>
      <c r="D35" s="77" t="str">
        <f ca="1">IFERROR(INDEX(Validation!G:G,MATCH("Loan 6"&amp;CELL("address",D35),Validation!I:I,0)),"")</f>
        <v/>
      </c>
      <c r="E35" s="66" t="str">
        <f ca="1">IFERROR(INDEX(Validation!F:F,MATCH("Loan 6"&amp;CELL("address",D35),Validation!I:I,0)),"")</f>
        <v/>
      </c>
    </row>
    <row r="36" spans="1:6" x14ac:dyDescent="0.25">
      <c r="A36" s="79" t="s">
        <v>1189</v>
      </c>
      <c r="B36" s="122" t="str">
        <f>IF(AND(NOT(ISBLANK('Loan Input'!H49)),OR('Loan Input'!H$5=Lists!$AG$2,'Loan Input'!H$5=Lists!$AG$3)),'Loan Input'!H49,"")</f>
        <v/>
      </c>
      <c r="C36" s="122"/>
      <c r="D36" s="77" t="str">
        <f ca="1">IFERROR(INDEX(Validation!G:G,MATCH("Loan 6"&amp;CELL("address",D36),Validation!I:I,0)),"")</f>
        <v/>
      </c>
      <c r="E36" s="66" t="str">
        <f ca="1">IFERROR(INDEX(Validation!F:F,MATCH("Loan 6"&amp;CELL("address",D36),Validation!I:I,0)),"")</f>
        <v/>
      </c>
    </row>
    <row r="37" spans="1:6" x14ac:dyDescent="0.25">
      <c r="A37" s="79" t="s">
        <v>1190</v>
      </c>
      <c r="B37" s="122" t="str">
        <f>IF(AND(NOT(ISBLANK('Loan Input'!H51)),OR('Loan Input'!H$5=Lists!$AG$2,'Loan Input'!H$5=Lists!$AG$3)),'Loan Input'!H51,"")</f>
        <v/>
      </c>
      <c r="C37" s="122"/>
      <c r="D37" s="77" t="str">
        <f ca="1">IFERROR(INDEX(Validation!G:G,MATCH("Loan 6"&amp;CELL("address",D37),Validation!I:I,0)),"")</f>
        <v/>
      </c>
      <c r="E37" s="66" t="str">
        <f ca="1">IFERROR(INDEX(Validation!F:F,MATCH("Loan 6"&amp;CELL("address",D37),Validation!I:I,0)),"")</f>
        <v/>
      </c>
    </row>
    <row r="38" spans="1:6" x14ac:dyDescent="0.25">
      <c r="A38" s="79" t="s">
        <v>221</v>
      </c>
      <c r="B38" s="125" t="str">
        <f>IFERROR(B34-B35-B36+B37,"")</f>
        <v/>
      </c>
      <c r="C38" s="125" t="str">
        <f>IFERROR(B34+C34-B35-B36-C35-C36+B37+C37,"")</f>
        <v/>
      </c>
      <c r="D38" s="77" t="str">
        <f ca="1">IFERROR(INDEX(Validation!G:G,MATCH("Loan 6"&amp;CELL("address",D38),Validation!I:I,0)),"")</f>
        <v/>
      </c>
      <c r="E38" s="66" t="str">
        <f ca="1">IFERROR(INDEX(Validation!F:F,MATCH("Loan 6"&amp;CELL("address",D38),Validation!I:I,0)),"")</f>
        <v/>
      </c>
      <c r="F38" s="126"/>
    </row>
    <row r="39" spans="1:6" x14ac:dyDescent="0.25">
      <c r="A39" s="79" t="s">
        <v>223</v>
      </c>
      <c r="B39" s="122" t="str">
        <f>IF(AND(NOT(ISBLANK('Loan Input'!H55)),OR('Loan Input'!H$5=Lists!$AG$2,'Loan Input'!H$5=Lists!$AG$3)),'Loan Input'!H55,"")</f>
        <v/>
      </c>
      <c r="C39" s="122"/>
      <c r="D39" s="77" t="str">
        <f ca="1">IFERROR(INDEX(Validation!G:G,MATCH("Loan 6"&amp;CELL("address",D39),Validation!I:I,0)),"")</f>
        <v/>
      </c>
      <c r="E39" s="66" t="str">
        <f ca="1">IFERROR(INDEX(Validation!F:F,MATCH("Loan 6"&amp;CELL("address",D39),Validation!I:I,0)),"")</f>
        <v/>
      </c>
    </row>
    <row r="40" spans="1:6" x14ac:dyDescent="0.25">
      <c r="A40" s="79" t="s">
        <v>1191</v>
      </c>
      <c r="B40" s="122" t="str">
        <f>IF(AND(NOT(ISBLANK('Loan Input'!H57)),OR('Loan Input'!H$5=Lists!$AG$2,'Loan Input'!H$5=Lists!$AG$3)),'Loan Input'!H57,"")</f>
        <v/>
      </c>
      <c r="C40" s="122"/>
      <c r="D40" s="77" t="str">
        <f ca="1">IFERROR(INDEX(Validation!G:G,MATCH("Loan 6"&amp;CELL("address",D40),Validation!I:I,0)),"")</f>
        <v/>
      </c>
      <c r="E40" s="66" t="str">
        <f ca="1">IFERROR(INDEX(Validation!F:F,MATCH("Loan 6"&amp;CELL("address",D40),Validation!I:I,0)),"")</f>
        <v/>
      </c>
    </row>
    <row r="41" spans="1:6" x14ac:dyDescent="0.25">
      <c r="A41" s="79" t="s">
        <v>1192</v>
      </c>
      <c r="B41" s="122" t="str">
        <f>IF(AND(NOT(ISBLANK('Loan Input'!H59)),OR('Loan Input'!H$5=Lists!$AG$2,'Loan Input'!H$5=Lists!$AG$3)),'Loan Input'!H59,"")</f>
        <v/>
      </c>
      <c r="C41" s="122"/>
      <c r="D41" s="77" t="str">
        <f ca="1">IFERROR(INDEX(Validation!G:G,MATCH("Loan 6"&amp;CELL("address",D41),Validation!I:I,0)),"")</f>
        <v/>
      </c>
      <c r="E41" s="66" t="str">
        <f ca="1">IFERROR(INDEX(Validation!F:F,MATCH("Loan 6"&amp;CELL("address",D41),Validation!I:I,0)),"")</f>
        <v/>
      </c>
    </row>
    <row r="42" spans="1:6" ht="20.100000000000001" customHeight="1" x14ac:dyDescent="0.25">
      <c r="A42" s="74" t="str">
        <f>"Principal and Interest Due in "&amp;Year_DestinationYearID+1</f>
        <v>Principal and Interest Due in 2025</v>
      </c>
      <c r="B42" s="74"/>
      <c r="C42" s="74"/>
    </row>
    <row r="43" spans="1:6" x14ac:dyDescent="0.25">
      <c r="A43" s="79" t="str">
        <f>"Principal Due in "&amp;Year_DestinationYearID+1</f>
        <v>Principal Due in 2025</v>
      </c>
      <c r="B43" s="122"/>
      <c r="C43" s="128"/>
      <c r="D43" s="77" t="str">
        <f ca="1">IFERROR(INDEX(Validation!G:G,MATCH("Loan 6"&amp;CELL("address",D43),Validation!I:I,0)),"")</f>
        <v/>
      </c>
      <c r="E43" s="66" t="str">
        <f ca="1">IFERROR(INDEX(Validation!F:F,MATCH("Loan 6"&amp;CELL("address",D43),Validation!I:I,0)),"")</f>
        <v/>
      </c>
    </row>
    <row r="44" spans="1:6" x14ac:dyDescent="0.25">
      <c r="A44" s="79" t="str">
        <f>"Interest Due in "&amp;Year_DestinationYearID+1</f>
        <v>Interest Due in 2025</v>
      </c>
      <c r="B44" s="122"/>
      <c r="C44" s="128"/>
      <c r="D44" s="77" t="str">
        <f ca="1">IFERROR(INDEX(Validation!G:G,MATCH("Loan 6"&amp;CELL("address",D44),Validation!I:I,0)),"")</f>
        <v/>
      </c>
      <c r="E44" s="66" t="str">
        <f ca="1">IFERROR(INDEX(Validation!F:F,MATCH("Loan 6"&amp;CELL("address",D44),Validation!I:I,0)),"")</f>
        <v/>
      </c>
    </row>
    <row r="45" spans="1:6" ht="20.100000000000001" customHeight="1" x14ac:dyDescent="0.25">
      <c r="A45" s="97" t="s">
        <v>176</v>
      </c>
      <c r="D45" s="77" t="str">
        <f ca="1">IF(AND(ISBLANK(A46),OR(COUNTIF(E6:E44,"Alert")&gt;0,SUM(B37:B37)&lt;&gt;0)),"Comment(s) required for remaining alert(s) and/or additions to principal.",IFERROR(INDEX(Validation!G:G,MATCH("Loan 6"&amp;CELL("address",D45),Validation!I:I,0)),""))</f>
        <v/>
      </c>
      <c r="E45" s="66" t="str">
        <f ca="1">IF(AND(ISBLANK(A46),OR(COUNTIF(E6:E44,"Alert")&gt;0,SUM(B37:B37)&lt;&gt;0)),"Error",IFERROR(INDEX(Validation!F:F,MATCH("Loan 6"&amp;CELL("address",D45),Validation!I:I,0)),""))</f>
        <v/>
      </c>
    </row>
    <row r="46" spans="1:6" ht="150" customHeight="1" x14ac:dyDescent="0.25">
      <c r="A46" s="123"/>
      <c r="B46" s="100" t="str">
        <f>HYPERLINK("#'Loans'!B6","Click here to return to the Loans Tab")</f>
        <v>Click here to return to the Loans Tab</v>
      </c>
      <c r="C46" s="127"/>
    </row>
    <row r="47" spans="1:6" x14ac:dyDescent="0.25">
      <c r="A47" s="98"/>
      <c r="B47" s="98"/>
      <c r="C47" s="98"/>
    </row>
    <row r="48" spans="1:6" x14ac:dyDescent="0.25">
      <c r="A48" s="98"/>
      <c r="B48" s="98"/>
      <c r="C48" s="98"/>
    </row>
    <row r="49" spans="1:3" x14ac:dyDescent="0.25">
      <c r="A49" s="98"/>
      <c r="B49" s="98"/>
      <c r="C49" s="98"/>
    </row>
    <row r="50" spans="1:3" x14ac:dyDescent="0.25">
      <c r="A50" s="98"/>
      <c r="B50" s="98"/>
      <c r="C50" s="98"/>
    </row>
  </sheetData>
  <sheetProtection algorithmName="SHA-512" hashValue="JCAKeXAFpPIcEK0YAQQ50lI3T7QmHr8C1/YT4OsORs2mG1McuFyx225lGapukOrE+3+52oOPJ2j3ID/Ze+EpsQ==" saltValue="Pg/0nciqzWdL9UagIQ464Q==" spinCount="100000" sheet="1" objects="1" scenarios="1"/>
  <mergeCells count="1">
    <mergeCell ref="A4:E4"/>
  </mergeCells>
  <conditionalFormatting sqref="A2">
    <cfRule type="expression" dxfId="224" priority="11">
      <formula>$E2="Error"</formula>
    </cfRule>
    <cfRule type="expression" dxfId="222" priority="13">
      <formula>$E2="Exclude"</formula>
    </cfRule>
  </conditionalFormatting>
  <conditionalFormatting sqref="D6:E41 D43:E45">
    <cfRule type="expression" dxfId="219" priority="5">
      <formula>$E6="Information"</formula>
    </cfRule>
    <cfRule type="expression" dxfId="218" priority="6">
      <formula>$E6="Error"</formula>
    </cfRule>
    <cfRule type="expression" dxfId="217" priority="7">
      <formula>$E6="Alert"</formula>
    </cfRule>
    <cfRule type="expression" dxfId="216" priority="8">
      <formula>$E6="Exclude"</formula>
    </cfRule>
  </conditionalFormatting>
  <dataValidations count="4">
    <dataValidation type="list" allowBlank="1" showInputMessage="1" showErrorMessage="1" sqref="B7" xr:uid="{CEBE3253-EE6A-4CC1-9686-0D820B7D1987}">
      <formula1>DueToType</formula1>
    </dataValidation>
    <dataValidation type="list" allowBlank="1" showInputMessage="1" showErrorMessage="1" sqref="B8" xr:uid="{DAD661F1-8F66-4F89-9CC0-10520B7FFC73}">
      <formula1>DistrictDropDown</formula1>
    </dataValidation>
    <dataValidation type="list" allowBlank="1" showInputMessage="1" showErrorMessage="1" sqref="B14:C14" xr:uid="{AD2CBCA2-ABF3-4397-9992-44E567A7EE49}">
      <formula1>InterestRateType</formula1>
    </dataValidation>
    <dataValidation type="list" allowBlank="1" showInputMessage="1" showErrorMessage="1" sqref="B16:B17" xr:uid="{C3F2A430-E6DF-4F22-B7A6-D4639F82D81A}">
      <formula1>SelOneYesNo</formula1>
    </dataValidation>
  </dataValidations>
  <pageMargins left="0.7" right="0.7" top="0.75" bottom="0.75" header="0.3" footer="0.3"/>
  <pageSetup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12" id="{DBAAF49B-F8EB-4AFC-B797-5F102437B72D}">
            <xm:f>COUNTIFS(Validation!$H:$H,MID(CELL("filename",A2),FIND("]",CELL("filename",A2))+1,255)&amp;CELL("address",A2))&gt;0</xm:f>
            <x14:dxf>
              <font>
                <b/>
                <i val="0"/>
                <color rgb="FFC00000"/>
              </font>
              <numFmt numFmtId="172" formatCode="_(\!* #,##0_);_(\!* \(#,##0\);_(\!* \-??_);_(\!\ @_)"/>
            </x14:dxf>
          </x14:cfRule>
          <xm:sqref>A2</xm:sqref>
        </x14:conditionalFormatting>
        <x14:conditionalFormatting xmlns:xm="http://schemas.microsoft.com/office/excel/2006/main">
          <x14:cfRule type="expression" priority="10" id="{7E49310C-75F5-4C65-BA18-BAA58F055A09}">
            <xm:f>$B$7=Lists!$AH$3</xm:f>
            <x14:dxf>
              <fill>
                <patternFill>
                  <bgColor rgb="FFEAEAEA"/>
                </patternFill>
              </fill>
            </x14:dxf>
          </x14:cfRule>
          <xm:sqref>B8</xm:sqref>
        </x14:conditionalFormatting>
        <x14:conditionalFormatting xmlns:xm="http://schemas.microsoft.com/office/excel/2006/main">
          <x14:cfRule type="expression" priority="9" id="{74318E34-AEBE-4528-A3F5-FBD2D2FBB9B0}">
            <xm:f>$B$7=Lists!$AH$2</xm:f>
            <x14:dxf>
              <fill>
                <patternFill>
                  <bgColor rgb="FFEAEAEA"/>
                </patternFill>
              </fill>
            </x14:dxf>
          </x14:cfRule>
          <xm:sqref>B9</xm:sqref>
        </x14:conditionalFormatting>
      </x14:conditionalFormattings>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CB103-32D8-48FB-B663-2A8B07F97930}">
  <sheetPr>
    <tabColor rgb="FFEED382"/>
  </sheetPr>
  <dimension ref="A1:F50"/>
  <sheetViews>
    <sheetView showGridLines="0" workbookViewId="0">
      <selection activeCell="B7" sqref="B7"/>
    </sheetView>
  </sheetViews>
  <sheetFormatPr defaultRowHeight="15" x14ac:dyDescent="0.25"/>
  <cols>
    <col min="1" max="1" width="55.7109375" style="66" customWidth="1"/>
    <col min="2" max="3" width="22.7109375" style="66" customWidth="1"/>
    <col min="4" max="4" width="80.85546875" style="66" customWidth="1"/>
    <col min="5" max="5" width="14.7109375" style="66" customWidth="1"/>
    <col min="6" max="6" width="10.7109375" style="78" hidden="1" customWidth="1"/>
    <col min="7" max="16384" width="9.140625" style="66"/>
  </cols>
  <sheetData>
    <row r="1" spans="1:6" s="59" customFormat="1" ht="24.95" customHeight="1" x14ac:dyDescent="0.25">
      <c r="A1" s="59" t="str">
        <f>_xlfn.CONCAT("Office of the State Auditor  -  TIF Annual Reporting Form  -  ",Year_DestinationYearID)</f>
        <v>Office of the State Auditor  -  TIF Annual Reporting Form  -  2024</v>
      </c>
      <c r="F1" s="61"/>
    </row>
    <row r="2" spans="1:6" s="62" customFormat="1" ht="20.100000000000001" customHeight="1" x14ac:dyDescent="0.25">
      <c r="A2" s="58" t="str">
        <f>_xlfn.CONCAT(GovEntity_GovEntityName_Parent,"  -  ",GovEntity_GovEntityName)</f>
        <v>Spruce City  -  TIF 1-1 Downtown Redev</v>
      </c>
      <c r="F2" s="64"/>
    </row>
    <row r="3" spans="1:6" s="68" customFormat="1" ht="24.95" customHeight="1" x14ac:dyDescent="0.3">
      <c r="A3" s="65" t="s">
        <v>238</v>
      </c>
      <c r="B3" s="66"/>
      <c r="C3" s="66"/>
      <c r="F3" s="69"/>
    </row>
    <row r="4" spans="1:6" s="71" customFormat="1" x14ac:dyDescent="0.25">
      <c r="A4" s="217" t="s">
        <v>207</v>
      </c>
      <c r="B4" s="217"/>
      <c r="C4" s="217"/>
      <c r="D4" s="217"/>
      <c r="E4" s="217"/>
      <c r="F4" s="72" t="s">
        <v>119</v>
      </c>
    </row>
    <row r="5" spans="1:6" s="74" customFormat="1" ht="20.100000000000001" customHeight="1" x14ac:dyDescent="0.25">
      <c r="A5" s="73" t="str">
        <f>HYPERLINK("#'Loans'!B6","Click here to return to the Loans Tab")</f>
        <v>Click here to return to the Loans Tab</v>
      </c>
      <c r="D5" s="74" t="s">
        <v>121</v>
      </c>
      <c r="E5" s="74" t="s">
        <v>102</v>
      </c>
      <c r="F5" s="76"/>
    </row>
    <row r="6" spans="1:6" ht="20.100000000000001" customHeight="1" x14ac:dyDescent="0.25">
      <c r="A6" s="74" t="s">
        <v>239</v>
      </c>
      <c r="D6" s="77" t="str">
        <f ca="1">IFERROR(INDEX(Validation!G:G,MATCH("Loan 7"&amp;CELL("address",D6),Validation!I:I,0)),"")</f>
        <v/>
      </c>
      <c r="E6" s="66" t="str">
        <f ca="1">IFERROR(INDEX(Validation!F:F,MATCH("Loan 7"&amp;CELL("address",D6),Validation!I:I,0)),"")</f>
        <v/>
      </c>
      <c r="F6" s="78" t="s">
        <v>875</v>
      </c>
    </row>
    <row r="7" spans="1:6" x14ac:dyDescent="0.25">
      <c r="A7" s="79" t="s">
        <v>761</v>
      </c>
      <c r="B7" s="103" t="str">
        <f>IF(AND(NOT(ISBLANK('Loan Input'!I5)),OR('Loan Input'!I$5=Lists!$AG$2,'Loan Input'!I$5=Lists!$AG$3)),_xlfn.XLOOKUP('Loan Input'!I5,Lists!AG2:AG5,Lists!AH2:AH5),Lists!$AH$1)</f>
        <v>Select One</v>
      </c>
      <c r="C7" s="128"/>
      <c r="D7" s="77" t="str">
        <f ca="1">IFERROR(INDEX(Validation!G:G,MATCH("Loan 7"&amp;CELL("address",D7),Validation!I:I,0)),"")</f>
        <v/>
      </c>
      <c r="E7" s="66" t="str">
        <f ca="1">IFERROR(INDEX(Validation!F:F,MATCH("Loan 7"&amp;CELL("address",D7),Validation!I:I,0)),"")</f>
        <v/>
      </c>
      <c r="F7" s="85" t="str">
        <f>IF(NOT(ISBLANK('Loan Input'!I4)),'Loan Input'!I4,"")</f>
        <v/>
      </c>
    </row>
    <row r="8" spans="1:6" x14ac:dyDescent="0.25">
      <c r="A8" s="79" t="s">
        <v>769</v>
      </c>
      <c r="B8" s="103" t="str">
        <f>IF(AND(NOT(ISBLANK('Loan Input'!I6)),'Loan Input'!I$5=Lists!$AG$2),'Loan Input'!I6,Lists!$AJ$1)</f>
        <v>Select One</v>
      </c>
      <c r="C8" s="128"/>
      <c r="D8" s="77" t="str">
        <f ca="1">IFERROR(INDEX(Validation!G:G,MATCH("Loan 7"&amp;CELL("address",D8),Validation!I:I,0)),"")</f>
        <v/>
      </c>
      <c r="E8" s="66" t="str">
        <f ca="1">IFERROR(INDEX(Validation!F:F,MATCH("Loan 7"&amp;CELL("address",D8),Validation!I:I,0)),"")</f>
        <v/>
      </c>
    </row>
    <row r="9" spans="1:6" x14ac:dyDescent="0.25">
      <c r="A9" s="79" t="s">
        <v>770</v>
      </c>
      <c r="B9" s="103" t="str">
        <f>IF(AND(NOT(ISBLANK('Loan Input'!I7)),'Loan Input'!I$5=Lists!$AG$3),'Loan Input'!I7,"")</f>
        <v/>
      </c>
      <c r="C9" s="128"/>
      <c r="D9" s="77" t="str">
        <f ca="1">IFERROR(INDEX(Validation!G:G,MATCH("Loan 7"&amp;CELL("address",D9),Validation!I:I,0)),"")</f>
        <v/>
      </c>
      <c r="E9" s="66" t="str">
        <f ca="1">IFERROR(INDEX(Validation!F:F,MATCH("Loan 7"&amp;CELL("address",D9),Validation!I:I,0)),"")</f>
        <v/>
      </c>
    </row>
    <row r="10" spans="1:6" x14ac:dyDescent="0.25">
      <c r="A10" s="79" t="s">
        <v>931</v>
      </c>
      <c r="B10" s="120" t="str">
        <f>IF(AND(NOT(ISBLANK('Loan Input'!I8)),OR('Loan Input'!I$5=Lists!$AG$2,'Loan Input'!I$5=Lists!$AG$3)),'Loan Input'!I8,"")</f>
        <v/>
      </c>
      <c r="C10" s="128"/>
      <c r="D10" s="77" t="str">
        <f ca="1">IFERROR(INDEX(Validation!G:G,MATCH("Loan 7"&amp;CELL("address",D10),Validation!I:I,0)),"")</f>
        <v/>
      </c>
      <c r="E10" s="66" t="str">
        <f ca="1">IFERROR(INDEX(Validation!F:F,MATCH("Loan 7"&amp;CELL("address",D10),Validation!I:I,0)),"")</f>
        <v/>
      </c>
    </row>
    <row r="11" spans="1:6" x14ac:dyDescent="0.25">
      <c r="A11" s="79" t="s">
        <v>212</v>
      </c>
      <c r="B11" s="120" t="str">
        <f>IF(AND(NOT(ISBLANK('Loan Input'!I9)),OR('Loan Input'!I$5=Lists!$AG$2,'Loan Input'!I$5=Lists!$AG$3)),'Loan Input'!I9,"")</f>
        <v/>
      </c>
      <c r="C11" s="128"/>
      <c r="D11" s="77" t="str">
        <f ca="1">IFERROR(INDEX(Validation!G:G,MATCH("Loan 7"&amp;CELL("address",D11),Validation!I:I,0)),"")</f>
        <v/>
      </c>
      <c r="E11" s="66" t="str">
        <f ca="1">IFERROR(INDEX(Validation!F:F,MATCH("Loan 7"&amp;CELL("address",D11),Validation!I:I,0)),"")</f>
        <v/>
      </c>
    </row>
    <row r="12" spans="1:6" x14ac:dyDescent="0.25">
      <c r="A12" s="79" t="s">
        <v>213</v>
      </c>
      <c r="B12" s="121" t="str">
        <f>IF(AND(NOT(ISBLANK('Loan Input'!I10)),OR('Loan Input'!I$5=Lists!$AG$2,'Loan Input'!I$5=Lists!$AG$3)),'Loan Input'!I10,"")</f>
        <v/>
      </c>
      <c r="C12" s="128"/>
      <c r="D12" s="77" t="str">
        <f ca="1">IFERROR(INDEX(Validation!G:G,MATCH("Loan 7"&amp;CELL("address",D12),Validation!I:I,0)),"")</f>
        <v/>
      </c>
      <c r="E12" s="66" t="str">
        <f ca="1">IFERROR(INDEX(Validation!F:F,MATCH("Loan 7"&amp;CELL("address",D12),Validation!I:I,0)),"")</f>
        <v/>
      </c>
    </row>
    <row r="13" spans="1:6" x14ac:dyDescent="0.25">
      <c r="A13" s="79" t="s">
        <v>214</v>
      </c>
      <c r="B13" s="121" t="str">
        <f>IF(AND(NOT(ISBLANK('Loan Input'!I11)),OR('Loan Input'!I$5=Lists!$AG$2,'Loan Input'!I$5=Lists!$AG$3)),'Loan Input'!I11,"")</f>
        <v/>
      </c>
      <c r="C13" s="128"/>
      <c r="D13" s="77" t="str">
        <f ca="1">IFERROR(INDEX(Validation!G:G,MATCH("Loan 7"&amp;CELL("address",D13),Validation!I:I,0)),"")</f>
        <v/>
      </c>
      <c r="E13" s="66" t="str">
        <f ca="1">IFERROR(INDEX(Validation!F:F,MATCH("Loan 7"&amp;CELL("address",D13),Validation!I:I,0)),"")</f>
        <v/>
      </c>
    </row>
    <row r="14" spans="1:6" x14ac:dyDescent="0.25">
      <c r="A14" s="79" t="s">
        <v>241</v>
      </c>
      <c r="B14" s="120" t="str">
        <f>IF(AND(NOT(ISBLANK('Loan Input'!I12)),OR('Loan Input'!I$5=Lists!$AG$2,'Loan Input'!I$5=Lists!$AG$3)),'Loan Input'!I12,Lists!$AM$1)</f>
        <v>Select One</v>
      </c>
      <c r="C14" s="129"/>
      <c r="D14" s="77" t="str">
        <f ca="1">IFERROR(INDEX(Validation!G:G,MATCH("Loan 7"&amp;CELL("address",D14),Validation!I:I,0)),"")</f>
        <v/>
      </c>
      <c r="E14" s="66" t="str">
        <f ca="1">IFERROR(INDEX(Validation!F:F,MATCH("Loan 7"&amp;CELL("address",D14),Validation!I:I,0)),"")</f>
        <v/>
      </c>
    </row>
    <row r="15" spans="1:6" x14ac:dyDescent="0.25">
      <c r="A15" s="79" t="s">
        <v>242</v>
      </c>
      <c r="B15" s="122" t="str">
        <f>IF(AND(NOT(ISBLANK('Loan Input'!I13)),OR('Loan Input'!I$5=Lists!$AG$2,'Loan Input'!I$5=Lists!$AG$3)),'Loan Input'!I13,"")</f>
        <v/>
      </c>
      <c r="C15" s="128"/>
      <c r="D15" s="77" t="str">
        <f ca="1">IFERROR(INDEX(Validation!G:G,MATCH("Loan 7"&amp;CELL("address",D15),Validation!I:I,0)),"")</f>
        <v/>
      </c>
      <c r="E15" s="66" t="str">
        <f ca="1">IFERROR(INDEX(Validation!F:F,MATCH("Loan 7"&amp;CELL("address",D15),Validation!I:I,0)),"")</f>
        <v/>
      </c>
    </row>
    <row r="16" spans="1:6" x14ac:dyDescent="0.25">
      <c r="A16" s="79" t="s">
        <v>232</v>
      </c>
      <c r="B16" s="103" t="str">
        <f>IF(OR('Loan Input'!I14="",'Loan Input'!I14=0),"Select One",IF('Loan Input'!I14=TRUE,"Yes","No"))</f>
        <v>Select One</v>
      </c>
      <c r="C16" s="128"/>
      <c r="D16" s="77" t="str">
        <f ca="1">IFERROR(INDEX(Validation!G:G,MATCH("Loan 7"&amp;CELL("address",D16),Validation!I:I,0)),"")</f>
        <v/>
      </c>
      <c r="E16" s="66" t="str">
        <f ca="1">IFERROR(INDEX(Validation!F:F,MATCH("Loan 7"&amp;CELL("address",D16),Validation!I:I,0)),"")</f>
        <v/>
      </c>
    </row>
    <row r="17" spans="1:5" x14ac:dyDescent="0.25">
      <c r="A17" s="79" t="str">
        <f>"Were the terms of this obligation modified in "&amp;Year_DestinationYearID&amp;"?"</f>
        <v>Were the terms of this obligation modified in 2024?</v>
      </c>
      <c r="B17" s="103" t="s">
        <v>41</v>
      </c>
      <c r="C17" s="128"/>
      <c r="D17" s="77" t="str">
        <f ca="1">IFERROR(INDEX(Validation!G:G,MATCH("Loan 7"&amp;CELL("address",D17),Validation!I:I,0)),"")</f>
        <v/>
      </c>
      <c r="E17" s="66" t="str">
        <f ca="1">IFERROR(INDEX(Validation!F:F,MATCH("Loan 7"&amp;CELL("address",D17),Validation!I:I,0)),"")</f>
        <v/>
      </c>
    </row>
    <row r="18" spans="1:5" ht="20.100000000000001" customHeight="1" x14ac:dyDescent="0.25">
      <c r="A18" s="74" t="s">
        <v>1183</v>
      </c>
      <c r="B18" s="74" t="s">
        <v>283</v>
      </c>
      <c r="C18" s="74" t="str">
        <f>Year_DestinationYearID&amp;" Amount"</f>
        <v>2024 Amount</v>
      </c>
      <c r="D18" s="77" t="str">
        <f ca="1">IFERROR(INDEX(Validation!G:G,MATCH("Loan 7"&amp;CELL("address",D18),Validation!I:I,0)),"")</f>
        <v/>
      </c>
      <c r="E18" s="66" t="str">
        <f ca="1">IFERROR(INDEX(Validation!F:F,MATCH("Loan 7"&amp;CELL("address",D18),Validation!I:I,0)),"")</f>
        <v/>
      </c>
    </row>
    <row r="19" spans="1:5" x14ac:dyDescent="0.25">
      <c r="A19" s="79" t="s">
        <v>266</v>
      </c>
      <c r="B19" s="122" t="str">
        <f>IF(AND(NOT(ISBLANK('Loan Input'!I16)),OR('Loan Input'!I$5=Lists!$AG$2,'Loan Input'!I$5=Lists!$AG$3)),'Loan Input'!I16,"")</f>
        <v/>
      </c>
      <c r="C19" s="103"/>
      <c r="D19" s="77" t="str">
        <f ca="1">IFERROR(INDEX(Validation!G:G,MATCH("Loan 7"&amp;CELL("address",D19),Validation!I:I,0)),"")</f>
        <v/>
      </c>
      <c r="E19" s="66" t="str">
        <f ca="1">IFERROR(INDEX(Validation!F:F,MATCH("Loan 7"&amp;CELL("address",D19),Validation!I:I,0)),"")</f>
        <v/>
      </c>
    </row>
    <row r="20" spans="1:5" x14ac:dyDescent="0.25">
      <c r="A20" s="79" t="s">
        <v>267</v>
      </c>
      <c r="B20" s="122" t="str">
        <f>IF(AND(NOT(ISBLANK('Loan Input'!I18)),OR('Loan Input'!I$5=Lists!$AG$2,'Loan Input'!I$5=Lists!$AG$3)),'Loan Input'!I18,"")</f>
        <v/>
      </c>
      <c r="C20" s="103"/>
      <c r="D20" s="77" t="str">
        <f ca="1">IFERROR(INDEX(Validation!G:G,MATCH("Loan 7"&amp;CELL("address",D20),Validation!I:I,0)),"")</f>
        <v/>
      </c>
      <c r="E20" s="66" t="str">
        <f ca="1">IFERROR(INDEX(Validation!F:F,MATCH("Loan 7"&amp;CELL("address",D20),Validation!I:I,0)),"")</f>
        <v/>
      </c>
    </row>
    <row r="21" spans="1:5" x14ac:dyDescent="0.25">
      <c r="A21" s="79" t="s">
        <v>268</v>
      </c>
      <c r="B21" s="122" t="str">
        <f>IF(AND(NOT(ISBLANK('Loan Input'!I20)),OR('Loan Input'!I$5=Lists!$AG$2,'Loan Input'!I$5=Lists!$AG$3)),'Loan Input'!I20,"")</f>
        <v/>
      </c>
      <c r="C21" s="103"/>
      <c r="D21" s="77" t="str">
        <f ca="1">IFERROR(INDEX(Validation!G:G,MATCH("Loan 7"&amp;CELL("address",D21),Validation!I:I,0)),"")</f>
        <v/>
      </c>
      <c r="E21" s="66" t="str">
        <f ca="1">IFERROR(INDEX(Validation!F:F,MATCH("Loan 7"&amp;CELL("address",D21),Validation!I:I,0)),"")</f>
        <v/>
      </c>
    </row>
    <row r="22" spans="1:5" x14ac:dyDescent="0.25">
      <c r="A22" s="79" t="s">
        <v>269</v>
      </c>
      <c r="B22" s="122" t="str">
        <f>IF(AND(NOT(ISBLANK('Loan Input'!I22)),OR('Loan Input'!I$5=Lists!$AG$2,'Loan Input'!I$5=Lists!$AG$3)),'Loan Input'!I22,"")</f>
        <v/>
      </c>
      <c r="C22" s="103"/>
      <c r="D22" s="77" t="str">
        <f ca="1">IFERROR(INDEX(Validation!G:G,MATCH("Loan 7"&amp;CELL("address",D22),Validation!I:I,0)),"")</f>
        <v/>
      </c>
      <c r="E22" s="66" t="str">
        <f ca="1">IFERROR(INDEX(Validation!F:F,MATCH("Loan 7"&amp;CELL("address",D22),Validation!I:I,0)),"")</f>
        <v/>
      </c>
    </row>
    <row r="23" spans="1:5" x14ac:dyDescent="0.25">
      <c r="A23" s="79" t="s">
        <v>1101</v>
      </c>
      <c r="B23" s="122" t="str">
        <f>IF(AND(NOT(ISBLANK('Loan Input'!I24)),OR('Loan Input'!I$5=Lists!$AG$2,'Loan Input'!I$5=Lists!$AG$3)),'Loan Input'!I24,"")</f>
        <v/>
      </c>
      <c r="C23" s="103"/>
      <c r="D23" s="77" t="str">
        <f ca="1">IFERROR(INDEX(Validation!G:G,MATCH("Loan 7"&amp;CELL("address",D23),Validation!I:I,0)),"")</f>
        <v/>
      </c>
      <c r="E23" s="66" t="str">
        <f ca="1">IFERROR(INDEX(Validation!F:F,MATCH("Loan 7"&amp;CELL("address",D23),Validation!I:I,0)),"")</f>
        <v/>
      </c>
    </row>
    <row r="24" spans="1:5" x14ac:dyDescent="0.25">
      <c r="A24" s="79" t="s">
        <v>270</v>
      </c>
      <c r="B24" s="122" t="str">
        <f>IF(AND(NOT(ISBLANK('Loan Input'!I26)),OR('Loan Input'!I$5=Lists!$AG$2,'Loan Input'!I$5=Lists!$AG$3)),'Loan Input'!I26,"")</f>
        <v/>
      </c>
      <c r="C24" s="103"/>
      <c r="D24" s="77" t="str">
        <f ca="1">IFERROR(INDEX(Validation!G:G,MATCH("Loan 7"&amp;CELL("address",D24),Validation!I:I,0)),"")</f>
        <v/>
      </c>
      <c r="E24" s="66" t="str">
        <f ca="1">IFERROR(INDEX(Validation!F:F,MATCH("Loan 7"&amp;CELL("address",D24),Validation!I:I,0)),"")</f>
        <v/>
      </c>
    </row>
    <row r="25" spans="1:5" x14ac:dyDescent="0.25">
      <c r="A25" s="79" t="s">
        <v>271</v>
      </c>
      <c r="B25" s="122" t="str">
        <f>IF(AND(NOT(ISBLANK('Loan Input'!I28)),OR('Loan Input'!I$5=Lists!$AG$2,'Loan Input'!I$5=Lists!$AG$3)),'Loan Input'!I28,"")</f>
        <v/>
      </c>
      <c r="C25" s="103"/>
      <c r="D25" s="77" t="str">
        <f ca="1">IFERROR(INDEX(Validation!G:G,MATCH("Loan 7"&amp;CELL("address",D25),Validation!I:I,0)),"")</f>
        <v/>
      </c>
      <c r="E25" s="66" t="str">
        <f ca="1">IFERROR(INDEX(Validation!F:F,MATCH("Loan 7"&amp;CELL("address",D25),Validation!I:I,0)),"")</f>
        <v/>
      </c>
    </row>
    <row r="26" spans="1:5" x14ac:dyDescent="0.25">
      <c r="A26" s="79" t="s">
        <v>276</v>
      </c>
      <c r="B26" s="122" t="str">
        <f>IF(AND(NOT(ISBLANK('Loan Input'!I30)),OR('Loan Input'!C$5=Lists!$AG$2,'Loan Input'!C$5=Lists!$AG$3)),'Loan Input'!I30,"")</f>
        <v/>
      </c>
      <c r="C26" s="103"/>
      <c r="D26" s="77" t="str">
        <f ca="1">IFERROR(INDEX(Validation!G:G,MATCH("Loan 7"&amp;CELL("address",D26),Validation!I:I,0)),"")</f>
        <v/>
      </c>
      <c r="E26" s="66" t="str">
        <f ca="1">IFERROR(INDEX(Validation!F:F,MATCH("Loan 7"&amp;CELL("address",D26),Validation!I:I,0)),"")</f>
        <v/>
      </c>
    </row>
    <row r="27" spans="1:5" x14ac:dyDescent="0.25">
      <c r="A27" s="79" t="s">
        <v>272</v>
      </c>
      <c r="B27" s="122" t="str">
        <f>IF(AND(NOT(ISBLANK('Loan Input'!I32)),OR('Loan Input'!I$5=Lists!$AG$2,'Loan Input'!I$5=Lists!$AG$3)),'Loan Input'!I32,"")</f>
        <v/>
      </c>
      <c r="C27" s="103"/>
      <c r="D27" s="77" t="str">
        <f ca="1">IFERROR(INDEX(Validation!G:G,MATCH("Loan 7"&amp;CELL("address",D27),Validation!I:I,0)),"")</f>
        <v/>
      </c>
      <c r="E27" s="66" t="str">
        <f ca="1">IFERROR(INDEX(Validation!F:F,MATCH("Loan 7"&amp;CELL("address",D27),Validation!I:I,0)),"")</f>
        <v/>
      </c>
    </row>
    <row r="28" spans="1:5" x14ac:dyDescent="0.25">
      <c r="A28" s="79" t="s">
        <v>273</v>
      </c>
      <c r="B28" s="122" t="str">
        <f>IF(AND(NOT(ISBLANK('Loan Input'!I34)),OR('Loan Input'!I$5=Lists!$AG$2,'Loan Input'!I$5=Lists!$AG$3)),'Loan Input'!I34,"")</f>
        <v/>
      </c>
      <c r="C28" s="103"/>
      <c r="D28" s="77" t="str">
        <f ca="1">IFERROR(INDEX(Validation!G:G,MATCH("Loan 7"&amp;CELL("address",D28),Validation!I:I,0)),"")</f>
        <v/>
      </c>
      <c r="E28" s="66" t="str">
        <f ca="1">IFERROR(INDEX(Validation!F:F,MATCH("Loan 7"&amp;CELL("address",D28),Validation!I:I,0)),"")</f>
        <v/>
      </c>
    </row>
    <row r="29" spans="1:5" x14ac:dyDescent="0.25">
      <c r="A29" s="130" t="s">
        <v>1184</v>
      </c>
      <c r="B29" s="125">
        <f>SUM(B19:B28)</f>
        <v>0</v>
      </c>
      <c r="C29" s="125">
        <f>SUM(C19:C28)</f>
        <v>0</v>
      </c>
      <c r="D29" s="77" t="str">
        <f ca="1">IFERROR(INDEX(Validation!G:G,MATCH("Loan 7"&amp;CELL("address",D29),Validation!I:I,0)),"")</f>
        <v/>
      </c>
      <c r="E29" s="66" t="str">
        <f ca="1">IFERROR(INDEX(Validation!F:F,MATCH("Loan 7"&amp;CELL("address",D29),Validation!I:I,0)),"")</f>
        <v/>
      </c>
    </row>
    <row r="30" spans="1:5" x14ac:dyDescent="0.25">
      <c r="A30" s="130" t="s">
        <v>1185</v>
      </c>
      <c r="B30" s="125" t="str">
        <f>IFERROR(B34-B29,"")</f>
        <v/>
      </c>
      <c r="C30" s="125" t="str">
        <f>IFERROR(B34+C34-B29-C29,"")</f>
        <v/>
      </c>
      <c r="D30" s="77" t="str">
        <f ca="1">IFERROR(INDEX(Validation!G:G,MATCH("Loan 7"&amp;CELL("address",D30),Validation!I:I,0)),"")</f>
        <v/>
      </c>
      <c r="E30" s="66" t="str">
        <f ca="1">IFERROR(INDEX(Validation!F:F,MATCH("Loan 7"&amp;CELL("address",D30),Validation!I:I,0)),"")</f>
        <v/>
      </c>
    </row>
    <row r="31" spans="1:5" x14ac:dyDescent="0.25">
      <c r="A31" s="131" t="s">
        <v>1186</v>
      </c>
      <c r="B31" s="122" t="str">
        <f>IF(AND(NOT(ISBLANK('Loan Input'!I41)),OR('Loan Input'!I$5=Lists!$AG$2,'Loan Input'!I$5=Lists!$AG$3)),'Loan Input'!I41,"")</f>
        <v/>
      </c>
      <c r="C31" s="103"/>
      <c r="D31" s="77" t="str">
        <f ca="1">IFERROR(INDEX(Validation!G:G,MATCH("Loan 7"&amp;CELL("address",D31),Validation!I:I,0)),"")</f>
        <v/>
      </c>
      <c r="E31" s="66" t="str">
        <f ca="1">IFERROR(INDEX(Validation!F:F,MATCH("Loan 7"&amp;CELL("address",D31),Validation!I:I,0)),"")</f>
        <v/>
      </c>
    </row>
    <row r="32" spans="1:5" x14ac:dyDescent="0.25">
      <c r="A32" s="131" t="s">
        <v>1187</v>
      </c>
      <c r="B32" s="122" t="str">
        <f>IF(AND(NOT(ISBLANK('Loan Input'!I43)),OR('Loan Input'!I$5=Lists!$AG$2,'Loan Input'!I$5=Lists!$AG$3)),'Loan Input'!I43,"")</f>
        <v/>
      </c>
      <c r="C32" s="103"/>
      <c r="D32" s="77" t="str">
        <f ca="1">IFERROR(INDEX(Validation!G:G,MATCH("Loan 7"&amp;CELL("address",D32),Validation!I:I,0)),"")</f>
        <v/>
      </c>
      <c r="E32" s="66" t="str">
        <f ca="1">IFERROR(INDEX(Validation!F:F,MATCH("Loan 7"&amp;CELL("address",D32),Validation!I:I,0)),"")</f>
        <v/>
      </c>
    </row>
    <row r="33" spans="1:6" ht="20.100000000000001" customHeight="1" x14ac:dyDescent="0.25">
      <c r="A33" s="74" t="s">
        <v>754</v>
      </c>
      <c r="B33" s="74" t="s">
        <v>283</v>
      </c>
      <c r="C33" s="74" t="str">
        <f>Year_DestinationYearID&amp;" Amount"</f>
        <v>2024 Amount</v>
      </c>
      <c r="D33" s="77"/>
    </row>
    <row r="34" spans="1:6" x14ac:dyDescent="0.25">
      <c r="A34" s="79" t="s">
        <v>1350</v>
      </c>
      <c r="B34" s="122" t="str">
        <f>IF(AND(NOT(ISBLANK('Loan Input'!I44)),OR('Loan Input'!I$5=Lists!$AG$2,'Loan Input'!I$5=Lists!$AG$3)),'Loan Input'!I44,"")</f>
        <v/>
      </c>
      <c r="C34" s="122"/>
      <c r="D34" s="77" t="str">
        <f ca="1">IFERROR(INDEX(Validation!G:G,MATCH("Loan 7"&amp;CELL("address",D34),Validation!I:I,0)),"")</f>
        <v/>
      </c>
      <c r="E34" s="66" t="str">
        <f ca="1">IFERROR(INDEX(Validation!F:F,MATCH("Loan 7"&amp;CELL("address",D34),Validation!I:I,0)),"")</f>
        <v/>
      </c>
    </row>
    <row r="35" spans="1:6" x14ac:dyDescent="0.25">
      <c r="A35" s="79" t="s">
        <v>1188</v>
      </c>
      <c r="B35" s="122" t="str">
        <f>IF(AND(NOT(ISBLANK('Loan Input'!I47)),OR('Loan Input'!I$5=Lists!$AG$2,'Loan Input'!I$5=Lists!$AG$3)),'Loan Input'!I47,"")</f>
        <v/>
      </c>
      <c r="C35" s="122"/>
      <c r="D35" s="77" t="str">
        <f ca="1">IFERROR(INDEX(Validation!G:G,MATCH("Loan 7"&amp;CELL("address",D35),Validation!I:I,0)),"")</f>
        <v/>
      </c>
      <c r="E35" s="66" t="str">
        <f ca="1">IFERROR(INDEX(Validation!F:F,MATCH("Loan 7"&amp;CELL("address",D35),Validation!I:I,0)),"")</f>
        <v/>
      </c>
    </row>
    <row r="36" spans="1:6" x14ac:dyDescent="0.25">
      <c r="A36" s="79" t="s">
        <v>1189</v>
      </c>
      <c r="B36" s="122" t="str">
        <f>IF(AND(NOT(ISBLANK('Loan Input'!I49)),OR('Loan Input'!I$5=Lists!$AG$2,'Loan Input'!I$5=Lists!$AG$3)),'Loan Input'!I49,"")</f>
        <v/>
      </c>
      <c r="C36" s="122"/>
      <c r="D36" s="77" t="str">
        <f ca="1">IFERROR(INDEX(Validation!G:G,MATCH("Loan 7"&amp;CELL("address",D36),Validation!I:I,0)),"")</f>
        <v/>
      </c>
      <c r="E36" s="66" t="str">
        <f ca="1">IFERROR(INDEX(Validation!F:F,MATCH("Loan 7"&amp;CELL("address",D36),Validation!I:I,0)),"")</f>
        <v/>
      </c>
    </row>
    <row r="37" spans="1:6" x14ac:dyDescent="0.25">
      <c r="A37" s="79" t="s">
        <v>1190</v>
      </c>
      <c r="B37" s="122" t="str">
        <f>IF(AND(NOT(ISBLANK('Loan Input'!I51)),OR('Loan Input'!I$5=Lists!$AG$2,'Loan Input'!I$5=Lists!$AG$3)),'Loan Input'!I51,"")</f>
        <v/>
      </c>
      <c r="C37" s="122"/>
      <c r="D37" s="77" t="str">
        <f ca="1">IFERROR(INDEX(Validation!G:G,MATCH("Loan 7"&amp;CELL("address",D37),Validation!I:I,0)),"")</f>
        <v/>
      </c>
      <c r="E37" s="66" t="str">
        <f ca="1">IFERROR(INDEX(Validation!F:F,MATCH("Loan 7"&amp;CELL("address",D37),Validation!I:I,0)),"")</f>
        <v/>
      </c>
    </row>
    <row r="38" spans="1:6" x14ac:dyDescent="0.25">
      <c r="A38" s="79" t="s">
        <v>221</v>
      </c>
      <c r="B38" s="125" t="str">
        <f>IFERROR(B34-B35-B36+B37,"")</f>
        <v/>
      </c>
      <c r="C38" s="125" t="str">
        <f>IFERROR(B34+C34-B35-B36-C35-C36+B37+C37,"")</f>
        <v/>
      </c>
      <c r="D38" s="77" t="str">
        <f ca="1">IFERROR(INDEX(Validation!G:G,MATCH("Loan 7"&amp;CELL("address",D38),Validation!I:I,0)),"")</f>
        <v/>
      </c>
      <c r="E38" s="66" t="str">
        <f ca="1">IFERROR(INDEX(Validation!F:F,MATCH("Loan 7"&amp;CELL("address",D38),Validation!I:I,0)),"")</f>
        <v/>
      </c>
      <c r="F38" s="126"/>
    </row>
    <row r="39" spans="1:6" x14ac:dyDescent="0.25">
      <c r="A39" s="79" t="s">
        <v>223</v>
      </c>
      <c r="B39" s="122" t="str">
        <f>IF(AND(NOT(ISBLANK('Loan Input'!I55)),OR('Loan Input'!I$5=Lists!$AG$2,'Loan Input'!I$5=Lists!$AG$3)),'Loan Input'!I55,"")</f>
        <v/>
      </c>
      <c r="C39" s="122"/>
      <c r="D39" s="77" t="str">
        <f ca="1">IFERROR(INDEX(Validation!G:G,MATCH("Loan 7"&amp;CELL("address",D39),Validation!I:I,0)),"")</f>
        <v/>
      </c>
      <c r="E39" s="66" t="str">
        <f ca="1">IFERROR(INDEX(Validation!F:F,MATCH("Loan 7"&amp;CELL("address",D39),Validation!I:I,0)),"")</f>
        <v/>
      </c>
    </row>
    <row r="40" spans="1:6" x14ac:dyDescent="0.25">
      <c r="A40" s="79" t="s">
        <v>1191</v>
      </c>
      <c r="B40" s="122" t="str">
        <f>IF(AND(NOT(ISBLANK('Loan Input'!I57)),OR('Loan Input'!I$5=Lists!$AG$2,'Loan Input'!I$5=Lists!$AG$3)),'Loan Input'!I57,"")</f>
        <v/>
      </c>
      <c r="C40" s="122"/>
      <c r="D40" s="77" t="str">
        <f ca="1">IFERROR(INDEX(Validation!G:G,MATCH("Loan 7"&amp;CELL("address",D40),Validation!I:I,0)),"")</f>
        <v/>
      </c>
      <c r="E40" s="66" t="str">
        <f ca="1">IFERROR(INDEX(Validation!F:F,MATCH("Loan 7"&amp;CELL("address",D40),Validation!I:I,0)),"")</f>
        <v/>
      </c>
    </row>
    <row r="41" spans="1:6" x14ac:dyDescent="0.25">
      <c r="A41" s="79" t="s">
        <v>1192</v>
      </c>
      <c r="B41" s="122" t="str">
        <f>IF(AND(NOT(ISBLANK('Loan Input'!I59)),OR('Loan Input'!I$5=Lists!$AG$2,'Loan Input'!I$5=Lists!$AG$3)),'Loan Input'!I59,"")</f>
        <v/>
      </c>
      <c r="C41" s="122"/>
      <c r="D41" s="77" t="str">
        <f ca="1">IFERROR(INDEX(Validation!G:G,MATCH("Loan 7"&amp;CELL("address",D41),Validation!I:I,0)),"")</f>
        <v/>
      </c>
      <c r="E41" s="66" t="str">
        <f ca="1">IFERROR(INDEX(Validation!F:F,MATCH("Loan 7"&amp;CELL("address",D41),Validation!I:I,0)),"")</f>
        <v/>
      </c>
    </row>
    <row r="42" spans="1:6" ht="20.100000000000001" customHeight="1" x14ac:dyDescent="0.25">
      <c r="A42" s="74" t="str">
        <f>"Principal and Interest Due in "&amp;Year_DestinationYearID+1</f>
        <v>Principal and Interest Due in 2025</v>
      </c>
      <c r="B42" s="74"/>
      <c r="C42" s="74"/>
    </row>
    <row r="43" spans="1:6" x14ac:dyDescent="0.25">
      <c r="A43" s="79" t="str">
        <f>"Principal Due in "&amp;Year_DestinationYearID+1</f>
        <v>Principal Due in 2025</v>
      </c>
      <c r="B43" s="122"/>
      <c r="C43" s="128"/>
      <c r="D43" s="77" t="str">
        <f ca="1">IFERROR(INDEX(Validation!G:G,MATCH("Loan 7"&amp;CELL("address",D43),Validation!I:I,0)),"")</f>
        <v/>
      </c>
      <c r="E43" s="66" t="str">
        <f ca="1">IFERROR(INDEX(Validation!F:F,MATCH("Loan 7"&amp;CELL("address",D43),Validation!I:I,0)),"")</f>
        <v/>
      </c>
    </row>
    <row r="44" spans="1:6" x14ac:dyDescent="0.25">
      <c r="A44" s="79" t="str">
        <f>"Interest Due in "&amp;Year_DestinationYearID+1</f>
        <v>Interest Due in 2025</v>
      </c>
      <c r="B44" s="122"/>
      <c r="C44" s="128"/>
      <c r="D44" s="77" t="str">
        <f ca="1">IFERROR(INDEX(Validation!G:G,MATCH("Loan 7"&amp;CELL("address",D44),Validation!I:I,0)),"")</f>
        <v/>
      </c>
      <c r="E44" s="66" t="str">
        <f ca="1">IFERROR(INDEX(Validation!F:F,MATCH("Loan 7"&amp;CELL("address",D44),Validation!I:I,0)),"")</f>
        <v/>
      </c>
    </row>
    <row r="45" spans="1:6" ht="20.100000000000001" customHeight="1" x14ac:dyDescent="0.25">
      <c r="A45" s="97" t="s">
        <v>176</v>
      </c>
      <c r="D45" s="77" t="str">
        <f ca="1">IF(AND(ISBLANK(A46),OR(COUNTIF(E6:E44,"Alert")&gt;0,SUM(B37:B37)&lt;&gt;0)),"Comment(s) required for remaining alert(s) and/or additions to principal.",IFERROR(INDEX(Validation!G:G,MATCH("Loan 7"&amp;CELL("address",D45),Validation!I:I,0)),""))</f>
        <v/>
      </c>
      <c r="E45" s="66" t="str">
        <f ca="1">IF(AND(ISBLANK(A46),OR(COUNTIF(E6:E44,"Alert")&gt;0,SUM(B37:B37)&lt;&gt;0)),"Error",IFERROR(INDEX(Validation!F:F,MATCH("Loan 7"&amp;CELL("address",D45),Validation!I:I,0)),""))</f>
        <v/>
      </c>
    </row>
    <row r="46" spans="1:6" ht="150" customHeight="1" x14ac:dyDescent="0.25">
      <c r="A46" s="123"/>
      <c r="B46" s="100" t="str">
        <f>HYPERLINK("#'Loans'!B6","Click here to return to the Loans Tab")</f>
        <v>Click here to return to the Loans Tab</v>
      </c>
      <c r="C46" s="127"/>
    </row>
    <row r="47" spans="1:6" x14ac:dyDescent="0.25">
      <c r="A47" s="98"/>
      <c r="B47" s="98"/>
      <c r="C47" s="98"/>
    </row>
    <row r="48" spans="1:6" x14ac:dyDescent="0.25">
      <c r="A48" s="98"/>
      <c r="B48" s="98"/>
      <c r="C48" s="98"/>
    </row>
    <row r="49" spans="1:3" x14ac:dyDescent="0.25">
      <c r="A49" s="98"/>
      <c r="B49" s="98"/>
      <c r="C49" s="98"/>
    </row>
    <row r="50" spans="1:3" x14ac:dyDescent="0.25">
      <c r="A50" s="98"/>
      <c r="B50" s="98"/>
      <c r="C50" s="98"/>
    </row>
  </sheetData>
  <sheetProtection algorithmName="SHA-512" hashValue="5IvZWm9UOr1oFfG2bLhvjHdISfKeYFKpr79+rvoLQLNRVwH1Nkk8XS37IJKPCa/ep3TJYcIFghj3f6L8uFiUMg==" saltValue="CEOK2Ne8yULQuaXN4utCMQ==" spinCount="100000" sheet="1" objects="1" scenarios="1"/>
  <mergeCells count="1">
    <mergeCell ref="A4:E4"/>
  </mergeCells>
  <conditionalFormatting sqref="A2">
    <cfRule type="expression" dxfId="215" priority="11">
      <formula>$E2="Error"</formula>
    </cfRule>
    <cfRule type="expression" dxfId="213" priority="13">
      <formula>$E2="Exclude"</formula>
    </cfRule>
  </conditionalFormatting>
  <conditionalFormatting sqref="D6:E41 D43:E45">
    <cfRule type="expression" dxfId="210" priority="5">
      <formula>$E6="Information"</formula>
    </cfRule>
    <cfRule type="expression" dxfId="209" priority="6">
      <formula>$E6="Error"</formula>
    </cfRule>
    <cfRule type="expression" dxfId="208" priority="7">
      <formula>$E6="Alert"</formula>
    </cfRule>
    <cfRule type="expression" dxfId="207" priority="8">
      <formula>$E6="Exclude"</formula>
    </cfRule>
  </conditionalFormatting>
  <dataValidations count="4">
    <dataValidation type="list" allowBlank="1" showInputMessage="1" showErrorMessage="1" sqref="B7" xr:uid="{A0C44877-15B7-41FC-B360-472CFFF6B0E6}">
      <formula1>DueToType</formula1>
    </dataValidation>
    <dataValidation type="list" allowBlank="1" showInputMessage="1" showErrorMessage="1" sqref="B8" xr:uid="{5BC56C4D-BA8F-4890-9F1C-F2F5F11DEE6E}">
      <formula1>DistrictDropDown</formula1>
    </dataValidation>
    <dataValidation type="list" allowBlank="1" showInputMessage="1" showErrorMessage="1" sqref="B14:C14" xr:uid="{40FD3004-664D-4FCE-8D4F-50FDCBB1FA25}">
      <formula1>InterestRateType</formula1>
    </dataValidation>
    <dataValidation type="list" allowBlank="1" showInputMessage="1" showErrorMessage="1" sqref="B16:B17" xr:uid="{E0205723-8453-4E50-990B-235A626D338D}">
      <formula1>SelOneYesNo</formula1>
    </dataValidation>
  </dataValidations>
  <pageMargins left="0.7" right="0.7" top="0.75" bottom="0.75" header="0.3" footer="0.3"/>
  <pageSetup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12" id="{3EE19566-121A-4E87-B479-A3A4BB7B7447}">
            <xm:f>COUNTIFS(Validation!$H:$H,MID(CELL("filename",A2),FIND("]",CELL("filename",A2))+1,255)&amp;CELL("address",A2))&gt;0</xm:f>
            <x14:dxf>
              <font>
                <b/>
                <i val="0"/>
                <color rgb="FFC00000"/>
              </font>
              <numFmt numFmtId="172" formatCode="_(\!* #,##0_);_(\!* \(#,##0\);_(\!* \-??_);_(\!\ @_)"/>
            </x14:dxf>
          </x14:cfRule>
          <xm:sqref>A2</xm:sqref>
        </x14:conditionalFormatting>
        <x14:conditionalFormatting xmlns:xm="http://schemas.microsoft.com/office/excel/2006/main">
          <x14:cfRule type="expression" priority="10" id="{C157E6FF-46D9-4DAC-9FCE-2057764F1E20}">
            <xm:f>$B$7=Lists!$AH$3</xm:f>
            <x14:dxf>
              <fill>
                <patternFill>
                  <bgColor rgb="FFEAEAEA"/>
                </patternFill>
              </fill>
            </x14:dxf>
          </x14:cfRule>
          <xm:sqref>B8</xm:sqref>
        </x14:conditionalFormatting>
        <x14:conditionalFormatting xmlns:xm="http://schemas.microsoft.com/office/excel/2006/main">
          <x14:cfRule type="expression" priority="9" id="{DFB14F44-CC0B-409E-8612-B7BF1CF7E978}">
            <xm:f>$B$7=Lists!$AH$2</xm:f>
            <x14:dxf>
              <fill>
                <patternFill>
                  <bgColor rgb="FFEAEAEA"/>
                </patternFill>
              </fill>
            </x14:dxf>
          </x14:cfRule>
          <xm:sqref>B9</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09E16F-6825-4C6A-8E43-2218B66CC86D}">
  <sheetPr>
    <tabColor rgb="FFFFC000"/>
  </sheetPr>
  <dimension ref="A1:S66"/>
  <sheetViews>
    <sheetView topLeftCell="B1" workbookViewId="0">
      <selection activeCell="C17" sqref="C17"/>
    </sheetView>
  </sheetViews>
  <sheetFormatPr defaultRowHeight="15" x14ac:dyDescent="0.25"/>
  <cols>
    <col min="1" max="1" width="55.7109375" customWidth="1"/>
    <col min="2" max="2" width="55.7109375" bestFit="1" customWidth="1"/>
  </cols>
  <sheetData>
    <row r="1" spans="1:18" s="43" customFormat="1" ht="24.95" customHeight="1" x14ac:dyDescent="0.3">
      <c r="A1" s="29" t="s">
        <v>756</v>
      </c>
    </row>
    <row r="2" spans="1:18" s="8" customFormat="1" ht="45" customHeight="1" x14ac:dyDescent="0.25">
      <c r="A2" s="9" t="s">
        <v>809</v>
      </c>
    </row>
    <row r="3" spans="1:18" x14ac:dyDescent="0.25">
      <c r="A3" s="1"/>
      <c r="B3" t="s">
        <v>506</v>
      </c>
      <c r="C3" s="28" t="str">
        <f>IF(NOT(ISBLANK('IFL Input'!C65)),'IFL Input'!C65,"")</f>
        <v>1</v>
      </c>
      <c r="D3" s="28" t="str">
        <f>IF(NOT(ISBLANK('IFL Input'!D65)),'IFL Input'!D65,"")</f>
        <v/>
      </c>
      <c r="E3" s="28" t="str">
        <f>IF(NOT(ISBLANK('IFL Input'!E65)),'IFL Input'!E65,"")</f>
        <v/>
      </c>
      <c r="F3" s="28" t="str">
        <f>IF(NOT(ISBLANK('IFL Input'!F65)),'IFL Input'!F65,"")</f>
        <v/>
      </c>
      <c r="G3" s="28" t="str">
        <f>IF(NOT(ISBLANK('IFL Input'!G65)),'IFL Input'!G65,"")</f>
        <v/>
      </c>
      <c r="H3" s="28" t="str">
        <f>IF(NOT(ISBLANK('IFL Input'!H65)),'IFL Input'!H65,"")</f>
        <v/>
      </c>
      <c r="I3" s="28" t="str">
        <f>IF(NOT(ISBLANK('IFL Input'!I65)),'IFL Input'!I65,"")</f>
        <v/>
      </c>
      <c r="J3" s="28" t="str">
        <f>IF(NOT(ISBLANK('IFL Input'!J65)),'IFL Input'!J65,"")</f>
        <v/>
      </c>
      <c r="K3" s="28" t="str">
        <f>IF(NOT(ISBLANK('IFL Input'!K65)),'IFL Input'!K65,"")</f>
        <v/>
      </c>
      <c r="L3" s="28" t="str">
        <f>IF(NOT(ISBLANK('IFL Input'!L65)),'IFL Input'!L65,"")</f>
        <v/>
      </c>
      <c r="M3" s="28" t="str">
        <f>IF(NOT(ISBLANK('IFL Input'!M65)),'IFL Input'!M65,"")</f>
        <v/>
      </c>
      <c r="N3" s="28" t="str">
        <f>IF(NOT(ISBLANK('IFL Input'!N65)),'IFL Input'!N65,"")</f>
        <v/>
      </c>
      <c r="O3" s="28" t="str">
        <f>IF(NOT(ISBLANK('IFL Input'!O65)),'IFL Input'!O65,"")</f>
        <v/>
      </c>
      <c r="P3" s="28" t="str">
        <f>IF(NOT(ISBLANK('IFL Input'!P65)),'IFL Input'!P65,"")</f>
        <v/>
      </c>
      <c r="Q3" s="28" t="str">
        <f>IF(NOT(ISBLANK('IFL Input'!Q65)),'IFL Input'!Q65,"")</f>
        <v/>
      </c>
      <c r="R3" s="28" t="s">
        <v>759</v>
      </c>
    </row>
    <row r="4" spans="1:18" x14ac:dyDescent="0.25">
      <c r="A4" s="7" t="s">
        <v>873</v>
      </c>
      <c r="B4" t="s">
        <v>874</v>
      </c>
      <c r="C4" s="28">
        <f t="shared" ref="C4:Q4" si="0">_xlfn.XLOOKUP(C$3,IFL_Input_Column,TIF_InterfundLoan_InterfundLoanId,"")</f>
        <v>904</v>
      </c>
      <c r="D4" s="28" t="str">
        <f t="shared" si="0"/>
        <v/>
      </c>
      <c r="E4" s="28" t="str">
        <f t="shared" si="0"/>
        <v/>
      </c>
      <c r="F4" s="28" t="str">
        <f t="shared" si="0"/>
        <v/>
      </c>
      <c r="G4" s="28" t="str">
        <f t="shared" si="0"/>
        <v/>
      </c>
      <c r="H4" s="28" t="str">
        <f t="shared" si="0"/>
        <v/>
      </c>
      <c r="I4" s="28" t="str">
        <f t="shared" si="0"/>
        <v/>
      </c>
      <c r="J4" s="28" t="str">
        <f t="shared" si="0"/>
        <v/>
      </c>
      <c r="K4" s="28" t="str">
        <f t="shared" si="0"/>
        <v/>
      </c>
      <c r="L4" s="28" t="str">
        <f t="shared" si="0"/>
        <v/>
      </c>
      <c r="M4" s="28" t="str">
        <f t="shared" si="0"/>
        <v/>
      </c>
      <c r="N4" s="28" t="str">
        <f t="shared" si="0"/>
        <v/>
      </c>
      <c r="O4" s="28" t="str">
        <f t="shared" si="0"/>
        <v/>
      </c>
      <c r="P4" s="28" t="str">
        <f t="shared" si="0"/>
        <v/>
      </c>
      <c r="Q4" s="28" t="str">
        <f t="shared" si="0"/>
        <v/>
      </c>
      <c r="R4" s="45" t="s">
        <v>883</v>
      </c>
    </row>
    <row r="5" spans="1:18" x14ac:dyDescent="0.25">
      <c r="A5" s="7" t="s">
        <v>761</v>
      </c>
      <c r="B5" t="s">
        <v>782</v>
      </c>
      <c r="C5" s="28" t="str">
        <f t="shared" ref="C5:Q5" si="1">_xlfn.XLOOKUP(C$3,IFL_Input_Column,TIF_InterfundLoanType_TypeName_Input,"")</f>
        <v>fma</v>
      </c>
      <c r="D5" s="28" t="str">
        <f t="shared" si="1"/>
        <v/>
      </c>
      <c r="E5" s="28" t="str">
        <f t="shared" si="1"/>
        <v/>
      </c>
      <c r="F5" s="28" t="str">
        <f t="shared" si="1"/>
        <v/>
      </c>
      <c r="G5" s="28" t="str">
        <f t="shared" si="1"/>
        <v/>
      </c>
      <c r="H5" s="28" t="str">
        <f t="shared" si="1"/>
        <v/>
      </c>
      <c r="I5" s="28" t="str">
        <f t="shared" si="1"/>
        <v/>
      </c>
      <c r="J5" s="28" t="str">
        <f t="shared" si="1"/>
        <v/>
      </c>
      <c r="K5" s="28" t="str">
        <f t="shared" si="1"/>
        <v/>
      </c>
      <c r="L5" s="28" t="str">
        <f t="shared" si="1"/>
        <v/>
      </c>
      <c r="M5" s="28" t="str">
        <f t="shared" si="1"/>
        <v/>
      </c>
      <c r="N5" s="28" t="str">
        <f t="shared" si="1"/>
        <v/>
      </c>
      <c r="O5" s="28" t="str">
        <f t="shared" si="1"/>
        <v/>
      </c>
      <c r="P5" s="28" t="str">
        <f t="shared" si="1"/>
        <v/>
      </c>
      <c r="Q5" s="28" t="str">
        <f t="shared" si="1"/>
        <v/>
      </c>
      <c r="R5" s="45" t="s">
        <v>884</v>
      </c>
    </row>
    <row r="6" spans="1:18" x14ac:dyDescent="0.25">
      <c r="A6" s="7" t="s">
        <v>769</v>
      </c>
      <c r="B6" t="s">
        <v>783</v>
      </c>
      <c r="C6" s="28">
        <f t="shared" ref="C6:Q6" si="2">_xlfn.XLOOKUP(C$3,IFL_Input_Column,TIF_InterfundLoan_OtherDistrictName_Input,"")</f>
        <v>0</v>
      </c>
      <c r="D6" s="28" t="str">
        <f t="shared" si="2"/>
        <v/>
      </c>
      <c r="E6" s="28" t="str">
        <f t="shared" si="2"/>
        <v/>
      </c>
      <c r="F6" s="28" t="str">
        <f t="shared" si="2"/>
        <v/>
      </c>
      <c r="G6" s="28" t="str">
        <f t="shared" si="2"/>
        <v/>
      </c>
      <c r="H6" s="28" t="str">
        <f t="shared" si="2"/>
        <v/>
      </c>
      <c r="I6" s="28" t="str">
        <f t="shared" si="2"/>
        <v/>
      </c>
      <c r="J6" s="28" t="str">
        <f t="shared" si="2"/>
        <v/>
      </c>
      <c r="K6" s="28" t="str">
        <f t="shared" si="2"/>
        <v/>
      </c>
      <c r="L6" s="28" t="str">
        <f t="shared" si="2"/>
        <v/>
      </c>
      <c r="M6" s="28" t="str">
        <f t="shared" si="2"/>
        <v/>
      </c>
      <c r="N6" s="28" t="str">
        <f t="shared" si="2"/>
        <v/>
      </c>
      <c r="O6" s="28" t="str">
        <f t="shared" si="2"/>
        <v/>
      </c>
      <c r="P6" s="28" t="str">
        <f t="shared" si="2"/>
        <v/>
      </c>
      <c r="Q6" s="28" t="str">
        <f t="shared" si="2"/>
        <v/>
      </c>
      <c r="R6" s="45" t="s">
        <v>885</v>
      </c>
    </row>
    <row r="7" spans="1:18" x14ac:dyDescent="0.25">
      <c r="A7" s="7" t="s">
        <v>770</v>
      </c>
      <c r="B7" t="s">
        <v>784</v>
      </c>
      <c r="C7" s="28" t="str">
        <f t="shared" ref="C7:Q7" si="3">_xlfn.XLOOKUP(C$3,IFL_Input_Column,TIF_InterfundLoan_NonTiAccount_Input,"")</f>
        <v>General Fund</v>
      </c>
      <c r="D7" s="28" t="str">
        <f t="shared" si="3"/>
        <v/>
      </c>
      <c r="E7" s="28" t="str">
        <f t="shared" si="3"/>
        <v/>
      </c>
      <c r="F7" s="28" t="str">
        <f t="shared" si="3"/>
        <v/>
      </c>
      <c r="G7" s="28" t="str">
        <f t="shared" si="3"/>
        <v/>
      </c>
      <c r="H7" s="28" t="str">
        <f t="shared" si="3"/>
        <v/>
      </c>
      <c r="I7" s="28" t="str">
        <f t="shared" si="3"/>
        <v/>
      </c>
      <c r="J7" s="28" t="str">
        <f t="shared" si="3"/>
        <v/>
      </c>
      <c r="K7" s="28" t="str">
        <f t="shared" si="3"/>
        <v/>
      </c>
      <c r="L7" s="28" t="str">
        <f t="shared" si="3"/>
        <v/>
      </c>
      <c r="M7" s="28" t="str">
        <f t="shared" si="3"/>
        <v/>
      </c>
      <c r="N7" s="28" t="str">
        <f t="shared" si="3"/>
        <v/>
      </c>
      <c r="O7" s="28" t="str">
        <f t="shared" si="3"/>
        <v/>
      </c>
      <c r="P7" s="28" t="str">
        <f t="shared" si="3"/>
        <v/>
      </c>
      <c r="Q7" s="28" t="str">
        <f t="shared" si="3"/>
        <v/>
      </c>
      <c r="R7" s="45" t="s">
        <v>886</v>
      </c>
    </row>
    <row r="8" spans="1:18" x14ac:dyDescent="0.25">
      <c r="A8" s="7" t="s">
        <v>240</v>
      </c>
      <c r="B8" t="s">
        <v>785</v>
      </c>
      <c r="C8" s="37">
        <f t="shared" ref="C8:Q8" si="4">_xlfn.XLOOKUP(C$3,IFL_Input_Column,TIF_InterfundLoan_ResolutionDate_Input,"")</f>
        <v>41092</v>
      </c>
      <c r="D8" s="37" t="str">
        <f t="shared" si="4"/>
        <v/>
      </c>
      <c r="E8" s="37" t="str">
        <f t="shared" si="4"/>
        <v/>
      </c>
      <c r="F8" s="37" t="str">
        <f t="shared" si="4"/>
        <v/>
      </c>
      <c r="G8" s="37" t="str">
        <f t="shared" si="4"/>
        <v/>
      </c>
      <c r="H8" s="37" t="str">
        <f t="shared" si="4"/>
        <v/>
      </c>
      <c r="I8" s="37" t="str">
        <f t="shared" si="4"/>
        <v/>
      </c>
      <c r="J8" s="37" t="str">
        <f t="shared" si="4"/>
        <v/>
      </c>
      <c r="K8" s="37" t="str">
        <f t="shared" si="4"/>
        <v/>
      </c>
      <c r="L8" s="37" t="str">
        <f t="shared" si="4"/>
        <v/>
      </c>
      <c r="M8" s="37" t="str">
        <f t="shared" si="4"/>
        <v/>
      </c>
      <c r="N8" s="37" t="str">
        <f t="shared" si="4"/>
        <v/>
      </c>
      <c r="O8" s="37" t="str">
        <f t="shared" si="4"/>
        <v/>
      </c>
      <c r="P8" s="37" t="str">
        <f t="shared" si="4"/>
        <v/>
      </c>
      <c r="Q8" s="37" t="str">
        <f t="shared" si="4"/>
        <v/>
      </c>
      <c r="R8" s="45" t="s">
        <v>887</v>
      </c>
    </row>
    <row r="9" spans="1:18" x14ac:dyDescent="0.25">
      <c r="A9" s="7" t="s">
        <v>212</v>
      </c>
      <c r="B9" t="s">
        <v>786</v>
      </c>
      <c r="C9" s="37">
        <f t="shared" ref="C9:Q9" si="5">_xlfn.XLOOKUP(C$3,IFL_Input_Column,TIF_InterfundLoan_FinalMaturityDate_Input,"")</f>
        <v>51135</v>
      </c>
      <c r="D9" s="37" t="str">
        <f t="shared" si="5"/>
        <v/>
      </c>
      <c r="E9" s="37" t="str">
        <f t="shared" si="5"/>
        <v/>
      </c>
      <c r="F9" s="37" t="str">
        <f t="shared" si="5"/>
        <v/>
      </c>
      <c r="G9" s="37" t="str">
        <f t="shared" si="5"/>
        <v/>
      </c>
      <c r="H9" s="37" t="str">
        <f t="shared" si="5"/>
        <v/>
      </c>
      <c r="I9" s="37" t="str">
        <f t="shared" si="5"/>
        <v/>
      </c>
      <c r="J9" s="37" t="str">
        <f t="shared" si="5"/>
        <v/>
      </c>
      <c r="K9" s="37" t="str">
        <f t="shared" si="5"/>
        <v/>
      </c>
      <c r="L9" s="37" t="str">
        <f t="shared" si="5"/>
        <v/>
      </c>
      <c r="M9" s="37" t="str">
        <f t="shared" si="5"/>
        <v/>
      </c>
      <c r="N9" s="37" t="str">
        <f t="shared" si="5"/>
        <v/>
      </c>
      <c r="O9" s="37" t="str">
        <f t="shared" si="5"/>
        <v/>
      </c>
      <c r="P9" s="37" t="str">
        <f t="shared" si="5"/>
        <v/>
      </c>
      <c r="Q9" s="37" t="str">
        <f t="shared" si="5"/>
        <v/>
      </c>
      <c r="R9" s="45" t="s">
        <v>888</v>
      </c>
    </row>
    <row r="10" spans="1:18" x14ac:dyDescent="0.25">
      <c r="A10" s="7" t="s">
        <v>213</v>
      </c>
      <c r="B10" t="s">
        <v>787</v>
      </c>
      <c r="C10" s="28">
        <f t="shared" ref="C10:Q10" si="6">_xlfn.XLOOKUP(C$3,IFL_Input_Column,TIF_InterfundLoan_InterestRateLow_Input,"")</f>
        <v>4</v>
      </c>
      <c r="D10" s="28" t="str">
        <f t="shared" si="6"/>
        <v/>
      </c>
      <c r="E10" s="28" t="str">
        <f t="shared" si="6"/>
        <v/>
      </c>
      <c r="F10" s="28" t="str">
        <f t="shared" si="6"/>
        <v/>
      </c>
      <c r="G10" s="28" t="str">
        <f t="shared" si="6"/>
        <v/>
      </c>
      <c r="H10" s="28" t="str">
        <f t="shared" si="6"/>
        <v/>
      </c>
      <c r="I10" s="28" t="str">
        <f t="shared" si="6"/>
        <v/>
      </c>
      <c r="J10" s="28" t="str">
        <f t="shared" si="6"/>
        <v/>
      </c>
      <c r="K10" s="28" t="str">
        <f t="shared" si="6"/>
        <v/>
      </c>
      <c r="L10" s="28" t="str">
        <f t="shared" si="6"/>
        <v/>
      </c>
      <c r="M10" s="28" t="str">
        <f t="shared" si="6"/>
        <v/>
      </c>
      <c r="N10" s="28" t="str">
        <f t="shared" si="6"/>
        <v/>
      </c>
      <c r="O10" s="28" t="str">
        <f t="shared" si="6"/>
        <v/>
      </c>
      <c r="P10" s="28" t="str">
        <f t="shared" si="6"/>
        <v/>
      </c>
      <c r="Q10" s="28" t="str">
        <f t="shared" si="6"/>
        <v/>
      </c>
      <c r="R10" s="45" t="s">
        <v>889</v>
      </c>
    </row>
    <row r="11" spans="1:18" x14ac:dyDescent="0.25">
      <c r="A11" s="7" t="s">
        <v>214</v>
      </c>
      <c r="B11" t="s">
        <v>788</v>
      </c>
      <c r="C11" s="28">
        <f t="shared" ref="C11:Q11" si="7">_xlfn.XLOOKUP(C$3,IFL_Input_Column,TIF_InterfundLoan_InterestRateHigh_Input,"")</f>
        <v>4</v>
      </c>
      <c r="D11" s="28" t="str">
        <f t="shared" si="7"/>
        <v/>
      </c>
      <c r="E11" s="28" t="str">
        <f t="shared" si="7"/>
        <v/>
      </c>
      <c r="F11" s="28" t="str">
        <f t="shared" si="7"/>
        <v/>
      </c>
      <c r="G11" s="28" t="str">
        <f t="shared" si="7"/>
        <v/>
      </c>
      <c r="H11" s="28" t="str">
        <f t="shared" si="7"/>
        <v/>
      </c>
      <c r="I11" s="28" t="str">
        <f t="shared" si="7"/>
        <v/>
      </c>
      <c r="J11" s="28" t="str">
        <f t="shared" si="7"/>
        <v/>
      </c>
      <c r="K11" s="28" t="str">
        <f t="shared" si="7"/>
        <v/>
      </c>
      <c r="L11" s="28" t="str">
        <f t="shared" si="7"/>
        <v/>
      </c>
      <c r="M11" s="28" t="str">
        <f t="shared" si="7"/>
        <v/>
      </c>
      <c r="N11" s="28" t="str">
        <f t="shared" si="7"/>
        <v/>
      </c>
      <c r="O11" s="28" t="str">
        <f t="shared" si="7"/>
        <v/>
      </c>
      <c r="P11" s="28" t="str">
        <f t="shared" si="7"/>
        <v/>
      </c>
      <c r="Q11" s="28" t="str">
        <f t="shared" si="7"/>
        <v/>
      </c>
      <c r="R11" s="45" t="s">
        <v>890</v>
      </c>
    </row>
    <row r="12" spans="1:18" x14ac:dyDescent="0.25">
      <c r="A12" s="7" t="s">
        <v>241</v>
      </c>
      <c r="B12" s="32" t="s">
        <v>789</v>
      </c>
      <c r="C12" s="28" t="str">
        <f t="shared" ref="C12:Q12" si="8">_xlfn.XLOOKUP(C$3,IFL_Input_Column,TIF_InterfundLoan_InterestRateType_Input,"")</f>
        <v>Fixed</v>
      </c>
      <c r="D12" s="28" t="str">
        <f t="shared" si="8"/>
        <v/>
      </c>
      <c r="E12" s="28" t="str">
        <f t="shared" si="8"/>
        <v/>
      </c>
      <c r="F12" s="28" t="str">
        <f t="shared" si="8"/>
        <v/>
      </c>
      <c r="G12" s="28" t="str">
        <f t="shared" si="8"/>
        <v/>
      </c>
      <c r="H12" s="28" t="str">
        <f t="shared" si="8"/>
        <v/>
      </c>
      <c r="I12" s="28" t="str">
        <f t="shared" si="8"/>
        <v/>
      </c>
      <c r="J12" s="28" t="str">
        <f t="shared" si="8"/>
        <v/>
      </c>
      <c r="K12" s="28" t="str">
        <f t="shared" si="8"/>
        <v/>
      </c>
      <c r="L12" s="28" t="str">
        <f t="shared" si="8"/>
        <v/>
      </c>
      <c r="M12" s="28" t="str">
        <f t="shared" si="8"/>
        <v/>
      </c>
      <c r="N12" s="28" t="str">
        <f t="shared" si="8"/>
        <v/>
      </c>
      <c r="O12" s="28" t="str">
        <f t="shared" si="8"/>
        <v/>
      </c>
      <c r="P12" s="28" t="str">
        <f t="shared" si="8"/>
        <v/>
      </c>
      <c r="Q12" s="28" t="str">
        <f t="shared" si="8"/>
        <v/>
      </c>
      <c r="R12" s="45" t="s">
        <v>891</v>
      </c>
    </row>
    <row r="13" spans="1:18" x14ac:dyDescent="0.25">
      <c r="A13" s="7" t="s">
        <v>242</v>
      </c>
      <c r="B13" t="s">
        <v>790</v>
      </c>
      <c r="C13" s="28">
        <f t="shared" ref="C13:Q13" si="9">_xlfn.XLOOKUP(C$3,IFL_Input_Column,TIF_InterfundLoan_ResolutionAmt_Input,"")</f>
        <v>1572222</v>
      </c>
      <c r="D13" s="28" t="str">
        <f t="shared" si="9"/>
        <v/>
      </c>
      <c r="E13" s="28" t="str">
        <f t="shared" si="9"/>
        <v/>
      </c>
      <c r="F13" s="28" t="str">
        <f t="shared" si="9"/>
        <v/>
      </c>
      <c r="G13" s="28" t="str">
        <f t="shared" si="9"/>
        <v/>
      </c>
      <c r="H13" s="28" t="str">
        <f t="shared" si="9"/>
        <v/>
      </c>
      <c r="I13" s="28" t="str">
        <f t="shared" si="9"/>
        <v/>
      </c>
      <c r="J13" s="28" t="str">
        <f t="shared" si="9"/>
        <v/>
      </c>
      <c r="K13" s="28" t="str">
        <f t="shared" si="9"/>
        <v/>
      </c>
      <c r="L13" s="28" t="str">
        <f t="shared" si="9"/>
        <v/>
      </c>
      <c r="M13" s="28" t="str">
        <f t="shared" si="9"/>
        <v/>
      </c>
      <c r="N13" s="28" t="str">
        <f t="shared" si="9"/>
        <v/>
      </c>
      <c r="O13" s="28" t="str">
        <f t="shared" si="9"/>
        <v/>
      </c>
      <c r="P13" s="28" t="str">
        <f t="shared" si="9"/>
        <v/>
      </c>
      <c r="Q13" s="28" t="str">
        <f t="shared" si="9"/>
        <v/>
      </c>
      <c r="R13" s="45" t="s">
        <v>892</v>
      </c>
    </row>
    <row r="14" spans="1:18" x14ac:dyDescent="0.25">
      <c r="A14" s="7" t="s">
        <v>232</v>
      </c>
      <c r="B14" s="32" t="s">
        <v>780</v>
      </c>
      <c r="C14" s="28" t="b">
        <f t="shared" ref="C14:Q14" si="10">_xlfn.XLOOKUP(C$3,IFL_Input_Column,TIF_InterfundLoan_MeetsFiveYrRuleInd_Input,"")</f>
        <v>1</v>
      </c>
      <c r="D14" s="28" t="str">
        <f t="shared" si="10"/>
        <v/>
      </c>
      <c r="E14" s="28" t="str">
        <f t="shared" si="10"/>
        <v/>
      </c>
      <c r="F14" s="28" t="str">
        <f t="shared" si="10"/>
        <v/>
      </c>
      <c r="G14" s="28" t="str">
        <f t="shared" si="10"/>
        <v/>
      </c>
      <c r="H14" s="28" t="str">
        <f t="shared" si="10"/>
        <v/>
      </c>
      <c r="I14" s="28" t="str">
        <f t="shared" si="10"/>
        <v/>
      </c>
      <c r="J14" s="28" t="str">
        <f t="shared" si="10"/>
        <v/>
      </c>
      <c r="K14" s="28" t="str">
        <f t="shared" si="10"/>
        <v/>
      </c>
      <c r="L14" s="28" t="str">
        <f t="shared" si="10"/>
        <v/>
      </c>
      <c r="M14" s="28" t="str">
        <f t="shared" si="10"/>
        <v/>
      </c>
      <c r="N14" s="28" t="str">
        <f t="shared" si="10"/>
        <v/>
      </c>
      <c r="O14" s="28" t="str">
        <f t="shared" si="10"/>
        <v/>
      </c>
      <c r="P14" s="28" t="str">
        <f t="shared" si="10"/>
        <v/>
      </c>
      <c r="Q14" s="28" t="str">
        <f t="shared" si="10"/>
        <v/>
      </c>
      <c r="R14" s="45" t="s">
        <v>893</v>
      </c>
    </row>
    <row r="15" spans="1:18" x14ac:dyDescent="0.25">
      <c r="A15" s="33" t="s">
        <v>237</v>
      </c>
      <c r="B15" s="34" t="s">
        <v>779</v>
      </c>
      <c r="C15" s="35"/>
      <c r="D15" s="35"/>
      <c r="E15" s="35"/>
      <c r="F15" s="35"/>
      <c r="G15" s="35"/>
      <c r="H15" s="35"/>
      <c r="I15" s="35"/>
      <c r="J15" s="35"/>
      <c r="K15" s="35"/>
      <c r="L15" s="35"/>
      <c r="M15" s="35"/>
      <c r="N15" s="35"/>
      <c r="O15" s="35"/>
      <c r="P15" s="35"/>
      <c r="Q15" s="35"/>
      <c r="R15" s="35"/>
    </row>
    <row r="16" spans="1:18" x14ac:dyDescent="0.25">
      <c r="A16" s="7" t="s">
        <v>1193</v>
      </c>
      <c r="B16" s="32" t="s">
        <v>1351</v>
      </c>
      <c r="C16" s="28">
        <f t="shared" ref="C16:Q16" si="11">_xlfn.XLOOKUP(C$3,IFL_Input_Column,TIF_InterfundLoanAnnual_LandBldgAcquisitionCostPriorAdj_Input,"")</f>
        <v>0</v>
      </c>
      <c r="D16" s="28" t="str">
        <f t="shared" si="11"/>
        <v/>
      </c>
      <c r="E16" s="28" t="str">
        <f t="shared" si="11"/>
        <v/>
      </c>
      <c r="F16" s="28" t="str">
        <f t="shared" si="11"/>
        <v/>
      </c>
      <c r="G16" s="28" t="str">
        <f t="shared" si="11"/>
        <v/>
      </c>
      <c r="H16" s="28" t="str">
        <f t="shared" si="11"/>
        <v/>
      </c>
      <c r="I16" s="28" t="str">
        <f t="shared" si="11"/>
        <v/>
      </c>
      <c r="J16" s="28" t="str">
        <f t="shared" si="11"/>
        <v/>
      </c>
      <c r="K16" s="28" t="str">
        <f t="shared" si="11"/>
        <v/>
      </c>
      <c r="L16" s="28" t="str">
        <f t="shared" si="11"/>
        <v/>
      </c>
      <c r="M16" s="28" t="str">
        <f t="shared" si="11"/>
        <v/>
      </c>
      <c r="N16" s="28" t="str">
        <f t="shared" si="11"/>
        <v/>
      </c>
      <c r="O16" s="28" t="str">
        <f t="shared" si="11"/>
        <v/>
      </c>
      <c r="P16" s="28" t="str">
        <f t="shared" si="11"/>
        <v/>
      </c>
      <c r="Q16" s="28" t="str">
        <f t="shared" si="11"/>
        <v/>
      </c>
      <c r="R16" s="45" t="s">
        <v>1384</v>
      </c>
    </row>
    <row r="17" spans="1:18" x14ac:dyDescent="0.25">
      <c r="A17" s="33" t="s">
        <v>1195</v>
      </c>
      <c r="B17" s="36" t="s">
        <v>1352</v>
      </c>
      <c r="C17" s="57"/>
      <c r="D17" s="57"/>
      <c r="E17" s="57"/>
      <c r="F17" s="57"/>
      <c r="G17" s="57"/>
      <c r="H17" s="57"/>
      <c r="I17" s="57"/>
      <c r="J17" s="57"/>
      <c r="K17" s="57"/>
      <c r="L17" s="57"/>
      <c r="M17" s="57"/>
      <c r="N17" s="57"/>
      <c r="O17" s="57"/>
      <c r="P17" s="57"/>
      <c r="Q17" s="57"/>
      <c r="R17" s="35"/>
    </row>
    <row r="18" spans="1:18" x14ac:dyDescent="0.25">
      <c r="A18" s="7" t="s">
        <v>1197</v>
      </c>
      <c r="B18" s="32" t="s">
        <v>1353</v>
      </c>
      <c r="C18" s="28">
        <f t="shared" ref="C18:Q18" si="12">_xlfn.XLOOKUP(C$3,IFL_Input_Column,TIF_InterfundLoanAnnual_SiteImprovementsCostPriorAdj_Input,"")</f>
        <v>0</v>
      </c>
      <c r="D18" s="28" t="str">
        <f t="shared" si="12"/>
        <v/>
      </c>
      <c r="E18" s="28" t="str">
        <f t="shared" si="12"/>
        <v/>
      </c>
      <c r="F18" s="28" t="str">
        <f t="shared" si="12"/>
        <v/>
      </c>
      <c r="G18" s="28" t="str">
        <f t="shared" si="12"/>
        <v/>
      </c>
      <c r="H18" s="28" t="str">
        <f t="shared" si="12"/>
        <v/>
      </c>
      <c r="I18" s="28" t="str">
        <f t="shared" si="12"/>
        <v/>
      </c>
      <c r="J18" s="28" t="str">
        <f t="shared" si="12"/>
        <v/>
      </c>
      <c r="K18" s="28" t="str">
        <f t="shared" si="12"/>
        <v/>
      </c>
      <c r="L18" s="28" t="str">
        <f t="shared" si="12"/>
        <v/>
      </c>
      <c r="M18" s="28" t="str">
        <f t="shared" si="12"/>
        <v/>
      </c>
      <c r="N18" s="28" t="str">
        <f t="shared" si="12"/>
        <v/>
      </c>
      <c r="O18" s="28" t="str">
        <f t="shared" si="12"/>
        <v/>
      </c>
      <c r="P18" s="28" t="str">
        <f t="shared" si="12"/>
        <v/>
      </c>
      <c r="Q18" s="28" t="str">
        <f t="shared" si="12"/>
        <v/>
      </c>
      <c r="R18" s="45" t="s">
        <v>894</v>
      </c>
    </row>
    <row r="19" spans="1:18" x14ac:dyDescent="0.25">
      <c r="A19" s="33" t="s">
        <v>1199</v>
      </c>
      <c r="B19" s="36" t="s">
        <v>1354</v>
      </c>
      <c r="C19" s="57"/>
      <c r="D19" s="57"/>
      <c r="E19" s="57"/>
      <c r="F19" s="57"/>
      <c r="G19" s="57"/>
      <c r="H19" s="57"/>
      <c r="I19" s="57"/>
      <c r="J19" s="57"/>
      <c r="K19" s="57"/>
      <c r="L19" s="57"/>
      <c r="M19" s="57"/>
      <c r="N19" s="57"/>
      <c r="O19" s="57"/>
      <c r="P19" s="57"/>
      <c r="Q19" s="57"/>
      <c r="R19" s="35"/>
    </row>
    <row r="20" spans="1:18" x14ac:dyDescent="0.25">
      <c r="A20" s="7" t="s">
        <v>1201</v>
      </c>
      <c r="B20" s="32" t="s">
        <v>1355</v>
      </c>
      <c r="C20" s="28">
        <f t="shared" ref="C20:Q20" si="13">_xlfn.XLOOKUP(C$3,IFL_Input_Column,TIF_InterfundLoanAnnual_UtilitiesCostPriorAdj_Input,"")</f>
        <v>0</v>
      </c>
      <c r="D20" s="28" t="str">
        <f t="shared" si="13"/>
        <v/>
      </c>
      <c r="E20" s="28" t="str">
        <f t="shared" si="13"/>
        <v/>
      </c>
      <c r="F20" s="28" t="str">
        <f t="shared" si="13"/>
        <v/>
      </c>
      <c r="G20" s="28" t="str">
        <f t="shared" si="13"/>
        <v/>
      </c>
      <c r="H20" s="28" t="str">
        <f t="shared" si="13"/>
        <v/>
      </c>
      <c r="I20" s="28" t="str">
        <f t="shared" si="13"/>
        <v/>
      </c>
      <c r="J20" s="28" t="str">
        <f t="shared" si="13"/>
        <v/>
      </c>
      <c r="K20" s="28" t="str">
        <f t="shared" si="13"/>
        <v/>
      </c>
      <c r="L20" s="28" t="str">
        <f t="shared" si="13"/>
        <v/>
      </c>
      <c r="M20" s="28" t="str">
        <f t="shared" si="13"/>
        <v/>
      </c>
      <c r="N20" s="28" t="str">
        <f t="shared" si="13"/>
        <v/>
      </c>
      <c r="O20" s="28" t="str">
        <f t="shared" si="13"/>
        <v/>
      </c>
      <c r="P20" s="28" t="str">
        <f t="shared" si="13"/>
        <v/>
      </c>
      <c r="Q20" s="28" t="str">
        <f t="shared" si="13"/>
        <v/>
      </c>
      <c r="R20" s="45" t="s">
        <v>1385</v>
      </c>
    </row>
    <row r="21" spans="1:18" x14ac:dyDescent="0.25">
      <c r="A21" s="33" t="s">
        <v>1203</v>
      </c>
      <c r="B21" s="36" t="s">
        <v>1356</v>
      </c>
      <c r="C21" s="57"/>
      <c r="D21" s="57"/>
      <c r="E21" s="57"/>
      <c r="F21" s="57"/>
      <c r="G21" s="57"/>
      <c r="H21" s="57"/>
      <c r="I21" s="57"/>
      <c r="J21" s="57"/>
      <c r="K21" s="57"/>
      <c r="L21" s="57"/>
      <c r="M21" s="57"/>
      <c r="N21" s="57"/>
      <c r="O21" s="57"/>
      <c r="P21" s="57"/>
      <c r="Q21" s="57"/>
      <c r="R21" s="35"/>
    </row>
    <row r="22" spans="1:18" x14ac:dyDescent="0.25">
      <c r="A22" s="7" t="s">
        <v>1205</v>
      </c>
      <c r="B22" s="32" t="s">
        <v>1357</v>
      </c>
      <c r="C22" s="28">
        <f t="shared" ref="C22:Q22" si="14">_xlfn.XLOOKUP(C$3,IFL_Input_Column,TIF_InterfundLoanAnnual_AffordableHsgCostPriorAdj_Input,"")</f>
        <v>0</v>
      </c>
      <c r="D22" s="28" t="str">
        <f t="shared" si="14"/>
        <v/>
      </c>
      <c r="E22" s="28" t="str">
        <f t="shared" si="14"/>
        <v/>
      </c>
      <c r="F22" s="28" t="str">
        <f t="shared" si="14"/>
        <v/>
      </c>
      <c r="G22" s="28" t="str">
        <f t="shared" si="14"/>
        <v/>
      </c>
      <c r="H22" s="28" t="str">
        <f t="shared" si="14"/>
        <v/>
      </c>
      <c r="I22" s="28" t="str">
        <f t="shared" si="14"/>
        <v/>
      </c>
      <c r="J22" s="28" t="str">
        <f t="shared" si="14"/>
        <v/>
      </c>
      <c r="K22" s="28" t="str">
        <f t="shared" si="14"/>
        <v/>
      </c>
      <c r="L22" s="28" t="str">
        <f t="shared" si="14"/>
        <v/>
      </c>
      <c r="M22" s="28" t="str">
        <f t="shared" si="14"/>
        <v/>
      </c>
      <c r="N22" s="28" t="str">
        <f t="shared" si="14"/>
        <v/>
      </c>
      <c r="O22" s="28" t="str">
        <f t="shared" si="14"/>
        <v/>
      </c>
      <c r="P22" s="28" t="str">
        <f t="shared" si="14"/>
        <v/>
      </c>
      <c r="Q22" s="28" t="str">
        <f t="shared" si="14"/>
        <v/>
      </c>
      <c r="R22" s="45" t="s">
        <v>895</v>
      </c>
    </row>
    <row r="23" spans="1:18" x14ac:dyDescent="0.25">
      <c r="A23" s="33" t="s">
        <v>1207</v>
      </c>
      <c r="B23" s="36" t="s">
        <v>1358</v>
      </c>
      <c r="C23" s="57"/>
      <c r="D23" s="57"/>
      <c r="E23" s="57"/>
      <c r="F23" s="57"/>
      <c r="G23" s="57"/>
      <c r="H23" s="57"/>
      <c r="I23" s="57"/>
      <c r="J23" s="57"/>
      <c r="K23" s="57"/>
      <c r="L23" s="57"/>
      <c r="M23" s="57"/>
      <c r="N23" s="57"/>
      <c r="O23" s="57"/>
      <c r="P23" s="57"/>
      <c r="Q23" s="57"/>
      <c r="R23" s="35"/>
    </row>
    <row r="24" spans="1:18" x14ac:dyDescent="0.25">
      <c r="A24" s="7" t="s">
        <v>1209</v>
      </c>
      <c r="B24" s="32" t="s">
        <v>1375</v>
      </c>
      <c r="C24" s="28">
        <f t="shared" ref="C24:Q24" si="15">_xlfn.XLOOKUP(C$3,IFL_Input_Column,TIF_InterfundLoanAnnual_ElectedHsgCostPriorAdj_Input,"")</f>
        <v>0</v>
      </c>
      <c r="D24" s="28" t="str">
        <f t="shared" si="15"/>
        <v/>
      </c>
      <c r="E24" s="28" t="str">
        <f t="shared" si="15"/>
        <v/>
      </c>
      <c r="F24" s="28" t="str">
        <f t="shared" si="15"/>
        <v/>
      </c>
      <c r="G24" s="28" t="str">
        <f t="shared" si="15"/>
        <v/>
      </c>
      <c r="H24" s="28" t="str">
        <f t="shared" si="15"/>
        <v/>
      </c>
      <c r="I24" s="28" t="str">
        <f t="shared" si="15"/>
        <v/>
      </c>
      <c r="J24" s="28" t="str">
        <f t="shared" si="15"/>
        <v/>
      </c>
      <c r="K24" s="28" t="str">
        <f t="shared" si="15"/>
        <v/>
      </c>
      <c r="L24" s="28" t="str">
        <f t="shared" si="15"/>
        <v/>
      </c>
      <c r="M24" s="28" t="str">
        <f t="shared" si="15"/>
        <v/>
      </c>
      <c r="N24" s="28" t="str">
        <f t="shared" si="15"/>
        <v/>
      </c>
      <c r="O24" s="28" t="str">
        <f t="shared" si="15"/>
        <v/>
      </c>
      <c r="P24" s="28" t="str">
        <f t="shared" si="15"/>
        <v/>
      </c>
      <c r="Q24" s="28" t="str">
        <f t="shared" si="15"/>
        <v/>
      </c>
      <c r="R24" s="45" t="s">
        <v>1386</v>
      </c>
    </row>
    <row r="25" spans="1:18" x14ac:dyDescent="0.25">
      <c r="A25" s="33" t="s">
        <v>1210</v>
      </c>
      <c r="B25" s="36" t="s">
        <v>1376</v>
      </c>
      <c r="C25" s="57"/>
      <c r="D25" s="57"/>
      <c r="E25" s="57"/>
      <c r="F25" s="57"/>
      <c r="G25" s="57"/>
      <c r="H25" s="57"/>
      <c r="I25" s="57"/>
      <c r="J25" s="57"/>
      <c r="K25" s="57"/>
      <c r="L25" s="57"/>
      <c r="M25" s="57"/>
      <c r="N25" s="57"/>
      <c r="O25" s="57"/>
      <c r="P25" s="57"/>
      <c r="Q25" s="57"/>
      <c r="R25" s="35"/>
    </row>
    <row r="26" spans="1:18" x14ac:dyDescent="0.25">
      <c r="A26" s="7" t="s">
        <v>1211</v>
      </c>
      <c r="B26" s="32" t="s">
        <v>1359</v>
      </c>
      <c r="C26" s="28">
        <f t="shared" ref="C26:Q26" si="16">_xlfn.XLOOKUP(C$3,IFL_Input_Column,TIF_InterfundLoanAnnual_OtherPublicCostPriorAdj_Input,"")</f>
        <v>0</v>
      </c>
      <c r="D26" s="28" t="str">
        <f t="shared" si="16"/>
        <v/>
      </c>
      <c r="E26" s="28" t="str">
        <f t="shared" si="16"/>
        <v/>
      </c>
      <c r="F26" s="28" t="str">
        <f t="shared" si="16"/>
        <v/>
      </c>
      <c r="G26" s="28" t="str">
        <f t="shared" si="16"/>
        <v/>
      </c>
      <c r="H26" s="28" t="str">
        <f t="shared" si="16"/>
        <v/>
      </c>
      <c r="I26" s="28" t="str">
        <f t="shared" si="16"/>
        <v/>
      </c>
      <c r="J26" s="28" t="str">
        <f t="shared" si="16"/>
        <v/>
      </c>
      <c r="K26" s="28" t="str">
        <f t="shared" si="16"/>
        <v/>
      </c>
      <c r="L26" s="28" t="str">
        <f t="shared" si="16"/>
        <v/>
      </c>
      <c r="M26" s="28" t="str">
        <f t="shared" si="16"/>
        <v/>
      </c>
      <c r="N26" s="28" t="str">
        <f t="shared" si="16"/>
        <v/>
      </c>
      <c r="O26" s="28" t="str">
        <f t="shared" si="16"/>
        <v/>
      </c>
      <c r="P26" s="28" t="str">
        <f t="shared" si="16"/>
        <v/>
      </c>
      <c r="Q26" s="28" t="str">
        <f t="shared" si="16"/>
        <v/>
      </c>
      <c r="R26" s="45" t="s">
        <v>896</v>
      </c>
    </row>
    <row r="27" spans="1:18" x14ac:dyDescent="0.25">
      <c r="A27" s="33" t="s">
        <v>1213</v>
      </c>
      <c r="B27" s="36" t="s">
        <v>1360</v>
      </c>
      <c r="C27" s="57"/>
      <c r="D27" s="57"/>
      <c r="E27" s="57"/>
      <c r="F27" s="57"/>
      <c r="G27" s="57"/>
      <c r="H27" s="57"/>
      <c r="I27" s="57"/>
      <c r="J27" s="57"/>
      <c r="K27" s="57"/>
      <c r="L27" s="57"/>
      <c r="M27" s="57"/>
      <c r="N27" s="57"/>
      <c r="O27" s="57"/>
      <c r="P27" s="57"/>
      <c r="Q27" s="57"/>
      <c r="R27" s="35"/>
    </row>
    <row r="28" spans="1:18" x14ac:dyDescent="0.25">
      <c r="A28" s="7" t="s">
        <v>1215</v>
      </c>
      <c r="B28" s="32" t="s">
        <v>1361</v>
      </c>
      <c r="C28" s="28">
        <f t="shared" ref="C28:Q28" si="17">_xlfn.XLOOKUP(C$3,IFL_Input_Column,TIF_InterfundLoanAnnual_AuthorityAdminCostPriorAdj_Input,"")</f>
        <v>0</v>
      </c>
      <c r="D28" s="28" t="str">
        <f t="shared" si="17"/>
        <v/>
      </c>
      <c r="E28" s="28" t="str">
        <f t="shared" si="17"/>
        <v/>
      </c>
      <c r="F28" s="28" t="str">
        <f t="shared" si="17"/>
        <v/>
      </c>
      <c r="G28" s="28" t="str">
        <f t="shared" si="17"/>
        <v/>
      </c>
      <c r="H28" s="28" t="str">
        <f t="shared" si="17"/>
        <v/>
      </c>
      <c r="I28" s="28" t="str">
        <f t="shared" si="17"/>
        <v/>
      </c>
      <c r="J28" s="28" t="str">
        <f t="shared" si="17"/>
        <v/>
      </c>
      <c r="K28" s="28" t="str">
        <f t="shared" si="17"/>
        <v/>
      </c>
      <c r="L28" s="28" t="str">
        <f t="shared" si="17"/>
        <v/>
      </c>
      <c r="M28" s="28" t="str">
        <f t="shared" si="17"/>
        <v/>
      </c>
      <c r="N28" s="28" t="str">
        <f t="shared" si="17"/>
        <v/>
      </c>
      <c r="O28" s="28" t="str">
        <f t="shared" si="17"/>
        <v/>
      </c>
      <c r="P28" s="28" t="str">
        <f t="shared" si="17"/>
        <v/>
      </c>
      <c r="Q28" s="28" t="str">
        <f t="shared" si="17"/>
        <v/>
      </c>
      <c r="R28" s="45" t="s">
        <v>897</v>
      </c>
    </row>
    <row r="29" spans="1:18" x14ac:dyDescent="0.25">
      <c r="A29" s="33" t="s">
        <v>1217</v>
      </c>
      <c r="B29" s="36" t="s">
        <v>1362</v>
      </c>
      <c r="C29" s="57"/>
      <c r="D29" s="57"/>
      <c r="E29" s="57"/>
      <c r="F29" s="57"/>
      <c r="G29" s="57"/>
      <c r="H29" s="57"/>
      <c r="I29" s="57"/>
      <c r="J29" s="57"/>
      <c r="K29" s="57"/>
      <c r="L29" s="57"/>
      <c r="M29" s="57"/>
      <c r="N29" s="57"/>
      <c r="O29" s="57"/>
      <c r="P29" s="57"/>
      <c r="Q29" s="57"/>
      <c r="R29" s="35"/>
    </row>
    <row r="30" spans="1:18" x14ac:dyDescent="0.25">
      <c r="A30" s="7" t="s">
        <v>1215</v>
      </c>
      <c r="B30" s="32" t="s">
        <v>1492</v>
      </c>
      <c r="C30" s="28">
        <f t="shared" ref="C30:Q30" si="18">_xlfn.XLOOKUP(C$3,IFL_Input_Column,TIF_InterfundLoanAnnual_CountyAdminCostPriorAdj_Input,"")</f>
        <v>0</v>
      </c>
      <c r="D30" s="28" t="str">
        <f t="shared" si="18"/>
        <v/>
      </c>
      <c r="E30" s="28" t="str">
        <f t="shared" si="18"/>
        <v/>
      </c>
      <c r="F30" s="28" t="str">
        <f t="shared" si="18"/>
        <v/>
      </c>
      <c r="G30" s="28" t="str">
        <f t="shared" si="18"/>
        <v/>
      </c>
      <c r="H30" s="28" t="str">
        <f t="shared" si="18"/>
        <v/>
      </c>
      <c r="I30" s="28" t="str">
        <f t="shared" si="18"/>
        <v/>
      </c>
      <c r="J30" s="28" t="str">
        <f t="shared" si="18"/>
        <v/>
      </c>
      <c r="K30" s="28" t="str">
        <f t="shared" si="18"/>
        <v/>
      </c>
      <c r="L30" s="28" t="str">
        <f t="shared" si="18"/>
        <v/>
      </c>
      <c r="M30" s="28" t="str">
        <f t="shared" si="18"/>
        <v/>
      </c>
      <c r="N30" s="28" t="str">
        <f t="shared" si="18"/>
        <v/>
      </c>
      <c r="O30" s="28" t="str">
        <f t="shared" si="18"/>
        <v/>
      </c>
      <c r="P30" s="28" t="str">
        <f t="shared" si="18"/>
        <v/>
      </c>
      <c r="Q30" s="28" t="str">
        <f t="shared" si="18"/>
        <v/>
      </c>
      <c r="R30" s="45" t="s">
        <v>1387</v>
      </c>
    </row>
    <row r="31" spans="1:18" x14ac:dyDescent="0.25">
      <c r="A31" s="33" t="s">
        <v>1217</v>
      </c>
      <c r="B31" s="36" t="s">
        <v>1493</v>
      </c>
      <c r="C31" s="57"/>
      <c r="D31" s="57"/>
      <c r="E31" s="57"/>
      <c r="F31" s="57"/>
      <c r="G31" s="57"/>
      <c r="H31" s="57"/>
      <c r="I31" s="57"/>
      <c r="J31" s="57"/>
      <c r="K31" s="57"/>
      <c r="L31" s="57"/>
      <c r="M31" s="57"/>
      <c r="N31" s="57"/>
      <c r="O31" s="57"/>
      <c r="P31" s="57"/>
      <c r="Q31" s="57"/>
      <c r="R31" s="35"/>
    </row>
    <row r="32" spans="1:18" x14ac:dyDescent="0.25">
      <c r="A32" s="7" t="s">
        <v>1219</v>
      </c>
      <c r="B32" s="32" t="s">
        <v>1363</v>
      </c>
      <c r="C32" s="28">
        <f t="shared" ref="C32:Q32" si="19">_xlfn.XLOOKUP(C$3,IFL_Input_Column,TIF_InterfundLoanAnnual_JobsBillCostPriorAdj_Input,"")</f>
        <v>0</v>
      </c>
      <c r="D32" s="28" t="str">
        <f t="shared" si="19"/>
        <v/>
      </c>
      <c r="E32" s="28" t="str">
        <f t="shared" si="19"/>
        <v/>
      </c>
      <c r="F32" s="28" t="str">
        <f t="shared" si="19"/>
        <v/>
      </c>
      <c r="G32" s="28" t="str">
        <f t="shared" si="19"/>
        <v/>
      </c>
      <c r="H32" s="28" t="str">
        <f t="shared" si="19"/>
        <v/>
      </c>
      <c r="I32" s="28" t="str">
        <f t="shared" si="19"/>
        <v/>
      </c>
      <c r="J32" s="28" t="str">
        <f t="shared" si="19"/>
        <v/>
      </c>
      <c r="K32" s="28" t="str">
        <f t="shared" si="19"/>
        <v/>
      </c>
      <c r="L32" s="28" t="str">
        <f t="shared" si="19"/>
        <v/>
      </c>
      <c r="M32" s="28" t="str">
        <f t="shared" si="19"/>
        <v/>
      </c>
      <c r="N32" s="28" t="str">
        <f t="shared" si="19"/>
        <v/>
      </c>
      <c r="O32" s="28" t="str">
        <f t="shared" si="19"/>
        <v/>
      </c>
      <c r="P32" s="28" t="str">
        <f t="shared" si="19"/>
        <v/>
      </c>
      <c r="Q32" s="28" t="str">
        <f t="shared" si="19"/>
        <v/>
      </c>
      <c r="R32" s="45" t="s">
        <v>1388</v>
      </c>
    </row>
    <row r="33" spans="1:19" x14ac:dyDescent="0.25">
      <c r="A33" s="33" t="s">
        <v>1221</v>
      </c>
      <c r="B33" s="36" t="s">
        <v>1364</v>
      </c>
      <c r="C33" s="57"/>
      <c r="D33" s="57"/>
      <c r="E33" s="57"/>
      <c r="F33" s="57"/>
      <c r="G33" s="57"/>
      <c r="H33" s="57"/>
      <c r="I33" s="57"/>
      <c r="J33" s="57"/>
      <c r="K33" s="57"/>
      <c r="L33" s="57"/>
      <c r="M33" s="57"/>
      <c r="N33" s="57"/>
      <c r="O33" s="57"/>
      <c r="P33" s="57"/>
      <c r="Q33" s="57"/>
      <c r="R33" s="35"/>
    </row>
    <row r="34" spans="1:19" x14ac:dyDescent="0.25">
      <c r="A34" s="7" t="s">
        <v>1223</v>
      </c>
      <c r="B34" s="32" t="s">
        <v>1365</v>
      </c>
      <c r="C34" s="28">
        <f t="shared" ref="C34:Q34" si="20">_xlfn.XLOOKUP(C$3,IFL_Input_Column,TIF_InterfundLoanAnnual_TempTransferAuthorityPriorAdj_Input,"")</f>
        <v>0</v>
      </c>
      <c r="D34" s="28" t="str">
        <f t="shared" si="20"/>
        <v/>
      </c>
      <c r="E34" s="28" t="str">
        <f t="shared" si="20"/>
        <v/>
      </c>
      <c r="F34" s="28" t="str">
        <f t="shared" si="20"/>
        <v/>
      </c>
      <c r="G34" s="28" t="str">
        <f t="shared" si="20"/>
        <v/>
      </c>
      <c r="H34" s="28" t="str">
        <f t="shared" si="20"/>
        <v/>
      </c>
      <c r="I34" s="28" t="str">
        <f t="shared" si="20"/>
        <v/>
      </c>
      <c r="J34" s="28" t="str">
        <f t="shared" si="20"/>
        <v/>
      </c>
      <c r="K34" s="28" t="str">
        <f t="shared" si="20"/>
        <v/>
      </c>
      <c r="L34" s="28" t="str">
        <f t="shared" si="20"/>
        <v/>
      </c>
      <c r="M34" s="28" t="str">
        <f t="shared" si="20"/>
        <v/>
      </c>
      <c r="N34" s="28" t="str">
        <f t="shared" si="20"/>
        <v/>
      </c>
      <c r="O34" s="28" t="str">
        <f t="shared" si="20"/>
        <v/>
      </c>
      <c r="P34" s="28" t="str">
        <f t="shared" si="20"/>
        <v/>
      </c>
      <c r="Q34" s="28" t="str">
        <f t="shared" si="20"/>
        <v/>
      </c>
      <c r="R34" s="45" t="s">
        <v>1496</v>
      </c>
    </row>
    <row r="35" spans="1:19" x14ac:dyDescent="0.25">
      <c r="A35" s="33" t="s">
        <v>1225</v>
      </c>
      <c r="B35" s="36" t="s">
        <v>1366</v>
      </c>
      <c r="C35" s="57"/>
      <c r="D35" s="57"/>
      <c r="E35" s="57"/>
      <c r="F35" s="57"/>
      <c r="G35" s="57"/>
      <c r="H35" s="57"/>
      <c r="I35" s="57"/>
      <c r="J35" s="57"/>
      <c r="K35" s="57"/>
      <c r="L35" s="57"/>
      <c r="M35" s="57"/>
      <c r="N35" s="57"/>
      <c r="O35" s="57"/>
      <c r="P35" s="57"/>
      <c r="Q35" s="57"/>
      <c r="R35" s="35"/>
    </row>
    <row r="36" spans="1:19" x14ac:dyDescent="0.25">
      <c r="A36" s="33" t="s">
        <v>1227</v>
      </c>
      <c r="B36" s="36" t="s">
        <v>1367</v>
      </c>
      <c r="C36" s="57"/>
      <c r="D36" s="57"/>
      <c r="E36" s="57"/>
      <c r="F36" s="57"/>
      <c r="G36" s="57"/>
      <c r="H36" s="57"/>
      <c r="I36" s="57"/>
      <c r="J36" s="57"/>
      <c r="K36" s="57"/>
      <c r="L36" s="57"/>
      <c r="M36" s="57"/>
      <c r="N36" s="57"/>
      <c r="O36" s="57"/>
      <c r="P36" s="57"/>
      <c r="Q36" s="57"/>
      <c r="R36" s="35"/>
    </row>
    <row r="37" spans="1:19" x14ac:dyDescent="0.25">
      <c r="A37" s="33" t="s">
        <v>1229</v>
      </c>
      <c r="B37" s="36" t="s">
        <v>1368</v>
      </c>
      <c r="C37" s="57"/>
      <c r="D37" s="57"/>
      <c r="E37" s="57"/>
      <c r="F37" s="57"/>
      <c r="G37" s="57"/>
      <c r="H37" s="57"/>
      <c r="I37" s="57"/>
      <c r="J37" s="57"/>
      <c r="K37" s="57"/>
      <c r="L37" s="57"/>
      <c r="M37" s="57"/>
      <c r="N37" s="57"/>
      <c r="O37" s="57"/>
      <c r="P37" s="57"/>
      <c r="Q37" s="57"/>
      <c r="R37" s="35"/>
    </row>
    <row r="38" spans="1:19" x14ac:dyDescent="0.25">
      <c r="A38" s="33" t="s">
        <v>1231</v>
      </c>
      <c r="B38" s="36" t="s">
        <v>1369</v>
      </c>
      <c r="C38" s="57"/>
      <c r="D38" s="57"/>
      <c r="E38" s="57"/>
      <c r="F38" s="57"/>
      <c r="G38" s="57"/>
      <c r="H38" s="57"/>
      <c r="I38" s="57"/>
      <c r="J38" s="57"/>
      <c r="K38" s="57"/>
      <c r="L38" s="57"/>
      <c r="M38" s="57"/>
      <c r="N38" s="57"/>
      <c r="O38" s="57"/>
      <c r="P38" s="57"/>
      <c r="Q38" s="57"/>
      <c r="R38" s="35"/>
    </row>
    <row r="39" spans="1:19" x14ac:dyDescent="0.25">
      <c r="A39" s="33" t="s">
        <v>1233</v>
      </c>
      <c r="B39" s="36" t="s">
        <v>1370</v>
      </c>
      <c r="C39" s="57"/>
      <c r="D39" s="57"/>
      <c r="E39" s="57"/>
      <c r="F39" s="57"/>
      <c r="G39" s="57"/>
      <c r="H39" s="57"/>
      <c r="I39" s="57"/>
      <c r="J39" s="57"/>
      <c r="K39" s="57"/>
      <c r="L39" s="57"/>
      <c r="M39" s="57"/>
      <c r="N39" s="57"/>
      <c r="O39" s="57"/>
      <c r="P39" s="57"/>
      <c r="Q39" s="57"/>
      <c r="R39" s="35"/>
    </row>
    <row r="40" spans="1:19" x14ac:dyDescent="0.25">
      <c r="A40" s="33" t="s">
        <v>1237</v>
      </c>
      <c r="B40" s="36" t="s">
        <v>1371</v>
      </c>
      <c r="C40" s="57"/>
      <c r="D40" s="57"/>
      <c r="E40" s="57"/>
      <c r="F40" s="57"/>
      <c r="G40" s="57"/>
      <c r="H40" s="57"/>
      <c r="I40" s="57"/>
      <c r="J40" s="57"/>
      <c r="K40" s="57"/>
      <c r="L40" s="57"/>
      <c r="M40" s="57"/>
      <c r="N40" s="57"/>
      <c r="O40" s="57"/>
      <c r="P40" s="57"/>
      <c r="Q40" s="57"/>
      <c r="R40" s="35"/>
    </row>
    <row r="41" spans="1:19" x14ac:dyDescent="0.25">
      <c r="A41" s="7" t="s">
        <v>1235</v>
      </c>
      <c r="B41" s="32" t="s">
        <v>1372</v>
      </c>
      <c r="C41" s="28">
        <f t="shared" ref="C41:Q41" si="21">_xlfn.XLOOKUP(C$3,IFL_Input_Column,TIF_InterfundLoanAnnual_InDistrictCostPriorAdj_Input,"")</f>
        <v>0</v>
      </c>
      <c r="D41" s="28" t="str">
        <f t="shared" si="21"/>
        <v/>
      </c>
      <c r="E41" s="28" t="str">
        <f t="shared" si="21"/>
        <v/>
      </c>
      <c r="F41" s="28" t="str">
        <f t="shared" si="21"/>
        <v/>
      </c>
      <c r="G41" s="28" t="str">
        <f t="shared" si="21"/>
        <v/>
      </c>
      <c r="H41" s="28" t="str">
        <f t="shared" si="21"/>
        <v/>
      </c>
      <c r="I41" s="28" t="str">
        <f t="shared" si="21"/>
        <v/>
      </c>
      <c r="J41" s="28" t="str">
        <f t="shared" si="21"/>
        <v/>
      </c>
      <c r="K41" s="28" t="str">
        <f t="shared" si="21"/>
        <v/>
      </c>
      <c r="L41" s="28" t="str">
        <f t="shared" si="21"/>
        <v/>
      </c>
      <c r="M41" s="28" t="str">
        <f t="shared" si="21"/>
        <v/>
      </c>
      <c r="N41" s="28" t="str">
        <f t="shared" si="21"/>
        <v/>
      </c>
      <c r="O41" s="28" t="str">
        <f t="shared" si="21"/>
        <v/>
      </c>
      <c r="P41" s="28" t="str">
        <f t="shared" si="21"/>
        <v/>
      </c>
      <c r="Q41" s="28" t="str">
        <f t="shared" si="21"/>
        <v/>
      </c>
      <c r="R41" s="45" t="s">
        <v>1389</v>
      </c>
    </row>
    <row r="42" spans="1:19" x14ac:dyDescent="0.25">
      <c r="A42" s="33" t="s">
        <v>1241</v>
      </c>
      <c r="B42" s="36" t="s">
        <v>1373</v>
      </c>
      <c r="C42" s="57"/>
      <c r="D42" s="57"/>
      <c r="E42" s="57"/>
      <c r="F42" s="57"/>
      <c r="G42" s="57"/>
      <c r="H42" s="57"/>
      <c r="I42" s="57"/>
      <c r="J42" s="57"/>
      <c r="K42" s="57"/>
      <c r="L42" s="57"/>
      <c r="M42" s="57"/>
      <c r="N42" s="57"/>
      <c r="O42" s="57"/>
      <c r="P42" s="57"/>
      <c r="Q42" s="57"/>
      <c r="R42" s="35"/>
    </row>
    <row r="43" spans="1:19" x14ac:dyDescent="0.25">
      <c r="A43" s="7" t="s">
        <v>1239</v>
      </c>
      <c r="B43" s="32" t="s">
        <v>1374</v>
      </c>
      <c r="C43" s="28">
        <f t="shared" ref="C43:Q43" si="22">_xlfn.XLOOKUP(C$3,IFL_Input_Column,TIF_InterfundLoanAnnual_OutDistrictCostPriorAdj_Input,"")</f>
        <v>0</v>
      </c>
      <c r="D43" s="28" t="str">
        <f t="shared" si="22"/>
        <v/>
      </c>
      <c r="E43" s="28" t="str">
        <f t="shared" si="22"/>
        <v/>
      </c>
      <c r="F43" s="28" t="str">
        <f t="shared" si="22"/>
        <v/>
      </c>
      <c r="G43" s="28" t="str">
        <f t="shared" si="22"/>
        <v/>
      </c>
      <c r="H43" s="28" t="str">
        <f t="shared" si="22"/>
        <v/>
      </c>
      <c r="I43" s="28" t="str">
        <f t="shared" si="22"/>
        <v/>
      </c>
      <c r="J43" s="28" t="str">
        <f t="shared" si="22"/>
        <v/>
      </c>
      <c r="K43" s="28" t="str">
        <f t="shared" si="22"/>
        <v/>
      </c>
      <c r="L43" s="28" t="str">
        <f t="shared" si="22"/>
        <v/>
      </c>
      <c r="M43" s="28" t="str">
        <f t="shared" si="22"/>
        <v/>
      </c>
      <c r="N43" s="28" t="str">
        <f t="shared" si="22"/>
        <v/>
      </c>
      <c r="O43" s="28" t="str">
        <f t="shared" si="22"/>
        <v/>
      </c>
      <c r="P43" s="28" t="str">
        <f t="shared" si="22"/>
        <v/>
      </c>
      <c r="Q43" s="28" t="str">
        <f t="shared" si="22"/>
        <v/>
      </c>
      <c r="R43" s="45" t="s">
        <v>1497</v>
      </c>
    </row>
    <row r="44" spans="1:19" x14ac:dyDescent="0.25">
      <c r="A44" s="7" t="s">
        <v>1377</v>
      </c>
      <c r="B44" t="s">
        <v>791</v>
      </c>
      <c r="C44" s="28">
        <f t="shared" ref="C44:Q44" si="23">_xlfn.XLOOKUP(C$3,IFL_Input_Column,TIF_InterfundLoanAnnual_DrawAmountPriorAdj_Input,"")</f>
        <v>40173</v>
      </c>
      <c r="D44" s="28" t="str">
        <f t="shared" si="23"/>
        <v/>
      </c>
      <c r="E44" s="28" t="str">
        <f t="shared" si="23"/>
        <v/>
      </c>
      <c r="F44" s="28" t="str">
        <f t="shared" si="23"/>
        <v/>
      </c>
      <c r="G44" s="28" t="str">
        <f t="shared" si="23"/>
        <v/>
      </c>
      <c r="H44" s="28" t="str">
        <f t="shared" si="23"/>
        <v/>
      </c>
      <c r="I44" s="28" t="str">
        <f t="shared" si="23"/>
        <v/>
      </c>
      <c r="J44" s="28" t="str">
        <f t="shared" si="23"/>
        <v/>
      </c>
      <c r="K44" s="28" t="str">
        <f t="shared" si="23"/>
        <v/>
      </c>
      <c r="L44" s="28" t="str">
        <f t="shared" si="23"/>
        <v/>
      </c>
      <c r="M44" s="28" t="str">
        <f t="shared" si="23"/>
        <v/>
      </c>
      <c r="N44" s="28" t="str">
        <f t="shared" si="23"/>
        <v/>
      </c>
      <c r="O44" s="28" t="str">
        <f t="shared" si="23"/>
        <v/>
      </c>
      <c r="P44" s="28" t="str">
        <f t="shared" si="23"/>
        <v/>
      </c>
      <c r="Q44" s="28" t="str">
        <f t="shared" si="23"/>
        <v/>
      </c>
      <c r="R44" s="45" t="s">
        <v>1498</v>
      </c>
    </row>
    <row r="45" spans="1:19" x14ac:dyDescent="0.25">
      <c r="A45" s="33" t="s">
        <v>1378</v>
      </c>
      <c r="B45" s="34" t="s">
        <v>792</v>
      </c>
      <c r="C45" s="35"/>
      <c r="D45" s="35"/>
      <c r="E45" s="35"/>
      <c r="F45" s="35"/>
      <c r="G45" s="35"/>
      <c r="H45" s="35"/>
      <c r="I45" s="35"/>
      <c r="J45" s="35"/>
      <c r="K45" s="35"/>
      <c r="L45" s="35"/>
      <c r="M45" s="35"/>
      <c r="N45" s="35"/>
      <c r="O45" s="35"/>
      <c r="P45" s="35"/>
      <c r="Q45" s="35"/>
      <c r="R45" s="35"/>
    </row>
    <row r="46" spans="1:19" x14ac:dyDescent="0.25">
      <c r="A46" s="33" t="s">
        <v>245</v>
      </c>
      <c r="B46" s="34" t="s">
        <v>806</v>
      </c>
      <c r="C46" s="35"/>
      <c r="D46" s="35"/>
      <c r="E46" s="35"/>
      <c r="F46" s="35"/>
      <c r="G46" s="35"/>
      <c r="H46" s="35"/>
      <c r="I46" s="35"/>
      <c r="J46" s="35"/>
      <c r="K46" s="35"/>
      <c r="L46" s="35"/>
      <c r="M46" s="35"/>
      <c r="N46" s="35"/>
      <c r="O46" s="35"/>
      <c r="P46" s="35"/>
      <c r="Q46" s="35"/>
      <c r="R46" s="35"/>
    </row>
    <row r="47" spans="1:19" x14ac:dyDescent="0.25">
      <c r="A47" s="7" t="s">
        <v>1243</v>
      </c>
      <c r="B47" t="s">
        <v>793</v>
      </c>
      <c r="C47" s="28">
        <f t="shared" ref="C47:Q47" si="24">_xlfn.XLOOKUP(C$3,IFL_Input_Column,TIF_InterfundLoanAnnual_PrincipalPaidPriorAdj_Input,"")</f>
        <v>8332</v>
      </c>
      <c r="D47" s="28" t="str">
        <f t="shared" si="24"/>
        <v/>
      </c>
      <c r="E47" s="28" t="str">
        <f t="shared" si="24"/>
        <v/>
      </c>
      <c r="F47" s="28" t="str">
        <f t="shared" si="24"/>
        <v/>
      </c>
      <c r="G47" s="28" t="str">
        <f t="shared" si="24"/>
        <v/>
      </c>
      <c r="H47" s="28" t="str">
        <f t="shared" si="24"/>
        <v/>
      </c>
      <c r="I47" s="28" t="str">
        <f t="shared" si="24"/>
        <v/>
      </c>
      <c r="J47" s="28" t="str">
        <f t="shared" si="24"/>
        <v/>
      </c>
      <c r="K47" s="28" t="str">
        <f t="shared" si="24"/>
        <v/>
      </c>
      <c r="L47" s="28" t="str">
        <f t="shared" si="24"/>
        <v/>
      </c>
      <c r="M47" s="28" t="str">
        <f t="shared" si="24"/>
        <v/>
      </c>
      <c r="N47" s="28" t="str">
        <f t="shared" si="24"/>
        <v/>
      </c>
      <c r="O47" s="28" t="str">
        <f t="shared" si="24"/>
        <v/>
      </c>
      <c r="P47" s="28" t="str">
        <f t="shared" si="24"/>
        <v/>
      </c>
      <c r="Q47" s="28" t="str">
        <f t="shared" si="24"/>
        <v/>
      </c>
      <c r="R47" s="45" t="s">
        <v>1381</v>
      </c>
      <c r="S47" s="46"/>
    </row>
    <row r="48" spans="1:19" x14ac:dyDescent="0.25">
      <c r="A48" s="33" t="s">
        <v>1244</v>
      </c>
      <c r="B48" s="34" t="s">
        <v>795</v>
      </c>
      <c r="C48" s="35"/>
      <c r="D48" s="35"/>
      <c r="E48" s="35"/>
      <c r="F48" s="35"/>
      <c r="G48" s="35"/>
      <c r="H48" s="35"/>
      <c r="I48" s="35"/>
      <c r="J48" s="35"/>
      <c r="K48" s="35"/>
      <c r="L48" s="35"/>
      <c r="M48" s="35"/>
      <c r="N48" s="35"/>
      <c r="O48" s="35"/>
      <c r="P48" s="35"/>
      <c r="Q48" s="35"/>
      <c r="R48" s="35"/>
    </row>
    <row r="49" spans="1:18" x14ac:dyDescent="0.25">
      <c r="A49" s="7" t="s">
        <v>1245</v>
      </c>
      <c r="B49" s="32" t="s">
        <v>794</v>
      </c>
      <c r="C49" s="28">
        <f t="shared" ref="C49:Q49" si="25">_xlfn.XLOOKUP(C$3,IFL_Input_Column,TIF_InterfundLoanAnnual_PrincipalPaidOtherPriorAdj_Input,"")</f>
        <v>0</v>
      </c>
      <c r="D49" s="28" t="str">
        <f t="shared" si="25"/>
        <v/>
      </c>
      <c r="E49" s="28" t="str">
        <f t="shared" si="25"/>
        <v/>
      </c>
      <c r="F49" s="28" t="str">
        <f t="shared" si="25"/>
        <v/>
      </c>
      <c r="G49" s="28" t="str">
        <f t="shared" si="25"/>
        <v/>
      </c>
      <c r="H49" s="28" t="str">
        <f t="shared" si="25"/>
        <v/>
      </c>
      <c r="I49" s="28" t="str">
        <f t="shared" si="25"/>
        <v/>
      </c>
      <c r="J49" s="28" t="str">
        <f t="shared" si="25"/>
        <v/>
      </c>
      <c r="K49" s="28" t="str">
        <f t="shared" si="25"/>
        <v/>
      </c>
      <c r="L49" s="28" t="str">
        <f t="shared" si="25"/>
        <v/>
      </c>
      <c r="M49" s="28" t="str">
        <f t="shared" si="25"/>
        <v/>
      </c>
      <c r="N49" s="28" t="str">
        <f t="shared" si="25"/>
        <v/>
      </c>
      <c r="O49" s="28" t="str">
        <f t="shared" si="25"/>
        <v/>
      </c>
      <c r="P49" s="28" t="str">
        <f t="shared" si="25"/>
        <v/>
      </c>
      <c r="Q49" s="28" t="str">
        <f t="shared" si="25"/>
        <v/>
      </c>
      <c r="R49" s="45" t="s">
        <v>1382</v>
      </c>
    </row>
    <row r="50" spans="1:18" x14ac:dyDescent="0.25">
      <c r="A50" s="33" t="s">
        <v>1246</v>
      </c>
      <c r="B50" s="36" t="s">
        <v>796</v>
      </c>
      <c r="C50" s="35"/>
      <c r="D50" s="35"/>
      <c r="E50" s="35"/>
      <c r="F50" s="35"/>
      <c r="G50" s="35"/>
      <c r="H50" s="35"/>
      <c r="I50" s="35"/>
      <c r="J50" s="35"/>
      <c r="K50" s="35"/>
      <c r="L50" s="35"/>
      <c r="M50" s="35"/>
      <c r="N50" s="35"/>
      <c r="O50" s="35"/>
      <c r="P50" s="35"/>
      <c r="Q50" s="35"/>
      <c r="R50" s="35"/>
    </row>
    <row r="51" spans="1:18" x14ac:dyDescent="0.25">
      <c r="A51" s="7" t="s">
        <v>1247</v>
      </c>
      <c r="B51" t="s">
        <v>797</v>
      </c>
      <c r="C51" s="28">
        <f t="shared" ref="C51:Q51" si="26">_xlfn.XLOOKUP(C$3,IFL_Input_Column,TIF_InterfundLoanAnnual_PrincipalAdditionsPriorAdj_Input,"")</f>
        <v>0</v>
      </c>
      <c r="D51" s="28" t="str">
        <f t="shared" si="26"/>
        <v/>
      </c>
      <c r="E51" s="28" t="str">
        <f t="shared" si="26"/>
        <v/>
      </c>
      <c r="F51" s="28" t="str">
        <f t="shared" si="26"/>
        <v/>
      </c>
      <c r="G51" s="28" t="str">
        <f t="shared" si="26"/>
        <v/>
      </c>
      <c r="H51" s="28" t="str">
        <f t="shared" si="26"/>
        <v/>
      </c>
      <c r="I51" s="28" t="str">
        <f t="shared" si="26"/>
        <v/>
      </c>
      <c r="J51" s="28" t="str">
        <f t="shared" si="26"/>
        <v/>
      </c>
      <c r="K51" s="28" t="str">
        <f t="shared" si="26"/>
        <v/>
      </c>
      <c r="L51" s="28" t="str">
        <f t="shared" si="26"/>
        <v/>
      </c>
      <c r="M51" s="28" t="str">
        <f t="shared" si="26"/>
        <v/>
      </c>
      <c r="N51" s="28" t="str">
        <f t="shared" si="26"/>
        <v/>
      </c>
      <c r="O51" s="28" t="str">
        <f t="shared" si="26"/>
        <v/>
      </c>
      <c r="P51" s="28" t="str">
        <f t="shared" si="26"/>
        <v/>
      </c>
      <c r="Q51" s="28" t="str">
        <f t="shared" si="26"/>
        <v/>
      </c>
      <c r="R51" s="45" t="s">
        <v>1499</v>
      </c>
    </row>
    <row r="52" spans="1:18" x14ac:dyDescent="0.25">
      <c r="A52" s="33" t="s">
        <v>1248</v>
      </c>
      <c r="B52" s="34" t="s">
        <v>798</v>
      </c>
      <c r="C52" s="35"/>
      <c r="D52" s="35"/>
      <c r="E52" s="35"/>
      <c r="F52" s="35"/>
      <c r="G52" s="35"/>
      <c r="H52" s="35"/>
      <c r="I52" s="35"/>
      <c r="J52" s="35"/>
      <c r="K52" s="35"/>
      <c r="L52" s="35"/>
      <c r="M52" s="35"/>
      <c r="N52" s="35"/>
      <c r="O52" s="35"/>
      <c r="P52" s="35"/>
      <c r="Q52" s="35"/>
      <c r="R52" s="35"/>
    </row>
    <row r="53" spans="1:18" x14ac:dyDescent="0.25">
      <c r="A53" s="33" t="s">
        <v>1249</v>
      </c>
      <c r="B53" s="34" t="s">
        <v>1379</v>
      </c>
      <c r="C53" s="35"/>
      <c r="D53" s="35"/>
      <c r="E53" s="35"/>
      <c r="F53" s="35"/>
      <c r="G53" s="35"/>
      <c r="H53" s="35"/>
      <c r="I53" s="35"/>
      <c r="J53" s="35"/>
      <c r="K53" s="35"/>
      <c r="L53" s="35"/>
      <c r="M53" s="35"/>
      <c r="N53" s="35"/>
      <c r="O53" s="35"/>
      <c r="P53" s="35"/>
      <c r="Q53" s="35"/>
      <c r="R53" s="35"/>
    </row>
    <row r="54" spans="1:18" x14ac:dyDescent="0.25">
      <c r="A54" s="33" t="s">
        <v>1251</v>
      </c>
      <c r="B54" s="34" t="s">
        <v>799</v>
      </c>
      <c r="C54" s="35"/>
      <c r="D54" s="35"/>
      <c r="E54" s="35"/>
      <c r="F54" s="35"/>
      <c r="G54" s="35"/>
      <c r="H54" s="35"/>
      <c r="I54" s="35"/>
      <c r="J54" s="35"/>
      <c r="K54" s="35"/>
      <c r="L54" s="35"/>
      <c r="M54" s="35"/>
      <c r="N54" s="35"/>
      <c r="O54" s="35"/>
      <c r="P54" s="35"/>
      <c r="Q54" s="35"/>
      <c r="R54" s="35"/>
    </row>
    <row r="55" spans="1:18" x14ac:dyDescent="0.25">
      <c r="A55" s="7" t="s">
        <v>1252</v>
      </c>
      <c r="B55" s="32" t="s">
        <v>1380</v>
      </c>
      <c r="C55" s="28">
        <f t="shared" ref="C55:Q56" si="27">_xlfn.XLOOKUP(C$3,IFL_Input_Column,TIF_InterfundLoanAnnual_UnpaidInterest_Input,"")</f>
        <v>0</v>
      </c>
      <c r="D55" s="28" t="str">
        <f t="shared" si="27"/>
        <v/>
      </c>
      <c r="E55" s="28" t="str">
        <f t="shared" si="27"/>
        <v/>
      </c>
      <c r="F55" s="28" t="str">
        <f t="shared" si="27"/>
        <v/>
      </c>
      <c r="G55" s="28" t="str">
        <f t="shared" si="27"/>
        <v/>
      </c>
      <c r="H55" s="28" t="str">
        <f t="shared" si="27"/>
        <v/>
      </c>
      <c r="I55" s="28" t="str">
        <f t="shared" si="27"/>
        <v/>
      </c>
      <c r="J55" s="28" t="str">
        <f t="shared" si="27"/>
        <v/>
      </c>
      <c r="K55" s="28" t="str">
        <f t="shared" si="27"/>
        <v/>
      </c>
      <c r="L55" s="28" t="str">
        <f t="shared" si="27"/>
        <v/>
      </c>
      <c r="M55" s="28" t="str">
        <f t="shared" si="27"/>
        <v/>
      </c>
      <c r="N55" s="28" t="str">
        <f t="shared" si="27"/>
        <v/>
      </c>
      <c r="O55" s="28" t="str">
        <f t="shared" si="27"/>
        <v/>
      </c>
      <c r="P55" s="28" t="str">
        <f t="shared" si="27"/>
        <v/>
      </c>
      <c r="Q55" s="28" t="str">
        <f t="shared" si="27"/>
        <v/>
      </c>
      <c r="R55" s="45" t="s">
        <v>1383</v>
      </c>
    </row>
    <row r="56" spans="1:18" x14ac:dyDescent="0.25">
      <c r="A56" s="33" t="s">
        <v>1254</v>
      </c>
      <c r="B56" s="36" t="s">
        <v>805</v>
      </c>
      <c r="C56" s="35">
        <f t="shared" si="27"/>
        <v>0</v>
      </c>
      <c r="D56" s="35" t="str">
        <f t="shared" si="27"/>
        <v/>
      </c>
      <c r="E56" s="35" t="str">
        <f t="shared" si="27"/>
        <v/>
      </c>
      <c r="F56" s="35" t="str">
        <f t="shared" si="27"/>
        <v/>
      </c>
      <c r="G56" s="35" t="str">
        <f t="shared" si="27"/>
        <v/>
      </c>
      <c r="H56" s="35" t="str">
        <f t="shared" si="27"/>
        <v/>
      </c>
      <c r="I56" s="35" t="str">
        <f t="shared" si="27"/>
        <v/>
      </c>
      <c r="J56" s="35" t="str">
        <f t="shared" si="27"/>
        <v/>
      </c>
      <c r="K56" s="35" t="str">
        <f t="shared" si="27"/>
        <v/>
      </c>
      <c r="L56" s="35" t="str">
        <f t="shared" si="27"/>
        <v/>
      </c>
      <c r="M56" s="35" t="str">
        <f t="shared" si="27"/>
        <v/>
      </c>
      <c r="N56" s="35" t="str">
        <f t="shared" si="27"/>
        <v/>
      </c>
      <c r="O56" s="35" t="str">
        <f t="shared" si="27"/>
        <v/>
      </c>
      <c r="P56" s="35" t="str">
        <f t="shared" si="27"/>
        <v/>
      </c>
      <c r="Q56" s="35" t="str">
        <f t="shared" si="27"/>
        <v/>
      </c>
      <c r="R56" s="56"/>
    </row>
    <row r="57" spans="1:18" x14ac:dyDescent="0.25">
      <c r="A57" s="7" t="s">
        <v>1255</v>
      </c>
      <c r="B57" t="s">
        <v>801</v>
      </c>
      <c r="C57" s="28">
        <f t="shared" ref="C57:Q57" si="28">_xlfn.XLOOKUP(C$3,IFL_Input_Column,TIF_InterfundLoanAnnual_InterestPaidPriorAdj_Input,"")</f>
        <v>11940</v>
      </c>
      <c r="D57" s="28" t="str">
        <f t="shared" si="28"/>
        <v/>
      </c>
      <c r="E57" s="28" t="str">
        <f t="shared" si="28"/>
        <v/>
      </c>
      <c r="F57" s="28" t="str">
        <f t="shared" si="28"/>
        <v/>
      </c>
      <c r="G57" s="28" t="str">
        <f t="shared" si="28"/>
        <v/>
      </c>
      <c r="H57" s="28" t="str">
        <f t="shared" si="28"/>
        <v/>
      </c>
      <c r="I57" s="28" t="str">
        <f t="shared" si="28"/>
        <v/>
      </c>
      <c r="J57" s="28" t="str">
        <f t="shared" si="28"/>
        <v/>
      </c>
      <c r="K57" s="28" t="str">
        <f t="shared" si="28"/>
        <v/>
      </c>
      <c r="L57" s="28" t="str">
        <f t="shared" si="28"/>
        <v/>
      </c>
      <c r="M57" s="28" t="str">
        <f t="shared" si="28"/>
        <v/>
      </c>
      <c r="N57" s="28" t="str">
        <f t="shared" si="28"/>
        <v/>
      </c>
      <c r="O57" s="28" t="str">
        <f t="shared" si="28"/>
        <v/>
      </c>
      <c r="P57" s="28" t="str">
        <f t="shared" si="28"/>
        <v/>
      </c>
      <c r="Q57" s="28" t="str">
        <f t="shared" si="28"/>
        <v/>
      </c>
      <c r="R57" s="45" t="s">
        <v>1500</v>
      </c>
    </row>
    <row r="58" spans="1:18" x14ac:dyDescent="0.25">
      <c r="A58" s="33" t="s">
        <v>1256</v>
      </c>
      <c r="B58" s="34" t="s">
        <v>803</v>
      </c>
      <c r="C58" s="35"/>
      <c r="D58" s="35"/>
      <c r="E58" s="35"/>
      <c r="F58" s="35"/>
      <c r="G58" s="35"/>
      <c r="H58" s="35"/>
      <c r="I58" s="35"/>
      <c r="J58" s="35"/>
      <c r="K58" s="35"/>
      <c r="L58" s="35"/>
      <c r="M58" s="35"/>
      <c r="N58" s="35"/>
      <c r="O58" s="35"/>
      <c r="P58" s="35"/>
      <c r="Q58" s="35"/>
      <c r="R58" s="35"/>
    </row>
    <row r="59" spans="1:18" x14ac:dyDescent="0.25">
      <c r="A59" s="7" t="s">
        <v>1257</v>
      </c>
      <c r="B59" s="32" t="s">
        <v>802</v>
      </c>
      <c r="C59" s="28">
        <f t="shared" ref="C59:Q59" si="29">_xlfn.XLOOKUP(C$3,IFL_Input_Column,TIF_InterfundLoanAnnual_InterestPaidOtherPriorAdj_Input,"")</f>
        <v>0</v>
      </c>
      <c r="D59" s="28" t="str">
        <f t="shared" si="29"/>
        <v/>
      </c>
      <c r="E59" s="28" t="str">
        <f t="shared" si="29"/>
        <v/>
      </c>
      <c r="F59" s="28" t="str">
        <f t="shared" si="29"/>
        <v/>
      </c>
      <c r="G59" s="28" t="str">
        <f t="shared" si="29"/>
        <v/>
      </c>
      <c r="H59" s="28" t="str">
        <f t="shared" si="29"/>
        <v/>
      </c>
      <c r="I59" s="28" t="str">
        <f t="shared" si="29"/>
        <v/>
      </c>
      <c r="J59" s="28" t="str">
        <f t="shared" si="29"/>
        <v/>
      </c>
      <c r="K59" s="28" t="str">
        <f t="shared" si="29"/>
        <v/>
      </c>
      <c r="L59" s="28" t="str">
        <f t="shared" si="29"/>
        <v/>
      </c>
      <c r="M59" s="28" t="str">
        <f t="shared" si="29"/>
        <v/>
      </c>
      <c r="N59" s="28" t="str">
        <f t="shared" si="29"/>
        <v/>
      </c>
      <c r="O59" s="28" t="str">
        <f t="shared" si="29"/>
        <v/>
      </c>
      <c r="P59" s="28" t="str">
        <f t="shared" si="29"/>
        <v/>
      </c>
      <c r="Q59" s="28" t="str">
        <f t="shared" si="29"/>
        <v/>
      </c>
      <c r="R59" s="45" t="s">
        <v>1501</v>
      </c>
    </row>
    <row r="60" spans="1:18" x14ac:dyDescent="0.25">
      <c r="A60" s="33" t="s">
        <v>1258</v>
      </c>
      <c r="B60" s="36" t="s">
        <v>804</v>
      </c>
      <c r="C60" s="35"/>
      <c r="D60" s="35"/>
      <c r="E60" s="35"/>
      <c r="F60" s="35"/>
      <c r="G60" s="35"/>
      <c r="H60" s="35"/>
      <c r="I60" s="35"/>
      <c r="J60" s="35"/>
      <c r="K60" s="35"/>
      <c r="L60" s="35"/>
      <c r="M60" s="35"/>
      <c r="N60" s="35"/>
      <c r="O60" s="35"/>
      <c r="P60" s="35"/>
      <c r="Q60" s="35"/>
      <c r="R60" s="35"/>
    </row>
    <row r="61" spans="1:18" x14ac:dyDescent="0.25">
      <c r="A61" s="33" t="str">
        <f>"Principal Due in "&amp;Year_DestinationYearID+1</f>
        <v>Principal Due in 2025</v>
      </c>
      <c r="B61" s="34" t="s">
        <v>800</v>
      </c>
      <c r="C61" s="35"/>
      <c r="D61" s="35"/>
      <c r="E61" s="35"/>
      <c r="F61" s="35"/>
      <c r="G61" s="35"/>
      <c r="H61" s="35"/>
      <c r="I61" s="35"/>
      <c r="J61" s="35"/>
      <c r="K61" s="35"/>
      <c r="L61" s="35"/>
      <c r="M61" s="35"/>
      <c r="N61" s="35"/>
      <c r="O61" s="35"/>
      <c r="P61" s="35"/>
      <c r="Q61" s="35"/>
      <c r="R61" s="35"/>
    </row>
    <row r="62" spans="1:18" x14ac:dyDescent="0.25">
      <c r="A62" s="33" t="str">
        <f>"Interest Due in "&amp;Year_DestinationYearID+1</f>
        <v>Interest Due in 2025</v>
      </c>
      <c r="B62" s="34" t="s">
        <v>781</v>
      </c>
      <c r="C62" s="35"/>
      <c r="D62" s="35"/>
      <c r="E62" s="35"/>
      <c r="F62" s="35"/>
      <c r="G62" s="35"/>
      <c r="H62" s="35"/>
      <c r="I62" s="35"/>
      <c r="J62" s="35"/>
      <c r="K62" s="35"/>
      <c r="L62" s="35"/>
      <c r="M62" s="35"/>
      <c r="N62" s="35"/>
      <c r="O62" s="35"/>
      <c r="P62" s="35"/>
      <c r="Q62" s="35"/>
      <c r="R62" s="35"/>
    </row>
    <row r="63" spans="1:18" x14ac:dyDescent="0.25">
      <c r="A63" s="6"/>
    </row>
    <row r="64" spans="1:18" x14ac:dyDescent="0.25">
      <c r="A64" s="6"/>
      <c r="C64" s="6"/>
    </row>
    <row r="66" spans="1:1" x14ac:dyDescent="0.25">
      <c r="A66" s="6"/>
    </row>
  </sheetData>
  <phoneticPr fontId="7" type="noConversion"/>
  <conditionalFormatting sqref="A1">
    <cfRule type="expression" dxfId="721" priority="5">
      <formula>#REF!="Exclude"</formula>
    </cfRule>
    <cfRule type="expression" dxfId="720" priority="6">
      <formula>#REF!="Error"</formula>
    </cfRule>
  </conditionalFormatting>
  <conditionalFormatting sqref="A2">
    <cfRule type="expression" dxfId="718" priority="1">
      <formula>#REF!="Exclude"</formula>
    </cfRule>
    <cfRule type="expression" dxfId="717" priority="2">
      <formula>#REF!="Error"</formula>
    </cfRule>
  </conditionalFormatting>
  <pageMargins left="0.7" right="0.7" top="0.75" bottom="0.75" header="0.3" footer="0.3"/>
  <pageSetup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4" id="{62996870-B0FA-40D9-95C4-31890285B4CA}">
            <xm:f>COUNTIFS(Validation!$H:$H,MID(CELL("filename",A1),FIND("]",CELL("filename",A1))+1,255)&amp;CELL("address",A1))&gt;0</xm:f>
            <x14:dxf>
              <font>
                <b/>
                <i val="0"/>
                <color rgb="FFC00000"/>
              </font>
              <numFmt numFmtId="172" formatCode="_(\!* #,##0_);_(\!* \(#,##0\);_(\!* \-??_);_(\!\ @_)"/>
            </x14:dxf>
          </x14:cfRule>
          <xm:sqref>A1:A2</xm:sqref>
        </x14:conditionalFormatting>
      </x14:conditionalFormattings>
    </ext>
  </extLs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5BF0F6-2231-4AA9-A45D-379805765A77}">
  <sheetPr>
    <tabColor rgb="FFEED382"/>
  </sheetPr>
  <dimension ref="A1:F50"/>
  <sheetViews>
    <sheetView showGridLines="0" workbookViewId="0">
      <selection activeCell="B7" sqref="B7"/>
    </sheetView>
  </sheetViews>
  <sheetFormatPr defaultRowHeight="15" x14ac:dyDescent="0.25"/>
  <cols>
    <col min="1" max="1" width="55.7109375" style="66" customWidth="1"/>
    <col min="2" max="3" width="22.7109375" style="66" customWidth="1"/>
    <col min="4" max="4" width="80.85546875" style="66" customWidth="1"/>
    <col min="5" max="5" width="14.7109375" style="66" customWidth="1"/>
    <col min="6" max="6" width="10.7109375" style="78" hidden="1" customWidth="1"/>
    <col min="7" max="16384" width="9.140625" style="66"/>
  </cols>
  <sheetData>
    <row r="1" spans="1:6" s="59" customFormat="1" ht="24.95" customHeight="1" x14ac:dyDescent="0.25">
      <c r="A1" s="59" t="str">
        <f>_xlfn.CONCAT("Office of the State Auditor  -  TIF Annual Reporting Form  -  ",Year_DestinationYearID)</f>
        <v>Office of the State Auditor  -  TIF Annual Reporting Form  -  2024</v>
      </c>
      <c r="F1" s="61"/>
    </row>
    <row r="2" spans="1:6" s="62" customFormat="1" ht="20.100000000000001" customHeight="1" x14ac:dyDescent="0.25">
      <c r="A2" s="58" t="str">
        <f>_xlfn.CONCAT(GovEntity_GovEntityName_Parent,"  -  ",GovEntity_GovEntityName)</f>
        <v>Spruce City  -  TIF 1-1 Downtown Redev</v>
      </c>
      <c r="F2" s="64"/>
    </row>
    <row r="3" spans="1:6" s="68" customFormat="1" ht="24.95" customHeight="1" x14ac:dyDescent="0.3">
      <c r="A3" s="65" t="s">
        <v>238</v>
      </c>
      <c r="B3" s="66"/>
      <c r="C3" s="66"/>
      <c r="F3" s="69"/>
    </row>
    <row r="4" spans="1:6" s="71" customFormat="1" x14ac:dyDescent="0.25">
      <c r="A4" s="217" t="s">
        <v>207</v>
      </c>
      <c r="B4" s="217"/>
      <c r="C4" s="217"/>
      <c r="D4" s="217"/>
      <c r="E4" s="217"/>
      <c r="F4" s="72" t="s">
        <v>119</v>
      </c>
    </row>
    <row r="5" spans="1:6" s="74" customFormat="1" ht="20.100000000000001" customHeight="1" x14ac:dyDescent="0.25">
      <c r="A5" s="73" t="str">
        <f>HYPERLINK("#'Loans'!B6","Click here to return to the Loans Tab")</f>
        <v>Click here to return to the Loans Tab</v>
      </c>
      <c r="D5" s="74" t="s">
        <v>121</v>
      </c>
      <c r="E5" s="74" t="s">
        <v>102</v>
      </c>
      <c r="F5" s="76"/>
    </row>
    <row r="6" spans="1:6" ht="20.100000000000001" customHeight="1" x14ac:dyDescent="0.25">
      <c r="A6" s="74" t="s">
        <v>239</v>
      </c>
      <c r="D6" s="77" t="str">
        <f ca="1">IFERROR(INDEX(Validation!G:G,MATCH("Loan 8"&amp;CELL("address",D6),Validation!I:I,0)),"")</f>
        <v/>
      </c>
      <c r="E6" s="66" t="str">
        <f ca="1">IFERROR(INDEX(Validation!F:F,MATCH("Loan 8"&amp;CELL("address",D6),Validation!I:I,0)),"")</f>
        <v/>
      </c>
      <c r="F6" s="78" t="s">
        <v>875</v>
      </c>
    </row>
    <row r="7" spans="1:6" x14ac:dyDescent="0.25">
      <c r="A7" s="79" t="s">
        <v>761</v>
      </c>
      <c r="B7" s="103" t="str">
        <f>IF(AND(NOT(ISBLANK('Loan Input'!J5)),OR('Loan Input'!J$5=Lists!$AG$2,'Loan Input'!J$5=Lists!$AG$3)),_xlfn.XLOOKUP('Loan Input'!J5,Lists!AG2:AG5,Lists!AH2:AH5),Lists!$AH$1)</f>
        <v>Select One</v>
      </c>
      <c r="C7" s="128"/>
      <c r="D7" s="77" t="str">
        <f ca="1">IFERROR(INDEX(Validation!G:G,MATCH("Loan 8"&amp;CELL("address",D7),Validation!I:I,0)),"")</f>
        <v/>
      </c>
      <c r="E7" s="66" t="str">
        <f ca="1">IFERROR(INDEX(Validation!F:F,MATCH("Loan 8"&amp;CELL("address",D7),Validation!I:I,0)),"")</f>
        <v/>
      </c>
      <c r="F7" s="85" t="str">
        <f>IF(NOT(ISBLANK('Loan Input'!J4)),'Loan Input'!J4,"")</f>
        <v/>
      </c>
    </row>
    <row r="8" spans="1:6" x14ac:dyDescent="0.25">
      <c r="A8" s="79" t="s">
        <v>769</v>
      </c>
      <c r="B8" s="103" t="str">
        <f>IF(AND(NOT(ISBLANK('Loan Input'!J6)),'Loan Input'!J$5=Lists!$AG$2),'Loan Input'!J6,Lists!$AJ$1)</f>
        <v>Select One</v>
      </c>
      <c r="C8" s="128"/>
      <c r="D8" s="77" t="str">
        <f ca="1">IFERROR(INDEX(Validation!G:G,MATCH("Loan 8"&amp;CELL("address",D8),Validation!I:I,0)),"")</f>
        <v/>
      </c>
      <c r="E8" s="66" t="str">
        <f ca="1">IFERROR(INDEX(Validation!F:F,MATCH("Loan 8"&amp;CELL("address",D8),Validation!I:I,0)),"")</f>
        <v/>
      </c>
    </row>
    <row r="9" spans="1:6" x14ac:dyDescent="0.25">
      <c r="A9" s="79" t="s">
        <v>770</v>
      </c>
      <c r="B9" s="103" t="str">
        <f>IF(AND(NOT(ISBLANK('Loan Input'!J7)),'Loan Input'!J$5=Lists!$AG$3),'Loan Input'!J7,"")</f>
        <v/>
      </c>
      <c r="C9" s="128"/>
      <c r="D9" s="77" t="str">
        <f ca="1">IFERROR(INDEX(Validation!G:G,MATCH("Loan 8"&amp;CELL("address",D9),Validation!I:I,0)),"")</f>
        <v/>
      </c>
      <c r="E9" s="66" t="str">
        <f ca="1">IFERROR(INDEX(Validation!F:F,MATCH("Loan 8"&amp;CELL("address",D9),Validation!I:I,0)),"")</f>
        <v/>
      </c>
    </row>
    <row r="10" spans="1:6" x14ac:dyDescent="0.25">
      <c r="A10" s="79" t="s">
        <v>931</v>
      </c>
      <c r="B10" s="120" t="str">
        <f>IF(AND(NOT(ISBLANK('Loan Input'!J8)),OR('Loan Input'!J$5=Lists!$AG$2,'Loan Input'!J$5=Lists!$AG$3)),'Loan Input'!J8,"")</f>
        <v/>
      </c>
      <c r="C10" s="128"/>
      <c r="D10" s="77" t="str">
        <f ca="1">IFERROR(INDEX(Validation!G:G,MATCH("Loan 8"&amp;CELL("address",D10),Validation!I:I,0)),"")</f>
        <v/>
      </c>
      <c r="E10" s="66" t="str">
        <f ca="1">IFERROR(INDEX(Validation!F:F,MATCH("Loan 8"&amp;CELL("address",D10),Validation!I:I,0)),"")</f>
        <v/>
      </c>
    </row>
    <row r="11" spans="1:6" x14ac:dyDescent="0.25">
      <c r="A11" s="79" t="s">
        <v>212</v>
      </c>
      <c r="B11" s="120" t="str">
        <f>IF(AND(NOT(ISBLANK('Loan Input'!J9)),OR('Loan Input'!J$5=Lists!$AG$2,'Loan Input'!J$5=Lists!$AG$3)),'Loan Input'!J9,"")</f>
        <v/>
      </c>
      <c r="C11" s="128"/>
      <c r="D11" s="77" t="str">
        <f ca="1">IFERROR(INDEX(Validation!G:G,MATCH("Loan 8"&amp;CELL("address",D11),Validation!I:I,0)),"")</f>
        <v/>
      </c>
      <c r="E11" s="66" t="str">
        <f ca="1">IFERROR(INDEX(Validation!F:F,MATCH("Loan 8"&amp;CELL("address",D11),Validation!I:I,0)),"")</f>
        <v/>
      </c>
    </row>
    <row r="12" spans="1:6" x14ac:dyDescent="0.25">
      <c r="A12" s="79" t="s">
        <v>213</v>
      </c>
      <c r="B12" s="121" t="str">
        <f>IF(AND(NOT(ISBLANK('Loan Input'!J10)),OR('Loan Input'!J$5=Lists!$AG$2,'Loan Input'!J$5=Lists!$AG$3)),'Loan Input'!J10,"")</f>
        <v/>
      </c>
      <c r="C12" s="128"/>
      <c r="D12" s="77" t="str">
        <f ca="1">IFERROR(INDEX(Validation!G:G,MATCH("Loan 8"&amp;CELL("address",D12),Validation!I:I,0)),"")</f>
        <v/>
      </c>
      <c r="E12" s="66" t="str">
        <f ca="1">IFERROR(INDEX(Validation!F:F,MATCH("Loan 8"&amp;CELL("address",D12),Validation!I:I,0)),"")</f>
        <v/>
      </c>
    </row>
    <row r="13" spans="1:6" x14ac:dyDescent="0.25">
      <c r="A13" s="79" t="s">
        <v>214</v>
      </c>
      <c r="B13" s="121" t="str">
        <f>IF(AND(NOT(ISBLANK('Loan Input'!J11)),OR('Loan Input'!J$5=Lists!$AG$2,'Loan Input'!J$5=Lists!$AG$3)),'Loan Input'!J11,"")</f>
        <v/>
      </c>
      <c r="C13" s="128"/>
      <c r="D13" s="77" t="str">
        <f ca="1">IFERROR(INDEX(Validation!G:G,MATCH("Loan 8"&amp;CELL("address",D13),Validation!I:I,0)),"")</f>
        <v/>
      </c>
      <c r="E13" s="66" t="str">
        <f ca="1">IFERROR(INDEX(Validation!F:F,MATCH("Loan 8"&amp;CELL("address",D13),Validation!I:I,0)),"")</f>
        <v/>
      </c>
    </row>
    <row r="14" spans="1:6" x14ac:dyDescent="0.25">
      <c r="A14" s="79" t="s">
        <v>241</v>
      </c>
      <c r="B14" s="120" t="str">
        <f>IF(AND(NOT(ISBLANK('Loan Input'!J12)),OR('Loan Input'!J$5=Lists!$AG$2,'Loan Input'!J$5=Lists!$AG$3)),'Loan Input'!J12,Lists!$AM$1)</f>
        <v>Select One</v>
      </c>
      <c r="C14" s="129"/>
      <c r="D14" s="77" t="str">
        <f ca="1">IFERROR(INDEX(Validation!G:G,MATCH("Loan 8"&amp;CELL("address",D14),Validation!I:I,0)),"")</f>
        <v/>
      </c>
      <c r="E14" s="66" t="str">
        <f ca="1">IFERROR(INDEX(Validation!F:F,MATCH("Loan 8"&amp;CELL("address",D14),Validation!I:I,0)),"")</f>
        <v/>
      </c>
    </row>
    <row r="15" spans="1:6" x14ac:dyDescent="0.25">
      <c r="A15" s="79" t="s">
        <v>242</v>
      </c>
      <c r="B15" s="122" t="str">
        <f>IF(AND(NOT(ISBLANK('Loan Input'!J13)),OR('Loan Input'!J$5=Lists!$AG$2,'Loan Input'!J$5=Lists!$AG$3)),'Loan Input'!J13,"")</f>
        <v/>
      </c>
      <c r="C15" s="128"/>
      <c r="D15" s="77" t="str">
        <f ca="1">IFERROR(INDEX(Validation!G:G,MATCH("Loan 8"&amp;CELL("address",D15),Validation!I:I,0)),"")</f>
        <v/>
      </c>
      <c r="E15" s="66" t="str">
        <f ca="1">IFERROR(INDEX(Validation!F:F,MATCH("Loan 8"&amp;CELL("address",D15),Validation!I:I,0)),"")</f>
        <v/>
      </c>
    </row>
    <row r="16" spans="1:6" x14ac:dyDescent="0.25">
      <c r="A16" s="79" t="s">
        <v>232</v>
      </c>
      <c r="B16" s="103" t="str">
        <f>IF(OR('Loan Input'!J14="",'Loan Input'!J14=0),"Select One",IF('Loan Input'!J14=TRUE,"Yes","No"))</f>
        <v>Select One</v>
      </c>
      <c r="C16" s="128"/>
      <c r="D16" s="77" t="str">
        <f ca="1">IFERROR(INDEX(Validation!G:G,MATCH("Loan 8"&amp;CELL("address",D16),Validation!I:I,0)),"")</f>
        <v/>
      </c>
      <c r="E16" s="66" t="str">
        <f ca="1">IFERROR(INDEX(Validation!F:F,MATCH("Loan 8"&amp;CELL("address",D16),Validation!I:I,0)),"")</f>
        <v/>
      </c>
    </row>
    <row r="17" spans="1:5" x14ac:dyDescent="0.25">
      <c r="A17" s="79" t="str">
        <f>"Were the terms of this obligation modified in "&amp;Year_DestinationYearID&amp;"?"</f>
        <v>Were the terms of this obligation modified in 2024?</v>
      </c>
      <c r="B17" s="103" t="s">
        <v>41</v>
      </c>
      <c r="C17" s="128"/>
      <c r="D17" s="77" t="str">
        <f ca="1">IFERROR(INDEX(Validation!G:G,MATCH("Loan 8"&amp;CELL("address",D17),Validation!I:I,0)),"")</f>
        <v/>
      </c>
      <c r="E17" s="66" t="str">
        <f ca="1">IFERROR(INDEX(Validation!F:F,MATCH("Loan 8"&amp;CELL("address",D17),Validation!I:I,0)),"")</f>
        <v/>
      </c>
    </row>
    <row r="18" spans="1:5" ht="20.100000000000001" customHeight="1" x14ac:dyDescent="0.25">
      <c r="A18" s="74" t="s">
        <v>1183</v>
      </c>
      <c r="B18" s="74" t="s">
        <v>283</v>
      </c>
      <c r="C18" s="74" t="str">
        <f>Year_DestinationYearID&amp;" Amount"</f>
        <v>2024 Amount</v>
      </c>
      <c r="D18" s="77" t="str">
        <f ca="1">IFERROR(INDEX(Validation!G:G,MATCH("Loan 8"&amp;CELL("address",D18),Validation!I:I,0)),"")</f>
        <v/>
      </c>
      <c r="E18" s="66" t="str">
        <f ca="1">IFERROR(INDEX(Validation!F:F,MATCH("Loan 8"&amp;CELL("address",D18),Validation!I:I,0)),"")</f>
        <v/>
      </c>
    </row>
    <row r="19" spans="1:5" x14ac:dyDescent="0.25">
      <c r="A19" s="79" t="s">
        <v>266</v>
      </c>
      <c r="B19" s="122" t="str">
        <f>IF(AND(NOT(ISBLANK('Loan Input'!J16)),OR('Loan Input'!J$5=Lists!$AG$2,'Loan Input'!J$5=Lists!$AG$3)),'Loan Input'!J16,"")</f>
        <v/>
      </c>
      <c r="C19" s="103"/>
      <c r="D19" s="77" t="str">
        <f ca="1">IFERROR(INDEX(Validation!G:G,MATCH("Loan 8"&amp;CELL("address",D19),Validation!I:I,0)),"")</f>
        <v/>
      </c>
      <c r="E19" s="66" t="str">
        <f ca="1">IFERROR(INDEX(Validation!F:F,MATCH("Loan 8"&amp;CELL("address",D19),Validation!I:I,0)),"")</f>
        <v/>
      </c>
    </row>
    <row r="20" spans="1:5" x14ac:dyDescent="0.25">
      <c r="A20" s="79" t="s">
        <v>267</v>
      </c>
      <c r="B20" s="122" t="str">
        <f>IF(AND(NOT(ISBLANK('Loan Input'!J18)),OR('Loan Input'!J$5=Lists!$AG$2,'Loan Input'!J$5=Lists!$AG$3)),'Loan Input'!J18,"")</f>
        <v/>
      </c>
      <c r="C20" s="103"/>
      <c r="D20" s="77" t="str">
        <f ca="1">IFERROR(INDEX(Validation!G:G,MATCH("Loan 8"&amp;CELL("address",D20),Validation!I:I,0)),"")</f>
        <v/>
      </c>
      <c r="E20" s="66" t="str">
        <f ca="1">IFERROR(INDEX(Validation!F:F,MATCH("Loan 8"&amp;CELL("address",D20),Validation!I:I,0)),"")</f>
        <v/>
      </c>
    </row>
    <row r="21" spans="1:5" x14ac:dyDescent="0.25">
      <c r="A21" s="79" t="s">
        <v>268</v>
      </c>
      <c r="B21" s="122" t="str">
        <f>IF(AND(NOT(ISBLANK('Loan Input'!J20)),OR('Loan Input'!J$5=Lists!$AG$2,'Loan Input'!J$5=Lists!$AG$3)),'Loan Input'!J20,"")</f>
        <v/>
      </c>
      <c r="C21" s="103"/>
      <c r="D21" s="77" t="str">
        <f ca="1">IFERROR(INDEX(Validation!G:G,MATCH("Loan 8"&amp;CELL("address",D21),Validation!I:I,0)),"")</f>
        <v/>
      </c>
      <c r="E21" s="66" t="str">
        <f ca="1">IFERROR(INDEX(Validation!F:F,MATCH("Loan 8"&amp;CELL("address",D21),Validation!I:I,0)),"")</f>
        <v/>
      </c>
    </row>
    <row r="22" spans="1:5" x14ac:dyDescent="0.25">
      <c r="A22" s="79" t="s">
        <v>269</v>
      </c>
      <c r="B22" s="122" t="str">
        <f>IF(AND(NOT(ISBLANK('Loan Input'!J22)),OR('Loan Input'!J$5=Lists!$AG$2,'Loan Input'!J$5=Lists!$AG$3)),'Loan Input'!J22,"")</f>
        <v/>
      </c>
      <c r="C22" s="103"/>
      <c r="D22" s="77" t="str">
        <f ca="1">IFERROR(INDEX(Validation!G:G,MATCH("Loan 8"&amp;CELL("address",D22),Validation!I:I,0)),"")</f>
        <v/>
      </c>
      <c r="E22" s="66" t="str">
        <f ca="1">IFERROR(INDEX(Validation!F:F,MATCH("Loan 8"&amp;CELL("address",D22),Validation!I:I,0)),"")</f>
        <v/>
      </c>
    </row>
    <row r="23" spans="1:5" x14ac:dyDescent="0.25">
      <c r="A23" s="79" t="s">
        <v>1101</v>
      </c>
      <c r="B23" s="122" t="str">
        <f>IF(AND(NOT(ISBLANK('Loan Input'!J24)),OR('Loan Input'!J$5=Lists!$AG$2,'Loan Input'!J$5=Lists!$AG$3)),'Loan Input'!J24,"")</f>
        <v/>
      </c>
      <c r="C23" s="103"/>
      <c r="D23" s="77" t="str">
        <f ca="1">IFERROR(INDEX(Validation!G:G,MATCH("Loan 8"&amp;CELL("address",D23),Validation!I:I,0)),"")</f>
        <v/>
      </c>
      <c r="E23" s="66" t="str">
        <f ca="1">IFERROR(INDEX(Validation!F:F,MATCH("Loan 8"&amp;CELL("address",D23),Validation!I:I,0)),"")</f>
        <v/>
      </c>
    </row>
    <row r="24" spans="1:5" x14ac:dyDescent="0.25">
      <c r="A24" s="79" t="s">
        <v>270</v>
      </c>
      <c r="B24" s="122" t="str">
        <f>IF(AND(NOT(ISBLANK('Loan Input'!J26)),OR('Loan Input'!J$5=Lists!$AG$2,'Loan Input'!J$5=Lists!$AG$3)),'Loan Input'!J26,"")</f>
        <v/>
      </c>
      <c r="C24" s="103"/>
      <c r="D24" s="77" t="str">
        <f ca="1">IFERROR(INDEX(Validation!G:G,MATCH("Loan 8"&amp;CELL("address",D24),Validation!I:I,0)),"")</f>
        <v/>
      </c>
      <c r="E24" s="66" t="str">
        <f ca="1">IFERROR(INDEX(Validation!F:F,MATCH("Loan 8"&amp;CELL("address",D24),Validation!I:I,0)),"")</f>
        <v/>
      </c>
    </row>
    <row r="25" spans="1:5" x14ac:dyDescent="0.25">
      <c r="A25" s="79" t="s">
        <v>271</v>
      </c>
      <c r="B25" s="122" t="str">
        <f>IF(AND(NOT(ISBLANK('Loan Input'!J28)),OR('Loan Input'!J$5=Lists!$AG$2,'Loan Input'!J$5=Lists!$AG$3)),'Loan Input'!J28,"")</f>
        <v/>
      </c>
      <c r="C25" s="103"/>
      <c r="D25" s="77" t="str">
        <f ca="1">IFERROR(INDEX(Validation!G:G,MATCH("Loan 8"&amp;CELL("address",D25),Validation!I:I,0)),"")</f>
        <v/>
      </c>
      <c r="E25" s="66" t="str">
        <f ca="1">IFERROR(INDEX(Validation!F:F,MATCH("Loan 8"&amp;CELL("address",D25),Validation!I:I,0)),"")</f>
        <v/>
      </c>
    </row>
    <row r="26" spans="1:5" x14ac:dyDescent="0.25">
      <c r="A26" s="79" t="s">
        <v>276</v>
      </c>
      <c r="B26" s="122" t="str">
        <f>IF(AND(NOT(ISBLANK('Loan Input'!J30)),OR('Loan Input'!C$5=Lists!$AG$2,'Loan Input'!C$5=Lists!$AG$3)),'Loan Input'!J30,"")</f>
        <v/>
      </c>
      <c r="C26" s="103"/>
      <c r="D26" s="77" t="str">
        <f ca="1">IFERROR(INDEX(Validation!G:G,MATCH("Loan 8"&amp;CELL("address",D26),Validation!I:I,0)),"")</f>
        <v/>
      </c>
      <c r="E26" s="66" t="str">
        <f ca="1">IFERROR(INDEX(Validation!F:F,MATCH("Loan 8"&amp;CELL("address",D26),Validation!I:I,0)),"")</f>
        <v/>
      </c>
    </row>
    <row r="27" spans="1:5" x14ac:dyDescent="0.25">
      <c r="A27" s="79" t="s">
        <v>272</v>
      </c>
      <c r="B27" s="122" t="str">
        <f>IF(AND(NOT(ISBLANK('Loan Input'!J32)),OR('Loan Input'!J$5=Lists!$AG$2,'Loan Input'!J$5=Lists!$AG$3)),'Loan Input'!J32,"")</f>
        <v/>
      </c>
      <c r="C27" s="103"/>
      <c r="D27" s="77" t="str">
        <f ca="1">IFERROR(INDEX(Validation!G:G,MATCH("Loan 8"&amp;CELL("address",D27),Validation!I:I,0)),"")</f>
        <v/>
      </c>
      <c r="E27" s="66" t="str">
        <f ca="1">IFERROR(INDEX(Validation!F:F,MATCH("Loan 8"&amp;CELL("address",D27),Validation!I:I,0)),"")</f>
        <v/>
      </c>
    </row>
    <row r="28" spans="1:5" x14ac:dyDescent="0.25">
      <c r="A28" s="79" t="s">
        <v>273</v>
      </c>
      <c r="B28" s="122" t="str">
        <f>IF(AND(NOT(ISBLANK('Loan Input'!J34)),OR('Loan Input'!J$5=Lists!$AG$2,'Loan Input'!J$5=Lists!$AG$3)),'Loan Input'!J34,"")</f>
        <v/>
      </c>
      <c r="C28" s="103"/>
      <c r="D28" s="77" t="str">
        <f ca="1">IFERROR(INDEX(Validation!G:G,MATCH("Loan 8"&amp;CELL("address",D28),Validation!I:I,0)),"")</f>
        <v/>
      </c>
      <c r="E28" s="66" t="str">
        <f ca="1">IFERROR(INDEX(Validation!F:F,MATCH("Loan 8"&amp;CELL("address",D28),Validation!I:I,0)),"")</f>
        <v/>
      </c>
    </row>
    <row r="29" spans="1:5" x14ac:dyDescent="0.25">
      <c r="A29" s="130" t="s">
        <v>1184</v>
      </c>
      <c r="B29" s="125">
        <f>SUM(B19:B28)</f>
        <v>0</v>
      </c>
      <c r="C29" s="125">
        <f>SUM(C19:C28)</f>
        <v>0</v>
      </c>
      <c r="D29" s="77" t="str">
        <f ca="1">IFERROR(INDEX(Validation!G:G,MATCH("Loan 8"&amp;CELL("address",D29),Validation!I:I,0)),"")</f>
        <v/>
      </c>
      <c r="E29" s="66" t="str">
        <f ca="1">IFERROR(INDEX(Validation!F:F,MATCH("Loan 8"&amp;CELL("address",D29),Validation!I:I,0)),"")</f>
        <v/>
      </c>
    </row>
    <row r="30" spans="1:5" x14ac:dyDescent="0.25">
      <c r="A30" s="130" t="s">
        <v>1185</v>
      </c>
      <c r="B30" s="125" t="str">
        <f>IFERROR(B34-B29,"")</f>
        <v/>
      </c>
      <c r="C30" s="125" t="str">
        <f>IFERROR(B34+C34-B29-C29,"")</f>
        <v/>
      </c>
      <c r="D30" s="77" t="str">
        <f ca="1">IFERROR(INDEX(Validation!G:G,MATCH("Loan 8"&amp;CELL("address",D30),Validation!I:I,0)),"")</f>
        <v/>
      </c>
      <c r="E30" s="66" t="str">
        <f ca="1">IFERROR(INDEX(Validation!F:F,MATCH("Loan 8"&amp;CELL("address",D30),Validation!I:I,0)),"")</f>
        <v/>
      </c>
    </row>
    <row r="31" spans="1:5" x14ac:dyDescent="0.25">
      <c r="A31" s="131" t="s">
        <v>1186</v>
      </c>
      <c r="B31" s="122" t="str">
        <f>IF(AND(NOT(ISBLANK('Loan Input'!J41)),OR('Loan Input'!J$5=Lists!$AG$2,'Loan Input'!J$5=Lists!$AG$3)),'Loan Input'!J41,"")</f>
        <v/>
      </c>
      <c r="C31" s="103"/>
      <c r="D31" s="77" t="str">
        <f ca="1">IFERROR(INDEX(Validation!G:G,MATCH("Loan 8"&amp;CELL("address",D31),Validation!I:I,0)),"")</f>
        <v/>
      </c>
      <c r="E31" s="66" t="str">
        <f ca="1">IFERROR(INDEX(Validation!F:F,MATCH("Loan 8"&amp;CELL("address",D31),Validation!I:I,0)),"")</f>
        <v/>
      </c>
    </row>
    <row r="32" spans="1:5" x14ac:dyDescent="0.25">
      <c r="A32" s="131" t="s">
        <v>1187</v>
      </c>
      <c r="B32" s="122" t="str">
        <f>IF(AND(NOT(ISBLANK('Loan Input'!J43)),OR('Loan Input'!J$5=Lists!$AG$2,'Loan Input'!J$5=Lists!$AG$3)),'Loan Input'!J43,"")</f>
        <v/>
      </c>
      <c r="C32" s="103"/>
      <c r="D32" s="77" t="str">
        <f ca="1">IFERROR(INDEX(Validation!G:G,MATCH("Loan 8"&amp;CELL("address",D32),Validation!I:I,0)),"")</f>
        <v/>
      </c>
      <c r="E32" s="66" t="str">
        <f ca="1">IFERROR(INDEX(Validation!F:F,MATCH("Loan 8"&amp;CELL("address",D32),Validation!I:I,0)),"")</f>
        <v/>
      </c>
    </row>
    <row r="33" spans="1:6" ht="20.100000000000001" customHeight="1" x14ac:dyDescent="0.25">
      <c r="A33" s="74" t="s">
        <v>754</v>
      </c>
      <c r="B33" s="74" t="s">
        <v>283</v>
      </c>
      <c r="C33" s="74" t="str">
        <f>Year_DestinationYearID&amp;" Amount"</f>
        <v>2024 Amount</v>
      </c>
      <c r="D33" s="77" t="str">
        <f ca="1">IFERROR(INDEX(Validation!G:G,MATCH("Loan 8"&amp;CELL("address",D33),Validation!I:I,0)),"")</f>
        <v/>
      </c>
      <c r="E33" s="66" t="str">
        <f ca="1">IFERROR(INDEX(Validation!F:F,MATCH("Loan 8"&amp;CELL("address",D33),Validation!I:I,0)),"")</f>
        <v/>
      </c>
    </row>
    <row r="34" spans="1:6" x14ac:dyDescent="0.25">
      <c r="A34" s="79" t="s">
        <v>1350</v>
      </c>
      <c r="B34" s="122" t="str">
        <f>IF(AND(NOT(ISBLANK('Loan Input'!J44)),OR('Loan Input'!J$5=Lists!$AG$2,'Loan Input'!J$5=Lists!$AG$3)),'Loan Input'!J44,"")</f>
        <v/>
      </c>
      <c r="C34" s="122"/>
      <c r="D34" s="77" t="str">
        <f ca="1">IFERROR(INDEX(Validation!G:G,MATCH("Loan 8"&amp;CELL("address",D34),Validation!I:I,0)),"")</f>
        <v/>
      </c>
      <c r="E34" s="66" t="str">
        <f ca="1">IFERROR(INDEX(Validation!F:F,MATCH("Loan 8"&amp;CELL("address",D34),Validation!I:I,0)),"")</f>
        <v/>
      </c>
    </row>
    <row r="35" spans="1:6" x14ac:dyDescent="0.25">
      <c r="A35" s="79" t="s">
        <v>1188</v>
      </c>
      <c r="B35" s="122" t="str">
        <f>IF(AND(NOT(ISBLANK('Loan Input'!J47)),OR('Loan Input'!J$5=Lists!$AG$2,'Loan Input'!J$5=Lists!$AG$3)),'Loan Input'!J47,"")</f>
        <v/>
      </c>
      <c r="C35" s="122"/>
      <c r="D35" s="77" t="str">
        <f ca="1">IFERROR(INDEX(Validation!G:G,MATCH("Loan 8"&amp;CELL("address",D35),Validation!I:I,0)),"")</f>
        <v/>
      </c>
      <c r="E35" s="66" t="str">
        <f ca="1">IFERROR(INDEX(Validation!F:F,MATCH("Loan 8"&amp;CELL("address",D35),Validation!I:I,0)),"")</f>
        <v/>
      </c>
    </row>
    <row r="36" spans="1:6" x14ac:dyDescent="0.25">
      <c r="A36" s="79" t="s">
        <v>1189</v>
      </c>
      <c r="B36" s="122" t="str">
        <f>IF(AND(NOT(ISBLANK('Loan Input'!J49)),OR('Loan Input'!J$5=Lists!$AG$2,'Loan Input'!J$5=Lists!$AG$3)),'Loan Input'!J49,"")</f>
        <v/>
      </c>
      <c r="C36" s="122"/>
      <c r="D36" s="77" t="str">
        <f ca="1">IFERROR(INDEX(Validation!G:G,MATCH("Loan 8"&amp;CELL("address",D36),Validation!I:I,0)),"")</f>
        <v/>
      </c>
      <c r="E36" s="66" t="str">
        <f ca="1">IFERROR(INDEX(Validation!F:F,MATCH("Loan 8"&amp;CELL("address",D36),Validation!I:I,0)),"")</f>
        <v/>
      </c>
    </row>
    <row r="37" spans="1:6" x14ac:dyDescent="0.25">
      <c r="A37" s="79" t="s">
        <v>1190</v>
      </c>
      <c r="B37" s="122" t="str">
        <f>IF(AND(NOT(ISBLANK('Loan Input'!J51)),OR('Loan Input'!J$5=Lists!$AG$2,'Loan Input'!J$5=Lists!$AG$3)),'Loan Input'!J51,"")</f>
        <v/>
      </c>
      <c r="C37" s="122"/>
      <c r="D37" s="77" t="str">
        <f ca="1">IFERROR(INDEX(Validation!G:G,MATCH("Loan 8"&amp;CELL("address",D37),Validation!I:I,0)),"")</f>
        <v/>
      </c>
      <c r="E37" s="66" t="str">
        <f ca="1">IFERROR(INDEX(Validation!F:F,MATCH("Loan 8"&amp;CELL("address",D37),Validation!I:I,0)),"")</f>
        <v/>
      </c>
    </row>
    <row r="38" spans="1:6" x14ac:dyDescent="0.25">
      <c r="A38" s="79" t="s">
        <v>221</v>
      </c>
      <c r="B38" s="125" t="str">
        <f>IFERROR(B34-B35-B36+B37,"")</f>
        <v/>
      </c>
      <c r="C38" s="125" t="str">
        <f>IFERROR(B34+C34-B35-B36-C35-C36+B37+C37,"")</f>
        <v/>
      </c>
      <c r="D38" s="77" t="str">
        <f ca="1">IFERROR(INDEX(Validation!G:G,MATCH("Loan 8"&amp;CELL("address",D38),Validation!I:I,0)),"")</f>
        <v/>
      </c>
      <c r="E38" s="66" t="str">
        <f ca="1">IFERROR(INDEX(Validation!F:F,MATCH("Loan 8"&amp;CELL("address",D38),Validation!I:I,0)),"")</f>
        <v/>
      </c>
      <c r="F38" s="126"/>
    </row>
    <row r="39" spans="1:6" x14ac:dyDescent="0.25">
      <c r="A39" s="79" t="s">
        <v>223</v>
      </c>
      <c r="B39" s="122" t="str">
        <f>IF(AND(NOT(ISBLANK('Loan Input'!J55)),OR('Loan Input'!J$5=Lists!$AG$2,'Loan Input'!J$5=Lists!$AG$3)),'Loan Input'!J55,"")</f>
        <v/>
      </c>
      <c r="C39" s="122"/>
      <c r="D39" s="77" t="str">
        <f ca="1">IFERROR(INDEX(Validation!G:G,MATCH("Loan 8"&amp;CELL("address",D39),Validation!I:I,0)),"")</f>
        <v/>
      </c>
      <c r="E39" s="66" t="str">
        <f ca="1">IFERROR(INDEX(Validation!F:F,MATCH("Loan 8"&amp;CELL("address",D39),Validation!I:I,0)),"")</f>
        <v/>
      </c>
    </row>
    <row r="40" spans="1:6" x14ac:dyDescent="0.25">
      <c r="A40" s="79" t="s">
        <v>1191</v>
      </c>
      <c r="B40" s="122" t="str">
        <f>IF(AND(NOT(ISBLANK('Loan Input'!J57)),OR('Loan Input'!J$5=Lists!$AG$2,'Loan Input'!J$5=Lists!$AG$3)),'Loan Input'!J57,"")</f>
        <v/>
      </c>
      <c r="C40" s="122"/>
      <c r="D40" s="77" t="str">
        <f ca="1">IFERROR(INDEX(Validation!G:G,MATCH("Loan 8"&amp;CELL("address",D40),Validation!I:I,0)),"")</f>
        <v/>
      </c>
      <c r="E40" s="66" t="str">
        <f ca="1">IFERROR(INDEX(Validation!F:F,MATCH("Loan 8"&amp;CELL("address",D40),Validation!I:I,0)),"")</f>
        <v/>
      </c>
    </row>
    <row r="41" spans="1:6" x14ac:dyDescent="0.25">
      <c r="A41" s="79" t="s">
        <v>1192</v>
      </c>
      <c r="B41" s="122" t="str">
        <f>IF(AND(NOT(ISBLANK('Loan Input'!J59)),OR('Loan Input'!J$5=Lists!$AG$2,'Loan Input'!J$5=Lists!$AG$3)),'Loan Input'!J59,"")</f>
        <v/>
      </c>
      <c r="C41" s="122"/>
      <c r="D41" s="77" t="str">
        <f ca="1">IFERROR(INDEX(Validation!G:G,MATCH("Loan 8"&amp;CELL("address",D41),Validation!I:I,0)),"")</f>
        <v/>
      </c>
      <c r="E41" s="66" t="str">
        <f ca="1">IFERROR(INDEX(Validation!F:F,MATCH("Loan 8"&amp;CELL("address",D41),Validation!I:I,0)),"")</f>
        <v/>
      </c>
    </row>
    <row r="42" spans="1:6" ht="20.100000000000001" customHeight="1" x14ac:dyDescent="0.25">
      <c r="A42" s="74" t="str">
        <f>"Principal and Interest Due in "&amp;Year_DestinationYearID+1</f>
        <v>Principal and Interest Due in 2025</v>
      </c>
      <c r="B42" s="74"/>
      <c r="C42" s="74"/>
    </row>
    <row r="43" spans="1:6" x14ac:dyDescent="0.25">
      <c r="A43" s="79" t="str">
        <f>"Principal Due in "&amp;Year_DestinationYearID+1</f>
        <v>Principal Due in 2025</v>
      </c>
      <c r="B43" s="122"/>
      <c r="C43" s="128"/>
      <c r="D43" s="77" t="str">
        <f ca="1">IFERROR(INDEX(Validation!G:G,MATCH("Loan 8"&amp;CELL("address",D43),Validation!I:I,0)),"")</f>
        <v/>
      </c>
      <c r="E43" s="66" t="str">
        <f ca="1">IFERROR(INDEX(Validation!F:F,MATCH("Loan 8"&amp;CELL("address",D43),Validation!I:I,0)),"")</f>
        <v/>
      </c>
    </row>
    <row r="44" spans="1:6" x14ac:dyDescent="0.25">
      <c r="A44" s="79" t="str">
        <f>"Interest Due in "&amp;Year_DestinationYearID+1</f>
        <v>Interest Due in 2025</v>
      </c>
      <c r="B44" s="122"/>
      <c r="C44" s="128"/>
      <c r="D44" s="77" t="str">
        <f ca="1">IFERROR(INDEX(Validation!G:G,MATCH("Loan 8"&amp;CELL("address",D44),Validation!I:I,0)),"")</f>
        <v/>
      </c>
      <c r="E44" s="66" t="str">
        <f ca="1">IFERROR(INDEX(Validation!F:F,MATCH("Loan 8"&amp;CELL("address",D44),Validation!I:I,0)),"")</f>
        <v/>
      </c>
    </row>
    <row r="45" spans="1:6" ht="20.100000000000001" customHeight="1" x14ac:dyDescent="0.25">
      <c r="A45" s="97" t="s">
        <v>176</v>
      </c>
      <c r="D45" s="77" t="str">
        <f ca="1">IF(AND(ISBLANK(A46),OR(COUNTIF(E6:E44,"Alert")&gt;0,SUM(B37:B37)&lt;&gt;0)),"Comment(s) required for remaining alert(s) and/or additions to principal.",IFERROR(INDEX(Validation!G:G,MATCH("Loan 8"&amp;CELL("address",D45),Validation!I:I,0)),""))</f>
        <v/>
      </c>
      <c r="E45" s="66" t="str">
        <f ca="1">IF(AND(ISBLANK(A46),OR(COUNTIF(E6:E44,"Alert")&gt;0,SUM(B37:B37)&lt;&gt;0)),"Error",IFERROR(INDEX(Validation!F:F,MATCH("Loan 8"&amp;CELL("address",D45),Validation!I:I,0)),""))</f>
        <v/>
      </c>
    </row>
    <row r="46" spans="1:6" ht="150" customHeight="1" x14ac:dyDescent="0.25">
      <c r="A46" s="123"/>
      <c r="B46" s="100" t="str">
        <f>HYPERLINK("#'Loans'!B6","Click here to return to the Loans Tab")</f>
        <v>Click here to return to the Loans Tab</v>
      </c>
      <c r="C46" s="127"/>
    </row>
    <row r="47" spans="1:6" x14ac:dyDescent="0.25">
      <c r="A47" s="98"/>
      <c r="B47" s="98"/>
      <c r="C47" s="98"/>
    </row>
    <row r="48" spans="1:6" x14ac:dyDescent="0.25">
      <c r="A48" s="98"/>
      <c r="B48" s="98"/>
      <c r="C48" s="98"/>
    </row>
    <row r="49" spans="1:3" x14ac:dyDescent="0.25">
      <c r="A49" s="98"/>
      <c r="B49" s="98"/>
      <c r="C49" s="98"/>
    </row>
    <row r="50" spans="1:3" x14ac:dyDescent="0.25">
      <c r="A50" s="98"/>
      <c r="B50" s="98"/>
      <c r="C50" s="98"/>
    </row>
  </sheetData>
  <sheetProtection algorithmName="SHA-512" hashValue="sNRvdMw1mLqOtOtIC9JN+pQjCpYrIInx+NxGYAznIVaX3Ud4MPV5iGAKWgpMal/GFOJeXoB17d/cPPa5ygIF/g==" saltValue="vfEs9XhjIKZimXvk9XX34A==" spinCount="100000" sheet="1" objects="1" scenarios="1"/>
  <mergeCells count="1">
    <mergeCell ref="A4:E4"/>
  </mergeCells>
  <conditionalFormatting sqref="A2">
    <cfRule type="expression" dxfId="206" priority="11">
      <formula>$E2="Error"</formula>
    </cfRule>
    <cfRule type="expression" dxfId="204" priority="13">
      <formula>$E2="Exclude"</formula>
    </cfRule>
  </conditionalFormatting>
  <conditionalFormatting sqref="D6:E41 D43:E45">
    <cfRule type="expression" dxfId="201" priority="5">
      <formula>$E6="Information"</formula>
    </cfRule>
    <cfRule type="expression" dxfId="200" priority="6">
      <formula>$E6="Error"</formula>
    </cfRule>
    <cfRule type="expression" dxfId="199" priority="7">
      <formula>$E6="Alert"</formula>
    </cfRule>
    <cfRule type="expression" dxfId="198" priority="8">
      <formula>$E6="Exclude"</formula>
    </cfRule>
  </conditionalFormatting>
  <dataValidations count="4">
    <dataValidation type="list" allowBlank="1" showInputMessage="1" showErrorMessage="1" sqref="B7" xr:uid="{8B063D23-96C7-4FEA-96DC-82803F2512A5}">
      <formula1>DueToType</formula1>
    </dataValidation>
    <dataValidation type="list" allowBlank="1" showInputMessage="1" showErrorMessage="1" sqref="B8" xr:uid="{C7E5AAED-F35C-4079-9B88-D184EBEC91B4}">
      <formula1>DistrictDropDown</formula1>
    </dataValidation>
    <dataValidation type="list" allowBlank="1" showInputMessage="1" showErrorMessage="1" sqref="B14:C14" xr:uid="{7313E9F3-C45A-482E-A81E-5BACB8CC3E00}">
      <formula1>InterestRateType</formula1>
    </dataValidation>
    <dataValidation type="list" allowBlank="1" showInputMessage="1" showErrorMessage="1" sqref="B16:B17" xr:uid="{254686B6-205D-4CC1-85E2-46651242A082}">
      <formula1>SelOneYesNo</formula1>
    </dataValidation>
  </dataValidations>
  <pageMargins left="0.7" right="0.7" top="0.75" bottom="0.75" header="0.3" footer="0.3"/>
  <pageSetup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12" id="{3F4815BA-2CAE-4B78-86F6-D972DEFBEF1F}">
            <xm:f>COUNTIFS(Validation!$H:$H,MID(CELL("filename",A2),FIND("]",CELL("filename",A2))+1,255)&amp;CELL("address",A2))&gt;0</xm:f>
            <x14:dxf>
              <font>
                <b/>
                <i val="0"/>
                <color rgb="FFC00000"/>
              </font>
              <numFmt numFmtId="172" formatCode="_(\!* #,##0_);_(\!* \(#,##0\);_(\!* \-??_);_(\!\ @_)"/>
            </x14:dxf>
          </x14:cfRule>
          <xm:sqref>A2</xm:sqref>
        </x14:conditionalFormatting>
        <x14:conditionalFormatting xmlns:xm="http://schemas.microsoft.com/office/excel/2006/main">
          <x14:cfRule type="expression" priority="10" id="{9DEA82A4-E6E0-4A3E-B780-72B89B5EE32D}">
            <xm:f>$B$7=Lists!$AH$3</xm:f>
            <x14:dxf>
              <fill>
                <patternFill>
                  <bgColor rgb="FFEAEAEA"/>
                </patternFill>
              </fill>
            </x14:dxf>
          </x14:cfRule>
          <xm:sqref>B8</xm:sqref>
        </x14:conditionalFormatting>
        <x14:conditionalFormatting xmlns:xm="http://schemas.microsoft.com/office/excel/2006/main">
          <x14:cfRule type="expression" priority="9" id="{5A0606CE-6D4F-484A-97D7-E2C06C0291A0}">
            <xm:f>$B$7=Lists!$AH$2</xm:f>
            <x14:dxf>
              <fill>
                <patternFill>
                  <bgColor rgb="FFEAEAEA"/>
                </patternFill>
              </fill>
            </x14:dxf>
          </x14:cfRule>
          <xm:sqref>B9</xm:sqref>
        </x14:conditionalFormatting>
      </x14:conditionalFormattings>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C4D0E5-9454-4357-800D-4B1190F588E9}">
  <sheetPr>
    <tabColor rgb="FFEED382"/>
  </sheetPr>
  <dimension ref="A1:F50"/>
  <sheetViews>
    <sheetView showGridLines="0" workbookViewId="0">
      <selection activeCell="B7" sqref="B7"/>
    </sheetView>
  </sheetViews>
  <sheetFormatPr defaultRowHeight="15" x14ac:dyDescent="0.25"/>
  <cols>
    <col min="1" max="1" width="55.7109375" style="66" customWidth="1"/>
    <col min="2" max="3" width="22.7109375" style="66" customWidth="1"/>
    <col min="4" max="4" width="80.85546875" style="66" customWidth="1"/>
    <col min="5" max="5" width="14.7109375" style="66" customWidth="1"/>
    <col min="6" max="6" width="10.7109375" style="78" hidden="1" customWidth="1"/>
    <col min="7" max="16384" width="9.140625" style="66"/>
  </cols>
  <sheetData>
    <row r="1" spans="1:6" s="59" customFormat="1" ht="24.95" customHeight="1" x14ac:dyDescent="0.25">
      <c r="A1" s="59" t="str">
        <f>_xlfn.CONCAT("Office of the State Auditor  -  TIF Annual Reporting Form  -  ",Year_DestinationYearID)</f>
        <v>Office of the State Auditor  -  TIF Annual Reporting Form  -  2024</v>
      </c>
      <c r="F1" s="61"/>
    </row>
    <row r="2" spans="1:6" s="62" customFormat="1" ht="20.100000000000001" customHeight="1" x14ac:dyDescent="0.25">
      <c r="A2" s="58" t="str">
        <f>_xlfn.CONCAT(GovEntity_GovEntityName_Parent,"  -  ",GovEntity_GovEntityName)</f>
        <v>Spruce City  -  TIF 1-1 Downtown Redev</v>
      </c>
      <c r="F2" s="64"/>
    </row>
    <row r="3" spans="1:6" s="68" customFormat="1" ht="24.95" customHeight="1" x14ac:dyDescent="0.3">
      <c r="A3" s="65" t="s">
        <v>238</v>
      </c>
      <c r="B3" s="66"/>
      <c r="C3" s="66"/>
      <c r="F3" s="69"/>
    </row>
    <row r="4" spans="1:6" s="71" customFormat="1" x14ac:dyDescent="0.25">
      <c r="A4" s="217" t="s">
        <v>207</v>
      </c>
      <c r="B4" s="217"/>
      <c r="C4" s="217"/>
      <c r="D4" s="217"/>
      <c r="E4" s="217"/>
      <c r="F4" s="72" t="s">
        <v>119</v>
      </c>
    </row>
    <row r="5" spans="1:6" s="74" customFormat="1" ht="20.100000000000001" customHeight="1" x14ac:dyDescent="0.25">
      <c r="A5" s="73" t="str">
        <f>HYPERLINK("#'Loans'!B6","Click here to return to the Loans Tab")</f>
        <v>Click here to return to the Loans Tab</v>
      </c>
      <c r="D5" s="74" t="s">
        <v>121</v>
      </c>
      <c r="E5" s="74" t="s">
        <v>102</v>
      </c>
      <c r="F5" s="76"/>
    </row>
    <row r="6" spans="1:6" ht="20.100000000000001" customHeight="1" x14ac:dyDescent="0.25">
      <c r="A6" s="74" t="s">
        <v>239</v>
      </c>
      <c r="D6" s="77" t="str">
        <f ca="1">IFERROR(INDEX(Validation!G:G,MATCH("Loan 9"&amp;CELL("address",D6),Validation!I:I,0)),"")</f>
        <v/>
      </c>
      <c r="E6" s="66" t="str">
        <f ca="1">IFERROR(INDEX(Validation!F:F,MATCH("Loan 9"&amp;CELL("address",D6),Validation!I:I,0)),"")</f>
        <v/>
      </c>
      <c r="F6" s="78" t="s">
        <v>875</v>
      </c>
    </row>
    <row r="7" spans="1:6" x14ac:dyDescent="0.25">
      <c r="A7" s="79" t="s">
        <v>761</v>
      </c>
      <c r="B7" s="103" t="str">
        <f>IF(AND(NOT(ISBLANK('Loan Input'!K5)),OR('Loan Input'!K$5=Lists!$AG$2,'Loan Input'!K$5=Lists!$AG$3)),_xlfn.XLOOKUP('Loan Input'!K5,Lists!AG2:AG5,Lists!AH2:AH5),Lists!$AH$1)</f>
        <v>Select One</v>
      </c>
      <c r="C7" s="128"/>
      <c r="D7" s="77" t="str">
        <f ca="1">IFERROR(INDEX(Validation!G:G,MATCH("Loan 9"&amp;CELL("address",D7),Validation!I:I,0)),"")</f>
        <v/>
      </c>
      <c r="E7" s="66" t="str">
        <f ca="1">IFERROR(INDEX(Validation!F:F,MATCH("Loan 9"&amp;CELL("address",D7),Validation!I:I,0)),"")</f>
        <v/>
      </c>
      <c r="F7" s="85" t="str">
        <f>IF(NOT(ISBLANK('Loan Input'!K4)),'Loan Input'!K4,"")</f>
        <v/>
      </c>
    </row>
    <row r="8" spans="1:6" x14ac:dyDescent="0.25">
      <c r="A8" s="79" t="s">
        <v>769</v>
      </c>
      <c r="B8" s="103" t="str">
        <f>IF(AND(NOT(ISBLANK('Loan Input'!K6)),'Loan Input'!K$5=Lists!$AG$2),'Loan Input'!K6,Lists!$AJ$1)</f>
        <v>Select One</v>
      </c>
      <c r="C8" s="128"/>
      <c r="D8" s="77" t="str">
        <f ca="1">IFERROR(INDEX(Validation!G:G,MATCH("Loan 9"&amp;CELL("address",D8),Validation!I:I,0)),"")</f>
        <v/>
      </c>
      <c r="E8" s="66" t="str">
        <f ca="1">IFERROR(INDEX(Validation!F:F,MATCH("Loan 9"&amp;CELL("address",D8),Validation!I:I,0)),"")</f>
        <v/>
      </c>
    </row>
    <row r="9" spans="1:6" x14ac:dyDescent="0.25">
      <c r="A9" s="79" t="s">
        <v>770</v>
      </c>
      <c r="B9" s="103" t="str">
        <f>IF(AND(NOT(ISBLANK('Loan Input'!K7)),'Loan Input'!K$5=Lists!$AG$3),'Loan Input'!K7,"")</f>
        <v/>
      </c>
      <c r="C9" s="128"/>
      <c r="D9" s="77" t="str">
        <f ca="1">IFERROR(INDEX(Validation!G:G,MATCH("Loan 9"&amp;CELL("address",D9),Validation!I:I,0)),"")</f>
        <v/>
      </c>
      <c r="E9" s="66" t="str">
        <f ca="1">IFERROR(INDEX(Validation!F:F,MATCH("Loan 9"&amp;CELL("address",D9),Validation!I:I,0)),"")</f>
        <v/>
      </c>
    </row>
    <row r="10" spans="1:6" x14ac:dyDescent="0.25">
      <c r="A10" s="79" t="s">
        <v>931</v>
      </c>
      <c r="B10" s="120" t="str">
        <f>IF(AND(NOT(ISBLANK('Loan Input'!K8)),OR('Loan Input'!K$5=Lists!$AG$2,'Loan Input'!K$5=Lists!$AG$3)),'Loan Input'!K8,"")</f>
        <v/>
      </c>
      <c r="C10" s="128"/>
      <c r="D10" s="77" t="str">
        <f ca="1">IFERROR(INDEX(Validation!G:G,MATCH("Loan 9"&amp;CELL("address",D10),Validation!I:I,0)),"")</f>
        <v/>
      </c>
      <c r="E10" s="66" t="str">
        <f ca="1">IFERROR(INDEX(Validation!F:F,MATCH("Loan 9"&amp;CELL("address",D10),Validation!I:I,0)),"")</f>
        <v/>
      </c>
    </row>
    <row r="11" spans="1:6" x14ac:dyDescent="0.25">
      <c r="A11" s="79" t="s">
        <v>212</v>
      </c>
      <c r="B11" s="120" t="str">
        <f>IF(AND(NOT(ISBLANK('Loan Input'!K9)),OR('Loan Input'!K$5=Lists!$AG$2,'Loan Input'!K$5=Lists!$AG$3)),'Loan Input'!K9,"")</f>
        <v/>
      </c>
      <c r="C11" s="128"/>
      <c r="D11" s="77" t="str">
        <f ca="1">IFERROR(INDEX(Validation!G:G,MATCH("Loan 9"&amp;CELL("address",D11),Validation!I:I,0)),"")</f>
        <v/>
      </c>
      <c r="E11" s="66" t="str">
        <f ca="1">IFERROR(INDEX(Validation!F:F,MATCH("Loan 9"&amp;CELL("address",D11),Validation!I:I,0)),"")</f>
        <v/>
      </c>
    </row>
    <row r="12" spans="1:6" x14ac:dyDescent="0.25">
      <c r="A12" s="79" t="s">
        <v>213</v>
      </c>
      <c r="B12" s="121" t="str">
        <f>IF(AND(NOT(ISBLANK('Loan Input'!K10)),OR('Loan Input'!K$5=Lists!$AG$2,'Loan Input'!K$5=Lists!$AG$3)),'Loan Input'!K10,"")</f>
        <v/>
      </c>
      <c r="C12" s="128"/>
      <c r="D12" s="77" t="str">
        <f ca="1">IFERROR(INDEX(Validation!G:G,MATCH("Loan 9"&amp;CELL("address",D12),Validation!I:I,0)),"")</f>
        <v/>
      </c>
      <c r="E12" s="66" t="str">
        <f ca="1">IFERROR(INDEX(Validation!F:F,MATCH("Loan 9"&amp;CELL("address",D12),Validation!I:I,0)),"")</f>
        <v/>
      </c>
    </row>
    <row r="13" spans="1:6" x14ac:dyDescent="0.25">
      <c r="A13" s="79" t="s">
        <v>214</v>
      </c>
      <c r="B13" s="121" t="str">
        <f>IF(AND(NOT(ISBLANK('Loan Input'!K11)),OR('Loan Input'!K$5=Lists!$AG$2,'Loan Input'!K$5=Lists!$AG$3)),'Loan Input'!K11,"")</f>
        <v/>
      </c>
      <c r="C13" s="128"/>
      <c r="D13" s="77" t="str">
        <f ca="1">IFERROR(INDEX(Validation!G:G,MATCH("Loan 9"&amp;CELL("address",D13),Validation!I:I,0)),"")</f>
        <v/>
      </c>
      <c r="E13" s="66" t="str">
        <f ca="1">IFERROR(INDEX(Validation!F:F,MATCH("Loan 9"&amp;CELL("address",D13),Validation!I:I,0)),"")</f>
        <v/>
      </c>
    </row>
    <row r="14" spans="1:6" x14ac:dyDescent="0.25">
      <c r="A14" s="79" t="s">
        <v>241</v>
      </c>
      <c r="B14" s="120" t="str">
        <f>IF(AND(NOT(ISBLANK('Loan Input'!K12)),OR('Loan Input'!K$5=Lists!$AG$2,'Loan Input'!K$5=Lists!$AG$3)),'Loan Input'!K12,Lists!$AM$1)</f>
        <v>Select One</v>
      </c>
      <c r="C14" s="129"/>
      <c r="D14" s="77" t="str">
        <f ca="1">IFERROR(INDEX(Validation!G:G,MATCH("Loan 9"&amp;CELL("address",D14),Validation!I:I,0)),"")</f>
        <v/>
      </c>
      <c r="E14" s="66" t="str">
        <f ca="1">IFERROR(INDEX(Validation!F:F,MATCH("Loan 9"&amp;CELL("address",D14),Validation!I:I,0)),"")</f>
        <v/>
      </c>
    </row>
    <row r="15" spans="1:6" x14ac:dyDescent="0.25">
      <c r="A15" s="79" t="s">
        <v>242</v>
      </c>
      <c r="B15" s="122" t="str">
        <f>IF(AND(NOT(ISBLANK('Loan Input'!K13)),OR('Loan Input'!K$5=Lists!$AG$2,'Loan Input'!K$5=Lists!$AG$3)),'Loan Input'!K13,"")</f>
        <v/>
      </c>
      <c r="C15" s="128"/>
      <c r="D15" s="77" t="str">
        <f ca="1">IFERROR(INDEX(Validation!G:G,MATCH("Loan 9"&amp;CELL("address",D15),Validation!I:I,0)),"")</f>
        <v/>
      </c>
      <c r="E15" s="66" t="str">
        <f ca="1">IFERROR(INDEX(Validation!F:F,MATCH("Loan 9"&amp;CELL("address",D15),Validation!I:I,0)),"")</f>
        <v/>
      </c>
    </row>
    <row r="16" spans="1:6" x14ac:dyDescent="0.25">
      <c r="A16" s="79" t="s">
        <v>232</v>
      </c>
      <c r="B16" s="103" t="str">
        <f>IF(OR('Loan Input'!K14="",'Loan Input'!K14=0),"Select One",IF('Loan Input'!K14=TRUE,"Yes","No"))</f>
        <v>Select One</v>
      </c>
      <c r="C16" s="128"/>
      <c r="D16" s="77" t="str">
        <f ca="1">IFERROR(INDEX(Validation!G:G,MATCH("Loan 9"&amp;CELL("address",D16),Validation!I:I,0)),"")</f>
        <v/>
      </c>
      <c r="E16" s="66" t="str">
        <f ca="1">IFERROR(INDEX(Validation!F:F,MATCH("Loan 9"&amp;CELL("address",D16),Validation!I:I,0)),"")</f>
        <v/>
      </c>
    </row>
    <row r="17" spans="1:5" x14ac:dyDescent="0.25">
      <c r="A17" s="79" t="str">
        <f>"Were the terms of this obligation modified in "&amp;Year_DestinationYearID&amp;"?"</f>
        <v>Were the terms of this obligation modified in 2024?</v>
      </c>
      <c r="B17" s="103" t="s">
        <v>41</v>
      </c>
      <c r="C17" s="128"/>
      <c r="D17" s="77" t="str">
        <f ca="1">IFERROR(INDEX(Validation!G:G,MATCH("Loan 9"&amp;CELL("address",D17),Validation!I:I,0)),"")</f>
        <v/>
      </c>
      <c r="E17" s="66" t="str">
        <f ca="1">IFERROR(INDEX(Validation!F:F,MATCH("Loan 9"&amp;CELL("address",D17),Validation!I:I,0)),"")</f>
        <v/>
      </c>
    </row>
    <row r="18" spans="1:5" ht="20.100000000000001" customHeight="1" x14ac:dyDescent="0.25">
      <c r="A18" s="74" t="s">
        <v>1183</v>
      </c>
      <c r="B18" s="74" t="s">
        <v>283</v>
      </c>
      <c r="C18" s="74" t="str">
        <f>Year_DestinationYearID&amp;" Amount"</f>
        <v>2024 Amount</v>
      </c>
      <c r="D18" s="77" t="str">
        <f ca="1">IFERROR(INDEX(Validation!G:G,MATCH("Loan 9"&amp;CELL("address",D18),Validation!I:I,0)),"")</f>
        <v/>
      </c>
      <c r="E18" s="66" t="str">
        <f ca="1">IFERROR(INDEX(Validation!F:F,MATCH("Loan 9"&amp;CELL("address",D18),Validation!I:I,0)),"")</f>
        <v/>
      </c>
    </row>
    <row r="19" spans="1:5" x14ac:dyDescent="0.25">
      <c r="A19" s="79" t="s">
        <v>266</v>
      </c>
      <c r="B19" s="122" t="str">
        <f>IF(AND(NOT(ISBLANK('Loan Input'!K16)),OR('Loan Input'!K$5=Lists!$AG$2,'Loan Input'!K$5=Lists!$AG$3)),'Loan Input'!K16,"")</f>
        <v/>
      </c>
      <c r="C19" s="103"/>
      <c r="D19" s="77" t="str">
        <f ca="1">IFERROR(INDEX(Validation!G:G,MATCH("Loan 9"&amp;CELL("address",D19),Validation!I:I,0)),"")</f>
        <v/>
      </c>
      <c r="E19" s="66" t="str">
        <f ca="1">IFERROR(INDEX(Validation!F:F,MATCH("Loan 9"&amp;CELL("address",D19),Validation!I:I,0)),"")</f>
        <v/>
      </c>
    </row>
    <row r="20" spans="1:5" x14ac:dyDescent="0.25">
      <c r="A20" s="79" t="s">
        <v>267</v>
      </c>
      <c r="B20" s="122" t="str">
        <f>IF(AND(NOT(ISBLANK('Loan Input'!K18)),OR('Loan Input'!K$5=Lists!$AG$2,'Loan Input'!K$5=Lists!$AG$3)),'Loan Input'!K18,"")</f>
        <v/>
      </c>
      <c r="C20" s="103"/>
      <c r="D20" s="77" t="str">
        <f ca="1">IFERROR(INDEX(Validation!G:G,MATCH("Loan 9"&amp;CELL("address",D20),Validation!I:I,0)),"")</f>
        <v/>
      </c>
      <c r="E20" s="66" t="str">
        <f ca="1">IFERROR(INDEX(Validation!F:F,MATCH("Loan 9"&amp;CELL("address",D20),Validation!I:I,0)),"")</f>
        <v/>
      </c>
    </row>
    <row r="21" spans="1:5" x14ac:dyDescent="0.25">
      <c r="A21" s="79" t="s">
        <v>268</v>
      </c>
      <c r="B21" s="122" t="str">
        <f>IF(AND(NOT(ISBLANK('Loan Input'!K20)),OR('Loan Input'!K$5=Lists!$AG$2,'Loan Input'!K$5=Lists!$AG$3)),'Loan Input'!K20,"")</f>
        <v/>
      </c>
      <c r="C21" s="103"/>
      <c r="D21" s="77" t="str">
        <f ca="1">IFERROR(INDEX(Validation!G:G,MATCH("Loan 9"&amp;CELL("address",D21),Validation!I:I,0)),"")</f>
        <v/>
      </c>
      <c r="E21" s="66" t="str">
        <f ca="1">IFERROR(INDEX(Validation!F:F,MATCH("Loan 9"&amp;CELL("address",D21),Validation!I:I,0)),"")</f>
        <v/>
      </c>
    </row>
    <row r="22" spans="1:5" x14ac:dyDescent="0.25">
      <c r="A22" s="79" t="s">
        <v>269</v>
      </c>
      <c r="B22" s="122" t="str">
        <f>IF(AND(NOT(ISBLANK('Loan Input'!K22)),OR('Loan Input'!K$5=Lists!$AG$2,'Loan Input'!K$5=Lists!$AG$3)),'Loan Input'!K22,"")</f>
        <v/>
      </c>
      <c r="C22" s="103"/>
      <c r="D22" s="77" t="str">
        <f ca="1">IFERROR(INDEX(Validation!G:G,MATCH("Loan 9"&amp;CELL("address",D22),Validation!I:I,0)),"")</f>
        <v/>
      </c>
      <c r="E22" s="66" t="str">
        <f ca="1">IFERROR(INDEX(Validation!F:F,MATCH("Loan 9"&amp;CELL("address",D22),Validation!I:I,0)),"")</f>
        <v/>
      </c>
    </row>
    <row r="23" spans="1:5" x14ac:dyDescent="0.25">
      <c r="A23" s="79" t="s">
        <v>1101</v>
      </c>
      <c r="B23" s="122" t="str">
        <f>IF(AND(NOT(ISBLANK('Loan Input'!K24)),OR('Loan Input'!K$5=Lists!$AG$2,'Loan Input'!K$5=Lists!$AG$3)),'Loan Input'!K24,"")</f>
        <v/>
      </c>
      <c r="C23" s="103"/>
      <c r="D23" s="77" t="str">
        <f ca="1">IFERROR(INDEX(Validation!G:G,MATCH("Loan 9"&amp;CELL("address",D23),Validation!I:I,0)),"")</f>
        <v/>
      </c>
      <c r="E23" s="66" t="str">
        <f ca="1">IFERROR(INDEX(Validation!F:F,MATCH("Loan 9"&amp;CELL("address",D23),Validation!I:I,0)),"")</f>
        <v/>
      </c>
    </row>
    <row r="24" spans="1:5" x14ac:dyDescent="0.25">
      <c r="A24" s="79" t="s">
        <v>270</v>
      </c>
      <c r="B24" s="122" t="str">
        <f>IF(AND(NOT(ISBLANK('Loan Input'!K26)),OR('Loan Input'!K$5=Lists!$AG$2,'Loan Input'!K$5=Lists!$AG$3)),'Loan Input'!K26,"")</f>
        <v/>
      </c>
      <c r="C24" s="103"/>
      <c r="D24" s="77" t="str">
        <f ca="1">IFERROR(INDEX(Validation!G:G,MATCH("Loan 9"&amp;CELL("address",D24),Validation!I:I,0)),"")</f>
        <v/>
      </c>
      <c r="E24" s="66" t="str">
        <f ca="1">IFERROR(INDEX(Validation!F:F,MATCH("Loan 9"&amp;CELL("address",D24),Validation!I:I,0)),"")</f>
        <v/>
      </c>
    </row>
    <row r="25" spans="1:5" x14ac:dyDescent="0.25">
      <c r="A25" s="79" t="s">
        <v>271</v>
      </c>
      <c r="B25" s="122" t="str">
        <f>IF(AND(NOT(ISBLANK('Loan Input'!K28)),OR('Loan Input'!K$5=Lists!$AG$2,'Loan Input'!K$5=Lists!$AG$3)),'Loan Input'!K28,"")</f>
        <v/>
      </c>
      <c r="C25" s="103"/>
      <c r="D25" s="77" t="str">
        <f ca="1">IFERROR(INDEX(Validation!G:G,MATCH("Loan 9"&amp;CELL("address",D25),Validation!I:I,0)),"")</f>
        <v/>
      </c>
      <c r="E25" s="66" t="str">
        <f ca="1">IFERROR(INDEX(Validation!F:F,MATCH("Loan 9"&amp;CELL("address",D25),Validation!I:I,0)),"")</f>
        <v/>
      </c>
    </row>
    <row r="26" spans="1:5" x14ac:dyDescent="0.25">
      <c r="A26" s="79" t="s">
        <v>276</v>
      </c>
      <c r="B26" s="122" t="str">
        <f>IF(AND(NOT(ISBLANK('Loan Input'!K30)),OR('Loan Input'!C$5=Lists!$AG$2,'Loan Input'!C$5=Lists!$AG$3)),'Loan Input'!K30,"")</f>
        <v/>
      </c>
      <c r="C26" s="103"/>
      <c r="D26" s="77" t="str">
        <f ca="1">IFERROR(INDEX(Validation!G:G,MATCH("Loan 9"&amp;CELL("address",D26),Validation!I:I,0)),"")</f>
        <v/>
      </c>
      <c r="E26" s="66" t="str">
        <f ca="1">IFERROR(INDEX(Validation!F:F,MATCH("Loan 9"&amp;CELL("address",D26),Validation!I:I,0)),"")</f>
        <v/>
      </c>
    </row>
    <row r="27" spans="1:5" x14ac:dyDescent="0.25">
      <c r="A27" s="79" t="s">
        <v>272</v>
      </c>
      <c r="B27" s="122" t="str">
        <f>IF(AND(NOT(ISBLANK('Loan Input'!K32)),OR('Loan Input'!K$5=Lists!$AG$2,'Loan Input'!K$5=Lists!$AG$3)),'Loan Input'!K32,"")</f>
        <v/>
      </c>
      <c r="C27" s="103"/>
      <c r="D27" s="77" t="str">
        <f ca="1">IFERROR(INDEX(Validation!G:G,MATCH("Loan 9"&amp;CELL("address",D27),Validation!I:I,0)),"")</f>
        <v/>
      </c>
      <c r="E27" s="66" t="str">
        <f ca="1">IFERROR(INDEX(Validation!F:F,MATCH("Loan 9"&amp;CELL("address",D27),Validation!I:I,0)),"")</f>
        <v/>
      </c>
    </row>
    <row r="28" spans="1:5" x14ac:dyDescent="0.25">
      <c r="A28" s="79" t="s">
        <v>273</v>
      </c>
      <c r="B28" s="122" t="str">
        <f>IF(AND(NOT(ISBLANK('Loan Input'!K34)),OR('Loan Input'!K$5=Lists!$AG$2,'Loan Input'!K$5=Lists!$AG$3)),'Loan Input'!K34,"")</f>
        <v/>
      </c>
      <c r="C28" s="103"/>
      <c r="D28" s="77" t="str">
        <f ca="1">IFERROR(INDEX(Validation!G:G,MATCH("Loan 9"&amp;CELL("address",D28),Validation!I:I,0)),"")</f>
        <v/>
      </c>
      <c r="E28" s="66" t="str">
        <f ca="1">IFERROR(INDEX(Validation!F:F,MATCH("Loan 9"&amp;CELL("address",D28),Validation!I:I,0)),"")</f>
        <v/>
      </c>
    </row>
    <row r="29" spans="1:5" x14ac:dyDescent="0.25">
      <c r="A29" s="130" t="s">
        <v>1184</v>
      </c>
      <c r="B29" s="125">
        <f>SUM(B19:B28)</f>
        <v>0</v>
      </c>
      <c r="C29" s="125">
        <f>SUM(C19:C28)</f>
        <v>0</v>
      </c>
      <c r="D29" s="77" t="str">
        <f ca="1">IFERROR(INDEX(Validation!G:G,MATCH("Loan 9"&amp;CELL("address",D29),Validation!I:I,0)),"")</f>
        <v/>
      </c>
      <c r="E29" s="66" t="str">
        <f ca="1">IFERROR(INDEX(Validation!F:F,MATCH("Loan 9"&amp;CELL("address",D29),Validation!I:I,0)),"")</f>
        <v/>
      </c>
    </row>
    <row r="30" spans="1:5" x14ac:dyDescent="0.25">
      <c r="A30" s="130" t="s">
        <v>1185</v>
      </c>
      <c r="B30" s="125" t="str">
        <f>IFERROR(B34-B29,"")</f>
        <v/>
      </c>
      <c r="C30" s="125" t="str">
        <f>IFERROR(B34+C34-B29-C29,"")</f>
        <v/>
      </c>
      <c r="D30" s="77" t="str">
        <f ca="1">IFERROR(INDEX(Validation!G:G,MATCH("Loan 9"&amp;CELL("address",D30),Validation!I:I,0)),"")</f>
        <v/>
      </c>
      <c r="E30" s="66" t="str">
        <f ca="1">IFERROR(INDEX(Validation!F:F,MATCH("Loan 9"&amp;CELL("address",D30),Validation!I:I,0)),"")</f>
        <v/>
      </c>
    </row>
    <row r="31" spans="1:5" x14ac:dyDescent="0.25">
      <c r="A31" s="131" t="s">
        <v>1186</v>
      </c>
      <c r="B31" s="122" t="str">
        <f>IF(AND(NOT(ISBLANK('Loan Input'!K41)),OR('Loan Input'!K$5=Lists!$AG$2,'Loan Input'!K$5=Lists!$AG$3)),'Loan Input'!K41,"")</f>
        <v/>
      </c>
      <c r="C31" s="103"/>
      <c r="D31" s="77" t="str">
        <f ca="1">IFERROR(INDEX(Validation!G:G,MATCH("Loan 9"&amp;CELL("address",D31),Validation!I:I,0)),"")</f>
        <v/>
      </c>
      <c r="E31" s="66" t="str">
        <f ca="1">IFERROR(INDEX(Validation!F:F,MATCH("Loan 9"&amp;CELL("address",D31),Validation!I:I,0)),"")</f>
        <v/>
      </c>
    </row>
    <row r="32" spans="1:5" x14ac:dyDescent="0.25">
      <c r="A32" s="131" t="s">
        <v>1187</v>
      </c>
      <c r="B32" s="122" t="str">
        <f>IF(AND(NOT(ISBLANK('Loan Input'!K43)),OR('Loan Input'!K$5=Lists!$AG$2,'Loan Input'!K$5=Lists!$AG$3)),'Loan Input'!K43,"")</f>
        <v/>
      </c>
      <c r="C32" s="103"/>
      <c r="D32" s="77" t="str">
        <f ca="1">IFERROR(INDEX(Validation!G:G,MATCH("Loan 9"&amp;CELL("address",D32),Validation!I:I,0)),"")</f>
        <v/>
      </c>
      <c r="E32" s="66" t="str">
        <f ca="1">IFERROR(INDEX(Validation!F:F,MATCH("Loan 9"&amp;CELL("address",D32),Validation!I:I,0)),"")</f>
        <v/>
      </c>
    </row>
    <row r="33" spans="1:6" ht="20.100000000000001" customHeight="1" x14ac:dyDescent="0.25">
      <c r="A33" s="74" t="s">
        <v>754</v>
      </c>
      <c r="B33" s="74" t="s">
        <v>283</v>
      </c>
      <c r="C33" s="74" t="str">
        <f>Year_DestinationYearID&amp;" Amount"</f>
        <v>2024 Amount</v>
      </c>
      <c r="D33" s="77" t="str">
        <f ca="1">IFERROR(INDEX(Validation!G:G,MATCH("Loan 9"&amp;CELL("address",D33),Validation!I:I,0)),"")</f>
        <v/>
      </c>
      <c r="E33" s="66" t="str">
        <f ca="1">IFERROR(INDEX(Validation!F:F,MATCH("Loan 9"&amp;CELL("address",D33),Validation!I:I,0)),"")</f>
        <v/>
      </c>
    </row>
    <row r="34" spans="1:6" x14ac:dyDescent="0.25">
      <c r="A34" s="79" t="s">
        <v>1350</v>
      </c>
      <c r="B34" s="122" t="str">
        <f>IF(AND(NOT(ISBLANK('Loan Input'!K44)),OR('Loan Input'!K$5=Lists!$AG$2,'Loan Input'!K$5=Lists!$AG$3)),'Loan Input'!K44,"")</f>
        <v/>
      </c>
      <c r="C34" s="122"/>
      <c r="D34" s="77" t="str">
        <f ca="1">IFERROR(INDEX(Validation!G:G,MATCH("Loan 9"&amp;CELL("address",D34),Validation!I:I,0)),"")</f>
        <v/>
      </c>
      <c r="E34" s="66" t="str">
        <f ca="1">IFERROR(INDEX(Validation!F:F,MATCH("Loan 9"&amp;CELL("address",D34),Validation!I:I,0)),"")</f>
        <v/>
      </c>
    </row>
    <row r="35" spans="1:6" x14ac:dyDescent="0.25">
      <c r="A35" s="79" t="s">
        <v>1188</v>
      </c>
      <c r="B35" s="122" t="str">
        <f>IF(AND(NOT(ISBLANK('Loan Input'!K47)),OR('Loan Input'!K$5=Lists!$AG$2,'Loan Input'!K$5=Lists!$AG$3)),'Loan Input'!K47,"")</f>
        <v/>
      </c>
      <c r="C35" s="122"/>
      <c r="D35" s="77" t="str">
        <f ca="1">IFERROR(INDEX(Validation!G:G,MATCH("Loan 9"&amp;CELL("address",D35),Validation!I:I,0)),"")</f>
        <v/>
      </c>
      <c r="E35" s="66" t="str">
        <f ca="1">IFERROR(INDEX(Validation!F:F,MATCH("Loan 9"&amp;CELL("address",D35),Validation!I:I,0)),"")</f>
        <v/>
      </c>
    </row>
    <row r="36" spans="1:6" x14ac:dyDescent="0.25">
      <c r="A36" s="79" t="s">
        <v>1189</v>
      </c>
      <c r="B36" s="122" t="str">
        <f>IF(AND(NOT(ISBLANK('Loan Input'!K49)),OR('Loan Input'!K$5=Lists!$AG$2,'Loan Input'!K$5=Lists!$AG$3)),'Loan Input'!K49,"")</f>
        <v/>
      </c>
      <c r="C36" s="122"/>
      <c r="D36" s="77" t="str">
        <f ca="1">IFERROR(INDEX(Validation!G:G,MATCH("Loan 9"&amp;CELL("address",D36),Validation!I:I,0)),"")</f>
        <v/>
      </c>
      <c r="E36" s="66" t="str">
        <f ca="1">IFERROR(INDEX(Validation!F:F,MATCH("Loan 9"&amp;CELL("address",D36),Validation!I:I,0)),"")</f>
        <v/>
      </c>
    </row>
    <row r="37" spans="1:6" x14ac:dyDescent="0.25">
      <c r="A37" s="79" t="s">
        <v>1190</v>
      </c>
      <c r="B37" s="122" t="str">
        <f>IF(AND(NOT(ISBLANK('Loan Input'!K51)),OR('Loan Input'!K$5=Lists!$AG$2,'Loan Input'!K$5=Lists!$AG$3)),'Loan Input'!K51,"")</f>
        <v/>
      </c>
      <c r="C37" s="122"/>
      <c r="D37" s="77" t="str">
        <f ca="1">IFERROR(INDEX(Validation!G:G,MATCH("Loan 9"&amp;CELL("address",D37),Validation!I:I,0)),"")</f>
        <v/>
      </c>
      <c r="E37" s="66" t="str">
        <f ca="1">IFERROR(INDEX(Validation!F:F,MATCH("Loan 9"&amp;CELL("address",D37),Validation!I:I,0)),"")</f>
        <v/>
      </c>
    </row>
    <row r="38" spans="1:6" x14ac:dyDescent="0.25">
      <c r="A38" s="79" t="s">
        <v>221</v>
      </c>
      <c r="B38" s="125" t="str">
        <f>IFERROR(B34-B35-B36+B37,"")</f>
        <v/>
      </c>
      <c r="C38" s="125" t="str">
        <f>IFERROR(B34+C34-B35-B36-C35-C36+B37+C37,"")</f>
        <v/>
      </c>
      <c r="D38" s="77" t="str">
        <f ca="1">IFERROR(INDEX(Validation!G:G,MATCH("Loan 9"&amp;CELL("address",D38),Validation!I:I,0)),"")</f>
        <v/>
      </c>
      <c r="E38" s="66" t="str">
        <f ca="1">IFERROR(INDEX(Validation!F:F,MATCH("Loan 9"&amp;CELL("address",D38),Validation!I:I,0)),"")</f>
        <v/>
      </c>
      <c r="F38" s="126"/>
    </row>
    <row r="39" spans="1:6" x14ac:dyDescent="0.25">
      <c r="A39" s="79" t="s">
        <v>223</v>
      </c>
      <c r="B39" s="122" t="str">
        <f>IF(AND(NOT(ISBLANK('Loan Input'!K55)),OR('Loan Input'!K$5=Lists!$AG$2,'Loan Input'!K$5=Lists!$AG$3)),'Loan Input'!K55,"")</f>
        <v/>
      </c>
      <c r="C39" s="122"/>
      <c r="D39" s="77" t="str">
        <f ca="1">IFERROR(INDEX(Validation!G:G,MATCH("Loan 9"&amp;CELL("address",D39),Validation!I:I,0)),"")</f>
        <v/>
      </c>
      <c r="E39" s="66" t="str">
        <f ca="1">IFERROR(INDEX(Validation!F:F,MATCH("Loan 9"&amp;CELL("address",D39),Validation!I:I,0)),"")</f>
        <v/>
      </c>
    </row>
    <row r="40" spans="1:6" x14ac:dyDescent="0.25">
      <c r="A40" s="79" t="s">
        <v>1191</v>
      </c>
      <c r="B40" s="122" t="str">
        <f>IF(AND(NOT(ISBLANK('Loan Input'!K57)),OR('Loan Input'!K$5=Lists!$AG$2,'Loan Input'!K$5=Lists!$AG$3)),'Loan Input'!K57,"")</f>
        <v/>
      </c>
      <c r="C40" s="122"/>
      <c r="D40" s="77" t="str">
        <f ca="1">IFERROR(INDEX(Validation!G:G,MATCH("Loan 9"&amp;CELL("address",D40),Validation!I:I,0)),"")</f>
        <v/>
      </c>
      <c r="E40" s="66" t="str">
        <f ca="1">IFERROR(INDEX(Validation!F:F,MATCH("Loan 9"&amp;CELL("address",D40),Validation!I:I,0)),"")</f>
        <v/>
      </c>
    </row>
    <row r="41" spans="1:6" x14ac:dyDescent="0.25">
      <c r="A41" s="79" t="s">
        <v>1192</v>
      </c>
      <c r="B41" s="122" t="str">
        <f>IF(AND(NOT(ISBLANK('Loan Input'!K59)),OR('Loan Input'!K$5=Lists!$AG$2,'Loan Input'!K$5=Lists!$AG$3)),'Loan Input'!K59,"")</f>
        <v/>
      </c>
      <c r="C41" s="122"/>
      <c r="D41" s="77" t="str">
        <f ca="1">IFERROR(INDEX(Validation!G:G,MATCH("Loan 9"&amp;CELL("address",D41),Validation!I:I,0)),"")</f>
        <v/>
      </c>
      <c r="E41" s="66" t="str">
        <f ca="1">IFERROR(INDEX(Validation!F:F,MATCH("Loan 9"&amp;CELL("address",D41),Validation!I:I,0)),"")</f>
        <v/>
      </c>
    </row>
    <row r="42" spans="1:6" ht="20.100000000000001" customHeight="1" x14ac:dyDescent="0.25">
      <c r="A42" s="74" t="str">
        <f>"Principal and Interest Due in "&amp;Year_DestinationYearID+1</f>
        <v>Principal and Interest Due in 2025</v>
      </c>
      <c r="B42" s="74"/>
      <c r="C42" s="74"/>
    </row>
    <row r="43" spans="1:6" x14ac:dyDescent="0.25">
      <c r="A43" s="79" t="str">
        <f>"Principal Due in "&amp;Year_DestinationYearID+1</f>
        <v>Principal Due in 2025</v>
      </c>
      <c r="B43" s="122"/>
      <c r="C43" s="128"/>
      <c r="D43" s="77" t="str">
        <f ca="1">IFERROR(INDEX(Validation!G:G,MATCH("Loan 9"&amp;CELL("address",D43),Validation!I:I,0)),"")</f>
        <v/>
      </c>
      <c r="E43" s="66" t="str">
        <f ca="1">IFERROR(INDEX(Validation!F:F,MATCH("Loan 9"&amp;CELL("address",D43),Validation!I:I,0)),"")</f>
        <v/>
      </c>
    </row>
    <row r="44" spans="1:6" x14ac:dyDescent="0.25">
      <c r="A44" s="79" t="str">
        <f>"Interest Due in "&amp;Year_DestinationYearID+1</f>
        <v>Interest Due in 2025</v>
      </c>
      <c r="B44" s="122"/>
      <c r="C44" s="128"/>
      <c r="D44" s="77" t="str">
        <f ca="1">IFERROR(INDEX(Validation!G:G,MATCH("Loan 9"&amp;CELL("address",D44),Validation!I:I,0)),"")</f>
        <v/>
      </c>
      <c r="E44" s="66" t="str">
        <f ca="1">IFERROR(INDEX(Validation!F:F,MATCH("Loan 9"&amp;CELL("address",D44),Validation!I:I,0)),"")</f>
        <v/>
      </c>
    </row>
    <row r="45" spans="1:6" ht="20.100000000000001" customHeight="1" x14ac:dyDescent="0.25">
      <c r="A45" s="97" t="s">
        <v>176</v>
      </c>
      <c r="D45" s="77" t="str">
        <f ca="1">IF(AND(ISBLANK(A46),OR(COUNTIF(E6:E44,"Alert")&gt;0,SUM(B37:B37)&lt;&gt;0)),"Comment(s) required for remaining alert(s) and/or additions to principal.",IFERROR(INDEX(Validation!G:G,MATCH("Loan 9"&amp;CELL("address",D45),Validation!I:I,0)),""))</f>
        <v/>
      </c>
      <c r="E45" s="66" t="str">
        <f ca="1">IF(AND(ISBLANK(A46),OR(COUNTIF(E6:E44,"Alert")&gt;0,SUM(B37:B37)&lt;&gt;0)),"Error",IFERROR(INDEX(Validation!F:F,MATCH("Loan 9"&amp;CELL("address",D45),Validation!I:I,0)),""))</f>
        <v/>
      </c>
    </row>
    <row r="46" spans="1:6" ht="150" customHeight="1" x14ac:dyDescent="0.25">
      <c r="A46" s="123"/>
      <c r="B46" s="100" t="str">
        <f>HYPERLINK("#'Loans'!B6","Click here to return to the Loans Tab")</f>
        <v>Click here to return to the Loans Tab</v>
      </c>
      <c r="C46" s="127"/>
    </row>
    <row r="47" spans="1:6" x14ac:dyDescent="0.25">
      <c r="A47" s="98"/>
      <c r="B47" s="98"/>
      <c r="C47" s="98"/>
    </row>
    <row r="48" spans="1:6" x14ac:dyDescent="0.25">
      <c r="A48" s="98"/>
      <c r="B48" s="98"/>
      <c r="C48" s="98"/>
    </row>
    <row r="49" spans="1:3" x14ac:dyDescent="0.25">
      <c r="A49" s="98"/>
      <c r="B49" s="98"/>
      <c r="C49" s="98"/>
    </row>
    <row r="50" spans="1:3" x14ac:dyDescent="0.25">
      <c r="A50" s="98"/>
      <c r="B50" s="98"/>
      <c r="C50" s="98"/>
    </row>
  </sheetData>
  <sheetProtection algorithmName="SHA-512" hashValue="cl0sYr1+OpJsoSoAT+FQm5YCDyS4taJPXrEuQqNv558LJ7ClDAn1SFJ5jPDdw4Sj19L/hPnAYIbC391MlXHnRg==" saltValue="ed6TSw13EW9PPhvwtLZXhQ==" spinCount="100000" sheet="1" objects="1" scenarios="1"/>
  <mergeCells count="1">
    <mergeCell ref="A4:E4"/>
  </mergeCells>
  <conditionalFormatting sqref="A2">
    <cfRule type="expression" dxfId="197" priority="11">
      <formula>$E2="Error"</formula>
    </cfRule>
    <cfRule type="expression" dxfId="195" priority="13">
      <formula>$E2="Exclude"</formula>
    </cfRule>
  </conditionalFormatting>
  <conditionalFormatting sqref="D6:E41 D43:E45">
    <cfRule type="expression" dxfId="192" priority="5">
      <formula>$E6="Information"</formula>
    </cfRule>
    <cfRule type="expression" dxfId="191" priority="6">
      <formula>$E6="Error"</formula>
    </cfRule>
    <cfRule type="expression" dxfId="190" priority="7">
      <formula>$E6="Alert"</formula>
    </cfRule>
    <cfRule type="expression" dxfId="189" priority="8">
      <formula>$E6="Exclude"</formula>
    </cfRule>
  </conditionalFormatting>
  <dataValidations count="4">
    <dataValidation type="list" allowBlank="1" showInputMessage="1" showErrorMessage="1" sqref="B16:B17" xr:uid="{5D883C90-9B48-4779-A31A-4617D49E5769}">
      <formula1>SelOneYesNo</formula1>
    </dataValidation>
    <dataValidation type="list" allowBlank="1" showInputMessage="1" showErrorMessage="1" sqref="B14:C14" xr:uid="{A84045A3-EE62-4176-ADBE-57CF48FC56DE}">
      <formula1>InterestRateType</formula1>
    </dataValidation>
    <dataValidation type="list" allowBlank="1" showInputMessage="1" showErrorMessage="1" sqref="B8" xr:uid="{B6238D01-3C57-4F44-96F3-8002D276AC16}">
      <formula1>DistrictDropDown</formula1>
    </dataValidation>
    <dataValidation type="list" allowBlank="1" showInputMessage="1" showErrorMessage="1" sqref="B7" xr:uid="{B84F2C26-1783-4F2B-974B-D985C454C1E6}">
      <formula1>DueToType</formula1>
    </dataValidation>
  </dataValidations>
  <pageMargins left="0.7" right="0.7" top="0.75" bottom="0.75" header="0.3" footer="0.3"/>
  <pageSetup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12" id="{86CFF3C2-1CAC-4D8D-AE9E-70C4C1160BFD}">
            <xm:f>COUNTIFS(Validation!$H:$H,MID(CELL("filename",A2),FIND("]",CELL("filename",A2))+1,255)&amp;CELL("address",A2))&gt;0</xm:f>
            <x14:dxf>
              <font>
                <b/>
                <i val="0"/>
                <color rgb="FFC00000"/>
              </font>
              <numFmt numFmtId="172" formatCode="_(\!* #,##0_);_(\!* \(#,##0\);_(\!* \-??_);_(\!\ @_)"/>
            </x14:dxf>
          </x14:cfRule>
          <xm:sqref>A2</xm:sqref>
        </x14:conditionalFormatting>
        <x14:conditionalFormatting xmlns:xm="http://schemas.microsoft.com/office/excel/2006/main">
          <x14:cfRule type="expression" priority="10" id="{D80C463A-9EF6-4C44-9876-92598625B33C}">
            <xm:f>$B$7=Lists!$AH$3</xm:f>
            <x14:dxf>
              <fill>
                <patternFill>
                  <bgColor rgb="FFEAEAEA"/>
                </patternFill>
              </fill>
            </x14:dxf>
          </x14:cfRule>
          <xm:sqref>B8</xm:sqref>
        </x14:conditionalFormatting>
        <x14:conditionalFormatting xmlns:xm="http://schemas.microsoft.com/office/excel/2006/main">
          <x14:cfRule type="expression" priority="9" id="{A010DD47-F89D-4118-B7DD-F15B265574BD}">
            <xm:f>$B$7=Lists!$AH$2</xm:f>
            <x14:dxf>
              <fill>
                <patternFill>
                  <bgColor rgb="FFEAEAEA"/>
                </patternFill>
              </fill>
            </x14:dxf>
          </x14:cfRule>
          <xm:sqref>B9</xm:sqref>
        </x14:conditionalFormatting>
      </x14:conditionalFormattings>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EFE4A-25EA-4403-9186-0CC534054973}">
  <sheetPr>
    <tabColor rgb="FFEED382"/>
  </sheetPr>
  <dimension ref="A1:F50"/>
  <sheetViews>
    <sheetView showGridLines="0" workbookViewId="0">
      <selection activeCell="B7" sqref="B7"/>
    </sheetView>
  </sheetViews>
  <sheetFormatPr defaultRowHeight="15" x14ac:dyDescent="0.25"/>
  <cols>
    <col min="1" max="1" width="55.7109375" style="66" customWidth="1"/>
    <col min="2" max="3" width="22.7109375" style="66" customWidth="1"/>
    <col min="4" max="4" width="80.85546875" style="66" customWidth="1"/>
    <col min="5" max="5" width="14.7109375" style="66" customWidth="1"/>
    <col min="6" max="6" width="10.7109375" style="78" hidden="1" customWidth="1"/>
    <col min="7" max="16384" width="9.140625" style="66"/>
  </cols>
  <sheetData>
    <row r="1" spans="1:6" s="59" customFormat="1" ht="24.95" customHeight="1" x14ac:dyDescent="0.25">
      <c r="A1" s="59" t="str">
        <f>_xlfn.CONCAT("Office of the State Auditor  -  TIF Annual Reporting Form  -  ",Year_DestinationYearID)</f>
        <v>Office of the State Auditor  -  TIF Annual Reporting Form  -  2024</v>
      </c>
      <c r="F1" s="61"/>
    </row>
    <row r="2" spans="1:6" s="62" customFormat="1" ht="20.100000000000001" customHeight="1" x14ac:dyDescent="0.25">
      <c r="A2" s="58" t="str">
        <f>_xlfn.CONCAT(GovEntity_GovEntityName_Parent,"  -  ",GovEntity_GovEntityName)</f>
        <v>Spruce City  -  TIF 1-1 Downtown Redev</v>
      </c>
      <c r="F2" s="64"/>
    </row>
    <row r="3" spans="1:6" s="68" customFormat="1" ht="24.95" customHeight="1" x14ac:dyDescent="0.3">
      <c r="A3" s="65" t="s">
        <v>238</v>
      </c>
      <c r="B3" s="66"/>
      <c r="C3" s="66"/>
      <c r="F3" s="69"/>
    </row>
    <row r="4" spans="1:6" s="71" customFormat="1" x14ac:dyDescent="0.25">
      <c r="A4" s="217" t="s">
        <v>207</v>
      </c>
      <c r="B4" s="217"/>
      <c r="C4" s="217"/>
      <c r="D4" s="217"/>
      <c r="E4" s="217"/>
      <c r="F4" s="72" t="s">
        <v>119</v>
      </c>
    </row>
    <row r="5" spans="1:6" s="74" customFormat="1" ht="20.100000000000001" customHeight="1" x14ac:dyDescent="0.25">
      <c r="A5" s="73" t="str">
        <f>HYPERLINK("#'Loans'!B6","Click here to return to the Loans Tab")</f>
        <v>Click here to return to the Loans Tab</v>
      </c>
      <c r="D5" s="74" t="s">
        <v>121</v>
      </c>
      <c r="E5" s="74" t="s">
        <v>102</v>
      </c>
      <c r="F5" s="76"/>
    </row>
    <row r="6" spans="1:6" ht="20.100000000000001" customHeight="1" x14ac:dyDescent="0.25">
      <c r="A6" s="74" t="s">
        <v>239</v>
      </c>
      <c r="D6" s="77" t="str">
        <f ca="1">IFERROR(INDEX(Validation!G:G,MATCH("Loan 10"&amp;CELL("address",D6),Validation!I:I,0)),"")</f>
        <v/>
      </c>
      <c r="E6" s="66" t="str">
        <f ca="1">IFERROR(INDEX(Validation!F:F,MATCH("Loan 10"&amp;CELL("address",D6),Validation!I:I,0)),"")</f>
        <v/>
      </c>
      <c r="F6" s="78" t="s">
        <v>875</v>
      </c>
    </row>
    <row r="7" spans="1:6" x14ac:dyDescent="0.25">
      <c r="A7" s="79" t="s">
        <v>761</v>
      </c>
      <c r="B7" s="103" t="str">
        <f>IF(AND(NOT(ISBLANK('Loan Input'!L5)),OR('Loan Input'!L$5=Lists!$AG$2,'Loan Input'!L$5=Lists!$AG$3)),_xlfn.XLOOKUP('Loan Input'!L5,Lists!AG2:AG5,Lists!AH2:AH5),Lists!$AH$1)</f>
        <v>Select One</v>
      </c>
      <c r="C7" s="128"/>
      <c r="D7" s="77" t="str">
        <f ca="1">IFERROR(INDEX(Validation!G:G,MATCH("Loan 10"&amp;CELL("address",D7),Validation!I:I,0)),"")</f>
        <v/>
      </c>
      <c r="E7" s="66" t="str">
        <f ca="1">IFERROR(INDEX(Validation!F:F,MATCH("Loan 10"&amp;CELL("address",D7),Validation!I:I,0)),"")</f>
        <v/>
      </c>
      <c r="F7" s="85" t="str">
        <f>IF(NOT(ISBLANK('Loan Input'!L4)),'Loan Input'!L4,"")</f>
        <v/>
      </c>
    </row>
    <row r="8" spans="1:6" x14ac:dyDescent="0.25">
      <c r="A8" s="79" t="s">
        <v>769</v>
      </c>
      <c r="B8" s="103" t="str">
        <f>IF(AND(NOT(ISBLANK('Loan Input'!L6)),'Loan Input'!L$5=Lists!$AG$2),'Loan Input'!L6,Lists!$AJ$1)</f>
        <v>Select One</v>
      </c>
      <c r="C8" s="128"/>
      <c r="D8" s="77" t="str">
        <f ca="1">IFERROR(INDEX(Validation!G:G,MATCH("Loan 10"&amp;CELL("address",D8),Validation!I:I,0)),"")</f>
        <v/>
      </c>
      <c r="E8" s="66" t="str">
        <f ca="1">IFERROR(INDEX(Validation!F:F,MATCH("Loan 10"&amp;CELL("address",D8),Validation!I:I,0)),"")</f>
        <v/>
      </c>
    </row>
    <row r="9" spans="1:6" x14ac:dyDescent="0.25">
      <c r="A9" s="79" t="s">
        <v>770</v>
      </c>
      <c r="B9" s="103" t="str">
        <f>IF(AND(NOT(ISBLANK('Loan Input'!L7)),'Loan Input'!L$5=Lists!$AG$3),'Loan Input'!L7,"")</f>
        <v/>
      </c>
      <c r="C9" s="128"/>
      <c r="D9" s="77" t="str">
        <f ca="1">IFERROR(INDEX(Validation!G:G,MATCH("Loan 10"&amp;CELL("address",D9),Validation!I:I,0)),"")</f>
        <v/>
      </c>
      <c r="E9" s="66" t="str">
        <f ca="1">IFERROR(INDEX(Validation!F:F,MATCH("Loan 10"&amp;CELL("address",D9),Validation!I:I,0)),"")</f>
        <v/>
      </c>
    </row>
    <row r="10" spans="1:6" x14ac:dyDescent="0.25">
      <c r="A10" s="79" t="s">
        <v>931</v>
      </c>
      <c r="B10" s="120" t="str">
        <f>IF(AND(NOT(ISBLANK('Loan Input'!L8)),OR('Loan Input'!L$5=Lists!$AG$2,'Loan Input'!L$5=Lists!$AG$3)),'Loan Input'!L8,"")</f>
        <v/>
      </c>
      <c r="C10" s="128"/>
      <c r="D10" s="77" t="str">
        <f ca="1">IFERROR(INDEX(Validation!G:G,MATCH("Loan 10"&amp;CELL("address",D10),Validation!I:I,0)),"")</f>
        <v/>
      </c>
      <c r="E10" s="66" t="str">
        <f ca="1">IFERROR(INDEX(Validation!F:F,MATCH("Loan 10"&amp;CELL("address",D10),Validation!I:I,0)),"")</f>
        <v/>
      </c>
    </row>
    <row r="11" spans="1:6" x14ac:dyDescent="0.25">
      <c r="A11" s="79" t="s">
        <v>212</v>
      </c>
      <c r="B11" s="120" t="str">
        <f>IF(AND(NOT(ISBLANK('Loan Input'!L9)),OR('Loan Input'!L$5=Lists!$AG$2,'Loan Input'!L$5=Lists!$AG$3)),'Loan Input'!L9,"")</f>
        <v/>
      </c>
      <c r="C11" s="128"/>
      <c r="D11" s="77" t="str">
        <f ca="1">IFERROR(INDEX(Validation!G:G,MATCH("Loan 10"&amp;CELL("address",D11),Validation!I:I,0)),"")</f>
        <v/>
      </c>
      <c r="E11" s="66" t="str">
        <f ca="1">IFERROR(INDEX(Validation!F:F,MATCH("Loan 10"&amp;CELL("address",D11),Validation!I:I,0)),"")</f>
        <v/>
      </c>
    </row>
    <row r="12" spans="1:6" x14ac:dyDescent="0.25">
      <c r="A12" s="79" t="s">
        <v>213</v>
      </c>
      <c r="B12" s="121" t="str">
        <f>IF(AND(NOT(ISBLANK('Loan Input'!L10)),OR('Loan Input'!L$5=Lists!$AG$2,'Loan Input'!L$5=Lists!$AG$3)),'Loan Input'!L10,"")</f>
        <v/>
      </c>
      <c r="C12" s="128"/>
      <c r="D12" s="77" t="str">
        <f ca="1">IFERROR(INDEX(Validation!G:G,MATCH("Loan 10"&amp;CELL("address",D12),Validation!I:I,0)),"")</f>
        <v/>
      </c>
      <c r="E12" s="66" t="str">
        <f ca="1">IFERROR(INDEX(Validation!F:F,MATCH("Loan 10"&amp;CELL("address",D12),Validation!I:I,0)),"")</f>
        <v/>
      </c>
    </row>
    <row r="13" spans="1:6" x14ac:dyDescent="0.25">
      <c r="A13" s="79" t="s">
        <v>214</v>
      </c>
      <c r="B13" s="121" t="str">
        <f>IF(AND(NOT(ISBLANK('Loan Input'!L11)),OR('Loan Input'!L$5=Lists!$AG$2,'Loan Input'!L$5=Lists!$AG$3)),'Loan Input'!L11,"")</f>
        <v/>
      </c>
      <c r="C13" s="128"/>
      <c r="D13" s="77" t="str">
        <f ca="1">IFERROR(INDEX(Validation!G:G,MATCH("Loan 10"&amp;CELL("address",D13),Validation!I:I,0)),"")</f>
        <v/>
      </c>
      <c r="E13" s="66" t="str">
        <f ca="1">IFERROR(INDEX(Validation!F:F,MATCH("Loan 10"&amp;CELL("address",D13),Validation!I:I,0)),"")</f>
        <v/>
      </c>
    </row>
    <row r="14" spans="1:6" x14ac:dyDescent="0.25">
      <c r="A14" s="79" t="s">
        <v>241</v>
      </c>
      <c r="B14" s="120" t="str">
        <f>IF(AND(NOT(ISBLANK('Loan Input'!L12)),OR('Loan Input'!L$5=Lists!$AG$2,'Loan Input'!L$5=Lists!$AG$3)),'Loan Input'!L12,Lists!$AM$1)</f>
        <v>Select One</v>
      </c>
      <c r="C14" s="129"/>
      <c r="D14" s="77" t="str">
        <f ca="1">IFERROR(INDEX(Validation!G:G,MATCH("Loan 10"&amp;CELL("address",D14),Validation!I:I,0)),"")</f>
        <v/>
      </c>
      <c r="E14" s="66" t="str">
        <f ca="1">IFERROR(INDEX(Validation!F:F,MATCH("Loan 10"&amp;CELL("address",D14),Validation!I:I,0)),"")</f>
        <v/>
      </c>
    </row>
    <row r="15" spans="1:6" x14ac:dyDescent="0.25">
      <c r="A15" s="79" t="s">
        <v>242</v>
      </c>
      <c r="B15" s="122" t="str">
        <f>IF(AND(NOT(ISBLANK('Loan Input'!L13)),OR('Loan Input'!L$5=Lists!$AG$2,'Loan Input'!L$5=Lists!$AG$3)),'Loan Input'!L13,"")</f>
        <v/>
      </c>
      <c r="C15" s="128"/>
      <c r="D15" s="77" t="str">
        <f ca="1">IFERROR(INDEX(Validation!G:G,MATCH("Loan 10"&amp;CELL("address",D15),Validation!I:I,0)),"")</f>
        <v/>
      </c>
      <c r="E15" s="66" t="str">
        <f ca="1">IFERROR(INDEX(Validation!F:F,MATCH("Loan 10"&amp;CELL("address",D15),Validation!I:I,0)),"")</f>
        <v/>
      </c>
    </row>
    <row r="16" spans="1:6" x14ac:dyDescent="0.25">
      <c r="A16" s="79" t="s">
        <v>232</v>
      </c>
      <c r="B16" s="103" t="str">
        <f>IF(OR('Loan Input'!L14="",'Loan Input'!L14=0),"Select One",IF('Loan Input'!L14=TRUE,"Yes","No"))</f>
        <v>Select One</v>
      </c>
      <c r="C16" s="128"/>
      <c r="D16" s="77" t="str">
        <f ca="1">IFERROR(INDEX(Validation!G:G,MATCH("Loan 10"&amp;CELL("address",D16),Validation!I:I,0)),"")</f>
        <v/>
      </c>
      <c r="E16" s="66" t="str">
        <f ca="1">IFERROR(INDEX(Validation!F:F,MATCH("Loan 10"&amp;CELL("address",D16),Validation!I:I,0)),"")</f>
        <v/>
      </c>
    </row>
    <row r="17" spans="1:5" x14ac:dyDescent="0.25">
      <c r="A17" s="79" t="str">
        <f>"Were the terms of this obligation modified in "&amp;Year_DestinationYearID&amp;"?"</f>
        <v>Were the terms of this obligation modified in 2024?</v>
      </c>
      <c r="B17" s="103" t="s">
        <v>41</v>
      </c>
      <c r="C17" s="128"/>
      <c r="D17" s="77" t="str">
        <f ca="1">IFERROR(INDEX(Validation!G:G,MATCH("Loan 10"&amp;CELL("address",D17),Validation!I:I,0)),"")</f>
        <v/>
      </c>
      <c r="E17" s="66" t="str">
        <f ca="1">IFERROR(INDEX(Validation!F:F,MATCH("Loan 10"&amp;CELL("address",D17),Validation!I:I,0)),"")</f>
        <v/>
      </c>
    </row>
    <row r="18" spans="1:5" ht="20.100000000000001" customHeight="1" x14ac:dyDescent="0.25">
      <c r="A18" s="74" t="s">
        <v>1183</v>
      </c>
      <c r="B18" s="74" t="s">
        <v>283</v>
      </c>
      <c r="C18" s="74" t="str">
        <f>Year_DestinationYearID&amp;" Amount"</f>
        <v>2024 Amount</v>
      </c>
      <c r="D18" s="77" t="str">
        <f ca="1">IFERROR(INDEX(Validation!G:G,MATCH("Loan 10"&amp;CELL("address",D18),Validation!I:I,0)),"")</f>
        <v/>
      </c>
      <c r="E18" s="66" t="str">
        <f ca="1">IFERROR(INDEX(Validation!F:F,MATCH("Loan 10"&amp;CELL("address",D18),Validation!I:I,0)),"")</f>
        <v/>
      </c>
    </row>
    <row r="19" spans="1:5" x14ac:dyDescent="0.25">
      <c r="A19" s="79" t="s">
        <v>266</v>
      </c>
      <c r="B19" s="122" t="str">
        <f>IF(AND(NOT(ISBLANK('Loan Input'!L16)),OR('Loan Input'!L$5=Lists!$AG$2,'Loan Input'!L$5=Lists!$AG$3)),'Loan Input'!L16,"")</f>
        <v/>
      </c>
      <c r="C19" s="103"/>
      <c r="D19" s="77" t="str">
        <f ca="1">IFERROR(INDEX(Validation!G:G,MATCH("Loan 10"&amp;CELL("address",D19),Validation!I:I,0)),"")</f>
        <v/>
      </c>
      <c r="E19" s="66" t="str">
        <f ca="1">IFERROR(INDEX(Validation!F:F,MATCH("Loan 10"&amp;CELL("address",D19),Validation!I:I,0)),"")</f>
        <v/>
      </c>
    </row>
    <row r="20" spans="1:5" x14ac:dyDescent="0.25">
      <c r="A20" s="79" t="s">
        <v>267</v>
      </c>
      <c r="B20" s="122" t="str">
        <f>IF(AND(NOT(ISBLANK('Loan Input'!L18)),OR('Loan Input'!L$5=Lists!$AG$2,'Loan Input'!L$5=Lists!$AG$3)),'Loan Input'!L18,"")</f>
        <v/>
      </c>
      <c r="C20" s="103"/>
      <c r="D20" s="77" t="str">
        <f ca="1">IFERROR(INDEX(Validation!G:G,MATCH("Loan 10"&amp;CELL("address",D20),Validation!I:I,0)),"")</f>
        <v/>
      </c>
      <c r="E20" s="66" t="str">
        <f ca="1">IFERROR(INDEX(Validation!F:F,MATCH("Loan 10"&amp;CELL("address",D20),Validation!I:I,0)),"")</f>
        <v/>
      </c>
    </row>
    <row r="21" spans="1:5" x14ac:dyDescent="0.25">
      <c r="A21" s="79" t="s">
        <v>268</v>
      </c>
      <c r="B21" s="122" t="str">
        <f>IF(AND(NOT(ISBLANK('Loan Input'!L20)),OR('Loan Input'!L$5=Lists!$AG$2,'Loan Input'!L$5=Lists!$AG$3)),'Loan Input'!L20,"")</f>
        <v/>
      </c>
      <c r="C21" s="103"/>
      <c r="D21" s="77" t="str">
        <f ca="1">IFERROR(INDEX(Validation!G:G,MATCH("Loan 10"&amp;CELL("address",D21),Validation!I:I,0)),"")</f>
        <v/>
      </c>
      <c r="E21" s="66" t="str">
        <f ca="1">IFERROR(INDEX(Validation!F:F,MATCH("Loan 10"&amp;CELL("address",D21),Validation!I:I,0)),"")</f>
        <v/>
      </c>
    </row>
    <row r="22" spans="1:5" x14ac:dyDescent="0.25">
      <c r="A22" s="79" t="s">
        <v>269</v>
      </c>
      <c r="B22" s="122" t="str">
        <f>IF(AND(NOT(ISBLANK('Loan Input'!L22)),OR('Loan Input'!L$5=Lists!$AG$2,'Loan Input'!L$5=Lists!$AG$3)),'Loan Input'!L22,"")</f>
        <v/>
      </c>
      <c r="C22" s="103"/>
      <c r="D22" s="77" t="str">
        <f ca="1">IFERROR(INDEX(Validation!G:G,MATCH("Loan 10"&amp;CELL("address",D22),Validation!I:I,0)),"")</f>
        <v/>
      </c>
      <c r="E22" s="66" t="str">
        <f ca="1">IFERROR(INDEX(Validation!F:F,MATCH("Loan 10"&amp;CELL("address",D22),Validation!I:I,0)),"")</f>
        <v/>
      </c>
    </row>
    <row r="23" spans="1:5" x14ac:dyDescent="0.25">
      <c r="A23" s="79" t="s">
        <v>1101</v>
      </c>
      <c r="B23" s="122" t="str">
        <f>IF(AND(NOT(ISBLANK('Loan Input'!L24)),OR('Loan Input'!L$5=Lists!$AG$2,'Loan Input'!L$5=Lists!$AG$3)),'Loan Input'!L24,"")</f>
        <v/>
      </c>
      <c r="C23" s="103"/>
      <c r="D23" s="77" t="str">
        <f ca="1">IFERROR(INDEX(Validation!G:G,MATCH("Loan 10"&amp;CELL("address",D23),Validation!I:I,0)),"")</f>
        <v/>
      </c>
      <c r="E23" s="66" t="str">
        <f ca="1">IFERROR(INDEX(Validation!F:F,MATCH("Loan 10"&amp;CELL("address",D23),Validation!I:I,0)),"")</f>
        <v/>
      </c>
    </row>
    <row r="24" spans="1:5" x14ac:dyDescent="0.25">
      <c r="A24" s="79" t="s">
        <v>270</v>
      </c>
      <c r="B24" s="122" t="str">
        <f>IF(AND(NOT(ISBLANK('Loan Input'!L26)),OR('Loan Input'!L$5=Lists!$AG$2,'Loan Input'!L$5=Lists!$AG$3)),'Loan Input'!L26,"")</f>
        <v/>
      </c>
      <c r="C24" s="103"/>
      <c r="D24" s="77" t="str">
        <f ca="1">IFERROR(INDEX(Validation!G:G,MATCH("Loan 10"&amp;CELL("address",D24),Validation!I:I,0)),"")</f>
        <v/>
      </c>
      <c r="E24" s="66" t="str">
        <f ca="1">IFERROR(INDEX(Validation!F:F,MATCH("Loan 10"&amp;CELL("address",D24),Validation!I:I,0)),"")</f>
        <v/>
      </c>
    </row>
    <row r="25" spans="1:5" x14ac:dyDescent="0.25">
      <c r="A25" s="79" t="s">
        <v>271</v>
      </c>
      <c r="B25" s="122" t="str">
        <f>IF(AND(NOT(ISBLANK('Loan Input'!L28)),OR('Loan Input'!L$5=Lists!$AG$2,'Loan Input'!L$5=Lists!$AG$3)),'Loan Input'!L28,"")</f>
        <v/>
      </c>
      <c r="C25" s="103"/>
      <c r="D25" s="77" t="str">
        <f ca="1">IFERROR(INDEX(Validation!G:G,MATCH("Loan 10"&amp;CELL("address",D25),Validation!I:I,0)),"")</f>
        <v/>
      </c>
      <c r="E25" s="66" t="str">
        <f ca="1">IFERROR(INDEX(Validation!F:F,MATCH("Loan 10"&amp;CELL("address",D25),Validation!I:I,0)),"")</f>
        <v/>
      </c>
    </row>
    <row r="26" spans="1:5" x14ac:dyDescent="0.25">
      <c r="A26" s="79" t="s">
        <v>276</v>
      </c>
      <c r="B26" s="122" t="str">
        <f>IF(AND(NOT(ISBLANK('Loan Input'!L30)),OR('Loan Input'!C$5=Lists!$AG$2,'Loan Input'!C$5=Lists!$AG$3)),'Loan Input'!L30,"")</f>
        <v/>
      </c>
      <c r="C26" s="103"/>
      <c r="D26" s="77" t="str">
        <f ca="1">IFERROR(INDEX(Validation!G:G,MATCH("Loan 10"&amp;CELL("address",D26),Validation!I:I,0)),"")</f>
        <v/>
      </c>
      <c r="E26" s="66" t="str">
        <f ca="1">IFERROR(INDEX(Validation!F:F,MATCH("Loan 10"&amp;CELL("address",D26),Validation!I:I,0)),"")</f>
        <v/>
      </c>
    </row>
    <row r="27" spans="1:5" x14ac:dyDescent="0.25">
      <c r="A27" s="79" t="s">
        <v>272</v>
      </c>
      <c r="B27" s="122" t="str">
        <f>IF(AND(NOT(ISBLANK('Loan Input'!L32)),OR('Loan Input'!L$5=Lists!$AG$2,'Loan Input'!L$5=Lists!$AG$3)),'Loan Input'!L32,"")</f>
        <v/>
      </c>
      <c r="C27" s="103"/>
      <c r="D27" s="77" t="str">
        <f ca="1">IFERROR(INDEX(Validation!G:G,MATCH("Loan 10"&amp;CELL("address",D27),Validation!I:I,0)),"")</f>
        <v/>
      </c>
      <c r="E27" s="66" t="str">
        <f ca="1">IFERROR(INDEX(Validation!F:F,MATCH("Loan 10"&amp;CELL("address",D27),Validation!I:I,0)),"")</f>
        <v/>
      </c>
    </row>
    <row r="28" spans="1:5" x14ac:dyDescent="0.25">
      <c r="A28" s="79" t="s">
        <v>273</v>
      </c>
      <c r="B28" s="122" t="str">
        <f>IF(AND(NOT(ISBLANK('Loan Input'!L34)),OR('Loan Input'!L$5=Lists!$AG$2,'Loan Input'!L$5=Lists!$AG$3)),'Loan Input'!L34,"")</f>
        <v/>
      </c>
      <c r="C28" s="103"/>
      <c r="D28" s="77" t="str">
        <f ca="1">IFERROR(INDEX(Validation!G:G,MATCH("Loan 10"&amp;CELL("address",D28),Validation!I:I,0)),"")</f>
        <v/>
      </c>
      <c r="E28" s="66" t="str">
        <f ca="1">IFERROR(INDEX(Validation!F:F,MATCH("Loan 10"&amp;CELL("address",D28),Validation!I:I,0)),"")</f>
        <v/>
      </c>
    </row>
    <row r="29" spans="1:5" x14ac:dyDescent="0.25">
      <c r="A29" s="130" t="s">
        <v>1184</v>
      </c>
      <c r="B29" s="125">
        <f>SUM(B19:B28)</f>
        <v>0</v>
      </c>
      <c r="C29" s="125">
        <f>SUM(C19:C28)</f>
        <v>0</v>
      </c>
      <c r="D29" s="77" t="str">
        <f ca="1">IFERROR(INDEX(Validation!G:G,MATCH("Loan 10"&amp;CELL("address",D29),Validation!I:I,0)),"")</f>
        <v/>
      </c>
      <c r="E29" s="66" t="str">
        <f ca="1">IFERROR(INDEX(Validation!F:F,MATCH("Loan 10"&amp;CELL("address",D29),Validation!I:I,0)),"")</f>
        <v/>
      </c>
    </row>
    <row r="30" spans="1:5" x14ac:dyDescent="0.25">
      <c r="A30" s="130" t="s">
        <v>1185</v>
      </c>
      <c r="B30" s="125" t="str">
        <f>IFERROR(B34-B29,"")</f>
        <v/>
      </c>
      <c r="C30" s="125" t="str">
        <f>IFERROR(B34+C34-B29-C29,"")</f>
        <v/>
      </c>
      <c r="D30" s="77" t="str">
        <f ca="1">IFERROR(INDEX(Validation!G:G,MATCH("Loan 10"&amp;CELL("address",D30),Validation!I:I,0)),"")</f>
        <v/>
      </c>
      <c r="E30" s="66" t="str">
        <f ca="1">IFERROR(INDEX(Validation!F:F,MATCH("Loan 10"&amp;CELL("address",D30),Validation!I:I,0)),"")</f>
        <v/>
      </c>
    </row>
    <row r="31" spans="1:5" x14ac:dyDescent="0.25">
      <c r="A31" s="131" t="s">
        <v>1186</v>
      </c>
      <c r="B31" s="122" t="str">
        <f>IF(AND(NOT(ISBLANK('Loan Input'!L41)),OR('Loan Input'!L$5=Lists!$AG$2,'Loan Input'!L$5=Lists!$AG$3)),'Loan Input'!L41,"")</f>
        <v/>
      </c>
      <c r="C31" s="103"/>
      <c r="D31" s="77" t="str">
        <f ca="1">IFERROR(INDEX(Validation!G:G,MATCH("Loan 10"&amp;CELL("address",D31),Validation!I:I,0)),"")</f>
        <v/>
      </c>
      <c r="E31" s="66" t="str">
        <f ca="1">IFERROR(INDEX(Validation!F:F,MATCH("Loan 10"&amp;CELL("address",D31),Validation!I:I,0)),"")</f>
        <v/>
      </c>
    </row>
    <row r="32" spans="1:5" x14ac:dyDescent="0.25">
      <c r="A32" s="131" t="s">
        <v>1187</v>
      </c>
      <c r="B32" s="122" t="str">
        <f>IF(AND(NOT(ISBLANK('Loan Input'!L43)),OR('Loan Input'!L$5=Lists!$AG$2,'Loan Input'!L$5=Lists!$AG$3)),'Loan Input'!L43,"")</f>
        <v/>
      </c>
      <c r="C32" s="103"/>
      <c r="D32" s="77" t="str">
        <f ca="1">IFERROR(INDEX(Validation!G:G,MATCH("Loan 10"&amp;CELL("address",D32),Validation!I:I,0)),"")</f>
        <v/>
      </c>
      <c r="E32" s="66" t="str">
        <f ca="1">IFERROR(INDEX(Validation!F:F,MATCH("Loan 10"&amp;CELL("address",D32),Validation!I:I,0)),"")</f>
        <v/>
      </c>
    </row>
    <row r="33" spans="1:6" ht="20.100000000000001" customHeight="1" x14ac:dyDescent="0.25">
      <c r="A33" s="74" t="s">
        <v>754</v>
      </c>
      <c r="B33" s="74" t="s">
        <v>283</v>
      </c>
      <c r="C33" s="74" t="str">
        <f>Year_DestinationYearID&amp;" Amount"</f>
        <v>2024 Amount</v>
      </c>
      <c r="D33" s="77" t="str">
        <f ca="1">IFERROR(INDEX(Validation!G:G,MATCH("Loan 10"&amp;CELL("address",D33),Validation!I:I,0)),"")</f>
        <v/>
      </c>
      <c r="E33" s="66" t="str">
        <f ca="1">IFERROR(INDEX(Validation!F:F,MATCH("Loan 10"&amp;CELL("address",D33),Validation!I:I,0)),"")</f>
        <v/>
      </c>
    </row>
    <row r="34" spans="1:6" x14ac:dyDescent="0.25">
      <c r="A34" s="79" t="s">
        <v>1350</v>
      </c>
      <c r="B34" s="122" t="str">
        <f>IF(AND(NOT(ISBLANK('Loan Input'!L44)),OR('Loan Input'!L$5=Lists!$AG$2,'Loan Input'!L$5=Lists!$AG$3)),'Loan Input'!L44,"")</f>
        <v/>
      </c>
      <c r="C34" s="122"/>
      <c r="D34" s="77" t="str">
        <f ca="1">IFERROR(INDEX(Validation!G:G,MATCH("Loan 10"&amp;CELL("address",D34),Validation!I:I,0)),"")</f>
        <v/>
      </c>
      <c r="E34" s="66" t="str">
        <f ca="1">IFERROR(INDEX(Validation!F:F,MATCH("Loan 10"&amp;CELL("address",D34),Validation!I:I,0)),"")</f>
        <v/>
      </c>
    </row>
    <row r="35" spans="1:6" x14ac:dyDescent="0.25">
      <c r="A35" s="79" t="s">
        <v>1188</v>
      </c>
      <c r="B35" s="122" t="str">
        <f>IF(AND(NOT(ISBLANK('Loan Input'!L47)),OR('Loan Input'!L$5=Lists!$AG$2,'Loan Input'!L$5=Lists!$AG$3)),'Loan Input'!L47,"")</f>
        <v/>
      </c>
      <c r="C35" s="122"/>
      <c r="D35" s="77" t="str">
        <f ca="1">IFERROR(INDEX(Validation!G:G,MATCH("Loan 10"&amp;CELL("address",D35),Validation!I:I,0)),"")</f>
        <v/>
      </c>
      <c r="E35" s="66" t="str">
        <f ca="1">IFERROR(INDEX(Validation!F:F,MATCH("Loan 10"&amp;CELL("address",D35),Validation!I:I,0)),"")</f>
        <v/>
      </c>
    </row>
    <row r="36" spans="1:6" x14ac:dyDescent="0.25">
      <c r="A36" s="79" t="s">
        <v>1189</v>
      </c>
      <c r="B36" s="122" t="str">
        <f>IF(AND(NOT(ISBLANK('Loan Input'!L49)),OR('Loan Input'!L$5=Lists!$AG$2,'Loan Input'!L$5=Lists!$AG$3)),'Loan Input'!L49,"")</f>
        <v/>
      </c>
      <c r="C36" s="122"/>
      <c r="D36" s="77" t="str">
        <f ca="1">IFERROR(INDEX(Validation!G:G,MATCH("Loan 10"&amp;CELL("address",D36),Validation!I:I,0)),"")</f>
        <v/>
      </c>
      <c r="E36" s="66" t="str">
        <f ca="1">IFERROR(INDEX(Validation!F:F,MATCH("Loan 10"&amp;CELL("address",D36),Validation!I:I,0)),"")</f>
        <v/>
      </c>
    </row>
    <row r="37" spans="1:6" x14ac:dyDescent="0.25">
      <c r="A37" s="79" t="s">
        <v>1190</v>
      </c>
      <c r="B37" s="122" t="str">
        <f>IF(AND(NOT(ISBLANK('Loan Input'!L51)),OR('Loan Input'!L$5=Lists!$AG$2,'Loan Input'!L$5=Lists!$AG$3)),'Loan Input'!L51,"")</f>
        <v/>
      </c>
      <c r="C37" s="122"/>
      <c r="D37" s="77" t="str">
        <f ca="1">IFERROR(INDEX(Validation!G:G,MATCH("Loan 10"&amp;CELL("address",D37),Validation!I:I,0)),"")</f>
        <v/>
      </c>
      <c r="E37" s="66" t="str">
        <f ca="1">IFERROR(INDEX(Validation!F:F,MATCH("Loan 10"&amp;CELL("address",D37),Validation!I:I,0)),"")</f>
        <v/>
      </c>
    </row>
    <row r="38" spans="1:6" x14ac:dyDescent="0.25">
      <c r="A38" s="79" t="s">
        <v>221</v>
      </c>
      <c r="B38" s="125" t="str">
        <f>IFERROR(B34-B35-B36+B37,"")</f>
        <v/>
      </c>
      <c r="C38" s="125" t="str">
        <f>IFERROR(B34+C34-B35-B36-C35-C36+B37+C37,"")</f>
        <v/>
      </c>
      <c r="D38" s="77" t="str">
        <f ca="1">IFERROR(INDEX(Validation!G:G,MATCH("Loan 10"&amp;CELL("address",D38),Validation!I:I,0)),"")</f>
        <v/>
      </c>
      <c r="E38" s="66" t="str">
        <f ca="1">IFERROR(INDEX(Validation!F:F,MATCH("Loan 10"&amp;CELL("address",D38),Validation!I:I,0)),"")</f>
        <v/>
      </c>
      <c r="F38" s="126"/>
    </row>
    <row r="39" spans="1:6" x14ac:dyDescent="0.25">
      <c r="A39" s="79" t="s">
        <v>223</v>
      </c>
      <c r="B39" s="122" t="str">
        <f>IF(AND(NOT(ISBLANK('Loan Input'!L55)),OR('Loan Input'!L$5=Lists!$AG$2,'Loan Input'!L$5=Lists!$AG$3)),'Loan Input'!L55,"")</f>
        <v/>
      </c>
      <c r="C39" s="122"/>
      <c r="D39" s="77" t="str">
        <f ca="1">IFERROR(INDEX(Validation!G:G,MATCH("Loan 10"&amp;CELL("address",D39),Validation!I:I,0)),"")</f>
        <v/>
      </c>
      <c r="E39" s="66" t="str">
        <f ca="1">IFERROR(INDEX(Validation!F:F,MATCH("Loan 10"&amp;CELL("address",D39),Validation!I:I,0)),"")</f>
        <v/>
      </c>
    </row>
    <row r="40" spans="1:6" x14ac:dyDescent="0.25">
      <c r="A40" s="79" t="s">
        <v>1191</v>
      </c>
      <c r="B40" s="122" t="str">
        <f>IF(AND(NOT(ISBLANK('Loan Input'!L57)),OR('Loan Input'!L$5=Lists!$AG$2,'Loan Input'!L$5=Lists!$AG$3)),'Loan Input'!L57,"")</f>
        <v/>
      </c>
      <c r="C40" s="122"/>
      <c r="D40" s="77" t="str">
        <f ca="1">IFERROR(INDEX(Validation!G:G,MATCH("Loan 10"&amp;CELL("address",D40),Validation!I:I,0)),"")</f>
        <v/>
      </c>
      <c r="E40" s="66" t="str">
        <f ca="1">IFERROR(INDEX(Validation!F:F,MATCH("Loan 10"&amp;CELL("address",D40),Validation!I:I,0)),"")</f>
        <v/>
      </c>
    </row>
    <row r="41" spans="1:6" x14ac:dyDescent="0.25">
      <c r="A41" s="79" t="s">
        <v>1192</v>
      </c>
      <c r="B41" s="122" t="str">
        <f>IF(AND(NOT(ISBLANK('Loan Input'!L59)),OR('Loan Input'!L$5=Lists!$AG$2,'Loan Input'!L$5=Lists!$AG$3)),'Loan Input'!L59,"")</f>
        <v/>
      </c>
      <c r="C41" s="122"/>
      <c r="D41" s="77" t="str">
        <f ca="1">IFERROR(INDEX(Validation!G:G,MATCH("Loan 10"&amp;CELL("address",D41),Validation!I:I,0)),"")</f>
        <v/>
      </c>
      <c r="E41" s="66" t="str">
        <f ca="1">IFERROR(INDEX(Validation!F:F,MATCH("Loan 10"&amp;CELL("address",D41),Validation!I:I,0)),"")</f>
        <v/>
      </c>
    </row>
    <row r="42" spans="1:6" ht="20.100000000000001" customHeight="1" x14ac:dyDescent="0.25">
      <c r="A42" s="74" t="str">
        <f>"Principal and Interest Due in "&amp;Year_DestinationYearID+1</f>
        <v>Principal and Interest Due in 2025</v>
      </c>
      <c r="B42" s="74"/>
      <c r="C42" s="74"/>
    </row>
    <row r="43" spans="1:6" x14ac:dyDescent="0.25">
      <c r="A43" s="79" t="str">
        <f>"Principal Due in "&amp;Year_DestinationYearID+1</f>
        <v>Principal Due in 2025</v>
      </c>
      <c r="B43" s="122"/>
      <c r="C43" s="128"/>
      <c r="D43" s="77" t="str">
        <f ca="1">IFERROR(INDEX(Validation!G:G,MATCH("Loan 10"&amp;CELL("address",D43),Validation!I:I,0)),"")</f>
        <v/>
      </c>
      <c r="E43" s="66" t="str">
        <f ca="1">IFERROR(INDEX(Validation!F:F,MATCH("Loan 10"&amp;CELL("address",D43),Validation!I:I,0)),"")</f>
        <v/>
      </c>
    </row>
    <row r="44" spans="1:6" x14ac:dyDescent="0.25">
      <c r="A44" s="79" t="str">
        <f>"Interest Due in "&amp;Year_DestinationYearID+1</f>
        <v>Interest Due in 2025</v>
      </c>
      <c r="B44" s="122"/>
      <c r="C44" s="128"/>
      <c r="D44" s="77" t="str">
        <f ca="1">IFERROR(INDEX(Validation!G:G,MATCH("Loan 10"&amp;CELL("address",D44),Validation!I:I,0)),"")</f>
        <v/>
      </c>
      <c r="E44" s="66" t="str">
        <f ca="1">IFERROR(INDEX(Validation!F:F,MATCH("Loan 10"&amp;CELL("address",D44),Validation!I:I,0)),"")</f>
        <v/>
      </c>
    </row>
    <row r="45" spans="1:6" ht="20.100000000000001" customHeight="1" x14ac:dyDescent="0.25">
      <c r="A45" s="97" t="s">
        <v>176</v>
      </c>
      <c r="D45" s="77" t="str">
        <f ca="1">IF(AND(ISBLANK(A46),OR(COUNTIF(E6:E44,"Alert")&gt;0,SUM(B37:B37)&lt;&gt;0)),"Comment(s) required for remaining alert(s) and/or additions to principal.",IFERROR(INDEX(Validation!G:G,MATCH("Loan 10"&amp;CELL("address",D45),Validation!I:I,0)),""))</f>
        <v/>
      </c>
      <c r="E45" s="66" t="str">
        <f ca="1">IF(AND(ISBLANK(A46),OR(COUNTIF(E6:E44,"Alert")&gt;0,SUM(B37:B37)&lt;&gt;0)),"Error",IFERROR(INDEX(Validation!F:F,MATCH("Loan 10"&amp;CELL("address",D45),Validation!I:I,0)),""))</f>
        <v/>
      </c>
    </row>
    <row r="46" spans="1:6" ht="150" customHeight="1" x14ac:dyDescent="0.25">
      <c r="A46" s="123"/>
      <c r="B46" s="100" t="str">
        <f>HYPERLINK("#'Loans'!B6","Click here to return to the Loans Tab")</f>
        <v>Click here to return to the Loans Tab</v>
      </c>
      <c r="C46" s="127"/>
    </row>
    <row r="47" spans="1:6" x14ac:dyDescent="0.25">
      <c r="A47" s="98"/>
      <c r="B47" s="98"/>
      <c r="C47" s="98"/>
    </row>
    <row r="48" spans="1:6" x14ac:dyDescent="0.25">
      <c r="A48" s="98"/>
      <c r="B48" s="98"/>
      <c r="C48" s="98"/>
    </row>
    <row r="49" spans="1:3" x14ac:dyDescent="0.25">
      <c r="A49" s="98"/>
      <c r="B49" s="98"/>
      <c r="C49" s="98"/>
    </row>
    <row r="50" spans="1:3" x14ac:dyDescent="0.25">
      <c r="A50" s="98"/>
      <c r="B50" s="98"/>
      <c r="C50" s="98"/>
    </row>
  </sheetData>
  <sheetProtection algorithmName="SHA-512" hashValue="jF8apJf1pbveqlRGPuXHS80bjt/w2XNiTvrzCYmqppvCETPzj21bS3exfKiVglLoxE0LBsqHtxCGF3PAPklPuA==" saltValue="pEHQQOsJiyoL3B0xMdCrtg==" spinCount="100000" sheet="1" objects="1" scenarios="1"/>
  <mergeCells count="1">
    <mergeCell ref="A4:E4"/>
  </mergeCells>
  <conditionalFormatting sqref="A2">
    <cfRule type="expression" dxfId="188" priority="11">
      <formula>$E2="Error"</formula>
    </cfRule>
    <cfRule type="expression" dxfId="186" priority="13">
      <formula>$E2="Exclude"</formula>
    </cfRule>
  </conditionalFormatting>
  <conditionalFormatting sqref="D6:E41 D43:E45">
    <cfRule type="expression" dxfId="183" priority="5">
      <formula>$E6="Information"</formula>
    </cfRule>
    <cfRule type="expression" dxfId="182" priority="6">
      <formula>$E6="Error"</formula>
    </cfRule>
    <cfRule type="expression" dxfId="181" priority="7">
      <formula>$E6="Alert"</formula>
    </cfRule>
    <cfRule type="expression" dxfId="180" priority="8">
      <formula>$E6="Exclude"</formula>
    </cfRule>
  </conditionalFormatting>
  <dataValidations count="4">
    <dataValidation type="list" allowBlank="1" showInputMessage="1" showErrorMessage="1" sqref="B7" xr:uid="{0D143913-C9E3-4B57-802E-4E872EA45222}">
      <formula1>DueToType</formula1>
    </dataValidation>
    <dataValidation type="list" allowBlank="1" showInputMessage="1" showErrorMessage="1" sqref="B8" xr:uid="{9586369C-7427-41AF-BDC8-B101AE690B67}">
      <formula1>DistrictDropDown</formula1>
    </dataValidation>
    <dataValidation type="list" allowBlank="1" showInputMessage="1" showErrorMessage="1" sqref="B14:C14" xr:uid="{A66292EE-5757-4ED5-9D4D-0D41A6FDF8EB}">
      <formula1>InterestRateType</formula1>
    </dataValidation>
    <dataValidation type="list" allowBlank="1" showInputMessage="1" showErrorMessage="1" sqref="B16:B17" xr:uid="{00D46561-5B4E-467A-8869-F2A0376F872B}">
      <formula1>SelOneYesNo</formula1>
    </dataValidation>
  </dataValidations>
  <pageMargins left="0.7" right="0.7" top="0.75" bottom="0.75" header="0.3" footer="0.3"/>
  <pageSetup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12" id="{09B056FE-4B17-4113-855C-BC1A38C06A10}">
            <xm:f>COUNTIFS(Validation!$H:$H,MID(CELL("filename",A2),FIND("]",CELL("filename",A2))+1,255)&amp;CELL("address",A2))&gt;0</xm:f>
            <x14:dxf>
              <font>
                <b/>
                <i val="0"/>
                <color rgb="FFC00000"/>
              </font>
              <numFmt numFmtId="172" formatCode="_(\!* #,##0_);_(\!* \(#,##0\);_(\!* \-??_);_(\!\ @_)"/>
            </x14:dxf>
          </x14:cfRule>
          <xm:sqref>A2</xm:sqref>
        </x14:conditionalFormatting>
        <x14:conditionalFormatting xmlns:xm="http://schemas.microsoft.com/office/excel/2006/main">
          <x14:cfRule type="expression" priority="10" id="{5B7B9C60-7DD8-4F1A-8430-30266166DA14}">
            <xm:f>$B$7=Lists!$AH$3</xm:f>
            <x14:dxf>
              <fill>
                <patternFill>
                  <bgColor rgb="FFEAEAEA"/>
                </patternFill>
              </fill>
            </x14:dxf>
          </x14:cfRule>
          <xm:sqref>B8</xm:sqref>
        </x14:conditionalFormatting>
        <x14:conditionalFormatting xmlns:xm="http://schemas.microsoft.com/office/excel/2006/main">
          <x14:cfRule type="expression" priority="9" id="{A52A030B-4675-4299-9EA0-1A10572839F5}">
            <xm:f>$B$7=Lists!$AH$2</xm:f>
            <x14:dxf>
              <fill>
                <patternFill>
                  <bgColor rgb="FFEAEAEA"/>
                </patternFill>
              </fill>
            </x14:dxf>
          </x14:cfRule>
          <xm:sqref>B9</xm:sqref>
        </x14:conditionalFormatting>
      </x14:conditionalFormattings>
    </ext>
  </extLs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76100-AE75-49D7-B0C2-B3139B4A9880}">
  <sheetPr>
    <tabColor rgb="FFEED382"/>
  </sheetPr>
  <dimension ref="A1:F50"/>
  <sheetViews>
    <sheetView showGridLines="0" workbookViewId="0">
      <selection activeCell="B7" sqref="B7"/>
    </sheetView>
  </sheetViews>
  <sheetFormatPr defaultRowHeight="15" x14ac:dyDescent="0.25"/>
  <cols>
    <col min="1" max="1" width="55.7109375" style="66" customWidth="1"/>
    <col min="2" max="3" width="22.7109375" style="66" customWidth="1"/>
    <col min="4" max="4" width="80.85546875" style="66" customWidth="1"/>
    <col min="5" max="5" width="14.7109375" style="66" customWidth="1"/>
    <col min="6" max="6" width="10.7109375" style="78" hidden="1" customWidth="1"/>
    <col min="7" max="16384" width="9.140625" style="66"/>
  </cols>
  <sheetData>
    <row r="1" spans="1:6" s="59" customFormat="1" ht="24.95" customHeight="1" x14ac:dyDescent="0.25">
      <c r="A1" s="59" t="str">
        <f>_xlfn.CONCAT("Office of the State Auditor  -  TIF Annual Reporting Form  -  ",Year_DestinationYearID)</f>
        <v>Office of the State Auditor  -  TIF Annual Reporting Form  -  2024</v>
      </c>
      <c r="F1" s="61"/>
    </row>
    <row r="2" spans="1:6" s="62" customFormat="1" ht="20.100000000000001" customHeight="1" x14ac:dyDescent="0.25">
      <c r="A2" s="58" t="str">
        <f>_xlfn.CONCAT(GovEntity_GovEntityName_Parent,"  -  ",GovEntity_GovEntityName)</f>
        <v>Spruce City  -  TIF 1-1 Downtown Redev</v>
      </c>
      <c r="F2" s="64"/>
    </row>
    <row r="3" spans="1:6" s="68" customFormat="1" ht="24.95" customHeight="1" x14ac:dyDescent="0.3">
      <c r="A3" s="65" t="s">
        <v>238</v>
      </c>
      <c r="B3" s="66"/>
      <c r="C3" s="66"/>
      <c r="F3" s="69"/>
    </row>
    <row r="4" spans="1:6" s="71" customFormat="1" x14ac:dyDescent="0.25">
      <c r="A4" s="217" t="s">
        <v>207</v>
      </c>
      <c r="B4" s="217"/>
      <c r="C4" s="217"/>
      <c r="D4" s="217"/>
      <c r="E4" s="217"/>
      <c r="F4" s="72" t="s">
        <v>119</v>
      </c>
    </row>
    <row r="5" spans="1:6" s="74" customFormat="1" ht="20.100000000000001" customHeight="1" x14ac:dyDescent="0.25">
      <c r="A5" s="73" t="str">
        <f>HYPERLINK("#'Loans'!B6","Click here to return to the Loans Tab")</f>
        <v>Click here to return to the Loans Tab</v>
      </c>
      <c r="D5" s="74" t="s">
        <v>121</v>
      </c>
      <c r="E5" s="74" t="s">
        <v>102</v>
      </c>
      <c r="F5" s="76"/>
    </row>
    <row r="6" spans="1:6" ht="20.100000000000001" customHeight="1" x14ac:dyDescent="0.25">
      <c r="A6" s="74" t="s">
        <v>239</v>
      </c>
      <c r="D6" s="77" t="str">
        <f ca="1">IFERROR(INDEX(Validation!G:G,MATCH("Loan 11"&amp;CELL("address",D6),Validation!I:I,0)),"")</f>
        <v/>
      </c>
      <c r="E6" s="66" t="str">
        <f ca="1">IFERROR(INDEX(Validation!F:F,MATCH("Loan 11"&amp;CELL("address",D6),Validation!I:I,0)),"")</f>
        <v/>
      </c>
      <c r="F6" s="78" t="s">
        <v>875</v>
      </c>
    </row>
    <row r="7" spans="1:6" x14ac:dyDescent="0.25">
      <c r="A7" s="79" t="s">
        <v>761</v>
      </c>
      <c r="B7" s="103" t="str">
        <f>IF(AND(NOT(ISBLANK('Loan Input'!M5)),OR('Loan Input'!M$5=Lists!$AG$2,'Loan Input'!M$5=Lists!$AG$3)),_xlfn.XLOOKUP('Loan Input'!M5,Lists!AG2:AG5,Lists!AH2:AH5),Lists!$AH$1)</f>
        <v>Select One</v>
      </c>
      <c r="C7" s="128"/>
      <c r="D7" s="77" t="str">
        <f ca="1">IFERROR(INDEX(Validation!G:G,MATCH("Loan 11"&amp;CELL("address",D7),Validation!I:I,0)),"")</f>
        <v/>
      </c>
      <c r="E7" s="66" t="str">
        <f ca="1">IFERROR(INDEX(Validation!F:F,MATCH("Loan 11"&amp;CELL("address",D7),Validation!I:I,0)),"")</f>
        <v/>
      </c>
      <c r="F7" s="85" t="str">
        <f>IF(NOT(ISBLANK('Loan Input'!M4)),'Loan Input'!M4,"")</f>
        <v/>
      </c>
    </row>
    <row r="8" spans="1:6" x14ac:dyDescent="0.25">
      <c r="A8" s="79" t="s">
        <v>769</v>
      </c>
      <c r="B8" s="103" t="str">
        <f>IF(AND(NOT(ISBLANK('Loan Input'!M6)),'Loan Input'!M$5=Lists!$AG$2),'Loan Input'!M6,Lists!$AJ$1)</f>
        <v>Select One</v>
      </c>
      <c r="C8" s="128"/>
      <c r="D8" s="77" t="str">
        <f ca="1">IFERROR(INDEX(Validation!G:G,MATCH("Loan 11"&amp;CELL("address",D8),Validation!I:I,0)),"")</f>
        <v/>
      </c>
      <c r="E8" s="66" t="str">
        <f ca="1">IFERROR(INDEX(Validation!F:F,MATCH("Loan 11"&amp;CELL("address",D8),Validation!I:I,0)),"")</f>
        <v/>
      </c>
    </row>
    <row r="9" spans="1:6" x14ac:dyDescent="0.25">
      <c r="A9" s="79" t="s">
        <v>770</v>
      </c>
      <c r="B9" s="103" t="str">
        <f>IF(AND(NOT(ISBLANK('Loan Input'!M7)),'Loan Input'!M$5=Lists!$AG$3),'Loan Input'!M7,"")</f>
        <v/>
      </c>
      <c r="C9" s="128"/>
      <c r="D9" s="77" t="str">
        <f ca="1">IFERROR(INDEX(Validation!G:G,MATCH("Loan 11"&amp;CELL("address",D9),Validation!I:I,0)),"")</f>
        <v/>
      </c>
      <c r="E9" s="66" t="str">
        <f ca="1">IFERROR(INDEX(Validation!F:F,MATCH("Loan 11"&amp;CELL("address",D9),Validation!I:I,0)),"")</f>
        <v/>
      </c>
    </row>
    <row r="10" spans="1:6" x14ac:dyDescent="0.25">
      <c r="A10" s="79" t="s">
        <v>931</v>
      </c>
      <c r="B10" s="120" t="str">
        <f>IF(AND(NOT(ISBLANK('Loan Input'!M8)),OR('Loan Input'!M$5=Lists!$AG$2,'Loan Input'!M$5=Lists!$AG$3)),'Loan Input'!M8,"")</f>
        <v/>
      </c>
      <c r="C10" s="128"/>
      <c r="D10" s="77" t="str">
        <f ca="1">IFERROR(INDEX(Validation!G:G,MATCH("Loan 11"&amp;CELL("address",D10),Validation!I:I,0)),"")</f>
        <v/>
      </c>
      <c r="E10" s="66" t="str">
        <f ca="1">IFERROR(INDEX(Validation!F:F,MATCH("Loan 11"&amp;CELL("address",D10),Validation!I:I,0)),"")</f>
        <v/>
      </c>
    </row>
    <row r="11" spans="1:6" x14ac:dyDescent="0.25">
      <c r="A11" s="79" t="s">
        <v>212</v>
      </c>
      <c r="B11" s="120" t="str">
        <f>IF(AND(NOT(ISBLANK('Loan Input'!M9)),OR('Loan Input'!M$5=Lists!$AG$2,'Loan Input'!M$5=Lists!$AG$3)),'Loan Input'!M9,"")</f>
        <v/>
      </c>
      <c r="C11" s="128"/>
      <c r="D11" s="77" t="str">
        <f ca="1">IFERROR(INDEX(Validation!G:G,MATCH("Loan 11"&amp;CELL("address",D11),Validation!I:I,0)),"")</f>
        <v/>
      </c>
      <c r="E11" s="66" t="str">
        <f ca="1">IFERROR(INDEX(Validation!F:F,MATCH("Loan 11"&amp;CELL("address",D11),Validation!I:I,0)),"")</f>
        <v/>
      </c>
    </row>
    <row r="12" spans="1:6" x14ac:dyDescent="0.25">
      <c r="A12" s="79" t="s">
        <v>213</v>
      </c>
      <c r="B12" s="121" t="str">
        <f>IF(AND(NOT(ISBLANK('Loan Input'!M10)),OR('Loan Input'!M$5=Lists!$AG$2,'Loan Input'!M$5=Lists!$AG$3)),'Loan Input'!M10,"")</f>
        <v/>
      </c>
      <c r="C12" s="128"/>
      <c r="D12" s="77" t="str">
        <f ca="1">IFERROR(INDEX(Validation!G:G,MATCH("Loan 11"&amp;CELL("address",D12),Validation!I:I,0)),"")</f>
        <v/>
      </c>
      <c r="E12" s="66" t="str">
        <f ca="1">IFERROR(INDEX(Validation!F:F,MATCH("Loan 11"&amp;CELL("address",D12),Validation!I:I,0)),"")</f>
        <v/>
      </c>
    </row>
    <row r="13" spans="1:6" x14ac:dyDescent="0.25">
      <c r="A13" s="79" t="s">
        <v>214</v>
      </c>
      <c r="B13" s="121" t="str">
        <f>IF(AND(NOT(ISBLANK('Loan Input'!M11)),OR('Loan Input'!M$5=Lists!$AG$2,'Loan Input'!M$5=Lists!$AG$3)),'Loan Input'!M11,"")</f>
        <v/>
      </c>
      <c r="C13" s="128"/>
      <c r="D13" s="77" t="str">
        <f ca="1">IFERROR(INDEX(Validation!G:G,MATCH("Loan 11"&amp;CELL("address",D13),Validation!I:I,0)),"")</f>
        <v/>
      </c>
      <c r="E13" s="66" t="str">
        <f ca="1">IFERROR(INDEX(Validation!F:F,MATCH("Loan 11"&amp;CELL("address",D13),Validation!I:I,0)),"")</f>
        <v/>
      </c>
    </row>
    <row r="14" spans="1:6" x14ac:dyDescent="0.25">
      <c r="A14" s="79" t="s">
        <v>241</v>
      </c>
      <c r="B14" s="120" t="str">
        <f>IF(AND(NOT(ISBLANK('Loan Input'!M12)),OR('Loan Input'!M$5=Lists!$AG$2,'Loan Input'!M$5=Lists!$AG$3)),'Loan Input'!M12,Lists!$AM$1)</f>
        <v>Select One</v>
      </c>
      <c r="C14" s="129"/>
      <c r="D14" s="77" t="str">
        <f ca="1">IFERROR(INDEX(Validation!G:G,MATCH("Loan 11"&amp;CELL("address",D14),Validation!I:I,0)),"")</f>
        <v/>
      </c>
      <c r="E14" s="66" t="str">
        <f ca="1">IFERROR(INDEX(Validation!F:F,MATCH("Loan 11"&amp;CELL("address",D14),Validation!I:I,0)),"")</f>
        <v/>
      </c>
    </row>
    <row r="15" spans="1:6" x14ac:dyDescent="0.25">
      <c r="A15" s="79" t="s">
        <v>242</v>
      </c>
      <c r="B15" s="122" t="str">
        <f>IF(AND(NOT(ISBLANK('Loan Input'!M13)),OR('Loan Input'!M$5=Lists!$AG$2,'Loan Input'!M$5=Lists!$AG$3)),'Loan Input'!M13,"")</f>
        <v/>
      </c>
      <c r="C15" s="128"/>
      <c r="D15" s="77" t="str">
        <f ca="1">IFERROR(INDEX(Validation!G:G,MATCH("Loan 11"&amp;CELL("address",D15),Validation!I:I,0)),"")</f>
        <v/>
      </c>
      <c r="E15" s="66" t="str">
        <f ca="1">IFERROR(INDEX(Validation!F:F,MATCH("Loan 11"&amp;CELL("address",D15),Validation!I:I,0)),"")</f>
        <v/>
      </c>
    </row>
    <row r="16" spans="1:6" x14ac:dyDescent="0.25">
      <c r="A16" s="79" t="s">
        <v>232</v>
      </c>
      <c r="B16" s="103" t="str">
        <f>IF(OR('Loan Input'!M14="",'Loan Input'!M14=0),"Select One",IF('Loan Input'!M14=TRUE,"Yes","No"))</f>
        <v>Select One</v>
      </c>
      <c r="C16" s="128"/>
      <c r="D16" s="77" t="str">
        <f ca="1">IFERROR(INDEX(Validation!G:G,MATCH("Loan 11"&amp;CELL("address",D16),Validation!I:I,0)),"")</f>
        <v/>
      </c>
      <c r="E16" s="66" t="str">
        <f ca="1">IFERROR(INDEX(Validation!F:F,MATCH("Loan 11"&amp;CELL("address",D16),Validation!I:I,0)),"")</f>
        <v/>
      </c>
    </row>
    <row r="17" spans="1:5" x14ac:dyDescent="0.25">
      <c r="A17" s="79" t="str">
        <f>"Were the terms of this obligation modified in "&amp;Year_DestinationYearID&amp;"?"</f>
        <v>Were the terms of this obligation modified in 2024?</v>
      </c>
      <c r="B17" s="103" t="s">
        <v>41</v>
      </c>
      <c r="C17" s="128"/>
      <c r="D17" s="77" t="str">
        <f ca="1">IFERROR(INDEX(Validation!G:G,MATCH("Loan 11"&amp;CELL("address",D17),Validation!I:I,0)),"")</f>
        <v/>
      </c>
      <c r="E17" s="66" t="str">
        <f ca="1">IFERROR(INDEX(Validation!F:F,MATCH("Loan 11"&amp;CELL("address",D17),Validation!I:I,0)),"")</f>
        <v/>
      </c>
    </row>
    <row r="18" spans="1:5" ht="20.100000000000001" customHeight="1" x14ac:dyDescent="0.25">
      <c r="A18" s="74" t="s">
        <v>1183</v>
      </c>
      <c r="B18" s="74" t="s">
        <v>283</v>
      </c>
      <c r="C18" s="74" t="str">
        <f>Year_DestinationYearID&amp;" Amount"</f>
        <v>2024 Amount</v>
      </c>
      <c r="D18" s="77" t="str">
        <f ca="1">IFERROR(INDEX(Validation!G:G,MATCH("Loan 11"&amp;CELL("address",D18),Validation!I:I,0)),"")</f>
        <v/>
      </c>
      <c r="E18" s="66" t="str">
        <f ca="1">IFERROR(INDEX(Validation!F:F,MATCH("Loan 11"&amp;CELL("address",D18),Validation!I:I,0)),"")</f>
        <v/>
      </c>
    </row>
    <row r="19" spans="1:5" x14ac:dyDescent="0.25">
      <c r="A19" s="79" t="s">
        <v>266</v>
      </c>
      <c r="B19" s="122" t="str">
        <f>IF(AND(NOT(ISBLANK('Loan Input'!M16)),OR('Loan Input'!M$5=Lists!$AG$2,'Loan Input'!M$5=Lists!$AG$3)),'Loan Input'!M16,"")</f>
        <v/>
      </c>
      <c r="C19" s="103"/>
      <c r="D19" s="77" t="str">
        <f ca="1">IFERROR(INDEX(Validation!G:G,MATCH("Loan 11"&amp;CELL("address",D19),Validation!I:I,0)),"")</f>
        <v/>
      </c>
      <c r="E19" s="66" t="str">
        <f ca="1">IFERROR(INDEX(Validation!F:F,MATCH("Loan 11"&amp;CELL("address",D19),Validation!I:I,0)),"")</f>
        <v/>
      </c>
    </row>
    <row r="20" spans="1:5" x14ac:dyDescent="0.25">
      <c r="A20" s="79" t="s">
        <v>267</v>
      </c>
      <c r="B20" s="122" t="str">
        <f>IF(AND(NOT(ISBLANK('Loan Input'!M18)),OR('Loan Input'!M$5=Lists!$AG$2,'Loan Input'!M$5=Lists!$AG$3)),'Loan Input'!M18,"")</f>
        <v/>
      </c>
      <c r="C20" s="103"/>
      <c r="D20" s="77" t="str">
        <f ca="1">IFERROR(INDEX(Validation!G:G,MATCH("Loan 11"&amp;CELL("address",D20),Validation!I:I,0)),"")</f>
        <v/>
      </c>
      <c r="E20" s="66" t="str">
        <f ca="1">IFERROR(INDEX(Validation!F:F,MATCH("Loan 11"&amp;CELL("address",D20),Validation!I:I,0)),"")</f>
        <v/>
      </c>
    </row>
    <row r="21" spans="1:5" x14ac:dyDescent="0.25">
      <c r="A21" s="79" t="s">
        <v>268</v>
      </c>
      <c r="B21" s="122" t="str">
        <f>IF(AND(NOT(ISBLANK('Loan Input'!M20)),OR('Loan Input'!M$5=Lists!$AG$2,'Loan Input'!M$5=Lists!$AG$3)),'Loan Input'!M20,"")</f>
        <v/>
      </c>
      <c r="C21" s="103"/>
      <c r="D21" s="77" t="str">
        <f ca="1">IFERROR(INDEX(Validation!G:G,MATCH("Loan 11"&amp;CELL("address",D21),Validation!I:I,0)),"")</f>
        <v/>
      </c>
      <c r="E21" s="66" t="str">
        <f ca="1">IFERROR(INDEX(Validation!F:F,MATCH("Loan 11"&amp;CELL("address",D21),Validation!I:I,0)),"")</f>
        <v/>
      </c>
    </row>
    <row r="22" spans="1:5" x14ac:dyDescent="0.25">
      <c r="A22" s="79" t="s">
        <v>269</v>
      </c>
      <c r="B22" s="122" t="str">
        <f>IF(AND(NOT(ISBLANK('Loan Input'!M22)),OR('Loan Input'!M$5=Lists!$AG$2,'Loan Input'!M$5=Lists!$AG$3)),'Loan Input'!M22,"")</f>
        <v/>
      </c>
      <c r="C22" s="103"/>
      <c r="D22" s="77" t="str">
        <f ca="1">IFERROR(INDEX(Validation!G:G,MATCH("Loan 11"&amp;CELL("address",D22),Validation!I:I,0)),"")</f>
        <v/>
      </c>
      <c r="E22" s="66" t="str">
        <f ca="1">IFERROR(INDEX(Validation!F:F,MATCH("Loan 11"&amp;CELL("address",D22),Validation!I:I,0)),"")</f>
        <v/>
      </c>
    </row>
    <row r="23" spans="1:5" x14ac:dyDescent="0.25">
      <c r="A23" s="79" t="s">
        <v>1101</v>
      </c>
      <c r="B23" s="122" t="str">
        <f>IF(AND(NOT(ISBLANK('Loan Input'!M24)),OR('Loan Input'!M$5=Lists!$AG$2,'Loan Input'!M$5=Lists!$AG$3)),'Loan Input'!M24,"")</f>
        <v/>
      </c>
      <c r="C23" s="103"/>
      <c r="D23" s="77" t="str">
        <f ca="1">IFERROR(INDEX(Validation!G:G,MATCH("Loan 11"&amp;CELL("address",D23),Validation!I:I,0)),"")</f>
        <v/>
      </c>
      <c r="E23" s="66" t="str">
        <f ca="1">IFERROR(INDEX(Validation!F:F,MATCH("Loan 11"&amp;CELL("address",D23),Validation!I:I,0)),"")</f>
        <v/>
      </c>
    </row>
    <row r="24" spans="1:5" x14ac:dyDescent="0.25">
      <c r="A24" s="79" t="s">
        <v>270</v>
      </c>
      <c r="B24" s="122" t="str">
        <f>IF(AND(NOT(ISBLANK('Loan Input'!M26)),OR('Loan Input'!M$5=Lists!$AG$2,'Loan Input'!M$5=Lists!$AG$3)),'Loan Input'!M26,"")</f>
        <v/>
      </c>
      <c r="C24" s="103"/>
      <c r="D24" s="77" t="str">
        <f ca="1">IFERROR(INDEX(Validation!G:G,MATCH("Loan 11"&amp;CELL("address",D24),Validation!I:I,0)),"")</f>
        <v/>
      </c>
      <c r="E24" s="66" t="str">
        <f ca="1">IFERROR(INDEX(Validation!F:F,MATCH("Loan 11"&amp;CELL("address",D24),Validation!I:I,0)),"")</f>
        <v/>
      </c>
    </row>
    <row r="25" spans="1:5" x14ac:dyDescent="0.25">
      <c r="A25" s="79" t="s">
        <v>271</v>
      </c>
      <c r="B25" s="122" t="str">
        <f>IF(AND(NOT(ISBLANK('Loan Input'!M28)),OR('Loan Input'!M$5=Lists!$AG$2,'Loan Input'!M$5=Lists!$AG$3)),'Loan Input'!M28,"")</f>
        <v/>
      </c>
      <c r="C25" s="103"/>
      <c r="D25" s="77" t="str">
        <f ca="1">IFERROR(INDEX(Validation!G:G,MATCH("Loan 11"&amp;CELL("address",D25),Validation!I:I,0)),"")</f>
        <v/>
      </c>
      <c r="E25" s="66" t="str">
        <f ca="1">IFERROR(INDEX(Validation!F:F,MATCH("Loan 11"&amp;CELL("address",D25),Validation!I:I,0)),"")</f>
        <v/>
      </c>
    </row>
    <row r="26" spans="1:5" x14ac:dyDescent="0.25">
      <c r="A26" s="79" t="s">
        <v>276</v>
      </c>
      <c r="B26" s="122" t="str">
        <f>IF(AND(NOT(ISBLANK('Loan Input'!M30)),OR('Loan Input'!C$5=Lists!$AG$2,'Loan Input'!C$5=Lists!$AG$3)),'Loan Input'!M30,"")</f>
        <v/>
      </c>
      <c r="C26" s="103"/>
      <c r="D26" s="77" t="str">
        <f ca="1">IFERROR(INDEX(Validation!G:G,MATCH("Loan 11"&amp;CELL("address",D26),Validation!I:I,0)),"")</f>
        <v/>
      </c>
      <c r="E26" s="66" t="str">
        <f ca="1">IFERROR(INDEX(Validation!F:F,MATCH("Loan 11"&amp;CELL("address",D26),Validation!I:I,0)),"")</f>
        <v/>
      </c>
    </row>
    <row r="27" spans="1:5" x14ac:dyDescent="0.25">
      <c r="A27" s="79" t="s">
        <v>272</v>
      </c>
      <c r="B27" s="122" t="str">
        <f>IF(AND(NOT(ISBLANK('Loan Input'!M32)),OR('Loan Input'!M$5=Lists!$AG$2,'Loan Input'!M$5=Lists!$AG$3)),'Loan Input'!M32,"")</f>
        <v/>
      </c>
      <c r="C27" s="103"/>
      <c r="D27" s="77" t="str">
        <f ca="1">IFERROR(INDEX(Validation!G:G,MATCH("Loan 11"&amp;CELL("address",D27),Validation!I:I,0)),"")</f>
        <v/>
      </c>
      <c r="E27" s="66" t="str">
        <f ca="1">IFERROR(INDEX(Validation!F:F,MATCH("Loan 11"&amp;CELL("address",D27),Validation!I:I,0)),"")</f>
        <v/>
      </c>
    </row>
    <row r="28" spans="1:5" x14ac:dyDescent="0.25">
      <c r="A28" s="79" t="s">
        <v>273</v>
      </c>
      <c r="B28" s="122" t="str">
        <f>IF(AND(NOT(ISBLANK('Loan Input'!M34)),OR('Loan Input'!M$5=Lists!$AG$2,'Loan Input'!M$5=Lists!$AG$3)),'Loan Input'!M34,"")</f>
        <v/>
      </c>
      <c r="C28" s="103"/>
      <c r="D28" s="77" t="str">
        <f ca="1">IFERROR(INDEX(Validation!G:G,MATCH("Loan 11"&amp;CELL("address",D28),Validation!I:I,0)),"")</f>
        <v/>
      </c>
      <c r="E28" s="66" t="str">
        <f ca="1">IFERROR(INDEX(Validation!F:F,MATCH("Loan 11"&amp;CELL("address",D28),Validation!I:I,0)),"")</f>
        <v/>
      </c>
    </row>
    <row r="29" spans="1:5" x14ac:dyDescent="0.25">
      <c r="A29" s="130" t="s">
        <v>1184</v>
      </c>
      <c r="B29" s="125">
        <f>SUM(B19:B28)</f>
        <v>0</v>
      </c>
      <c r="C29" s="125">
        <f>SUM(C19:C28)</f>
        <v>0</v>
      </c>
      <c r="D29" s="77" t="str">
        <f ca="1">IFERROR(INDEX(Validation!G:G,MATCH("Loan 11"&amp;CELL("address",D29),Validation!I:I,0)),"")</f>
        <v/>
      </c>
      <c r="E29" s="66" t="str">
        <f ca="1">IFERROR(INDEX(Validation!F:F,MATCH("Loan 11"&amp;CELL("address",D29),Validation!I:I,0)),"")</f>
        <v/>
      </c>
    </row>
    <row r="30" spans="1:5" x14ac:dyDescent="0.25">
      <c r="A30" s="130" t="s">
        <v>1185</v>
      </c>
      <c r="B30" s="125" t="str">
        <f>IFERROR(B34-B29,"")</f>
        <v/>
      </c>
      <c r="C30" s="125" t="str">
        <f>IFERROR(B34+C34-B29-C29,"")</f>
        <v/>
      </c>
      <c r="D30" s="77" t="str">
        <f ca="1">IFERROR(INDEX(Validation!G:G,MATCH("Loan 11"&amp;CELL("address",D30),Validation!I:I,0)),"")</f>
        <v/>
      </c>
      <c r="E30" s="66" t="str">
        <f ca="1">IFERROR(INDEX(Validation!F:F,MATCH("Loan 11"&amp;CELL("address",D30),Validation!I:I,0)),"")</f>
        <v/>
      </c>
    </row>
    <row r="31" spans="1:5" x14ac:dyDescent="0.25">
      <c r="A31" s="131" t="s">
        <v>1186</v>
      </c>
      <c r="B31" s="122" t="str">
        <f>IF(AND(NOT(ISBLANK('Loan Input'!M41)),OR('Loan Input'!M$5=Lists!$AG$2,'Loan Input'!M$5=Lists!$AG$3)),'Loan Input'!M41,"")</f>
        <v/>
      </c>
      <c r="C31" s="103"/>
      <c r="D31" s="77" t="str">
        <f ca="1">IFERROR(INDEX(Validation!G:G,MATCH("Loan 11"&amp;CELL("address",D31),Validation!I:I,0)),"")</f>
        <v/>
      </c>
      <c r="E31" s="66" t="str">
        <f ca="1">IFERROR(INDEX(Validation!F:F,MATCH("Loan 11"&amp;CELL("address",D31),Validation!I:I,0)),"")</f>
        <v/>
      </c>
    </row>
    <row r="32" spans="1:5" x14ac:dyDescent="0.25">
      <c r="A32" s="131" t="s">
        <v>1187</v>
      </c>
      <c r="B32" s="122" t="str">
        <f>IF(AND(NOT(ISBLANK('Loan Input'!M43)),OR('Loan Input'!M$5=Lists!$AG$2,'Loan Input'!M$5=Lists!$AG$3)),'Loan Input'!M43,"")</f>
        <v/>
      </c>
      <c r="C32" s="103"/>
      <c r="D32" s="77" t="str">
        <f ca="1">IFERROR(INDEX(Validation!G:G,MATCH("Loan 11"&amp;CELL("address",D32),Validation!I:I,0)),"")</f>
        <v/>
      </c>
      <c r="E32" s="66" t="str">
        <f ca="1">IFERROR(INDEX(Validation!F:F,MATCH("Loan 11"&amp;CELL("address",D32),Validation!I:I,0)),"")</f>
        <v/>
      </c>
    </row>
    <row r="33" spans="1:6" ht="20.100000000000001" customHeight="1" x14ac:dyDescent="0.25">
      <c r="A33" s="74" t="s">
        <v>754</v>
      </c>
      <c r="B33" s="74" t="s">
        <v>283</v>
      </c>
      <c r="C33" s="74" t="str">
        <f>Year_DestinationYearID&amp;" Amount"</f>
        <v>2024 Amount</v>
      </c>
      <c r="D33" s="77" t="str">
        <f ca="1">IFERROR(INDEX(Validation!G:G,MATCH("Loan 11"&amp;CELL("address",D33),Validation!I:I,0)),"")</f>
        <v/>
      </c>
      <c r="E33" s="66" t="str">
        <f ca="1">IFERROR(INDEX(Validation!F:F,MATCH("Loan 11"&amp;CELL("address",D33),Validation!I:I,0)),"")</f>
        <v/>
      </c>
    </row>
    <row r="34" spans="1:6" x14ac:dyDescent="0.25">
      <c r="A34" s="79" t="s">
        <v>1350</v>
      </c>
      <c r="B34" s="122" t="str">
        <f>IF(AND(NOT(ISBLANK('Loan Input'!M44)),OR('Loan Input'!M$5=Lists!$AG$2,'Loan Input'!M$5=Lists!$AG$3)),'Loan Input'!M44,"")</f>
        <v/>
      </c>
      <c r="C34" s="122"/>
      <c r="D34" s="77" t="str">
        <f ca="1">IFERROR(INDEX(Validation!G:G,MATCH("Loan 11"&amp;CELL("address",D34),Validation!I:I,0)),"")</f>
        <v/>
      </c>
      <c r="E34" s="66" t="str">
        <f ca="1">IFERROR(INDEX(Validation!F:F,MATCH("Loan 11"&amp;CELL("address",D34),Validation!I:I,0)),"")</f>
        <v/>
      </c>
    </row>
    <row r="35" spans="1:6" x14ac:dyDescent="0.25">
      <c r="A35" s="79" t="s">
        <v>1188</v>
      </c>
      <c r="B35" s="122" t="str">
        <f>IF(AND(NOT(ISBLANK('Loan Input'!M47)),OR('Loan Input'!M$5=Lists!$AG$2,'Loan Input'!M$5=Lists!$AG$3)),'Loan Input'!M47,"")</f>
        <v/>
      </c>
      <c r="C35" s="122"/>
      <c r="D35" s="77" t="str">
        <f ca="1">IFERROR(INDEX(Validation!G:G,MATCH("Loan 11"&amp;CELL("address",D35),Validation!I:I,0)),"")</f>
        <v/>
      </c>
      <c r="E35" s="66" t="str">
        <f ca="1">IFERROR(INDEX(Validation!F:F,MATCH("Loan 11"&amp;CELL("address",D35),Validation!I:I,0)),"")</f>
        <v/>
      </c>
    </row>
    <row r="36" spans="1:6" x14ac:dyDescent="0.25">
      <c r="A36" s="79" t="s">
        <v>1189</v>
      </c>
      <c r="B36" s="122" t="str">
        <f>IF(AND(NOT(ISBLANK('Loan Input'!M49)),OR('Loan Input'!M$5=Lists!$AG$2,'Loan Input'!M$5=Lists!$AG$3)),'Loan Input'!M49,"")</f>
        <v/>
      </c>
      <c r="C36" s="122"/>
      <c r="D36" s="77" t="str">
        <f ca="1">IFERROR(INDEX(Validation!G:G,MATCH("Loan 11"&amp;CELL("address",D36),Validation!I:I,0)),"")</f>
        <v/>
      </c>
      <c r="E36" s="66" t="str">
        <f ca="1">IFERROR(INDEX(Validation!F:F,MATCH("Loan 11"&amp;CELL("address",D36),Validation!I:I,0)),"")</f>
        <v/>
      </c>
    </row>
    <row r="37" spans="1:6" x14ac:dyDescent="0.25">
      <c r="A37" s="79" t="s">
        <v>1190</v>
      </c>
      <c r="B37" s="122" t="str">
        <f>IF(AND(NOT(ISBLANK('Loan Input'!M51)),OR('Loan Input'!M$5=Lists!$AG$2,'Loan Input'!M$5=Lists!$AG$3)),'Loan Input'!M51,"")</f>
        <v/>
      </c>
      <c r="C37" s="122"/>
      <c r="D37" s="77" t="str">
        <f ca="1">IFERROR(INDEX(Validation!G:G,MATCH("Loan 11"&amp;CELL("address",D37),Validation!I:I,0)),"")</f>
        <v/>
      </c>
      <c r="E37" s="66" t="str">
        <f ca="1">IFERROR(INDEX(Validation!F:F,MATCH("Loan 11"&amp;CELL("address",D37),Validation!I:I,0)),"")</f>
        <v/>
      </c>
    </row>
    <row r="38" spans="1:6" x14ac:dyDescent="0.25">
      <c r="A38" s="79" t="s">
        <v>221</v>
      </c>
      <c r="B38" s="125" t="str">
        <f>IFERROR(B34-B35-B36+B37,"")</f>
        <v/>
      </c>
      <c r="C38" s="125" t="str">
        <f>IFERROR(B34+C34-B35-B36-C35-C36+B37+C37,"")</f>
        <v/>
      </c>
      <c r="D38" s="77" t="str">
        <f ca="1">IFERROR(INDEX(Validation!G:G,MATCH("Loan 11"&amp;CELL("address",D38),Validation!I:I,0)),"")</f>
        <v/>
      </c>
      <c r="E38" s="66" t="str">
        <f ca="1">IFERROR(INDEX(Validation!F:F,MATCH("Loan 11"&amp;CELL("address",D38),Validation!I:I,0)),"")</f>
        <v/>
      </c>
      <c r="F38" s="126"/>
    </row>
    <row r="39" spans="1:6" x14ac:dyDescent="0.25">
      <c r="A39" s="79" t="s">
        <v>223</v>
      </c>
      <c r="B39" s="122" t="str">
        <f>IF(AND(NOT(ISBLANK('Loan Input'!M55)),OR('Loan Input'!M$5=Lists!$AG$2,'Loan Input'!M$5=Lists!$AG$3)),'Loan Input'!M55,"")</f>
        <v/>
      </c>
      <c r="C39" s="122"/>
      <c r="D39" s="77" t="str">
        <f ca="1">IFERROR(INDEX(Validation!G:G,MATCH("Loan 11"&amp;CELL("address",D39),Validation!I:I,0)),"")</f>
        <v/>
      </c>
      <c r="E39" s="66" t="str">
        <f ca="1">IFERROR(INDEX(Validation!F:F,MATCH("Loan 11"&amp;CELL("address",D39),Validation!I:I,0)),"")</f>
        <v/>
      </c>
    </row>
    <row r="40" spans="1:6" x14ac:dyDescent="0.25">
      <c r="A40" s="79" t="s">
        <v>1191</v>
      </c>
      <c r="B40" s="122" t="str">
        <f>IF(AND(NOT(ISBLANK('Loan Input'!M57)),OR('Loan Input'!M$5=Lists!$AG$2,'Loan Input'!M$5=Lists!$AG$3)),'Loan Input'!M57,"")</f>
        <v/>
      </c>
      <c r="C40" s="122"/>
      <c r="D40" s="77" t="str">
        <f ca="1">IFERROR(INDEX(Validation!G:G,MATCH("Loan 11"&amp;CELL("address",D40),Validation!I:I,0)),"")</f>
        <v/>
      </c>
      <c r="E40" s="66" t="str">
        <f ca="1">IFERROR(INDEX(Validation!F:F,MATCH("Loan 11"&amp;CELL("address",D40),Validation!I:I,0)),"")</f>
        <v/>
      </c>
    </row>
    <row r="41" spans="1:6" x14ac:dyDescent="0.25">
      <c r="A41" s="79" t="s">
        <v>1192</v>
      </c>
      <c r="B41" s="122" t="str">
        <f>IF(AND(NOT(ISBLANK('Loan Input'!M59)),OR('Loan Input'!M$5=Lists!$AG$2,'Loan Input'!M$5=Lists!$AG$3)),'Loan Input'!M59,"")</f>
        <v/>
      </c>
      <c r="C41" s="122"/>
      <c r="D41" s="77" t="str">
        <f ca="1">IFERROR(INDEX(Validation!G:G,MATCH("Loan 11"&amp;CELL("address",D41),Validation!I:I,0)),"")</f>
        <v/>
      </c>
      <c r="E41" s="66" t="str">
        <f ca="1">IFERROR(INDEX(Validation!F:F,MATCH("Loan 11"&amp;CELL("address",D41),Validation!I:I,0)),"")</f>
        <v/>
      </c>
    </row>
    <row r="42" spans="1:6" ht="20.100000000000001" customHeight="1" x14ac:dyDescent="0.25">
      <c r="A42" s="74" t="str">
        <f>"Principal and Interest Due in "&amp;Year_DestinationYearID+1</f>
        <v>Principal and Interest Due in 2025</v>
      </c>
      <c r="B42" s="74"/>
      <c r="C42" s="74"/>
    </row>
    <row r="43" spans="1:6" x14ac:dyDescent="0.25">
      <c r="A43" s="79" t="str">
        <f>"Principal Due in "&amp;Year_DestinationYearID+1</f>
        <v>Principal Due in 2025</v>
      </c>
      <c r="B43" s="122"/>
      <c r="C43" s="128"/>
      <c r="D43" s="77" t="str">
        <f ca="1">IFERROR(INDEX(Validation!G:G,MATCH("Loan 11"&amp;CELL("address",D43),Validation!I:I,0)),"")</f>
        <v/>
      </c>
      <c r="E43" s="66" t="str">
        <f ca="1">IFERROR(INDEX(Validation!F:F,MATCH("Loan 11"&amp;CELL("address",D43),Validation!I:I,0)),"")</f>
        <v/>
      </c>
    </row>
    <row r="44" spans="1:6" x14ac:dyDescent="0.25">
      <c r="A44" s="79" t="str">
        <f>"Interest Due in "&amp;Year_DestinationYearID+1</f>
        <v>Interest Due in 2025</v>
      </c>
      <c r="B44" s="122"/>
      <c r="C44" s="128"/>
      <c r="D44" s="77" t="str">
        <f ca="1">IFERROR(INDEX(Validation!G:G,MATCH("Loan 11"&amp;CELL("address",D44),Validation!I:I,0)),"")</f>
        <v/>
      </c>
      <c r="E44" s="66" t="str">
        <f ca="1">IFERROR(INDEX(Validation!F:F,MATCH("Loan 11"&amp;CELL("address",D44),Validation!I:I,0)),"")</f>
        <v/>
      </c>
    </row>
    <row r="45" spans="1:6" ht="20.100000000000001" customHeight="1" x14ac:dyDescent="0.25">
      <c r="A45" s="97" t="s">
        <v>176</v>
      </c>
      <c r="D45" s="77" t="str">
        <f ca="1">IF(AND(ISBLANK(A46),OR(COUNTIF(E6:E44,"Alert")&gt;0,SUM(B37:B37)&lt;&gt;0)),"Comment(s) required for remaining alert(s) and/or additions to principal.",IFERROR(INDEX(Validation!G:G,MATCH("Loan 11"&amp;CELL("address",D45),Validation!I:I,0)),""))</f>
        <v/>
      </c>
      <c r="E45" s="66" t="str">
        <f ca="1">IF(AND(ISBLANK(A46),OR(COUNTIF(E6:E44,"Alert")&gt;0,SUM(B37:B37)&lt;&gt;0)),"Error",IFERROR(INDEX(Validation!F:F,MATCH("Loan 11"&amp;CELL("address",D45),Validation!I:I,0)),""))</f>
        <v/>
      </c>
    </row>
    <row r="46" spans="1:6" ht="150" customHeight="1" x14ac:dyDescent="0.25">
      <c r="A46" s="123"/>
      <c r="B46" s="100" t="str">
        <f>HYPERLINK("#'Loans'!B6","Click here to return to the Loans Tab")</f>
        <v>Click here to return to the Loans Tab</v>
      </c>
      <c r="C46" s="127"/>
    </row>
    <row r="47" spans="1:6" x14ac:dyDescent="0.25">
      <c r="A47" s="98"/>
      <c r="B47" s="98"/>
      <c r="C47" s="98"/>
    </row>
    <row r="48" spans="1:6" x14ac:dyDescent="0.25">
      <c r="A48" s="98"/>
      <c r="B48" s="98"/>
      <c r="C48" s="98"/>
    </row>
    <row r="49" spans="1:3" x14ac:dyDescent="0.25">
      <c r="A49" s="98"/>
      <c r="B49" s="98"/>
      <c r="C49" s="98"/>
    </row>
    <row r="50" spans="1:3" x14ac:dyDescent="0.25">
      <c r="A50" s="98"/>
      <c r="B50" s="98"/>
      <c r="C50" s="98"/>
    </row>
  </sheetData>
  <sheetProtection algorithmName="SHA-512" hashValue="pkc2XJdHvc1cptPBReepuGT2cu87x0DVt63EIFZFrkI6fyEmKcWKmfuMB92mYwTz2fpcWFCj2C6AfJvSjvvx1g==" saltValue="Jpq5mhkKTCVACI/bYKz4Sw==" spinCount="100000" sheet="1" objects="1" scenarios="1"/>
  <mergeCells count="1">
    <mergeCell ref="A4:E4"/>
  </mergeCells>
  <conditionalFormatting sqref="A2">
    <cfRule type="expression" dxfId="179" priority="11">
      <formula>$E2="Error"</formula>
    </cfRule>
    <cfRule type="expression" dxfId="177" priority="13">
      <formula>$E2="Exclude"</formula>
    </cfRule>
  </conditionalFormatting>
  <conditionalFormatting sqref="D6:E41 D43:E45">
    <cfRule type="expression" dxfId="174" priority="5">
      <formula>$E6="Information"</formula>
    </cfRule>
    <cfRule type="expression" dxfId="173" priority="6">
      <formula>$E6="Error"</formula>
    </cfRule>
    <cfRule type="expression" dxfId="172" priority="7">
      <formula>$E6="Alert"</formula>
    </cfRule>
    <cfRule type="expression" dxfId="171" priority="8">
      <formula>$E6="Exclude"</formula>
    </cfRule>
  </conditionalFormatting>
  <dataValidations count="4">
    <dataValidation type="list" allowBlank="1" showInputMessage="1" showErrorMessage="1" sqref="B7" xr:uid="{21800D7F-0854-4441-8BE8-3BF287FC29CE}">
      <formula1>DueToType</formula1>
    </dataValidation>
    <dataValidation type="list" allowBlank="1" showInputMessage="1" showErrorMessage="1" sqref="B8" xr:uid="{0EB53546-68FB-4137-912D-11FB4B5528C7}">
      <formula1>DistrictDropDown</formula1>
    </dataValidation>
    <dataValidation type="list" allowBlank="1" showInputMessage="1" showErrorMessage="1" sqref="B14:C14" xr:uid="{2F6A0BB2-55E5-4D45-A9A1-351B98A30E08}">
      <formula1>InterestRateType</formula1>
    </dataValidation>
    <dataValidation type="list" allowBlank="1" showInputMessage="1" showErrorMessage="1" sqref="B16:B17" xr:uid="{1ADA8E64-96DB-4FFC-A293-005396863A86}">
      <formula1>SelOneYesNo</formula1>
    </dataValidation>
  </dataValidations>
  <pageMargins left="0.7" right="0.7" top="0.75" bottom="0.75" header="0.3" footer="0.3"/>
  <pageSetup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12" id="{E6A92D8C-97C3-4323-A22C-23172009564B}">
            <xm:f>COUNTIFS(Validation!$H:$H,MID(CELL("filename",A2),FIND("]",CELL("filename",A2))+1,255)&amp;CELL("address",A2))&gt;0</xm:f>
            <x14:dxf>
              <font>
                <b/>
                <i val="0"/>
                <color rgb="FFC00000"/>
              </font>
              <numFmt numFmtId="172" formatCode="_(\!* #,##0_);_(\!* \(#,##0\);_(\!* \-??_);_(\!\ @_)"/>
            </x14:dxf>
          </x14:cfRule>
          <xm:sqref>A2</xm:sqref>
        </x14:conditionalFormatting>
        <x14:conditionalFormatting xmlns:xm="http://schemas.microsoft.com/office/excel/2006/main">
          <x14:cfRule type="expression" priority="10" id="{CECEEB0E-87E6-4A7E-B187-C0EA3C136CB6}">
            <xm:f>$B$7=Lists!$AH$3</xm:f>
            <x14:dxf>
              <fill>
                <patternFill>
                  <bgColor rgb="FFEAEAEA"/>
                </patternFill>
              </fill>
            </x14:dxf>
          </x14:cfRule>
          <xm:sqref>B8</xm:sqref>
        </x14:conditionalFormatting>
        <x14:conditionalFormatting xmlns:xm="http://schemas.microsoft.com/office/excel/2006/main">
          <x14:cfRule type="expression" priority="9" id="{3E1B755A-73F0-41C1-B64F-56880DE47531}">
            <xm:f>$B$7=Lists!$AH$2</xm:f>
            <x14:dxf>
              <fill>
                <patternFill>
                  <bgColor rgb="FFEAEAEA"/>
                </patternFill>
              </fill>
            </x14:dxf>
          </x14:cfRule>
          <xm:sqref>B9</xm:sqref>
        </x14:conditionalFormatting>
      </x14:conditionalFormattings>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A84EEC-EB52-4FD9-BD46-8159D9698297}">
  <sheetPr>
    <tabColor rgb="FFEED382"/>
  </sheetPr>
  <dimension ref="A1:F50"/>
  <sheetViews>
    <sheetView showGridLines="0" workbookViewId="0">
      <selection activeCell="B7" sqref="B7"/>
    </sheetView>
  </sheetViews>
  <sheetFormatPr defaultRowHeight="15" x14ac:dyDescent="0.25"/>
  <cols>
    <col min="1" max="1" width="55.7109375" style="66" customWidth="1"/>
    <col min="2" max="3" width="22.7109375" style="66" customWidth="1"/>
    <col min="4" max="4" width="80.85546875" style="66" customWidth="1"/>
    <col min="5" max="5" width="14.7109375" style="66" customWidth="1"/>
    <col min="6" max="6" width="10.7109375" style="78" hidden="1" customWidth="1"/>
    <col min="7" max="16384" width="9.140625" style="66"/>
  </cols>
  <sheetData>
    <row r="1" spans="1:6" s="59" customFormat="1" ht="24.95" customHeight="1" x14ac:dyDescent="0.25">
      <c r="A1" s="59" t="str">
        <f>_xlfn.CONCAT("Office of the State Auditor  -  TIF Annual Reporting Form  -  ",Year_DestinationYearID)</f>
        <v>Office of the State Auditor  -  TIF Annual Reporting Form  -  2024</v>
      </c>
      <c r="F1" s="61"/>
    </row>
    <row r="2" spans="1:6" s="62" customFormat="1" ht="20.100000000000001" customHeight="1" x14ac:dyDescent="0.25">
      <c r="A2" s="58" t="str">
        <f>_xlfn.CONCAT(GovEntity_GovEntityName_Parent,"  -  ",GovEntity_GovEntityName)</f>
        <v>Spruce City  -  TIF 1-1 Downtown Redev</v>
      </c>
      <c r="F2" s="64"/>
    </row>
    <row r="3" spans="1:6" s="68" customFormat="1" ht="24.95" customHeight="1" x14ac:dyDescent="0.3">
      <c r="A3" s="65" t="s">
        <v>238</v>
      </c>
      <c r="B3" s="66"/>
      <c r="C3" s="66"/>
      <c r="F3" s="69"/>
    </row>
    <row r="4" spans="1:6" s="71" customFormat="1" x14ac:dyDescent="0.25">
      <c r="A4" s="217" t="s">
        <v>207</v>
      </c>
      <c r="B4" s="217"/>
      <c r="C4" s="217"/>
      <c r="D4" s="217"/>
      <c r="E4" s="217"/>
      <c r="F4" s="72" t="s">
        <v>119</v>
      </c>
    </row>
    <row r="5" spans="1:6" s="74" customFormat="1" ht="20.100000000000001" customHeight="1" x14ac:dyDescent="0.25">
      <c r="A5" s="73" t="str">
        <f>HYPERLINK("#'Loans'!B6","Click here to return to the Loans Tab")</f>
        <v>Click here to return to the Loans Tab</v>
      </c>
      <c r="D5" s="74" t="s">
        <v>121</v>
      </c>
      <c r="E5" s="74" t="s">
        <v>102</v>
      </c>
      <c r="F5" s="76"/>
    </row>
    <row r="6" spans="1:6" ht="20.100000000000001" customHeight="1" x14ac:dyDescent="0.25">
      <c r="A6" s="74" t="s">
        <v>239</v>
      </c>
      <c r="D6" s="77" t="str">
        <f ca="1">IFERROR(INDEX(Validation!G:G,MATCH("Loan 12"&amp;CELL("address",D6),Validation!I:I,0)),"")</f>
        <v/>
      </c>
      <c r="E6" s="66" t="str">
        <f ca="1">IFERROR(INDEX(Validation!F:F,MATCH("Loan 12"&amp;CELL("address",D6),Validation!I:I,0)),"")</f>
        <v/>
      </c>
      <c r="F6" s="78" t="s">
        <v>875</v>
      </c>
    </row>
    <row r="7" spans="1:6" x14ac:dyDescent="0.25">
      <c r="A7" s="79" t="s">
        <v>761</v>
      </c>
      <c r="B7" s="103" t="str">
        <f>IF(AND(NOT(ISBLANK('Loan Input'!N5)),OR('Loan Input'!N$5=Lists!$AG$2,'Loan Input'!N$5=Lists!$AG$3)),_xlfn.XLOOKUP('Loan Input'!N5,Lists!AG2:AG5,Lists!AH2:AH5),Lists!$AH$1)</f>
        <v>Select One</v>
      </c>
      <c r="C7" s="128"/>
      <c r="D7" s="77" t="str">
        <f ca="1">IFERROR(INDEX(Validation!G:G,MATCH("Loan 12"&amp;CELL("address",D7),Validation!I:I,0)),"")</f>
        <v/>
      </c>
      <c r="E7" s="66" t="str">
        <f ca="1">IFERROR(INDEX(Validation!F:F,MATCH("Loan 12"&amp;CELL("address",D7),Validation!I:I,0)),"")</f>
        <v/>
      </c>
      <c r="F7" s="85" t="str">
        <f>IF(NOT(ISBLANK('Loan Input'!N4)),'Loan Input'!N4,"")</f>
        <v/>
      </c>
    </row>
    <row r="8" spans="1:6" x14ac:dyDescent="0.25">
      <c r="A8" s="79" t="s">
        <v>769</v>
      </c>
      <c r="B8" s="103" t="str">
        <f>IF(AND(NOT(ISBLANK('Loan Input'!N6)),'Loan Input'!N$5=Lists!$AG$2),'Loan Input'!N6,Lists!$AJ$1)</f>
        <v>Select One</v>
      </c>
      <c r="C8" s="128"/>
      <c r="D8" s="77" t="str">
        <f ca="1">IFERROR(INDEX(Validation!G:G,MATCH("Loan 12"&amp;CELL("address",D8),Validation!I:I,0)),"")</f>
        <v/>
      </c>
      <c r="E8" s="66" t="str">
        <f ca="1">IFERROR(INDEX(Validation!F:F,MATCH("Loan 12"&amp;CELL("address",D8),Validation!I:I,0)),"")</f>
        <v/>
      </c>
    </row>
    <row r="9" spans="1:6" x14ac:dyDescent="0.25">
      <c r="A9" s="79" t="s">
        <v>770</v>
      </c>
      <c r="B9" s="103" t="str">
        <f>IF(AND(NOT(ISBLANK('Loan Input'!N7)),'Loan Input'!N$5=Lists!$AG$3),'Loan Input'!N7,"")</f>
        <v/>
      </c>
      <c r="C9" s="128"/>
      <c r="D9" s="77" t="str">
        <f ca="1">IFERROR(INDEX(Validation!G:G,MATCH("Loan 12"&amp;CELL("address",D9),Validation!I:I,0)),"")</f>
        <v/>
      </c>
      <c r="E9" s="66" t="str">
        <f ca="1">IFERROR(INDEX(Validation!F:F,MATCH("Loan 12"&amp;CELL("address",D9),Validation!I:I,0)),"")</f>
        <v/>
      </c>
    </row>
    <row r="10" spans="1:6" x14ac:dyDescent="0.25">
      <c r="A10" s="79" t="s">
        <v>931</v>
      </c>
      <c r="B10" s="120" t="str">
        <f>IF(AND(NOT(ISBLANK('Loan Input'!N8)),OR('Loan Input'!N$5=Lists!$AG$2,'Loan Input'!N$5=Lists!$AG$3)),'Loan Input'!N8,"")</f>
        <v/>
      </c>
      <c r="C10" s="128"/>
      <c r="D10" s="77" t="str">
        <f ca="1">IFERROR(INDEX(Validation!G:G,MATCH("Loan 12"&amp;CELL("address",D10),Validation!I:I,0)),"")</f>
        <v/>
      </c>
      <c r="E10" s="66" t="str">
        <f ca="1">IFERROR(INDEX(Validation!F:F,MATCH("Loan 12"&amp;CELL("address",D10),Validation!I:I,0)),"")</f>
        <v/>
      </c>
    </row>
    <row r="11" spans="1:6" x14ac:dyDescent="0.25">
      <c r="A11" s="79" t="s">
        <v>212</v>
      </c>
      <c r="B11" s="120" t="str">
        <f>IF(AND(NOT(ISBLANK('Loan Input'!N9)),OR('Loan Input'!N$5=Lists!$AG$2,'Loan Input'!N$5=Lists!$AG$3)),'Loan Input'!N9,"")</f>
        <v/>
      </c>
      <c r="C11" s="128"/>
      <c r="D11" s="77" t="str">
        <f ca="1">IFERROR(INDEX(Validation!G:G,MATCH("Loan 12"&amp;CELL("address",D11),Validation!I:I,0)),"")</f>
        <v/>
      </c>
      <c r="E11" s="66" t="str">
        <f ca="1">IFERROR(INDEX(Validation!F:F,MATCH("Loan 12"&amp;CELL("address",D11),Validation!I:I,0)),"")</f>
        <v/>
      </c>
    </row>
    <row r="12" spans="1:6" x14ac:dyDescent="0.25">
      <c r="A12" s="79" t="s">
        <v>213</v>
      </c>
      <c r="B12" s="121" t="str">
        <f>IF(AND(NOT(ISBLANK('Loan Input'!N10)),OR('Loan Input'!N$5=Lists!$AG$2,'Loan Input'!N$5=Lists!$AG$3)),'Loan Input'!N10,"")</f>
        <v/>
      </c>
      <c r="C12" s="128"/>
      <c r="D12" s="77" t="str">
        <f ca="1">IFERROR(INDEX(Validation!G:G,MATCH("Loan 12"&amp;CELL("address",D12),Validation!I:I,0)),"")</f>
        <v/>
      </c>
      <c r="E12" s="66" t="str">
        <f ca="1">IFERROR(INDEX(Validation!F:F,MATCH("Loan 12"&amp;CELL("address",D12),Validation!I:I,0)),"")</f>
        <v/>
      </c>
    </row>
    <row r="13" spans="1:6" x14ac:dyDescent="0.25">
      <c r="A13" s="79" t="s">
        <v>214</v>
      </c>
      <c r="B13" s="121" t="str">
        <f>IF(AND(NOT(ISBLANK('Loan Input'!N11)),OR('Loan Input'!N$5=Lists!$AG$2,'Loan Input'!N$5=Lists!$AG$3)),'Loan Input'!N11,"")</f>
        <v/>
      </c>
      <c r="C13" s="128"/>
      <c r="D13" s="77" t="str">
        <f ca="1">IFERROR(INDEX(Validation!G:G,MATCH("Loan 12"&amp;CELL("address",D13),Validation!I:I,0)),"")</f>
        <v/>
      </c>
      <c r="E13" s="66" t="str">
        <f ca="1">IFERROR(INDEX(Validation!F:F,MATCH("Loan 12"&amp;CELL("address",D13),Validation!I:I,0)),"")</f>
        <v/>
      </c>
    </row>
    <row r="14" spans="1:6" x14ac:dyDescent="0.25">
      <c r="A14" s="79" t="s">
        <v>241</v>
      </c>
      <c r="B14" s="120" t="str">
        <f>IF(AND(NOT(ISBLANK('Loan Input'!N12)),OR('Loan Input'!N$5=Lists!$AG$2,'Loan Input'!N$5=Lists!$AG$3)),'Loan Input'!N12,Lists!$AM$1)</f>
        <v>Select One</v>
      </c>
      <c r="C14" s="129"/>
      <c r="D14" s="77" t="str">
        <f ca="1">IFERROR(INDEX(Validation!G:G,MATCH("Loan 12"&amp;CELL("address",D14),Validation!I:I,0)),"")</f>
        <v/>
      </c>
      <c r="E14" s="66" t="str">
        <f ca="1">IFERROR(INDEX(Validation!F:F,MATCH("Loan 12"&amp;CELL("address",D14),Validation!I:I,0)),"")</f>
        <v/>
      </c>
    </row>
    <row r="15" spans="1:6" x14ac:dyDescent="0.25">
      <c r="A15" s="79" t="s">
        <v>242</v>
      </c>
      <c r="B15" s="122" t="str">
        <f>IF(AND(NOT(ISBLANK('Loan Input'!N13)),OR('Loan Input'!N$5=Lists!$AG$2,'Loan Input'!N$5=Lists!$AG$3)),'Loan Input'!N13,"")</f>
        <v/>
      </c>
      <c r="C15" s="128"/>
      <c r="D15" s="77" t="str">
        <f ca="1">IFERROR(INDEX(Validation!G:G,MATCH("Loan 12"&amp;CELL("address",D15),Validation!I:I,0)),"")</f>
        <v/>
      </c>
      <c r="E15" s="66" t="str">
        <f ca="1">IFERROR(INDEX(Validation!F:F,MATCH("Loan 12"&amp;CELL("address",D15),Validation!I:I,0)),"")</f>
        <v/>
      </c>
    </row>
    <row r="16" spans="1:6" x14ac:dyDescent="0.25">
      <c r="A16" s="79" t="s">
        <v>232</v>
      </c>
      <c r="B16" s="103" t="str">
        <f>IF(OR('Loan Input'!N14="",'Loan Input'!N14=0),"Select One",IF('Loan Input'!N14=TRUE,"Yes","No"))</f>
        <v>Select One</v>
      </c>
      <c r="C16" s="128"/>
      <c r="D16" s="77" t="str">
        <f ca="1">IFERROR(INDEX(Validation!G:G,MATCH("Loan 12"&amp;CELL("address",D16),Validation!I:I,0)),"")</f>
        <v/>
      </c>
      <c r="E16" s="66" t="str">
        <f ca="1">IFERROR(INDEX(Validation!F:F,MATCH("Loan 12"&amp;CELL("address",D16),Validation!I:I,0)),"")</f>
        <v/>
      </c>
    </row>
    <row r="17" spans="1:5" x14ac:dyDescent="0.25">
      <c r="A17" s="79" t="str">
        <f>"Were the terms of this obligation modified in "&amp;Year_DestinationYearID&amp;"?"</f>
        <v>Were the terms of this obligation modified in 2024?</v>
      </c>
      <c r="B17" s="103" t="s">
        <v>41</v>
      </c>
      <c r="C17" s="128"/>
      <c r="D17" s="77" t="str">
        <f ca="1">IFERROR(INDEX(Validation!G:G,MATCH("Loan 12"&amp;CELL("address",D17),Validation!I:I,0)),"")</f>
        <v/>
      </c>
      <c r="E17" s="66" t="str">
        <f ca="1">IFERROR(INDEX(Validation!F:F,MATCH("Loan 12"&amp;CELL("address",D17),Validation!I:I,0)),"")</f>
        <v/>
      </c>
    </row>
    <row r="18" spans="1:5" ht="20.100000000000001" customHeight="1" x14ac:dyDescent="0.25">
      <c r="A18" s="74" t="s">
        <v>1183</v>
      </c>
      <c r="B18" s="74" t="s">
        <v>283</v>
      </c>
      <c r="C18" s="74" t="str">
        <f>Year_DestinationYearID&amp;" Amount"</f>
        <v>2024 Amount</v>
      </c>
      <c r="D18" s="77" t="str">
        <f ca="1">IFERROR(INDEX(Validation!G:G,MATCH("Loan 12"&amp;CELL("address",D18),Validation!I:I,0)),"")</f>
        <v/>
      </c>
      <c r="E18" s="66" t="str">
        <f ca="1">IFERROR(INDEX(Validation!F:F,MATCH("Loan 12"&amp;CELL("address",D18),Validation!I:I,0)),"")</f>
        <v/>
      </c>
    </row>
    <row r="19" spans="1:5" x14ac:dyDescent="0.25">
      <c r="A19" s="79" t="s">
        <v>266</v>
      </c>
      <c r="B19" s="122" t="str">
        <f>IF(AND(NOT(ISBLANK('Loan Input'!N16)),OR('Loan Input'!N$5=Lists!$AG$2,'Loan Input'!N$5=Lists!$AG$3)),'Loan Input'!N16,"")</f>
        <v/>
      </c>
      <c r="C19" s="103"/>
      <c r="D19" s="77" t="str">
        <f ca="1">IFERROR(INDEX(Validation!G:G,MATCH("Loan 12"&amp;CELL("address",D19),Validation!I:I,0)),"")</f>
        <v/>
      </c>
      <c r="E19" s="66" t="str">
        <f ca="1">IFERROR(INDEX(Validation!F:F,MATCH("Loan 12"&amp;CELL("address",D19),Validation!I:I,0)),"")</f>
        <v/>
      </c>
    </row>
    <row r="20" spans="1:5" x14ac:dyDescent="0.25">
      <c r="A20" s="79" t="s">
        <v>267</v>
      </c>
      <c r="B20" s="122" t="str">
        <f>IF(AND(NOT(ISBLANK('Loan Input'!N18)),OR('Loan Input'!N$5=Lists!$AG$2,'Loan Input'!N$5=Lists!$AG$3)),'Loan Input'!N18,"")</f>
        <v/>
      </c>
      <c r="C20" s="103"/>
      <c r="D20" s="77" t="str">
        <f ca="1">IFERROR(INDEX(Validation!G:G,MATCH("Loan 12"&amp;CELL("address",D20),Validation!I:I,0)),"")</f>
        <v/>
      </c>
      <c r="E20" s="66" t="str">
        <f ca="1">IFERROR(INDEX(Validation!F:F,MATCH("Loan 12"&amp;CELL("address",D20),Validation!I:I,0)),"")</f>
        <v/>
      </c>
    </row>
    <row r="21" spans="1:5" x14ac:dyDescent="0.25">
      <c r="A21" s="79" t="s">
        <v>268</v>
      </c>
      <c r="B21" s="122" t="str">
        <f>IF(AND(NOT(ISBLANK('Loan Input'!N20)),OR('Loan Input'!N$5=Lists!$AG$2,'Loan Input'!N$5=Lists!$AG$3)),'Loan Input'!N20,"")</f>
        <v/>
      </c>
      <c r="C21" s="103"/>
      <c r="D21" s="77" t="str">
        <f ca="1">IFERROR(INDEX(Validation!G:G,MATCH("Loan 12"&amp;CELL("address",D21),Validation!I:I,0)),"")</f>
        <v/>
      </c>
      <c r="E21" s="66" t="str">
        <f ca="1">IFERROR(INDEX(Validation!F:F,MATCH("Loan 12"&amp;CELL("address",D21),Validation!I:I,0)),"")</f>
        <v/>
      </c>
    </row>
    <row r="22" spans="1:5" x14ac:dyDescent="0.25">
      <c r="A22" s="79" t="s">
        <v>269</v>
      </c>
      <c r="B22" s="122" t="str">
        <f>IF(AND(NOT(ISBLANK('Loan Input'!N22)),OR('Loan Input'!N$5=Lists!$AG$2,'Loan Input'!N$5=Lists!$AG$3)),'Loan Input'!N22,"")</f>
        <v/>
      </c>
      <c r="C22" s="103"/>
      <c r="D22" s="77" t="str">
        <f ca="1">IFERROR(INDEX(Validation!G:G,MATCH("Loan 12"&amp;CELL("address",D22),Validation!I:I,0)),"")</f>
        <v/>
      </c>
      <c r="E22" s="66" t="str">
        <f ca="1">IFERROR(INDEX(Validation!F:F,MATCH("Loan 12"&amp;CELL("address",D22),Validation!I:I,0)),"")</f>
        <v/>
      </c>
    </row>
    <row r="23" spans="1:5" x14ac:dyDescent="0.25">
      <c r="A23" s="79" t="s">
        <v>1101</v>
      </c>
      <c r="B23" s="122" t="str">
        <f>IF(AND(NOT(ISBLANK('Loan Input'!N24)),OR('Loan Input'!N$5=Lists!$AG$2,'Loan Input'!N$5=Lists!$AG$3)),'Loan Input'!N24,"")</f>
        <v/>
      </c>
      <c r="C23" s="103"/>
      <c r="D23" s="77" t="str">
        <f ca="1">IFERROR(INDEX(Validation!G:G,MATCH("Loan 12"&amp;CELL("address",D23),Validation!I:I,0)),"")</f>
        <v/>
      </c>
      <c r="E23" s="66" t="str">
        <f ca="1">IFERROR(INDEX(Validation!F:F,MATCH("Loan 12"&amp;CELL("address",D23),Validation!I:I,0)),"")</f>
        <v/>
      </c>
    </row>
    <row r="24" spans="1:5" x14ac:dyDescent="0.25">
      <c r="A24" s="79" t="s">
        <v>270</v>
      </c>
      <c r="B24" s="122" t="str">
        <f>IF(AND(NOT(ISBLANK('Loan Input'!N26)),OR('Loan Input'!N$5=Lists!$AG$2,'Loan Input'!N$5=Lists!$AG$3)),'Loan Input'!N26,"")</f>
        <v/>
      </c>
      <c r="C24" s="103"/>
      <c r="D24" s="77" t="str">
        <f ca="1">IFERROR(INDEX(Validation!G:G,MATCH("Loan 12"&amp;CELL("address",D24),Validation!I:I,0)),"")</f>
        <v/>
      </c>
      <c r="E24" s="66" t="str">
        <f ca="1">IFERROR(INDEX(Validation!F:F,MATCH("Loan 12"&amp;CELL("address",D24),Validation!I:I,0)),"")</f>
        <v/>
      </c>
    </row>
    <row r="25" spans="1:5" x14ac:dyDescent="0.25">
      <c r="A25" s="79" t="s">
        <v>271</v>
      </c>
      <c r="B25" s="122" t="str">
        <f>IF(AND(NOT(ISBLANK('Loan Input'!N28)),OR('Loan Input'!N$5=Lists!$AG$2,'Loan Input'!N$5=Lists!$AG$3)),'Loan Input'!N28,"")</f>
        <v/>
      </c>
      <c r="C25" s="103"/>
      <c r="D25" s="77" t="str">
        <f ca="1">IFERROR(INDEX(Validation!G:G,MATCH("Loan 12"&amp;CELL("address",D25),Validation!I:I,0)),"")</f>
        <v/>
      </c>
      <c r="E25" s="66" t="str">
        <f ca="1">IFERROR(INDEX(Validation!F:F,MATCH("Loan 12"&amp;CELL("address",D25),Validation!I:I,0)),"")</f>
        <v/>
      </c>
    </row>
    <row r="26" spans="1:5" x14ac:dyDescent="0.25">
      <c r="A26" s="79" t="s">
        <v>276</v>
      </c>
      <c r="B26" s="122" t="str">
        <f>IF(AND(NOT(ISBLANK('Loan Input'!N30)),OR('Loan Input'!C$5=Lists!$AG$2,'Loan Input'!C$5=Lists!$AG$3)),'Loan Input'!N30,"")</f>
        <v/>
      </c>
      <c r="C26" s="103"/>
      <c r="D26" s="77" t="str">
        <f ca="1">IFERROR(INDEX(Validation!G:G,MATCH("Loan 12"&amp;CELL("address",D26),Validation!I:I,0)),"")</f>
        <v/>
      </c>
      <c r="E26" s="66" t="str">
        <f ca="1">IFERROR(INDEX(Validation!F:F,MATCH("Loan 12"&amp;CELL("address",D26),Validation!I:I,0)),"")</f>
        <v/>
      </c>
    </row>
    <row r="27" spans="1:5" x14ac:dyDescent="0.25">
      <c r="A27" s="79" t="s">
        <v>272</v>
      </c>
      <c r="B27" s="122" t="str">
        <f>IF(AND(NOT(ISBLANK('Loan Input'!N32)),OR('Loan Input'!N$5=Lists!$AG$2,'Loan Input'!N$5=Lists!$AG$3)),'Loan Input'!N32,"")</f>
        <v/>
      </c>
      <c r="C27" s="103"/>
      <c r="D27" s="77" t="str">
        <f ca="1">IFERROR(INDEX(Validation!G:G,MATCH("Loan 12"&amp;CELL("address",D27),Validation!I:I,0)),"")</f>
        <v/>
      </c>
      <c r="E27" s="66" t="str">
        <f ca="1">IFERROR(INDEX(Validation!F:F,MATCH("Loan 12"&amp;CELL("address",D27),Validation!I:I,0)),"")</f>
        <v/>
      </c>
    </row>
    <row r="28" spans="1:5" x14ac:dyDescent="0.25">
      <c r="A28" s="79" t="s">
        <v>273</v>
      </c>
      <c r="B28" s="122" t="str">
        <f>IF(AND(NOT(ISBLANK('Loan Input'!N34)),OR('Loan Input'!N$5=Lists!$AG$2,'Loan Input'!N$5=Lists!$AG$3)),'Loan Input'!N34,"")</f>
        <v/>
      </c>
      <c r="C28" s="103"/>
      <c r="D28" s="77" t="str">
        <f ca="1">IFERROR(INDEX(Validation!G:G,MATCH("Loan 12"&amp;CELL("address",D28),Validation!I:I,0)),"")</f>
        <v/>
      </c>
      <c r="E28" s="66" t="str">
        <f ca="1">IFERROR(INDEX(Validation!F:F,MATCH("Loan 12"&amp;CELL("address",D28),Validation!I:I,0)),"")</f>
        <v/>
      </c>
    </row>
    <row r="29" spans="1:5" x14ac:dyDescent="0.25">
      <c r="A29" s="130" t="s">
        <v>1184</v>
      </c>
      <c r="B29" s="125">
        <f>SUM(B19:B28)</f>
        <v>0</v>
      </c>
      <c r="C29" s="125">
        <f>SUM(C19:C28)</f>
        <v>0</v>
      </c>
      <c r="D29" s="77" t="str">
        <f ca="1">IFERROR(INDEX(Validation!G:G,MATCH("Loan 12"&amp;CELL("address",D29),Validation!I:I,0)),"")</f>
        <v/>
      </c>
      <c r="E29" s="66" t="str">
        <f ca="1">IFERROR(INDEX(Validation!F:F,MATCH("Loan 12"&amp;CELL("address",D29),Validation!I:I,0)),"")</f>
        <v/>
      </c>
    </row>
    <row r="30" spans="1:5" x14ac:dyDescent="0.25">
      <c r="A30" s="130" t="s">
        <v>1185</v>
      </c>
      <c r="B30" s="125" t="str">
        <f>IFERROR(B34-B29,"")</f>
        <v/>
      </c>
      <c r="C30" s="125" t="str">
        <f>IFERROR(B34+C34-B29-C29,"")</f>
        <v/>
      </c>
      <c r="D30" s="77" t="str">
        <f ca="1">IFERROR(INDEX(Validation!G:G,MATCH("Loan 12"&amp;CELL("address",D30),Validation!I:I,0)),"")</f>
        <v/>
      </c>
      <c r="E30" s="66" t="str">
        <f ca="1">IFERROR(INDEX(Validation!F:F,MATCH("Loan 12"&amp;CELL("address",D30),Validation!I:I,0)),"")</f>
        <v/>
      </c>
    </row>
    <row r="31" spans="1:5" x14ac:dyDescent="0.25">
      <c r="A31" s="131" t="s">
        <v>1186</v>
      </c>
      <c r="B31" s="122" t="str">
        <f>IF(AND(NOT(ISBLANK('Loan Input'!N41)),OR('Loan Input'!N$5=Lists!$AG$2,'Loan Input'!N$5=Lists!$AG$3)),'Loan Input'!N41,"")</f>
        <v/>
      </c>
      <c r="C31" s="103"/>
      <c r="D31" s="77" t="str">
        <f ca="1">IFERROR(INDEX(Validation!G:G,MATCH("Loan 12"&amp;CELL("address",D31),Validation!I:I,0)),"")</f>
        <v/>
      </c>
      <c r="E31" s="66" t="str">
        <f ca="1">IFERROR(INDEX(Validation!F:F,MATCH("Loan 12"&amp;CELL("address",D31),Validation!I:I,0)),"")</f>
        <v/>
      </c>
    </row>
    <row r="32" spans="1:5" x14ac:dyDescent="0.25">
      <c r="A32" s="131" t="s">
        <v>1187</v>
      </c>
      <c r="B32" s="122" t="str">
        <f>IF(AND(NOT(ISBLANK('Loan Input'!N43)),OR('Loan Input'!N$5=Lists!$AG$2,'Loan Input'!N$5=Lists!$AG$3)),'Loan Input'!N43,"")</f>
        <v/>
      </c>
      <c r="C32" s="103"/>
      <c r="D32" s="77" t="str">
        <f ca="1">IFERROR(INDEX(Validation!G:G,MATCH("Loan 12"&amp;CELL("address",D32),Validation!I:I,0)),"")</f>
        <v/>
      </c>
      <c r="E32" s="66" t="str">
        <f ca="1">IFERROR(INDEX(Validation!F:F,MATCH("Loan 12"&amp;CELL("address",D32),Validation!I:I,0)),"")</f>
        <v/>
      </c>
    </row>
    <row r="33" spans="1:6" ht="20.100000000000001" customHeight="1" x14ac:dyDescent="0.25">
      <c r="A33" s="74" t="s">
        <v>754</v>
      </c>
      <c r="B33" s="74" t="s">
        <v>283</v>
      </c>
      <c r="C33" s="74" t="str">
        <f>Year_DestinationYearID&amp;" Amount"</f>
        <v>2024 Amount</v>
      </c>
      <c r="D33" s="77" t="str">
        <f ca="1">IFERROR(INDEX(Validation!G:G,MATCH("Loan 12"&amp;CELL("address",D33),Validation!I:I,0)),"")</f>
        <v/>
      </c>
      <c r="E33" s="66" t="str">
        <f ca="1">IFERROR(INDEX(Validation!F:F,MATCH("Loan 12"&amp;CELL("address",D33),Validation!I:I,0)),"")</f>
        <v/>
      </c>
    </row>
    <row r="34" spans="1:6" x14ac:dyDescent="0.25">
      <c r="A34" s="79" t="s">
        <v>1350</v>
      </c>
      <c r="B34" s="122" t="str">
        <f>IF(AND(NOT(ISBLANK('Loan Input'!N44)),OR('Loan Input'!N$5=Lists!$AG$2,'Loan Input'!N$5=Lists!$AG$3)),'Loan Input'!N44,"")</f>
        <v/>
      </c>
      <c r="C34" s="122"/>
      <c r="D34" s="77" t="str">
        <f ca="1">IFERROR(INDEX(Validation!G:G,MATCH("Loan 12"&amp;CELL("address",D34),Validation!I:I,0)),"")</f>
        <v/>
      </c>
      <c r="E34" s="66" t="str">
        <f ca="1">IFERROR(INDEX(Validation!F:F,MATCH("Loan 12"&amp;CELL("address",D34),Validation!I:I,0)),"")</f>
        <v/>
      </c>
    </row>
    <row r="35" spans="1:6" x14ac:dyDescent="0.25">
      <c r="A35" s="79" t="s">
        <v>1188</v>
      </c>
      <c r="B35" s="122" t="str">
        <f>IF(AND(NOT(ISBLANK('Loan Input'!N47)),OR('Loan Input'!N$5=Lists!$AG$2,'Loan Input'!N$5=Lists!$AG$3)),'Loan Input'!N47,"")</f>
        <v/>
      </c>
      <c r="C35" s="122"/>
      <c r="D35" s="77" t="str">
        <f ca="1">IFERROR(INDEX(Validation!G:G,MATCH("Loan 12"&amp;CELL("address",D35),Validation!I:I,0)),"")</f>
        <v/>
      </c>
      <c r="E35" s="66" t="str">
        <f ca="1">IFERROR(INDEX(Validation!F:F,MATCH("Loan 12"&amp;CELL("address",D35),Validation!I:I,0)),"")</f>
        <v/>
      </c>
    </row>
    <row r="36" spans="1:6" x14ac:dyDescent="0.25">
      <c r="A36" s="79" t="s">
        <v>1189</v>
      </c>
      <c r="B36" s="122" t="str">
        <f>IF(AND(NOT(ISBLANK('Loan Input'!N49)),OR('Loan Input'!N$5=Lists!$AG$2,'Loan Input'!N$5=Lists!$AG$3)),'Loan Input'!N49,"")</f>
        <v/>
      </c>
      <c r="C36" s="122"/>
      <c r="D36" s="77" t="str">
        <f ca="1">IFERROR(INDEX(Validation!G:G,MATCH("Loan 12"&amp;CELL("address",D36),Validation!I:I,0)),"")</f>
        <v/>
      </c>
      <c r="E36" s="66" t="str">
        <f ca="1">IFERROR(INDEX(Validation!F:F,MATCH("Loan 12"&amp;CELL("address",D36),Validation!I:I,0)),"")</f>
        <v/>
      </c>
    </row>
    <row r="37" spans="1:6" x14ac:dyDescent="0.25">
      <c r="A37" s="79" t="s">
        <v>1190</v>
      </c>
      <c r="B37" s="122" t="str">
        <f>IF(AND(NOT(ISBLANK('Loan Input'!N51)),OR('Loan Input'!N$5=Lists!$AG$2,'Loan Input'!N$5=Lists!$AG$3)),'Loan Input'!N51,"")</f>
        <v/>
      </c>
      <c r="C37" s="122"/>
      <c r="D37" s="77" t="str">
        <f ca="1">IFERROR(INDEX(Validation!G:G,MATCH("Loan 12"&amp;CELL("address",D37),Validation!I:I,0)),"")</f>
        <v/>
      </c>
      <c r="E37" s="66" t="str">
        <f ca="1">IFERROR(INDEX(Validation!F:F,MATCH("Loan 12"&amp;CELL("address",D37),Validation!I:I,0)),"")</f>
        <v/>
      </c>
    </row>
    <row r="38" spans="1:6" x14ac:dyDescent="0.25">
      <c r="A38" s="79" t="s">
        <v>221</v>
      </c>
      <c r="B38" s="125" t="str">
        <f>IFERROR(B34-B35-B36+B37,"")</f>
        <v/>
      </c>
      <c r="C38" s="125" t="str">
        <f>IFERROR(B34+C34-B35-B36-C35-C36+B37+C37,"")</f>
        <v/>
      </c>
      <c r="D38" s="77" t="str">
        <f ca="1">IFERROR(INDEX(Validation!G:G,MATCH("Loan 12"&amp;CELL("address",D38),Validation!I:I,0)),"")</f>
        <v/>
      </c>
      <c r="E38" s="66" t="str">
        <f ca="1">IFERROR(INDEX(Validation!F:F,MATCH("Loan 12"&amp;CELL("address",D38),Validation!I:I,0)),"")</f>
        <v/>
      </c>
      <c r="F38" s="126"/>
    </row>
    <row r="39" spans="1:6" x14ac:dyDescent="0.25">
      <c r="A39" s="79" t="s">
        <v>223</v>
      </c>
      <c r="B39" s="122" t="str">
        <f>IF(AND(NOT(ISBLANK('Loan Input'!N55)),OR('Loan Input'!N$5=Lists!$AG$2,'Loan Input'!N$5=Lists!$AG$3)),'Loan Input'!N55,"")</f>
        <v/>
      </c>
      <c r="C39" s="122"/>
      <c r="D39" s="77" t="str">
        <f ca="1">IFERROR(INDEX(Validation!G:G,MATCH("Loan 12"&amp;CELL("address",D39),Validation!I:I,0)),"")</f>
        <v/>
      </c>
      <c r="E39" s="66" t="str">
        <f ca="1">IFERROR(INDEX(Validation!F:F,MATCH("Loan 12"&amp;CELL("address",D39),Validation!I:I,0)),"")</f>
        <v/>
      </c>
    </row>
    <row r="40" spans="1:6" x14ac:dyDescent="0.25">
      <c r="A40" s="79" t="s">
        <v>1191</v>
      </c>
      <c r="B40" s="122" t="str">
        <f>IF(AND(NOT(ISBLANK('Loan Input'!N57)),OR('Loan Input'!N$5=Lists!$AG$2,'Loan Input'!N$5=Lists!$AG$3)),'Loan Input'!N57,"")</f>
        <v/>
      </c>
      <c r="C40" s="122"/>
      <c r="D40" s="77" t="str">
        <f ca="1">IFERROR(INDEX(Validation!G:G,MATCH("Loan 12"&amp;CELL("address",D40),Validation!I:I,0)),"")</f>
        <v/>
      </c>
      <c r="E40" s="66" t="str">
        <f ca="1">IFERROR(INDEX(Validation!F:F,MATCH("Loan 12"&amp;CELL("address",D40),Validation!I:I,0)),"")</f>
        <v/>
      </c>
    </row>
    <row r="41" spans="1:6" x14ac:dyDescent="0.25">
      <c r="A41" s="79" t="s">
        <v>1192</v>
      </c>
      <c r="B41" s="122" t="str">
        <f>IF(AND(NOT(ISBLANK('Loan Input'!N59)),OR('Loan Input'!N$5=Lists!$AG$2,'Loan Input'!N$5=Lists!$AG$3)),'Loan Input'!N59,"")</f>
        <v/>
      </c>
      <c r="C41" s="122"/>
      <c r="D41" s="77" t="str">
        <f ca="1">IFERROR(INDEX(Validation!G:G,MATCH("Loan 12"&amp;CELL("address",D41),Validation!I:I,0)),"")</f>
        <v/>
      </c>
      <c r="E41" s="66" t="str">
        <f ca="1">IFERROR(INDEX(Validation!F:F,MATCH("Loan 12"&amp;CELL("address",D41),Validation!I:I,0)),"")</f>
        <v/>
      </c>
    </row>
    <row r="42" spans="1:6" ht="20.100000000000001" customHeight="1" x14ac:dyDescent="0.25">
      <c r="A42" s="74" t="str">
        <f>"Principal and Interest Due in "&amp;Year_DestinationYearID+1</f>
        <v>Principal and Interest Due in 2025</v>
      </c>
      <c r="B42" s="74"/>
      <c r="C42" s="74"/>
    </row>
    <row r="43" spans="1:6" x14ac:dyDescent="0.25">
      <c r="A43" s="79" t="str">
        <f>"Principal Due in "&amp;Year_DestinationYearID+1</f>
        <v>Principal Due in 2025</v>
      </c>
      <c r="B43" s="122"/>
      <c r="C43" s="128"/>
      <c r="D43" s="77" t="str">
        <f ca="1">IFERROR(INDEX(Validation!G:G,MATCH("Loan 12"&amp;CELL("address",D43),Validation!I:I,0)),"")</f>
        <v/>
      </c>
      <c r="E43" s="66" t="str">
        <f ca="1">IFERROR(INDEX(Validation!F:F,MATCH("Loan 12"&amp;CELL("address",D43),Validation!I:I,0)),"")</f>
        <v/>
      </c>
    </row>
    <row r="44" spans="1:6" x14ac:dyDescent="0.25">
      <c r="A44" s="79" t="str">
        <f>"Interest Due in "&amp;Year_DestinationYearID+1</f>
        <v>Interest Due in 2025</v>
      </c>
      <c r="B44" s="122"/>
      <c r="C44" s="128"/>
      <c r="D44" s="77" t="str">
        <f ca="1">IFERROR(INDEX(Validation!G:G,MATCH("Loan 12"&amp;CELL("address",D44),Validation!I:I,0)),"")</f>
        <v/>
      </c>
      <c r="E44" s="66" t="str">
        <f ca="1">IFERROR(INDEX(Validation!F:F,MATCH("Loan 12"&amp;CELL("address",D44),Validation!I:I,0)),"")</f>
        <v/>
      </c>
    </row>
    <row r="45" spans="1:6" ht="20.100000000000001" customHeight="1" x14ac:dyDescent="0.25">
      <c r="A45" s="97" t="s">
        <v>176</v>
      </c>
      <c r="D45" s="77" t="str">
        <f ca="1">IF(AND(ISBLANK(A46),OR(COUNTIF(E6:E44,"Alert")&gt;0,SUM(B37:B37)&lt;&gt;0)),"Comment(s) required for remaining alert(s) and/or additions to principal.",IFERROR(INDEX(Validation!G:G,MATCH("Loan 12"&amp;CELL("address",D45),Validation!I:I,0)),""))</f>
        <v/>
      </c>
      <c r="E45" s="66" t="str">
        <f ca="1">IF(AND(ISBLANK(A46),OR(COUNTIF(E6:E44,"Alert")&gt;0,SUM(B37:B37)&lt;&gt;0)),"Error",IFERROR(INDEX(Validation!F:F,MATCH("Loan 12"&amp;CELL("address",D45),Validation!I:I,0)),""))</f>
        <v/>
      </c>
    </row>
    <row r="46" spans="1:6" ht="150" customHeight="1" x14ac:dyDescent="0.25">
      <c r="A46" s="123"/>
      <c r="B46" s="100" t="str">
        <f>HYPERLINK("#'Loans'!B6","Click here to return to the Loans Tab")</f>
        <v>Click here to return to the Loans Tab</v>
      </c>
      <c r="C46" s="127"/>
    </row>
    <row r="47" spans="1:6" x14ac:dyDescent="0.25">
      <c r="A47" s="98"/>
      <c r="B47" s="98"/>
      <c r="C47" s="98"/>
    </row>
    <row r="48" spans="1:6" x14ac:dyDescent="0.25">
      <c r="A48" s="98"/>
      <c r="B48" s="98"/>
      <c r="C48" s="98"/>
    </row>
    <row r="49" spans="1:3" x14ac:dyDescent="0.25">
      <c r="A49" s="98"/>
      <c r="B49" s="98"/>
      <c r="C49" s="98"/>
    </row>
    <row r="50" spans="1:3" x14ac:dyDescent="0.25">
      <c r="A50" s="98"/>
      <c r="B50" s="98"/>
      <c r="C50" s="98"/>
    </row>
  </sheetData>
  <sheetProtection algorithmName="SHA-512" hashValue="SKwbB/t6c1H/LR57rzhioY0r+q0uBRh7UuyMCAMlHclsC/UqsELasPVPTDQ9QH6dxRvFO+T8YhNZSwF7kw7trA==" saltValue="1udD/c0PmRDVUl2nAp94jw==" spinCount="100000" sheet="1" objects="1" scenarios="1"/>
  <mergeCells count="1">
    <mergeCell ref="A4:E4"/>
  </mergeCells>
  <conditionalFormatting sqref="A2">
    <cfRule type="expression" dxfId="170" priority="11">
      <formula>$E2="Error"</formula>
    </cfRule>
    <cfRule type="expression" dxfId="168" priority="13">
      <formula>$E2="Exclude"</formula>
    </cfRule>
  </conditionalFormatting>
  <conditionalFormatting sqref="D6:E41 D43:E45">
    <cfRule type="expression" dxfId="165" priority="5">
      <formula>$E6="Information"</formula>
    </cfRule>
    <cfRule type="expression" dxfId="164" priority="6">
      <formula>$E6="Error"</formula>
    </cfRule>
    <cfRule type="expression" dxfId="163" priority="7">
      <formula>$E6="Alert"</formula>
    </cfRule>
    <cfRule type="expression" dxfId="162" priority="8">
      <formula>$E6="Exclude"</formula>
    </cfRule>
  </conditionalFormatting>
  <dataValidations count="4">
    <dataValidation type="list" allowBlank="1" showInputMessage="1" showErrorMessage="1" sqref="B7" xr:uid="{36ABE9E3-D14D-4C9D-8FAA-54C71035073E}">
      <formula1>DueToType</formula1>
    </dataValidation>
    <dataValidation type="list" allowBlank="1" showInputMessage="1" showErrorMessage="1" sqref="B8" xr:uid="{AC160E38-B7B5-48D3-BC50-2B368B142E2F}">
      <formula1>DistrictDropDown</formula1>
    </dataValidation>
    <dataValidation type="list" allowBlank="1" showInputMessage="1" showErrorMessage="1" sqref="B14:C14" xr:uid="{0B36E3AE-588B-4AFC-8CD1-E69C34DAB0B5}">
      <formula1>InterestRateType</formula1>
    </dataValidation>
    <dataValidation type="list" allowBlank="1" showInputMessage="1" showErrorMessage="1" sqref="B16:B17" xr:uid="{8A323C8E-3D14-4FB6-A158-CD2A135E0F30}">
      <formula1>SelOneYesNo</formula1>
    </dataValidation>
  </dataValidations>
  <pageMargins left="0.7" right="0.7" top="0.75" bottom="0.75" header="0.3" footer="0.3"/>
  <pageSetup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12" id="{3587162C-8896-4372-B5B2-C3ABEAFD2315}">
            <xm:f>COUNTIFS(Validation!$H:$H,MID(CELL("filename",A2),FIND("]",CELL("filename",A2))+1,255)&amp;CELL("address",A2))&gt;0</xm:f>
            <x14:dxf>
              <font>
                <b/>
                <i val="0"/>
                <color rgb="FFC00000"/>
              </font>
              <numFmt numFmtId="172" formatCode="_(\!* #,##0_);_(\!* \(#,##0\);_(\!* \-??_);_(\!\ @_)"/>
            </x14:dxf>
          </x14:cfRule>
          <xm:sqref>A2</xm:sqref>
        </x14:conditionalFormatting>
        <x14:conditionalFormatting xmlns:xm="http://schemas.microsoft.com/office/excel/2006/main">
          <x14:cfRule type="expression" priority="10" id="{8A0FFA03-869F-47D2-852C-CB673C7256B0}">
            <xm:f>$B$7=Lists!$AH$3</xm:f>
            <x14:dxf>
              <fill>
                <patternFill>
                  <bgColor rgb="FFEAEAEA"/>
                </patternFill>
              </fill>
            </x14:dxf>
          </x14:cfRule>
          <xm:sqref>B8</xm:sqref>
        </x14:conditionalFormatting>
        <x14:conditionalFormatting xmlns:xm="http://schemas.microsoft.com/office/excel/2006/main">
          <x14:cfRule type="expression" priority="9" id="{8BF89FAA-407B-4DD0-8DEF-AE80B6155AFA}">
            <xm:f>$B$7=Lists!$AH$2</xm:f>
            <x14:dxf>
              <fill>
                <patternFill>
                  <bgColor rgb="FFEAEAEA"/>
                </patternFill>
              </fill>
            </x14:dxf>
          </x14:cfRule>
          <xm:sqref>B9</xm:sqref>
        </x14:conditionalFormatting>
      </x14:conditionalFormatting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A814EB-CD8B-48FD-B6E5-9FD6D539567B}">
  <sheetPr>
    <tabColor rgb="FFEED382"/>
  </sheetPr>
  <dimension ref="A1:F50"/>
  <sheetViews>
    <sheetView showGridLines="0" workbookViewId="0">
      <selection activeCell="B7" sqref="B7"/>
    </sheetView>
  </sheetViews>
  <sheetFormatPr defaultRowHeight="15" x14ac:dyDescent="0.25"/>
  <cols>
    <col min="1" max="1" width="55.7109375" style="66" customWidth="1"/>
    <col min="2" max="3" width="22.7109375" style="66" customWidth="1"/>
    <col min="4" max="4" width="80.85546875" style="66" customWidth="1"/>
    <col min="5" max="5" width="14.7109375" style="66" customWidth="1"/>
    <col min="6" max="6" width="10.7109375" style="78" hidden="1" customWidth="1"/>
    <col min="7" max="16384" width="9.140625" style="66"/>
  </cols>
  <sheetData>
    <row r="1" spans="1:6" s="59" customFormat="1" ht="24.95" customHeight="1" x14ac:dyDescent="0.25">
      <c r="A1" s="59" t="str">
        <f>_xlfn.CONCAT("Office of the State Auditor  -  TIF Annual Reporting Form  -  ",Year_DestinationYearID)</f>
        <v>Office of the State Auditor  -  TIF Annual Reporting Form  -  2024</v>
      </c>
      <c r="F1" s="61"/>
    </row>
    <row r="2" spans="1:6" s="62" customFormat="1" ht="20.100000000000001" customHeight="1" x14ac:dyDescent="0.25">
      <c r="A2" s="58" t="str">
        <f>_xlfn.CONCAT(GovEntity_GovEntityName_Parent,"  -  ",GovEntity_GovEntityName)</f>
        <v>Spruce City  -  TIF 1-1 Downtown Redev</v>
      </c>
      <c r="F2" s="64"/>
    </row>
    <row r="3" spans="1:6" s="68" customFormat="1" ht="24.95" customHeight="1" x14ac:dyDescent="0.3">
      <c r="A3" s="65" t="s">
        <v>238</v>
      </c>
      <c r="B3" s="66"/>
      <c r="C3" s="66"/>
      <c r="F3" s="69"/>
    </row>
    <row r="4" spans="1:6" s="71" customFormat="1" x14ac:dyDescent="0.25">
      <c r="A4" s="217" t="s">
        <v>207</v>
      </c>
      <c r="B4" s="217"/>
      <c r="C4" s="217"/>
      <c r="D4" s="217"/>
      <c r="E4" s="217"/>
      <c r="F4" s="72" t="s">
        <v>119</v>
      </c>
    </row>
    <row r="5" spans="1:6" s="74" customFormat="1" ht="20.100000000000001" customHeight="1" x14ac:dyDescent="0.25">
      <c r="A5" s="73" t="str">
        <f>HYPERLINK("#'Loans'!B6","Click here to return to the Loans Tab")</f>
        <v>Click here to return to the Loans Tab</v>
      </c>
      <c r="D5" s="74" t="s">
        <v>121</v>
      </c>
      <c r="E5" s="74" t="s">
        <v>102</v>
      </c>
      <c r="F5" s="76"/>
    </row>
    <row r="6" spans="1:6" ht="20.100000000000001" customHeight="1" x14ac:dyDescent="0.25">
      <c r="A6" s="74" t="s">
        <v>239</v>
      </c>
      <c r="D6" s="77" t="str">
        <f ca="1">IFERROR(INDEX(Validation!G:G,MATCH("Loan 13"&amp;CELL("address",D6),Validation!I:I,0)),"")</f>
        <v/>
      </c>
      <c r="E6" s="66" t="str">
        <f ca="1">IFERROR(INDEX(Validation!F:F,MATCH("Loan 13"&amp;CELL("address",D6),Validation!I:I,0)),"")</f>
        <v/>
      </c>
      <c r="F6" s="78" t="s">
        <v>875</v>
      </c>
    </row>
    <row r="7" spans="1:6" x14ac:dyDescent="0.25">
      <c r="A7" s="79" t="s">
        <v>761</v>
      </c>
      <c r="B7" s="103" t="str">
        <f>IF(AND(NOT(ISBLANK('Loan Input'!O5)),OR('Loan Input'!O$5=Lists!$AG$2,'Loan Input'!O$5=Lists!$AG$3)),_xlfn.XLOOKUP('Loan Input'!O5,Lists!AG2:AG5,Lists!AH2:AH5),Lists!$AH$1)</f>
        <v>Select One</v>
      </c>
      <c r="C7" s="128"/>
      <c r="D7" s="77" t="str">
        <f ca="1">IFERROR(INDEX(Validation!G:G,MATCH("Loan 13"&amp;CELL("address",D7),Validation!I:I,0)),"")</f>
        <v/>
      </c>
      <c r="E7" s="66" t="str">
        <f ca="1">IFERROR(INDEX(Validation!F:F,MATCH("Loan 13"&amp;CELL("address",D7),Validation!I:I,0)),"")</f>
        <v/>
      </c>
      <c r="F7" s="85" t="str">
        <f>IF(NOT(ISBLANK('Loan Input'!O4)),'Loan Input'!O4,"")</f>
        <v/>
      </c>
    </row>
    <row r="8" spans="1:6" x14ac:dyDescent="0.25">
      <c r="A8" s="79" t="s">
        <v>769</v>
      </c>
      <c r="B8" s="103" t="str">
        <f>IF(AND(NOT(ISBLANK('Loan Input'!O6)),'Loan Input'!O$5=Lists!$AG$2),'Loan Input'!O6,Lists!$AJ$1)</f>
        <v>Select One</v>
      </c>
      <c r="C8" s="128"/>
      <c r="D8" s="77" t="str">
        <f ca="1">IFERROR(INDEX(Validation!G:G,MATCH("Loan 13"&amp;CELL("address",D8),Validation!I:I,0)),"")</f>
        <v/>
      </c>
      <c r="E8" s="66" t="str">
        <f ca="1">IFERROR(INDEX(Validation!F:F,MATCH("Loan 13"&amp;CELL("address",D8),Validation!I:I,0)),"")</f>
        <v/>
      </c>
    </row>
    <row r="9" spans="1:6" x14ac:dyDescent="0.25">
      <c r="A9" s="79" t="s">
        <v>770</v>
      </c>
      <c r="B9" s="103" t="str">
        <f>IF(AND(NOT(ISBLANK('Loan Input'!O7)),'Loan Input'!O$5=Lists!$AG$3),'Loan Input'!O7,"")</f>
        <v/>
      </c>
      <c r="C9" s="128"/>
      <c r="D9" s="77" t="str">
        <f ca="1">IFERROR(INDEX(Validation!G:G,MATCH("Loan 13"&amp;CELL("address",D9),Validation!I:I,0)),"")</f>
        <v/>
      </c>
      <c r="E9" s="66" t="str">
        <f ca="1">IFERROR(INDEX(Validation!F:F,MATCH("Loan 13"&amp;CELL("address",D9),Validation!I:I,0)),"")</f>
        <v/>
      </c>
    </row>
    <row r="10" spans="1:6" x14ac:dyDescent="0.25">
      <c r="A10" s="79" t="s">
        <v>931</v>
      </c>
      <c r="B10" s="120" t="str">
        <f>IF(AND(NOT(ISBLANK('Loan Input'!O8)),OR('Loan Input'!O$5=Lists!$AG$2,'Loan Input'!O$5=Lists!$AG$3)),'Loan Input'!O8,"")</f>
        <v/>
      </c>
      <c r="C10" s="128"/>
      <c r="D10" s="77" t="str">
        <f ca="1">IFERROR(INDEX(Validation!G:G,MATCH("Loan 13"&amp;CELL("address",D10),Validation!I:I,0)),"")</f>
        <v/>
      </c>
      <c r="E10" s="66" t="str">
        <f ca="1">IFERROR(INDEX(Validation!F:F,MATCH("Loan 13"&amp;CELL("address",D10),Validation!I:I,0)),"")</f>
        <v/>
      </c>
    </row>
    <row r="11" spans="1:6" x14ac:dyDescent="0.25">
      <c r="A11" s="79" t="s">
        <v>212</v>
      </c>
      <c r="B11" s="120" t="str">
        <f>IF(AND(NOT(ISBLANK('Loan Input'!O9)),OR('Loan Input'!O$5=Lists!$AG$2,'Loan Input'!O$5=Lists!$AG$3)),'Loan Input'!O9,"")</f>
        <v/>
      </c>
      <c r="C11" s="128"/>
      <c r="D11" s="77" t="str">
        <f ca="1">IFERROR(INDEX(Validation!G:G,MATCH("Loan 13"&amp;CELL("address",D11),Validation!I:I,0)),"")</f>
        <v/>
      </c>
      <c r="E11" s="66" t="str">
        <f ca="1">IFERROR(INDEX(Validation!F:F,MATCH("Loan 13"&amp;CELL("address",D11),Validation!I:I,0)),"")</f>
        <v/>
      </c>
    </row>
    <row r="12" spans="1:6" x14ac:dyDescent="0.25">
      <c r="A12" s="79" t="s">
        <v>213</v>
      </c>
      <c r="B12" s="121" t="str">
        <f>IF(AND(NOT(ISBLANK('Loan Input'!O10)),OR('Loan Input'!O$5=Lists!$AG$2,'Loan Input'!O$5=Lists!$AG$3)),'Loan Input'!O10,"")</f>
        <v/>
      </c>
      <c r="C12" s="128"/>
      <c r="D12" s="77" t="str">
        <f ca="1">IFERROR(INDEX(Validation!G:G,MATCH("Loan 13"&amp;CELL("address",D12),Validation!I:I,0)),"")</f>
        <v/>
      </c>
      <c r="E12" s="66" t="str">
        <f ca="1">IFERROR(INDEX(Validation!F:F,MATCH("Loan 13"&amp;CELL("address",D12),Validation!I:I,0)),"")</f>
        <v/>
      </c>
    </row>
    <row r="13" spans="1:6" x14ac:dyDescent="0.25">
      <c r="A13" s="79" t="s">
        <v>214</v>
      </c>
      <c r="B13" s="121" t="str">
        <f>IF(AND(NOT(ISBLANK('Loan Input'!O11)),OR('Loan Input'!O$5=Lists!$AG$2,'Loan Input'!O$5=Lists!$AG$3)),'Loan Input'!O11,"")</f>
        <v/>
      </c>
      <c r="C13" s="128"/>
      <c r="D13" s="77" t="str">
        <f ca="1">IFERROR(INDEX(Validation!G:G,MATCH("Loan 13"&amp;CELL("address",D13),Validation!I:I,0)),"")</f>
        <v/>
      </c>
      <c r="E13" s="66" t="str">
        <f ca="1">IFERROR(INDEX(Validation!F:F,MATCH("Loan 13"&amp;CELL("address",D13),Validation!I:I,0)),"")</f>
        <v/>
      </c>
    </row>
    <row r="14" spans="1:6" x14ac:dyDescent="0.25">
      <c r="A14" s="79" t="s">
        <v>241</v>
      </c>
      <c r="B14" s="120" t="str">
        <f>IF(AND(NOT(ISBLANK('Loan Input'!O12)),OR('Loan Input'!O$5=Lists!$AG$2,'Loan Input'!O$5=Lists!$AG$3)),'Loan Input'!O12,Lists!$AM$1)</f>
        <v>Select One</v>
      </c>
      <c r="C14" s="129"/>
      <c r="D14" s="77" t="str">
        <f ca="1">IFERROR(INDEX(Validation!G:G,MATCH("Loan 13"&amp;CELL("address",D14),Validation!I:I,0)),"")</f>
        <v/>
      </c>
      <c r="E14" s="66" t="str">
        <f ca="1">IFERROR(INDEX(Validation!F:F,MATCH("Loan 13"&amp;CELL("address",D14),Validation!I:I,0)),"")</f>
        <v/>
      </c>
    </row>
    <row r="15" spans="1:6" x14ac:dyDescent="0.25">
      <c r="A15" s="79" t="s">
        <v>242</v>
      </c>
      <c r="B15" s="122" t="str">
        <f>IF(AND(NOT(ISBLANK('Loan Input'!O13)),OR('Loan Input'!O$5=Lists!$AG$2,'Loan Input'!O$5=Lists!$AG$3)),'Loan Input'!O13,"")</f>
        <v/>
      </c>
      <c r="C15" s="128"/>
      <c r="D15" s="77" t="str">
        <f ca="1">IFERROR(INDEX(Validation!G:G,MATCH("Loan 13"&amp;CELL("address",D15),Validation!I:I,0)),"")</f>
        <v/>
      </c>
      <c r="E15" s="66" t="str">
        <f ca="1">IFERROR(INDEX(Validation!F:F,MATCH("Loan 13"&amp;CELL("address",D15),Validation!I:I,0)),"")</f>
        <v/>
      </c>
    </row>
    <row r="16" spans="1:6" x14ac:dyDescent="0.25">
      <c r="A16" s="79" t="s">
        <v>232</v>
      </c>
      <c r="B16" s="103" t="str">
        <f>IF(OR('Loan Input'!O14="",'Loan Input'!O14=0),"Select One",IF('Loan Input'!O14=TRUE,"Yes","No"))</f>
        <v>Select One</v>
      </c>
      <c r="C16" s="128"/>
      <c r="D16" s="77" t="str">
        <f ca="1">IFERROR(INDEX(Validation!G:G,MATCH("Loan 13"&amp;CELL("address",D16),Validation!I:I,0)),"")</f>
        <v/>
      </c>
      <c r="E16" s="66" t="str">
        <f ca="1">IFERROR(INDEX(Validation!F:F,MATCH("Loan 13"&amp;CELL("address",D16),Validation!I:I,0)),"")</f>
        <v/>
      </c>
    </row>
    <row r="17" spans="1:5" x14ac:dyDescent="0.25">
      <c r="A17" s="79" t="str">
        <f>"Were the terms of this obligation modified in "&amp;Year_DestinationYearID&amp;"?"</f>
        <v>Were the terms of this obligation modified in 2024?</v>
      </c>
      <c r="B17" s="103" t="s">
        <v>41</v>
      </c>
      <c r="C17" s="128"/>
      <c r="D17" s="77" t="str">
        <f ca="1">IFERROR(INDEX(Validation!G:G,MATCH("Loan 13"&amp;CELL("address",D17),Validation!I:I,0)),"")</f>
        <v/>
      </c>
      <c r="E17" s="66" t="str">
        <f ca="1">IFERROR(INDEX(Validation!F:F,MATCH("Loan 13"&amp;CELL("address",D17),Validation!I:I,0)),"")</f>
        <v/>
      </c>
    </row>
    <row r="18" spans="1:5" ht="20.100000000000001" customHeight="1" x14ac:dyDescent="0.25">
      <c r="A18" s="74" t="s">
        <v>1183</v>
      </c>
      <c r="B18" s="74" t="s">
        <v>283</v>
      </c>
      <c r="C18" s="74" t="str">
        <f>Year_DestinationYearID&amp;" Amount"</f>
        <v>2024 Amount</v>
      </c>
      <c r="D18" s="77" t="str">
        <f ca="1">IFERROR(INDEX(Validation!G:G,MATCH("Loan 13"&amp;CELL("address",D18),Validation!I:I,0)),"")</f>
        <v/>
      </c>
      <c r="E18" s="66" t="str">
        <f ca="1">IFERROR(INDEX(Validation!F:F,MATCH("Loan 13"&amp;CELL("address",D18),Validation!I:I,0)),"")</f>
        <v/>
      </c>
    </row>
    <row r="19" spans="1:5" x14ac:dyDescent="0.25">
      <c r="A19" s="79" t="s">
        <v>266</v>
      </c>
      <c r="B19" s="122" t="str">
        <f>IF(AND(NOT(ISBLANK('Loan Input'!O16)),OR('Loan Input'!O$5=Lists!$AG$2,'Loan Input'!O$5=Lists!$AG$3)),'Loan Input'!O16,"")</f>
        <v/>
      </c>
      <c r="C19" s="103"/>
      <c r="D19" s="77" t="str">
        <f ca="1">IFERROR(INDEX(Validation!G:G,MATCH("Loan 13"&amp;CELL("address",D19),Validation!I:I,0)),"")</f>
        <v/>
      </c>
      <c r="E19" s="66" t="str">
        <f ca="1">IFERROR(INDEX(Validation!F:F,MATCH("Loan 13"&amp;CELL("address",D19),Validation!I:I,0)),"")</f>
        <v/>
      </c>
    </row>
    <row r="20" spans="1:5" x14ac:dyDescent="0.25">
      <c r="A20" s="79" t="s">
        <v>267</v>
      </c>
      <c r="B20" s="122" t="str">
        <f>IF(AND(NOT(ISBLANK('Loan Input'!O18)),OR('Loan Input'!O$5=Lists!$AG$2,'Loan Input'!O$5=Lists!$AG$3)),'Loan Input'!O18,"")</f>
        <v/>
      </c>
      <c r="C20" s="103"/>
      <c r="D20" s="77" t="str">
        <f ca="1">IFERROR(INDEX(Validation!G:G,MATCH("Loan 13"&amp;CELL("address",D20),Validation!I:I,0)),"")</f>
        <v/>
      </c>
      <c r="E20" s="66" t="str">
        <f ca="1">IFERROR(INDEX(Validation!F:F,MATCH("Loan 13"&amp;CELL("address",D20),Validation!I:I,0)),"")</f>
        <v/>
      </c>
    </row>
    <row r="21" spans="1:5" x14ac:dyDescent="0.25">
      <c r="A21" s="79" t="s">
        <v>268</v>
      </c>
      <c r="B21" s="122" t="str">
        <f>IF(AND(NOT(ISBLANK('Loan Input'!O20)),OR('Loan Input'!O$5=Lists!$AG$2,'Loan Input'!O$5=Lists!$AG$3)),'Loan Input'!O20,"")</f>
        <v/>
      </c>
      <c r="C21" s="103"/>
      <c r="D21" s="77" t="str">
        <f ca="1">IFERROR(INDEX(Validation!G:G,MATCH("Loan 13"&amp;CELL("address",D21),Validation!I:I,0)),"")</f>
        <v/>
      </c>
      <c r="E21" s="66" t="str">
        <f ca="1">IFERROR(INDEX(Validation!F:F,MATCH("Loan 13"&amp;CELL("address",D21),Validation!I:I,0)),"")</f>
        <v/>
      </c>
    </row>
    <row r="22" spans="1:5" x14ac:dyDescent="0.25">
      <c r="A22" s="79" t="s">
        <v>269</v>
      </c>
      <c r="B22" s="122" t="str">
        <f>IF(AND(NOT(ISBLANK('Loan Input'!O22)),OR('Loan Input'!O$5=Lists!$AG$2,'Loan Input'!O$5=Lists!$AG$3)),'Loan Input'!O22,"")</f>
        <v/>
      </c>
      <c r="C22" s="103"/>
      <c r="D22" s="77" t="str">
        <f ca="1">IFERROR(INDEX(Validation!G:G,MATCH("Loan 13"&amp;CELL("address",D22),Validation!I:I,0)),"")</f>
        <v/>
      </c>
      <c r="E22" s="66" t="str">
        <f ca="1">IFERROR(INDEX(Validation!F:F,MATCH("Loan 13"&amp;CELL("address",D22),Validation!I:I,0)),"")</f>
        <v/>
      </c>
    </row>
    <row r="23" spans="1:5" x14ac:dyDescent="0.25">
      <c r="A23" s="79" t="s">
        <v>1101</v>
      </c>
      <c r="B23" s="122" t="str">
        <f>IF(AND(NOT(ISBLANK('Loan Input'!O24)),OR('Loan Input'!O$5=Lists!$AG$2,'Loan Input'!O$5=Lists!$AG$3)),'Loan Input'!O24,"")</f>
        <v/>
      </c>
      <c r="C23" s="103"/>
      <c r="D23" s="77" t="str">
        <f ca="1">IFERROR(INDEX(Validation!G:G,MATCH("Loan 13"&amp;CELL("address",D23),Validation!I:I,0)),"")</f>
        <v/>
      </c>
      <c r="E23" s="66" t="str">
        <f ca="1">IFERROR(INDEX(Validation!F:F,MATCH("Loan 13"&amp;CELL("address",D23),Validation!I:I,0)),"")</f>
        <v/>
      </c>
    </row>
    <row r="24" spans="1:5" x14ac:dyDescent="0.25">
      <c r="A24" s="79" t="s">
        <v>270</v>
      </c>
      <c r="B24" s="122" t="str">
        <f>IF(AND(NOT(ISBLANK('Loan Input'!O26)),OR('Loan Input'!O$5=Lists!$AG$2,'Loan Input'!O$5=Lists!$AG$3)),'Loan Input'!O26,"")</f>
        <v/>
      </c>
      <c r="C24" s="103"/>
      <c r="D24" s="77" t="str">
        <f ca="1">IFERROR(INDEX(Validation!G:G,MATCH("Loan 13"&amp;CELL("address",D24),Validation!I:I,0)),"")</f>
        <v/>
      </c>
      <c r="E24" s="66" t="str">
        <f ca="1">IFERROR(INDEX(Validation!F:F,MATCH("Loan 13"&amp;CELL("address",D24),Validation!I:I,0)),"")</f>
        <v/>
      </c>
    </row>
    <row r="25" spans="1:5" x14ac:dyDescent="0.25">
      <c r="A25" s="79" t="s">
        <v>271</v>
      </c>
      <c r="B25" s="122" t="str">
        <f>IF(AND(NOT(ISBLANK('Loan Input'!O28)),OR('Loan Input'!O$5=Lists!$AG$2,'Loan Input'!O$5=Lists!$AG$3)),'Loan Input'!O28,"")</f>
        <v/>
      </c>
      <c r="C25" s="103"/>
      <c r="D25" s="77" t="str">
        <f ca="1">IFERROR(INDEX(Validation!G:G,MATCH("Loan 13"&amp;CELL("address",D25),Validation!I:I,0)),"")</f>
        <v/>
      </c>
      <c r="E25" s="66" t="str">
        <f ca="1">IFERROR(INDEX(Validation!F:F,MATCH("Loan 13"&amp;CELL("address",D25),Validation!I:I,0)),"")</f>
        <v/>
      </c>
    </row>
    <row r="26" spans="1:5" x14ac:dyDescent="0.25">
      <c r="A26" s="79" t="s">
        <v>276</v>
      </c>
      <c r="B26" s="122" t="str">
        <f>IF(AND(NOT(ISBLANK('Loan Input'!O30)),OR('Loan Input'!C$5=Lists!$AG$2,'Loan Input'!C$5=Lists!$AG$3)),'Loan Input'!O30,"")</f>
        <v/>
      </c>
      <c r="C26" s="103"/>
      <c r="D26" s="77" t="str">
        <f ca="1">IFERROR(INDEX(Validation!G:G,MATCH("Loan 13"&amp;CELL("address",D26),Validation!I:I,0)),"")</f>
        <v/>
      </c>
      <c r="E26" s="66" t="str">
        <f ca="1">IFERROR(INDEX(Validation!F:F,MATCH("Loan 13"&amp;CELL("address",D26),Validation!I:I,0)),"")</f>
        <v/>
      </c>
    </row>
    <row r="27" spans="1:5" x14ac:dyDescent="0.25">
      <c r="A27" s="79" t="s">
        <v>272</v>
      </c>
      <c r="B27" s="122" t="str">
        <f>IF(AND(NOT(ISBLANK('Loan Input'!O32)),OR('Loan Input'!O$5=Lists!$AG$2,'Loan Input'!O$5=Lists!$AG$3)),'Loan Input'!O32,"")</f>
        <v/>
      </c>
      <c r="C27" s="103"/>
      <c r="D27" s="77" t="str">
        <f ca="1">IFERROR(INDEX(Validation!G:G,MATCH("Loan 13"&amp;CELL("address",D27),Validation!I:I,0)),"")</f>
        <v/>
      </c>
      <c r="E27" s="66" t="str">
        <f ca="1">IFERROR(INDEX(Validation!F:F,MATCH("Loan 13"&amp;CELL("address",D27),Validation!I:I,0)),"")</f>
        <v/>
      </c>
    </row>
    <row r="28" spans="1:5" x14ac:dyDescent="0.25">
      <c r="A28" s="79" t="s">
        <v>273</v>
      </c>
      <c r="B28" s="122" t="str">
        <f>IF(AND(NOT(ISBLANK('Loan Input'!O34)),OR('Loan Input'!O$5=Lists!$AG$2,'Loan Input'!O$5=Lists!$AG$3)),'Loan Input'!O34,"")</f>
        <v/>
      </c>
      <c r="C28" s="103"/>
      <c r="D28" s="77" t="str">
        <f ca="1">IFERROR(INDEX(Validation!G:G,MATCH("Loan 13"&amp;CELL("address",D28),Validation!I:I,0)),"")</f>
        <v/>
      </c>
      <c r="E28" s="66" t="str">
        <f ca="1">IFERROR(INDEX(Validation!F:F,MATCH("Loan 13"&amp;CELL("address",D28),Validation!I:I,0)),"")</f>
        <v/>
      </c>
    </row>
    <row r="29" spans="1:5" x14ac:dyDescent="0.25">
      <c r="A29" s="130" t="s">
        <v>1184</v>
      </c>
      <c r="B29" s="125">
        <f>SUM(B19:B28)</f>
        <v>0</v>
      </c>
      <c r="C29" s="125">
        <f>SUM(C19:C28)</f>
        <v>0</v>
      </c>
      <c r="D29" s="77" t="str">
        <f ca="1">IFERROR(INDEX(Validation!G:G,MATCH("Loan 13"&amp;CELL("address",D29),Validation!I:I,0)),"")</f>
        <v/>
      </c>
      <c r="E29" s="66" t="str">
        <f ca="1">IFERROR(INDEX(Validation!F:F,MATCH("Loan 13"&amp;CELL("address",D29),Validation!I:I,0)),"")</f>
        <v/>
      </c>
    </row>
    <row r="30" spans="1:5" x14ac:dyDescent="0.25">
      <c r="A30" s="130" t="s">
        <v>1185</v>
      </c>
      <c r="B30" s="125" t="str">
        <f>IFERROR(B34-B29,"")</f>
        <v/>
      </c>
      <c r="C30" s="125" t="str">
        <f>IFERROR(B34+C34-B29-C29,"")</f>
        <v/>
      </c>
      <c r="D30" s="77" t="str">
        <f ca="1">IFERROR(INDEX(Validation!G:G,MATCH("Loan 13"&amp;CELL("address",D30),Validation!I:I,0)),"")</f>
        <v/>
      </c>
      <c r="E30" s="66" t="str">
        <f ca="1">IFERROR(INDEX(Validation!F:F,MATCH("Loan 13"&amp;CELL("address",D30),Validation!I:I,0)),"")</f>
        <v/>
      </c>
    </row>
    <row r="31" spans="1:5" x14ac:dyDescent="0.25">
      <c r="A31" s="131" t="s">
        <v>1186</v>
      </c>
      <c r="B31" s="122" t="str">
        <f>IF(AND(NOT(ISBLANK('Loan Input'!O41)),OR('Loan Input'!O$5=Lists!$AG$2,'Loan Input'!O$5=Lists!$AG$3)),'Loan Input'!O41,"")</f>
        <v/>
      </c>
      <c r="C31" s="103"/>
      <c r="D31" s="77" t="str">
        <f ca="1">IFERROR(INDEX(Validation!G:G,MATCH("Loan 13"&amp;CELL("address",D31),Validation!I:I,0)),"")</f>
        <v/>
      </c>
      <c r="E31" s="66" t="str">
        <f ca="1">IFERROR(INDEX(Validation!F:F,MATCH("Loan 13"&amp;CELL("address",D31),Validation!I:I,0)),"")</f>
        <v/>
      </c>
    </row>
    <row r="32" spans="1:5" x14ac:dyDescent="0.25">
      <c r="A32" s="131" t="s">
        <v>1187</v>
      </c>
      <c r="B32" s="122" t="str">
        <f>IF(AND(NOT(ISBLANK('Loan Input'!O43)),OR('Loan Input'!O$5=Lists!$AG$2,'Loan Input'!O$5=Lists!$AG$3)),'Loan Input'!O43,"")</f>
        <v/>
      </c>
      <c r="C32" s="103"/>
      <c r="D32" s="77" t="str">
        <f ca="1">IFERROR(INDEX(Validation!G:G,MATCH("Loan 13"&amp;CELL("address",D32),Validation!I:I,0)),"")</f>
        <v/>
      </c>
      <c r="E32" s="66" t="str">
        <f ca="1">IFERROR(INDEX(Validation!F:F,MATCH("Loan 13"&amp;CELL("address",D32),Validation!I:I,0)),"")</f>
        <v/>
      </c>
    </row>
    <row r="33" spans="1:6" ht="20.100000000000001" customHeight="1" x14ac:dyDescent="0.25">
      <c r="A33" s="74" t="s">
        <v>754</v>
      </c>
      <c r="B33" s="74" t="s">
        <v>283</v>
      </c>
      <c r="C33" s="74" t="str">
        <f>Year_DestinationYearID&amp;" Amount"</f>
        <v>2024 Amount</v>
      </c>
      <c r="D33" s="77" t="str">
        <f ca="1">IFERROR(INDEX(Validation!G:G,MATCH("Loan 13"&amp;CELL("address",D33),Validation!I:I,0)),"")</f>
        <v/>
      </c>
      <c r="E33" s="66" t="str">
        <f ca="1">IFERROR(INDEX(Validation!F:F,MATCH("Loan 13"&amp;CELL("address",D33),Validation!I:I,0)),"")</f>
        <v/>
      </c>
    </row>
    <row r="34" spans="1:6" x14ac:dyDescent="0.25">
      <c r="A34" s="79" t="s">
        <v>1350</v>
      </c>
      <c r="B34" s="122" t="str">
        <f>IF(AND(NOT(ISBLANK('Loan Input'!O44)),OR('Loan Input'!O$5=Lists!$AG$2,'Loan Input'!O$5=Lists!$AG$3)),'Loan Input'!O44,"")</f>
        <v/>
      </c>
      <c r="C34" s="122"/>
      <c r="D34" s="77" t="str">
        <f ca="1">IFERROR(INDEX(Validation!G:G,MATCH("Loan 13"&amp;CELL("address",D34),Validation!I:I,0)),"")</f>
        <v/>
      </c>
      <c r="E34" s="66" t="str">
        <f ca="1">IFERROR(INDEX(Validation!F:F,MATCH("Loan 13"&amp;CELL("address",D34),Validation!I:I,0)),"")</f>
        <v/>
      </c>
    </row>
    <row r="35" spans="1:6" x14ac:dyDescent="0.25">
      <c r="A35" s="79" t="s">
        <v>1188</v>
      </c>
      <c r="B35" s="122" t="str">
        <f>IF(AND(NOT(ISBLANK('Loan Input'!O47)),OR('Loan Input'!O$5=Lists!$AG$2,'Loan Input'!O$5=Lists!$AG$3)),'Loan Input'!O47,"")</f>
        <v/>
      </c>
      <c r="C35" s="122"/>
      <c r="D35" s="77" t="str">
        <f ca="1">IFERROR(INDEX(Validation!G:G,MATCH("Loan 13"&amp;CELL("address",D35),Validation!I:I,0)),"")</f>
        <v/>
      </c>
      <c r="E35" s="66" t="str">
        <f ca="1">IFERROR(INDEX(Validation!F:F,MATCH("Loan 13"&amp;CELL("address",D35),Validation!I:I,0)),"")</f>
        <v/>
      </c>
    </row>
    <row r="36" spans="1:6" x14ac:dyDescent="0.25">
      <c r="A36" s="79" t="s">
        <v>1189</v>
      </c>
      <c r="B36" s="122" t="str">
        <f>IF(AND(NOT(ISBLANK('Loan Input'!O49)),OR('Loan Input'!O$5=Lists!$AG$2,'Loan Input'!O$5=Lists!$AG$3)),'Loan Input'!O49,"")</f>
        <v/>
      </c>
      <c r="C36" s="122"/>
      <c r="D36" s="77" t="str">
        <f ca="1">IFERROR(INDEX(Validation!G:G,MATCH("Loan 13"&amp;CELL("address",D36),Validation!I:I,0)),"")</f>
        <v/>
      </c>
      <c r="E36" s="66" t="str">
        <f ca="1">IFERROR(INDEX(Validation!F:F,MATCH("Loan 13"&amp;CELL("address",D36),Validation!I:I,0)),"")</f>
        <v/>
      </c>
    </row>
    <row r="37" spans="1:6" x14ac:dyDescent="0.25">
      <c r="A37" s="79" t="s">
        <v>1190</v>
      </c>
      <c r="B37" s="122" t="str">
        <f>IF(AND(NOT(ISBLANK('Loan Input'!O51)),OR('Loan Input'!O$5=Lists!$AG$2,'Loan Input'!O$5=Lists!$AG$3)),'Loan Input'!O51,"")</f>
        <v/>
      </c>
      <c r="C37" s="122"/>
      <c r="D37" s="77" t="str">
        <f ca="1">IFERROR(INDEX(Validation!G:G,MATCH("Loan 13"&amp;CELL("address",D37),Validation!I:I,0)),"")</f>
        <v/>
      </c>
      <c r="E37" s="66" t="str">
        <f ca="1">IFERROR(INDEX(Validation!F:F,MATCH("Loan 13"&amp;CELL("address",D37),Validation!I:I,0)),"")</f>
        <v/>
      </c>
    </row>
    <row r="38" spans="1:6" x14ac:dyDescent="0.25">
      <c r="A38" s="79" t="s">
        <v>221</v>
      </c>
      <c r="B38" s="125" t="str">
        <f>IFERROR(B34-B35-B36+B37,"")</f>
        <v/>
      </c>
      <c r="C38" s="125" t="str">
        <f>IFERROR(B34+C34-B35-B36-C35-C36+B37+C37,"")</f>
        <v/>
      </c>
      <c r="D38" s="77" t="str">
        <f ca="1">IFERROR(INDEX(Validation!G:G,MATCH("Loan 13"&amp;CELL("address",D38),Validation!I:I,0)),"")</f>
        <v/>
      </c>
      <c r="E38" s="66" t="str">
        <f ca="1">IFERROR(INDEX(Validation!F:F,MATCH("Loan 13"&amp;CELL("address",D38),Validation!I:I,0)),"")</f>
        <v/>
      </c>
      <c r="F38" s="126"/>
    </row>
    <row r="39" spans="1:6" x14ac:dyDescent="0.25">
      <c r="A39" s="79" t="s">
        <v>223</v>
      </c>
      <c r="B39" s="122" t="str">
        <f>IF(AND(NOT(ISBLANK('Loan Input'!O55)),OR('Loan Input'!O$5=Lists!$AG$2,'Loan Input'!O$5=Lists!$AG$3)),'Loan Input'!O55,"")</f>
        <v/>
      </c>
      <c r="C39" s="122"/>
      <c r="D39" s="77" t="str">
        <f ca="1">IFERROR(INDEX(Validation!G:G,MATCH("Loan 13"&amp;CELL("address",D39),Validation!I:I,0)),"")</f>
        <v/>
      </c>
      <c r="E39" s="66" t="str">
        <f ca="1">IFERROR(INDEX(Validation!F:F,MATCH("Loan 13"&amp;CELL("address",D39),Validation!I:I,0)),"")</f>
        <v/>
      </c>
    </row>
    <row r="40" spans="1:6" x14ac:dyDescent="0.25">
      <c r="A40" s="79" t="s">
        <v>1191</v>
      </c>
      <c r="B40" s="122" t="str">
        <f>IF(AND(NOT(ISBLANK('Loan Input'!O57)),OR('Loan Input'!O$5=Lists!$AG$2,'Loan Input'!O$5=Lists!$AG$3)),'Loan Input'!O57,"")</f>
        <v/>
      </c>
      <c r="C40" s="122"/>
      <c r="D40" s="77" t="str">
        <f ca="1">IFERROR(INDEX(Validation!G:G,MATCH("Loan 13"&amp;CELL("address",D40),Validation!I:I,0)),"")</f>
        <v/>
      </c>
      <c r="E40" s="66" t="str">
        <f ca="1">IFERROR(INDEX(Validation!F:F,MATCH("Loan 13"&amp;CELL("address",D40),Validation!I:I,0)),"")</f>
        <v/>
      </c>
    </row>
    <row r="41" spans="1:6" x14ac:dyDescent="0.25">
      <c r="A41" s="79" t="s">
        <v>1192</v>
      </c>
      <c r="B41" s="122" t="str">
        <f>IF(AND(NOT(ISBLANK('Loan Input'!O59)),OR('Loan Input'!O$5=Lists!$AG$2,'Loan Input'!O$5=Lists!$AG$3)),'Loan Input'!O59,"")</f>
        <v/>
      </c>
      <c r="C41" s="122"/>
      <c r="D41" s="77" t="str">
        <f ca="1">IFERROR(INDEX(Validation!G:G,MATCH("Loan 13"&amp;CELL("address",D41),Validation!I:I,0)),"")</f>
        <v/>
      </c>
      <c r="E41" s="66" t="str">
        <f ca="1">IFERROR(INDEX(Validation!F:F,MATCH("Loan 13"&amp;CELL("address",D41),Validation!I:I,0)),"")</f>
        <v/>
      </c>
    </row>
    <row r="42" spans="1:6" ht="20.100000000000001" customHeight="1" x14ac:dyDescent="0.25">
      <c r="A42" s="74" t="str">
        <f>"Principal and Interest Due in "&amp;Year_DestinationYearID+1</f>
        <v>Principal and Interest Due in 2025</v>
      </c>
      <c r="B42" s="74"/>
      <c r="C42" s="74"/>
    </row>
    <row r="43" spans="1:6" x14ac:dyDescent="0.25">
      <c r="A43" s="79" t="str">
        <f>"Principal Due in "&amp;Year_DestinationYearID+1</f>
        <v>Principal Due in 2025</v>
      </c>
      <c r="B43" s="122"/>
      <c r="C43" s="128"/>
      <c r="D43" s="77" t="str">
        <f ca="1">IFERROR(INDEX(Validation!G:G,MATCH("Loan 13"&amp;CELL("address",D43),Validation!I:I,0)),"")</f>
        <v/>
      </c>
      <c r="E43" s="66" t="str">
        <f ca="1">IFERROR(INDEX(Validation!F:F,MATCH("Loan 13"&amp;CELL("address",D43),Validation!I:I,0)),"")</f>
        <v/>
      </c>
    </row>
    <row r="44" spans="1:6" x14ac:dyDescent="0.25">
      <c r="A44" s="79" t="str">
        <f>"Interest Due in "&amp;Year_DestinationYearID+1</f>
        <v>Interest Due in 2025</v>
      </c>
      <c r="B44" s="122"/>
      <c r="C44" s="128"/>
      <c r="D44" s="77" t="str">
        <f ca="1">IFERROR(INDEX(Validation!G:G,MATCH("Loan 13"&amp;CELL("address",D44),Validation!I:I,0)),"")</f>
        <v/>
      </c>
      <c r="E44" s="66" t="str">
        <f ca="1">IFERROR(INDEX(Validation!F:F,MATCH("Loan 13"&amp;CELL("address",D44),Validation!I:I,0)),"")</f>
        <v/>
      </c>
    </row>
    <row r="45" spans="1:6" ht="20.100000000000001" customHeight="1" x14ac:dyDescent="0.25">
      <c r="A45" s="97" t="s">
        <v>176</v>
      </c>
      <c r="D45" s="77" t="str">
        <f ca="1">IF(AND(ISBLANK(A46),OR(COUNTIF(E6:E44,"Alert")&gt;0,SUM(B37:B37)&lt;&gt;0)),"Comment(s) required for remaining alert(s) and/or additions to principal.",IFERROR(INDEX(Validation!G:G,MATCH("Loan 13"&amp;CELL("address",D45),Validation!I:I,0)),""))</f>
        <v/>
      </c>
      <c r="E45" s="66" t="str">
        <f ca="1">IF(AND(ISBLANK(A46),OR(COUNTIF(E6:E44,"Alert")&gt;0,SUM(B37:B37)&lt;&gt;0)),"Error",IFERROR(INDEX(Validation!F:F,MATCH("Loan 13"&amp;CELL("address",D45),Validation!I:I,0)),""))</f>
        <v/>
      </c>
    </row>
    <row r="46" spans="1:6" ht="150" customHeight="1" x14ac:dyDescent="0.25">
      <c r="A46" s="123"/>
      <c r="B46" s="100" t="str">
        <f>HYPERLINK("#'Loans'!B6","Click here to return to the Loans Tab")</f>
        <v>Click here to return to the Loans Tab</v>
      </c>
      <c r="C46" s="127"/>
    </row>
    <row r="47" spans="1:6" x14ac:dyDescent="0.25">
      <c r="A47" s="98"/>
      <c r="B47" s="98"/>
      <c r="C47" s="98"/>
    </row>
    <row r="48" spans="1:6" x14ac:dyDescent="0.25">
      <c r="A48" s="98"/>
      <c r="B48" s="98"/>
      <c r="C48" s="98"/>
    </row>
    <row r="49" spans="1:3" x14ac:dyDescent="0.25">
      <c r="A49" s="98"/>
      <c r="B49" s="98"/>
      <c r="C49" s="98"/>
    </row>
    <row r="50" spans="1:3" x14ac:dyDescent="0.25">
      <c r="A50" s="98"/>
      <c r="B50" s="98"/>
      <c r="C50" s="98"/>
    </row>
  </sheetData>
  <sheetProtection algorithmName="SHA-512" hashValue="uJkkg/RR2tbMY02sbP9NJBdKhqMpU+EBCanpVSvNkeRzuSgzPXl203Y+SEcXEhnrYnur1QqPDISsX+RKNoAtqw==" saltValue="5AeBQigGN53m4CvoWy15YQ==" spinCount="100000" sheet="1" objects="1" scenarios="1"/>
  <mergeCells count="1">
    <mergeCell ref="A4:E4"/>
  </mergeCells>
  <conditionalFormatting sqref="A2">
    <cfRule type="expression" dxfId="161" priority="11">
      <formula>$E2="Error"</formula>
    </cfRule>
    <cfRule type="expression" dxfId="159" priority="13">
      <formula>$E2="Exclude"</formula>
    </cfRule>
  </conditionalFormatting>
  <conditionalFormatting sqref="D6:E41 D43:E45">
    <cfRule type="expression" dxfId="156" priority="5">
      <formula>$E6="Information"</formula>
    </cfRule>
    <cfRule type="expression" dxfId="155" priority="6">
      <formula>$E6="Error"</formula>
    </cfRule>
    <cfRule type="expression" dxfId="154" priority="7">
      <formula>$E6="Alert"</formula>
    </cfRule>
    <cfRule type="expression" dxfId="153" priority="8">
      <formula>$E6="Exclude"</formula>
    </cfRule>
  </conditionalFormatting>
  <dataValidations count="4">
    <dataValidation type="list" allowBlank="1" showInputMessage="1" showErrorMessage="1" sqref="B7" xr:uid="{926EC5D1-46E7-4531-8B62-D014F952365D}">
      <formula1>DueToType</formula1>
    </dataValidation>
    <dataValidation type="list" allowBlank="1" showInputMessage="1" showErrorMessage="1" sqref="B8" xr:uid="{D800D2E5-3274-4B1D-A5D7-28BC2B8B1AA0}">
      <formula1>DistrictDropDown</formula1>
    </dataValidation>
    <dataValidation type="list" allowBlank="1" showInputMessage="1" showErrorMessage="1" sqref="B14:C14" xr:uid="{085CBDD8-F02C-4405-91F5-5EAB0723A5EB}">
      <formula1>InterestRateType</formula1>
    </dataValidation>
    <dataValidation type="list" allowBlank="1" showInputMessage="1" showErrorMessage="1" sqref="B16:B17" xr:uid="{4640BAC2-8D36-4911-B55F-309E44212E74}">
      <formula1>SelOneYesNo</formula1>
    </dataValidation>
  </dataValidations>
  <pageMargins left="0.7" right="0.7" top="0.75" bottom="0.75" header="0.3" footer="0.3"/>
  <pageSetup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12" id="{21290D14-0459-4DD2-91A0-F469CC051211}">
            <xm:f>COUNTIFS(Validation!$H:$H,MID(CELL("filename",A2),FIND("]",CELL("filename",A2))+1,255)&amp;CELL("address",A2))&gt;0</xm:f>
            <x14:dxf>
              <font>
                <b/>
                <i val="0"/>
                <color rgb="FFC00000"/>
              </font>
              <numFmt numFmtId="172" formatCode="_(\!* #,##0_);_(\!* \(#,##0\);_(\!* \-??_);_(\!\ @_)"/>
            </x14:dxf>
          </x14:cfRule>
          <xm:sqref>A2</xm:sqref>
        </x14:conditionalFormatting>
        <x14:conditionalFormatting xmlns:xm="http://schemas.microsoft.com/office/excel/2006/main">
          <x14:cfRule type="expression" priority="10" id="{63EF242B-40B7-467A-AA4E-3F088AA2A9AA}">
            <xm:f>$B$7=Lists!$AH$3</xm:f>
            <x14:dxf>
              <fill>
                <patternFill>
                  <bgColor rgb="FFEAEAEA"/>
                </patternFill>
              </fill>
            </x14:dxf>
          </x14:cfRule>
          <xm:sqref>B8</xm:sqref>
        </x14:conditionalFormatting>
        <x14:conditionalFormatting xmlns:xm="http://schemas.microsoft.com/office/excel/2006/main">
          <x14:cfRule type="expression" priority="9" id="{1946CA4C-6C26-44CB-8535-9C3CB3F0BF59}">
            <xm:f>$B$7=Lists!$AH$2</xm:f>
            <x14:dxf>
              <fill>
                <patternFill>
                  <bgColor rgb="FFEAEAEA"/>
                </patternFill>
              </fill>
            </x14:dxf>
          </x14:cfRule>
          <xm:sqref>B9</xm:sqref>
        </x14:conditionalFormatting>
      </x14:conditionalFormatting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8D34BE-8A0C-448B-848A-D045B895DDA4}">
  <sheetPr>
    <tabColor rgb="FFEED382"/>
  </sheetPr>
  <dimension ref="A1:F50"/>
  <sheetViews>
    <sheetView showGridLines="0" workbookViewId="0">
      <selection activeCell="B7" sqref="B7"/>
    </sheetView>
  </sheetViews>
  <sheetFormatPr defaultRowHeight="15" x14ac:dyDescent="0.25"/>
  <cols>
    <col min="1" max="1" width="55.7109375" style="66" customWidth="1"/>
    <col min="2" max="3" width="22.7109375" style="66" customWidth="1"/>
    <col min="4" max="4" width="80.85546875" style="66" customWidth="1"/>
    <col min="5" max="5" width="14.7109375" style="66" customWidth="1"/>
    <col min="6" max="6" width="10.7109375" style="78" hidden="1" customWidth="1"/>
    <col min="7" max="16384" width="9.140625" style="66"/>
  </cols>
  <sheetData>
    <row r="1" spans="1:6" s="59" customFormat="1" ht="24.95" customHeight="1" x14ac:dyDescent="0.25">
      <c r="A1" s="59" t="str">
        <f>_xlfn.CONCAT("Office of the State Auditor  -  TIF Annual Reporting Form  -  ",Year_DestinationYearID)</f>
        <v>Office of the State Auditor  -  TIF Annual Reporting Form  -  2024</v>
      </c>
      <c r="F1" s="61"/>
    </row>
    <row r="2" spans="1:6" s="62" customFormat="1" ht="20.100000000000001" customHeight="1" x14ac:dyDescent="0.25">
      <c r="A2" s="58" t="str">
        <f>_xlfn.CONCAT(GovEntity_GovEntityName_Parent,"  -  ",GovEntity_GovEntityName)</f>
        <v>Spruce City  -  TIF 1-1 Downtown Redev</v>
      </c>
      <c r="F2" s="64"/>
    </row>
    <row r="3" spans="1:6" s="68" customFormat="1" ht="24.95" customHeight="1" x14ac:dyDescent="0.3">
      <c r="A3" s="65" t="s">
        <v>238</v>
      </c>
      <c r="B3" s="66"/>
      <c r="C3" s="66"/>
      <c r="F3" s="69"/>
    </row>
    <row r="4" spans="1:6" s="71" customFormat="1" x14ac:dyDescent="0.25">
      <c r="A4" s="217" t="s">
        <v>207</v>
      </c>
      <c r="B4" s="217"/>
      <c r="C4" s="217"/>
      <c r="D4" s="217"/>
      <c r="E4" s="217"/>
      <c r="F4" s="72" t="s">
        <v>119</v>
      </c>
    </row>
    <row r="5" spans="1:6" s="74" customFormat="1" ht="20.100000000000001" customHeight="1" x14ac:dyDescent="0.25">
      <c r="A5" s="73" t="str">
        <f>HYPERLINK("#'Loans'!B6","Click here to return to the Loans Tab")</f>
        <v>Click here to return to the Loans Tab</v>
      </c>
      <c r="D5" s="74" t="s">
        <v>121</v>
      </c>
      <c r="E5" s="74" t="s">
        <v>102</v>
      </c>
      <c r="F5" s="76"/>
    </row>
    <row r="6" spans="1:6" ht="20.100000000000001" customHeight="1" x14ac:dyDescent="0.25">
      <c r="A6" s="74" t="s">
        <v>239</v>
      </c>
      <c r="D6" s="77" t="str">
        <f ca="1">IFERROR(INDEX(Validation!G:G,MATCH("Loan 14"&amp;CELL("address",D6),Validation!I:I,0)),"")</f>
        <v/>
      </c>
      <c r="E6" s="66" t="str">
        <f ca="1">IFERROR(INDEX(Validation!F:F,MATCH("Loan 14"&amp;CELL("address",D6),Validation!I:I,0)),"")</f>
        <v/>
      </c>
      <c r="F6" s="78" t="s">
        <v>875</v>
      </c>
    </row>
    <row r="7" spans="1:6" x14ac:dyDescent="0.25">
      <c r="A7" s="79" t="s">
        <v>761</v>
      </c>
      <c r="B7" s="103" t="str">
        <f>IF(AND(NOT(ISBLANK('Loan Input'!P5)),OR('Loan Input'!P$5=Lists!$AG$2,'Loan Input'!P$5=Lists!$AG$3)),_xlfn.XLOOKUP('Loan Input'!P5,Lists!AG2:AG5,Lists!AH2:AH5),Lists!$AH$1)</f>
        <v>Select One</v>
      </c>
      <c r="C7" s="128"/>
      <c r="D7" s="77" t="str">
        <f ca="1">IFERROR(INDEX(Validation!G:G,MATCH("Loan 14"&amp;CELL("address",D7),Validation!I:I,0)),"")</f>
        <v/>
      </c>
      <c r="E7" s="66" t="str">
        <f ca="1">IFERROR(INDEX(Validation!F:F,MATCH("Loan 14"&amp;CELL("address",D7),Validation!I:I,0)),"")</f>
        <v/>
      </c>
      <c r="F7" s="85" t="str">
        <f>IF(NOT(ISBLANK('Loan Input'!P4)),'Loan Input'!P4,"")</f>
        <v/>
      </c>
    </row>
    <row r="8" spans="1:6" x14ac:dyDescent="0.25">
      <c r="A8" s="79" t="s">
        <v>769</v>
      </c>
      <c r="B8" s="103" t="str">
        <f>IF(AND(NOT(ISBLANK('Loan Input'!P6)),'Loan Input'!P$5=Lists!$AG$2),'Loan Input'!P6,Lists!$AJ$1)</f>
        <v>Select One</v>
      </c>
      <c r="C8" s="128"/>
      <c r="D8" s="77" t="str">
        <f ca="1">IFERROR(INDEX(Validation!G:G,MATCH("Loan 14"&amp;CELL("address",D8),Validation!I:I,0)),"")</f>
        <v/>
      </c>
      <c r="E8" s="66" t="str">
        <f ca="1">IFERROR(INDEX(Validation!F:F,MATCH("Loan 14"&amp;CELL("address",D8),Validation!I:I,0)),"")</f>
        <v/>
      </c>
    </row>
    <row r="9" spans="1:6" x14ac:dyDescent="0.25">
      <c r="A9" s="79" t="s">
        <v>770</v>
      </c>
      <c r="B9" s="103" t="str">
        <f>IF(AND(NOT(ISBLANK('Loan Input'!P7)),'Loan Input'!P$5=Lists!$AG$3),'Loan Input'!P7,"")</f>
        <v/>
      </c>
      <c r="C9" s="128"/>
      <c r="D9" s="77" t="str">
        <f ca="1">IFERROR(INDEX(Validation!G:G,MATCH("Loan 14"&amp;CELL("address",D9),Validation!I:I,0)),"")</f>
        <v/>
      </c>
      <c r="E9" s="66" t="str">
        <f ca="1">IFERROR(INDEX(Validation!F:F,MATCH("Loan 14"&amp;CELL("address",D9),Validation!I:I,0)),"")</f>
        <v/>
      </c>
    </row>
    <row r="10" spans="1:6" x14ac:dyDescent="0.25">
      <c r="A10" s="79" t="s">
        <v>931</v>
      </c>
      <c r="B10" s="120" t="str">
        <f>IF(AND(NOT(ISBLANK('Loan Input'!P8)),OR('Loan Input'!P$5=Lists!$AG$2,'Loan Input'!P$5=Lists!$AG$3)),'Loan Input'!P8,"")</f>
        <v/>
      </c>
      <c r="C10" s="128"/>
      <c r="D10" s="77" t="str">
        <f ca="1">IFERROR(INDEX(Validation!G:G,MATCH("Loan 14"&amp;CELL("address",D10),Validation!I:I,0)),"")</f>
        <v/>
      </c>
      <c r="E10" s="66" t="str">
        <f ca="1">IFERROR(INDEX(Validation!F:F,MATCH("Loan 14"&amp;CELL("address",D10),Validation!I:I,0)),"")</f>
        <v/>
      </c>
    </row>
    <row r="11" spans="1:6" x14ac:dyDescent="0.25">
      <c r="A11" s="79" t="s">
        <v>212</v>
      </c>
      <c r="B11" s="120" t="str">
        <f>IF(AND(NOT(ISBLANK('Loan Input'!P9)),OR('Loan Input'!P$5=Lists!$AG$2,'Loan Input'!P$5=Lists!$AG$3)),'Loan Input'!P9,"")</f>
        <v/>
      </c>
      <c r="C11" s="128"/>
      <c r="D11" s="77" t="str">
        <f ca="1">IFERROR(INDEX(Validation!G:G,MATCH("Loan 14"&amp;CELL("address",D11),Validation!I:I,0)),"")</f>
        <v/>
      </c>
      <c r="E11" s="66" t="str">
        <f ca="1">IFERROR(INDEX(Validation!F:F,MATCH("Loan 14"&amp;CELL("address",D11),Validation!I:I,0)),"")</f>
        <v/>
      </c>
    </row>
    <row r="12" spans="1:6" x14ac:dyDescent="0.25">
      <c r="A12" s="79" t="s">
        <v>213</v>
      </c>
      <c r="B12" s="121" t="str">
        <f>IF(AND(NOT(ISBLANK('Loan Input'!P10)),OR('Loan Input'!P$5=Lists!$AG$2,'Loan Input'!P$5=Lists!$AG$3)),'Loan Input'!P10,"")</f>
        <v/>
      </c>
      <c r="C12" s="128"/>
      <c r="D12" s="77" t="str">
        <f ca="1">IFERROR(INDEX(Validation!G:G,MATCH("Loan 14"&amp;CELL("address",D12),Validation!I:I,0)),"")</f>
        <v/>
      </c>
      <c r="E12" s="66" t="str">
        <f ca="1">IFERROR(INDEX(Validation!F:F,MATCH("Loan 14"&amp;CELL("address",D12),Validation!I:I,0)),"")</f>
        <v/>
      </c>
    </row>
    <row r="13" spans="1:6" x14ac:dyDescent="0.25">
      <c r="A13" s="79" t="s">
        <v>214</v>
      </c>
      <c r="B13" s="121" t="str">
        <f>IF(AND(NOT(ISBLANK('Loan Input'!P11)),OR('Loan Input'!P$5=Lists!$AG$2,'Loan Input'!P$5=Lists!$AG$3)),'Loan Input'!P11,"")</f>
        <v/>
      </c>
      <c r="C13" s="128"/>
      <c r="D13" s="77" t="str">
        <f ca="1">IFERROR(INDEX(Validation!G:G,MATCH("Loan 14"&amp;CELL("address",D13),Validation!I:I,0)),"")</f>
        <v/>
      </c>
      <c r="E13" s="66" t="str">
        <f ca="1">IFERROR(INDEX(Validation!F:F,MATCH("Loan 14"&amp;CELL("address",D13),Validation!I:I,0)),"")</f>
        <v/>
      </c>
    </row>
    <row r="14" spans="1:6" x14ac:dyDescent="0.25">
      <c r="A14" s="79" t="s">
        <v>241</v>
      </c>
      <c r="B14" s="120" t="str">
        <f>IF(AND(NOT(ISBLANK('Loan Input'!P12)),OR('Loan Input'!P$5=Lists!$AG$2,'Loan Input'!P$5=Lists!$AG$3)),'Loan Input'!P12,Lists!$AM$1)</f>
        <v>Select One</v>
      </c>
      <c r="C14" s="129"/>
      <c r="D14" s="77" t="str">
        <f ca="1">IFERROR(INDEX(Validation!G:G,MATCH("Loan 14"&amp;CELL("address",D14),Validation!I:I,0)),"")</f>
        <v/>
      </c>
      <c r="E14" s="66" t="str">
        <f ca="1">IFERROR(INDEX(Validation!F:F,MATCH("Loan 14"&amp;CELL("address",D14),Validation!I:I,0)),"")</f>
        <v/>
      </c>
    </row>
    <row r="15" spans="1:6" x14ac:dyDescent="0.25">
      <c r="A15" s="79" t="s">
        <v>242</v>
      </c>
      <c r="B15" s="122" t="str">
        <f>IF(AND(NOT(ISBLANK('Loan Input'!P13)),OR('Loan Input'!P$5=Lists!$AG$2,'Loan Input'!P$5=Lists!$AG$3)),'Loan Input'!P13,"")</f>
        <v/>
      </c>
      <c r="C15" s="128"/>
      <c r="D15" s="77" t="str">
        <f ca="1">IFERROR(INDEX(Validation!G:G,MATCH("Loan 14"&amp;CELL("address",D15),Validation!I:I,0)),"")</f>
        <v/>
      </c>
      <c r="E15" s="66" t="str">
        <f ca="1">IFERROR(INDEX(Validation!F:F,MATCH("Loan 14"&amp;CELL("address",D15),Validation!I:I,0)),"")</f>
        <v/>
      </c>
    </row>
    <row r="16" spans="1:6" x14ac:dyDescent="0.25">
      <c r="A16" s="79" t="s">
        <v>232</v>
      </c>
      <c r="B16" s="103" t="str">
        <f>IF(OR('Loan Input'!P14="",'Loan Input'!P14=0),"Select One",IF('Loan Input'!P14=TRUE,"Yes","No"))</f>
        <v>Select One</v>
      </c>
      <c r="C16" s="128"/>
      <c r="D16" s="77" t="str">
        <f ca="1">IFERROR(INDEX(Validation!G:G,MATCH("Loan 14"&amp;CELL("address",D16),Validation!I:I,0)),"")</f>
        <v/>
      </c>
      <c r="E16" s="66" t="str">
        <f ca="1">IFERROR(INDEX(Validation!F:F,MATCH("Loan 14"&amp;CELL("address",D16),Validation!I:I,0)),"")</f>
        <v/>
      </c>
    </row>
    <row r="17" spans="1:5" x14ac:dyDescent="0.25">
      <c r="A17" s="79" t="str">
        <f>"Were the terms of this obligation modified in "&amp;Year_DestinationYearID&amp;"?"</f>
        <v>Were the terms of this obligation modified in 2024?</v>
      </c>
      <c r="B17" s="103" t="s">
        <v>41</v>
      </c>
      <c r="C17" s="128"/>
      <c r="D17" s="77" t="str">
        <f ca="1">IFERROR(INDEX(Validation!G:G,MATCH("Loan 14"&amp;CELL("address",D17),Validation!I:I,0)),"")</f>
        <v/>
      </c>
      <c r="E17" s="66" t="str">
        <f ca="1">IFERROR(INDEX(Validation!F:F,MATCH("Loan 14"&amp;CELL("address",D17),Validation!I:I,0)),"")</f>
        <v/>
      </c>
    </row>
    <row r="18" spans="1:5" ht="20.100000000000001" customHeight="1" x14ac:dyDescent="0.25">
      <c r="A18" s="74" t="s">
        <v>1183</v>
      </c>
      <c r="B18" s="74" t="s">
        <v>283</v>
      </c>
      <c r="C18" s="74" t="str">
        <f>Year_DestinationYearID&amp;" Amount"</f>
        <v>2024 Amount</v>
      </c>
      <c r="D18" s="77" t="str">
        <f ca="1">IFERROR(INDEX(Validation!G:G,MATCH("Loan 14"&amp;CELL("address",D18),Validation!I:I,0)),"")</f>
        <v/>
      </c>
      <c r="E18" s="66" t="str">
        <f ca="1">IFERROR(INDEX(Validation!F:F,MATCH("Loan 14"&amp;CELL("address",D18),Validation!I:I,0)),"")</f>
        <v/>
      </c>
    </row>
    <row r="19" spans="1:5" x14ac:dyDescent="0.25">
      <c r="A19" s="79" t="s">
        <v>266</v>
      </c>
      <c r="B19" s="122" t="str">
        <f>IF(AND(NOT(ISBLANK('Loan Input'!P16)),OR('Loan Input'!P$5=Lists!$AG$2,'Loan Input'!P$5=Lists!$AG$3)),'Loan Input'!P16,"")</f>
        <v/>
      </c>
      <c r="C19" s="103"/>
      <c r="D19" s="77" t="str">
        <f ca="1">IFERROR(INDEX(Validation!G:G,MATCH("Loan 14"&amp;CELL("address",D19),Validation!I:I,0)),"")</f>
        <v/>
      </c>
      <c r="E19" s="66" t="str">
        <f ca="1">IFERROR(INDEX(Validation!F:F,MATCH("Loan 14"&amp;CELL("address",D19),Validation!I:I,0)),"")</f>
        <v/>
      </c>
    </row>
    <row r="20" spans="1:5" x14ac:dyDescent="0.25">
      <c r="A20" s="79" t="s">
        <v>267</v>
      </c>
      <c r="B20" s="122" t="str">
        <f>IF(AND(NOT(ISBLANK('Loan Input'!P18)),OR('Loan Input'!P$5=Lists!$AG$2,'Loan Input'!P$5=Lists!$AG$3)),'Loan Input'!P18,"")</f>
        <v/>
      </c>
      <c r="C20" s="103"/>
      <c r="D20" s="77" t="str">
        <f ca="1">IFERROR(INDEX(Validation!G:G,MATCH("Loan 14"&amp;CELL("address",D20),Validation!I:I,0)),"")</f>
        <v/>
      </c>
      <c r="E20" s="66" t="str">
        <f ca="1">IFERROR(INDEX(Validation!F:F,MATCH("Loan 14"&amp;CELL("address",D20),Validation!I:I,0)),"")</f>
        <v/>
      </c>
    </row>
    <row r="21" spans="1:5" x14ac:dyDescent="0.25">
      <c r="A21" s="79" t="s">
        <v>268</v>
      </c>
      <c r="B21" s="122" t="str">
        <f>IF(AND(NOT(ISBLANK('Loan Input'!P20)),OR('Loan Input'!P$5=Lists!$AG$2,'Loan Input'!P$5=Lists!$AG$3)),'Loan Input'!P20,"")</f>
        <v/>
      </c>
      <c r="C21" s="103"/>
      <c r="D21" s="77" t="str">
        <f ca="1">IFERROR(INDEX(Validation!G:G,MATCH("Loan 14"&amp;CELL("address",D21),Validation!I:I,0)),"")</f>
        <v/>
      </c>
      <c r="E21" s="66" t="str">
        <f ca="1">IFERROR(INDEX(Validation!F:F,MATCH("Loan 14"&amp;CELL("address",D21),Validation!I:I,0)),"")</f>
        <v/>
      </c>
    </row>
    <row r="22" spans="1:5" x14ac:dyDescent="0.25">
      <c r="A22" s="79" t="s">
        <v>269</v>
      </c>
      <c r="B22" s="122" t="str">
        <f>IF(AND(NOT(ISBLANK('Loan Input'!P22)),OR('Loan Input'!P$5=Lists!$AG$2,'Loan Input'!P$5=Lists!$AG$3)),'Loan Input'!P22,"")</f>
        <v/>
      </c>
      <c r="C22" s="103"/>
      <c r="D22" s="77" t="str">
        <f ca="1">IFERROR(INDEX(Validation!G:G,MATCH("Loan 14"&amp;CELL("address",D22),Validation!I:I,0)),"")</f>
        <v/>
      </c>
      <c r="E22" s="66" t="str">
        <f ca="1">IFERROR(INDEX(Validation!F:F,MATCH("Loan 14"&amp;CELL("address",D22),Validation!I:I,0)),"")</f>
        <v/>
      </c>
    </row>
    <row r="23" spans="1:5" x14ac:dyDescent="0.25">
      <c r="A23" s="79" t="s">
        <v>1101</v>
      </c>
      <c r="B23" s="122" t="str">
        <f>IF(AND(NOT(ISBLANK('Loan Input'!P24)),OR('Loan Input'!P$5=Lists!$AG$2,'Loan Input'!P$5=Lists!$AG$3)),'Loan Input'!P24,"")</f>
        <v/>
      </c>
      <c r="C23" s="103"/>
      <c r="D23" s="77" t="str">
        <f ca="1">IFERROR(INDEX(Validation!G:G,MATCH("Loan 14"&amp;CELL("address",D23),Validation!I:I,0)),"")</f>
        <v/>
      </c>
      <c r="E23" s="66" t="str">
        <f ca="1">IFERROR(INDEX(Validation!F:F,MATCH("Loan 14"&amp;CELL("address",D23),Validation!I:I,0)),"")</f>
        <v/>
      </c>
    </row>
    <row r="24" spans="1:5" x14ac:dyDescent="0.25">
      <c r="A24" s="79" t="s">
        <v>270</v>
      </c>
      <c r="B24" s="122" t="str">
        <f>IF(AND(NOT(ISBLANK('Loan Input'!P26)),OR('Loan Input'!P$5=Lists!$AG$2,'Loan Input'!P$5=Lists!$AG$3)),'Loan Input'!P26,"")</f>
        <v/>
      </c>
      <c r="C24" s="103"/>
      <c r="D24" s="77" t="str">
        <f ca="1">IFERROR(INDEX(Validation!G:G,MATCH("Loan 14"&amp;CELL("address",D24),Validation!I:I,0)),"")</f>
        <v/>
      </c>
      <c r="E24" s="66" t="str">
        <f ca="1">IFERROR(INDEX(Validation!F:F,MATCH("Loan 14"&amp;CELL("address",D24),Validation!I:I,0)),"")</f>
        <v/>
      </c>
    </row>
    <row r="25" spans="1:5" x14ac:dyDescent="0.25">
      <c r="A25" s="79" t="s">
        <v>271</v>
      </c>
      <c r="B25" s="122" t="str">
        <f>IF(AND(NOT(ISBLANK('Loan Input'!P28)),OR('Loan Input'!P$5=Lists!$AG$2,'Loan Input'!P$5=Lists!$AG$3)),'Loan Input'!P28,"")</f>
        <v/>
      </c>
      <c r="C25" s="103"/>
      <c r="D25" s="77" t="str">
        <f ca="1">IFERROR(INDEX(Validation!G:G,MATCH("Loan 14"&amp;CELL("address",D25),Validation!I:I,0)),"")</f>
        <v/>
      </c>
      <c r="E25" s="66" t="str">
        <f ca="1">IFERROR(INDEX(Validation!F:F,MATCH("Loan 14"&amp;CELL("address",D25),Validation!I:I,0)),"")</f>
        <v/>
      </c>
    </row>
    <row r="26" spans="1:5" x14ac:dyDescent="0.25">
      <c r="A26" s="79" t="s">
        <v>276</v>
      </c>
      <c r="B26" s="122" t="str">
        <f>IF(AND(NOT(ISBLANK('Loan Input'!P30)),OR('Loan Input'!P$5=Lists!$AG$2,'Loan Input'!P$5=Lists!$AG$3)),'Loan Input'!P30,"")</f>
        <v/>
      </c>
      <c r="C26" s="103"/>
      <c r="D26" s="77" t="str">
        <f ca="1">IFERROR(INDEX(Validation!G:G,MATCH("Loan 14"&amp;CELL("address",D26),Validation!I:I,0)),"")</f>
        <v/>
      </c>
      <c r="E26" s="66" t="str">
        <f ca="1">IFERROR(INDEX(Validation!F:F,MATCH("Loan 14"&amp;CELL("address",D26),Validation!I:I,0)),"")</f>
        <v/>
      </c>
    </row>
    <row r="27" spans="1:5" x14ac:dyDescent="0.25">
      <c r="A27" s="79" t="s">
        <v>272</v>
      </c>
      <c r="B27" s="122" t="str">
        <f>IF(AND(NOT(ISBLANK('Loan Input'!P32)),OR('Loan Input'!P$5=Lists!$AG$2,'Loan Input'!P$5=Lists!$AG$3)),'Loan Input'!P32,"")</f>
        <v/>
      </c>
      <c r="C27" s="103"/>
      <c r="D27" s="77" t="str">
        <f ca="1">IFERROR(INDEX(Validation!G:G,MATCH("Loan 14"&amp;CELL("address",D27),Validation!I:I,0)),"")</f>
        <v/>
      </c>
      <c r="E27" s="66" t="str">
        <f ca="1">IFERROR(INDEX(Validation!F:F,MATCH("Loan 14"&amp;CELL("address",D27),Validation!I:I,0)),"")</f>
        <v/>
      </c>
    </row>
    <row r="28" spans="1:5" x14ac:dyDescent="0.25">
      <c r="A28" s="79" t="s">
        <v>273</v>
      </c>
      <c r="B28" s="122" t="str">
        <f>IF(AND(NOT(ISBLANK('Loan Input'!P34)),OR('Loan Input'!P$5=Lists!$AG$2,'Loan Input'!P$5=Lists!$AG$3)),'Loan Input'!P34,"")</f>
        <v/>
      </c>
      <c r="C28" s="103"/>
      <c r="D28" s="77" t="str">
        <f ca="1">IFERROR(INDEX(Validation!G:G,MATCH("Loan 14"&amp;CELL("address",D28),Validation!I:I,0)),"")</f>
        <v/>
      </c>
      <c r="E28" s="66" t="str">
        <f ca="1">IFERROR(INDEX(Validation!F:F,MATCH("Loan 14"&amp;CELL("address",D28),Validation!I:I,0)),"")</f>
        <v/>
      </c>
    </row>
    <row r="29" spans="1:5" x14ac:dyDescent="0.25">
      <c r="A29" s="130" t="s">
        <v>1184</v>
      </c>
      <c r="B29" s="125">
        <f>SUM(B19:B28)</f>
        <v>0</v>
      </c>
      <c r="C29" s="125">
        <f>SUM(C19:C28)</f>
        <v>0</v>
      </c>
      <c r="D29" s="77" t="str">
        <f ca="1">IFERROR(INDEX(Validation!G:G,MATCH("Loan 14"&amp;CELL("address",D29),Validation!I:I,0)),"")</f>
        <v/>
      </c>
      <c r="E29" s="66" t="str">
        <f ca="1">IFERROR(INDEX(Validation!F:F,MATCH("Loan 14"&amp;CELL("address",D29),Validation!I:I,0)),"")</f>
        <v/>
      </c>
    </row>
    <row r="30" spans="1:5" x14ac:dyDescent="0.25">
      <c r="A30" s="130" t="s">
        <v>1185</v>
      </c>
      <c r="B30" s="125" t="str">
        <f>IFERROR(B34-B29,"")</f>
        <v/>
      </c>
      <c r="C30" s="125" t="str">
        <f>IFERROR(B34+C34-B29-C29,"")</f>
        <v/>
      </c>
      <c r="D30" s="77" t="str">
        <f ca="1">IFERROR(INDEX(Validation!G:G,MATCH("Loan 14"&amp;CELL("address",D30),Validation!I:I,0)),"")</f>
        <v/>
      </c>
      <c r="E30" s="66" t="str">
        <f ca="1">IFERROR(INDEX(Validation!F:F,MATCH("Loan 14"&amp;CELL("address",D30),Validation!I:I,0)),"")</f>
        <v/>
      </c>
    </row>
    <row r="31" spans="1:5" x14ac:dyDescent="0.25">
      <c r="A31" s="131" t="s">
        <v>1186</v>
      </c>
      <c r="B31" s="122" t="str">
        <f>IF(AND(NOT(ISBLANK('Loan Input'!P41)),OR('Loan Input'!P$5=Lists!$AG$2,'Loan Input'!P$5=Lists!$AG$3)),'Loan Input'!P41,"")</f>
        <v/>
      </c>
      <c r="C31" s="103"/>
      <c r="D31" s="77" t="str">
        <f ca="1">IFERROR(INDEX(Validation!G:G,MATCH("Loan 14"&amp;CELL("address",D31),Validation!I:I,0)),"")</f>
        <v/>
      </c>
      <c r="E31" s="66" t="str">
        <f ca="1">IFERROR(INDEX(Validation!F:F,MATCH("Loan 14"&amp;CELL("address",D31),Validation!I:I,0)),"")</f>
        <v/>
      </c>
    </row>
    <row r="32" spans="1:5" x14ac:dyDescent="0.25">
      <c r="A32" s="131" t="s">
        <v>1187</v>
      </c>
      <c r="B32" s="122" t="str">
        <f>IF(AND(NOT(ISBLANK('Loan Input'!P43)),OR('Loan Input'!P$5=Lists!$AG$2,'Loan Input'!P$5=Lists!$AG$3)),'Loan Input'!P43,"")</f>
        <v/>
      </c>
      <c r="C32" s="103"/>
      <c r="D32" s="77" t="str">
        <f ca="1">IFERROR(INDEX(Validation!G:G,MATCH("Loan 14"&amp;CELL("address",D32),Validation!I:I,0)),"")</f>
        <v/>
      </c>
      <c r="E32" s="66" t="str">
        <f ca="1">IFERROR(INDEX(Validation!F:F,MATCH("Loan 14"&amp;CELL("address",D32),Validation!I:I,0)),"")</f>
        <v/>
      </c>
    </row>
    <row r="33" spans="1:6" ht="20.100000000000001" customHeight="1" x14ac:dyDescent="0.25">
      <c r="A33" s="74" t="s">
        <v>754</v>
      </c>
      <c r="B33" s="74" t="s">
        <v>283</v>
      </c>
      <c r="C33" s="74" t="str">
        <f>Year_DestinationYearID&amp;" Amount"</f>
        <v>2024 Amount</v>
      </c>
      <c r="D33" s="77" t="str">
        <f ca="1">IFERROR(INDEX(Validation!G:G,MATCH("Loan 14"&amp;CELL("address",D33),Validation!I:I,0)),"")</f>
        <v/>
      </c>
      <c r="E33" s="66" t="str">
        <f ca="1">IFERROR(INDEX(Validation!F:F,MATCH("Loan 14"&amp;CELL("address",D33),Validation!I:I,0)),"")</f>
        <v/>
      </c>
    </row>
    <row r="34" spans="1:6" x14ac:dyDescent="0.25">
      <c r="A34" s="79" t="s">
        <v>1350</v>
      </c>
      <c r="B34" s="122" t="str">
        <f>IF(AND(NOT(ISBLANK('Loan Input'!P44)),OR('Loan Input'!P$5=Lists!$AG$2,'Loan Input'!P$5=Lists!$AG$3)),'Loan Input'!P44,"")</f>
        <v/>
      </c>
      <c r="C34" s="122"/>
      <c r="D34" s="77" t="str">
        <f ca="1">IFERROR(INDEX(Validation!G:G,MATCH("Loan 14"&amp;CELL("address",D34),Validation!I:I,0)),"")</f>
        <v/>
      </c>
      <c r="E34" s="66" t="str">
        <f ca="1">IFERROR(INDEX(Validation!F:F,MATCH("Loan 14"&amp;CELL("address",D34),Validation!I:I,0)),"")</f>
        <v/>
      </c>
    </row>
    <row r="35" spans="1:6" x14ac:dyDescent="0.25">
      <c r="A35" s="79" t="s">
        <v>1188</v>
      </c>
      <c r="B35" s="122" t="str">
        <f>IF(AND(NOT(ISBLANK('Loan Input'!P47)),OR('Loan Input'!P$5=Lists!$AG$2,'Loan Input'!P$5=Lists!$AG$3)),'Loan Input'!P47,"")</f>
        <v/>
      </c>
      <c r="C35" s="122"/>
      <c r="D35" s="77" t="str">
        <f ca="1">IFERROR(INDEX(Validation!G:G,MATCH("Loan 14"&amp;CELL("address",D35),Validation!I:I,0)),"")</f>
        <v/>
      </c>
      <c r="E35" s="66" t="str">
        <f ca="1">IFERROR(INDEX(Validation!F:F,MATCH("Loan 14"&amp;CELL("address",D35),Validation!I:I,0)),"")</f>
        <v/>
      </c>
    </row>
    <row r="36" spans="1:6" x14ac:dyDescent="0.25">
      <c r="A36" s="79" t="s">
        <v>1189</v>
      </c>
      <c r="B36" s="122" t="str">
        <f>IF(AND(NOT(ISBLANK('Loan Input'!P49)),OR('Loan Input'!P$5=Lists!$AG$2,'Loan Input'!P$5=Lists!$AG$3)),'Loan Input'!P49,"")</f>
        <v/>
      </c>
      <c r="C36" s="122"/>
      <c r="D36" s="77" t="str">
        <f ca="1">IFERROR(INDEX(Validation!G:G,MATCH("Loan 14"&amp;CELL("address",D36),Validation!I:I,0)),"")</f>
        <v/>
      </c>
      <c r="E36" s="66" t="str">
        <f ca="1">IFERROR(INDEX(Validation!F:F,MATCH("Loan 14"&amp;CELL("address",D36),Validation!I:I,0)),"")</f>
        <v/>
      </c>
    </row>
    <row r="37" spans="1:6" x14ac:dyDescent="0.25">
      <c r="A37" s="79" t="s">
        <v>1190</v>
      </c>
      <c r="B37" s="122" t="str">
        <f>IF(AND(NOT(ISBLANK('Loan Input'!P51)),OR('Loan Input'!P$5=Lists!$AG$2,'Loan Input'!P$5=Lists!$AG$3)),'Loan Input'!P51,"")</f>
        <v/>
      </c>
      <c r="C37" s="122"/>
      <c r="D37" s="77" t="str">
        <f ca="1">IFERROR(INDEX(Validation!G:G,MATCH("Loan 14"&amp;CELL("address",D37),Validation!I:I,0)),"")</f>
        <v/>
      </c>
      <c r="E37" s="66" t="str">
        <f ca="1">IFERROR(INDEX(Validation!F:F,MATCH("Loan 14"&amp;CELL("address",D37),Validation!I:I,0)),"")</f>
        <v/>
      </c>
    </row>
    <row r="38" spans="1:6" x14ac:dyDescent="0.25">
      <c r="A38" s="79" t="s">
        <v>221</v>
      </c>
      <c r="B38" s="125" t="str">
        <f>IFERROR(B34-B35-B36+B37,"")</f>
        <v/>
      </c>
      <c r="C38" s="125" t="str">
        <f>IFERROR(B34+C34-B35-B36-C35-C36+B37+C37,"")</f>
        <v/>
      </c>
      <c r="D38" s="77" t="str">
        <f ca="1">IFERROR(INDEX(Validation!G:G,MATCH("Loan 14"&amp;CELL("address",D38),Validation!I:I,0)),"")</f>
        <v/>
      </c>
      <c r="E38" s="66" t="str">
        <f ca="1">IFERROR(INDEX(Validation!F:F,MATCH("Loan 14"&amp;CELL("address",D38),Validation!I:I,0)),"")</f>
        <v/>
      </c>
      <c r="F38" s="126"/>
    </row>
    <row r="39" spans="1:6" x14ac:dyDescent="0.25">
      <c r="A39" s="79" t="s">
        <v>223</v>
      </c>
      <c r="B39" s="122" t="str">
        <f>IF(AND(NOT(ISBLANK('Loan Input'!P55)),OR('Loan Input'!P$5=Lists!$AG$2,'Loan Input'!P$5=Lists!$AG$3)),'Loan Input'!P55,"")</f>
        <v/>
      </c>
      <c r="C39" s="122"/>
      <c r="D39" s="77" t="str">
        <f ca="1">IFERROR(INDEX(Validation!G:G,MATCH("Loan 14"&amp;CELL("address",D39),Validation!I:I,0)),"")</f>
        <v/>
      </c>
      <c r="E39" s="66" t="str">
        <f ca="1">IFERROR(INDEX(Validation!F:F,MATCH("Loan 14"&amp;CELL("address",D39),Validation!I:I,0)),"")</f>
        <v/>
      </c>
    </row>
    <row r="40" spans="1:6" x14ac:dyDescent="0.25">
      <c r="A40" s="79" t="s">
        <v>1191</v>
      </c>
      <c r="B40" s="122" t="str">
        <f>IF(AND(NOT(ISBLANK('Loan Input'!P57)),OR('Loan Input'!P$5=Lists!$AG$2,'Loan Input'!P$5=Lists!$AG$3)),'Loan Input'!P57,"")</f>
        <v/>
      </c>
      <c r="C40" s="122"/>
      <c r="D40" s="77" t="str">
        <f ca="1">IFERROR(INDEX(Validation!G:G,MATCH("Loan 14"&amp;CELL("address",D40),Validation!I:I,0)),"")</f>
        <v/>
      </c>
      <c r="E40" s="66" t="str">
        <f ca="1">IFERROR(INDEX(Validation!F:F,MATCH("Loan 14"&amp;CELL("address",D40),Validation!I:I,0)),"")</f>
        <v/>
      </c>
    </row>
    <row r="41" spans="1:6" x14ac:dyDescent="0.25">
      <c r="A41" s="79" t="s">
        <v>1192</v>
      </c>
      <c r="B41" s="122" t="str">
        <f>IF(AND(NOT(ISBLANK('Loan Input'!P59)),OR('Loan Input'!P$5=Lists!$AG$2,'Loan Input'!P$5=Lists!$AG$3)),'Loan Input'!P59,"")</f>
        <v/>
      </c>
      <c r="C41" s="122"/>
      <c r="D41" s="77" t="str">
        <f ca="1">IFERROR(INDEX(Validation!G:G,MATCH("Loan 14"&amp;CELL("address",D41),Validation!I:I,0)),"")</f>
        <v/>
      </c>
      <c r="E41" s="66" t="str">
        <f ca="1">IFERROR(INDEX(Validation!F:F,MATCH("Loan 14"&amp;CELL("address",D41),Validation!I:I,0)),"")</f>
        <v/>
      </c>
    </row>
    <row r="42" spans="1:6" ht="20.100000000000001" customHeight="1" x14ac:dyDescent="0.25">
      <c r="A42" s="74" t="str">
        <f>"Principal and Interest Due in "&amp;Year_DestinationYearID+1</f>
        <v>Principal and Interest Due in 2025</v>
      </c>
      <c r="B42" s="74"/>
      <c r="C42" s="74"/>
    </row>
    <row r="43" spans="1:6" x14ac:dyDescent="0.25">
      <c r="A43" s="79" t="str">
        <f>"Principal Due in "&amp;Year_DestinationYearID+1</f>
        <v>Principal Due in 2025</v>
      </c>
      <c r="B43" s="122"/>
      <c r="C43" s="128"/>
      <c r="D43" s="77" t="str">
        <f ca="1">IFERROR(INDEX(Validation!G:G,MATCH("Loan 14"&amp;CELL("address",D43),Validation!I:I,0)),"")</f>
        <v/>
      </c>
      <c r="E43" s="66" t="str">
        <f ca="1">IFERROR(INDEX(Validation!F:F,MATCH("Loan 14"&amp;CELL("address",D43),Validation!I:I,0)),"")</f>
        <v/>
      </c>
    </row>
    <row r="44" spans="1:6" x14ac:dyDescent="0.25">
      <c r="A44" s="79" t="str">
        <f>"Interest Due in "&amp;Year_DestinationYearID+1</f>
        <v>Interest Due in 2025</v>
      </c>
      <c r="B44" s="122"/>
      <c r="C44" s="128"/>
      <c r="D44" s="77" t="str">
        <f ca="1">IFERROR(INDEX(Validation!G:G,MATCH("Loan 14"&amp;CELL("address",D44),Validation!I:I,0)),"")</f>
        <v/>
      </c>
      <c r="E44" s="66" t="str">
        <f ca="1">IFERROR(INDEX(Validation!F:F,MATCH("Loan 14"&amp;CELL("address",D44),Validation!I:I,0)),"")</f>
        <v/>
      </c>
    </row>
    <row r="45" spans="1:6" ht="20.100000000000001" customHeight="1" x14ac:dyDescent="0.25">
      <c r="A45" s="97" t="s">
        <v>176</v>
      </c>
      <c r="D45" s="77" t="str">
        <f ca="1">IF(AND(ISBLANK(A46),OR(COUNTIF(E6:E44,"Alert")&gt;0,SUM(B37:B37)&lt;&gt;0)),"Comment(s) required for remaining alert(s) and/or additions to principal.",IFERROR(INDEX(Validation!G:G,MATCH("Loan 14"&amp;CELL("address",D45),Validation!I:I,0)),""))</f>
        <v/>
      </c>
      <c r="E45" s="66" t="str">
        <f ca="1">IF(AND(ISBLANK(A46),OR(COUNTIF(E6:E44,"Alert")&gt;0,SUM(B37:B37)&lt;&gt;0)),"Error",IFERROR(INDEX(Validation!F:F,MATCH("Loan 14"&amp;CELL("address",D45),Validation!I:I,0)),""))</f>
        <v/>
      </c>
    </row>
    <row r="46" spans="1:6" ht="150" customHeight="1" x14ac:dyDescent="0.25">
      <c r="A46" s="123"/>
      <c r="B46" s="100" t="str">
        <f>HYPERLINK("#'Loans'!B6","Click here to return to the Loans Tab")</f>
        <v>Click here to return to the Loans Tab</v>
      </c>
      <c r="C46" s="127"/>
    </row>
    <row r="47" spans="1:6" x14ac:dyDescent="0.25">
      <c r="A47" s="98"/>
      <c r="B47" s="98"/>
      <c r="C47" s="98"/>
    </row>
    <row r="48" spans="1:6" x14ac:dyDescent="0.25">
      <c r="A48" s="98"/>
      <c r="B48" s="98"/>
      <c r="C48" s="98"/>
    </row>
    <row r="49" spans="1:3" x14ac:dyDescent="0.25">
      <c r="A49" s="98"/>
      <c r="B49" s="98"/>
      <c r="C49" s="98"/>
    </row>
    <row r="50" spans="1:3" x14ac:dyDescent="0.25">
      <c r="A50" s="98"/>
      <c r="B50" s="98"/>
      <c r="C50" s="98"/>
    </row>
  </sheetData>
  <sheetProtection algorithmName="SHA-512" hashValue="+hidNyKbnCfLeiOdUaUppLrifqcGyDg522iisSORXmXFi/o/Anw5T+YHQrWyo0loPIy7iGKCJAHEXbMT3FpH4g==" saltValue="SbhQdeG5E3yhqo1vMtC3rw==" spinCount="100000" sheet="1" objects="1" scenarios="1"/>
  <mergeCells count="1">
    <mergeCell ref="A4:E4"/>
  </mergeCells>
  <conditionalFormatting sqref="A2">
    <cfRule type="expression" dxfId="152" priority="11">
      <formula>$E2="Error"</formula>
    </cfRule>
    <cfRule type="expression" dxfId="150" priority="13">
      <formula>$E2="Exclude"</formula>
    </cfRule>
  </conditionalFormatting>
  <conditionalFormatting sqref="D6:E41 D43:E45">
    <cfRule type="expression" dxfId="147" priority="5">
      <formula>$E6="Information"</formula>
    </cfRule>
    <cfRule type="expression" dxfId="146" priority="6">
      <formula>$E6="Error"</formula>
    </cfRule>
    <cfRule type="expression" dxfId="145" priority="7">
      <formula>$E6="Alert"</formula>
    </cfRule>
    <cfRule type="expression" dxfId="144" priority="8">
      <formula>$E6="Exclude"</formula>
    </cfRule>
  </conditionalFormatting>
  <dataValidations count="4">
    <dataValidation type="list" allowBlank="1" showInputMessage="1" showErrorMessage="1" sqref="B16:B17" xr:uid="{9085B813-7D6D-42C5-AA15-13024448A5D3}">
      <formula1>SelOneYesNo</formula1>
    </dataValidation>
    <dataValidation type="list" allowBlank="1" showInputMessage="1" showErrorMessage="1" sqref="B14:C14" xr:uid="{9EABCE6C-1B68-44C4-B82F-ECA9C5600F44}">
      <formula1>InterestRateType</formula1>
    </dataValidation>
    <dataValidation type="list" allowBlank="1" showInputMessage="1" showErrorMessage="1" sqref="B8" xr:uid="{A204EB83-3D99-49CE-9329-E13F1B5DA2E7}">
      <formula1>DistrictDropDown</formula1>
    </dataValidation>
    <dataValidation type="list" allowBlank="1" showInputMessage="1" showErrorMessage="1" sqref="B7" xr:uid="{20D2E4AA-2818-463D-B390-0577C0BB5C93}">
      <formula1>DueToType</formula1>
    </dataValidation>
  </dataValidations>
  <pageMargins left="0.7" right="0.7" top="0.75" bottom="0.75" header="0.3" footer="0.3"/>
  <pageSetup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12" id="{90967F07-FCF7-4FEB-89BB-BB31F2767D90}">
            <xm:f>COUNTIFS(Validation!$H:$H,MID(CELL("filename",A2),FIND("]",CELL("filename",A2))+1,255)&amp;CELL("address",A2))&gt;0</xm:f>
            <x14:dxf>
              <font>
                <b/>
                <i val="0"/>
                <color rgb="FFC00000"/>
              </font>
              <numFmt numFmtId="172" formatCode="_(\!* #,##0_);_(\!* \(#,##0\);_(\!* \-??_);_(\!\ @_)"/>
            </x14:dxf>
          </x14:cfRule>
          <xm:sqref>A2</xm:sqref>
        </x14:conditionalFormatting>
        <x14:conditionalFormatting xmlns:xm="http://schemas.microsoft.com/office/excel/2006/main">
          <x14:cfRule type="expression" priority="10" id="{1CF193DD-C0BB-422B-B04A-CD083D60309C}">
            <xm:f>$B$7=Lists!$AH$3</xm:f>
            <x14:dxf>
              <fill>
                <patternFill>
                  <bgColor rgb="FFEAEAEA"/>
                </patternFill>
              </fill>
            </x14:dxf>
          </x14:cfRule>
          <xm:sqref>B8</xm:sqref>
        </x14:conditionalFormatting>
        <x14:conditionalFormatting xmlns:xm="http://schemas.microsoft.com/office/excel/2006/main">
          <x14:cfRule type="expression" priority="9" id="{FF3F3B30-324B-4339-A753-958CBEAB5B03}">
            <xm:f>$B$7=Lists!$AH$2</xm:f>
            <x14:dxf>
              <fill>
                <patternFill>
                  <bgColor rgb="FFEAEAEA"/>
                </patternFill>
              </fill>
            </x14:dxf>
          </x14:cfRule>
          <xm:sqref>B9</xm:sqref>
        </x14:conditionalFormatting>
      </x14:conditionalFormatting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DAF63F-F650-43B6-AED4-EE438AC1A8EF}">
  <sheetPr>
    <tabColor rgb="FFEED382"/>
  </sheetPr>
  <dimension ref="A1:F50"/>
  <sheetViews>
    <sheetView showGridLines="0" workbookViewId="0">
      <selection activeCell="B7" sqref="B7"/>
    </sheetView>
  </sheetViews>
  <sheetFormatPr defaultRowHeight="15" x14ac:dyDescent="0.25"/>
  <cols>
    <col min="1" max="1" width="55.7109375" style="66" customWidth="1"/>
    <col min="2" max="3" width="22.7109375" style="66" customWidth="1"/>
    <col min="4" max="4" width="80.85546875" style="66" customWidth="1"/>
    <col min="5" max="5" width="14.7109375" style="66" customWidth="1"/>
    <col min="6" max="6" width="10.7109375" style="78" hidden="1" customWidth="1"/>
    <col min="7" max="16384" width="9.140625" style="66"/>
  </cols>
  <sheetData>
    <row r="1" spans="1:6" s="59" customFormat="1" ht="24.95" customHeight="1" x14ac:dyDescent="0.25">
      <c r="A1" s="59" t="str">
        <f>_xlfn.CONCAT("Office of the State Auditor  -  TIF Annual Reporting Form  -  ",Year_DestinationYearID)</f>
        <v>Office of the State Auditor  -  TIF Annual Reporting Form  -  2024</v>
      </c>
      <c r="F1" s="61"/>
    </row>
    <row r="2" spans="1:6" s="62" customFormat="1" ht="20.100000000000001" customHeight="1" x14ac:dyDescent="0.25">
      <c r="A2" s="58" t="str">
        <f>_xlfn.CONCAT(GovEntity_GovEntityName_Parent,"  -  ",GovEntity_GovEntityName)</f>
        <v>Spruce City  -  TIF 1-1 Downtown Redev</v>
      </c>
      <c r="F2" s="64"/>
    </row>
    <row r="3" spans="1:6" s="68" customFormat="1" ht="24.95" customHeight="1" x14ac:dyDescent="0.3">
      <c r="A3" s="65" t="s">
        <v>238</v>
      </c>
      <c r="B3" s="66"/>
      <c r="C3" s="66"/>
      <c r="F3" s="69"/>
    </row>
    <row r="4" spans="1:6" s="71" customFormat="1" x14ac:dyDescent="0.25">
      <c r="A4" s="217" t="s">
        <v>207</v>
      </c>
      <c r="B4" s="217"/>
      <c r="C4" s="217"/>
      <c r="D4" s="217"/>
      <c r="E4" s="217"/>
      <c r="F4" s="72" t="s">
        <v>119</v>
      </c>
    </row>
    <row r="5" spans="1:6" s="74" customFormat="1" ht="20.100000000000001" customHeight="1" x14ac:dyDescent="0.25">
      <c r="A5" s="73" t="str">
        <f>HYPERLINK("#'Loans'!B6","Click here to return to the Loans Tab")</f>
        <v>Click here to return to the Loans Tab</v>
      </c>
      <c r="D5" s="74" t="s">
        <v>121</v>
      </c>
      <c r="E5" s="74" t="s">
        <v>102</v>
      </c>
      <c r="F5" s="76"/>
    </row>
    <row r="6" spans="1:6" ht="20.100000000000001" customHeight="1" x14ac:dyDescent="0.25">
      <c r="A6" s="74" t="s">
        <v>239</v>
      </c>
      <c r="D6" s="77" t="str">
        <f ca="1">IFERROR(INDEX(Validation!G:G,MATCH("Loan 15"&amp;CELL("address",D6),Validation!I:I,0)),"")</f>
        <v/>
      </c>
      <c r="E6" s="66" t="str">
        <f ca="1">IFERROR(INDEX(Validation!F:F,MATCH("Loan 15"&amp;CELL("address",D6),Validation!I:I,0)),"")</f>
        <v/>
      </c>
      <c r="F6" s="78" t="s">
        <v>875</v>
      </c>
    </row>
    <row r="7" spans="1:6" x14ac:dyDescent="0.25">
      <c r="A7" s="79" t="s">
        <v>761</v>
      </c>
      <c r="B7" s="103" t="str">
        <f>IF(AND(NOT(ISBLANK('Loan Input'!Q5)),OR('Loan Input'!Q$5=Lists!$AG$2,'Loan Input'!Q$5=Lists!$AG$3)),_xlfn.XLOOKUP('Loan Input'!Q5,Lists!AG2:AG5,Lists!AH2:AH5),Lists!$AH$1)</f>
        <v>Select One</v>
      </c>
      <c r="C7" s="128"/>
      <c r="D7" s="77" t="str">
        <f ca="1">IFERROR(INDEX(Validation!G:G,MATCH("Loan 15"&amp;CELL("address",D7),Validation!I:I,0)),"")</f>
        <v/>
      </c>
      <c r="E7" s="66" t="str">
        <f ca="1">IFERROR(INDEX(Validation!F:F,MATCH("Loan 15"&amp;CELL("address",D7),Validation!I:I,0)),"")</f>
        <v/>
      </c>
      <c r="F7" s="85" t="str">
        <f>IF(NOT(ISBLANK('Loan Input'!Q4)),'Loan Input'!Q4,"")</f>
        <v/>
      </c>
    </row>
    <row r="8" spans="1:6" x14ac:dyDescent="0.25">
      <c r="A8" s="79" t="s">
        <v>769</v>
      </c>
      <c r="B8" s="103" t="str">
        <f>IF(AND(NOT(ISBLANK('Loan Input'!Q6)),'Loan Input'!Q$5=Lists!$AG$2),'Loan Input'!Q6,Lists!$AJ$1)</f>
        <v>Select One</v>
      </c>
      <c r="C8" s="128"/>
      <c r="D8" s="77" t="str">
        <f ca="1">IFERROR(INDEX(Validation!G:G,MATCH("Loan 15"&amp;CELL("address",D8),Validation!I:I,0)),"")</f>
        <v/>
      </c>
      <c r="E8" s="66" t="str">
        <f ca="1">IFERROR(INDEX(Validation!F:F,MATCH("Loan 15"&amp;CELL("address",D8),Validation!I:I,0)),"")</f>
        <v/>
      </c>
    </row>
    <row r="9" spans="1:6" x14ac:dyDescent="0.25">
      <c r="A9" s="79" t="s">
        <v>770</v>
      </c>
      <c r="B9" s="103" t="str">
        <f>IF(AND(NOT(ISBLANK('Loan Input'!Q7)),'Loan Input'!Q$5=Lists!$AG$3),'Loan Input'!Q7,"")</f>
        <v/>
      </c>
      <c r="C9" s="128"/>
      <c r="D9" s="77" t="str">
        <f ca="1">IFERROR(INDEX(Validation!G:G,MATCH("Loan 15"&amp;CELL("address",D9),Validation!I:I,0)),"")</f>
        <v/>
      </c>
      <c r="E9" s="66" t="str">
        <f ca="1">IFERROR(INDEX(Validation!F:F,MATCH("Loan 15"&amp;CELL("address",D9),Validation!I:I,0)),"")</f>
        <v/>
      </c>
    </row>
    <row r="10" spans="1:6" x14ac:dyDescent="0.25">
      <c r="A10" s="79" t="s">
        <v>931</v>
      </c>
      <c r="B10" s="120" t="str">
        <f>IF(AND(NOT(ISBLANK('Loan Input'!Q8)),OR('Loan Input'!Q$5=Lists!$AG$2,'Loan Input'!Q$5=Lists!$AG$3)),'Loan Input'!Q8,"")</f>
        <v/>
      </c>
      <c r="C10" s="128"/>
      <c r="D10" s="77" t="str">
        <f ca="1">IFERROR(INDEX(Validation!G:G,MATCH("Loan 15"&amp;CELL("address",D10),Validation!I:I,0)),"")</f>
        <v/>
      </c>
      <c r="E10" s="66" t="str">
        <f ca="1">IFERROR(INDEX(Validation!F:F,MATCH("Loan 15"&amp;CELL("address",D10),Validation!I:I,0)),"")</f>
        <v/>
      </c>
    </row>
    <row r="11" spans="1:6" x14ac:dyDescent="0.25">
      <c r="A11" s="79" t="s">
        <v>212</v>
      </c>
      <c r="B11" s="120" t="str">
        <f>IF(AND(NOT(ISBLANK('Loan Input'!Q9)),OR('Loan Input'!Q$5=Lists!$AG$2,'Loan Input'!Q$5=Lists!$AG$3)),'Loan Input'!Q9,"")</f>
        <v/>
      </c>
      <c r="C11" s="128"/>
      <c r="D11" s="77" t="str">
        <f ca="1">IFERROR(INDEX(Validation!G:G,MATCH("Loan 15"&amp;CELL("address",D11),Validation!I:I,0)),"")</f>
        <v/>
      </c>
      <c r="E11" s="66" t="str">
        <f ca="1">IFERROR(INDEX(Validation!F:F,MATCH("Loan 15"&amp;CELL("address",D11),Validation!I:I,0)),"")</f>
        <v/>
      </c>
    </row>
    <row r="12" spans="1:6" x14ac:dyDescent="0.25">
      <c r="A12" s="79" t="s">
        <v>213</v>
      </c>
      <c r="B12" s="121" t="str">
        <f>IF(AND(NOT(ISBLANK('Loan Input'!Q10)),OR('Loan Input'!Q$5=Lists!$AG$2,'Loan Input'!Q$5=Lists!$AG$3)),'Loan Input'!Q10,"")</f>
        <v/>
      </c>
      <c r="C12" s="128"/>
      <c r="D12" s="77" t="str">
        <f ca="1">IFERROR(INDEX(Validation!G:G,MATCH("Loan 15"&amp;CELL("address",D12),Validation!I:I,0)),"")</f>
        <v/>
      </c>
      <c r="E12" s="66" t="str">
        <f ca="1">IFERROR(INDEX(Validation!F:F,MATCH("Loan 15"&amp;CELL("address",D12),Validation!I:I,0)),"")</f>
        <v/>
      </c>
    </row>
    <row r="13" spans="1:6" x14ac:dyDescent="0.25">
      <c r="A13" s="79" t="s">
        <v>214</v>
      </c>
      <c r="B13" s="121" t="str">
        <f>IF(AND(NOT(ISBLANK('Loan Input'!Q11)),OR('Loan Input'!Q$5=Lists!$AG$2,'Loan Input'!Q$5=Lists!$AG$3)),'Loan Input'!Q11,"")</f>
        <v/>
      </c>
      <c r="C13" s="128"/>
      <c r="D13" s="77" t="str">
        <f ca="1">IFERROR(INDEX(Validation!G:G,MATCH("Loan 15"&amp;CELL("address",D13),Validation!I:I,0)),"")</f>
        <v/>
      </c>
      <c r="E13" s="66" t="str">
        <f ca="1">IFERROR(INDEX(Validation!F:F,MATCH("Loan 15"&amp;CELL("address",D13),Validation!I:I,0)),"")</f>
        <v/>
      </c>
    </row>
    <row r="14" spans="1:6" x14ac:dyDescent="0.25">
      <c r="A14" s="79" t="s">
        <v>241</v>
      </c>
      <c r="B14" s="120" t="str">
        <f>IF(AND(NOT(ISBLANK('Loan Input'!Q12)),OR('Loan Input'!Q$5=Lists!$AG$2,'Loan Input'!Q$5=Lists!$AG$3)),'Loan Input'!Q12,Lists!$AM$1)</f>
        <v>Select One</v>
      </c>
      <c r="C14" s="129"/>
      <c r="D14" s="77" t="str">
        <f ca="1">IFERROR(INDEX(Validation!G:G,MATCH("Loan 15"&amp;CELL("address",D14),Validation!I:I,0)),"")</f>
        <v/>
      </c>
      <c r="E14" s="66" t="str">
        <f ca="1">IFERROR(INDEX(Validation!F:F,MATCH("Loan 15"&amp;CELL("address",D14),Validation!I:I,0)),"")</f>
        <v/>
      </c>
    </row>
    <row r="15" spans="1:6" x14ac:dyDescent="0.25">
      <c r="A15" s="79" t="s">
        <v>242</v>
      </c>
      <c r="B15" s="122" t="str">
        <f>IF(AND(NOT(ISBLANK('Loan Input'!Q13)),OR('Loan Input'!Q$5=Lists!$AG$2,'Loan Input'!Q$5=Lists!$AG$3)),'Loan Input'!Q13,"")</f>
        <v/>
      </c>
      <c r="C15" s="128"/>
      <c r="D15" s="77" t="str">
        <f ca="1">IFERROR(INDEX(Validation!G:G,MATCH("Loan 15"&amp;CELL("address",D15),Validation!I:I,0)),"")</f>
        <v/>
      </c>
      <c r="E15" s="66" t="str">
        <f ca="1">IFERROR(INDEX(Validation!F:F,MATCH("Loan 15"&amp;CELL("address",D15),Validation!I:I,0)),"")</f>
        <v/>
      </c>
    </row>
    <row r="16" spans="1:6" x14ac:dyDescent="0.25">
      <c r="A16" s="79" t="s">
        <v>232</v>
      </c>
      <c r="B16" s="103" t="str">
        <f>IF(OR('Loan Input'!Q14="",'Loan Input'!Q14=0),"Select One",IF('Loan Input'!Q14=TRUE,"Yes","No"))</f>
        <v>Select One</v>
      </c>
      <c r="C16" s="128"/>
      <c r="D16" s="77" t="str">
        <f ca="1">IFERROR(INDEX(Validation!G:G,MATCH("Loan 15"&amp;CELL("address",D16),Validation!I:I,0)),"")</f>
        <v/>
      </c>
      <c r="E16" s="66" t="str">
        <f ca="1">IFERROR(INDEX(Validation!F:F,MATCH("Loan 15"&amp;CELL("address",D16),Validation!I:I,0)),"")</f>
        <v/>
      </c>
    </row>
    <row r="17" spans="1:5" x14ac:dyDescent="0.25">
      <c r="A17" s="79" t="str">
        <f>"Were the terms of this obligation modified in "&amp;Year_DestinationYearID&amp;"?"</f>
        <v>Were the terms of this obligation modified in 2024?</v>
      </c>
      <c r="B17" s="103" t="s">
        <v>41</v>
      </c>
      <c r="C17" s="128"/>
      <c r="D17" s="77" t="str">
        <f ca="1">IFERROR(INDEX(Validation!G:G,MATCH("Loan 15"&amp;CELL("address",D17),Validation!I:I,0)),"")</f>
        <v/>
      </c>
      <c r="E17" s="66" t="str">
        <f ca="1">IFERROR(INDEX(Validation!F:F,MATCH("Loan 15"&amp;CELL("address",D17),Validation!I:I,0)),"")</f>
        <v/>
      </c>
    </row>
    <row r="18" spans="1:5" ht="20.100000000000001" customHeight="1" x14ac:dyDescent="0.25">
      <c r="A18" s="74" t="s">
        <v>1183</v>
      </c>
      <c r="B18" s="74" t="s">
        <v>283</v>
      </c>
      <c r="C18" s="74" t="str">
        <f>Year_DestinationYearID&amp;" Amount"</f>
        <v>2024 Amount</v>
      </c>
      <c r="D18" s="77" t="str">
        <f ca="1">IFERROR(INDEX(Validation!G:G,MATCH("Loan 15"&amp;CELL("address",D18),Validation!I:I,0)),"")</f>
        <v/>
      </c>
      <c r="E18" s="66" t="str">
        <f ca="1">IFERROR(INDEX(Validation!F:F,MATCH("Loan 15"&amp;CELL("address",D18),Validation!I:I,0)),"")</f>
        <v/>
      </c>
    </row>
    <row r="19" spans="1:5" x14ac:dyDescent="0.25">
      <c r="A19" s="79" t="s">
        <v>266</v>
      </c>
      <c r="B19" s="122" t="str">
        <f>IF(AND(NOT(ISBLANK('Loan Input'!Q16)),OR('Loan Input'!Q$5=Lists!$AG$2,'Loan Input'!Q$5=Lists!$AG$3)),'Loan Input'!Q16,"")</f>
        <v/>
      </c>
      <c r="C19" s="103"/>
      <c r="D19" s="77" t="str">
        <f ca="1">IFERROR(INDEX(Validation!G:G,MATCH("Loan 15"&amp;CELL("address",D19),Validation!I:I,0)),"")</f>
        <v/>
      </c>
      <c r="E19" s="66" t="str">
        <f ca="1">IFERROR(INDEX(Validation!F:F,MATCH("Loan 15"&amp;CELL("address",D19),Validation!I:I,0)),"")</f>
        <v/>
      </c>
    </row>
    <row r="20" spans="1:5" x14ac:dyDescent="0.25">
      <c r="A20" s="79" t="s">
        <v>267</v>
      </c>
      <c r="B20" s="122" t="str">
        <f>IF(AND(NOT(ISBLANK('Loan Input'!Q18)),OR('Loan Input'!Q$5=Lists!$AG$2,'Loan Input'!Q$5=Lists!$AG$3)),'Loan Input'!Q18,"")</f>
        <v/>
      </c>
      <c r="C20" s="103"/>
      <c r="D20" s="77" t="str">
        <f ca="1">IFERROR(INDEX(Validation!G:G,MATCH("Loan 15"&amp;CELL("address",D20),Validation!I:I,0)),"")</f>
        <v/>
      </c>
      <c r="E20" s="66" t="str">
        <f ca="1">IFERROR(INDEX(Validation!F:F,MATCH("Loan 15"&amp;CELL("address",D20),Validation!I:I,0)),"")</f>
        <v/>
      </c>
    </row>
    <row r="21" spans="1:5" x14ac:dyDescent="0.25">
      <c r="A21" s="79" t="s">
        <v>268</v>
      </c>
      <c r="B21" s="122" t="str">
        <f>IF(AND(NOT(ISBLANK('Loan Input'!Q20)),OR('Loan Input'!Q$5=Lists!$AG$2,'Loan Input'!Q$5=Lists!$AG$3)),'Loan Input'!Q20,"")</f>
        <v/>
      </c>
      <c r="C21" s="103"/>
      <c r="D21" s="77" t="str">
        <f ca="1">IFERROR(INDEX(Validation!G:G,MATCH("Loan 15"&amp;CELL("address",D21),Validation!I:I,0)),"")</f>
        <v/>
      </c>
      <c r="E21" s="66" t="str">
        <f ca="1">IFERROR(INDEX(Validation!F:F,MATCH("Loan 15"&amp;CELL("address",D21),Validation!I:I,0)),"")</f>
        <v/>
      </c>
    </row>
    <row r="22" spans="1:5" x14ac:dyDescent="0.25">
      <c r="A22" s="79" t="s">
        <v>269</v>
      </c>
      <c r="B22" s="122" t="str">
        <f>IF(AND(NOT(ISBLANK('Loan Input'!Q22)),OR('Loan Input'!Q$5=Lists!$AG$2,'Loan Input'!Q$5=Lists!$AG$3)),'Loan Input'!Q22,"")</f>
        <v/>
      </c>
      <c r="C22" s="103"/>
      <c r="D22" s="77" t="str">
        <f ca="1">IFERROR(INDEX(Validation!G:G,MATCH("Loan 15"&amp;CELL("address",D22),Validation!I:I,0)),"")</f>
        <v/>
      </c>
      <c r="E22" s="66" t="str">
        <f ca="1">IFERROR(INDEX(Validation!F:F,MATCH("Loan 15"&amp;CELL("address",D22),Validation!I:I,0)),"")</f>
        <v/>
      </c>
    </row>
    <row r="23" spans="1:5" x14ac:dyDescent="0.25">
      <c r="A23" s="79" t="s">
        <v>1101</v>
      </c>
      <c r="B23" s="122" t="str">
        <f>IF(AND(NOT(ISBLANK('Loan Input'!Q24)),OR('Loan Input'!Q$5=Lists!$AG$2,'Loan Input'!Q$5=Lists!$AG$3)),'Loan Input'!Q24,"")</f>
        <v/>
      </c>
      <c r="C23" s="103"/>
      <c r="D23" s="77" t="str">
        <f ca="1">IFERROR(INDEX(Validation!G:G,MATCH("Loan 15"&amp;CELL("address",D23),Validation!I:I,0)),"")</f>
        <v/>
      </c>
      <c r="E23" s="66" t="str">
        <f ca="1">IFERROR(INDEX(Validation!F:F,MATCH("Loan 15"&amp;CELL("address",D23),Validation!I:I,0)),"")</f>
        <v/>
      </c>
    </row>
    <row r="24" spans="1:5" x14ac:dyDescent="0.25">
      <c r="A24" s="79" t="s">
        <v>270</v>
      </c>
      <c r="B24" s="122" t="str">
        <f>IF(AND(NOT(ISBLANK('Loan Input'!Q26)),OR('Loan Input'!Q$5=Lists!$AG$2,'Loan Input'!Q$5=Lists!$AG$3)),'Loan Input'!Q26,"")</f>
        <v/>
      </c>
      <c r="C24" s="103"/>
      <c r="D24" s="77" t="str">
        <f ca="1">IFERROR(INDEX(Validation!G:G,MATCH("Loan 15"&amp;CELL("address",D24),Validation!I:I,0)),"")</f>
        <v/>
      </c>
      <c r="E24" s="66" t="str">
        <f ca="1">IFERROR(INDEX(Validation!F:F,MATCH("Loan 15"&amp;CELL("address",D24),Validation!I:I,0)),"")</f>
        <v/>
      </c>
    </row>
    <row r="25" spans="1:5" x14ac:dyDescent="0.25">
      <c r="A25" s="79" t="s">
        <v>271</v>
      </c>
      <c r="B25" s="122" t="str">
        <f>IF(AND(NOT(ISBLANK('Loan Input'!Q28)),OR('Loan Input'!Q$5=Lists!$AG$2,'Loan Input'!Q$5=Lists!$AG$3)),'Loan Input'!Q28,"")</f>
        <v/>
      </c>
      <c r="C25" s="103"/>
      <c r="D25" s="77" t="str">
        <f ca="1">IFERROR(INDEX(Validation!G:G,MATCH("Loan 15"&amp;CELL("address",D25),Validation!I:I,0)),"")</f>
        <v/>
      </c>
      <c r="E25" s="66" t="str">
        <f ca="1">IFERROR(INDEX(Validation!F:F,MATCH("Loan 15"&amp;CELL("address",D25),Validation!I:I,0)),"")</f>
        <v/>
      </c>
    </row>
    <row r="26" spans="1:5" x14ac:dyDescent="0.25">
      <c r="A26" s="79" t="s">
        <v>276</v>
      </c>
      <c r="B26" s="122" t="str">
        <f>IF(AND(NOT(ISBLANK('Loan Input'!Q30)),OR('Loan Input'!Q$5=Lists!$AG$2,'Loan Input'!Q$5=Lists!$AG$3)),'Loan Input'!Q30,"")</f>
        <v/>
      </c>
      <c r="C26" s="103"/>
      <c r="D26" s="77" t="str">
        <f ca="1">IFERROR(INDEX(Validation!G:G,MATCH("Loan 15"&amp;CELL("address",D26),Validation!I:I,0)),"")</f>
        <v/>
      </c>
      <c r="E26" s="66" t="str">
        <f ca="1">IFERROR(INDEX(Validation!F:F,MATCH("Loan 15"&amp;CELL("address",D26),Validation!I:I,0)),"")</f>
        <v/>
      </c>
    </row>
    <row r="27" spans="1:5" x14ac:dyDescent="0.25">
      <c r="A27" s="79" t="s">
        <v>272</v>
      </c>
      <c r="B27" s="122" t="str">
        <f>IF(AND(NOT(ISBLANK('Loan Input'!Q32)),OR('Loan Input'!Q$5=Lists!$AG$2,'Loan Input'!Q$5=Lists!$AG$3)),'Loan Input'!Q32,"")</f>
        <v/>
      </c>
      <c r="C27" s="103"/>
      <c r="D27" s="77" t="str">
        <f ca="1">IFERROR(INDEX(Validation!G:G,MATCH("Loan 15"&amp;CELL("address",D27),Validation!I:I,0)),"")</f>
        <v/>
      </c>
      <c r="E27" s="66" t="str">
        <f ca="1">IFERROR(INDEX(Validation!F:F,MATCH("Loan 15"&amp;CELL("address",D27),Validation!I:I,0)),"")</f>
        <v/>
      </c>
    </row>
    <row r="28" spans="1:5" x14ac:dyDescent="0.25">
      <c r="A28" s="79" t="s">
        <v>273</v>
      </c>
      <c r="B28" s="122" t="str">
        <f>IF(AND(NOT(ISBLANK('Loan Input'!Q34)),OR('Loan Input'!Q$5=Lists!$AG$2,'Loan Input'!Q$5=Lists!$AG$3)),'Loan Input'!Q34,"")</f>
        <v/>
      </c>
      <c r="C28" s="103"/>
      <c r="D28" s="77" t="str">
        <f ca="1">IFERROR(INDEX(Validation!G:G,MATCH("Loan 15"&amp;CELL("address",D28),Validation!I:I,0)),"")</f>
        <v/>
      </c>
      <c r="E28" s="66" t="str">
        <f ca="1">IFERROR(INDEX(Validation!F:F,MATCH("Loan 15"&amp;CELL("address",D28),Validation!I:I,0)),"")</f>
        <v/>
      </c>
    </row>
    <row r="29" spans="1:5" x14ac:dyDescent="0.25">
      <c r="A29" s="130" t="s">
        <v>1184</v>
      </c>
      <c r="B29" s="125">
        <f>SUM(B19:B28)</f>
        <v>0</v>
      </c>
      <c r="C29" s="125">
        <f>SUM(C19:C28)</f>
        <v>0</v>
      </c>
      <c r="D29" s="77" t="str">
        <f ca="1">IFERROR(INDEX(Validation!G:G,MATCH("Loan 15"&amp;CELL("address",D29),Validation!I:I,0)),"")</f>
        <v/>
      </c>
      <c r="E29" s="66" t="str">
        <f ca="1">IFERROR(INDEX(Validation!F:F,MATCH("Loan 15"&amp;CELL("address",D29),Validation!I:I,0)),"")</f>
        <v/>
      </c>
    </row>
    <row r="30" spans="1:5" x14ac:dyDescent="0.25">
      <c r="A30" s="130" t="s">
        <v>1185</v>
      </c>
      <c r="B30" s="125" t="str">
        <f>IFERROR(B34-B29,"")</f>
        <v/>
      </c>
      <c r="C30" s="125" t="str">
        <f>IFERROR(B34+C34-B29-C29,"")</f>
        <v/>
      </c>
      <c r="D30" s="77" t="str">
        <f ca="1">IFERROR(INDEX(Validation!G:G,MATCH("Loan 15"&amp;CELL("address",D30),Validation!I:I,0)),"")</f>
        <v/>
      </c>
      <c r="E30" s="66" t="str">
        <f ca="1">IFERROR(INDEX(Validation!F:F,MATCH("Loan 15"&amp;CELL("address",D30),Validation!I:I,0)),"")</f>
        <v/>
      </c>
    </row>
    <row r="31" spans="1:5" x14ac:dyDescent="0.25">
      <c r="A31" s="131" t="s">
        <v>1186</v>
      </c>
      <c r="B31" s="122" t="str">
        <f>IF(AND(NOT(ISBLANK('Loan Input'!Q41)),OR('Loan Input'!Q$5=Lists!$AG$2,'Loan Input'!Q$5=Lists!$AG$3)),'Loan Input'!Q41,"")</f>
        <v/>
      </c>
      <c r="C31" s="103"/>
      <c r="D31" s="77" t="str">
        <f ca="1">IFERROR(INDEX(Validation!G:G,MATCH("Loan 15"&amp;CELL("address",D31),Validation!I:I,0)),"")</f>
        <v/>
      </c>
      <c r="E31" s="66" t="str">
        <f ca="1">IFERROR(INDEX(Validation!F:F,MATCH("Loan 15"&amp;CELL("address",D31),Validation!I:I,0)),"")</f>
        <v/>
      </c>
    </row>
    <row r="32" spans="1:5" x14ac:dyDescent="0.25">
      <c r="A32" s="131" t="s">
        <v>1187</v>
      </c>
      <c r="B32" s="122" t="str">
        <f>IF(AND(NOT(ISBLANK('Loan Input'!Q43)),OR('Loan Input'!Q$5=Lists!$AG$2,'Loan Input'!Q$5=Lists!$AG$3)),'Loan Input'!Q43,"")</f>
        <v/>
      </c>
      <c r="C32" s="103"/>
      <c r="D32" s="77" t="str">
        <f ca="1">IFERROR(INDEX(Validation!G:G,MATCH("Loan 15"&amp;CELL("address",D32),Validation!I:I,0)),"")</f>
        <v/>
      </c>
      <c r="E32" s="66" t="str">
        <f ca="1">IFERROR(INDEX(Validation!F:F,MATCH("Loan 15"&amp;CELL("address",D32),Validation!I:I,0)),"")</f>
        <v/>
      </c>
    </row>
    <row r="33" spans="1:6" ht="20.100000000000001" customHeight="1" x14ac:dyDescent="0.25">
      <c r="A33" s="74" t="s">
        <v>754</v>
      </c>
      <c r="B33" s="74" t="s">
        <v>283</v>
      </c>
      <c r="C33" s="74" t="str">
        <f>Year_DestinationYearID&amp;" Amount"</f>
        <v>2024 Amount</v>
      </c>
      <c r="D33" s="77" t="str">
        <f ca="1">IFERROR(INDEX(Validation!G:G,MATCH("Loan 15"&amp;CELL("address",D33),Validation!I:I,0)),"")</f>
        <v/>
      </c>
      <c r="E33" s="66" t="str">
        <f ca="1">IFERROR(INDEX(Validation!F:F,MATCH("Loan 15"&amp;CELL("address",D33),Validation!I:I,0)),"")</f>
        <v/>
      </c>
    </row>
    <row r="34" spans="1:6" x14ac:dyDescent="0.25">
      <c r="A34" s="79" t="s">
        <v>1350</v>
      </c>
      <c r="B34" s="122" t="str">
        <f>IF(AND(NOT(ISBLANK('Loan Input'!Q44)),OR('Loan Input'!Q$5=Lists!$AG$2,'Loan Input'!Q$5=Lists!$AG$3)),'Loan Input'!Q44,"")</f>
        <v/>
      </c>
      <c r="C34" s="122"/>
      <c r="D34" s="77" t="str">
        <f ca="1">IFERROR(INDEX(Validation!G:G,MATCH("Loan 15"&amp;CELL("address",D34),Validation!I:I,0)),"")</f>
        <v/>
      </c>
      <c r="E34" s="66" t="str">
        <f ca="1">IFERROR(INDEX(Validation!F:F,MATCH("Loan 15"&amp;CELL("address",D34),Validation!I:I,0)),"")</f>
        <v/>
      </c>
    </row>
    <row r="35" spans="1:6" x14ac:dyDescent="0.25">
      <c r="A35" s="79" t="s">
        <v>1188</v>
      </c>
      <c r="B35" s="122" t="str">
        <f>IF(AND(NOT(ISBLANK('Loan Input'!Q47)),OR('Loan Input'!Q$5=Lists!$AG$2,'Loan Input'!Q$5=Lists!$AG$3)),'Loan Input'!Q47,"")</f>
        <v/>
      </c>
      <c r="C35" s="122"/>
      <c r="D35" s="77" t="str">
        <f ca="1">IFERROR(INDEX(Validation!G:G,MATCH("Loan 15"&amp;CELL("address",D35),Validation!I:I,0)),"")</f>
        <v/>
      </c>
      <c r="E35" s="66" t="str">
        <f ca="1">IFERROR(INDEX(Validation!F:F,MATCH("Loan 15"&amp;CELL("address",D35),Validation!I:I,0)),"")</f>
        <v/>
      </c>
    </row>
    <row r="36" spans="1:6" x14ac:dyDescent="0.25">
      <c r="A36" s="79" t="s">
        <v>1189</v>
      </c>
      <c r="B36" s="122" t="str">
        <f>IF(AND(NOT(ISBLANK('Loan Input'!Q49)),OR('Loan Input'!Q$5=Lists!$AG$2,'Loan Input'!Q$5=Lists!$AG$3)),'Loan Input'!Q49,"")</f>
        <v/>
      </c>
      <c r="C36" s="122"/>
      <c r="D36" s="77" t="str">
        <f ca="1">IFERROR(INDEX(Validation!G:G,MATCH("Loan 15"&amp;CELL("address",D36),Validation!I:I,0)),"")</f>
        <v/>
      </c>
      <c r="E36" s="66" t="str">
        <f ca="1">IFERROR(INDEX(Validation!F:F,MATCH("Loan 15"&amp;CELL("address",D36),Validation!I:I,0)),"")</f>
        <v/>
      </c>
    </row>
    <row r="37" spans="1:6" x14ac:dyDescent="0.25">
      <c r="A37" s="79" t="s">
        <v>1190</v>
      </c>
      <c r="B37" s="122" t="str">
        <f>IF(AND(NOT(ISBLANK('Loan Input'!Q51)),OR('Loan Input'!Q$5=Lists!$AG$2,'Loan Input'!Q$5=Lists!$AG$3)),'Loan Input'!Q51,"")</f>
        <v/>
      </c>
      <c r="C37" s="122"/>
      <c r="D37" s="77" t="str">
        <f ca="1">IFERROR(INDEX(Validation!G:G,MATCH("Loan 15"&amp;CELL("address",D37),Validation!I:I,0)),"")</f>
        <v/>
      </c>
      <c r="E37" s="66" t="str">
        <f ca="1">IFERROR(INDEX(Validation!F:F,MATCH("Loan 15"&amp;CELL("address",D37),Validation!I:I,0)),"")</f>
        <v/>
      </c>
    </row>
    <row r="38" spans="1:6" x14ac:dyDescent="0.25">
      <c r="A38" s="79" t="s">
        <v>221</v>
      </c>
      <c r="B38" s="125" t="str">
        <f>IFERROR(B34-B35-B36+B37,"")</f>
        <v/>
      </c>
      <c r="C38" s="125" t="str">
        <f>IFERROR(B34+C34-B35-B36-C35-C36+B37+C37,"")</f>
        <v/>
      </c>
      <c r="D38" s="77" t="str">
        <f ca="1">IFERROR(INDEX(Validation!G:G,MATCH("Loan 15"&amp;CELL("address",D38),Validation!I:I,0)),"")</f>
        <v/>
      </c>
      <c r="E38" s="66" t="str">
        <f ca="1">IFERROR(INDEX(Validation!F:F,MATCH("Loan 15"&amp;CELL("address",D38),Validation!I:I,0)),"")</f>
        <v/>
      </c>
      <c r="F38" s="126"/>
    </row>
    <row r="39" spans="1:6" x14ac:dyDescent="0.25">
      <c r="A39" s="79" t="s">
        <v>223</v>
      </c>
      <c r="B39" s="122" t="str">
        <f>IF(AND(NOT(ISBLANK('Loan Input'!Q55)),OR('Loan Input'!Q$5=Lists!$AG$2,'Loan Input'!Q$5=Lists!$AG$3)),'Loan Input'!Q55,"")</f>
        <v/>
      </c>
      <c r="C39" s="122"/>
      <c r="D39" s="77" t="str">
        <f ca="1">IFERROR(INDEX(Validation!G:G,MATCH("Loan 15"&amp;CELL("address",D39),Validation!I:I,0)),"")</f>
        <v/>
      </c>
      <c r="E39" s="66" t="str">
        <f ca="1">IFERROR(INDEX(Validation!F:F,MATCH("Loan 15"&amp;CELL("address",D39),Validation!I:I,0)),"")</f>
        <v/>
      </c>
    </row>
    <row r="40" spans="1:6" x14ac:dyDescent="0.25">
      <c r="A40" s="79" t="s">
        <v>1191</v>
      </c>
      <c r="B40" s="122" t="str">
        <f>IF(AND(NOT(ISBLANK('Loan Input'!Q57)),OR('Loan Input'!Q$5=Lists!$AG$2,'Loan Input'!Q$5=Lists!$AG$3)),'Loan Input'!Q57,"")</f>
        <v/>
      </c>
      <c r="C40" s="122"/>
      <c r="D40" s="77" t="str">
        <f ca="1">IFERROR(INDEX(Validation!G:G,MATCH("Loan 15"&amp;CELL("address",D40),Validation!I:I,0)),"")</f>
        <v/>
      </c>
      <c r="E40" s="66" t="str">
        <f ca="1">IFERROR(INDEX(Validation!F:F,MATCH("Loan 15"&amp;CELL("address",D40),Validation!I:I,0)),"")</f>
        <v/>
      </c>
    </row>
    <row r="41" spans="1:6" x14ac:dyDescent="0.25">
      <c r="A41" s="79" t="s">
        <v>1192</v>
      </c>
      <c r="B41" s="122" t="str">
        <f>IF(AND(NOT(ISBLANK('Loan Input'!Q59)),OR('Loan Input'!Q$5=Lists!$AG$2,'Loan Input'!Q$5=Lists!$AG$3)),'Loan Input'!Q59,"")</f>
        <v/>
      </c>
      <c r="C41" s="122"/>
      <c r="D41" s="77" t="str">
        <f ca="1">IFERROR(INDEX(Validation!G:G,MATCH("Loan 15"&amp;CELL("address",D41),Validation!I:I,0)),"")</f>
        <v/>
      </c>
      <c r="E41" s="66" t="str">
        <f ca="1">IFERROR(INDEX(Validation!F:F,MATCH("Loan 15"&amp;CELL("address",D41),Validation!I:I,0)),"")</f>
        <v/>
      </c>
    </row>
    <row r="42" spans="1:6" ht="20.100000000000001" customHeight="1" x14ac:dyDescent="0.25">
      <c r="A42" s="74" t="str">
        <f>"Principal and Interest Due in "&amp;Year_DestinationYearID+1</f>
        <v>Principal and Interest Due in 2025</v>
      </c>
      <c r="B42" s="74"/>
      <c r="C42" s="74"/>
    </row>
    <row r="43" spans="1:6" x14ac:dyDescent="0.25">
      <c r="A43" s="79" t="str">
        <f>"Principal Due in "&amp;Year_DestinationYearID+1</f>
        <v>Principal Due in 2025</v>
      </c>
      <c r="B43" s="122"/>
      <c r="C43" s="128"/>
      <c r="D43" s="77" t="str">
        <f ca="1">IFERROR(INDEX(Validation!G:G,MATCH("Loan 15"&amp;CELL("address",D43),Validation!I:I,0)),"")</f>
        <v/>
      </c>
      <c r="E43" s="66" t="str">
        <f ca="1">IFERROR(INDEX(Validation!F:F,MATCH("Loan 15"&amp;CELL("address",D43),Validation!I:I,0)),"")</f>
        <v/>
      </c>
    </row>
    <row r="44" spans="1:6" x14ac:dyDescent="0.25">
      <c r="A44" s="79" t="str">
        <f>"Interest Due in "&amp;Year_DestinationYearID+1</f>
        <v>Interest Due in 2025</v>
      </c>
      <c r="B44" s="122"/>
      <c r="C44" s="128"/>
      <c r="D44" s="77" t="str">
        <f ca="1">IFERROR(INDEX(Validation!G:G,MATCH("Loan 15"&amp;CELL("address",D44),Validation!I:I,0)),"")</f>
        <v/>
      </c>
      <c r="E44" s="66" t="str">
        <f ca="1">IFERROR(INDEX(Validation!F:F,MATCH("Loan 15"&amp;CELL("address",D44),Validation!I:I,0)),"")</f>
        <v/>
      </c>
    </row>
    <row r="45" spans="1:6" ht="20.100000000000001" customHeight="1" x14ac:dyDescent="0.25">
      <c r="A45" s="97" t="s">
        <v>176</v>
      </c>
      <c r="D45" s="77" t="str">
        <f ca="1">IF(AND(ISBLANK(A46),OR(COUNTIF(E6:E44,"Alert")&gt;0,SUM(B37:B37)&lt;&gt;0)),"Comment(s) required for remaining alert(s) and/or additions to principal.",IFERROR(INDEX(Validation!G:G,MATCH("Loan 15"&amp;CELL("address",D45),Validation!I:I,0)),""))</f>
        <v/>
      </c>
      <c r="E45" s="66" t="str">
        <f ca="1">IF(AND(ISBLANK(A46),OR(COUNTIF(E6:E44,"Alert")&gt;0,SUM(B37:B37)&lt;&gt;0)),"Error",IFERROR(INDEX(Validation!F:F,MATCH("Loan 15"&amp;CELL("address",D45),Validation!I:I,0)),""))</f>
        <v/>
      </c>
    </row>
    <row r="46" spans="1:6" ht="150" customHeight="1" x14ac:dyDescent="0.25">
      <c r="A46" s="123"/>
      <c r="B46" s="100" t="str">
        <f>HYPERLINK("#'Loans'!B6","Click here to return to the Loans Tab")</f>
        <v>Click here to return to the Loans Tab</v>
      </c>
      <c r="C46" s="127"/>
    </row>
    <row r="47" spans="1:6" x14ac:dyDescent="0.25">
      <c r="A47" s="98"/>
      <c r="B47" s="98"/>
      <c r="C47" s="98"/>
    </row>
    <row r="48" spans="1:6" x14ac:dyDescent="0.25">
      <c r="A48" s="98"/>
      <c r="B48" s="98"/>
      <c r="C48" s="98"/>
    </row>
    <row r="49" spans="1:3" x14ac:dyDescent="0.25">
      <c r="A49" s="98"/>
      <c r="B49" s="98"/>
      <c r="C49" s="98"/>
    </row>
    <row r="50" spans="1:3" x14ac:dyDescent="0.25">
      <c r="A50" s="98"/>
      <c r="B50" s="98"/>
      <c r="C50" s="98"/>
    </row>
  </sheetData>
  <sheetProtection algorithmName="SHA-512" hashValue="pdPqVbgywq33Gepjq7LpQUMuwwD8ZtcIgYauEYw4yxhu1uqYIt4i3clJV9M+2MkFBxhrd5IVVmNt7KqG2fC0Zw==" saltValue="Jmqsoqt8uZkvTTGyQ63tAQ==" spinCount="100000" sheet="1" objects="1" scenarios="1"/>
  <mergeCells count="1">
    <mergeCell ref="A4:E4"/>
  </mergeCells>
  <conditionalFormatting sqref="A2">
    <cfRule type="expression" dxfId="143" priority="11">
      <formula>$E2="Error"</formula>
    </cfRule>
    <cfRule type="expression" dxfId="141" priority="13">
      <formula>$E2="Exclude"</formula>
    </cfRule>
  </conditionalFormatting>
  <conditionalFormatting sqref="D6:E41 D43:E45">
    <cfRule type="expression" dxfId="138" priority="5">
      <formula>$E6="Information"</formula>
    </cfRule>
    <cfRule type="expression" dxfId="137" priority="6">
      <formula>$E6="Error"</formula>
    </cfRule>
    <cfRule type="expression" dxfId="136" priority="7">
      <formula>$E6="Alert"</formula>
    </cfRule>
    <cfRule type="expression" dxfId="135" priority="8">
      <formula>$E6="Exclude"</formula>
    </cfRule>
  </conditionalFormatting>
  <dataValidations count="4">
    <dataValidation type="list" allowBlank="1" showInputMessage="1" showErrorMessage="1" sqref="B16:B17" xr:uid="{0000937F-40CC-400C-9083-549FB6482E21}">
      <formula1>SelOneYesNo</formula1>
    </dataValidation>
    <dataValidation type="list" allowBlank="1" showInputMessage="1" showErrorMessage="1" sqref="B14:C14" xr:uid="{F53A0F4D-8F01-4F4A-B931-910BC7FE527F}">
      <formula1>InterestRateType</formula1>
    </dataValidation>
    <dataValidation type="list" allowBlank="1" showInputMessage="1" showErrorMessage="1" sqref="B8" xr:uid="{F02F4480-7F9D-4E63-A221-B44DE8D2DD99}">
      <formula1>DistrictDropDown</formula1>
    </dataValidation>
    <dataValidation type="list" allowBlank="1" showInputMessage="1" showErrorMessage="1" sqref="B7" xr:uid="{BCD4F816-4720-4916-9363-E4BE65BAF3B7}">
      <formula1>DueToType</formula1>
    </dataValidation>
  </dataValidations>
  <pageMargins left="0.7" right="0.7" top="0.75" bottom="0.75" header="0.3" footer="0.3"/>
  <pageSetup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12" id="{5121DDD8-7B9C-4496-8879-AC1A88535B97}">
            <xm:f>COUNTIFS(Validation!$H:$H,MID(CELL("filename",A2),FIND("]",CELL("filename",A2))+1,255)&amp;CELL("address",A2))&gt;0</xm:f>
            <x14:dxf>
              <font>
                <b/>
                <i val="0"/>
                <color rgb="FFC00000"/>
              </font>
              <numFmt numFmtId="172" formatCode="_(\!* #,##0_);_(\!* \(#,##0\);_(\!* \-??_);_(\!\ @_)"/>
            </x14:dxf>
          </x14:cfRule>
          <xm:sqref>A2</xm:sqref>
        </x14:conditionalFormatting>
        <x14:conditionalFormatting xmlns:xm="http://schemas.microsoft.com/office/excel/2006/main">
          <x14:cfRule type="expression" priority="10" id="{CF096245-18DD-4EA6-B4CE-1D177C96494A}">
            <xm:f>$B$7=Lists!$AH$3</xm:f>
            <x14:dxf>
              <fill>
                <patternFill>
                  <bgColor rgb="FFEAEAEA"/>
                </patternFill>
              </fill>
            </x14:dxf>
          </x14:cfRule>
          <xm:sqref>B8</xm:sqref>
        </x14:conditionalFormatting>
        <x14:conditionalFormatting xmlns:xm="http://schemas.microsoft.com/office/excel/2006/main">
          <x14:cfRule type="expression" priority="9" id="{2858926A-A589-4C07-B5AD-55A6C079F6AE}">
            <xm:f>$B$7=Lists!$AH$2</xm:f>
            <x14:dxf>
              <fill>
                <patternFill>
                  <bgColor rgb="FFEAEAEA"/>
                </patternFill>
              </fill>
            </x14:dxf>
          </x14:cfRule>
          <xm:sqref>B9</xm:sqref>
        </x14:conditionalFormatting>
      </x14:conditionalFormattings>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F768C-52DC-400F-A5C6-1B161EF08680}">
  <sheetPr codeName="Sheet13">
    <tabColor rgb="FFEED382"/>
  </sheetPr>
  <dimension ref="A1:E33"/>
  <sheetViews>
    <sheetView showGridLines="0" workbookViewId="0">
      <selection activeCell="B7" sqref="B7"/>
    </sheetView>
  </sheetViews>
  <sheetFormatPr defaultRowHeight="15" x14ac:dyDescent="0.25"/>
  <cols>
    <col min="1" max="1" width="55.7109375" style="66" customWidth="1"/>
    <col min="2" max="2" width="22.7109375" style="66" customWidth="1"/>
    <col min="3" max="3" width="80.85546875" style="66" customWidth="1"/>
    <col min="4" max="4" width="14.7109375" style="66" customWidth="1"/>
    <col min="5" max="5" width="10.7109375" style="78" hidden="1" customWidth="1"/>
    <col min="6" max="16384" width="9.140625" style="66"/>
  </cols>
  <sheetData>
    <row r="1" spans="1:5" s="59" customFormat="1" ht="24.95" customHeight="1" x14ac:dyDescent="0.25">
      <c r="A1" s="59" t="str">
        <f>_xlfn.CONCAT("Office of the State Auditor  -  TIF Annual Reporting Form  -  ",Year_DestinationYearID)</f>
        <v>Office of the State Auditor  -  TIF Annual Reporting Form  -  2024</v>
      </c>
      <c r="E1" s="61"/>
    </row>
    <row r="2" spans="1:5" s="62" customFormat="1" ht="20.100000000000001" customHeight="1" x14ac:dyDescent="0.25">
      <c r="A2" s="58" t="str">
        <f>_xlfn.CONCAT(GovEntity_GovEntityName_Parent,"  -  ",GovEntity_GovEntityName)</f>
        <v>Spruce City  -  TIF 1-1 Downtown Redev</v>
      </c>
      <c r="E2" s="64"/>
    </row>
    <row r="3" spans="1:5" s="68" customFormat="1" ht="24.95" customHeight="1" x14ac:dyDescent="0.3">
      <c r="A3" s="65" t="s">
        <v>848</v>
      </c>
      <c r="B3" s="66"/>
      <c r="E3" s="69"/>
    </row>
    <row r="4" spans="1:5" s="71" customFormat="1" x14ac:dyDescent="0.25">
      <c r="A4" s="217" t="s">
        <v>207</v>
      </c>
      <c r="B4" s="217"/>
      <c r="C4" s="217"/>
      <c r="D4" s="217"/>
      <c r="E4" s="72" t="s">
        <v>119</v>
      </c>
    </row>
    <row r="5" spans="1:5" s="74" customFormat="1" ht="20.100000000000001" customHeight="1" x14ac:dyDescent="0.25">
      <c r="A5" s="73" t="str">
        <f>HYPERLINK("#'Lent Funds'!B6","Click here to return to the Lent Funds Tab")</f>
        <v>Click here to return to the Lent Funds Tab</v>
      </c>
      <c r="B5" s="74" t="s">
        <v>120</v>
      </c>
      <c r="C5" s="74" t="s">
        <v>121</v>
      </c>
      <c r="D5" s="74" t="s">
        <v>102</v>
      </c>
      <c r="E5" s="76"/>
    </row>
    <row r="6" spans="1:5" ht="20.100000000000001" customHeight="1" x14ac:dyDescent="0.25">
      <c r="A6" s="74" t="s">
        <v>847</v>
      </c>
      <c r="C6" s="77" t="str">
        <f ca="1">IFERROR(INDEX(Validation!G:G,MATCH("DFLoan1"&amp;CELL("address",C6),Validation!I:I,0)),"")</f>
        <v/>
      </c>
      <c r="D6" s="66" t="str">
        <f ca="1">IFERROR(INDEX(Validation!F:F,MATCH("DFLoan1"&amp;CELL("address",C6),Validation!I:I,0)),"")</f>
        <v/>
      </c>
      <c r="E6" s="78" t="s">
        <v>875</v>
      </c>
    </row>
    <row r="7" spans="1:5" x14ac:dyDescent="0.25">
      <c r="A7" s="79" t="s">
        <v>761</v>
      </c>
      <c r="B7" s="103" t="str">
        <f>IF(AND(NOT(ISBLANK('Lent Input'!C5)),OR('Lent Input'!C$5=Lists!$AG$4,'Lent Input'!C$5=Lists!$AG$5)),_xlfn.XLOOKUP('Lent Input'!C5,Lists!AG2:AG5,Lists!AH2:AH5),Lists!$AH$1)</f>
        <v>Select One</v>
      </c>
      <c r="C7" s="77" t="str">
        <f ca="1">IFERROR(INDEX(Validation!G:G,MATCH("DFLoan1"&amp;CELL("address",C7),Validation!I:I,0)),"")</f>
        <v/>
      </c>
      <c r="D7" s="66" t="str">
        <f ca="1">IFERROR(INDEX(Validation!F:F,MATCH("DFLoan1"&amp;CELL("address",C7),Validation!I:I,0)),"")</f>
        <v/>
      </c>
      <c r="E7" s="85" t="str">
        <f>IF(NOT(ISBLANK('Lent Input'!C4)),'Lent Input'!C4,"")</f>
        <v/>
      </c>
    </row>
    <row r="8" spans="1:5" x14ac:dyDescent="0.25">
      <c r="A8" s="79" t="s">
        <v>769</v>
      </c>
      <c r="B8" s="103" t="str">
        <f>IF(AND(NOT(ISBLANK('Lent Input'!C6)),'Lent Input'!C$5=Lists!$AG$4),'Lent Input'!C6,Lists!$AJ$1)</f>
        <v>Select One</v>
      </c>
      <c r="C8" s="77" t="str">
        <f ca="1">IFERROR(INDEX(Validation!G:G,MATCH("DFLoan1"&amp;CELL("address",C8),Validation!I:I,0)),"")</f>
        <v/>
      </c>
      <c r="D8" s="66" t="str">
        <f ca="1">IFERROR(INDEX(Validation!F:F,MATCH("DFLoan1"&amp;CELL("address",C8),Validation!I:I,0)),"")</f>
        <v/>
      </c>
    </row>
    <row r="9" spans="1:5" x14ac:dyDescent="0.25">
      <c r="A9" s="79" t="s">
        <v>770</v>
      </c>
      <c r="B9" s="103" t="str">
        <f>IF(AND(NOT(ISBLANK('Lent Input'!C7)),'Lent Input'!C$5=Lists!$AG$5),'Lent Input'!C7,"")</f>
        <v/>
      </c>
      <c r="C9" s="77" t="str">
        <f ca="1">IFERROR(INDEX(Validation!G:G,MATCH("DFLoan1"&amp;CELL("address",C9),Validation!I:I,0)),"")</f>
        <v/>
      </c>
      <c r="D9" s="66" t="str">
        <f ca="1">IFERROR(INDEX(Validation!F:F,MATCH("DFLoan1"&amp;CELL("address",C9),Validation!I:I,0)),"")</f>
        <v/>
      </c>
    </row>
    <row r="10" spans="1:5" x14ac:dyDescent="0.25">
      <c r="A10" s="79" t="s">
        <v>240</v>
      </c>
      <c r="B10" s="120" t="str">
        <f>IF(AND(NOT(ISBLANK('Lent Input'!C8)),OR('Lent Input'!C$5=Lists!$AG$4,'Lent Input'!C$5=Lists!$AG$5)),'Lent Input'!C8,"")</f>
        <v/>
      </c>
      <c r="C10" s="77" t="str">
        <f ca="1">IFERROR(INDEX(Validation!G:G,MATCH("DFLoan1"&amp;CELL("address",C10),Validation!I:I,0)),"")</f>
        <v/>
      </c>
      <c r="D10" s="66" t="str">
        <f ca="1">IFERROR(INDEX(Validation!F:F,MATCH("DFLoan1"&amp;CELL("address",C10),Validation!I:I,0)),"")</f>
        <v/>
      </c>
    </row>
    <row r="11" spans="1:5" x14ac:dyDescent="0.25">
      <c r="A11" s="79" t="s">
        <v>212</v>
      </c>
      <c r="B11" s="120" t="str">
        <f>IF(AND(NOT(ISBLANK('Lent Input'!C9)),OR('Lent Input'!C$5=Lists!$AG$4,'Lent Input'!C$5=Lists!$AG$5)),'Lent Input'!C9,"")</f>
        <v/>
      </c>
      <c r="C11" s="77" t="str">
        <f ca="1">IFERROR(INDEX(Validation!G:G,MATCH("DFLoan1"&amp;CELL("address",C11),Validation!I:I,0)),"")</f>
        <v/>
      </c>
      <c r="D11" s="66" t="str">
        <f ca="1">IFERROR(INDEX(Validation!F:F,MATCH("DFLoan1"&amp;CELL("address",C11),Validation!I:I,0)),"")</f>
        <v/>
      </c>
    </row>
    <row r="12" spans="1:5" x14ac:dyDescent="0.25">
      <c r="A12" s="79" t="s">
        <v>213</v>
      </c>
      <c r="B12" s="121" t="str">
        <f>IF(AND(NOT(ISBLANK('Lent Input'!C10)),OR('Lent Input'!C$5=Lists!$AG$4,'Lent Input'!C$5=Lists!$AG$5)),'Lent Input'!C10,"")</f>
        <v/>
      </c>
      <c r="C12" s="77" t="str">
        <f ca="1">IFERROR(INDEX(Validation!G:G,MATCH("DFLoan1"&amp;CELL("address",C12),Validation!I:I,0)),"")</f>
        <v/>
      </c>
      <c r="D12" s="66" t="str">
        <f ca="1">IFERROR(INDEX(Validation!F:F,MATCH("DFLoan1"&amp;CELL("address",C12),Validation!I:I,0)),"")</f>
        <v/>
      </c>
    </row>
    <row r="13" spans="1:5" x14ac:dyDescent="0.25">
      <c r="A13" s="79" t="s">
        <v>214</v>
      </c>
      <c r="B13" s="121" t="str">
        <f>IF(AND(NOT(ISBLANK('Lent Input'!C11)),OR('Lent Input'!C$5=Lists!$AG$4,'Lent Input'!C$5=Lists!$AG$5)),'Lent Input'!C11,"")</f>
        <v/>
      </c>
      <c r="C13" s="77" t="str">
        <f ca="1">IFERROR(INDEX(Validation!G:G,MATCH("DFLoan1"&amp;CELL("address",C13),Validation!I:I,0)),"")</f>
        <v/>
      </c>
      <c r="D13" s="66" t="str">
        <f ca="1">IFERROR(INDEX(Validation!F:F,MATCH("DFLoan1"&amp;CELL("address",C13),Validation!I:I,0)),"")</f>
        <v/>
      </c>
    </row>
    <row r="14" spans="1:5" x14ac:dyDescent="0.25">
      <c r="A14" s="79" t="s">
        <v>242</v>
      </c>
      <c r="B14" s="122" t="str">
        <f>IF(AND(NOT(ISBLANK('Lent Input'!C12)),OR('Lent Input'!C$5=Lists!$AG$4,'Lent Input'!C$5=Lists!$AG$5)),'Lent Input'!C12,"")</f>
        <v/>
      </c>
      <c r="C14" s="77" t="str">
        <f ca="1">IFERROR(INDEX(Validation!G:G,MATCH("DFLoan1"&amp;CELL("address",C14),Validation!I:I,0)),"")</f>
        <v/>
      </c>
      <c r="D14" s="66" t="str">
        <f ca="1">IFERROR(INDEX(Validation!F:F,MATCH("DFLoan1"&amp;CELL("address",C14),Validation!I:I,0)),"")</f>
        <v/>
      </c>
    </row>
    <row r="15" spans="1:5" ht="20.100000000000001" customHeight="1" x14ac:dyDescent="0.25">
      <c r="A15" s="74" t="s">
        <v>849</v>
      </c>
      <c r="C15" s="77" t="str">
        <f ca="1">IFERROR(INDEX(Validation!G:G,MATCH("DFLoan1"&amp;CELL("address",C15),Validation!I:I,0)),"")</f>
        <v/>
      </c>
      <c r="D15" s="66" t="str">
        <f ca="1">IFERROR(INDEX(Validation!F:F,MATCH("DFLoan1"&amp;CELL("address",C15),Validation!I:I,0)),"")</f>
        <v/>
      </c>
    </row>
    <row r="16" spans="1:5" x14ac:dyDescent="0.25">
      <c r="A16" s="79" t="s">
        <v>243</v>
      </c>
      <c r="B16" s="122" t="str">
        <f>IF(AND(NOT(ISBLANK('Lent Input'!C13)),OR('Lent Input'!C$5=Lists!$AG$4,'Lent Input'!C$5=Lists!$AG$5)),'Lent Input'!C13,"")</f>
        <v/>
      </c>
      <c r="C16" s="77" t="str">
        <f ca="1">IFERROR(INDEX(Validation!G:G,MATCH("DFLoan1"&amp;CELL("address",C16),Validation!I:I,0)),"")</f>
        <v/>
      </c>
      <c r="D16" s="66" t="str">
        <f ca="1">IFERROR(INDEX(Validation!F:F,MATCH("DFLoan1"&amp;CELL("address",C16),Validation!I:I,0)),"")</f>
        <v/>
      </c>
    </row>
    <row r="17" spans="1:5" x14ac:dyDescent="0.25">
      <c r="A17" s="79" t="str">
        <f>"Amount Drawn in "&amp;Year_DestinationYearID</f>
        <v>Amount Drawn in 2024</v>
      </c>
      <c r="B17" s="103"/>
      <c r="C17" s="77" t="str">
        <f ca="1">IFERROR(INDEX(Validation!G:G,MATCH("DFLoan1"&amp;CELL("address",C17),Validation!I:I,0)),"")</f>
        <v/>
      </c>
      <c r="D17" s="66" t="str">
        <f ca="1">IFERROR(INDEX(Validation!F:F,MATCH("DFLoan1"&amp;CELL("address",C17),Validation!I:I,0)),"")</f>
        <v/>
      </c>
    </row>
    <row r="18" spans="1:5" x14ac:dyDescent="0.25">
      <c r="A18" s="79" t="s">
        <v>245</v>
      </c>
      <c r="B18" s="125" t="str">
        <f>IFERROR(B16+B17,"")</f>
        <v/>
      </c>
      <c r="C18" s="77" t="str">
        <f ca="1">IFERROR(INDEX(Validation!G:G,MATCH("DFLoan1"&amp;CELL("address",C18),Validation!I:I,0)),"")</f>
        <v/>
      </c>
      <c r="D18" s="66" t="str">
        <f ca="1">IFERROR(INDEX(Validation!F:F,MATCH("DFLoan1"&amp;CELL("address",C18),Validation!I:I,0)),"")</f>
        <v/>
      </c>
    </row>
    <row r="19" spans="1:5" x14ac:dyDescent="0.25">
      <c r="A19" s="79" t="s">
        <v>279</v>
      </c>
      <c r="B19" s="122" t="str">
        <f>IF(AND(NOT(ISBLANK('Lent Input'!C16)),OR('Lent Input'!C$5=Lists!$AG$4,'Lent Input'!C$5=Lists!$AG$5)),'Lent Input'!C16,"")</f>
        <v/>
      </c>
      <c r="C19" s="77" t="str">
        <f ca="1">IFERROR(INDEX(Validation!G:G,MATCH("DFLoan1"&amp;CELL("address",C19),Validation!I:I,0)),"")</f>
        <v/>
      </c>
      <c r="D19" s="66" t="str">
        <f ca="1">IFERROR(INDEX(Validation!F:F,MATCH("DFLoan1"&amp;CELL("address",C19),Validation!I:I,0)),"")</f>
        <v/>
      </c>
    </row>
    <row r="20" spans="1:5" x14ac:dyDescent="0.25">
      <c r="A20" s="79" t="str">
        <f>"Principal Received in "&amp;Year_DestinationYearID</f>
        <v>Principal Received in 2024</v>
      </c>
      <c r="B20" s="122"/>
      <c r="C20" s="77" t="str">
        <f ca="1">IFERROR(INDEX(Validation!G:G,MATCH("DFLoan1"&amp;CELL("address",C20),Validation!I:I,0)),"")</f>
        <v/>
      </c>
      <c r="D20" s="66" t="str">
        <f ca="1">IFERROR(INDEX(Validation!F:F,MATCH("DFLoan1"&amp;CELL("address",C20),Validation!I:I,0)),"")</f>
        <v/>
      </c>
    </row>
    <row r="21" spans="1:5" x14ac:dyDescent="0.25">
      <c r="A21" s="79" t="s">
        <v>280</v>
      </c>
      <c r="B21" s="122" t="str">
        <f>IF(AND(NOT(ISBLANK('Lent Input'!C18)),OR('Lent Input'!C$5=Lists!$AG$4,'Lent Input'!C$5=Lists!$AG$5)),'Lent Input'!C18,"")</f>
        <v/>
      </c>
      <c r="C21" s="77" t="str">
        <f ca="1">IFERROR(INDEX(Validation!G:G,MATCH("DFLoan1"&amp;CELL("address",C21),Validation!I:I,0)),"")</f>
        <v/>
      </c>
      <c r="D21" s="66" t="str">
        <f ca="1">IFERROR(INDEX(Validation!F:F,MATCH("DFLoan1"&amp;CELL("address",C21),Validation!I:I,0)),"")</f>
        <v/>
      </c>
    </row>
    <row r="22" spans="1:5" x14ac:dyDescent="0.25">
      <c r="A22" s="79" t="str">
        <f>"Additions/Reductions in "&amp;Year_DestinationYearID</f>
        <v>Additions/Reductions in 2024</v>
      </c>
      <c r="B22" s="122"/>
      <c r="C22" s="77" t="str">
        <f ca="1">IFERROR(INDEX(Validation!G:G,MATCH("DFLoan1"&amp;CELL("address",C22),Validation!I:I,0)),"")</f>
        <v/>
      </c>
      <c r="D22" s="66" t="str">
        <f ca="1">IFERROR(INDEX(Validation!F:F,MATCH("DFLoan1"&amp;CELL("address",C22),Validation!I:I,0)),"")</f>
        <v/>
      </c>
    </row>
    <row r="23" spans="1:5" x14ac:dyDescent="0.25">
      <c r="A23" s="79" t="s">
        <v>221</v>
      </c>
      <c r="B23" s="125" t="str">
        <f>IFERROR(B18-B19-B20+B21+B22,"")</f>
        <v/>
      </c>
      <c r="C23" s="77" t="str">
        <f ca="1">IFERROR(INDEX(Validation!G:G,MATCH("DFLoan1"&amp;CELL("address",C23),Validation!I:I,0)),"")</f>
        <v/>
      </c>
      <c r="D23" s="66" t="str">
        <f ca="1">IFERROR(INDEX(Validation!F:F,MATCH("DFLoan1"&amp;CELL("address",C23),Validation!I:I,0)),"")</f>
        <v/>
      </c>
    </row>
    <row r="24" spans="1:5" x14ac:dyDescent="0.25">
      <c r="A24" s="79" t="str">
        <f>"Principal Due in "&amp;Year_DestinationYearID+1</f>
        <v>Principal Due in 2025</v>
      </c>
      <c r="B24" s="122"/>
      <c r="C24" s="77" t="str">
        <f ca="1">IFERROR(INDEX(Validation!G:G,MATCH("DFLoan1"&amp;CELL("address",C24),Validation!I:I,0)),"")</f>
        <v/>
      </c>
      <c r="D24" s="66" t="str">
        <f ca="1">IFERROR(INDEX(Validation!F:F,MATCH("DFLoan1"&amp;CELL("address",C24),Validation!I:I,0)),"")</f>
        <v/>
      </c>
    </row>
    <row r="25" spans="1:5" x14ac:dyDescent="0.25">
      <c r="A25" s="79" t="s">
        <v>281</v>
      </c>
      <c r="B25" s="122" t="str">
        <f>IF(AND(NOT(ISBLANK('Lent Input'!C22)),OR('Lent Input'!C$5=Lists!$AG$4,'Lent Input'!C$5=Lists!$AG$5)),'Lent Input'!C22,"")</f>
        <v/>
      </c>
      <c r="C25" s="77" t="str">
        <f ca="1">IFERROR(INDEX(Validation!G:G,MATCH("DFLoan1"&amp;CELL("address",C25),Validation!I:I,0)),"")</f>
        <v/>
      </c>
      <c r="D25" s="66" t="str">
        <f ca="1">IFERROR(INDEX(Validation!F:F,MATCH("DFLoan1"&amp;CELL("address",C25),Validation!I:I,0)),"")</f>
        <v/>
      </c>
    </row>
    <row r="26" spans="1:5" x14ac:dyDescent="0.25">
      <c r="A26" s="79" t="str">
        <f>"Interest Received in "&amp;Year_DestinationYearID</f>
        <v>Interest Received in 2024</v>
      </c>
      <c r="B26" s="122"/>
      <c r="C26" s="77" t="str">
        <f ca="1">IFERROR(INDEX(Validation!G:G,MATCH("DFLoan1"&amp;CELL("address",C26),Validation!I:I,0)),"")</f>
        <v/>
      </c>
      <c r="D26" s="66" t="str">
        <f ca="1">IFERROR(INDEX(Validation!F:F,MATCH("DFLoan1"&amp;CELL("address",C26),Validation!I:I,0)),"")</f>
        <v/>
      </c>
    </row>
    <row r="27" spans="1:5" x14ac:dyDescent="0.25">
      <c r="A27" s="79" t="str">
        <f>"Interest Due in "&amp;Year_DestinationYearID+1</f>
        <v>Interest Due in 2025</v>
      </c>
      <c r="B27" s="122"/>
      <c r="C27" s="77" t="str">
        <f ca="1">IFERROR(INDEX(Validation!G:G,MATCH("DFLoan1"&amp;CELL("address",C27),Validation!I:I,0)),"")</f>
        <v/>
      </c>
      <c r="D27" s="66" t="str">
        <f ca="1">IFERROR(INDEX(Validation!F:F,MATCH("DFLoan1"&amp;CELL("address",C27),Validation!I:I,0)),"")</f>
        <v/>
      </c>
      <c r="E27" s="126"/>
    </row>
    <row r="28" spans="1:5" ht="20.100000000000001" customHeight="1" x14ac:dyDescent="0.25">
      <c r="A28" s="97" t="s">
        <v>176</v>
      </c>
      <c r="C28" s="77" t="str">
        <f ca="1">IF(AND(ISBLANK(A29),OR(COUNTIF(D6:D27,"Alert")&gt;0,SUM(B21:B22)&lt;&gt;0)),"Comment(s) required for remaining alert(s) and/or additions to principal.",IFERROR(INDEX(Validation!G:G,MATCH("DFLoan1"&amp;CELL("address",C28),Validation!I:I,0)),""))</f>
        <v/>
      </c>
      <c r="D28" s="66" t="str">
        <f ca="1">IF(AND(ISBLANK(A29),OR(COUNTIF(D6:D27,"Alert")&gt;0,SUM(B21:B22)&lt;&gt;0)),"Error",IFERROR(INDEX(Validation!F:F,MATCH("DFLoan1"&amp;CELL("address",C28),Validation!I:I,0)),""))</f>
        <v/>
      </c>
    </row>
    <row r="29" spans="1:5" ht="150" customHeight="1" x14ac:dyDescent="0.25">
      <c r="A29" s="123"/>
      <c r="B29" s="100" t="str">
        <f>HYPERLINK("#'Lent Funds'!B6","Click here to return to the Lent Funds Tab")</f>
        <v>Click here to return to the Lent Funds Tab</v>
      </c>
    </row>
    <row r="30" spans="1:5" x14ac:dyDescent="0.25">
      <c r="A30" s="98"/>
      <c r="B30" s="98"/>
    </row>
    <row r="31" spans="1:5" x14ac:dyDescent="0.25">
      <c r="A31" s="98"/>
      <c r="B31" s="98"/>
    </row>
    <row r="32" spans="1:5" x14ac:dyDescent="0.25">
      <c r="A32" s="98"/>
      <c r="B32" s="98"/>
    </row>
    <row r="33" spans="1:2" x14ac:dyDescent="0.25">
      <c r="A33" s="98"/>
      <c r="B33" s="98"/>
    </row>
  </sheetData>
  <sheetProtection algorithmName="SHA-512" hashValue="yKdv16jbVkSJOqtzXrmCbrFcno1E4PCXhhr3eOk3rA+xgkzR8MqbgfXvdiIfkqQJRDkVMJqO+uQ8qW7LQMd+Wg==" saltValue="zyxfm0YDLLntrq458QwcMA==" spinCount="100000" sheet="1" objects="1" scenarios="1"/>
  <mergeCells count="1">
    <mergeCell ref="A4:D4"/>
  </mergeCells>
  <conditionalFormatting sqref="A2">
    <cfRule type="expression" dxfId="134" priority="19">
      <formula>$D2="Error"</formula>
    </cfRule>
    <cfRule type="expression" dxfId="132" priority="21">
      <formula>$D2="Exclude"</formula>
    </cfRule>
  </conditionalFormatting>
  <conditionalFormatting sqref="C6:D28">
    <cfRule type="expression" dxfId="129" priority="1">
      <formula>$D6="Information"</formula>
    </cfRule>
    <cfRule type="expression" dxfId="128" priority="2">
      <formula>$D6="Error"</formula>
    </cfRule>
    <cfRule type="expression" dxfId="127" priority="3">
      <formula>$D6="Alert"</formula>
    </cfRule>
    <cfRule type="expression" dxfId="126" priority="4">
      <formula>$D6="Exclude"</formula>
    </cfRule>
  </conditionalFormatting>
  <dataValidations count="2">
    <dataValidation type="list" allowBlank="1" showInputMessage="1" showErrorMessage="1" sqref="B7" xr:uid="{DDECB64A-B5C0-447A-B4C5-AFADA93E3025}">
      <formula1>DueFromType</formula1>
    </dataValidation>
    <dataValidation type="list" allowBlank="1" showInputMessage="1" showErrorMessage="1" sqref="B8" xr:uid="{6F6EF0C2-488B-42F1-9220-2D56235CA978}">
      <formula1>DistrictDropDown</formula1>
    </dataValidation>
  </dataValidations>
  <pageMargins left="0.7" right="0.7" top="0.75" bottom="0.75" header="0.3" footer="0.3"/>
  <pageSetup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20" id="{7761AADF-5BDC-40E1-8666-69C0DC20B017}">
            <xm:f>COUNTIFS(Validation!$H:$H,MID(CELL("filename",A2),FIND("]",CELL("filename",A2))+1,255)&amp;CELL("address",A2))&gt;0</xm:f>
            <x14:dxf>
              <font>
                <b/>
                <i val="0"/>
                <color rgb="FFC00000"/>
              </font>
              <numFmt numFmtId="172" formatCode="_(\!* #,##0_);_(\!* \(#,##0\);_(\!* \-??_);_(\!\ @_)"/>
            </x14:dxf>
          </x14:cfRule>
          <xm:sqref>A2</xm:sqref>
        </x14:conditionalFormatting>
        <x14:conditionalFormatting xmlns:xm="http://schemas.microsoft.com/office/excel/2006/main">
          <x14:cfRule type="expression" priority="10" id="{F31549DE-E41E-4F80-90D8-40A2585264B1}">
            <xm:f>$B$7=Lists!$AH$5</xm:f>
            <x14:dxf>
              <fill>
                <patternFill>
                  <bgColor rgb="FFEAEAEA"/>
                </patternFill>
              </fill>
            </x14:dxf>
          </x14:cfRule>
          <xm:sqref>B8</xm:sqref>
        </x14:conditionalFormatting>
        <x14:conditionalFormatting xmlns:xm="http://schemas.microsoft.com/office/excel/2006/main">
          <x14:cfRule type="expression" priority="9" id="{CD3B8EBE-CF3C-462D-8BA6-392642607150}">
            <xm:f>$B$7=Lists!$AH$4</xm:f>
            <x14:dxf>
              <fill>
                <patternFill>
                  <bgColor rgb="FFEAEAEA"/>
                </patternFill>
              </fill>
            </x14:dxf>
          </x14:cfRule>
          <xm:sqref>B9</xm:sqref>
        </x14:conditionalFormatting>
      </x14:conditionalFormattings>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B8C71-4FF2-4876-BE76-2B5752ABF272}">
  <sheetPr>
    <tabColor rgb="FFEED382"/>
  </sheetPr>
  <dimension ref="A1:E33"/>
  <sheetViews>
    <sheetView showGridLines="0" workbookViewId="0">
      <selection activeCell="B7" sqref="B7"/>
    </sheetView>
  </sheetViews>
  <sheetFormatPr defaultRowHeight="15" x14ac:dyDescent="0.25"/>
  <cols>
    <col min="1" max="1" width="55.7109375" style="66" customWidth="1"/>
    <col min="2" max="2" width="22.7109375" style="66" customWidth="1"/>
    <col min="3" max="3" width="80.85546875" style="66" customWidth="1"/>
    <col min="4" max="4" width="14.7109375" style="66" customWidth="1"/>
    <col min="5" max="5" width="10.7109375" style="78" hidden="1" customWidth="1"/>
    <col min="6" max="16384" width="9.140625" style="66"/>
  </cols>
  <sheetData>
    <row r="1" spans="1:5" s="59" customFormat="1" ht="24.95" customHeight="1" x14ac:dyDescent="0.25">
      <c r="A1" s="59" t="str">
        <f>_xlfn.CONCAT("Office of the State Auditor  -  TIF Annual Reporting Form  -  ",Year_DestinationYearID)</f>
        <v>Office of the State Auditor  -  TIF Annual Reporting Form  -  2024</v>
      </c>
      <c r="E1" s="61"/>
    </row>
    <row r="2" spans="1:5" s="62" customFormat="1" ht="20.100000000000001" customHeight="1" x14ac:dyDescent="0.25">
      <c r="A2" s="58" t="str">
        <f>_xlfn.CONCAT(GovEntity_GovEntityName_Parent,"  -  ",GovEntity_GovEntityName)</f>
        <v>Spruce City  -  TIF 1-1 Downtown Redev</v>
      </c>
      <c r="E2" s="64"/>
    </row>
    <row r="3" spans="1:5" s="68" customFormat="1" ht="24.95" customHeight="1" x14ac:dyDescent="0.3">
      <c r="A3" s="65" t="s">
        <v>848</v>
      </c>
      <c r="B3" s="66"/>
      <c r="E3" s="69"/>
    </row>
    <row r="4" spans="1:5" s="71" customFormat="1" x14ac:dyDescent="0.25">
      <c r="A4" s="217" t="s">
        <v>207</v>
      </c>
      <c r="B4" s="217"/>
      <c r="C4" s="217"/>
      <c r="D4" s="217"/>
      <c r="E4" s="72" t="s">
        <v>119</v>
      </c>
    </row>
    <row r="5" spans="1:5" s="74" customFormat="1" ht="20.100000000000001" customHeight="1" x14ac:dyDescent="0.25">
      <c r="A5" s="73" t="str">
        <f>HYPERLINK("#'Lent Funds'!B6","Click here to return to the Lent Funds Tab")</f>
        <v>Click here to return to the Lent Funds Tab</v>
      </c>
      <c r="B5" s="74" t="s">
        <v>120</v>
      </c>
      <c r="C5" s="74" t="s">
        <v>121</v>
      </c>
      <c r="D5" s="74" t="s">
        <v>102</v>
      </c>
      <c r="E5" s="76"/>
    </row>
    <row r="6" spans="1:5" ht="20.100000000000001" customHeight="1" x14ac:dyDescent="0.25">
      <c r="A6" s="74" t="s">
        <v>847</v>
      </c>
      <c r="C6" s="77" t="str">
        <f ca="1">IFERROR(INDEX(Validation!G:G,MATCH("DFLoan2"&amp;CELL("address",C6),Validation!I:I,0)),"")</f>
        <v/>
      </c>
      <c r="D6" s="66" t="str">
        <f ca="1">IFERROR(INDEX(Validation!F:F,MATCH("DFLoan2"&amp;CELL("address",C6),Validation!I:I,0)),"")</f>
        <v/>
      </c>
      <c r="E6" s="78" t="s">
        <v>875</v>
      </c>
    </row>
    <row r="7" spans="1:5" x14ac:dyDescent="0.25">
      <c r="A7" s="79" t="s">
        <v>761</v>
      </c>
      <c r="B7" s="103" t="str">
        <f>IF(AND(NOT(ISBLANK('Lent Input'!D5)),OR('Lent Input'!D$5=Lists!$AG$4,'Lent Input'!D$5=Lists!$AG$5)),_xlfn.XLOOKUP('Lent Input'!D5,Lists!AG2:AG5,Lists!AH2:AH5),Lists!$AH$1)</f>
        <v>Select One</v>
      </c>
      <c r="C7" s="77" t="str">
        <f ca="1">IFERROR(INDEX(Validation!G:G,MATCH("DFLoan2"&amp;CELL("address",C7),Validation!I:I,0)),"")</f>
        <v/>
      </c>
      <c r="D7" s="66" t="str">
        <f ca="1">IFERROR(INDEX(Validation!F:F,MATCH("DFLoan2"&amp;CELL("address",C7),Validation!I:I,0)),"")</f>
        <v/>
      </c>
      <c r="E7" s="85" t="str">
        <f>IF(NOT(ISBLANK('Lent Input'!D4)),'Lent Input'!D4,"")</f>
        <v/>
      </c>
    </row>
    <row r="8" spans="1:5" x14ac:dyDescent="0.25">
      <c r="A8" s="79" t="s">
        <v>769</v>
      </c>
      <c r="B8" s="103" t="str">
        <f>IF(AND(NOT(ISBLANK('Lent Input'!D6)),'Lent Input'!D$5=Lists!$AG$4),'Lent Input'!D6,Lists!$AJ$1)</f>
        <v>Select One</v>
      </c>
      <c r="C8" s="77" t="str">
        <f ca="1">IFERROR(INDEX(Validation!G:G,MATCH("DFLoan2"&amp;CELL("address",C8),Validation!I:I,0)),"")</f>
        <v/>
      </c>
      <c r="D8" s="66" t="str">
        <f ca="1">IFERROR(INDEX(Validation!F:F,MATCH("DFLoan2"&amp;CELL("address",C8),Validation!I:I,0)),"")</f>
        <v/>
      </c>
    </row>
    <row r="9" spans="1:5" x14ac:dyDescent="0.25">
      <c r="A9" s="79" t="s">
        <v>770</v>
      </c>
      <c r="B9" s="103" t="str">
        <f>IF(AND(NOT(ISBLANK('Lent Input'!D7)),'Lent Input'!D$5=Lists!$AG$5),'Lent Input'!D7,"")</f>
        <v/>
      </c>
      <c r="C9" s="77" t="str">
        <f ca="1">IFERROR(INDEX(Validation!G:G,MATCH("DFLoan2"&amp;CELL("address",C9),Validation!I:I,0)),"")</f>
        <v/>
      </c>
      <c r="D9" s="66" t="str">
        <f ca="1">IFERROR(INDEX(Validation!F:F,MATCH("DFLoan2"&amp;CELL("address",C9),Validation!I:I,0)),"")</f>
        <v/>
      </c>
    </row>
    <row r="10" spans="1:5" x14ac:dyDescent="0.25">
      <c r="A10" s="79" t="s">
        <v>240</v>
      </c>
      <c r="B10" s="120" t="str">
        <f>IF(AND(NOT(ISBLANK('Lent Input'!D8)),OR('Lent Input'!D$5=Lists!$AG$4,'Lent Input'!D$5=Lists!$AG$5)),'Lent Input'!D8,"")</f>
        <v/>
      </c>
      <c r="C10" s="77" t="str">
        <f ca="1">IFERROR(INDEX(Validation!G:G,MATCH("DFLoan2"&amp;CELL("address",C10),Validation!I:I,0)),"")</f>
        <v/>
      </c>
      <c r="D10" s="66" t="str">
        <f ca="1">IFERROR(INDEX(Validation!F:F,MATCH("DFLoan2"&amp;CELL("address",C10),Validation!I:I,0)),"")</f>
        <v/>
      </c>
    </row>
    <row r="11" spans="1:5" x14ac:dyDescent="0.25">
      <c r="A11" s="79" t="s">
        <v>212</v>
      </c>
      <c r="B11" s="120" t="str">
        <f>IF(AND(NOT(ISBLANK('Lent Input'!D9)),OR('Lent Input'!D$5=Lists!$AG$4,'Lent Input'!D$5=Lists!$AG$5)),'Lent Input'!D9,"")</f>
        <v/>
      </c>
      <c r="C11" s="77" t="str">
        <f ca="1">IFERROR(INDEX(Validation!G:G,MATCH("DFLoan2"&amp;CELL("address",C11),Validation!I:I,0)),"")</f>
        <v/>
      </c>
      <c r="D11" s="66" t="str">
        <f ca="1">IFERROR(INDEX(Validation!F:F,MATCH("DFLoan2"&amp;CELL("address",C11),Validation!I:I,0)),"")</f>
        <v/>
      </c>
    </row>
    <row r="12" spans="1:5" x14ac:dyDescent="0.25">
      <c r="A12" s="79" t="s">
        <v>213</v>
      </c>
      <c r="B12" s="121" t="str">
        <f>IF(AND(NOT(ISBLANK('Lent Input'!D10)),OR('Lent Input'!D$5=Lists!$AG$4,'Lent Input'!D$5=Lists!$AG$5)),'Lent Input'!D10,"")</f>
        <v/>
      </c>
      <c r="C12" s="77" t="str">
        <f ca="1">IFERROR(INDEX(Validation!G:G,MATCH("DFLoan2"&amp;CELL("address",C12),Validation!I:I,0)),"")</f>
        <v/>
      </c>
      <c r="D12" s="66" t="str">
        <f ca="1">IFERROR(INDEX(Validation!F:F,MATCH("DFLoan2"&amp;CELL("address",C12),Validation!I:I,0)),"")</f>
        <v/>
      </c>
    </row>
    <row r="13" spans="1:5" x14ac:dyDescent="0.25">
      <c r="A13" s="79" t="s">
        <v>214</v>
      </c>
      <c r="B13" s="121" t="str">
        <f>IF(AND(NOT(ISBLANK('Lent Input'!D11)),OR('Lent Input'!D$5=Lists!$AG$4,'Lent Input'!D$5=Lists!$AG$5)),'Lent Input'!D11,"")</f>
        <v/>
      </c>
      <c r="C13" s="77" t="str">
        <f ca="1">IFERROR(INDEX(Validation!G:G,MATCH("DFLoan2"&amp;CELL("address",C13),Validation!I:I,0)),"")</f>
        <v/>
      </c>
      <c r="D13" s="66" t="str">
        <f ca="1">IFERROR(INDEX(Validation!F:F,MATCH("DFLoan2"&amp;CELL("address",C13),Validation!I:I,0)),"")</f>
        <v/>
      </c>
    </row>
    <row r="14" spans="1:5" x14ac:dyDescent="0.25">
      <c r="A14" s="79" t="s">
        <v>242</v>
      </c>
      <c r="B14" s="122" t="str">
        <f>IF(AND(NOT(ISBLANK('Lent Input'!D12)),OR('Lent Input'!D$5=Lists!$AG$4,'Lent Input'!D$5=Lists!$AG$5)),'Lent Input'!D12,"")</f>
        <v/>
      </c>
      <c r="C14" s="77" t="str">
        <f ca="1">IFERROR(INDEX(Validation!G:G,MATCH("DFLoan2"&amp;CELL("address",C14),Validation!I:I,0)),"")</f>
        <v/>
      </c>
      <c r="D14" s="66" t="str">
        <f ca="1">IFERROR(INDEX(Validation!F:F,MATCH("DFLoan2"&amp;CELL("address",C14),Validation!I:I,0)),"")</f>
        <v/>
      </c>
    </row>
    <row r="15" spans="1:5" ht="20.100000000000001" customHeight="1" x14ac:dyDescent="0.25">
      <c r="A15" s="74" t="s">
        <v>849</v>
      </c>
      <c r="C15" s="77" t="str">
        <f ca="1">IFERROR(INDEX(Validation!G:G,MATCH("DFLoan2"&amp;CELL("address",C15),Validation!I:I,0)),"")</f>
        <v/>
      </c>
      <c r="D15" s="66" t="str">
        <f ca="1">IFERROR(INDEX(Validation!F:F,MATCH("DFLoan2"&amp;CELL("address",C15),Validation!I:I,0)),"")</f>
        <v/>
      </c>
    </row>
    <row r="16" spans="1:5" x14ac:dyDescent="0.25">
      <c r="A16" s="79" t="s">
        <v>243</v>
      </c>
      <c r="B16" s="122" t="str">
        <f>IF(AND(NOT(ISBLANK('Lent Input'!D13)),OR('Lent Input'!D$5=Lists!$AG$4,'Lent Input'!D$5=Lists!$AG$5)),'Lent Input'!D13,"")</f>
        <v/>
      </c>
      <c r="C16" s="77" t="str">
        <f ca="1">IFERROR(INDEX(Validation!G:G,MATCH("DFLoan2"&amp;CELL("address",C16),Validation!I:I,0)),"")</f>
        <v/>
      </c>
      <c r="D16" s="66" t="str">
        <f ca="1">IFERROR(INDEX(Validation!F:F,MATCH("DFLoan2"&amp;CELL("address",C16),Validation!I:I,0)),"")</f>
        <v/>
      </c>
    </row>
    <row r="17" spans="1:5" x14ac:dyDescent="0.25">
      <c r="A17" s="79" t="str">
        <f>"Amount Drawn in "&amp;Year_DestinationYearID</f>
        <v>Amount Drawn in 2024</v>
      </c>
      <c r="B17" s="103"/>
      <c r="C17" s="77" t="str">
        <f ca="1">IFERROR(INDEX(Validation!G:G,MATCH("DFLoan2"&amp;CELL("address",C17),Validation!I:I,0)),"")</f>
        <v/>
      </c>
      <c r="D17" s="66" t="str">
        <f ca="1">IFERROR(INDEX(Validation!F:F,MATCH("DFLoan2"&amp;CELL("address",C17),Validation!I:I,0)),"")</f>
        <v/>
      </c>
    </row>
    <row r="18" spans="1:5" x14ac:dyDescent="0.25">
      <c r="A18" s="79" t="s">
        <v>245</v>
      </c>
      <c r="B18" s="125" t="str">
        <f>IFERROR(B16+B17,"")</f>
        <v/>
      </c>
      <c r="C18" s="77" t="str">
        <f ca="1">IFERROR(INDEX(Validation!G:G,MATCH("DFLoan2"&amp;CELL("address",C18),Validation!I:I,0)),"")</f>
        <v/>
      </c>
      <c r="D18" s="66" t="str">
        <f ca="1">IFERROR(INDEX(Validation!F:F,MATCH("DFLoan2"&amp;CELL("address",C18),Validation!I:I,0)),"")</f>
        <v/>
      </c>
    </row>
    <row r="19" spans="1:5" x14ac:dyDescent="0.25">
      <c r="A19" s="79" t="s">
        <v>279</v>
      </c>
      <c r="B19" s="122" t="str">
        <f>IF(AND(NOT(ISBLANK('Lent Input'!D16)),OR('Lent Input'!D$5=Lists!$AG$4,'Lent Input'!D$5=Lists!$AG$5)),'Lent Input'!D16,"")</f>
        <v/>
      </c>
      <c r="C19" s="77" t="str">
        <f ca="1">IFERROR(INDEX(Validation!G:G,MATCH("DFLoan2"&amp;CELL("address",C19),Validation!I:I,0)),"")</f>
        <v/>
      </c>
      <c r="D19" s="66" t="str">
        <f ca="1">IFERROR(INDEX(Validation!F:F,MATCH("DFLoan2"&amp;CELL("address",C19),Validation!I:I,0)),"")</f>
        <v/>
      </c>
    </row>
    <row r="20" spans="1:5" x14ac:dyDescent="0.25">
      <c r="A20" s="79" t="str">
        <f>"Principal Received in "&amp;Year_DestinationYearID</f>
        <v>Principal Received in 2024</v>
      </c>
      <c r="B20" s="122"/>
      <c r="C20" s="77" t="str">
        <f ca="1">IFERROR(INDEX(Validation!G:G,MATCH("DFLoan2"&amp;CELL("address",C20),Validation!I:I,0)),"")</f>
        <v/>
      </c>
      <c r="D20" s="66" t="str">
        <f ca="1">IFERROR(INDEX(Validation!F:F,MATCH("DFLoan2"&amp;CELL("address",C20),Validation!I:I,0)),"")</f>
        <v/>
      </c>
    </row>
    <row r="21" spans="1:5" x14ac:dyDescent="0.25">
      <c r="A21" s="79" t="s">
        <v>280</v>
      </c>
      <c r="B21" s="122" t="str">
        <f>IF(AND(NOT(ISBLANK('Lent Input'!D18)),OR('Lent Input'!D$5=Lists!$AG$4,'Lent Input'!D$5=Lists!$AG$5)),'Lent Input'!D18,"")</f>
        <v/>
      </c>
      <c r="C21" s="77" t="str">
        <f ca="1">IFERROR(INDEX(Validation!G:G,MATCH("DFLoan2"&amp;CELL("address",C21),Validation!I:I,0)),"")</f>
        <v/>
      </c>
      <c r="D21" s="66" t="str">
        <f ca="1">IFERROR(INDEX(Validation!F:F,MATCH("DFLoan2"&amp;CELL("address",C21),Validation!I:I,0)),"")</f>
        <v/>
      </c>
    </row>
    <row r="22" spans="1:5" x14ac:dyDescent="0.25">
      <c r="A22" s="79" t="str">
        <f>"Additions/Reductions in "&amp;Year_DestinationYearID</f>
        <v>Additions/Reductions in 2024</v>
      </c>
      <c r="B22" s="122"/>
      <c r="C22" s="77" t="str">
        <f ca="1">IFERROR(INDEX(Validation!G:G,MATCH("DFLoan2"&amp;CELL("address",C22),Validation!I:I,0)),"")</f>
        <v/>
      </c>
      <c r="D22" s="66" t="str">
        <f ca="1">IFERROR(INDEX(Validation!F:F,MATCH("DFLoan2"&amp;CELL("address",C22),Validation!I:I,0)),"")</f>
        <v/>
      </c>
    </row>
    <row r="23" spans="1:5" x14ac:dyDescent="0.25">
      <c r="A23" s="79" t="s">
        <v>221</v>
      </c>
      <c r="B23" s="125" t="str">
        <f>IFERROR(B18-B19-B20+B21+B22,"")</f>
        <v/>
      </c>
      <c r="C23" s="77" t="str">
        <f ca="1">IFERROR(INDEX(Validation!G:G,MATCH("DFLoan2"&amp;CELL("address",C23),Validation!I:I,0)),"")</f>
        <v/>
      </c>
      <c r="D23" s="66" t="str">
        <f ca="1">IFERROR(INDEX(Validation!F:F,MATCH("DFLoan2"&amp;CELL("address",C23),Validation!I:I,0)),"")</f>
        <v/>
      </c>
    </row>
    <row r="24" spans="1:5" x14ac:dyDescent="0.25">
      <c r="A24" s="79" t="str">
        <f>"Principal Due in "&amp;Year_DestinationYearID+1</f>
        <v>Principal Due in 2025</v>
      </c>
      <c r="B24" s="122"/>
      <c r="C24" s="77" t="str">
        <f ca="1">IFERROR(INDEX(Validation!G:G,MATCH("DFLoan2"&amp;CELL("address",C24),Validation!I:I,0)),"")</f>
        <v/>
      </c>
      <c r="D24" s="66" t="str">
        <f ca="1">IFERROR(INDEX(Validation!F:F,MATCH("DFLoan2"&amp;CELL("address",C24),Validation!I:I,0)),"")</f>
        <v/>
      </c>
    </row>
    <row r="25" spans="1:5" x14ac:dyDescent="0.25">
      <c r="A25" s="79" t="s">
        <v>281</v>
      </c>
      <c r="B25" s="122" t="str">
        <f>IF(AND(NOT(ISBLANK('Lent Input'!D22)),OR('Lent Input'!D$5=Lists!$AG$4,'Lent Input'!D$5=Lists!$AG$5)),'Lent Input'!D22,"")</f>
        <v/>
      </c>
      <c r="C25" s="77" t="str">
        <f ca="1">IFERROR(INDEX(Validation!G:G,MATCH("DFLoan2"&amp;CELL("address",C25),Validation!I:I,0)),"")</f>
        <v/>
      </c>
      <c r="D25" s="66" t="str">
        <f ca="1">IFERROR(INDEX(Validation!F:F,MATCH("DFLoan2"&amp;CELL("address",C25),Validation!I:I,0)),"")</f>
        <v/>
      </c>
    </row>
    <row r="26" spans="1:5" x14ac:dyDescent="0.25">
      <c r="A26" s="79" t="str">
        <f>"Interest Received in "&amp;Year_DestinationYearID</f>
        <v>Interest Received in 2024</v>
      </c>
      <c r="B26" s="122"/>
      <c r="C26" s="77" t="str">
        <f ca="1">IFERROR(INDEX(Validation!G:G,MATCH("DFLoan2"&amp;CELL("address",C26),Validation!I:I,0)),"")</f>
        <v/>
      </c>
      <c r="D26" s="66" t="str">
        <f ca="1">IFERROR(INDEX(Validation!F:F,MATCH("DFLoan2"&amp;CELL("address",C26),Validation!I:I,0)),"")</f>
        <v/>
      </c>
    </row>
    <row r="27" spans="1:5" x14ac:dyDescent="0.25">
      <c r="A27" s="79" t="str">
        <f>"Interest Due in "&amp;Year_DestinationYearID+1</f>
        <v>Interest Due in 2025</v>
      </c>
      <c r="B27" s="122"/>
      <c r="C27" s="77" t="str">
        <f ca="1">IFERROR(INDEX(Validation!G:G,MATCH("DFLoan2"&amp;CELL("address",C27),Validation!I:I,0)),"")</f>
        <v/>
      </c>
      <c r="D27" s="66" t="str">
        <f ca="1">IFERROR(INDEX(Validation!F:F,MATCH("DFLoan2"&amp;CELL("address",C27),Validation!I:I,0)),"")</f>
        <v/>
      </c>
      <c r="E27" s="126"/>
    </row>
    <row r="28" spans="1:5" ht="20.100000000000001" customHeight="1" x14ac:dyDescent="0.25">
      <c r="A28" s="97" t="s">
        <v>176</v>
      </c>
      <c r="C28" s="77" t="str">
        <f ca="1">IF(AND(ISBLANK(A29),OR(COUNTIF(D6:D27,"Alert")&gt;0,SUM(B21:B22)&lt;&gt;0)),"Comment(s) required for remaining alert(s) and/or additions to principal.",IFERROR(INDEX(Validation!G:G,MATCH("DFLoan2"&amp;CELL("address",C28),Validation!I:I,0)),""))</f>
        <v/>
      </c>
      <c r="D28" s="66" t="str">
        <f ca="1">IF(AND(ISBLANK(A29),OR(COUNTIF(D6:D27,"Alert")&gt;0,SUM(B21:B22)&lt;&gt;0)),"Error",IFERROR(INDEX(Validation!F:F,MATCH("DFLoan2"&amp;CELL("address",C28),Validation!I:I,0)),""))</f>
        <v/>
      </c>
    </row>
    <row r="29" spans="1:5" ht="150" customHeight="1" x14ac:dyDescent="0.25">
      <c r="A29" s="123"/>
      <c r="B29" s="100" t="str">
        <f>HYPERLINK("#'Lent Funds'!B6","Click here to return to the Lent Funds Tab")</f>
        <v>Click here to return to the Lent Funds Tab</v>
      </c>
    </row>
    <row r="30" spans="1:5" x14ac:dyDescent="0.25">
      <c r="A30" s="98"/>
      <c r="B30" s="98"/>
    </row>
    <row r="31" spans="1:5" x14ac:dyDescent="0.25">
      <c r="A31" s="98"/>
      <c r="B31" s="98"/>
    </row>
    <row r="32" spans="1:5" x14ac:dyDescent="0.25">
      <c r="A32" s="98"/>
      <c r="B32" s="98"/>
    </row>
    <row r="33" spans="1:2" x14ac:dyDescent="0.25">
      <c r="A33" s="98"/>
      <c r="B33" s="98"/>
    </row>
  </sheetData>
  <sheetProtection algorithmName="SHA-512" hashValue="AK+jI8LvK/0vHmk7zHuGwQcWgWQgoDoU1+dFK/gOewg865++l7kraL7YHQxttzyuUzgT821URMaRAFTPAiQLpA==" saltValue="2DQB/BZ4k+67n76h/rAcrg==" spinCount="100000" sheet="1" objects="1" scenarios="1"/>
  <mergeCells count="1">
    <mergeCell ref="A4:D4"/>
  </mergeCells>
  <conditionalFormatting sqref="A2">
    <cfRule type="expression" dxfId="125" priority="11">
      <formula>$D2="Error"</formula>
    </cfRule>
    <cfRule type="expression" dxfId="123" priority="13">
      <formula>$D2="Exclude"</formula>
    </cfRule>
  </conditionalFormatting>
  <conditionalFormatting sqref="C6:D28">
    <cfRule type="expression" dxfId="120" priority="1">
      <formula>$D6="Information"</formula>
    </cfRule>
    <cfRule type="expression" dxfId="119" priority="2">
      <formula>$D6="Error"</formula>
    </cfRule>
    <cfRule type="expression" dxfId="118" priority="3">
      <formula>$D6="Alert"</formula>
    </cfRule>
    <cfRule type="expression" dxfId="117" priority="4">
      <formula>$D6="Exclude"</formula>
    </cfRule>
  </conditionalFormatting>
  <dataValidations count="2">
    <dataValidation type="list" allowBlank="1" showInputMessage="1" showErrorMessage="1" sqref="B8" xr:uid="{B38D3916-3FF4-4213-A4DB-18661F2940FC}">
      <formula1>DistrictDropDown</formula1>
    </dataValidation>
    <dataValidation type="list" allowBlank="1" showInputMessage="1" showErrorMessage="1" sqref="B7" xr:uid="{A4BA5ED5-92B3-4392-95D5-9B3EC5E31E84}">
      <formula1>DueFromType</formula1>
    </dataValidation>
  </dataValidations>
  <pageMargins left="0.7" right="0.7" top="0.75" bottom="0.75" header="0.3" footer="0.3"/>
  <pageSetup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12" id="{F379B259-A338-4089-B632-59C8943055F2}">
            <xm:f>COUNTIFS(Validation!$H:$H,MID(CELL("filename",A2),FIND("]",CELL("filename",A2))+1,255)&amp;CELL("address",A2))&gt;0</xm:f>
            <x14:dxf>
              <font>
                <b/>
                <i val="0"/>
                <color rgb="FFC00000"/>
              </font>
              <numFmt numFmtId="172" formatCode="_(\!* #,##0_);_(\!* \(#,##0\);_(\!* \-??_);_(\!\ @_)"/>
            </x14:dxf>
          </x14:cfRule>
          <xm:sqref>A2</xm:sqref>
        </x14:conditionalFormatting>
        <x14:conditionalFormatting xmlns:xm="http://schemas.microsoft.com/office/excel/2006/main">
          <x14:cfRule type="expression" priority="10" id="{F5953721-4125-401C-A7BB-98538F977B2C}">
            <xm:f>$B$7=Lists!$AH$5</xm:f>
            <x14:dxf>
              <fill>
                <patternFill>
                  <bgColor rgb="FFEAEAEA"/>
                </patternFill>
              </fill>
            </x14:dxf>
          </x14:cfRule>
          <xm:sqref>B8</xm:sqref>
        </x14:conditionalFormatting>
        <x14:conditionalFormatting xmlns:xm="http://schemas.microsoft.com/office/excel/2006/main">
          <x14:cfRule type="expression" priority="9" id="{B119406E-4C0A-4D25-B3B3-5A556FD41329}">
            <xm:f>$B$7=Lists!$AH$4</xm:f>
            <x14:dxf>
              <fill>
                <patternFill>
                  <bgColor rgb="FFEAEAEA"/>
                </patternFill>
              </fill>
            </x14:dxf>
          </x14:cfRule>
          <xm:sqref>B9</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C4D4D-75AF-41F4-B5EB-590DB146B69D}">
  <sheetPr>
    <tabColor rgb="FFFFC000"/>
  </sheetPr>
  <dimension ref="A1:S28"/>
  <sheetViews>
    <sheetView workbookViewId="0">
      <selection activeCell="C17" sqref="C17"/>
    </sheetView>
  </sheetViews>
  <sheetFormatPr defaultRowHeight="15" x14ac:dyDescent="0.25"/>
  <cols>
    <col min="1" max="1" width="55.7109375" customWidth="1"/>
    <col min="2" max="2" width="55.7109375" bestFit="1" customWidth="1"/>
  </cols>
  <sheetData>
    <row r="1" spans="1:19" s="43" customFormat="1" ht="24.95" customHeight="1" x14ac:dyDescent="0.3">
      <c r="A1" s="29" t="s">
        <v>869</v>
      </c>
    </row>
    <row r="2" spans="1:19" s="8" customFormat="1" ht="45" customHeight="1" x14ac:dyDescent="0.25">
      <c r="A2" s="9" t="s">
        <v>870</v>
      </c>
    </row>
    <row r="3" spans="1:19" x14ac:dyDescent="0.25">
      <c r="A3" s="1"/>
      <c r="B3" t="s">
        <v>506</v>
      </c>
      <c r="C3" s="28" t="str">
        <f>IF(NOT(ISBLANK('IFL Input'!C72)),'IFL Input'!C72,"")</f>
        <v/>
      </c>
      <c r="D3" s="28" t="str">
        <f>IF(NOT(ISBLANK('IFL Input'!D72)),'IFL Input'!D72,"")</f>
        <v/>
      </c>
      <c r="E3" s="28" t="str">
        <f>IF(NOT(ISBLANK('IFL Input'!E72)),'IFL Input'!E72,"")</f>
        <v/>
      </c>
      <c r="F3" s="28" t="str">
        <f>IF(NOT(ISBLANK('IFL Input'!F72)),'IFL Input'!F72,"")</f>
        <v/>
      </c>
      <c r="G3" s="28" t="str">
        <f>IF(NOT(ISBLANK('IFL Input'!G72)),'IFL Input'!G72,"")</f>
        <v/>
      </c>
      <c r="H3" s="28" t="str">
        <f>IF(NOT(ISBLANK('IFL Input'!H72)),'IFL Input'!H72,"")</f>
        <v/>
      </c>
      <c r="I3" s="28" t="str">
        <f>IF(NOT(ISBLANK('IFL Input'!I72)),'IFL Input'!I72,"")</f>
        <v/>
      </c>
      <c r="J3" s="28" t="str">
        <f>IF(NOT(ISBLANK('IFL Input'!J72)),'IFL Input'!J72,"")</f>
        <v/>
      </c>
      <c r="K3" s="28" t="str">
        <f>IF(NOT(ISBLANK('IFL Input'!K72)),'IFL Input'!K72,"")</f>
        <v/>
      </c>
      <c r="L3" s="28" t="str">
        <f>IF(NOT(ISBLANK('IFL Input'!L72)),'IFL Input'!L72,"")</f>
        <v/>
      </c>
      <c r="M3" s="28" t="str">
        <f>IF(NOT(ISBLANK('IFL Input'!M72)),'IFL Input'!M72,"")</f>
        <v/>
      </c>
      <c r="N3" s="28" t="str">
        <f>IF(NOT(ISBLANK('IFL Input'!N72)),'IFL Input'!N72,"")</f>
        <v/>
      </c>
      <c r="O3" s="28" t="str">
        <f>IF(NOT(ISBLANK('IFL Input'!O72)),'IFL Input'!O72,"")</f>
        <v/>
      </c>
      <c r="P3" s="28" t="str">
        <f>IF(NOT(ISBLANK('IFL Input'!P72)),'IFL Input'!P72,"")</f>
        <v/>
      </c>
      <c r="Q3" s="28" t="str">
        <f>IF(NOT(ISBLANK('IFL Input'!Q72)),'IFL Input'!Q72,"")</f>
        <v/>
      </c>
      <c r="R3" s="28" t="s">
        <v>882</v>
      </c>
    </row>
    <row r="4" spans="1:19" x14ac:dyDescent="0.25">
      <c r="A4" s="7" t="s">
        <v>873</v>
      </c>
      <c r="B4" t="s">
        <v>874</v>
      </c>
      <c r="C4" s="28" t="str">
        <f t="shared" ref="C4:Q4" si="0">_xlfn.XLOOKUP(C$3,IFL_Input_Column,TIF_InterfundLoan_InterfundLoanId,"")</f>
        <v/>
      </c>
      <c r="D4" s="28" t="str">
        <f t="shared" si="0"/>
        <v/>
      </c>
      <c r="E4" s="28" t="str">
        <f t="shared" si="0"/>
        <v/>
      </c>
      <c r="F4" s="28" t="str">
        <f t="shared" si="0"/>
        <v/>
      </c>
      <c r="G4" s="28" t="str">
        <f t="shared" si="0"/>
        <v/>
      </c>
      <c r="H4" s="28" t="str">
        <f t="shared" si="0"/>
        <v/>
      </c>
      <c r="I4" s="28" t="str">
        <f t="shared" si="0"/>
        <v/>
      </c>
      <c r="J4" s="28" t="str">
        <f t="shared" si="0"/>
        <v/>
      </c>
      <c r="K4" s="28" t="str">
        <f t="shared" si="0"/>
        <v/>
      </c>
      <c r="L4" s="28" t="str">
        <f t="shared" si="0"/>
        <v/>
      </c>
      <c r="M4" s="28" t="str">
        <f t="shared" si="0"/>
        <v/>
      </c>
      <c r="N4" s="28" t="str">
        <f t="shared" si="0"/>
        <v/>
      </c>
      <c r="O4" s="28" t="str">
        <f t="shared" si="0"/>
        <v/>
      </c>
      <c r="P4" s="28" t="str">
        <f t="shared" si="0"/>
        <v/>
      </c>
      <c r="Q4" s="28" t="str">
        <f t="shared" si="0"/>
        <v/>
      </c>
      <c r="R4" s="45" t="s">
        <v>898</v>
      </c>
    </row>
    <row r="5" spans="1:19" x14ac:dyDescent="0.25">
      <c r="A5" s="7" t="s">
        <v>761</v>
      </c>
      <c r="B5" t="s">
        <v>782</v>
      </c>
      <c r="C5" s="28" t="str">
        <f t="shared" ref="C5:Q5" si="1">_xlfn.XLOOKUP(C$3,IFL_Input_Column,TIF_InterfundLoanType_TypeName_Input,"")</f>
        <v/>
      </c>
      <c r="D5" s="28" t="str">
        <f t="shared" si="1"/>
        <v/>
      </c>
      <c r="E5" s="28" t="str">
        <f t="shared" si="1"/>
        <v/>
      </c>
      <c r="F5" s="28" t="str">
        <f t="shared" si="1"/>
        <v/>
      </c>
      <c r="G5" s="28" t="str">
        <f t="shared" si="1"/>
        <v/>
      </c>
      <c r="H5" s="28" t="str">
        <f t="shared" si="1"/>
        <v/>
      </c>
      <c r="I5" s="28" t="str">
        <f t="shared" si="1"/>
        <v/>
      </c>
      <c r="J5" s="28" t="str">
        <f t="shared" si="1"/>
        <v/>
      </c>
      <c r="K5" s="28" t="str">
        <f t="shared" si="1"/>
        <v/>
      </c>
      <c r="L5" s="28" t="str">
        <f t="shared" si="1"/>
        <v/>
      </c>
      <c r="M5" s="28" t="str">
        <f t="shared" si="1"/>
        <v/>
      </c>
      <c r="N5" s="28" t="str">
        <f t="shared" si="1"/>
        <v/>
      </c>
      <c r="O5" s="28" t="str">
        <f t="shared" si="1"/>
        <v/>
      </c>
      <c r="P5" s="28" t="str">
        <f t="shared" si="1"/>
        <v/>
      </c>
      <c r="Q5" s="28" t="str">
        <f t="shared" si="1"/>
        <v/>
      </c>
      <c r="R5" s="45" t="s">
        <v>899</v>
      </c>
    </row>
    <row r="6" spans="1:19" x14ac:dyDescent="0.25">
      <c r="A6" s="7" t="s">
        <v>769</v>
      </c>
      <c r="B6" t="s">
        <v>783</v>
      </c>
      <c r="C6" s="28" t="str">
        <f t="shared" ref="C6:Q6" si="2">_xlfn.XLOOKUP(C$3,IFL_Input_Column,TIF_InterfundLoan_OtherDistrictName_Input,"")</f>
        <v/>
      </c>
      <c r="D6" s="28" t="str">
        <f t="shared" si="2"/>
        <v/>
      </c>
      <c r="E6" s="28" t="str">
        <f t="shared" si="2"/>
        <v/>
      </c>
      <c r="F6" s="28" t="str">
        <f t="shared" si="2"/>
        <v/>
      </c>
      <c r="G6" s="28" t="str">
        <f t="shared" si="2"/>
        <v/>
      </c>
      <c r="H6" s="28" t="str">
        <f t="shared" si="2"/>
        <v/>
      </c>
      <c r="I6" s="28" t="str">
        <f t="shared" si="2"/>
        <v/>
      </c>
      <c r="J6" s="28" t="str">
        <f t="shared" si="2"/>
        <v/>
      </c>
      <c r="K6" s="28" t="str">
        <f t="shared" si="2"/>
        <v/>
      </c>
      <c r="L6" s="28" t="str">
        <f t="shared" si="2"/>
        <v/>
      </c>
      <c r="M6" s="28" t="str">
        <f t="shared" si="2"/>
        <v/>
      </c>
      <c r="N6" s="28" t="str">
        <f t="shared" si="2"/>
        <v/>
      </c>
      <c r="O6" s="28" t="str">
        <f t="shared" si="2"/>
        <v/>
      </c>
      <c r="P6" s="28" t="str">
        <f t="shared" si="2"/>
        <v/>
      </c>
      <c r="Q6" s="28" t="str">
        <f t="shared" si="2"/>
        <v/>
      </c>
      <c r="R6" s="45" t="s">
        <v>900</v>
      </c>
    </row>
    <row r="7" spans="1:19" x14ac:dyDescent="0.25">
      <c r="A7" s="7" t="s">
        <v>770</v>
      </c>
      <c r="B7" t="s">
        <v>784</v>
      </c>
      <c r="C7" s="28" t="str">
        <f t="shared" ref="C7:Q7" si="3">_xlfn.XLOOKUP(C$3,IFL_Input_Column,TIF_InterfundLoan_NonTiAccount_Input,"")</f>
        <v/>
      </c>
      <c r="D7" s="28" t="str">
        <f t="shared" si="3"/>
        <v/>
      </c>
      <c r="E7" s="28" t="str">
        <f t="shared" si="3"/>
        <v/>
      </c>
      <c r="F7" s="28" t="str">
        <f t="shared" si="3"/>
        <v/>
      </c>
      <c r="G7" s="28" t="str">
        <f t="shared" si="3"/>
        <v/>
      </c>
      <c r="H7" s="28" t="str">
        <f t="shared" si="3"/>
        <v/>
      </c>
      <c r="I7" s="28" t="str">
        <f t="shared" si="3"/>
        <v/>
      </c>
      <c r="J7" s="28" t="str">
        <f t="shared" si="3"/>
        <v/>
      </c>
      <c r="K7" s="28" t="str">
        <f t="shared" si="3"/>
        <v/>
      </c>
      <c r="L7" s="28" t="str">
        <f t="shared" si="3"/>
        <v/>
      </c>
      <c r="M7" s="28" t="str">
        <f t="shared" si="3"/>
        <v/>
      </c>
      <c r="N7" s="28" t="str">
        <f t="shared" si="3"/>
        <v/>
      </c>
      <c r="O7" s="28" t="str">
        <f t="shared" si="3"/>
        <v/>
      </c>
      <c r="P7" s="28" t="str">
        <f t="shared" si="3"/>
        <v/>
      </c>
      <c r="Q7" s="28" t="str">
        <f t="shared" si="3"/>
        <v/>
      </c>
      <c r="R7" s="45" t="s">
        <v>901</v>
      </c>
    </row>
    <row r="8" spans="1:19" x14ac:dyDescent="0.25">
      <c r="A8" s="7" t="s">
        <v>240</v>
      </c>
      <c r="B8" t="s">
        <v>785</v>
      </c>
      <c r="C8" s="37" t="str">
        <f t="shared" ref="C8:Q8" si="4">_xlfn.XLOOKUP(C$3,IFL_Input_Column,TIF_InterfundLoan_ResolutionDate_Input,"")</f>
        <v/>
      </c>
      <c r="D8" s="37" t="str">
        <f t="shared" si="4"/>
        <v/>
      </c>
      <c r="E8" s="37" t="str">
        <f t="shared" si="4"/>
        <v/>
      </c>
      <c r="F8" s="37" t="str">
        <f t="shared" si="4"/>
        <v/>
      </c>
      <c r="G8" s="37" t="str">
        <f t="shared" si="4"/>
        <v/>
      </c>
      <c r="H8" s="37" t="str">
        <f t="shared" si="4"/>
        <v/>
      </c>
      <c r="I8" s="37" t="str">
        <f t="shared" si="4"/>
        <v/>
      </c>
      <c r="J8" s="37" t="str">
        <f t="shared" si="4"/>
        <v/>
      </c>
      <c r="K8" s="37" t="str">
        <f t="shared" si="4"/>
        <v/>
      </c>
      <c r="L8" s="37" t="str">
        <f t="shared" si="4"/>
        <v/>
      </c>
      <c r="M8" s="37" t="str">
        <f t="shared" si="4"/>
        <v/>
      </c>
      <c r="N8" s="37" t="str">
        <f t="shared" si="4"/>
        <v/>
      </c>
      <c r="O8" s="37" t="str">
        <f t="shared" si="4"/>
        <v/>
      </c>
      <c r="P8" s="37" t="str">
        <f t="shared" si="4"/>
        <v/>
      </c>
      <c r="Q8" s="37" t="str">
        <f t="shared" si="4"/>
        <v/>
      </c>
      <c r="R8" s="45" t="s">
        <v>902</v>
      </c>
    </row>
    <row r="9" spans="1:19" x14ac:dyDescent="0.25">
      <c r="A9" s="7" t="s">
        <v>212</v>
      </c>
      <c r="B9" t="s">
        <v>786</v>
      </c>
      <c r="C9" s="37" t="str">
        <f t="shared" ref="C9:Q9" si="5">_xlfn.XLOOKUP(C$3,IFL_Input_Column,TIF_InterfundLoan_FinalMaturityDate_Input,"")</f>
        <v/>
      </c>
      <c r="D9" s="37" t="str">
        <f t="shared" si="5"/>
        <v/>
      </c>
      <c r="E9" s="37" t="str">
        <f t="shared" si="5"/>
        <v/>
      </c>
      <c r="F9" s="37" t="str">
        <f t="shared" si="5"/>
        <v/>
      </c>
      <c r="G9" s="37" t="str">
        <f t="shared" si="5"/>
        <v/>
      </c>
      <c r="H9" s="37" t="str">
        <f t="shared" si="5"/>
        <v/>
      </c>
      <c r="I9" s="37" t="str">
        <f t="shared" si="5"/>
        <v/>
      </c>
      <c r="J9" s="37" t="str">
        <f t="shared" si="5"/>
        <v/>
      </c>
      <c r="K9" s="37" t="str">
        <f t="shared" si="5"/>
        <v/>
      </c>
      <c r="L9" s="37" t="str">
        <f t="shared" si="5"/>
        <v/>
      </c>
      <c r="M9" s="37" t="str">
        <f t="shared" si="5"/>
        <v/>
      </c>
      <c r="N9" s="37" t="str">
        <f t="shared" si="5"/>
        <v/>
      </c>
      <c r="O9" s="37" t="str">
        <f t="shared" si="5"/>
        <v/>
      </c>
      <c r="P9" s="37" t="str">
        <f t="shared" si="5"/>
        <v/>
      </c>
      <c r="Q9" s="37" t="str">
        <f t="shared" si="5"/>
        <v/>
      </c>
      <c r="R9" s="45" t="s">
        <v>903</v>
      </c>
    </row>
    <row r="10" spans="1:19" x14ac:dyDescent="0.25">
      <c r="A10" s="7" t="s">
        <v>213</v>
      </c>
      <c r="B10" t="s">
        <v>787</v>
      </c>
      <c r="C10" s="28" t="str">
        <f t="shared" ref="C10:Q10" si="6">_xlfn.XLOOKUP(C$3,IFL_Input_Column,TIF_InterfundLoan_InterestRateLow_Input,"")</f>
        <v/>
      </c>
      <c r="D10" s="28" t="str">
        <f t="shared" si="6"/>
        <v/>
      </c>
      <c r="E10" s="28" t="str">
        <f t="shared" si="6"/>
        <v/>
      </c>
      <c r="F10" s="28" t="str">
        <f t="shared" si="6"/>
        <v/>
      </c>
      <c r="G10" s="28" t="str">
        <f t="shared" si="6"/>
        <v/>
      </c>
      <c r="H10" s="28" t="str">
        <f t="shared" si="6"/>
        <v/>
      </c>
      <c r="I10" s="28" t="str">
        <f t="shared" si="6"/>
        <v/>
      </c>
      <c r="J10" s="28" t="str">
        <f t="shared" si="6"/>
        <v/>
      </c>
      <c r="K10" s="28" t="str">
        <f t="shared" si="6"/>
        <v/>
      </c>
      <c r="L10" s="28" t="str">
        <f t="shared" si="6"/>
        <v/>
      </c>
      <c r="M10" s="28" t="str">
        <f t="shared" si="6"/>
        <v/>
      </c>
      <c r="N10" s="28" t="str">
        <f t="shared" si="6"/>
        <v/>
      </c>
      <c r="O10" s="28" t="str">
        <f t="shared" si="6"/>
        <v/>
      </c>
      <c r="P10" s="28" t="str">
        <f t="shared" si="6"/>
        <v/>
      </c>
      <c r="Q10" s="28" t="str">
        <f t="shared" si="6"/>
        <v/>
      </c>
      <c r="R10" s="45" t="s">
        <v>904</v>
      </c>
    </row>
    <row r="11" spans="1:19" x14ac:dyDescent="0.25">
      <c r="A11" s="7" t="s">
        <v>214</v>
      </c>
      <c r="B11" t="s">
        <v>788</v>
      </c>
      <c r="C11" s="28" t="str">
        <f t="shared" ref="C11:Q11" si="7">_xlfn.XLOOKUP(C$3,IFL_Input_Column,TIF_InterfundLoan_InterestRateHigh_Input,"")</f>
        <v/>
      </c>
      <c r="D11" s="28" t="str">
        <f t="shared" si="7"/>
        <v/>
      </c>
      <c r="E11" s="28" t="str">
        <f t="shared" si="7"/>
        <v/>
      </c>
      <c r="F11" s="28" t="str">
        <f t="shared" si="7"/>
        <v/>
      </c>
      <c r="G11" s="28" t="str">
        <f t="shared" si="7"/>
        <v/>
      </c>
      <c r="H11" s="28" t="str">
        <f t="shared" si="7"/>
        <v/>
      </c>
      <c r="I11" s="28" t="str">
        <f t="shared" si="7"/>
        <v/>
      </c>
      <c r="J11" s="28" t="str">
        <f t="shared" si="7"/>
        <v/>
      </c>
      <c r="K11" s="28" t="str">
        <f t="shared" si="7"/>
        <v/>
      </c>
      <c r="L11" s="28" t="str">
        <f t="shared" si="7"/>
        <v/>
      </c>
      <c r="M11" s="28" t="str">
        <f t="shared" si="7"/>
        <v/>
      </c>
      <c r="N11" s="28" t="str">
        <f t="shared" si="7"/>
        <v/>
      </c>
      <c r="O11" s="28" t="str">
        <f t="shared" si="7"/>
        <v/>
      </c>
      <c r="P11" s="28" t="str">
        <f t="shared" si="7"/>
        <v/>
      </c>
      <c r="Q11" s="28" t="str">
        <f t="shared" si="7"/>
        <v/>
      </c>
      <c r="R11" s="45" t="s">
        <v>905</v>
      </c>
    </row>
    <row r="12" spans="1:19" x14ac:dyDescent="0.25">
      <c r="A12" s="7" t="s">
        <v>242</v>
      </c>
      <c r="B12" t="s">
        <v>790</v>
      </c>
      <c r="C12" s="28" t="str">
        <f t="shared" ref="C12:Q12" si="8">_xlfn.XLOOKUP(C$3,IFL_Input_Column,TIF_InterfundLoan_ResolutionAmt_Input,"")</f>
        <v/>
      </c>
      <c r="D12" s="28" t="str">
        <f t="shared" si="8"/>
        <v/>
      </c>
      <c r="E12" s="28" t="str">
        <f t="shared" si="8"/>
        <v/>
      </c>
      <c r="F12" s="28" t="str">
        <f t="shared" si="8"/>
        <v/>
      </c>
      <c r="G12" s="28" t="str">
        <f t="shared" si="8"/>
        <v/>
      </c>
      <c r="H12" s="28" t="str">
        <f t="shared" si="8"/>
        <v/>
      </c>
      <c r="I12" s="28" t="str">
        <f t="shared" si="8"/>
        <v/>
      </c>
      <c r="J12" s="28" t="str">
        <f t="shared" si="8"/>
        <v/>
      </c>
      <c r="K12" s="28" t="str">
        <f t="shared" si="8"/>
        <v/>
      </c>
      <c r="L12" s="28" t="str">
        <f t="shared" si="8"/>
        <v/>
      </c>
      <c r="M12" s="28" t="str">
        <f t="shared" si="8"/>
        <v/>
      </c>
      <c r="N12" s="28" t="str">
        <f t="shared" si="8"/>
        <v/>
      </c>
      <c r="O12" s="28" t="str">
        <f t="shared" si="8"/>
        <v/>
      </c>
      <c r="P12" s="28" t="str">
        <f t="shared" si="8"/>
        <v/>
      </c>
      <c r="Q12" s="28" t="str">
        <f t="shared" si="8"/>
        <v/>
      </c>
      <c r="R12" s="45" t="s">
        <v>906</v>
      </c>
    </row>
    <row r="13" spans="1:19" x14ac:dyDescent="0.25">
      <c r="A13" s="7" t="s">
        <v>243</v>
      </c>
      <c r="B13" t="s">
        <v>791</v>
      </c>
      <c r="C13" s="28" t="str">
        <f t="shared" ref="C13:Q13" si="9">_xlfn.XLOOKUP(C$3,IFL_Input_Column,TIF_InterfundLoanAnnual_DrawAmountPriorAdj_Input,"")</f>
        <v/>
      </c>
      <c r="D13" s="28" t="str">
        <f t="shared" si="9"/>
        <v/>
      </c>
      <c r="E13" s="28" t="str">
        <f t="shared" si="9"/>
        <v/>
      </c>
      <c r="F13" s="28" t="str">
        <f t="shared" si="9"/>
        <v/>
      </c>
      <c r="G13" s="28" t="str">
        <f t="shared" si="9"/>
        <v/>
      </c>
      <c r="H13" s="28" t="str">
        <f t="shared" si="9"/>
        <v/>
      </c>
      <c r="I13" s="28" t="str">
        <f t="shared" si="9"/>
        <v/>
      </c>
      <c r="J13" s="28" t="str">
        <f t="shared" si="9"/>
        <v/>
      </c>
      <c r="K13" s="28" t="str">
        <f t="shared" si="9"/>
        <v/>
      </c>
      <c r="L13" s="28" t="str">
        <f t="shared" si="9"/>
        <v/>
      </c>
      <c r="M13" s="28" t="str">
        <f t="shared" si="9"/>
        <v/>
      </c>
      <c r="N13" s="28" t="str">
        <f t="shared" si="9"/>
        <v/>
      </c>
      <c r="O13" s="28" t="str">
        <f t="shared" si="9"/>
        <v/>
      </c>
      <c r="P13" s="28" t="str">
        <f t="shared" si="9"/>
        <v/>
      </c>
      <c r="Q13" s="28" t="str">
        <f t="shared" si="9"/>
        <v/>
      </c>
      <c r="R13" s="45" t="s">
        <v>907</v>
      </c>
    </row>
    <row r="14" spans="1:19" x14ac:dyDescent="0.25">
      <c r="A14" s="33" t="s">
        <v>244</v>
      </c>
      <c r="B14" s="34" t="s">
        <v>792</v>
      </c>
      <c r="C14" s="35"/>
      <c r="D14" s="35"/>
      <c r="E14" s="35"/>
      <c r="F14" s="35"/>
      <c r="G14" s="35"/>
      <c r="H14" s="35"/>
      <c r="I14" s="35"/>
      <c r="J14" s="35"/>
      <c r="K14" s="35"/>
      <c r="L14" s="35"/>
      <c r="M14" s="35"/>
      <c r="N14" s="35"/>
      <c r="O14" s="35"/>
      <c r="P14" s="35"/>
      <c r="Q14" s="35"/>
      <c r="R14" s="35"/>
    </row>
    <row r="15" spans="1:19" x14ac:dyDescent="0.25">
      <c r="A15" s="33" t="s">
        <v>245</v>
      </c>
      <c r="B15" s="34" t="s">
        <v>806</v>
      </c>
      <c r="C15" s="35"/>
      <c r="D15" s="35"/>
      <c r="E15" s="35"/>
      <c r="F15" s="35"/>
      <c r="G15" s="35"/>
      <c r="H15" s="35"/>
      <c r="I15" s="35"/>
      <c r="J15" s="35"/>
      <c r="K15" s="35"/>
      <c r="L15" s="35"/>
      <c r="M15" s="35"/>
      <c r="N15" s="35"/>
      <c r="O15" s="35"/>
      <c r="P15" s="35"/>
      <c r="Q15" s="35"/>
      <c r="R15" s="35"/>
    </row>
    <row r="16" spans="1:19" x14ac:dyDescent="0.25">
      <c r="A16" s="7" t="s">
        <v>279</v>
      </c>
      <c r="B16" t="s">
        <v>793</v>
      </c>
      <c r="C16" s="28" t="str">
        <f t="shared" ref="C16:Q16" si="10">_xlfn.XLOOKUP(C$3,IFL_Input_Column,TIF_InterfundLoanAnnual_PrincipalPaidPriorAdj_Input,"")</f>
        <v/>
      </c>
      <c r="D16" s="28" t="str">
        <f t="shared" si="10"/>
        <v/>
      </c>
      <c r="E16" s="28" t="str">
        <f t="shared" si="10"/>
        <v/>
      </c>
      <c r="F16" s="28" t="str">
        <f t="shared" si="10"/>
        <v/>
      </c>
      <c r="G16" s="28" t="str">
        <f t="shared" si="10"/>
        <v/>
      </c>
      <c r="H16" s="28" t="str">
        <f t="shared" si="10"/>
        <v/>
      </c>
      <c r="I16" s="28" t="str">
        <f t="shared" si="10"/>
        <v/>
      </c>
      <c r="J16" s="28" t="str">
        <f t="shared" si="10"/>
        <v/>
      </c>
      <c r="K16" s="28" t="str">
        <f t="shared" si="10"/>
        <v/>
      </c>
      <c r="L16" s="28" t="str">
        <f t="shared" si="10"/>
        <v/>
      </c>
      <c r="M16" s="28" t="str">
        <f t="shared" si="10"/>
        <v/>
      </c>
      <c r="N16" s="28" t="str">
        <f t="shared" si="10"/>
        <v/>
      </c>
      <c r="O16" s="28" t="str">
        <f t="shared" si="10"/>
        <v/>
      </c>
      <c r="P16" s="28" t="str">
        <f t="shared" si="10"/>
        <v/>
      </c>
      <c r="Q16" s="28" t="str">
        <f t="shared" si="10"/>
        <v/>
      </c>
      <c r="R16" s="45" t="s">
        <v>908</v>
      </c>
      <c r="S16" s="46"/>
    </row>
    <row r="17" spans="1:18" x14ac:dyDescent="0.25">
      <c r="A17" s="33" t="s">
        <v>871</v>
      </c>
      <c r="B17" s="34" t="s">
        <v>795</v>
      </c>
      <c r="C17" s="35"/>
      <c r="D17" s="35"/>
      <c r="E17" s="35"/>
      <c r="F17" s="35"/>
      <c r="G17" s="35"/>
      <c r="H17" s="35"/>
      <c r="I17" s="35"/>
      <c r="J17" s="35"/>
      <c r="K17" s="35"/>
      <c r="L17" s="35"/>
      <c r="M17" s="35"/>
      <c r="N17" s="35"/>
      <c r="O17" s="35"/>
      <c r="P17" s="35"/>
      <c r="Q17" s="35"/>
      <c r="R17" s="35"/>
    </row>
    <row r="18" spans="1:18" x14ac:dyDescent="0.25">
      <c r="A18" s="7" t="s">
        <v>219</v>
      </c>
      <c r="B18" t="s">
        <v>797</v>
      </c>
      <c r="C18" s="28" t="str">
        <f t="shared" ref="C18:Q18" si="11">_xlfn.XLOOKUP(C$3,IFL_Input_Column,TIF_InterfundLoanAnnual_PrincipalAdditionsPriorAdj_Input,"")</f>
        <v/>
      </c>
      <c r="D18" s="28" t="str">
        <f t="shared" si="11"/>
        <v/>
      </c>
      <c r="E18" s="28" t="str">
        <f t="shared" si="11"/>
        <v/>
      </c>
      <c r="F18" s="28" t="str">
        <f t="shared" si="11"/>
        <v/>
      </c>
      <c r="G18" s="28" t="str">
        <f t="shared" si="11"/>
        <v/>
      </c>
      <c r="H18" s="28" t="str">
        <f t="shared" si="11"/>
        <v/>
      </c>
      <c r="I18" s="28" t="str">
        <f t="shared" si="11"/>
        <v/>
      </c>
      <c r="J18" s="28" t="str">
        <f t="shared" si="11"/>
        <v/>
      </c>
      <c r="K18" s="28" t="str">
        <f t="shared" si="11"/>
        <v/>
      </c>
      <c r="L18" s="28" t="str">
        <f t="shared" si="11"/>
        <v/>
      </c>
      <c r="M18" s="28" t="str">
        <f t="shared" si="11"/>
        <v/>
      </c>
      <c r="N18" s="28" t="str">
        <f t="shared" si="11"/>
        <v/>
      </c>
      <c r="O18" s="28" t="str">
        <f t="shared" si="11"/>
        <v/>
      </c>
      <c r="P18" s="28" t="str">
        <f t="shared" si="11"/>
        <v/>
      </c>
      <c r="Q18" s="28" t="str">
        <f t="shared" si="11"/>
        <v/>
      </c>
      <c r="R18" s="45" t="s">
        <v>909</v>
      </c>
    </row>
    <row r="19" spans="1:18" x14ac:dyDescent="0.25">
      <c r="A19" s="33" t="s">
        <v>220</v>
      </c>
      <c r="B19" s="34" t="s">
        <v>798</v>
      </c>
      <c r="C19" s="35"/>
      <c r="D19" s="35"/>
      <c r="E19" s="35"/>
      <c r="F19" s="35"/>
      <c r="G19" s="35"/>
      <c r="H19" s="35"/>
      <c r="I19" s="35"/>
      <c r="J19" s="35"/>
      <c r="K19" s="35"/>
      <c r="L19" s="35"/>
      <c r="M19" s="35"/>
      <c r="N19" s="35"/>
      <c r="O19" s="35"/>
      <c r="P19" s="35"/>
      <c r="Q19" s="35"/>
      <c r="R19" s="35"/>
    </row>
    <row r="20" spans="1:18" x14ac:dyDescent="0.25">
      <c r="A20" s="33" t="s">
        <v>221</v>
      </c>
      <c r="B20" s="34" t="s">
        <v>799</v>
      </c>
      <c r="C20" s="35"/>
      <c r="D20" s="35"/>
      <c r="E20" s="35"/>
      <c r="F20" s="35"/>
      <c r="G20" s="35"/>
      <c r="H20" s="35"/>
      <c r="I20" s="35"/>
      <c r="J20" s="35"/>
      <c r="K20" s="35"/>
      <c r="L20" s="35"/>
      <c r="M20" s="35"/>
      <c r="N20" s="35"/>
      <c r="O20" s="35"/>
      <c r="P20" s="35"/>
      <c r="Q20" s="35"/>
      <c r="R20" s="35"/>
    </row>
    <row r="21" spans="1:18" x14ac:dyDescent="0.25">
      <c r="A21" s="33" t="s">
        <v>222</v>
      </c>
      <c r="B21" s="34" t="s">
        <v>800</v>
      </c>
      <c r="C21" s="35"/>
      <c r="D21" s="35"/>
      <c r="E21" s="35"/>
      <c r="F21" s="35"/>
      <c r="G21" s="35"/>
      <c r="H21" s="35"/>
      <c r="I21" s="35"/>
      <c r="J21" s="35"/>
      <c r="K21" s="35"/>
      <c r="L21" s="35"/>
      <c r="M21" s="35"/>
      <c r="N21" s="35"/>
      <c r="O21" s="35"/>
      <c r="P21" s="35"/>
      <c r="Q21" s="35"/>
      <c r="R21" s="35"/>
    </row>
    <row r="22" spans="1:18" x14ac:dyDescent="0.25">
      <c r="A22" s="7" t="s">
        <v>281</v>
      </c>
      <c r="B22" t="s">
        <v>801</v>
      </c>
      <c r="C22" s="28" t="str">
        <f t="shared" ref="C22:Q22" si="12">_xlfn.XLOOKUP(C$3,IFL_Input_Column,TIF_InterfundLoanAnnual_InterestPaidPriorAdj_Input,"")</f>
        <v/>
      </c>
      <c r="D22" s="28" t="str">
        <f t="shared" si="12"/>
        <v/>
      </c>
      <c r="E22" s="28" t="str">
        <f t="shared" si="12"/>
        <v/>
      </c>
      <c r="F22" s="28" t="str">
        <f t="shared" si="12"/>
        <v/>
      </c>
      <c r="G22" s="28" t="str">
        <f t="shared" si="12"/>
        <v/>
      </c>
      <c r="H22" s="28" t="str">
        <f t="shared" si="12"/>
        <v/>
      </c>
      <c r="I22" s="28" t="str">
        <f t="shared" si="12"/>
        <v/>
      </c>
      <c r="J22" s="28" t="str">
        <f t="shared" si="12"/>
        <v/>
      </c>
      <c r="K22" s="28" t="str">
        <f t="shared" si="12"/>
        <v/>
      </c>
      <c r="L22" s="28" t="str">
        <f t="shared" si="12"/>
        <v/>
      </c>
      <c r="M22" s="28" t="str">
        <f t="shared" si="12"/>
        <v/>
      </c>
      <c r="N22" s="28" t="str">
        <f t="shared" si="12"/>
        <v/>
      </c>
      <c r="O22" s="28" t="str">
        <f t="shared" si="12"/>
        <v/>
      </c>
      <c r="P22" s="28" t="str">
        <f t="shared" si="12"/>
        <v/>
      </c>
      <c r="Q22" s="28" t="str">
        <f t="shared" si="12"/>
        <v/>
      </c>
      <c r="R22" s="45" t="s">
        <v>910</v>
      </c>
    </row>
    <row r="23" spans="1:18" x14ac:dyDescent="0.25">
      <c r="A23" s="33" t="s">
        <v>872</v>
      </c>
      <c r="B23" s="34" t="s">
        <v>803</v>
      </c>
      <c r="C23" s="35"/>
      <c r="D23" s="35"/>
      <c r="E23" s="35"/>
      <c r="F23" s="35"/>
      <c r="G23" s="35"/>
      <c r="H23" s="35"/>
      <c r="I23" s="35"/>
      <c r="J23" s="35"/>
      <c r="K23" s="35"/>
      <c r="L23" s="35"/>
      <c r="M23" s="35"/>
      <c r="N23" s="35"/>
      <c r="O23" s="35"/>
      <c r="P23" s="35"/>
      <c r="Q23" s="35"/>
      <c r="R23" s="35"/>
    </row>
    <row r="24" spans="1:18" x14ac:dyDescent="0.25">
      <c r="A24" s="33" t="s">
        <v>226</v>
      </c>
      <c r="B24" s="34" t="s">
        <v>781</v>
      </c>
      <c r="C24" s="35"/>
      <c r="D24" s="35"/>
      <c r="E24" s="35"/>
      <c r="F24" s="35"/>
      <c r="G24" s="35"/>
      <c r="H24" s="35"/>
      <c r="I24" s="35"/>
      <c r="J24" s="35"/>
      <c r="K24" s="35"/>
      <c r="L24" s="35"/>
      <c r="M24" s="35"/>
      <c r="N24" s="35"/>
      <c r="O24" s="35"/>
      <c r="P24" s="35"/>
      <c r="Q24" s="35"/>
      <c r="R24" s="35"/>
    </row>
    <row r="25" spans="1:18" x14ac:dyDescent="0.25">
      <c r="A25" s="6"/>
    </row>
    <row r="26" spans="1:18" x14ac:dyDescent="0.25">
      <c r="A26" s="6"/>
      <c r="C26" s="6"/>
    </row>
    <row r="28" spans="1:18" x14ac:dyDescent="0.25">
      <c r="A28" s="6"/>
    </row>
  </sheetData>
  <conditionalFormatting sqref="A1">
    <cfRule type="expression" dxfId="716" priority="4">
      <formula>#REF!="Exclude"</formula>
    </cfRule>
    <cfRule type="expression" dxfId="715" priority="5">
      <formula>#REF!="Error"</formula>
    </cfRule>
  </conditionalFormatting>
  <conditionalFormatting sqref="A2">
    <cfRule type="expression" dxfId="713" priority="1">
      <formula>#REF!="Exclude"</formula>
    </cfRule>
    <cfRule type="expression" dxfId="712" priority="2">
      <formula>#REF!="Error"</formula>
    </cfRule>
  </conditionalFormatting>
  <pageMargins left="0.7" right="0.7" top="0.75" bottom="0.75" header="0.3" footer="0.3"/>
  <pageSetup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3" id="{957D9A38-3560-4B41-BCBB-A39FD7CEE124}">
            <xm:f>COUNTIFS(Validation!$H:$H,MID(CELL("filename",A1),FIND("]",CELL("filename",A1))+1,255)&amp;CELL("address",A1))&gt;0</xm:f>
            <x14:dxf>
              <font>
                <b/>
                <i val="0"/>
                <color rgb="FFC00000"/>
              </font>
              <numFmt numFmtId="172" formatCode="_(\!* #,##0_);_(\!* \(#,##0\);_(\!* \-??_);_(\!\ @_)"/>
            </x14:dxf>
          </x14:cfRule>
          <xm:sqref>A1:A2</xm:sqref>
        </x14:conditionalFormatting>
      </x14:conditionalFormattings>
    </ext>
  </extLs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9E87BE-B3C4-4E26-8D8B-38788695D44F}">
  <sheetPr>
    <tabColor rgb="FFEED382"/>
  </sheetPr>
  <dimension ref="A1:E33"/>
  <sheetViews>
    <sheetView showGridLines="0" workbookViewId="0">
      <selection activeCell="B7" sqref="B7"/>
    </sheetView>
  </sheetViews>
  <sheetFormatPr defaultRowHeight="15" x14ac:dyDescent="0.25"/>
  <cols>
    <col min="1" max="1" width="55.7109375" style="66" customWidth="1"/>
    <col min="2" max="2" width="22.7109375" style="66" customWidth="1"/>
    <col min="3" max="3" width="80.85546875" style="66" customWidth="1"/>
    <col min="4" max="4" width="14.7109375" style="66" customWidth="1"/>
    <col min="5" max="5" width="10.7109375" style="78" hidden="1" customWidth="1"/>
    <col min="6" max="16384" width="9.140625" style="66"/>
  </cols>
  <sheetData>
    <row r="1" spans="1:5" s="59" customFormat="1" ht="24.95" customHeight="1" x14ac:dyDescent="0.25">
      <c r="A1" s="59" t="str">
        <f>_xlfn.CONCAT("Office of the State Auditor  -  TIF Annual Reporting Form  -  ",Year_DestinationYearID)</f>
        <v>Office of the State Auditor  -  TIF Annual Reporting Form  -  2024</v>
      </c>
      <c r="E1" s="61"/>
    </row>
    <row r="2" spans="1:5" s="62" customFormat="1" ht="20.100000000000001" customHeight="1" x14ac:dyDescent="0.25">
      <c r="A2" s="58" t="str">
        <f>_xlfn.CONCAT(GovEntity_GovEntityName_Parent,"  -  ",GovEntity_GovEntityName)</f>
        <v>Spruce City  -  TIF 1-1 Downtown Redev</v>
      </c>
      <c r="E2" s="64"/>
    </row>
    <row r="3" spans="1:5" s="68" customFormat="1" ht="24.95" customHeight="1" x14ac:dyDescent="0.3">
      <c r="A3" s="65" t="s">
        <v>848</v>
      </c>
      <c r="B3" s="66"/>
      <c r="E3" s="69"/>
    </row>
    <row r="4" spans="1:5" s="71" customFormat="1" x14ac:dyDescent="0.25">
      <c r="A4" s="217" t="s">
        <v>207</v>
      </c>
      <c r="B4" s="217"/>
      <c r="C4" s="217"/>
      <c r="D4" s="217"/>
      <c r="E4" s="72" t="s">
        <v>119</v>
      </c>
    </row>
    <row r="5" spans="1:5" s="74" customFormat="1" ht="20.100000000000001" customHeight="1" x14ac:dyDescent="0.25">
      <c r="A5" s="73" t="str">
        <f>HYPERLINK("#'Lent Funds'!B6","Click here to return to the Lent Funds Tab")</f>
        <v>Click here to return to the Lent Funds Tab</v>
      </c>
      <c r="B5" s="74" t="s">
        <v>120</v>
      </c>
      <c r="C5" s="74" t="s">
        <v>121</v>
      </c>
      <c r="D5" s="74" t="s">
        <v>102</v>
      </c>
      <c r="E5" s="76"/>
    </row>
    <row r="6" spans="1:5" ht="20.100000000000001" customHeight="1" x14ac:dyDescent="0.25">
      <c r="A6" s="74" t="s">
        <v>847</v>
      </c>
      <c r="C6" s="77" t="str">
        <f ca="1">IFERROR(INDEX(Validation!G:G,MATCH("DFLoan3"&amp;CELL("address",C6),Validation!I:I,0)),"")</f>
        <v/>
      </c>
      <c r="D6" s="66" t="str">
        <f ca="1">IFERROR(INDEX(Validation!F:F,MATCH("DFLoan3"&amp;CELL("address",C6),Validation!I:I,0)),"")</f>
        <v/>
      </c>
      <c r="E6" s="78" t="s">
        <v>875</v>
      </c>
    </row>
    <row r="7" spans="1:5" x14ac:dyDescent="0.25">
      <c r="A7" s="79" t="s">
        <v>761</v>
      </c>
      <c r="B7" s="103" t="str">
        <f>IF(AND(NOT(ISBLANK('Lent Input'!E5)),OR('Lent Input'!E$5=Lists!$AG$4,'Lent Input'!E$5=Lists!$AG$5)),_xlfn.XLOOKUP('Lent Input'!E5,Lists!AG2:AG5,Lists!AH2:AH5),Lists!$AH$1)</f>
        <v>Select One</v>
      </c>
      <c r="C7" s="77" t="str">
        <f ca="1">IFERROR(INDEX(Validation!G:G,MATCH("DFLoan3"&amp;CELL("address",C7),Validation!I:I,0)),"")</f>
        <v/>
      </c>
      <c r="D7" s="66" t="str">
        <f ca="1">IFERROR(INDEX(Validation!F:F,MATCH("DFLoan3"&amp;CELL("address",C7),Validation!I:I,0)),"")</f>
        <v/>
      </c>
      <c r="E7" s="85" t="str">
        <f>IF(NOT(ISBLANK('Lent Input'!E4)),'Lent Input'!E4,"")</f>
        <v/>
      </c>
    </row>
    <row r="8" spans="1:5" x14ac:dyDescent="0.25">
      <c r="A8" s="79" t="s">
        <v>769</v>
      </c>
      <c r="B8" s="103" t="str">
        <f>IF(AND(NOT(ISBLANK('Lent Input'!E6)),'Lent Input'!E$5=Lists!$AG$4),'Lent Input'!E6,Lists!$AJ$1)</f>
        <v>Select One</v>
      </c>
      <c r="C8" s="77" t="str">
        <f ca="1">IFERROR(INDEX(Validation!G:G,MATCH("DFLoan3"&amp;CELL("address",C8),Validation!I:I,0)),"")</f>
        <v/>
      </c>
      <c r="D8" s="66" t="str">
        <f ca="1">IFERROR(INDEX(Validation!F:F,MATCH("DFLoan3"&amp;CELL("address",C8),Validation!I:I,0)),"")</f>
        <v/>
      </c>
    </row>
    <row r="9" spans="1:5" x14ac:dyDescent="0.25">
      <c r="A9" s="79" t="s">
        <v>770</v>
      </c>
      <c r="B9" s="103" t="str">
        <f>IF(AND(NOT(ISBLANK('Lent Input'!E7)),'Lent Input'!E$5=Lists!$AG$5),'Lent Input'!E7,"")</f>
        <v/>
      </c>
      <c r="C9" s="77" t="str">
        <f ca="1">IFERROR(INDEX(Validation!G:G,MATCH("DFLoan3"&amp;CELL("address",C9),Validation!I:I,0)),"")</f>
        <v/>
      </c>
      <c r="D9" s="66" t="str">
        <f ca="1">IFERROR(INDEX(Validation!F:F,MATCH("DFLoan3"&amp;CELL("address",C9),Validation!I:I,0)),"")</f>
        <v/>
      </c>
    </row>
    <row r="10" spans="1:5" x14ac:dyDescent="0.25">
      <c r="A10" s="79" t="s">
        <v>240</v>
      </c>
      <c r="B10" s="120" t="str">
        <f>IF(AND(NOT(ISBLANK('Lent Input'!E8)),OR('Lent Input'!E$5=Lists!$AG$4,'Lent Input'!E$5=Lists!$AG$5)),'Lent Input'!E8,"")</f>
        <v/>
      </c>
      <c r="C10" s="77" t="str">
        <f ca="1">IFERROR(INDEX(Validation!G:G,MATCH("DFLoan3"&amp;CELL("address",C10),Validation!I:I,0)),"")</f>
        <v/>
      </c>
      <c r="D10" s="66" t="str">
        <f ca="1">IFERROR(INDEX(Validation!F:F,MATCH("DFLoan3"&amp;CELL("address",C10),Validation!I:I,0)),"")</f>
        <v/>
      </c>
    </row>
    <row r="11" spans="1:5" x14ac:dyDescent="0.25">
      <c r="A11" s="79" t="s">
        <v>212</v>
      </c>
      <c r="B11" s="120" t="str">
        <f>IF(AND(NOT(ISBLANK('Lent Input'!E9)),OR('Lent Input'!E$5=Lists!$AG$4,'Lent Input'!E$5=Lists!$AG$5)),'Lent Input'!E9,"")</f>
        <v/>
      </c>
      <c r="C11" s="77" t="str">
        <f ca="1">IFERROR(INDEX(Validation!G:G,MATCH("DFLoan3"&amp;CELL("address",C11),Validation!I:I,0)),"")</f>
        <v/>
      </c>
      <c r="D11" s="66" t="str">
        <f ca="1">IFERROR(INDEX(Validation!F:F,MATCH("DFLoan3"&amp;CELL("address",C11),Validation!I:I,0)),"")</f>
        <v/>
      </c>
    </row>
    <row r="12" spans="1:5" x14ac:dyDescent="0.25">
      <c r="A12" s="79" t="s">
        <v>213</v>
      </c>
      <c r="B12" s="121" t="str">
        <f>IF(AND(NOT(ISBLANK('Lent Input'!E10)),OR('Lent Input'!E$5=Lists!$AG$4,'Lent Input'!E$5=Lists!$AG$5)),'Lent Input'!E10,"")</f>
        <v/>
      </c>
      <c r="C12" s="77" t="str">
        <f ca="1">IFERROR(INDEX(Validation!G:G,MATCH("DFLoan3"&amp;CELL("address",C12),Validation!I:I,0)),"")</f>
        <v/>
      </c>
      <c r="D12" s="66" t="str">
        <f ca="1">IFERROR(INDEX(Validation!F:F,MATCH("DFLoan3"&amp;CELL("address",C12),Validation!I:I,0)),"")</f>
        <v/>
      </c>
    </row>
    <row r="13" spans="1:5" x14ac:dyDescent="0.25">
      <c r="A13" s="79" t="s">
        <v>214</v>
      </c>
      <c r="B13" s="121" t="str">
        <f>IF(AND(NOT(ISBLANK('Lent Input'!E11)),OR('Lent Input'!E$5=Lists!$AG$4,'Lent Input'!E$5=Lists!$AG$5)),'Lent Input'!E11,"")</f>
        <v/>
      </c>
      <c r="C13" s="77" t="str">
        <f ca="1">IFERROR(INDEX(Validation!G:G,MATCH("DFLoan3"&amp;CELL("address",C13),Validation!I:I,0)),"")</f>
        <v/>
      </c>
      <c r="D13" s="66" t="str">
        <f ca="1">IFERROR(INDEX(Validation!F:F,MATCH("DFLoan3"&amp;CELL("address",C13),Validation!I:I,0)),"")</f>
        <v/>
      </c>
    </row>
    <row r="14" spans="1:5" x14ac:dyDescent="0.25">
      <c r="A14" s="79" t="s">
        <v>242</v>
      </c>
      <c r="B14" s="122" t="str">
        <f>IF(AND(NOT(ISBLANK('Lent Input'!E12)),OR('Lent Input'!E$5=Lists!$AG$4,'Lent Input'!E$5=Lists!$AG$5)),'Lent Input'!E12,"")</f>
        <v/>
      </c>
      <c r="C14" s="77" t="str">
        <f ca="1">IFERROR(INDEX(Validation!G:G,MATCH("DFLoan3"&amp;CELL("address",C14),Validation!I:I,0)),"")</f>
        <v/>
      </c>
      <c r="D14" s="66" t="str">
        <f ca="1">IFERROR(INDEX(Validation!F:F,MATCH("DFLoan3"&amp;CELL("address",C14),Validation!I:I,0)),"")</f>
        <v/>
      </c>
    </row>
    <row r="15" spans="1:5" ht="20.100000000000001" customHeight="1" x14ac:dyDescent="0.25">
      <c r="A15" s="74" t="s">
        <v>849</v>
      </c>
      <c r="C15" s="77" t="str">
        <f ca="1">IFERROR(INDEX(Validation!G:G,MATCH("DFLoan3"&amp;CELL("address",C15),Validation!I:I,0)),"")</f>
        <v/>
      </c>
      <c r="D15" s="66" t="str">
        <f ca="1">IFERROR(INDEX(Validation!F:F,MATCH("DFLoan3"&amp;CELL("address",C15),Validation!I:I,0)),"")</f>
        <v/>
      </c>
    </row>
    <row r="16" spans="1:5" x14ac:dyDescent="0.25">
      <c r="A16" s="79" t="s">
        <v>243</v>
      </c>
      <c r="B16" s="122" t="str">
        <f>IF(AND(NOT(ISBLANK('Lent Input'!E13)),OR('Lent Input'!E$5=Lists!$AG$4,'Lent Input'!E$5=Lists!$AG$5)),'Lent Input'!E13,"")</f>
        <v/>
      </c>
      <c r="C16" s="77" t="str">
        <f ca="1">IFERROR(INDEX(Validation!G:G,MATCH("DFLoan3"&amp;CELL("address",C16),Validation!I:I,0)),"")</f>
        <v/>
      </c>
      <c r="D16" s="66" t="str">
        <f ca="1">IFERROR(INDEX(Validation!F:F,MATCH("DFLoan3"&amp;CELL("address",C16),Validation!I:I,0)),"")</f>
        <v/>
      </c>
    </row>
    <row r="17" spans="1:5" x14ac:dyDescent="0.25">
      <c r="A17" s="79" t="str">
        <f>"Amount Drawn in "&amp;Year_DestinationYearID</f>
        <v>Amount Drawn in 2024</v>
      </c>
      <c r="B17" s="103"/>
      <c r="C17" s="77" t="str">
        <f ca="1">IFERROR(INDEX(Validation!G:G,MATCH("DFLoan3"&amp;CELL("address",C17),Validation!I:I,0)),"")</f>
        <v/>
      </c>
      <c r="D17" s="66" t="str">
        <f ca="1">IFERROR(INDEX(Validation!F:F,MATCH("DFLoan3"&amp;CELL("address",C17),Validation!I:I,0)),"")</f>
        <v/>
      </c>
    </row>
    <row r="18" spans="1:5" x14ac:dyDescent="0.25">
      <c r="A18" s="79" t="s">
        <v>245</v>
      </c>
      <c r="B18" s="125" t="str">
        <f>IFERROR(B16+B17,"")</f>
        <v/>
      </c>
      <c r="C18" s="77" t="str">
        <f ca="1">IFERROR(INDEX(Validation!G:G,MATCH("DFLoan3"&amp;CELL("address",C18),Validation!I:I,0)),"")</f>
        <v/>
      </c>
      <c r="D18" s="66" t="str">
        <f ca="1">IFERROR(INDEX(Validation!F:F,MATCH("DFLoan3"&amp;CELL("address",C18),Validation!I:I,0)),"")</f>
        <v/>
      </c>
    </row>
    <row r="19" spans="1:5" x14ac:dyDescent="0.25">
      <c r="A19" s="79" t="s">
        <v>279</v>
      </c>
      <c r="B19" s="122" t="str">
        <f>IF(AND(NOT(ISBLANK('Lent Input'!E16)),OR('Lent Input'!E$5=Lists!$AG$4,'Lent Input'!E$5=Lists!$AG$5)),'Lent Input'!E16,"")</f>
        <v/>
      </c>
      <c r="C19" s="77" t="str">
        <f ca="1">IFERROR(INDEX(Validation!G:G,MATCH("DFLoan3"&amp;CELL("address",C19),Validation!I:I,0)),"")</f>
        <v/>
      </c>
      <c r="D19" s="66" t="str">
        <f ca="1">IFERROR(INDEX(Validation!F:F,MATCH("DFLoan3"&amp;CELL("address",C19),Validation!I:I,0)),"")</f>
        <v/>
      </c>
    </row>
    <row r="20" spans="1:5" x14ac:dyDescent="0.25">
      <c r="A20" s="79" t="str">
        <f>"Principal Received in "&amp;Year_DestinationYearID</f>
        <v>Principal Received in 2024</v>
      </c>
      <c r="B20" s="122"/>
      <c r="C20" s="77" t="str">
        <f ca="1">IFERROR(INDEX(Validation!G:G,MATCH("DFLoan3"&amp;CELL("address",C20),Validation!I:I,0)),"")</f>
        <v/>
      </c>
      <c r="D20" s="66" t="str">
        <f ca="1">IFERROR(INDEX(Validation!F:F,MATCH("DFLoan3"&amp;CELL("address",C20),Validation!I:I,0)),"")</f>
        <v/>
      </c>
    </row>
    <row r="21" spans="1:5" x14ac:dyDescent="0.25">
      <c r="A21" s="79" t="s">
        <v>280</v>
      </c>
      <c r="B21" s="122" t="str">
        <f>IF(AND(NOT(ISBLANK('Lent Input'!E18)),OR('Lent Input'!E$5=Lists!$AG$4,'Lent Input'!E$5=Lists!$AG$5)),'Lent Input'!E18,"")</f>
        <v/>
      </c>
      <c r="C21" s="77" t="str">
        <f ca="1">IFERROR(INDEX(Validation!G:G,MATCH("DFLoan3"&amp;CELL("address",C21),Validation!I:I,0)),"")</f>
        <v/>
      </c>
      <c r="D21" s="66" t="str">
        <f ca="1">IFERROR(INDEX(Validation!F:F,MATCH("DFLoan3"&amp;CELL("address",C21),Validation!I:I,0)),"")</f>
        <v/>
      </c>
    </row>
    <row r="22" spans="1:5" x14ac:dyDescent="0.25">
      <c r="A22" s="79" t="str">
        <f>"Additions/Reductions in "&amp;Year_DestinationYearID</f>
        <v>Additions/Reductions in 2024</v>
      </c>
      <c r="B22" s="122"/>
      <c r="C22" s="77" t="str">
        <f ca="1">IFERROR(INDEX(Validation!G:G,MATCH("DFLoan3"&amp;CELL("address",C22),Validation!I:I,0)),"")</f>
        <v/>
      </c>
      <c r="D22" s="66" t="str">
        <f ca="1">IFERROR(INDEX(Validation!F:F,MATCH("DFLoan3"&amp;CELL("address",C22),Validation!I:I,0)),"")</f>
        <v/>
      </c>
    </row>
    <row r="23" spans="1:5" x14ac:dyDescent="0.25">
      <c r="A23" s="79" t="s">
        <v>221</v>
      </c>
      <c r="B23" s="125" t="str">
        <f>IFERROR(B18-B19-B20+B21+B22,"")</f>
        <v/>
      </c>
      <c r="C23" s="77" t="str">
        <f ca="1">IFERROR(INDEX(Validation!G:G,MATCH("DFLoan3"&amp;CELL("address",C23),Validation!I:I,0)),"")</f>
        <v/>
      </c>
      <c r="D23" s="66" t="str">
        <f ca="1">IFERROR(INDEX(Validation!F:F,MATCH("DFLoan3"&amp;CELL("address",C23),Validation!I:I,0)),"")</f>
        <v/>
      </c>
    </row>
    <row r="24" spans="1:5" x14ac:dyDescent="0.25">
      <c r="A24" s="79" t="str">
        <f>"Principal Due in "&amp;Year_DestinationYearID+1</f>
        <v>Principal Due in 2025</v>
      </c>
      <c r="B24" s="122"/>
      <c r="C24" s="77" t="str">
        <f ca="1">IFERROR(INDEX(Validation!G:G,MATCH("DFLoan3"&amp;CELL("address",C24),Validation!I:I,0)),"")</f>
        <v/>
      </c>
      <c r="D24" s="66" t="str">
        <f ca="1">IFERROR(INDEX(Validation!F:F,MATCH("DFLoan3"&amp;CELL("address",C24),Validation!I:I,0)),"")</f>
        <v/>
      </c>
    </row>
    <row r="25" spans="1:5" x14ac:dyDescent="0.25">
      <c r="A25" s="79" t="s">
        <v>281</v>
      </c>
      <c r="B25" s="122" t="str">
        <f>IF(AND(NOT(ISBLANK('Lent Input'!E22)),OR('Lent Input'!E$5=Lists!$AG$4,'Lent Input'!E$5=Lists!$AG$5)),'Lent Input'!E22,"")</f>
        <v/>
      </c>
      <c r="C25" s="77" t="str">
        <f ca="1">IFERROR(INDEX(Validation!G:G,MATCH("DFLoan3"&amp;CELL("address",C25),Validation!I:I,0)),"")</f>
        <v/>
      </c>
      <c r="D25" s="66" t="str">
        <f ca="1">IFERROR(INDEX(Validation!F:F,MATCH("DFLoan3"&amp;CELL("address",C25),Validation!I:I,0)),"")</f>
        <v/>
      </c>
    </row>
    <row r="26" spans="1:5" x14ac:dyDescent="0.25">
      <c r="A26" s="79" t="str">
        <f>"Interest Received in "&amp;Year_DestinationYearID</f>
        <v>Interest Received in 2024</v>
      </c>
      <c r="B26" s="122"/>
      <c r="C26" s="77" t="str">
        <f ca="1">IFERROR(INDEX(Validation!G:G,MATCH("DFLoan3"&amp;CELL("address",C26),Validation!I:I,0)),"")</f>
        <v/>
      </c>
      <c r="D26" s="66" t="str">
        <f ca="1">IFERROR(INDEX(Validation!F:F,MATCH("DFLoan3"&amp;CELL("address",C26),Validation!I:I,0)),"")</f>
        <v/>
      </c>
    </row>
    <row r="27" spans="1:5" x14ac:dyDescent="0.25">
      <c r="A27" s="79" t="str">
        <f>"Interest Due in "&amp;Year_DestinationYearID+1</f>
        <v>Interest Due in 2025</v>
      </c>
      <c r="B27" s="122"/>
      <c r="C27" s="77" t="str">
        <f ca="1">IFERROR(INDEX(Validation!G:G,MATCH("DFLoan3"&amp;CELL("address",C27),Validation!I:I,0)),"")</f>
        <v/>
      </c>
      <c r="D27" s="66" t="str">
        <f ca="1">IFERROR(INDEX(Validation!F:F,MATCH("DFLoan3"&amp;CELL("address",C27),Validation!I:I,0)),"")</f>
        <v/>
      </c>
      <c r="E27" s="126"/>
    </row>
    <row r="28" spans="1:5" ht="20.100000000000001" customHeight="1" x14ac:dyDescent="0.25">
      <c r="A28" s="97" t="s">
        <v>176</v>
      </c>
      <c r="C28" s="77" t="str">
        <f ca="1">IF(AND(ISBLANK(A29),OR(COUNTIF(D6:D27,"Alert")&gt;0,SUM(B21:B22)&lt;&gt;0)),"Comment(s) required for remaining alert(s) and/or additions to principal.",IFERROR(INDEX(Validation!G:G,MATCH("DFLoan3"&amp;CELL("address",C28),Validation!I:I,0)),""))</f>
        <v/>
      </c>
      <c r="D28" s="66" t="str">
        <f ca="1">IF(AND(ISBLANK(A29),OR(COUNTIF(D6:D27,"Alert")&gt;0,SUM(B21:B22)&lt;&gt;0)),"Error",IFERROR(INDEX(Validation!F:F,MATCH("DFLoan3"&amp;CELL("address",C28),Validation!I:I,0)),""))</f>
        <v/>
      </c>
    </row>
    <row r="29" spans="1:5" ht="150" customHeight="1" x14ac:dyDescent="0.25">
      <c r="A29" s="123"/>
      <c r="B29" s="100" t="str">
        <f>HYPERLINK("#'Lent Funds'!B6","Click here to return to the Lent Funds Tab")</f>
        <v>Click here to return to the Lent Funds Tab</v>
      </c>
    </row>
    <row r="30" spans="1:5" x14ac:dyDescent="0.25">
      <c r="A30" s="98"/>
      <c r="B30" s="98"/>
    </row>
    <row r="31" spans="1:5" x14ac:dyDescent="0.25">
      <c r="A31" s="98"/>
      <c r="B31" s="98"/>
    </row>
    <row r="32" spans="1:5" x14ac:dyDescent="0.25">
      <c r="A32" s="98"/>
      <c r="B32" s="98"/>
    </row>
    <row r="33" spans="1:2" x14ac:dyDescent="0.25">
      <c r="A33" s="98"/>
      <c r="B33" s="98"/>
    </row>
  </sheetData>
  <sheetProtection algorithmName="SHA-512" hashValue="58oqiUIZ/KNOFwME4OTt+HbRKxWsje083PA6sQjoJzLfD6Ww0No7SbMuUFoh182ugPR93JFsvRr9CFTZT+7Oew==" saltValue="dQs4E7xdqaXj3D8/3bCtzw==" spinCount="100000" sheet="1" objects="1" scenarios="1"/>
  <mergeCells count="1">
    <mergeCell ref="A4:D4"/>
  </mergeCells>
  <conditionalFormatting sqref="A2">
    <cfRule type="expression" dxfId="116" priority="11">
      <formula>$D2="Error"</formula>
    </cfRule>
    <cfRule type="expression" dxfId="114" priority="13">
      <formula>$D2="Exclude"</formula>
    </cfRule>
  </conditionalFormatting>
  <conditionalFormatting sqref="C6:D28">
    <cfRule type="expression" dxfId="111" priority="1">
      <formula>$D6="Information"</formula>
    </cfRule>
    <cfRule type="expression" dxfId="110" priority="2">
      <formula>$D6="Error"</formula>
    </cfRule>
    <cfRule type="expression" dxfId="109" priority="3">
      <formula>$D6="Alert"</formula>
    </cfRule>
    <cfRule type="expression" dxfId="108" priority="4">
      <formula>$D6="Exclude"</formula>
    </cfRule>
  </conditionalFormatting>
  <dataValidations count="2">
    <dataValidation type="list" allowBlank="1" showInputMessage="1" showErrorMessage="1" sqref="B8" xr:uid="{6A025AF6-78AE-46C8-8F67-2A38B3AEE6A6}">
      <formula1>DistrictDropDown</formula1>
    </dataValidation>
    <dataValidation type="list" allowBlank="1" showInputMessage="1" showErrorMessage="1" sqref="B7" xr:uid="{8C0AB56F-DF25-46EC-880C-F080ECCEAF9B}">
      <formula1>DueFromType</formula1>
    </dataValidation>
  </dataValidations>
  <pageMargins left="0.7" right="0.7" top="0.75" bottom="0.75" header="0.3" footer="0.3"/>
  <pageSetup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12" id="{7AADD258-604B-464C-91B1-8A6E5E21F79E}">
            <xm:f>COUNTIFS(Validation!$H:$H,MID(CELL("filename",A2),FIND("]",CELL("filename",A2))+1,255)&amp;CELL("address",A2))&gt;0</xm:f>
            <x14:dxf>
              <font>
                <b/>
                <i val="0"/>
                <color rgb="FFC00000"/>
              </font>
              <numFmt numFmtId="172" formatCode="_(\!* #,##0_);_(\!* \(#,##0\);_(\!* \-??_);_(\!\ @_)"/>
            </x14:dxf>
          </x14:cfRule>
          <xm:sqref>A2</xm:sqref>
        </x14:conditionalFormatting>
        <x14:conditionalFormatting xmlns:xm="http://schemas.microsoft.com/office/excel/2006/main">
          <x14:cfRule type="expression" priority="10" id="{B3EC3D15-874F-464B-9EC5-BDEACCBB6D5F}">
            <xm:f>$B$7=Lists!$AH$5</xm:f>
            <x14:dxf>
              <fill>
                <patternFill>
                  <bgColor rgb="FFEAEAEA"/>
                </patternFill>
              </fill>
            </x14:dxf>
          </x14:cfRule>
          <xm:sqref>B8</xm:sqref>
        </x14:conditionalFormatting>
        <x14:conditionalFormatting xmlns:xm="http://schemas.microsoft.com/office/excel/2006/main">
          <x14:cfRule type="expression" priority="9" id="{BB1D16E2-4DEE-4DA4-B69E-7611F2637D8B}">
            <xm:f>$B$7=Lists!$AH$4</xm:f>
            <x14:dxf>
              <fill>
                <patternFill>
                  <bgColor rgb="FFEAEAEA"/>
                </patternFill>
              </fill>
            </x14:dxf>
          </x14:cfRule>
          <xm:sqref>B9</xm:sqref>
        </x14:conditionalFormatting>
      </x14:conditionalFormattings>
    </ext>
  </extLs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933DD-1B82-45A7-9FB2-508B525562C6}">
  <sheetPr>
    <tabColor rgb="FFEED382"/>
  </sheetPr>
  <dimension ref="A1:E33"/>
  <sheetViews>
    <sheetView showGridLines="0" workbookViewId="0">
      <selection activeCell="B7" sqref="B7"/>
    </sheetView>
  </sheetViews>
  <sheetFormatPr defaultRowHeight="15" x14ac:dyDescent="0.25"/>
  <cols>
    <col min="1" max="1" width="55.7109375" style="66" customWidth="1"/>
    <col min="2" max="2" width="22.7109375" style="66" customWidth="1"/>
    <col min="3" max="3" width="80.85546875" style="66" customWidth="1"/>
    <col min="4" max="4" width="14.7109375" style="66" customWidth="1"/>
    <col min="5" max="5" width="10.7109375" style="78" hidden="1" customWidth="1"/>
    <col min="6" max="16384" width="9.140625" style="66"/>
  </cols>
  <sheetData>
    <row r="1" spans="1:5" s="59" customFormat="1" ht="24.95" customHeight="1" x14ac:dyDescent="0.25">
      <c r="A1" s="59" t="str">
        <f>_xlfn.CONCAT("Office of the State Auditor  -  TIF Annual Reporting Form  -  ",Year_DestinationYearID)</f>
        <v>Office of the State Auditor  -  TIF Annual Reporting Form  -  2024</v>
      </c>
      <c r="E1" s="61"/>
    </row>
    <row r="2" spans="1:5" s="62" customFormat="1" ht="20.100000000000001" customHeight="1" x14ac:dyDescent="0.25">
      <c r="A2" s="58" t="str">
        <f>_xlfn.CONCAT(GovEntity_GovEntityName_Parent,"  -  ",GovEntity_GovEntityName)</f>
        <v>Spruce City  -  TIF 1-1 Downtown Redev</v>
      </c>
      <c r="E2" s="64"/>
    </row>
    <row r="3" spans="1:5" s="68" customFormat="1" ht="24.95" customHeight="1" x14ac:dyDescent="0.3">
      <c r="A3" s="65" t="s">
        <v>848</v>
      </c>
      <c r="B3" s="66"/>
      <c r="E3" s="69"/>
    </row>
    <row r="4" spans="1:5" s="71" customFormat="1" x14ac:dyDescent="0.25">
      <c r="A4" s="217" t="s">
        <v>207</v>
      </c>
      <c r="B4" s="217"/>
      <c r="C4" s="217"/>
      <c r="D4" s="217"/>
      <c r="E4" s="72" t="s">
        <v>119</v>
      </c>
    </row>
    <row r="5" spans="1:5" s="74" customFormat="1" ht="20.100000000000001" customHeight="1" x14ac:dyDescent="0.25">
      <c r="A5" s="73" t="str">
        <f>HYPERLINK("#'Lent Funds'!B6","Click here to return to the Lent Funds Tab")</f>
        <v>Click here to return to the Lent Funds Tab</v>
      </c>
      <c r="B5" s="74" t="s">
        <v>120</v>
      </c>
      <c r="C5" s="74" t="s">
        <v>121</v>
      </c>
      <c r="D5" s="74" t="s">
        <v>102</v>
      </c>
      <c r="E5" s="76"/>
    </row>
    <row r="6" spans="1:5" ht="20.100000000000001" customHeight="1" x14ac:dyDescent="0.25">
      <c r="A6" s="74" t="s">
        <v>847</v>
      </c>
      <c r="C6" s="77" t="str">
        <f ca="1">IFERROR(INDEX(Validation!G:G,MATCH("DFLoan4"&amp;CELL("address",C6),Validation!I:I,0)),"")</f>
        <v/>
      </c>
      <c r="D6" s="66" t="str">
        <f ca="1">IFERROR(INDEX(Validation!F:F,MATCH("DFLoan4"&amp;CELL("address",C6),Validation!I:I,0)),"")</f>
        <v/>
      </c>
      <c r="E6" s="78" t="s">
        <v>875</v>
      </c>
    </row>
    <row r="7" spans="1:5" x14ac:dyDescent="0.25">
      <c r="A7" s="79" t="s">
        <v>761</v>
      </c>
      <c r="B7" s="103" t="str">
        <f>IF(AND(NOT(ISBLANK('Lent Input'!F5)),OR('Lent Input'!F$5=Lists!$AG$4,'Lent Input'!F$5=Lists!$AG$5)),_xlfn.XLOOKUP('Lent Input'!F5,Lists!AG2:AG5,Lists!AH2:AH5),Lists!$AH$1)</f>
        <v>Select One</v>
      </c>
      <c r="C7" s="77" t="str">
        <f ca="1">IFERROR(INDEX(Validation!G:G,MATCH("DFLoan4"&amp;CELL("address",C7),Validation!I:I,0)),"")</f>
        <v/>
      </c>
      <c r="D7" s="66" t="str">
        <f ca="1">IFERROR(INDEX(Validation!F:F,MATCH("DFLoan4"&amp;CELL("address",C7),Validation!I:I,0)),"")</f>
        <v/>
      </c>
      <c r="E7" s="85" t="str">
        <f>IF(NOT(ISBLANK('Lent Input'!F4)),'Lent Input'!F4,"")</f>
        <v/>
      </c>
    </row>
    <row r="8" spans="1:5" x14ac:dyDescent="0.25">
      <c r="A8" s="79" t="s">
        <v>769</v>
      </c>
      <c r="B8" s="103" t="str">
        <f>IF(AND(NOT(ISBLANK('Lent Input'!F6)),'Lent Input'!F$5=Lists!$AG$4),'Lent Input'!F6,Lists!$AJ$1)</f>
        <v>Select One</v>
      </c>
      <c r="C8" s="77" t="str">
        <f ca="1">IFERROR(INDEX(Validation!G:G,MATCH("DFLoan4"&amp;CELL("address",C8),Validation!I:I,0)),"")</f>
        <v/>
      </c>
      <c r="D8" s="66" t="str">
        <f ca="1">IFERROR(INDEX(Validation!F:F,MATCH("DFLoan4"&amp;CELL("address",C8),Validation!I:I,0)),"")</f>
        <v/>
      </c>
    </row>
    <row r="9" spans="1:5" x14ac:dyDescent="0.25">
      <c r="A9" s="79" t="s">
        <v>770</v>
      </c>
      <c r="B9" s="103" t="str">
        <f>IF(AND(NOT(ISBLANK('Lent Input'!F7)),'Lent Input'!F$5=Lists!$AG$5),'Lent Input'!F7,"")</f>
        <v/>
      </c>
      <c r="C9" s="77" t="str">
        <f ca="1">IFERROR(INDEX(Validation!G:G,MATCH("DFLoan4"&amp;CELL("address",C9),Validation!I:I,0)),"")</f>
        <v/>
      </c>
      <c r="D9" s="66" t="str">
        <f ca="1">IFERROR(INDEX(Validation!F:F,MATCH("DFLoan4"&amp;CELL("address",C9),Validation!I:I,0)),"")</f>
        <v/>
      </c>
    </row>
    <row r="10" spans="1:5" x14ac:dyDescent="0.25">
      <c r="A10" s="79" t="s">
        <v>240</v>
      </c>
      <c r="B10" s="120" t="str">
        <f>IF(AND(NOT(ISBLANK('Lent Input'!F8)),OR('Lent Input'!F$5=Lists!$AG$4,'Lent Input'!F$5=Lists!$AG$5)),'Lent Input'!F8,"")</f>
        <v/>
      </c>
      <c r="C10" s="77" t="str">
        <f ca="1">IFERROR(INDEX(Validation!G:G,MATCH("DFLoan4"&amp;CELL("address",C10),Validation!I:I,0)),"")</f>
        <v/>
      </c>
      <c r="D10" s="66" t="str">
        <f ca="1">IFERROR(INDEX(Validation!F:F,MATCH("DFLoan4"&amp;CELL("address",C10),Validation!I:I,0)),"")</f>
        <v/>
      </c>
    </row>
    <row r="11" spans="1:5" x14ac:dyDescent="0.25">
      <c r="A11" s="79" t="s">
        <v>212</v>
      </c>
      <c r="B11" s="120" t="str">
        <f>IF(AND(NOT(ISBLANK('Lent Input'!F9)),OR('Lent Input'!F$5=Lists!$AG$4,'Lent Input'!F$5=Lists!$AG$5)),'Lent Input'!F9,"")</f>
        <v/>
      </c>
      <c r="C11" s="77" t="str">
        <f ca="1">IFERROR(INDEX(Validation!G:G,MATCH("DFLoan4"&amp;CELL("address",C11),Validation!I:I,0)),"")</f>
        <v/>
      </c>
      <c r="D11" s="66" t="str">
        <f ca="1">IFERROR(INDEX(Validation!F:F,MATCH("DFLoan4"&amp;CELL("address",C11),Validation!I:I,0)),"")</f>
        <v/>
      </c>
    </row>
    <row r="12" spans="1:5" x14ac:dyDescent="0.25">
      <c r="A12" s="79" t="s">
        <v>213</v>
      </c>
      <c r="B12" s="121" t="str">
        <f>IF(AND(NOT(ISBLANK('Lent Input'!F10)),OR('Lent Input'!F$5=Lists!$AG$4,'Lent Input'!F$5=Lists!$AG$5)),'Lent Input'!F10,"")</f>
        <v/>
      </c>
      <c r="C12" s="77" t="str">
        <f ca="1">IFERROR(INDEX(Validation!G:G,MATCH("DFLoan4"&amp;CELL("address",C12),Validation!I:I,0)),"")</f>
        <v/>
      </c>
      <c r="D12" s="66" t="str">
        <f ca="1">IFERROR(INDEX(Validation!F:F,MATCH("DFLoan4"&amp;CELL("address",C12),Validation!I:I,0)),"")</f>
        <v/>
      </c>
    </row>
    <row r="13" spans="1:5" x14ac:dyDescent="0.25">
      <c r="A13" s="79" t="s">
        <v>214</v>
      </c>
      <c r="B13" s="121" t="str">
        <f>IF(AND(NOT(ISBLANK('Lent Input'!F11)),OR('Lent Input'!F$5=Lists!$AG$4,'Lent Input'!F$5=Lists!$AG$5)),'Lent Input'!F11,"")</f>
        <v/>
      </c>
      <c r="C13" s="77" t="str">
        <f ca="1">IFERROR(INDEX(Validation!G:G,MATCH("DFLoan4"&amp;CELL("address",C13),Validation!I:I,0)),"")</f>
        <v/>
      </c>
      <c r="D13" s="66" t="str">
        <f ca="1">IFERROR(INDEX(Validation!F:F,MATCH("DFLoan4"&amp;CELL("address",C13),Validation!I:I,0)),"")</f>
        <v/>
      </c>
    </row>
    <row r="14" spans="1:5" x14ac:dyDescent="0.25">
      <c r="A14" s="79" t="s">
        <v>242</v>
      </c>
      <c r="B14" s="122" t="str">
        <f>IF(AND(NOT(ISBLANK('Lent Input'!F12)),OR('Lent Input'!F$5=Lists!$AG$4,'Lent Input'!F$5=Lists!$AG$5)),'Lent Input'!F12,"")</f>
        <v/>
      </c>
      <c r="C14" s="77" t="str">
        <f ca="1">IFERROR(INDEX(Validation!G:G,MATCH("DFLoan4"&amp;CELL("address",C14),Validation!I:I,0)),"")</f>
        <v/>
      </c>
      <c r="D14" s="66" t="str">
        <f ca="1">IFERROR(INDEX(Validation!F:F,MATCH("DFLoan4"&amp;CELL("address",C14),Validation!I:I,0)),"")</f>
        <v/>
      </c>
    </row>
    <row r="15" spans="1:5" ht="20.100000000000001" customHeight="1" x14ac:dyDescent="0.25">
      <c r="A15" s="74" t="s">
        <v>849</v>
      </c>
      <c r="C15" s="77" t="str">
        <f ca="1">IFERROR(INDEX(Validation!G:G,MATCH("DFLoan4"&amp;CELL("address",C15),Validation!I:I,0)),"")</f>
        <v/>
      </c>
      <c r="D15" s="66" t="str">
        <f ca="1">IFERROR(INDEX(Validation!F:F,MATCH("DFLoan4"&amp;CELL("address",C15),Validation!I:I,0)),"")</f>
        <v/>
      </c>
    </row>
    <row r="16" spans="1:5" x14ac:dyDescent="0.25">
      <c r="A16" s="79" t="s">
        <v>243</v>
      </c>
      <c r="B16" s="122" t="str">
        <f>IF(AND(NOT(ISBLANK('Lent Input'!F13)),OR('Lent Input'!F$5=Lists!$AG$4,'Lent Input'!F$5=Lists!$AG$5)),'Lent Input'!F13,"")</f>
        <v/>
      </c>
      <c r="C16" s="77" t="str">
        <f ca="1">IFERROR(INDEX(Validation!G:G,MATCH("DFLoan4"&amp;CELL("address",C16),Validation!I:I,0)),"")</f>
        <v/>
      </c>
      <c r="D16" s="66" t="str">
        <f ca="1">IFERROR(INDEX(Validation!F:F,MATCH("DFLoan4"&amp;CELL("address",C16),Validation!I:I,0)),"")</f>
        <v/>
      </c>
    </row>
    <row r="17" spans="1:5" x14ac:dyDescent="0.25">
      <c r="A17" s="79" t="str">
        <f>"Amount Drawn in "&amp;Year_DestinationYearID</f>
        <v>Amount Drawn in 2024</v>
      </c>
      <c r="B17" s="103"/>
      <c r="C17" s="77" t="str">
        <f ca="1">IFERROR(INDEX(Validation!G:G,MATCH("DFLoan4"&amp;CELL("address",C17),Validation!I:I,0)),"")</f>
        <v/>
      </c>
      <c r="D17" s="66" t="str">
        <f ca="1">IFERROR(INDEX(Validation!F:F,MATCH("DFLoan4"&amp;CELL("address",C17),Validation!I:I,0)),"")</f>
        <v/>
      </c>
    </row>
    <row r="18" spans="1:5" x14ac:dyDescent="0.25">
      <c r="A18" s="79" t="s">
        <v>245</v>
      </c>
      <c r="B18" s="125" t="str">
        <f>IFERROR(B16+B17,"")</f>
        <v/>
      </c>
      <c r="C18" s="77" t="str">
        <f ca="1">IFERROR(INDEX(Validation!G:G,MATCH("DFLoan4"&amp;CELL("address",C18),Validation!I:I,0)),"")</f>
        <v/>
      </c>
      <c r="D18" s="66" t="str">
        <f ca="1">IFERROR(INDEX(Validation!F:F,MATCH("DFLoan4"&amp;CELL("address",C18),Validation!I:I,0)),"")</f>
        <v/>
      </c>
    </row>
    <row r="19" spans="1:5" x14ac:dyDescent="0.25">
      <c r="A19" s="79" t="s">
        <v>279</v>
      </c>
      <c r="B19" s="122" t="str">
        <f>IF(AND(NOT(ISBLANK('Lent Input'!F16)),OR('Lent Input'!F$5=Lists!$AG$4,'Lent Input'!F$5=Lists!$AG$5)),'Lent Input'!F16,"")</f>
        <v/>
      </c>
      <c r="C19" s="77" t="str">
        <f ca="1">IFERROR(INDEX(Validation!G:G,MATCH("DFLoan4"&amp;CELL("address",C19),Validation!I:I,0)),"")</f>
        <v/>
      </c>
      <c r="D19" s="66" t="str">
        <f ca="1">IFERROR(INDEX(Validation!F:F,MATCH("DFLoan4"&amp;CELL("address",C19),Validation!I:I,0)),"")</f>
        <v/>
      </c>
    </row>
    <row r="20" spans="1:5" x14ac:dyDescent="0.25">
      <c r="A20" s="79" t="str">
        <f>"Principal Received in "&amp;Year_DestinationYearID</f>
        <v>Principal Received in 2024</v>
      </c>
      <c r="B20" s="122"/>
      <c r="C20" s="77" t="str">
        <f ca="1">IFERROR(INDEX(Validation!G:G,MATCH("DFLoan4"&amp;CELL("address",C20),Validation!I:I,0)),"")</f>
        <v/>
      </c>
      <c r="D20" s="66" t="str">
        <f ca="1">IFERROR(INDEX(Validation!F:F,MATCH("DFLoan4"&amp;CELL("address",C20),Validation!I:I,0)),"")</f>
        <v/>
      </c>
    </row>
    <row r="21" spans="1:5" x14ac:dyDescent="0.25">
      <c r="A21" s="79" t="s">
        <v>280</v>
      </c>
      <c r="B21" s="122" t="str">
        <f>IF(AND(NOT(ISBLANK('Lent Input'!F18)),OR('Lent Input'!F$5=Lists!$AG$4,'Lent Input'!F$5=Lists!$AG$5)),'Lent Input'!F18,"")</f>
        <v/>
      </c>
      <c r="C21" s="77" t="str">
        <f ca="1">IFERROR(INDEX(Validation!G:G,MATCH("DFLoan4"&amp;CELL("address",C21),Validation!I:I,0)),"")</f>
        <v/>
      </c>
      <c r="D21" s="66" t="str">
        <f ca="1">IFERROR(INDEX(Validation!F:F,MATCH("DFLoan4"&amp;CELL("address",C21),Validation!I:I,0)),"")</f>
        <v/>
      </c>
    </row>
    <row r="22" spans="1:5" x14ac:dyDescent="0.25">
      <c r="A22" s="79" t="str">
        <f>"Additions/Reductions in "&amp;Year_DestinationYearID</f>
        <v>Additions/Reductions in 2024</v>
      </c>
      <c r="B22" s="122"/>
      <c r="C22" s="77" t="str">
        <f ca="1">IFERROR(INDEX(Validation!G:G,MATCH("DFLoan4"&amp;CELL("address",C22),Validation!I:I,0)),"")</f>
        <v/>
      </c>
      <c r="D22" s="66" t="str">
        <f ca="1">IFERROR(INDEX(Validation!F:F,MATCH("DFLoan4"&amp;CELL("address",C22),Validation!I:I,0)),"")</f>
        <v/>
      </c>
    </row>
    <row r="23" spans="1:5" x14ac:dyDescent="0.25">
      <c r="A23" s="79" t="s">
        <v>221</v>
      </c>
      <c r="B23" s="125" t="str">
        <f>IFERROR(B18-B19-B20+B21+B22,"")</f>
        <v/>
      </c>
      <c r="C23" s="77" t="str">
        <f ca="1">IFERROR(INDEX(Validation!G:G,MATCH("DFLoan4"&amp;CELL("address",C23),Validation!I:I,0)),"")</f>
        <v/>
      </c>
      <c r="D23" s="66" t="str">
        <f ca="1">IFERROR(INDEX(Validation!F:F,MATCH("DFLoan4"&amp;CELL("address",C23),Validation!I:I,0)),"")</f>
        <v/>
      </c>
    </row>
    <row r="24" spans="1:5" x14ac:dyDescent="0.25">
      <c r="A24" s="79" t="str">
        <f>"Principal Due in "&amp;Year_DestinationYearID+1</f>
        <v>Principal Due in 2025</v>
      </c>
      <c r="B24" s="122"/>
      <c r="C24" s="77" t="str">
        <f ca="1">IFERROR(INDEX(Validation!G:G,MATCH("DFLoan4"&amp;CELL("address",C24),Validation!I:I,0)),"")</f>
        <v/>
      </c>
      <c r="D24" s="66" t="str">
        <f ca="1">IFERROR(INDEX(Validation!F:F,MATCH("DFLoan4"&amp;CELL("address",C24),Validation!I:I,0)),"")</f>
        <v/>
      </c>
    </row>
    <row r="25" spans="1:5" x14ac:dyDescent="0.25">
      <c r="A25" s="79" t="s">
        <v>281</v>
      </c>
      <c r="B25" s="122" t="str">
        <f>IF(AND(NOT(ISBLANK('Lent Input'!F22)),OR('Lent Input'!F$5=Lists!$AG$4,'Lent Input'!F$5=Lists!$AG$5)),'Lent Input'!F22,"")</f>
        <v/>
      </c>
      <c r="C25" s="77" t="str">
        <f ca="1">IFERROR(INDEX(Validation!G:G,MATCH("DFLoan4"&amp;CELL("address",C25),Validation!I:I,0)),"")</f>
        <v/>
      </c>
      <c r="D25" s="66" t="str">
        <f ca="1">IFERROR(INDEX(Validation!F:F,MATCH("DFLoan4"&amp;CELL("address",C25),Validation!I:I,0)),"")</f>
        <v/>
      </c>
    </row>
    <row r="26" spans="1:5" x14ac:dyDescent="0.25">
      <c r="A26" s="79" t="str">
        <f>"Interest Received in "&amp;Year_DestinationYearID</f>
        <v>Interest Received in 2024</v>
      </c>
      <c r="B26" s="122"/>
      <c r="C26" s="77" t="str">
        <f ca="1">IFERROR(INDEX(Validation!G:G,MATCH("DFLoan4"&amp;CELL("address",C26),Validation!I:I,0)),"")</f>
        <v/>
      </c>
      <c r="D26" s="66" t="str">
        <f ca="1">IFERROR(INDEX(Validation!F:F,MATCH("DFLoan4"&amp;CELL("address",C26),Validation!I:I,0)),"")</f>
        <v/>
      </c>
    </row>
    <row r="27" spans="1:5" x14ac:dyDescent="0.25">
      <c r="A27" s="79" t="str">
        <f>"Interest Due in "&amp;Year_DestinationYearID+1</f>
        <v>Interest Due in 2025</v>
      </c>
      <c r="B27" s="122"/>
      <c r="C27" s="77" t="str">
        <f ca="1">IFERROR(INDEX(Validation!G:G,MATCH("DFLoan4"&amp;CELL("address",C27),Validation!I:I,0)),"")</f>
        <v/>
      </c>
      <c r="D27" s="66" t="str">
        <f ca="1">IFERROR(INDEX(Validation!F:F,MATCH("DFLoan4"&amp;CELL("address",C27),Validation!I:I,0)),"")</f>
        <v/>
      </c>
      <c r="E27" s="126"/>
    </row>
    <row r="28" spans="1:5" ht="20.100000000000001" customHeight="1" x14ac:dyDescent="0.25">
      <c r="A28" s="97" t="s">
        <v>176</v>
      </c>
      <c r="C28" s="77" t="str">
        <f ca="1">IF(AND(ISBLANK(A29),OR(COUNTIF(D6:D27,"Alert")&gt;0,SUM(B21:B22)&lt;&gt;0)),"Comment(s) required for remaining alert(s) and/or additions to principal.",IFERROR(INDEX(Validation!G:G,MATCH("DFLoan4"&amp;CELL("address",C28),Validation!I:I,0)),""))</f>
        <v/>
      </c>
      <c r="D28" s="66" t="str">
        <f ca="1">IF(AND(ISBLANK(A29),OR(COUNTIF(D6:D27,"Alert")&gt;0,SUM(B21:B22)&lt;&gt;0)),"Error",IFERROR(INDEX(Validation!F:F,MATCH("DFLoan4"&amp;CELL("address",C28),Validation!I:I,0)),""))</f>
        <v/>
      </c>
    </row>
    <row r="29" spans="1:5" ht="150" customHeight="1" x14ac:dyDescent="0.25">
      <c r="A29" s="123"/>
      <c r="B29" s="100" t="str">
        <f>HYPERLINK("#'Lent Funds'!B6","Click here to return to the Lent Funds Tab")</f>
        <v>Click here to return to the Lent Funds Tab</v>
      </c>
    </row>
    <row r="30" spans="1:5" x14ac:dyDescent="0.25">
      <c r="A30" s="98"/>
      <c r="B30" s="98"/>
    </row>
    <row r="31" spans="1:5" x14ac:dyDescent="0.25">
      <c r="A31" s="98"/>
      <c r="B31" s="98"/>
    </row>
    <row r="32" spans="1:5" x14ac:dyDescent="0.25">
      <c r="A32" s="98"/>
      <c r="B32" s="98"/>
    </row>
    <row r="33" spans="1:2" x14ac:dyDescent="0.25">
      <c r="A33" s="98"/>
      <c r="B33" s="98"/>
    </row>
  </sheetData>
  <sheetProtection algorithmName="SHA-512" hashValue="7LDNxR0JMCMqOLSCCGOQxazAWEOQn0ck351oAEQV/m3W7tH7HIxqW9HardN62fBKGaiZNCpEOMSdCpngdgqUcA==" saltValue="kLNACiiqblbp4BAO/UA+MQ==" spinCount="100000" sheet="1" objects="1" scenarios="1"/>
  <mergeCells count="1">
    <mergeCell ref="A4:D4"/>
  </mergeCells>
  <conditionalFormatting sqref="A2">
    <cfRule type="expression" dxfId="107" priority="11">
      <formula>$D2="Error"</formula>
    </cfRule>
    <cfRule type="expression" dxfId="105" priority="13">
      <formula>$D2="Exclude"</formula>
    </cfRule>
  </conditionalFormatting>
  <conditionalFormatting sqref="C6:D28">
    <cfRule type="expression" dxfId="102" priority="1">
      <formula>$D6="Information"</formula>
    </cfRule>
    <cfRule type="expression" dxfId="101" priority="2">
      <formula>$D6="Error"</formula>
    </cfRule>
    <cfRule type="expression" dxfId="100" priority="3">
      <formula>$D6="Alert"</formula>
    </cfRule>
    <cfRule type="expression" dxfId="99" priority="4">
      <formula>$D6="Exclude"</formula>
    </cfRule>
  </conditionalFormatting>
  <dataValidations count="2">
    <dataValidation type="list" allowBlank="1" showInputMessage="1" showErrorMessage="1" sqref="B7" xr:uid="{93B1A075-F427-46DB-8147-4A0E21F715E0}">
      <formula1>DueFromType</formula1>
    </dataValidation>
    <dataValidation type="list" allowBlank="1" showInputMessage="1" showErrorMessage="1" sqref="B8" xr:uid="{DCEA3067-191F-49AF-B282-4FF03D2F8122}">
      <formula1>DistrictDropDown</formula1>
    </dataValidation>
  </dataValidations>
  <pageMargins left="0.7" right="0.7" top="0.75" bottom="0.75" header="0.3" footer="0.3"/>
  <pageSetup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12" id="{20096278-C8DE-4675-96D4-41C89D637407}">
            <xm:f>COUNTIFS(Validation!$H:$H,MID(CELL("filename",A2),FIND("]",CELL("filename",A2))+1,255)&amp;CELL("address",A2))&gt;0</xm:f>
            <x14:dxf>
              <font>
                <b/>
                <i val="0"/>
                <color rgb="FFC00000"/>
              </font>
              <numFmt numFmtId="172" formatCode="_(\!* #,##0_);_(\!* \(#,##0\);_(\!* \-??_);_(\!\ @_)"/>
            </x14:dxf>
          </x14:cfRule>
          <xm:sqref>A2</xm:sqref>
        </x14:conditionalFormatting>
        <x14:conditionalFormatting xmlns:xm="http://schemas.microsoft.com/office/excel/2006/main">
          <x14:cfRule type="expression" priority="10" id="{90451FFC-F450-416B-A4A2-D4DDA08798D9}">
            <xm:f>$B$7=Lists!$AH$5</xm:f>
            <x14:dxf>
              <fill>
                <patternFill>
                  <bgColor rgb="FFEAEAEA"/>
                </patternFill>
              </fill>
            </x14:dxf>
          </x14:cfRule>
          <xm:sqref>B8</xm:sqref>
        </x14:conditionalFormatting>
        <x14:conditionalFormatting xmlns:xm="http://schemas.microsoft.com/office/excel/2006/main">
          <x14:cfRule type="expression" priority="9" id="{3EEBAAA5-F554-4482-9CDB-3BD42682E7D4}">
            <xm:f>$B$7=Lists!$AH$4</xm:f>
            <x14:dxf>
              <fill>
                <patternFill>
                  <bgColor rgb="FFEAEAEA"/>
                </patternFill>
              </fill>
            </x14:dxf>
          </x14:cfRule>
          <xm:sqref>B9</xm:sqref>
        </x14:conditionalFormatting>
      </x14:conditionalFormattings>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5FECD8-2460-4CA7-A28D-99502A63F168}">
  <sheetPr>
    <tabColor rgb="FFEED382"/>
  </sheetPr>
  <dimension ref="A1:E33"/>
  <sheetViews>
    <sheetView showGridLines="0" workbookViewId="0">
      <selection activeCell="B7" sqref="B7"/>
    </sheetView>
  </sheetViews>
  <sheetFormatPr defaultRowHeight="15" x14ac:dyDescent="0.25"/>
  <cols>
    <col min="1" max="1" width="55.7109375" style="66" customWidth="1"/>
    <col min="2" max="2" width="22.7109375" style="66" customWidth="1"/>
    <col min="3" max="3" width="80.85546875" style="66" customWidth="1"/>
    <col min="4" max="4" width="14.7109375" style="66" customWidth="1"/>
    <col min="5" max="5" width="10.7109375" style="78" hidden="1" customWidth="1"/>
    <col min="6" max="16384" width="9.140625" style="66"/>
  </cols>
  <sheetData>
    <row r="1" spans="1:5" s="59" customFormat="1" ht="24.95" customHeight="1" x14ac:dyDescent="0.25">
      <c r="A1" s="59" t="str">
        <f>_xlfn.CONCAT("Office of the State Auditor  -  TIF Annual Reporting Form  -  ",Year_DestinationYearID)</f>
        <v>Office of the State Auditor  -  TIF Annual Reporting Form  -  2024</v>
      </c>
      <c r="E1" s="61"/>
    </row>
    <row r="2" spans="1:5" s="62" customFormat="1" ht="20.100000000000001" customHeight="1" x14ac:dyDescent="0.25">
      <c r="A2" s="58" t="str">
        <f>_xlfn.CONCAT(GovEntity_GovEntityName_Parent,"  -  ",GovEntity_GovEntityName)</f>
        <v>Spruce City  -  TIF 1-1 Downtown Redev</v>
      </c>
      <c r="E2" s="64"/>
    </row>
    <row r="3" spans="1:5" s="68" customFormat="1" ht="24.95" customHeight="1" x14ac:dyDescent="0.3">
      <c r="A3" s="65" t="s">
        <v>848</v>
      </c>
      <c r="B3" s="66"/>
      <c r="E3" s="69"/>
    </row>
    <row r="4" spans="1:5" s="71" customFormat="1" x14ac:dyDescent="0.25">
      <c r="A4" s="217" t="s">
        <v>207</v>
      </c>
      <c r="B4" s="217"/>
      <c r="C4" s="217"/>
      <c r="D4" s="217"/>
      <c r="E4" s="72" t="s">
        <v>119</v>
      </c>
    </row>
    <row r="5" spans="1:5" s="74" customFormat="1" ht="20.100000000000001" customHeight="1" x14ac:dyDescent="0.25">
      <c r="A5" s="73" t="str">
        <f>HYPERLINK("#'Lent Funds'!B6","Click here to return to the Lent Funds Tab")</f>
        <v>Click here to return to the Lent Funds Tab</v>
      </c>
      <c r="B5" s="74" t="s">
        <v>120</v>
      </c>
      <c r="C5" s="74" t="s">
        <v>121</v>
      </c>
      <c r="D5" s="74" t="s">
        <v>102</v>
      </c>
      <c r="E5" s="76"/>
    </row>
    <row r="6" spans="1:5" ht="20.100000000000001" customHeight="1" x14ac:dyDescent="0.25">
      <c r="A6" s="74" t="s">
        <v>847</v>
      </c>
      <c r="C6" s="77" t="str">
        <f ca="1">IFERROR(INDEX(Validation!G:G,MATCH("DFLoan5"&amp;CELL("address",C6),Validation!I:I,0)),"")</f>
        <v/>
      </c>
      <c r="D6" s="66" t="str">
        <f ca="1">IFERROR(INDEX(Validation!F:F,MATCH("DFLoan5"&amp;CELL("address",C6),Validation!I:I,0)),"")</f>
        <v/>
      </c>
      <c r="E6" s="78" t="s">
        <v>875</v>
      </c>
    </row>
    <row r="7" spans="1:5" x14ac:dyDescent="0.25">
      <c r="A7" s="79" t="s">
        <v>761</v>
      </c>
      <c r="B7" s="103" t="str">
        <f>IF(AND(NOT(ISBLANK('Lent Input'!G5)),OR('Lent Input'!G$5=Lists!$AG$4,'Lent Input'!G$5=Lists!$AG$5)),_xlfn.XLOOKUP('Lent Input'!G5,Lists!AG2:AG5,Lists!AH2:AH5),Lists!$AH$1)</f>
        <v>Select One</v>
      </c>
      <c r="C7" s="77" t="str">
        <f ca="1">IFERROR(INDEX(Validation!G:G,MATCH("DFLoan5"&amp;CELL("address",C7),Validation!I:I,0)),"")</f>
        <v/>
      </c>
      <c r="D7" s="66" t="str">
        <f ca="1">IFERROR(INDEX(Validation!F:F,MATCH("DFLoan5"&amp;CELL("address",C7),Validation!I:I,0)),"")</f>
        <v/>
      </c>
      <c r="E7" s="85" t="str">
        <f>IF(NOT(ISBLANK('Lent Input'!G4)),'Lent Input'!G4,"")</f>
        <v/>
      </c>
    </row>
    <row r="8" spans="1:5" x14ac:dyDescent="0.25">
      <c r="A8" s="79" t="s">
        <v>769</v>
      </c>
      <c r="B8" s="103" t="str">
        <f>IF(AND(NOT(ISBLANK('Lent Input'!G6)),'Lent Input'!G$5=Lists!$AG$4),'Lent Input'!G6,Lists!$AJ$1)</f>
        <v>Select One</v>
      </c>
      <c r="C8" s="77" t="str">
        <f ca="1">IFERROR(INDEX(Validation!G:G,MATCH("DFLoan5"&amp;CELL("address",C8),Validation!I:I,0)),"")</f>
        <v/>
      </c>
      <c r="D8" s="66" t="str">
        <f ca="1">IFERROR(INDEX(Validation!F:F,MATCH("DFLoan5"&amp;CELL("address",C8),Validation!I:I,0)),"")</f>
        <v/>
      </c>
    </row>
    <row r="9" spans="1:5" x14ac:dyDescent="0.25">
      <c r="A9" s="79" t="s">
        <v>770</v>
      </c>
      <c r="B9" s="103" t="str">
        <f>IF(AND(NOT(ISBLANK('Lent Input'!G7)),'Lent Input'!G$5=Lists!$AG$5),'Lent Input'!G7,"")</f>
        <v/>
      </c>
      <c r="C9" s="77" t="str">
        <f ca="1">IFERROR(INDEX(Validation!G:G,MATCH("DFLoan5"&amp;CELL("address",C9),Validation!I:I,0)),"")</f>
        <v/>
      </c>
      <c r="D9" s="66" t="str">
        <f ca="1">IFERROR(INDEX(Validation!F:F,MATCH("DFLoan5"&amp;CELL("address",C9),Validation!I:I,0)),"")</f>
        <v/>
      </c>
    </row>
    <row r="10" spans="1:5" x14ac:dyDescent="0.25">
      <c r="A10" s="79" t="s">
        <v>240</v>
      </c>
      <c r="B10" s="120" t="str">
        <f>IF(AND(NOT(ISBLANK('Lent Input'!G8)),OR('Lent Input'!G$5=Lists!$AG$4,'Lent Input'!G$5=Lists!$AG$5)),'Lent Input'!G8,"")</f>
        <v/>
      </c>
      <c r="C10" s="77" t="str">
        <f ca="1">IFERROR(INDEX(Validation!G:G,MATCH("DFLoan5"&amp;CELL("address",C10),Validation!I:I,0)),"")</f>
        <v/>
      </c>
      <c r="D10" s="66" t="str">
        <f ca="1">IFERROR(INDEX(Validation!F:F,MATCH("DFLoan5"&amp;CELL("address",C10),Validation!I:I,0)),"")</f>
        <v/>
      </c>
    </row>
    <row r="11" spans="1:5" x14ac:dyDescent="0.25">
      <c r="A11" s="79" t="s">
        <v>212</v>
      </c>
      <c r="B11" s="120" t="str">
        <f>IF(AND(NOT(ISBLANK('Lent Input'!G9)),OR('Lent Input'!G$5=Lists!$AG$4,'Lent Input'!G$5=Lists!$AG$5)),'Lent Input'!G9,"")</f>
        <v/>
      </c>
      <c r="C11" s="77" t="str">
        <f ca="1">IFERROR(INDEX(Validation!G:G,MATCH("DFLoan5"&amp;CELL("address",C11),Validation!I:I,0)),"")</f>
        <v/>
      </c>
      <c r="D11" s="66" t="str">
        <f ca="1">IFERROR(INDEX(Validation!F:F,MATCH("DFLoan5"&amp;CELL("address",C11),Validation!I:I,0)),"")</f>
        <v/>
      </c>
    </row>
    <row r="12" spans="1:5" x14ac:dyDescent="0.25">
      <c r="A12" s="79" t="s">
        <v>213</v>
      </c>
      <c r="B12" s="121" t="str">
        <f>IF(AND(NOT(ISBLANK('Lent Input'!G10)),OR('Lent Input'!G$5=Lists!$AG$4,'Lent Input'!G$5=Lists!$AG$5)),'Lent Input'!G10,"")</f>
        <v/>
      </c>
      <c r="C12" s="77" t="str">
        <f ca="1">IFERROR(INDEX(Validation!G:G,MATCH("DFLoan5"&amp;CELL("address",C12),Validation!I:I,0)),"")</f>
        <v/>
      </c>
      <c r="D12" s="66" t="str">
        <f ca="1">IFERROR(INDEX(Validation!F:F,MATCH("DFLoan5"&amp;CELL("address",C12),Validation!I:I,0)),"")</f>
        <v/>
      </c>
    </row>
    <row r="13" spans="1:5" x14ac:dyDescent="0.25">
      <c r="A13" s="79" t="s">
        <v>214</v>
      </c>
      <c r="B13" s="121" t="str">
        <f>IF(AND(NOT(ISBLANK('Lent Input'!G11)),OR('Lent Input'!G$5=Lists!$AG$4,'Lent Input'!G$5=Lists!$AG$5)),'Lent Input'!G11,"")</f>
        <v/>
      </c>
      <c r="C13" s="77" t="str">
        <f ca="1">IFERROR(INDEX(Validation!G:G,MATCH("DFLoan5"&amp;CELL("address",C13),Validation!I:I,0)),"")</f>
        <v/>
      </c>
      <c r="D13" s="66" t="str">
        <f ca="1">IFERROR(INDEX(Validation!F:F,MATCH("DFLoan5"&amp;CELL("address",C13),Validation!I:I,0)),"")</f>
        <v/>
      </c>
    </row>
    <row r="14" spans="1:5" x14ac:dyDescent="0.25">
      <c r="A14" s="79" t="s">
        <v>242</v>
      </c>
      <c r="B14" s="122" t="str">
        <f>IF(AND(NOT(ISBLANK('Lent Input'!G12)),OR('Lent Input'!G$5=Lists!$AG$4,'Lent Input'!G$5=Lists!$AG$5)),'Lent Input'!G12,"")</f>
        <v/>
      </c>
      <c r="C14" s="77" t="str">
        <f ca="1">IFERROR(INDEX(Validation!G:G,MATCH("DFLoan5"&amp;CELL("address",C14),Validation!I:I,0)),"")</f>
        <v/>
      </c>
      <c r="D14" s="66" t="str">
        <f ca="1">IFERROR(INDEX(Validation!F:F,MATCH("DFLoan5"&amp;CELL("address",C14),Validation!I:I,0)),"")</f>
        <v/>
      </c>
    </row>
    <row r="15" spans="1:5" ht="20.100000000000001" customHeight="1" x14ac:dyDescent="0.25">
      <c r="A15" s="74" t="s">
        <v>849</v>
      </c>
      <c r="C15" s="77" t="str">
        <f ca="1">IFERROR(INDEX(Validation!G:G,MATCH("DFLoan5"&amp;CELL("address",C15),Validation!I:I,0)),"")</f>
        <v/>
      </c>
      <c r="D15" s="66" t="str">
        <f ca="1">IFERROR(INDEX(Validation!F:F,MATCH("DFLoan5"&amp;CELL("address",C15),Validation!I:I,0)),"")</f>
        <v/>
      </c>
    </row>
    <row r="16" spans="1:5" x14ac:dyDescent="0.25">
      <c r="A16" s="79" t="s">
        <v>243</v>
      </c>
      <c r="B16" s="122" t="str">
        <f>IF(AND(NOT(ISBLANK('Lent Input'!G13)),OR('Lent Input'!G$5=Lists!$AG$4,'Lent Input'!G$5=Lists!$AG$5)),'Lent Input'!G13,"")</f>
        <v/>
      </c>
      <c r="C16" s="77" t="str">
        <f ca="1">IFERROR(INDEX(Validation!G:G,MATCH("DFLoan5"&amp;CELL("address",C16),Validation!I:I,0)),"")</f>
        <v/>
      </c>
      <c r="D16" s="66" t="str">
        <f ca="1">IFERROR(INDEX(Validation!F:F,MATCH("DFLoan5"&amp;CELL("address",C16),Validation!I:I,0)),"")</f>
        <v/>
      </c>
    </row>
    <row r="17" spans="1:5" x14ac:dyDescent="0.25">
      <c r="A17" s="79" t="str">
        <f>"Amount Drawn in "&amp;Year_DestinationYearID</f>
        <v>Amount Drawn in 2024</v>
      </c>
      <c r="B17" s="103"/>
      <c r="C17" s="77" t="str">
        <f ca="1">IFERROR(INDEX(Validation!G:G,MATCH("DFLoan5"&amp;CELL("address",C17),Validation!I:I,0)),"")</f>
        <v/>
      </c>
      <c r="D17" s="66" t="str">
        <f ca="1">IFERROR(INDEX(Validation!F:F,MATCH("DFLoan5"&amp;CELL("address",C17),Validation!I:I,0)),"")</f>
        <v/>
      </c>
    </row>
    <row r="18" spans="1:5" x14ac:dyDescent="0.25">
      <c r="A18" s="79" t="s">
        <v>245</v>
      </c>
      <c r="B18" s="125" t="str">
        <f>IFERROR(B16+B17,"")</f>
        <v/>
      </c>
      <c r="C18" s="77" t="str">
        <f ca="1">IFERROR(INDEX(Validation!G:G,MATCH("DFLoan5"&amp;CELL("address",C18),Validation!I:I,0)),"")</f>
        <v/>
      </c>
      <c r="D18" s="66" t="str">
        <f ca="1">IFERROR(INDEX(Validation!F:F,MATCH("DFLoan5"&amp;CELL("address",C18),Validation!I:I,0)),"")</f>
        <v/>
      </c>
    </row>
    <row r="19" spans="1:5" x14ac:dyDescent="0.25">
      <c r="A19" s="79" t="s">
        <v>279</v>
      </c>
      <c r="B19" s="122" t="str">
        <f>IF(AND(NOT(ISBLANK('Lent Input'!G16)),OR('Lent Input'!G$5=Lists!$AG$4,'Lent Input'!G$5=Lists!$AG$5)),'Lent Input'!G16,"")</f>
        <v/>
      </c>
      <c r="C19" s="77" t="str">
        <f ca="1">IFERROR(INDEX(Validation!G:G,MATCH("DFLoan5"&amp;CELL("address",C19),Validation!I:I,0)),"")</f>
        <v/>
      </c>
      <c r="D19" s="66" t="str">
        <f ca="1">IFERROR(INDEX(Validation!F:F,MATCH("DFLoan5"&amp;CELL("address",C19),Validation!I:I,0)),"")</f>
        <v/>
      </c>
    </row>
    <row r="20" spans="1:5" x14ac:dyDescent="0.25">
      <c r="A20" s="79" t="str">
        <f>"Principal Received in "&amp;Year_DestinationYearID</f>
        <v>Principal Received in 2024</v>
      </c>
      <c r="B20" s="122"/>
      <c r="C20" s="77" t="str">
        <f ca="1">IFERROR(INDEX(Validation!G:G,MATCH("DFLoan5"&amp;CELL("address",C20),Validation!I:I,0)),"")</f>
        <v/>
      </c>
      <c r="D20" s="66" t="str">
        <f ca="1">IFERROR(INDEX(Validation!F:F,MATCH("DFLoan5"&amp;CELL("address",C20),Validation!I:I,0)),"")</f>
        <v/>
      </c>
    </row>
    <row r="21" spans="1:5" x14ac:dyDescent="0.25">
      <c r="A21" s="79" t="s">
        <v>280</v>
      </c>
      <c r="B21" s="122" t="str">
        <f>IF(AND(NOT(ISBLANK('Lent Input'!G18)),OR('Lent Input'!G$5=Lists!$AG$4,'Lent Input'!G$5=Lists!$AG$5)),'Lent Input'!G18,"")</f>
        <v/>
      </c>
      <c r="C21" s="77" t="str">
        <f ca="1">IFERROR(INDEX(Validation!G:G,MATCH("DFLoan5"&amp;CELL("address",C21),Validation!I:I,0)),"")</f>
        <v/>
      </c>
      <c r="D21" s="66" t="str">
        <f ca="1">IFERROR(INDEX(Validation!F:F,MATCH("DFLoan5"&amp;CELL("address",C21),Validation!I:I,0)),"")</f>
        <v/>
      </c>
    </row>
    <row r="22" spans="1:5" x14ac:dyDescent="0.25">
      <c r="A22" s="79" t="str">
        <f>"Additions/Reductions in "&amp;Year_DestinationYearID</f>
        <v>Additions/Reductions in 2024</v>
      </c>
      <c r="B22" s="122"/>
      <c r="C22" s="77" t="str">
        <f ca="1">IFERROR(INDEX(Validation!G:G,MATCH("DFLoan5"&amp;CELL("address",C22),Validation!I:I,0)),"")</f>
        <v/>
      </c>
      <c r="D22" s="66" t="str">
        <f ca="1">IFERROR(INDEX(Validation!F:F,MATCH("DFLoan5"&amp;CELL("address",C22),Validation!I:I,0)),"")</f>
        <v/>
      </c>
    </row>
    <row r="23" spans="1:5" x14ac:dyDescent="0.25">
      <c r="A23" s="79" t="s">
        <v>221</v>
      </c>
      <c r="B23" s="125" t="str">
        <f>IFERROR(B18-B19-B20+B21+B22,"")</f>
        <v/>
      </c>
      <c r="C23" s="77" t="str">
        <f ca="1">IFERROR(INDEX(Validation!G:G,MATCH("DFLoan5"&amp;CELL("address",C23),Validation!I:I,0)),"")</f>
        <v/>
      </c>
      <c r="D23" s="66" t="str">
        <f ca="1">IFERROR(INDEX(Validation!F:F,MATCH("DFLoan5"&amp;CELL("address",C23),Validation!I:I,0)),"")</f>
        <v/>
      </c>
    </row>
    <row r="24" spans="1:5" x14ac:dyDescent="0.25">
      <c r="A24" s="79" t="str">
        <f>"Principal Due in "&amp;Year_DestinationYearID+1</f>
        <v>Principal Due in 2025</v>
      </c>
      <c r="B24" s="122"/>
      <c r="C24" s="77" t="str">
        <f ca="1">IFERROR(INDEX(Validation!G:G,MATCH("DFLoan5"&amp;CELL("address",C24),Validation!I:I,0)),"")</f>
        <v/>
      </c>
      <c r="D24" s="66" t="str">
        <f ca="1">IFERROR(INDEX(Validation!F:F,MATCH("DFLoan5"&amp;CELL("address",C24),Validation!I:I,0)),"")</f>
        <v/>
      </c>
    </row>
    <row r="25" spans="1:5" x14ac:dyDescent="0.25">
      <c r="A25" s="79" t="s">
        <v>281</v>
      </c>
      <c r="B25" s="122" t="str">
        <f>IF(AND(NOT(ISBLANK('Lent Input'!G22)),OR('Lent Input'!G$5=Lists!$AG$4,'Lent Input'!G$5=Lists!$AG$5)),'Lent Input'!G22,"")</f>
        <v/>
      </c>
      <c r="C25" s="77" t="str">
        <f ca="1">IFERROR(INDEX(Validation!G:G,MATCH("DFLoan5"&amp;CELL("address",C25),Validation!I:I,0)),"")</f>
        <v/>
      </c>
      <c r="D25" s="66" t="str">
        <f ca="1">IFERROR(INDEX(Validation!F:F,MATCH("DFLoan5"&amp;CELL("address",C25),Validation!I:I,0)),"")</f>
        <v/>
      </c>
    </row>
    <row r="26" spans="1:5" x14ac:dyDescent="0.25">
      <c r="A26" s="79" t="str">
        <f>"Interest Received in "&amp;Year_DestinationYearID</f>
        <v>Interest Received in 2024</v>
      </c>
      <c r="B26" s="122"/>
      <c r="C26" s="77" t="str">
        <f ca="1">IFERROR(INDEX(Validation!G:G,MATCH("DFLoan5"&amp;CELL("address",C26),Validation!I:I,0)),"")</f>
        <v/>
      </c>
      <c r="D26" s="66" t="str">
        <f ca="1">IFERROR(INDEX(Validation!F:F,MATCH("DFLoan5"&amp;CELL("address",C26),Validation!I:I,0)),"")</f>
        <v/>
      </c>
    </row>
    <row r="27" spans="1:5" x14ac:dyDescent="0.25">
      <c r="A27" s="79" t="str">
        <f>"Interest Due in "&amp;Year_DestinationYearID+1</f>
        <v>Interest Due in 2025</v>
      </c>
      <c r="B27" s="122"/>
      <c r="C27" s="77" t="str">
        <f ca="1">IFERROR(INDEX(Validation!G:G,MATCH("DFLoan5"&amp;CELL("address",C27),Validation!I:I,0)),"")</f>
        <v/>
      </c>
      <c r="D27" s="66" t="str">
        <f ca="1">IFERROR(INDEX(Validation!F:F,MATCH("DFLoan5"&amp;CELL("address",C27),Validation!I:I,0)),"")</f>
        <v/>
      </c>
      <c r="E27" s="126"/>
    </row>
    <row r="28" spans="1:5" ht="20.100000000000001" customHeight="1" x14ac:dyDescent="0.25">
      <c r="A28" s="97" t="s">
        <v>176</v>
      </c>
      <c r="C28" s="77" t="str">
        <f ca="1">IF(AND(ISBLANK(A29),OR(COUNTIF(D6:D27,"Alert")&gt;0,SUM(B21:B22)&lt;&gt;0)),"Comment(s) required for remaining alert(s) and/or additions to principal.",IFERROR(INDEX(Validation!G:G,MATCH("DFLoan5"&amp;CELL("address",C28),Validation!I:I,0)),""))</f>
        <v/>
      </c>
      <c r="D28" s="66" t="str">
        <f ca="1">IF(AND(ISBLANK(A29),OR(COUNTIF(D6:D27,"Alert")&gt;0,SUM(B21:B22)&lt;&gt;0)),"Error",IFERROR(INDEX(Validation!F:F,MATCH("DFLoan5"&amp;CELL("address",C28),Validation!I:I,0)),""))</f>
        <v/>
      </c>
    </row>
    <row r="29" spans="1:5" ht="150" customHeight="1" x14ac:dyDescent="0.25">
      <c r="A29" s="123"/>
      <c r="B29" s="100" t="str">
        <f>HYPERLINK("#'Lent Funds'!B6","Click here to return to the Lent Funds Tab")</f>
        <v>Click here to return to the Lent Funds Tab</v>
      </c>
    </row>
    <row r="30" spans="1:5" x14ac:dyDescent="0.25">
      <c r="A30" s="98"/>
      <c r="B30" s="98"/>
    </row>
    <row r="31" spans="1:5" x14ac:dyDescent="0.25">
      <c r="A31" s="98"/>
      <c r="B31" s="98"/>
    </row>
    <row r="32" spans="1:5" x14ac:dyDescent="0.25">
      <c r="A32" s="98"/>
      <c r="B32" s="98"/>
    </row>
    <row r="33" spans="1:2" x14ac:dyDescent="0.25">
      <c r="A33" s="98"/>
      <c r="B33" s="98"/>
    </row>
  </sheetData>
  <sheetProtection algorithmName="SHA-512" hashValue="All9DLc3poulGcnCvi0xSUKHqlgD+NTdfZoCL1ftOFtC9eTGm/6YsHU8CnYFEGK4s3qs+Bik/opgY5K6uDSKGw==" saltValue="SCu82/QXZJxJE65UQpkJZA==" spinCount="100000" sheet="1" objects="1" scenarios="1"/>
  <mergeCells count="1">
    <mergeCell ref="A4:D4"/>
  </mergeCells>
  <conditionalFormatting sqref="A2">
    <cfRule type="expression" dxfId="98" priority="11">
      <formula>$D2="Error"</formula>
    </cfRule>
    <cfRule type="expression" dxfId="96" priority="13">
      <formula>$D2="Exclude"</formula>
    </cfRule>
  </conditionalFormatting>
  <conditionalFormatting sqref="C6:D28">
    <cfRule type="expression" dxfId="93" priority="1">
      <formula>$D6="Information"</formula>
    </cfRule>
    <cfRule type="expression" dxfId="92" priority="2">
      <formula>$D6="Error"</formula>
    </cfRule>
    <cfRule type="expression" dxfId="91" priority="3">
      <formula>$D6="Alert"</formula>
    </cfRule>
    <cfRule type="expression" dxfId="90" priority="4">
      <formula>$D6="Exclude"</formula>
    </cfRule>
  </conditionalFormatting>
  <dataValidations count="2">
    <dataValidation type="list" allowBlank="1" showInputMessage="1" showErrorMessage="1" sqref="B8" xr:uid="{2BED7337-CFC1-4172-87D4-1E834D226C63}">
      <formula1>DistrictDropDown</formula1>
    </dataValidation>
    <dataValidation type="list" allowBlank="1" showInputMessage="1" showErrorMessage="1" sqref="B7" xr:uid="{9DB4D31F-DA54-4015-895B-D4C3167CB7E0}">
      <formula1>DueFromType</formula1>
    </dataValidation>
  </dataValidations>
  <pageMargins left="0.7" right="0.7" top="0.75" bottom="0.75" header="0.3" footer="0.3"/>
  <pageSetup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12" id="{C0105383-578B-4671-AB9F-42164CDEE01A}">
            <xm:f>COUNTIFS(Validation!$H:$H,MID(CELL("filename",A2),FIND("]",CELL("filename",A2))+1,255)&amp;CELL("address",A2))&gt;0</xm:f>
            <x14:dxf>
              <font>
                <b/>
                <i val="0"/>
                <color rgb="FFC00000"/>
              </font>
              <numFmt numFmtId="172" formatCode="_(\!* #,##0_);_(\!* \(#,##0\);_(\!* \-??_);_(\!\ @_)"/>
            </x14:dxf>
          </x14:cfRule>
          <xm:sqref>A2</xm:sqref>
        </x14:conditionalFormatting>
        <x14:conditionalFormatting xmlns:xm="http://schemas.microsoft.com/office/excel/2006/main">
          <x14:cfRule type="expression" priority="10" id="{1D43CE94-261F-4042-A656-E332B7AEEB17}">
            <xm:f>$B$7=Lists!$AH$5</xm:f>
            <x14:dxf>
              <fill>
                <patternFill>
                  <bgColor rgb="FFEAEAEA"/>
                </patternFill>
              </fill>
            </x14:dxf>
          </x14:cfRule>
          <xm:sqref>B8</xm:sqref>
        </x14:conditionalFormatting>
        <x14:conditionalFormatting xmlns:xm="http://schemas.microsoft.com/office/excel/2006/main">
          <x14:cfRule type="expression" priority="9" id="{4F18C605-EF47-4A36-BE67-72A65CD5D357}">
            <xm:f>$B$7=Lists!$AH$4</xm:f>
            <x14:dxf>
              <fill>
                <patternFill>
                  <bgColor rgb="FFEAEAEA"/>
                </patternFill>
              </fill>
            </x14:dxf>
          </x14:cfRule>
          <xm:sqref>B9</xm:sqref>
        </x14:conditionalFormatting>
      </x14:conditionalFormattings>
    </ext>
  </extLs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A0D10-433F-49AB-8768-2FA08CC81A2A}">
  <sheetPr>
    <tabColor rgb="FFEED382"/>
  </sheetPr>
  <dimension ref="A1:E33"/>
  <sheetViews>
    <sheetView showGridLines="0" workbookViewId="0">
      <selection activeCell="B7" sqref="B7"/>
    </sheetView>
  </sheetViews>
  <sheetFormatPr defaultRowHeight="15" x14ac:dyDescent="0.25"/>
  <cols>
    <col min="1" max="1" width="55.7109375" style="66" customWidth="1"/>
    <col min="2" max="2" width="22.7109375" style="66" customWidth="1"/>
    <col min="3" max="3" width="80.85546875" style="66" customWidth="1"/>
    <col min="4" max="4" width="14.7109375" style="66" customWidth="1"/>
    <col min="5" max="5" width="10.7109375" style="78" hidden="1" customWidth="1"/>
    <col min="6" max="16384" width="9.140625" style="66"/>
  </cols>
  <sheetData>
    <row r="1" spans="1:5" s="59" customFormat="1" ht="24.95" customHeight="1" x14ac:dyDescent="0.25">
      <c r="A1" s="59" t="str">
        <f>_xlfn.CONCAT("Office of the State Auditor  -  TIF Annual Reporting Form  -  ",Year_DestinationYearID)</f>
        <v>Office of the State Auditor  -  TIF Annual Reporting Form  -  2024</v>
      </c>
      <c r="E1" s="61"/>
    </row>
    <row r="2" spans="1:5" s="62" customFormat="1" ht="20.100000000000001" customHeight="1" x14ac:dyDescent="0.25">
      <c r="A2" s="58" t="str">
        <f>_xlfn.CONCAT(GovEntity_GovEntityName_Parent,"  -  ",GovEntity_GovEntityName)</f>
        <v>Spruce City  -  TIF 1-1 Downtown Redev</v>
      </c>
      <c r="E2" s="64"/>
    </row>
    <row r="3" spans="1:5" s="68" customFormat="1" ht="24.95" customHeight="1" x14ac:dyDescent="0.3">
      <c r="A3" s="65" t="s">
        <v>848</v>
      </c>
      <c r="B3" s="66"/>
      <c r="E3" s="69"/>
    </row>
    <row r="4" spans="1:5" s="71" customFormat="1" x14ac:dyDescent="0.25">
      <c r="A4" s="217" t="s">
        <v>207</v>
      </c>
      <c r="B4" s="217"/>
      <c r="C4" s="217"/>
      <c r="D4" s="217"/>
      <c r="E4" s="72" t="s">
        <v>119</v>
      </c>
    </row>
    <row r="5" spans="1:5" s="74" customFormat="1" ht="20.100000000000001" customHeight="1" x14ac:dyDescent="0.25">
      <c r="A5" s="73" t="str">
        <f>HYPERLINK("#'Lent Funds'!B6","Click here to return to the Lent Funds Tab")</f>
        <v>Click here to return to the Lent Funds Tab</v>
      </c>
      <c r="B5" s="74" t="s">
        <v>120</v>
      </c>
      <c r="C5" s="74" t="s">
        <v>121</v>
      </c>
      <c r="D5" s="74" t="s">
        <v>102</v>
      </c>
      <c r="E5" s="76"/>
    </row>
    <row r="6" spans="1:5" ht="20.100000000000001" customHeight="1" x14ac:dyDescent="0.25">
      <c r="A6" s="74" t="s">
        <v>847</v>
      </c>
      <c r="C6" s="77" t="str">
        <f ca="1">IFERROR(INDEX(Validation!G:G,MATCH("DFLoan6"&amp;CELL("address",C6),Validation!I:I,0)),"")</f>
        <v/>
      </c>
      <c r="D6" s="66" t="str">
        <f ca="1">IFERROR(INDEX(Validation!F:F,MATCH("DFLoan6"&amp;CELL("address",C6),Validation!I:I,0)),"")</f>
        <v/>
      </c>
      <c r="E6" s="78" t="s">
        <v>875</v>
      </c>
    </row>
    <row r="7" spans="1:5" x14ac:dyDescent="0.25">
      <c r="A7" s="79" t="s">
        <v>761</v>
      </c>
      <c r="B7" s="103" t="str">
        <f>IF(AND(NOT(ISBLANK('Lent Input'!H5)),OR('Lent Input'!H$5=Lists!$AG$4,'Lent Input'!H$5=Lists!$AG$5)),_xlfn.XLOOKUP('Lent Input'!H5,Lists!AG2:AG5,Lists!AH2:AH5),Lists!$AH$1)</f>
        <v>Select One</v>
      </c>
      <c r="C7" s="77" t="str">
        <f ca="1">IFERROR(INDEX(Validation!G:G,MATCH("DFLoan6"&amp;CELL("address",C7),Validation!I:I,0)),"")</f>
        <v/>
      </c>
      <c r="D7" s="66" t="str">
        <f ca="1">IFERROR(INDEX(Validation!F:F,MATCH("DFLoan6"&amp;CELL("address",C7),Validation!I:I,0)),"")</f>
        <v/>
      </c>
      <c r="E7" s="85" t="str">
        <f>IF(NOT(ISBLANK('Lent Input'!H4)),'Lent Input'!H4,"")</f>
        <v/>
      </c>
    </row>
    <row r="8" spans="1:5" x14ac:dyDescent="0.25">
      <c r="A8" s="79" t="s">
        <v>769</v>
      </c>
      <c r="B8" s="103" t="str">
        <f>IF(AND(NOT(ISBLANK('Lent Input'!H6)),'Lent Input'!H$5=Lists!$AG$4),'Lent Input'!H6,Lists!$AJ$1)</f>
        <v>Select One</v>
      </c>
      <c r="C8" s="77" t="str">
        <f ca="1">IFERROR(INDEX(Validation!G:G,MATCH("DFLoan6"&amp;CELL("address",C8),Validation!I:I,0)),"")</f>
        <v/>
      </c>
      <c r="D8" s="66" t="str">
        <f ca="1">IFERROR(INDEX(Validation!F:F,MATCH("DFLoan6"&amp;CELL("address",C8),Validation!I:I,0)),"")</f>
        <v/>
      </c>
    </row>
    <row r="9" spans="1:5" x14ac:dyDescent="0.25">
      <c r="A9" s="79" t="s">
        <v>770</v>
      </c>
      <c r="B9" s="103" t="str">
        <f>IF(AND(NOT(ISBLANK('Lent Input'!H7)),'Lent Input'!H$5=Lists!$AG$5),'Lent Input'!H7,"")</f>
        <v/>
      </c>
      <c r="C9" s="77" t="str">
        <f ca="1">IFERROR(INDEX(Validation!G:G,MATCH("DFLoan6"&amp;CELL("address",C9),Validation!I:I,0)),"")</f>
        <v/>
      </c>
      <c r="D9" s="66" t="str">
        <f ca="1">IFERROR(INDEX(Validation!F:F,MATCH("DFLoan6"&amp;CELL("address",C9),Validation!I:I,0)),"")</f>
        <v/>
      </c>
    </row>
    <row r="10" spans="1:5" x14ac:dyDescent="0.25">
      <c r="A10" s="79" t="s">
        <v>240</v>
      </c>
      <c r="B10" s="120" t="str">
        <f>IF(AND(NOT(ISBLANK('Lent Input'!H8)),OR('Lent Input'!H$5=Lists!$AG$4,'Lent Input'!H$5=Lists!$AG$5)),'Lent Input'!H8,"")</f>
        <v/>
      </c>
      <c r="C10" s="77" t="str">
        <f ca="1">IFERROR(INDEX(Validation!G:G,MATCH("DFLoan6"&amp;CELL("address",C10),Validation!I:I,0)),"")</f>
        <v/>
      </c>
      <c r="D10" s="66" t="str">
        <f ca="1">IFERROR(INDEX(Validation!F:F,MATCH("DFLoan6"&amp;CELL("address",C10),Validation!I:I,0)),"")</f>
        <v/>
      </c>
    </row>
    <row r="11" spans="1:5" x14ac:dyDescent="0.25">
      <c r="A11" s="79" t="s">
        <v>212</v>
      </c>
      <c r="B11" s="120" t="str">
        <f>IF(AND(NOT(ISBLANK('Lent Input'!H9)),OR('Lent Input'!H$5=Lists!$AG$4,'Lent Input'!H$5=Lists!$AG$5)),'Lent Input'!H9,"")</f>
        <v/>
      </c>
      <c r="C11" s="77" t="str">
        <f ca="1">IFERROR(INDEX(Validation!G:G,MATCH("DFLoan6"&amp;CELL("address",C11),Validation!I:I,0)),"")</f>
        <v/>
      </c>
      <c r="D11" s="66" t="str">
        <f ca="1">IFERROR(INDEX(Validation!F:F,MATCH("DFLoan6"&amp;CELL("address",C11),Validation!I:I,0)),"")</f>
        <v/>
      </c>
    </row>
    <row r="12" spans="1:5" x14ac:dyDescent="0.25">
      <c r="A12" s="79" t="s">
        <v>213</v>
      </c>
      <c r="B12" s="121" t="str">
        <f>IF(AND(NOT(ISBLANK('Lent Input'!H10)),OR('Lent Input'!H$5=Lists!$AG$4,'Lent Input'!H$5=Lists!$AG$5)),'Lent Input'!H10,"")</f>
        <v/>
      </c>
      <c r="C12" s="77" t="str">
        <f ca="1">IFERROR(INDEX(Validation!G:G,MATCH("DFLoan6"&amp;CELL("address",C12),Validation!I:I,0)),"")</f>
        <v/>
      </c>
      <c r="D12" s="66" t="str">
        <f ca="1">IFERROR(INDEX(Validation!F:F,MATCH("DFLoan6"&amp;CELL("address",C12),Validation!I:I,0)),"")</f>
        <v/>
      </c>
    </row>
    <row r="13" spans="1:5" x14ac:dyDescent="0.25">
      <c r="A13" s="79" t="s">
        <v>214</v>
      </c>
      <c r="B13" s="121" t="str">
        <f>IF(AND(NOT(ISBLANK('Lent Input'!H11)),OR('Lent Input'!H$5=Lists!$AG$4,'Lent Input'!H$5=Lists!$AG$5)),'Lent Input'!H11,"")</f>
        <v/>
      </c>
      <c r="C13" s="77" t="str">
        <f ca="1">IFERROR(INDEX(Validation!G:G,MATCH("DFLoan6"&amp;CELL("address",C13),Validation!I:I,0)),"")</f>
        <v/>
      </c>
      <c r="D13" s="66" t="str">
        <f ca="1">IFERROR(INDEX(Validation!F:F,MATCH("DFLoan6"&amp;CELL("address",C13),Validation!I:I,0)),"")</f>
        <v/>
      </c>
    </row>
    <row r="14" spans="1:5" x14ac:dyDescent="0.25">
      <c r="A14" s="79" t="s">
        <v>242</v>
      </c>
      <c r="B14" s="122" t="str">
        <f>IF(AND(NOT(ISBLANK('Lent Input'!H12)),OR('Lent Input'!H$5=Lists!$AG$4,'Lent Input'!H$5=Lists!$AG$5)),'Lent Input'!H12,"")</f>
        <v/>
      </c>
      <c r="C14" s="77" t="str">
        <f ca="1">IFERROR(INDEX(Validation!G:G,MATCH("DFLoan6"&amp;CELL("address",C14),Validation!I:I,0)),"")</f>
        <v/>
      </c>
      <c r="D14" s="66" t="str">
        <f ca="1">IFERROR(INDEX(Validation!F:F,MATCH("DFLoan6"&amp;CELL("address",C14),Validation!I:I,0)),"")</f>
        <v/>
      </c>
    </row>
    <row r="15" spans="1:5" ht="20.100000000000001" customHeight="1" x14ac:dyDescent="0.25">
      <c r="A15" s="74" t="s">
        <v>849</v>
      </c>
      <c r="C15" s="77" t="str">
        <f ca="1">IFERROR(INDEX(Validation!G:G,MATCH("DFLoan6"&amp;CELL("address",C15),Validation!I:I,0)),"")</f>
        <v/>
      </c>
      <c r="D15" s="66" t="str">
        <f ca="1">IFERROR(INDEX(Validation!F:F,MATCH("DFLoan6"&amp;CELL("address",C15),Validation!I:I,0)),"")</f>
        <v/>
      </c>
    </row>
    <row r="16" spans="1:5" x14ac:dyDescent="0.25">
      <c r="A16" s="79" t="s">
        <v>243</v>
      </c>
      <c r="B16" s="122" t="str">
        <f>IF(AND(NOT(ISBLANK('Lent Input'!H13)),OR('Lent Input'!H$5=Lists!$AG$4,'Lent Input'!H$5=Lists!$AG$5)),'Lent Input'!H13,"")</f>
        <v/>
      </c>
      <c r="C16" s="77" t="str">
        <f ca="1">IFERROR(INDEX(Validation!G:G,MATCH("DFLoan6"&amp;CELL("address",C16),Validation!I:I,0)),"")</f>
        <v/>
      </c>
      <c r="D16" s="66" t="str">
        <f ca="1">IFERROR(INDEX(Validation!F:F,MATCH("DFLoan6"&amp;CELL("address",C16),Validation!I:I,0)),"")</f>
        <v/>
      </c>
    </row>
    <row r="17" spans="1:5" x14ac:dyDescent="0.25">
      <c r="A17" s="79" t="str">
        <f>"Amount Drawn in "&amp;Year_DestinationYearID</f>
        <v>Amount Drawn in 2024</v>
      </c>
      <c r="B17" s="103"/>
      <c r="C17" s="77" t="str">
        <f ca="1">IFERROR(INDEX(Validation!G:G,MATCH("DFLoan6"&amp;CELL("address",C17),Validation!I:I,0)),"")</f>
        <v/>
      </c>
      <c r="D17" s="66" t="str">
        <f ca="1">IFERROR(INDEX(Validation!F:F,MATCH("DFLoan6"&amp;CELL("address",C17),Validation!I:I,0)),"")</f>
        <v/>
      </c>
    </row>
    <row r="18" spans="1:5" x14ac:dyDescent="0.25">
      <c r="A18" s="79" t="s">
        <v>245</v>
      </c>
      <c r="B18" s="125" t="str">
        <f>IFERROR(B16+B17,"")</f>
        <v/>
      </c>
      <c r="C18" s="77" t="str">
        <f ca="1">IFERROR(INDEX(Validation!G:G,MATCH("DFLoan6"&amp;CELL("address",C18),Validation!I:I,0)),"")</f>
        <v/>
      </c>
      <c r="D18" s="66" t="str">
        <f ca="1">IFERROR(INDEX(Validation!F:F,MATCH("DFLoan6"&amp;CELL("address",C18),Validation!I:I,0)),"")</f>
        <v/>
      </c>
    </row>
    <row r="19" spans="1:5" x14ac:dyDescent="0.25">
      <c r="A19" s="79" t="s">
        <v>279</v>
      </c>
      <c r="B19" s="122" t="str">
        <f>IF(AND(NOT(ISBLANK('Lent Input'!H16)),OR('Lent Input'!H$5=Lists!$AG$4,'Lent Input'!H$5=Lists!$AG$5)),'Lent Input'!H16,"")</f>
        <v/>
      </c>
      <c r="C19" s="77" t="str">
        <f ca="1">IFERROR(INDEX(Validation!G:G,MATCH("DFLoan6"&amp;CELL("address",C19),Validation!I:I,0)),"")</f>
        <v/>
      </c>
      <c r="D19" s="66" t="str">
        <f ca="1">IFERROR(INDEX(Validation!F:F,MATCH("DFLoan6"&amp;CELL("address",C19),Validation!I:I,0)),"")</f>
        <v/>
      </c>
    </row>
    <row r="20" spans="1:5" x14ac:dyDescent="0.25">
      <c r="A20" s="79" t="str">
        <f>"Principal Received in "&amp;Year_DestinationYearID</f>
        <v>Principal Received in 2024</v>
      </c>
      <c r="B20" s="122"/>
      <c r="C20" s="77" t="str">
        <f ca="1">IFERROR(INDEX(Validation!G:G,MATCH("DFLoan6"&amp;CELL("address",C20),Validation!I:I,0)),"")</f>
        <v/>
      </c>
      <c r="D20" s="66" t="str">
        <f ca="1">IFERROR(INDEX(Validation!F:F,MATCH("DFLoan6"&amp;CELL("address",C20),Validation!I:I,0)),"")</f>
        <v/>
      </c>
    </row>
    <row r="21" spans="1:5" x14ac:dyDescent="0.25">
      <c r="A21" s="79" t="s">
        <v>280</v>
      </c>
      <c r="B21" s="122" t="str">
        <f>IF(AND(NOT(ISBLANK('Lent Input'!H18)),OR('Lent Input'!H$5=Lists!$AG$4,'Lent Input'!H$5=Lists!$AG$5)),'Lent Input'!H18,"")</f>
        <v/>
      </c>
      <c r="C21" s="77" t="str">
        <f ca="1">IFERROR(INDEX(Validation!G:G,MATCH("DFLoan6"&amp;CELL("address",C21),Validation!I:I,0)),"")</f>
        <v/>
      </c>
      <c r="D21" s="66" t="str">
        <f ca="1">IFERROR(INDEX(Validation!F:F,MATCH("DFLoan6"&amp;CELL("address",C21),Validation!I:I,0)),"")</f>
        <v/>
      </c>
    </row>
    <row r="22" spans="1:5" x14ac:dyDescent="0.25">
      <c r="A22" s="79" t="str">
        <f>"Additions/Reductions in "&amp;Year_DestinationYearID</f>
        <v>Additions/Reductions in 2024</v>
      </c>
      <c r="B22" s="122"/>
      <c r="C22" s="77" t="str">
        <f ca="1">IFERROR(INDEX(Validation!G:G,MATCH("DFLoan6"&amp;CELL("address",C22),Validation!I:I,0)),"")</f>
        <v/>
      </c>
      <c r="D22" s="66" t="str">
        <f ca="1">IFERROR(INDEX(Validation!F:F,MATCH("DFLoan6"&amp;CELL("address",C22),Validation!I:I,0)),"")</f>
        <v/>
      </c>
    </row>
    <row r="23" spans="1:5" x14ac:dyDescent="0.25">
      <c r="A23" s="79" t="s">
        <v>221</v>
      </c>
      <c r="B23" s="125" t="str">
        <f>IFERROR(B18-B19-B20+B21+B22,"")</f>
        <v/>
      </c>
      <c r="C23" s="77" t="str">
        <f ca="1">IFERROR(INDEX(Validation!G:G,MATCH("DFLoan6"&amp;CELL("address",C23),Validation!I:I,0)),"")</f>
        <v/>
      </c>
      <c r="D23" s="66" t="str">
        <f ca="1">IFERROR(INDEX(Validation!F:F,MATCH("DFLoan6"&amp;CELL("address",C23),Validation!I:I,0)),"")</f>
        <v/>
      </c>
    </row>
    <row r="24" spans="1:5" x14ac:dyDescent="0.25">
      <c r="A24" s="79" t="str">
        <f>"Principal Due in "&amp;Year_DestinationYearID+1</f>
        <v>Principal Due in 2025</v>
      </c>
      <c r="B24" s="122"/>
      <c r="C24" s="77" t="str">
        <f ca="1">IFERROR(INDEX(Validation!G:G,MATCH("DFLoan6"&amp;CELL("address",C24),Validation!I:I,0)),"")</f>
        <v/>
      </c>
      <c r="D24" s="66" t="str">
        <f ca="1">IFERROR(INDEX(Validation!F:F,MATCH("DFLoan6"&amp;CELL("address",C24),Validation!I:I,0)),"")</f>
        <v/>
      </c>
    </row>
    <row r="25" spans="1:5" x14ac:dyDescent="0.25">
      <c r="A25" s="79" t="s">
        <v>281</v>
      </c>
      <c r="B25" s="122" t="str">
        <f>IF(AND(NOT(ISBLANK('Lent Input'!H22)),OR('Lent Input'!H$5=Lists!$AG$4,'Lent Input'!H$5=Lists!$AG$5)),'Lent Input'!H22,"")</f>
        <v/>
      </c>
      <c r="C25" s="77" t="str">
        <f ca="1">IFERROR(INDEX(Validation!G:G,MATCH("DFLoan6"&amp;CELL("address",C25),Validation!I:I,0)),"")</f>
        <v/>
      </c>
      <c r="D25" s="66" t="str">
        <f ca="1">IFERROR(INDEX(Validation!F:F,MATCH("DFLoan6"&amp;CELL("address",C25),Validation!I:I,0)),"")</f>
        <v/>
      </c>
    </row>
    <row r="26" spans="1:5" x14ac:dyDescent="0.25">
      <c r="A26" s="79" t="str">
        <f>"Interest Received in "&amp;Year_DestinationYearID</f>
        <v>Interest Received in 2024</v>
      </c>
      <c r="B26" s="122"/>
      <c r="C26" s="77" t="str">
        <f ca="1">IFERROR(INDEX(Validation!G:G,MATCH("DFLoan6"&amp;CELL("address",C26),Validation!I:I,0)),"")</f>
        <v/>
      </c>
      <c r="D26" s="66" t="str">
        <f ca="1">IFERROR(INDEX(Validation!F:F,MATCH("DFLoan6"&amp;CELL("address",C26),Validation!I:I,0)),"")</f>
        <v/>
      </c>
    </row>
    <row r="27" spans="1:5" x14ac:dyDescent="0.25">
      <c r="A27" s="79" t="str">
        <f>"Interest Due in "&amp;Year_DestinationYearID+1</f>
        <v>Interest Due in 2025</v>
      </c>
      <c r="B27" s="122"/>
      <c r="C27" s="77" t="str">
        <f ca="1">IFERROR(INDEX(Validation!G:G,MATCH("DFLoan6"&amp;CELL("address",C27),Validation!I:I,0)),"")</f>
        <v/>
      </c>
      <c r="D27" s="66" t="str">
        <f ca="1">IFERROR(INDEX(Validation!F:F,MATCH("DFLoan6"&amp;CELL("address",C27),Validation!I:I,0)),"")</f>
        <v/>
      </c>
      <c r="E27" s="126"/>
    </row>
    <row r="28" spans="1:5" ht="20.100000000000001" customHeight="1" x14ac:dyDescent="0.25">
      <c r="A28" s="97" t="s">
        <v>176</v>
      </c>
      <c r="C28" s="77" t="str">
        <f ca="1">IF(AND(ISBLANK(A29),OR(COUNTIF(D6:D27,"Alert")&gt;0,SUM(B21:B22)&lt;&gt;0)),"Comment(s) required for remaining alert(s) and/or additions to principal.",IFERROR(INDEX(Validation!G:G,MATCH("DFLoan6"&amp;CELL("address",C28),Validation!I:I,0)),""))</f>
        <v/>
      </c>
      <c r="D28" s="66" t="str">
        <f ca="1">IF(AND(ISBLANK(A29),OR(COUNTIF(D6:D27,"Alert")&gt;0,SUM(B21:B22)&lt;&gt;0)),"Error",IFERROR(INDEX(Validation!F:F,MATCH("DFLoan6"&amp;CELL("address",C28),Validation!I:I,0)),""))</f>
        <v/>
      </c>
    </row>
    <row r="29" spans="1:5" ht="150" customHeight="1" x14ac:dyDescent="0.25">
      <c r="A29" s="123"/>
      <c r="B29" s="100" t="str">
        <f>HYPERLINK("#'Lent Funds'!B6","Click here to return to the Lent Funds Tab")</f>
        <v>Click here to return to the Lent Funds Tab</v>
      </c>
    </row>
    <row r="30" spans="1:5" x14ac:dyDescent="0.25">
      <c r="A30" s="98"/>
      <c r="B30" s="98"/>
    </row>
    <row r="31" spans="1:5" x14ac:dyDescent="0.25">
      <c r="A31" s="98"/>
      <c r="B31" s="98"/>
    </row>
    <row r="32" spans="1:5" x14ac:dyDescent="0.25">
      <c r="A32" s="98"/>
      <c r="B32" s="98"/>
    </row>
    <row r="33" spans="1:2" x14ac:dyDescent="0.25">
      <c r="A33" s="98"/>
      <c r="B33" s="98"/>
    </row>
  </sheetData>
  <sheetProtection algorithmName="SHA-512" hashValue="YlDZy62bSeSFBIZEIiOOSw+amLLRitBHCEVl5KIyiidnvKzHQ2rJLXqVjOyiqoU1c9Pi6z6LSe8Lsi+9VJolLg==" saltValue="Oz9xE9PENrLxXXgzz782Fw==" spinCount="100000" sheet="1" objects="1" scenarios="1"/>
  <mergeCells count="1">
    <mergeCell ref="A4:D4"/>
  </mergeCells>
  <conditionalFormatting sqref="A2">
    <cfRule type="expression" dxfId="89" priority="11">
      <formula>$D2="Error"</formula>
    </cfRule>
    <cfRule type="expression" dxfId="87" priority="13">
      <formula>$D2="Exclude"</formula>
    </cfRule>
  </conditionalFormatting>
  <conditionalFormatting sqref="C6:D28">
    <cfRule type="expression" dxfId="84" priority="1">
      <formula>$D6="Information"</formula>
    </cfRule>
    <cfRule type="expression" dxfId="83" priority="2">
      <formula>$D6="Error"</formula>
    </cfRule>
    <cfRule type="expression" dxfId="82" priority="3">
      <formula>$D6="Alert"</formula>
    </cfRule>
    <cfRule type="expression" dxfId="81" priority="4">
      <formula>$D6="Exclude"</formula>
    </cfRule>
  </conditionalFormatting>
  <dataValidations count="2">
    <dataValidation type="list" allowBlank="1" showInputMessage="1" showErrorMessage="1" sqref="B7" xr:uid="{3D9541B6-3284-4832-BBA5-ACB08AB9D264}">
      <formula1>DueFromType</formula1>
    </dataValidation>
    <dataValidation type="list" allowBlank="1" showInputMessage="1" showErrorMessage="1" sqref="B8" xr:uid="{93ECD285-2FAF-4909-BE38-09CCE821BA1D}">
      <formula1>DistrictDropDown</formula1>
    </dataValidation>
  </dataValidations>
  <pageMargins left="0.7" right="0.7" top="0.75" bottom="0.75" header="0.3" footer="0.3"/>
  <pageSetup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12" id="{BA5D9B0F-D553-4B6D-AD4D-0EE3471D345E}">
            <xm:f>COUNTIFS(Validation!$H:$H,MID(CELL("filename",A2),FIND("]",CELL("filename",A2))+1,255)&amp;CELL("address",A2))&gt;0</xm:f>
            <x14:dxf>
              <font>
                <b/>
                <i val="0"/>
                <color rgb="FFC00000"/>
              </font>
              <numFmt numFmtId="172" formatCode="_(\!* #,##0_);_(\!* \(#,##0\);_(\!* \-??_);_(\!\ @_)"/>
            </x14:dxf>
          </x14:cfRule>
          <xm:sqref>A2</xm:sqref>
        </x14:conditionalFormatting>
        <x14:conditionalFormatting xmlns:xm="http://schemas.microsoft.com/office/excel/2006/main">
          <x14:cfRule type="expression" priority="10" id="{C58A241C-C512-497D-87D9-90B82637D60D}">
            <xm:f>$B$7=Lists!$AH$5</xm:f>
            <x14:dxf>
              <fill>
                <patternFill>
                  <bgColor rgb="FFEAEAEA"/>
                </patternFill>
              </fill>
            </x14:dxf>
          </x14:cfRule>
          <xm:sqref>B8</xm:sqref>
        </x14:conditionalFormatting>
        <x14:conditionalFormatting xmlns:xm="http://schemas.microsoft.com/office/excel/2006/main">
          <x14:cfRule type="expression" priority="9" id="{79D9EEFE-C00C-4096-A444-8876AD24B8EB}">
            <xm:f>$B$7=Lists!$AH$4</xm:f>
            <x14:dxf>
              <fill>
                <patternFill>
                  <bgColor rgb="FFEAEAEA"/>
                </patternFill>
              </fill>
            </x14:dxf>
          </x14:cfRule>
          <xm:sqref>B9</xm:sqref>
        </x14:conditionalFormatting>
      </x14:conditionalFormattings>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6E6EA9-AAC0-4D16-8D3F-B87B6D0C8FEF}">
  <sheetPr>
    <tabColor rgb="FFEED382"/>
  </sheetPr>
  <dimension ref="A1:E33"/>
  <sheetViews>
    <sheetView showGridLines="0" workbookViewId="0">
      <selection activeCell="B7" sqref="B7"/>
    </sheetView>
  </sheetViews>
  <sheetFormatPr defaultRowHeight="15" x14ac:dyDescent="0.25"/>
  <cols>
    <col min="1" max="1" width="55.7109375" style="66" customWidth="1"/>
    <col min="2" max="2" width="22.7109375" style="66" customWidth="1"/>
    <col min="3" max="3" width="80.85546875" style="66" customWidth="1"/>
    <col min="4" max="4" width="14.7109375" style="66" customWidth="1"/>
    <col min="5" max="5" width="10.7109375" style="78" hidden="1" customWidth="1"/>
    <col min="6" max="16384" width="9.140625" style="66"/>
  </cols>
  <sheetData>
    <row r="1" spans="1:5" s="59" customFormat="1" ht="24.95" customHeight="1" x14ac:dyDescent="0.25">
      <c r="A1" s="59" t="str">
        <f>_xlfn.CONCAT("Office of the State Auditor  -  TIF Annual Reporting Form  -  ",Year_DestinationYearID)</f>
        <v>Office of the State Auditor  -  TIF Annual Reporting Form  -  2024</v>
      </c>
      <c r="E1" s="61"/>
    </row>
    <row r="2" spans="1:5" s="62" customFormat="1" ht="20.100000000000001" customHeight="1" x14ac:dyDescent="0.25">
      <c r="A2" s="58" t="str">
        <f>_xlfn.CONCAT(GovEntity_GovEntityName_Parent,"  -  ",GovEntity_GovEntityName)</f>
        <v>Spruce City  -  TIF 1-1 Downtown Redev</v>
      </c>
      <c r="E2" s="64"/>
    </row>
    <row r="3" spans="1:5" s="68" customFormat="1" ht="24.95" customHeight="1" x14ac:dyDescent="0.3">
      <c r="A3" s="65" t="s">
        <v>848</v>
      </c>
      <c r="B3" s="66"/>
      <c r="E3" s="69"/>
    </row>
    <row r="4" spans="1:5" s="71" customFormat="1" x14ac:dyDescent="0.25">
      <c r="A4" s="217" t="s">
        <v>207</v>
      </c>
      <c r="B4" s="217"/>
      <c r="C4" s="217"/>
      <c r="D4" s="217"/>
      <c r="E4" s="72" t="s">
        <v>119</v>
      </c>
    </row>
    <row r="5" spans="1:5" s="74" customFormat="1" ht="20.100000000000001" customHeight="1" x14ac:dyDescent="0.25">
      <c r="A5" s="73" t="str">
        <f>HYPERLINK("#'Lent Funds'!B6","Click here to return to the Lent Funds Tab")</f>
        <v>Click here to return to the Lent Funds Tab</v>
      </c>
      <c r="B5" s="74" t="s">
        <v>120</v>
      </c>
      <c r="C5" s="74" t="s">
        <v>121</v>
      </c>
      <c r="D5" s="74" t="s">
        <v>102</v>
      </c>
      <c r="E5" s="76"/>
    </row>
    <row r="6" spans="1:5" ht="20.100000000000001" customHeight="1" x14ac:dyDescent="0.25">
      <c r="A6" s="74" t="s">
        <v>847</v>
      </c>
      <c r="C6" s="77" t="str">
        <f ca="1">IFERROR(INDEX(Validation!G:G,MATCH("DFLoan7"&amp;CELL("address",C6),Validation!I:I,0)),"")</f>
        <v/>
      </c>
      <c r="D6" s="66" t="str">
        <f ca="1">IFERROR(INDEX(Validation!F:F,MATCH("DFLoan7"&amp;CELL("address",C6),Validation!I:I,0)),"")</f>
        <v/>
      </c>
      <c r="E6" s="78" t="s">
        <v>875</v>
      </c>
    </row>
    <row r="7" spans="1:5" x14ac:dyDescent="0.25">
      <c r="A7" s="79" t="s">
        <v>761</v>
      </c>
      <c r="B7" s="103" t="str">
        <f>IF(AND(NOT(ISBLANK('Lent Input'!I5)),OR('Lent Input'!I$5=Lists!$AG$4,'Lent Input'!I$5=Lists!$AG$5)),_xlfn.XLOOKUP('Lent Input'!I5,Lists!AG2:AG5,Lists!AH2:AH5),Lists!$AH$1)</f>
        <v>Select One</v>
      </c>
      <c r="C7" s="77" t="str">
        <f ca="1">IFERROR(INDEX(Validation!G:G,MATCH("DFLoan7"&amp;CELL("address",C7),Validation!I:I,0)),"")</f>
        <v/>
      </c>
      <c r="D7" s="66" t="str">
        <f ca="1">IFERROR(INDEX(Validation!F:F,MATCH("DFLoan7"&amp;CELL("address",C7),Validation!I:I,0)),"")</f>
        <v/>
      </c>
      <c r="E7" s="85" t="str">
        <f>IF(NOT(ISBLANK('Lent Input'!I4)),'Lent Input'!I4,"")</f>
        <v/>
      </c>
    </row>
    <row r="8" spans="1:5" x14ac:dyDescent="0.25">
      <c r="A8" s="79" t="s">
        <v>769</v>
      </c>
      <c r="B8" s="103" t="str">
        <f>IF(AND(NOT(ISBLANK('Lent Input'!I6)),'Lent Input'!I$5=Lists!$AG$4),'Lent Input'!I6,Lists!$AJ$1)</f>
        <v>Select One</v>
      </c>
      <c r="C8" s="77" t="str">
        <f ca="1">IFERROR(INDEX(Validation!G:G,MATCH("DFLoan7"&amp;CELL("address",C8),Validation!I:I,0)),"")</f>
        <v/>
      </c>
      <c r="D8" s="66" t="str">
        <f ca="1">IFERROR(INDEX(Validation!F:F,MATCH("DFLoan7"&amp;CELL("address",C8),Validation!I:I,0)),"")</f>
        <v/>
      </c>
    </row>
    <row r="9" spans="1:5" x14ac:dyDescent="0.25">
      <c r="A9" s="79" t="s">
        <v>770</v>
      </c>
      <c r="B9" s="103" t="str">
        <f>IF(AND(NOT(ISBLANK('Lent Input'!I7)),'Lent Input'!I$5=Lists!$AG$5),'Lent Input'!I7,"")</f>
        <v/>
      </c>
      <c r="C9" s="77" t="str">
        <f ca="1">IFERROR(INDEX(Validation!G:G,MATCH("DFLoan7"&amp;CELL("address",C9),Validation!I:I,0)),"")</f>
        <v/>
      </c>
      <c r="D9" s="66" t="str">
        <f ca="1">IFERROR(INDEX(Validation!F:F,MATCH("DFLoan7"&amp;CELL("address",C9),Validation!I:I,0)),"")</f>
        <v/>
      </c>
    </row>
    <row r="10" spans="1:5" x14ac:dyDescent="0.25">
      <c r="A10" s="79" t="s">
        <v>240</v>
      </c>
      <c r="B10" s="120" t="str">
        <f>IF(AND(NOT(ISBLANK('Lent Input'!I8)),OR('Lent Input'!I$5=Lists!$AG$4,'Lent Input'!I$5=Lists!$AG$5)),'Lent Input'!I8,"")</f>
        <v/>
      </c>
      <c r="C10" s="77" t="str">
        <f ca="1">IFERROR(INDEX(Validation!G:G,MATCH("DFLoan7"&amp;CELL("address",C10),Validation!I:I,0)),"")</f>
        <v/>
      </c>
      <c r="D10" s="66" t="str">
        <f ca="1">IFERROR(INDEX(Validation!F:F,MATCH("DFLoan7"&amp;CELL("address",C10),Validation!I:I,0)),"")</f>
        <v/>
      </c>
    </row>
    <row r="11" spans="1:5" x14ac:dyDescent="0.25">
      <c r="A11" s="79" t="s">
        <v>212</v>
      </c>
      <c r="B11" s="120" t="str">
        <f>IF(AND(NOT(ISBLANK('Lent Input'!I9)),OR('Lent Input'!I$5=Lists!$AG$4,'Lent Input'!I$5=Lists!$AG$5)),'Lent Input'!I9,"")</f>
        <v/>
      </c>
      <c r="C11" s="77" t="str">
        <f ca="1">IFERROR(INDEX(Validation!G:G,MATCH("DFLoan7"&amp;CELL("address",C11),Validation!I:I,0)),"")</f>
        <v/>
      </c>
      <c r="D11" s="66" t="str">
        <f ca="1">IFERROR(INDEX(Validation!F:F,MATCH("DFLoan7"&amp;CELL("address",C11),Validation!I:I,0)),"")</f>
        <v/>
      </c>
    </row>
    <row r="12" spans="1:5" x14ac:dyDescent="0.25">
      <c r="A12" s="79" t="s">
        <v>213</v>
      </c>
      <c r="B12" s="121" t="str">
        <f>IF(AND(NOT(ISBLANK('Lent Input'!I10)),OR('Lent Input'!I$5=Lists!$AG$4,'Lent Input'!I$5=Lists!$AG$5)),'Lent Input'!I10,"")</f>
        <v/>
      </c>
      <c r="C12" s="77" t="str">
        <f ca="1">IFERROR(INDEX(Validation!G:G,MATCH("DFLoan7"&amp;CELL("address",C12),Validation!I:I,0)),"")</f>
        <v/>
      </c>
      <c r="D12" s="66" t="str">
        <f ca="1">IFERROR(INDEX(Validation!F:F,MATCH("DFLoan7"&amp;CELL("address",C12),Validation!I:I,0)),"")</f>
        <v/>
      </c>
    </row>
    <row r="13" spans="1:5" x14ac:dyDescent="0.25">
      <c r="A13" s="79" t="s">
        <v>214</v>
      </c>
      <c r="B13" s="121" t="str">
        <f>IF(AND(NOT(ISBLANK('Lent Input'!I11)),OR('Lent Input'!I$5=Lists!$AG$4,'Lent Input'!I$5=Lists!$AG$5)),'Lent Input'!I11,"")</f>
        <v/>
      </c>
      <c r="C13" s="77" t="str">
        <f ca="1">IFERROR(INDEX(Validation!G:G,MATCH("DFLoan7"&amp;CELL("address",C13),Validation!I:I,0)),"")</f>
        <v/>
      </c>
      <c r="D13" s="66" t="str">
        <f ca="1">IFERROR(INDEX(Validation!F:F,MATCH("DFLoan7"&amp;CELL("address",C13),Validation!I:I,0)),"")</f>
        <v/>
      </c>
    </row>
    <row r="14" spans="1:5" x14ac:dyDescent="0.25">
      <c r="A14" s="79" t="s">
        <v>242</v>
      </c>
      <c r="B14" s="122" t="str">
        <f>IF(AND(NOT(ISBLANK('Lent Input'!I12)),OR('Lent Input'!I$5=Lists!$AG$4,'Lent Input'!I$5=Lists!$AG$5)),'Lent Input'!I12,"")</f>
        <v/>
      </c>
      <c r="C14" s="77" t="str">
        <f ca="1">IFERROR(INDEX(Validation!G:G,MATCH("DFLoan7"&amp;CELL("address",C14),Validation!I:I,0)),"")</f>
        <v/>
      </c>
      <c r="D14" s="66" t="str">
        <f ca="1">IFERROR(INDEX(Validation!F:F,MATCH("DFLoan7"&amp;CELL("address",C14),Validation!I:I,0)),"")</f>
        <v/>
      </c>
    </row>
    <row r="15" spans="1:5" ht="20.100000000000001" customHeight="1" x14ac:dyDescent="0.25">
      <c r="A15" s="74" t="s">
        <v>849</v>
      </c>
      <c r="C15" s="77" t="str">
        <f ca="1">IFERROR(INDEX(Validation!G:G,MATCH("DFLoan7"&amp;CELL("address",C15),Validation!I:I,0)),"")</f>
        <v/>
      </c>
      <c r="D15" s="66" t="str">
        <f ca="1">IFERROR(INDEX(Validation!F:F,MATCH("DFLoan7"&amp;CELL("address",C15),Validation!I:I,0)),"")</f>
        <v/>
      </c>
    </row>
    <row r="16" spans="1:5" x14ac:dyDescent="0.25">
      <c r="A16" s="79" t="s">
        <v>243</v>
      </c>
      <c r="B16" s="122" t="str">
        <f>IF(AND(NOT(ISBLANK('Lent Input'!I13)),OR('Lent Input'!I$5=Lists!$AG$4,'Lent Input'!I$5=Lists!$AG$5)),'Lent Input'!I13,"")</f>
        <v/>
      </c>
      <c r="C16" s="77" t="str">
        <f ca="1">IFERROR(INDEX(Validation!G:G,MATCH("DFLoan7"&amp;CELL("address",C16),Validation!I:I,0)),"")</f>
        <v/>
      </c>
      <c r="D16" s="66" t="str">
        <f ca="1">IFERROR(INDEX(Validation!F:F,MATCH("DFLoan7"&amp;CELL("address",C16),Validation!I:I,0)),"")</f>
        <v/>
      </c>
    </row>
    <row r="17" spans="1:5" x14ac:dyDescent="0.25">
      <c r="A17" s="79" t="str">
        <f>"Amount Drawn in "&amp;Year_DestinationYearID</f>
        <v>Amount Drawn in 2024</v>
      </c>
      <c r="B17" s="103"/>
      <c r="C17" s="77" t="str">
        <f ca="1">IFERROR(INDEX(Validation!G:G,MATCH("DFLoan7"&amp;CELL("address",C17),Validation!I:I,0)),"")</f>
        <v/>
      </c>
      <c r="D17" s="66" t="str">
        <f ca="1">IFERROR(INDEX(Validation!F:F,MATCH("DFLoan7"&amp;CELL("address",C17),Validation!I:I,0)),"")</f>
        <v/>
      </c>
    </row>
    <row r="18" spans="1:5" x14ac:dyDescent="0.25">
      <c r="A18" s="79" t="s">
        <v>245</v>
      </c>
      <c r="B18" s="125" t="str">
        <f>IFERROR(B16+B17,"")</f>
        <v/>
      </c>
      <c r="C18" s="77" t="str">
        <f ca="1">IFERROR(INDEX(Validation!G:G,MATCH("DFLoan7"&amp;CELL("address",C18),Validation!I:I,0)),"")</f>
        <v/>
      </c>
      <c r="D18" s="66" t="str">
        <f ca="1">IFERROR(INDEX(Validation!F:F,MATCH("DFLoan7"&amp;CELL("address",C18),Validation!I:I,0)),"")</f>
        <v/>
      </c>
    </row>
    <row r="19" spans="1:5" x14ac:dyDescent="0.25">
      <c r="A19" s="79" t="s">
        <v>279</v>
      </c>
      <c r="B19" s="122" t="str">
        <f>IF(AND(NOT(ISBLANK('Lent Input'!I16)),OR('Lent Input'!I$5=Lists!$AG$4,'Lent Input'!I$5=Lists!$AG$5)),'Lent Input'!I16,"")</f>
        <v/>
      </c>
      <c r="C19" s="77" t="str">
        <f ca="1">IFERROR(INDEX(Validation!G:G,MATCH("DFLoan7"&amp;CELL("address",C19),Validation!I:I,0)),"")</f>
        <v/>
      </c>
      <c r="D19" s="66" t="str">
        <f ca="1">IFERROR(INDEX(Validation!F:F,MATCH("DFLoan7"&amp;CELL("address",C19),Validation!I:I,0)),"")</f>
        <v/>
      </c>
    </row>
    <row r="20" spans="1:5" x14ac:dyDescent="0.25">
      <c r="A20" s="79" t="str">
        <f>"Principal Received in "&amp;Year_DestinationYearID</f>
        <v>Principal Received in 2024</v>
      </c>
      <c r="B20" s="122"/>
      <c r="C20" s="77" t="str">
        <f ca="1">IFERROR(INDEX(Validation!G:G,MATCH("DFLoan7"&amp;CELL("address",C20),Validation!I:I,0)),"")</f>
        <v/>
      </c>
      <c r="D20" s="66" t="str">
        <f ca="1">IFERROR(INDEX(Validation!F:F,MATCH("DFLoan7"&amp;CELL("address",C20),Validation!I:I,0)),"")</f>
        <v/>
      </c>
    </row>
    <row r="21" spans="1:5" x14ac:dyDescent="0.25">
      <c r="A21" s="79" t="s">
        <v>280</v>
      </c>
      <c r="B21" s="122" t="str">
        <f>IF(AND(NOT(ISBLANK('Lent Input'!I18)),OR('Lent Input'!I$5=Lists!$AG$4,'Lent Input'!I$5=Lists!$AG$5)),'Lent Input'!I18,"")</f>
        <v/>
      </c>
      <c r="C21" s="77" t="str">
        <f ca="1">IFERROR(INDEX(Validation!G:G,MATCH("DFLoan7"&amp;CELL("address",C21),Validation!I:I,0)),"")</f>
        <v/>
      </c>
      <c r="D21" s="66" t="str">
        <f ca="1">IFERROR(INDEX(Validation!F:F,MATCH("DFLoan7"&amp;CELL("address",C21),Validation!I:I,0)),"")</f>
        <v/>
      </c>
    </row>
    <row r="22" spans="1:5" x14ac:dyDescent="0.25">
      <c r="A22" s="79" t="str">
        <f>"Additions/Reductions in "&amp;Year_DestinationYearID</f>
        <v>Additions/Reductions in 2024</v>
      </c>
      <c r="B22" s="122"/>
      <c r="C22" s="77" t="str">
        <f ca="1">IFERROR(INDEX(Validation!G:G,MATCH("DFLoan7"&amp;CELL("address",C22),Validation!I:I,0)),"")</f>
        <v/>
      </c>
      <c r="D22" s="66" t="str">
        <f ca="1">IFERROR(INDEX(Validation!F:F,MATCH("DFLoan7"&amp;CELL("address",C22),Validation!I:I,0)),"")</f>
        <v/>
      </c>
    </row>
    <row r="23" spans="1:5" x14ac:dyDescent="0.25">
      <c r="A23" s="79" t="s">
        <v>221</v>
      </c>
      <c r="B23" s="125" t="str">
        <f>IFERROR(B18-B19-B20+B21+B22,"")</f>
        <v/>
      </c>
      <c r="C23" s="77" t="str">
        <f ca="1">IFERROR(INDEX(Validation!G:G,MATCH("DFLoan7"&amp;CELL("address",C23),Validation!I:I,0)),"")</f>
        <v/>
      </c>
      <c r="D23" s="66" t="str">
        <f ca="1">IFERROR(INDEX(Validation!F:F,MATCH("DFLoan7"&amp;CELL("address",C23),Validation!I:I,0)),"")</f>
        <v/>
      </c>
    </row>
    <row r="24" spans="1:5" x14ac:dyDescent="0.25">
      <c r="A24" s="79" t="str">
        <f>"Principal Due in "&amp;Year_DestinationYearID+1</f>
        <v>Principal Due in 2025</v>
      </c>
      <c r="B24" s="122"/>
      <c r="C24" s="77" t="str">
        <f ca="1">IFERROR(INDEX(Validation!G:G,MATCH("DFLoan7"&amp;CELL("address",C24),Validation!I:I,0)),"")</f>
        <v/>
      </c>
      <c r="D24" s="66" t="str">
        <f ca="1">IFERROR(INDEX(Validation!F:F,MATCH("DFLoan7"&amp;CELL("address",C24),Validation!I:I,0)),"")</f>
        <v/>
      </c>
    </row>
    <row r="25" spans="1:5" x14ac:dyDescent="0.25">
      <c r="A25" s="79" t="s">
        <v>281</v>
      </c>
      <c r="B25" s="122" t="str">
        <f>IF(AND(NOT(ISBLANK('Lent Input'!I22)),OR('Lent Input'!I$5=Lists!$AG$4,'Lent Input'!I$5=Lists!$AG$5)),'Lent Input'!I22,"")</f>
        <v/>
      </c>
      <c r="C25" s="77" t="str">
        <f ca="1">IFERROR(INDEX(Validation!G:G,MATCH("DFLoan7"&amp;CELL("address",C25),Validation!I:I,0)),"")</f>
        <v/>
      </c>
      <c r="D25" s="66" t="str">
        <f ca="1">IFERROR(INDEX(Validation!F:F,MATCH("DFLoan7"&amp;CELL("address",C25),Validation!I:I,0)),"")</f>
        <v/>
      </c>
    </row>
    <row r="26" spans="1:5" x14ac:dyDescent="0.25">
      <c r="A26" s="79" t="str">
        <f>"Interest Received in "&amp;Year_DestinationYearID</f>
        <v>Interest Received in 2024</v>
      </c>
      <c r="B26" s="122"/>
      <c r="C26" s="77" t="str">
        <f ca="1">IFERROR(INDEX(Validation!G:G,MATCH("DFLoan7"&amp;CELL("address",C26),Validation!I:I,0)),"")</f>
        <v/>
      </c>
      <c r="D26" s="66" t="str">
        <f ca="1">IFERROR(INDEX(Validation!F:F,MATCH("DFLoan7"&amp;CELL("address",C26),Validation!I:I,0)),"")</f>
        <v/>
      </c>
    </row>
    <row r="27" spans="1:5" x14ac:dyDescent="0.25">
      <c r="A27" s="79" t="str">
        <f>"Interest Due in "&amp;Year_DestinationYearID+1</f>
        <v>Interest Due in 2025</v>
      </c>
      <c r="B27" s="122"/>
      <c r="C27" s="77" t="str">
        <f ca="1">IFERROR(INDEX(Validation!G:G,MATCH("DFLoan7"&amp;CELL("address",C27),Validation!I:I,0)),"")</f>
        <v/>
      </c>
      <c r="D27" s="66" t="str">
        <f ca="1">IFERROR(INDEX(Validation!F:F,MATCH("DFLoan7"&amp;CELL("address",C27),Validation!I:I,0)),"")</f>
        <v/>
      </c>
      <c r="E27" s="126"/>
    </row>
    <row r="28" spans="1:5" ht="20.100000000000001" customHeight="1" x14ac:dyDescent="0.25">
      <c r="A28" s="97" t="s">
        <v>176</v>
      </c>
      <c r="C28" s="77" t="str">
        <f ca="1">IF(AND(ISBLANK(A29),OR(COUNTIF(D6:D27,"Alert")&gt;0,SUM(B21:B22)&lt;&gt;0)),"Comment(s) required for remaining alert(s) and/or additions to principal.",IFERROR(INDEX(Validation!G:G,MATCH("DFLoan7"&amp;CELL("address",C28),Validation!I:I,0)),""))</f>
        <v/>
      </c>
      <c r="D28" s="66" t="str">
        <f ca="1">IF(AND(ISBLANK(A29),OR(COUNTIF(D6:D27,"Alert")&gt;0,SUM(B21:B22)&lt;&gt;0)),"Error",IFERROR(INDEX(Validation!F:F,MATCH("DFLoan7"&amp;CELL("address",C28),Validation!I:I,0)),""))</f>
        <v/>
      </c>
    </row>
    <row r="29" spans="1:5" ht="150" customHeight="1" x14ac:dyDescent="0.25">
      <c r="A29" s="123"/>
      <c r="B29" s="100" t="str">
        <f>HYPERLINK("#'Lent Funds'!B6","Click here to return to the Lent Funds Tab")</f>
        <v>Click here to return to the Lent Funds Tab</v>
      </c>
    </row>
    <row r="30" spans="1:5" x14ac:dyDescent="0.25">
      <c r="A30" s="98"/>
      <c r="B30" s="98"/>
    </row>
    <row r="31" spans="1:5" x14ac:dyDescent="0.25">
      <c r="A31" s="98"/>
      <c r="B31" s="98"/>
    </row>
    <row r="32" spans="1:5" x14ac:dyDescent="0.25">
      <c r="A32" s="98"/>
      <c r="B32" s="98"/>
    </row>
    <row r="33" spans="1:2" x14ac:dyDescent="0.25">
      <c r="A33" s="98"/>
      <c r="B33" s="98"/>
    </row>
  </sheetData>
  <sheetProtection algorithmName="SHA-512" hashValue="gZaaCPCg/1QSb/LjiYsxoLndjB2/Z720MwK51Nv0AYfSobJPr0jOj1wV7z118UMZftwiMz2An9l1cgU/rmVn1g==" saltValue="y64WqvyYOcail9+l/kPbYQ==" spinCount="100000" sheet="1" objects="1" scenarios="1"/>
  <mergeCells count="1">
    <mergeCell ref="A4:D4"/>
  </mergeCells>
  <conditionalFormatting sqref="A2">
    <cfRule type="expression" dxfId="80" priority="11">
      <formula>$D2="Error"</formula>
    </cfRule>
    <cfRule type="expression" dxfId="78" priority="13">
      <formula>$D2="Exclude"</formula>
    </cfRule>
  </conditionalFormatting>
  <conditionalFormatting sqref="C6:D28">
    <cfRule type="expression" dxfId="75" priority="1">
      <formula>$D6="Information"</formula>
    </cfRule>
    <cfRule type="expression" dxfId="74" priority="2">
      <formula>$D6="Error"</formula>
    </cfRule>
    <cfRule type="expression" dxfId="73" priority="3">
      <formula>$D6="Alert"</formula>
    </cfRule>
    <cfRule type="expression" dxfId="72" priority="4">
      <formula>$D6="Exclude"</formula>
    </cfRule>
  </conditionalFormatting>
  <dataValidations count="2">
    <dataValidation type="list" allowBlank="1" showInputMessage="1" showErrorMessage="1" sqref="B7" xr:uid="{00EDFA5A-1277-474A-8EB1-61A2D221A652}">
      <formula1>DueFromType</formula1>
    </dataValidation>
    <dataValidation type="list" allowBlank="1" showInputMessage="1" showErrorMessage="1" sqref="B8" xr:uid="{9E4F0318-6635-48A1-9815-8674C8107A1F}">
      <formula1>DistrictDropDown</formula1>
    </dataValidation>
  </dataValidations>
  <pageMargins left="0.7" right="0.7" top="0.75" bottom="0.75" header="0.3" footer="0.3"/>
  <pageSetup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12" id="{3A755A47-AA38-4BC5-8ABB-37247CA5B457}">
            <xm:f>COUNTIFS(Validation!$H:$H,MID(CELL("filename",A2),FIND("]",CELL("filename",A2))+1,255)&amp;CELL("address",A2))&gt;0</xm:f>
            <x14:dxf>
              <font>
                <b/>
                <i val="0"/>
                <color rgb="FFC00000"/>
              </font>
              <numFmt numFmtId="172" formatCode="_(\!* #,##0_);_(\!* \(#,##0\);_(\!* \-??_);_(\!\ @_)"/>
            </x14:dxf>
          </x14:cfRule>
          <xm:sqref>A2</xm:sqref>
        </x14:conditionalFormatting>
        <x14:conditionalFormatting xmlns:xm="http://schemas.microsoft.com/office/excel/2006/main">
          <x14:cfRule type="expression" priority="10" id="{A0A815A8-C353-4D63-B334-89ABA32305F4}">
            <xm:f>$B$7=Lists!$AH$5</xm:f>
            <x14:dxf>
              <fill>
                <patternFill>
                  <bgColor rgb="FFEAEAEA"/>
                </patternFill>
              </fill>
            </x14:dxf>
          </x14:cfRule>
          <xm:sqref>B8</xm:sqref>
        </x14:conditionalFormatting>
        <x14:conditionalFormatting xmlns:xm="http://schemas.microsoft.com/office/excel/2006/main">
          <x14:cfRule type="expression" priority="9" id="{A97C03AA-A2D6-4778-8E77-BE3FE76961E5}">
            <xm:f>$B$7=Lists!$AH$4</xm:f>
            <x14:dxf>
              <fill>
                <patternFill>
                  <bgColor rgb="FFEAEAEA"/>
                </patternFill>
              </fill>
            </x14:dxf>
          </x14:cfRule>
          <xm:sqref>B9</xm:sqref>
        </x14:conditionalFormatting>
      </x14:conditionalFormattings>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8AAD9-2CF3-4AFC-8AE1-D67163D535D4}">
  <sheetPr>
    <tabColor rgb="FFEED382"/>
  </sheetPr>
  <dimension ref="A1:E33"/>
  <sheetViews>
    <sheetView showGridLines="0" workbookViewId="0">
      <selection activeCell="B7" sqref="B7"/>
    </sheetView>
  </sheetViews>
  <sheetFormatPr defaultRowHeight="15" x14ac:dyDescent="0.25"/>
  <cols>
    <col min="1" max="1" width="55.7109375" style="66" customWidth="1"/>
    <col min="2" max="2" width="22.7109375" style="66" customWidth="1"/>
    <col min="3" max="3" width="80.85546875" style="66" customWidth="1"/>
    <col min="4" max="4" width="14.7109375" style="66" customWidth="1"/>
    <col min="5" max="5" width="10.7109375" style="78" hidden="1" customWidth="1"/>
    <col min="6" max="16384" width="9.140625" style="66"/>
  </cols>
  <sheetData>
    <row r="1" spans="1:5" s="59" customFormat="1" ht="24.95" customHeight="1" x14ac:dyDescent="0.25">
      <c r="A1" s="59" t="str">
        <f>_xlfn.CONCAT("Office of the State Auditor  -  TIF Annual Reporting Form  -  ",Year_DestinationYearID)</f>
        <v>Office of the State Auditor  -  TIF Annual Reporting Form  -  2024</v>
      </c>
      <c r="E1" s="61"/>
    </row>
    <row r="2" spans="1:5" s="62" customFormat="1" ht="20.100000000000001" customHeight="1" x14ac:dyDescent="0.25">
      <c r="A2" s="58" t="str">
        <f>_xlfn.CONCAT(GovEntity_GovEntityName_Parent,"  -  ",GovEntity_GovEntityName)</f>
        <v>Spruce City  -  TIF 1-1 Downtown Redev</v>
      </c>
      <c r="E2" s="64"/>
    </row>
    <row r="3" spans="1:5" s="68" customFormat="1" ht="24.95" customHeight="1" x14ac:dyDescent="0.3">
      <c r="A3" s="65" t="s">
        <v>848</v>
      </c>
      <c r="B3" s="66"/>
      <c r="E3" s="69"/>
    </row>
    <row r="4" spans="1:5" s="71" customFormat="1" x14ac:dyDescent="0.25">
      <c r="A4" s="217" t="s">
        <v>207</v>
      </c>
      <c r="B4" s="217"/>
      <c r="C4" s="217"/>
      <c r="D4" s="217"/>
      <c r="E4" s="72" t="s">
        <v>119</v>
      </c>
    </row>
    <row r="5" spans="1:5" s="74" customFormat="1" ht="20.100000000000001" customHeight="1" x14ac:dyDescent="0.25">
      <c r="A5" s="73" t="str">
        <f>HYPERLINK("#'Lent Funds'!B6","Click here to return to the Lent Funds Tab")</f>
        <v>Click here to return to the Lent Funds Tab</v>
      </c>
      <c r="B5" s="74" t="s">
        <v>120</v>
      </c>
      <c r="C5" s="74" t="s">
        <v>121</v>
      </c>
      <c r="D5" s="74" t="s">
        <v>102</v>
      </c>
      <c r="E5" s="76"/>
    </row>
    <row r="6" spans="1:5" ht="20.100000000000001" customHeight="1" x14ac:dyDescent="0.25">
      <c r="A6" s="74" t="s">
        <v>847</v>
      </c>
      <c r="C6" s="77" t="str">
        <f ca="1">IFERROR(INDEX(Validation!G:G,MATCH("DFLoan8"&amp;CELL("address",C6),Validation!I:I,0)),"")</f>
        <v/>
      </c>
      <c r="D6" s="66" t="str">
        <f ca="1">IFERROR(INDEX(Validation!F:F,MATCH("DFLoan8"&amp;CELL("address",C6),Validation!I:I,0)),"")</f>
        <v/>
      </c>
      <c r="E6" s="78" t="s">
        <v>875</v>
      </c>
    </row>
    <row r="7" spans="1:5" x14ac:dyDescent="0.25">
      <c r="A7" s="79" t="s">
        <v>761</v>
      </c>
      <c r="B7" s="103" t="str">
        <f>IF(AND(NOT(ISBLANK('Lent Input'!J5)),OR('Lent Input'!J$5=Lists!$AG$4,'Lent Input'!J$5=Lists!$AG$5)),_xlfn.XLOOKUP('Lent Input'!J5,Lists!AG2:AG5,Lists!AH2:AH5),Lists!$AH$1)</f>
        <v>Select One</v>
      </c>
      <c r="C7" s="77" t="str">
        <f ca="1">IFERROR(INDEX(Validation!G:G,MATCH("DFLoan8"&amp;CELL("address",C7),Validation!I:I,0)),"")</f>
        <v/>
      </c>
      <c r="D7" s="66" t="str">
        <f ca="1">IFERROR(INDEX(Validation!F:F,MATCH("DFLoan8"&amp;CELL("address",C7),Validation!I:I,0)),"")</f>
        <v/>
      </c>
      <c r="E7" s="85" t="str">
        <f>IF(NOT(ISBLANK('Lent Input'!J4)),'Lent Input'!J4,"")</f>
        <v/>
      </c>
    </row>
    <row r="8" spans="1:5" x14ac:dyDescent="0.25">
      <c r="A8" s="79" t="s">
        <v>769</v>
      </c>
      <c r="B8" s="103" t="str">
        <f>IF(AND(NOT(ISBLANK('Lent Input'!J6)),'Lent Input'!J$5=Lists!$AG$4),'Lent Input'!J6,Lists!$AJ$1)</f>
        <v>Select One</v>
      </c>
      <c r="C8" s="77" t="str">
        <f ca="1">IFERROR(INDEX(Validation!G:G,MATCH("DFLoan8"&amp;CELL("address",C8),Validation!I:I,0)),"")</f>
        <v/>
      </c>
      <c r="D8" s="66" t="str">
        <f ca="1">IFERROR(INDEX(Validation!F:F,MATCH("DFLoan8"&amp;CELL("address",C8),Validation!I:I,0)),"")</f>
        <v/>
      </c>
    </row>
    <row r="9" spans="1:5" x14ac:dyDescent="0.25">
      <c r="A9" s="79" t="s">
        <v>770</v>
      </c>
      <c r="B9" s="103" t="str">
        <f>IF(AND(NOT(ISBLANK('Lent Input'!J7)),'Lent Input'!J$5=Lists!$AG$5),'Lent Input'!J7,"")</f>
        <v/>
      </c>
      <c r="C9" s="77" t="str">
        <f ca="1">IFERROR(INDEX(Validation!G:G,MATCH("DFLoan8"&amp;CELL("address",C9),Validation!I:I,0)),"")</f>
        <v/>
      </c>
      <c r="D9" s="66" t="str">
        <f ca="1">IFERROR(INDEX(Validation!F:F,MATCH("DFLoan8"&amp;CELL("address",C9),Validation!I:I,0)),"")</f>
        <v/>
      </c>
    </row>
    <row r="10" spans="1:5" x14ac:dyDescent="0.25">
      <c r="A10" s="79" t="s">
        <v>240</v>
      </c>
      <c r="B10" s="120" t="str">
        <f>IF(AND(NOT(ISBLANK('Lent Input'!J8)),OR('Lent Input'!J$5=Lists!$AG$4,'Lent Input'!J$5=Lists!$AG$5)),'Lent Input'!J8,"")</f>
        <v/>
      </c>
      <c r="C10" s="77" t="str">
        <f ca="1">IFERROR(INDEX(Validation!G:G,MATCH("DFLoan8"&amp;CELL("address",C10),Validation!I:I,0)),"")</f>
        <v/>
      </c>
      <c r="D10" s="66" t="str">
        <f ca="1">IFERROR(INDEX(Validation!F:F,MATCH("DFLoan8"&amp;CELL("address",C10),Validation!I:I,0)),"")</f>
        <v/>
      </c>
    </row>
    <row r="11" spans="1:5" x14ac:dyDescent="0.25">
      <c r="A11" s="79" t="s">
        <v>212</v>
      </c>
      <c r="B11" s="120" t="str">
        <f>IF(AND(NOT(ISBLANK('Lent Input'!J9)),OR('Lent Input'!J$5=Lists!$AG$4,'Lent Input'!J$5=Lists!$AG$5)),'Lent Input'!J9,"")</f>
        <v/>
      </c>
      <c r="C11" s="77" t="str">
        <f ca="1">IFERROR(INDEX(Validation!G:G,MATCH("DFLoan8"&amp;CELL("address",C11),Validation!I:I,0)),"")</f>
        <v/>
      </c>
      <c r="D11" s="66" t="str">
        <f ca="1">IFERROR(INDEX(Validation!F:F,MATCH("DFLoan8"&amp;CELL("address",C11),Validation!I:I,0)),"")</f>
        <v/>
      </c>
    </row>
    <row r="12" spans="1:5" x14ac:dyDescent="0.25">
      <c r="A12" s="79" t="s">
        <v>213</v>
      </c>
      <c r="B12" s="121" t="str">
        <f>IF(AND(NOT(ISBLANK('Lent Input'!J10)),OR('Lent Input'!J$5=Lists!$AG$4,'Lent Input'!J$5=Lists!$AG$5)),'Lent Input'!J10,"")</f>
        <v/>
      </c>
      <c r="C12" s="77" t="str">
        <f ca="1">IFERROR(INDEX(Validation!G:G,MATCH("DFLoan8"&amp;CELL("address",C12),Validation!I:I,0)),"")</f>
        <v/>
      </c>
      <c r="D12" s="66" t="str">
        <f ca="1">IFERROR(INDEX(Validation!F:F,MATCH("DFLoan8"&amp;CELL("address",C12),Validation!I:I,0)),"")</f>
        <v/>
      </c>
    </row>
    <row r="13" spans="1:5" x14ac:dyDescent="0.25">
      <c r="A13" s="79" t="s">
        <v>214</v>
      </c>
      <c r="B13" s="121" t="str">
        <f>IF(AND(NOT(ISBLANK('Lent Input'!J11)),OR('Lent Input'!J$5=Lists!$AG$4,'Lent Input'!J$5=Lists!$AG$5)),'Lent Input'!J11,"")</f>
        <v/>
      </c>
      <c r="C13" s="77" t="str">
        <f ca="1">IFERROR(INDEX(Validation!G:G,MATCH("DFLoan8"&amp;CELL("address",C13),Validation!I:I,0)),"")</f>
        <v/>
      </c>
      <c r="D13" s="66" t="str">
        <f ca="1">IFERROR(INDEX(Validation!F:F,MATCH("DFLoan8"&amp;CELL("address",C13),Validation!I:I,0)),"")</f>
        <v/>
      </c>
    </row>
    <row r="14" spans="1:5" x14ac:dyDescent="0.25">
      <c r="A14" s="79" t="s">
        <v>242</v>
      </c>
      <c r="B14" s="122" t="str">
        <f>IF(AND(NOT(ISBLANK('Lent Input'!J12)),OR('Lent Input'!J$5=Lists!$AG$4,'Lent Input'!J$5=Lists!$AG$5)),'Lent Input'!J12,"")</f>
        <v/>
      </c>
      <c r="C14" s="77" t="str">
        <f ca="1">IFERROR(INDEX(Validation!G:G,MATCH("DFLoan8"&amp;CELL("address",C14),Validation!I:I,0)),"")</f>
        <v/>
      </c>
      <c r="D14" s="66" t="str">
        <f ca="1">IFERROR(INDEX(Validation!F:F,MATCH("DFLoan8"&amp;CELL("address",C14),Validation!I:I,0)),"")</f>
        <v/>
      </c>
    </row>
    <row r="15" spans="1:5" ht="20.100000000000001" customHeight="1" x14ac:dyDescent="0.25">
      <c r="A15" s="74" t="s">
        <v>849</v>
      </c>
      <c r="C15" s="77" t="str">
        <f ca="1">IFERROR(INDEX(Validation!G:G,MATCH("DFLoan8"&amp;CELL("address",C15),Validation!I:I,0)),"")</f>
        <v/>
      </c>
      <c r="D15" s="66" t="str">
        <f ca="1">IFERROR(INDEX(Validation!F:F,MATCH("DFLoan8"&amp;CELL("address",C15),Validation!I:I,0)),"")</f>
        <v/>
      </c>
    </row>
    <row r="16" spans="1:5" x14ac:dyDescent="0.25">
      <c r="A16" s="79" t="s">
        <v>243</v>
      </c>
      <c r="B16" s="122" t="str">
        <f>IF(AND(NOT(ISBLANK('Lent Input'!J13)),OR('Lent Input'!J$5=Lists!$AG$4,'Lent Input'!J$5=Lists!$AG$5)),'Lent Input'!J13,"")</f>
        <v/>
      </c>
      <c r="C16" s="77" t="str">
        <f ca="1">IFERROR(INDEX(Validation!G:G,MATCH("DFLoan8"&amp;CELL("address",C16),Validation!I:I,0)),"")</f>
        <v/>
      </c>
      <c r="D16" s="66" t="str">
        <f ca="1">IFERROR(INDEX(Validation!F:F,MATCH("DFLoan8"&amp;CELL("address",C16),Validation!I:I,0)),"")</f>
        <v/>
      </c>
    </row>
    <row r="17" spans="1:5" x14ac:dyDescent="0.25">
      <c r="A17" s="79" t="str">
        <f>"Amount Drawn in "&amp;Year_DestinationYearID</f>
        <v>Amount Drawn in 2024</v>
      </c>
      <c r="B17" s="103"/>
      <c r="C17" s="77" t="str">
        <f ca="1">IFERROR(INDEX(Validation!G:G,MATCH("DFLoan8"&amp;CELL("address",C17),Validation!I:I,0)),"")</f>
        <v/>
      </c>
      <c r="D17" s="66" t="str">
        <f ca="1">IFERROR(INDEX(Validation!F:F,MATCH("DFLoan8"&amp;CELL("address",C17),Validation!I:I,0)),"")</f>
        <v/>
      </c>
    </row>
    <row r="18" spans="1:5" x14ac:dyDescent="0.25">
      <c r="A18" s="79" t="s">
        <v>245</v>
      </c>
      <c r="B18" s="125" t="str">
        <f>IFERROR(B16+B17,"")</f>
        <v/>
      </c>
      <c r="C18" s="77" t="str">
        <f ca="1">IFERROR(INDEX(Validation!G:G,MATCH("DFLoan8"&amp;CELL("address",C18),Validation!I:I,0)),"")</f>
        <v/>
      </c>
      <c r="D18" s="66" t="str">
        <f ca="1">IFERROR(INDEX(Validation!F:F,MATCH("DFLoan8"&amp;CELL("address",C18),Validation!I:I,0)),"")</f>
        <v/>
      </c>
    </row>
    <row r="19" spans="1:5" x14ac:dyDescent="0.25">
      <c r="A19" s="79" t="s">
        <v>279</v>
      </c>
      <c r="B19" s="122" t="str">
        <f>IF(AND(NOT(ISBLANK('Lent Input'!J16)),OR('Lent Input'!J$5=Lists!$AG$4,'Lent Input'!J$5=Lists!$AG$5)),'Lent Input'!J16,"")</f>
        <v/>
      </c>
      <c r="C19" s="77" t="str">
        <f ca="1">IFERROR(INDEX(Validation!G:G,MATCH("DFLoan8"&amp;CELL("address",C19),Validation!I:I,0)),"")</f>
        <v/>
      </c>
      <c r="D19" s="66" t="str">
        <f ca="1">IFERROR(INDEX(Validation!F:F,MATCH("DFLoan8"&amp;CELL("address",C19),Validation!I:I,0)),"")</f>
        <v/>
      </c>
    </row>
    <row r="20" spans="1:5" x14ac:dyDescent="0.25">
      <c r="A20" s="79" t="str">
        <f>"Principal Received in "&amp;Year_DestinationYearID</f>
        <v>Principal Received in 2024</v>
      </c>
      <c r="B20" s="122"/>
      <c r="C20" s="77" t="str">
        <f ca="1">IFERROR(INDEX(Validation!G:G,MATCH("DFLoan8"&amp;CELL("address",C20),Validation!I:I,0)),"")</f>
        <v/>
      </c>
      <c r="D20" s="66" t="str">
        <f ca="1">IFERROR(INDEX(Validation!F:F,MATCH("DFLoan8"&amp;CELL("address",C20),Validation!I:I,0)),"")</f>
        <v/>
      </c>
    </row>
    <row r="21" spans="1:5" x14ac:dyDescent="0.25">
      <c r="A21" s="79" t="s">
        <v>280</v>
      </c>
      <c r="B21" s="122" t="str">
        <f>IF(AND(NOT(ISBLANK('Lent Input'!J18)),OR('Lent Input'!J$5=Lists!$AG$4,'Lent Input'!J$5=Lists!$AG$5)),'Lent Input'!J18,"")</f>
        <v/>
      </c>
      <c r="C21" s="77" t="str">
        <f ca="1">IFERROR(INDEX(Validation!G:G,MATCH("DFLoan8"&amp;CELL("address",C21),Validation!I:I,0)),"")</f>
        <v/>
      </c>
      <c r="D21" s="66" t="str">
        <f ca="1">IFERROR(INDEX(Validation!F:F,MATCH("DFLoan8"&amp;CELL("address",C21),Validation!I:I,0)),"")</f>
        <v/>
      </c>
    </row>
    <row r="22" spans="1:5" x14ac:dyDescent="0.25">
      <c r="A22" s="79" t="str">
        <f>"Additions/Reductions in "&amp;Year_DestinationYearID</f>
        <v>Additions/Reductions in 2024</v>
      </c>
      <c r="B22" s="122"/>
      <c r="C22" s="77" t="str">
        <f ca="1">IFERROR(INDEX(Validation!G:G,MATCH("DFLoan8"&amp;CELL("address",C22),Validation!I:I,0)),"")</f>
        <v/>
      </c>
      <c r="D22" s="66" t="str">
        <f ca="1">IFERROR(INDEX(Validation!F:F,MATCH("DFLoan8"&amp;CELL("address",C22),Validation!I:I,0)),"")</f>
        <v/>
      </c>
    </row>
    <row r="23" spans="1:5" x14ac:dyDescent="0.25">
      <c r="A23" s="79" t="s">
        <v>221</v>
      </c>
      <c r="B23" s="125" t="str">
        <f>IFERROR(B18-B19-B20+B21+B22,"")</f>
        <v/>
      </c>
      <c r="C23" s="77" t="str">
        <f ca="1">IFERROR(INDEX(Validation!G:G,MATCH("DFLoan8"&amp;CELL("address",C23),Validation!I:I,0)),"")</f>
        <v/>
      </c>
      <c r="D23" s="66" t="str">
        <f ca="1">IFERROR(INDEX(Validation!F:F,MATCH("DFLoan8"&amp;CELL("address",C23),Validation!I:I,0)),"")</f>
        <v/>
      </c>
    </row>
    <row r="24" spans="1:5" x14ac:dyDescent="0.25">
      <c r="A24" s="79" t="str">
        <f>"Principal Due in "&amp;Year_DestinationYearID+1</f>
        <v>Principal Due in 2025</v>
      </c>
      <c r="B24" s="122"/>
      <c r="C24" s="77" t="str">
        <f ca="1">IFERROR(INDEX(Validation!G:G,MATCH("DFLoan8"&amp;CELL("address",C24),Validation!I:I,0)),"")</f>
        <v/>
      </c>
      <c r="D24" s="66" t="str">
        <f ca="1">IFERROR(INDEX(Validation!F:F,MATCH("DFLoan8"&amp;CELL("address",C24),Validation!I:I,0)),"")</f>
        <v/>
      </c>
    </row>
    <row r="25" spans="1:5" x14ac:dyDescent="0.25">
      <c r="A25" s="79" t="s">
        <v>281</v>
      </c>
      <c r="B25" s="122" t="str">
        <f>IF(AND(NOT(ISBLANK('Lent Input'!J22)),OR('Lent Input'!J$5=Lists!$AG$4,'Lent Input'!J$5=Lists!$AG$5)),'Lent Input'!J22,"")</f>
        <v/>
      </c>
      <c r="C25" s="77" t="str">
        <f ca="1">IFERROR(INDEX(Validation!G:G,MATCH("DFLoan8"&amp;CELL("address",C25),Validation!I:I,0)),"")</f>
        <v/>
      </c>
      <c r="D25" s="66" t="str">
        <f ca="1">IFERROR(INDEX(Validation!F:F,MATCH("DFLoan8"&amp;CELL("address",C25),Validation!I:I,0)),"")</f>
        <v/>
      </c>
    </row>
    <row r="26" spans="1:5" x14ac:dyDescent="0.25">
      <c r="A26" s="79" t="str">
        <f>"Interest Received in "&amp;Year_DestinationYearID</f>
        <v>Interest Received in 2024</v>
      </c>
      <c r="B26" s="122"/>
      <c r="C26" s="77" t="str">
        <f ca="1">IFERROR(INDEX(Validation!G:G,MATCH("DFLoan8"&amp;CELL("address",C26),Validation!I:I,0)),"")</f>
        <v/>
      </c>
      <c r="D26" s="66" t="str">
        <f ca="1">IFERROR(INDEX(Validation!F:F,MATCH("DFLoan8"&amp;CELL("address",C26),Validation!I:I,0)),"")</f>
        <v/>
      </c>
    </row>
    <row r="27" spans="1:5" x14ac:dyDescent="0.25">
      <c r="A27" s="79" t="str">
        <f>"Interest Due in "&amp;Year_DestinationYearID+1</f>
        <v>Interest Due in 2025</v>
      </c>
      <c r="B27" s="122"/>
      <c r="C27" s="77" t="str">
        <f ca="1">IFERROR(INDEX(Validation!G:G,MATCH("DFLoan8"&amp;CELL("address",C27),Validation!I:I,0)),"")</f>
        <v/>
      </c>
      <c r="D27" s="66" t="str">
        <f ca="1">IFERROR(INDEX(Validation!F:F,MATCH("DFLoan8"&amp;CELL("address",C27),Validation!I:I,0)),"")</f>
        <v/>
      </c>
      <c r="E27" s="126"/>
    </row>
    <row r="28" spans="1:5" ht="20.100000000000001" customHeight="1" x14ac:dyDescent="0.25">
      <c r="A28" s="97" t="s">
        <v>176</v>
      </c>
      <c r="C28" s="77" t="str">
        <f ca="1">IF(AND(ISBLANK(A29),OR(COUNTIF(D6:D27,"Alert")&gt;0,SUM(B21:B22)&lt;&gt;0)),"Comment(s) required for remaining alert(s) and/or additions to principal.",IFERROR(INDEX(Validation!G:G,MATCH("DFLoan8"&amp;CELL("address",C28),Validation!I:I,0)),""))</f>
        <v/>
      </c>
      <c r="D28" s="66" t="str">
        <f ca="1">IF(AND(ISBLANK(A29),OR(COUNTIF(D6:D27,"Alert")&gt;0,SUM(B21:B22)&lt;&gt;0)),"Error",IFERROR(INDEX(Validation!F:F,MATCH("DFLoan8"&amp;CELL("address",C28),Validation!I:I,0)),""))</f>
        <v/>
      </c>
    </row>
    <row r="29" spans="1:5" ht="150" customHeight="1" x14ac:dyDescent="0.25">
      <c r="A29" s="123"/>
      <c r="B29" s="100" t="str">
        <f>HYPERLINK("#'Lent Funds'!B6","Click here to return to the Lent Funds Tab")</f>
        <v>Click here to return to the Lent Funds Tab</v>
      </c>
    </row>
    <row r="30" spans="1:5" x14ac:dyDescent="0.25">
      <c r="A30" s="98"/>
      <c r="B30" s="98"/>
    </row>
    <row r="31" spans="1:5" x14ac:dyDescent="0.25">
      <c r="A31" s="98"/>
      <c r="B31" s="98"/>
    </row>
    <row r="32" spans="1:5" x14ac:dyDescent="0.25">
      <c r="A32" s="98"/>
      <c r="B32" s="98"/>
    </row>
    <row r="33" spans="1:2" x14ac:dyDescent="0.25">
      <c r="A33" s="98"/>
      <c r="B33" s="98"/>
    </row>
  </sheetData>
  <sheetProtection algorithmName="SHA-512" hashValue="XUDkT8tehUIWD6m/pFyWiuj662RIU1jsT3O5DPjyl6xFGpsO/hEAGxfNSGLnEpnjov1hSFkmX4IACppw/9lopw==" saltValue="HJzKLT3gfENHkHCbktvrOg==" spinCount="100000" sheet="1" objects="1" scenarios="1"/>
  <mergeCells count="1">
    <mergeCell ref="A4:D4"/>
  </mergeCells>
  <conditionalFormatting sqref="A2">
    <cfRule type="expression" dxfId="71" priority="11">
      <formula>$D2="Error"</formula>
    </cfRule>
    <cfRule type="expression" dxfId="69" priority="13">
      <formula>$D2="Exclude"</formula>
    </cfRule>
  </conditionalFormatting>
  <conditionalFormatting sqref="C6:D28">
    <cfRule type="expression" dxfId="66" priority="1">
      <formula>$D6="Information"</formula>
    </cfRule>
    <cfRule type="expression" dxfId="65" priority="2">
      <formula>$D6="Error"</formula>
    </cfRule>
    <cfRule type="expression" dxfId="64" priority="3">
      <formula>$D6="Alert"</formula>
    </cfRule>
    <cfRule type="expression" dxfId="63" priority="4">
      <formula>$D6="Exclude"</formula>
    </cfRule>
  </conditionalFormatting>
  <dataValidations count="2">
    <dataValidation type="list" allowBlank="1" showInputMessage="1" showErrorMessage="1" sqref="B8" xr:uid="{CF843DF2-FC3F-4ED5-8786-22A86690D584}">
      <formula1>DistrictDropDown</formula1>
    </dataValidation>
    <dataValidation type="list" allowBlank="1" showInputMessage="1" showErrorMessage="1" sqref="B7" xr:uid="{A91B4D4A-2506-4A9C-8A6E-0FAB069E513C}">
      <formula1>DueFromType</formula1>
    </dataValidation>
  </dataValidations>
  <pageMargins left="0.7" right="0.7" top="0.75" bottom="0.75" header="0.3" footer="0.3"/>
  <pageSetup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12" id="{195FDEA3-F683-4E0F-BAC9-EF8B0F22041D}">
            <xm:f>COUNTIFS(Validation!$H:$H,MID(CELL("filename",A2),FIND("]",CELL("filename",A2))+1,255)&amp;CELL("address",A2))&gt;0</xm:f>
            <x14:dxf>
              <font>
                <b/>
                <i val="0"/>
                <color rgb="FFC00000"/>
              </font>
              <numFmt numFmtId="172" formatCode="_(\!* #,##0_);_(\!* \(#,##0\);_(\!* \-??_);_(\!\ @_)"/>
            </x14:dxf>
          </x14:cfRule>
          <xm:sqref>A2</xm:sqref>
        </x14:conditionalFormatting>
        <x14:conditionalFormatting xmlns:xm="http://schemas.microsoft.com/office/excel/2006/main">
          <x14:cfRule type="expression" priority="10" id="{F0D54D13-C227-443D-9C55-2AEDDC91510A}">
            <xm:f>$B$7=Lists!$AH$5</xm:f>
            <x14:dxf>
              <fill>
                <patternFill>
                  <bgColor rgb="FFEAEAEA"/>
                </patternFill>
              </fill>
            </x14:dxf>
          </x14:cfRule>
          <xm:sqref>B8</xm:sqref>
        </x14:conditionalFormatting>
        <x14:conditionalFormatting xmlns:xm="http://schemas.microsoft.com/office/excel/2006/main">
          <x14:cfRule type="expression" priority="9" id="{0565D05F-367D-4BF6-8F0C-18857B3E0799}">
            <xm:f>$B$7=Lists!$AH$4</xm:f>
            <x14:dxf>
              <fill>
                <patternFill>
                  <bgColor rgb="FFEAEAEA"/>
                </patternFill>
              </fill>
            </x14:dxf>
          </x14:cfRule>
          <xm:sqref>B9</xm:sqref>
        </x14:conditionalFormatting>
      </x14:conditionalFormattings>
    </ext>
  </extLs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4DB58E-A046-4639-BA60-7743C41C92D5}">
  <sheetPr>
    <tabColor rgb="FFEED382"/>
  </sheetPr>
  <dimension ref="A1:E33"/>
  <sheetViews>
    <sheetView showGridLines="0" workbookViewId="0">
      <selection activeCell="B7" sqref="B7"/>
    </sheetView>
  </sheetViews>
  <sheetFormatPr defaultRowHeight="15" x14ac:dyDescent="0.25"/>
  <cols>
    <col min="1" max="1" width="55.7109375" style="66" customWidth="1"/>
    <col min="2" max="2" width="22.7109375" style="66" customWidth="1"/>
    <col min="3" max="3" width="80.85546875" style="66" customWidth="1"/>
    <col min="4" max="4" width="14.7109375" style="66" customWidth="1"/>
    <col min="5" max="5" width="10.7109375" style="78" hidden="1" customWidth="1"/>
    <col min="6" max="16384" width="9.140625" style="66"/>
  </cols>
  <sheetData>
    <row r="1" spans="1:5" s="59" customFormat="1" ht="24.95" customHeight="1" x14ac:dyDescent="0.25">
      <c r="A1" s="59" t="str">
        <f>_xlfn.CONCAT("Office of the State Auditor  -  TIF Annual Reporting Form  -  ",Year_DestinationYearID)</f>
        <v>Office of the State Auditor  -  TIF Annual Reporting Form  -  2024</v>
      </c>
      <c r="E1" s="61"/>
    </row>
    <row r="2" spans="1:5" s="62" customFormat="1" ht="20.100000000000001" customHeight="1" x14ac:dyDescent="0.25">
      <c r="A2" s="58" t="str">
        <f>_xlfn.CONCAT(GovEntity_GovEntityName_Parent,"  -  ",GovEntity_GovEntityName)</f>
        <v>Spruce City  -  TIF 1-1 Downtown Redev</v>
      </c>
      <c r="E2" s="64"/>
    </row>
    <row r="3" spans="1:5" s="68" customFormat="1" ht="24.95" customHeight="1" x14ac:dyDescent="0.3">
      <c r="A3" s="65" t="s">
        <v>848</v>
      </c>
      <c r="B3" s="66"/>
      <c r="E3" s="69"/>
    </row>
    <row r="4" spans="1:5" s="71" customFormat="1" x14ac:dyDescent="0.25">
      <c r="A4" s="217" t="s">
        <v>207</v>
      </c>
      <c r="B4" s="217"/>
      <c r="C4" s="217"/>
      <c r="D4" s="217"/>
      <c r="E4" s="72" t="s">
        <v>119</v>
      </c>
    </row>
    <row r="5" spans="1:5" s="74" customFormat="1" ht="20.100000000000001" customHeight="1" x14ac:dyDescent="0.25">
      <c r="A5" s="73" t="str">
        <f>HYPERLINK("#'Lent Funds'!B6","Click here to return to the Lent Funds Tab")</f>
        <v>Click here to return to the Lent Funds Tab</v>
      </c>
      <c r="B5" s="74" t="s">
        <v>120</v>
      </c>
      <c r="C5" s="74" t="s">
        <v>121</v>
      </c>
      <c r="D5" s="74" t="s">
        <v>102</v>
      </c>
      <c r="E5" s="76"/>
    </row>
    <row r="6" spans="1:5" ht="20.100000000000001" customHeight="1" x14ac:dyDescent="0.25">
      <c r="A6" s="74" t="s">
        <v>847</v>
      </c>
      <c r="C6" s="77" t="str">
        <f ca="1">IFERROR(INDEX(Validation!G:G,MATCH("DFLoan9"&amp;CELL("address",C6),Validation!I:I,0)),"")</f>
        <v/>
      </c>
      <c r="D6" s="66" t="str">
        <f ca="1">IFERROR(INDEX(Validation!F:F,MATCH("DFLoan9"&amp;CELL("address",C6),Validation!I:I,0)),"")</f>
        <v/>
      </c>
      <c r="E6" s="78" t="s">
        <v>875</v>
      </c>
    </row>
    <row r="7" spans="1:5" x14ac:dyDescent="0.25">
      <c r="A7" s="79" t="s">
        <v>761</v>
      </c>
      <c r="B7" s="103" t="str">
        <f>IF(AND(NOT(ISBLANK('Lent Input'!K5)),OR('Lent Input'!K$5=Lists!$AG$4,'Lent Input'!K$5=Lists!$AG$5)),_xlfn.XLOOKUP('Lent Input'!K5,Lists!AG2:AG5,Lists!AH2:AH5),Lists!$AH$1)</f>
        <v>Select One</v>
      </c>
      <c r="C7" s="77" t="str">
        <f ca="1">IFERROR(INDEX(Validation!G:G,MATCH("DFLoan9"&amp;CELL("address",C7),Validation!I:I,0)),"")</f>
        <v/>
      </c>
      <c r="D7" s="66" t="str">
        <f ca="1">IFERROR(INDEX(Validation!F:F,MATCH("DFLoan9"&amp;CELL("address",C7),Validation!I:I,0)),"")</f>
        <v/>
      </c>
      <c r="E7" s="85" t="str">
        <f>IF(NOT(ISBLANK('Lent Input'!K4)),'Lent Input'!K4,"")</f>
        <v/>
      </c>
    </row>
    <row r="8" spans="1:5" x14ac:dyDescent="0.25">
      <c r="A8" s="79" t="s">
        <v>769</v>
      </c>
      <c r="B8" s="103" t="str">
        <f>IF(AND(NOT(ISBLANK('Lent Input'!K6)),'Lent Input'!K$5=Lists!$AG$4),'Lent Input'!K6,Lists!$AJ$1)</f>
        <v>Select One</v>
      </c>
      <c r="C8" s="77" t="str">
        <f ca="1">IFERROR(INDEX(Validation!G:G,MATCH("DFLoan9"&amp;CELL("address",C8),Validation!I:I,0)),"")</f>
        <v/>
      </c>
      <c r="D8" s="66" t="str">
        <f ca="1">IFERROR(INDEX(Validation!F:F,MATCH("DFLoan9"&amp;CELL("address",C8),Validation!I:I,0)),"")</f>
        <v/>
      </c>
    </row>
    <row r="9" spans="1:5" x14ac:dyDescent="0.25">
      <c r="A9" s="79" t="s">
        <v>770</v>
      </c>
      <c r="B9" s="103" t="str">
        <f>IF(AND(NOT(ISBLANK('Lent Input'!K7)),'Lent Input'!K$5=Lists!$AG$5),'Lent Input'!K7,"")</f>
        <v/>
      </c>
      <c r="C9" s="77" t="str">
        <f ca="1">IFERROR(INDEX(Validation!G:G,MATCH("DFLoan9"&amp;CELL("address",C9),Validation!I:I,0)),"")</f>
        <v/>
      </c>
      <c r="D9" s="66" t="str">
        <f ca="1">IFERROR(INDEX(Validation!F:F,MATCH("DFLoan9"&amp;CELL("address",C9),Validation!I:I,0)),"")</f>
        <v/>
      </c>
    </row>
    <row r="10" spans="1:5" x14ac:dyDescent="0.25">
      <c r="A10" s="79" t="s">
        <v>240</v>
      </c>
      <c r="B10" s="120" t="str">
        <f>IF(AND(NOT(ISBLANK('Lent Input'!K8)),OR('Lent Input'!K$5=Lists!$AG$4,'Lent Input'!K$5=Lists!$AG$5)),'Lent Input'!K8,"")</f>
        <v/>
      </c>
      <c r="C10" s="77" t="str">
        <f ca="1">IFERROR(INDEX(Validation!G:G,MATCH("DFLoan9"&amp;CELL("address",C10),Validation!I:I,0)),"")</f>
        <v/>
      </c>
      <c r="D10" s="66" t="str">
        <f ca="1">IFERROR(INDEX(Validation!F:F,MATCH("DFLoan9"&amp;CELL("address",C10),Validation!I:I,0)),"")</f>
        <v/>
      </c>
    </row>
    <row r="11" spans="1:5" x14ac:dyDescent="0.25">
      <c r="A11" s="79" t="s">
        <v>212</v>
      </c>
      <c r="B11" s="120" t="str">
        <f>IF(AND(NOT(ISBLANK('Lent Input'!K9)),OR('Lent Input'!K$5=Lists!$AG$4,'Lent Input'!K$5=Lists!$AG$5)),'Lent Input'!K9,"")</f>
        <v/>
      </c>
      <c r="C11" s="77" t="str">
        <f ca="1">IFERROR(INDEX(Validation!G:G,MATCH("DFLoan9"&amp;CELL("address",C11),Validation!I:I,0)),"")</f>
        <v/>
      </c>
      <c r="D11" s="66" t="str">
        <f ca="1">IFERROR(INDEX(Validation!F:F,MATCH("DFLoan9"&amp;CELL("address",C11),Validation!I:I,0)),"")</f>
        <v/>
      </c>
    </row>
    <row r="12" spans="1:5" x14ac:dyDescent="0.25">
      <c r="A12" s="79" t="s">
        <v>213</v>
      </c>
      <c r="B12" s="121" t="str">
        <f>IF(AND(NOT(ISBLANK('Lent Input'!K10)),OR('Lent Input'!K$5=Lists!$AG$4,'Lent Input'!K$5=Lists!$AG$5)),'Lent Input'!K10,"")</f>
        <v/>
      </c>
      <c r="C12" s="77" t="str">
        <f ca="1">IFERROR(INDEX(Validation!G:G,MATCH("DFLoan9"&amp;CELL("address",C12),Validation!I:I,0)),"")</f>
        <v/>
      </c>
      <c r="D12" s="66" t="str">
        <f ca="1">IFERROR(INDEX(Validation!F:F,MATCH("DFLoan9"&amp;CELL("address",C12),Validation!I:I,0)),"")</f>
        <v/>
      </c>
    </row>
    <row r="13" spans="1:5" x14ac:dyDescent="0.25">
      <c r="A13" s="79" t="s">
        <v>214</v>
      </c>
      <c r="B13" s="121" t="str">
        <f>IF(AND(NOT(ISBLANK('Lent Input'!K11)),OR('Lent Input'!K$5=Lists!$AG$4,'Lent Input'!K$5=Lists!$AG$5)),'Lent Input'!K11,"")</f>
        <v/>
      </c>
      <c r="C13" s="77" t="str">
        <f ca="1">IFERROR(INDEX(Validation!G:G,MATCH("DFLoan9"&amp;CELL("address",C13),Validation!I:I,0)),"")</f>
        <v/>
      </c>
      <c r="D13" s="66" t="str">
        <f ca="1">IFERROR(INDEX(Validation!F:F,MATCH("DFLoan9"&amp;CELL("address",C13),Validation!I:I,0)),"")</f>
        <v/>
      </c>
    </row>
    <row r="14" spans="1:5" x14ac:dyDescent="0.25">
      <c r="A14" s="79" t="s">
        <v>242</v>
      </c>
      <c r="B14" s="122" t="str">
        <f>IF(AND(NOT(ISBLANK('Lent Input'!K12)),OR('Lent Input'!K$5=Lists!$AG$4,'Lent Input'!K$5=Lists!$AG$5)),'Lent Input'!K12,"")</f>
        <v/>
      </c>
      <c r="C14" s="77" t="str">
        <f ca="1">IFERROR(INDEX(Validation!G:G,MATCH("DFLoan9"&amp;CELL("address",C14),Validation!I:I,0)),"")</f>
        <v/>
      </c>
      <c r="D14" s="66" t="str">
        <f ca="1">IFERROR(INDEX(Validation!F:F,MATCH("DFLoan9"&amp;CELL("address",C14),Validation!I:I,0)),"")</f>
        <v/>
      </c>
    </row>
    <row r="15" spans="1:5" ht="20.100000000000001" customHeight="1" x14ac:dyDescent="0.25">
      <c r="A15" s="74" t="s">
        <v>849</v>
      </c>
      <c r="C15" s="77" t="str">
        <f ca="1">IFERROR(INDEX(Validation!G:G,MATCH("DFLoan9"&amp;CELL("address",C15),Validation!I:I,0)),"")</f>
        <v/>
      </c>
      <c r="D15" s="66" t="str">
        <f ca="1">IFERROR(INDEX(Validation!F:F,MATCH("DFLoan9"&amp;CELL("address",C15),Validation!I:I,0)),"")</f>
        <v/>
      </c>
    </row>
    <row r="16" spans="1:5" x14ac:dyDescent="0.25">
      <c r="A16" s="79" t="s">
        <v>243</v>
      </c>
      <c r="B16" s="122" t="str">
        <f>IF(AND(NOT(ISBLANK('Lent Input'!K13)),OR('Lent Input'!K$5=Lists!$AG$4,'Lent Input'!K$5=Lists!$AG$5)),'Lent Input'!K13,"")</f>
        <v/>
      </c>
      <c r="C16" s="77" t="str">
        <f ca="1">IFERROR(INDEX(Validation!G:G,MATCH("DFLoan9"&amp;CELL("address",C16),Validation!I:I,0)),"")</f>
        <v/>
      </c>
      <c r="D16" s="66" t="str">
        <f ca="1">IFERROR(INDEX(Validation!F:F,MATCH("DFLoan9"&amp;CELL("address",C16),Validation!I:I,0)),"")</f>
        <v/>
      </c>
    </row>
    <row r="17" spans="1:5" x14ac:dyDescent="0.25">
      <c r="A17" s="79" t="str">
        <f>"Amount Drawn in "&amp;Year_DestinationYearID</f>
        <v>Amount Drawn in 2024</v>
      </c>
      <c r="B17" s="103"/>
      <c r="C17" s="77" t="str">
        <f ca="1">IFERROR(INDEX(Validation!G:G,MATCH("DFLoan9"&amp;CELL("address",C17),Validation!I:I,0)),"")</f>
        <v/>
      </c>
      <c r="D17" s="66" t="str">
        <f ca="1">IFERROR(INDEX(Validation!F:F,MATCH("DFLoan9"&amp;CELL("address",C17),Validation!I:I,0)),"")</f>
        <v/>
      </c>
    </row>
    <row r="18" spans="1:5" x14ac:dyDescent="0.25">
      <c r="A18" s="79" t="s">
        <v>245</v>
      </c>
      <c r="B18" s="125" t="str">
        <f>IFERROR(B16+B17,"")</f>
        <v/>
      </c>
      <c r="C18" s="77" t="str">
        <f ca="1">IFERROR(INDEX(Validation!G:G,MATCH("DFLoan9"&amp;CELL("address",C18),Validation!I:I,0)),"")</f>
        <v/>
      </c>
      <c r="D18" s="66" t="str">
        <f ca="1">IFERROR(INDEX(Validation!F:F,MATCH("DFLoan9"&amp;CELL("address",C18),Validation!I:I,0)),"")</f>
        <v/>
      </c>
    </row>
    <row r="19" spans="1:5" x14ac:dyDescent="0.25">
      <c r="A19" s="79" t="s">
        <v>279</v>
      </c>
      <c r="B19" s="122" t="str">
        <f>IF(AND(NOT(ISBLANK('Lent Input'!K16)),OR('Lent Input'!K$5=Lists!$AG$4,'Lent Input'!K$5=Lists!$AG$5)),'Lent Input'!K16,"")</f>
        <v/>
      </c>
      <c r="C19" s="77" t="str">
        <f ca="1">IFERROR(INDEX(Validation!G:G,MATCH("DFLoan9"&amp;CELL("address",C19),Validation!I:I,0)),"")</f>
        <v/>
      </c>
      <c r="D19" s="66" t="str">
        <f ca="1">IFERROR(INDEX(Validation!F:F,MATCH("DFLoan9"&amp;CELL("address",C19),Validation!I:I,0)),"")</f>
        <v/>
      </c>
    </row>
    <row r="20" spans="1:5" x14ac:dyDescent="0.25">
      <c r="A20" s="79" t="str">
        <f>"Principal Received in "&amp;Year_DestinationYearID</f>
        <v>Principal Received in 2024</v>
      </c>
      <c r="B20" s="122"/>
      <c r="C20" s="77" t="str">
        <f ca="1">IFERROR(INDEX(Validation!G:G,MATCH("DFLoan9"&amp;CELL("address",C20),Validation!I:I,0)),"")</f>
        <v/>
      </c>
      <c r="D20" s="66" t="str">
        <f ca="1">IFERROR(INDEX(Validation!F:F,MATCH("DFLoan9"&amp;CELL("address",C20),Validation!I:I,0)),"")</f>
        <v/>
      </c>
    </row>
    <row r="21" spans="1:5" x14ac:dyDescent="0.25">
      <c r="A21" s="79" t="s">
        <v>280</v>
      </c>
      <c r="B21" s="122" t="str">
        <f>IF(AND(NOT(ISBLANK('Lent Input'!K18)),OR('Lent Input'!K$5=Lists!$AG$4,'Lent Input'!K$5=Lists!$AG$5)),'Lent Input'!K18,"")</f>
        <v/>
      </c>
      <c r="C21" s="77" t="str">
        <f ca="1">IFERROR(INDEX(Validation!G:G,MATCH("DFLoan9"&amp;CELL("address",C21),Validation!I:I,0)),"")</f>
        <v/>
      </c>
      <c r="D21" s="66" t="str">
        <f ca="1">IFERROR(INDEX(Validation!F:F,MATCH("DFLoan9"&amp;CELL("address",C21),Validation!I:I,0)),"")</f>
        <v/>
      </c>
    </row>
    <row r="22" spans="1:5" x14ac:dyDescent="0.25">
      <c r="A22" s="79" t="str">
        <f>"Additions/Reductions in "&amp;Year_DestinationYearID</f>
        <v>Additions/Reductions in 2024</v>
      </c>
      <c r="B22" s="122"/>
      <c r="C22" s="77" t="str">
        <f ca="1">IFERROR(INDEX(Validation!G:G,MATCH("DFLoan9"&amp;CELL("address",C22),Validation!I:I,0)),"")</f>
        <v/>
      </c>
      <c r="D22" s="66" t="str">
        <f ca="1">IFERROR(INDEX(Validation!F:F,MATCH("DFLoan9"&amp;CELL("address",C22),Validation!I:I,0)),"")</f>
        <v/>
      </c>
    </row>
    <row r="23" spans="1:5" x14ac:dyDescent="0.25">
      <c r="A23" s="79" t="s">
        <v>221</v>
      </c>
      <c r="B23" s="125" t="str">
        <f>IFERROR(B18-B19-B20+B21+B22,"")</f>
        <v/>
      </c>
      <c r="C23" s="77" t="str">
        <f ca="1">IFERROR(INDEX(Validation!G:G,MATCH("DFLoan9"&amp;CELL("address",C23),Validation!I:I,0)),"")</f>
        <v/>
      </c>
      <c r="D23" s="66" t="str">
        <f ca="1">IFERROR(INDEX(Validation!F:F,MATCH("DFLoan9"&amp;CELL("address",C23),Validation!I:I,0)),"")</f>
        <v/>
      </c>
    </row>
    <row r="24" spans="1:5" x14ac:dyDescent="0.25">
      <c r="A24" s="79" t="str">
        <f>"Principal Due in "&amp;Year_DestinationYearID+1</f>
        <v>Principal Due in 2025</v>
      </c>
      <c r="B24" s="122"/>
      <c r="C24" s="77" t="str">
        <f ca="1">IFERROR(INDEX(Validation!G:G,MATCH("DFLoan9"&amp;CELL("address",C24),Validation!I:I,0)),"")</f>
        <v/>
      </c>
      <c r="D24" s="66" t="str">
        <f ca="1">IFERROR(INDEX(Validation!F:F,MATCH("DFLoan9"&amp;CELL("address",C24),Validation!I:I,0)),"")</f>
        <v/>
      </c>
    </row>
    <row r="25" spans="1:5" x14ac:dyDescent="0.25">
      <c r="A25" s="79" t="s">
        <v>281</v>
      </c>
      <c r="B25" s="122" t="str">
        <f>IF(AND(NOT(ISBLANK('Lent Input'!K22)),OR('Lent Input'!K$5=Lists!$AG$4,'Lent Input'!K$5=Lists!$AG$5)),'Lent Input'!K22,"")</f>
        <v/>
      </c>
      <c r="C25" s="77" t="str">
        <f ca="1">IFERROR(INDEX(Validation!G:G,MATCH("DFLoan9"&amp;CELL("address",C25),Validation!I:I,0)),"")</f>
        <v/>
      </c>
      <c r="D25" s="66" t="str">
        <f ca="1">IFERROR(INDEX(Validation!F:F,MATCH("DFLoan9"&amp;CELL("address",C25),Validation!I:I,0)),"")</f>
        <v/>
      </c>
    </row>
    <row r="26" spans="1:5" x14ac:dyDescent="0.25">
      <c r="A26" s="79" t="str">
        <f>"Interest Received in "&amp;Year_DestinationYearID</f>
        <v>Interest Received in 2024</v>
      </c>
      <c r="B26" s="122"/>
      <c r="C26" s="77" t="str">
        <f ca="1">IFERROR(INDEX(Validation!G:G,MATCH("DFLoan9"&amp;CELL("address",C26),Validation!I:I,0)),"")</f>
        <v/>
      </c>
      <c r="D26" s="66" t="str">
        <f ca="1">IFERROR(INDEX(Validation!F:F,MATCH("DFLoan9"&amp;CELL("address",C26),Validation!I:I,0)),"")</f>
        <v/>
      </c>
    </row>
    <row r="27" spans="1:5" x14ac:dyDescent="0.25">
      <c r="A27" s="79" t="str">
        <f>"Interest Due in "&amp;Year_DestinationYearID+1</f>
        <v>Interest Due in 2025</v>
      </c>
      <c r="B27" s="122"/>
      <c r="C27" s="77" t="str">
        <f ca="1">IFERROR(INDEX(Validation!G:G,MATCH("DFLoan9"&amp;CELL("address",C27),Validation!I:I,0)),"")</f>
        <v/>
      </c>
      <c r="D27" s="66" t="str">
        <f ca="1">IFERROR(INDEX(Validation!F:F,MATCH("DFLoan9"&amp;CELL("address",C27),Validation!I:I,0)),"")</f>
        <v/>
      </c>
      <c r="E27" s="126"/>
    </row>
    <row r="28" spans="1:5" ht="20.100000000000001" customHeight="1" x14ac:dyDescent="0.25">
      <c r="A28" s="97" t="s">
        <v>176</v>
      </c>
      <c r="C28" s="77" t="str">
        <f ca="1">IF(AND(ISBLANK(A29),OR(COUNTIF(D6:D27,"Alert")&gt;0,SUM(B21:B22)&lt;&gt;0)),"Comment(s) required for remaining alert(s) and/or additions to principal.",IFERROR(INDEX(Validation!G:G,MATCH("DFLoan9"&amp;CELL("address",C28),Validation!I:I,0)),""))</f>
        <v/>
      </c>
      <c r="D28" s="66" t="str">
        <f ca="1">IF(AND(ISBLANK(A29),OR(COUNTIF(D6:D27,"Alert")&gt;0,SUM(B21:B22)&lt;&gt;0)),"Error",IFERROR(INDEX(Validation!F:F,MATCH("DFLoan9"&amp;CELL("address",C28),Validation!I:I,0)),""))</f>
        <v/>
      </c>
    </row>
    <row r="29" spans="1:5" ht="150" customHeight="1" x14ac:dyDescent="0.25">
      <c r="A29" s="123"/>
      <c r="B29" s="100" t="str">
        <f>HYPERLINK("#'Lent Funds'!B6","Click here to return to the Lent Funds Tab")</f>
        <v>Click here to return to the Lent Funds Tab</v>
      </c>
    </row>
    <row r="30" spans="1:5" x14ac:dyDescent="0.25">
      <c r="A30" s="98"/>
      <c r="B30" s="98"/>
    </row>
    <row r="31" spans="1:5" x14ac:dyDescent="0.25">
      <c r="A31" s="98"/>
      <c r="B31" s="98"/>
    </row>
    <row r="32" spans="1:5" x14ac:dyDescent="0.25">
      <c r="A32" s="98"/>
      <c r="B32" s="98"/>
    </row>
    <row r="33" spans="1:2" x14ac:dyDescent="0.25">
      <c r="A33" s="98"/>
      <c r="B33" s="98"/>
    </row>
  </sheetData>
  <sheetProtection algorithmName="SHA-512" hashValue="eQRgvjUZ8XN+9qMeoPid1vDexY2ySeIc3C7eVQwSZC6P+/yKtTGqlgECWgtqDYUuon8Du55udy+NGt7L9PzI5w==" saltValue="jD/CbWwprTl9x6NZNcW/vA==" spinCount="100000" sheet="1" objects="1" scenarios="1"/>
  <mergeCells count="1">
    <mergeCell ref="A4:D4"/>
  </mergeCells>
  <conditionalFormatting sqref="A2">
    <cfRule type="expression" dxfId="62" priority="11">
      <formula>$D2="Error"</formula>
    </cfRule>
    <cfRule type="expression" dxfId="60" priority="13">
      <formula>$D2="Exclude"</formula>
    </cfRule>
  </conditionalFormatting>
  <conditionalFormatting sqref="C6:D28">
    <cfRule type="expression" dxfId="57" priority="1">
      <formula>$D6="Information"</formula>
    </cfRule>
    <cfRule type="expression" dxfId="56" priority="2">
      <formula>$D6="Error"</formula>
    </cfRule>
    <cfRule type="expression" dxfId="55" priority="3">
      <formula>$D6="Alert"</formula>
    </cfRule>
    <cfRule type="expression" dxfId="54" priority="4">
      <formula>$D6="Exclude"</formula>
    </cfRule>
  </conditionalFormatting>
  <dataValidations count="2">
    <dataValidation type="list" allowBlank="1" showInputMessage="1" showErrorMessage="1" sqref="B7" xr:uid="{8C0B7741-8FB2-4487-91B9-BFC81B7A97B9}">
      <formula1>DueFromType</formula1>
    </dataValidation>
    <dataValidation type="list" allowBlank="1" showInputMessage="1" showErrorMessage="1" sqref="B8" xr:uid="{1173FA7A-55AE-4FED-B286-E4CB796A466D}">
      <formula1>DistrictDropDown</formula1>
    </dataValidation>
  </dataValidations>
  <pageMargins left="0.7" right="0.7" top="0.75" bottom="0.75" header="0.3" footer="0.3"/>
  <pageSetup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12" id="{BDD2A6F9-14CD-408A-9F07-C0AFBAADB0C1}">
            <xm:f>COUNTIFS(Validation!$H:$H,MID(CELL("filename",A2),FIND("]",CELL("filename",A2))+1,255)&amp;CELL("address",A2))&gt;0</xm:f>
            <x14:dxf>
              <font>
                <b/>
                <i val="0"/>
                <color rgb="FFC00000"/>
              </font>
              <numFmt numFmtId="172" formatCode="_(\!* #,##0_);_(\!* \(#,##0\);_(\!* \-??_);_(\!\ @_)"/>
            </x14:dxf>
          </x14:cfRule>
          <xm:sqref>A2</xm:sqref>
        </x14:conditionalFormatting>
        <x14:conditionalFormatting xmlns:xm="http://schemas.microsoft.com/office/excel/2006/main">
          <x14:cfRule type="expression" priority="10" id="{149280E0-63B4-47C1-8B9A-AD88401ACE50}">
            <xm:f>$B$7=Lists!$AH$5</xm:f>
            <x14:dxf>
              <fill>
                <patternFill>
                  <bgColor rgb="FFEAEAEA"/>
                </patternFill>
              </fill>
            </x14:dxf>
          </x14:cfRule>
          <xm:sqref>B8</xm:sqref>
        </x14:conditionalFormatting>
        <x14:conditionalFormatting xmlns:xm="http://schemas.microsoft.com/office/excel/2006/main">
          <x14:cfRule type="expression" priority="9" id="{F60C0F92-1572-48CF-B221-73E8757EA4B2}">
            <xm:f>$B$7=Lists!$AH$4</xm:f>
            <x14:dxf>
              <fill>
                <patternFill>
                  <bgColor rgb="FFEAEAEA"/>
                </patternFill>
              </fill>
            </x14:dxf>
          </x14:cfRule>
          <xm:sqref>B9</xm:sqref>
        </x14:conditionalFormatting>
      </x14:conditionalFormattings>
    </ext>
  </extLs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78AD7-44B0-4C03-BC44-432A0990FBBD}">
  <sheetPr>
    <tabColor rgb="FFEED382"/>
  </sheetPr>
  <dimension ref="A1:E33"/>
  <sheetViews>
    <sheetView showGridLines="0" workbookViewId="0">
      <selection activeCell="B7" sqref="B7"/>
    </sheetView>
  </sheetViews>
  <sheetFormatPr defaultRowHeight="15" x14ac:dyDescent="0.25"/>
  <cols>
    <col min="1" max="1" width="55.7109375" style="66" customWidth="1"/>
    <col min="2" max="2" width="22.7109375" style="66" customWidth="1"/>
    <col min="3" max="3" width="80.85546875" style="66" customWidth="1"/>
    <col min="4" max="4" width="14.7109375" style="66" customWidth="1"/>
    <col min="5" max="5" width="10.7109375" style="78" hidden="1" customWidth="1"/>
    <col min="6" max="16384" width="9.140625" style="66"/>
  </cols>
  <sheetData>
    <row r="1" spans="1:5" s="59" customFormat="1" ht="24.95" customHeight="1" x14ac:dyDescent="0.25">
      <c r="A1" s="59" t="str">
        <f>_xlfn.CONCAT("Office of the State Auditor  -  TIF Annual Reporting Form  -  ",Year_DestinationYearID)</f>
        <v>Office of the State Auditor  -  TIF Annual Reporting Form  -  2024</v>
      </c>
      <c r="E1" s="61"/>
    </row>
    <row r="2" spans="1:5" s="62" customFormat="1" ht="20.100000000000001" customHeight="1" x14ac:dyDescent="0.25">
      <c r="A2" s="58" t="str">
        <f>_xlfn.CONCAT(GovEntity_GovEntityName_Parent,"  -  ",GovEntity_GovEntityName)</f>
        <v>Spruce City  -  TIF 1-1 Downtown Redev</v>
      </c>
      <c r="E2" s="64"/>
    </row>
    <row r="3" spans="1:5" s="68" customFormat="1" ht="24.95" customHeight="1" x14ac:dyDescent="0.3">
      <c r="A3" s="65" t="s">
        <v>848</v>
      </c>
      <c r="B3" s="66"/>
      <c r="E3" s="69"/>
    </row>
    <row r="4" spans="1:5" s="71" customFormat="1" x14ac:dyDescent="0.25">
      <c r="A4" s="217" t="s">
        <v>207</v>
      </c>
      <c r="B4" s="217"/>
      <c r="C4" s="217"/>
      <c r="D4" s="217"/>
      <c r="E4" s="72" t="s">
        <v>119</v>
      </c>
    </row>
    <row r="5" spans="1:5" s="74" customFormat="1" ht="20.100000000000001" customHeight="1" x14ac:dyDescent="0.25">
      <c r="A5" s="73" t="str">
        <f>HYPERLINK("#'Lent Funds'!B6","Click here to return to the Lent Funds Tab")</f>
        <v>Click here to return to the Lent Funds Tab</v>
      </c>
      <c r="B5" s="74" t="s">
        <v>120</v>
      </c>
      <c r="C5" s="74" t="s">
        <v>121</v>
      </c>
      <c r="D5" s="74" t="s">
        <v>102</v>
      </c>
      <c r="E5" s="76"/>
    </row>
    <row r="6" spans="1:5" ht="20.100000000000001" customHeight="1" x14ac:dyDescent="0.25">
      <c r="A6" s="74" t="s">
        <v>847</v>
      </c>
      <c r="C6" s="77" t="str">
        <f ca="1">IFERROR(INDEX(Validation!G:G,MATCH("DFLoan10"&amp;CELL("address",C6),Validation!I:I,0)),"")</f>
        <v/>
      </c>
      <c r="D6" s="66" t="str">
        <f ca="1">IFERROR(INDEX(Validation!F:F,MATCH("DFLoan10"&amp;CELL("address",C6),Validation!I:I,0)),"")</f>
        <v/>
      </c>
      <c r="E6" s="78" t="s">
        <v>875</v>
      </c>
    </row>
    <row r="7" spans="1:5" x14ac:dyDescent="0.25">
      <c r="A7" s="79" t="s">
        <v>761</v>
      </c>
      <c r="B7" s="103" t="str">
        <f>IF(AND(NOT(ISBLANK('Lent Input'!L5)),OR('Lent Input'!L$5=Lists!$AG$4,'Lent Input'!L$5=Lists!$AG$5)),_xlfn.XLOOKUP('Lent Input'!L5,Lists!AG2:AG5,Lists!AH2:AH5),Lists!$AH$1)</f>
        <v>Select One</v>
      </c>
      <c r="C7" s="77" t="str">
        <f ca="1">IFERROR(INDEX(Validation!G:G,MATCH("DFLoan10"&amp;CELL("address",C7),Validation!I:I,0)),"")</f>
        <v/>
      </c>
      <c r="D7" s="66" t="str">
        <f ca="1">IFERROR(INDEX(Validation!F:F,MATCH("DFLoan10"&amp;CELL("address",C7),Validation!I:I,0)),"")</f>
        <v/>
      </c>
      <c r="E7" s="85" t="str">
        <f>IF(NOT(ISBLANK('Lent Input'!L4)),'Lent Input'!L4,"")</f>
        <v/>
      </c>
    </row>
    <row r="8" spans="1:5" x14ac:dyDescent="0.25">
      <c r="A8" s="79" t="s">
        <v>769</v>
      </c>
      <c r="B8" s="103" t="str">
        <f>IF(AND(NOT(ISBLANK('Lent Input'!L6)),'Lent Input'!L$5=Lists!$AG$4),'Lent Input'!L6,Lists!$AJ$1)</f>
        <v>Select One</v>
      </c>
      <c r="C8" s="77" t="str">
        <f ca="1">IFERROR(INDEX(Validation!G:G,MATCH("DFLoan10"&amp;CELL("address",C8),Validation!I:I,0)),"")</f>
        <v/>
      </c>
      <c r="D8" s="66" t="str">
        <f ca="1">IFERROR(INDEX(Validation!F:F,MATCH("DFLoan10"&amp;CELL("address",C8),Validation!I:I,0)),"")</f>
        <v/>
      </c>
    </row>
    <row r="9" spans="1:5" x14ac:dyDescent="0.25">
      <c r="A9" s="79" t="s">
        <v>770</v>
      </c>
      <c r="B9" s="103" t="str">
        <f>IF(AND(NOT(ISBLANK('Lent Input'!L7)),'Lent Input'!L$5=Lists!$AG$5),'Lent Input'!L7,"")</f>
        <v/>
      </c>
      <c r="C9" s="77" t="str">
        <f ca="1">IFERROR(INDEX(Validation!G:G,MATCH("DFLoan10"&amp;CELL("address",C9),Validation!I:I,0)),"")</f>
        <v/>
      </c>
      <c r="D9" s="66" t="str">
        <f ca="1">IFERROR(INDEX(Validation!F:F,MATCH("DFLoan10"&amp;CELL("address",C9),Validation!I:I,0)),"")</f>
        <v/>
      </c>
    </row>
    <row r="10" spans="1:5" x14ac:dyDescent="0.25">
      <c r="A10" s="79" t="s">
        <v>240</v>
      </c>
      <c r="B10" s="120" t="str">
        <f>IF(AND(NOT(ISBLANK('Lent Input'!L8)),OR('Lent Input'!L$5=Lists!$AG$4,'Lent Input'!L$5=Lists!$AG$5)),'Lent Input'!L8,"")</f>
        <v/>
      </c>
      <c r="C10" s="77" t="str">
        <f ca="1">IFERROR(INDEX(Validation!G:G,MATCH("DFLoan10"&amp;CELL("address",C10),Validation!I:I,0)),"")</f>
        <v/>
      </c>
      <c r="D10" s="66" t="str">
        <f ca="1">IFERROR(INDEX(Validation!F:F,MATCH("DFLoan10"&amp;CELL("address",C10),Validation!I:I,0)),"")</f>
        <v/>
      </c>
    </row>
    <row r="11" spans="1:5" x14ac:dyDescent="0.25">
      <c r="A11" s="79" t="s">
        <v>212</v>
      </c>
      <c r="B11" s="120" t="str">
        <f>IF(AND(NOT(ISBLANK('Lent Input'!L9)),OR('Lent Input'!L$5=Lists!$AG$4,'Lent Input'!L$5=Lists!$AG$5)),'Lent Input'!L9,"")</f>
        <v/>
      </c>
      <c r="C11" s="77" t="str">
        <f ca="1">IFERROR(INDEX(Validation!G:G,MATCH("DFLoan10"&amp;CELL("address",C11),Validation!I:I,0)),"")</f>
        <v/>
      </c>
      <c r="D11" s="66" t="str">
        <f ca="1">IFERROR(INDEX(Validation!F:F,MATCH("DFLoan10"&amp;CELL("address",C11),Validation!I:I,0)),"")</f>
        <v/>
      </c>
    </row>
    <row r="12" spans="1:5" x14ac:dyDescent="0.25">
      <c r="A12" s="79" t="s">
        <v>213</v>
      </c>
      <c r="B12" s="121" t="str">
        <f>IF(AND(NOT(ISBLANK('Lent Input'!L10)),OR('Lent Input'!L$5=Lists!$AG$4,'Lent Input'!L$5=Lists!$AG$5)),'Lent Input'!L10,"")</f>
        <v/>
      </c>
      <c r="C12" s="77" t="str">
        <f ca="1">IFERROR(INDEX(Validation!G:G,MATCH("DFLoan10"&amp;CELL("address",C12),Validation!I:I,0)),"")</f>
        <v/>
      </c>
      <c r="D12" s="66" t="str">
        <f ca="1">IFERROR(INDEX(Validation!F:F,MATCH("DFLoan10"&amp;CELL("address",C12),Validation!I:I,0)),"")</f>
        <v/>
      </c>
    </row>
    <row r="13" spans="1:5" x14ac:dyDescent="0.25">
      <c r="A13" s="79" t="s">
        <v>214</v>
      </c>
      <c r="B13" s="121" t="str">
        <f>IF(AND(NOT(ISBLANK('Lent Input'!L11)),OR('Lent Input'!L$5=Lists!$AG$4,'Lent Input'!L$5=Lists!$AG$5)),'Lent Input'!L11,"")</f>
        <v/>
      </c>
      <c r="C13" s="77" t="str">
        <f ca="1">IFERROR(INDEX(Validation!G:G,MATCH("DFLoan10"&amp;CELL("address",C13),Validation!I:I,0)),"")</f>
        <v/>
      </c>
      <c r="D13" s="66" t="str">
        <f ca="1">IFERROR(INDEX(Validation!F:F,MATCH("DFLoan10"&amp;CELL("address",C13),Validation!I:I,0)),"")</f>
        <v/>
      </c>
    </row>
    <row r="14" spans="1:5" x14ac:dyDescent="0.25">
      <c r="A14" s="79" t="s">
        <v>242</v>
      </c>
      <c r="B14" s="122" t="str">
        <f>IF(AND(NOT(ISBLANK('Lent Input'!L12)),OR('Lent Input'!L$5=Lists!$AG$4,'Lent Input'!L$5=Lists!$AG$5)),'Lent Input'!L12,"")</f>
        <v/>
      </c>
      <c r="C14" s="77" t="str">
        <f ca="1">IFERROR(INDEX(Validation!G:G,MATCH("DFLoan10"&amp;CELL("address",C14),Validation!I:I,0)),"")</f>
        <v/>
      </c>
      <c r="D14" s="66" t="str">
        <f ca="1">IFERROR(INDEX(Validation!F:F,MATCH("DFLoan10"&amp;CELL("address",C14),Validation!I:I,0)),"")</f>
        <v/>
      </c>
    </row>
    <row r="15" spans="1:5" ht="20.100000000000001" customHeight="1" x14ac:dyDescent="0.25">
      <c r="A15" s="74" t="s">
        <v>849</v>
      </c>
      <c r="C15" s="77" t="str">
        <f ca="1">IFERROR(INDEX(Validation!G:G,MATCH("DFLoan10"&amp;CELL("address",C15),Validation!I:I,0)),"")</f>
        <v/>
      </c>
      <c r="D15" s="66" t="str">
        <f ca="1">IFERROR(INDEX(Validation!F:F,MATCH("DFLoan10"&amp;CELL("address",C15),Validation!I:I,0)),"")</f>
        <v/>
      </c>
    </row>
    <row r="16" spans="1:5" x14ac:dyDescent="0.25">
      <c r="A16" s="79" t="s">
        <v>243</v>
      </c>
      <c r="B16" s="122" t="str">
        <f>IF(AND(NOT(ISBLANK('Lent Input'!L13)),OR('Lent Input'!L$5=Lists!$AG$4,'Lent Input'!L$5=Lists!$AG$5)),'Lent Input'!L13,"")</f>
        <v/>
      </c>
      <c r="C16" s="77" t="str">
        <f ca="1">IFERROR(INDEX(Validation!G:G,MATCH("DFLoan10"&amp;CELL("address",C16),Validation!I:I,0)),"")</f>
        <v/>
      </c>
      <c r="D16" s="66" t="str">
        <f ca="1">IFERROR(INDEX(Validation!F:F,MATCH("DFLoan10"&amp;CELL("address",C16),Validation!I:I,0)),"")</f>
        <v/>
      </c>
    </row>
    <row r="17" spans="1:5" x14ac:dyDescent="0.25">
      <c r="A17" s="79" t="str">
        <f>"Amount Drawn in "&amp;Year_DestinationYearID</f>
        <v>Amount Drawn in 2024</v>
      </c>
      <c r="B17" s="103"/>
      <c r="C17" s="77" t="str">
        <f ca="1">IFERROR(INDEX(Validation!G:G,MATCH("DFLoan10"&amp;CELL("address",C17),Validation!I:I,0)),"")</f>
        <v/>
      </c>
      <c r="D17" s="66" t="str">
        <f ca="1">IFERROR(INDEX(Validation!F:F,MATCH("DFLoan10"&amp;CELL("address",C17),Validation!I:I,0)),"")</f>
        <v/>
      </c>
    </row>
    <row r="18" spans="1:5" x14ac:dyDescent="0.25">
      <c r="A18" s="79" t="s">
        <v>245</v>
      </c>
      <c r="B18" s="125" t="str">
        <f>IFERROR(B16+B17,"")</f>
        <v/>
      </c>
      <c r="C18" s="77" t="str">
        <f ca="1">IFERROR(INDEX(Validation!G:G,MATCH("DFLoan10"&amp;CELL("address",C18),Validation!I:I,0)),"")</f>
        <v/>
      </c>
      <c r="D18" s="66" t="str">
        <f ca="1">IFERROR(INDEX(Validation!F:F,MATCH("DFLoan10"&amp;CELL("address",C18),Validation!I:I,0)),"")</f>
        <v/>
      </c>
    </row>
    <row r="19" spans="1:5" x14ac:dyDescent="0.25">
      <c r="A19" s="79" t="s">
        <v>279</v>
      </c>
      <c r="B19" s="122" t="str">
        <f>IF(AND(NOT(ISBLANK('Lent Input'!L16)),OR('Lent Input'!L$5=Lists!$AG$4,'Lent Input'!L$5=Lists!$AG$5)),'Lent Input'!L16,"")</f>
        <v/>
      </c>
      <c r="C19" s="77" t="str">
        <f ca="1">IFERROR(INDEX(Validation!G:G,MATCH("DFLoan10"&amp;CELL("address",C19),Validation!I:I,0)),"")</f>
        <v/>
      </c>
      <c r="D19" s="66" t="str">
        <f ca="1">IFERROR(INDEX(Validation!F:F,MATCH("DFLoan10"&amp;CELL("address",C19),Validation!I:I,0)),"")</f>
        <v/>
      </c>
    </row>
    <row r="20" spans="1:5" x14ac:dyDescent="0.25">
      <c r="A20" s="79" t="str">
        <f>"Principal Received in "&amp;Year_DestinationYearID</f>
        <v>Principal Received in 2024</v>
      </c>
      <c r="B20" s="122"/>
      <c r="C20" s="77" t="str">
        <f ca="1">IFERROR(INDEX(Validation!G:G,MATCH("DFLoan10"&amp;CELL("address",C20),Validation!I:I,0)),"")</f>
        <v/>
      </c>
      <c r="D20" s="66" t="str">
        <f ca="1">IFERROR(INDEX(Validation!F:F,MATCH("DFLoan10"&amp;CELL("address",C20),Validation!I:I,0)),"")</f>
        <v/>
      </c>
    </row>
    <row r="21" spans="1:5" x14ac:dyDescent="0.25">
      <c r="A21" s="79" t="s">
        <v>280</v>
      </c>
      <c r="B21" s="122" t="str">
        <f>IF(AND(NOT(ISBLANK('Lent Input'!L18)),OR('Lent Input'!L$5=Lists!$AG$4,'Lent Input'!L$5=Lists!$AG$5)),'Lent Input'!L18,"")</f>
        <v/>
      </c>
      <c r="C21" s="77" t="str">
        <f ca="1">IFERROR(INDEX(Validation!G:G,MATCH("DFLoan10"&amp;CELL("address",C21),Validation!I:I,0)),"")</f>
        <v/>
      </c>
      <c r="D21" s="66" t="str">
        <f ca="1">IFERROR(INDEX(Validation!F:F,MATCH("DFLoan10"&amp;CELL("address",C21),Validation!I:I,0)),"")</f>
        <v/>
      </c>
    </row>
    <row r="22" spans="1:5" x14ac:dyDescent="0.25">
      <c r="A22" s="79" t="str">
        <f>"Additions/Reductions in "&amp;Year_DestinationYearID</f>
        <v>Additions/Reductions in 2024</v>
      </c>
      <c r="B22" s="122"/>
      <c r="C22" s="77" t="str">
        <f ca="1">IFERROR(INDEX(Validation!G:G,MATCH("DFLoan10"&amp;CELL("address",C22),Validation!I:I,0)),"")</f>
        <v/>
      </c>
      <c r="D22" s="66" t="str">
        <f ca="1">IFERROR(INDEX(Validation!F:F,MATCH("DFLoan10"&amp;CELL("address",C22),Validation!I:I,0)),"")</f>
        <v/>
      </c>
    </row>
    <row r="23" spans="1:5" x14ac:dyDescent="0.25">
      <c r="A23" s="79" t="s">
        <v>221</v>
      </c>
      <c r="B23" s="125" t="str">
        <f>IFERROR(B18-B19-B20+B21+B22,"")</f>
        <v/>
      </c>
      <c r="C23" s="77" t="str">
        <f ca="1">IFERROR(INDEX(Validation!G:G,MATCH("DFLoan10"&amp;CELL("address",C23),Validation!I:I,0)),"")</f>
        <v/>
      </c>
      <c r="D23" s="66" t="str">
        <f ca="1">IFERROR(INDEX(Validation!F:F,MATCH("DFLoan10"&amp;CELL("address",C23),Validation!I:I,0)),"")</f>
        <v/>
      </c>
    </row>
    <row r="24" spans="1:5" x14ac:dyDescent="0.25">
      <c r="A24" s="79" t="str">
        <f>"Principal Due in "&amp;Year_DestinationYearID+1</f>
        <v>Principal Due in 2025</v>
      </c>
      <c r="B24" s="122"/>
      <c r="C24" s="77" t="str">
        <f ca="1">IFERROR(INDEX(Validation!G:G,MATCH("DFLoan10"&amp;CELL("address",C24),Validation!I:I,0)),"")</f>
        <v/>
      </c>
      <c r="D24" s="66" t="str">
        <f ca="1">IFERROR(INDEX(Validation!F:F,MATCH("DFLoan10"&amp;CELL("address",C24),Validation!I:I,0)),"")</f>
        <v/>
      </c>
    </row>
    <row r="25" spans="1:5" x14ac:dyDescent="0.25">
      <c r="A25" s="79" t="s">
        <v>281</v>
      </c>
      <c r="B25" s="122" t="str">
        <f>IF(AND(NOT(ISBLANK('Lent Input'!L22)),OR('Lent Input'!L$5=Lists!$AG$4,'Lent Input'!L$5=Lists!$AG$5)),'Lent Input'!L22,"")</f>
        <v/>
      </c>
      <c r="C25" s="77" t="str">
        <f ca="1">IFERROR(INDEX(Validation!G:G,MATCH("DFLoan10"&amp;CELL("address",C25),Validation!I:I,0)),"")</f>
        <v/>
      </c>
      <c r="D25" s="66" t="str">
        <f ca="1">IFERROR(INDEX(Validation!F:F,MATCH("DFLoan10"&amp;CELL("address",C25),Validation!I:I,0)),"")</f>
        <v/>
      </c>
    </row>
    <row r="26" spans="1:5" x14ac:dyDescent="0.25">
      <c r="A26" s="79" t="str">
        <f>"Interest Received in "&amp;Year_DestinationYearID</f>
        <v>Interest Received in 2024</v>
      </c>
      <c r="B26" s="122"/>
      <c r="C26" s="77" t="str">
        <f ca="1">IFERROR(INDEX(Validation!G:G,MATCH("DFLoan10"&amp;CELL("address",C26),Validation!I:I,0)),"")</f>
        <v/>
      </c>
      <c r="D26" s="66" t="str">
        <f ca="1">IFERROR(INDEX(Validation!F:F,MATCH("DFLoan10"&amp;CELL("address",C26),Validation!I:I,0)),"")</f>
        <v/>
      </c>
    </row>
    <row r="27" spans="1:5" x14ac:dyDescent="0.25">
      <c r="A27" s="79" t="str">
        <f>"Interest Due in "&amp;Year_DestinationYearID+1</f>
        <v>Interest Due in 2025</v>
      </c>
      <c r="B27" s="122"/>
      <c r="C27" s="77" t="str">
        <f ca="1">IFERROR(INDEX(Validation!G:G,MATCH("DFLoan10"&amp;CELL("address",C27),Validation!I:I,0)),"")</f>
        <v/>
      </c>
      <c r="D27" s="66" t="str">
        <f ca="1">IFERROR(INDEX(Validation!F:F,MATCH("DFLoan10"&amp;CELL("address",C27),Validation!I:I,0)),"")</f>
        <v/>
      </c>
      <c r="E27" s="126"/>
    </row>
    <row r="28" spans="1:5" ht="20.100000000000001" customHeight="1" x14ac:dyDescent="0.25">
      <c r="A28" s="97" t="s">
        <v>176</v>
      </c>
      <c r="C28" s="77" t="str">
        <f ca="1">IF(AND(ISBLANK(A29),OR(COUNTIF(D6:D27,"Alert")&gt;0,SUM(B21:B22)&lt;&gt;0)),"Comment(s) required for remaining alert(s) and/or additions to principal.",IFERROR(INDEX(Validation!G:G,MATCH("DFLoan10"&amp;CELL("address",C28),Validation!I:I,0)),""))</f>
        <v/>
      </c>
      <c r="D28" s="66" t="str">
        <f ca="1">IF(AND(ISBLANK(A29),OR(COUNTIF(D6:D27,"Alert")&gt;0,SUM(B21:B22)&lt;&gt;0)),"Error",IFERROR(INDEX(Validation!F:F,MATCH("DFLoan10"&amp;CELL("address",C28),Validation!I:I,0)),""))</f>
        <v/>
      </c>
    </row>
    <row r="29" spans="1:5" ht="150" customHeight="1" x14ac:dyDescent="0.25">
      <c r="A29" s="123"/>
      <c r="B29" s="100" t="str">
        <f>HYPERLINK("#'Lent Funds'!B6","Click here to return to the Lent Funds Tab")</f>
        <v>Click here to return to the Lent Funds Tab</v>
      </c>
    </row>
    <row r="30" spans="1:5" x14ac:dyDescent="0.25">
      <c r="A30" s="98"/>
      <c r="B30" s="98"/>
    </row>
    <row r="31" spans="1:5" x14ac:dyDescent="0.25">
      <c r="A31" s="98"/>
      <c r="B31" s="98"/>
    </row>
    <row r="32" spans="1:5" x14ac:dyDescent="0.25">
      <c r="A32" s="98"/>
      <c r="B32" s="98"/>
    </row>
    <row r="33" spans="1:2" x14ac:dyDescent="0.25">
      <c r="A33" s="98"/>
      <c r="B33" s="98"/>
    </row>
  </sheetData>
  <sheetProtection algorithmName="SHA-512" hashValue="0kw4XHkkezyB3OF7OZzxHV4I57MQ9rGQBEY61cZr8hvF+B/r3BpHTK24Mw0rd9fhiGLgYmKtxwW/T6qlYWFxuQ==" saltValue="MgD/nu3x4HB8pmSsluRDdQ==" spinCount="100000" sheet="1" objects="1" scenarios="1"/>
  <mergeCells count="1">
    <mergeCell ref="A4:D4"/>
  </mergeCells>
  <conditionalFormatting sqref="A2">
    <cfRule type="expression" dxfId="53" priority="11">
      <formula>$D2="Error"</formula>
    </cfRule>
    <cfRule type="expression" dxfId="51" priority="13">
      <formula>$D2="Exclude"</formula>
    </cfRule>
  </conditionalFormatting>
  <conditionalFormatting sqref="C6:D28">
    <cfRule type="expression" dxfId="48" priority="1">
      <formula>$D6="Information"</formula>
    </cfRule>
    <cfRule type="expression" dxfId="47" priority="2">
      <formula>$D6="Error"</formula>
    </cfRule>
    <cfRule type="expression" dxfId="46" priority="3">
      <formula>$D6="Alert"</formula>
    </cfRule>
    <cfRule type="expression" dxfId="45" priority="4">
      <formula>$D6="Exclude"</formula>
    </cfRule>
  </conditionalFormatting>
  <dataValidations count="2">
    <dataValidation type="list" allowBlank="1" showInputMessage="1" showErrorMessage="1" sqref="B7" xr:uid="{CDD54FE9-77A1-462B-A0E2-46DC9153C93B}">
      <formula1>DueFromType</formula1>
    </dataValidation>
    <dataValidation type="list" allowBlank="1" showInputMessage="1" showErrorMessage="1" sqref="B8" xr:uid="{818C5E19-EB5F-4D83-ADD5-F40960610B8C}">
      <formula1>DistrictDropDown</formula1>
    </dataValidation>
  </dataValidations>
  <pageMargins left="0.7" right="0.7" top="0.75" bottom="0.75" header="0.3" footer="0.3"/>
  <pageSetup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12" id="{DD6B4645-B65C-4BF4-A8F7-E77794220A13}">
            <xm:f>COUNTIFS(Validation!$H:$H,MID(CELL("filename",A2),FIND("]",CELL("filename",A2))+1,255)&amp;CELL("address",A2))&gt;0</xm:f>
            <x14:dxf>
              <font>
                <b/>
                <i val="0"/>
                <color rgb="FFC00000"/>
              </font>
              <numFmt numFmtId="172" formatCode="_(\!* #,##0_);_(\!* \(#,##0\);_(\!* \-??_);_(\!\ @_)"/>
            </x14:dxf>
          </x14:cfRule>
          <xm:sqref>A2</xm:sqref>
        </x14:conditionalFormatting>
        <x14:conditionalFormatting xmlns:xm="http://schemas.microsoft.com/office/excel/2006/main">
          <x14:cfRule type="expression" priority="10" id="{1692D44B-CF1E-48AF-B4C0-D02845CEFA15}">
            <xm:f>$B$7=Lists!$AH$5</xm:f>
            <x14:dxf>
              <fill>
                <patternFill>
                  <bgColor rgb="FFEAEAEA"/>
                </patternFill>
              </fill>
            </x14:dxf>
          </x14:cfRule>
          <xm:sqref>B8</xm:sqref>
        </x14:conditionalFormatting>
        <x14:conditionalFormatting xmlns:xm="http://schemas.microsoft.com/office/excel/2006/main">
          <x14:cfRule type="expression" priority="9" id="{FD332A2E-8187-43A6-820F-6CC46A426B1F}">
            <xm:f>$B$7=Lists!$AH$4</xm:f>
            <x14:dxf>
              <fill>
                <patternFill>
                  <bgColor rgb="FFEAEAEA"/>
                </patternFill>
              </fill>
            </x14:dxf>
          </x14:cfRule>
          <xm:sqref>B9</xm:sqref>
        </x14:conditionalFormatting>
      </x14:conditionalFormattings>
    </ext>
  </extLs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7E885-03AB-478B-B374-4F6EC0441242}">
  <sheetPr>
    <tabColor rgb="FFEED382"/>
  </sheetPr>
  <dimension ref="A1:E33"/>
  <sheetViews>
    <sheetView showGridLines="0" workbookViewId="0">
      <selection activeCell="B7" sqref="B7"/>
    </sheetView>
  </sheetViews>
  <sheetFormatPr defaultRowHeight="15" x14ac:dyDescent="0.25"/>
  <cols>
    <col min="1" max="1" width="55.7109375" style="66" customWidth="1"/>
    <col min="2" max="2" width="22.7109375" style="66" customWidth="1"/>
    <col min="3" max="3" width="80.85546875" style="66" customWidth="1"/>
    <col min="4" max="4" width="14.7109375" style="66" customWidth="1"/>
    <col min="5" max="5" width="10.7109375" style="78" hidden="1" customWidth="1"/>
    <col min="6" max="16384" width="9.140625" style="66"/>
  </cols>
  <sheetData>
    <row r="1" spans="1:5" s="59" customFormat="1" ht="24.95" customHeight="1" x14ac:dyDescent="0.25">
      <c r="A1" s="59" t="str">
        <f>_xlfn.CONCAT("Office of the State Auditor  -  TIF Annual Reporting Form  -  ",Year_DestinationYearID)</f>
        <v>Office of the State Auditor  -  TIF Annual Reporting Form  -  2024</v>
      </c>
      <c r="E1" s="61"/>
    </row>
    <row r="2" spans="1:5" s="62" customFormat="1" ht="20.100000000000001" customHeight="1" x14ac:dyDescent="0.25">
      <c r="A2" s="58" t="str">
        <f>_xlfn.CONCAT(GovEntity_GovEntityName_Parent,"  -  ",GovEntity_GovEntityName)</f>
        <v>Spruce City  -  TIF 1-1 Downtown Redev</v>
      </c>
      <c r="E2" s="64"/>
    </row>
    <row r="3" spans="1:5" s="68" customFormat="1" ht="24.95" customHeight="1" x14ac:dyDescent="0.3">
      <c r="A3" s="65" t="s">
        <v>848</v>
      </c>
      <c r="B3" s="66"/>
      <c r="E3" s="69"/>
    </row>
    <row r="4" spans="1:5" s="71" customFormat="1" x14ac:dyDescent="0.25">
      <c r="A4" s="217" t="s">
        <v>207</v>
      </c>
      <c r="B4" s="217"/>
      <c r="C4" s="217"/>
      <c r="D4" s="217"/>
      <c r="E4" s="72" t="s">
        <v>119</v>
      </c>
    </row>
    <row r="5" spans="1:5" s="74" customFormat="1" ht="20.100000000000001" customHeight="1" x14ac:dyDescent="0.25">
      <c r="A5" s="73" t="str">
        <f>HYPERLINK("#'Lent Funds'!B6","Click here to return to the Lent Funds Tab")</f>
        <v>Click here to return to the Lent Funds Tab</v>
      </c>
      <c r="B5" s="74" t="s">
        <v>120</v>
      </c>
      <c r="C5" s="74" t="s">
        <v>121</v>
      </c>
      <c r="D5" s="74" t="s">
        <v>102</v>
      </c>
      <c r="E5" s="76"/>
    </row>
    <row r="6" spans="1:5" ht="20.100000000000001" customHeight="1" x14ac:dyDescent="0.25">
      <c r="A6" s="74" t="s">
        <v>847</v>
      </c>
      <c r="C6" s="77" t="str">
        <f ca="1">IFERROR(INDEX(Validation!G:G,MATCH("DFLoan11"&amp;CELL("address",C6),Validation!I:I,0)),"")</f>
        <v/>
      </c>
      <c r="D6" s="66" t="str">
        <f ca="1">IFERROR(INDEX(Validation!F:F,MATCH("DFLoan11"&amp;CELL("address",C6),Validation!I:I,0)),"")</f>
        <v/>
      </c>
      <c r="E6" s="78" t="s">
        <v>875</v>
      </c>
    </row>
    <row r="7" spans="1:5" x14ac:dyDescent="0.25">
      <c r="A7" s="79" t="s">
        <v>761</v>
      </c>
      <c r="B7" s="103" t="str">
        <f>IF(AND(NOT(ISBLANK('Lent Input'!M5)),OR('Lent Input'!M$5=Lists!$AG$4,'Lent Input'!M$5=Lists!$AG$5)),_xlfn.XLOOKUP('Lent Input'!M5,Lists!AG2:AG5,Lists!AH2:AH5),Lists!$AH$1)</f>
        <v>Select One</v>
      </c>
      <c r="C7" s="77" t="str">
        <f ca="1">IFERROR(INDEX(Validation!G:G,MATCH("DFLoan11"&amp;CELL("address",C7),Validation!I:I,0)),"")</f>
        <v/>
      </c>
      <c r="D7" s="66" t="str">
        <f ca="1">IFERROR(INDEX(Validation!F:F,MATCH("DFLoan11"&amp;CELL("address",C7),Validation!I:I,0)),"")</f>
        <v/>
      </c>
      <c r="E7" s="85" t="str">
        <f>IF(NOT(ISBLANK('Lent Input'!M4)),'Lent Input'!M4,"")</f>
        <v/>
      </c>
    </row>
    <row r="8" spans="1:5" x14ac:dyDescent="0.25">
      <c r="A8" s="79" t="s">
        <v>769</v>
      </c>
      <c r="B8" s="103" t="str">
        <f>IF(AND(NOT(ISBLANK('Lent Input'!M6)),'Lent Input'!M$5=Lists!$AG$4),'Lent Input'!M6,Lists!$AJ$1)</f>
        <v>Select One</v>
      </c>
      <c r="C8" s="77" t="str">
        <f ca="1">IFERROR(INDEX(Validation!G:G,MATCH("DFLoan11"&amp;CELL("address",C8),Validation!I:I,0)),"")</f>
        <v/>
      </c>
      <c r="D8" s="66" t="str">
        <f ca="1">IFERROR(INDEX(Validation!F:F,MATCH("DFLoan11"&amp;CELL("address",C8),Validation!I:I,0)),"")</f>
        <v/>
      </c>
    </row>
    <row r="9" spans="1:5" x14ac:dyDescent="0.25">
      <c r="A9" s="79" t="s">
        <v>770</v>
      </c>
      <c r="B9" s="103" t="str">
        <f>IF(AND(NOT(ISBLANK('Lent Input'!M7)),'Lent Input'!M$5=Lists!$AG$5),'Lent Input'!M7,"")</f>
        <v/>
      </c>
      <c r="C9" s="77" t="str">
        <f ca="1">IFERROR(INDEX(Validation!G:G,MATCH("DFLoan11"&amp;CELL("address",C9),Validation!I:I,0)),"")</f>
        <v/>
      </c>
      <c r="D9" s="66" t="str">
        <f ca="1">IFERROR(INDEX(Validation!F:F,MATCH("DFLoan11"&amp;CELL("address",C9),Validation!I:I,0)),"")</f>
        <v/>
      </c>
    </row>
    <row r="10" spans="1:5" x14ac:dyDescent="0.25">
      <c r="A10" s="79" t="s">
        <v>240</v>
      </c>
      <c r="B10" s="120" t="str">
        <f>IF(AND(NOT(ISBLANK('Lent Input'!M8)),OR('Lent Input'!M$5=Lists!$AG$4,'Lent Input'!M$5=Lists!$AG$5)),'Lent Input'!M8,"")</f>
        <v/>
      </c>
      <c r="C10" s="77" t="str">
        <f ca="1">IFERROR(INDEX(Validation!G:G,MATCH("DFLoan11"&amp;CELL("address",C10),Validation!I:I,0)),"")</f>
        <v/>
      </c>
      <c r="D10" s="66" t="str">
        <f ca="1">IFERROR(INDEX(Validation!F:F,MATCH("DFLoan11"&amp;CELL("address",C10),Validation!I:I,0)),"")</f>
        <v/>
      </c>
    </row>
    <row r="11" spans="1:5" x14ac:dyDescent="0.25">
      <c r="A11" s="79" t="s">
        <v>212</v>
      </c>
      <c r="B11" s="120" t="str">
        <f>IF(AND(NOT(ISBLANK('Lent Input'!M9)),OR('Lent Input'!M$5=Lists!$AG$4,'Lent Input'!M$5=Lists!$AG$5)),'Lent Input'!M9,"")</f>
        <v/>
      </c>
      <c r="C11" s="77" t="str">
        <f ca="1">IFERROR(INDEX(Validation!G:G,MATCH("DFLoan11"&amp;CELL("address",C11),Validation!I:I,0)),"")</f>
        <v/>
      </c>
      <c r="D11" s="66" t="str">
        <f ca="1">IFERROR(INDEX(Validation!F:F,MATCH("DFLoan11"&amp;CELL("address",C11),Validation!I:I,0)),"")</f>
        <v/>
      </c>
    </row>
    <row r="12" spans="1:5" x14ac:dyDescent="0.25">
      <c r="A12" s="79" t="s">
        <v>213</v>
      </c>
      <c r="B12" s="121" t="str">
        <f>IF(AND(NOT(ISBLANK('Lent Input'!M10)),OR('Lent Input'!M$5=Lists!$AG$4,'Lent Input'!M$5=Lists!$AG$5)),'Lent Input'!M10,"")</f>
        <v/>
      </c>
      <c r="C12" s="77" t="str">
        <f ca="1">IFERROR(INDEX(Validation!G:G,MATCH("DFLoan11"&amp;CELL("address",C12),Validation!I:I,0)),"")</f>
        <v/>
      </c>
      <c r="D12" s="66" t="str">
        <f ca="1">IFERROR(INDEX(Validation!F:F,MATCH("DFLoan11"&amp;CELL("address",C12),Validation!I:I,0)),"")</f>
        <v/>
      </c>
    </row>
    <row r="13" spans="1:5" x14ac:dyDescent="0.25">
      <c r="A13" s="79" t="s">
        <v>214</v>
      </c>
      <c r="B13" s="121" t="str">
        <f>IF(AND(NOT(ISBLANK('Lent Input'!M11)),OR('Lent Input'!M$5=Lists!$AG$4,'Lent Input'!M$5=Lists!$AG$5)),'Lent Input'!M11,"")</f>
        <v/>
      </c>
      <c r="C13" s="77" t="str">
        <f ca="1">IFERROR(INDEX(Validation!G:G,MATCH("DFLoan11"&amp;CELL("address",C13),Validation!I:I,0)),"")</f>
        <v/>
      </c>
      <c r="D13" s="66" t="str">
        <f ca="1">IFERROR(INDEX(Validation!F:F,MATCH("DFLoan11"&amp;CELL("address",C13),Validation!I:I,0)),"")</f>
        <v/>
      </c>
    </row>
    <row r="14" spans="1:5" x14ac:dyDescent="0.25">
      <c r="A14" s="79" t="s">
        <v>242</v>
      </c>
      <c r="B14" s="122" t="str">
        <f>IF(AND(NOT(ISBLANK('Lent Input'!M12)),OR('Lent Input'!M$5=Lists!$AG$4,'Lent Input'!M$5=Lists!$AG$5)),'Lent Input'!M12,"")</f>
        <v/>
      </c>
      <c r="C14" s="77" t="str">
        <f ca="1">IFERROR(INDEX(Validation!G:G,MATCH("DFLoan11"&amp;CELL("address",C14),Validation!I:I,0)),"")</f>
        <v/>
      </c>
      <c r="D14" s="66" t="str">
        <f ca="1">IFERROR(INDEX(Validation!F:F,MATCH("DFLoan11"&amp;CELL("address",C14),Validation!I:I,0)),"")</f>
        <v/>
      </c>
    </row>
    <row r="15" spans="1:5" ht="20.100000000000001" customHeight="1" x14ac:dyDescent="0.25">
      <c r="A15" s="74" t="s">
        <v>849</v>
      </c>
      <c r="C15" s="77" t="str">
        <f ca="1">IFERROR(INDEX(Validation!G:G,MATCH("DFLoan11"&amp;CELL("address",C15),Validation!I:I,0)),"")</f>
        <v/>
      </c>
      <c r="D15" s="66" t="str">
        <f ca="1">IFERROR(INDEX(Validation!F:F,MATCH("DFLoan11"&amp;CELL("address",C15),Validation!I:I,0)),"")</f>
        <v/>
      </c>
    </row>
    <row r="16" spans="1:5" x14ac:dyDescent="0.25">
      <c r="A16" s="79" t="s">
        <v>243</v>
      </c>
      <c r="B16" s="122" t="str">
        <f>IF(AND(NOT(ISBLANK('Lent Input'!M13)),OR('Lent Input'!M$5=Lists!$AG$4,'Lent Input'!M$5=Lists!$AG$5)),'Lent Input'!M13,"")</f>
        <v/>
      </c>
      <c r="C16" s="77" t="str">
        <f ca="1">IFERROR(INDEX(Validation!G:G,MATCH("DFLoan11"&amp;CELL("address",C16),Validation!I:I,0)),"")</f>
        <v/>
      </c>
      <c r="D16" s="66" t="str">
        <f ca="1">IFERROR(INDEX(Validation!F:F,MATCH("DFLoan11"&amp;CELL("address",C16),Validation!I:I,0)),"")</f>
        <v/>
      </c>
    </row>
    <row r="17" spans="1:5" x14ac:dyDescent="0.25">
      <c r="A17" s="79" t="str">
        <f>"Amount Drawn in "&amp;Year_DestinationYearID</f>
        <v>Amount Drawn in 2024</v>
      </c>
      <c r="B17" s="103"/>
      <c r="C17" s="77" t="str">
        <f ca="1">IFERROR(INDEX(Validation!G:G,MATCH("DFLoan11"&amp;CELL("address",C17),Validation!I:I,0)),"")</f>
        <v/>
      </c>
      <c r="D17" s="66" t="str">
        <f ca="1">IFERROR(INDEX(Validation!F:F,MATCH("DFLoan11"&amp;CELL("address",C17),Validation!I:I,0)),"")</f>
        <v/>
      </c>
    </row>
    <row r="18" spans="1:5" x14ac:dyDescent="0.25">
      <c r="A18" s="79" t="s">
        <v>245</v>
      </c>
      <c r="B18" s="125" t="str">
        <f>IFERROR(B16+B17,"")</f>
        <v/>
      </c>
      <c r="C18" s="77" t="str">
        <f ca="1">IFERROR(INDEX(Validation!G:G,MATCH("DFLoan11"&amp;CELL("address",C18),Validation!I:I,0)),"")</f>
        <v/>
      </c>
      <c r="D18" s="66" t="str">
        <f ca="1">IFERROR(INDEX(Validation!F:F,MATCH("DFLoan11"&amp;CELL("address",C18),Validation!I:I,0)),"")</f>
        <v/>
      </c>
    </row>
    <row r="19" spans="1:5" x14ac:dyDescent="0.25">
      <c r="A19" s="79" t="s">
        <v>279</v>
      </c>
      <c r="B19" s="122" t="str">
        <f>IF(AND(NOT(ISBLANK('Lent Input'!M16)),OR('Lent Input'!M$5=Lists!$AG$4,'Lent Input'!M$5=Lists!$AG$5)),'Lent Input'!M16,"")</f>
        <v/>
      </c>
      <c r="C19" s="77" t="str">
        <f ca="1">IFERROR(INDEX(Validation!G:G,MATCH("DFLoan11"&amp;CELL("address",C19),Validation!I:I,0)),"")</f>
        <v/>
      </c>
      <c r="D19" s="66" t="str">
        <f ca="1">IFERROR(INDEX(Validation!F:F,MATCH("DFLoan11"&amp;CELL("address",C19),Validation!I:I,0)),"")</f>
        <v/>
      </c>
    </row>
    <row r="20" spans="1:5" x14ac:dyDescent="0.25">
      <c r="A20" s="79" t="str">
        <f>"Principal Received in "&amp;Year_DestinationYearID</f>
        <v>Principal Received in 2024</v>
      </c>
      <c r="B20" s="122"/>
      <c r="C20" s="77" t="str">
        <f ca="1">IFERROR(INDEX(Validation!G:G,MATCH("DFLoan11"&amp;CELL("address",C20),Validation!I:I,0)),"")</f>
        <v/>
      </c>
      <c r="D20" s="66" t="str">
        <f ca="1">IFERROR(INDEX(Validation!F:F,MATCH("DFLoan11"&amp;CELL("address",C20),Validation!I:I,0)),"")</f>
        <v/>
      </c>
    </row>
    <row r="21" spans="1:5" x14ac:dyDescent="0.25">
      <c r="A21" s="79" t="s">
        <v>280</v>
      </c>
      <c r="B21" s="122" t="str">
        <f>IF(AND(NOT(ISBLANK('Lent Input'!M18)),OR('Lent Input'!M$5=Lists!$AG$4,'Lent Input'!M$5=Lists!$AG$5)),'Lent Input'!M18,"")</f>
        <v/>
      </c>
      <c r="C21" s="77" t="str">
        <f ca="1">IFERROR(INDEX(Validation!G:G,MATCH("DFLoan11"&amp;CELL("address",C21),Validation!I:I,0)),"")</f>
        <v/>
      </c>
      <c r="D21" s="66" t="str">
        <f ca="1">IFERROR(INDEX(Validation!F:F,MATCH("DFLoan11"&amp;CELL("address",C21),Validation!I:I,0)),"")</f>
        <v/>
      </c>
    </row>
    <row r="22" spans="1:5" x14ac:dyDescent="0.25">
      <c r="A22" s="79" t="str">
        <f>"Additions/Reductions in "&amp;Year_DestinationYearID</f>
        <v>Additions/Reductions in 2024</v>
      </c>
      <c r="B22" s="122"/>
      <c r="C22" s="77" t="str">
        <f ca="1">IFERROR(INDEX(Validation!G:G,MATCH("DFLoan11"&amp;CELL("address",C22),Validation!I:I,0)),"")</f>
        <v/>
      </c>
      <c r="D22" s="66" t="str">
        <f ca="1">IFERROR(INDEX(Validation!F:F,MATCH("DFLoan11"&amp;CELL("address",C22),Validation!I:I,0)),"")</f>
        <v/>
      </c>
    </row>
    <row r="23" spans="1:5" x14ac:dyDescent="0.25">
      <c r="A23" s="79" t="s">
        <v>221</v>
      </c>
      <c r="B23" s="125" t="str">
        <f>IFERROR(B18-B19-B20+B21+B22,"")</f>
        <v/>
      </c>
      <c r="C23" s="77" t="str">
        <f ca="1">IFERROR(INDEX(Validation!G:G,MATCH("DFLoan11"&amp;CELL("address",C23),Validation!I:I,0)),"")</f>
        <v/>
      </c>
      <c r="D23" s="66" t="str">
        <f ca="1">IFERROR(INDEX(Validation!F:F,MATCH("DFLoan11"&amp;CELL("address",C23),Validation!I:I,0)),"")</f>
        <v/>
      </c>
    </row>
    <row r="24" spans="1:5" x14ac:dyDescent="0.25">
      <c r="A24" s="79" t="str">
        <f>"Principal Due in "&amp;Year_DestinationYearID+1</f>
        <v>Principal Due in 2025</v>
      </c>
      <c r="B24" s="122"/>
      <c r="C24" s="77" t="str">
        <f ca="1">IFERROR(INDEX(Validation!G:G,MATCH("DFLoan11"&amp;CELL("address",C24),Validation!I:I,0)),"")</f>
        <v/>
      </c>
      <c r="D24" s="66" t="str">
        <f ca="1">IFERROR(INDEX(Validation!F:F,MATCH("DFLoan11"&amp;CELL("address",C24),Validation!I:I,0)),"")</f>
        <v/>
      </c>
    </row>
    <row r="25" spans="1:5" x14ac:dyDescent="0.25">
      <c r="A25" s="79" t="s">
        <v>281</v>
      </c>
      <c r="B25" s="122" t="str">
        <f>IF(AND(NOT(ISBLANK('Lent Input'!M22)),OR('Lent Input'!M$5=Lists!$AG$4,'Lent Input'!M$5=Lists!$AG$5)),'Lent Input'!M22,"")</f>
        <v/>
      </c>
      <c r="C25" s="77" t="str">
        <f ca="1">IFERROR(INDEX(Validation!G:G,MATCH("DFLoan11"&amp;CELL("address",C25),Validation!I:I,0)),"")</f>
        <v/>
      </c>
      <c r="D25" s="66" t="str">
        <f ca="1">IFERROR(INDEX(Validation!F:F,MATCH("DFLoan11"&amp;CELL("address",C25),Validation!I:I,0)),"")</f>
        <v/>
      </c>
    </row>
    <row r="26" spans="1:5" x14ac:dyDescent="0.25">
      <c r="A26" s="79" t="str">
        <f>"Interest Received in "&amp;Year_DestinationYearID</f>
        <v>Interest Received in 2024</v>
      </c>
      <c r="B26" s="122"/>
      <c r="C26" s="77" t="str">
        <f ca="1">IFERROR(INDEX(Validation!G:G,MATCH("DFLoan11"&amp;CELL("address",C26),Validation!I:I,0)),"")</f>
        <v/>
      </c>
      <c r="D26" s="66" t="str">
        <f ca="1">IFERROR(INDEX(Validation!F:F,MATCH("DFLoan11"&amp;CELL("address",C26),Validation!I:I,0)),"")</f>
        <v/>
      </c>
    </row>
    <row r="27" spans="1:5" x14ac:dyDescent="0.25">
      <c r="A27" s="79" t="str">
        <f>"Interest Due in "&amp;Year_DestinationYearID+1</f>
        <v>Interest Due in 2025</v>
      </c>
      <c r="B27" s="122"/>
      <c r="C27" s="77" t="str">
        <f ca="1">IFERROR(INDEX(Validation!G:G,MATCH("DFLoan11"&amp;CELL("address",C27),Validation!I:I,0)),"")</f>
        <v/>
      </c>
      <c r="D27" s="66" t="str">
        <f ca="1">IFERROR(INDEX(Validation!F:F,MATCH("DFLoan11"&amp;CELL("address",C27),Validation!I:I,0)),"")</f>
        <v/>
      </c>
      <c r="E27" s="126"/>
    </row>
    <row r="28" spans="1:5" ht="20.100000000000001" customHeight="1" x14ac:dyDescent="0.25">
      <c r="A28" s="97" t="s">
        <v>176</v>
      </c>
      <c r="C28" s="77" t="str">
        <f ca="1">IF(AND(ISBLANK(A29),OR(COUNTIF(D6:D27,"Alert")&gt;0,SUM(B21:B22)&lt;&gt;0)),"Comment(s) required for remaining alert(s) and/or additions to principal.",IFERROR(INDEX(Validation!G:G,MATCH("DFLoan11"&amp;CELL("address",C28),Validation!I:I,0)),""))</f>
        <v/>
      </c>
      <c r="D28" s="66" t="str">
        <f ca="1">IF(AND(ISBLANK(A29),OR(COUNTIF(D6:D27,"Alert")&gt;0,SUM(B21:B22)&lt;&gt;0)),"Error",IFERROR(INDEX(Validation!F:F,MATCH("DFLoan11"&amp;CELL("address",C28),Validation!I:I,0)),""))</f>
        <v/>
      </c>
    </row>
    <row r="29" spans="1:5" ht="150" customHeight="1" x14ac:dyDescent="0.25">
      <c r="A29" s="123"/>
      <c r="B29" s="100" t="str">
        <f>HYPERLINK("#'Lent Funds'!B6","Click here to return to the Lent Funds Tab")</f>
        <v>Click here to return to the Lent Funds Tab</v>
      </c>
    </row>
    <row r="30" spans="1:5" x14ac:dyDescent="0.25">
      <c r="A30" s="98"/>
      <c r="B30" s="98"/>
    </row>
    <row r="31" spans="1:5" x14ac:dyDescent="0.25">
      <c r="A31" s="98"/>
      <c r="B31" s="98"/>
    </row>
    <row r="32" spans="1:5" x14ac:dyDescent="0.25">
      <c r="A32" s="98"/>
      <c r="B32" s="98"/>
    </row>
    <row r="33" spans="1:2" x14ac:dyDescent="0.25">
      <c r="A33" s="98"/>
      <c r="B33" s="98"/>
    </row>
  </sheetData>
  <sheetProtection algorithmName="SHA-512" hashValue="b5dx/hXWnbOVwzs1AjA20OVildpBAP2XjUzYUvO+N2KYq1tXE1oExqLFRcarJ6bo2h7N5yyjyOQOy8PICD96SA==" saltValue="0ttGhQMMuqShl93jhNi4mA==" spinCount="100000" sheet="1" objects="1" scenarios="1"/>
  <mergeCells count="1">
    <mergeCell ref="A4:D4"/>
  </mergeCells>
  <conditionalFormatting sqref="A2">
    <cfRule type="expression" dxfId="44" priority="11">
      <formula>$D2="Error"</formula>
    </cfRule>
    <cfRule type="expression" dxfId="42" priority="13">
      <formula>$D2="Exclude"</formula>
    </cfRule>
  </conditionalFormatting>
  <conditionalFormatting sqref="C6:D28">
    <cfRule type="expression" dxfId="39" priority="1">
      <formula>$D6="Information"</formula>
    </cfRule>
    <cfRule type="expression" dxfId="38" priority="2">
      <formula>$D6="Error"</formula>
    </cfRule>
    <cfRule type="expression" dxfId="37" priority="3">
      <formula>$D6="Alert"</formula>
    </cfRule>
    <cfRule type="expression" dxfId="36" priority="4">
      <formula>$D6="Exclude"</formula>
    </cfRule>
  </conditionalFormatting>
  <dataValidations count="2">
    <dataValidation type="list" allowBlank="1" showInputMessage="1" showErrorMessage="1" sqref="B8" xr:uid="{1CE9FB86-DC32-4EFB-964E-71E8F316E61F}">
      <formula1>DistrictDropDown</formula1>
    </dataValidation>
    <dataValidation type="list" allowBlank="1" showInputMessage="1" showErrorMessage="1" sqref="B7" xr:uid="{02029DFB-62D9-49D4-B47B-9A82B4C21550}">
      <formula1>DueFromType</formula1>
    </dataValidation>
  </dataValidations>
  <pageMargins left="0.7" right="0.7" top="0.75" bottom="0.75" header="0.3" footer="0.3"/>
  <pageSetup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12" id="{A99116AA-8296-4C5E-9A9D-1ECD325616A1}">
            <xm:f>COUNTIFS(Validation!$H:$H,MID(CELL("filename",A2),FIND("]",CELL("filename",A2))+1,255)&amp;CELL("address",A2))&gt;0</xm:f>
            <x14:dxf>
              <font>
                <b/>
                <i val="0"/>
                <color rgb="FFC00000"/>
              </font>
              <numFmt numFmtId="172" formatCode="_(\!* #,##0_);_(\!* \(#,##0\);_(\!* \-??_);_(\!\ @_)"/>
            </x14:dxf>
          </x14:cfRule>
          <xm:sqref>A2</xm:sqref>
        </x14:conditionalFormatting>
        <x14:conditionalFormatting xmlns:xm="http://schemas.microsoft.com/office/excel/2006/main">
          <x14:cfRule type="expression" priority="10" id="{0BB8A571-DBF5-489E-BE2D-0CFDC47D1198}">
            <xm:f>$B$7=Lists!$AH$5</xm:f>
            <x14:dxf>
              <fill>
                <patternFill>
                  <bgColor rgb="FFEAEAEA"/>
                </patternFill>
              </fill>
            </x14:dxf>
          </x14:cfRule>
          <xm:sqref>B8</xm:sqref>
        </x14:conditionalFormatting>
        <x14:conditionalFormatting xmlns:xm="http://schemas.microsoft.com/office/excel/2006/main">
          <x14:cfRule type="expression" priority="9" id="{7ABE995C-E2D6-408D-AA14-E7394BCDA390}">
            <xm:f>$B$7=Lists!$AH$4</xm:f>
            <x14:dxf>
              <fill>
                <patternFill>
                  <bgColor rgb="FFEAEAEA"/>
                </patternFill>
              </fill>
            </x14:dxf>
          </x14:cfRule>
          <xm:sqref>B9</xm:sqref>
        </x14:conditionalFormatting>
      </x14:conditionalFormattings>
    </ext>
  </extLs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65880-C34D-47FD-B15D-E3673A41A8D2}">
  <sheetPr>
    <tabColor rgb="FFEED382"/>
  </sheetPr>
  <dimension ref="A1:E33"/>
  <sheetViews>
    <sheetView showGridLines="0" workbookViewId="0">
      <selection activeCell="B7" sqref="B7"/>
    </sheetView>
  </sheetViews>
  <sheetFormatPr defaultRowHeight="15" x14ac:dyDescent="0.25"/>
  <cols>
    <col min="1" max="1" width="55.7109375" style="66" customWidth="1"/>
    <col min="2" max="2" width="22.7109375" style="66" customWidth="1"/>
    <col min="3" max="3" width="80.85546875" style="66" customWidth="1"/>
    <col min="4" max="4" width="14.7109375" style="66" customWidth="1"/>
    <col min="5" max="5" width="10.7109375" style="78" hidden="1" customWidth="1"/>
    <col min="6" max="16384" width="9.140625" style="66"/>
  </cols>
  <sheetData>
    <row r="1" spans="1:5" s="59" customFormat="1" ht="24.95" customHeight="1" x14ac:dyDescent="0.25">
      <c r="A1" s="59" t="str">
        <f>_xlfn.CONCAT("Office of the State Auditor  -  TIF Annual Reporting Form  -  ",Year_DestinationYearID)</f>
        <v>Office of the State Auditor  -  TIF Annual Reporting Form  -  2024</v>
      </c>
      <c r="E1" s="61"/>
    </row>
    <row r="2" spans="1:5" s="62" customFormat="1" ht="20.100000000000001" customHeight="1" x14ac:dyDescent="0.25">
      <c r="A2" s="58" t="str">
        <f>_xlfn.CONCAT(GovEntity_GovEntityName_Parent,"  -  ",GovEntity_GovEntityName)</f>
        <v>Spruce City  -  TIF 1-1 Downtown Redev</v>
      </c>
      <c r="E2" s="64"/>
    </row>
    <row r="3" spans="1:5" s="68" customFormat="1" ht="24.95" customHeight="1" x14ac:dyDescent="0.3">
      <c r="A3" s="65" t="s">
        <v>848</v>
      </c>
      <c r="B3" s="66"/>
      <c r="E3" s="69"/>
    </row>
    <row r="4" spans="1:5" s="71" customFormat="1" x14ac:dyDescent="0.25">
      <c r="A4" s="217" t="s">
        <v>207</v>
      </c>
      <c r="B4" s="217"/>
      <c r="C4" s="217"/>
      <c r="D4" s="217"/>
      <c r="E4" s="72" t="s">
        <v>119</v>
      </c>
    </row>
    <row r="5" spans="1:5" s="74" customFormat="1" ht="20.100000000000001" customHeight="1" x14ac:dyDescent="0.25">
      <c r="A5" s="73" t="str">
        <f>HYPERLINK("#'Lent Funds'!B6","Click here to return to the Lent Funds Tab")</f>
        <v>Click here to return to the Lent Funds Tab</v>
      </c>
      <c r="B5" s="74" t="s">
        <v>120</v>
      </c>
      <c r="C5" s="74" t="s">
        <v>121</v>
      </c>
      <c r="D5" s="74" t="s">
        <v>102</v>
      </c>
      <c r="E5" s="76"/>
    </row>
    <row r="6" spans="1:5" ht="20.100000000000001" customHeight="1" x14ac:dyDescent="0.25">
      <c r="A6" s="74" t="s">
        <v>847</v>
      </c>
      <c r="C6" s="77" t="str">
        <f ca="1">IFERROR(INDEX(Validation!G:G,MATCH("DFLoan12"&amp;CELL("address",C6),Validation!I:I,0)),"")</f>
        <v/>
      </c>
      <c r="D6" s="66" t="str">
        <f ca="1">IFERROR(INDEX(Validation!F:F,MATCH("DFLoan12"&amp;CELL("address",C6),Validation!I:I,0)),"")</f>
        <v/>
      </c>
      <c r="E6" s="78" t="s">
        <v>875</v>
      </c>
    </row>
    <row r="7" spans="1:5" x14ac:dyDescent="0.25">
      <c r="A7" s="79" t="s">
        <v>761</v>
      </c>
      <c r="B7" s="103" t="str">
        <f>IF(AND(NOT(ISBLANK('Lent Input'!N5)),OR('Lent Input'!N$5=Lists!$AG$4,'Lent Input'!N$5=Lists!$AG$5)),_xlfn.XLOOKUP('Lent Input'!N5,Lists!AG2:AG5,Lists!AH2:AH5),Lists!$AH$1)</f>
        <v>Select One</v>
      </c>
      <c r="C7" s="77" t="str">
        <f ca="1">IFERROR(INDEX(Validation!G:G,MATCH("DFLoan12"&amp;CELL("address",C7),Validation!I:I,0)),"")</f>
        <v/>
      </c>
      <c r="D7" s="66" t="str">
        <f ca="1">IFERROR(INDEX(Validation!F:F,MATCH("DFLoan12"&amp;CELL("address",C7),Validation!I:I,0)),"")</f>
        <v/>
      </c>
      <c r="E7" s="85" t="str">
        <f>IF(NOT(ISBLANK('Lent Input'!N4)),'Lent Input'!N4,"")</f>
        <v/>
      </c>
    </row>
    <row r="8" spans="1:5" x14ac:dyDescent="0.25">
      <c r="A8" s="79" t="s">
        <v>769</v>
      </c>
      <c r="B8" s="103" t="str">
        <f>IF(AND(NOT(ISBLANK('Lent Input'!N6)),'Lent Input'!N$5=Lists!$AG$4),'Lent Input'!N6,Lists!$AJ$1)</f>
        <v>Select One</v>
      </c>
      <c r="C8" s="77" t="str">
        <f ca="1">IFERROR(INDEX(Validation!G:G,MATCH("DFLoan12"&amp;CELL("address",C8),Validation!I:I,0)),"")</f>
        <v/>
      </c>
      <c r="D8" s="66" t="str">
        <f ca="1">IFERROR(INDEX(Validation!F:F,MATCH("DFLoan12"&amp;CELL("address",C8),Validation!I:I,0)),"")</f>
        <v/>
      </c>
    </row>
    <row r="9" spans="1:5" x14ac:dyDescent="0.25">
      <c r="A9" s="79" t="s">
        <v>770</v>
      </c>
      <c r="B9" s="103" t="str">
        <f>IF(AND(NOT(ISBLANK('Lent Input'!N7)),'Lent Input'!N$5=Lists!$AG$5),'Lent Input'!N7,"")</f>
        <v/>
      </c>
      <c r="C9" s="77" t="str">
        <f ca="1">IFERROR(INDEX(Validation!G:G,MATCH("DFLoan12"&amp;CELL("address",C9),Validation!I:I,0)),"")</f>
        <v/>
      </c>
      <c r="D9" s="66" t="str">
        <f ca="1">IFERROR(INDEX(Validation!F:F,MATCH("DFLoan12"&amp;CELL("address",C9),Validation!I:I,0)),"")</f>
        <v/>
      </c>
    </row>
    <row r="10" spans="1:5" x14ac:dyDescent="0.25">
      <c r="A10" s="79" t="s">
        <v>240</v>
      </c>
      <c r="B10" s="120" t="str">
        <f>IF(AND(NOT(ISBLANK('Lent Input'!N8)),OR('Lent Input'!N$5=Lists!$AG$4,'Lent Input'!N$5=Lists!$AG$5)),'Lent Input'!N8,"")</f>
        <v/>
      </c>
      <c r="C10" s="77" t="str">
        <f ca="1">IFERROR(INDEX(Validation!G:G,MATCH("DFLoan12"&amp;CELL("address",C10),Validation!I:I,0)),"")</f>
        <v/>
      </c>
      <c r="D10" s="66" t="str">
        <f ca="1">IFERROR(INDEX(Validation!F:F,MATCH("DFLoan12"&amp;CELL("address",C10),Validation!I:I,0)),"")</f>
        <v/>
      </c>
    </row>
    <row r="11" spans="1:5" x14ac:dyDescent="0.25">
      <c r="A11" s="79" t="s">
        <v>212</v>
      </c>
      <c r="B11" s="120" t="str">
        <f>IF(AND(NOT(ISBLANK('Lent Input'!N9)),OR('Lent Input'!N$5=Lists!$AG$4,'Lent Input'!N$5=Lists!$AG$5)),'Lent Input'!N9,"")</f>
        <v/>
      </c>
      <c r="C11" s="77" t="str">
        <f ca="1">IFERROR(INDEX(Validation!G:G,MATCH("DFLoan12"&amp;CELL("address",C11),Validation!I:I,0)),"")</f>
        <v/>
      </c>
      <c r="D11" s="66" t="str">
        <f ca="1">IFERROR(INDEX(Validation!F:F,MATCH("DFLoan12"&amp;CELL("address",C11),Validation!I:I,0)),"")</f>
        <v/>
      </c>
    </row>
    <row r="12" spans="1:5" x14ac:dyDescent="0.25">
      <c r="A12" s="79" t="s">
        <v>213</v>
      </c>
      <c r="B12" s="121" t="str">
        <f>IF(AND(NOT(ISBLANK('Lent Input'!N10)),OR('Lent Input'!N$5=Lists!$AG$4,'Lent Input'!N$5=Lists!$AG$5)),'Lent Input'!N10,"")</f>
        <v/>
      </c>
      <c r="C12" s="77" t="str">
        <f ca="1">IFERROR(INDEX(Validation!G:G,MATCH("DFLoan12"&amp;CELL("address",C12),Validation!I:I,0)),"")</f>
        <v/>
      </c>
      <c r="D12" s="66" t="str">
        <f ca="1">IFERROR(INDEX(Validation!F:F,MATCH("DFLoan12"&amp;CELL("address",C12),Validation!I:I,0)),"")</f>
        <v/>
      </c>
    </row>
    <row r="13" spans="1:5" x14ac:dyDescent="0.25">
      <c r="A13" s="79" t="s">
        <v>214</v>
      </c>
      <c r="B13" s="121" t="str">
        <f>IF(AND(NOT(ISBLANK('Lent Input'!N11)),OR('Lent Input'!N$5=Lists!$AG$4,'Lent Input'!N$5=Lists!$AG$5)),'Lent Input'!N11,"")</f>
        <v/>
      </c>
      <c r="C13" s="77" t="str">
        <f ca="1">IFERROR(INDEX(Validation!G:G,MATCH("DFLoan12"&amp;CELL("address",C13),Validation!I:I,0)),"")</f>
        <v/>
      </c>
      <c r="D13" s="66" t="str">
        <f ca="1">IFERROR(INDEX(Validation!F:F,MATCH("DFLoan12"&amp;CELL("address",C13),Validation!I:I,0)),"")</f>
        <v/>
      </c>
    </row>
    <row r="14" spans="1:5" x14ac:dyDescent="0.25">
      <c r="A14" s="79" t="s">
        <v>242</v>
      </c>
      <c r="B14" s="122" t="str">
        <f>IF(AND(NOT(ISBLANK('Lent Input'!N12)),OR('Lent Input'!N$5=Lists!$AG$4,'Lent Input'!N$5=Lists!$AG$5)),'Lent Input'!N12,"")</f>
        <v/>
      </c>
      <c r="C14" s="77" t="str">
        <f ca="1">IFERROR(INDEX(Validation!G:G,MATCH("DFLoan12"&amp;CELL("address",C14),Validation!I:I,0)),"")</f>
        <v/>
      </c>
      <c r="D14" s="66" t="str">
        <f ca="1">IFERROR(INDEX(Validation!F:F,MATCH("DFLoan12"&amp;CELL("address",C14),Validation!I:I,0)),"")</f>
        <v/>
      </c>
    </row>
    <row r="15" spans="1:5" ht="20.100000000000001" customHeight="1" x14ac:dyDescent="0.25">
      <c r="A15" s="74" t="s">
        <v>849</v>
      </c>
      <c r="C15" s="77" t="str">
        <f ca="1">IFERROR(INDEX(Validation!G:G,MATCH("DFLoan12"&amp;CELL("address",C15),Validation!I:I,0)),"")</f>
        <v/>
      </c>
      <c r="D15" s="66" t="str">
        <f ca="1">IFERROR(INDEX(Validation!F:F,MATCH("DFLoan12"&amp;CELL("address",C15),Validation!I:I,0)),"")</f>
        <v/>
      </c>
    </row>
    <row r="16" spans="1:5" x14ac:dyDescent="0.25">
      <c r="A16" s="79" t="s">
        <v>243</v>
      </c>
      <c r="B16" s="122" t="str">
        <f>IF(AND(NOT(ISBLANK('Lent Input'!N13)),OR('Lent Input'!N$5=Lists!$AG$4,'Lent Input'!N$5=Lists!$AG$5)),'Lent Input'!N13,"")</f>
        <v/>
      </c>
      <c r="C16" s="77" t="str">
        <f ca="1">IFERROR(INDEX(Validation!G:G,MATCH("DFLoan12"&amp;CELL("address",C16),Validation!I:I,0)),"")</f>
        <v/>
      </c>
      <c r="D16" s="66" t="str">
        <f ca="1">IFERROR(INDEX(Validation!F:F,MATCH("DFLoan12"&amp;CELL("address",C16),Validation!I:I,0)),"")</f>
        <v/>
      </c>
    </row>
    <row r="17" spans="1:5" x14ac:dyDescent="0.25">
      <c r="A17" s="79" t="str">
        <f>"Amount Drawn in "&amp;Year_DestinationYearID</f>
        <v>Amount Drawn in 2024</v>
      </c>
      <c r="B17" s="103"/>
      <c r="C17" s="77" t="str">
        <f ca="1">IFERROR(INDEX(Validation!G:G,MATCH("DFLoan12"&amp;CELL("address",C17),Validation!I:I,0)),"")</f>
        <v/>
      </c>
      <c r="D17" s="66" t="str">
        <f ca="1">IFERROR(INDEX(Validation!F:F,MATCH("DFLoan12"&amp;CELL("address",C17),Validation!I:I,0)),"")</f>
        <v/>
      </c>
    </row>
    <row r="18" spans="1:5" x14ac:dyDescent="0.25">
      <c r="A18" s="79" t="s">
        <v>245</v>
      </c>
      <c r="B18" s="125" t="str">
        <f>IFERROR(B16+B17,"")</f>
        <v/>
      </c>
      <c r="C18" s="77" t="str">
        <f ca="1">IFERROR(INDEX(Validation!G:G,MATCH("DFLoan12"&amp;CELL("address",C18),Validation!I:I,0)),"")</f>
        <v/>
      </c>
      <c r="D18" s="66" t="str">
        <f ca="1">IFERROR(INDEX(Validation!F:F,MATCH("DFLoan12"&amp;CELL("address",C18),Validation!I:I,0)),"")</f>
        <v/>
      </c>
    </row>
    <row r="19" spans="1:5" x14ac:dyDescent="0.25">
      <c r="A19" s="79" t="s">
        <v>279</v>
      </c>
      <c r="B19" s="122" t="str">
        <f>IF(AND(NOT(ISBLANK('Lent Input'!N16)),OR('Lent Input'!N$5=Lists!$AG$4,'Lent Input'!N$5=Lists!$AG$5)),'Lent Input'!N16,"")</f>
        <v/>
      </c>
      <c r="C19" s="77" t="str">
        <f ca="1">IFERROR(INDEX(Validation!G:G,MATCH("DFLoan12"&amp;CELL("address",C19),Validation!I:I,0)),"")</f>
        <v/>
      </c>
      <c r="D19" s="66" t="str">
        <f ca="1">IFERROR(INDEX(Validation!F:F,MATCH("DFLoan12"&amp;CELL("address",C19),Validation!I:I,0)),"")</f>
        <v/>
      </c>
    </row>
    <row r="20" spans="1:5" x14ac:dyDescent="0.25">
      <c r="A20" s="79" t="str">
        <f>"Principal Received in "&amp;Year_DestinationYearID</f>
        <v>Principal Received in 2024</v>
      </c>
      <c r="B20" s="122"/>
      <c r="C20" s="77" t="str">
        <f ca="1">IFERROR(INDEX(Validation!G:G,MATCH("DFLoan12"&amp;CELL("address",C20),Validation!I:I,0)),"")</f>
        <v/>
      </c>
      <c r="D20" s="66" t="str">
        <f ca="1">IFERROR(INDEX(Validation!F:F,MATCH("DFLoan12"&amp;CELL("address",C20),Validation!I:I,0)),"")</f>
        <v/>
      </c>
    </row>
    <row r="21" spans="1:5" x14ac:dyDescent="0.25">
      <c r="A21" s="79" t="s">
        <v>280</v>
      </c>
      <c r="B21" s="122" t="str">
        <f>IF(AND(NOT(ISBLANK('Lent Input'!N18)),OR('Lent Input'!N$5=Lists!$AG$4,'Lent Input'!N$5=Lists!$AG$5)),'Lent Input'!N18,"")</f>
        <v/>
      </c>
      <c r="C21" s="77" t="str">
        <f ca="1">IFERROR(INDEX(Validation!G:G,MATCH("DFLoan12"&amp;CELL("address",C21),Validation!I:I,0)),"")</f>
        <v/>
      </c>
      <c r="D21" s="66" t="str">
        <f ca="1">IFERROR(INDEX(Validation!F:F,MATCH("DFLoan12"&amp;CELL("address",C21),Validation!I:I,0)),"")</f>
        <v/>
      </c>
    </row>
    <row r="22" spans="1:5" x14ac:dyDescent="0.25">
      <c r="A22" s="79" t="str">
        <f>"Additions/Reductions in "&amp;Year_DestinationYearID</f>
        <v>Additions/Reductions in 2024</v>
      </c>
      <c r="B22" s="122"/>
      <c r="C22" s="77" t="str">
        <f ca="1">IFERROR(INDEX(Validation!G:G,MATCH("DFLoan12"&amp;CELL("address",C22),Validation!I:I,0)),"")</f>
        <v/>
      </c>
      <c r="D22" s="66" t="str">
        <f ca="1">IFERROR(INDEX(Validation!F:F,MATCH("DFLoan12"&amp;CELL("address",C22),Validation!I:I,0)),"")</f>
        <v/>
      </c>
    </row>
    <row r="23" spans="1:5" x14ac:dyDescent="0.25">
      <c r="A23" s="79" t="s">
        <v>221</v>
      </c>
      <c r="B23" s="125" t="str">
        <f>IFERROR(B18-B19-B20+B21+B22,"")</f>
        <v/>
      </c>
      <c r="C23" s="77" t="str">
        <f ca="1">IFERROR(INDEX(Validation!G:G,MATCH("DFLoan12"&amp;CELL("address",C23),Validation!I:I,0)),"")</f>
        <v/>
      </c>
      <c r="D23" s="66" t="str">
        <f ca="1">IFERROR(INDEX(Validation!F:F,MATCH("DFLoan12"&amp;CELL("address",C23),Validation!I:I,0)),"")</f>
        <v/>
      </c>
    </row>
    <row r="24" spans="1:5" x14ac:dyDescent="0.25">
      <c r="A24" s="79" t="str">
        <f>"Principal Due in "&amp;Year_DestinationYearID+1</f>
        <v>Principal Due in 2025</v>
      </c>
      <c r="B24" s="122"/>
      <c r="C24" s="77" t="str">
        <f ca="1">IFERROR(INDEX(Validation!G:G,MATCH("DFLoan12"&amp;CELL("address",C24),Validation!I:I,0)),"")</f>
        <v/>
      </c>
      <c r="D24" s="66" t="str">
        <f ca="1">IFERROR(INDEX(Validation!F:F,MATCH("DFLoan12"&amp;CELL("address",C24),Validation!I:I,0)),"")</f>
        <v/>
      </c>
    </row>
    <row r="25" spans="1:5" x14ac:dyDescent="0.25">
      <c r="A25" s="79" t="s">
        <v>281</v>
      </c>
      <c r="B25" s="122" t="str">
        <f>IF(AND(NOT(ISBLANK('Lent Input'!N22)),OR('Lent Input'!N$5=Lists!$AG$4,'Lent Input'!N$5=Lists!$AG$5)),'Lent Input'!N22,"")</f>
        <v/>
      </c>
      <c r="C25" s="77" t="str">
        <f ca="1">IFERROR(INDEX(Validation!G:G,MATCH("DFLoan12"&amp;CELL("address",C25),Validation!I:I,0)),"")</f>
        <v/>
      </c>
      <c r="D25" s="66" t="str">
        <f ca="1">IFERROR(INDEX(Validation!F:F,MATCH("DFLoan12"&amp;CELL("address",C25),Validation!I:I,0)),"")</f>
        <v/>
      </c>
    </row>
    <row r="26" spans="1:5" x14ac:dyDescent="0.25">
      <c r="A26" s="79" t="str">
        <f>"Interest Received in "&amp;Year_DestinationYearID</f>
        <v>Interest Received in 2024</v>
      </c>
      <c r="B26" s="122"/>
      <c r="C26" s="77" t="str">
        <f ca="1">IFERROR(INDEX(Validation!G:G,MATCH("DFLoan12"&amp;CELL("address",C26),Validation!I:I,0)),"")</f>
        <v/>
      </c>
      <c r="D26" s="66" t="str">
        <f ca="1">IFERROR(INDEX(Validation!F:F,MATCH("DFLoan12"&amp;CELL("address",C26),Validation!I:I,0)),"")</f>
        <v/>
      </c>
    </row>
    <row r="27" spans="1:5" x14ac:dyDescent="0.25">
      <c r="A27" s="79" t="str">
        <f>"Interest Due in "&amp;Year_DestinationYearID+1</f>
        <v>Interest Due in 2025</v>
      </c>
      <c r="B27" s="122"/>
      <c r="C27" s="77" t="str">
        <f ca="1">IFERROR(INDEX(Validation!G:G,MATCH("DFLoan12"&amp;CELL("address",C27),Validation!I:I,0)),"")</f>
        <v/>
      </c>
      <c r="D27" s="66" t="str">
        <f ca="1">IFERROR(INDEX(Validation!F:F,MATCH("DFLoan12"&amp;CELL("address",C27),Validation!I:I,0)),"")</f>
        <v/>
      </c>
      <c r="E27" s="126"/>
    </row>
    <row r="28" spans="1:5" ht="20.100000000000001" customHeight="1" x14ac:dyDescent="0.25">
      <c r="A28" s="97" t="s">
        <v>176</v>
      </c>
      <c r="C28" s="77" t="str">
        <f ca="1">IF(AND(ISBLANK(A29),OR(COUNTIF(D6:D27,"Alert")&gt;0,SUM(B21:B22)&lt;&gt;0)),"Comment(s) required for remaining alert(s) and/or additions to principal.",IFERROR(INDEX(Validation!G:G,MATCH("DFLoan12"&amp;CELL("address",C28),Validation!I:I,0)),""))</f>
        <v/>
      </c>
      <c r="D28" s="66" t="str">
        <f ca="1">IF(AND(ISBLANK(A29),OR(COUNTIF(D6:D27,"Alert")&gt;0,SUM(B21:B22)&lt;&gt;0)),"Error",IFERROR(INDEX(Validation!F:F,MATCH("DFLoan12"&amp;CELL("address",C28),Validation!I:I,0)),""))</f>
        <v/>
      </c>
    </row>
    <row r="29" spans="1:5" ht="150" customHeight="1" x14ac:dyDescent="0.25">
      <c r="A29" s="123"/>
      <c r="B29" s="100" t="str">
        <f>HYPERLINK("#'Lent Funds'!B6","Click here to return to the Lent Funds Tab")</f>
        <v>Click here to return to the Lent Funds Tab</v>
      </c>
    </row>
    <row r="30" spans="1:5" x14ac:dyDescent="0.25">
      <c r="A30" s="98"/>
      <c r="B30" s="98"/>
    </row>
    <row r="31" spans="1:5" x14ac:dyDescent="0.25">
      <c r="A31" s="98"/>
      <c r="B31" s="98"/>
    </row>
    <row r="32" spans="1:5" x14ac:dyDescent="0.25">
      <c r="A32" s="98"/>
      <c r="B32" s="98"/>
    </row>
    <row r="33" spans="1:2" x14ac:dyDescent="0.25">
      <c r="A33" s="98"/>
      <c r="B33" s="98"/>
    </row>
  </sheetData>
  <sheetProtection algorithmName="SHA-512" hashValue="1bm7cDTmXcT5V+pORCyK6F29hRW4aEZwqrO2jaTYAtH2NtbCTwjmxXiYlHv1qwJGcrCtwcOQB/BV+iYX4UYYCg==" saltValue="ZgfiKkW3Wbw7plD8LT0ZUQ==" spinCount="100000" sheet="1" objects="1" scenarios="1"/>
  <mergeCells count="1">
    <mergeCell ref="A4:D4"/>
  </mergeCells>
  <conditionalFormatting sqref="A2">
    <cfRule type="expression" dxfId="35" priority="11">
      <formula>$D2="Error"</formula>
    </cfRule>
    <cfRule type="expression" dxfId="33" priority="13">
      <formula>$D2="Exclude"</formula>
    </cfRule>
  </conditionalFormatting>
  <conditionalFormatting sqref="C6:D28">
    <cfRule type="expression" dxfId="30" priority="1">
      <formula>$D6="Information"</formula>
    </cfRule>
    <cfRule type="expression" dxfId="29" priority="2">
      <formula>$D6="Error"</formula>
    </cfRule>
    <cfRule type="expression" dxfId="28" priority="3">
      <formula>$D6="Alert"</formula>
    </cfRule>
    <cfRule type="expression" dxfId="27" priority="4">
      <formula>$D6="Exclude"</formula>
    </cfRule>
  </conditionalFormatting>
  <dataValidations count="2">
    <dataValidation type="list" allowBlank="1" showInputMessage="1" showErrorMessage="1" sqref="B7" xr:uid="{8FE57A0C-685D-4E13-8FC4-FE355EFE0219}">
      <formula1>DueFromType</formula1>
    </dataValidation>
    <dataValidation type="list" allowBlank="1" showInputMessage="1" showErrorMessage="1" sqref="B8" xr:uid="{B4141907-3091-4D5B-9113-26E56BFBFAEF}">
      <formula1>DistrictDropDown</formula1>
    </dataValidation>
  </dataValidations>
  <pageMargins left="0.7" right="0.7" top="0.75" bottom="0.75" header="0.3" footer="0.3"/>
  <pageSetup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12" id="{9B04CC80-1537-42B4-8D2F-23D152AD62ED}">
            <xm:f>COUNTIFS(Validation!$H:$H,MID(CELL("filename",A2),FIND("]",CELL("filename",A2))+1,255)&amp;CELL("address",A2))&gt;0</xm:f>
            <x14:dxf>
              <font>
                <b/>
                <i val="0"/>
                <color rgb="FFC00000"/>
              </font>
              <numFmt numFmtId="172" formatCode="_(\!* #,##0_);_(\!* \(#,##0\);_(\!* \-??_);_(\!\ @_)"/>
            </x14:dxf>
          </x14:cfRule>
          <xm:sqref>A2</xm:sqref>
        </x14:conditionalFormatting>
        <x14:conditionalFormatting xmlns:xm="http://schemas.microsoft.com/office/excel/2006/main">
          <x14:cfRule type="expression" priority="10" id="{31293148-A85A-4697-A3BC-95B52AC59EE6}">
            <xm:f>$B$7=Lists!$AH$5</xm:f>
            <x14:dxf>
              <fill>
                <patternFill>
                  <bgColor rgb="FFEAEAEA"/>
                </patternFill>
              </fill>
            </x14:dxf>
          </x14:cfRule>
          <xm:sqref>B8</xm:sqref>
        </x14:conditionalFormatting>
        <x14:conditionalFormatting xmlns:xm="http://schemas.microsoft.com/office/excel/2006/main">
          <x14:cfRule type="expression" priority="9" id="{216BC855-8E22-4011-86C9-41962D6ECBA3}">
            <xm:f>$B$7=Lists!$AH$4</xm:f>
            <x14:dxf>
              <fill>
                <patternFill>
                  <bgColor rgb="FFEAEAEA"/>
                </patternFill>
              </fill>
            </x14:dxf>
          </x14:cfRule>
          <xm:sqref>B9</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5D494-5605-43AE-8098-DD9394A81547}">
  <sheetPr codeName="Sheet1">
    <tabColor rgb="FF92D050"/>
  </sheetPr>
  <dimension ref="A1:M58"/>
  <sheetViews>
    <sheetView topLeftCell="A24" workbookViewId="0">
      <selection activeCell="C17" sqref="C17"/>
    </sheetView>
  </sheetViews>
  <sheetFormatPr defaultRowHeight="15" x14ac:dyDescent="0.25"/>
  <cols>
    <col min="1" max="1" width="28.7109375" customWidth="1"/>
    <col min="2" max="2" width="48.5703125" customWidth="1"/>
    <col min="3" max="3" width="12.5703125" customWidth="1"/>
  </cols>
  <sheetData>
    <row r="1" spans="1:4" x14ac:dyDescent="0.25">
      <c r="A1" s="1" t="s">
        <v>0</v>
      </c>
      <c r="B1" s="12" t="s">
        <v>439</v>
      </c>
      <c r="C1" s="10" t="s">
        <v>1</v>
      </c>
      <c r="D1" s="1" t="s">
        <v>2</v>
      </c>
    </row>
    <row r="2" spans="1:4" ht="20.100000000000001" customHeight="1" x14ac:dyDescent="0.25">
      <c r="B2" s="15" t="s">
        <v>438</v>
      </c>
      <c r="D2" s="14" t="s">
        <v>3</v>
      </c>
    </row>
    <row r="3" spans="1:4" x14ac:dyDescent="0.25">
      <c r="A3" s="5">
        <v>18194</v>
      </c>
      <c r="B3" s="11" t="s">
        <v>4</v>
      </c>
      <c r="C3" t="s">
        <v>5</v>
      </c>
      <c r="D3" t="s">
        <v>6</v>
      </c>
    </row>
    <row r="4" spans="1:4" x14ac:dyDescent="0.25">
      <c r="A4" s="5" t="s">
        <v>1677</v>
      </c>
      <c r="B4" s="11" t="s">
        <v>7</v>
      </c>
      <c r="C4" t="s">
        <v>5</v>
      </c>
      <c r="D4" t="s">
        <v>8</v>
      </c>
    </row>
    <row r="5" spans="1:4" x14ac:dyDescent="0.25">
      <c r="A5" s="5" t="s">
        <v>9</v>
      </c>
      <c r="B5" s="11" t="s">
        <v>10</v>
      </c>
      <c r="C5" t="s">
        <v>5</v>
      </c>
      <c r="D5" t="s">
        <v>11</v>
      </c>
    </row>
    <row r="6" spans="1:4" x14ac:dyDescent="0.25">
      <c r="A6" s="5">
        <v>1234</v>
      </c>
      <c r="B6" s="11" t="s">
        <v>486</v>
      </c>
      <c r="C6" t="s">
        <v>5</v>
      </c>
      <c r="D6" t="s">
        <v>485</v>
      </c>
    </row>
    <row r="7" spans="1:4" x14ac:dyDescent="0.25">
      <c r="A7" s="5">
        <v>2023</v>
      </c>
      <c r="B7" s="11" t="s">
        <v>12</v>
      </c>
      <c r="C7" t="s">
        <v>5</v>
      </c>
      <c r="D7" t="s">
        <v>13</v>
      </c>
    </row>
    <row r="8" spans="1:4" x14ac:dyDescent="0.25">
      <c r="A8" s="5">
        <v>2024</v>
      </c>
      <c r="B8" s="11" t="s">
        <v>14</v>
      </c>
      <c r="C8" t="s">
        <v>5</v>
      </c>
      <c r="D8" t="s">
        <v>15</v>
      </c>
    </row>
    <row r="9" spans="1:4" x14ac:dyDescent="0.25">
      <c r="A9" s="5" t="str">
        <f>Year_DestinationYearID&amp;"DevDraft"</f>
        <v>2024DevDraft</v>
      </c>
      <c r="B9" s="11" t="s">
        <v>16</v>
      </c>
      <c r="C9" t="s">
        <v>17</v>
      </c>
      <c r="D9" t="s">
        <v>18</v>
      </c>
    </row>
    <row r="10" spans="1:4" x14ac:dyDescent="0.25">
      <c r="A10" s="5" t="s">
        <v>19</v>
      </c>
      <c r="B10" s="11" t="s">
        <v>20</v>
      </c>
      <c r="C10" t="s">
        <v>17</v>
      </c>
      <c r="D10" t="s">
        <v>21</v>
      </c>
    </row>
    <row r="11" spans="1:4" x14ac:dyDescent="0.25">
      <c r="A11" s="5"/>
      <c r="B11" s="11" t="s">
        <v>22</v>
      </c>
      <c r="C11" t="s">
        <v>23</v>
      </c>
      <c r="D11" t="s">
        <v>24</v>
      </c>
    </row>
    <row r="12" spans="1:4" x14ac:dyDescent="0.25">
      <c r="A12" s="5"/>
      <c r="B12" s="11" t="s">
        <v>25</v>
      </c>
      <c r="C12" t="s">
        <v>23</v>
      </c>
      <c r="D12" t="s">
        <v>467</v>
      </c>
    </row>
    <row r="13" spans="1:4" ht="20.100000000000001" customHeight="1" x14ac:dyDescent="0.25">
      <c r="B13" s="13" t="s">
        <v>26</v>
      </c>
      <c r="D13" s="14" t="s">
        <v>27</v>
      </c>
    </row>
    <row r="14" spans="1:4" x14ac:dyDescent="0.25">
      <c r="A14" s="5">
        <f ca="1">COUNTIF('Dist Info'!D:D,"Error")</f>
        <v>4</v>
      </c>
      <c r="B14" s="11" t="s">
        <v>28</v>
      </c>
      <c r="C14" t="s">
        <v>29</v>
      </c>
      <c r="D14" t="s">
        <v>30</v>
      </c>
    </row>
    <row r="15" spans="1:4" x14ac:dyDescent="0.25">
      <c r="A15" s="5">
        <f ca="1">COUNTIF('Spec Leg'!H:H,"Error")</f>
        <v>1</v>
      </c>
      <c r="B15" s="11" t="s">
        <v>31</v>
      </c>
      <c r="C15" t="s">
        <v>29</v>
      </c>
      <c r="D15" t="s">
        <v>32</v>
      </c>
    </row>
    <row r="16" spans="1:4" x14ac:dyDescent="0.25">
      <c r="A16" s="5">
        <f ca="1">COUNTIF(Bonds!D:D,"Error")</f>
        <v>1</v>
      </c>
      <c r="B16" s="11" t="s">
        <v>440</v>
      </c>
      <c r="C16" t="s">
        <v>29</v>
      </c>
      <c r="D16" t="s">
        <v>449</v>
      </c>
    </row>
    <row r="17" spans="1:4" x14ac:dyDescent="0.25">
      <c r="A17" s="5">
        <f ca="1">COUNTIF(PAYGs!D:D,"Error")</f>
        <v>2</v>
      </c>
      <c r="B17" s="11" t="s">
        <v>441</v>
      </c>
      <c r="C17" t="s">
        <v>29</v>
      </c>
      <c r="D17" t="s">
        <v>451</v>
      </c>
    </row>
    <row r="18" spans="1:4" x14ac:dyDescent="0.25">
      <c r="A18" s="5">
        <f ca="1">COUNTIF(Loans!D:D,"Error")</f>
        <v>1</v>
      </c>
      <c r="B18" s="11" t="s">
        <v>442</v>
      </c>
      <c r="C18" t="s">
        <v>29</v>
      </c>
      <c r="D18" t="s">
        <v>450</v>
      </c>
    </row>
    <row r="19" spans="1:4" x14ac:dyDescent="0.25">
      <c r="A19" s="5">
        <f ca="1">COUNTIF('Lent Funds'!D:D,"Error")</f>
        <v>1</v>
      </c>
      <c r="B19" s="11" t="s">
        <v>35</v>
      </c>
      <c r="C19" t="s">
        <v>29</v>
      </c>
      <c r="D19" t="s">
        <v>36</v>
      </c>
    </row>
    <row r="20" spans="1:4" x14ac:dyDescent="0.25">
      <c r="A20" s="5">
        <f ca="1">COUNTIF(Revenues!F:F,"Error")</f>
        <v>1</v>
      </c>
      <c r="B20" s="11" t="s">
        <v>1469</v>
      </c>
      <c r="C20" t="s">
        <v>29</v>
      </c>
      <c r="D20" t="s">
        <v>452</v>
      </c>
    </row>
    <row r="21" spans="1:4" x14ac:dyDescent="0.25">
      <c r="A21" s="5">
        <f ca="1">COUNTIF(Expenditures!F:F,"Error")</f>
        <v>1</v>
      </c>
      <c r="B21" s="11" t="s">
        <v>33</v>
      </c>
      <c r="C21" t="s">
        <v>29</v>
      </c>
      <c r="D21" t="s">
        <v>34</v>
      </c>
    </row>
    <row r="22" spans="1:4" x14ac:dyDescent="0.25">
      <c r="A22" s="5">
        <f ca="1">COUNTIF(Transfers!I:I,"Error")</f>
        <v>1</v>
      </c>
      <c r="B22" s="11" t="s">
        <v>444</v>
      </c>
      <c r="C22" t="s">
        <v>29</v>
      </c>
      <c r="D22" t="s">
        <v>453</v>
      </c>
    </row>
    <row r="23" spans="1:4" x14ac:dyDescent="0.25">
      <c r="A23" s="5">
        <f ca="1">COUNTIF(Returned!F:F,"Error")</f>
        <v>4</v>
      </c>
      <c r="B23" s="11" t="s">
        <v>1105</v>
      </c>
      <c r="C23" t="s">
        <v>29</v>
      </c>
      <c r="D23" t="s">
        <v>1466</v>
      </c>
    </row>
    <row r="24" spans="1:4" x14ac:dyDescent="0.25">
      <c r="A24" s="5">
        <f ca="1">COUNTIF('Rev Exp Bal'!F:F,"Error")</f>
        <v>1</v>
      </c>
      <c r="B24" s="11" t="s">
        <v>443</v>
      </c>
      <c r="C24" t="s">
        <v>29</v>
      </c>
      <c r="D24" t="s">
        <v>457</v>
      </c>
    </row>
    <row r="25" spans="1:4" x14ac:dyDescent="0.25">
      <c r="A25" s="5">
        <f ca="1">COUNTIF('Bal Sheet'!E:E,"Error")</f>
        <v>2</v>
      </c>
      <c r="B25" s="11" t="s">
        <v>445</v>
      </c>
      <c r="C25" t="s">
        <v>29</v>
      </c>
      <c r="D25" t="s">
        <v>458</v>
      </c>
    </row>
    <row r="26" spans="1:4" x14ac:dyDescent="0.25">
      <c r="A26" s="5">
        <f ca="1">COUNTIF(EIC!D:D,"Error")</f>
        <v>0</v>
      </c>
      <c r="B26" s="11" t="s">
        <v>446</v>
      </c>
      <c r="C26" t="s">
        <v>29</v>
      </c>
      <c r="D26" t="s">
        <v>454</v>
      </c>
    </row>
    <row r="27" spans="1:4" x14ac:dyDescent="0.25">
      <c r="A27" s="5">
        <f ca="1">COUNTIF(ADS!D:D,"Error")</f>
        <v>3</v>
      </c>
      <c r="B27" s="11" t="s">
        <v>447</v>
      </c>
      <c r="C27" t="s">
        <v>29</v>
      </c>
      <c r="D27" t="s">
        <v>455</v>
      </c>
    </row>
    <row r="28" spans="1:4" x14ac:dyDescent="0.25">
      <c r="A28" s="5">
        <f ca="1">COUNTIF(HSS!E:E,"Error")</f>
        <v>2</v>
      </c>
      <c r="B28" s="11" t="s">
        <v>1462</v>
      </c>
      <c r="C28" t="s">
        <v>29</v>
      </c>
      <c r="D28" t="s">
        <v>1461</v>
      </c>
    </row>
    <row r="29" spans="1:4" x14ac:dyDescent="0.25">
      <c r="A29" s="5">
        <f ca="1">COUNTIF(Parcels!E:E,"Error")</f>
        <v>0</v>
      </c>
      <c r="B29" s="11" t="s">
        <v>448</v>
      </c>
      <c r="C29" t="s">
        <v>29</v>
      </c>
      <c r="D29" t="s">
        <v>456</v>
      </c>
    </row>
    <row r="30" spans="1:4" x14ac:dyDescent="0.25">
      <c r="A30" s="5">
        <f ca="1">COUNTIF('Six-Yr Rule'!D:D,"Error")</f>
        <v>3</v>
      </c>
      <c r="B30" s="11" t="s">
        <v>466</v>
      </c>
      <c r="C30" t="s">
        <v>29</v>
      </c>
      <c r="D30" t="s">
        <v>459</v>
      </c>
    </row>
    <row r="31" spans="1:4" ht="20.100000000000001" customHeight="1" x14ac:dyDescent="0.25">
      <c r="B31" s="13" t="s">
        <v>460</v>
      </c>
      <c r="D31" s="14" t="s">
        <v>461</v>
      </c>
    </row>
    <row r="32" spans="1:4" x14ac:dyDescent="0.25">
      <c r="A32" s="5">
        <v>3</v>
      </c>
      <c r="B32" s="11" t="s">
        <v>462</v>
      </c>
      <c r="C32" t="s">
        <v>23</v>
      </c>
      <c r="D32" t="s">
        <v>464</v>
      </c>
    </row>
    <row r="33" spans="1:13" x14ac:dyDescent="0.25">
      <c r="A33" s="5" t="b">
        <v>0</v>
      </c>
      <c r="B33" s="11" t="s">
        <v>468</v>
      </c>
      <c r="C33" t="s">
        <v>23</v>
      </c>
      <c r="D33" t="s">
        <v>469</v>
      </c>
    </row>
    <row r="34" spans="1:13" x14ac:dyDescent="0.25">
      <c r="A34" s="5" t="s">
        <v>1678</v>
      </c>
      <c r="B34" s="11" t="s">
        <v>463</v>
      </c>
      <c r="C34" t="s">
        <v>23</v>
      </c>
      <c r="D34" t="s">
        <v>465</v>
      </c>
    </row>
    <row r="35" spans="1:13" ht="20.100000000000001" customHeight="1" x14ac:dyDescent="0.25">
      <c r="B35" s="13" t="s">
        <v>978</v>
      </c>
      <c r="D35" s="14" t="s">
        <v>979</v>
      </c>
    </row>
    <row r="36" spans="1:13" x14ac:dyDescent="0.25">
      <c r="A36" s="5">
        <f>15-COUNTIF('Bond Output'!TIF_Debt_Description_Output,"")</f>
        <v>1</v>
      </c>
      <c r="B36" s="11" t="s">
        <v>982</v>
      </c>
      <c r="C36" t="s">
        <v>29</v>
      </c>
      <c r="D36" t="s">
        <v>983</v>
      </c>
      <c r="M36" s="46"/>
    </row>
    <row r="37" spans="1:13" x14ac:dyDescent="0.25">
      <c r="A37" s="5">
        <f>15-COUNTIF(TIF_PAYG_HolderName_Output,"")</f>
        <v>2</v>
      </c>
      <c r="B37" s="11" t="s">
        <v>980</v>
      </c>
      <c r="C37" t="s">
        <v>29</v>
      </c>
      <c r="D37" t="s">
        <v>984</v>
      </c>
      <c r="M37" s="46"/>
    </row>
    <row r="38" spans="1:13" x14ac:dyDescent="0.25">
      <c r="A38" s="5">
        <f ca="1">COUNTIF(TIF_InterfundLoanType_TypeName_Output,Lists!AG2)+COUNTIF(TIF_InterfundLoanType_TypeName_Output,Lists!AG3)</f>
        <v>1</v>
      </c>
      <c r="B38" s="11" t="s">
        <v>981</v>
      </c>
      <c r="C38" t="s">
        <v>29</v>
      </c>
      <c r="D38" t="s">
        <v>985</v>
      </c>
      <c r="M38" s="46"/>
    </row>
    <row r="39" spans="1:13" ht="20.100000000000001" customHeight="1" x14ac:dyDescent="0.25">
      <c r="B39" s="13" t="s">
        <v>1137</v>
      </c>
      <c r="D39" s="14" t="s">
        <v>1106</v>
      </c>
    </row>
    <row r="40" spans="1:13" x14ac:dyDescent="0.25">
      <c r="A40" s="5">
        <f ca="1">COUNTIF('Dist Info'!D:D,"Alert")</f>
        <v>0</v>
      </c>
      <c r="B40" s="11" t="s">
        <v>1122</v>
      </c>
      <c r="C40" t="s">
        <v>29</v>
      </c>
      <c r="D40" t="s">
        <v>1107</v>
      </c>
    </row>
    <row r="41" spans="1:13" x14ac:dyDescent="0.25">
      <c r="A41" s="5">
        <f ca="1">COUNTIF('Spec Leg'!H:H,"Alert")</f>
        <v>0</v>
      </c>
      <c r="B41" s="11" t="s">
        <v>1123</v>
      </c>
      <c r="C41" t="s">
        <v>29</v>
      </c>
      <c r="D41" t="s">
        <v>1108</v>
      </c>
    </row>
    <row r="42" spans="1:13" x14ac:dyDescent="0.25">
      <c r="A42" s="5">
        <f ca="1">COUNTIF('Bond 1'!E:E,"Alert")</f>
        <v>0</v>
      </c>
      <c r="B42" s="11" t="s">
        <v>1124</v>
      </c>
      <c r="C42" t="s">
        <v>29</v>
      </c>
      <c r="D42" t="s">
        <v>1109</v>
      </c>
    </row>
    <row r="43" spans="1:13" x14ac:dyDescent="0.25">
      <c r="A43" s="5">
        <f ca="1">COUNTIF(PAYGs!D:D,"Alert")</f>
        <v>0</v>
      </c>
      <c r="B43" s="11" t="s">
        <v>1125</v>
      </c>
      <c r="C43" t="s">
        <v>29</v>
      </c>
      <c r="D43" t="s">
        <v>1110</v>
      </c>
    </row>
    <row r="44" spans="1:13" x14ac:dyDescent="0.25">
      <c r="A44" s="5">
        <f ca="1">COUNTIF(Loans!D:D,"Alert")</f>
        <v>0</v>
      </c>
      <c r="B44" s="11" t="s">
        <v>1126</v>
      </c>
      <c r="C44" t="s">
        <v>29</v>
      </c>
      <c r="D44" t="s">
        <v>1111</v>
      </c>
    </row>
    <row r="45" spans="1:13" x14ac:dyDescent="0.25">
      <c r="A45" s="5">
        <f ca="1">COUNTIF('Lent Funds'!D:D,"Alert")</f>
        <v>0</v>
      </c>
      <c r="B45" s="11" t="s">
        <v>1127</v>
      </c>
      <c r="C45" t="s">
        <v>29</v>
      </c>
      <c r="D45" t="s">
        <v>1112</v>
      </c>
    </row>
    <row r="46" spans="1:13" x14ac:dyDescent="0.25">
      <c r="A46" s="5">
        <f ca="1">COUNTIF(Revenues!F:F,"Alert")</f>
        <v>0</v>
      </c>
      <c r="B46" s="11" t="s">
        <v>1468</v>
      </c>
      <c r="C46" t="s">
        <v>29</v>
      </c>
      <c r="D46" t="s">
        <v>1115</v>
      </c>
    </row>
    <row r="47" spans="1:13" x14ac:dyDescent="0.25">
      <c r="A47" s="5">
        <f ca="1">COUNTIF(Expenditures!F:F,"Alert")</f>
        <v>0</v>
      </c>
      <c r="B47" s="11" t="s">
        <v>1128</v>
      </c>
      <c r="C47" t="s">
        <v>29</v>
      </c>
      <c r="D47" t="s">
        <v>1113</v>
      </c>
    </row>
    <row r="48" spans="1:13" x14ac:dyDescent="0.25">
      <c r="A48" s="5">
        <f ca="1">COUNTIF(Transfers!I:I,"Alert")</f>
        <v>0</v>
      </c>
      <c r="B48" s="11" t="s">
        <v>1129</v>
      </c>
      <c r="C48" t="s">
        <v>29</v>
      </c>
      <c r="D48" t="s">
        <v>1114</v>
      </c>
    </row>
    <row r="49" spans="1:4" x14ac:dyDescent="0.25">
      <c r="A49" s="5">
        <f ca="1">COUNTIF(Returned!F:F,"Alert")</f>
        <v>0</v>
      </c>
      <c r="B49" s="11" t="s">
        <v>1130</v>
      </c>
      <c r="C49" t="s">
        <v>29</v>
      </c>
      <c r="D49" t="s">
        <v>1467</v>
      </c>
    </row>
    <row r="50" spans="1:4" x14ac:dyDescent="0.25">
      <c r="A50" s="5">
        <f ca="1">COUNTIF('Rev Exp Bal'!F:F,"Alert")</f>
        <v>0</v>
      </c>
      <c r="B50" s="11" t="s">
        <v>1131</v>
      </c>
      <c r="C50" t="s">
        <v>29</v>
      </c>
      <c r="D50" t="s">
        <v>1116</v>
      </c>
    </row>
    <row r="51" spans="1:4" x14ac:dyDescent="0.25">
      <c r="A51" s="5">
        <f ca="1">COUNTIF('Bal Sheet'!E:E,"Alert")</f>
        <v>0</v>
      </c>
      <c r="B51" s="11" t="s">
        <v>1132</v>
      </c>
      <c r="C51" t="s">
        <v>29</v>
      </c>
      <c r="D51" t="s">
        <v>1117</v>
      </c>
    </row>
    <row r="52" spans="1:4" x14ac:dyDescent="0.25">
      <c r="A52" s="5">
        <f ca="1">COUNTIF(EIC!D:D,"Alert")</f>
        <v>0</v>
      </c>
      <c r="B52" s="11" t="s">
        <v>1133</v>
      </c>
      <c r="C52" t="s">
        <v>29</v>
      </c>
      <c r="D52" t="s">
        <v>1118</v>
      </c>
    </row>
    <row r="53" spans="1:4" x14ac:dyDescent="0.25">
      <c r="A53" s="5">
        <f ca="1">COUNTIF(ADS!D:D,"Alert")</f>
        <v>0</v>
      </c>
      <c r="B53" s="11" t="s">
        <v>1134</v>
      </c>
      <c r="C53" t="s">
        <v>29</v>
      </c>
      <c r="D53" t="s">
        <v>1119</v>
      </c>
    </row>
    <row r="54" spans="1:4" x14ac:dyDescent="0.25">
      <c r="A54" s="5">
        <f ca="1">COUNTIF(HSS!E:E,"Alert")</f>
        <v>0</v>
      </c>
      <c r="B54" s="11" t="s">
        <v>1463</v>
      </c>
      <c r="C54" t="s">
        <v>29</v>
      </c>
      <c r="D54" t="s">
        <v>1464</v>
      </c>
    </row>
    <row r="55" spans="1:4" x14ac:dyDescent="0.25">
      <c r="A55" s="5">
        <f ca="1">COUNTIF(Parcels!E:E,"Alert")</f>
        <v>0</v>
      </c>
      <c r="B55" s="11" t="s">
        <v>1135</v>
      </c>
      <c r="C55" t="s">
        <v>29</v>
      </c>
      <c r="D55" t="s">
        <v>1120</v>
      </c>
    </row>
    <row r="56" spans="1:4" x14ac:dyDescent="0.25">
      <c r="A56" s="5">
        <f ca="1">COUNTIF('Six-Yr Rule'!D:D,"Alert")</f>
        <v>1</v>
      </c>
      <c r="B56" s="11" t="s">
        <v>1136</v>
      </c>
      <c r="C56" t="s">
        <v>29</v>
      </c>
      <c r="D56" t="s">
        <v>1121</v>
      </c>
    </row>
    <row r="57" spans="1:4" x14ac:dyDescent="0.25">
      <c r="B57" s="13"/>
    </row>
    <row r="58" spans="1:4" x14ac:dyDescent="0.25">
      <c r="A58" s="38"/>
      <c r="B58" s="11"/>
    </row>
  </sheetData>
  <phoneticPr fontId="7" type="noConversion"/>
  <pageMargins left="0.7" right="0.7" top="0.75" bottom="0.75" header="0.3" footer="0.3"/>
  <pageSetup orientation="portrait" horizontalDpi="1200" verticalDpi="1200"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90CAD-FFB7-4639-AF19-86C3D61C6FBC}">
  <sheetPr>
    <tabColor rgb="FFEED382"/>
  </sheetPr>
  <dimension ref="A1:E33"/>
  <sheetViews>
    <sheetView showGridLines="0" workbookViewId="0">
      <selection activeCell="B7" sqref="B7"/>
    </sheetView>
  </sheetViews>
  <sheetFormatPr defaultRowHeight="15" x14ac:dyDescent="0.25"/>
  <cols>
    <col min="1" max="1" width="55.7109375" style="66" customWidth="1"/>
    <col min="2" max="2" width="22.7109375" style="66" customWidth="1"/>
    <col min="3" max="3" width="80.85546875" style="66" customWidth="1"/>
    <col min="4" max="4" width="14.7109375" style="66" customWidth="1"/>
    <col min="5" max="5" width="10.7109375" style="78" hidden="1" customWidth="1"/>
    <col min="6" max="16384" width="9.140625" style="66"/>
  </cols>
  <sheetData>
    <row r="1" spans="1:5" s="59" customFormat="1" ht="24.95" customHeight="1" x14ac:dyDescent="0.25">
      <c r="A1" s="59" t="str">
        <f>_xlfn.CONCAT("Office of the State Auditor  -  TIF Annual Reporting Form  -  ",Year_DestinationYearID)</f>
        <v>Office of the State Auditor  -  TIF Annual Reporting Form  -  2024</v>
      </c>
      <c r="E1" s="61"/>
    </row>
    <row r="2" spans="1:5" s="62" customFormat="1" ht="20.100000000000001" customHeight="1" x14ac:dyDescent="0.25">
      <c r="A2" s="58" t="str">
        <f>_xlfn.CONCAT(GovEntity_GovEntityName_Parent,"  -  ",GovEntity_GovEntityName)</f>
        <v>Spruce City  -  TIF 1-1 Downtown Redev</v>
      </c>
      <c r="E2" s="64"/>
    </row>
    <row r="3" spans="1:5" s="68" customFormat="1" ht="24.95" customHeight="1" x14ac:dyDescent="0.3">
      <c r="A3" s="65" t="s">
        <v>848</v>
      </c>
      <c r="B3" s="66"/>
      <c r="E3" s="69"/>
    </row>
    <row r="4" spans="1:5" s="71" customFormat="1" x14ac:dyDescent="0.25">
      <c r="A4" s="217" t="s">
        <v>207</v>
      </c>
      <c r="B4" s="217"/>
      <c r="C4" s="217"/>
      <c r="D4" s="217"/>
      <c r="E4" s="72" t="s">
        <v>119</v>
      </c>
    </row>
    <row r="5" spans="1:5" s="74" customFormat="1" ht="20.100000000000001" customHeight="1" x14ac:dyDescent="0.25">
      <c r="A5" s="73" t="str">
        <f>HYPERLINK("#'Lent Funds'!B6","Click here to return to the Lent Funds Tab")</f>
        <v>Click here to return to the Lent Funds Tab</v>
      </c>
      <c r="B5" s="74" t="s">
        <v>120</v>
      </c>
      <c r="C5" s="74" t="s">
        <v>121</v>
      </c>
      <c r="D5" s="74" t="s">
        <v>102</v>
      </c>
      <c r="E5" s="76"/>
    </row>
    <row r="6" spans="1:5" ht="20.100000000000001" customHeight="1" x14ac:dyDescent="0.25">
      <c r="A6" s="74" t="s">
        <v>847</v>
      </c>
      <c r="C6" s="77" t="str">
        <f ca="1">IFERROR(INDEX(Validation!G:G,MATCH("DFLoan13"&amp;CELL("address",C6),Validation!I:I,0)),"")</f>
        <v/>
      </c>
      <c r="D6" s="66" t="str">
        <f ca="1">IFERROR(INDEX(Validation!F:F,MATCH("DFLoan13"&amp;CELL("address",C6),Validation!I:I,0)),"")</f>
        <v/>
      </c>
      <c r="E6" s="78" t="s">
        <v>875</v>
      </c>
    </row>
    <row r="7" spans="1:5" x14ac:dyDescent="0.25">
      <c r="A7" s="79" t="s">
        <v>761</v>
      </c>
      <c r="B7" s="103" t="str">
        <f>IF(AND(NOT(ISBLANK('Lent Input'!O5)),OR('Lent Input'!O$5=Lists!$AG$4,'Lent Input'!O$5=Lists!$AG$5)),_xlfn.XLOOKUP('Lent Input'!O5,Lists!AG2:AG5,Lists!AH2:AH5),Lists!$AH$1)</f>
        <v>Select One</v>
      </c>
      <c r="C7" s="77" t="str">
        <f ca="1">IFERROR(INDEX(Validation!G:G,MATCH("DFLoan13"&amp;CELL("address",C7),Validation!I:I,0)),"")</f>
        <v/>
      </c>
      <c r="D7" s="66" t="str">
        <f ca="1">IFERROR(INDEX(Validation!F:F,MATCH("DFLoan13"&amp;CELL("address",C7),Validation!I:I,0)),"")</f>
        <v/>
      </c>
      <c r="E7" s="85" t="str">
        <f>IF(NOT(ISBLANK('Lent Input'!O4)),'Lent Input'!O4,"")</f>
        <v/>
      </c>
    </row>
    <row r="8" spans="1:5" x14ac:dyDescent="0.25">
      <c r="A8" s="79" t="s">
        <v>769</v>
      </c>
      <c r="B8" s="103" t="str">
        <f>IF(AND(NOT(ISBLANK('Lent Input'!O6)),'Lent Input'!O$5=Lists!$AG$4),'Lent Input'!O6,Lists!$AJ$1)</f>
        <v>Select One</v>
      </c>
      <c r="C8" s="77" t="str">
        <f ca="1">IFERROR(INDEX(Validation!G:G,MATCH("DFLoan13"&amp;CELL("address",C8),Validation!I:I,0)),"")</f>
        <v/>
      </c>
      <c r="D8" s="66" t="str">
        <f ca="1">IFERROR(INDEX(Validation!F:F,MATCH("DFLoan13"&amp;CELL("address",C8),Validation!I:I,0)),"")</f>
        <v/>
      </c>
    </row>
    <row r="9" spans="1:5" x14ac:dyDescent="0.25">
      <c r="A9" s="79" t="s">
        <v>770</v>
      </c>
      <c r="B9" s="103" t="str">
        <f>IF(AND(NOT(ISBLANK('Lent Input'!O7)),'Lent Input'!O$5=Lists!$AG$5),'Lent Input'!O7,"")</f>
        <v/>
      </c>
      <c r="C9" s="77" t="str">
        <f ca="1">IFERROR(INDEX(Validation!G:G,MATCH("DFLoan13"&amp;CELL("address",C9),Validation!I:I,0)),"")</f>
        <v/>
      </c>
      <c r="D9" s="66" t="str">
        <f ca="1">IFERROR(INDEX(Validation!F:F,MATCH("DFLoan13"&amp;CELL("address",C9),Validation!I:I,0)),"")</f>
        <v/>
      </c>
    </row>
    <row r="10" spans="1:5" x14ac:dyDescent="0.25">
      <c r="A10" s="79" t="s">
        <v>240</v>
      </c>
      <c r="B10" s="120" t="str">
        <f>IF(AND(NOT(ISBLANK('Lent Input'!O8)),OR('Lent Input'!O$5=Lists!$AG$4,'Lent Input'!O$5=Lists!$AG$5)),'Lent Input'!O8,"")</f>
        <v/>
      </c>
      <c r="C10" s="77" t="str">
        <f ca="1">IFERROR(INDEX(Validation!G:G,MATCH("DFLoan13"&amp;CELL("address",C10),Validation!I:I,0)),"")</f>
        <v/>
      </c>
      <c r="D10" s="66" t="str">
        <f ca="1">IFERROR(INDEX(Validation!F:F,MATCH("DFLoan13"&amp;CELL("address",C10),Validation!I:I,0)),"")</f>
        <v/>
      </c>
    </row>
    <row r="11" spans="1:5" x14ac:dyDescent="0.25">
      <c r="A11" s="79" t="s">
        <v>212</v>
      </c>
      <c r="B11" s="120" t="str">
        <f>IF(AND(NOT(ISBLANK('Lent Input'!O9)),OR('Lent Input'!O$5=Lists!$AG$4,'Lent Input'!O$5=Lists!$AG$5)),'Lent Input'!O9,"")</f>
        <v/>
      </c>
      <c r="C11" s="77" t="str">
        <f ca="1">IFERROR(INDEX(Validation!G:G,MATCH("DFLoan13"&amp;CELL("address",C11),Validation!I:I,0)),"")</f>
        <v/>
      </c>
      <c r="D11" s="66" t="str">
        <f ca="1">IFERROR(INDEX(Validation!F:F,MATCH("DFLoan13"&amp;CELL("address",C11),Validation!I:I,0)),"")</f>
        <v/>
      </c>
    </row>
    <row r="12" spans="1:5" x14ac:dyDescent="0.25">
      <c r="A12" s="79" t="s">
        <v>213</v>
      </c>
      <c r="B12" s="121" t="str">
        <f>IF(AND(NOT(ISBLANK('Lent Input'!O10)),OR('Lent Input'!O$5=Lists!$AG$4,'Lent Input'!O$5=Lists!$AG$5)),'Lent Input'!O10,"")</f>
        <v/>
      </c>
      <c r="C12" s="77" t="str">
        <f ca="1">IFERROR(INDEX(Validation!G:G,MATCH("DFLoan13"&amp;CELL("address",C12),Validation!I:I,0)),"")</f>
        <v/>
      </c>
      <c r="D12" s="66" t="str">
        <f ca="1">IFERROR(INDEX(Validation!F:F,MATCH("DFLoan13"&amp;CELL("address",C12),Validation!I:I,0)),"")</f>
        <v/>
      </c>
    </row>
    <row r="13" spans="1:5" x14ac:dyDescent="0.25">
      <c r="A13" s="79" t="s">
        <v>214</v>
      </c>
      <c r="B13" s="121" t="str">
        <f>IF(AND(NOT(ISBLANK('Lent Input'!O11)),OR('Lent Input'!O$5=Lists!$AG$4,'Lent Input'!O$5=Lists!$AG$5)),'Lent Input'!O11,"")</f>
        <v/>
      </c>
      <c r="C13" s="77" t="str">
        <f ca="1">IFERROR(INDEX(Validation!G:G,MATCH("DFLoan13"&amp;CELL("address",C13),Validation!I:I,0)),"")</f>
        <v/>
      </c>
      <c r="D13" s="66" t="str">
        <f ca="1">IFERROR(INDEX(Validation!F:F,MATCH("DFLoan13"&amp;CELL("address",C13),Validation!I:I,0)),"")</f>
        <v/>
      </c>
    </row>
    <row r="14" spans="1:5" x14ac:dyDescent="0.25">
      <c r="A14" s="79" t="s">
        <v>242</v>
      </c>
      <c r="B14" s="122" t="str">
        <f>IF(AND(NOT(ISBLANK('Lent Input'!O12)),OR('Lent Input'!O$5=Lists!$AG$4,'Lent Input'!O$5=Lists!$AG$5)),'Lent Input'!O12,"")</f>
        <v/>
      </c>
      <c r="C14" s="77" t="str">
        <f ca="1">IFERROR(INDEX(Validation!G:G,MATCH("DFLoan13"&amp;CELL("address",C14),Validation!I:I,0)),"")</f>
        <v/>
      </c>
      <c r="D14" s="66" t="str">
        <f ca="1">IFERROR(INDEX(Validation!F:F,MATCH("DFLoan13"&amp;CELL("address",C14),Validation!I:I,0)),"")</f>
        <v/>
      </c>
    </row>
    <row r="15" spans="1:5" ht="20.100000000000001" customHeight="1" x14ac:dyDescent="0.25">
      <c r="A15" s="74" t="s">
        <v>849</v>
      </c>
      <c r="C15" s="77" t="str">
        <f ca="1">IFERROR(INDEX(Validation!G:G,MATCH("DFLoan13"&amp;CELL("address",C15),Validation!I:I,0)),"")</f>
        <v/>
      </c>
      <c r="D15" s="66" t="str">
        <f ca="1">IFERROR(INDEX(Validation!F:F,MATCH("DFLoan13"&amp;CELL("address",C15),Validation!I:I,0)),"")</f>
        <v/>
      </c>
    </row>
    <row r="16" spans="1:5" x14ac:dyDescent="0.25">
      <c r="A16" s="79" t="s">
        <v>243</v>
      </c>
      <c r="B16" s="122" t="str">
        <f>IF(AND(NOT(ISBLANK('Lent Input'!O13)),OR('Lent Input'!O$5=Lists!$AG$4,'Lent Input'!O$5=Lists!$AG$5)),'Lent Input'!O13,"")</f>
        <v/>
      </c>
      <c r="C16" s="77" t="str">
        <f ca="1">IFERROR(INDEX(Validation!G:G,MATCH("DFLoan13"&amp;CELL("address",C16),Validation!I:I,0)),"")</f>
        <v/>
      </c>
      <c r="D16" s="66" t="str">
        <f ca="1">IFERROR(INDEX(Validation!F:F,MATCH("DFLoan13"&amp;CELL("address",C16),Validation!I:I,0)),"")</f>
        <v/>
      </c>
    </row>
    <row r="17" spans="1:5" x14ac:dyDescent="0.25">
      <c r="A17" s="79" t="str">
        <f>"Amount Drawn in "&amp;Year_DestinationYearID</f>
        <v>Amount Drawn in 2024</v>
      </c>
      <c r="B17" s="103"/>
      <c r="C17" s="77" t="str">
        <f ca="1">IFERROR(INDEX(Validation!G:G,MATCH("DFLoan13"&amp;CELL("address",C17),Validation!I:I,0)),"")</f>
        <v/>
      </c>
      <c r="D17" s="66" t="str">
        <f ca="1">IFERROR(INDEX(Validation!F:F,MATCH("DFLoan13"&amp;CELL("address",C17),Validation!I:I,0)),"")</f>
        <v/>
      </c>
    </row>
    <row r="18" spans="1:5" x14ac:dyDescent="0.25">
      <c r="A18" s="79" t="s">
        <v>245</v>
      </c>
      <c r="B18" s="125" t="str">
        <f>IFERROR(B16+B17,"")</f>
        <v/>
      </c>
      <c r="C18" s="77" t="str">
        <f ca="1">IFERROR(INDEX(Validation!G:G,MATCH("DFLoan13"&amp;CELL("address",C18),Validation!I:I,0)),"")</f>
        <v/>
      </c>
      <c r="D18" s="66" t="str">
        <f ca="1">IFERROR(INDEX(Validation!F:F,MATCH("DFLoan13"&amp;CELL("address",C18),Validation!I:I,0)),"")</f>
        <v/>
      </c>
    </row>
    <row r="19" spans="1:5" x14ac:dyDescent="0.25">
      <c r="A19" s="79" t="s">
        <v>279</v>
      </c>
      <c r="B19" s="122" t="str">
        <f>IF(AND(NOT(ISBLANK('Lent Input'!O16)),OR('Lent Input'!O$5=Lists!$AG$4,'Lent Input'!O$5=Lists!$AG$5)),'Lent Input'!O16,"")</f>
        <v/>
      </c>
      <c r="C19" s="77" t="str">
        <f ca="1">IFERROR(INDEX(Validation!G:G,MATCH("DFLoan13"&amp;CELL("address",C19),Validation!I:I,0)),"")</f>
        <v/>
      </c>
      <c r="D19" s="66" t="str">
        <f ca="1">IFERROR(INDEX(Validation!F:F,MATCH("DFLoan13"&amp;CELL("address",C19),Validation!I:I,0)),"")</f>
        <v/>
      </c>
    </row>
    <row r="20" spans="1:5" x14ac:dyDescent="0.25">
      <c r="A20" s="79" t="str">
        <f>"Principal Received in "&amp;Year_DestinationYearID</f>
        <v>Principal Received in 2024</v>
      </c>
      <c r="B20" s="122"/>
      <c r="C20" s="77" t="str">
        <f ca="1">IFERROR(INDEX(Validation!G:G,MATCH("DFLoan13"&amp;CELL("address",C20),Validation!I:I,0)),"")</f>
        <v/>
      </c>
      <c r="D20" s="66" t="str">
        <f ca="1">IFERROR(INDEX(Validation!F:F,MATCH("DFLoan13"&amp;CELL("address",C20),Validation!I:I,0)),"")</f>
        <v/>
      </c>
    </row>
    <row r="21" spans="1:5" x14ac:dyDescent="0.25">
      <c r="A21" s="79" t="s">
        <v>280</v>
      </c>
      <c r="B21" s="122" t="str">
        <f>IF(AND(NOT(ISBLANK('Lent Input'!O18)),OR('Lent Input'!O$5=Lists!$AG$4,'Lent Input'!O$5=Lists!$AG$5)),'Lent Input'!O18,"")</f>
        <v/>
      </c>
      <c r="C21" s="77" t="str">
        <f ca="1">IFERROR(INDEX(Validation!G:G,MATCH("DFLoan13"&amp;CELL("address",C21),Validation!I:I,0)),"")</f>
        <v/>
      </c>
      <c r="D21" s="66" t="str">
        <f ca="1">IFERROR(INDEX(Validation!F:F,MATCH("DFLoan13"&amp;CELL("address",C21),Validation!I:I,0)),"")</f>
        <v/>
      </c>
    </row>
    <row r="22" spans="1:5" x14ac:dyDescent="0.25">
      <c r="A22" s="79" t="str">
        <f>"Additions/Reductions in "&amp;Year_DestinationYearID</f>
        <v>Additions/Reductions in 2024</v>
      </c>
      <c r="B22" s="122"/>
      <c r="C22" s="77" t="str">
        <f ca="1">IFERROR(INDEX(Validation!G:G,MATCH("DFLoan13"&amp;CELL("address",C22),Validation!I:I,0)),"")</f>
        <v/>
      </c>
      <c r="D22" s="66" t="str">
        <f ca="1">IFERROR(INDEX(Validation!F:F,MATCH("DFLoan13"&amp;CELL("address",C22),Validation!I:I,0)),"")</f>
        <v/>
      </c>
    </row>
    <row r="23" spans="1:5" x14ac:dyDescent="0.25">
      <c r="A23" s="79" t="s">
        <v>221</v>
      </c>
      <c r="B23" s="125" t="str">
        <f>IFERROR(B18-B19-B20+B21+B22,"")</f>
        <v/>
      </c>
      <c r="C23" s="77" t="str">
        <f ca="1">IFERROR(INDEX(Validation!G:G,MATCH("DFLoan13"&amp;CELL("address",C23),Validation!I:I,0)),"")</f>
        <v/>
      </c>
      <c r="D23" s="66" t="str">
        <f ca="1">IFERROR(INDEX(Validation!F:F,MATCH("DFLoan13"&amp;CELL("address",C23),Validation!I:I,0)),"")</f>
        <v/>
      </c>
    </row>
    <row r="24" spans="1:5" x14ac:dyDescent="0.25">
      <c r="A24" s="79" t="str">
        <f>"Principal Due in "&amp;Year_DestinationYearID+1</f>
        <v>Principal Due in 2025</v>
      </c>
      <c r="B24" s="122"/>
      <c r="C24" s="77" t="str">
        <f ca="1">IFERROR(INDEX(Validation!G:G,MATCH("DFLoan13"&amp;CELL("address",C24),Validation!I:I,0)),"")</f>
        <v/>
      </c>
      <c r="D24" s="66" t="str">
        <f ca="1">IFERROR(INDEX(Validation!F:F,MATCH("DFLoan13"&amp;CELL("address",C24),Validation!I:I,0)),"")</f>
        <v/>
      </c>
    </row>
    <row r="25" spans="1:5" x14ac:dyDescent="0.25">
      <c r="A25" s="79" t="s">
        <v>281</v>
      </c>
      <c r="B25" s="122" t="str">
        <f>IF(AND(NOT(ISBLANK('Lent Input'!O22)),OR('Lent Input'!O$5=Lists!$AG$4,'Lent Input'!O$5=Lists!$AG$5)),'Lent Input'!O22,"")</f>
        <v/>
      </c>
      <c r="C25" s="77" t="str">
        <f ca="1">IFERROR(INDEX(Validation!G:G,MATCH("DFLoan13"&amp;CELL("address",C25),Validation!I:I,0)),"")</f>
        <v/>
      </c>
      <c r="D25" s="66" t="str">
        <f ca="1">IFERROR(INDEX(Validation!F:F,MATCH("DFLoan13"&amp;CELL("address",C25),Validation!I:I,0)),"")</f>
        <v/>
      </c>
    </row>
    <row r="26" spans="1:5" x14ac:dyDescent="0.25">
      <c r="A26" s="79" t="str">
        <f>"Interest Received in "&amp;Year_DestinationYearID</f>
        <v>Interest Received in 2024</v>
      </c>
      <c r="B26" s="122"/>
      <c r="C26" s="77" t="str">
        <f ca="1">IFERROR(INDEX(Validation!G:G,MATCH("DFLoan13"&amp;CELL("address",C26),Validation!I:I,0)),"")</f>
        <v/>
      </c>
      <c r="D26" s="66" t="str">
        <f ca="1">IFERROR(INDEX(Validation!F:F,MATCH("DFLoan13"&amp;CELL("address",C26),Validation!I:I,0)),"")</f>
        <v/>
      </c>
    </row>
    <row r="27" spans="1:5" x14ac:dyDescent="0.25">
      <c r="A27" s="79" t="str">
        <f>"Interest Due in "&amp;Year_DestinationYearID+1</f>
        <v>Interest Due in 2025</v>
      </c>
      <c r="B27" s="122"/>
      <c r="C27" s="77" t="str">
        <f ca="1">IFERROR(INDEX(Validation!G:G,MATCH("DFLoan13"&amp;CELL("address",C27),Validation!I:I,0)),"")</f>
        <v/>
      </c>
      <c r="D27" s="66" t="str">
        <f ca="1">IFERROR(INDEX(Validation!F:F,MATCH("DFLoan13"&amp;CELL("address",C27),Validation!I:I,0)),"")</f>
        <v/>
      </c>
      <c r="E27" s="126"/>
    </row>
    <row r="28" spans="1:5" ht="20.100000000000001" customHeight="1" x14ac:dyDescent="0.25">
      <c r="A28" s="97" t="s">
        <v>176</v>
      </c>
      <c r="C28" s="77" t="str">
        <f ca="1">IF(AND(ISBLANK(A29),OR(COUNTIF(D6:D27,"Alert")&gt;0,SUM(B21:B22)&lt;&gt;0)),"Comment(s) required for remaining alert(s) and/or additions to principal.",IFERROR(INDEX(Validation!G:G,MATCH("DFLoan13"&amp;CELL("address",C28),Validation!I:I,0)),""))</f>
        <v/>
      </c>
      <c r="D28" s="66" t="str">
        <f ca="1">IF(AND(ISBLANK(A29),OR(COUNTIF(D6:D27,"Alert")&gt;0,SUM(B21:B22)&lt;&gt;0)),"Error",IFERROR(INDEX(Validation!F:F,MATCH("DFLoan13"&amp;CELL("address",C28),Validation!I:I,0)),""))</f>
        <v/>
      </c>
    </row>
    <row r="29" spans="1:5" ht="150" customHeight="1" x14ac:dyDescent="0.25">
      <c r="A29" s="123"/>
      <c r="B29" s="100" t="str">
        <f>HYPERLINK("#'Lent Funds'!B6","Click here to return to the Lent Funds Tab")</f>
        <v>Click here to return to the Lent Funds Tab</v>
      </c>
    </row>
    <row r="30" spans="1:5" x14ac:dyDescent="0.25">
      <c r="A30" s="98"/>
      <c r="B30" s="98"/>
    </row>
    <row r="31" spans="1:5" x14ac:dyDescent="0.25">
      <c r="A31" s="98"/>
      <c r="B31" s="98"/>
    </row>
    <row r="32" spans="1:5" x14ac:dyDescent="0.25">
      <c r="A32" s="98"/>
      <c r="B32" s="98"/>
    </row>
    <row r="33" spans="1:2" x14ac:dyDescent="0.25">
      <c r="A33" s="98"/>
      <c r="B33" s="98"/>
    </row>
  </sheetData>
  <sheetProtection algorithmName="SHA-512" hashValue="u4LVB7DcHYpu66z2So54XDRWcrk6gaW0jpChYnXP0y1W4nTohTWr7ij1Zsfq450KYTGh9aSdcAYJOsZMJYJ85w==" saltValue="6EFLGTUI3Ztsg43+X/bfzQ==" spinCount="100000" sheet="1" objects="1" scenarios="1"/>
  <mergeCells count="1">
    <mergeCell ref="A4:D4"/>
  </mergeCells>
  <conditionalFormatting sqref="A2">
    <cfRule type="expression" dxfId="26" priority="11">
      <formula>$D2="Error"</formula>
    </cfRule>
    <cfRule type="expression" dxfId="24" priority="13">
      <formula>$D2="Exclude"</formula>
    </cfRule>
  </conditionalFormatting>
  <conditionalFormatting sqref="C6:D28">
    <cfRule type="expression" dxfId="21" priority="1">
      <formula>$D6="Information"</formula>
    </cfRule>
    <cfRule type="expression" dxfId="20" priority="2">
      <formula>$D6="Error"</formula>
    </cfRule>
    <cfRule type="expression" dxfId="19" priority="3">
      <formula>$D6="Alert"</formula>
    </cfRule>
    <cfRule type="expression" dxfId="18" priority="4">
      <formula>$D6="Exclude"</formula>
    </cfRule>
  </conditionalFormatting>
  <dataValidations count="2">
    <dataValidation type="list" allowBlank="1" showInputMessage="1" showErrorMessage="1" sqref="B8" xr:uid="{C1BDF758-EEA7-4945-B036-BF9FD7B0B96B}">
      <formula1>DistrictDropDown</formula1>
    </dataValidation>
    <dataValidation type="list" allowBlank="1" showInputMessage="1" showErrorMessage="1" sqref="B7" xr:uid="{B6C0F540-01EE-4507-8E9C-3E56831534F3}">
      <formula1>DueFromType</formula1>
    </dataValidation>
  </dataValidations>
  <pageMargins left="0.7" right="0.7" top="0.75" bottom="0.75" header="0.3" footer="0.3"/>
  <pageSetup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12" id="{3208E17C-37FD-40E6-A866-D1F6F141FFF3}">
            <xm:f>COUNTIFS(Validation!$H:$H,MID(CELL("filename",A2),FIND("]",CELL("filename",A2))+1,255)&amp;CELL("address",A2))&gt;0</xm:f>
            <x14:dxf>
              <font>
                <b/>
                <i val="0"/>
                <color rgb="FFC00000"/>
              </font>
              <numFmt numFmtId="172" formatCode="_(\!* #,##0_);_(\!* \(#,##0\);_(\!* \-??_);_(\!\ @_)"/>
            </x14:dxf>
          </x14:cfRule>
          <xm:sqref>A2</xm:sqref>
        </x14:conditionalFormatting>
        <x14:conditionalFormatting xmlns:xm="http://schemas.microsoft.com/office/excel/2006/main">
          <x14:cfRule type="expression" priority="10" id="{B51F834C-4FA1-47AF-88E7-F71DEC8C52B8}">
            <xm:f>$B$7=Lists!$AH$5</xm:f>
            <x14:dxf>
              <fill>
                <patternFill>
                  <bgColor rgb="FFEAEAEA"/>
                </patternFill>
              </fill>
            </x14:dxf>
          </x14:cfRule>
          <xm:sqref>B8</xm:sqref>
        </x14:conditionalFormatting>
        <x14:conditionalFormatting xmlns:xm="http://schemas.microsoft.com/office/excel/2006/main">
          <x14:cfRule type="expression" priority="9" id="{98DC6FE0-DE50-4CDD-8FCE-668CCDFA834E}">
            <xm:f>$B$7=Lists!$AH$4</xm:f>
            <x14:dxf>
              <fill>
                <patternFill>
                  <bgColor rgb="FFEAEAEA"/>
                </patternFill>
              </fill>
            </x14:dxf>
          </x14:cfRule>
          <xm:sqref>B9</xm:sqref>
        </x14:conditionalFormatting>
      </x14:conditionalFormattings>
    </ext>
  </extLs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EA1331-3E47-4849-ABB2-B1592B21C6FA}">
  <sheetPr>
    <tabColor rgb="FFEED382"/>
  </sheetPr>
  <dimension ref="A1:E33"/>
  <sheetViews>
    <sheetView showGridLines="0" workbookViewId="0">
      <selection activeCell="B7" sqref="B7"/>
    </sheetView>
  </sheetViews>
  <sheetFormatPr defaultRowHeight="15" x14ac:dyDescent="0.25"/>
  <cols>
    <col min="1" max="1" width="55.7109375" style="66" customWidth="1"/>
    <col min="2" max="2" width="22.7109375" style="66" customWidth="1"/>
    <col min="3" max="3" width="80.85546875" style="66" customWidth="1"/>
    <col min="4" max="4" width="14.7109375" style="66" customWidth="1"/>
    <col min="5" max="5" width="10.7109375" style="78" hidden="1" customWidth="1"/>
    <col min="6" max="16384" width="9.140625" style="66"/>
  </cols>
  <sheetData>
    <row r="1" spans="1:5" s="59" customFormat="1" ht="24.95" customHeight="1" x14ac:dyDescent="0.25">
      <c r="A1" s="59" t="str">
        <f>_xlfn.CONCAT("Office of the State Auditor  -  TIF Annual Reporting Form  -  ",Year_DestinationYearID)</f>
        <v>Office of the State Auditor  -  TIF Annual Reporting Form  -  2024</v>
      </c>
      <c r="E1" s="61"/>
    </row>
    <row r="2" spans="1:5" s="62" customFormat="1" ht="20.100000000000001" customHeight="1" x14ac:dyDescent="0.25">
      <c r="A2" s="58" t="str">
        <f>_xlfn.CONCAT(GovEntity_GovEntityName_Parent,"  -  ",GovEntity_GovEntityName)</f>
        <v>Spruce City  -  TIF 1-1 Downtown Redev</v>
      </c>
      <c r="E2" s="64"/>
    </row>
    <row r="3" spans="1:5" s="68" customFormat="1" ht="24.95" customHeight="1" x14ac:dyDescent="0.3">
      <c r="A3" s="65" t="s">
        <v>848</v>
      </c>
      <c r="B3" s="66"/>
      <c r="E3" s="69"/>
    </row>
    <row r="4" spans="1:5" s="71" customFormat="1" x14ac:dyDescent="0.25">
      <c r="A4" s="217" t="s">
        <v>207</v>
      </c>
      <c r="B4" s="217"/>
      <c r="C4" s="217"/>
      <c r="D4" s="217"/>
      <c r="E4" s="72" t="s">
        <v>119</v>
      </c>
    </row>
    <row r="5" spans="1:5" s="74" customFormat="1" ht="20.100000000000001" customHeight="1" x14ac:dyDescent="0.25">
      <c r="A5" s="73" t="str">
        <f>HYPERLINK("#'Lent Funds'!B6","Click here to return to the Lent Funds Tab")</f>
        <v>Click here to return to the Lent Funds Tab</v>
      </c>
      <c r="B5" s="74" t="s">
        <v>120</v>
      </c>
      <c r="C5" s="74" t="s">
        <v>121</v>
      </c>
      <c r="D5" s="74" t="s">
        <v>102</v>
      </c>
      <c r="E5" s="76"/>
    </row>
    <row r="6" spans="1:5" ht="20.100000000000001" customHeight="1" x14ac:dyDescent="0.25">
      <c r="A6" s="74" t="s">
        <v>847</v>
      </c>
      <c r="C6" s="77" t="str">
        <f ca="1">IFERROR(INDEX(Validation!G:G,MATCH("DFLoan14"&amp;CELL("address",C6),Validation!I:I,0)),"")</f>
        <v/>
      </c>
      <c r="D6" s="66" t="str">
        <f ca="1">IFERROR(INDEX(Validation!F:F,MATCH("DFLoan14"&amp;CELL("address",C6),Validation!I:I,0)),"")</f>
        <v/>
      </c>
      <c r="E6" s="78" t="s">
        <v>875</v>
      </c>
    </row>
    <row r="7" spans="1:5" x14ac:dyDescent="0.25">
      <c r="A7" s="79" t="s">
        <v>761</v>
      </c>
      <c r="B7" s="103" t="str">
        <f>IF(AND(NOT(ISBLANK('Lent Input'!P5)),OR('Lent Input'!P$5=Lists!$AG$4,'Lent Input'!P$5=Lists!$AG$5)),_xlfn.XLOOKUP('Lent Input'!P5,Lists!AG2:AG5,Lists!AH2:AH5),Lists!$AH$1)</f>
        <v>Select One</v>
      </c>
      <c r="C7" s="77" t="str">
        <f ca="1">IFERROR(INDEX(Validation!G:G,MATCH("DFLoan14"&amp;CELL("address",C7),Validation!I:I,0)),"")</f>
        <v/>
      </c>
      <c r="D7" s="66" t="str">
        <f ca="1">IFERROR(INDEX(Validation!F:F,MATCH("DFLoan14"&amp;CELL("address",C7),Validation!I:I,0)),"")</f>
        <v/>
      </c>
      <c r="E7" s="85" t="str">
        <f>IF(NOT(ISBLANK('Lent Input'!P4)),'Lent Input'!P4,"")</f>
        <v/>
      </c>
    </row>
    <row r="8" spans="1:5" x14ac:dyDescent="0.25">
      <c r="A8" s="79" t="s">
        <v>769</v>
      </c>
      <c r="B8" s="103" t="str">
        <f>IF(AND(NOT(ISBLANK('Lent Input'!P6)),'Lent Input'!P$5=Lists!$AG$4),'Lent Input'!P6,Lists!$AJ$1)</f>
        <v>Select One</v>
      </c>
      <c r="C8" s="77" t="str">
        <f ca="1">IFERROR(INDEX(Validation!G:G,MATCH("DFLoan14"&amp;CELL("address",C8),Validation!I:I,0)),"")</f>
        <v/>
      </c>
      <c r="D8" s="66" t="str">
        <f ca="1">IFERROR(INDEX(Validation!F:F,MATCH("DFLoan14"&amp;CELL("address",C8),Validation!I:I,0)),"")</f>
        <v/>
      </c>
    </row>
    <row r="9" spans="1:5" x14ac:dyDescent="0.25">
      <c r="A9" s="79" t="s">
        <v>770</v>
      </c>
      <c r="B9" s="103" t="str">
        <f>IF(AND(NOT(ISBLANK('Lent Input'!P7)),'Lent Input'!P$5=Lists!$AG$5),'Lent Input'!P7,"")</f>
        <v/>
      </c>
      <c r="C9" s="77" t="str">
        <f ca="1">IFERROR(INDEX(Validation!G:G,MATCH("DFLoan14"&amp;CELL("address",C9),Validation!I:I,0)),"")</f>
        <v/>
      </c>
      <c r="D9" s="66" t="str">
        <f ca="1">IFERROR(INDEX(Validation!F:F,MATCH("DFLoan14"&amp;CELL("address",C9),Validation!I:I,0)),"")</f>
        <v/>
      </c>
    </row>
    <row r="10" spans="1:5" x14ac:dyDescent="0.25">
      <c r="A10" s="79" t="s">
        <v>240</v>
      </c>
      <c r="B10" s="120" t="str">
        <f>IF(AND(NOT(ISBLANK('Lent Input'!P8)),OR('Lent Input'!P$5=Lists!$AG$4,'Lent Input'!P$5=Lists!$AG$5)),'Lent Input'!P8,"")</f>
        <v/>
      </c>
      <c r="C10" s="77" t="str">
        <f ca="1">IFERROR(INDEX(Validation!G:G,MATCH("DFLoan14"&amp;CELL("address",C10),Validation!I:I,0)),"")</f>
        <v/>
      </c>
      <c r="D10" s="66" t="str">
        <f ca="1">IFERROR(INDEX(Validation!F:F,MATCH("DFLoan14"&amp;CELL("address",C10),Validation!I:I,0)),"")</f>
        <v/>
      </c>
    </row>
    <row r="11" spans="1:5" x14ac:dyDescent="0.25">
      <c r="A11" s="79" t="s">
        <v>212</v>
      </c>
      <c r="B11" s="120" t="str">
        <f>IF(AND(NOT(ISBLANK('Lent Input'!P9)),OR('Lent Input'!P$5=Lists!$AG$4,'Lent Input'!P$5=Lists!$AG$5)),'Lent Input'!P9,"")</f>
        <v/>
      </c>
      <c r="C11" s="77" t="str">
        <f ca="1">IFERROR(INDEX(Validation!G:G,MATCH("DFLoan14"&amp;CELL("address",C11),Validation!I:I,0)),"")</f>
        <v/>
      </c>
      <c r="D11" s="66" t="str">
        <f ca="1">IFERROR(INDEX(Validation!F:F,MATCH("DFLoan14"&amp;CELL("address",C11),Validation!I:I,0)),"")</f>
        <v/>
      </c>
    </row>
    <row r="12" spans="1:5" x14ac:dyDescent="0.25">
      <c r="A12" s="79" t="s">
        <v>213</v>
      </c>
      <c r="B12" s="121" t="str">
        <f>IF(AND(NOT(ISBLANK('Lent Input'!P10)),OR('Lent Input'!P$5=Lists!$AG$4,'Lent Input'!P$5=Lists!$AG$5)),'Lent Input'!P10,"")</f>
        <v/>
      </c>
      <c r="C12" s="77" t="str">
        <f ca="1">IFERROR(INDEX(Validation!G:G,MATCH("DFLoan14"&amp;CELL("address",C12),Validation!I:I,0)),"")</f>
        <v/>
      </c>
      <c r="D12" s="66" t="str">
        <f ca="1">IFERROR(INDEX(Validation!F:F,MATCH("DFLoan14"&amp;CELL("address",C12),Validation!I:I,0)),"")</f>
        <v/>
      </c>
    </row>
    <row r="13" spans="1:5" x14ac:dyDescent="0.25">
      <c r="A13" s="79" t="s">
        <v>214</v>
      </c>
      <c r="B13" s="121" t="str">
        <f>IF(AND(NOT(ISBLANK('Lent Input'!P11)),OR('Lent Input'!P$5=Lists!$AG$4,'Lent Input'!P$5=Lists!$AG$5)),'Lent Input'!P11,"")</f>
        <v/>
      </c>
      <c r="C13" s="77" t="str">
        <f ca="1">IFERROR(INDEX(Validation!G:G,MATCH("DFLoan14"&amp;CELL("address",C13),Validation!I:I,0)),"")</f>
        <v/>
      </c>
      <c r="D13" s="66" t="str">
        <f ca="1">IFERROR(INDEX(Validation!F:F,MATCH("DFLoan14"&amp;CELL("address",C13),Validation!I:I,0)),"")</f>
        <v/>
      </c>
    </row>
    <row r="14" spans="1:5" x14ac:dyDescent="0.25">
      <c r="A14" s="79" t="s">
        <v>242</v>
      </c>
      <c r="B14" s="122" t="str">
        <f>IF(AND(NOT(ISBLANK('Lent Input'!P12)),OR('Lent Input'!P$5=Lists!$AG$4,'Lent Input'!P$5=Lists!$AG$5)),'Lent Input'!P12,"")</f>
        <v/>
      </c>
      <c r="C14" s="77" t="str">
        <f ca="1">IFERROR(INDEX(Validation!G:G,MATCH("DFLoan14"&amp;CELL("address",C14),Validation!I:I,0)),"")</f>
        <v/>
      </c>
      <c r="D14" s="66" t="str">
        <f ca="1">IFERROR(INDEX(Validation!F:F,MATCH("DFLoan14"&amp;CELL("address",C14),Validation!I:I,0)),"")</f>
        <v/>
      </c>
    </row>
    <row r="15" spans="1:5" ht="20.100000000000001" customHeight="1" x14ac:dyDescent="0.25">
      <c r="A15" s="74" t="s">
        <v>849</v>
      </c>
      <c r="C15" s="77" t="str">
        <f ca="1">IFERROR(INDEX(Validation!G:G,MATCH("DFLoan14"&amp;CELL("address",C15),Validation!I:I,0)),"")</f>
        <v/>
      </c>
      <c r="D15" s="66" t="str">
        <f ca="1">IFERROR(INDEX(Validation!F:F,MATCH("DFLoan14"&amp;CELL("address",C15),Validation!I:I,0)),"")</f>
        <v/>
      </c>
    </row>
    <row r="16" spans="1:5" x14ac:dyDescent="0.25">
      <c r="A16" s="79" t="s">
        <v>243</v>
      </c>
      <c r="B16" s="122" t="str">
        <f>IF(AND(NOT(ISBLANK('Lent Input'!P13)),OR('Lent Input'!P$5=Lists!$AG$4,'Lent Input'!P$5=Lists!$AG$5)),'Lent Input'!P13,"")</f>
        <v/>
      </c>
      <c r="C16" s="77" t="str">
        <f ca="1">IFERROR(INDEX(Validation!G:G,MATCH("DFLoan14"&amp;CELL("address",C16),Validation!I:I,0)),"")</f>
        <v/>
      </c>
      <c r="D16" s="66" t="str">
        <f ca="1">IFERROR(INDEX(Validation!F:F,MATCH("DFLoan14"&amp;CELL("address",C16),Validation!I:I,0)),"")</f>
        <v/>
      </c>
    </row>
    <row r="17" spans="1:5" x14ac:dyDescent="0.25">
      <c r="A17" s="79" t="str">
        <f>"Amount Drawn in "&amp;Year_DestinationYearID</f>
        <v>Amount Drawn in 2024</v>
      </c>
      <c r="B17" s="103"/>
      <c r="C17" s="77" t="str">
        <f ca="1">IFERROR(INDEX(Validation!G:G,MATCH("DFLoan14"&amp;CELL("address",C17),Validation!I:I,0)),"")</f>
        <v/>
      </c>
      <c r="D17" s="66" t="str">
        <f ca="1">IFERROR(INDEX(Validation!F:F,MATCH("DFLoan14"&amp;CELL("address",C17),Validation!I:I,0)),"")</f>
        <v/>
      </c>
    </row>
    <row r="18" spans="1:5" x14ac:dyDescent="0.25">
      <c r="A18" s="79" t="s">
        <v>245</v>
      </c>
      <c r="B18" s="125" t="str">
        <f>IFERROR(B16+B17,"")</f>
        <v/>
      </c>
      <c r="C18" s="77" t="str">
        <f ca="1">IFERROR(INDEX(Validation!G:G,MATCH("DFLoan14"&amp;CELL("address",C18),Validation!I:I,0)),"")</f>
        <v/>
      </c>
      <c r="D18" s="66" t="str">
        <f ca="1">IFERROR(INDEX(Validation!F:F,MATCH("DFLoan14"&amp;CELL("address",C18),Validation!I:I,0)),"")</f>
        <v/>
      </c>
    </row>
    <row r="19" spans="1:5" x14ac:dyDescent="0.25">
      <c r="A19" s="79" t="s">
        <v>279</v>
      </c>
      <c r="B19" s="122" t="str">
        <f>IF(AND(NOT(ISBLANK('Lent Input'!P16)),OR('Lent Input'!P$5=Lists!$AG$4,'Lent Input'!P$5=Lists!$AG$5)),'Lent Input'!P16,"")</f>
        <v/>
      </c>
      <c r="C19" s="77" t="str">
        <f ca="1">IFERROR(INDEX(Validation!G:G,MATCH("DFLoan14"&amp;CELL("address",C19),Validation!I:I,0)),"")</f>
        <v/>
      </c>
      <c r="D19" s="66" t="str">
        <f ca="1">IFERROR(INDEX(Validation!F:F,MATCH("DFLoan14"&amp;CELL("address",C19),Validation!I:I,0)),"")</f>
        <v/>
      </c>
    </row>
    <row r="20" spans="1:5" x14ac:dyDescent="0.25">
      <c r="A20" s="79" t="str">
        <f>"Principal Received in "&amp;Year_DestinationYearID</f>
        <v>Principal Received in 2024</v>
      </c>
      <c r="B20" s="122"/>
      <c r="C20" s="77" t="str">
        <f ca="1">IFERROR(INDEX(Validation!G:G,MATCH("DFLoan14"&amp;CELL("address",C20),Validation!I:I,0)),"")</f>
        <v/>
      </c>
      <c r="D20" s="66" t="str">
        <f ca="1">IFERROR(INDEX(Validation!F:F,MATCH("DFLoan14"&amp;CELL("address",C20),Validation!I:I,0)),"")</f>
        <v/>
      </c>
    </row>
    <row r="21" spans="1:5" x14ac:dyDescent="0.25">
      <c r="A21" s="79" t="s">
        <v>280</v>
      </c>
      <c r="B21" s="122" t="str">
        <f>IF(AND(NOT(ISBLANK('Lent Input'!P18)),OR('Lent Input'!P$5=Lists!$AG$4,'Lent Input'!P$5=Lists!$AG$5)),'Lent Input'!P18,"")</f>
        <v/>
      </c>
      <c r="C21" s="77" t="str">
        <f ca="1">IFERROR(INDEX(Validation!G:G,MATCH("DFLoan14"&amp;CELL("address",C21),Validation!I:I,0)),"")</f>
        <v/>
      </c>
      <c r="D21" s="66" t="str">
        <f ca="1">IFERROR(INDEX(Validation!F:F,MATCH("DFLoan14"&amp;CELL("address",C21),Validation!I:I,0)),"")</f>
        <v/>
      </c>
    </row>
    <row r="22" spans="1:5" x14ac:dyDescent="0.25">
      <c r="A22" s="79" t="str">
        <f>"Additions/Reductions in "&amp;Year_DestinationYearID</f>
        <v>Additions/Reductions in 2024</v>
      </c>
      <c r="B22" s="122"/>
      <c r="C22" s="77" t="str">
        <f ca="1">IFERROR(INDEX(Validation!G:G,MATCH("DFLoan14"&amp;CELL("address",C22),Validation!I:I,0)),"")</f>
        <v/>
      </c>
      <c r="D22" s="66" t="str">
        <f ca="1">IFERROR(INDEX(Validation!F:F,MATCH("DFLoan14"&amp;CELL("address",C22),Validation!I:I,0)),"")</f>
        <v/>
      </c>
    </row>
    <row r="23" spans="1:5" x14ac:dyDescent="0.25">
      <c r="A23" s="79" t="s">
        <v>221</v>
      </c>
      <c r="B23" s="125" t="str">
        <f>IFERROR(B18-B19-B20+B21+B22,"")</f>
        <v/>
      </c>
      <c r="C23" s="77" t="str">
        <f ca="1">IFERROR(INDEX(Validation!G:G,MATCH("DFLoan14"&amp;CELL("address",C23),Validation!I:I,0)),"")</f>
        <v/>
      </c>
      <c r="D23" s="66" t="str">
        <f ca="1">IFERROR(INDEX(Validation!F:F,MATCH("DFLoan14"&amp;CELL("address",C23),Validation!I:I,0)),"")</f>
        <v/>
      </c>
    </row>
    <row r="24" spans="1:5" x14ac:dyDescent="0.25">
      <c r="A24" s="79" t="str">
        <f>"Principal Due in "&amp;Year_DestinationYearID+1</f>
        <v>Principal Due in 2025</v>
      </c>
      <c r="B24" s="122"/>
      <c r="C24" s="77" t="str">
        <f ca="1">IFERROR(INDEX(Validation!G:G,MATCH("DFLoan14"&amp;CELL("address",C24),Validation!I:I,0)),"")</f>
        <v/>
      </c>
      <c r="D24" s="66" t="str">
        <f ca="1">IFERROR(INDEX(Validation!F:F,MATCH("DFLoan14"&amp;CELL("address",C24),Validation!I:I,0)),"")</f>
        <v/>
      </c>
    </row>
    <row r="25" spans="1:5" x14ac:dyDescent="0.25">
      <c r="A25" s="79" t="s">
        <v>281</v>
      </c>
      <c r="B25" s="122" t="str">
        <f>IF(AND(NOT(ISBLANK('Lent Input'!P22)),OR('Lent Input'!P$5=Lists!$AG$4,'Lent Input'!P$5=Lists!$AG$5)),'Lent Input'!P22,"")</f>
        <v/>
      </c>
      <c r="C25" s="77" t="str">
        <f ca="1">IFERROR(INDEX(Validation!G:G,MATCH("DFLoan14"&amp;CELL("address",C25),Validation!I:I,0)),"")</f>
        <v/>
      </c>
      <c r="D25" s="66" t="str">
        <f ca="1">IFERROR(INDEX(Validation!F:F,MATCH("DFLoan14"&amp;CELL("address",C25),Validation!I:I,0)),"")</f>
        <v/>
      </c>
    </row>
    <row r="26" spans="1:5" x14ac:dyDescent="0.25">
      <c r="A26" s="79" t="str">
        <f>"Interest Received in "&amp;Year_DestinationYearID</f>
        <v>Interest Received in 2024</v>
      </c>
      <c r="B26" s="122"/>
      <c r="C26" s="77" t="str">
        <f ca="1">IFERROR(INDEX(Validation!G:G,MATCH("DFLoan14"&amp;CELL("address",C26),Validation!I:I,0)),"")</f>
        <v/>
      </c>
      <c r="D26" s="66" t="str">
        <f ca="1">IFERROR(INDEX(Validation!F:F,MATCH("DFLoan14"&amp;CELL("address",C26),Validation!I:I,0)),"")</f>
        <v/>
      </c>
    </row>
    <row r="27" spans="1:5" x14ac:dyDescent="0.25">
      <c r="A27" s="79" t="str">
        <f>"Interest Due in "&amp;Year_DestinationYearID+1</f>
        <v>Interest Due in 2025</v>
      </c>
      <c r="B27" s="122"/>
      <c r="C27" s="77" t="str">
        <f ca="1">IFERROR(INDEX(Validation!G:G,MATCH("DFLoan14"&amp;CELL("address",C27),Validation!I:I,0)),"")</f>
        <v/>
      </c>
      <c r="D27" s="66" t="str">
        <f ca="1">IFERROR(INDEX(Validation!F:F,MATCH("DFLoan14"&amp;CELL("address",C27),Validation!I:I,0)),"")</f>
        <v/>
      </c>
      <c r="E27" s="126"/>
    </row>
    <row r="28" spans="1:5" ht="20.100000000000001" customHeight="1" x14ac:dyDescent="0.25">
      <c r="A28" s="97" t="s">
        <v>176</v>
      </c>
      <c r="C28" s="77" t="str">
        <f ca="1">IF(AND(ISBLANK(A29),OR(COUNTIF(D6:D27,"Alert")&gt;0,SUM(B21:B22)&lt;&gt;0)),"Comment(s) required for remaining alert(s) and/or additions to principal.",IFERROR(INDEX(Validation!G:G,MATCH("DFLoan14"&amp;CELL("address",C28),Validation!I:I,0)),""))</f>
        <v/>
      </c>
      <c r="D28" s="66" t="str">
        <f ca="1">IF(AND(ISBLANK(A29),OR(COUNTIF(D6:D27,"Alert")&gt;0,SUM(B21:B22)&lt;&gt;0)),"Error",IFERROR(INDEX(Validation!F:F,MATCH("DFLoan14"&amp;CELL("address",C28),Validation!I:I,0)),""))</f>
        <v/>
      </c>
    </row>
    <row r="29" spans="1:5" ht="150" customHeight="1" x14ac:dyDescent="0.25">
      <c r="A29" s="123"/>
      <c r="B29" s="100" t="str">
        <f>HYPERLINK("#'Lent Funds'!B6","Click here to return to the Lent Funds Tab")</f>
        <v>Click here to return to the Lent Funds Tab</v>
      </c>
    </row>
    <row r="30" spans="1:5" x14ac:dyDescent="0.25">
      <c r="A30" s="98"/>
      <c r="B30" s="98"/>
    </row>
    <row r="31" spans="1:5" x14ac:dyDescent="0.25">
      <c r="A31" s="98"/>
      <c r="B31" s="98"/>
    </row>
    <row r="32" spans="1:5" x14ac:dyDescent="0.25">
      <c r="A32" s="98"/>
      <c r="B32" s="98"/>
    </row>
    <row r="33" spans="1:2" x14ac:dyDescent="0.25">
      <c r="A33" s="98"/>
      <c r="B33" s="98"/>
    </row>
  </sheetData>
  <sheetProtection algorithmName="SHA-512" hashValue="XWPX/7QGgvkKlH3xdChk9Eo7EvwzTbFue8OnK7bTrg/D5mdAdat383T4H16d8NF8ItKyUUGl6+9RQHeSBvglFw==" saltValue="ZXMaAfP2irM7o1AYG7mSJw==" spinCount="100000" sheet="1" objects="1" scenarios="1"/>
  <mergeCells count="1">
    <mergeCell ref="A4:D4"/>
  </mergeCells>
  <conditionalFormatting sqref="A2">
    <cfRule type="expression" dxfId="17" priority="11">
      <formula>$D2="Error"</formula>
    </cfRule>
    <cfRule type="expression" dxfId="15" priority="13">
      <formula>$D2="Exclude"</formula>
    </cfRule>
  </conditionalFormatting>
  <conditionalFormatting sqref="C6:D28">
    <cfRule type="expression" dxfId="12" priority="1">
      <formula>$D6="Information"</formula>
    </cfRule>
    <cfRule type="expression" dxfId="11" priority="2">
      <formula>$D6="Error"</formula>
    </cfRule>
    <cfRule type="expression" dxfId="10" priority="3">
      <formula>$D6="Alert"</formula>
    </cfRule>
    <cfRule type="expression" dxfId="9" priority="4">
      <formula>$D6="Exclude"</formula>
    </cfRule>
  </conditionalFormatting>
  <dataValidations count="2">
    <dataValidation type="list" allowBlank="1" showInputMessage="1" showErrorMessage="1" sqref="B8" xr:uid="{05C48C30-2D6D-48AA-817F-FE49120EB882}">
      <formula1>DistrictDropDown</formula1>
    </dataValidation>
    <dataValidation type="list" allowBlank="1" showInputMessage="1" showErrorMessage="1" sqref="B7" xr:uid="{7893E437-9C44-448D-A42F-F6D143079F29}">
      <formula1>DueFromType</formula1>
    </dataValidation>
  </dataValidations>
  <pageMargins left="0.7" right="0.7" top="0.75" bottom="0.75" header="0.3" footer="0.3"/>
  <pageSetup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12" id="{E6F95138-1DBF-4F93-8DC1-4A1512A18E4E}">
            <xm:f>COUNTIFS(Validation!$H:$H,MID(CELL("filename",A2),FIND("]",CELL("filename",A2))+1,255)&amp;CELL("address",A2))&gt;0</xm:f>
            <x14:dxf>
              <font>
                <b/>
                <i val="0"/>
                <color rgb="FFC00000"/>
              </font>
              <numFmt numFmtId="172" formatCode="_(\!* #,##0_);_(\!* \(#,##0\);_(\!* \-??_);_(\!\ @_)"/>
            </x14:dxf>
          </x14:cfRule>
          <xm:sqref>A2</xm:sqref>
        </x14:conditionalFormatting>
        <x14:conditionalFormatting xmlns:xm="http://schemas.microsoft.com/office/excel/2006/main">
          <x14:cfRule type="expression" priority="10" id="{663967BC-105C-424A-96FB-FCBF73E1904C}">
            <xm:f>$B$7=Lists!$AH$5</xm:f>
            <x14:dxf>
              <fill>
                <patternFill>
                  <bgColor rgb="FFEAEAEA"/>
                </patternFill>
              </fill>
            </x14:dxf>
          </x14:cfRule>
          <xm:sqref>B8</xm:sqref>
        </x14:conditionalFormatting>
        <x14:conditionalFormatting xmlns:xm="http://schemas.microsoft.com/office/excel/2006/main">
          <x14:cfRule type="expression" priority="9" id="{5767B9D2-4CB4-4233-9EB1-D9C652BC121E}">
            <xm:f>$B$7=Lists!$AH$4</xm:f>
            <x14:dxf>
              <fill>
                <patternFill>
                  <bgColor rgb="FFEAEAEA"/>
                </patternFill>
              </fill>
            </x14:dxf>
          </x14:cfRule>
          <xm:sqref>B9</xm:sqref>
        </x14:conditionalFormatting>
      </x14:conditionalFormattings>
    </ext>
  </extLs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8792C-CDEE-4354-80E1-25B18ACFCE92}">
  <sheetPr>
    <tabColor rgb="FFEED382"/>
  </sheetPr>
  <dimension ref="A1:E33"/>
  <sheetViews>
    <sheetView showGridLines="0" workbookViewId="0">
      <selection activeCell="B7" sqref="B7"/>
    </sheetView>
  </sheetViews>
  <sheetFormatPr defaultRowHeight="15" x14ac:dyDescent="0.25"/>
  <cols>
    <col min="1" max="1" width="55.7109375" style="66" customWidth="1"/>
    <col min="2" max="2" width="22.7109375" style="66" customWidth="1"/>
    <col min="3" max="3" width="80.85546875" style="66" customWidth="1"/>
    <col min="4" max="4" width="14.7109375" style="66" customWidth="1"/>
    <col min="5" max="5" width="10.7109375" style="78" hidden="1" customWidth="1"/>
    <col min="6" max="16384" width="9.140625" style="66"/>
  </cols>
  <sheetData>
    <row r="1" spans="1:5" s="59" customFormat="1" ht="24.95" customHeight="1" x14ac:dyDescent="0.25">
      <c r="A1" s="59" t="str">
        <f>_xlfn.CONCAT("Office of the State Auditor  -  TIF Annual Reporting Form  -  ",Year_DestinationYearID)</f>
        <v>Office of the State Auditor  -  TIF Annual Reporting Form  -  2024</v>
      </c>
      <c r="E1" s="61"/>
    </row>
    <row r="2" spans="1:5" s="62" customFormat="1" ht="20.100000000000001" customHeight="1" x14ac:dyDescent="0.25">
      <c r="A2" s="58" t="str">
        <f>_xlfn.CONCAT(GovEntity_GovEntityName_Parent,"  -  ",GovEntity_GovEntityName)</f>
        <v>Spruce City  -  TIF 1-1 Downtown Redev</v>
      </c>
      <c r="E2" s="64"/>
    </row>
    <row r="3" spans="1:5" s="68" customFormat="1" ht="24.95" customHeight="1" x14ac:dyDescent="0.3">
      <c r="A3" s="65" t="s">
        <v>848</v>
      </c>
      <c r="B3" s="66"/>
      <c r="E3" s="69"/>
    </row>
    <row r="4" spans="1:5" s="71" customFormat="1" x14ac:dyDescent="0.25">
      <c r="A4" s="217" t="s">
        <v>207</v>
      </c>
      <c r="B4" s="217"/>
      <c r="C4" s="217"/>
      <c r="D4" s="217"/>
      <c r="E4" s="72" t="s">
        <v>119</v>
      </c>
    </row>
    <row r="5" spans="1:5" s="74" customFormat="1" ht="20.100000000000001" customHeight="1" x14ac:dyDescent="0.25">
      <c r="A5" s="24" t="str">
        <f>HYPERLINK("#'Lent Funds'!B6","Click here to return to the Lent Funds Tab")</f>
        <v>Click here to return to the Lent Funds Tab</v>
      </c>
      <c r="B5" s="74" t="s">
        <v>120</v>
      </c>
      <c r="C5" s="74" t="s">
        <v>121</v>
      </c>
      <c r="D5" s="74" t="s">
        <v>102</v>
      </c>
      <c r="E5" s="76"/>
    </row>
    <row r="6" spans="1:5" ht="20.100000000000001" customHeight="1" x14ac:dyDescent="0.25">
      <c r="A6" s="74" t="s">
        <v>847</v>
      </c>
      <c r="C6" s="77" t="str">
        <f ca="1">IFERROR(INDEX(Validation!G:G,MATCH("DFLoan15"&amp;CELL("address",C6),Validation!I:I,0)),"")</f>
        <v/>
      </c>
      <c r="D6" s="66" t="str">
        <f ca="1">IFERROR(INDEX(Validation!F:F,MATCH("DFLoan15"&amp;CELL("address",C6),Validation!I:I,0)),"")</f>
        <v/>
      </c>
      <c r="E6" s="78" t="s">
        <v>875</v>
      </c>
    </row>
    <row r="7" spans="1:5" x14ac:dyDescent="0.25">
      <c r="A7" s="79" t="s">
        <v>761</v>
      </c>
      <c r="B7" s="103" t="str">
        <f>IF(AND(NOT(ISBLANK('Lent Input'!Q5)),OR('Lent Input'!Q$5=Lists!$AG$4,'Lent Input'!Q$5=Lists!$AG$5)),_xlfn.XLOOKUP('Lent Input'!Q5,Lists!AG2:AG5,Lists!AH2:AH5),Lists!$AH$1)</f>
        <v>Select One</v>
      </c>
      <c r="C7" s="77" t="str">
        <f ca="1">IFERROR(INDEX(Validation!G:G,MATCH("DFLoan15"&amp;CELL("address",C7),Validation!I:I,0)),"")</f>
        <v/>
      </c>
      <c r="D7" s="66" t="str">
        <f ca="1">IFERROR(INDEX(Validation!F:F,MATCH("DFLoan15"&amp;CELL("address",C7),Validation!I:I,0)),"")</f>
        <v/>
      </c>
      <c r="E7" s="85" t="str">
        <f>IF(NOT(ISBLANK('Lent Input'!Q4)),'Lent Input'!Q4,"")</f>
        <v/>
      </c>
    </row>
    <row r="8" spans="1:5" x14ac:dyDescent="0.25">
      <c r="A8" s="79" t="s">
        <v>769</v>
      </c>
      <c r="B8" s="103" t="str">
        <f>IF(AND(NOT(ISBLANK('Lent Input'!Q6)),'Lent Input'!Q$5=Lists!$AG$4),'Lent Input'!Q6,Lists!$AJ$1)</f>
        <v>Select One</v>
      </c>
      <c r="C8" s="77" t="str">
        <f ca="1">IFERROR(INDEX(Validation!G:G,MATCH("DFLoan15"&amp;CELL("address",C8),Validation!I:I,0)),"")</f>
        <v/>
      </c>
      <c r="D8" s="66" t="str">
        <f ca="1">IFERROR(INDEX(Validation!F:F,MATCH("DFLoan15"&amp;CELL("address",C8),Validation!I:I,0)),"")</f>
        <v/>
      </c>
    </row>
    <row r="9" spans="1:5" x14ac:dyDescent="0.25">
      <c r="A9" s="79" t="s">
        <v>770</v>
      </c>
      <c r="B9" s="103" t="str">
        <f>IF(AND(NOT(ISBLANK('Lent Input'!Q7)),'Lent Input'!Q$5=Lists!$AG$5),'Lent Input'!Q7,"")</f>
        <v/>
      </c>
      <c r="C9" s="77" t="str">
        <f ca="1">IFERROR(INDEX(Validation!G:G,MATCH("DFLoan15"&amp;CELL("address",C9),Validation!I:I,0)),"")</f>
        <v/>
      </c>
      <c r="D9" s="66" t="str">
        <f ca="1">IFERROR(INDEX(Validation!F:F,MATCH("DFLoan15"&amp;CELL("address",C9),Validation!I:I,0)),"")</f>
        <v/>
      </c>
    </row>
    <row r="10" spans="1:5" x14ac:dyDescent="0.25">
      <c r="A10" s="79" t="s">
        <v>240</v>
      </c>
      <c r="B10" s="120" t="str">
        <f>IF(AND(NOT(ISBLANK('Lent Input'!Q8)),OR('Lent Input'!Q$5=Lists!$AG$4,'Lent Input'!Q$5=Lists!$AG$5)),'Lent Input'!Q8,"")</f>
        <v/>
      </c>
      <c r="C10" s="77" t="str">
        <f ca="1">IFERROR(INDEX(Validation!G:G,MATCH("DFLoan15"&amp;CELL("address",C10),Validation!I:I,0)),"")</f>
        <v/>
      </c>
      <c r="D10" s="66" t="str">
        <f ca="1">IFERROR(INDEX(Validation!F:F,MATCH("DFLoan15"&amp;CELL("address",C10),Validation!I:I,0)),"")</f>
        <v/>
      </c>
    </row>
    <row r="11" spans="1:5" x14ac:dyDescent="0.25">
      <c r="A11" s="79" t="s">
        <v>212</v>
      </c>
      <c r="B11" s="120" t="str">
        <f>IF(AND(NOT(ISBLANK('Lent Input'!Q9)),OR('Lent Input'!Q$5=Lists!$AG$4,'Lent Input'!Q$5=Lists!$AG$5)),'Lent Input'!Q9,"")</f>
        <v/>
      </c>
      <c r="C11" s="77" t="str">
        <f ca="1">IFERROR(INDEX(Validation!G:G,MATCH("DFLoan15"&amp;CELL("address",C11),Validation!I:I,0)),"")</f>
        <v/>
      </c>
      <c r="D11" s="66" t="str">
        <f ca="1">IFERROR(INDEX(Validation!F:F,MATCH("DFLoan15"&amp;CELL("address",C11),Validation!I:I,0)),"")</f>
        <v/>
      </c>
    </row>
    <row r="12" spans="1:5" x14ac:dyDescent="0.25">
      <c r="A12" s="79" t="s">
        <v>213</v>
      </c>
      <c r="B12" s="121" t="str">
        <f>IF(AND(NOT(ISBLANK('Lent Input'!Q10)),OR('Lent Input'!Q$5=Lists!$AG$4,'Lent Input'!Q$5=Lists!$AG$5)),'Lent Input'!Q10,"")</f>
        <v/>
      </c>
      <c r="C12" s="77" t="str">
        <f ca="1">IFERROR(INDEX(Validation!G:G,MATCH("DFLoan15"&amp;CELL("address",C12),Validation!I:I,0)),"")</f>
        <v/>
      </c>
      <c r="D12" s="66" t="str">
        <f ca="1">IFERROR(INDEX(Validation!F:F,MATCH("DFLoan15"&amp;CELL("address",C12),Validation!I:I,0)),"")</f>
        <v/>
      </c>
    </row>
    <row r="13" spans="1:5" x14ac:dyDescent="0.25">
      <c r="A13" s="79" t="s">
        <v>214</v>
      </c>
      <c r="B13" s="121" t="str">
        <f>IF(AND(NOT(ISBLANK('Lent Input'!Q11)),OR('Lent Input'!Q$5=Lists!$AG$4,'Lent Input'!Q$5=Lists!$AG$5)),'Lent Input'!Q11,"")</f>
        <v/>
      </c>
      <c r="C13" s="77" t="str">
        <f ca="1">IFERROR(INDEX(Validation!G:G,MATCH("DFLoan15"&amp;CELL("address",C13),Validation!I:I,0)),"")</f>
        <v/>
      </c>
      <c r="D13" s="66" t="str">
        <f ca="1">IFERROR(INDEX(Validation!F:F,MATCH("DFLoan15"&amp;CELL("address",C13),Validation!I:I,0)),"")</f>
        <v/>
      </c>
    </row>
    <row r="14" spans="1:5" x14ac:dyDescent="0.25">
      <c r="A14" s="79" t="s">
        <v>242</v>
      </c>
      <c r="B14" s="122" t="str">
        <f>IF(AND(NOT(ISBLANK('Lent Input'!Q12)),OR('Lent Input'!Q$5=Lists!$AG$4,'Lent Input'!Q$5=Lists!$AG$5)),'Lent Input'!Q12,"")</f>
        <v/>
      </c>
      <c r="C14" s="77" t="str">
        <f ca="1">IFERROR(INDEX(Validation!G:G,MATCH("DFLoan15"&amp;CELL("address",C14),Validation!I:I,0)),"")</f>
        <v/>
      </c>
      <c r="D14" s="66" t="str">
        <f ca="1">IFERROR(INDEX(Validation!F:F,MATCH("DFLoan15"&amp;CELL("address",C14),Validation!I:I,0)),"")</f>
        <v/>
      </c>
    </row>
    <row r="15" spans="1:5" ht="20.100000000000001" customHeight="1" x14ac:dyDescent="0.25">
      <c r="A15" s="74" t="s">
        <v>849</v>
      </c>
      <c r="C15" s="77" t="str">
        <f ca="1">IFERROR(INDEX(Validation!G:G,MATCH("DFLoan15"&amp;CELL("address",C15),Validation!I:I,0)),"")</f>
        <v/>
      </c>
      <c r="D15" s="66" t="str">
        <f ca="1">IFERROR(INDEX(Validation!F:F,MATCH("DFLoan15"&amp;CELL("address",C15),Validation!I:I,0)),"")</f>
        <v/>
      </c>
    </row>
    <row r="16" spans="1:5" x14ac:dyDescent="0.25">
      <c r="A16" s="79" t="s">
        <v>243</v>
      </c>
      <c r="B16" s="122" t="str">
        <f>IF(AND(NOT(ISBLANK('Lent Input'!Q13)),OR('Lent Input'!Q$5=Lists!$AG$4,'Lent Input'!Q$5=Lists!$AG$5)),'Lent Input'!Q13,"")</f>
        <v/>
      </c>
      <c r="C16" s="77" t="str">
        <f ca="1">IFERROR(INDEX(Validation!G:G,MATCH("DFLoan15"&amp;CELL("address",C16),Validation!I:I,0)),"")</f>
        <v/>
      </c>
      <c r="D16" s="66" t="str">
        <f ca="1">IFERROR(INDEX(Validation!F:F,MATCH("DFLoan15"&amp;CELL("address",C16),Validation!I:I,0)),"")</f>
        <v/>
      </c>
    </row>
    <row r="17" spans="1:5" x14ac:dyDescent="0.25">
      <c r="A17" s="79" t="str">
        <f>"Amount Drawn in "&amp;Year_DestinationYearID</f>
        <v>Amount Drawn in 2024</v>
      </c>
      <c r="B17" s="103"/>
      <c r="C17" s="77" t="str">
        <f ca="1">IFERROR(INDEX(Validation!G:G,MATCH("DFLoan15"&amp;CELL("address",C17),Validation!I:I,0)),"")</f>
        <v/>
      </c>
      <c r="D17" s="66" t="str">
        <f ca="1">IFERROR(INDEX(Validation!F:F,MATCH("DFLoan15"&amp;CELL("address",C17),Validation!I:I,0)),"")</f>
        <v/>
      </c>
    </row>
    <row r="18" spans="1:5" x14ac:dyDescent="0.25">
      <c r="A18" s="79" t="s">
        <v>245</v>
      </c>
      <c r="B18" s="125" t="str">
        <f>IFERROR(B16+B17,"")</f>
        <v/>
      </c>
      <c r="C18" s="77" t="str">
        <f ca="1">IFERROR(INDEX(Validation!G:G,MATCH("DFLoan15"&amp;CELL("address",C18),Validation!I:I,0)),"")</f>
        <v/>
      </c>
      <c r="D18" s="66" t="str">
        <f ca="1">IFERROR(INDEX(Validation!F:F,MATCH("DFLoan15"&amp;CELL("address",C18),Validation!I:I,0)),"")</f>
        <v/>
      </c>
    </row>
    <row r="19" spans="1:5" x14ac:dyDescent="0.25">
      <c r="A19" s="79" t="s">
        <v>279</v>
      </c>
      <c r="B19" s="122" t="str">
        <f>IF(AND(NOT(ISBLANK('Lent Input'!Q16)),OR('Lent Input'!Q$5=Lists!$AG$4,'Lent Input'!Q$5=Lists!$AG$5)),'Lent Input'!Q16,"")</f>
        <v/>
      </c>
      <c r="C19" s="77" t="str">
        <f ca="1">IFERROR(INDEX(Validation!G:G,MATCH("DFLoan15"&amp;CELL("address",C19),Validation!I:I,0)),"")</f>
        <v/>
      </c>
      <c r="D19" s="66" t="str">
        <f ca="1">IFERROR(INDEX(Validation!F:F,MATCH("DFLoan15"&amp;CELL("address",C19),Validation!I:I,0)),"")</f>
        <v/>
      </c>
    </row>
    <row r="20" spans="1:5" x14ac:dyDescent="0.25">
      <c r="A20" s="79" t="str">
        <f>"Principal Received in "&amp;Year_DestinationYearID</f>
        <v>Principal Received in 2024</v>
      </c>
      <c r="B20" s="122"/>
      <c r="C20" s="77" t="str">
        <f ca="1">IFERROR(INDEX(Validation!G:G,MATCH("DFLoan15"&amp;CELL("address",C20),Validation!I:I,0)),"")</f>
        <v/>
      </c>
      <c r="D20" s="66" t="str">
        <f ca="1">IFERROR(INDEX(Validation!F:F,MATCH("DFLoan15"&amp;CELL("address",C20),Validation!I:I,0)),"")</f>
        <v/>
      </c>
    </row>
    <row r="21" spans="1:5" x14ac:dyDescent="0.25">
      <c r="A21" s="79" t="s">
        <v>280</v>
      </c>
      <c r="B21" s="122" t="str">
        <f>IF(AND(NOT(ISBLANK('Lent Input'!Q18)),OR('Lent Input'!Q$5=Lists!$AG$4,'Lent Input'!Q$5=Lists!$AG$5)),'Lent Input'!Q18,"")</f>
        <v/>
      </c>
      <c r="C21" s="77" t="str">
        <f ca="1">IFERROR(INDEX(Validation!G:G,MATCH("DFLoan15"&amp;CELL("address",C21),Validation!I:I,0)),"")</f>
        <v/>
      </c>
      <c r="D21" s="66" t="str">
        <f ca="1">IFERROR(INDEX(Validation!F:F,MATCH("DFLoan15"&amp;CELL("address",C21),Validation!I:I,0)),"")</f>
        <v/>
      </c>
    </row>
    <row r="22" spans="1:5" x14ac:dyDescent="0.25">
      <c r="A22" s="79" t="str">
        <f>"Additions/Reductions in "&amp;Year_DestinationYearID</f>
        <v>Additions/Reductions in 2024</v>
      </c>
      <c r="B22" s="122"/>
      <c r="C22" s="77" t="str">
        <f ca="1">IFERROR(INDEX(Validation!G:G,MATCH("DFLoan15"&amp;CELL("address",C22),Validation!I:I,0)),"")</f>
        <v/>
      </c>
      <c r="D22" s="66" t="str">
        <f ca="1">IFERROR(INDEX(Validation!F:F,MATCH("DFLoan15"&amp;CELL("address",C22),Validation!I:I,0)),"")</f>
        <v/>
      </c>
    </row>
    <row r="23" spans="1:5" x14ac:dyDescent="0.25">
      <c r="A23" s="79" t="s">
        <v>221</v>
      </c>
      <c r="B23" s="125" t="str">
        <f>IFERROR(B18-B19-B20+B21+B22,"")</f>
        <v/>
      </c>
      <c r="C23" s="77" t="str">
        <f ca="1">IFERROR(INDEX(Validation!G:G,MATCH("DFLoan15"&amp;CELL("address",C23),Validation!I:I,0)),"")</f>
        <v/>
      </c>
      <c r="D23" s="66" t="str">
        <f ca="1">IFERROR(INDEX(Validation!F:F,MATCH("DFLoan15"&amp;CELL("address",C23),Validation!I:I,0)),"")</f>
        <v/>
      </c>
    </row>
    <row r="24" spans="1:5" x14ac:dyDescent="0.25">
      <c r="A24" s="79" t="str">
        <f>"Principal Due in "&amp;Year_DestinationYearID+1</f>
        <v>Principal Due in 2025</v>
      </c>
      <c r="B24" s="122"/>
      <c r="C24" s="77" t="str">
        <f ca="1">IFERROR(INDEX(Validation!G:G,MATCH("DFLoan15"&amp;CELL("address",C24),Validation!I:I,0)),"")</f>
        <v/>
      </c>
      <c r="D24" s="66" t="str">
        <f ca="1">IFERROR(INDEX(Validation!F:F,MATCH("DFLoan15"&amp;CELL("address",C24),Validation!I:I,0)),"")</f>
        <v/>
      </c>
    </row>
    <row r="25" spans="1:5" x14ac:dyDescent="0.25">
      <c r="A25" s="79" t="s">
        <v>281</v>
      </c>
      <c r="B25" s="122" t="str">
        <f>IF(AND(NOT(ISBLANK('Lent Input'!Q22)),OR('Lent Input'!Q$5=Lists!$AG$4,'Lent Input'!Q$5=Lists!$AG$5)),'Lent Input'!Q22,"")</f>
        <v/>
      </c>
      <c r="C25" s="77" t="str">
        <f ca="1">IFERROR(INDEX(Validation!G:G,MATCH("DFLoan15"&amp;CELL("address",C25),Validation!I:I,0)),"")</f>
        <v/>
      </c>
      <c r="D25" s="66" t="str">
        <f ca="1">IFERROR(INDEX(Validation!F:F,MATCH("DFLoan15"&amp;CELL("address",C25),Validation!I:I,0)),"")</f>
        <v/>
      </c>
    </row>
    <row r="26" spans="1:5" x14ac:dyDescent="0.25">
      <c r="A26" s="79" t="str">
        <f>"Interest Received in "&amp;Year_DestinationYearID</f>
        <v>Interest Received in 2024</v>
      </c>
      <c r="B26" s="122"/>
      <c r="C26" s="77" t="str">
        <f ca="1">IFERROR(INDEX(Validation!G:G,MATCH("DFLoan15"&amp;CELL("address",C26),Validation!I:I,0)),"")</f>
        <v/>
      </c>
      <c r="D26" s="66" t="str">
        <f ca="1">IFERROR(INDEX(Validation!F:F,MATCH("DFLoan15"&amp;CELL("address",C26),Validation!I:I,0)),"")</f>
        <v/>
      </c>
    </row>
    <row r="27" spans="1:5" x14ac:dyDescent="0.25">
      <c r="A27" s="79" t="str">
        <f>"Interest Due in "&amp;Year_DestinationYearID+1</f>
        <v>Interest Due in 2025</v>
      </c>
      <c r="B27" s="122"/>
      <c r="C27" s="77" t="str">
        <f ca="1">IFERROR(INDEX(Validation!G:G,MATCH("DFLoan15"&amp;CELL("address",C27),Validation!I:I,0)),"")</f>
        <v/>
      </c>
      <c r="D27" s="66" t="str">
        <f ca="1">IFERROR(INDEX(Validation!F:F,MATCH("DFLoan15"&amp;CELL("address",C27),Validation!I:I,0)),"")</f>
        <v/>
      </c>
      <c r="E27" s="126"/>
    </row>
    <row r="28" spans="1:5" ht="20.100000000000001" customHeight="1" x14ac:dyDescent="0.25">
      <c r="A28" s="97" t="s">
        <v>176</v>
      </c>
      <c r="C28" s="77" t="str">
        <f ca="1">IF(AND(ISBLANK(A29),OR(COUNTIF(D6:D27,"Alert")&gt;0,SUM(B21:B22)&lt;&gt;0)),"Comment(s) required for remaining alert(s) and/or additions to principal.",IFERROR(INDEX(Validation!G:G,MATCH("DFLoan15"&amp;CELL("address",C28),Validation!I:I,0)),""))</f>
        <v/>
      </c>
      <c r="D28" s="66" t="str">
        <f ca="1">IF(AND(ISBLANK(A29),OR(COUNTIF(D6:D27,"Alert")&gt;0,SUM(B21:B22)&lt;&gt;0)),"Error",IFERROR(INDEX(Validation!F:F,MATCH("DFLoan15"&amp;CELL("address",C28),Validation!I:I,0)),""))</f>
        <v/>
      </c>
    </row>
    <row r="29" spans="1:5" ht="150" customHeight="1" x14ac:dyDescent="0.25">
      <c r="A29" s="123"/>
      <c r="B29" s="54" t="str">
        <f>HYPERLINK("#'Lent Funds'!B6","Click here to return to the Lent Funds Tab")</f>
        <v>Click here to return to the Lent Funds Tab</v>
      </c>
    </row>
    <row r="30" spans="1:5" x14ac:dyDescent="0.25">
      <c r="A30" s="98"/>
      <c r="B30" s="98"/>
    </row>
    <row r="31" spans="1:5" x14ac:dyDescent="0.25">
      <c r="A31" s="98"/>
      <c r="B31" s="98"/>
    </row>
    <row r="32" spans="1:5" x14ac:dyDescent="0.25">
      <c r="A32" s="98"/>
      <c r="B32" s="98"/>
    </row>
    <row r="33" spans="1:2" x14ac:dyDescent="0.25">
      <c r="A33" s="98"/>
      <c r="B33" s="98"/>
    </row>
  </sheetData>
  <sheetProtection algorithmName="SHA-512" hashValue="Ah/GQ/vyQnvhq6eaoFS5E6s0kqwYeV8MAESFv+ec4esojaUqbUAR1QPmQTDxvAXyZap09g04jt1CAFgzgROwhA==" saltValue="A+PnreqrOZp3368sGaPrbA==" spinCount="100000" sheet="1" objects="1" scenarios="1"/>
  <mergeCells count="1">
    <mergeCell ref="A4:D4"/>
  </mergeCells>
  <conditionalFormatting sqref="A2">
    <cfRule type="expression" dxfId="8" priority="11">
      <formula>$D2="Error"</formula>
    </cfRule>
    <cfRule type="expression" dxfId="6" priority="13">
      <formula>$D2="Exclude"</formula>
    </cfRule>
  </conditionalFormatting>
  <conditionalFormatting sqref="C6:D28">
    <cfRule type="expression" dxfId="3" priority="1">
      <formula>$D6="Information"</formula>
    </cfRule>
    <cfRule type="expression" dxfId="2" priority="2">
      <formula>$D6="Error"</formula>
    </cfRule>
    <cfRule type="expression" dxfId="1" priority="3">
      <formula>$D6="Alert"</formula>
    </cfRule>
    <cfRule type="expression" dxfId="0" priority="4">
      <formula>$D6="Exclude"</formula>
    </cfRule>
  </conditionalFormatting>
  <dataValidations count="2">
    <dataValidation type="list" allowBlank="1" showInputMessage="1" showErrorMessage="1" sqref="B7" xr:uid="{20B90A46-4567-4D22-8B36-CCA9DFE62BEF}">
      <formula1>DueFromType</formula1>
    </dataValidation>
    <dataValidation type="list" allowBlank="1" showInputMessage="1" showErrorMessage="1" sqref="B8" xr:uid="{7194BA96-8233-455F-90CA-36AE2819E5EF}">
      <formula1>DistrictDropDown</formula1>
    </dataValidation>
  </dataValidations>
  <pageMargins left="0.7" right="0.7" top="0.75" bottom="0.75" header="0.3" footer="0.3"/>
  <pageSetup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12" id="{58025F8D-43C3-40A9-9A73-1DCC8E1EBDA6}">
            <xm:f>COUNTIFS(Validation!$H:$H,MID(CELL("filename",A2),FIND("]",CELL("filename",A2))+1,255)&amp;CELL("address",A2))&gt;0</xm:f>
            <x14:dxf>
              <font>
                <b/>
                <i val="0"/>
                <color rgb="FFC00000"/>
              </font>
              <numFmt numFmtId="172" formatCode="_(\!* #,##0_);_(\!* \(#,##0\);_(\!* \-??_);_(\!\ @_)"/>
            </x14:dxf>
          </x14:cfRule>
          <xm:sqref>A2</xm:sqref>
        </x14:conditionalFormatting>
        <x14:conditionalFormatting xmlns:xm="http://schemas.microsoft.com/office/excel/2006/main">
          <x14:cfRule type="expression" priority="10" id="{F5E33124-DCB6-447E-A80B-ACB501C2DF47}">
            <xm:f>$B$7=Lists!$AH$5</xm:f>
            <x14:dxf>
              <fill>
                <patternFill>
                  <bgColor rgb="FFEAEAEA"/>
                </patternFill>
              </fill>
            </x14:dxf>
          </x14:cfRule>
          <xm:sqref>B8</xm:sqref>
        </x14:conditionalFormatting>
        <x14:conditionalFormatting xmlns:xm="http://schemas.microsoft.com/office/excel/2006/main">
          <x14:cfRule type="expression" priority="9" id="{4D301F39-2ED7-420D-A6B1-05500D36D8BC}">
            <xm:f>$B$7=Lists!$AH$4</xm:f>
            <x14:dxf>
              <fill>
                <patternFill>
                  <bgColor rgb="FFEAEAEA"/>
                </patternFill>
              </fill>
            </x14:dxf>
          </x14:cfRule>
          <xm:sqref>B9</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B57AD22EB5F3F4683BB17D165C31A09" ma:contentTypeVersion="4" ma:contentTypeDescription="Create a new document." ma:contentTypeScope="" ma:versionID="38fb6169dfe19bb4b0a9bf60cd1acd2f">
  <xsd:schema xmlns:xsd="http://www.w3.org/2001/XMLSchema" xmlns:xs="http://www.w3.org/2001/XMLSchema" xmlns:p="http://schemas.microsoft.com/office/2006/metadata/properties" xmlns:ns2="b4ab0ad3-d61f-4ed4-b660-64209165c230" targetNamespace="http://schemas.microsoft.com/office/2006/metadata/properties" ma:root="true" ma:fieldsID="1ca98bddf15fd029365769f2d94ca9a0" ns2:_="">
    <xsd:import namespace="b4ab0ad3-d61f-4ed4-b660-64209165c230"/>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4ab0ad3-d61f-4ed4-b660-64209165c23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E60F85A-66C3-45B1-B0C9-6C60DF0F37D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4ab0ad3-d61f-4ed4-b660-64209165c23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9E57D8F-7A88-4542-9A03-8543E67A7909}">
  <ds:schemaRefs>
    <ds:schemaRef ds:uri="http://schemas.microsoft.com/sharepoint/v3/contenttype/forms"/>
  </ds:schemaRefs>
</ds:datastoreItem>
</file>

<file path=customXml/itemProps3.xml><?xml version="1.0" encoding="utf-8"?>
<ds:datastoreItem xmlns:ds="http://schemas.openxmlformats.org/officeDocument/2006/customXml" ds:itemID="{3243168E-F685-4D9A-87B7-25FD8171513C}">
  <ds:schemaRefs>
    <ds:schemaRef ds:uri="http://schemas.microsoft.com/office/2006/documentManagement/types"/>
    <ds:schemaRef ds:uri="http://schemas.microsoft.com/office/2006/metadata/properties"/>
    <ds:schemaRef ds:uri="b4ab0ad3-d61f-4ed4-b660-64209165c230"/>
    <ds:schemaRef ds:uri="http://purl.org/dc/elements/1.1/"/>
    <ds:schemaRef ds:uri="http://schemas.openxmlformats.org/package/2006/metadata/core-properties"/>
    <ds:schemaRef ds:uri="http://purl.org/dc/dcmitype/"/>
    <ds:schemaRef ds:uri="http://schemas.microsoft.com/office/infopath/2007/PartnerControls"/>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92</vt:i4>
      </vt:variant>
      <vt:variant>
        <vt:lpstr>Named Ranges</vt:lpstr>
      </vt:variant>
      <vt:variant>
        <vt:i4>747</vt:i4>
      </vt:variant>
    </vt:vector>
  </HeadingPairs>
  <TitlesOfParts>
    <vt:vector size="839" baseType="lpstr">
      <vt:lpstr>Bond Input</vt:lpstr>
      <vt:lpstr>Bond Output</vt:lpstr>
      <vt:lpstr>PAYG Input</vt:lpstr>
      <vt:lpstr>PAYG Output</vt:lpstr>
      <vt:lpstr>IFL Input</vt:lpstr>
      <vt:lpstr>IFL Ouput</vt:lpstr>
      <vt:lpstr>Loan Input</vt:lpstr>
      <vt:lpstr>Lent Input</vt:lpstr>
      <vt:lpstr>Variables</vt:lpstr>
      <vt:lpstr>Lists</vt:lpstr>
      <vt:lpstr>Validation</vt:lpstr>
      <vt:lpstr>Instructions</vt:lpstr>
      <vt:lpstr>Dist Info</vt:lpstr>
      <vt:lpstr>Spec Leg</vt:lpstr>
      <vt:lpstr>Bonds</vt:lpstr>
      <vt:lpstr>PAYGs</vt:lpstr>
      <vt:lpstr>Loans</vt:lpstr>
      <vt:lpstr>Debt Summary</vt:lpstr>
      <vt:lpstr>Lent Funds</vt:lpstr>
      <vt:lpstr>Revenues</vt:lpstr>
      <vt:lpstr>Expenditures</vt:lpstr>
      <vt:lpstr>Expenditure Summary</vt:lpstr>
      <vt:lpstr>Transfers</vt:lpstr>
      <vt:lpstr>Returned</vt:lpstr>
      <vt:lpstr>Rev Exp Bal</vt:lpstr>
      <vt:lpstr>Bal Sheet</vt:lpstr>
      <vt:lpstr>EIC</vt:lpstr>
      <vt:lpstr>ADS</vt:lpstr>
      <vt:lpstr>HSS</vt:lpstr>
      <vt:lpstr>Parcels</vt:lpstr>
      <vt:lpstr>Six-Yr Rule</vt:lpstr>
      <vt:lpstr>Review and Submit</vt:lpstr>
      <vt:lpstr>Bond 1</vt:lpstr>
      <vt:lpstr>Bond 2</vt:lpstr>
      <vt:lpstr>Bond 3</vt:lpstr>
      <vt:lpstr>Bond 4</vt:lpstr>
      <vt:lpstr>Bond 5</vt:lpstr>
      <vt:lpstr>Bond 6</vt:lpstr>
      <vt:lpstr>Bond 7</vt:lpstr>
      <vt:lpstr>Bond 8</vt:lpstr>
      <vt:lpstr>Bond 9</vt:lpstr>
      <vt:lpstr>Bond 10</vt:lpstr>
      <vt:lpstr>Bond 11</vt:lpstr>
      <vt:lpstr>Bond 12</vt:lpstr>
      <vt:lpstr>Bond 13</vt:lpstr>
      <vt:lpstr>Bond 14</vt:lpstr>
      <vt:lpstr>Bond 15</vt:lpstr>
      <vt:lpstr>PAYG 1</vt:lpstr>
      <vt:lpstr>PAYG 2</vt:lpstr>
      <vt:lpstr>PAYG 3</vt:lpstr>
      <vt:lpstr>PAYG 4</vt:lpstr>
      <vt:lpstr>PAYG 5</vt:lpstr>
      <vt:lpstr>PAYG 6</vt:lpstr>
      <vt:lpstr>PAYG 7</vt:lpstr>
      <vt:lpstr>PAYG 8</vt:lpstr>
      <vt:lpstr>PAYG 9</vt:lpstr>
      <vt:lpstr>PAYG 10</vt:lpstr>
      <vt:lpstr>PAYG 11</vt:lpstr>
      <vt:lpstr>PAYG 12</vt:lpstr>
      <vt:lpstr>PAYG 13</vt:lpstr>
      <vt:lpstr>PAYG 14</vt:lpstr>
      <vt:lpstr>PAYG 15</vt:lpstr>
      <vt:lpstr>Loan 1</vt:lpstr>
      <vt:lpstr>Loan 2</vt:lpstr>
      <vt:lpstr>Loan 3</vt:lpstr>
      <vt:lpstr>Loan 4</vt:lpstr>
      <vt:lpstr>Loan 5</vt:lpstr>
      <vt:lpstr>Loan 6</vt:lpstr>
      <vt:lpstr>Loan 7</vt:lpstr>
      <vt:lpstr>Loan 8</vt:lpstr>
      <vt:lpstr>Loan 9</vt:lpstr>
      <vt:lpstr>Loan 10</vt:lpstr>
      <vt:lpstr>Loan 11</vt:lpstr>
      <vt:lpstr>Loan 12</vt:lpstr>
      <vt:lpstr>Loan 13</vt:lpstr>
      <vt:lpstr>Loan 14</vt:lpstr>
      <vt:lpstr>Loan 15</vt:lpstr>
      <vt:lpstr>DFLoan1</vt:lpstr>
      <vt:lpstr>DFLoan2</vt:lpstr>
      <vt:lpstr>DFLoan3</vt:lpstr>
      <vt:lpstr>DFLoan4</vt:lpstr>
      <vt:lpstr>DFLoan5</vt:lpstr>
      <vt:lpstr>DFLoan6</vt:lpstr>
      <vt:lpstr>DFLoan7</vt:lpstr>
      <vt:lpstr>DFLoan8</vt:lpstr>
      <vt:lpstr>DFLoan9</vt:lpstr>
      <vt:lpstr>DFLoan10</vt:lpstr>
      <vt:lpstr>DFLoan11</vt:lpstr>
      <vt:lpstr>DFLoan12</vt:lpstr>
      <vt:lpstr>DFLoan13</vt:lpstr>
      <vt:lpstr>DFLoan14</vt:lpstr>
      <vt:lpstr>DFLoan15</vt:lpstr>
      <vt:lpstr>AlertCheck_ADS</vt:lpstr>
      <vt:lpstr>AlertCheck_BalSheet</vt:lpstr>
      <vt:lpstr>AlertCheck_Bonds</vt:lpstr>
      <vt:lpstr>AlertCheck_DistInfo</vt:lpstr>
      <vt:lpstr>AlertCheck_EIC</vt:lpstr>
      <vt:lpstr>AlertCheck_Expenditures</vt:lpstr>
      <vt:lpstr>AlertCheck_HSS</vt:lpstr>
      <vt:lpstr>AlertCheck_LentFunds</vt:lpstr>
      <vt:lpstr>AlertCheck_Loans</vt:lpstr>
      <vt:lpstr>AlertCheck_Parcels</vt:lpstr>
      <vt:lpstr>AlertCheck_PAYGs</vt:lpstr>
      <vt:lpstr>AlertCheck_Returned</vt:lpstr>
      <vt:lpstr>AlertCheck_Revenues</vt:lpstr>
      <vt:lpstr>AlertCheck_RevExpBal</vt:lpstr>
      <vt:lpstr>AlertCheck_SixYrRule</vt:lpstr>
      <vt:lpstr>AlertCheck_SpecLeg</vt:lpstr>
      <vt:lpstr>AlertCheck_Transfers</vt:lpstr>
      <vt:lpstr>BondList</vt:lpstr>
      <vt:lpstr>BondType</vt:lpstr>
      <vt:lpstr>ConfirmationId</vt:lpstr>
      <vt:lpstr>DistrictsColumn</vt:lpstr>
      <vt:lpstr>DistrictsIdColumn</vt:lpstr>
      <vt:lpstr>DistrictType</vt:lpstr>
      <vt:lpstr>DueFromType</vt:lpstr>
      <vt:lpstr>DueToType</vt:lpstr>
      <vt:lpstr>ErrorCheck_ADS</vt:lpstr>
      <vt:lpstr>ErrorCheck_BalSheet</vt:lpstr>
      <vt:lpstr>ErrorCheck_Bonds</vt:lpstr>
      <vt:lpstr>ErrorCheck_DistInfo</vt:lpstr>
      <vt:lpstr>ErrorCheck_EIC</vt:lpstr>
      <vt:lpstr>ErrorCheck_Expenditures</vt:lpstr>
      <vt:lpstr>ErrorCheck_HSS</vt:lpstr>
      <vt:lpstr>ErrorCheck_LentFunds</vt:lpstr>
      <vt:lpstr>ErrorCheck_Loans</vt:lpstr>
      <vt:lpstr>ErrorCheck_Parcels</vt:lpstr>
      <vt:lpstr>ErrorCheck_PAYGs</vt:lpstr>
      <vt:lpstr>ErrorCheck_Returned</vt:lpstr>
      <vt:lpstr>ErrorCheck_Revenues</vt:lpstr>
      <vt:lpstr>ErrorCheck_RevExpBal</vt:lpstr>
      <vt:lpstr>ErrorCheck_SixYrRule</vt:lpstr>
      <vt:lpstr>ErrorCheck_SpecLeg</vt:lpstr>
      <vt:lpstr>ErrorCheck_Transfers</vt:lpstr>
      <vt:lpstr>FormName</vt:lpstr>
      <vt:lpstr>FourYrStatus</vt:lpstr>
      <vt:lpstr>GovEntity_GovEntityID</vt:lpstr>
      <vt:lpstr>GovEntity_GovEntityID_Parent</vt:lpstr>
      <vt:lpstr>GovEntity_GovEntityName</vt:lpstr>
      <vt:lpstr>GovEntity_GovEntityName_Parent</vt:lpstr>
      <vt:lpstr>IFL_Input_Column</vt:lpstr>
      <vt:lpstr>IFLType</vt:lpstr>
      <vt:lpstr>InterestRateType</vt:lpstr>
      <vt:lpstr>ParcelStatus</vt:lpstr>
      <vt:lpstr>PAYG_List</vt:lpstr>
      <vt:lpstr>PAYGList</vt:lpstr>
      <vt:lpstr>SelOneYesNo</vt:lpstr>
      <vt:lpstr>SelOneYesNoNA</vt:lpstr>
      <vt:lpstr>SessionLabel</vt:lpstr>
      <vt:lpstr>Sessions</vt:lpstr>
      <vt:lpstr>SubmissionDate</vt:lpstr>
      <vt:lpstr>TIF_Adjustments2010_CostsPaidOtherPublicFunds</vt:lpstr>
      <vt:lpstr>TIF_Adjustments2010_DebtInterestPaidTI</vt:lpstr>
      <vt:lpstr>TIF_Adjustments2010_DebtNonRefBondsIssued</vt:lpstr>
      <vt:lpstr>TIF_Adjustments2010_DebtPrincipalPaidTI</vt:lpstr>
      <vt:lpstr>TIF_Adjustments2010_DebtRefBondsIssued</vt:lpstr>
      <vt:lpstr>TIF_Adjustments2010_InterfundInterestPaid</vt:lpstr>
      <vt:lpstr>TIF_Budget_AdministrativeCost</vt:lpstr>
      <vt:lpstr>TIF_Budget_AffordableHsgCost</vt:lpstr>
      <vt:lpstr>TIF_Budget_BondsIssued</vt:lpstr>
      <vt:lpstr>TIF_Budget_CreditsAmt</vt:lpstr>
      <vt:lpstr>TIF_Budget_Interest</vt:lpstr>
      <vt:lpstr>TIF_Budget_InvestmentEarningsAmt</vt:lpstr>
      <vt:lpstr>TIF_Budget_LandBldgAcquisitionCost</vt:lpstr>
      <vt:lpstr>TIF_Budget_LeaseProceedsAmt</vt:lpstr>
      <vt:lpstr>TIF_Budget_OtherPublicCost</vt:lpstr>
      <vt:lpstr>TIF_Budget_SalesProceedsAmt</vt:lpstr>
      <vt:lpstr>TIF_Budget_SiteImprovementsCost</vt:lpstr>
      <vt:lpstr>TIF_Budget_TaxIncRevAmt</vt:lpstr>
      <vt:lpstr>TIF_Budget_UtilitiesCost</vt:lpstr>
      <vt:lpstr>TIF_CountyNumbers_CountyNumbers</vt:lpstr>
      <vt:lpstr>TIF_Debt_BondDiscount_Input</vt:lpstr>
      <vt:lpstr>TIF_Debt_BondDiscount_Output</vt:lpstr>
      <vt:lpstr>TIF_Debt_BondPremium_Input</vt:lpstr>
      <vt:lpstr>TIF_Debt_BondPremium_Output</vt:lpstr>
      <vt:lpstr>TIF_Debt_DebtId_Input</vt:lpstr>
      <vt:lpstr>TIF_Debt_DebtId_Output</vt:lpstr>
      <vt:lpstr>TIF_Debt_DebtInd_Entry</vt:lpstr>
      <vt:lpstr>TIF_Debt_DebtInd_Input</vt:lpstr>
      <vt:lpstr>TIF_Debt_DebtInd_Output</vt:lpstr>
      <vt:lpstr>TIF_Debt_Description_Input</vt:lpstr>
      <vt:lpstr>'Bond Output'!TIF_Debt_Description_Output</vt:lpstr>
      <vt:lpstr>TIF_Debt_FinalMaturityDate_Input</vt:lpstr>
      <vt:lpstr>'Bond Output'!TIF_Debt_FinalMaturityDate_Output</vt:lpstr>
      <vt:lpstr>TIF_Debt_InterestRateHigh_Input</vt:lpstr>
      <vt:lpstr>'Bond Output'!TIF_Debt_InterestRateHigh_Output</vt:lpstr>
      <vt:lpstr>TIF_Debt_InterestRateLow_Input</vt:lpstr>
      <vt:lpstr>'Bond Output'!TIF_Debt_InterestRateLow_Output</vt:lpstr>
      <vt:lpstr>TIF_Debt_IssueAmt_Input</vt:lpstr>
      <vt:lpstr>'Bond Output'!TIF_Debt_IssueAmt_Output</vt:lpstr>
      <vt:lpstr>TIF_Debt_IssueDate_Input</vt:lpstr>
      <vt:lpstr>'Bond Output'!TIF_Debt_IssueDate_Output</vt:lpstr>
      <vt:lpstr>TIF_Debt_MeetsFiveYrRuleInd_Input</vt:lpstr>
      <vt:lpstr>TIF_Debt_MeetsFiveYrRuleInd_Output</vt:lpstr>
      <vt:lpstr>TIF_Debt_PooledInd_Input</vt:lpstr>
      <vt:lpstr>'Bond Output'!TIF_Debt_PooledInd_Output</vt:lpstr>
      <vt:lpstr>TIF_Debt_RefundedInd_Input</vt:lpstr>
      <vt:lpstr>'Bond Output'!TIF_Debt_RefundedInd_Output</vt:lpstr>
      <vt:lpstr>TIF_Debt_RefundingInd_Input</vt:lpstr>
      <vt:lpstr>'Bond Output'!TIF_Debt_RefundingInd_Output</vt:lpstr>
      <vt:lpstr>TIF_DebtAnnual_AffordableHsgCost_Input</vt:lpstr>
      <vt:lpstr>TIF_DebtAnnual_AffordableHsgCost_Output</vt:lpstr>
      <vt:lpstr>TIF_DebtAnnual_AffordableHsgCostPriorAdj_Input</vt:lpstr>
      <vt:lpstr>TIF_DebtAnnual_AffordableHsgCostPriorAdj_Output</vt:lpstr>
      <vt:lpstr>TIF_DebtAnnual_AuthorityAdminCost_Input</vt:lpstr>
      <vt:lpstr>TIF_DebtAnnual_AuthorityAdminCost_Output</vt:lpstr>
      <vt:lpstr>TIF_DebtAnnual_AuthorityAdminCostPriorAdj_Input</vt:lpstr>
      <vt:lpstr>TIF_DebtAnnual_AuthorityAdminCostPriorAdj_Output</vt:lpstr>
      <vt:lpstr>TIF_DebtAnnual_ElectedHsgCost_Input</vt:lpstr>
      <vt:lpstr>TIF_DebtAnnual_ElectedHsgCost_Output</vt:lpstr>
      <vt:lpstr>TIF_DebtAnnual_ElectedHsgCostPriorAdj_Input</vt:lpstr>
      <vt:lpstr>TIF_DebtAnnual_ElectedHsgCostPriorAdj_Output</vt:lpstr>
      <vt:lpstr>TIF_DebtAnnual_InDistrictCost_Input</vt:lpstr>
      <vt:lpstr>TIF_DebtAnnual_InDistrictCost_Output</vt:lpstr>
      <vt:lpstr>TIF_DebtAnnual_InDistrictCostPriorAdj_Input</vt:lpstr>
      <vt:lpstr>TIF_DebtAnnual_InDistrictCostPriorAdj_Output</vt:lpstr>
      <vt:lpstr>TIF_DebtAnnual_InterestDue_Input</vt:lpstr>
      <vt:lpstr>'Bond Output'!TIF_DebtAnnual_InterestDue_Output</vt:lpstr>
      <vt:lpstr>TIF_DebtAnnual_InterestPaidOther_Input</vt:lpstr>
      <vt:lpstr>'Bond Output'!TIF_DebtAnnual_InterestPaidOther_Output</vt:lpstr>
      <vt:lpstr>TIF_DebtAnnual_InterestPaidOtherPriorAdj_Input</vt:lpstr>
      <vt:lpstr>'Bond Output'!TIF_DebtAnnual_InterestPaidOtherPriorAdj_Output</vt:lpstr>
      <vt:lpstr>TIF_DebtAnnual_InterestPaidTI_Input</vt:lpstr>
      <vt:lpstr>'Bond Output'!TIF_DebtAnnual_InterestPaidTI_Output</vt:lpstr>
      <vt:lpstr>TIF_DebtAnnual_InterestPaidTiPriorAdj_Input</vt:lpstr>
      <vt:lpstr>'Bond Output'!TIF_DebtAnnual_InterestPaidTiPriorAdj_Output</vt:lpstr>
      <vt:lpstr>TIF_DebtAnnual_JobsBillCost_Input</vt:lpstr>
      <vt:lpstr>TIF_DebtAnnual_JobsBillCost_Output</vt:lpstr>
      <vt:lpstr>TIF_DebtAnnual_JobsBillCostPriorAdj_Input</vt:lpstr>
      <vt:lpstr>TIF_DebtAnnual_JobsBillCostPriorAdj_Output</vt:lpstr>
      <vt:lpstr>TIF_DebtAnnual_LandBldgAcquisitionCost_Input</vt:lpstr>
      <vt:lpstr>TIF_DebtAnnual_LandBldgAcquisitionCost_Output</vt:lpstr>
      <vt:lpstr>TIF_DebtAnnual_LandBldgAcquisitionCostPriorAdj_Input</vt:lpstr>
      <vt:lpstr>TIF_DebtAnnual_LandBldgAcquisitionCostPriorAdj_Output</vt:lpstr>
      <vt:lpstr>TIF_DebtAnnual_OtherPublicCost_Input</vt:lpstr>
      <vt:lpstr>TIF_DebtAnnual_OtherPublicCost_Output</vt:lpstr>
      <vt:lpstr>TIF_DebtAnnual_OtherPublicCostPriorAdj_Input</vt:lpstr>
      <vt:lpstr>TIF_DebtAnnual_OtherPublicCostPriorAdj_Output</vt:lpstr>
      <vt:lpstr>TIF_DebtAnnual_OutDistrictCost_Input</vt:lpstr>
      <vt:lpstr>TIF_DebtAnnual_OutDistrictCost_Output</vt:lpstr>
      <vt:lpstr>TIF_DebtAnnual_OutDistrictCostPriorAdj_Input</vt:lpstr>
      <vt:lpstr>TIF_DebtAnnual_OutDistrictCostPriorAdj_Output</vt:lpstr>
      <vt:lpstr>TIF_DebtAnnual_PrincipalAdditions_Input</vt:lpstr>
      <vt:lpstr>'Bond Output'!TIF_DebtAnnual_PrincipalAdditions_Output</vt:lpstr>
      <vt:lpstr>TIF_DebtAnnual_PrincipalAdditionsPriorAdj_Input</vt:lpstr>
      <vt:lpstr>'Bond Output'!TIF_DebtAnnual_PrincipalAdditionsPriorAdj_Output</vt:lpstr>
      <vt:lpstr>TIF_DebtAnnual_PrincipalDueTI_Input</vt:lpstr>
      <vt:lpstr>'Bond Output'!TIF_DebtAnnual_PrincipalDueTI_Output</vt:lpstr>
      <vt:lpstr>TIF_DebtAnnual_PrincipalOutstanding_Input</vt:lpstr>
      <vt:lpstr>'Bond Output'!TIF_DebtAnnual_PrincipalOutstanding_Output</vt:lpstr>
      <vt:lpstr>TIF_DebtAnnual_PrincipalOutstandingPriorAdj_Input</vt:lpstr>
      <vt:lpstr>TIF_DebtAnnual_PrincipalOutstandingPriorAdj_Output</vt:lpstr>
      <vt:lpstr>TIF_DebtAnnual_PrincipalPaidOther_Input</vt:lpstr>
      <vt:lpstr>'Bond Output'!TIF_DebtAnnual_PrincipalPaidOther_Output</vt:lpstr>
      <vt:lpstr>TIF_DebtAnnual_PrincipalPaidOtherPriorAdj_Input</vt:lpstr>
      <vt:lpstr>'Bond Output'!TIF_DebtAnnual_PrincipalPaidOtherPriorAdj_Output</vt:lpstr>
      <vt:lpstr>TIF_DebtAnnual_PrincipalPaidTI_Input</vt:lpstr>
      <vt:lpstr>'Bond Output'!TIF_DebtAnnual_PrincipalPaidTI_Output</vt:lpstr>
      <vt:lpstr>TIF_DebtAnnual_PrincipalPaidTiPriorAdj_Input</vt:lpstr>
      <vt:lpstr>'Bond Output'!TIF_DebtAnnual_PrincipalPaidTiPriorAdj_Output</vt:lpstr>
      <vt:lpstr>TIF_DebtAnnual_RefundedAmt_Input</vt:lpstr>
      <vt:lpstr>'Bond Output'!TIF_DebtAnnual_RefundedAmt_Output</vt:lpstr>
      <vt:lpstr>TIF_DebtAnnual_RemainingProceeds_Input</vt:lpstr>
      <vt:lpstr>TIF_DebtAnnual_RemainingProceeds_Output</vt:lpstr>
      <vt:lpstr>TIF_DebtAnnual_RemainingProceedsPriorAdj_Input</vt:lpstr>
      <vt:lpstr>TIF_DebtAnnual_RemainingProceedsPriorAdj_Output</vt:lpstr>
      <vt:lpstr>TIF_DebtAnnual_SiteImprovementsCost_Input</vt:lpstr>
      <vt:lpstr>TIF_DebtAnnual_SiteImprovementsCost_Output</vt:lpstr>
      <vt:lpstr>TIF_DebtAnnual_SiteImprovementsCostPriorAdj_Input</vt:lpstr>
      <vt:lpstr>TIF_DebtAnnual_SiteImprovementsCostPriorAdj_Output</vt:lpstr>
      <vt:lpstr>TIF_DebtAnnual_TempTransferAuthority_Input</vt:lpstr>
      <vt:lpstr>TIF_DebtAnnual_TempTransferAuthority_Output</vt:lpstr>
      <vt:lpstr>TIF_DebtAnnual_TempTransferAuthorityPriorAdj_Input</vt:lpstr>
      <vt:lpstr>TIF_DebtAnnual_TempTransferAuthorityPriorAdj_Output</vt:lpstr>
      <vt:lpstr>TIF_DebtAnnual_TotalUses_Input</vt:lpstr>
      <vt:lpstr>TIF_DebtAnnual_TotalUses_Output</vt:lpstr>
      <vt:lpstr>TIF_DebtAnnual_TotalUsesPriorAdj_Input</vt:lpstr>
      <vt:lpstr>TIF_DebtAnnual_TotalUsesPriorAdj_Output</vt:lpstr>
      <vt:lpstr>TIF_DebtAnnual_UnpaidInterest_Input</vt:lpstr>
      <vt:lpstr>'Bond Output'!TIF_DebtAnnual_UnpaidInterest_Output</vt:lpstr>
      <vt:lpstr>TIF_DebtAnnual_UnpaidInterestPriorAdj_Input</vt:lpstr>
      <vt:lpstr>TIF_DebtAnnual_UnpaidInterestPriorAdj_Output</vt:lpstr>
      <vt:lpstr>TIF_DebtAnnual_UserCommentsBond_Output</vt:lpstr>
      <vt:lpstr>TIF_DebtAnnual_UserCommentsBonds</vt:lpstr>
      <vt:lpstr>TIF_DebtAnnual_UtilitiesCost_Input</vt:lpstr>
      <vt:lpstr>TIF_DebtAnnual_UtilitiesCost_Output</vt:lpstr>
      <vt:lpstr>TIF_DebtAnnual_UtilitiesCostPriorAdj_Input</vt:lpstr>
      <vt:lpstr>TIF_DebtAnnual_UtilitiesCostPriorAdj_Output</vt:lpstr>
      <vt:lpstr>TIF_DebtType_TypeName_Input</vt:lpstr>
      <vt:lpstr>'Bond Output'!TIF_DebtType_TypeName_Output</vt:lpstr>
      <vt:lpstr>TIF_District_ActualDecertificationDate</vt:lpstr>
      <vt:lpstr>TIF_District_ActualDecertificationDateInd_Entry</vt:lpstr>
      <vt:lpstr>TIF_District_ActualDecertificationDateInd_Input</vt:lpstr>
      <vt:lpstr>TIF_District_ActualDecertificationDateInd_Output</vt:lpstr>
      <vt:lpstr>TIF_District_County</vt:lpstr>
      <vt:lpstr>TIF_District_DelayFirstReceiptElection</vt:lpstr>
      <vt:lpstr>TIF_District_FirstReceiptYear</vt:lpstr>
      <vt:lpstr>TIF_District_FourYearRuleDate</vt:lpstr>
      <vt:lpstr>TIF_District_FYRDate</vt:lpstr>
      <vt:lpstr>TIF_District_Municipality</vt:lpstr>
      <vt:lpstr>TIF_District_OriginalCertificationDate</vt:lpstr>
      <vt:lpstr>TIF_District_OriginalCertificationRequestDate</vt:lpstr>
      <vt:lpstr>TIF_District_PoolingElectionForHousingInd</vt:lpstr>
      <vt:lpstr>TIF_District_RequiredDecertificationDate</vt:lpstr>
      <vt:lpstr>TIF_District_SmallCityExceptionInd</vt:lpstr>
      <vt:lpstr>TIF_District_WorkforceHousingInd</vt:lpstr>
      <vt:lpstr>TIF_DistrictAnnnual_HssRecoveredCostReturnInd_Entry</vt:lpstr>
      <vt:lpstr>TIF_DistrictAnnnual_HssRecoveredCostReturnInd_Input</vt:lpstr>
      <vt:lpstr>TIF_DistrictAnnnual_HssRecoveredCostReturnInd_Output</vt:lpstr>
      <vt:lpstr>TIF_DistrictAnnual_HssAdminCost</vt:lpstr>
      <vt:lpstr>TIF_DistrictAnnual_HssAdminCostPriorAdj_Entry</vt:lpstr>
      <vt:lpstr>TIF_DistrictAnnual_HssAdminCostPriorAdj_Input</vt:lpstr>
      <vt:lpstr>TIF_DistrictAnnual_HssAdminCostPriorAdj_Output</vt:lpstr>
      <vt:lpstr>TIF_DistrictAnnual_HssAttyGenReimbursement_Entry</vt:lpstr>
      <vt:lpstr>TIF_DistrictAnnual_HssAttyGenReimbursement_Input</vt:lpstr>
      <vt:lpstr>TIF_DistrictAnnual_HssAttyGenReimbursement_Output</vt:lpstr>
      <vt:lpstr>TIF_DistrictAnnual_HssFinancingCost</vt:lpstr>
      <vt:lpstr>TIF_DistrictAnnual_HssFinancingCostPriorAdj_Entry</vt:lpstr>
      <vt:lpstr>TIF_DistrictAnnual_HssFinancingCostPriorAdj_Input</vt:lpstr>
      <vt:lpstr>TIF_DistrictAnnual_HssFinancingCostPriorAdj_Output</vt:lpstr>
      <vt:lpstr>TIF_DistrictAnnual_HssIncrement</vt:lpstr>
      <vt:lpstr>TIF_DistrictAnnual_HssIncrementPriorAdj_Entry</vt:lpstr>
      <vt:lpstr>TIF_DistrictAnnual_HssIncrementPriorAdj_Input</vt:lpstr>
      <vt:lpstr>TIF_DistrictAnnual_HssIncrementPriorAdj_Output</vt:lpstr>
      <vt:lpstr>TIF_DistrictAnnual_HssInsurGuarantyCost</vt:lpstr>
      <vt:lpstr>TIF_DistrictAnnual_HssInsurGuarantyCostPriorAdj_Entry</vt:lpstr>
      <vt:lpstr>TIF_DistrictAnnual_HssInsurGuarantyCostPriorAdj_Input</vt:lpstr>
      <vt:lpstr>TIF_DistrictAnnual_HssInsurGuarantyCostPriorAdj_Output</vt:lpstr>
      <vt:lpstr>TIF_DistrictAnnual_HssNetRecoveredCost_Entry</vt:lpstr>
      <vt:lpstr>TIF_DistrictAnnual_HssNetRecoveredCost_Input</vt:lpstr>
      <vt:lpstr>TIF_DistrictAnnual_HssNetRecoveredCost_Output</vt:lpstr>
      <vt:lpstr>TIF_DistrictAnnual_HssPCAReimbursement_Entry</vt:lpstr>
      <vt:lpstr>TIF_DistrictAnnual_HssPCAReimbursement_Input</vt:lpstr>
      <vt:lpstr>TIF_DistrictAnnual_HssPCAReimbursement_Output</vt:lpstr>
      <vt:lpstr>TIF_DistrictAnnual_HssRecoveredCosts_Entry</vt:lpstr>
      <vt:lpstr>TIF_DistrictAnnual_HssRecoveredCosts_Input</vt:lpstr>
      <vt:lpstr>TIF_DistrictAnnual_HssRecoveredCosts_Output</vt:lpstr>
      <vt:lpstr>TIF_DistrictAnnual_HssRecoveredCostsInd_Entry</vt:lpstr>
      <vt:lpstr>TIF_DistrictAnnual_HssRecoveredCostsInd_Input</vt:lpstr>
      <vt:lpstr>TIF_DistrictAnnual_HssRecoveredCostsInd_Output</vt:lpstr>
      <vt:lpstr>TIF_DistrictAnnual_HssRemedialCost</vt:lpstr>
      <vt:lpstr>TIF_DistrictAnnual_HssRemedialCostPriorAdj_Entry</vt:lpstr>
      <vt:lpstr>TIF_DistrictAnnual_HssRemedialCostPriorAdj_Input</vt:lpstr>
      <vt:lpstr>TIF_DistrictAnnual_HssRemedialCostPriorAdj_Output</vt:lpstr>
      <vt:lpstr>TIF_DistrictAnnual_HssTestDemoSoilCost</vt:lpstr>
      <vt:lpstr>TIF_DistrictAnnual_HssTestDemoSoilCostPriorAdj_Entry</vt:lpstr>
      <vt:lpstr>TIF_DistrictAnnual_HssTestDemoSoilCostPriorAdj_Input</vt:lpstr>
      <vt:lpstr>TIF_DistrictAnnual_HssTestDemoSoilCostPriorAdj_Output</vt:lpstr>
      <vt:lpstr>TIF_DistrictType_DistrictTypeName</vt:lpstr>
      <vt:lpstr>TIF_DistrictYear_ADSInfoStatement</vt:lpstr>
      <vt:lpstr>TIF_DistrictYear_AffordableHsgCost</vt:lpstr>
      <vt:lpstr>TIF_DistrictYear_AffordableHsgCostPriorAdj_Entry</vt:lpstr>
      <vt:lpstr>TIF_DistrictYear_AffordableHsgCostPriorAdj_Input</vt:lpstr>
      <vt:lpstr>TIF_DistrictYear_AffordableHsgCostPriorAdj_Output</vt:lpstr>
      <vt:lpstr>TIF_DistrictYear_AgreementRepaymentAmt</vt:lpstr>
      <vt:lpstr>TIF_DistrictYear_AgreementRepaymentPriorAdj_Entry</vt:lpstr>
      <vt:lpstr>TIF_DistrictYear_AgreementRepaymentPriorAdj_Input</vt:lpstr>
      <vt:lpstr>TIF_DistrictYear_AgreementRepaymentPriorAdj_Output</vt:lpstr>
      <vt:lpstr>TIF_DistrictYear_AssetsCashAmt</vt:lpstr>
      <vt:lpstr>TIF_DistrictYear_AssetsCashPriorAdj_Entry</vt:lpstr>
      <vt:lpstr>TIF_DistrictYear_AssetsCashPriorAdj_Input</vt:lpstr>
      <vt:lpstr>TIF_DistrictYear_AssetsCashPriorAdj_Output</vt:lpstr>
      <vt:lpstr>TIF_DistrictYear_AssetsInterestAmt</vt:lpstr>
      <vt:lpstr>TIF_DistrictYear_AssetsInterestPriorAdj_Entry</vt:lpstr>
      <vt:lpstr>TIF_DistrictYear_AssetsInterestPriorAdj_Input</vt:lpstr>
      <vt:lpstr>TIF_DistrictYear_AssetsInterestPriorAdj_Output</vt:lpstr>
      <vt:lpstr>TIF_DistrictYear_AssetsInvestmentsAmt</vt:lpstr>
      <vt:lpstr>TIF_DistrictYear_AssetsInvestmentsPriorAdj_Entry</vt:lpstr>
      <vt:lpstr>TIF_DistrictYear_AssetsInvestmentsPriorAdj_Input</vt:lpstr>
      <vt:lpstr>TIF_DistrictYear_AssetsInvestmentsPriorAdj_Output</vt:lpstr>
      <vt:lpstr>TIF_DistrictYear_AssetsOtherAmt</vt:lpstr>
      <vt:lpstr>TIF_DistrictYear_AssetsOtherPriorAdj_Entry</vt:lpstr>
      <vt:lpstr>TIF_DistrictYear_AssetsOtherPriorAdj_Input</vt:lpstr>
      <vt:lpstr>TIF_DistrictYear_AssetsOtherPriorAdj_Output</vt:lpstr>
      <vt:lpstr>TIF_DistrictYear_AssetsPropertyAmt</vt:lpstr>
      <vt:lpstr>TIF_DistrictYear_AssetsPropertyPriorAdj_Entry</vt:lpstr>
      <vt:lpstr>TIF_DistrictYear_AssetsPropertyPriorAdj_Input</vt:lpstr>
      <vt:lpstr>TIF_DistrictYear_AssetsPropertyPriorAdj_Output</vt:lpstr>
      <vt:lpstr>TIF_DistrictYear_AssetsTaxesAmt</vt:lpstr>
      <vt:lpstr>TIF_DistrictYear_AssetsTaxesPriorAdj_Entry</vt:lpstr>
      <vt:lpstr>TIF_DistrictYear_AssetsTaxesPriorAdj_Input</vt:lpstr>
      <vt:lpstr>TIF_DistrictYear_AssetsTaxesPriorAdj_Output</vt:lpstr>
      <vt:lpstr>TIF_DistrictYear_AuthorityAdminCost</vt:lpstr>
      <vt:lpstr>TIF_DistrictYear_AuthorityAdminCostPriorAdj_Entry</vt:lpstr>
      <vt:lpstr>TIF_DistrictYear_AuthorityAdminCostPriorAdj_Input</vt:lpstr>
      <vt:lpstr>TIF_DistrictYear_AuthorityAdminCostPriorAdj_Output</vt:lpstr>
      <vt:lpstr>TIF_DistrictYear_AuthorityAdminOperCost</vt:lpstr>
      <vt:lpstr>TIF_DistrictYear_AuthorityAdminOperCostLeaseProceedTI</vt:lpstr>
      <vt:lpstr>TIF_DistrictYear_AuthorityAdminOperCostLeaseProceedTIPriorAdj_Entry</vt:lpstr>
      <vt:lpstr>TIF_DistrictYear_AuthorityAdminOperCostLeaseProceedTIPriorAdj_Input</vt:lpstr>
      <vt:lpstr>TIF_DistrictYear_AuthorityAdminOperCostLeaseProceedTIPriorAdj_Output</vt:lpstr>
      <vt:lpstr>TIF_DistrictYear_AuthorityAdminOperCostPriorAdj_Entry</vt:lpstr>
      <vt:lpstr>TIF_DistrictYear_AuthorityAdminOperCostPriorAdj_Input</vt:lpstr>
      <vt:lpstr>TIF_DistrictYear_AuthorityAdminOperCostPriorAdj_Ouput</vt:lpstr>
      <vt:lpstr>TIF_DistrictYear_CountyAdminCost</vt:lpstr>
      <vt:lpstr>TIF_DistrictYear_CountyAdminCostPriorAdj_Entry</vt:lpstr>
      <vt:lpstr>TIF_DistrictYear_CountyAdminCostPriorAdj_Input</vt:lpstr>
      <vt:lpstr>TIF_DistrictYear_CountyAdminCostPriorAdj_Output</vt:lpstr>
      <vt:lpstr>TIF_DistrictYear_DeferredInflowsAmt</vt:lpstr>
      <vt:lpstr>TIF_DistrictYear_DeferredInflowsPriorAdj_Entry</vt:lpstr>
      <vt:lpstr>TIF_DistrictYear_DeferredInflowsPriorAdj_Input</vt:lpstr>
      <vt:lpstr>TIF_DistrictYear_DeferredInflowsPriorAdj_Output</vt:lpstr>
      <vt:lpstr>TIF_DistrictYear_DisclosureNewspaper</vt:lpstr>
      <vt:lpstr>TIF_DistrictYear_DisclosurePublicationDate</vt:lpstr>
      <vt:lpstr>TIF_DistrictYear_EICAuthorizedNonTIPaymentsAmt</vt:lpstr>
      <vt:lpstr>TIF_DistrictYear_EICBondEscrowPaymentAmt</vt:lpstr>
      <vt:lpstr>TIF_DistrictYear_EICBondPrepaymentAmt</vt:lpstr>
      <vt:lpstr>TIF_DistrictYear_EICBondTiPledgeDischargeAmt</vt:lpstr>
      <vt:lpstr>TIF_DistrictYear_EICDeficitTransfersAmt</vt:lpstr>
      <vt:lpstr>TIF_DistrictYear_EICPaymentsDueAmt</vt:lpstr>
      <vt:lpstr>TIF_DistrictYear_EICReturnAmt</vt:lpstr>
      <vt:lpstr>TIF_DistrictYear_ExcessReturned</vt:lpstr>
      <vt:lpstr>TIF_DistrictYear_ExcessReturnedPriorAdj</vt:lpstr>
      <vt:lpstr>TIF_DistrictYear_FiscalDisparitiesIncrease</vt:lpstr>
      <vt:lpstr>TIF_DistrictYear_FiscalDisparityDeduction</vt:lpstr>
      <vt:lpstr>TIF_DistrictYear_InDistProjCostsInc</vt:lpstr>
      <vt:lpstr>TIF_DistrictYear_InDistProjCostsIncPriorAdj_Entry</vt:lpstr>
      <vt:lpstr>TIF_DistrictYear_InDistProjCostsIncPriorAdj_Input</vt:lpstr>
      <vt:lpstr>TIF_DistrictYear_InDistProjCostsIncPriorAdj_Output</vt:lpstr>
      <vt:lpstr>TIF_DistrictYear_InvestmentEarningsAmt</vt:lpstr>
      <vt:lpstr>TIF_DistrictYear_InvestmentEarningsPriorAdj_Entry</vt:lpstr>
      <vt:lpstr>TIF_DistrictYear_InvestmentEarningsPriorAdj_Input</vt:lpstr>
      <vt:lpstr>TIF_DistrictYear_InvestmentEarningsPriorAdj_Output</vt:lpstr>
      <vt:lpstr>TIF_DistrictYear_JobsBillCost</vt:lpstr>
      <vt:lpstr>TIF_DistrictYear_JobsBillCostPriorAdj_Entry</vt:lpstr>
      <vt:lpstr>TIF_DistrictYear_JobsBillCostPriorAdj_Input</vt:lpstr>
      <vt:lpstr>TIF_DistrictYear_JobsBillCostPriorAdj_Output</vt:lpstr>
      <vt:lpstr>TIF_DistrictYear_LandBldgAcquisitionCost_Entry</vt:lpstr>
      <vt:lpstr>TIF_DistrictYear_LandBldgAcquisitionCostPriorAdj_Entry</vt:lpstr>
      <vt:lpstr>TIF_DistrictYear_LandBldgAcquisitionCostPriorAdj_Input</vt:lpstr>
      <vt:lpstr>TIF_DistrictYear_LandBldgAcquisitionCostPriorAdj_Output</vt:lpstr>
      <vt:lpstr>TIF_DistrictYear_LeaseProceedsAmt</vt:lpstr>
      <vt:lpstr>TIF_DistrictYear_LeaseProceedsPriorAdj_Entry</vt:lpstr>
      <vt:lpstr>TIF_DistrictYear_LeaseProceedsPriorAdj_Input</vt:lpstr>
      <vt:lpstr>TIF_DistrictYear_LeaseProceedsPriorAdj_Output</vt:lpstr>
      <vt:lpstr>TIF_DistrictYear_LiabilitiesAccountsPayableAmt</vt:lpstr>
      <vt:lpstr>TIF_DistrictYear_LiabilitiesAccountsPayablePriorAdj_Entry</vt:lpstr>
      <vt:lpstr>TIF_DistrictYear_LiabilitiesAccountsPayablePriorAdj_Input</vt:lpstr>
      <vt:lpstr>TIF_DistrictYear_LiabilitiesAccountsPayablePriorAdj_Output</vt:lpstr>
      <vt:lpstr>TIF_DistrictYear_LiabilitiesUnearnedRevenueAmt</vt:lpstr>
      <vt:lpstr>TIF_DistrictYear_LiabilitiesUnearnedRevenuePriorAdj_Entry</vt:lpstr>
      <vt:lpstr>TIF_DistrictYear_LiabilitiesUnearnedRevenuePriorAdj_Input</vt:lpstr>
      <vt:lpstr>TIF_DistrictYear_LiabilitiesUnearnedRevenuePriorAdj_Output</vt:lpstr>
      <vt:lpstr>TIF_DistrictYear_LoanAdvanceRepaymentsAmt</vt:lpstr>
      <vt:lpstr>TIF_DistrictYear_LoanAdvanceRepaymentsPriorAdj_Entry</vt:lpstr>
      <vt:lpstr>TIF_DistrictYear_LoanAdvanceRepaymentsPriorAdj_Input</vt:lpstr>
      <vt:lpstr>TIF_DistrictYear_LoanAdvanceRepaymentsPriorAdj_Output</vt:lpstr>
      <vt:lpstr>TIF_DistrictYear_MVHCAmt</vt:lpstr>
      <vt:lpstr>TIF_DistrictYear_MVHCPriorAdj_Entry</vt:lpstr>
      <vt:lpstr>TIF_DistrictYear_MVHCPriorAdj_Input</vt:lpstr>
      <vt:lpstr>TIF_DistrictYear_MVHCPriorAdj_Output</vt:lpstr>
      <vt:lpstr>TIF_DistrictYear_OtherPublicCost</vt:lpstr>
      <vt:lpstr>TIF_DistrictYear_OtherPublicCostPriorAdj_Entry</vt:lpstr>
      <vt:lpstr>TIF_DistrictYear_OtherPublicCostPriorAdj_Input</vt:lpstr>
      <vt:lpstr>TIF_DistrictYear_OtherPublicCostPriorAdj_Output</vt:lpstr>
      <vt:lpstr>TIF_DistrictYear_OtherSourcesUses</vt:lpstr>
      <vt:lpstr>TIF_DistrictYear_OtherSourcesUsesPriorAdj_Entry</vt:lpstr>
      <vt:lpstr>TIF_DistrictYear_OtherSourcesUsesPriorAdj_Input</vt:lpstr>
      <vt:lpstr>TIF_DistrictYear_OtherSourcesUsesPriorAdj_Output</vt:lpstr>
      <vt:lpstr>TIF_DistrictYear_OutDistProjCostsInc</vt:lpstr>
      <vt:lpstr>TIF_DistrictYear_OutDistProjCostsIncPriorAdj_Entry</vt:lpstr>
      <vt:lpstr>TIF_DistrictYear_OutDistProjCostsIncPriorAdj_Input</vt:lpstr>
      <vt:lpstr>TIF_DistrictYear_OutDistProjCostsIncPriorAdj_Output</vt:lpstr>
      <vt:lpstr>TIF_DistrictYear_OutDistrictElectedHousing</vt:lpstr>
      <vt:lpstr>TIF_DistrictYear_OutDistrictElectedHousingPriorAdj_Entry</vt:lpstr>
      <vt:lpstr>TIF_DistrictYear_OutDistrictElectedHousingPriorAdj_Input</vt:lpstr>
      <vt:lpstr>TIF_DistrictYear_OutDistrictElectedHousingPriorAdj_Output</vt:lpstr>
      <vt:lpstr>TIF_DistrictYear_PropertySalesAmt</vt:lpstr>
      <vt:lpstr>TIF_DistrictYear_PropertySalesPriorAdj_Entry</vt:lpstr>
      <vt:lpstr>TIF_DistrictYear_PropertySalesPriorAdj_Input</vt:lpstr>
      <vt:lpstr>TIF_DistrictYear_PropertySalesPriorAdj_Output</vt:lpstr>
      <vt:lpstr>TIF_DistrictYear_RemedyImproperExpend</vt:lpstr>
      <vt:lpstr>TIF_DistrictYear_RemedyImproperExpendPriorAdj</vt:lpstr>
      <vt:lpstr>TIF_DistrictYear_RemedyImproperReceipt</vt:lpstr>
      <vt:lpstr>TIF_DistrictYear_RemedyImproperReceiptPriorAdj</vt:lpstr>
      <vt:lpstr>TIF_DistrictYear_ReturnedToCountyAmt</vt:lpstr>
      <vt:lpstr>TIF_DistrictYear_ReturnedToCountyPriorAdj</vt:lpstr>
      <vt:lpstr>TIF_DistrictYear_SiteImprovementsCost</vt:lpstr>
      <vt:lpstr>TIF_DistrictYear_SiteImprovementsCostPriorAdj_Entry</vt:lpstr>
      <vt:lpstr>TIF_DistrictYear_SiteImprovementsCostPriorAdj_Input</vt:lpstr>
      <vt:lpstr>TIF_DistrictYear_SiteImprovementsCostPriorAdj_Output</vt:lpstr>
      <vt:lpstr>TIF_DistrictYear_SurplusReturned</vt:lpstr>
      <vt:lpstr>TIF_DistrictYear_SurplusReturnedPriorAdj</vt:lpstr>
      <vt:lpstr>TIF_DistrictYear_TaxCapacityCurrent</vt:lpstr>
      <vt:lpstr>TIF_DistrictYear_TaxCapacityOriginal</vt:lpstr>
      <vt:lpstr>TIF_DistrictYear_TaxCapacityShared</vt:lpstr>
      <vt:lpstr>TIF_DistrictYear_TaxIncRevAmt</vt:lpstr>
      <vt:lpstr>TIF_DistrictYear_TaxIncRevPriorAdj_Entry</vt:lpstr>
      <vt:lpstr>TIF_DistrictYear_TaxIncRevPriorAdj_Input</vt:lpstr>
      <vt:lpstr>TIF_DistrictYear_TaxIncRevPriorAdj_Output</vt:lpstr>
      <vt:lpstr>TIF_DistrictYear_TempTransferAuthority</vt:lpstr>
      <vt:lpstr>TIF_DistrictYear_TempTransferAuthorityPriorAdj_Entry</vt:lpstr>
      <vt:lpstr>TIF_DistrictYear_TempTransferAuthorityPriorAdj_Input</vt:lpstr>
      <vt:lpstr>TIF_DistrictYear_TempTransferAuthorityPriorAdj_Output</vt:lpstr>
      <vt:lpstr>TIF_DistrictYear_UserCommentsADS</vt:lpstr>
      <vt:lpstr>TIF_DistrictYear_UserCommentsBalSheet</vt:lpstr>
      <vt:lpstr>TIF_DistrictYear_UserCommentsBond1</vt:lpstr>
      <vt:lpstr>TIF_DistrictYear_UserCommentsBond10</vt:lpstr>
      <vt:lpstr>TIF_DistrictYear_UserCommentsBond11</vt:lpstr>
      <vt:lpstr>TIF_DistrictYear_UserCommentsBond12</vt:lpstr>
      <vt:lpstr>TIF_DistrictYear_UserCommentsBond13</vt:lpstr>
      <vt:lpstr>TIF_DistrictYear_UserCommentsBond14</vt:lpstr>
      <vt:lpstr>TIF_DistrictYear_UserCommentsBond15</vt:lpstr>
      <vt:lpstr>TIF_DistrictYear_UserCommentsBond2</vt:lpstr>
      <vt:lpstr>TIF_DistrictYear_UserCommentsBond3</vt:lpstr>
      <vt:lpstr>TIF_DistrictYear_UserCommentsBond4</vt:lpstr>
      <vt:lpstr>TIF_DistrictYear_UserCommentsBond5</vt:lpstr>
      <vt:lpstr>TIF_DistrictYear_UserCommentsBond6</vt:lpstr>
      <vt:lpstr>TIF_DistrictYear_UserCommentsBond7</vt:lpstr>
      <vt:lpstr>TIF_DistrictYear_UserCommentsBond8</vt:lpstr>
      <vt:lpstr>TIF_DistrictYear_UserCommentsBond9</vt:lpstr>
      <vt:lpstr>TIF_DistrictYear_UserCommentsDebtSummary</vt:lpstr>
      <vt:lpstr>TIF_DistrictYear_UserCommentsDFLoan1</vt:lpstr>
      <vt:lpstr>TIF_DistrictYear_UserCommentsDFLoan10</vt:lpstr>
      <vt:lpstr>TIF_DistrictYear_UserCommentsDFLoan11</vt:lpstr>
      <vt:lpstr>TIF_DistrictYear_UserCommentsDFLoan12</vt:lpstr>
      <vt:lpstr>TIF_DistrictYear_UserCommentsDFLoan13</vt:lpstr>
      <vt:lpstr>TIF_DistrictYear_UserCommentsDFLoan14</vt:lpstr>
      <vt:lpstr>TIF_DistrictYear_UserCommentsDFLoan15</vt:lpstr>
      <vt:lpstr>TIF_DistrictYear_UserCommentsDFLoan2</vt:lpstr>
      <vt:lpstr>TIF_DistrictYear_UserCommentsDFLoan3</vt:lpstr>
      <vt:lpstr>TIF_DistrictYear_UserCommentsDFLoan4</vt:lpstr>
      <vt:lpstr>TIF_DistrictYear_UserCommentsDFLoan5</vt:lpstr>
      <vt:lpstr>TIF_DistrictYear_UserCommentsDFLoan6</vt:lpstr>
      <vt:lpstr>TIF_DistrictYear_UserCommentsDFLoan7</vt:lpstr>
      <vt:lpstr>TIF_DistrictYear_UserCommentsDFLoan8</vt:lpstr>
      <vt:lpstr>TIF_DistrictYear_UserCommentsDFLoan9</vt:lpstr>
      <vt:lpstr>TIF_DistrictYear_UserCommentsDistInfo</vt:lpstr>
      <vt:lpstr>TIF_DistrictYear_UserCommentsEIC</vt:lpstr>
      <vt:lpstr>TIF_DistrictYear_UserCommentsExpenditures</vt:lpstr>
      <vt:lpstr>TIF_DistrictYear_UserCommentsExpenditureSummary</vt:lpstr>
      <vt:lpstr>TIF_DistrictYear_UserCommentsHSS</vt:lpstr>
      <vt:lpstr>TIF_DistrictYear_UserCommentsLentFunds</vt:lpstr>
      <vt:lpstr>TIF_DistrictYear_UserCommentsLoan1</vt:lpstr>
      <vt:lpstr>TIF_DistrictYear_UserCommentsLoan10</vt:lpstr>
      <vt:lpstr>TIF_DistrictYear_UserCommentsLoan11</vt:lpstr>
      <vt:lpstr>TIF_DistrictYear_UserCommentsLoan12</vt:lpstr>
      <vt:lpstr>TIF_DistrictYear_UserCommentsLoan13</vt:lpstr>
      <vt:lpstr>TIF_DistrictYear_UserCommentsLoan14</vt:lpstr>
      <vt:lpstr>TIF_DistrictYear_UserCommentsLoan15</vt:lpstr>
      <vt:lpstr>TIF_DistrictYear_UserCommentsLoan2</vt:lpstr>
      <vt:lpstr>TIF_DistrictYear_UserCommentsLoan3</vt:lpstr>
      <vt:lpstr>TIF_DistrictYear_UserCommentsLoan4</vt:lpstr>
      <vt:lpstr>TIF_DistrictYear_UserCommentsLoan5</vt:lpstr>
      <vt:lpstr>TIF_DistrictYear_UserCommentsLoan6</vt:lpstr>
      <vt:lpstr>TIF_DistrictYear_UserCommentsLoan7</vt:lpstr>
      <vt:lpstr>TIF_DistrictYear_UserCommentsLoan8</vt:lpstr>
      <vt:lpstr>TIF_DistrictYear_UserCommentsLoan9</vt:lpstr>
      <vt:lpstr>TIF_DistrictYear_UserCommentsLoans</vt:lpstr>
      <vt:lpstr>TIF_DistrictYear_UserCommentsParcels</vt:lpstr>
      <vt:lpstr>TIF_DistrictYear_UserCommentsPAYG1</vt:lpstr>
      <vt:lpstr>TIF_DistrictYear_UserCommentsPAYG10</vt:lpstr>
      <vt:lpstr>TIF_DistrictYear_UserCommentsPAYG11</vt:lpstr>
      <vt:lpstr>TIF_DistrictYear_UserCommentsPAYG12</vt:lpstr>
      <vt:lpstr>TIF_DistrictYear_UserCommentsPAYG13</vt:lpstr>
      <vt:lpstr>TIF_DistrictYear_UserCommentsPAYG14</vt:lpstr>
      <vt:lpstr>TIF_DistrictYear_UserCommentsPAYG15</vt:lpstr>
      <vt:lpstr>TIF_DistrictYear_UserCommentsPAYG2</vt:lpstr>
      <vt:lpstr>TIF_DistrictYear_UserCommentsPAYG3</vt:lpstr>
      <vt:lpstr>TIF_DistrictYear_UserCommentsPAYG4</vt:lpstr>
      <vt:lpstr>TIF_DistrictYear_UserCommentsPAYG5</vt:lpstr>
      <vt:lpstr>TIF_DistrictYear_UserCommentsPAYG6</vt:lpstr>
      <vt:lpstr>TIF_DistrictYear_UserCommentsPAYG7</vt:lpstr>
      <vt:lpstr>TIF_DistrictYear_UserCommentsPAYG8</vt:lpstr>
      <vt:lpstr>TIF_DistrictYear_UserCommentsPAYG9</vt:lpstr>
      <vt:lpstr>TIF_DistrictYear_UserCommentsPAYGs</vt:lpstr>
      <vt:lpstr>TIF_DistrictYear_UserCommentsReturned</vt:lpstr>
      <vt:lpstr>TIF_DistrictYear_UserCommentsRevenues</vt:lpstr>
      <vt:lpstr>TIF_DistrictYear_UserCommentsRevExpBal</vt:lpstr>
      <vt:lpstr>TIF_DistrictYear_UserCommentsSixYrRule</vt:lpstr>
      <vt:lpstr>TIF_DistrictYear_UserCommentsSpecLeg</vt:lpstr>
      <vt:lpstr>TIF_DistrictYear_UserCommentsTransfers</vt:lpstr>
      <vt:lpstr>TIF_DistrictYear_UtilitiesCost</vt:lpstr>
      <vt:lpstr>TIF_DistrictYear_UtilitiesCostPriorAdj_Entry</vt:lpstr>
      <vt:lpstr>TIF_DistrictYear_UtilitiesCostPriorAdj_Input</vt:lpstr>
      <vt:lpstr>TIF_DistrictYear_UtilitiesCostPriorAdj_Output</vt:lpstr>
      <vt:lpstr>TIF_ErrorCorrection_Year_Entry</vt:lpstr>
      <vt:lpstr>TIF_ErrorCorrection_Year_Input</vt:lpstr>
      <vt:lpstr>TIF_ErrorCorrection_Year_Output</vt:lpstr>
      <vt:lpstr>TIF_FiscalDisparityOption_OptionId</vt:lpstr>
      <vt:lpstr>TIF_HazardousSubstanceSubdistrict_ActualDecertificationDate</vt:lpstr>
      <vt:lpstr>TIF_HazardousSubstanceSubdistrict_ActualDecertificationDate_Entry</vt:lpstr>
      <vt:lpstr>TIF_HazardousSubstanceSubdistrict_ActualDecertificationDate_Input</vt:lpstr>
      <vt:lpstr>TIF_HazardousSubstanceSubdistrict_ActualDecertificationDate_Output</vt:lpstr>
      <vt:lpstr>TIF_HazardousSubstanceSubdistrict_ApprovalDate_Entry</vt:lpstr>
      <vt:lpstr>TIF_HazardousSubstanceSubdistrict_ApprovalDate_Input</vt:lpstr>
      <vt:lpstr>TIF_HazardousSubstanceSubdistrict_ApprovalDate_Output</vt:lpstr>
      <vt:lpstr>TIF_HazardousSubstanceSubdistrict_CertificationDate_Entry</vt:lpstr>
      <vt:lpstr>TIF_HazardousSubstanceSubdistrict_CertificationDate_Input</vt:lpstr>
      <vt:lpstr>TIF_HazardousSubstanceSubdistrict_CertificationDate_Output</vt:lpstr>
      <vt:lpstr>TIF_HazardousSubstanceSubdistrict_CertificationRequestDate_Entry</vt:lpstr>
      <vt:lpstr>TIF_HazardousSubstanceSubdistrict_CertificationRequestDate_Input</vt:lpstr>
      <vt:lpstr>TIF_HazardousSubstanceSubdistrict_CertificationRequestDate_Output</vt:lpstr>
      <vt:lpstr>TIF_HazardousSubstanceSubdistrict_EstimatedCosts</vt:lpstr>
      <vt:lpstr>TIF_HazardousSubstanceSubdistrict_FirstReceiptYear</vt:lpstr>
      <vt:lpstr>TIF_HazardousSubstanceSubdistrict_PCAApprovalDate</vt:lpstr>
      <vt:lpstr>TIF_InterfundLoan_FinalMaturityDate_Input</vt:lpstr>
      <vt:lpstr>'IFL Ouput'!TIF_InterfundLoan_FinalMaturityDate_Output</vt:lpstr>
      <vt:lpstr>TIF_InterfundLoan_ImportRow</vt:lpstr>
      <vt:lpstr>TIF_InterfundLoan_InterestRateHigh_Input</vt:lpstr>
      <vt:lpstr>'IFL Ouput'!TIF_InterfundLoan_InterestRateHigh_Output</vt:lpstr>
      <vt:lpstr>TIF_InterfundLoan_InterestRateLow_Input</vt:lpstr>
      <vt:lpstr>'IFL Ouput'!TIF_InterfundLoan_InterestRateLow_Output</vt:lpstr>
      <vt:lpstr>TIF_InterfundLoan_InterestRateType_Input</vt:lpstr>
      <vt:lpstr>'IFL Ouput'!TIF_InterfundLoan_InterestRateType_Output</vt:lpstr>
      <vt:lpstr>TIF_InterfundLoan_InterfundLentInd_Entry</vt:lpstr>
      <vt:lpstr>TIF_InterfundLoan_InterfundLentInd_Input</vt:lpstr>
      <vt:lpstr>TIF_InterfundLoan_InterfundLentInd_Output</vt:lpstr>
      <vt:lpstr>TIF_InterfundLoan_InterfundLoanId</vt:lpstr>
      <vt:lpstr>TIF_InterfundLoan_InterfundLoanId_Output</vt:lpstr>
      <vt:lpstr>TIF_InterfundLoan_InterfundLoanInd_Entry</vt:lpstr>
      <vt:lpstr>TIF_InterfundLoan_InterfundLoanInd_Input</vt:lpstr>
      <vt:lpstr>TIF_InterfundLoan_InterfundLoanInd_Output</vt:lpstr>
      <vt:lpstr>TIF_InterfundLoan_MeetsFiveYrRuleInd_Input</vt:lpstr>
      <vt:lpstr>'IFL Ouput'!TIF_InterfundLoan_MeetsFiveYrRuleInd_Output</vt:lpstr>
      <vt:lpstr>TIF_InterfundLoan_NonTiAccount_Input</vt:lpstr>
      <vt:lpstr>'IFL Ouput'!TIF_InterfundLoan_NonTiAccount_Output</vt:lpstr>
      <vt:lpstr>TIF_InterfundLoan_OtherDistrictName_Input</vt:lpstr>
      <vt:lpstr>'IFL Ouput'!TIF_InterfundLoan_OtherDistrictName_Output</vt:lpstr>
      <vt:lpstr>TIF_InterfundLoan_ResolutionAmt_Input</vt:lpstr>
      <vt:lpstr>'IFL Ouput'!TIF_InterfundLoan_ResolutionAmt_Output</vt:lpstr>
      <vt:lpstr>TIF_InterfundLoan_ResolutionDate_Input</vt:lpstr>
      <vt:lpstr>'IFL Ouput'!TIF_InterfundLoan_ResolutionDate_Output</vt:lpstr>
      <vt:lpstr>TIF_InterfundLoanAnnual_AffordableHsgCost_Input</vt:lpstr>
      <vt:lpstr>TIF_InterfundLoanAnnual_AffordableHsgCost_Output</vt:lpstr>
      <vt:lpstr>TIF_InterfundLoanAnnual_AffordableHsgCostPriorAdj_Input</vt:lpstr>
      <vt:lpstr>TIF_InterfundLoanAnnual_AffordableHsgCostPriorAdj_Output</vt:lpstr>
      <vt:lpstr>TIF_InterfundLoanAnnual_AuthorityAdminCost_Input</vt:lpstr>
      <vt:lpstr>TIF_InterfundLoanAnnual_AuthorityAdminCost_Output</vt:lpstr>
      <vt:lpstr>TIF_InterfundLoanAnnual_AuthorityAdminCostPriorAdj_Input</vt:lpstr>
      <vt:lpstr>TIF_InterfundLoanAnnual_AuthorityAdminCostPriorAdj_Output</vt:lpstr>
      <vt:lpstr>TIF_InterfundLoanAnnual_CountyAdminCost_Input</vt:lpstr>
      <vt:lpstr>TIF_InterfundLoanAnnual_CountyAdminCost_Output</vt:lpstr>
      <vt:lpstr>TIF_InterfundLoanAnnual_CountyAdminCostPriorAdj_Input</vt:lpstr>
      <vt:lpstr>TIF_InterfundLoanAnnual_CountyAdminCostPriorAdj_Output</vt:lpstr>
      <vt:lpstr>TIF_InterfundLoanAnnual_DrawAmount_Input</vt:lpstr>
      <vt:lpstr>TIF_InterfundLoanAnnual_DrawAmount_Ouput</vt:lpstr>
      <vt:lpstr>TIF_InterfundLoanAnnual_DrawAmountPriorAdj_Input</vt:lpstr>
      <vt:lpstr>'IFL Ouput'!TIF_InterfundLoanAnnual_DrawAmountPriorAdj_Output</vt:lpstr>
      <vt:lpstr>TIF_InterfundLoanAnnual_ElectedHsgCost_Input</vt:lpstr>
      <vt:lpstr>TIF_InterfundLoanAnnual_ElectedHsgCost_Output</vt:lpstr>
      <vt:lpstr>TIF_InterfundLoanAnnual_ElectedHsgCostPriorAdj_Input</vt:lpstr>
      <vt:lpstr>TIF_InterfundLoanAnnual_ElectedHsgCostPriorAdj_Output</vt:lpstr>
      <vt:lpstr>TIF_InterfundLoanAnnual_InDistrictCost_Input</vt:lpstr>
      <vt:lpstr>TIF_InterfundLoanAnnual_InDistrictCost_Output</vt:lpstr>
      <vt:lpstr>TIF_InterfundLoanAnnual_InDistrictCostPriorAdj_Input</vt:lpstr>
      <vt:lpstr>TIF_InterfundLoanAnnual_InDistrictCostPriorAdj_Output</vt:lpstr>
      <vt:lpstr>TIF_InterfundLoanAnnual_InterestDue_Input</vt:lpstr>
      <vt:lpstr>TIF_InterfundLoanAnnual_InterestDue_Ouput</vt:lpstr>
      <vt:lpstr>TIF_InterfundLoanAnnual_InterestPaid_Input</vt:lpstr>
      <vt:lpstr>TIF_InterfundLoanAnnual_InterestPaid_Ouput</vt:lpstr>
      <vt:lpstr>TIF_InterfundLoanAnnual_InterestPaidOther_Input</vt:lpstr>
      <vt:lpstr>TIF_InterfundLoanAnnual_InterestPaidOther_Ouput</vt:lpstr>
      <vt:lpstr>TIF_InterfundLoanAnnual_InterestPaidOtherPriorAdj_Input</vt:lpstr>
      <vt:lpstr>'IFL Ouput'!TIF_InterfundLoanAnnual_InterestPaidOtherPriorAdj_Output</vt:lpstr>
      <vt:lpstr>TIF_InterfundLoanAnnual_InterestPaidPriorAdj_Input</vt:lpstr>
      <vt:lpstr>'IFL Ouput'!TIF_InterfundLoanAnnual_InterestPaidPriorAdj_Output</vt:lpstr>
      <vt:lpstr>TIF_InterfundLoanAnnual_JobsBillCost_Input</vt:lpstr>
      <vt:lpstr>TIF_InterfundLoanAnnual_JobsBillCost_Output</vt:lpstr>
      <vt:lpstr>TIF_InterfundLoanAnnual_JobsBillCostPriorAdj_Input</vt:lpstr>
      <vt:lpstr>TIF_InterfundLoanAnnual_JobsBillCostPriorAdj_Output</vt:lpstr>
      <vt:lpstr>TIF_InterfundLoanAnnual_LandBldgAcquisitionCost_Input</vt:lpstr>
      <vt:lpstr>TIF_InterfundLoanAnnual_LandBldgAcquisitionCost_Output</vt:lpstr>
      <vt:lpstr>TIF_InterfundLoanAnnual_LandBldgAcquisitionCostPriorAdj_Input</vt:lpstr>
      <vt:lpstr>TIF_InterfundLoanAnnual_LandBldgAcquisitionCostPriorAdj_Output</vt:lpstr>
      <vt:lpstr>TIF_InterfundLoanAnnual_OtherPublicCost_Input</vt:lpstr>
      <vt:lpstr>TIF_InterfundLoanAnnual_OtherPublicCost_Output</vt:lpstr>
      <vt:lpstr>TIF_InterfundLoanAnnual_OtherPublicCostPriorAdj_Input</vt:lpstr>
      <vt:lpstr>TIF_InterfundLoanAnnual_OtherPublicCostPriorAdj_Output</vt:lpstr>
      <vt:lpstr>TIF_InterfundLoanAnnual_OutDistrictCost_Input</vt:lpstr>
      <vt:lpstr>TIF_InterfundLoanAnnual_OutDistrictCost_Output</vt:lpstr>
      <vt:lpstr>TIF_InterfundLoanAnnual_OutDistrictCostPriorAdj_Input</vt:lpstr>
      <vt:lpstr>TIF_InterfundLoanAnnual_OutDistrictCostPriorAdj_Output</vt:lpstr>
      <vt:lpstr>TIF_InterfundLoanAnnual_PrincipalAdditions_Input</vt:lpstr>
      <vt:lpstr>TIF_InterfundLoanAnnual_PrincipalAdditions_Ouput</vt:lpstr>
      <vt:lpstr>TIF_InterfundLoanAnnual_PrincipalAdditionsPriorAdj_Input</vt:lpstr>
      <vt:lpstr>'IFL Ouput'!TIF_InterfundLoanAnnual_PrincipalAdditionsPriorAdj_Output</vt:lpstr>
      <vt:lpstr>TIF_InterfundLoanAnnual_PrincipalDue_Input</vt:lpstr>
      <vt:lpstr>TIF_InterfundLoanAnnual_PrincipalDue_Ouput</vt:lpstr>
      <vt:lpstr>TIF_InterfundLoanAnnual_PrincipalOutstanding_Input</vt:lpstr>
      <vt:lpstr>TIF_InterfundLoanAnnual_PrincipalOutstanding_Ouput</vt:lpstr>
      <vt:lpstr>TIF_InterfundLoanAnnual_PrincipalOutstandingPriorAdj_Input</vt:lpstr>
      <vt:lpstr>TIF_InterfundLoanAnnual_PrincipalOutstandingPriorAdj_Ouput</vt:lpstr>
      <vt:lpstr>TIF_InterfundLoanAnnual_PrincipalPaid_Input</vt:lpstr>
      <vt:lpstr>TIF_InterfundLoanAnnual_PrincipalPaid_Ouput</vt:lpstr>
      <vt:lpstr>TIF_InterfundLoanAnnual_PrincipalPaidOther_Input</vt:lpstr>
      <vt:lpstr>TIF_InterfundLoanAnnual_PrincipalPaidOther_Ouput</vt:lpstr>
      <vt:lpstr>TIF_InterfundLoanAnnual_PrincipalPaidOtherPriorAdj_Input</vt:lpstr>
      <vt:lpstr>'IFL Ouput'!TIF_InterfundLoanAnnual_PrincipalPaidOtherPriorAdj_Output</vt:lpstr>
      <vt:lpstr>TIF_InterfundLoanAnnual_PrincipalPaidPriorAdj_Input</vt:lpstr>
      <vt:lpstr>'IFL Ouput'!TIF_InterfundLoanAnnual_PrincipalPaidPriorAdj_Output</vt:lpstr>
      <vt:lpstr>TIF_InterfundLoanAnnual_RemainingProceeds_Input</vt:lpstr>
      <vt:lpstr>TIF_InterfundLoanAnnual_RemainingProceeds_Output</vt:lpstr>
      <vt:lpstr>TIF_InterfundLoanAnnual_RemainingProceedsPriorAdj_Input</vt:lpstr>
      <vt:lpstr>TIF_InterfundLoanAnnual_RemainingProceedsPriorAdj_Output</vt:lpstr>
      <vt:lpstr>TIF_InterfundLoanAnnual_SiteImprovementsCost_Input</vt:lpstr>
      <vt:lpstr>TIF_InterfundLoanAnnual_SiteImprovementsCost_Output</vt:lpstr>
      <vt:lpstr>TIF_InterfundLoanAnnual_SiteImprovementsCostPriorAdj_Input</vt:lpstr>
      <vt:lpstr>TIF_InterfundLoanAnnual_SiteImprovementsCostPriorAdj_Output</vt:lpstr>
      <vt:lpstr>TIF_InterfundLoanAnnual_TempTransferAuthority_Input</vt:lpstr>
      <vt:lpstr>TIF_InterfundLoanAnnual_TempTransferAuthority_Output</vt:lpstr>
      <vt:lpstr>TIF_InterfundLoanAnnual_TempTransferAuthorityPriorAdj_Input</vt:lpstr>
      <vt:lpstr>TIF_InterfundLoanAnnual_TempTransferAuthorityPriorAdj_Output</vt:lpstr>
      <vt:lpstr>TIF_InterfundLoanAnnual_TermsModifiedInd_Input</vt:lpstr>
      <vt:lpstr>TIF_InterfundLoanAnnual_TermsModifiedInd_Ouput</vt:lpstr>
      <vt:lpstr>TIF_InterfundLoanAnnual_TotalDrawAmount_Input</vt:lpstr>
      <vt:lpstr>TIF_InterfundLoanAnnual_TotalDrawAmount_Ouput</vt:lpstr>
      <vt:lpstr>TIF_InterfundLoanAnnual_TotalUses_Input</vt:lpstr>
      <vt:lpstr>TIF_InterfundLoanAnnual_TotalUses_Output</vt:lpstr>
      <vt:lpstr>TIF_InterfundLoanAnnual_TotalUsesPriorAdj_Input</vt:lpstr>
      <vt:lpstr>TIF_InterfundLoanAnnual_TotalUsesPriorAdj_Output</vt:lpstr>
      <vt:lpstr>TIF_InterfundLoanAnnual_UnpaidInterest_Input</vt:lpstr>
      <vt:lpstr>'IFL Ouput'!TIF_InterfundLoanAnnual_UnpaidInterest_Output</vt:lpstr>
      <vt:lpstr>TIF_InterfundLoanAnnual_UnpaidInterestPriorAdj_Input</vt:lpstr>
      <vt:lpstr>TIF_InterfundLoanAnnual_UnpaidInterestPriorAdj_Ouput</vt:lpstr>
      <vt:lpstr>TIF_InterfundLoanAnnual_UserCommentsLoan_Ouput</vt:lpstr>
      <vt:lpstr>TIF_InterfundLoanAnnual_UtilitiesCost_Input</vt:lpstr>
      <vt:lpstr>TIF_InterfundLoanAnnual_UtilitiesCost_Output</vt:lpstr>
      <vt:lpstr>TIF_InterfundLoanAnnual_UtilitiesCostPriorAdj_Input</vt:lpstr>
      <vt:lpstr>TIF_InterfundLoanAnnual_UtilitiesCostPriorAdj_Output</vt:lpstr>
      <vt:lpstr>TIF_InterfundLoanType_TypeName_Input</vt:lpstr>
      <vt:lpstr>TIF_InterfundLoanType_TypeName_Output</vt:lpstr>
      <vt:lpstr>TIF_PAYG_ContractAmt_Input</vt:lpstr>
      <vt:lpstr>TIF_PAYG_ContractAmt_Output</vt:lpstr>
      <vt:lpstr>TIF_PAYG_FinalMaturityDate_Input</vt:lpstr>
      <vt:lpstr>TIF_PAYG_FinalMaturityDate_Output</vt:lpstr>
      <vt:lpstr>TIF_PAYG_HolderName_Input</vt:lpstr>
      <vt:lpstr>TIF_PAYG_HolderName_Output</vt:lpstr>
      <vt:lpstr>TIF_PAYG_InterestRateHigh_Input</vt:lpstr>
      <vt:lpstr>TIF_PAYG_InterestRateHigh_Output</vt:lpstr>
      <vt:lpstr>TIF_PAYG_InterestRateLow_Input</vt:lpstr>
      <vt:lpstr>TIF_PAYG_InterestRateLow_Output</vt:lpstr>
      <vt:lpstr>TIF_PAYG_IssueDate_Input</vt:lpstr>
      <vt:lpstr>TIF_PAYG_IssueDate_Output</vt:lpstr>
      <vt:lpstr>TIF_PAYG_MeetsFiveYrRuleInd_Input</vt:lpstr>
      <vt:lpstr>TIF_PAYG_MeetsFiveYrRuleInd_Output</vt:lpstr>
      <vt:lpstr>TIF_PAYG_PaygId_Input</vt:lpstr>
      <vt:lpstr>TIF_PAYG_PaygId_Output</vt:lpstr>
      <vt:lpstr>TIF_PAYG_PAYGInd_Entry</vt:lpstr>
      <vt:lpstr>TIF_PAYG_PAYGInd_Input</vt:lpstr>
      <vt:lpstr>TIF_PAYG_PAYGInd_Output</vt:lpstr>
      <vt:lpstr>TIF_PaygAnnual_AffordableHsgCost_Input</vt:lpstr>
      <vt:lpstr>TIF_PaygAnnual_AffordableHsgCost_Output</vt:lpstr>
      <vt:lpstr>TIF_PaygAnnual_AffordableHsgCostPriorAdj_Input</vt:lpstr>
      <vt:lpstr>TIF_PaygAnnual_AffordableHsgCostPriorAdj_Output</vt:lpstr>
      <vt:lpstr>TIF_PaygAnnual_InDistrictCost_Input</vt:lpstr>
      <vt:lpstr>TIF_PaygAnnual_InDistrictCost_Output</vt:lpstr>
      <vt:lpstr>TIF_PaygAnnual_InDistrictCostPriorAdj_Input</vt:lpstr>
      <vt:lpstr>TIF_PaygAnnual_InDistrictCostPriorAdj_Output</vt:lpstr>
      <vt:lpstr>TIF_PaygAnnual_InterestDue_Input</vt:lpstr>
      <vt:lpstr>TIF_PaygAnnual_InterestDue_Output</vt:lpstr>
      <vt:lpstr>TIF_PaygAnnual_InterestPaid_Input</vt:lpstr>
      <vt:lpstr>TIF_PaygAnnual_InterestPaid_Output</vt:lpstr>
      <vt:lpstr>TIF_PaygAnnual_InterestPaidPriorAdj_Input</vt:lpstr>
      <vt:lpstr>TIF_PaygAnnual_InterestPaidPriorAdj_Output</vt:lpstr>
      <vt:lpstr>TIF_PaygAnnual_JobsBillCost_Input</vt:lpstr>
      <vt:lpstr>TIF_PaygAnnual_JobsBillCost_Output</vt:lpstr>
      <vt:lpstr>TIF_PaygAnnual_JobsBillCostPriorAdj_Input</vt:lpstr>
      <vt:lpstr>TIF_PaygAnnual_JobsBillCostPriorAdj_Output</vt:lpstr>
      <vt:lpstr>TIF_PaygAnnual_LandBldgAcquisitionCost_Input</vt:lpstr>
      <vt:lpstr>TIF_PaygAnnual_LandBldgAcquisitionCost_Output</vt:lpstr>
      <vt:lpstr>TIF_PaygAnnual_LandBldgAcquisitionCostPriorAdj_Input</vt:lpstr>
      <vt:lpstr>TIF_PaygAnnual_LandBldgAcquisitionCostPriorAdj_Output</vt:lpstr>
      <vt:lpstr>TIF_PaygAnnual_OtherPublicCost_Input</vt:lpstr>
      <vt:lpstr>TIF_PaygAnnual_OtherPublicCost_Output</vt:lpstr>
      <vt:lpstr>TIF_PaygAnnual_OtherPublicCostPriorAdj_Input</vt:lpstr>
      <vt:lpstr>TIF_PaygAnnual_OtherPublicCostPriorAdj_Output</vt:lpstr>
      <vt:lpstr>TIF_PaygAnnual_OutDistrictCost_Input</vt:lpstr>
      <vt:lpstr>TIF_PaygAnnual_OutDistrictCost_Output</vt:lpstr>
      <vt:lpstr>TIF_PaygAnnual_OutDistrictCostPriorAdj_Input</vt:lpstr>
      <vt:lpstr>TIF_PaygAnnual_OutDistrictCostPriorAdj_Output</vt:lpstr>
      <vt:lpstr>TIF_PaygAnnual_PrincipalAdditions_Input</vt:lpstr>
      <vt:lpstr>TIF_PaygAnnual_PrincipalAdditions_Output</vt:lpstr>
      <vt:lpstr>TIF_PaygAnnual_PrincipalAdditionsPriorAdj_Input</vt:lpstr>
      <vt:lpstr>TIF_PaygAnnual_PrincipalAdditionsPriorAdj_Output</vt:lpstr>
      <vt:lpstr>TIF_PaygAnnual_PrincipalDue_Input</vt:lpstr>
      <vt:lpstr>TIF_PaygAnnual_PrincipalDue_Output</vt:lpstr>
      <vt:lpstr>TIF_PaygAnnual_PrincipalOutstanding_Input</vt:lpstr>
      <vt:lpstr>TIF_PaygAnnual_PrincipalOutstanding_Output</vt:lpstr>
      <vt:lpstr>TIF_PaygAnnual_PrincipalOutstandingPriorAdj_Input</vt:lpstr>
      <vt:lpstr>TIF_PaygAnnual_PrincipalOutstandingPriorAdj_Output</vt:lpstr>
      <vt:lpstr>TIF_PaygAnnual_PrincipalPaid_Input</vt:lpstr>
      <vt:lpstr>TIF_PaygAnnual_PrincipalPaid_Output</vt:lpstr>
      <vt:lpstr>TIF_PaygAnnual_PrincipalPaidPriorAdj_Input</vt:lpstr>
      <vt:lpstr>TIF_PaygAnnual_PrincipalPaidPriorAdj_Output</vt:lpstr>
      <vt:lpstr>TIF_PaygAnnual_SiteImprovementsCost_Input</vt:lpstr>
      <vt:lpstr>TIF_PaygAnnual_SiteImprovementsCost_Output</vt:lpstr>
      <vt:lpstr>TIF_PaygAnnual_SiteImprovementsCostPriorAdj_Input</vt:lpstr>
      <vt:lpstr>TIF_PaygAnnual_SiteImprovementsCostPriorAdj_Output</vt:lpstr>
      <vt:lpstr>TIF_PaygAnnual_TotalDocumentedCost_Input</vt:lpstr>
      <vt:lpstr>TIF_PaygAnnual_TotalDocumentedCost_Output</vt:lpstr>
      <vt:lpstr>TIF_PaygAnnual_TotalDocumentedCostPriorAdj_Input</vt:lpstr>
      <vt:lpstr>TIF_PaygAnnual_TotalDocumentedCostPriorAdj_Output</vt:lpstr>
      <vt:lpstr>TIF_PaygAnnual_UnpaidInterest_Input</vt:lpstr>
      <vt:lpstr>TIF_PaygAnnual_UnpaidInterest_Output</vt:lpstr>
      <vt:lpstr>TIF_PaygAnnual_UnpaidInterestPriorAdj_Input</vt:lpstr>
      <vt:lpstr>TIF_PaygAnnual_UnpaidInterestPriorAdj_Output</vt:lpstr>
      <vt:lpstr>TIF_PAYGAnnual_UserCommentsPAYG_Ouput</vt:lpstr>
      <vt:lpstr>TIF_PaygAnnual_UtilitiesCost_Input</vt:lpstr>
      <vt:lpstr>TIF_PaygAnnual_UtilitiesCost_Output</vt:lpstr>
      <vt:lpstr>TIF_PaygAnnual_UtilitiesCostPriorAdj_Input</vt:lpstr>
      <vt:lpstr>TIF_PaygAnnual_UtilitiesCostPriorAdj_Output</vt:lpstr>
      <vt:lpstr>TIF_Plan_AnticipatedFirstReceiptYear</vt:lpstr>
      <vt:lpstr>TIF_Plan_ApprovalDate</vt:lpstr>
      <vt:lpstr>TIF_Plan_DelayFirstReceiptElection</vt:lpstr>
      <vt:lpstr>TIF_Plan_HssInd_Entry</vt:lpstr>
      <vt:lpstr>TIF_Plan_HssInd_Input</vt:lpstr>
      <vt:lpstr>TIF_Plan_HssInd_Output</vt:lpstr>
      <vt:lpstr>TIF_Plan_ShorterDuration</vt:lpstr>
      <vt:lpstr>TIF_SpecialLegislation_Article</vt:lpstr>
      <vt:lpstr>TIF_SpecialLegislation_Chapter</vt:lpstr>
      <vt:lpstr>TIF_SpecialLegislation_Section</vt:lpstr>
      <vt:lpstr>TIF_SpecialLegislation_Session</vt:lpstr>
      <vt:lpstr>TIF_SpecialLegislation_SpecialLegislationId</vt:lpstr>
      <vt:lpstr>TIF_SpecialLegislation_SpecialLegislationInd_Entry</vt:lpstr>
      <vt:lpstr>TIF_SpecialLegislation_SpecialLegislationInd_Input</vt:lpstr>
      <vt:lpstr>TIF_SpecialLegislation_SpecialLegislationInd_Output</vt:lpstr>
      <vt:lpstr>TIF_SpecialLegislation_Year</vt:lpstr>
      <vt:lpstr>TIF_TemporaryTransfer_Expenditures</vt:lpstr>
      <vt:lpstr>TIF_TemporaryTransfer_ExpendituresPrior</vt:lpstr>
      <vt:lpstr>TIF_TemporaryTransfer_TransferInd</vt:lpstr>
      <vt:lpstr>TIF_TemporaryTransfer_TransfersIn</vt:lpstr>
      <vt:lpstr>TIF_TemporaryTransfer_TransfersOut2021</vt:lpstr>
      <vt:lpstr>TIF_TemporaryTransfer_TransfersOut2022</vt:lpstr>
      <vt:lpstr>TIF_TemporaryTransferFund_FundId</vt:lpstr>
      <vt:lpstr>TIF_Transfer_OtherDistrictId</vt:lpstr>
      <vt:lpstr>TIF_Transfer_TransferInAmt</vt:lpstr>
      <vt:lpstr>TIF_Transfer_TransferInd_Entry</vt:lpstr>
      <vt:lpstr>TIF_Transfer_TransferInd_Input</vt:lpstr>
      <vt:lpstr>TIF_Transfer_TransferInd_Output</vt:lpstr>
      <vt:lpstr>TIF_Transfer_TransferInPriorAdj</vt:lpstr>
      <vt:lpstr>TIF_Transfer_TransferName</vt:lpstr>
      <vt:lpstr>TIF_Transfer_TransferOutAmt</vt:lpstr>
      <vt:lpstr>TIF_Transfer_TransferOutPriorAdj</vt:lpstr>
      <vt:lpstr>VersionNumber</vt:lpstr>
      <vt:lpstr>Year_DestinationYearID</vt:lpstr>
      <vt:lpstr>Year_SourceYearID</vt:lpstr>
      <vt:lpstr>YesNo</vt:lpstr>
      <vt:lpstr>YesNoNA</vt:lpstr>
    </vt:vector>
  </TitlesOfParts>
  <Manager/>
  <Company>MN Office of the State Auditor</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Jason Nord</dc:creator>
  <cp:keywords/>
  <dc:description/>
  <cp:lastModifiedBy>Jason Nord</cp:lastModifiedBy>
  <cp:revision/>
  <dcterms:created xsi:type="dcterms:W3CDTF">2023-02-02T14:55:59Z</dcterms:created>
  <dcterms:modified xsi:type="dcterms:W3CDTF">2024-07-22T13:43:38Z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2023-02-02T15:43:27Z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0c5e1f57-94cd-4c96-9f53-6af348ef76b8</vt:lpwstr>
  </property>
  <property fmtid="{D5CDD505-2E9C-101B-9397-08002B2CF9AE}" pid="7" name="MSIP_Label_defa4170-0d19-0005-0004-bc88714345d2_ActionId">
    <vt:lpwstr>2e961fa9-4387-457b-8d9a-877c66b908fb</vt:lpwstr>
  </property>
  <property fmtid="{D5CDD505-2E9C-101B-9397-08002B2CF9AE}" pid="8" name="MSIP_Label_defa4170-0d19-0005-0004-bc88714345d2_ContentBits">
    <vt:lpwstr>0</vt:lpwstr>
  </property>
  <property fmtid="{D5CDD505-2E9C-101B-9397-08002B2CF9AE}" pid="9" name="ContentTypeId">
    <vt:lpwstr>0x0101008B57AD22EB5F3F4683BB17D165C31A09</vt:lpwstr>
  </property>
</Properties>
</file>